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nL" sheetId="1" r:id="rId4"/>
    <sheet state="visible" name="PortPerf" sheetId="2" r:id="rId5"/>
    <sheet state="visible" name="Trade Record by acct" sheetId="3" r:id="rId6"/>
    <sheet state="visible" name="HistClsP" sheetId="4" r:id="rId7"/>
    <sheet state="visible" name="Received Order Summary" sheetId="5" r:id="rId8"/>
    <sheet state="visible" name="Rejected Order Summary" sheetId="6" r:id="rId9"/>
    <sheet state="visible" name="Unfilled Order Summary" sheetId="7" r:id="rId10"/>
    <sheet state="visible" name="PnLDetails" sheetId="8" r:id="rId11"/>
    <sheet state="visible" name="Sheet Summary" sheetId="9" r:id="rId12"/>
  </sheets>
  <definedNames/>
  <calcPr/>
</workbook>
</file>

<file path=xl/sharedStrings.xml><?xml version="1.0" encoding="utf-8"?>
<sst xmlns="http://schemas.openxmlformats.org/spreadsheetml/2006/main" count="19" uniqueCount="19">
  <si>
    <t>Table information</t>
  </si>
  <si>
    <t>Individual cells information</t>
  </si>
  <si>
    <t>PnL</t>
  </si>
  <si>
    <t>Rank of PnL with several other details</t>
  </si>
  <si>
    <t>Ranking summary, returns, etc.</t>
  </si>
  <si>
    <t>PortPerf</t>
  </si>
  <si>
    <t>Portfofolio Performance and account details</t>
  </si>
  <si>
    <t>Trade Record by acct</t>
  </si>
  <si>
    <t>By accounts portfolio trade record</t>
  </si>
  <si>
    <t>Received Order Summary</t>
  </si>
  <si>
    <t>All received orders captured</t>
  </si>
  <si>
    <t>Rejected Order Summary</t>
  </si>
  <si>
    <t>All rejected orders ONLY</t>
  </si>
  <si>
    <t>Unfilled Order Summary</t>
  </si>
  <si>
    <t>All Unfilled orders ONLY</t>
  </si>
  <si>
    <t>HistClsP</t>
  </si>
  <si>
    <t>Historical Closing Price captured by day</t>
  </si>
  <si>
    <t>PnL Details</t>
  </si>
  <si>
    <t>PnL according to trade day and value day</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</si>
</sst>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quot;$&quot;#,##0"/>
    <numFmt numFmtId="165" formatCode="M/d/yyyy"/>
    <numFmt numFmtId="166" formatCode="&quot;$&quot;#,##0.00"/>
    <numFmt numFmtId="167" formatCode="0.00%;[red](0.00%)"/>
    <numFmt numFmtId="168" formatCode="#,##0;[Red](#,##0)"/>
    <numFmt numFmtId="169" formatCode="m/d/yyyy"/>
    <numFmt numFmtId="170" formatCode="0.0%;[red](0.0%)"/>
    <numFmt numFmtId="171" formatCode="#,##0_);[Red](#,##0)"/>
    <numFmt numFmtId="172" formatCode="#,##0.000"/>
    <numFmt numFmtId="173" formatCode="#,##0.00;[Red](#,##0.00)"/>
    <numFmt numFmtId="174" formatCode="#,##0.000;[Red](#,##0.000)"/>
    <numFmt numFmtId="175" formatCode="0.000%"/>
    <numFmt numFmtId="176" formatCode="M/d/yyyy H:mm:ss"/>
    <numFmt numFmtId="177" formatCode="&quot;$&quot;#,##0.0"/>
    <numFmt numFmtId="178" formatCode="mmm d, yyyy"/>
    <numFmt numFmtId="179" formatCode="m/d/yyyy h:mm:ss"/>
    <numFmt numFmtId="180" formatCode="#,##0.00_);[Red](#,##0.00)"/>
    <numFmt numFmtId="181" formatCode="m&quot;/&quot;d"/>
    <numFmt numFmtId="182" formatCode="0.000"/>
  </numFmts>
  <fonts count="32">
    <font>
      <sz val="10.0"/>
      <color rgb="FF000000"/>
      <name val="Arial"/>
      <scheme val="minor"/>
    </font>
    <font>
      <b/>
      <sz val="15.0"/>
      <color theme="1"/>
      <name val="Arial"/>
    </font>
    <font>
      <color theme="1"/>
      <name val="Arial"/>
    </font>
    <font>
      <color theme="1"/>
      <name val="Arial"/>
      <scheme val="minor"/>
    </font>
    <font>
      <color rgb="FF0000FF"/>
      <name val="Arial"/>
    </font>
    <font>
      <color rgb="FFFFFF00"/>
      <name val="Arial"/>
    </font>
    <font>
      <b/>
      <color theme="1"/>
      <name val="Arial"/>
      <scheme val="minor"/>
    </font>
    <font>
      <b/>
      <color rgb="FFFFFFFF"/>
      <name val="Arial"/>
    </font>
    <font>
      <b/>
      <color theme="1"/>
      <name val="Arial"/>
    </font>
    <font>
      <u/>
      <color rgb="FF0000FF"/>
    </font>
    <font>
      <color rgb="FFFF0000"/>
      <name val="Arial"/>
    </font>
    <font>
      <b/>
      <sz val="16.0"/>
      <color theme="1"/>
      <name val="Arial"/>
    </font>
    <font>
      <b/>
      <sz val="16.0"/>
      <color theme="1"/>
      <name val="Arial"/>
      <scheme val="minor"/>
    </font>
    <font>
      <sz val="16.0"/>
      <color theme="1"/>
      <name val="Arial"/>
      <scheme val="minor"/>
    </font>
    <font>
      <sz val="12.0"/>
      <color theme="1"/>
      <name val="Arial"/>
      <scheme val="minor"/>
    </font>
    <font>
      <color rgb="FF0000FF"/>
      <name val="Arial"/>
      <scheme val="minor"/>
    </font>
    <font>
      <color rgb="FFFFFF00"/>
      <name val="Arial"/>
      <scheme val="minor"/>
    </font>
    <font>
      <u/>
      <color rgb="FF0000FF"/>
    </font>
    <font/>
    <font>
      <b/>
      <sz val="20.0"/>
      <color theme="1"/>
      <name val="Arial"/>
    </font>
    <font>
      <u/>
      <color rgb="FF1155CC"/>
      <name val="Arial"/>
    </font>
    <font>
      <u/>
      <color rgb="FF0000FF"/>
      <name val="Arial"/>
    </font>
    <font>
      <color rgb="FF000000"/>
      <name val="Arial"/>
    </font>
    <font>
      <name val="Arial"/>
    </font>
    <font>
      <b/>
      <sz val="18.0"/>
      <color theme="1"/>
      <name val="Arial"/>
      <scheme val="minor"/>
    </font>
    <font>
      <u/>
      <color rgb="FF0000FF"/>
    </font>
    <font>
      <b/>
      <color rgb="FFFFFFFF"/>
      <name val="Arial"/>
      <scheme val="minor"/>
    </font>
    <font>
      <b/>
      <sz val="18.0"/>
      <color theme="1"/>
      <name val="Arial"/>
    </font>
    <font>
      <b/>
      <i/>
      <color theme="1"/>
      <name val="Arial"/>
    </font>
    <font>
      <u/>
      <color rgb="FF1155CC"/>
      <name val="Arial"/>
    </font>
    <font>
      <u/>
      <color rgb="FF0000FF"/>
      <name val="Arial"/>
    </font>
    <font>
      <u/>
      <color rgb="FF0000FF"/>
    </font>
  </fonts>
  <fills count="21">
    <fill>
      <patternFill patternType="none"/>
    </fill>
    <fill>
      <patternFill patternType="lightGray"/>
    </fill>
    <fill>
      <patternFill patternType="solid">
        <fgColor rgb="FFFFE599"/>
        <bgColor rgb="FFFFE599"/>
      </patternFill>
    </fill>
    <fill>
      <patternFill patternType="solid">
        <fgColor rgb="FF38761D"/>
        <bgColor rgb="FF38761D"/>
      </patternFill>
    </fill>
    <fill>
      <patternFill patternType="solid">
        <fgColor rgb="FFF4CCCC"/>
        <bgColor rgb="FFF4CCCC"/>
      </patternFill>
    </fill>
    <fill>
      <patternFill patternType="solid">
        <fgColor rgb="FFCCCCCC"/>
        <bgColor rgb="FFCCCCCC"/>
      </patternFill>
    </fill>
    <fill>
      <patternFill patternType="solid">
        <fgColor rgb="FFCFE2F3"/>
        <bgColor rgb="FFCFE2F3"/>
      </patternFill>
    </fill>
    <fill>
      <patternFill patternType="solid">
        <fgColor rgb="FFCC0000"/>
        <bgColor rgb="FFCC0000"/>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D5A6BD"/>
        <bgColor rgb="FFD5A6BD"/>
      </patternFill>
    </fill>
    <fill>
      <patternFill patternType="solid">
        <fgColor rgb="FFA2C4C9"/>
        <bgColor rgb="FFA2C4C9"/>
      </patternFill>
    </fill>
    <fill>
      <patternFill patternType="solid">
        <fgColor rgb="FFB6D7A8"/>
        <bgColor rgb="FFB6D7A8"/>
      </patternFill>
    </fill>
    <fill>
      <patternFill patternType="solid">
        <fgColor rgb="FF6FA8DC"/>
        <bgColor rgb="FF6FA8DC"/>
      </patternFill>
    </fill>
    <fill>
      <patternFill patternType="solid">
        <fgColor rgb="FFA64D79"/>
        <bgColor rgb="FFA64D79"/>
      </patternFill>
    </fill>
    <fill>
      <patternFill patternType="solid">
        <fgColor rgb="FFE69138"/>
        <bgColor rgb="FFE69138"/>
      </patternFill>
    </fill>
    <fill>
      <patternFill patternType="solid">
        <fgColor rgb="FFDD7E6B"/>
        <bgColor rgb="FFDD7E6B"/>
      </patternFill>
    </fill>
    <fill>
      <patternFill patternType="solid">
        <fgColor rgb="FFE06666"/>
        <bgColor rgb="FFE06666"/>
      </patternFill>
    </fill>
    <fill>
      <patternFill patternType="solid">
        <fgColor rgb="FF93C47D"/>
        <bgColor rgb="FF93C47D"/>
      </patternFill>
    </fill>
  </fills>
  <borders count="8">
    <border/>
    <border>
      <right/>
    </border>
    <border>
      <left style="thin">
        <color rgb="FF000000"/>
      </left>
      <right style="thin">
        <color rgb="FF000000"/>
      </right>
      <top style="thin">
        <color rgb="FF000000"/>
      </top>
      <bottom style="thin">
        <color rgb="FF000000"/>
      </bottom>
    </border>
    <border>
      <bottom style="thick">
        <color rgb="FF0000FF"/>
      </bottom>
    </border>
    <border>
      <left style="thick">
        <color rgb="FFFF0000"/>
      </left>
      <top style="thick">
        <color rgb="FFFF0000"/>
      </top>
      <bottom style="thick">
        <color rgb="FFFF0000"/>
      </bottom>
    </border>
    <border>
      <top style="thick">
        <color rgb="FFFF0000"/>
      </top>
      <bottom style="thick">
        <color rgb="FFFF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1" fillId="0" fontId="2" numFmtId="164" xfId="0" applyAlignment="1" applyBorder="1" applyFont="1" applyNumberFormat="1">
      <alignment vertical="bottom"/>
    </xf>
    <xf borderId="0" fillId="0" fontId="2" numFmtId="164" xfId="0" applyAlignment="1" applyFont="1" applyNumberFormat="1">
      <alignment vertical="bottom"/>
    </xf>
    <xf borderId="0" fillId="0" fontId="2" numFmtId="165" xfId="0" applyAlignment="1" applyFont="1" applyNumberFormat="1">
      <alignment vertical="bottom"/>
    </xf>
    <xf borderId="0" fillId="0" fontId="3" numFmtId="0" xfId="0" applyFont="1"/>
    <xf borderId="0" fillId="0" fontId="3" numFmtId="0" xfId="0" applyAlignment="1" applyFont="1">
      <alignment horizontal="right"/>
    </xf>
    <xf borderId="0" fillId="0" fontId="3" numFmtId="0" xfId="0" applyFont="1"/>
    <xf borderId="0" fillId="0" fontId="3" numFmtId="166" xfId="0" applyFont="1" applyNumberFormat="1"/>
    <xf borderId="0" fillId="0" fontId="3" numFmtId="3" xfId="0" applyFont="1" applyNumberFormat="1"/>
    <xf borderId="1" fillId="0" fontId="2" numFmtId="0" xfId="0" applyAlignment="1" applyBorder="1" applyFont="1">
      <alignment shrinkToFit="0" vertical="bottom" wrapText="0"/>
    </xf>
    <xf borderId="0" fillId="0" fontId="2" numFmtId="167" xfId="0" applyAlignment="1" applyFont="1" applyNumberFormat="1">
      <alignment vertical="bottom"/>
    </xf>
    <xf borderId="0" fillId="0" fontId="3" numFmtId="0" xfId="0" applyAlignment="1" applyFont="1">
      <alignment horizontal="right"/>
    </xf>
    <xf borderId="0" fillId="0" fontId="3" numFmtId="9" xfId="0" applyFont="1" applyNumberFormat="1"/>
    <xf borderId="0" fillId="0" fontId="2" numFmtId="168" xfId="0" applyAlignment="1" applyFont="1" applyNumberFormat="1">
      <alignment vertical="bottom"/>
    </xf>
    <xf borderId="0" fillId="2" fontId="4" numFmtId="168" xfId="0" applyAlignment="1" applyFill="1" applyFont="1" applyNumberFormat="1">
      <alignment horizontal="left" shrinkToFit="0" vertical="bottom" wrapText="1"/>
    </xf>
    <xf borderId="0" fillId="3" fontId="5" numFmtId="164" xfId="0" applyAlignment="1" applyFill="1" applyFont="1" applyNumberFormat="1">
      <alignment horizontal="right" shrinkToFit="0" vertical="bottom" wrapText="1"/>
    </xf>
    <xf borderId="0" fillId="4" fontId="2" numFmtId="167" xfId="0" applyAlignment="1" applyFill="1" applyFont="1" applyNumberFormat="1">
      <alignment horizontal="right" shrinkToFit="0" vertical="bottom" wrapText="1"/>
    </xf>
    <xf borderId="0" fillId="0" fontId="3" numFmtId="164" xfId="0" applyAlignment="1" applyFont="1" applyNumberFormat="1">
      <alignment horizontal="right" shrinkToFit="0" wrapText="1"/>
    </xf>
    <xf borderId="0" fillId="5" fontId="6" numFmtId="166" xfId="0" applyFill="1" applyFont="1" applyNumberFormat="1"/>
    <xf borderId="0" fillId="5" fontId="3" numFmtId="3" xfId="0" applyFont="1" applyNumberFormat="1"/>
    <xf borderId="0" fillId="5" fontId="3" numFmtId="0" xfId="0" applyFont="1"/>
    <xf borderId="0" fillId="0" fontId="3" numFmtId="168" xfId="0" applyFont="1" applyNumberFormat="1"/>
    <xf borderId="0" fillId="0" fontId="3" numFmtId="166" xfId="0" applyFont="1" applyNumberFormat="1"/>
    <xf borderId="0" fillId="0" fontId="3" numFmtId="167" xfId="0" applyFont="1" applyNumberFormat="1"/>
    <xf borderId="0" fillId="0" fontId="3" numFmtId="164" xfId="0" applyFont="1" applyNumberFormat="1"/>
    <xf borderId="0" fillId="6" fontId="3" numFmtId="167" xfId="0" applyAlignment="1" applyFill="1" applyFont="1" applyNumberFormat="1">
      <alignment horizontal="right"/>
    </xf>
    <xf borderId="0" fillId="6" fontId="3" numFmtId="4" xfId="0" applyAlignment="1" applyFont="1" applyNumberFormat="1">
      <alignment horizontal="right"/>
    </xf>
    <xf borderId="0" fillId="0" fontId="3" numFmtId="10" xfId="0" applyFont="1" applyNumberFormat="1"/>
    <xf borderId="0" fillId="0" fontId="3" numFmtId="167" xfId="0" applyAlignment="1" applyFont="1" applyNumberFormat="1">
      <alignment shrinkToFit="0" wrapText="0"/>
    </xf>
    <xf borderId="0" fillId="0" fontId="3" numFmtId="0" xfId="0" applyAlignment="1" applyFont="1">
      <alignment horizontal="left"/>
    </xf>
    <xf borderId="0" fillId="0" fontId="3" numFmtId="4" xfId="0" applyFont="1" applyNumberFormat="1"/>
    <xf borderId="0" fillId="7" fontId="7" numFmtId="0" xfId="0" applyAlignment="1" applyFill="1" applyFont="1">
      <alignment vertical="bottom"/>
    </xf>
    <xf borderId="0" fillId="7" fontId="7" numFmtId="3" xfId="0" applyAlignment="1" applyFont="1" applyNumberFormat="1">
      <alignment horizontal="right" vertical="bottom"/>
    </xf>
    <xf borderId="0" fillId="7" fontId="2" numFmtId="0" xfId="0" applyAlignment="1" applyFont="1">
      <alignment vertical="bottom"/>
    </xf>
    <xf borderId="0" fillId="0" fontId="2" numFmtId="0" xfId="0" applyAlignment="1" applyFont="1">
      <alignment vertical="bottom"/>
    </xf>
    <xf borderId="0" fillId="0" fontId="2" numFmtId="169" xfId="0" applyAlignment="1" applyFont="1" applyNumberFormat="1">
      <alignment horizontal="right" vertical="bottom"/>
    </xf>
    <xf borderId="0" fillId="7" fontId="7" numFmtId="10" xfId="0" applyAlignment="1" applyFont="1" applyNumberFormat="1">
      <alignment horizontal="right" vertical="bottom"/>
    </xf>
    <xf borderId="2" fillId="0" fontId="8" numFmtId="10" xfId="0" applyAlignment="1" applyBorder="1" applyFont="1" applyNumberFormat="1">
      <alignment horizontal="right" vertical="bottom"/>
    </xf>
    <xf borderId="0" fillId="8" fontId="3" numFmtId="0" xfId="0" applyFill="1" applyFont="1"/>
    <xf borderId="0" fillId="0" fontId="9" numFmtId="166" xfId="0" applyFont="1" applyNumberFormat="1"/>
    <xf borderId="0" fillId="0" fontId="3" numFmtId="170" xfId="0" applyFont="1" applyNumberFormat="1"/>
    <xf borderId="0" fillId="4" fontId="3" numFmtId="166" xfId="0" applyFont="1" applyNumberFormat="1"/>
    <xf borderId="0" fillId="4" fontId="3" numFmtId="165" xfId="0" applyFont="1" applyNumberFormat="1"/>
    <xf borderId="0" fillId="4" fontId="3" numFmtId="0" xfId="0" applyFont="1"/>
    <xf borderId="0" fillId="0" fontId="6" numFmtId="166" xfId="0" applyAlignment="1" applyFont="1" applyNumberFormat="1">
      <alignment horizontal="left"/>
    </xf>
    <xf borderId="0" fillId="0" fontId="6" numFmtId="0" xfId="0" applyFont="1"/>
    <xf borderId="0" fillId="0" fontId="6" numFmtId="0" xfId="0" applyAlignment="1" applyFont="1">
      <alignment horizontal="right"/>
    </xf>
    <xf borderId="0" fillId="0" fontId="8" numFmtId="0" xfId="0" applyAlignment="1" applyFont="1">
      <alignment horizontal="right" vertical="bottom"/>
    </xf>
    <xf borderId="0" fillId="0" fontId="8" numFmtId="0" xfId="0" applyAlignment="1" applyFont="1">
      <alignment vertical="bottom"/>
    </xf>
    <xf borderId="1" fillId="0" fontId="8" numFmtId="0" xfId="0" applyAlignment="1" applyBorder="1" applyFont="1">
      <alignment shrinkToFit="0" vertical="bottom" wrapText="0"/>
    </xf>
    <xf borderId="0" fillId="9" fontId="2" numFmtId="3" xfId="0" applyAlignment="1" applyFill="1" applyFont="1" applyNumberFormat="1">
      <alignment horizontal="right" vertical="bottom"/>
    </xf>
    <xf borderId="0" fillId="9" fontId="2" numFmtId="10" xfId="0" applyAlignment="1" applyFont="1" applyNumberFormat="1">
      <alignment vertical="bottom"/>
    </xf>
    <xf borderId="0" fillId="9" fontId="10" numFmtId="167" xfId="0" applyAlignment="1" applyFont="1" applyNumberFormat="1">
      <alignment horizontal="right" vertical="bottom"/>
    </xf>
    <xf borderId="0" fillId="0" fontId="2" numFmtId="166" xfId="0" applyAlignment="1" applyFont="1" applyNumberFormat="1">
      <alignment vertical="bottom"/>
    </xf>
    <xf borderId="0" fillId="10" fontId="2" numFmtId="3" xfId="0" applyAlignment="1" applyFill="1" applyFont="1" applyNumberFormat="1">
      <alignment horizontal="right" vertical="bottom"/>
    </xf>
    <xf borderId="0" fillId="10" fontId="2" numFmtId="10" xfId="0" applyAlignment="1" applyFont="1" applyNumberFormat="1">
      <alignment vertical="bottom"/>
    </xf>
    <xf borderId="0" fillId="10" fontId="2" numFmtId="10" xfId="0" applyAlignment="1" applyFont="1" applyNumberFormat="1">
      <alignment horizontal="right" vertical="bottom"/>
    </xf>
    <xf borderId="0" fillId="0" fontId="3" numFmtId="167" xfId="0" applyAlignment="1" applyFont="1" applyNumberFormat="1">
      <alignment horizontal="right"/>
    </xf>
    <xf borderId="0" fillId="0" fontId="3" numFmtId="4" xfId="0" applyAlignment="1" applyFont="1" applyNumberFormat="1">
      <alignment horizontal="right"/>
    </xf>
    <xf borderId="1" fillId="0" fontId="11" numFmtId="0" xfId="0" applyAlignment="1" applyBorder="1" applyFont="1">
      <alignment shrinkToFit="0" vertical="bottom" wrapText="0"/>
    </xf>
    <xf borderId="1" fillId="0" fontId="2" numFmtId="0" xfId="0" applyAlignment="1" applyBorder="1" applyFont="1">
      <alignment vertical="bottom"/>
    </xf>
    <xf borderId="0" fillId="2" fontId="4" numFmtId="168" xfId="0" applyAlignment="1" applyFont="1" applyNumberFormat="1">
      <alignment horizontal="right" shrinkToFit="0" vertical="bottom" wrapText="1"/>
    </xf>
    <xf borderId="0" fillId="4" fontId="2" numFmtId="164" xfId="0" applyAlignment="1" applyFont="1" applyNumberFormat="1">
      <alignment horizontal="right" shrinkToFit="0" vertical="bottom" wrapText="1"/>
    </xf>
    <xf borderId="0" fillId="0" fontId="3" numFmtId="165" xfId="0" applyFont="1" applyNumberFormat="1"/>
    <xf borderId="0" fillId="0" fontId="12" numFmtId="0" xfId="0" applyAlignment="1" applyFont="1">
      <alignment horizontal="left" readingOrder="0"/>
    </xf>
    <xf borderId="0" fillId="0" fontId="13" numFmtId="0" xfId="0" applyFont="1"/>
    <xf borderId="0" fillId="0" fontId="13" numFmtId="165" xfId="0" applyFont="1" applyNumberFormat="1"/>
    <xf borderId="0" fillId="0" fontId="13" numFmtId="0" xfId="0" applyFont="1"/>
    <xf borderId="0" fillId="0" fontId="3" numFmtId="171" xfId="0" applyFont="1" applyNumberFormat="1"/>
    <xf borderId="0" fillId="0" fontId="3" numFmtId="172" xfId="0" applyFont="1" applyNumberFormat="1"/>
    <xf borderId="0" fillId="0" fontId="3" numFmtId="173" xfId="0" applyFont="1" applyNumberFormat="1"/>
    <xf borderId="0" fillId="0" fontId="14" numFmtId="0" xfId="0" applyAlignment="1" applyFont="1">
      <alignment horizontal="right"/>
    </xf>
    <xf borderId="0" fillId="0" fontId="3" numFmtId="174" xfId="0" applyFont="1" applyNumberFormat="1"/>
    <xf borderId="0" fillId="0" fontId="3" numFmtId="175" xfId="0" applyFont="1" applyNumberFormat="1"/>
    <xf borderId="3" fillId="2" fontId="15" numFmtId="168" xfId="0" applyAlignment="1" applyBorder="1" applyFont="1" applyNumberFormat="1">
      <alignment horizontal="left" shrinkToFit="0" wrapText="1"/>
    </xf>
    <xf borderId="3" fillId="2" fontId="15" numFmtId="168" xfId="0" applyAlignment="1" applyBorder="1" applyFont="1" applyNumberFormat="1">
      <alignment horizontal="right" shrinkToFit="0" wrapText="1"/>
    </xf>
    <xf borderId="3" fillId="3" fontId="16" numFmtId="168" xfId="0" applyAlignment="1" applyBorder="1" applyFont="1" applyNumberFormat="1">
      <alignment horizontal="left" shrinkToFit="0" wrapText="1"/>
    </xf>
    <xf borderId="3" fillId="3" fontId="16" numFmtId="168" xfId="0" applyAlignment="1" applyBorder="1" applyFont="1" applyNumberFormat="1">
      <alignment horizontal="left" shrinkToFit="0" wrapText="1"/>
    </xf>
    <xf borderId="4" fillId="4" fontId="3" numFmtId="166" xfId="0" applyAlignment="1" applyBorder="1" applyFont="1" applyNumberFormat="1">
      <alignment horizontal="right" shrinkToFit="0" wrapText="1"/>
    </xf>
    <xf borderId="5" fillId="10" fontId="3" numFmtId="172" xfId="0" applyAlignment="1" applyBorder="1" applyFont="1" applyNumberFormat="1">
      <alignment horizontal="right" readingOrder="0" shrinkToFit="0" wrapText="1"/>
    </xf>
    <xf borderId="6" fillId="11" fontId="3" numFmtId="173" xfId="0" applyAlignment="1" applyBorder="1" applyFill="1" applyFont="1" applyNumberFormat="1">
      <alignment horizontal="right" readingOrder="0" shrinkToFit="0" wrapText="1"/>
    </xf>
    <xf borderId="7" fillId="11" fontId="3" numFmtId="173" xfId="0" applyAlignment="1" applyBorder="1" applyFont="1" applyNumberFormat="1">
      <alignment horizontal="right" shrinkToFit="0" wrapText="1"/>
    </xf>
    <xf borderId="0" fillId="12" fontId="6" numFmtId="166" xfId="0" applyFill="1" applyFont="1" applyNumberFormat="1"/>
    <xf borderId="0" fillId="0" fontId="3" numFmtId="176" xfId="0" applyFont="1" applyNumberFormat="1"/>
    <xf borderId="0" fillId="0" fontId="3" numFmtId="0" xfId="0" applyFont="1"/>
    <xf borderId="0" fillId="0" fontId="3" numFmtId="169" xfId="0" applyFont="1" applyNumberFormat="1"/>
    <xf borderId="0" fillId="0" fontId="3" numFmtId="49" xfId="0" applyFont="1" applyNumberFormat="1"/>
    <xf borderId="0" fillId="0" fontId="17" numFmtId="168" xfId="0" applyFont="1" applyNumberFormat="1"/>
    <xf borderId="0" fillId="0" fontId="3" numFmtId="0" xfId="0" applyAlignment="1" applyFont="1">
      <alignment horizontal="left" readingOrder="0"/>
    </xf>
    <xf borderId="0" fillId="0" fontId="18" numFmtId="49" xfId="0" applyFont="1" applyNumberFormat="1"/>
    <xf borderId="0" fillId="0" fontId="18" numFmtId="0" xfId="0" applyFont="1"/>
    <xf borderId="0" fillId="0" fontId="19" numFmtId="0" xfId="0" applyAlignment="1" applyFont="1">
      <alignment shrinkToFit="0" vertical="bottom" wrapText="0"/>
    </xf>
    <xf borderId="0" fillId="0" fontId="2" numFmtId="14" xfId="0" applyAlignment="1" applyFont="1" applyNumberFormat="1">
      <alignment horizontal="right" vertical="bottom"/>
    </xf>
    <xf borderId="0" fillId="0" fontId="2" numFmtId="0" xfId="0" applyAlignment="1" applyFont="1">
      <alignment shrinkToFit="0" vertical="bottom" wrapText="0"/>
    </xf>
    <xf borderId="0" fillId="0" fontId="2" numFmtId="0" xfId="0" applyAlignment="1" applyFont="1">
      <alignment horizontal="right" vertical="bottom"/>
    </xf>
    <xf borderId="0" fillId="6" fontId="20" numFmtId="177" xfId="0" applyAlignment="1" applyFont="1" applyNumberFormat="1">
      <alignment horizontal="right" vertical="bottom"/>
    </xf>
    <xf borderId="0" fillId="6" fontId="21" numFmtId="177" xfId="0" applyAlignment="1" applyFont="1" applyNumberFormat="1">
      <alignment vertical="bottom"/>
    </xf>
    <xf borderId="0" fillId="0" fontId="2" numFmtId="0" xfId="0" applyAlignment="1" applyFont="1">
      <alignment shrinkToFit="0" vertical="bottom" wrapText="1"/>
    </xf>
    <xf borderId="0" fillId="6" fontId="2" numFmtId="0" xfId="0" applyAlignment="1" applyFont="1">
      <alignment horizontal="right" shrinkToFit="0" vertical="bottom" wrapText="1"/>
    </xf>
    <xf borderId="0" fillId="6" fontId="22" numFmtId="0" xfId="0" applyAlignment="1" applyFont="1">
      <alignment horizontal="right" shrinkToFit="0" vertical="bottom" wrapText="1"/>
    </xf>
    <xf borderId="0" fillId="6" fontId="22" numFmtId="49" xfId="0" applyAlignment="1" applyFont="1" applyNumberFormat="1">
      <alignment horizontal="right" shrinkToFit="0" vertical="bottom" wrapText="1"/>
    </xf>
    <xf borderId="0" fillId="6" fontId="2" numFmtId="0" xfId="0" applyAlignment="1" applyFont="1">
      <alignment shrinkToFit="0" vertical="bottom" wrapText="1"/>
    </xf>
    <xf borderId="0" fillId="6" fontId="23" numFmtId="0" xfId="0" applyAlignment="1" applyFont="1">
      <alignment shrinkToFit="0" vertical="bottom" wrapText="1"/>
    </xf>
    <xf borderId="0" fillId="6" fontId="2" numFmtId="49" xfId="0" applyAlignment="1" applyFont="1" applyNumberFormat="1">
      <alignment shrinkToFit="0" vertical="bottom" wrapText="1"/>
    </xf>
    <xf borderId="0" fillId="0" fontId="3" numFmtId="0" xfId="0" applyAlignment="1" applyFont="1">
      <alignment shrinkToFit="0" wrapText="1"/>
    </xf>
    <xf borderId="0" fillId="0" fontId="3" numFmtId="178" xfId="0" applyFont="1" applyNumberFormat="1"/>
    <xf borderId="0" fillId="10" fontId="2" numFmtId="4" xfId="0" applyAlignment="1" applyFont="1" applyNumberFormat="1">
      <alignment horizontal="right" readingOrder="0" vertical="bottom"/>
    </xf>
    <xf borderId="0" fillId="10" fontId="2" numFmtId="4" xfId="0" applyAlignment="1" applyFont="1" applyNumberFormat="1">
      <alignment vertical="bottom"/>
    </xf>
    <xf borderId="0" fillId="13" fontId="2" numFmtId="4" xfId="0" applyAlignment="1" applyFill="1" applyFont="1" applyNumberFormat="1">
      <alignment vertical="bottom"/>
    </xf>
    <xf borderId="0" fillId="10" fontId="2" numFmtId="4" xfId="0" applyAlignment="1" applyFont="1" applyNumberFormat="1">
      <alignment horizontal="right" vertical="bottom"/>
    </xf>
    <xf borderId="0" fillId="0" fontId="24" numFmtId="0" xfId="0" applyAlignment="1" applyFont="1">
      <alignment horizontal="left"/>
    </xf>
    <xf borderId="0" fillId="0" fontId="3" numFmtId="0" xfId="0" applyAlignment="1" applyFont="1">
      <alignment horizontal="left"/>
    </xf>
    <xf borderId="0" fillId="0" fontId="3" numFmtId="0" xfId="0" applyAlignment="1" applyFont="1">
      <alignment shrinkToFit="0" wrapText="1"/>
    </xf>
    <xf borderId="0" fillId="14" fontId="6" numFmtId="0" xfId="0" applyAlignment="1" applyFill="1" applyFont="1">
      <alignment horizontal="left" shrinkToFit="0" wrapText="1"/>
    </xf>
    <xf borderId="0" fillId="14" fontId="6" numFmtId="165" xfId="0" applyAlignment="1" applyFont="1" applyNumberFormat="1">
      <alignment horizontal="left" shrinkToFit="0" wrapText="1"/>
    </xf>
    <xf borderId="0" fillId="14" fontId="6" numFmtId="0" xfId="0" applyAlignment="1" applyFont="1">
      <alignment shrinkToFit="0" wrapText="1"/>
    </xf>
    <xf borderId="0" fillId="14" fontId="6" numFmtId="0" xfId="0" applyAlignment="1" applyFont="1">
      <alignment horizontal="left" shrinkToFit="0" wrapText="1"/>
    </xf>
    <xf borderId="0" fillId="0" fontId="3" numFmtId="179" xfId="0" applyAlignment="1" applyFont="1" applyNumberFormat="1">
      <alignment horizontal="left"/>
    </xf>
    <xf borderId="0" fillId="0" fontId="3" numFmtId="49" xfId="0" applyAlignment="1" applyFont="1" applyNumberFormat="1">
      <alignment horizontal="left"/>
    </xf>
    <xf borderId="0" fillId="0" fontId="3" numFmtId="165" xfId="0" applyAlignment="1" applyFont="1" applyNumberFormat="1">
      <alignment horizontal="left"/>
    </xf>
    <xf borderId="0" fillId="0" fontId="18" numFmtId="49" xfId="0" applyAlignment="1" applyFont="1" applyNumberFormat="1">
      <alignment horizontal="left"/>
    </xf>
    <xf borderId="0" fillId="0" fontId="3" numFmtId="3" xfId="0" applyAlignment="1" applyFont="1" applyNumberFormat="1">
      <alignment horizontal="left"/>
    </xf>
    <xf borderId="0" fillId="0" fontId="25" numFmtId="0" xfId="0" applyAlignment="1" applyFont="1">
      <alignment horizontal="left"/>
    </xf>
    <xf borderId="0" fillId="0" fontId="3" numFmtId="4" xfId="0" applyAlignment="1" applyFont="1" applyNumberFormat="1">
      <alignment horizontal="left"/>
    </xf>
    <xf borderId="0" fillId="0" fontId="18" numFmtId="0" xfId="0" applyAlignment="1" applyFont="1">
      <alignment horizontal="left"/>
    </xf>
    <xf borderId="0" fillId="0" fontId="3" numFmtId="164" xfId="0" applyAlignment="1" applyFont="1" applyNumberFormat="1">
      <alignment horizontal="left"/>
    </xf>
    <xf borderId="0" fillId="0" fontId="24" numFmtId="0" xfId="0" applyFont="1"/>
    <xf borderId="0" fillId="15" fontId="26" numFmtId="0" xfId="0" applyAlignment="1" applyFill="1" applyFont="1">
      <alignment horizontal="left" shrinkToFit="0" wrapText="1"/>
    </xf>
    <xf borderId="0" fillId="15" fontId="26" numFmtId="0" xfId="0" applyAlignment="1" applyFont="1">
      <alignment shrinkToFit="0" wrapText="1"/>
    </xf>
    <xf borderId="0" fillId="16" fontId="26" numFmtId="0" xfId="0" applyAlignment="1" applyFill="1" applyFont="1">
      <alignment shrinkToFit="0" wrapText="1"/>
    </xf>
    <xf borderId="0" fillId="3" fontId="26" numFmtId="0" xfId="0" applyAlignment="1" applyFont="1">
      <alignment horizontal="left" shrinkToFit="0" wrapText="1"/>
    </xf>
    <xf borderId="0" fillId="17" fontId="26" numFmtId="0" xfId="0" applyAlignment="1" applyFill="1" applyFont="1">
      <alignment horizontal="left" shrinkToFit="0" wrapText="1"/>
    </xf>
    <xf borderId="0" fillId="7" fontId="26" numFmtId="0" xfId="0" applyAlignment="1" applyFont="1">
      <alignment horizontal="left" shrinkToFit="0" wrapText="1"/>
    </xf>
    <xf borderId="1" fillId="0" fontId="27" numFmtId="0" xfId="0" applyAlignment="1" applyBorder="1" applyFont="1">
      <alignment shrinkToFit="0" vertical="bottom" wrapText="0"/>
    </xf>
    <xf borderId="0" fillId="0" fontId="2" numFmtId="0" xfId="0" applyAlignment="1" applyFont="1">
      <alignment vertical="bottom"/>
    </xf>
    <xf borderId="0" fillId="18" fontId="28" numFmtId="176" xfId="0" applyAlignment="1" applyFill="1" applyFont="1" applyNumberFormat="1">
      <alignment horizontal="right" shrinkToFit="0" vertical="bottom" wrapText="1"/>
    </xf>
    <xf borderId="0" fillId="18" fontId="28" numFmtId="0" xfId="0" applyAlignment="1" applyFont="1">
      <alignment shrinkToFit="0" vertical="bottom" wrapText="1"/>
    </xf>
    <xf borderId="0" fillId="18" fontId="28" numFmtId="0" xfId="0" applyAlignment="1" applyFont="1">
      <alignment shrinkToFit="0" vertical="bottom" wrapText="1"/>
    </xf>
    <xf borderId="0" fillId="18" fontId="28" numFmtId="0" xfId="0" applyAlignment="1" applyFont="1">
      <alignment horizontal="right" shrinkToFit="0" vertical="bottom" wrapText="1"/>
    </xf>
    <xf borderId="0" fillId="18" fontId="28" numFmtId="168" xfId="0" applyAlignment="1" applyFont="1" applyNumberFormat="1">
      <alignment horizontal="right" shrinkToFit="0" vertical="bottom" wrapText="1"/>
    </xf>
    <xf borderId="0" fillId="18" fontId="28" numFmtId="0" xfId="0" applyAlignment="1" applyFont="1">
      <alignment horizontal="left" shrinkToFit="0" vertical="bottom" wrapText="1"/>
    </xf>
    <xf borderId="0" fillId="0" fontId="3" numFmtId="168" xfId="0" applyFont="1" applyNumberFormat="1"/>
    <xf borderId="0" fillId="0" fontId="3" numFmtId="180" xfId="0" applyFont="1" applyNumberFormat="1"/>
    <xf borderId="0" fillId="0" fontId="11" numFmtId="0" xfId="0" applyAlignment="1" applyFont="1">
      <alignment shrinkToFit="0" vertical="bottom" wrapText="0"/>
    </xf>
    <xf borderId="0" fillId="0" fontId="2" numFmtId="165" xfId="0" applyAlignment="1" applyFont="1" applyNumberFormat="1">
      <alignment vertical="bottom"/>
    </xf>
    <xf borderId="0" fillId="0" fontId="2" numFmtId="0" xfId="0" applyAlignment="1" applyFont="1">
      <alignment horizontal="left" vertical="bottom"/>
    </xf>
    <xf borderId="0" fillId="0" fontId="2" numFmtId="168" xfId="0" applyAlignment="1" applyFont="1" applyNumberFormat="1">
      <alignment horizontal="right" shrinkToFit="0" vertical="bottom" wrapText="0"/>
    </xf>
    <xf borderId="0" fillId="0" fontId="2" numFmtId="165" xfId="0" applyAlignment="1" applyFont="1" applyNumberFormat="1">
      <alignment horizontal="right" vertical="bottom"/>
    </xf>
    <xf borderId="0" fillId="0" fontId="2" numFmtId="166" xfId="0" applyAlignment="1" applyFont="1" applyNumberFormat="1">
      <alignment vertical="bottom"/>
    </xf>
    <xf borderId="0" fillId="0" fontId="2" numFmtId="3" xfId="0" applyAlignment="1" applyFont="1" applyNumberFormat="1">
      <alignment vertical="bottom"/>
    </xf>
    <xf borderId="0" fillId="0" fontId="2" numFmtId="168" xfId="0" applyAlignment="1" applyFont="1" applyNumberFormat="1">
      <alignment vertical="bottom"/>
    </xf>
    <xf borderId="0" fillId="0" fontId="2" numFmtId="168" xfId="0" applyAlignment="1" applyFont="1" applyNumberFormat="1">
      <alignment vertical="bottom"/>
    </xf>
    <xf borderId="0" fillId="0" fontId="2" numFmtId="168" xfId="0" applyAlignment="1" applyFont="1" applyNumberFormat="1">
      <alignment horizontal="left" vertical="bottom"/>
    </xf>
    <xf borderId="0" fillId="0" fontId="2" numFmtId="181" xfId="0" applyAlignment="1" applyFont="1" applyNumberFormat="1">
      <alignment vertical="bottom"/>
    </xf>
    <xf borderId="0" fillId="0" fontId="2" numFmtId="181" xfId="0" applyAlignment="1" applyFont="1" applyNumberFormat="1">
      <alignment horizontal="right" vertical="bottom"/>
    </xf>
    <xf borderId="0" fillId="2" fontId="4" numFmtId="168" xfId="0" applyAlignment="1" applyFont="1" applyNumberFormat="1">
      <alignment shrinkToFit="0" vertical="bottom" wrapText="1"/>
    </xf>
    <xf borderId="0" fillId="2" fontId="4" numFmtId="168" xfId="0" applyAlignment="1" applyFont="1" applyNumberFormat="1">
      <alignment shrinkToFit="0" vertical="bottom" wrapText="1"/>
    </xf>
    <xf borderId="0" fillId="3" fontId="5" numFmtId="168" xfId="0" applyAlignment="1" applyFont="1" applyNumberFormat="1">
      <alignment horizontal="left" shrinkToFit="0" vertical="bottom" wrapText="1"/>
    </xf>
    <xf borderId="0" fillId="3" fontId="5" numFmtId="168" xfId="0" applyAlignment="1" applyFont="1" applyNumberFormat="1">
      <alignment shrinkToFit="0" vertical="bottom" wrapText="1"/>
    </xf>
    <xf borderId="0" fillId="6" fontId="2" numFmtId="168" xfId="0" applyAlignment="1" applyFont="1" applyNumberFormat="1">
      <alignment horizontal="left" shrinkToFit="0" vertical="bottom" wrapText="1"/>
    </xf>
    <xf borderId="0" fillId="6" fontId="2" numFmtId="168" xfId="0" applyAlignment="1" applyFont="1" applyNumberFormat="1">
      <alignment horizontal="right" shrinkToFit="0" vertical="bottom" wrapText="1"/>
    </xf>
    <xf borderId="0" fillId="6" fontId="2" numFmtId="166" xfId="0" applyAlignment="1" applyFont="1" applyNumberFormat="1">
      <alignment horizontal="right" shrinkToFit="0" vertical="bottom" wrapText="1"/>
    </xf>
    <xf borderId="0" fillId="19" fontId="2" numFmtId="166" xfId="0" applyAlignment="1" applyFill="1" applyFont="1" applyNumberFormat="1">
      <alignment horizontal="right" shrinkToFit="0" vertical="bottom" wrapText="1"/>
    </xf>
    <xf borderId="0" fillId="20" fontId="2" numFmtId="164" xfId="0" applyAlignment="1" applyFill="1" applyFont="1" applyNumberFormat="1">
      <alignment horizontal="right" shrinkToFit="0" vertical="bottom" wrapText="1"/>
    </xf>
    <xf borderId="0" fillId="20" fontId="2" numFmtId="168" xfId="0" applyAlignment="1" applyFont="1" applyNumberFormat="1">
      <alignment horizontal="right" shrinkToFit="0" vertical="bottom" wrapText="1"/>
    </xf>
    <xf borderId="0" fillId="10" fontId="2" numFmtId="0" xfId="0" applyAlignment="1" applyFont="1">
      <alignment horizontal="right" shrinkToFit="0" vertical="bottom" wrapText="1"/>
    </xf>
    <xf borderId="0" fillId="12" fontId="2" numFmtId="168" xfId="0" applyAlignment="1" applyFont="1" applyNumberFormat="1">
      <alignment horizontal="right" shrinkToFit="0" vertical="bottom" wrapText="1"/>
    </xf>
    <xf borderId="0" fillId="3" fontId="5" numFmtId="3" xfId="0" applyAlignment="1" applyFont="1" applyNumberFormat="1">
      <alignment horizontal="right" shrinkToFit="0" vertical="bottom" wrapText="1"/>
    </xf>
    <xf borderId="0" fillId="0" fontId="2" numFmtId="167" xfId="0" applyAlignment="1" applyFont="1" applyNumberFormat="1">
      <alignment horizontal="right" shrinkToFit="0" vertical="bottom" wrapText="1"/>
    </xf>
    <xf borderId="0" fillId="8" fontId="2" numFmtId="168" xfId="0" applyAlignment="1" applyFont="1" applyNumberFormat="1">
      <alignment vertical="bottom"/>
    </xf>
    <xf borderId="0" fillId="10" fontId="2" numFmtId="3" xfId="0" applyAlignment="1" applyFont="1" applyNumberFormat="1">
      <alignment vertical="bottom"/>
    </xf>
    <xf borderId="0" fillId="0" fontId="2" numFmtId="3" xfId="0" applyAlignment="1" applyFont="1" applyNumberFormat="1">
      <alignment horizontal="right" vertical="bottom"/>
    </xf>
    <xf borderId="0" fillId="0" fontId="2" numFmtId="169" xfId="0" applyAlignment="1" applyFont="1" applyNumberFormat="1">
      <alignment horizontal="left" vertical="bottom"/>
    </xf>
    <xf borderId="0" fillId="0" fontId="2" numFmtId="182" xfId="0" applyAlignment="1" applyFont="1" applyNumberFormat="1">
      <alignment horizontal="right" vertical="bottom"/>
    </xf>
    <xf borderId="0" fillId="0" fontId="2" numFmtId="166" xfId="0" applyAlignment="1" applyFont="1" applyNumberFormat="1">
      <alignment horizontal="right" vertical="bottom"/>
    </xf>
    <xf borderId="0" fillId="0" fontId="2" numFmtId="168" xfId="0" applyAlignment="1" applyFont="1" applyNumberFormat="1">
      <alignment horizontal="right" vertical="bottom"/>
    </xf>
    <xf borderId="0" fillId="0" fontId="2" numFmtId="173" xfId="0" applyAlignment="1" applyFont="1" applyNumberFormat="1">
      <alignment vertical="bottom"/>
    </xf>
    <xf borderId="0" fillId="0" fontId="2" numFmtId="173" xfId="0" applyAlignment="1" applyFont="1" applyNumberFormat="1">
      <alignment horizontal="right" vertical="bottom"/>
    </xf>
    <xf borderId="0" fillId="8" fontId="2" numFmtId="168" xfId="0" applyAlignment="1" applyFont="1" applyNumberFormat="1">
      <alignment horizontal="right" vertical="bottom"/>
    </xf>
    <xf borderId="0" fillId="0" fontId="2" numFmtId="49" xfId="0" applyAlignment="1" applyFont="1" applyNumberFormat="1">
      <alignment vertical="bottom"/>
    </xf>
    <xf borderId="0" fillId="0" fontId="2" numFmtId="168" xfId="0" applyAlignment="1" applyFont="1" applyNumberFormat="1">
      <alignment horizontal="right" vertical="bottom"/>
    </xf>
    <xf borderId="0" fillId="0" fontId="29" numFmtId="164" xfId="0" applyAlignment="1" applyFont="1" applyNumberFormat="1">
      <alignment vertical="bottom"/>
    </xf>
    <xf borderId="0" fillId="0" fontId="10" numFmtId="168" xfId="0" applyAlignment="1" applyFont="1" applyNumberFormat="1">
      <alignment horizontal="right" vertical="bottom"/>
    </xf>
    <xf borderId="0" fillId="0" fontId="10" numFmtId="168" xfId="0" applyAlignment="1" applyFont="1" applyNumberFormat="1">
      <alignment horizontal="right" vertical="bottom"/>
    </xf>
    <xf borderId="0" fillId="8" fontId="10" numFmtId="168" xfId="0" applyAlignment="1" applyFont="1" applyNumberFormat="1">
      <alignment horizontal="right" vertical="bottom"/>
    </xf>
    <xf borderId="0" fillId="0" fontId="2" numFmtId="167" xfId="0" applyAlignment="1" applyFont="1" applyNumberFormat="1">
      <alignment horizontal="right" vertical="bottom"/>
    </xf>
    <xf borderId="0" fillId="0" fontId="30" numFmtId="164" xfId="0" applyAlignment="1" applyFont="1" applyNumberFormat="1">
      <alignment vertical="bottom"/>
    </xf>
    <xf borderId="0" fillId="0" fontId="23" numFmtId="49" xfId="0" applyAlignment="1" applyFont="1" applyNumberFormat="1">
      <alignment vertical="bottom"/>
    </xf>
    <xf borderId="0" fillId="0" fontId="10" numFmtId="167" xfId="0" applyAlignment="1" applyFont="1" applyNumberFormat="1">
      <alignment horizontal="right" vertical="bottom"/>
    </xf>
    <xf borderId="0" fillId="0" fontId="23" numFmtId="0" xfId="0" applyAlignment="1" applyFont="1">
      <alignment vertical="bottom"/>
    </xf>
    <xf borderId="0" fillId="0" fontId="22" numFmtId="0" xfId="0" applyAlignment="1" applyFont="1">
      <alignment vertical="bottom"/>
    </xf>
    <xf borderId="0" fillId="0" fontId="22" numFmtId="49" xfId="0" applyAlignment="1" applyFont="1" applyNumberFormat="1">
      <alignment vertical="bottom"/>
    </xf>
    <xf borderId="0" fillId="0" fontId="3" numFmtId="169" xfId="0" applyAlignment="1" applyFont="1" applyNumberFormat="1">
      <alignment horizontal="left"/>
    </xf>
    <xf borderId="0" fillId="0" fontId="3" numFmtId="182" xfId="0" applyFont="1" applyNumberFormat="1"/>
    <xf borderId="0" fillId="0" fontId="31" numFmtId="164" xfId="0" applyFont="1" applyNumberFormat="1"/>
    <xf borderId="0" fillId="0" fontId="3" numFmtId="0" xfId="0" applyAlignment="1" applyFont="1">
      <alignment readingOrder="0"/>
    </xf>
  </cellXfs>
  <cellStyles count="1">
    <cellStyle xfId="0" name="Normal" builtinId="0"/>
  </cellStyles>
  <dxfs count="14">
    <dxf>
      <font>
        <b/>
      </font>
      <fill>
        <patternFill patternType="solid">
          <fgColor rgb="FFB6D7A8"/>
          <bgColor rgb="FFB6D7A8"/>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9CB9C"/>
          <bgColor rgb="FFF9CB9C"/>
        </patternFill>
      </fill>
      <border/>
    </dxf>
    <dxf>
      <font/>
      <fill>
        <patternFill patternType="solid">
          <fgColor rgb="FF6FA8DC"/>
          <bgColor rgb="FF6FA8DC"/>
        </patternFill>
      </fill>
      <border/>
    </dxf>
    <dxf>
      <font>
        <color rgb="FFFFFFFF"/>
      </font>
      <fill>
        <patternFill patternType="solid">
          <fgColor rgb="FFFF00FF"/>
          <bgColor rgb="FFFF00FF"/>
        </patternFill>
      </fill>
      <border/>
    </dxf>
    <dxf>
      <font/>
      <fill>
        <patternFill patternType="solid">
          <fgColor rgb="FFEA9999"/>
          <bgColor rgb="FFEA9999"/>
        </patternFill>
      </fill>
      <border/>
    </dxf>
    <dxf>
      <font>
        <color rgb="FFFFFFFF"/>
      </font>
      <fill>
        <patternFill patternType="solid">
          <fgColor rgb="FFEA9999"/>
          <bgColor rgb="FFEA9999"/>
        </patternFill>
      </fill>
      <border/>
    </dxf>
    <dxf>
      <font>
        <color rgb="FFFFFF00"/>
      </font>
      <fill>
        <patternFill patternType="solid">
          <fgColor rgb="FFFF0000"/>
          <bgColor rgb="FFFF0000"/>
        </patternFill>
      </fill>
      <border/>
    </dxf>
    <dxf>
      <font/>
      <fill>
        <patternFill patternType="solid">
          <fgColor rgb="FFCCCCCC"/>
          <bgColor rgb="FFCCCCCC"/>
        </patternFill>
      </fill>
      <border/>
    </dxf>
    <dxf>
      <font/>
      <fill>
        <patternFill patternType="solid">
          <fgColor rgb="FFEFEFEF"/>
          <bgColor rgb="FFEFEFEF"/>
        </patternFill>
      </fill>
      <border/>
    </dxf>
    <dxf>
      <font/>
      <fill>
        <patternFill patternType="solid">
          <fgColor rgb="FF93C47D"/>
          <bgColor rgb="FF93C47D"/>
        </patternFill>
      </fill>
      <border/>
    </dxf>
    <dxf>
      <font/>
      <fill>
        <patternFill patternType="solid">
          <fgColor rgb="FFEAD1DC"/>
          <bgColor rgb="FFEAD1DC"/>
        </patternFill>
      </fill>
      <border/>
    </dxf>
    <dxf>
      <font>
        <color rgb="FFFFFFFF"/>
      </font>
      <fill>
        <patternFill patternType="solid">
          <fgColor rgb="FFDD7E6B"/>
          <bgColor rgb="FFDD7E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2MIyFB1-1iDMDfXsVNQjGv_J2pj5uGVEtQBWF2IfTg/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1109.hk" TargetMode="External"/><Relationship Id="rId194" Type="http://schemas.openxmlformats.org/officeDocument/2006/relationships/hyperlink" Target="https://finance.yahoo.com/quote/AAPL/?p=AAPL" TargetMode="External"/><Relationship Id="rId193" Type="http://schemas.openxmlformats.org/officeDocument/2006/relationships/hyperlink" Target="https://finance.yahoo.com/quote/1109.HK/?p=1109.HK" TargetMode="External"/><Relationship Id="rId192" Type="http://schemas.openxmlformats.org/officeDocument/2006/relationships/hyperlink" Target="http://1109.hk" TargetMode="External"/><Relationship Id="rId191" Type="http://schemas.openxmlformats.org/officeDocument/2006/relationships/hyperlink" Target="https://finance.yahoo.com/quote/1109.HK/?p=1109.HK" TargetMode="External"/><Relationship Id="rId187" Type="http://schemas.openxmlformats.org/officeDocument/2006/relationships/hyperlink" Target="https://finance.yahoo.com/quote/9939.HK/?p=9939.HK" TargetMode="External"/><Relationship Id="rId186" Type="http://schemas.openxmlformats.org/officeDocument/2006/relationships/hyperlink" Target="http://9939.hk" TargetMode="External"/><Relationship Id="rId185" Type="http://schemas.openxmlformats.org/officeDocument/2006/relationships/hyperlink" Target="https://finance.yahoo.com/quote/MSFT/?p=MSFT" TargetMode="External"/><Relationship Id="rId184" Type="http://schemas.openxmlformats.org/officeDocument/2006/relationships/hyperlink" Target="https://finance.yahoo.com/quote/MSFT/?p=MSFT" TargetMode="External"/><Relationship Id="rId189" Type="http://schemas.openxmlformats.org/officeDocument/2006/relationships/hyperlink" Target="https://finance.yahoo.com/quote/BILI/?p=BILI" TargetMode="External"/><Relationship Id="rId188" Type="http://schemas.openxmlformats.org/officeDocument/2006/relationships/hyperlink" Target="https://finance.yahoo.com/quote/AAPL/?p=AAPL" TargetMode="External"/><Relationship Id="rId183" Type="http://schemas.openxmlformats.org/officeDocument/2006/relationships/hyperlink" Target="https://finance.yahoo.com/quote/GOLD/?p=GOLD" TargetMode="External"/><Relationship Id="rId182" Type="http://schemas.openxmlformats.org/officeDocument/2006/relationships/hyperlink" Target="https://finance.yahoo.com/quote/TSLA/?p=TSLA" TargetMode="External"/><Relationship Id="rId181" Type="http://schemas.openxmlformats.org/officeDocument/2006/relationships/hyperlink" Target="https://finance.yahoo.com/quote/ANPDY/?p=ANPDY" TargetMode="External"/><Relationship Id="rId180" Type="http://schemas.openxmlformats.org/officeDocument/2006/relationships/hyperlink" Target="https://finance.yahoo.com/quote/TSLA/?p=TSLA" TargetMode="External"/><Relationship Id="rId176" Type="http://schemas.openxmlformats.org/officeDocument/2006/relationships/hyperlink" Target="https://finance.yahoo.com/quote/TSLA/?p=TSLA" TargetMode="External"/><Relationship Id="rId175" Type="http://schemas.openxmlformats.org/officeDocument/2006/relationships/hyperlink" Target="https://finance.yahoo.com/quote/TSLA/?p=TSLA" TargetMode="External"/><Relationship Id="rId174" Type="http://schemas.openxmlformats.org/officeDocument/2006/relationships/hyperlink" Target="https://finance.yahoo.com/quote/TME/?p=TME" TargetMode="External"/><Relationship Id="rId173" Type="http://schemas.openxmlformats.org/officeDocument/2006/relationships/hyperlink" Target="https://finance.yahoo.com/quote/DVN/?p=DVN" TargetMode="External"/><Relationship Id="rId179" Type="http://schemas.openxmlformats.org/officeDocument/2006/relationships/hyperlink" Target="https://finance.yahoo.com/quote/GOLD/?p=GOLD" TargetMode="External"/><Relationship Id="rId178" Type="http://schemas.openxmlformats.org/officeDocument/2006/relationships/hyperlink" Target="https://finance.yahoo.com/quote/GOLD/?p=GOLD" TargetMode="External"/><Relationship Id="rId177" Type="http://schemas.openxmlformats.org/officeDocument/2006/relationships/hyperlink" Target="https://finance.yahoo.com/quote/ANPDY/?p=ANPDY" TargetMode="External"/><Relationship Id="rId198" Type="http://schemas.openxmlformats.org/officeDocument/2006/relationships/hyperlink" Target="http://0700.hk" TargetMode="External"/><Relationship Id="rId197" Type="http://schemas.openxmlformats.org/officeDocument/2006/relationships/hyperlink" Target="https://finance.yahoo.com/quote/9988.HK/?p=9988.HK" TargetMode="External"/><Relationship Id="rId196" Type="http://schemas.openxmlformats.org/officeDocument/2006/relationships/hyperlink" Target="http://9988.hk" TargetMode="External"/><Relationship Id="rId195" Type="http://schemas.openxmlformats.org/officeDocument/2006/relationships/hyperlink" Target="https://finance.yahoo.com/quote/NDAQ/?p=NDAQ" TargetMode="External"/><Relationship Id="rId199" Type="http://schemas.openxmlformats.org/officeDocument/2006/relationships/hyperlink" Target="https://finance.yahoo.com/quote/0700.hk/?p=0700.hk" TargetMode="External"/><Relationship Id="rId150" Type="http://schemas.openxmlformats.org/officeDocument/2006/relationships/hyperlink" Target="https://finance.yahoo.com/quote/603051.SS/?p=603051.SS" TargetMode="External"/><Relationship Id="rId392" Type="http://schemas.openxmlformats.org/officeDocument/2006/relationships/hyperlink" Target="https://finance.yahoo.com/quote/BZ=F/?p=BZ=F" TargetMode="External"/><Relationship Id="rId391" Type="http://schemas.openxmlformats.org/officeDocument/2006/relationships/hyperlink" Target="https://finance.yahoo.com/quote/AAPL/?p=AAPL" TargetMode="External"/><Relationship Id="rId390" Type="http://schemas.openxmlformats.org/officeDocument/2006/relationships/hyperlink" Target="https://finance.yahoo.com/quote/TSLA/?p=TSLA" TargetMode="External"/><Relationship Id="rId1" Type="http://schemas.openxmlformats.org/officeDocument/2006/relationships/hyperlink" Target="https://finance.yahoo.com/quote/AAPL/?p=AAPL" TargetMode="External"/><Relationship Id="rId2" Type="http://schemas.openxmlformats.org/officeDocument/2006/relationships/hyperlink" Target="https://finance.yahoo.com/quote/TSLA/?p=TSLA" TargetMode="External"/><Relationship Id="rId3" Type="http://schemas.openxmlformats.org/officeDocument/2006/relationships/hyperlink" Target="https://finance.yahoo.com/quote/TSLA/?p=TSLA" TargetMode="External"/><Relationship Id="rId149" Type="http://schemas.openxmlformats.org/officeDocument/2006/relationships/hyperlink" Target="http://603051.ss" TargetMode="External"/><Relationship Id="rId4" Type="http://schemas.openxmlformats.org/officeDocument/2006/relationships/hyperlink" Target="https://finance.yahoo.com/quote/GC=F/?p=GC=F" TargetMode="External"/><Relationship Id="rId148" Type="http://schemas.openxmlformats.org/officeDocument/2006/relationships/hyperlink" Target="https://finance.yahoo.com/quote/603051.SS/?p=603051.SS" TargetMode="External"/><Relationship Id="rId1090" Type="http://schemas.openxmlformats.org/officeDocument/2006/relationships/hyperlink" Target="https://finance.yahoo.com/quote/NVDA/?p=NVDA" TargetMode="External"/><Relationship Id="rId1091" Type="http://schemas.openxmlformats.org/officeDocument/2006/relationships/hyperlink" Target="https://finance.yahoo.com/quote/ISPO/?p=ISPO" TargetMode="External"/><Relationship Id="rId1092" Type="http://schemas.openxmlformats.org/officeDocument/2006/relationships/hyperlink" Target="https://finance.yahoo.com/quote/GOOGL/?p=GOOGL" TargetMode="External"/><Relationship Id="rId1093" Type="http://schemas.openxmlformats.org/officeDocument/2006/relationships/hyperlink" Target="https://finance.yahoo.com/quote/MSFT/?p=MSFT" TargetMode="External"/><Relationship Id="rId1094" Type="http://schemas.openxmlformats.org/officeDocument/2006/relationships/hyperlink" Target="https://finance.yahoo.com/quote/MSFT/?p=MSFT" TargetMode="External"/><Relationship Id="rId9" Type="http://schemas.openxmlformats.org/officeDocument/2006/relationships/hyperlink" Target="https://finance.yahoo.com/quote/AMZN/?p=AMZN" TargetMode="External"/><Relationship Id="rId143" Type="http://schemas.openxmlformats.org/officeDocument/2006/relationships/hyperlink" Target="http://000545.sz" TargetMode="External"/><Relationship Id="rId385" Type="http://schemas.openxmlformats.org/officeDocument/2006/relationships/hyperlink" Target="https://finance.yahoo.com/quote/603392.SS/?p=603392.SS" TargetMode="External"/><Relationship Id="rId1095" Type="http://schemas.openxmlformats.org/officeDocument/2006/relationships/hyperlink" Target="https://finance.yahoo.com/quote/MSFT/?p=MSFT" TargetMode="External"/><Relationship Id="rId142" Type="http://schemas.openxmlformats.org/officeDocument/2006/relationships/hyperlink" Target="https://finance.yahoo.com/quote/603261.SS/?p=603261.SS" TargetMode="External"/><Relationship Id="rId384" Type="http://schemas.openxmlformats.org/officeDocument/2006/relationships/hyperlink" Target="http://603392.ss" TargetMode="External"/><Relationship Id="rId1096" Type="http://schemas.openxmlformats.org/officeDocument/2006/relationships/hyperlink" Target="http://1398.hk" TargetMode="External"/><Relationship Id="rId141" Type="http://schemas.openxmlformats.org/officeDocument/2006/relationships/hyperlink" Target="http://603261.ss" TargetMode="External"/><Relationship Id="rId383" Type="http://schemas.openxmlformats.org/officeDocument/2006/relationships/hyperlink" Target="https://finance.yahoo.com/quote/600511.SS/?p=600511.SS" TargetMode="External"/><Relationship Id="rId1097" Type="http://schemas.openxmlformats.org/officeDocument/2006/relationships/hyperlink" Target="https://finance.yahoo.com/quote/1398.HK/?p=1398.HK" TargetMode="External"/><Relationship Id="rId140" Type="http://schemas.openxmlformats.org/officeDocument/2006/relationships/hyperlink" Target="https://finance.yahoo.com/quote/000545.SZ/?p=000545.SZ" TargetMode="External"/><Relationship Id="rId382" Type="http://schemas.openxmlformats.org/officeDocument/2006/relationships/hyperlink" Target="http://600511.ss" TargetMode="External"/><Relationship Id="rId1098" Type="http://schemas.openxmlformats.org/officeDocument/2006/relationships/hyperlink" Target="https://finance.yahoo.com/quote/NET/?p=NET" TargetMode="External"/><Relationship Id="rId5" Type="http://schemas.openxmlformats.org/officeDocument/2006/relationships/hyperlink" Target="https://finance.yahoo.com/quote/CL=F/?p=CL=F" TargetMode="External"/><Relationship Id="rId147" Type="http://schemas.openxmlformats.org/officeDocument/2006/relationships/hyperlink" Target="http://603051.ss" TargetMode="External"/><Relationship Id="rId389" Type="http://schemas.openxmlformats.org/officeDocument/2006/relationships/hyperlink" Target="https://finance.yahoo.com/quote/002104.SZ/?p=002104.SZ" TargetMode="External"/><Relationship Id="rId1099" Type="http://schemas.openxmlformats.org/officeDocument/2006/relationships/hyperlink" Target="https://finance.yahoo.com/quote/AMAT/?p=AMAT" TargetMode="External"/><Relationship Id="rId6" Type="http://schemas.openxmlformats.org/officeDocument/2006/relationships/hyperlink" Target="https://finance.yahoo.com/quote/SI=F/?p=SI=F" TargetMode="External"/><Relationship Id="rId146" Type="http://schemas.openxmlformats.org/officeDocument/2006/relationships/hyperlink" Target="https://finance.yahoo.com/quote/603051.SS/?p=603051.SS" TargetMode="External"/><Relationship Id="rId388" Type="http://schemas.openxmlformats.org/officeDocument/2006/relationships/hyperlink" Target="http://002104.sz" TargetMode="External"/><Relationship Id="rId7" Type="http://schemas.openxmlformats.org/officeDocument/2006/relationships/hyperlink" Target="https://finance.yahoo.com/quote/AAPL/?p=AAPL" TargetMode="External"/><Relationship Id="rId145" Type="http://schemas.openxmlformats.org/officeDocument/2006/relationships/hyperlink" Target="http://603051.ss" TargetMode="External"/><Relationship Id="rId387" Type="http://schemas.openxmlformats.org/officeDocument/2006/relationships/hyperlink" Target="https://finance.yahoo.com/quote/NZRO/?p=NZRO" TargetMode="External"/><Relationship Id="rId8" Type="http://schemas.openxmlformats.org/officeDocument/2006/relationships/hyperlink" Target="https://finance.yahoo.com/quote/ABBV/?p=ABBV" TargetMode="External"/><Relationship Id="rId144" Type="http://schemas.openxmlformats.org/officeDocument/2006/relationships/hyperlink" Target="https://finance.yahoo.com/quote/000545.SZ/?p=000545.SZ" TargetMode="External"/><Relationship Id="rId386" Type="http://schemas.openxmlformats.org/officeDocument/2006/relationships/hyperlink" Target="https://finance.yahoo.com/quote/BA/?p=BA" TargetMode="External"/><Relationship Id="rId381" Type="http://schemas.openxmlformats.org/officeDocument/2006/relationships/hyperlink" Target="https://finance.yahoo.com/quote/BA/?p=BA" TargetMode="External"/><Relationship Id="rId380" Type="http://schemas.openxmlformats.org/officeDocument/2006/relationships/hyperlink" Target="https://finance.yahoo.com/quote/603392.SS/?p=603392.SS" TargetMode="External"/><Relationship Id="rId139" Type="http://schemas.openxmlformats.org/officeDocument/2006/relationships/hyperlink" Target="http://000545.sz" TargetMode="External"/><Relationship Id="rId138" Type="http://schemas.openxmlformats.org/officeDocument/2006/relationships/hyperlink" Target="https://finance.yahoo.com/quote/2607.hk/?p=2607.hk" TargetMode="External"/><Relationship Id="rId137" Type="http://schemas.openxmlformats.org/officeDocument/2006/relationships/hyperlink" Target="http://2607.hk" TargetMode="External"/><Relationship Id="rId379" Type="http://schemas.openxmlformats.org/officeDocument/2006/relationships/hyperlink" Target="http://603392.ss" TargetMode="External"/><Relationship Id="rId1080" Type="http://schemas.openxmlformats.org/officeDocument/2006/relationships/hyperlink" Target="http://688076.ss" TargetMode="External"/><Relationship Id="rId1081" Type="http://schemas.openxmlformats.org/officeDocument/2006/relationships/hyperlink" Target="https://finance.yahoo.com/quote/688076.SS/?p=688076.SS" TargetMode="External"/><Relationship Id="rId1082" Type="http://schemas.openxmlformats.org/officeDocument/2006/relationships/hyperlink" Target="http://0700.hk" TargetMode="External"/><Relationship Id="rId1083" Type="http://schemas.openxmlformats.org/officeDocument/2006/relationships/hyperlink" Target="https://finance.yahoo.com/quote/0700.HK/?p=0700.HK" TargetMode="External"/><Relationship Id="rId132" Type="http://schemas.openxmlformats.org/officeDocument/2006/relationships/hyperlink" Target="https://finance.yahoo.com/quote/002864.SZ/?p=002864.SZ" TargetMode="External"/><Relationship Id="rId374" Type="http://schemas.openxmlformats.org/officeDocument/2006/relationships/hyperlink" Target="https://finance.yahoo.com/quote/600511.SS/?p=600511.SS" TargetMode="External"/><Relationship Id="rId1084" Type="http://schemas.openxmlformats.org/officeDocument/2006/relationships/hyperlink" Target="http://603963.ss" TargetMode="External"/><Relationship Id="rId131" Type="http://schemas.openxmlformats.org/officeDocument/2006/relationships/hyperlink" Target="http://002864.sz" TargetMode="External"/><Relationship Id="rId373" Type="http://schemas.openxmlformats.org/officeDocument/2006/relationships/hyperlink" Target="http://600511.ss" TargetMode="External"/><Relationship Id="rId1085" Type="http://schemas.openxmlformats.org/officeDocument/2006/relationships/hyperlink" Target="https://finance.yahoo.com/quote/603963.SS/?p=603963.SS" TargetMode="External"/><Relationship Id="rId130" Type="http://schemas.openxmlformats.org/officeDocument/2006/relationships/hyperlink" Target="https://finance.yahoo.com/quote/2607.hk/?p=2607.hk" TargetMode="External"/><Relationship Id="rId372" Type="http://schemas.openxmlformats.org/officeDocument/2006/relationships/hyperlink" Target="https://finance.yahoo.com/quote/002104.SZ/?p=002104.SZ" TargetMode="External"/><Relationship Id="rId1086" Type="http://schemas.openxmlformats.org/officeDocument/2006/relationships/hyperlink" Target="http://9988.hk" TargetMode="External"/><Relationship Id="rId371" Type="http://schemas.openxmlformats.org/officeDocument/2006/relationships/hyperlink" Target="http://002104.sz" TargetMode="External"/><Relationship Id="rId1087" Type="http://schemas.openxmlformats.org/officeDocument/2006/relationships/hyperlink" Target="https://finance.yahoo.com/quote/9988.HK/?p=9988.HK" TargetMode="External"/><Relationship Id="rId136" Type="http://schemas.openxmlformats.org/officeDocument/2006/relationships/hyperlink" Target="https://finance.yahoo.com/quote/2328.hk/?p=2328.hk" TargetMode="External"/><Relationship Id="rId378" Type="http://schemas.openxmlformats.org/officeDocument/2006/relationships/hyperlink" Target="https://finance.yahoo.com/quote/PFE/?p=PFE" TargetMode="External"/><Relationship Id="rId1088" Type="http://schemas.openxmlformats.org/officeDocument/2006/relationships/hyperlink" Target="https://finance.yahoo.com/quote/TSLA/?p=TSLA" TargetMode="External"/><Relationship Id="rId135" Type="http://schemas.openxmlformats.org/officeDocument/2006/relationships/hyperlink" Target="http://2328.hk" TargetMode="External"/><Relationship Id="rId377" Type="http://schemas.openxmlformats.org/officeDocument/2006/relationships/hyperlink" Target="https://finance.yahoo.com/quote/FWONK/?p=FWONK" TargetMode="External"/><Relationship Id="rId1089" Type="http://schemas.openxmlformats.org/officeDocument/2006/relationships/hyperlink" Target="https://finance.yahoo.com/quote/MSFT/?p=MSFT" TargetMode="External"/><Relationship Id="rId134" Type="http://schemas.openxmlformats.org/officeDocument/2006/relationships/hyperlink" Target="https://finance.yahoo.com/quote/2318.hk/?p=2318.hk" TargetMode="External"/><Relationship Id="rId376" Type="http://schemas.openxmlformats.org/officeDocument/2006/relationships/hyperlink" Target="https://finance.yahoo.com/quote/603392.SS/?p=603392.SS" TargetMode="External"/><Relationship Id="rId133" Type="http://schemas.openxmlformats.org/officeDocument/2006/relationships/hyperlink" Target="http://2318.hk" TargetMode="External"/><Relationship Id="rId375" Type="http://schemas.openxmlformats.org/officeDocument/2006/relationships/hyperlink" Target="http://603392.ss" TargetMode="External"/><Relationship Id="rId172" Type="http://schemas.openxmlformats.org/officeDocument/2006/relationships/hyperlink" Target="https://finance.yahoo.com/quote/MF/?p=MF" TargetMode="External"/><Relationship Id="rId171" Type="http://schemas.openxmlformats.org/officeDocument/2006/relationships/hyperlink" Target="https://finance.yahoo.com/quote/ADN/?p=ADN" TargetMode="External"/><Relationship Id="rId170" Type="http://schemas.openxmlformats.org/officeDocument/2006/relationships/hyperlink" Target="https://finance.yahoo.com/quote/DVN/?p=DVN" TargetMode="External"/><Relationship Id="rId165" Type="http://schemas.openxmlformats.org/officeDocument/2006/relationships/hyperlink" Target="https://finance.yahoo.com/quote/0388.HK/?p=0388.HK" TargetMode="External"/><Relationship Id="rId164" Type="http://schemas.openxmlformats.org/officeDocument/2006/relationships/hyperlink" Target="http://0388.hk" TargetMode="External"/><Relationship Id="rId163" Type="http://schemas.openxmlformats.org/officeDocument/2006/relationships/hyperlink" Target="https://finance.yahoo.com/quote/NUSI/?p=NUSI" TargetMode="External"/><Relationship Id="rId162" Type="http://schemas.openxmlformats.org/officeDocument/2006/relationships/hyperlink" Target="https://finance.yahoo.com/quote/FB/?p=FB" TargetMode="External"/><Relationship Id="rId169" Type="http://schemas.openxmlformats.org/officeDocument/2006/relationships/hyperlink" Target="https://finance.yahoo.com/quote/CL=F/?p=CL=F" TargetMode="External"/><Relationship Id="rId168" Type="http://schemas.openxmlformats.org/officeDocument/2006/relationships/hyperlink" Target="https://finance.yahoo.com/quote/BNTX/?p=BNTX" TargetMode="External"/><Relationship Id="rId167" Type="http://schemas.openxmlformats.org/officeDocument/2006/relationships/hyperlink" Target="https://finance.yahoo.com/quote/TME/?p=TME" TargetMode="External"/><Relationship Id="rId166" Type="http://schemas.openxmlformats.org/officeDocument/2006/relationships/hyperlink" Target="https://finance.yahoo.com/quote/BNTX/?p=BNTX" TargetMode="External"/><Relationship Id="rId161" Type="http://schemas.openxmlformats.org/officeDocument/2006/relationships/hyperlink" Target="https://finance.yahoo.com/quote/BMBL/?p=BMBL" TargetMode="External"/><Relationship Id="rId160" Type="http://schemas.openxmlformats.org/officeDocument/2006/relationships/hyperlink" Target="https://finance.yahoo.com/quote/FB/?p=FB" TargetMode="External"/><Relationship Id="rId159" Type="http://schemas.openxmlformats.org/officeDocument/2006/relationships/hyperlink" Target="https://www.bondsupermart.com/bsm/general-search/XS1637274124" TargetMode="External"/><Relationship Id="rId154" Type="http://schemas.openxmlformats.org/officeDocument/2006/relationships/hyperlink" Target="https://finance.yahoo.com/quote/TSLA/?p=TSLA" TargetMode="External"/><Relationship Id="rId396" Type="http://schemas.openxmlformats.org/officeDocument/2006/relationships/hyperlink" Target="http://1398.hk" TargetMode="External"/><Relationship Id="rId153" Type="http://schemas.openxmlformats.org/officeDocument/2006/relationships/hyperlink" Target="https://finance.yahoo.com/quote/CL=F/?p=CL=F" TargetMode="External"/><Relationship Id="rId395" Type="http://schemas.openxmlformats.org/officeDocument/2006/relationships/hyperlink" Target="https://finance.yahoo.com/quote/JPM/?p=JPM" TargetMode="External"/><Relationship Id="rId152" Type="http://schemas.openxmlformats.org/officeDocument/2006/relationships/hyperlink" Target="https://finance.yahoo.com/quote/0700.HK/?p=0700.HK" TargetMode="External"/><Relationship Id="rId394" Type="http://schemas.openxmlformats.org/officeDocument/2006/relationships/hyperlink" Target="https://finance.yahoo.com/quote/3988.HK/?p=3988.HK" TargetMode="External"/><Relationship Id="rId151" Type="http://schemas.openxmlformats.org/officeDocument/2006/relationships/hyperlink" Target="http://0700.hk" TargetMode="External"/><Relationship Id="rId393" Type="http://schemas.openxmlformats.org/officeDocument/2006/relationships/hyperlink" Target="http://3988.hk" TargetMode="External"/><Relationship Id="rId158" Type="http://schemas.openxmlformats.org/officeDocument/2006/relationships/hyperlink" Target="https://finance.yahoo.com/quote/TSLA/?p=TSLA" TargetMode="External"/><Relationship Id="rId157" Type="http://schemas.openxmlformats.org/officeDocument/2006/relationships/hyperlink" Target="https://finance.yahoo.com/quote/0700.HK/?p=0700.HK" TargetMode="External"/><Relationship Id="rId399" Type="http://schemas.openxmlformats.org/officeDocument/2006/relationships/hyperlink" Target="https://finance.yahoo.com/quote/BZ=F/?p=BZ=F" TargetMode="External"/><Relationship Id="rId156" Type="http://schemas.openxmlformats.org/officeDocument/2006/relationships/hyperlink" Target="http://0700.hk" TargetMode="External"/><Relationship Id="rId398" Type="http://schemas.openxmlformats.org/officeDocument/2006/relationships/hyperlink" Target="https://finance.yahoo.com/quote/BZ=F/?p=BZ=F" TargetMode="External"/><Relationship Id="rId155" Type="http://schemas.openxmlformats.org/officeDocument/2006/relationships/hyperlink" Target="https://finance.yahoo.com/quote/TSLA/?p=TSLA" TargetMode="External"/><Relationship Id="rId397" Type="http://schemas.openxmlformats.org/officeDocument/2006/relationships/hyperlink" Target="https://finance.yahoo.com/quote/1398.HK/?p=1398.HK" TargetMode="External"/><Relationship Id="rId808" Type="http://schemas.openxmlformats.org/officeDocument/2006/relationships/hyperlink" Target="http://6862.hk" TargetMode="External"/><Relationship Id="rId807" Type="http://schemas.openxmlformats.org/officeDocument/2006/relationships/hyperlink" Target="https://finance.yahoo.com/quote/AAPL/?p=AAPL" TargetMode="External"/><Relationship Id="rId806" Type="http://schemas.openxmlformats.org/officeDocument/2006/relationships/hyperlink" Target="https://finance.yahoo.com/quote/9988.HK/?p=9988.HK" TargetMode="External"/><Relationship Id="rId805" Type="http://schemas.openxmlformats.org/officeDocument/2006/relationships/hyperlink" Target="http://9988.hk" TargetMode="External"/><Relationship Id="rId809" Type="http://schemas.openxmlformats.org/officeDocument/2006/relationships/hyperlink" Target="https://finance.yahoo.com/quote/6862.HK/?p=6862.HK" TargetMode="External"/><Relationship Id="rId800" Type="http://schemas.openxmlformats.org/officeDocument/2006/relationships/hyperlink" Target="http://0460.hk" TargetMode="External"/><Relationship Id="rId804" Type="http://schemas.openxmlformats.org/officeDocument/2006/relationships/hyperlink" Target="https://finance.yahoo.com/quote/1898.HK/?p=1898.HK" TargetMode="External"/><Relationship Id="rId803" Type="http://schemas.openxmlformats.org/officeDocument/2006/relationships/hyperlink" Target="http://1898.hk" TargetMode="External"/><Relationship Id="rId802" Type="http://schemas.openxmlformats.org/officeDocument/2006/relationships/hyperlink" Target="https://finance.yahoo.com/quote/FSR/?p=FSR" TargetMode="External"/><Relationship Id="rId801" Type="http://schemas.openxmlformats.org/officeDocument/2006/relationships/hyperlink" Target="https://finance.yahoo.com/quote/0460.HK/?p=0460.HK" TargetMode="External"/><Relationship Id="rId40" Type="http://schemas.openxmlformats.org/officeDocument/2006/relationships/hyperlink" Target="https://finance.yahoo.com/quote/TSLA/?p=TSLA" TargetMode="External"/><Relationship Id="rId1334" Type="http://schemas.openxmlformats.org/officeDocument/2006/relationships/hyperlink" Target="https://finance.yahoo.com/quote/AAPL/?p=AAPL" TargetMode="External"/><Relationship Id="rId1335" Type="http://schemas.openxmlformats.org/officeDocument/2006/relationships/hyperlink" Target="https://finance.yahoo.com/quote/TSLA/?p=TSLA" TargetMode="External"/><Relationship Id="rId42" Type="http://schemas.openxmlformats.org/officeDocument/2006/relationships/hyperlink" Target="https://finance.yahoo.com/quote/AAPL/?p=AAPL" TargetMode="External"/><Relationship Id="rId1336" Type="http://schemas.openxmlformats.org/officeDocument/2006/relationships/hyperlink" Target="http://9939.hk" TargetMode="External"/><Relationship Id="rId41" Type="http://schemas.openxmlformats.org/officeDocument/2006/relationships/hyperlink" Target="https://finance.yahoo.com/quote/TSLA/?p=TSLA" TargetMode="External"/><Relationship Id="rId1337" Type="http://schemas.openxmlformats.org/officeDocument/2006/relationships/hyperlink" Target="https://finance.yahoo.com/quote/9939.HK/?p=9939.HK" TargetMode="External"/><Relationship Id="rId44" Type="http://schemas.openxmlformats.org/officeDocument/2006/relationships/hyperlink" Target="http://0293.hk" TargetMode="External"/><Relationship Id="rId1338" Type="http://schemas.openxmlformats.org/officeDocument/2006/relationships/hyperlink" Target="https://finance.yahoo.com/quote/TWTR/?p=TWTR" TargetMode="External"/><Relationship Id="rId43" Type="http://schemas.openxmlformats.org/officeDocument/2006/relationships/hyperlink" Target="https://finance.yahoo.com/quote/TSLA/?p=TSLA" TargetMode="External"/><Relationship Id="rId1339" Type="http://schemas.openxmlformats.org/officeDocument/2006/relationships/hyperlink" Target="http://0175.hk" TargetMode="External"/><Relationship Id="rId46" Type="http://schemas.openxmlformats.org/officeDocument/2006/relationships/hyperlink" Target="http://1929.hk" TargetMode="External"/><Relationship Id="rId45" Type="http://schemas.openxmlformats.org/officeDocument/2006/relationships/hyperlink" Target="https://finance.yahoo.com/quote/0293.hk/?p=0293.hk" TargetMode="External"/><Relationship Id="rId509" Type="http://schemas.openxmlformats.org/officeDocument/2006/relationships/hyperlink" Target="https://finance.yahoo.com/quote/UBI.PA/?p=UBI.PA" TargetMode="External"/><Relationship Id="rId508" Type="http://schemas.openxmlformats.org/officeDocument/2006/relationships/hyperlink" Target="http://ubi.pa" TargetMode="External"/><Relationship Id="rId503" Type="http://schemas.openxmlformats.org/officeDocument/2006/relationships/hyperlink" Target="https://finance.yahoo.com/quote/AAPL/?p=AAPL" TargetMode="External"/><Relationship Id="rId745" Type="http://schemas.openxmlformats.org/officeDocument/2006/relationships/hyperlink" Target="https://finance.yahoo.com/quote/0700.HK/?p=0700.HK" TargetMode="External"/><Relationship Id="rId987" Type="http://schemas.openxmlformats.org/officeDocument/2006/relationships/hyperlink" Target="https://finance.yahoo.com/quote/TSLA/?p=TSLA" TargetMode="External"/><Relationship Id="rId502" Type="http://schemas.openxmlformats.org/officeDocument/2006/relationships/hyperlink" Target="https://finance.yahoo.com/quote/AMZN/?p=AMZN" TargetMode="External"/><Relationship Id="rId744" Type="http://schemas.openxmlformats.org/officeDocument/2006/relationships/hyperlink" Target="http://0700.hk" TargetMode="External"/><Relationship Id="rId986" Type="http://schemas.openxmlformats.org/officeDocument/2006/relationships/hyperlink" Target="https://finance.yahoo.com/quote/AMC/?p=AMC" TargetMode="External"/><Relationship Id="rId501" Type="http://schemas.openxmlformats.org/officeDocument/2006/relationships/hyperlink" Target="https://finance.yahoo.com/quote/0700.HK/?p=0700.HK" TargetMode="External"/><Relationship Id="rId743" Type="http://schemas.openxmlformats.org/officeDocument/2006/relationships/hyperlink" Target="https://finance.yahoo.com/quote/0700.HK/?p=0700.HK" TargetMode="External"/><Relationship Id="rId985" Type="http://schemas.openxmlformats.org/officeDocument/2006/relationships/hyperlink" Target="https://finance.yahoo.com/quote/AMC/?p=AMC" TargetMode="External"/><Relationship Id="rId500" Type="http://schemas.openxmlformats.org/officeDocument/2006/relationships/hyperlink" Target="http://0700.hk" TargetMode="External"/><Relationship Id="rId742" Type="http://schemas.openxmlformats.org/officeDocument/2006/relationships/hyperlink" Target="http://0700.hk" TargetMode="External"/><Relationship Id="rId984" Type="http://schemas.openxmlformats.org/officeDocument/2006/relationships/hyperlink" Target="https://finance.yahoo.com/quote/MULN/?p=MULN" TargetMode="External"/><Relationship Id="rId507" Type="http://schemas.openxmlformats.org/officeDocument/2006/relationships/hyperlink" Target="https://finance.yahoo.com/quote/MSFT/?p=MSFT" TargetMode="External"/><Relationship Id="rId749" Type="http://schemas.openxmlformats.org/officeDocument/2006/relationships/hyperlink" Target="https://finance.yahoo.com/quote/9988.HK/?p=9988.HK" TargetMode="External"/><Relationship Id="rId506" Type="http://schemas.openxmlformats.org/officeDocument/2006/relationships/hyperlink" Target="https://finance.yahoo.com/quote/BABA/?p=BABA" TargetMode="External"/><Relationship Id="rId748" Type="http://schemas.openxmlformats.org/officeDocument/2006/relationships/hyperlink" Target="http://9988.hk" TargetMode="External"/><Relationship Id="rId505" Type="http://schemas.openxmlformats.org/officeDocument/2006/relationships/hyperlink" Target="https://finance.yahoo.com/quote/CL=F/?p=CL=F" TargetMode="External"/><Relationship Id="rId747" Type="http://schemas.openxmlformats.org/officeDocument/2006/relationships/hyperlink" Target="https://finance.yahoo.com/quote/9988.HK/?p=9988.HK" TargetMode="External"/><Relationship Id="rId989" Type="http://schemas.openxmlformats.org/officeDocument/2006/relationships/hyperlink" Target="https://finance.yahoo.com/quote/Nio/?p=Nio" TargetMode="External"/><Relationship Id="rId504" Type="http://schemas.openxmlformats.org/officeDocument/2006/relationships/hyperlink" Target="https://finance.yahoo.com/quote/BABA/?p=BABA" TargetMode="External"/><Relationship Id="rId746" Type="http://schemas.openxmlformats.org/officeDocument/2006/relationships/hyperlink" Target="http://9988.hk" TargetMode="External"/><Relationship Id="rId988" Type="http://schemas.openxmlformats.org/officeDocument/2006/relationships/hyperlink" Target="https://finance.yahoo.com/quote/TSLA/?p=TSLA" TargetMode="External"/><Relationship Id="rId48" Type="http://schemas.openxmlformats.org/officeDocument/2006/relationships/hyperlink" Target="http://9988.hk" TargetMode="External"/><Relationship Id="rId47" Type="http://schemas.openxmlformats.org/officeDocument/2006/relationships/hyperlink" Target="https://finance.yahoo.com/quote/1929.hk/?p=1929.hk" TargetMode="External"/><Relationship Id="rId49" Type="http://schemas.openxmlformats.org/officeDocument/2006/relationships/hyperlink" Target="https://finance.yahoo.com/quote/9988.hk/?p=9988.hk" TargetMode="External"/><Relationship Id="rId741" Type="http://schemas.openxmlformats.org/officeDocument/2006/relationships/hyperlink" Target="https://finance.yahoo.com/quote/0700.HK/?p=0700.HK" TargetMode="External"/><Relationship Id="rId983" Type="http://schemas.openxmlformats.org/officeDocument/2006/relationships/hyperlink" Target="https://finance.yahoo.com/quote/TSLA/?p=TSLA" TargetMode="External"/><Relationship Id="rId1330" Type="http://schemas.openxmlformats.org/officeDocument/2006/relationships/hyperlink" Target="https://finance.yahoo.com/quote/OXY/?p=OXY" TargetMode="External"/><Relationship Id="rId740" Type="http://schemas.openxmlformats.org/officeDocument/2006/relationships/hyperlink" Target="http://0700.hk" TargetMode="External"/><Relationship Id="rId982" Type="http://schemas.openxmlformats.org/officeDocument/2006/relationships/hyperlink" Target="https://finance.yahoo.com/quote/HYMC/?p=HYMC" TargetMode="External"/><Relationship Id="rId1331" Type="http://schemas.openxmlformats.org/officeDocument/2006/relationships/hyperlink" Target="https://finance.yahoo.com/quote/OXY/?p=OXY" TargetMode="External"/><Relationship Id="rId981" Type="http://schemas.openxmlformats.org/officeDocument/2006/relationships/hyperlink" Target="https://finance.yahoo.com/quote/TSLA/?p=TSLA" TargetMode="External"/><Relationship Id="rId1332" Type="http://schemas.openxmlformats.org/officeDocument/2006/relationships/hyperlink" Target="https://finance.yahoo.com/quote/ASML/?p=ASML" TargetMode="External"/><Relationship Id="rId980" Type="http://schemas.openxmlformats.org/officeDocument/2006/relationships/hyperlink" Target="https://finance.yahoo.com/quote/MULN/?p=MULN" TargetMode="External"/><Relationship Id="rId1333" Type="http://schemas.openxmlformats.org/officeDocument/2006/relationships/hyperlink" Target="https://finance.yahoo.com/quote/ASML/?p=ASML" TargetMode="External"/><Relationship Id="rId1323" Type="http://schemas.openxmlformats.org/officeDocument/2006/relationships/hyperlink" Target="https://finance.yahoo.com/quote/0700.HK/?p=0700.HK" TargetMode="External"/><Relationship Id="rId1324" Type="http://schemas.openxmlformats.org/officeDocument/2006/relationships/hyperlink" Target="http://0883.hk" TargetMode="External"/><Relationship Id="rId31" Type="http://schemas.openxmlformats.org/officeDocument/2006/relationships/hyperlink" Target="https://finance.yahoo.com/quote/TSLA/?p=TSLA" TargetMode="External"/><Relationship Id="rId1325" Type="http://schemas.openxmlformats.org/officeDocument/2006/relationships/hyperlink" Target="https://finance.yahoo.com/quote/0883.HK/?p=0883.HK" TargetMode="External"/><Relationship Id="rId30" Type="http://schemas.openxmlformats.org/officeDocument/2006/relationships/hyperlink" Target="https://finance.yahoo.com/quote/SHOP/?p=SHOP" TargetMode="External"/><Relationship Id="rId1326" Type="http://schemas.openxmlformats.org/officeDocument/2006/relationships/hyperlink" Target="https://finance.yahoo.com/quote/BILI/?p=BILI" TargetMode="External"/><Relationship Id="rId33" Type="http://schemas.openxmlformats.org/officeDocument/2006/relationships/hyperlink" Target="https://finance.yahoo.com/quote/BRK-B/?p=BRK-B" TargetMode="External"/><Relationship Id="rId1327" Type="http://schemas.openxmlformats.org/officeDocument/2006/relationships/hyperlink" Target="https://finance.yahoo.com/quote/OXY/?p=OXY" TargetMode="External"/><Relationship Id="rId32" Type="http://schemas.openxmlformats.org/officeDocument/2006/relationships/hyperlink" Target="https://finance.yahoo.com/quote/BA/?p=BA" TargetMode="External"/><Relationship Id="rId1328" Type="http://schemas.openxmlformats.org/officeDocument/2006/relationships/hyperlink" Target="http://0883.hk" TargetMode="External"/><Relationship Id="rId35" Type="http://schemas.openxmlformats.org/officeDocument/2006/relationships/hyperlink" Target="https://finance.yahoo.com/quote/FB/?p=FB" TargetMode="External"/><Relationship Id="rId1329" Type="http://schemas.openxmlformats.org/officeDocument/2006/relationships/hyperlink" Target="https://finance.yahoo.com/quote/0883.HK/?p=0883.HK" TargetMode="External"/><Relationship Id="rId34" Type="http://schemas.openxmlformats.org/officeDocument/2006/relationships/hyperlink" Target="https://finance.yahoo.com/quote/F/?p=F" TargetMode="External"/><Relationship Id="rId739" Type="http://schemas.openxmlformats.org/officeDocument/2006/relationships/hyperlink" Target="https://finance.yahoo.com/quote/SARK/?p=SARK" TargetMode="External"/><Relationship Id="rId734" Type="http://schemas.openxmlformats.org/officeDocument/2006/relationships/hyperlink" Target="https://finance.yahoo.com/quote/3047.HK/?p=3047.HK" TargetMode="External"/><Relationship Id="rId976" Type="http://schemas.openxmlformats.org/officeDocument/2006/relationships/hyperlink" Target="https://finance.yahoo.com/quote/600519.SS/?p=600519.SS" TargetMode="External"/><Relationship Id="rId733" Type="http://schemas.openxmlformats.org/officeDocument/2006/relationships/hyperlink" Target="http://3047.hk" TargetMode="External"/><Relationship Id="rId975" Type="http://schemas.openxmlformats.org/officeDocument/2006/relationships/hyperlink" Target="http://600519.ss" TargetMode="External"/><Relationship Id="rId732" Type="http://schemas.openxmlformats.org/officeDocument/2006/relationships/hyperlink" Target="https://finance.yahoo.com/quote/SARK/?p=SARK" TargetMode="External"/><Relationship Id="rId974" Type="http://schemas.openxmlformats.org/officeDocument/2006/relationships/hyperlink" Target="https://finance.yahoo.com/quote/600519.SS/?p=600519.SS" TargetMode="External"/><Relationship Id="rId731" Type="http://schemas.openxmlformats.org/officeDocument/2006/relationships/hyperlink" Target="https://finance.yahoo.com/quote/SARK/?p=SARK" TargetMode="External"/><Relationship Id="rId973" Type="http://schemas.openxmlformats.org/officeDocument/2006/relationships/hyperlink" Target="http://600519.ss" TargetMode="External"/><Relationship Id="rId738" Type="http://schemas.openxmlformats.org/officeDocument/2006/relationships/hyperlink" Target="https://finance.yahoo.com/quote/SARK/?p=SARK" TargetMode="External"/><Relationship Id="rId737" Type="http://schemas.openxmlformats.org/officeDocument/2006/relationships/hyperlink" Target="https://finance.yahoo.com/quote/SARK/?p=SARK" TargetMode="External"/><Relationship Id="rId979" Type="http://schemas.openxmlformats.org/officeDocument/2006/relationships/hyperlink" Target="https://finance.yahoo.com/quote/TSLA/?p=TSLA" TargetMode="External"/><Relationship Id="rId736" Type="http://schemas.openxmlformats.org/officeDocument/2006/relationships/hyperlink" Target="https://finance.yahoo.com/quote/9988.HK/?p=9988.HK" TargetMode="External"/><Relationship Id="rId978" Type="http://schemas.openxmlformats.org/officeDocument/2006/relationships/hyperlink" Target="https://finance.yahoo.com/quote/ES=F/?p=ES=F" TargetMode="External"/><Relationship Id="rId735" Type="http://schemas.openxmlformats.org/officeDocument/2006/relationships/hyperlink" Target="http://9988.hk" TargetMode="External"/><Relationship Id="rId977" Type="http://schemas.openxmlformats.org/officeDocument/2006/relationships/hyperlink" Target="https://finance.yahoo.com/quote/aapl/?p=aapl" TargetMode="External"/><Relationship Id="rId37" Type="http://schemas.openxmlformats.org/officeDocument/2006/relationships/hyperlink" Target="https://finance.yahoo.com/quote/MSFT/?p=MSFT" TargetMode="External"/><Relationship Id="rId36" Type="http://schemas.openxmlformats.org/officeDocument/2006/relationships/hyperlink" Target="https://finance.yahoo.com/quote/GOOG/?p=GOOG" TargetMode="External"/><Relationship Id="rId39" Type="http://schemas.openxmlformats.org/officeDocument/2006/relationships/hyperlink" Target="https://finance.yahoo.com/quote/PFE/?p=PFE" TargetMode="External"/><Relationship Id="rId38" Type="http://schemas.openxmlformats.org/officeDocument/2006/relationships/hyperlink" Target="https://finance.yahoo.com/quote/OXY/?p=OXY" TargetMode="External"/><Relationship Id="rId730" Type="http://schemas.openxmlformats.org/officeDocument/2006/relationships/hyperlink" Target="https://finance.yahoo.com/quote/SARK/?p=SARK" TargetMode="External"/><Relationship Id="rId972" Type="http://schemas.openxmlformats.org/officeDocument/2006/relationships/hyperlink" Target="https://finance.yahoo.com/quote/WEAT/?p=WEAT" TargetMode="External"/><Relationship Id="rId971" Type="http://schemas.openxmlformats.org/officeDocument/2006/relationships/hyperlink" Target="https://finance.yahoo.com/quote/UVXY/?p=UVXY" TargetMode="External"/><Relationship Id="rId1320" Type="http://schemas.openxmlformats.org/officeDocument/2006/relationships/hyperlink" Target="http://0700.hk" TargetMode="External"/><Relationship Id="rId970" Type="http://schemas.openxmlformats.org/officeDocument/2006/relationships/hyperlink" Target="https://finance.yahoo.com/quote/UVXY/?p=UVXY" TargetMode="External"/><Relationship Id="rId1321" Type="http://schemas.openxmlformats.org/officeDocument/2006/relationships/hyperlink" Target="https://finance.yahoo.com/quote/0700.HK/?p=0700.HK" TargetMode="External"/><Relationship Id="rId1322" Type="http://schemas.openxmlformats.org/officeDocument/2006/relationships/hyperlink" Target="http://0700.hk" TargetMode="External"/><Relationship Id="rId1114" Type="http://schemas.openxmlformats.org/officeDocument/2006/relationships/hyperlink" Target="https://finance.yahoo.com/quote/1398.HK/?p=1398.HK" TargetMode="External"/><Relationship Id="rId1115" Type="http://schemas.openxmlformats.org/officeDocument/2006/relationships/hyperlink" Target="https://finance.yahoo.com/quote/IXHL/?p=IXHL" TargetMode="External"/><Relationship Id="rId20" Type="http://schemas.openxmlformats.org/officeDocument/2006/relationships/hyperlink" Target="https://finance.yahoo.com/quote/F/?p=F" TargetMode="External"/><Relationship Id="rId1116" Type="http://schemas.openxmlformats.org/officeDocument/2006/relationships/hyperlink" Target="https://finance.yahoo.com/quote/AAPL/?p=AAPL" TargetMode="External"/><Relationship Id="rId1117" Type="http://schemas.openxmlformats.org/officeDocument/2006/relationships/hyperlink" Target="https://finance.yahoo.com/quote/JD/?p=JD" TargetMode="External"/><Relationship Id="rId22" Type="http://schemas.openxmlformats.org/officeDocument/2006/relationships/hyperlink" Target="https://finance.yahoo.com/quote/GOOG/?p=GOOG" TargetMode="External"/><Relationship Id="rId1118" Type="http://schemas.openxmlformats.org/officeDocument/2006/relationships/hyperlink" Target="http://0700.hk" TargetMode="External"/><Relationship Id="rId21" Type="http://schemas.openxmlformats.org/officeDocument/2006/relationships/hyperlink" Target="https://finance.yahoo.com/quote/FB/?p=FB" TargetMode="External"/><Relationship Id="rId1119" Type="http://schemas.openxmlformats.org/officeDocument/2006/relationships/hyperlink" Target="https://finance.yahoo.com/quote/0700.HK/?p=0700.HK" TargetMode="External"/><Relationship Id="rId24" Type="http://schemas.openxmlformats.org/officeDocument/2006/relationships/hyperlink" Target="https://finance.yahoo.com/quote/MMM/?p=MMM" TargetMode="External"/><Relationship Id="rId23" Type="http://schemas.openxmlformats.org/officeDocument/2006/relationships/hyperlink" Target="https://finance.yahoo.com/quote/LUNA1-USD/?p=LUNA1-USD" TargetMode="External"/><Relationship Id="rId525" Type="http://schemas.openxmlformats.org/officeDocument/2006/relationships/hyperlink" Target="https://finance.yahoo.com/quote/TSLA/?p=TSLA" TargetMode="External"/><Relationship Id="rId767" Type="http://schemas.openxmlformats.org/officeDocument/2006/relationships/hyperlink" Target="https://finance.yahoo.com/quote/TSLA/?p=TSLA" TargetMode="External"/><Relationship Id="rId524" Type="http://schemas.openxmlformats.org/officeDocument/2006/relationships/hyperlink" Target="https://finance.yahoo.com/quote/TSLA/?p=TSLA" TargetMode="External"/><Relationship Id="rId766" Type="http://schemas.openxmlformats.org/officeDocument/2006/relationships/hyperlink" Target="https://finance.yahoo.com/quote/AAPL/?p=AAPL" TargetMode="External"/><Relationship Id="rId523" Type="http://schemas.openxmlformats.org/officeDocument/2006/relationships/hyperlink" Target="https://finance.yahoo.com/quote/9868.HK/?p=9868.HK" TargetMode="External"/><Relationship Id="rId765" Type="http://schemas.openxmlformats.org/officeDocument/2006/relationships/hyperlink" Target="https://finance.yahoo.com/quote/0700.HK/?p=0700.HK" TargetMode="External"/><Relationship Id="rId522" Type="http://schemas.openxmlformats.org/officeDocument/2006/relationships/hyperlink" Target="http://9868.hk" TargetMode="External"/><Relationship Id="rId764" Type="http://schemas.openxmlformats.org/officeDocument/2006/relationships/hyperlink" Target="http://0700.hk" TargetMode="External"/><Relationship Id="rId529" Type="http://schemas.openxmlformats.org/officeDocument/2006/relationships/hyperlink" Target="https://finance.yahoo.com/quote/TSLA/?p=TSLA" TargetMode="External"/><Relationship Id="rId528" Type="http://schemas.openxmlformats.org/officeDocument/2006/relationships/hyperlink" Target="https://finance.yahoo.com/quote/GOLD/?p=GOLD" TargetMode="External"/><Relationship Id="rId527" Type="http://schemas.openxmlformats.org/officeDocument/2006/relationships/hyperlink" Target="https://finance.yahoo.com/quote/GOLD/?p=GOLD" TargetMode="External"/><Relationship Id="rId769" Type="http://schemas.openxmlformats.org/officeDocument/2006/relationships/hyperlink" Target="https://finance.yahoo.com/quote/0700.HK/?p=0700.HK" TargetMode="External"/><Relationship Id="rId526" Type="http://schemas.openxmlformats.org/officeDocument/2006/relationships/hyperlink" Target="https://finance.yahoo.com/quote/ANPDY/?p=ANPDY" TargetMode="External"/><Relationship Id="rId768" Type="http://schemas.openxmlformats.org/officeDocument/2006/relationships/hyperlink" Target="http://0700.hk" TargetMode="External"/><Relationship Id="rId26" Type="http://schemas.openxmlformats.org/officeDocument/2006/relationships/hyperlink" Target="https://finance.yahoo.com/quote/NFLX/?p=NFLX" TargetMode="External"/><Relationship Id="rId25" Type="http://schemas.openxmlformats.org/officeDocument/2006/relationships/hyperlink" Target="https://finance.yahoo.com/quote/MSFT/?p=MSFT" TargetMode="External"/><Relationship Id="rId28" Type="http://schemas.openxmlformats.org/officeDocument/2006/relationships/hyperlink" Target="https://finance.yahoo.com/quote/NVDA/?p=NVDA" TargetMode="External"/><Relationship Id="rId1350" Type="http://schemas.openxmlformats.org/officeDocument/2006/relationships/hyperlink" Target="http://0909.hk" TargetMode="External"/><Relationship Id="rId27" Type="http://schemas.openxmlformats.org/officeDocument/2006/relationships/hyperlink" Target="https://finance.yahoo.com/quote/NKE/?p=NKE" TargetMode="External"/><Relationship Id="rId1351" Type="http://schemas.openxmlformats.org/officeDocument/2006/relationships/hyperlink" Target="http://9961.hk" TargetMode="External"/><Relationship Id="rId521" Type="http://schemas.openxmlformats.org/officeDocument/2006/relationships/hyperlink" Target="https://finance.yahoo.com/quote/2196.HK/?p=2196.HK" TargetMode="External"/><Relationship Id="rId763" Type="http://schemas.openxmlformats.org/officeDocument/2006/relationships/hyperlink" Target="https://finance.yahoo.com/quote/0700.HK/?p=0700.HK" TargetMode="External"/><Relationship Id="rId1110" Type="http://schemas.openxmlformats.org/officeDocument/2006/relationships/hyperlink" Target="https://finance.yahoo.com/quote/CL=F/?p=CL=F" TargetMode="External"/><Relationship Id="rId1352" Type="http://schemas.openxmlformats.org/officeDocument/2006/relationships/hyperlink" Target="http://9999.hk" TargetMode="External"/><Relationship Id="rId29" Type="http://schemas.openxmlformats.org/officeDocument/2006/relationships/hyperlink" Target="https://finance.yahoo.com/quote/PFE/?p=PFE" TargetMode="External"/><Relationship Id="rId520" Type="http://schemas.openxmlformats.org/officeDocument/2006/relationships/hyperlink" Target="http://2196.hk" TargetMode="External"/><Relationship Id="rId762" Type="http://schemas.openxmlformats.org/officeDocument/2006/relationships/hyperlink" Target="http://0700.hk" TargetMode="External"/><Relationship Id="rId1111" Type="http://schemas.openxmlformats.org/officeDocument/2006/relationships/hyperlink" Target="https://finance.yahoo.com/quote/CL=F/?p=CL=F" TargetMode="External"/><Relationship Id="rId1353" Type="http://schemas.openxmlformats.org/officeDocument/2006/relationships/drawing" Target="../drawings/drawing3.xml"/><Relationship Id="rId761" Type="http://schemas.openxmlformats.org/officeDocument/2006/relationships/hyperlink" Target="https://finance.yahoo.com/quote/9988.HK/?p=9988.HK" TargetMode="External"/><Relationship Id="rId1112" Type="http://schemas.openxmlformats.org/officeDocument/2006/relationships/hyperlink" Target="https://finance.yahoo.com/quote/IXHL/?p=IXHL" TargetMode="External"/><Relationship Id="rId760" Type="http://schemas.openxmlformats.org/officeDocument/2006/relationships/hyperlink" Target="http://9988.hk" TargetMode="External"/><Relationship Id="rId1113" Type="http://schemas.openxmlformats.org/officeDocument/2006/relationships/hyperlink" Target="http://1398.hk" TargetMode="External"/><Relationship Id="rId1103" Type="http://schemas.openxmlformats.org/officeDocument/2006/relationships/hyperlink" Target="https://finance.yahoo.com/quote/1398.HK/?p=1398.HK" TargetMode="External"/><Relationship Id="rId1345" Type="http://schemas.openxmlformats.org/officeDocument/2006/relationships/hyperlink" Target="http://9988.hk" TargetMode="External"/><Relationship Id="rId1104" Type="http://schemas.openxmlformats.org/officeDocument/2006/relationships/hyperlink" Target="http://300157.sz" TargetMode="External"/><Relationship Id="rId1346" Type="http://schemas.openxmlformats.org/officeDocument/2006/relationships/hyperlink" Target="http://0968.hk" TargetMode="External"/><Relationship Id="rId1105" Type="http://schemas.openxmlformats.org/officeDocument/2006/relationships/hyperlink" Target="https://finance.yahoo.com/quote/300157.SZ/?p=300157.SZ" TargetMode="External"/><Relationship Id="rId1347" Type="http://schemas.openxmlformats.org/officeDocument/2006/relationships/hyperlink" Target="http://1919.hk" TargetMode="External"/><Relationship Id="rId1106" Type="http://schemas.openxmlformats.org/officeDocument/2006/relationships/hyperlink" Target="https://finance.yahoo.com/quote/AMAT/?p=AMAT" TargetMode="External"/><Relationship Id="rId1348" Type="http://schemas.openxmlformats.org/officeDocument/2006/relationships/hyperlink" Target="http://9999.hk" TargetMode="External"/><Relationship Id="rId11" Type="http://schemas.openxmlformats.org/officeDocument/2006/relationships/hyperlink" Target="https://finance.yahoo.com/quote/OXY/?p=OXY" TargetMode="External"/><Relationship Id="rId1107" Type="http://schemas.openxmlformats.org/officeDocument/2006/relationships/hyperlink" Target="https://finance.yahoo.com/quote/BRK-B/?p=BRK-B" TargetMode="External"/><Relationship Id="rId1349" Type="http://schemas.openxmlformats.org/officeDocument/2006/relationships/hyperlink" Target="http://1919.hk" TargetMode="External"/><Relationship Id="rId10" Type="http://schemas.openxmlformats.org/officeDocument/2006/relationships/hyperlink" Target="https://finance.yahoo.com/quote/MSFT/?p=MSFT" TargetMode="External"/><Relationship Id="rId1108" Type="http://schemas.openxmlformats.org/officeDocument/2006/relationships/hyperlink" Target="https://finance.yahoo.com/quote/AAPL/?p=AAPL" TargetMode="External"/><Relationship Id="rId13" Type="http://schemas.openxmlformats.org/officeDocument/2006/relationships/hyperlink" Target="https://finance.yahoo.com/quote/%5EN225/?p=%5EN225" TargetMode="External"/><Relationship Id="rId1109" Type="http://schemas.openxmlformats.org/officeDocument/2006/relationships/hyperlink" Target="https://finance.yahoo.com/quote/BRK-B/?p=BRK-B" TargetMode="External"/><Relationship Id="rId12" Type="http://schemas.openxmlformats.org/officeDocument/2006/relationships/hyperlink" Target="https://finance.yahoo.com/quote/%5ECMC200/?p=%5ECMC200" TargetMode="External"/><Relationship Id="rId519" Type="http://schemas.openxmlformats.org/officeDocument/2006/relationships/hyperlink" Target="https://finance.yahoo.com/quote/2196.HK/?p=2196.HK" TargetMode="External"/><Relationship Id="rId514" Type="http://schemas.openxmlformats.org/officeDocument/2006/relationships/hyperlink" Target="https://finance.yahoo.com/quote/2196.HK/?p=2196.HK" TargetMode="External"/><Relationship Id="rId756" Type="http://schemas.openxmlformats.org/officeDocument/2006/relationships/hyperlink" Target="http://9988.hk" TargetMode="External"/><Relationship Id="rId998" Type="http://schemas.openxmlformats.org/officeDocument/2006/relationships/hyperlink" Target="http://600519.ss" TargetMode="External"/><Relationship Id="rId513" Type="http://schemas.openxmlformats.org/officeDocument/2006/relationships/hyperlink" Target="http://2196.hk" TargetMode="External"/><Relationship Id="rId755" Type="http://schemas.openxmlformats.org/officeDocument/2006/relationships/hyperlink" Target="https://finance.yahoo.com/quote/1810.HK/?p=1810.HK" TargetMode="External"/><Relationship Id="rId997" Type="http://schemas.openxmlformats.org/officeDocument/2006/relationships/hyperlink" Target="https://finance.yahoo.com/quote/1211.HK/?p=1211.HK" TargetMode="External"/><Relationship Id="rId512" Type="http://schemas.openxmlformats.org/officeDocument/2006/relationships/hyperlink" Target="https://finance.yahoo.com/quote/SONY/?p=SONY" TargetMode="External"/><Relationship Id="rId754" Type="http://schemas.openxmlformats.org/officeDocument/2006/relationships/hyperlink" Target="http://1810.hk" TargetMode="External"/><Relationship Id="rId996" Type="http://schemas.openxmlformats.org/officeDocument/2006/relationships/hyperlink" Target="http://1211.hk" TargetMode="External"/><Relationship Id="rId511" Type="http://schemas.openxmlformats.org/officeDocument/2006/relationships/hyperlink" Target="https://finance.yahoo.com/quote/NVDA/?p=NVDA" TargetMode="External"/><Relationship Id="rId753" Type="http://schemas.openxmlformats.org/officeDocument/2006/relationships/hyperlink" Target="https://finance.yahoo.com/quote/1299.HK/?p=1299.HK" TargetMode="External"/><Relationship Id="rId995" Type="http://schemas.openxmlformats.org/officeDocument/2006/relationships/hyperlink" Target="https://www.bondsupermart.com/bsm/general-search/XS1974522853" TargetMode="External"/><Relationship Id="rId518" Type="http://schemas.openxmlformats.org/officeDocument/2006/relationships/hyperlink" Target="http://2196.hk" TargetMode="External"/><Relationship Id="rId517" Type="http://schemas.openxmlformats.org/officeDocument/2006/relationships/hyperlink" Target="https://finance.yahoo.com/quote/TSLA/?p=TSLA" TargetMode="External"/><Relationship Id="rId759" Type="http://schemas.openxmlformats.org/officeDocument/2006/relationships/hyperlink" Target="https://finance.yahoo.com/quote/0700.HK/?p=0700.HK" TargetMode="External"/><Relationship Id="rId516" Type="http://schemas.openxmlformats.org/officeDocument/2006/relationships/hyperlink" Target="https://finance.yahoo.com/quote/9868.HK/?p=9868.HK" TargetMode="External"/><Relationship Id="rId758" Type="http://schemas.openxmlformats.org/officeDocument/2006/relationships/hyperlink" Target="http://0700.hk" TargetMode="External"/><Relationship Id="rId515" Type="http://schemas.openxmlformats.org/officeDocument/2006/relationships/hyperlink" Target="http://9868.hk" TargetMode="External"/><Relationship Id="rId757" Type="http://schemas.openxmlformats.org/officeDocument/2006/relationships/hyperlink" Target="https://finance.yahoo.com/quote/9988.HK/?p=9988.HK" TargetMode="External"/><Relationship Id="rId999" Type="http://schemas.openxmlformats.org/officeDocument/2006/relationships/hyperlink" Target="https://finance.yahoo.com/quote/600519.SS/?p=600519.SS" TargetMode="External"/><Relationship Id="rId15" Type="http://schemas.openxmlformats.org/officeDocument/2006/relationships/hyperlink" Target="https://finance.yahoo.com/quote/0700.HK/?p=0700.HK" TargetMode="External"/><Relationship Id="rId990" Type="http://schemas.openxmlformats.org/officeDocument/2006/relationships/hyperlink" Target="https://finance.yahoo.com/quote/TSLA/?p=TSLA" TargetMode="External"/><Relationship Id="rId14" Type="http://schemas.openxmlformats.org/officeDocument/2006/relationships/hyperlink" Target="http://0700.hk" TargetMode="External"/><Relationship Id="rId17" Type="http://schemas.openxmlformats.org/officeDocument/2006/relationships/hyperlink" Target="https://finance.yahoo.com/quote/BA/?p=BA" TargetMode="External"/><Relationship Id="rId16" Type="http://schemas.openxmlformats.org/officeDocument/2006/relationships/hyperlink" Target="https://finance.yahoo.com/quote/AMC/?p=AMC" TargetMode="External"/><Relationship Id="rId1340" Type="http://schemas.openxmlformats.org/officeDocument/2006/relationships/hyperlink" Target="https://finance.yahoo.com/quote/0175.HK/?p=0175.HK" TargetMode="External"/><Relationship Id="rId19" Type="http://schemas.openxmlformats.org/officeDocument/2006/relationships/hyperlink" Target="https://finance.yahoo.com/quote/DIDI/?p=DIDI" TargetMode="External"/><Relationship Id="rId510" Type="http://schemas.openxmlformats.org/officeDocument/2006/relationships/hyperlink" Target="https://finance.yahoo.com/quote/NTDOY/?p=NTDOY" TargetMode="External"/><Relationship Id="rId752" Type="http://schemas.openxmlformats.org/officeDocument/2006/relationships/hyperlink" Target="http://1299.hk" TargetMode="External"/><Relationship Id="rId994" Type="http://schemas.openxmlformats.org/officeDocument/2006/relationships/hyperlink" Target="https://finance.yahoo.com/quote/6185.HK/?p=6185.HK" TargetMode="External"/><Relationship Id="rId1341" Type="http://schemas.openxmlformats.org/officeDocument/2006/relationships/hyperlink" Target="http://0968.hk" TargetMode="External"/><Relationship Id="rId18" Type="http://schemas.openxmlformats.org/officeDocument/2006/relationships/hyperlink" Target="https://finance.yahoo.com/quote/CL=F/?p=CL=F" TargetMode="External"/><Relationship Id="rId751" Type="http://schemas.openxmlformats.org/officeDocument/2006/relationships/hyperlink" Target="https://finance.yahoo.com/quote/0700.HK/?p=0700.HK" TargetMode="External"/><Relationship Id="rId993" Type="http://schemas.openxmlformats.org/officeDocument/2006/relationships/hyperlink" Target="http://6185.hk" TargetMode="External"/><Relationship Id="rId1100" Type="http://schemas.openxmlformats.org/officeDocument/2006/relationships/hyperlink" Target="https://finance.yahoo.com/quote/CL=F/?p=CL=F" TargetMode="External"/><Relationship Id="rId1342" Type="http://schemas.openxmlformats.org/officeDocument/2006/relationships/hyperlink" Target="http://3800.hk" TargetMode="External"/><Relationship Id="rId750" Type="http://schemas.openxmlformats.org/officeDocument/2006/relationships/hyperlink" Target="http://0700.hk" TargetMode="External"/><Relationship Id="rId992" Type="http://schemas.openxmlformats.org/officeDocument/2006/relationships/hyperlink" Target="https://finance.yahoo.com/quote/TQqq/?p=TQqq" TargetMode="External"/><Relationship Id="rId1101" Type="http://schemas.openxmlformats.org/officeDocument/2006/relationships/hyperlink" Target="https://finance.yahoo.com/quote/NET/?p=NET" TargetMode="External"/><Relationship Id="rId1343" Type="http://schemas.openxmlformats.org/officeDocument/2006/relationships/hyperlink" Target="http://9988.hk" TargetMode="External"/><Relationship Id="rId991" Type="http://schemas.openxmlformats.org/officeDocument/2006/relationships/hyperlink" Target="https://finance.yahoo.com/quote/Soxl/?p=Soxl" TargetMode="External"/><Relationship Id="rId1102" Type="http://schemas.openxmlformats.org/officeDocument/2006/relationships/hyperlink" Target="http://1398.hk" TargetMode="External"/><Relationship Id="rId1344" Type="http://schemas.openxmlformats.org/officeDocument/2006/relationships/hyperlink" Target="http://9999.hk" TargetMode="External"/><Relationship Id="rId84" Type="http://schemas.openxmlformats.org/officeDocument/2006/relationships/hyperlink" Target="https://www.bondsupermart.com/bsm/general-search/US023135AN60" TargetMode="External"/><Relationship Id="rId83" Type="http://schemas.openxmlformats.org/officeDocument/2006/relationships/hyperlink" Target="https://finance.yahoo.com/quote/VYGLX/?p=VYGLX" TargetMode="External"/><Relationship Id="rId86" Type="http://schemas.openxmlformats.org/officeDocument/2006/relationships/hyperlink" Target="https://finance.yahoo.com/quote/WMT/?p=WMT" TargetMode="External"/><Relationship Id="rId85" Type="http://schemas.openxmlformats.org/officeDocument/2006/relationships/hyperlink" Target="https://finance.yahoo.com/quote/AAPL/?p=AAPL" TargetMode="External"/><Relationship Id="rId88" Type="http://schemas.openxmlformats.org/officeDocument/2006/relationships/hyperlink" Target="https://finance.yahoo.com/quote/AAPL/?p=AAPL" TargetMode="External"/><Relationship Id="rId87" Type="http://schemas.openxmlformats.org/officeDocument/2006/relationships/hyperlink" Target="https://finance.yahoo.com/quote/WMT/?p=WMT" TargetMode="External"/><Relationship Id="rId89" Type="http://schemas.openxmlformats.org/officeDocument/2006/relationships/hyperlink" Target="https://finance.yahoo.com/quote/AAPL/?p=AAPL" TargetMode="External"/><Relationship Id="rId709" Type="http://schemas.openxmlformats.org/officeDocument/2006/relationships/hyperlink" Target="https://finance.yahoo.com/quote/TSLA/?p=TSLA" TargetMode="External"/><Relationship Id="rId708" Type="http://schemas.openxmlformats.org/officeDocument/2006/relationships/hyperlink" Target="https://finance.yahoo.com/quote/SOL-USD/?p=SOL-USD" TargetMode="External"/><Relationship Id="rId707" Type="http://schemas.openxmlformats.org/officeDocument/2006/relationships/hyperlink" Target="https://finance.yahoo.com/quote/SNOW/?p=SNOW" TargetMode="External"/><Relationship Id="rId949" Type="http://schemas.openxmlformats.org/officeDocument/2006/relationships/hyperlink" Target="https://finance.yahoo.com/quote/RBLX/?p=RBLX" TargetMode="External"/><Relationship Id="rId706" Type="http://schemas.openxmlformats.org/officeDocument/2006/relationships/hyperlink" Target="https://finance.yahoo.com/quote/NVDA/?p=NVDA" TargetMode="External"/><Relationship Id="rId948" Type="http://schemas.openxmlformats.org/officeDocument/2006/relationships/hyperlink" Target="https://finance.yahoo.com/quote/LMT/?p=LMT" TargetMode="External"/><Relationship Id="rId80" Type="http://schemas.openxmlformats.org/officeDocument/2006/relationships/hyperlink" Target="https://finance.yahoo.com/quote/SONY/?p=SONY" TargetMode="External"/><Relationship Id="rId82" Type="http://schemas.openxmlformats.org/officeDocument/2006/relationships/hyperlink" Target="https://finance.yahoo.com/quote/TSLA/?p=TSLA" TargetMode="External"/><Relationship Id="rId81" Type="http://schemas.openxmlformats.org/officeDocument/2006/relationships/hyperlink" Target="https://finance.yahoo.com/quote/AAPL/?p=AAPL" TargetMode="External"/><Relationship Id="rId701" Type="http://schemas.openxmlformats.org/officeDocument/2006/relationships/hyperlink" Target="https://finance.yahoo.com/quote/BABA/?p=BABA" TargetMode="External"/><Relationship Id="rId943" Type="http://schemas.openxmlformats.org/officeDocument/2006/relationships/hyperlink" Target="https://finance.yahoo.com/quote/3690.hk/?p=3690.hk" TargetMode="External"/><Relationship Id="rId700" Type="http://schemas.openxmlformats.org/officeDocument/2006/relationships/hyperlink" Target="https://finance.yahoo.com/quote/9988.HK/?p=9988.HK" TargetMode="External"/><Relationship Id="rId942" Type="http://schemas.openxmlformats.org/officeDocument/2006/relationships/hyperlink" Target="http://3690.hk" TargetMode="External"/><Relationship Id="rId941" Type="http://schemas.openxmlformats.org/officeDocument/2006/relationships/hyperlink" Target="https://finance.yahoo.com/quote/TSLA/?p=TSLA" TargetMode="External"/><Relationship Id="rId940" Type="http://schemas.openxmlformats.org/officeDocument/2006/relationships/hyperlink" Target="https://finance.yahoo.com/quote/TSLA/?p=TSLA" TargetMode="External"/><Relationship Id="rId705" Type="http://schemas.openxmlformats.org/officeDocument/2006/relationships/hyperlink" Target="https://finance.yahoo.com/quote/BABA/?p=BABA" TargetMode="External"/><Relationship Id="rId947" Type="http://schemas.openxmlformats.org/officeDocument/2006/relationships/hyperlink" Target="https://finance.yahoo.com/quote/LCID/?p=LCID" TargetMode="External"/><Relationship Id="rId704" Type="http://schemas.openxmlformats.org/officeDocument/2006/relationships/hyperlink" Target="https://finance.yahoo.com/quote/TSLA/?p=TSLA" TargetMode="External"/><Relationship Id="rId946" Type="http://schemas.openxmlformats.org/officeDocument/2006/relationships/hyperlink" Target="https://finance.yahoo.com/quote/BABA/?p=BABA" TargetMode="External"/><Relationship Id="rId703" Type="http://schemas.openxmlformats.org/officeDocument/2006/relationships/hyperlink" Target="https://finance.yahoo.com/quote/SOL-USD/?p=SOL-USD" TargetMode="External"/><Relationship Id="rId945" Type="http://schemas.openxmlformats.org/officeDocument/2006/relationships/hyperlink" Target="https://finance.yahoo.com/quote/AAPL/?p=AAPL" TargetMode="External"/><Relationship Id="rId702" Type="http://schemas.openxmlformats.org/officeDocument/2006/relationships/hyperlink" Target="https://finance.yahoo.com/quote/SNOW/?p=SNOW" TargetMode="External"/><Relationship Id="rId944" Type="http://schemas.openxmlformats.org/officeDocument/2006/relationships/hyperlink" Target="https://finance.yahoo.com/quote/FB/?p=FB" TargetMode="External"/><Relationship Id="rId73" Type="http://schemas.openxmlformats.org/officeDocument/2006/relationships/hyperlink" Target="https://finance.yahoo.com/quote/GOLD/?p=GOLD" TargetMode="External"/><Relationship Id="rId72" Type="http://schemas.openxmlformats.org/officeDocument/2006/relationships/hyperlink" Target="https://finance.yahoo.com/quote/GOLD/?p=GOLD" TargetMode="External"/><Relationship Id="rId75" Type="http://schemas.openxmlformats.org/officeDocument/2006/relationships/hyperlink" Target="https://finance.yahoo.com/quote/ANPDY/?p=ANPDY" TargetMode="External"/><Relationship Id="rId74" Type="http://schemas.openxmlformats.org/officeDocument/2006/relationships/hyperlink" Target="https://finance.yahoo.com/quote/TSLA/?p=TSLA" TargetMode="External"/><Relationship Id="rId77" Type="http://schemas.openxmlformats.org/officeDocument/2006/relationships/hyperlink" Target="https://finance.yahoo.com/quote/GOLD/?p=GOLD" TargetMode="External"/><Relationship Id="rId76" Type="http://schemas.openxmlformats.org/officeDocument/2006/relationships/hyperlink" Target="https://finance.yahoo.com/quote/TSLA/?p=TSLA" TargetMode="External"/><Relationship Id="rId79" Type="http://schemas.openxmlformats.org/officeDocument/2006/relationships/hyperlink" Target="https://finance.yahoo.com/quote/DIS/?p=DIS" TargetMode="External"/><Relationship Id="rId78" Type="http://schemas.openxmlformats.org/officeDocument/2006/relationships/hyperlink" Target="https://finance.yahoo.com/quote/BABA/?p=BABA" TargetMode="External"/><Relationship Id="rId939" Type="http://schemas.openxmlformats.org/officeDocument/2006/relationships/hyperlink" Target="https://finance.yahoo.com/quote/3690.hk/?p=3690.hk" TargetMode="External"/><Relationship Id="rId938" Type="http://schemas.openxmlformats.org/officeDocument/2006/relationships/hyperlink" Target="http://3690.hk" TargetMode="External"/><Relationship Id="rId937" Type="http://schemas.openxmlformats.org/officeDocument/2006/relationships/hyperlink" Target="https://finance.yahoo.com/quote/0700.hk/?p=0700.hk" TargetMode="External"/><Relationship Id="rId71" Type="http://schemas.openxmlformats.org/officeDocument/2006/relationships/hyperlink" Target="https://finance.yahoo.com/quote/ANPDY/?p=ANPDY" TargetMode="External"/><Relationship Id="rId70" Type="http://schemas.openxmlformats.org/officeDocument/2006/relationships/hyperlink" Target="https://finance.yahoo.com/quote/TSLA/?p=TSLA" TargetMode="External"/><Relationship Id="rId932" Type="http://schemas.openxmlformats.org/officeDocument/2006/relationships/hyperlink" Target="https://finance.yahoo.com/quote/ABNB/?p=ABNB" TargetMode="External"/><Relationship Id="rId931" Type="http://schemas.openxmlformats.org/officeDocument/2006/relationships/hyperlink" Target="https://finance.yahoo.com/quote/ABNB/?p=ABNB" TargetMode="External"/><Relationship Id="rId930" Type="http://schemas.openxmlformats.org/officeDocument/2006/relationships/hyperlink" Target="https://finance.yahoo.com/quote/0241.HK/?p=0241.HK" TargetMode="External"/><Relationship Id="rId936" Type="http://schemas.openxmlformats.org/officeDocument/2006/relationships/hyperlink" Target="http://0700.hk" TargetMode="External"/><Relationship Id="rId935" Type="http://schemas.openxmlformats.org/officeDocument/2006/relationships/hyperlink" Target="https://finance.yahoo.com/quote/1810.hk/?p=1810.hk" TargetMode="External"/><Relationship Id="rId934" Type="http://schemas.openxmlformats.org/officeDocument/2006/relationships/hyperlink" Target="http://1810.hk" TargetMode="External"/><Relationship Id="rId933" Type="http://schemas.openxmlformats.org/officeDocument/2006/relationships/hyperlink" Target="https://finance.yahoo.com/quote/V/?p=V" TargetMode="External"/><Relationship Id="rId62" Type="http://schemas.openxmlformats.org/officeDocument/2006/relationships/hyperlink" Target="https://finance.yahoo.com/quote/XLI/?p=XLI" TargetMode="External"/><Relationship Id="rId1312" Type="http://schemas.openxmlformats.org/officeDocument/2006/relationships/hyperlink" Target="http://3833.hk" TargetMode="External"/><Relationship Id="rId61" Type="http://schemas.openxmlformats.org/officeDocument/2006/relationships/hyperlink" Target="https://finance.yahoo.com/quote/XLF/?p=XLF" TargetMode="External"/><Relationship Id="rId1313" Type="http://schemas.openxmlformats.org/officeDocument/2006/relationships/hyperlink" Target="https://finance.yahoo.com/quote/3833.HK/?p=3833.HK" TargetMode="External"/><Relationship Id="rId64" Type="http://schemas.openxmlformats.org/officeDocument/2006/relationships/hyperlink" Target="https://finance.yahoo.com/quote/XLP/?p=XLP" TargetMode="External"/><Relationship Id="rId1314" Type="http://schemas.openxmlformats.org/officeDocument/2006/relationships/hyperlink" Target="https://finance.yahoo.com/quote/TCEHY/?p=TCEHY" TargetMode="External"/><Relationship Id="rId63" Type="http://schemas.openxmlformats.org/officeDocument/2006/relationships/hyperlink" Target="https://finance.yahoo.com/quote/XLK/?p=XLK" TargetMode="External"/><Relationship Id="rId1315" Type="http://schemas.openxmlformats.org/officeDocument/2006/relationships/hyperlink" Target="https://finance.yahoo.com/quote/TCEHY/?p=TCEHY" TargetMode="External"/><Relationship Id="rId66" Type="http://schemas.openxmlformats.org/officeDocument/2006/relationships/hyperlink" Target="https://finance.yahoo.com/quote/XLU/?p=XLU" TargetMode="External"/><Relationship Id="rId1316" Type="http://schemas.openxmlformats.org/officeDocument/2006/relationships/hyperlink" Target="http://3690.hk" TargetMode="External"/><Relationship Id="rId65" Type="http://schemas.openxmlformats.org/officeDocument/2006/relationships/hyperlink" Target="https://finance.yahoo.com/quote/XLRE/?p=XLRE" TargetMode="External"/><Relationship Id="rId1317" Type="http://schemas.openxmlformats.org/officeDocument/2006/relationships/hyperlink" Target="https://finance.yahoo.com/quote/3690.HK/?p=3690.HK" TargetMode="External"/><Relationship Id="rId68" Type="http://schemas.openxmlformats.org/officeDocument/2006/relationships/hyperlink" Target="https://finance.yahoo.com/quote/XLY/?p=XLY" TargetMode="External"/><Relationship Id="rId1318" Type="http://schemas.openxmlformats.org/officeDocument/2006/relationships/hyperlink" Target="https://finance.yahoo.com/quote/%5EHSI/?p=%5EHSI" TargetMode="External"/><Relationship Id="rId67" Type="http://schemas.openxmlformats.org/officeDocument/2006/relationships/hyperlink" Target="https://finance.yahoo.com/quote/XLV/?p=XLV" TargetMode="External"/><Relationship Id="rId1319" Type="http://schemas.openxmlformats.org/officeDocument/2006/relationships/hyperlink" Target="https://finance.yahoo.com/quote/MARA/?p=MARA" TargetMode="External"/><Relationship Id="rId729" Type="http://schemas.openxmlformats.org/officeDocument/2006/relationships/hyperlink" Target="https://finance.yahoo.com/quote/NET/?p=NET" TargetMode="External"/><Relationship Id="rId728" Type="http://schemas.openxmlformats.org/officeDocument/2006/relationships/hyperlink" Target="https://finance.yahoo.com/quote/9988.HK/?p=9988.HK" TargetMode="External"/><Relationship Id="rId60" Type="http://schemas.openxmlformats.org/officeDocument/2006/relationships/hyperlink" Target="https://finance.yahoo.com/quote/XLE/?p=XLE" TargetMode="External"/><Relationship Id="rId723" Type="http://schemas.openxmlformats.org/officeDocument/2006/relationships/hyperlink" Target="http://3047.hk" TargetMode="External"/><Relationship Id="rId965" Type="http://schemas.openxmlformats.org/officeDocument/2006/relationships/hyperlink" Target="https://finance.yahoo.com/quote/GBTC/?p=GBTC" TargetMode="External"/><Relationship Id="rId722" Type="http://schemas.openxmlformats.org/officeDocument/2006/relationships/hyperlink" Target="https://finance.yahoo.com/quote/SARK/?p=SARK" TargetMode="External"/><Relationship Id="rId964" Type="http://schemas.openxmlformats.org/officeDocument/2006/relationships/hyperlink" Target="https://finance.yahoo.com/quote/SNPS/?p=SNPS" TargetMode="External"/><Relationship Id="rId721" Type="http://schemas.openxmlformats.org/officeDocument/2006/relationships/hyperlink" Target="https://finance.yahoo.com/quote/ARKK/?p=ARKK" TargetMode="External"/><Relationship Id="rId963" Type="http://schemas.openxmlformats.org/officeDocument/2006/relationships/hyperlink" Target="https://finance.yahoo.com/quote/PANW/?p=PANW" TargetMode="External"/><Relationship Id="rId720" Type="http://schemas.openxmlformats.org/officeDocument/2006/relationships/hyperlink" Target="https://finance.yahoo.com/quote/ARKK/?p=ARKK" TargetMode="External"/><Relationship Id="rId962" Type="http://schemas.openxmlformats.org/officeDocument/2006/relationships/hyperlink" Target="https://finance.yahoo.com/quote/NET/?p=NET" TargetMode="External"/><Relationship Id="rId727" Type="http://schemas.openxmlformats.org/officeDocument/2006/relationships/hyperlink" Target="http://9988.hk" TargetMode="External"/><Relationship Id="rId969" Type="http://schemas.openxmlformats.org/officeDocument/2006/relationships/hyperlink" Target="https://finance.yahoo.com/quote/MSFT/?p=MSFT" TargetMode="External"/><Relationship Id="rId726" Type="http://schemas.openxmlformats.org/officeDocument/2006/relationships/hyperlink" Target="https://finance.yahoo.com/quote/9988.HK/?p=9988.HK" TargetMode="External"/><Relationship Id="rId968" Type="http://schemas.openxmlformats.org/officeDocument/2006/relationships/hyperlink" Target="https://finance.yahoo.com/quote/GBTC/?p=GBTC" TargetMode="External"/><Relationship Id="rId725" Type="http://schemas.openxmlformats.org/officeDocument/2006/relationships/hyperlink" Target="http://9988.hk" TargetMode="External"/><Relationship Id="rId967" Type="http://schemas.openxmlformats.org/officeDocument/2006/relationships/hyperlink" Target="https://finance.yahoo.com/quote/f/?p=f" TargetMode="External"/><Relationship Id="rId724" Type="http://schemas.openxmlformats.org/officeDocument/2006/relationships/hyperlink" Target="https://finance.yahoo.com/quote/3047.HK/?p=3047.HK" TargetMode="External"/><Relationship Id="rId966" Type="http://schemas.openxmlformats.org/officeDocument/2006/relationships/hyperlink" Target="https://finance.yahoo.com/quote/F/?p=F" TargetMode="External"/><Relationship Id="rId69" Type="http://schemas.openxmlformats.org/officeDocument/2006/relationships/hyperlink" Target="https://finance.yahoo.com/quote/TSLA/?p=TSLA" TargetMode="External"/><Relationship Id="rId961" Type="http://schemas.openxmlformats.org/officeDocument/2006/relationships/hyperlink" Target="https://finance.yahoo.com/quote/9988.hk/?p=9988.hk" TargetMode="External"/><Relationship Id="rId960" Type="http://schemas.openxmlformats.org/officeDocument/2006/relationships/hyperlink" Target="http://9988.hk" TargetMode="External"/><Relationship Id="rId1310" Type="http://schemas.openxmlformats.org/officeDocument/2006/relationships/hyperlink" Target="https://finance.yahoo.com/quote/TCEHY/?p=TCEHY" TargetMode="External"/><Relationship Id="rId1311" Type="http://schemas.openxmlformats.org/officeDocument/2006/relationships/hyperlink" Target="https://finance.yahoo.com/quote/SBRCY/?p=SBRCY" TargetMode="External"/><Relationship Id="rId51" Type="http://schemas.openxmlformats.org/officeDocument/2006/relationships/hyperlink" Target="https://finance.yahoo.com/quote/NVDA/?p=NVDA" TargetMode="External"/><Relationship Id="rId1301" Type="http://schemas.openxmlformats.org/officeDocument/2006/relationships/hyperlink" Target="https://finance.yahoo.com/quote/SOXL/?p=SOXL" TargetMode="External"/><Relationship Id="rId50" Type="http://schemas.openxmlformats.org/officeDocument/2006/relationships/hyperlink" Target="https://finance.yahoo.com/quote/KO/?p=KO" TargetMode="External"/><Relationship Id="rId1302" Type="http://schemas.openxmlformats.org/officeDocument/2006/relationships/hyperlink" Target="https://finance.yahoo.com/quote/TCEHY/?p=TCEHY" TargetMode="External"/><Relationship Id="rId53" Type="http://schemas.openxmlformats.org/officeDocument/2006/relationships/hyperlink" Target="https://finance.yahoo.com/quote/TSM/?p=TSM" TargetMode="External"/><Relationship Id="rId1303" Type="http://schemas.openxmlformats.org/officeDocument/2006/relationships/hyperlink" Target="https://finance.yahoo.com/quote/YINN/?p=YINN" TargetMode="External"/><Relationship Id="rId52" Type="http://schemas.openxmlformats.org/officeDocument/2006/relationships/hyperlink" Target="https://finance.yahoo.com/quote/TSLA/?p=TSLA" TargetMode="External"/><Relationship Id="rId1304" Type="http://schemas.openxmlformats.org/officeDocument/2006/relationships/hyperlink" Target="http://9988.hk" TargetMode="External"/><Relationship Id="rId55" Type="http://schemas.openxmlformats.org/officeDocument/2006/relationships/hyperlink" Target="https://finance.yahoo.com/quote/005930.KS/?p=005930.KS" TargetMode="External"/><Relationship Id="rId1305" Type="http://schemas.openxmlformats.org/officeDocument/2006/relationships/hyperlink" Target="https://finance.yahoo.com/quote/9988.HK/?p=9988.HK" TargetMode="External"/><Relationship Id="rId54" Type="http://schemas.openxmlformats.org/officeDocument/2006/relationships/hyperlink" Target="https://finance.yahoo.com/quote/TSLA/?p=TSLA" TargetMode="External"/><Relationship Id="rId1306" Type="http://schemas.openxmlformats.org/officeDocument/2006/relationships/hyperlink" Target="http://0708.hk" TargetMode="External"/><Relationship Id="rId57" Type="http://schemas.openxmlformats.org/officeDocument/2006/relationships/hyperlink" Target="https://finance.yahoo.com/quote/XLK/?p=XLK" TargetMode="External"/><Relationship Id="rId1307" Type="http://schemas.openxmlformats.org/officeDocument/2006/relationships/hyperlink" Target="https://finance.yahoo.com/quote/0708.HK/?p=0708.HK" TargetMode="External"/><Relationship Id="rId56" Type="http://schemas.openxmlformats.org/officeDocument/2006/relationships/hyperlink" Target="https://finance.yahoo.com/quote/XLK/?p=XLK" TargetMode="External"/><Relationship Id="rId1308" Type="http://schemas.openxmlformats.org/officeDocument/2006/relationships/hyperlink" Target="http://3690.hk" TargetMode="External"/><Relationship Id="rId1309" Type="http://schemas.openxmlformats.org/officeDocument/2006/relationships/hyperlink" Target="https://finance.yahoo.com/quote/3690.HK/?p=3690.HK" TargetMode="External"/><Relationship Id="rId719" Type="http://schemas.openxmlformats.org/officeDocument/2006/relationships/hyperlink" Target="https://finance.yahoo.com/quote/SARK/?p=SARK" TargetMode="External"/><Relationship Id="rId718" Type="http://schemas.openxmlformats.org/officeDocument/2006/relationships/hyperlink" Target="https://finance.yahoo.com/quote/9988.HK/?p=9988.HK" TargetMode="External"/><Relationship Id="rId717" Type="http://schemas.openxmlformats.org/officeDocument/2006/relationships/hyperlink" Target="http://9988.hk" TargetMode="External"/><Relationship Id="rId959" Type="http://schemas.openxmlformats.org/officeDocument/2006/relationships/hyperlink" Target="https://finance.yahoo.com/quote/LMT/?p=LMT" TargetMode="External"/><Relationship Id="rId712" Type="http://schemas.openxmlformats.org/officeDocument/2006/relationships/hyperlink" Target="https://finance.yahoo.com/quote/BRK-B/?p=BRK-B" TargetMode="External"/><Relationship Id="rId954" Type="http://schemas.openxmlformats.org/officeDocument/2006/relationships/hyperlink" Target="https://finance.yahoo.com/quote/9999.hk/?p=9999.hk" TargetMode="External"/><Relationship Id="rId711" Type="http://schemas.openxmlformats.org/officeDocument/2006/relationships/hyperlink" Target="https://finance.yahoo.com/quote/BRK-B/?p=BRK-B" TargetMode="External"/><Relationship Id="rId953" Type="http://schemas.openxmlformats.org/officeDocument/2006/relationships/hyperlink" Target="http://9999.hk" TargetMode="External"/><Relationship Id="rId710" Type="http://schemas.openxmlformats.org/officeDocument/2006/relationships/hyperlink" Target="https://finance.yahoo.com/quote/BAC/?p=BAC" TargetMode="External"/><Relationship Id="rId952" Type="http://schemas.openxmlformats.org/officeDocument/2006/relationships/hyperlink" Target="https://finance.yahoo.com/quote/9988.hk/?p=9988.hk" TargetMode="External"/><Relationship Id="rId951" Type="http://schemas.openxmlformats.org/officeDocument/2006/relationships/hyperlink" Target="http://9988.hk" TargetMode="External"/><Relationship Id="rId716" Type="http://schemas.openxmlformats.org/officeDocument/2006/relationships/hyperlink" Target="https://finance.yahoo.com/quote/3047.HK/?p=3047.HK" TargetMode="External"/><Relationship Id="rId958" Type="http://schemas.openxmlformats.org/officeDocument/2006/relationships/hyperlink" Target="https://finance.yahoo.com/quote/9999.hk/?p=9999.hk" TargetMode="External"/><Relationship Id="rId715" Type="http://schemas.openxmlformats.org/officeDocument/2006/relationships/hyperlink" Target="http://3047.hk" TargetMode="External"/><Relationship Id="rId957" Type="http://schemas.openxmlformats.org/officeDocument/2006/relationships/hyperlink" Target="http://9999.hk" TargetMode="External"/><Relationship Id="rId714" Type="http://schemas.openxmlformats.org/officeDocument/2006/relationships/hyperlink" Target="https://finance.yahoo.com/quote/0941.HK/?p=0941.HK" TargetMode="External"/><Relationship Id="rId956" Type="http://schemas.openxmlformats.org/officeDocument/2006/relationships/hyperlink" Target="https://finance.yahoo.com/quote/0700.hk/?p=0700.hk" TargetMode="External"/><Relationship Id="rId713" Type="http://schemas.openxmlformats.org/officeDocument/2006/relationships/hyperlink" Target="http://0941.hk" TargetMode="External"/><Relationship Id="rId955" Type="http://schemas.openxmlformats.org/officeDocument/2006/relationships/hyperlink" Target="http://0700.hk" TargetMode="External"/><Relationship Id="rId59" Type="http://schemas.openxmlformats.org/officeDocument/2006/relationships/hyperlink" Target="https://finance.yahoo.com/quote/XLC/?p=XLC" TargetMode="External"/><Relationship Id="rId58" Type="http://schemas.openxmlformats.org/officeDocument/2006/relationships/hyperlink" Target="https://finance.yahoo.com/quote/XLB/?p=XLB" TargetMode="External"/><Relationship Id="rId950" Type="http://schemas.openxmlformats.org/officeDocument/2006/relationships/hyperlink" Target="https://finance.yahoo.com/quote/YINN/?p=YINN" TargetMode="External"/><Relationship Id="rId1300" Type="http://schemas.openxmlformats.org/officeDocument/2006/relationships/hyperlink" Target="https://finance.yahoo.com/quote/SOXL/?p=SOXL" TargetMode="External"/><Relationship Id="rId590" Type="http://schemas.openxmlformats.org/officeDocument/2006/relationships/hyperlink" Target="https://finance.yahoo.com/quote/HPQ/?p=HPQ" TargetMode="External"/><Relationship Id="rId107" Type="http://schemas.openxmlformats.org/officeDocument/2006/relationships/hyperlink" Target="https://finance.yahoo.com/quote/SOHU/?p=SOHU" TargetMode="External"/><Relationship Id="rId349" Type="http://schemas.openxmlformats.org/officeDocument/2006/relationships/hyperlink" Target="http://000568.sz" TargetMode="External"/><Relationship Id="rId106" Type="http://schemas.openxmlformats.org/officeDocument/2006/relationships/hyperlink" Target="https://finance.yahoo.com/quote/TSLA/?p=TSLA" TargetMode="External"/><Relationship Id="rId348" Type="http://schemas.openxmlformats.org/officeDocument/2006/relationships/hyperlink" Target="https://finance.yahoo.com/quote/6680.HK/?p=6680.HK" TargetMode="External"/><Relationship Id="rId105" Type="http://schemas.openxmlformats.org/officeDocument/2006/relationships/hyperlink" Target="https://finance.yahoo.com/quote/TSLA/?p=TSLA" TargetMode="External"/><Relationship Id="rId347" Type="http://schemas.openxmlformats.org/officeDocument/2006/relationships/hyperlink" Target="http://6680.hk" TargetMode="External"/><Relationship Id="rId589" Type="http://schemas.openxmlformats.org/officeDocument/2006/relationships/hyperlink" Target="https://finance.yahoo.com/quote/COST/?p=COST" TargetMode="External"/><Relationship Id="rId104" Type="http://schemas.openxmlformats.org/officeDocument/2006/relationships/hyperlink" Target="https://finance.yahoo.com/quote/TSLA/?p=TSLA" TargetMode="External"/><Relationship Id="rId346" Type="http://schemas.openxmlformats.org/officeDocument/2006/relationships/hyperlink" Target="https://finance.yahoo.com/quote/600519.SS/?p=600519.SS" TargetMode="External"/><Relationship Id="rId588" Type="http://schemas.openxmlformats.org/officeDocument/2006/relationships/hyperlink" Target="https://finance.yahoo.com/quote/A/?p=A" TargetMode="External"/><Relationship Id="rId109" Type="http://schemas.openxmlformats.org/officeDocument/2006/relationships/hyperlink" Target="https://finance.yahoo.com/quote/LMT/?p=LMT" TargetMode="External"/><Relationship Id="rId1170" Type="http://schemas.openxmlformats.org/officeDocument/2006/relationships/hyperlink" Target="http://6078.hk" TargetMode="External"/><Relationship Id="rId108" Type="http://schemas.openxmlformats.org/officeDocument/2006/relationships/hyperlink" Target="https://finance.yahoo.com/quote/TSLA/?p=TSLA" TargetMode="External"/><Relationship Id="rId1171" Type="http://schemas.openxmlformats.org/officeDocument/2006/relationships/hyperlink" Target="https://finance.yahoo.com/quote/6078.HK/?p=6078.HK" TargetMode="External"/><Relationship Id="rId341" Type="http://schemas.openxmlformats.org/officeDocument/2006/relationships/hyperlink" Target="http://1810.hk" TargetMode="External"/><Relationship Id="rId583" Type="http://schemas.openxmlformats.org/officeDocument/2006/relationships/hyperlink" Target="https://finance.yahoo.com/quote/0570.HK/?p=0570.HK" TargetMode="External"/><Relationship Id="rId1172" Type="http://schemas.openxmlformats.org/officeDocument/2006/relationships/hyperlink" Target="http://0700.hk" TargetMode="External"/><Relationship Id="rId340" Type="http://schemas.openxmlformats.org/officeDocument/2006/relationships/hyperlink" Target="https://finance.yahoo.com/quote/0700.HK/?p=0700.HK" TargetMode="External"/><Relationship Id="rId582" Type="http://schemas.openxmlformats.org/officeDocument/2006/relationships/hyperlink" Target="http://0570.hk" TargetMode="External"/><Relationship Id="rId1173" Type="http://schemas.openxmlformats.org/officeDocument/2006/relationships/hyperlink" Target="https://finance.yahoo.com/quote/0700.HK/?p=0700.HK" TargetMode="External"/><Relationship Id="rId581" Type="http://schemas.openxmlformats.org/officeDocument/2006/relationships/hyperlink" Target="https://finance.yahoo.com/quote/9858.HK/?p=9858.HK" TargetMode="External"/><Relationship Id="rId1174" Type="http://schemas.openxmlformats.org/officeDocument/2006/relationships/hyperlink" Target="https://finance.yahoo.com/quote/AAPL/?p=AAPL" TargetMode="External"/><Relationship Id="rId580" Type="http://schemas.openxmlformats.org/officeDocument/2006/relationships/hyperlink" Target="http://9858.hk" TargetMode="External"/><Relationship Id="rId1175" Type="http://schemas.openxmlformats.org/officeDocument/2006/relationships/hyperlink" Target="http://000950.sz" TargetMode="External"/><Relationship Id="rId103" Type="http://schemas.openxmlformats.org/officeDocument/2006/relationships/hyperlink" Target="https://finance.yahoo.com/quote/BA/?p=BA" TargetMode="External"/><Relationship Id="rId345" Type="http://schemas.openxmlformats.org/officeDocument/2006/relationships/hyperlink" Target="http://600519.ss" TargetMode="External"/><Relationship Id="rId587" Type="http://schemas.openxmlformats.org/officeDocument/2006/relationships/hyperlink" Target="https://finance.yahoo.com/quote/3800.HK/?p=3800.HK" TargetMode="External"/><Relationship Id="rId1176" Type="http://schemas.openxmlformats.org/officeDocument/2006/relationships/hyperlink" Target="https://finance.yahoo.com/quote/000950.SZ/?p=000950.SZ" TargetMode="External"/><Relationship Id="rId102" Type="http://schemas.openxmlformats.org/officeDocument/2006/relationships/hyperlink" Target="https://finance.yahoo.com/quote/BA/?p=BA" TargetMode="External"/><Relationship Id="rId344" Type="http://schemas.openxmlformats.org/officeDocument/2006/relationships/hyperlink" Target="https://finance.yahoo.com/quote/6862.HK/?p=6862.HK" TargetMode="External"/><Relationship Id="rId586" Type="http://schemas.openxmlformats.org/officeDocument/2006/relationships/hyperlink" Target="http://3800.hk" TargetMode="External"/><Relationship Id="rId1177" Type="http://schemas.openxmlformats.org/officeDocument/2006/relationships/hyperlink" Target="http://600661.ss" TargetMode="External"/><Relationship Id="rId101" Type="http://schemas.openxmlformats.org/officeDocument/2006/relationships/hyperlink" Target="https://finance.yahoo.com/quote/tcehy/?p=tcehy" TargetMode="External"/><Relationship Id="rId343" Type="http://schemas.openxmlformats.org/officeDocument/2006/relationships/hyperlink" Target="http://6862.hk" TargetMode="External"/><Relationship Id="rId585" Type="http://schemas.openxmlformats.org/officeDocument/2006/relationships/hyperlink" Target="https://finance.yahoo.com/quote/2319.HK/?p=2319.HK" TargetMode="External"/><Relationship Id="rId1178" Type="http://schemas.openxmlformats.org/officeDocument/2006/relationships/hyperlink" Target="https://finance.yahoo.com/quote/600661.SS/?p=600661.SS" TargetMode="External"/><Relationship Id="rId100" Type="http://schemas.openxmlformats.org/officeDocument/2006/relationships/hyperlink" Target="https://finance.yahoo.com/quote/SONY/?p=SONY" TargetMode="External"/><Relationship Id="rId342" Type="http://schemas.openxmlformats.org/officeDocument/2006/relationships/hyperlink" Target="https://finance.yahoo.com/quote/1810.HK/?p=1810.HK" TargetMode="External"/><Relationship Id="rId584" Type="http://schemas.openxmlformats.org/officeDocument/2006/relationships/hyperlink" Target="http://2319.hk" TargetMode="External"/><Relationship Id="rId1179" Type="http://schemas.openxmlformats.org/officeDocument/2006/relationships/hyperlink" Target="https://finance.yahoo.com/quote/AAPL/?p=AAPL" TargetMode="External"/><Relationship Id="rId1169" Type="http://schemas.openxmlformats.org/officeDocument/2006/relationships/hyperlink" Target="https://finance.yahoo.com/quote/3690.HK/?p=3690.HK" TargetMode="External"/><Relationship Id="rId338" Type="http://schemas.openxmlformats.org/officeDocument/2006/relationships/hyperlink" Target="https://finance.yahoo.com/quote/XLV/?p=XLV" TargetMode="External"/><Relationship Id="rId337" Type="http://schemas.openxmlformats.org/officeDocument/2006/relationships/hyperlink" Target="https://finance.yahoo.com/quote/600519.SS/?p=600519.SS" TargetMode="External"/><Relationship Id="rId579" Type="http://schemas.openxmlformats.org/officeDocument/2006/relationships/hyperlink" Target="https://finance.yahoo.com/quote/3800.HK/?p=3800.HK" TargetMode="External"/><Relationship Id="rId336" Type="http://schemas.openxmlformats.org/officeDocument/2006/relationships/hyperlink" Target="http://600519.ss" TargetMode="External"/><Relationship Id="rId578" Type="http://schemas.openxmlformats.org/officeDocument/2006/relationships/hyperlink" Target="http://3800.hk" TargetMode="External"/><Relationship Id="rId335" Type="http://schemas.openxmlformats.org/officeDocument/2006/relationships/hyperlink" Target="https://finance.yahoo.com/quote/9988.HK/?p=9988.HK" TargetMode="External"/><Relationship Id="rId577" Type="http://schemas.openxmlformats.org/officeDocument/2006/relationships/hyperlink" Target="https://finance.yahoo.com/quote/3800.HK/?p=3800.HK" TargetMode="External"/><Relationship Id="rId339" Type="http://schemas.openxmlformats.org/officeDocument/2006/relationships/hyperlink" Target="http://0700.hk" TargetMode="External"/><Relationship Id="rId1160" Type="http://schemas.openxmlformats.org/officeDocument/2006/relationships/hyperlink" Target="http://0700.hk" TargetMode="External"/><Relationship Id="rId330" Type="http://schemas.openxmlformats.org/officeDocument/2006/relationships/hyperlink" Target="https://finance.yahoo.com/quote/9988.HK/?p=9988.HK" TargetMode="External"/><Relationship Id="rId572" Type="http://schemas.openxmlformats.org/officeDocument/2006/relationships/hyperlink" Target="http://0700.hk" TargetMode="External"/><Relationship Id="rId1161" Type="http://schemas.openxmlformats.org/officeDocument/2006/relationships/hyperlink" Target="https://finance.yahoo.com/quote/0700.HK/?p=0700.HK" TargetMode="External"/><Relationship Id="rId571" Type="http://schemas.openxmlformats.org/officeDocument/2006/relationships/hyperlink" Target="https://finance.yahoo.com/quote/0288.HK/?p=0288.HK" TargetMode="External"/><Relationship Id="rId1162" Type="http://schemas.openxmlformats.org/officeDocument/2006/relationships/hyperlink" Target="http://3690.hk" TargetMode="External"/><Relationship Id="rId570" Type="http://schemas.openxmlformats.org/officeDocument/2006/relationships/hyperlink" Target="http://0288.hk" TargetMode="External"/><Relationship Id="rId1163" Type="http://schemas.openxmlformats.org/officeDocument/2006/relationships/hyperlink" Target="https://finance.yahoo.com/quote/3690.HK/?p=3690.HK" TargetMode="External"/><Relationship Id="rId1164" Type="http://schemas.openxmlformats.org/officeDocument/2006/relationships/hyperlink" Target="http://9626.hk" TargetMode="External"/><Relationship Id="rId334" Type="http://schemas.openxmlformats.org/officeDocument/2006/relationships/hyperlink" Target="http://9988.hk" TargetMode="External"/><Relationship Id="rId576" Type="http://schemas.openxmlformats.org/officeDocument/2006/relationships/hyperlink" Target="http://3800.hk" TargetMode="External"/><Relationship Id="rId1165" Type="http://schemas.openxmlformats.org/officeDocument/2006/relationships/hyperlink" Target="https://finance.yahoo.com/quote/9626.HK/?p=9626.HK" TargetMode="External"/><Relationship Id="rId333" Type="http://schemas.openxmlformats.org/officeDocument/2006/relationships/hyperlink" Target="https://finance.yahoo.com/quote/1810.HK/?p=1810.HK" TargetMode="External"/><Relationship Id="rId575" Type="http://schemas.openxmlformats.org/officeDocument/2006/relationships/hyperlink" Target="https://finance.yahoo.com/quote/2319.HK/?p=2319.HK" TargetMode="External"/><Relationship Id="rId1166" Type="http://schemas.openxmlformats.org/officeDocument/2006/relationships/hyperlink" Target="http://9988.hk" TargetMode="External"/><Relationship Id="rId332" Type="http://schemas.openxmlformats.org/officeDocument/2006/relationships/hyperlink" Target="http://1810.hk" TargetMode="External"/><Relationship Id="rId574" Type="http://schemas.openxmlformats.org/officeDocument/2006/relationships/hyperlink" Target="http://2319.hk" TargetMode="External"/><Relationship Id="rId1167" Type="http://schemas.openxmlformats.org/officeDocument/2006/relationships/hyperlink" Target="https://finance.yahoo.com/quote/9988.HK/?p=9988.HK" TargetMode="External"/><Relationship Id="rId331" Type="http://schemas.openxmlformats.org/officeDocument/2006/relationships/hyperlink" Target="https://finance.yahoo.com/quote/XLV/?p=XLV" TargetMode="External"/><Relationship Id="rId573" Type="http://schemas.openxmlformats.org/officeDocument/2006/relationships/hyperlink" Target="https://finance.yahoo.com/quote/0700.HK/?p=0700.HK" TargetMode="External"/><Relationship Id="rId1168" Type="http://schemas.openxmlformats.org/officeDocument/2006/relationships/hyperlink" Target="http://3690.hk" TargetMode="External"/><Relationship Id="rId370" Type="http://schemas.openxmlformats.org/officeDocument/2006/relationships/hyperlink" Target="https://finance.yahoo.com/quote/NVAX/?p=NVAX" TargetMode="External"/><Relationship Id="rId129" Type="http://schemas.openxmlformats.org/officeDocument/2006/relationships/hyperlink" Target="http://2607.hk" TargetMode="External"/><Relationship Id="rId128" Type="http://schemas.openxmlformats.org/officeDocument/2006/relationships/hyperlink" Target="https://finance.yahoo.com/quote/2328.hk/?p=2328.hk" TargetMode="External"/><Relationship Id="rId127" Type="http://schemas.openxmlformats.org/officeDocument/2006/relationships/hyperlink" Target="http://2328.hk" TargetMode="External"/><Relationship Id="rId369" Type="http://schemas.openxmlformats.org/officeDocument/2006/relationships/hyperlink" Target="https://finance.yahoo.com/quote/NVAX/?p=NVAX" TargetMode="External"/><Relationship Id="rId126" Type="http://schemas.openxmlformats.org/officeDocument/2006/relationships/hyperlink" Target="https://finance.yahoo.com/quote/002864.SZ/?p=002864.SZ" TargetMode="External"/><Relationship Id="rId368" Type="http://schemas.openxmlformats.org/officeDocument/2006/relationships/hyperlink" Target="https://finance.yahoo.com/quote/FWONK/?p=FWONK" TargetMode="External"/><Relationship Id="rId1190" Type="http://schemas.openxmlformats.org/officeDocument/2006/relationships/hyperlink" Target="http://000965.sz" TargetMode="External"/><Relationship Id="rId1191" Type="http://schemas.openxmlformats.org/officeDocument/2006/relationships/hyperlink" Target="https://finance.yahoo.com/quote/000965.SZ/?p=000965.SZ" TargetMode="External"/><Relationship Id="rId1192" Type="http://schemas.openxmlformats.org/officeDocument/2006/relationships/hyperlink" Target="http://000505.sz" TargetMode="External"/><Relationship Id="rId1193" Type="http://schemas.openxmlformats.org/officeDocument/2006/relationships/hyperlink" Target="https://finance.yahoo.com/quote/000505.SZ/?p=000505.SZ" TargetMode="External"/><Relationship Id="rId121" Type="http://schemas.openxmlformats.org/officeDocument/2006/relationships/hyperlink" Target="http://0346.hk" TargetMode="External"/><Relationship Id="rId363" Type="http://schemas.openxmlformats.org/officeDocument/2006/relationships/hyperlink" Target="https://finance.yahoo.com/quote/603392.SS/?p=603392.SS" TargetMode="External"/><Relationship Id="rId1194" Type="http://schemas.openxmlformats.org/officeDocument/2006/relationships/hyperlink" Target="http://000965.sz" TargetMode="External"/><Relationship Id="rId120" Type="http://schemas.openxmlformats.org/officeDocument/2006/relationships/hyperlink" Target="https://finance.yahoo.com/quote/2607.hk/?p=2607.hk" TargetMode="External"/><Relationship Id="rId362" Type="http://schemas.openxmlformats.org/officeDocument/2006/relationships/hyperlink" Target="http://603392.ss" TargetMode="External"/><Relationship Id="rId1195" Type="http://schemas.openxmlformats.org/officeDocument/2006/relationships/hyperlink" Target="https://finance.yahoo.com/quote/000965.SZ/?p=000965.SZ" TargetMode="External"/><Relationship Id="rId361" Type="http://schemas.openxmlformats.org/officeDocument/2006/relationships/hyperlink" Target="https://finance.yahoo.com/quote/PFE/?p=PFE" TargetMode="External"/><Relationship Id="rId1196" Type="http://schemas.openxmlformats.org/officeDocument/2006/relationships/hyperlink" Target="http://000505.sz" TargetMode="External"/><Relationship Id="rId360" Type="http://schemas.openxmlformats.org/officeDocument/2006/relationships/hyperlink" Target="https://finance.yahoo.com/quote/NVAX/?p=NVAX" TargetMode="External"/><Relationship Id="rId1197" Type="http://schemas.openxmlformats.org/officeDocument/2006/relationships/hyperlink" Target="https://finance.yahoo.com/quote/000505.SZ/?p=000505.SZ" TargetMode="External"/><Relationship Id="rId125" Type="http://schemas.openxmlformats.org/officeDocument/2006/relationships/hyperlink" Target="http://002864.sz" TargetMode="External"/><Relationship Id="rId367" Type="http://schemas.openxmlformats.org/officeDocument/2006/relationships/hyperlink" Target="https://finance.yahoo.com/quote/FWONK/?p=FWONK" TargetMode="External"/><Relationship Id="rId1198" Type="http://schemas.openxmlformats.org/officeDocument/2006/relationships/hyperlink" Target="http://000665.sz" TargetMode="External"/><Relationship Id="rId124" Type="http://schemas.openxmlformats.org/officeDocument/2006/relationships/hyperlink" Target="https://finance.yahoo.com/quote/603261.SS/?p=603261.SS" TargetMode="External"/><Relationship Id="rId366" Type="http://schemas.openxmlformats.org/officeDocument/2006/relationships/hyperlink" Target="https://finance.yahoo.com/quote/AAPL/?p=AAPL" TargetMode="External"/><Relationship Id="rId1199" Type="http://schemas.openxmlformats.org/officeDocument/2006/relationships/hyperlink" Target="https://finance.yahoo.com/quote/000665.SZ/?p=000665.SZ" TargetMode="External"/><Relationship Id="rId123" Type="http://schemas.openxmlformats.org/officeDocument/2006/relationships/hyperlink" Target="http://603261.ss" TargetMode="External"/><Relationship Id="rId365" Type="http://schemas.openxmlformats.org/officeDocument/2006/relationships/hyperlink" Target="https://finance.yahoo.com/quote/603939.SS/?p=603939.SS" TargetMode="External"/><Relationship Id="rId122" Type="http://schemas.openxmlformats.org/officeDocument/2006/relationships/hyperlink" Target="https://finance.yahoo.com/quote/0346.hk/?p=0346.hk" TargetMode="External"/><Relationship Id="rId364" Type="http://schemas.openxmlformats.org/officeDocument/2006/relationships/hyperlink" Target="http://603939.ss" TargetMode="External"/><Relationship Id="rId95" Type="http://schemas.openxmlformats.org/officeDocument/2006/relationships/hyperlink" Target="http://0853.hk" TargetMode="External"/><Relationship Id="rId94" Type="http://schemas.openxmlformats.org/officeDocument/2006/relationships/hyperlink" Target="https://finance.yahoo.com/quote/BAC/?p=BAC" TargetMode="External"/><Relationship Id="rId97" Type="http://schemas.openxmlformats.org/officeDocument/2006/relationships/hyperlink" Target="https://finance.yahoo.com/quote/NIO/?p=NIO" TargetMode="External"/><Relationship Id="rId96" Type="http://schemas.openxmlformats.org/officeDocument/2006/relationships/hyperlink" Target="https://finance.yahoo.com/quote/0853.HK/?p=0853.HK" TargetMode="External"/><Relationship Id="rId99" Type="http://schemas.openxmlformats.org/officeDocument/2006/relationships/hyperlink" Target="https://finance.yahoo.com/quote/NVDA/?p=NVDA" TargetMode="External"/><Relationship Id="rId98" Type="http://schemas.openxmlformats.org/officeDocument/2006/relationships/hyperlink" Target="https://finance.yahoo.com/quote/ATVI/?p=ATVI" TargetMode="External"/><Relationship Id="rId91" Type="http://schemas.openxmlformats.org/officeDocument/2006/relationships/hyperlink" Target="https://finance.yahoo.com/quote/ADBE/?p=ADBE" TargetMode="External"/><Relationship Id="rId90" Type="http://schemas.openxmlformats.org/officeDocument/2006/relationships/hyperlink" Target="https://finance.yahoo.com/quote/ADBE/?p=ADBE" TargetMode="External"/><Relationship Id="rId93" Type="http://schemas.openxmlformats.org/officeDocument/2006/relationships/hyperlink" Target="https://finance.yahoo.com/quote/DIS/?p=DIS" TargetMode="External"/><Relationship Id="rId92" Type="http://schemas.openxmlformats.org/officeDocument/2006/relationships/hyperlink" Target="https://finance.yahoo.com/quote/BAC/?p=BAC" TargetMode="External"/><Relationship Id="rId118" Type="http://schemas.openxmlformats.org/officeDocument/2006/relationships/hyperlink" Target="https://finance.yahoo.com/quote/0346.hk/?p=0346.hk" TargetMode="External"/><Relationship Id="rId117" Type="http://schemas.openxmlformats.org/officeDocument/2006/relationships/hyperlink" Target="http://0346.hk" TargetMode="External"/><Relationship Id="rId359" Type="http://schemas.openxmlformats.org/officeDocument/2006/relationships/hyperlink" Target="https://finance.yahoo.com/quote/NEM/?p=NEM" TargetMode="External"/><Relationship Id="rId116" Type="http://schemas.openxmlformats.org/officeDocument/2006/relationships/hyperlink" Target="https://finance.yahoo.com/quote/2318.hk/?p=2318.hk" TargetMode="External"/><Relationship Id="rId358" Type="http://schemas.openxmlformats.org/officeDocument/2006/relationships/hyperlink" Target="https://finance.yahoo.com/quote/AU/?p=AU" TargetMode="External"/><Relationship Id="rId115" Type="http://schemas.openxmlformats.org/officeDocument/2006/relationships/hyperlink" Target="http://2318.hk" TargetMode="External"/><Relationship Id="rId357" Type="http://schemas.openxmlformats.org/officeDocument/2006/relationships/hyperlink" Target="https://finance.yahoo.com/quote/1024.HK/?p=1024.HK" TargetMode="External"/><Relationship Id="rId599" Type="http://schemas.openxmlformats.org/officeDocument/2006/relationships/hyperlink" Target="https://finance.yahoo.com/quote/TSLA/?p=TSLA" TargetMode="External"/><Relationship Id="rId1180" Type="http://schemas.openxmlformats.org/officeDocument/2006/relationships/hyperlink" Target="http://000950.sz" TargetMode="External"/><Relationship Id="rId1181" Type="http://schemas.openxmlformats.org/officeDocument/2006/relationships/hyperlink" Target="https://finance.yahoo.com/quote/000950.SZ/?p=000950.SZ" TargetMode="External"/><Relationship Id="rId119" Type="http://schemas.openxmlformats.org/officeDocument/2006/relationships/hyperlink" Target="http://2607.hk" TargetMode="External"/><Relationship Id="rId1182" Type="http://schemas.openxmlformats.org/officeDocument/2006/relationships/hyperlink" Target="http://600661.ss" TargetMode="External"/><Relationship Id="rId110" Type="http://schemas.openxmlformats.org/officeDocument/2006/relationships/hyperlink" Target="https://finance.yahoo.com/quote/SOHU/?p=SOHU" TargetMode="External"/><Relationship Id="rId352" Type="http://schemas.openxmlformats.org/officeDocument/2006/relationships/hyperlink" Target="https://finance.yahoo.com/quote/600519.SS/?p=600519.SS" TargetMode="External"/><Relationship Id="rId594" Type="http://schemas.openxmlformats.org/officeDocument/2006/relationships/hyperlink" Target="https://finance.yahoo.com/quote/TSLA/?p=TSLA" TargetMode="External"/><Relationship Id="rId1183" Type="http://schemas.openxmlformats.org/officeDocument/2006/relationships/hyperlink" Target="https://finance.yahoo.com/quote/600661.SS/?p=600661.SS" TargetMode="External"/><Relationship Id="rId351" Type="http://schemas.openxmlformats.org/officeDocument/2006/relationships/hyperlink" Target="http://600519.ss" TargetMode="External"/><Relationship Id="rId593" Type="http://schemas.openxmlformats.org/officeDocument/2006/relationships/hyperlink" Target="https://finance.yahoo.com/quote/600519.SS/?p=600519.SS" TargetMode="External"/><Relationship Id="rId1184" Type="http://schemas.openxmlformats.org/officeDocument/2006/relationships/hyperlink" Target="http://001896.sz" TargetMode="External"/><Relationship Id="rId350" Type="http://schemas.openxmlformats.org/officeDocument/2006/relationships/hyperlink" Target="https://finance.yahoo.com/quote/000568.SZ/?p=000568.SZ" TargetMode="External"/><Relationship Id="rId592" Type="http://schemas.openxmlformats.org/officeDocument/2006/relationships/hyperlink" Target="http://600519.ss" TargetMode="External"/><Relationship Id="rId1185" Type="http://schemas.openxmlformats.org/officeDocument/2006/relationships/hyperlink" Target="https://finance.yahoo.com/quote/001896.SZ/?p=001896.SZ" TargetMode="External"/><Relationship Id="rId591" Type="http://schemas.openxmlformats.org/officeDocument/2006/relationships/hyperlink" Target="https://finance.yahoo.com/quote/MNTS/?p=MNTS" TargetMode="External"/><Relationship Id="rId1186" Type="http://schemas.openxmlformats.org/officeDocument/2006/relationships/hyperlink" Target="http://0700.hk" TargetMode="External"/><Relationship Id="rId114" Type="http://schemas.openxmlformats.org/officeDocument/2006/relationships/hyperlink" Target="https://finance.yahoo.com/quote/000927.SZ/?p=000927.SZ" TargetMode="External"/><Relationship Id="rId356" Type="http://schemas.openxmlformats.org/officeDocument/2006/relationships/hyperlink" Target="http://1024.hk" TargetMode="External"/><Relationship Id="rId598" Type="http://schemas.openxmlformats.org/officeDocument/2006/relationships/hyperlink" Target="https://finance.yahoo.com/quote/TSLA/?p=TSLA" TargetMode="External"/><Relationship Id="rId1187" Type="http://schemas.openxmlformats.org/officeDocument/2006/relationships/hyperlink" Target="https://finance.yahoo.com/quote/0700.HK/?p=0700.HK" TargetMode="External"/><Relationship Id="rId113" Type="http://schemas.openxmlformats.org/officeDocument/2006/relationships/hyperlink" Target="http://000927.sz" TargetMode="External"/><Relationship Id="rId355" Type="http://schemas.openxmlformats.org/officeDocument/2006/relationships/hyperlink" Target="https://finance.yahoo.com/quote/000568.SZ/?p=000568.SZ" TargetMode="External"/><Relationship Id="rId597" Type="http://schemas.openxmlformats.org/officeDocument/2006/relationships/hyperlink" Target="https://finance.yahoo.com/quote/RIVN/?p=RIVN" TargetMode="External"/><Relationship Id="rId1188" Type="http://schemas.openxmlformats.org/officeDocument/2006/relationships/hyperlink" Target="http://0700.hk" TargetMode="External"/><Relationship Id="rId112" Type="http://schemas.openxmlformats.org/officeDocument/2006/relationships/hyperlink" Target="https://finance.yahoo.com/quote/1024.HK/?p=1024.HK" TargetMode="External"/><Relationship Id="rId354" Type="http://schemas.openxmlformats.org/officeDocument/2006/relationships/hyperlink" Target="http://000568.sz" TargetMode="External"/><Relationship Id="rId596" Type="http://schemas.openxmlformats.org/officeDocument/2006/relationships/hyperlink" Target="https://finance.yahoo.com/quote/DIS/?p=DIS" TargetMode="External"/><Relationship Id="rId1189" Type="http://schemas.openxmlformats.org/officeDocument/2006/relationships/hyperlink" Target="https://finance.yahoo.com/quote/0700.HK/?p=0700.HK" TargetMode="External"/><Relationship Id="rId111" Type="http://schemas.openxmlformats.org/officeDocument/2006/relationships/hyperlink" Target="http://1024.hk" TargetMode="External"/><Relationship Id="rId353" Type="http://schemas.openxmlformats.org/officeDocument/2006/relationships/hyperlink" Target="https://finance.yahoo.com/quote/%5ESPX/?p=%5ESPX" TargetMode="External"/><Relationship Id="rId595" Type="http://schemas.openxmlformats.org/officeDocument/2006/relationships/hyperlink" Target="https://finance.yahoo.com/quote/DIS/?p=DIS" TargetMode="External"/><Relationship Id="rId1136" Type="http://schemas.openxmlformats.org/officeDocument/2006/relationships/hyperlink" Target="http://1024.hk" TargetMode="External"/><Relationship Id="rId1137" Type="http://schemas.openxmlformats.org/officeDocument/2006/relationships/hyperlink" Target="https://finance.yahoo.com/quote/1024.HK/?p=1024.HK" TargetMode="External"/><Relationship Id="rId1138" Type="http://schemas.openxmlformats.org/officeDocument/2006/relationships/hyperlink" Target="http://9888.hk" TargetMode="External"/><Relationship Id="rId1139" Type="http://schemas.openxmlformats.org/officeDocument/2006/relationships/hyperlink" Target="https://finance.yahoo.com/quote/9888.HK/?p=9888.HK" TargetMode="External"/><Relationship Id="rId305" Type="http://schemas.openxmlformats.org/officeDocument/2006/relationships/hyperlink" Target="http://1024.hk" TargetMode="External"/><Relationship Id="rId547" Type="http://schemas.openxmlformats.org/officeDocument/2006/relationships/hyperlink" Target="http://9939.hk" TargetMode="External"/><Relationship Id="rId789" Type="http://schemas.openxmlformats.org/officeDocument/2006/relationships/hyperlink" Target="https://finance.yahoo.com/quote/0001.HK/?p=0001.HK" TargetMode="External"/><Relationship Id="rId304" Type="http://schemas.openxmlformats.org/officeDocument/2006/relationships/hyperlink" Target="https://finance.yahoo.com/quote/9988.Hk/?p=9988.Hk" TargetMode="External"/><Relationship Id="rId546" Type="http://schemas.openxmlformats.org/officeDocument/2006/relationships/hyperlink" Target="https://finance.yahoo.com/quote/AEP/?p=AEP" TargetMode="External"/><Relationship Id="rId788" Type="http://schemas.openxmlformats.org/officeDocument/2006/relationships/hyperlink" Target="http://0001.hk" TargetMode="External"/><Relationship Id="rId303" Type="http://schemas.openxmlformats.org/officeDocument/2006/relationships/hyperlink" Target="http://9988.hk" TargetMode="External"/><Relationship Id="rId545" Type="http://schemas.openxmlformats.org/officeDocument/2006/relationships/hyperlink" Target="https://finance.yahoo.com/quote/BILI/?p=BILI" TargetMode="External"/><Relationship Id="rId787" Type="http://schemas.openxmlformats.org/officeDocument/2006/relationships/hyperlink" Target="https://finance.yahoo.com/quote/005930.KS/?p=005930.KS" TargetMode="External"/><Relationship Id="rId302" Type="http://schemas.openxmlformats.org/officeDocument/2006/relationships/hyperlink" Target="https://finance.yahoo.com/quote/1810.HK/?p=1810.HK" TargetMode="External"/><Relationship Id="rId544" Type="http://schemas.openxmlformats.org/officeDocument/2006/relationships/hyperlink" Target="https://finance.yahoo.com/quote/BABA/?p=BABA" TargetMode="External"/><Relationship Id="rId786" Type="http://schemas.openxmlformats.org/officeDocument/2006/relationships/hyperlink" Target="https://finance.yahoo.com/quote/PATH/?p=PATH" TargetMode="External"/><Relationship Id="rId309" Type="http://schemas.openxmlformats.org/officeDocument/2006/relationships/hyperlink" Target="http://6680.hk" TargetMode="External"/><Relationship Id="rId308" Type="http://schemas.openxmlformats.org/officeDocument/2006/relationships/hyperlink" Target="https://finance.yahoo.com/quote/1810.HK/?p=1810.HK" TargetMode="External"/><Relationship Id="rId307" Type="http://schemas.openxmlformats.org/officeDocument/2006/relationships/hyperlink" Target="http://1810.hk" TargetMode="External"/><Relationship Id="rId549" Type="http://schemas.openxmlformats.org/officeDocument/2006/relationships/hyperlink" Target="https://finance.yahoo.com/quote/TSLA/?p=TSLA" TargetMode="External"/><Relationship Id="rId306" Type="http://schemas.openxmlformats.org/officeDocument/2006/relationships/hyperlink" Target="https://finance.yahoo.com/quote/1024.HK/?p=1024.HK" TargetMode="External"/><Relationship Id="rId548" Type="http://schemas.openxmlformats.org/officeDocument/2006/relationships/hyperlink" Target="https://finance.yahoo.com/quote/9939.HK/?p=9939.HK" TargetMode="External"/><Relationship Id="rId781" Type="http://schemas.openxmlformats.org/officeDocument/2006/relationships/hyperlink" Target="https://finance.yahoo.com/quote/AAPL/?p=AAPL" TargetMode="External"/><Relationship Id="rId780" Type="http://schemas.openxmlformats.org/officeDocument/2006/relationships/hyperlink" Target="https://finance.yahoo.com/quote/0700.HK/?p=0700.HK" TargetMode="External"/><Relationship Id="rId1130" Type="http://schemas.openxmlformats.org/officeDocument/2006/relationships/hyperlink" Target="http://000568.sz" TargetMode="External"/><Relationship Id="rId1131" Type="http://schemas.openxmlformats.org/officeDocument/2006/relationships/hyperlink" Target="https://finance.yahoo.com/quote/000568.SZ/?p=000568.SZ" TargetMode="External"/><Relationship Id="rId301" Type="http://schemas.openxmlformats.org/officeDocument/2006/relationships/hyperlink" Target="http://1810.hk" TargetMode="External"/><Relationship Id="rId543" Type="http://schemas.openxmlformats.org/officeDocument/2006/relationships/hyperlink" Target="https://finance.yahoo.com/quote/AAPL/?p=AAPL" TargetMode="External"/><Relationship Id="rId785" Type="http://schemas.openxmlformats.org/officeDocument/2006/relationships/hyperlink" Target="https://finance.yahoo.com/quote/AAPL/?p=AAPL" TargetMode="External"/><Relationship Id="rId1132" Type="http://schemas.openxmlformats.org/officeDocument/2006/relationships/hyperlink" Target="http://000568.sz" TargetMode="External"/><Relationship Id="rId300" Type="http://schemas.openxmlformats.org/officeDocument/2006/relationships/hyperlink" Target="https://finance.yahoo.com/quote/1024.HK/?p=1024.HK" TargetMode="External"/><Relationship Id="rId542" Type="http://schemas.openxmlformats.org/officeDocument/2006/relationships/hyperlink" Target="https://finance.yahoo.com/quote/9988.HK/?p=9988.HK" TargetMode="External"/><Relationship Id="rId784" Type="http://schemas.openxmlformats.org/officeDocument/2006/relationships/hyperlink" Target="https://finance.yahoo.com/quote/NFLX/?p=NFLX" TargetMode="External"/><Relationship Id="rId1133" Type="http://schemas.openxmlformats.org/officeDocument/2006/relationships/hyperlink" Target="https://finance.yahoo.com/quote/000568.sz/?p=000568.sz" TargetMode="External"/><Relationship Id="rId541" Type="http://schemas.openxmlformats.org/officeDocument/2006/relationships/hyperlink" Target="http://9988.hk" TargetMode="External"/><Relationship Id="rId783" Type="http://schemas.openxmlformats.org/officeDocument/2006/relationships/hyperlink" Target="https://finance.yahoo.com/quote/AAPL/?p=AAPL" TargetMode="External"/><Relationship Id="rId1134" Type="http://schemas.openxmlformats.org/officeDocument/2006/relationships/hyperlink" Target="http://000568.sz" TargetMode="External"/><Relationship Id="rId540" Type="http://schemas.openxmlformats.org/officeDocument/2006/relationships/hyperlink" Target="https://finance.yahoo.com/quote/9626.HK/?p=9626.HK" TargetMode="External"/><Relationship Id="rId782" Type="http://schemas.openxmlformats.org/officeDocument/2006/relationships/hyperlink" Target="https://finance.yahoo.com/quote/TSLA/?p=TSLA" TargetMode="External"/><Relationship Id="rId1135" Type="http://schemas.openxmlformats.org/officeDocument/2006/relationships/hyperlink" Target="https://finance.yahoo.com/quote/000568.sz/?p=000568.sz" TargetMode="External"/><Relationship Id="rId1125" Type="http://schemas.openxmlformats.org/officeDocument/2006/relationships/hyperlink" Target="http://0700.hk" TargetMode="External"/><Relationship Id="rId1126" Type="http://schemas.openxmlformats.org/officeDocument/2006/relationships/hyperlink" Target="https://finance.yahoo.com/quote/0700.HK/?p=0700.HK" TargetMode="External"/><Relationship Id="rId1127" Type="http://schemas.openxmlformats.org/officeDocument/2006/relationships/hyperlink" Target="https://finance.yahoo.com/quote/ABML/?p=ABML" TargetMode="External"/><Relationship Id="rId1128" Type="http://schemas.openxmlformats.org/officeDocument/2006/relationships/hyperlink" Target="https://finance.yahoo.com/quote/DIDI/?p=DIDI" TargetMode="External"/><Relationship Id="rId1129" Type="http://schemas.openxmlformats.org/officeDocument/2006/relationships/hyperlink" Target="https://finance.yahoo.com/quote/DIDI/?p=DIDI" TargetMode="External"/><Relationship Id="rId536" Type="http://schemas.openxmlformats.org/officeDocument/2006/relationships/hyperlink" Target="https://finance.yahoo.com/quote/BG/?p=BG" TargetMode="External"/><Relationship Id="rId778" Type="http://schemas.openxmlformats.org/officeDocument/2006/relationships/hyperlink" Target="https://finance.yahoo.com/quote/TSLA/?p=TSLA" TargetMode="External"/><Relationship Id="rId535" Type="http://schemas.openxmlformats.org/officeDocument/2006/relationships/hyperlink" Target="https://finance.yahoo.com/quote/BG/?p=BG" TargetMode="External"/><Relationship Id="rId777" Type="http://schemas.openxmlformats.org/officeDocument/2006/relationships/hyperlink" Target="https://finance.yahoo.com/quote/9988.HK/?p=9988.HK" TargetMode="External"/><Relationship Id="rId534" Type="http://schemas.openxmlformats.org/officeDocument/2006/relationships/hyperlink" Target="https://finance.yahoo.com/quote/BG/?p=BG" TargetMode="External"/><Relationship Id="rId776" Type="http://schemas.openxmlformats.org/officeDocument/2006/relationships/hyperlink" Target="http://9988.hk" TargetMode="External"/><Relationship Id="rId533" Type="http://schemas.openxmlformats.org/officeDocument/2006/relationships/hyperlink" Target="https://finance.yahoo.com/quote/BG/?p=BG" TargetMode="External"/><Relationship Id="rId775" Type="http://schemas.openxmlformats.org/officeDocument/2006/relationships/hyperlink" Target="https://finance.yahoo.com/quote/0700.HK/?p=0700.HK" TargetMode="External"/><Relationship Id="rId539" Type="http://schemas.openxmlformats.org/officeDocument/2006/relationships/hyperlink" Target="http://9626.hk" TargetMode="External"/><Relationship Id="rId538" Type="http://schemas.openxmlformats.org/officeDocument/2006/relationships/hyperlink" Target="https://finance.yahoo.com/quote/TSLA/?p=TSLA" TargetMode="External"/><Relationship Id="rId537" Type="http://schemas.openxmlformats.org/officeDocument/2006/relationships/hyperlink" Target="https://finance.yahoo.com/quote/AAPL/?p=AAPL" TargetMode="External"/><Relationship Id="rId779" Type="http://schemas.openxmlformats.org/officeDocument/2006/relationships/hyperlink" Target="http://0700.hk" TargetMode="External"/><Relationship Id="rId770" Type="http://schemas.openxmlformats.org/officeDocument/2006/relationships/hyperlink" Target="http://0700.hk" TargetMode="External"/><Relationship Id="rId1120" Type="http://schemas.openxmlformats.org/officeDocument/2006/relationships/hyperlink" Target="http://3690.hk" TargetMode="External"/><Relationship Id="rId532" Type="http://schemas.openxmlformats.org/officeDocument/2006/relationships/hyperlink" Target="https://finance.yahoo.com/quote/GOLD/?p=GOLD" TargetMode="External"/><Relationship Id="rId774" Type="http://schemas.openxmlformats.org/officeDocument/2006/relationships/hyperlink" Target="http://0700.hk" TargetMode="External"/><Relationship Id="rId1121" Type="http://schemas.openxmlformats.org/officeDocument/2006/relationships/hyperlink" Target="https://finance.yahoo.com/quote/3690.HK/?p=3690.HK" TargetMode="External"/><Relationship Id="rId531" Type="http://schemas.openxmlformats.org/officeDocument/2006/relationships/hyperlink" Target="https://finance.yahoo.com/quote/TSLA/?p=TSLA" TargetMode="External"/><Relationship Id="rId773" Type="http://schemas.openxmlformats.org/officeDocument/2006/relationships/hyperlink" Target="https://finance.yahoo.com/quote/0700.HK/?p=0700.HK" TargetMode="External"/><Relationship Id="rId1122" Type="http://schemas.openxmlformats.org/officeDocument/2006/relationships/hyperlink" Target="https://finance.yahoo.com/quote/JD/?p=JD" TargetMode="External"/><Relationship Id="rId530" Type="http://schemas.openxmlformats.org/officeDocument/2006/relationships/hyperlink" Target="https://finance.yahoo.com/quote/ANPDY/?p=ANPDY" TargetMode="External"/><Relationship Id="rId772" Type="http://schemas.openxmlformats.org/officeDocument/2006/relationships/hyperlink" Target="http://0700.hk" TargetMode="External"/><Relationship Id="rId1123" Type="http://schemas.openxmlformats.org/officeDocument/2006/relationships/hyperlink" Target="http://0700.hk" TargetMode="External"/><Relationship Id="rId771" Type="http://schemas.openxmlformats.org/officeDocument/2006/relationships/hyperlink" Target="https://finance.yahoo.com/quote/0700.HK/?p=0700.HK" TargetMode="External"/><Relationship Id="rId1124" Type="http://schemas.openxmlformats.org/officeDocument/2006/relationships/hyperlink" Target="https://finance.yahoo.com/quote/0700.HK/?p=0700.HK" TargetMode="External"/><Relationship Id="rId1158" Type="http://schemas.openxmlformats.org/officeDocument/2006/relationships/hyperlink" Target="http://3690.hk" TargetMode="External"/><Relationship Id="rId1159" Type="http://schemas.openxmlformats.org/officeDocument/2006/relationships/hyperlink" Target="https://finance.yahoo.com/quote/3690.HK/?p=3690.HK" TargetMode="External"/><Relationship Id="rId327" Type="http://schemas.openxmlformats.org/officeDocument/2006/relationships/hyperlink" Target="http://6862.hk" TargetMode="External"/><Relationship Id="rId569" Type="http://schemas.openxmlformats.org/officeDocument/2006/relationships/hyperlink" Target="https://finance.yahoo.com/quote/3315.HK/?p=3315.HK" TargetMode="External"/><Relationship Id="rId326" Type="http://schemas.openxmlformats.org/officeDocument/2006/relationships/hyperlink" Target="https://finance.yahoo.com/quote/600519.SS/?p=600519.SS" TargetMode="External"/><Relationship Id="rId568" Type="http://schemas.openxmlformats.org/officeDocument/2006/relationships/hyperlink" Target="http://3315.hk" TargetMode="External"/><Relationship Id="rId325" Type="http://schemas.openxmlformats.org/officeDocument/2006/relationships/hyperlink" Target="http://600519.ss" TargetMode="External"/><Relationship Id="rId567" Type="http://schemas.openxmlformats.org/officeDocument/2006/relationships/hyperlink" Target="https://finance.yahoo.com/quote/3800.HK/?p=3800.HK" TargetMode="External"/><Relationship Id="rId324" Type="http://schemas.openxmlformats.org/officeDocument/2006/relationships/hyperlink" Target="https://finance.yahoo.com/quote/9988.HK/?p=9988.HK" TargetMode="External"/><Relationship Id="rId566" Type="http://schemas.openxmlformats.org/officeDocument/2006/relationships/hyperlink" Target="http://3800.hk" TargetMode="External"/><Relationship Id="rId329" Type="http://schemas.openxmlformats.org/officeDocument/2006/relationships/hyperlink" Target="http://9988.hk" TargetMode="External"/><Relationship Id="rId328" Type="http://schemas.openxmlformats.org/officeDocument/2006/relationships/hyperlink" Target="https://finance.yahoo.com/quote/6862.HK/?p=6862.HK" TargetMode="External"/><Relationship Id="rId561" Type="http://schemas.openxmlformats.org/officeDocument/2006/relationships/hyperlink" Target="https://finance.yahoo.com/quote/1208.HK/?p=1208.HK" TargetMode="External"/><Relationship Id="rId1150" Type="http://schemas.openxmlformats.org/officeDocument/2006/relationships/hyperlink" Target="https://finance.yahoo.com/quote/KO/?p=KO" TargetMode="External"/><Relationship Id="rId560" Type="http://schemas.openxmlformats.org/officeDocument/2006/relationships/hyperlink" Target="http://1208.hk" TargetMode="External"/><Relationship Id="rId1151" Type="http://schemas.openxmlformats.org/officeDocument/2006/relationships/hyperlink" Target="https://finance.yahoo.com/quote/KO/?p=KO" TargetMode="External"/><Relationship Id="rId1152" Type="http://schemas.openxmlformats.org/officeDocument/2006/relationships/hyperlink" Target="https://finance.yahoo.com/quote/KPLT/?p=KPLT" TargetMode="External"/><Relationship Id="rId1153" Type="http://schemas.openxmlformats.org/officeDocument/2006/relationships/hyperlink" Target="https://finance.yahoo.com/quote/VNM/?p=VNM" TargetMode="External"/><Relationship Id="rId323" Type="http://schemas.openxmlformats.org/officeDocument/2006/relationships/hyperlink" Target="http://9988.hk" TargetMode="External"/><Relationship Id="rId565" Type="http://schemas.openxmlformats.org/officeDocument/2006/relationships/hyperlink" Target="https://finance.yahoo.com/quote/3800.hk/?p=3800.hk" TargetMode="External"/><Relationship Id="rId1154" Type="http://schemas.openxmlformats.org/officeDocument/2006/relationships/hyperlink" Target="http://2217.hk" TargetMode="External"/><Relationship Id="rId322" Type="http://schemas.openxmlformats.org/officeDocument/2006/relationships/hyperlink" Target="https://finance.yahoo.com/quote/1024.HK/?p=1024.HK" TargetMode="External"/><Relationship Id="rId564" Type="http://schemas.openxmlformats.org/officeDocument/2006/relationships/hyperlink" Target="http://3800.hk" TargetMode="External"/><Relationship Id="rId1155" Type="http://schemas.openxmlformats.org/officeDocument/2006/relationships/hyperlink" Target="https://finance.yahoo.com/quote/2217.HK/?p=2217.HK" TargetMode="External"/><Relationship Id="rId321" Type="http://schemas.openxmlformats.org/officeDocument/2006/relationships/hyperlink" Target="http://1024.hk" TargetMode="External"/><Relationship Id="rId563" Type="http://schemas.openxmlformats.org/officeDocument/2006/relationships/hyperlink" Target="https://finance.yahoo.com/quote/3800.hk/?p=3800.hk" TargetMode="External"/><Relationship Id="rId1156" Type="http://schemas.openxmlformats.org/officeDocument/2006/relationships/hyperlink" Target="http://0700.hk" TargetMode="External"/><Relationship Id="rId320" Type="http://schemas.openxmlformats.org/officeDocument/2006/relationships/hyperlink" Target="https://finance.yahoo.com/quote/9988.HK/?p=9988.HK" TargetMode="External"/><Relationship Id="rId562" Type="http://schemas.openxmlformats.org/officeDocument/2006/relationships/hyperlink" Target="http://3800.hk" TargetMode="External"/><Relationship Id="rId1157" Type="http://schemas.openxmlformats.org/officeDocument/2006/relationships/hyperlink" Target="https://finance.yahoo.com/quote/0700.HK/?p=0700.HK" TargetMode="External"/><Relationship Id="rId1147" Type="http://schemas.openxmlformats.org/officeDocument/2006/relationships/hyperlink" Target="https://finance.yahoo.com/quote/9988.HK/?p=9988.HK" TargetMode="External"/><Relationship Id="rId1148" Type="http://schemas.openxmlformats.org/officeDocument/2006/relationships/hyperlink" Target="http://1024.hk" TargetMode="External"/><Relationship Id="rId1149" Type="http://schemas.openxmlformats.org/officeDocument/2006/relationships/hyperlink" Target="https://finance.yahoo.com/quote/1024.HK/?p=1024.HK" TargetMode="External"/><Relationship Id="rId316" Type="http://schemas.openxmlformats.org/officeDocument/2006/relationships/hyperlink" Target="https://finance.yahoo.com/quote/1024.HK/?p=1024.HK" TargetMode="External"/><Relationship Id="rId558" Type="http://schemas.openxmlformats.org/officeDocument/2006/relationships/hyperlink" Target="https://finance.yahoo.com/quote/TWTR/?p=TWTR" TargetMode="External"/><Relationship Id="rId315" Type="http://schemas.openxmlformats.org/officeDocument/2006/relationships/hyperlink" Target="http://1024.hk" TargetMode="External"/><Relationship Id="rId557" Type="http://schemas.openxmlformats.org/officeDocument/2006/relationships/hyperlink" Target="https://finance.yahoo.com/quote/TWTR/?p=TWTR" TargetMode="External"/><Relationship Id="rId799" Type="http://schemas.openxmlformats.org/officeDocument/2006/relationships/hyperlink" Target="https://finance.yahoo.com/quote/0386.HK/?p=0386.HK" TargetMode="External"/><Relationship Id="rId314" Type="http://schemas.openxmlformats.org/officeDocument/2006/relationships/hyperlink" Target="https://finance.yahoo.com/quote/1024.HK/?p=1024.HK" TargetMode="External"/><Relationship Id="rId556" Type="http://schemas.openxmlformats.org/officeDocument/2006/relationships/hyperlink" Target="https://finance.yahoo.com/quote/9939.HK/?p=9939.HK" TargetMode="External"/><Relationship Id="rId798" Type="http://schemas.openxmlformats.org/officeDocument/2006/relationships/hyperlink" Target="http://0386.hk" TargetMode="External"/><Relationship Id="rId313" Type="http://schemas.openxmlformats.org/officeDocument/2006/relationships/hyperlink" Target="http://1024.hk" TargetMode="External"/><Relationship Id="rId555" Type="http://schemas.openxmlformats.org/officeDocument/2006/relationships/hyperlink" Target="http://9939.hk" TargetMode="External"/><Relationship Id="rId797" Type="http://schemas.openxmlformats.org/officeDocument/2006/relationships/hyperlink" Target="https://finance.yahoo.com/quote/0241.HK/?p=0241.HK" TargetMode="External"/><Relationship Id="rId319" Type="http://schemas.openxmlformats.org/officeDocument/2006/relationships/hyperlink" Target="http://9988.hk" TargetMode="External"/><Relationship Id="rId318" Type="http://schemas.openxmlformats.org/officeDocument/2006/relationships/hyperlink" Target="https://finance.yahoo.com/quote/6680.HK/?p=6680.HK" TargetMode="External"/><Relationship Id="rId317" Type="http://schemas.openxmlformats.org/officeDocument/2006/relationships/hyperlink" Target="http://6680.hk" TargetMode="External"/><Relationship Id="rId559" Type="http://schemas.openxmlformats.org/officeDocument/2006/relationships/hyperlink" Target="https://finance.yahoo.com/quote/AEP/?p=AEP" TargetMode="External"/><Relationship Id="rId550" Type="http://schemas.openxmlformats.org/officeDocument/2006/relationships/hyperlink" Target="https://finance.yahoo.com/quote/TSLA/?p=TSLA" TargetMode="External"/><Relationship Id="rId792" Type="http://schemas.openxmlformats.org/officeDocument/2006/relationships/hyperlink" Target="http://0151.hk" TargetMode="External"/><Relationship Id="rId791" Type="http://schemas.openxmlformats.org/officeDocument/2006/relationships/hyperlink" Target="https://finance.yahoo.com/quote/0151.HK/?p=0151.HK" TargetMode="External"/><Relationship Id="rId1140" Type="http://schemas.openxmlformats.org/officeDocument/2006/relationships/hyperlink" Target="http://9888.hk" TargetMode="External"/><Relationship Id="rId790" Type="http://schemas.openxmlformats.org/officeDocument/2006/relationships/hyperlink" Target="http://0151.hk" TargetMode="External"/><Relationship Id="rId1141" Type="http://schemas.openxmlformats.org/officeDocument/2006/relationships/hyperlink" Target="https://finance.yahoo.com/quote/9888.HK/?p=9888.HK" TargetMode="External"/><Relationship Id="rId1142" Type="http://schemas.openxmlformats.org/officeDocument/2006/relationships/hyperlink" Target="http://0006.hk" TargetMode="External"/><Relationship Id="rId312" Type="http://schemas.openxmlformats.org/officeDocument/2006/relationships/hyperlink" Target="https://finance.yahoo.com/quote/9988.HK/?p=9988.HK" TargetMode="External"/><Relationship Id="rId554" Type="http://schemas.openxmlformats.org/officeDocument/2006/relationships/hyperlink" Target="https://finance.yahoo.com/quote/9939.HK/?p=9939.HK" TargetMode="External"/><Relationship Id="rId796" Type="http://schemas.openxmlformats.org/officeDocument/2006/relationships/hyperlink" Target="http://0241.hk" TargetMode="External"/><Relationship Id="rId1143" Type="http://schemas.openxmlformats.org/officeDocument/2006/relationships/hyperlink" Target="https://finance.yahoo.com/quote/0006.HK/?p=0006.HK" TargetMode="External"/><Relationship Id="rId311" Type="http://schemas.openxmlformats.org/officeDocument/2006/relationships/hyperlink" Target="http://9988.hk" TargetMode="External"/><Relationship Id="rId553" Type="http://schemas.openxmlformats.org/officeDocument/2006/relationships/hyperlink" Target="http://9939.hk" TargetMode="External"/><Relationship Id="rId795" Type="http://schemas.openxmlformats.org/officeDocument/2006/relationships/hyperlink" Target="https://finance.yahoo.com/quote/0151.HK/?p=0151.HK" TargetMode="External"/><Relationship Id="rId1144" Type="http://schemas.openxmlformats.org/officeDocument/2006/relationships/hyperlink" Target="http://1024.hk" TargetMode="External"/><Relationship Id="rId310" Type="http://schemas.openxmlformats.org/officeDocument/2006/relationships/hyperlink" Target="https://finance.yahoo.com/quote/6680.HK/?p=6680.HK" TargetMode="External"/><Relationship Id="rId552" Type="http://schemas.openxmlformats.org/officeDocument/2006/relationships/hyperlink" Target="https://finance.yahoo.com/quote/9939.HK/?p=9939.HK" TargetMode="External"/><Relationship Id="rId794" Type="http://schemas.openxmlformats.org/officeDocument/2006/relationships/hyperlink" Target="http://0151.hk" TargetMode="External"/><Relationship Id="rId1145" Type="http://schemas.openxmlformats.org/officeDocument/2006/relationships/hyperlink" Target="https://finance.yahoo.com/quote/1024.HK/?p=1024.HK" TargetMode="External"/><Relationship Id="rId551" Type="http://schemas.openxmlformats.org/officeDocument/2006/relationships/hyperlink" Target="http://9939.hk" TargetMode="External"/><Relationship Id="rId793" Type="http://schemas.openxmlformats.org/officeDocument/2006/relationships/hyperlink" Target="https://finance.yahoo.com/quote/0151.HK/?p=0151.HK" TargetMode="External"/><Relationship Id="rId1146" Type="http://schemas.openxmlformats.org/officeDocument/2006/relationships/hyperlink" Target="http://9988.hk" TargetMode="External"/><Relationship Id="rId297" Type="http://schemas.openxmlformats.org/officeDocument/2006/relationships/hyperlink" Target="http://9988.hk" TargetMode="External"/><Relationship Id="rId296" Type="http://schemas.openxmlformats.org/officeDocument/2006/relationships/hyperlink" Target="https://finance.yahoo.com/quote/1810.HK/?p=1810.HK" TargetMode="External"/><Relationship Id="rId295" Type="http://schemas.openxmlformats.org/officeDocument/2006/relationships/hyperlink" Target="http://1810.hk" TargetMode="External"/><Relationship Id="rId294" Type="http://schemas.openxmlformats.org/officeDocument/2006/relationships/hyperlink" Target="https://finance.yahoo.com/quote/1024.HK/?p=1024.HK" TargetMode="External"/><Relationship Id="rId299" Type="http://schemas.openxmlformats.org/officeDocument/2006/relationships/hyperlink" Target="http://1024.hk" TargetMode="External"/><Relationship Id="rId298" Type="http://schemas.openxmlformats.org/officeDocument/2006/relationships/hyperlink" Target="https://finance.yahoo.com/quote/9988.HK/?p=9988.HK" TargetMode="External"/><Relationship Id="rId271" Type="http://schemas.openxmlformats.org/officeDocument/2006/relationships/hyperlink" Target="https://finance.yahoo.com/quote/9939.HK/?p=9939.HK" TargetMode="External"/><Relationship Id="rId270" Type="http://schemas.openxmlformats.org/officeDocument/2006/relationships/hyperlink" Target="http://9939.hk" TargetMode="External"/><Relationship Id="rId269" Type="http://schemas.openxmlformats.org/officeDocument/2006/relationships/hyperlink" Target="https://finance.yahoo.com/quote/1566.HK/?p=1566.HK" TargetMode="External"/><Relationship Id="rId264" Type="http://schemas.openxmlformats.org/officeDocument/2006/relationships/hyperlink" Target="http://1725.hk" TargetMode="External"/><Relationship Id="rId263" Type="http://schemas.openxmlformats.org/officeDocument/2006/relationships/hyperlink" Target="https://finance.yahoo.com/quote/0510.HK/?p=0510.HK" TargetMode="External"/><Relationship Id="rId262" Type="http://schemas.openxmlformats.org/officeDocument/2006/relationships/hyperlink" Target="http://0510.hk" TargetMode="External"/><Relationship Id="rId261" Type="http://schemas.openxmlformats.org/officeDocument/2006/relationships/hyperlink" Target="https://finance.yahoo.com/quote/NKE/?p=NKE" TargetMode="External"/><Relationship Id="rId268" Type="http://schemas.openxmlformats.org/officeDocument/2006/relationships/hyperlink" Target="http://1566.hk" TargetMode="External"/><Relationship Id="rId267" Type="http://schemas.openxmlformats.org/officeDocument/2006/relationships/hyperlink" Target="https://finance.yahoo.com/quote/8009.HK/?p=8009.HK" TargetMode="External"/><Relationship Id="rId266" Type="http://schemas.openxmlformats.org/officeDocument/2006/relationships/hyperlink" Target="http://8009.hk" TargetMode="External"/><Relationship Id="rId265" Type="http://schemas.openxmlformats.org/officeDocument/2006/relationships/hyperlink" Target="https://finance.yahoo.com/quote/1725.HK/?p=1725.HK" TargetMode="External"/><Relationship Id="rId260" Type="http://schemas.openxmlformats.org/officeDocument/2006/relationships/hyperlink" Target="https://finance.yahoo.com/quote/3380.HK/?p=3380.HK" TargetMode="External"/><Relationship Id="rId259" Type="http://schemas.openxmlformats.org/officeDocument/2006/relationships/hyperlink" Target="http://3380.hk" TargetMode="External"/><Relationship Id="rId258" Type="http://schemas.openxmlformats.org/officeDocument/2006/relationships/hyperlink" Target="https://finance.yahoo.com/quote/1638.HK/?p=1638.HK" TargetMode="External"/><Relationship Id="rId253" Type="http://schemas.openxmlformats.org/officeDocument/2006/relationships/hyperlink" Target="http://2799.hk" TargetMode="External"/><Relationship Id="rId495" Type="http://schemas.openxmlformats.org/officeDocument/2006/relationships/hyperlink" Target="http://0700.hk" TargetMode="External"/><Relationship Id="rId252" Type="http://schemas.openxmlformats.org/officeDocument/2006/relationships/hyperlink" Target="https://finance.yahoo.com/quote/1919.HK/?p=1919.HK" TargetMode="External"/><Relationship Id="rId494" Type="http://schemas.openxmlformats.org/officeDocument/2006/relationships/hyperlink" Target="https://finance.yahoo.com/quote/GC=F/?p=GC=F" TargetMode="External"/><Relationship Id="rId251" Type="http://schemas.openxmlformats.org/officeDocument/2006/relationships/hyperlink" Target="http://1919.hk" TargetMode="External"/><Relationship Id="rId493" Type="http://schemas.openxmlformats.org/officeDocument/2006/relationships/hyperlink" Target="https://finance.yahoo.com/quote/AMZN/?p=AMZN" TargetMode="External"/><Relationship Id="rId250" Type="http://schemas.openxmlformats.org/officeDocument/2006/relationships/hyperlink" Target="https://finance.yahoo.com/quote/0587.HK/?p=0587.HK" TargetMode="External"/><Relationship Id="rId492" Type="http://schemas.openxmlformats.org/officeDocument/2006/relationships/hyperlink" Target="https://finance.yahoo.com/quote/BABA/?p=BABA" TargetMode="External"/><Relationship Id="rId257" Type="http://schemas.openxmlformats.org/officeDocument/2006/relationships/hyperlink" Target="http://1638.hk" TargetMode="External"/><Relationship Id="rId499" Type="http://schemas.openxmlformats.org/officeDocument/2006/relationships/hyperlink" Target="https://finance.yahoo.com/quote/BABA/?p=BABA" TargetMode="External"/><Relationship Id="rId256" Type="http://schemas.openxmlformats.org/officeDocument/2006/relationships/hyperlink" Target="https://finance.yahoo.com/quote/0817.HK/?p=0817.HK" TargetMode="External"/><Relationship Id="rId498" Type="http://schemas.openxmlformats.org/officeDocument/2006/relationships/hyperlink" Target="https://finance.yahoo.com/quote/AMZN/?p=AMZN" TargetMode="External"/><Relationship Id="rId255" Type="http://schemas.openxmlformats.org/officeDocument/2006/relationships/hyperlink" Target="http://0817.hk" TargetMode="External"/><Relationship Id="rId497" Type="http://schemas.openxmlformats.org/officeDocument/2006/relationships/hyperlink" Target="https://finance.yahoo.com/quote/AAPL/?p=AAPL" TargetMode="External"/><Relationship Id="rId254" Type="http://schemas.openxmlformats.org/officeDocument/2006/relationships/hyperlink" Target="https://finance.yahoo.com/quote/2799.HK/?p=2799.HK" TargetMode="External"/><Relationship Id="rId496" Type="http://schemas.openxmlformats.org/officeDocument/2006/relationships/hyperlink" Target="https://finance.yahoo.com/quote/0700.HK/?p=0700.HK" TargetMode="External"/><Relationship Id="rId293" Type="http://schemas.openxmlformats.org/officeDocument/2006/relationships/hyperlink" Target="http://1024.hk" TargetMode="External"/><Relationship Id="rId292" Type="http://schemas.openxmlformats.org/officeDocument/2006/relationships/hyperlink" Target="https://finance.yahoo.com/quote/1810.HK/?p=1810.HK" TargetMode="External"/><Relationship Id="rId291" Type="http://schemas.openxmlformats.org/officeDocument/2006/relationships/hyperlink" Target="http://1810.hk" TargetMode="External"/><Relationship Id="rId290" Type="http://schemas.openxmlformats.org/officeDocument/2006/relationships/hyperlink" Target="https://finance.yahoo.com/quote/TSLA/?p=TSLA" TargetMode="External"/><Relationship Id="rId286" Type="http://schemas.openxmlformats.org/officeDocument/2006/relationships/hyperlink" Target="https://finance.yahoo.com/quote/FB/?p=FB" TargetMode="External"/><Relationship Id="rId285" Type="http://schemas.openxmlformats.org/officeDocument/2006/relationships/hyperlink" Target="https://finance.yahoo.com/quote/AMZN/?p=AMZN" TargetMode="External"/><Relationship Id="rId284" Type="http://schemas.openxmlformats.org/officeDocument/2006/relationships/hyperlink" Target="https://finance.yahoo.com/quote/LMT/?p=LMT" TargetMode="External"/><Relationship Id="rId283" Type="http://schemas.openxmlformats.org/officeDocument/2006/relationships/hyperlink" Target="https://finance.yahoo.com/quote/XOM/?p=XOM" TargetMode="External"/><Relationship Id="rId289" Type="http://schemas.openxmlformats.org/officeDocument/2006/relationships/hyperlink" Target="https://finance.yahoo.com/quote/FB/?p=FB" TargetMode="External"/><Relationship Id="rId288" Type="http://schemas.openxmlformats.org/officeDocument/2006/relationships/hyperlink" Target="https://finance.yahoo.com/quote/AMZN/?p=AMZN" TargetMode="External"/><Relationship Id="rId287" Type="http://schemas.openxmlformats.org/officeDocument/2006/relationships/hyperlink" Target="https://finance.yahoo.com/quote/AAPL/?p=AAPL" TargetMode="External"/><Relationship Id="rId282" Type="http://schemas.openxmlformats.org/officeDocument/2006/relationships/hyperlink" Target="https://finance.yahoo.com/quote/GME/?p=GME" TargetMode="External"/><Relationship Id="rId281" Type="http://schemas.openxmlformats.org/officeDocument/2006/relationships/hyperlink" Target="https://finance.yahoo.com/quote/6862.HK/?p=6862.HK" TargetMode="External"/><Relationship Id="rId280" Type="http://schemas.openxmlformats.org/officeDocument/2006/relationships/hyperlink" Target="http://6862.hk" TargetMode="External"/><Relationship Id="rId275" Type="http://schemas.openxmlformats.org/officeDocument/2006/relationships/hyperlink" Target="https://finance.yahoo.com/quote/7552.HK/?p=7552.HK" TargetMode="External"/><Relationship Id="rId274" Type="http://schemas.openxmlformats.org/officeDocument/2006/relationships/hyperlink" Target="http://7552.hk" TargetMode="External"/><Relationship Id="rId273" Type="http://schemas.openxmlformats.org/officeDocument/2006/relationships/hyperlink" Target="https://finance.yahoo.com/quote/6928.HK/?p=6928.HK" TargetMode="External"/><Relationship Id="rId272" Type="http://schemas.openxmlformats.org/officeDocument/2006/relationships/hyperlink" Target="http://6928.hk" TargetMode="External"/><Relationship Id="rId279" Type="http://schemas.openxmlformats.org/officeDocument/2006/relationships/hyperlink" Target="https://finance.yahoo.com/quote/9992.HK/?p=9992.HK" TargetMode="External"/><Relationship Id="rId278" Type="http://schemas.openxmlformats.org/officeDocument/2006/relationships/hyperlink" Target="http://9992.hk" TargetMode="External"/><Relationship Id="rId277" Type="http://schemas.openxmlformats.org/officeDocument/2006/relationships/hyperlink" Target="https://finance.yahoo.com/quote/9922.HK/?p=9922.HK" TargetMode="External"/><Relationship Id="rId276" Type="http://schemas.openxmlformats.org/officeDocument/2006/relationships/hyperlink" Target="http://9922.hk" TargetMode="External"/><Relationship Id="rId907" Type="http://schemas.openxmlformats.org/officeDocument/2006/relationships/hyperlink" Target="https://finance.yahoo.com/quote/002475.SZ/?p=002475.SZ" TargetMode="External"/><Relationship Id="rId906" Type="http://schemas.openxmlformats.org/officeDocument/2006/relationships/hyperlink" Target="http://002475.sz" TargetMode="External"/><Relationship Id="rId905" Type="http://schemas.openxmlformats.org/officeDocument/2006/relationships/hyperlink" Target="https://finance.yahoo.com/quote/002230.SZ/?p=002230.SZ" TargetMode="External"/><Relationship Id="rId904" Type="http://schemas.openxmlformats.org/officeDocument/2006/relationships/hyperlink" Target="http://002230.sz" TargetMode="External"/><Relationship Id="rId909" Type="http://schemas.openxmlformats.org/officeDocument/2006/relationships/hyperlink" Target="https://finance.yahoo.com/quote/000568.sz/?p=000568.sz" TargetMode="External"/><Relationship Id="rId908" Type="http://schemas.openxmlformats.org/officeDocument/2006/relationships/hyperlink" Target="http://000568.sz" TargetMode="External"/><Relationship Id="rId903" Type="http://schemas.openxmlformats.org/officeDocument/2006/relationships/hyperlink" Target="https://finance.yahoo.com/quote/600986.ss/?p=600986.ss" TargetMode="External"/><Relationship Id="rId902" Type="http://schemas.openxmlformats.org/officeDocument/2006/relationships/hyperlink" Target="http://600986.ss" TargetMode="External"/><Relationship Id="rId901" Type="http://schemas.openxmlformats.org/officeDocument/2006/relationships/hyperlink" Target="https://finance.yahoo.com/quote/601168.ss/?p=601168.ss" TargetMode="External"/><Relationship Id="rId900" Type="http://schemas.openxmlformats.org/officeDocument/2006/relationships/hyperlink" Target="http://601168.ss" TargetMode="External"/><Relationship Id="rId929" Type="http://schemas.openxmlformats.org/officeDocument/2006/relationships/hyperlink" Target="http://0241.hk" TargetMode="External"/><Relationship Id="rId928" Type="http://schemas.openxmlformats.org/officeDocument/2006/relationships/hyperlink" Target="https://finance.yahoo.com/quote/9868.HK/?p=9868.HK" TargetMode="External"/><Relationship Id="rId927" Type="http://schemas.openxmlformats.org/officeDocument/2006/relationships/hyperlink" Target="http://9868.hk" TargetMode="External"/><Relationship Id="rId926" Type="http://schemas.openxmlformats.org/officeDocument/2006/relationships/hyperlink" Target="https://finance.yahoo.com/quote/9868.HK/?p=9868.HK" TargetMode="External"/><Relationship Id="rId921" Type="http://schemas.openxmlformats.org/officeDocument/2006/relationships/hyperlink" Target="http://0700.hk" TargetMode="External"/><Relationship Id="rId920" Type="http://schemas.openxmlformats.org/officeDocument/2006/relationships/hyperlink" Target="https://finance.yahoo.com/quote/3800.HK/?p=3800.HK" TargetMode="External"/><Relationship Id="rId925" Type="http://schemas.openxmlformats.org/officeDocument/2006/relationships/hyperlink" Target="http://9868.hk" TargetMode="External"/><Relationship Id="rId924" Type="http://schemas.openxmlformats.org/officeDocument/2006/relationships/hyperlink" Target="https://finance.yahoo.com/quote/0700.HK/?p=0700.HK" TargetMode="External"/><Relationship Id="rId923" Type="http://schemas.openxmlformats.org/officeDocument/2006/relationships/hyperlink" Target="http://0700.hk" TargetMode="External"/><Relationship Id="rId922" Type="http://schemas.openxmlformats.org/officeDocument/2006/relationships/hyperlink" Target="https://finance.yahoo.com/quote/0700.HK/?p=0700.HK" TargetMode="External"/><Relationship Id="rId918" Type="http://schemas.openxmlformats.org/officeDocument/2006/relationships/hyperlink" Target="https://finance.yahoo.com/quote/0700.HK/?p=0700.HK" TargetMode="External"/><Relationship Id="rId917" Type="http://schemas.openxmlformats.org/officeDocument/2006/relationships/hyperlink" Target="http://0700.hk" TargetMode="External"/><Relationship Id="rId916" Type="http://schemas.openxmlformats.org/officeDocument/2006/relationships/hyperlink" Target="https://finance.yahoo.com/quote/XLE/?p=XLE" TargetMode="External"/><Relationship Id="rId915" Type="http://schemas.openxmlformats.org/officeDocument/2006/relationships/hyperlink" Target="https://finance.yahoo.com/quote/XLE/?p=XLE" TargetMode="External"/><Relationship Id="rId919" Type="http://schemas.openxmlformats.org/officeDocument/2006/relationships/hyperlink" Target="http://3800.hk" TargetMode="External"/><Relationship Id="rId910" Type="http://schemas.openxmlformats.org/officeDocument/2006/relationships/hyperlink" Target="http://000568.sz" TargetMode="External"/><Relationship Id="rId914" Type="http://schemas.openxmlformats.org/officeDocument/2006/relationships/hyperlink" Target="https://finance.yahoo.com/quote/TSLA/?p=TSLA" TargetMode="External"/><Relationship Id="rId913" Type="http://schemas.openxmlformats.org/officeDocument/2006/relationships/hyperlink" Target="https://finance.yahoo.com/quote/000568.sz/?p=000568.sz" TargetMode="External"/><Relationship Id="rId912" Type="http://schemas.openxmlformats.org/officeDocument/2006/relationships/hyperlink" Target="http://000568.sz" TargetMode="External"/><Relationship Id="rId911" Type="http://schemas.openxmlformats.org/officeDocument/2006/relationships/hyperlink" Target="https://finance.yahoo.com/quote/000568.sz/?p=000568.sz" TargetMode="External"/><Relationship Id="rId1213" Type="http://schemas.openxmlformats.org/officeDocument/2006/relationships/hyperlink" Target="https://finance.yahoo.com/quote/000927.SZ/?p=000927.SZ" TargetMode="External"/><Relationship Id="rId1214" Type="http://schemas.openxmlformats.org/officeDocument/2006/relationships/hyperlink" Target="http://605089.ss" TargetMode="External"/><Relationship Id="rId1215" Type="http://schemas.openxmlformats.org/officeDocument/2006/relationships/hyperlink" Target="https://finance.yahoo.com/quote/605089.SS/?p=605089.SS" TargetMode="External"/><Relationship Id="rId1216" Type="http://schemas.openxmlformats.org/officeDocument/2006/relationships/hyperlink" Target="http://9988.hk" TargetMode="External"/><Relationship Id="rId1217" Type="http://schemas.openxmlformats.org/officeDocument/2006/relationships/hyperlink" Target="https://finance.yahoo.com/quote/9988.HK/?p=9988.HK" TargetMode="External"/><Relationship Id="rId1218" Type="http://schemas.openxmlformats.org/officeDocument/2006/relationships/hyperlink" Target="http://0941.hk" TargetMode="External"/><Relationship Id="rId1219" Type="http://schemas.openxmlformats.org/officeDocument/2006/relationships/hyperlink" Target="https://finance.yahoo.com/quote/0941.HK/?p=0941.HK" TargetMode="External"/><Relationship Id="rId629" Type="http://schemas.openxmlformats.org/officeDocument/2006/relationships/hyperlink" Target="https://finance.yahoo.com/quote/TWTR/?p=TWTR" TargetMode="External"/><Relationship Id="rId624" Type="http://schemas.openxmlformats.org/officeDocument/2006/relationships/hyperlink" Target="http://9866.hk" TargetMode="External"/><Relationship Id="rId866" Type="http://schemas.openxmlformats.org/officeDocument/2006/relationships/hyperlink" Target="https://www.bondsupermart.com/bsm/general-search/HK0000317724" TargetMode="External"/><Relationship Id="rId623" Type="http://schemas.openxmlformats.org/officeDocument/2006/relationships/hyperlink" Target="https://finance.yahoo.com/quote/9939.HK/?p=9939.HK" TargetMode="External"/><Relationship Id="rId865" Type="http://schemas.openxmlformats.org/officeDocument/2006/relationships/hyperlink" Target="https://finance.yahoo.com/quote/AAPL/?p=AAPL" TargetMode="External"/><Relationship Id="rId622" Type="http://schemas.openxmlformats.org/officeDocument/2006/relationships/hyperlink" Target="http://9939.hk" TargetMode="External"/><Relationship Id="rId864" Type="http://schemas.openxmlformats.org/officeDocument/2006/relationships/hyperlink" Target="https://finance.yahoo.com/quote/1610.HK/?p=1610.HK" TargetMode="External"/><Relationship Id="rId621" Type="http://schemas.openxmlformats.org/officeDocument/2006/relationships/hyperlink" Target="https://finance.yahoo.com/quote/DIS/?p=DIS" TargetMode="External"/><Relationship Id="rId863" Type="http://schemas.openxmlformats.org/officeDocument/2006/relationships/hyperlink" Target="http://1610.hk" TargetMode="External"/><Relationship Id="rId628" Type="http://schemas.openxmlformats.org/officeDocument/2006/relationships/hyperlink" Target="https://finance.yahoo.com/quote/TWTR/?p=TWTR" TargetMode="External"/><Relationship Id="rId627" Type="http://schemas.openxmlformats.org/officeDocument/2006/relationships/hyperlink" Target="https://finance.yahoo.com/quote/TSLA/?p=TSLA" TargetMode="External"/><Relationship Id="rId869" Type="http://schemas.openxmlformats.org/officeDocument/2006/relationships/hyperlink" Target="https://finance.yahoo.com/quote/TSLA/?p=TSLA" TargetMode="External"/><Relationship Id="rId626" Type="http://schemas.openxmlformats.org/officeDocument/2006/relationships/hyperlink" Target="https://finance.yahoo.com/quote/DIS/?p=DIS" TargetMode="External"/><Relationship Id="rId868" Type="http://schemas.openxmlformats.org/officeDocument/2006/relationships/hyperlink" Target="https://finance.yahoo.com/quote/0700.HK/?p=0700.HK" TargetMode="External"/><Relationship Id="rId625" Type="http://schemas.openxmlformats.org/officeDocument/2006/relationships/hyperlink" Target="https://finance.yahoo.com/quote/9866.HK/?p=9866.HK" TargetMode="External"/><Relationship Id="rId867" Type="http://schemas.openxmlformats.org/officeDocument/2006/relationships/hyperlink" Target="http://0700.hk" TargetMode="External"/><Relationship Id="rId620" Type="http://schemas.openxmlformats.org/officeDocument/2006/relationships/hyperlink" Target="https://www.bondsupermart.com/bsm/general-search/US88032XAE40" TargetMode="External"/><Relationship Id="rId862" Type="http://schemas.openxmlformats.org/officeDocument/2006/relationships/hyperlink" Target="https://finance.yahoo.com/quote/2333.HK/?p=2333.HK" TargetMode="External"/><Relationship Id="rId861" Type="http://schemas.openxmlformats.org/officeDocument/2006/relationships/hyperlink" Target="http://2333.hk" TargetMode="External"/><Relationship Id="rId1210" Type="http://schemas.openxmlformats.org/officeDocument/2006/relationships/hyperlink" Target="http://605089.ss" TargetMode="External"/><Relationship Id="rId860" Type="http://schemas.openxmlformats.org/officeDocument/2006/relationships/hyperlink" Target="https://finance.yahoo.com/quote/0175.HK/?p=0175.HK" TargetMode="External"/><Relationship Id="rId1211" Type="http://schemas.openxmlformats.org/officeDocument/2006/relationships/hyperlink" Target="https://finance.yahoo.com/quote/605089.SS/?p=605089.SS" TargetMode="External"/><Relationship Id="rId1212" Type="http://schemas.openxmlformats.org/officeDocument/2006/relationships/hyperlink" Target="http://000927.sz" TargetMode="External"/><Relationship Id="rId1202" Type="http://schemas.openxmlformats.org/officeDocument/2006/relationships/hyperlink" Target="http://600533.ss" TargetMode="External"/><Relationship Id="rId1203" Type="http://schemas.openxmlformats.org/officeDocument/2006/relationships/hyperlink" Target="https://finance.yahoo.com/quote/600533.SS/?p=600533.SS" TargetMode="External"/><Relationship Id="rId1204" Type="http://schemas.openxmlformats.org/officeDocument/2006/relationships/hyperlink" Target="http://002205.sz" TargetMode="External"/><Relationship Id="rId1205" Type="http://schemas.openxmlformats.org/officeDocument/2006/relationships/hyperlink" Target="https://finance.yahoo.com/quote/002205.SZ/?p=002205.SZ" TargetMode="External"/><Relationship Id="rId1206" Type="http://schemas.openxmlformats.org/officeDocument/2006/relationships/hyperlink" Target="http://600533.ss" TargetMode="External"/><Relationship Id="rId1207" Type="http://schemas.openxmlformats.org/officeDocument/2006/relationships/hyperlink" Target="https://finance.yahoo.com/quote/600533.SS/?p=600533.SS" TargetMode="External"/><Relationship Id="rId1208" Type="http://schemas.openxmlformats.org/officeDocument/2006/relationships/hyperlink" Target="http://002205.sz" TargetMode="External"/><Relationship Id="rId1209" Type="http://schemas.openxmlformats.org/officeDocument/2006/relationships/hyperlink" Target="https://finance.yahoo.com/quote/002205.SZ/?p=002205.SZ" TargetMode="External"/><Relationship Id="rId619" Type="http://schemas.openxmlformats.org/officeDocument/2006/relationships/hyperlink" Target="https://finance.yahoo.com/quote/DIS/?p=DIS" TargetMode="External"/><Relationship Id="rId618" Type="http://schemas.openxmlformats.org/officeDocument/2006/relationships/hyperlink" Target="https://finance.yahoo.com/quote/DIS/?p=DIS" TargetMode="External"/><Relationship Id="rId613" Type="http://schemas.openxmlformats.org/officeDocument/2006/relationships/hyperlink" Target="https://finance.yahoo.com/quote/9939.HK/?p=9939.HK" TargetMode="External"/><Relationship Id="rId855" Type="http://schemas.openxmlformats.org/officeDocument/2006/relationships/hyperlink" Target="http://3339.hk" TargetMode="External"/><Relationship Id="rId612" Type="http://schemas.openxmlformats.org/officeDocument/2006/relationships/hyperlink" Target="http://9939.hk" TargetMode="External"/><Relationship Id="rId854" Type="http://schemas.openxmlformats.org/officeDocument/2006/relationships/hyperlink" Target="https://finance.yahoo.com/quote/2333.HK/?p=2333.HK" TargetMode="External"/><Relationship Id="rId611" Type="http://schemas.openxmlformats.org/officeDocument/2006/relationships/hyperlink" Target="https://finance.yahoo.com/quote/9939.HK/?p=9939.HK" TargetMode="External"/><Relationship Id="rId853" Type="http://schemas.openxmlformats.org/officeDocument/2006/relationships/hyperlink" Target="http://2333.hk" TargetMode="External"/><Relationship Id="rId610" Type="http://schemas.openxmlformats.org/officeDocument/2006/relationships/hyperlink" Target="http://9939.hk" TargetMode="External"/><Relationship Id="rId852" Type="http://schemas.openxmlformats.org/officeDocument/2006/relationships/hyperlink" Target="https://finance.yahoo.com/quote/1810.HK/?p=1810.HK" TargetMode="External"/><Relationship Id="rId617" Type="http://schemas.openxmlformats.org/officeDocument/2006/relationships/hyperlink" Target="https://finance.yahoo.com/quote/TWTR/?p=TWTR" TargetMode="External"/><Relationship Id="rId859" Type="http://schemas.openxmlformats.org/officeDocument/2006/relationships/hyperlink" Target="http://0175.hk" TargetMode="External"/><Relationship Id="rId616" Type="http://schemas.openxmlformats.org/officeDocument/2006/relationships/hyperlink" Target="https://finance.yahoo.com/quote/TWTR/?p=TWTR" TargetMode="External"/><Relationship Id="rId858" Type="http://schemas.openxmlformats.org/officeDocument/2006/relationships/hyperlink" Target="https://finance.yahoo.com/quote/3339.HK/?p=3339.HK" TargetMode="External"/><Relationship Id="rId615" Type="http://schemas.openxmlformats.org/officeDocument/2006/relationships/hyperlink" Target="https://finance.yahoo.com/quote/9939.HK/?p=9939.HK" TargetMode="External"/><Relationship Id="rId857" Type="http://schemas.openxmlformats.org/officeDocument/2006/relationships/hyperlink" Target="http://3339.hk" TargetMode="External"/><Relationship Id="rId614" Type="http://schemas.openxmlformats.org/officeDocument/2006/relationships/hyperlink" Target="http://9939.hk" TargetMode="External"/><Relationship Id="rId856" Type="http://schemas.openxmlformats.org/officeDocument/2006/relationships/hyperlink" Target="https://finance.yahoo.com/quote/3339.HK/?p=3339.HK" TargetMode="External"/><Relationship Id="rId851" Type="http://schemas.openxmlformats.org/officeDocument/2006/relationships/hyperlink" Target="http://1810.hk" TargetMode="External"/><Relationship Id="rId850" Type="http://schemas.openxmlformats.org/officeDocument/2006/relationships/hyperlink" Target="https://finance.yahoo.com/quote/3339.HK/?p=3339.HK" TargetMode="External"/><Relationship Id="rId1200" Type="http://schemas.openxmlformats.org/officeDocument/2006/relationships/hyperlink" Target="http://000665.sz" TargetMode="External"/><Relationship Id="rId1201" Type="http://schemas.openxmlformats.org/officeDocument/2006/relationships/hyperlink" Target="https://finance.yahoo.com/quote/000665.SZ/?p=000665.SZ" TargetMode="External"/><Relationship Id="rId1235" Type="http://schemas.openxmlformats.org/officeDocument/2006/relationships/hyperlink" Target="https://finance.yahoo.com/quote/9988.HK/?p=9988.HK" TargetMode="External"/><Relationship Id="rId1236" Type="http://schemas.openxmlformats.org/officeDocument/2006/relationships/hyperlink" Target="http://9988.hk" TargetMode="External"/><Relationship Id="rId1237" Type="http://schemas.openxmlformats.org/officeDocument/2006/relationships/hyperlink" Target="https://finance.yahoo.com/quote/9988.HK/?p=9988.HK" TargetMode="External"/><Relationship Id="rId1238" Type="http://schemas.openxmlformats.org/officeDocument/2006/relationships/hyperlink" Target="http://2800.hk" TargetMode="External"/><Relationship Id="rId1239" Type="http://schemas.openxmlformats.org/officeDocument/2006/relationships/hyperlink" Target="https://finance.yahoo.com/quote/2800.HK/?p=2800.HK" TargetMode="External"/><Relationship Id="rId409" Type="http://schemas.openxmlformats.org/officeDocument/2006/relationships/hyperlink" Target="https://finance.yahoo.com/quote/SHEL/?p=SHEL" TargetMode="External"/><Relationship Id="rId404" Type="http://schemas.openxmlformats.org/officeDocument/2006/relationships/hyperlink" Target="https://finance.yahoo.com/quote/UNP/?p=UNP" TargetMode="External"/><Relationship Id="rId646" Type="http://schemas.openxmlformats.org/officeDocument/2006/relationships/hyperlink" Target="https://finance.yahoo.com/quote/605089.SS/?p=605089.SS" TargetMode="External"/><Relationship Id="rId888" Type="http://schemas.openxmlformats.org/officeDocument/2006/relationships/hyperlink" Target="https://finance.yahoo.com/quote/BRK-B/?p=BRK-B" TargetMode="External"/><Relationship Id="rId403" Type="http://schemas.openxmlformats.org/officeDocument/2006/relationships/hyperlink" Target="https://finance.yahoo.com/quote/UNH/?p=UNH" TargetMode="External"/><Relationship Id="rId645" Type="http://schemas.openxmlformats.org/officeDocument/2006/relationships/hyperlink" Target="http://605089.ss" TargetMode="External"/><Relationship Id="rId887" Type="http://schemas.openxmlformats.org/officeDocument/2006/relationships/hyperlink" Target="https://finance.yahoo.com/quote/AAPL/?p=AAPL" TargetMode="External"/><Relationship Id="rId402" Type="http://schemas.openxmlformats.org/officeDocument/2006/relationships/hyperlink" Target="https://finance.yahoo.com/quote/NKE/?p=NKE" TargetMode="External"/><Relationship Id="rId644" Type="http://schemas.openxmlformats.org/officeDocument/2006/relationships/hyperlink" Target="https://finance.yahoo.com/quote/ABNB/?p=ABNB" TargetMode="External"/><Relationship Id="rId886" Type="http://schemas.openxmlformats.org/officeDocument/2006/relationships/hyperlink" Target="https://finance.yahoo.com/quote/NET/?p=NET" TargetMode="External"/><Relationship Id="rId401" Type="http://schemas.openxmlformats.org/officeDocument/2006/relationships/hyperlink" Target="https://finance.yahoo.com/quote/NKE/?p=NKE" TargetMode="External"/><Relationship Id="rId643" Type="http://schemas.openxmlformats.org/officeDocument/2006/relationships/hyperlink" Target="https://finance.yahoo.com/quote/ABNB/?p=ABNB" TargetMode="External"/><Relationship Id="rId885" Type="http://schemas.openxmlformats.org/officeDocument/2006/relationships/hyperlink" Target="https://finance.yahoo.com/quote/BRK-B/?p=BRK-B" TargetMode="External"/><Relationship Id="rId408" Type="http://schemas.openxmlformats.org/officeDocument/2006/relationships/hyperlink" Target="https://finance.yahoo.com/quote/ANTM/?p=ANTM" TargetMode="External"/><Relationship Id="rId407" Type="http://schemas.openxmlformats.org/officeDocument/2006/relationships/hyperlink" Target="https://finance.yahoo.com/quote/ANTM/?p=ANTM" TargetMode="External"/><Relationship Id="rId649" Type="http://schemas.openxmlformats.org/officeDocument/2006/relationships/hyperlink" Target="https://finance.yahoo.com/quote/TSLA/?p=TSLA" TargetMode="External"/><Relationship Id="rId406" Type="http://schemas.openxmlformats.org/officeDocument/2006/relationships/hyperlink" Target="https://finance.yahoo.com/quote/UNP/?p=UNP" TargetMode="External"/><Relationship Id="rId648" Type="http://schemas.openxmlformats.org/officeDocument/2006/relationships/hyperlink" Target="https://finance.yahoo.com/quote/605089.SS/?p=605089.SS" TargetMode="External"/><Relationship Id="rId405" Type="http://schemas.openxmlformats.org/officeDocument/2006/relationships/hyperlink" Target="https://finance.yahoo.com/quote/UNH/?p=UNH" TargetMode="External"/><Relationship Id="rId647" Type="http://schemas.openxmlformats.org/officeDocument/2006/relationships/hyperlink" Target="http://605089.ss" TargetMode="External"/><Relationship Id="rId889" Type="http://schemas.openxmlformats.org/officeDocument/2006/relationships/hyperlink" Target="https://finance.yahoo.com/quote/CL=F/?p=CL=F" TargetMode="External"/><Relationship Id="rId880" Type="http://schemas.openxmlformats.org/officeDocument/2006/relationships/hyperlink" Target="http://1398.hk" TargetMode="External"/><Relationship Id="rId1230" Type="http://schemas.openxmlformats.org/officeDocument/2006/relationships/hyperlink" Target="http://2800.hk" TargetMode="External"/><Relationship Id="rId400" Type="http://schemas.openxmlformats.org/officeDocument/2006/relationships/hyperlink" Target="https://finance.yahoo.com/quote/ANTM/?p=ANTM" TargetMode="External"/><Relationship Id="rId642" Type="http://schemas.openxmlformats.org/officeDocument/2006/relationships/hyperlink" Target="https://finance.yahoo.com/quote/BA/?p=BA" TargetMode="External"/><Relationship Id="rId884" Type="http://schemas.openxmlformats.org/officeDocument/2006/relationships/hyperlink" Target="https://finance.yahoo.com/quote/AMAT/?p=AMAT" TargetMode="External"/><Relationship Id="rId1231" Type="http://schemas.openxmlformats.org/officeDocument/2006/relationships/hyperlink" Target="https://finance.yahoo.com/quote/2800.HK/?p=2800.HK" TargetMode="External"/><Relationship Id="rId641" Type="http://schemas.openxmlformats.org/officeDocument/2006/relationships/hyperlink" Target="https://finance.yahoo.com/quote/AAPL/?p=AAPL" TargetMode="External"/><Relationship Id="rId883" Type="http://schemas.openxmlformats.org/officeDocument/2006/relationships/hyperlink" Target="https://finance.yahoo.com/quote/300157.SZ/?p=300157.SZ" TargetMode="External"/><Relationship Id="rId1232" Type="http://schemas.openxmlformats.org/officeDocument/2006/relationships/hyperlink" Target="http://0388.hk" TargetMode="External"/><Relationship Id="rId640" Type="http://schemas.openxmlformats.org/officeDocument/2006/relationships/hyperlink" Target="https://finance.yahoo.com/quote/LMT/?p=LMT" TargetMode="External"/><Relationship Id="rId882" Type="http://schemas.openxmlformats.org/officeDocument/2006/relationships/hyperlink" Target="http://300157.sz" TargetMode="External"/><Relationship Id="rId1233" Type="http://schemas.openxmlformats.org/officeDocument/2006/relationships/hyperlink" Target="https://finance.yahoo.com/quote/0388.HK/?p=0388.HK" TargetMode="External"/><Relationship Id="rId881" Type="http://schemas.openxmlformats.org/officeDocument/2006/relationships/hyperlink" Target="https://finance.yahoo.com/quote/1398.HK/?p=1398.HK" TargetMode="External"/><Relationship Id="rId1234" Type="http://schemas.openxmlformats.org/officeDocument/2006/relationships/hyperlink" Target="http://9988.hk" TargetMode="External"/><Relationship Id="rId1224" Type="http://schemas.openxmlformats.org/officeDocument/2006/relationships/hyperlink" Target="http://2800.hk" TargetMode="External"/><Relationship Id="rId1225" Type="http://schemas.openxmlformats.org/officeDocument/2006/relationships/hyperlink" Target="https://finance.yahoo.com/quote/2800.HK/?p=2800.HK" TargetMode="External"/><Relationship Id="rId1226" Type="http://schemas.openxmlformats.org/officeDocument/2006/relationships/hyperlink" Target="http://9988.hk" TargetMode="External"/><Relationship Id="rId1227" Type="http://schemas.openxmlformats.org/officeDocument/2006/relationships/hyperlink" Target="https://finance.yahoo.com/quote/9988.HK/?p=9988.HK" TargetMode="External"/><Relationship Id="rId1228" Type="http://schemas.openxmlformats.org/officeDocument/2006/relationships/hyperlink" Target="http://0700.hk" TargetMode="External"/><Relationship Id="rId1229" Type="http://schemas.openxmlformats.org/officeDocument/2006/relationships/hyperlink" Target="https://finance.yahoo.com/quote/0700.HK/?p=0700.HK" TargetMode="External"/><Relationship Id="rId635" Type="http://schemas.openxmlformats.org/officeDocument/2006/relationships/hyperlink" Target="https://finance.yahoo.com/quote/TSLA/?p=TSLA" TargetMode="External"/><Relationship Id="rId877" Type="http://schemas.openxmlformats.org/officeDocument/2006/relationships/hyperlink" Target="https://finance.yahoo.com/quote/AMAT/?p=AMAT" TargetMode="External"/><Relationship Id="rId634" Type="http://schemas.openxmlformats.org/officeDocument/2006/relationships/hyperlink" Target="https://finance.yahoo.com/quote/2020.HK/?p=2020.HK" TargetMode="External"/><Relationship Id="rId876" Type="http://schemas.openxmlformats.org/officeDocument/2006/relationships/hyperlink" Target="https://finance.yahoo.com/quote/NET/?p=NET" TargetMode="External"/><Relationship Id="rId633" Type="http://schemas.openxmlformats.org/officeDocument/2006/relationships/hyperlink" Target="http://2020.hk" TargetMode="External"/><Relationship Id="rId875" Type="http://schemas.openxmlformats.org/officeDocument/2006/relationships/hyperlink" Target="https://finance.yahoo.com/quote/1398.HK/?p=1398.HK" TargetMode="External"/><Relationship Id="rId632" Type="http://schemas.openxmlformats.org/officeDocument/2006/relationships/hyperlink" Target="https://finance.yahoo.com/quote/2020.HK/?p=2020.HK" TargetMode="External"/><Relationship Id="rId874" Type="http://schemas.openxmlformats.org/officeDocument/2006/relationships/hyperlink" Target="http://1398.hk" TargetMode="External"/><Relationship Id="rId639" Type="http://schemas.openxmlformats.org/officeDocument/2006/relationships/hyperlink" Target="https://finance.yahoo.com/quote/ABNB/?p=ABNB" TargetMode="External"/><Relationship Id="rId638" Type="http://schemas.openxmlformats.org/officeDocument/2006/relationships/hyperlink" Target="https://finance.yahoo.com/quote/AAPL/?p=AAPL" TargetMode="External"/><Relationship Id="rId637" Type="http://schemas.openxmlformats.org/officeDocument/2006/relationships/hyperlink" Target="https://finance.yahoo.com/quote/6049.HK/?p=6049.HK" TargetMode="External"/><Relationship Id="rId879" Type="http://schemas.openxmlformats.org/officeDocument/2006/relationships/hyperlink" Target="https://finance.yahoo.com/quote/NET/?p=NET" TargetMode="External"/><Relationship Id="rId636" Type="http://schemas.openxmlformats.org/officeDocument/2006/relationships/hyperlink" Target="http://6049.hk" TargetMode="External"/><Relationship Id="rId878" Type="http://schemas.openxmlformats.org/officeDocument/2006/relationships/hyperlink" Target="https://finance.yahoo.com/quote/CL=F/?p=CL=F" TargetMode="External"/><Relationship Id="rId631" Type="http://schemas.openxmlformats.org/officeDocument/2006/relationships/hyperlink" Target="http://2020.hk" TargetMode="External"/><Relationship Id="rId873" Type="http://schemas.openxmlformats.org/officeDocument/2006/relationships/hyperlink" Target="https://finance.yahoo.com/quote/3690.HK/?p=3690.HK" TargetMode="External"/><Relationship Id="rId1220" Type="http://schemas.openxmlformats.org/officeDocument/2006/relationships/hyperlink" Target="http://2800.hk" TargetMode="External"/><Relationship Id="rId630" Type="http://schemas.openxmlformats.org/officeDocument/2006/relationships/hyperlink" Target="https://finance.yahoo.com/quote/TWTR/?p=TWTR" TargetMode="External"/><Relationship Id="rId872" Type="http://schemas.openxmlformats.org/officeDocument/2006/relationships/hyperlink" Target="http://3690.hk" TargetMode="External"/><Relationship Id="rId1221" Type="http://schemas.openxmlformats.org/officeDocument/2006/relationships/hyperlink" Target="https://finance.yahoo.com/quote/2800.HK/?p=2800.HK" TargetMode="External"/><Relationship Id="rId871" Type="http://schemas.openxmlformats.org/officeDocument/2006/relationships/hyperlink" Target="https://finance.yahoo.com/quote/0700.HK/?p=0700.HK" TargetMode="External"/><Relationship Id="rId1222" Type="http://schemas.openxmlformats.org/officeDocument/2006/relationships/hyperlink" Target="http://9988.hk" TargetMode="External"/><Relationship Id="rId870" Type="http://schemas.openxmlformats.org/officeDocument/2006/relationships/hyperlink" Target="http://0700.hk" TargetMode="External"/><Relationship Id="rId1223" Type="http://schemas.openxmlformats.org/officeDocument/2006/relationships/hyperlink" Target="https://finance.yahoo.com/quote/9988.HK/?p=9988.HK" TargetMode="External"/><Relationship Id="rId829" Type="http://schemas.openxmlformats.org/officeDocument/2006/relationships/hyperlink" Target="https://finance.yahoo.com/quote/SOFI/?p=SOFI" TargetMode="External"/><Relationship Id="rId828" Type="http://schemas.openxmlformats.org/officeDocument/2006/relationships/hyperlink" Target="https://finance.yahoo.com/quote/NFLX/?p=NFLX" TargetMode="External"/><Relationship Id="rId827" Type="http://schemas.openxmlformats.org/officeDocument/2006/relationships/hyperlink" Target="https://finance.yahoo.com/quote/LMT/?p=LMT" TargetMode="External"/><Relationship Id="rId822" Type="http://schemas.openxmlformats.org/officeDocument/2006/relationships/hyperlink" Target="https://finance.yahoo.com/quote/3339.HK/?p=3339.HK" TargetMode="External"/><Relationship Id="rId821" Type="http://schemas.openxmlformats.org/officeDocument/2006/relationships/hyperlink" Target="http://3339.hk" TargetMode="External"/><Relationship Id="rId820" Type="http://schemas.openxmlformats.org/officeDocument/2006/relationships/hyperlink" Target="https://finance.yahoo.com/quote/AAPL/?p=AAPL" TargetMode="External"/><Relationship Id="rId826" Type="http://schemas.openxmlformats.org/officeDocument/2006/relationships/hyperlink" Target="https://finance.yahoo.com/quote/SOFI/?p=SOFI" TargetMode="External"/><Relationship Id="rId825" Type="http://schemas.openxmlformats.org/officeDocument/2006/relationships/hyperlink" Target="https://finance.yahoo.com/quote/PFE/?p=PFE" TargetMode="External"/><Relationship Id="rId824" Type="http://schemas.openxmlformats.org/officeDocument/2006/relationships/hyperlink" Target="https://finance.yahoo.com/quote/PFE/?p=PFE" TargetMode="External"/><Relationship Id="rId823" Type="http://schemas.openxmlformats.org/officeDocument/2006/relationships/hyperlink" Target="https://finance.yahoo.com/quote/LMT/?p=LMT" TargetMode="External"/><Relationship Id="rId819" Type="http://schemas.openxmlformats.org/officeDocument/2006/relationships/hyperlink" Target="https://finance.yahoo.com/quote/aapl/?p=aapl" TargetMode="External"/><Relationship Id="rId818" Type="http://schemas.openxmlformats.org/officeDocument/2006/relationships/hyperlink" Target="https://finance.yahoo.com/quote/AAPL/?p=AAPL" TargetMode="External"/><Relationship Id="rId817" Type="http://schemas.openxmlformats.org/officeDocument/2006/relationships/hyperlink" Target="https://finance.yahoo.com/quote/6862.HK/?p=6862.HK" TargetMode="External"/><Relationship Id="rId816" Type="http://schemas.openxmlformats.org/officeDocument/2006/relationships/hyperlink" Target="http://6862.hk" TargetMode="External"/><Relationship Id="rId811" Type="http://schemas.openxmlformats.org/officeDocument/2006/relationships/hyperlink" Target="https://finance.yahoo.com/quote/0700.HK/?p=0700.HK" TargetMode="External"/><Relationship Id="rId810" Type="http://schemas.openxmlformats.org/officeDocument/2006/relationships/hyperlink" Target="http://0700.hk" TargetMode="External"/><Relationship Id="rId815" Type="http://schemas.openxmlformats.org/officeDocument/2006/relationships/hyperlink" Target="https://finance.yahoo.com/quote/6862.HK/?p=6862.HK" TargetMode="External"/><Relationship Id="rId814" Type="http://schemas.openxmlformats.org/officeDocument/2006/relationships/hyperlink" Target="http://6862.hk" TargetMode="External"/><Relationship Id="rId813" Type="http://schemas.openxmlformats.org/officeDocument/2006/relationships/hyperlink" Target="https://finance.yahoo.com/quote/0700.HK/?p=0700.HK" TargetMode="External"/><Relationship Id="rId812" Type="http://schemas.openxmlformats.org/officeDocument/2006/relationships/hyperlink" Target="http://0700.hk" TargetMode="External"/><Relationship Id="rId609" Type="http://schemas.openxmlformats.org/officeDocument/2006/relationships/hyperlink" Target="https://finance.yahoo.com/quote/9939.HK/?p=9939.HK" TargetMode="External"/><Relationship Id="rId608" Type="http://schemas.openxmlformats.org/officeDocument/2006/relationships/hyperlink" Target="http://9939.hk" TargetMode="External"/><Relationship Id="rId607" Type="http://schemas.openxmlformats.org/officeDocument/2006/relationships/hyperlink" Target="https://finance.yahoo.com/quote/9988.HK/?p=9988.HK" TargetMode="External"/><Relationship Id="rId849" Type="http://schemas.openxmlformats.org/officeDocument/2006/relationships/hyperlink" Target="http://3339.hk" TargetMode="External"/><Relationship Id="rId602" Type="http://schemas.openxmlformats.org/officeDocument/2006/relationships/hyperlink" Target="https://finance.yahoo.com/quote/TSLA/?p=TSLA" TargetMode="External"/><Relationship Id="rId844" Type="http://schemas.openxmlformats.org/officeDocument/2006/relationships/hyperlink" Target="https://finance.yahoo.com/quote/1610.HK/?p=1610.HK" TargetMode="External"/><Relationship Id="rId601" Type="http://schemas.openxmlformats.org/officeDocument/2006/relationships/hyperlink" Target="https://finance.yahoo.com/quote/TSLA/?p=TSLA" TargetMode="External"/><Relationship Id="rId843" Type="http://schemas.openxmlformats.org/officeDocument/2006/relationships/hyperlink" Target="http://1610.hk" TargetMode="External"/><Relationship Id="rId600" Type="http://schemas.openxmlformats.org/officeDocument/2006/relationships/hyperlink" Target="https://finance.yahoo.com/quote/DIS/?p=DIS" TargetMode="External"/><Relationship Id="rId842" Type="http://schemas.openxmlformats.org/officeDocument/2006/relationships/hyperlink" Target="https://finance.yahoo.com/quote/0708.HK/?p=0708.HK" TargetMode="External"/><Relationship Id="rId841" Type="http://schemas.openxmlformats.org/officeDocument/2006/relationships/hyperlink" Target="http://0708.hk" TargetMode="External"/><Relationship Id="rId606" Type="http://schemas.openxmlformats.org/officeDocument/2006/relationships/hyperlink" Target="http://9988.hk" TargetMode="External"/><Relationship Id="rId848" Type="http://schemas.openxmlformats.org/officeDocument/2006/relationships/hyperlink" Target="https://finance.yahoo.com/quote/2333.HK/?p=2333.HK" TargetMode="External"/><Relationship Id="rId605" Type="http://schemas.openxmlformats.org/officeDocument/2006/relationships/hyperlink" Target="https://finance.yahoo.com/quote/TSLA/?p=TSLA" TargetMode="External"/><Relationship Id="rId847" Type="http://schemas.openxmlformats.org/officeDocument/2006/relationships/hyperlink" Target="http://2333.hk" TargetMode="External"/><Relationship Id="rId604" Type="http://schemas.openxmlformats.org/officeDocument/2006/relationships/hyperlink" Target="https://finance.yahoo.com/quote/9988.HK/?p=9988.HK" TargetMode="External"/><Relationship Id="rId846" Type="http://schemas.openxmlformats.org/officeDocument/2006/relationships/hyperlink" Target="https://finance.yahoo.com/quote/1810.HK/?p=1810.HK" TargetMode="External"/><Relationship Id="rId603" Type="http://schemas.openxmlformats.org/officeDocument/2006/relationships/hyperlink" Target="http://9988.hk" TargetMode="External"/><Relationship Id="rId845" Type="http://schemas.openxmlformats.org/officeDocument/2006/relationships/hyperlink" Target="http://1810.hk" TargetMode="External"/><Relationship Id="rId840" Type="http://schemas.openxmlformats.org/officeDocument/2006/relationships/hyperlink" Target="https://finance.yahoo.com/quote/2333.HK/?p=2333.HK" TargetMode="External"/><Relationship Id="rId839" Type="http://schemas.openxmlformats.org/officeDocument/2006/relationships/hyperlink" Target="http://2333.hk" TargetMode="External"/><Relationship Id="rId838" Type="http://schemas.openxmlformats.org/officeDocument/2006/relationships/hyperlink" Target="https://finance.yahoo.com/quote/2333.HK/?p=2333.HK" TargetMode="External"/><Relationship Id="rId833" Type="http://schemas.openxmlformats.org/officeDocument/2006/relationships/hyperlink" Target="https://finance.yahoo.com/quote/2318.HK/?p=2318.HK" TargetMode="External"/><Relationship Id="rId832" Type="http://schemas.openxmlformats.org/officeDocument/2006/relationships/hyperlink" Target="http://2318.hk" TargetMode="External"/><Relationship Id="rId831" Type="http://schemas.openxmlformats.org/officeDocument/2006/relationships/hyperlink" Target="https://finance.yahoo.com/quote/2318.HK/?p=2318.HK" TargetMode="External"/><Relationship Id="rId830" Type="http://schemas.openxmlformats.org/officeDocument/2006/relationships/hyperlink" Target="http://2318.hk" TargetMode="External"/><Relationship Id="rId837" Type="http://schemas.openxmlformats.org/officeDocument/2006/relationships/hyperlink" Target="http://2333.hk" TargetMode="External"/><Relationship Id="rId836" Type="http://schemas.openxmlformats.org/officeDocument/2006/relationships/hyperlink" Target="https://finance.yahoo.com/quote/CLOV/?p=CLOV" TargetMode="External"/><Relationship Id="rId835" Type="http://schemas.openxmlformats.org/officeDocument/2006/relationships/hyperlink" Target="https://finance.yahoo.com/quote/0708.hk/?p=0708.hk" TargetMode="External"/><Relationship Id="rId834" Type="http://schemas.openxmlformats.org/officeDocument/2006/relationships/hyperlink" Target="http://0708.hk" TargetMode="External"/><Relationship Id="rId1059" Type="http://schemas.openxmlformats.org/officeDocument/2006/relationships/hyperlink" Target="https://finance.yahoo.com/quote/GC=F/?p=GC=F" TargetMode="External"/><Relationship Id="rId228" Type="http://schemas.openxmlformats.org/officeDocument/2006/relationships/hyperlink" Target="http://0001.hk" TargetMode="External"/><Relationship Id="rId227" Type="http://schemas.openxmlformats.org/officeDocument/2006/relationships/hyperlink" Target="https://finance.yahoo.com/quote/0095.HK/?p=0095.HK" TargetMode="External"/><Relationship Id="rId469" Type="http://schemas.openxmlformats.org/officeDocument/2006/relationships/hyperlink" Target="http://002307.sz" TargetMode="External"/><Relationship Id="rId226" Type="http://schemas.openxmlformats.org/officeDocument/2006/relationships/hyperlink" Target="http://0095.hk" TargetMode="External"/><Relationship Id="rId468" Type="http://schemas.openxmlformats.org/officeDocument/2006/relationships/hyperlink" Target="https://finance.yahoo.com/quote/000950.SZ/?p=000950.SZ" TargetMode="External"/><Relationship Id="rId225" Type="http://schemas.openxmlformats.org/officeDocument/2006/relationships/hyperlink" Target="https://finance.yahoo.com/quote/0836.HK/?p=0836.HK" TargetMode="External"/><Relationship Id="rId467" Type="http://schemas.openxmlformats.org/officeDocument/2006/relationships/hyperlink" Target="http://000950.sz" TargetMode="External"/><Relationship Id="rId1290" Type="http://schemas.openxmlformats.org/officeDocument/2006/relationships/hyperlink" Target="https://finance.yahoo.com/quote/9698.HK/?p=9698.HK" TargetMode="External"/><Relationship Id="rId1291" Type="http://schemas.openxmlformats.org/officeDocument/2006/relationships/hyperlink" Target="https://finance.yahoo.com/quote/NU/?p=NU" TargetMode="External"/><Relationship Id="rId229" Type="http://schemas.openxmlformats.org/officeDocument/2006/relationships/hyperlink" Target="https://finance.yahoo.com/quote/0001.HK/?p=0001.HK" TargetMode="External"/><Relationship Id="rId1050" Type="http://schemas.openxmlformats.org/officeDocument/2006/relationships/hyperlink" Target="http://603963.ss" TargetMode="External"/><Relationship Id="rId1292" Type="http://schemas.openxmlformats.org/officeDocument/2006/relationships/hyperlink" Target="https://finance.yahoo.com/quote/SOFI/?p=SOFI" TargetMode="External"/><Relationship Id="rId220" Type="http://schemas.openxmlformats.org/officeDocument/2006/relationships/hyperlink" Target="https://finance.yahoo.com/quote/9988.HK/?p=9988.HK" TargetMode="External"/><Relationship Id="rId462" Type="http://schemas.openxmlformats.org/officeDocument/2006/relationships/hyperlink" Target="https://finance.yahoo.com/quote/002657.SZ/?p=002657.SZ" TargetMode="External"/><Relationship Id="rId1051" Type="http://schemas.openxmlformats.org/officeDocument/2006/relationships/hyperlink" Target="https://finance.yahoo.com/quote/603963.SS/?p=603963.SS" TargetMode="External"/><Relationship Id="rId1293" Type="http://schemas.openxmlformats.org/officeDocument/2006/relationships/hyperlink" Target="https://finance.yahoo.com/quote/YINN/?p=YINN" TargetMode="External"/><Relationship Id="rId461" Type="http://schemas.openxmlformats.org/officeDocument/2006/relationships/hyperlink" Target="http://002657.sz" TargetMode="External"/><Relationship Id="rId1052" Type="http://schemas.openxmlformats.org/officeDocument/2006/relationships/hyperlink" Target="http://603963.ss" TargetMode="External"/><Relationship Id="rId1294" Type="http://schemas.openxmlformats.org/officeDocument/2006/relationships/hyperlink" Target="https://finance.yahoo.com/quote/SBRCY/?p=SBRCY" TargetMode="External"/><Relationship Id="rId460" Type="http://schemas.openxmlformats.org/officeDocument/2006/relationships/hyperlink" Target="https://finance.yahoo.com/quote/002307.SZ/?p=002307.SZ" TargetMode="External"/><Relationship Id="rId1053" Type="http://schemas.openxmlformats.org/officeDocument/2006/relationships/hyperlink" Target="https://finance.yahoo.com/quote/603963.SS/?p=603963.SS" TargetMode="External"/><Relationship Id="rId1295" Type="http://schemas.openxmlformats.org/officeDocument/2006/relationships/hyperlink" Target="https://finance.yahoo.com/quote/SOXL/?p=SOXL" TargetMode="External"/><Relationship Id="rId1054" Type="http://schemas.openxmlformats.org/officeDocument/2006/relationships/hyperlink" Target="https://finance.yahoo.com/quote/GC=F/?p=GC=F" TargetMode="External"/><Relationship Id="rId1296" Type="http://schemas.openxmlformats.org/officeDocument/2006/relationships/hyperlink" Target="https://finance.yahoo.com/quote/NU/?p=NU" TargetMode="External"/><Relationship Id="rId224" Type="http://schemas.openxmlformats.org/officeDocument/2006/relationships/hyperlink" Target="http://0836.hk" TargetMode="External"/><Relationship Id="rId466" Type="http://schemas.openxmlformats.org/officeDocument/2006/relationships/hyperlink" Target="https://finance.yahoo.com/quote/600724.SS/?p=600724.SS" TargetMode="External"/><Relationship Id="rId1055" Type="http://schemas.openxmlformats.org/officeDocument/2006/relationships/hyperlink" Target="http://603538.ss" TargetMode="External"/><Relationship Id="rId1297" Type="http://schemas.openxmlformats.org/officeDocument/2006/relationships/hyperlink" Target="https://finance.yahoo.com/quote/SOFI/?p=SOFI" TargetMode="External"/><Relationship Id="rId223" Type="http://schemas.openxmlformats.org/officeDocument/2006/relationships/hyperlink" Target="https://finance.yahoo.com/quote/2007.hk/?p=2007.hk" TargetMode="External"/><Relationship Id="rId465" Type="http://schemas.openxmlformats.org/officeDocument/2006/relationships/hyperlink" Target="http://600724.ss" TargetMode="External"/><Relationship Id="rId1056" Type="http://schemas.openxmlformats.org/officeDocument/2006/relationships/hyperlink" Target="https://finance.yahoo.com/quote/603538.SS/?p=603538.SS" TargetMode="External"/><Relationship Id="rId1298" Type="http://schemas.openxmlformats.org/officeDocument/2006/relationships/hyperlink" Target="http://9988.hk" TargetMode="External"/><Relationship Id="rId222" Type="http://schemas.openxmlformats.org/officeDocument/2006/relationships/hyperlink" Target="http://2007.hk" TargetMode="External"/><Relationship Id="rId464" Type="http://schemas.openxmlformats.org/officeDocument/2006/relationships/hyperlink" Target="https://finance.yahoo.com/quote/002864.SZ/?p=002864.SZ" TargetMode="External"/><Relationship Id="rId1057" Type="http://schemas.openxmlformats.org/officeDocument/2006/relationships/hyperlink" Target="http://688076.ss" TargetMode="External"/><Relationship Id="rId1299" Type="http://schemas.openxmlformats.org/officeDocument/2006/relationships/hyperlink" Target="https://finance.yahoo.com/quote/9988.HK/?p=9988.HK" TargetMode="External"/><Relationship Id="rId221" Type="http://schemas.openxmlformats.org/officeDocument/2006/relationships/hyperlink" Target="https://finance.yahoo.com/quote/TSLA/?p=TSLA" TargetMode="External"/><Relationship Id="rId463" Type="http://schemas.openxmlformats.org/officeDocument/2006/relationships/hyperlink" Target="http://002864.sz" TargetMode="External"/><Relationship Id="rId1058" Type="http://schemas.openxmlformats.org/officeDocument/2006/relationships/hyperlink" Target="https://finance.yahoo.com/quote/688076.SS/?p=688076.SS" TargetMode="External"/><Relationship Id="rId1048" Type="http://schemas.openxmlformats.org/officeDocument/2006/relationships/hyperlink" Target="http://603963.ss" TargetMode="External"/><Relationship Id="rId1049" Type="http://schemas.openxmlformats.org/officeDocument/2006/relationships/hyperlink" Target="https://finance.yahoo.com/quote/603963.SS/?p=603963.SS" TargetMode="External"/><Relationship Id="rId217" Type="http://schemas.openxmlformats.org/officeDocument/2006/relationships/hyperlink" Target="http://0700.hk" TargetMode="External"/><Relationship Id="rId459" Type="http://schemas.openxmlformats.org/officeDocument/2006/relationships/hyperlink" Target="http://002307.sz" TargetMode="External"/><Relationship Id="rId216" Type="http://schemas.openxmlformats.org/officeDocument/2006/relationships/hyperlink" Target="https://finance.yahoo.com/quote/TSLA/?p=TSLA" TargetMode="External"/><Relationship Id="rId458" Type="http://schemas.openxmlformats.org/officeDocument/2006/relationships/hyperlink" Target="https://finance.yahoo.com/quote/002657.SZ/?p=002657.SZ" TargetMode="External"/><Relationship Id="rId215" Type="http://schemas.openxmlformats.org/officeDocument/2006/relationships/hyperlink" Target="https://finance.yahoo.com/quote/9988.HK/?p=9988.HK" TargetMode="External"/><Relationship Id="rId457" Type="http://schemas.openxmlformats.org/officeDocument/2006/relationships/hyperlink" Target="http://002657.sz" TargetMode="External"/><Relationship Id="rId699" Type="http://schemas.openxmlformats.org/officeDocument/2006/relationships/hyperlink" Target="http://9988.hk" TargetMode="External"/><Relationship Id="rId214" Type="http://schemas.openxmlformats.org/officeDocument/2006/relationships/hyperlink" Target="http://9988.hk" TargetMode="External"/><Relationship Id="rId456" Type="http://schemas.openxmlformats.org/officeDocument/2006/relationships/hyperlink" Target="https://finance.yahoo.com/quote/002657.SZ/?p=002657.SZ" TargetMode="External"/><Relationship Id="rId698" Type="http://schemas.openxmlformats.org/officeDocument/2006/relationships/hyperlink" Target="https://finance.yahoo.com/quote/GC=F/?p=GC=F" TargetMode="External"/><Relationship Id="rId219" Type="http://schemas.openxmlformats.org/officeDocument/2006/relationships/hyperlink" Target="http://9988.hk" TargetMode="External"/><Relationship Id="rId1280" Type="http://schemas.openxmlformats.org/officeDocument/2006/relationships/hyperlink" Target="http://9698.hk" TargetMode="External"/><Relationship Id="rId218" Type="http://schemas.openxmlformats.org/officeDocument/2006/relationships/hyperlink" Target="https://finance.yahoo.com/quote/0700.HK/?p=0700.HK" TargetMode="External"/><Relationship Id="rId1281" Type="http://schemas.openxmlformats.org/officeDocument/2006/relationships/hyperlink" Target="https://finance.yahoo.com/quote/9698.HK/?p=9698.HK" TargetMode="External"/><Relationship Id="rId451" Type="http://schemas.openxmlformats.org/officeDocument/2006/relationships/hyperlink" Target="http://002307.sz" TargetMode="External"/><Relationship Id="rId693" Type="http://schemas.openxmlformats.org/officeDocument/2006/relationships/hyperlink" Target="https://finance.yahoo.com/quote/YINN/?p=YINN" TargetMode="External"/><Relationship Id="rId1040" Type="http://schemas.openxmlformats.org/officeDocument/2006/relationships/hyperlink" Target="http://601808.ss" TargetMode="External"/><Relationship Id="rId1282" Type="http://schemas.openxmlformats.org/officeDocument/2006/relationships/hyperlink" Target="https://finance.yahoo.com/quote/NU/?p=NU" TargetMode="External"/><Relationship Id="rId450" Type="http://schemas.openxmlformats.org/officeDocument/2006/relationships/hyperlink" Target="https://finance.yahoo.com/quote/003040.SZ/?p=003040.SZ" TargetMode="External"/><Relationship Id="rId692" Type="http://schemas.openxmlformats.org/officeDocument/2006/relationships/hyperlink" Target="https://finance.yahoo.com/quote/TSLA/?p=TSLA" TargetMode="External"/><Relationship Id="rId1041" Type="http://schemas.openxmlformats.org/officeDocument/2006/relationships/hyperlink" Target="https://finance.yahoo.com/quote/601808.SS/?p=601808.SS" TargetMode="External"/><Relationship Id="rId1283" Type="http://schemas.openxmlformats.org/officeDocument/2006/relationships/hyperlink" Target="https://finance.yahoo.com/quote/SOFI/?p=SOFI" TargetMode="External"/><Relationship Id="rId691" Type="http://schemas.openxmlformats.org/officeDocument/2006/relationships/hyperlink" Target="https://finance.yahoo.com/quote/6969.HK/?p=6969.HK" TargetMode="External"/><Relationship Id="rId1042" Type="http://schemas.openxmlformats.org/officeDocument/2006/relationships/hyperlink" Target="http://603967.ss" TargetMode="External"/><Relationship Id="rId1284" Type="http://schemas.openxmlformats.org/officeDocument/2006/relationships/hyperlink" Target="https://finance.yahoo.com/quote/TCEHY/?p=TCEHY" TargetMode="External"/><Relationship Id="rId690" Type="http://schemas.openxmlformats.org/officeDocument/2006/relationships/hyperlink" Target="http://6969.hk" TargetMode="External"/><Relationship Id="rId1043" Type="http://schemas.openxmlformats.org/officeDocument/2006/relationships/hyperlink" Target="https://finance.yahoo.com/quote/603967.SS/?p=603967.SS" TargetMode="External"/><Relationship Id="rId1285" Type="http://schemas.openxmlformats.org/officeDocument/2006/relationships/hyperlink" Target="https://finance.yahoo.com/quote/UVXY/?p=UVXY" TargetMode="External"/><Relationship Id="rId213" Type="http://schemas.openxmlformats.org/officeDocument/2006/relationships/hyperlink" Target="https://finance.yahoo.com/quote/9888.HK/?p=9888.HK" TargetMode="External"/><Relationship Id="rId455" Type="http://schemas.openxmlformats.org/officeDocument/2006/relationships/hyperlink" Target="http://002657.sz" TargetMode="External"/><Relationship Id="rId697" Type="http://schemas.openxmlformats.org/officeDocument/2006/relationships/hyperlink" Target="https://finance.yahoo.com/quote/9988.HK/?p=9988.HK" TargetMode="External"/><Relationship Id="rId1044" Type="http://schemas.openxmlformats.org/officeDocument/2006/relationships/hyperlink" Target="http://002665.sz" TargetMode="External"/><Relationship Id="rId1286" Type="http://schemas.openxmlformats.org/officeDocument/2006/relationships/hyperlink" Target="https://finance.yahoo.com/quote/YINN/?p=YINN" TargetMode="External"/><Relationship Id="rId212" Type="http://schemas.openxmlformats.org/officeDocument/2006/relationships/hyperlink" Target="http://9888.hk" TargetMode="External"/><Relationship Id="rId454" Type="http://schemas.openxmlformats.org/officeDocument/2006/relationships/hyperlink" Target="https://finance.yahoo.com/quote/002657.SZ/?p=002657.SZ" TargetMode="External"/><Relationship Id="rId696" Type="http://schemas.openxmlformats.org/officeDocument/2006/relationships/hyperlink" Target="http://9988.hk" TargetMode="External"/><Relationship Id="rId1045" Type="http://schemas.openxmlformats.org/officeDocument/2006/relationships/hyperlink" Target="https://finance.yahoo.com/quote/002665.SZ/?p=002665.SZ" TargetMode="External"/><Relationship Id="rId1287" Type="http://schemas.openxmlformats.org/officeDocument/2006/relationships/hyperlink" Target="http://6969.hk" TargetMode="External"/><Relationship Id="rId211" Type="http://schemas.openxmlformats.org/officeDocument/2006/relationships/hyperlink" Target="https://finance.yahoo.com/quote/9626.HK/?p=9626.HK" TargetMode="External"/><Relationship Id="rId453" Type="http://schemas.openxmlformats.org/officeDocument/2006/relationships/hyperlink" Target="http://002657.sz" TargetMode="External"/><Relationship Id="rId695" Type="http://schemas.openxmlformats.org/officeDocument/2006/relationships/hyperlink" Target="https://finance.yahoo.com/quote/NFLX/?p=NFLX" TargetMode="External"/><Relationship Id="rId1046" Type="http://schemas.openxmlformats.org/officeDocument/2006/relationships/hyperlink" Target="http://603967.ss" TargetMode="External"/><Relationship Id="rId1288" Type="http://schemas.openxmlformats.org/officeDocument/2006/relationships/hyperlink" Target="https://finance.yahoo.com/quote/6969.HK/?p=6969.HK" TargetMode="External"/><Relationship Id="rId210" Type="http://schemas.openxmlformats.org/officeDocument/2006/relationships/hyperlink" Target="http://9626.hk" TargetMode="External"/><Relationship Id="rId452" Type="http://schemas.openxmlformats.org/officeDocument/2006/relationships/hyperlink" Target="https://finance.yahoo.com/quote/002307.SZ/?p=002307.SZ" TargetMode="External"/><Relationship Id="rId694" Type="http://schemas.openxmlformats.org/officeDocument/2006/relationships/hyperlink" Target="https://finance.yahoo.com/quote/AMZN/?p=AMZN" TargetMode="External"/><Relationship Id="rId1047" Type="http://schemas.openxmlformats.org/officeDocument/2006/relationships/hyperlink" Target="https://finance.yahoo.com/quote/603967.SS/?p=603967.SS" TargetMode="External"/><Relationship Id="rId1289" Type="http://schemas.openxmlformats.org/officeDocument/2006/relationships/hyperlink" Target="http://9698.hk" TargetMode="External"/><Relationship Id="rId491" Type="http://schemas.openxmlformats.org/officeDocument/2006/relationships/hyperlink" Target="https://finance.yahoo.com/quote/BABA/?p=BABA" TargetMode="External"/><Relationship Id="rId490" Type="http://schemas.openxmlformats.org/officeDocument/2006/relationships/hyperlink" Target="https://finance.yahoo.com/quote/0700.HK/?p=0700.HK" TargetMode="External"/><Relationship Id="rId249" Type="http://schemas.openxmlformats.org/officeDocument/2006/relationships/hyperlink" Target="http://0587.hk" TargetMode="External"/><Relationship Id="rId248" Type="http://schemas.openxmlformats.org/officeDocument/2006/relationships/hyperlink" Target="https://finance.yahoo.com/quote/8055.HK/?p=8055.HK" TargetMode="External"/><Relationship Id="rId247" Type="http://schemas.openxmlformats.org/officeDocument/2006/relationships/hyperlink" Target="http://8055.hk" TargetMode="External"/><Relationship Id="rId489" Type="http://schemas.openxmlformats.org/officeDocument/2006/relationships/hyperlink" Target="http://0700.hk" TargetMode="External"/><Relationship Id="rId1070" Type="http://schemas.openxmlformats.org/officeDocument/2006/relationships/hyperlink" Target="http://002670.sz" TargetMode="External"/><Relationship Id="rId1071" Type="http://schemas.openxmlformats.org/officeDocument/2006/relationships/hyperlink" Target="https://finance.yahoo.com/quote/002670.SZ/?p=002670.SZ" TargetMode="External"/><Relationship Id="rId1072" Type="http://schemas.openxmlformats.org/officeDocument/2006/relationships/hyperlink" Target="http://600227.ss" TargetMode="External"/><Relationship Id="rId242" Type="http://schemas.openxmlformats.org/officeDocument/2006/relationships/hyperlink" Target="https://finance.yahoo.com/quote/0386.HK/?p=0386.HK" TargetMode="External"/><Relationship Id="rId484" Type="http://schemas.openxmlformats.org/officeDocument/2006/relationships/hyperlink" Target="http://0070.hk" TargetMode="External"/><Relationship Id="rId1073" Type="http://schemas.openxmlformats.org/officeDocument/2006/relationships/hyperlink" Target="https://finance.yahoo.com/quote/600227.SS/?p=600227.SS" TargetMode="External"/><Relationship Id="rId241" Type="http://schemas.openxmlformats.org/officeDocument/2006/relationships/hyperlink" Target="http://0386.hk" TargetMode="External"/><Relationship Id="rId483" Type="http://schemas.openxmlformats.org/officeDocument/2006/relationships/hyperlink" Target="https://finance.yahoo.com/quote/BABA/?p=BABA" TargetMode="External"/><Relationship Id="rId1074" Type="http://schemas.openxmlformats.org/officeDocument/2006/relationships/hyperlink" Target="http://002670.sz" TargetMode="External"/><Relationship Id="rId240" Type="http://schemas.openxmlformats.org/officeDocument/2006/relationships/hyperlink" Target="https://finance.yahoo.com/quote/0700.HK/?p=0700.HK" TargetMode="External"/><Relationship Id="rId482" Type="http://schemas.openxmlformats.org/officeDocument/2006/relationships/hyperlink" Target="https://finance.yahoo.com/quote/AMZN/?p=AMZN" TargetMode="External"/><Relationship Id="rId1075" Type="http://schemas.openxmlformats.org/officeDocument/2006/relationships/hyperlink" Target="https://finance.yahoo.com/quote/002670.SZ/?p=002670.SZ" TargetMode="External"/><Relationship Id="rId481" Type="http://schemas.openxmlformats.org/officeDocument/2006/relationships/hyperlink" Target="https://finance.yahoo.com/quote/GOOG/?p=GOOG" TargetMode="External"/><Relationship Id="rId1076" Type="http://schemas.openxmlformats.org/officeDocument/2006/relationships/hyperlink" Target="http://603538.ss" TargetMode="External"/><Relationship Id="rId246" Type="http://schemas.openxmlformats.org/officeDocument/2006/relationships/hyperlink" Target="https://finance.yahoo.com/quote/3333.HK/?p=3333.HK" TargetMode="External"/><Relationship Id="rId488" Type="http://schemas.openxmlformats.org/officeDocument/2006/relationships/hyperlink" Target="https://finance.yahoo.com/quote/0700.HK/?p=0700.HK" TargetMode="External"/><Relationship Id="rId1077" Type="http://schemas.openxmlformats.org/officeDocument/2006/relationships/hyperlink" Target="https://finance.yahoo.com/quote/603538.SS/?p=603538.SS" TargetMode="External"/><Relationship Id="rId245" Type="http://schemas.openxmlformats.org/officeDocument/2006/relationships/hyperlink" Target="http://3333.hk" TargetMode="External"/><Relationship Id="rId487" Type="http://schemas.openxmlformats.org/officeDocument/2006/relationships/hyperlink" Target="http://0700.hk" TargetMode="External"/><Relationship Id="rId1078" Type="http://schemas.openxmlformats.org/officeDocument/2006/relationships/hyperlink" Target="http://300147.sz" TargetMode="External"/><Relationship Id="rId244" Type="http://schemas.openxmlformats.org/officeDocument/2006/relationships/hyperlink" Target="https://finance.yahoo.com/quote/1398.HK/?p=1398.HK" TargetMode="External"/><Relationship Id="rId486" Type="http://schemas.openxmlformats.org/officeDocument/2006/relationships/hyperlink" Target="https://finance.yahoo.com/quote/BABA/?p=BABA" TargetMode="External"/><Relationship Id="rId1079" Type="http://schemas.openxmlformats.org/officeDocument/2006/relationships/hyperlink" Target="https://finance.yahoo.com/quote/300147.SZ/?p=300147.SZ" TargetMode="External"/><Relationship Id="rId243" Type="http://schemas.openxmlformats.org/officeDocument/2006/relationships/hyperlink" Target="http://1398.hk" TargetMode="External"/><Relationship Id="rId485" Type="http://schemas.openxmlformats.org/officeDocument/2006/relationships/hyperlink" Target="https://finance.yahoo.com/quote/0070.HK/?p=0070.HK" TargetMode="External"/><Relationship Id="rId480" Type="http://schemas.openxmlformats.org/officeDocument/2006/relationships/hyperlink" Target="https://finance.yahoo.com/quote/CL=F/?p=CL=F" TargetMode="External"/><Relationship Id="rId239" Type="http://schemas.openxmlformats.org/officeDocument/2006/relationships/hyperlink" Target="http://0700.hk" TargetMode="External"/><Relationship Id="rId238" Type="http://schemas.openxmlformats.org/officeDocument/2006/relationships/hyperlink" Target="https://finance.yahoo.com/quote/TSLA/?p=TSLA" TargetMode="External"/><Relationship Id="rId237" Type="http://schemas.openxmlformats.org/officeDocument/2006/relationships/hyperlink" Target="https://finance.yahoo.com/quote/NKE/?p=NKE" TargetMode="External"/><Relationship Id="rId479" Type="http://schemas.openxmlformats.org/officeDocument/2006/relationships/hyperlink" Target="https://finance.yahoo.com/quote/BABA/?p=BABA" TargetMode="External"/><Relationship Id="rId236" Type="http://schemas.openxmlformats.org/officeDocument/2006/relationships/hyperlink" Target="https://finance.yahoo.com/quote/ADA-USD/?p=ADA-USD" TargetMode="External"/><Relationship Id="rId478" Type="http://schemas.openxmlformats.org/officeDocument/2006/relationships/hyperlink" Target="https://finance.yahoo.com/quote/GOOG/?p=GOOG" TargetMode="External"/><Relationship Id="rId1060" Type="http://schemas.openxmlformats.org/officeDocument/2006/relationships/hyperlink" Target="https://finance.yahoo.com/quote/GC=F/?p=GC=F" TargetMode="External"/><Relationship Id="rId1061" Type="http://schemas.openxmlformats.org/officeDocument/2006/relationships/hyperlink" Target="http://002670.sz" TargetMode="External"/><Relationship Id="rId231" Type="http://schemas.openxmlformats.org/officeDocument/2006/relationships/hyperlink" Target="https://finance.yahoo.com/quote/0836.HK/?p=0836.HK" TargetMode="External"/><Relationship Id="rId473" Type="http://schemas.openxmlformats.org/officeDocument/2006/relationships/hyperlink" Target="http://003040.sz" TargetMode="External"/><Relationship Id="rId1062" Type="http://schemas.openxmlformats.org/officeDocument/2006/relationships/hyperlink" Target="https://finance.yahoo.com/quote/002670.SZ/?p=002670.SZ" TargetMode="External"/><Relationship Id="rId230" Type="http://schemas.openxmlformats.org/officeDocument/2006/relationships/hyperlink" Target="http://0836.hk" TargetMode="External"/><Relationship Id="rId472" Type="http://schemas.openxmlformats.org/officeDocument/2006/relationships/hyperlink" Target="https://finance.yahoo.com/quote/002307.SZ/?p=002307.SZ" TargetMode="External"/><Relationship Id="rId1063" Type="http://schemas.openxmlformats.org/officeDocument/2006/relationships/hyperlink" Target="http://0700.hk" TargetMode="External"/><Relationship Id="rId471" Type="http://schemas.openxmlformats.org/officeDocument/2006/relationships/hyperlink" Target="http://002307.sz" TargetMode="External"/><Relationship Id="rId1064" Type="http://schemas.openxmlformats.org/officeDocument/2006/relationships/hyperlink" Target="https://finance.yahoo.com/quote/0700.HK/?p=0700.HK" TargetMode="External"/><Relationship Id="rId470" Type="http://schemas.openxmlformats.org/officeDocument/2006/relationships/hyperlink" Target="https://finance.yahoo.com/quote/002307.SZ/?p=002307.SZ" TargetMode="External"/><Relationship Id="rId1065" Type="http://schemas.openxmlformats.org/officeDocument/2006/relationships/hyperlink" Target="http://9988.hk" TargetMode="External"/><Relationship Id="rId235" Type="http://schemas.openxmlformats.org/officeDocument/2006/relationships/hyperlink" Target="https://finance.yahoo.com/quote/TSLA/?p=TSLA" TargetMode="External"/><Relationship Id="rId477" Type="http://schemas.openxmlformats.org/officeDocument/2006/relationships/hyperlink" Target="https://finance.yahoo.com/quote/AMZN/?p=AMZN" TargetMode="External"/><Relationship Id="rId1066" Type="http://schemas.openxmlformats.org/officeDocument/2006/relationships/hyperlink" Target="https://finance.yahoo.com/quote/9988.HK/?p=9988.HK" TargetMode="External"/><Relationship Id="rId234" Type="http://schemas.openxmlformats.org/officeDocument/2006/relationships/hyperlink" Target="https://finance.yahoo.com/quote/NKE/?p=NKE" TargetMode="External"/><Relationship Id="rId476" Type="http://schemas.openxmlformats.org/officeDocument/2006/relationships/hyperlink" Target="https://finance.yahoo.com/quote/600724.SS/?p=600724.SS" TargetMode="External"/><Relationship Id="rId1067" Type="http://schemas.openxmlformats.org/officeDocument/2006/relationships/hyperlink" Target="https://finance.yahoo.com/quote/GC=F/?p=GC=F" TargetMode="External"/><Relationship Id="rId233" Type="http://schemas.openxmlformats.org/officeDocument/2006/relationships/hyperlink" Target="https://finance.yahoo.com/quote/9988.HK/?p=9988.HK" TargetMode="External"/><Relationship Id="rId475" Type="http://schemas.openxmlformats.org/officeDocument/2006/relationships/hyperlink" Target="http://600724.ss" TargetMode="External"/><Relationship Id="rId1068" Type="http://schemas.openxmlformats.org/officeDocument/2006/relationships/hyperlink" Target="http://000999.sz" TargetMode="External"/><Relationship Id="rId232" Type="http://schemas.openxmlformats.org/officeDocument/2006/relationships/hyperlink" Target="http://9988.hk" TargetMode="External"/><Relationship Id="rId474" Type="http://schemas.openxmlformats.org/officeDocument/2006/relationships/hyperlink" Target="https://finance.yahoo.com/quote/003040.SZ/?p=003040.SZ" TargetMode="External"/><Relationship Id="rId1069" Type="http://schemas.openxmlformats.org/officeDocument/2006/relationships/hyperlink" Target="https://finance.yahoo.com/quote/000999.SZ/?p=000999.SZ" TargetMode="External"/><Relationship Id="rId1015" Type="http://schemas.openxmlformats.org/officeDocument/2006/relationships/hyperlink" Target="https://finance.yahoo.com/quote/600519.SS/?p=600519.SS" TargetMode="External"/><Relationship Id="rId1257" Type="http://schemas.openxmlformats.org/officeDocument/2006/relationships/hyperlink" Target="https://finance.yahoo.com/quote/9988.HK/?p=9988.HK" TargetMode="External"/><Relationship Id="rId1016" Type="http://schemas.openxmlformats.org/officeDocument/2006/relationships/hyperlink" Target="https://finance.yahoo.com/quote/MGM/?p=MGM" TargetMode="External"/><Relationship Id="rId1258" Type="http://schemas.openxmlformats.org/officeDocument/2006/relationships/hyperlink" Target="http://9988.hk" TargetMode="External"/><Relationship Id="rId1017" Type="http://schemas.openxmlformats.org/officeDocument/2006/relationships/hyperlink" Target="https://finance.yahoo.com/quote/XPEV/?p=XPEV" TargetMode="External"/><Relationship Id="rId1259" Type="http://schemas.openxmlformats.org/officeDocument/2006/relationships/hyperlink" Target="https://finance.yahoo.com/quote/9988.HK/?p=9988.HK" TargetMode="External"/><Relationship Id="rId1018" Type="http://schemas.openxmlformats.org/officeDocument/2006/relationships/hyperlink" Target="http://1498.hk" TargetMode="External"/><Relationship Id="rId1019" Type="http://schemas.openxmlformats.org/officeDocument/2006/relationships/hyperlink" Target="https://finance.yahoo.com/quote/1498.HK/?p=1498.HK" TargetMode="External"/><Relationship Id="rId426" Type="http://schemas.openxmlformats.org/officeDocument/2006/relationships/hyperlink" Target="https://finance.yahoo.com/quote/DUK/?p=DUK" TargetMode="External"/><Relationship Id="rId668" Type="http://schemas.openxmlformats.org/officeDocument/2006/relationships/hyperlink" Target="https://finance.yahoo.com/quote/9626.hk/?p=9626.hk" TargetMode="External"/><Relationship Id="rId425" Type="http://schemas.openxmlformats.org/officeDocument/2006/relationships/hyperlink" Target="https://finance.yahoo.com/quote/GM/?p=GM" TargetMode="External"/><Relationship Id="rId667" Type="http://schemas.openxmlformats.org/officeDocument/2006/relationships/hyperlink" Target="http://9626.hk" TargetMode="External"/><Relationship Id="rId424" Type="http://schemas.openxmlformats.org/officeDocument/2006/relationships/hyperlink" Target="https://finance.yahoo.com/quote/600519.SS/?p=600519.SS" TargetMode="External"/><Relationship Id="rId666" Type="http://schemas.openxmlformats.org/officeDocument/2006/relationships/hyperlink" Target="https://finance.yahoo.com/quote/TSLA/?p=TSLA" TargetMode="External"/><Relationship Id="rId423" Type="http://schemas.openxmlformats.org/officeDocument/2006/relationships/hyperlink" Target="http://600519.ss" TargetMode="External"/><Relationship Id="rId665" Type="http://schemas.openxmlformats.org/officeDocument/2006/relationships/hyperlink" Target="https://finance.yahoo.com/quote/SOFI/?p=SOFI" TargetMode="External"/><Relationship Id="rId429" Type="http://schemas.openxmlformats.org/officeDocument/2006/relationships/hyperlink" Target="https://finance.yahoo.com/quote/YANG/?p=YANG" TargetMode="External"/><Relationship Id="rId428" Type="http://schemas.openxmlformats.org/officeDocument/2006/relationships/hyperlink" Target="https://finance.yahoo.com/quote/YANG/?p=YANG" TargetMode="External"/><Relationship Id="rId427" Type="http://schemas.openxmlformats.org/officeDocument/2006/relationships/hyperlink" Target="https://finance.yahoo.com/quote/XPEV/?p=XPEV" TargetMode="External"/><Relationship Id="rId669" Type="http://schemas.openxmlformats.org/officeDocument/2006/relationships/hyperlink" Target="http://9988.hk" TargetMode="External"/><Relationship Id="rId660" Type="http://schemas.openxmlformats.org/officeDocument/2006/relationships/hyperlink" Target="https://finance.yahoo.com/quote/300750.SZ/?p=300750.SZ" TargetMode="External"/><Relationship Id="rId1250" Type="http://schemas.openxmlformats.org/officeDocument/2006/relationships/hyperlink" Target="https://finance.yahoo.com/quote/AMZN/?p=AMZN" TargetMode="External"/><Relationship Id="rId1251" Type="http://schemas.openxmlformats.org/officeDocument/2006/relationships/hyperlink" Target="https://finance.yahoo.com/quote/FB/?p=FB" TargetMode="External"/><Relationship Id="rId1010" Type="http://schemas.openxmlformats.org/officeDocument/2006/relationships/hyperlink" Target="http://600745.ss" TargetMode="External"/><Relationship Id="rId1252" Type="http://schemas.openxmlformats.org/officeDocument/2006/relationships/hyperlink" Target="https://finance.yahoo.com/quote/TSLA/?p=TSLA" TargetMode="External"/><Relationship Id="rId422" Type="http://schemas.openxmlformats.org/officeDocument/2006/relationships/hyperlink" Target="https://finance.yahoo.com/quote/0700.HK/?p=0700.HK" TargetMode="External"/><Relationship Id="rId664" Type="http://schemas.openxmlformats.org/officeDocument/2006/relationships/hyperlink" Target="https://finance.yahoo.com/quote/TSLA/?p=TSLA" TargetMode="External"/><Relationship Id="rId1011" Type="http://schemas.openxmlformats.org/officeDocument/2006/relationships/hyperlink" Target="https://finance.yahoo.com/quote/600745.SS/?p=600745.SS" TargetMode="External"/><Relationship Id="rId1253" Type="http://schemas.openxmlformats.org/officeDocument/2006/relationships/hyperlink" Target="https://finance.yahoo.com/quote/AAPL/?p=AAPL" TargetMode="External"/><Relationship Id="rId421" Type="http://schemas.openxmlformats.org/officeDocument/2006/relationships/hyperlink" Target="http://0700.hk" TargetMode="External"/><Relationship Id="rId663" Type="http://schemas.openxmlformats.org/officeDocument/2006/relationships/hyperlink" Target="https://finance.yahoo.com/quote/TSLA/?p=TSLA" TargetMode="External"/><Relationship Id="rId1012" Type="http://schemas.openxmlformats.org/officeDocument/2006/relationships/hyperlink" Target="http://600745.ss" TargetMode="External"/><Relationship Id="rId1254" Type="http://schemas.openxmlformats.org/officeDocument/2006/relationships/hyperlink" Target="https://finance.yahoo.com/quote/TSLA/?p=TSLA" TargetMode="External"/><Relationship Id="rId420" Type="http://schemas.openxmlformats.org/officeDocument/2006/relationships/hyperlink" Target="https://finance.yahoo.com/quote/0700.HK/?p=0700.HK" TargetMode="External"/><Relationship Id="rId662" Type="http://schemas.openxmlformats.org/officeDocument/2006/relationships/hyperlink" Target="https://finance.yahoo.com/quote/AAPL/?p=AAPL" TargetMode="External"/><Relationship Id="rId1013" Type="http://schemas.openxmlformats.org/officeDocument/2006/relationships/hyperlink" Target="https://finance.yahoo.com/quote/600745.SS/?p=600745.SS" TargetMode="External"/><Relationship Id="rId1255" Type="http://schemas.openxmlformats.org/officeDocument/2006/relationships/hyperlink" Target="https://finance.yahoo.com/quote/TWTR/?p=TWTR" TargetMode="External"/><Relationship Id="rId661" Type="http://schemas.openxmlformats.org/officeDocument/2006/relationships/hyperlink" Target="https://finance.yahoo.com/quote/AAPL/?p=AAPL" TargetMode="External"/><Relationship Id="rId1014" Type="http://schemas.openxmlformats.org/officeDocument/2006/relationships/hyperlink" Target="http://600519.ss" TargetMode="External"/><Relationship Id="rId1256" Type="http://schemas.openxmlformats.org/officeDocument/2006/relationships/hyperlink" Target="http://9988.hk" TargetMode="External"/><Relationship Id="rId1004" Type="http://schemas.openxmlformats.org/officeDocument/2006/relationships/hyperlink" Target="http://601658.ss" TargetMode="External"/><Relationship Id="rId1246" Type="http://schemas.openxmlformats.org/officeDocument/2006/relationships/hyperlink" Target="https://finance.yahoo.com/quote/BITO/?p=BITO" TargetMode="External"/><Relationship Id="rId1005" Type="http://schemas.openxmlformats.org/officeDocument/2006/relationships/hyperlink" Target="https://finance.yahoo.com/quote/601658.SS/?p=601658.SS" TargetMode="External"/><Relationship Id="rId1247" Type="http://schemas.openxmlformats.org/officeDocument/2006/relationships/hyperlink" Target="https://finance.yahoo.com/quote/COIN/?p=COIN" TargetMode="External"/><Relationship Id="rId1006" Type="http://schemas.openxmlformats.org/officeDocument/2006/relationships/hyperlink" Target="http://601939.ss" TargetMode="External"/><Relationship Id="rId1248" Type="http://schemas.openxmlformats.org/officeDocument/2006/relationships/hyperlink" Target="https://finance.yahoo.com/quote/SNDL/?p=SNDL" TargetMode="External"/><Relationship Id="rId1007" Type="http://schemas.openxmlformats.org/officeDocument/2006/relationships/hyperlink" Target="https://finance.yahoo.com/quote/601939.SS/?p=601939.SS" TargetMode="External"/><Relationship Id="rId1249" Type="http://schemas.openxmlformats.org/officeDocument/2006/relationships/hyperlink" Target="https://finance.yahoo.com/quote/SNDL/?p=SNDL" TargetMode="External"/><Relationship Id="rId1008" Type="http://schemas.openxmlformats.org/officeDocument/2006/relationships/hyperlink" Target="http://600745.ss" TargetMode="External"/><Relationship Id="rId1009" Type="http://schemas.openxmlformats.org/officeDocument/2006/relationships/hyperlink" Target="https://finance.yahoo.com/quote/600745.SS/?p=600745.SS" TargetMode="External"/><Relationship Id="rId415" Type="http://schemas.openxmlformats.org/officeDocument/2006/relationships/hyperlink" Target="http://600519.ss" TargetMode="External"/><Relationship Id="rId657" Type="http://schemas.openxmlformats.org/officeDocument/2006/relationships/hyperlink" Target="https://finance.yahoo.com/quote/GOLD/?p=GOLD" TargetMode="External"/><Relationship Id="rId899" Type="http://schemas.openxmlformats.org/officeDocument/2006/relationships/hyperlink" Target="https://finance.yahoo.com/quote/BRK-B/?p=BRK-B" TargetMode="External"/><Relationship Id="rId414" Type="http://schemas.openxmlformats.org/officeDocument/2006/relationships/hyperlink" Target="https://finance.yahoo.com/quote/0700.HK/?p=0700.HK" TargetMode="External"/><Relationship Id="rId656" Type="http://schemas.openxmlformats.org/officeDocument/2006/relationships/hyperlink" Target="https://finance.yahoo.com/quote/2222.SR/?p=2222.SR" TargetMode="External"/><Relationship Id="rId898" Type="http://schemas.openxmlformats.org/officeDocument/2006/relationships/hyperlink" Target="https://finance.yahoo.com/quote/AMAT/?p=AMAT" TargetMode="External"/><Relationship Id="rId413" Type="http://schemas.openxmlformats.org/officeDocument/2006/relationships/hyperlink" Target="http://0700.hk" TargetMode="External"/><Relationship Id="rId655" Type="http://schemas.openxmlformats.org/officeDocument/2006/relationships/hyperlink" Target="http://2222.sr" TargetMode="External"/><Relationship Id="rId897" Type="http://schemas.openxmlformats.org/officeDocument/2006/relationships/hyperlink" Target="https://finance.yahoo.com/quote/1398.HK/?p=1398.HK" TargetMode="External"/><Relationship Id="rId412" Type="http://schemas.openxmlformats.org/officeDocument/2006/relationships/hyperlink" Target="https://finance.yahoo.com/quote/HPK/?p=HPK" TargetMode="External"/><Relationship Id="rId654" Type="http://schemas.openxmlformats.org/officeDocument/2006/relationships/hyperlink" Target="https://finance.yahoo.com/quote/2222.SR/?p=2222.SR" TargetMode="External"/><Relationship Id="rId896" Type="http://schemas.openxmlformats.org/officeDocument/2006/relationships/hyperlink" Target="http://1398.hk" TargetMode="External"/><Relationship Id="rId419" Type="http://schemas.openxmlformats.org/officeDocument/2006/relationships/hyperlink" Target="http://0700.hk" TargetMode="External"/><Relationship Id="rId418" Type="http://schemas.openxmlformats.org/officeDocument/2006/relationships/hyperlink" Target="https://finance.yahoo.com/quote/0700.HK/?p=0700.HK" TargetMode="External"/><Relationship Id="rId417" Type="http://schemas.openxmlformats.org/officeDocument/2006/relationships/hyperlink" Target="http://0700.hk" TargetMode="External"/><Relationship Id="rId659" Type="http://schemas.openxmlformats.org/officeDocument/2006/relationships/hyperlink" Target="http://300750.sz" TargetMode="External"/><Relationship Id="rId416" Type="http://schemas.openxmlformats.org/officeDocument/2006/relationships/hyperlink" Target="https://finance.yahoo.com/quote/600519.SS/?p=600519.SS" TargetMode="External"/><Relationship Id="rId658" Type="http://schemas.openxmlformats.org/officeDocument/2006/relationships/hyperlink" Target="https://finance.yahoo.com/quote/AAPL/?p=AAPL" TargetMode="External"/><Relationship Id="rId891" Type="http://schemas.openxmlformats.org/officeDocument/2006/relationships/hyperlink" Target="https://finance.yahoo.com/quote/AMAT/?p=AMAT" TargetMode="External"/><Relationship Id="rId890" Type="http://schemas.openxmlformats.org/officeDocument/2006/relationships/hyperlink" Target="https://finance.yahoo.com/quote/AAPL/?p=AAPL" TargetMode="External"/><Relationship Id="rId1240" Type="http://schemas.openxmlformats.org/officeDocument/2006/relationships/hyperlink" Target="http://9988.hk" TargetMode="External"/><Relationship Id="rId1241" Type="http://schemas.openxmlformats.org/officeDocument/2006/relationships/hyperlink" Target="https://finance.yahoo.com/quote/9988.HK/?p=9988.HK" TargetMode="External"/><Relationship Id="rId411" Type="http://schemas.openxmlformats.org/officeDocument/2006/relationships/hyperlink" Target="https://finance.yahoo.com/quote/AAPL/?p=AAPL" TargetMode="External"/><Relationship Id="rId653" Type="http://schemas.openxmlformats.org/officeDocument/2006/relationships/hyperlink" Target="http://2222.sr" TargetMode="External"/><Relationship Id="rId895" Type="http://schemas.openxmlformats.org/officeDocument/2006/relationships/hyperlink" Target="https://finance.yahoo.com/quote/NET/?p=NET" TargetMode="External"/><Relationship Id="rId1000" Type="http://schemas.openxmlformats.org/officeDocument/2006/relationships/hyperlink" Target="http://600036.ss" TargetMode="External"/><Relationship Id="rId1242" Type="http://schemas.openxmlformats.org/officeDocument/2006/relationships/hyperlink" Target="http://0941.hk" TargetMode="External"/><Relationship Id="rId410" Type="http://schemas.openxmlformats.org/officeDocument/2006/relationships/hyperlink" Target="https://finance.yahoo.com/quote/UNH/?p=UNH" TargetMode="External"/><Relationship Id="rId652" Type="http://schemas.openxmlformats.org/officeDocument/2006/relationships/hyperlink" Target="https://finance.yahoo.com/quote/LVMHF/?p=LVMHF" TargetMode="External"/><Relationship Id="rId894" Type="http://schemas.openxmlformats.org/officeDocument/2006/relationships/hyperlink" Target="https://finance.yahoo.com/quote/IXHL/?p=IXHL" TargetMode="External"/><Relationship Id="rId1001" Type="http://schemas.openxmlformats.org/officeDocument/2006/relationships/hyperlink" Target="https://finance.yahoo.com/quote/600036.SS/?p=600036.SS" TargetMode="External"/><Relationship Id="rId1243" Type="http://schemas.openxmlformats.org/officeDocument/2006/relationships/hyperlink" Target="https://finance.yahoo.com/quote/0941.HK/?p=0941.HK" TargetMode="External"/><Relationship Id="rId651" Type="http://schemas.openxmlformats.org/officeDocument/2006/relationships/hyperlink" Target="https://finance.yahoo.com/quote/DIS/?p=DIS" TargetMode="External"/><Relationship Id="rId893" Type="http://schemas.openxmlformats.org/officeDocument/2006/relationships/hyperlink" Target="https://finance.yahoo.com/quote/CL=F/?p=CL=F" TargetMode="External"/><Relationship Id="rId1002" Type="http://schemas.openxmlformats.org/officeDocument/2006/relationships/hyperlink" Target="http://601398.ss" TargetMode="External"/><Relationship Id="rId1244" Type="http://schemas.openxmlformats.org/officeDocument/2006/relationships/hyperlink" Target="http://2800.hk" TargetMode="External"/><Relationship Id="rId650" Type="http://schemas.openxmlformats.org/officeDocument/2006/relationships/hyperlink" Target="https://finance.yahoo.com/quote/TSLA/?p=TSLA" TargetMode="External"/><Relationship Id="rId892" Type="http://schemas.openxmlformats.org/officeDocument/2006/relationships/hyperlink" Target="https://finance.yahoo.com/quote/BRK-B/?p=BRK-B" TargetMode="External"/><Relationship Id="rId1003" Type="http://schemas.openxmlformats.org/officeDocument/2006/relationships/hyperlink" Target="https://finance.yahoo.com/quote/601398.SS/?p=601398.SS" TargetMode="External"/><Relationship Id="rId1245" Type="http://schemas.openxmlformats.org/officeDocument/2006/relationships/hyperlink" Target="https://finance.yahoo.com/quote/2800.HK/?p=2800.HK" TargetMode="External"/><Relationship Id="rId1037" Type="http://schemas.openxmlformats.org/officeDocument/2006/relationships/hyperlink" Target="https://finance.yahoo.com/quote/300922.SZ/?p=300922.SZ" TargetMode="External"/><Relationship Id="rId1279" Type="http://schemas.openxmlformats.org/officeDocument/2006/relationships/hyperlink" Target="https://finance.yahoo.com/quote/UVXY/?p=UVXY" TargetMode="External"/><Relationship Id="rId1038" Type="http://schemas.openxmlformats.org/officeDocument/2006/relationships/hyperlink" Target="http://300945.sz" TargetMode="External"/><Relationship Id="rId1039" Type="http://schemas.openxmlformats.org/officeDocument/2006/relationships/hyperlink" Target="https://finance.yahoo.com/quote/300945.SZ/?p=300945.SZ" TargetMode="External"/><Relationship Id="rId206" Type="http://schemas.openxmlformats.org/officeDocument/2006/relationships/hyperlink" Target="https://www.bondsupermart.com/bsm/general-search/HK0000814290" TargetMode="External"/><Relationship Id="rId448" Type="http://schemas.openxmlformats.org/officeDocument/2006/relationships/hyperlink" Target="https://finance.yahoo.com/quote/002864.SZ/?p=002864.SZ" TargetMode="External"/><Relationship Id="rId205" Type="http://schemas.openxmlformats.org/officeDocument/2006/relationships/hyperlink" Target="https://finance.yahoo.com/quote/600056.SS/?p=600056.SS" TargetMode="External"/><Relationship Id="rId447" Type="http://schemas.openxmlformats.org/officeDocument/2006/relationships/hyperlink" Target="http://002864.sz" TargetMode="External"/><Relationship Id="rId689" Type="http://schemas.openxmlformats.org/officeDocument/2006/relationships/hyperlink" Target="https://finance.yahoo.com/quote/BTC-USD/?p=BTC-USD" TargetMode="External"/><Relationship Id="rId204" Type="http://schemas.openxmlformats.org/officeDocument/2006/relationships/hyperlink" Target="http://600056.ss" TargetMode="External"/><Relationship Id="rId446" Type="http://schemas.openxmlformats.org/officeDocument/2006/relationships/hyperlink" Target="https://finance.yahoo.com/quote/002657.SZ/?p=002657.SZ" TargetMode="External"/><Relationship Id="rId688" Type="http://schemas.openxmlformats.org/officeDocument/2006/relationships/hyperlink" Target="https://finance.yahoo.com/quote/RBLX/?p=RBLX" TargetMode="External"/><Relationship Id="rId203" Type="http://schemas.openxmlformats.org/officeDocument/2006/relationships/hyperlink" Target="https://finance.yahoo.com/quote/002060.SZ/?p=002060.SZ" TargetMode="External"/><Relationship Id="rId445" Type="http://schemas.openxmlformats.org/officeDocument/2006/relationships/hyperlink" Target="http://002657.sz" TargetMode="External"/><Relationship Id="rId687" Type="http://schemas.openxmlformats.org/officeDocument/2006/relationships/hyperlink" Target="https://finance.yahoo.com/quote/GOOG/?p=GOOG" TargetMode="External"/><Relationship Id="rId209" Type="http://schemas.openxmlformats.org/officeDocument/2006/relationships/hyperlink" Target="https://finance.yahoo.com/quote/9626.HK/?p=9626.HK" TargetMode="External"/><Relationship Id="rId208" Type="http://schemas.openxmlformats.org/officeDocument/2006/relationships/hyperlink" Target="http://9626.hk" TargetMode="External"/><Relationship Id="rId207" Type="http://schemas.openxmlformats.org/officeDocument/2006/relationships/hyperlink" Target="https://finance.yahoo.com/quote/SOFI/?p=SOFI" TargetMode="External"/><Relationship Id="rId449" Type="http://schemas.openxmlformats.org/officeDocument/2006/relationships/hyperlink" Target="http://003040.sz" TargetMode="External"/><Relationship Id="rId1270" Type="http://schemas.openxmlformats.org/officeDocument/2006/relationships/hyperlink" Target="https://finance.yahoo.com/quote/UVXY/?p=UVXY" TargetMode="External"/><Relationship Id="rId440" Type="http://schemas.openxmlformats.org/officeDocument/2006/relationships/hyperlink" Target="https://finance.yahoo.com/quote/002864.SZ/?p=002864.SZ" TargetMode="External"/><Relationship Id="rId682" Type="http://schemas.openxmlformats.org/officeDocument/2006/relationships/hyperlink" Target="https://finance.yahoo.com/quote/MCD/?p=MCD" TargetMode="External"/><Relationship Id="rId1271" Type="http://schemas.openxmlformats.org/officeDocument/2006/relationships/hyperlink" Target="http://9698.hk" TargetMode="External"/><Relationship Id="rId681" Type="http://schemas.openxmlformats.org/officeDocument/2006/relationships/hyperlink" Target="https://finance.yahoo.com/quote/NFLX/?p=NFLX" TargetMode="External"/><Relationship Id="rId1030" Type="http://schemas.openxmlformats.org/officeDocument/2006/relationships/hyperlink" Target="http://601808.ss" TargetMode="External"/><Relationship Id="rId1272" Type="http://schemas.openxmlformats.org/officeDocument/2006/relationships/hyperlink" Target="https://finance.yahoo.com/quote/9698.HK/?p=9698.HK" TargetMode="External"/><Relationship Id="rId680" Type="http://schemas.openxmlformats.org/officeDocument/2006/relationships/hyperlink" Target="https://finance.yahoo.com/quote/BTC-USD/?p=BTC-USD" TargetMode="External"/><Relationship Id="rId1031" Type="http://schemas.openxmlformats.org/officeDocument/2006/relationships/hyperlink" Target="https://finance.yahoo.com/quote/601808.SS/?p=601808.SS" TargetMode="External"/><Relationship Id="rId1273" Type="http://schemas.openxmlformats.org/officeDocument/2006/relationships/hyperlink" Target="http://6969.hk" TargetMode="External"/><Relationship Id="rId1032" Type="http://schemas.openxmlformats.org/officeDocument/2006/relationships/hyperlink" Target="http://000554.sz" TargetMode="External"/><Relationship Id="rId1274" Type="http://schemas.openxmlformats.org/officeDocument/2006/relationships/hyperlink" Target="https://finance.yahoo.com/quote/6969.HK/?p=6969.HK" TargetMode="External"/><Relationship Id="rId202" Type="http://schemas.openxmlformats.org/officeDocument/2006/relationships/hyperlink" Target="http://002060.sz" TargetMode="External"/><Relationship Id="rId444" Type="http://schemas.openxmlformats.org/officeDocument/2006/relationships/hyperlink" Target="https://finance.yahoo.com/quote/000950.SZ/?p=000950.SZ" TargetMode="External"/><Relationship Id="rId686" Type="http://schemas.openxmlformats.org/officeDocument/2006/relationships/hyperlink" Target="https://finance.yahoo.com/quote/BTC-USD/?p=BTC-USD" TargetMode="External"/><Relationship Id="rId1033" Type="http://schemas.openxmlformats.org/officeDocument/2006/relationships/hyperlink" Target="https://finance.yahoo.com/quote/000554.SZ/?p=000554.SZ" TargetMode="External"/><Relationship Id="rId1275" Type="http://schemas.openxmlformats.org/officeDocument/2006/relationships/hyperlink" Target="http://6969.hk" TargetMode="External"/><Relationship Id="rId201" Type="http://schemas.openxmlformats.org/officeDocument/2006/relationships/hyperlink" Target="https://finance.yahoo.com/quote/0700.HK/?p=0700.HK" TargetMode="External"/><Relationship Id="rId443" Type="http://schemas.openxmlformats.org/officeDocument/2006/relationships/hyperlink" Target="http://000950.sz" TargetMode="External"/><Relationship Id="rId685" Type="http://schemas.openxmlformats.org/officeDocument/2006/relationships/hyperlink" Target="https://finance.yahoo.com/quote/0883.hk/?p=0883.hk" TargetMode="External"/><Relationship Id="rId1034" Type="http://schemas.openxmlformats.org/officeDocument/2006/relationships/hyperlink" Target="http://300922.sz" TargetMode="External"/><Relationship Id="rId1276" Type="http://schemas.openxmlformats.org/officeDocument/2006/relationships/hyperlink" Target="https://finance.yahoo.com/quote/6969.HK/?p=6969.HK" TargetMode="External"/><Relationship Id="rId200" Type="http://schemas.openxmlformats.org/officeDocument/2006/relationships/hyperlink" Target="http://0700.hk" TargetMode="External"/><Relationship Id="rId442" Type="http://schemas.openxmlformats.org/officeDocument/2006/relationships/hyperlink" Target="https://finance.yahoo.com/quote/000788.SZ/?p=000788.SZ" TargetMode="External"/><Relationship Id="rId684" Type="http://schemas.openxmlformats.org/officeDocument/2006/relationships/hyperlink" Target="http://0883.hk" TargetMode="External"/><Relationship Id="rId1035" Type="http://schemas.openxmlformats.org/officeDocument/2006/relationships/hyperlink" Target="https://finance.yahoo.com/quote/300922.SZ/?p=300922.SZ" TargetMode="External"/><Relationship Id="rId1277" Type="http://schemas.openxmlformats.org/officeDocument/2006/relationships/hyperlink" Target="https://finance.yahoo.com/quote/SOFI/?p=SOFI" TargetMode="External"/><Relationship Id="rId441" Type="http://schemas.openxmlformats.org/officeDocument/2006/relationships/hyperlink" Target="http://000788.sz" TargetMode="External"/><Relationship Id="rId683" Type="http://schemas.openxmlformats.org/officeDocument/2006/relationships/hyperlink" Target="https://finance.yahoo.com/quote/TSLA/?p=TSLA" TargetMode="External"/><Relationship Id="rId1036" Type="http://schemas.openxmlformats.org/officeDocument/2006/relationships/hyperlink" Target="http://300922.sz" TargetMode="External"/><Relationship Id="rId1278" Type="http://schemas.openxmlformats.org/officeDocument/2006/relationships/hyperlink" Target="https://finance.yahoo.com/quote/SOXL/?p=SOXL" TargetMode="External"/><Relationship Id="rId1026" Type="http://schemas.openxmlformats.org/officeDocument/2006/relationships/hyperlink" Target="http://300922.sz" TargetMode="External"/><Relationship Id="rId1268" Type="http://schemas.openxmlformats.org/officeDocument/2006/relationships/hyperlink" Target="http://2269.hk" TargetMode="External"/><Relationship Id="rId1027" Type="http://schemas.openxmlformats.org/officeDocument/2006/relationships/hyperlink" Target="https://finance.yahoo.com/quote/300922.SZ/?p=300922.SZ" TargetMode="External"/><Relationship Id="rId1269" Type="http://schemas.openxmlformats.org/officeDocument/2006/relationships/hyperlink" Target="https://finance.yahoo.com/quote/2269.HK/?p=2269.HK" TargetMode="External"/><Relationship Id="rId1028" Type="http://schemas.openxmlformats.org/officeDocument/2006/relationships/hyperlink" Target="http://300945.sz" TargetMode="External"/><Relationship Id="rId1029" Type="http://schemas.openxmlformats.org/officeDocument/2006/relationships/hyperlink" Target="https://finance.yahoo.com/quote/300945.SZ/?p=300945.SZ" TargetMode="External"/><Relationship Id="rId437" Type="http://schemas.openxmlformats.org/officeDocument/2006/relationships/hyperlink" Target="http://002657.sz" TargetMode="External"/><Relationship Id="rId679" Type="http://schemas.openxmlformats.org/officeDocument/2006/relationships/hyperlink" Target="https://finance.yahoo.com/quote/FB/?p=FB" TargetMode="External"/><Relationship Id="rId436" Type="http://schemas.openxmlformats.org/officeDocument/2006/relationships/hyperlink" Target="https://finance.yahoo.com/quote/000788.SZ/?p=000788.SZ" TargetMode="External"/><Relationship Id="rId678" Type="http://schemas.openxmlformats.org/officeDocument/2006/relationships/hyperlink" Target="https://finance.yahoo.com/quote/0883.HK/?p=0883.HK" TargetMode="External"/><Relationship Id="rId435" Type="http://schemas.openxmlformats.org/officeDocument/2006/relationships/hyperlink" Target="http://000788.sz" TargetMode="External"/><Relationship Id="rId677" Type="http://schemas.openxmlformats.org/officeDocument/2006/relationships/hyperlink" Target="http://0883.hk" TargetMode="External"/><Relationship Id="rId434" Type="http://schemas.openxmlformats.org/officeDocument/2006/relationships/hyperlink" Target="https://finance.yahoo.com/quote/0700.HK/?p=0700.HK" TargetMode="External"/><Relationship Id="rId676" Type="http://schemas.openxmlformats.org/officeDocument/2006/relationships/hyperlink" Target="https://finance.yahoo.com/quote/FB/?p=FB" TargetMode="External"/><Relationship Id="rId439" Type="http://schemas.openxmlformats.org/officeDocument/2006/relationships/hyperlink" Target="http://002864.sz" TargetMode="External"/><Relationship Id="rId438" Type="http://schemas.openxmlformats.org/officeDocument/2006/relationships/hyperlink" Target="https://finance.yahoo.com/quote/002657.SZ/?p=002657.SZ" TargetMode="External"/><Relationship Id="rId671" Type="http://schemas.openxmlformats.org/officeDocument/2006/relationships/hyperlink" Target="https://finance.yahoo.com/quote/TSLA/?p=TSLA" TargetMode="External"/><Relationship Id="rId1260" Type="http://schemas.openxmlformats.org/officeDocument/2006/relationships/hyperlink" Target="http://3690.hk" TargetMode="External"/><Relationship Id="rId670" Type="http://schemas.openxmlformats.org/officeDocument/2006/relationships/hyperlink" Target="https://finance.yahoo.com/quote/9988.hk/?p=9988.hk" TargetMode="External"/><Relationship Id="rId1261" Type="http://schemas.openxmlformats.org/officeDocument/2006/relationships/hyperlink" Target="https://finance.yahoo.com/quote/3690.HK/?p=3690.HK" TargetMode="External"/><Relationship Id="rId1020" Type="http://schemas.openxmlformats.org/officeDocument/2006/relationships/hyperlink" Target="http://000554.sz" TargetMode="External"/><Relationship Id="rId1262" Type="http://schemas.openxmlformats.org/officeDocument/2006/relationships/hyperlink" Target="http://9698.hk" TargetMode="External"/><Relationship Id="rId1021" Type="http://schemas.openxmlformats.org/officeDocument/2006/relationships/hyperlink" Target="https://finance.yahoo.com/quote/000554.SZ/?p=000554.SZ" TargetMode="External"/><Relationship Id="rId1263" Type="http://schemas.openxmlformats.org/officeDocument/2006/relationships/hyperlink" Target="https://finance.yahoo.com/quote/9698.HK/?p=9698.HK" TargetMode="External"/><Relationship Id="rId433" Type="http://schemas.openxmlformats.org/officeDocument/2006/relationships/hyperlink" Target="http://0700.hk" TargetMode="External"/><Relationship Id="rId675" Type="http://schemas.openxmlformats.org/officeDocument/2006/relationships/hyperlink" Target="https://finance.yahoo.com/quote/0700.hk/?p=0700.hk" TargetMode="External"/><Relationship Id="rId1022" Type="http://schemas.openxmlformats.org/officeDocument/2006/relationships/hyperlink" Target="http://002665.sz" TargetMode="External"/><Relationship Id="rId1264" Type="http://schemas.openxmlformats.org/officeDocument/2006/relationships/hyperlink" Target="http://9698.hk" TargetMode="External"/><Relationship Id="rId432" Type="http://schemas.openxmlformats.org/officeDocument/2006/relationships/hyperlink" Target="https://finance.yahoo.com/quote/0700.HK/?p=0700.HK" TargetMode="External"/><Relationship Id="rId674" Type="http://schemas.openxmlformats.org/officeDocument/2006/relationships/hyperlink" Target="http://0700.hk" TargetMode="External"/><Relationship Id="rId1023" Type="http://schemas.openxmlformats.org/officeDocument/2006/relationships/hyperlink" Target="https://finance.yahoo.com/quote/002665.SZ/?p=002665.SZ" TargetMode="External"/><Relationship Id="rId1265" Type="http://schemas.openxmlformats.org/officeDocument/2006/relationships/hyperlink" Target="https://finance.yahoo.com/quote/9698.HK/?p=9698.HK" TargetMode="External"/><Relationship Id="rId431" Type="http://schemas.openxmlformats.org/officeDocument/2006/relationships/hyperlink" Target="http://0700.hk" TargetMode="External"/><Relationship Id="rId673" Type="http://schemas.openxmlformats.org/officeDocument/2006/relationships/hyperlink" Target="https://finance.yahoo.com/quote/0700.HK/?p=0700.HK" TargetMode="External"/><Relationship Id="rId1024" Type="http://schemas.openxmlformats.org/officeDocument/2006/relationships/hyperlink" Target="http://300922.sz" TargetMode="External"/><Relationship Id="rId1266" Type="http://schemas.openxmlformats.org/officeDocument/2006/relationships/hyperlink" Target="http://3690.hk" TargetMode="External"/><Relationship Id="rId430" Type="http://schemas.openxmlformats.org/officeDocument/2006/relationships/hyperlink" Target="https://www.bondsupermart.com/bsm/general-search/HK0000061041" TargetMode="External"/><Relationship Id="rId672" Type="http://schemas.openxmlformats.org/officeDocument/2006/relationships/hyperlink" Target="http://0700.hk" TargetMode="External"/><Relationship Id="rId1025" Type="http://schemas.openxmlformats.org/officeDocument/2006/relationships/hyperlink" Target="https://finance.yahoo.com/quote/300922.SZ/?p=300922.SZ" TargetMode="External"/><Relationship Id="rId1267" Type="http://schemas.openxmlformats.org/officeDocument/2006/relationships/hyperlink" Target="https://finance.yahoo.com/quote/3690.HK/?p=3690.HK"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9999.hk" TargetMode="External"/><Relationship Id="rId194" Type="http://schemas.openxmlformats.org/officeDocument/2006/relationships/hyperlink" Target="http://1109.hk" TargetMode="External"/><Relationship Id="rId193" Type="http://schemas.openxmlformats.org/officeDocument/2006/relationships/hyperlink" Target="http://002230.sz" TargetMode="External"/><Relationship Id="rId192" Type="http://schemas.openxmlformats.org/officeDocument/2006/relationships/hyperlink" Target="http://1498.hk" TargetMode="External"/><Relationship Id="rId191" Type="http://schemas.openxmlformats.org/officeDocument/2006/relationships/hyperlink" Target="http://0909.hk" TargetMode="External"/><Relationship Id="rId187" Type="http://schemas.openxmlformats.org/officeDocument/2006/relationships/hyperlink" Target="http://6969.hk" TargetMode="External"/><Relationship Id="rId186" Type="http://schemas.openxmlformats.org/officeDocument/2006/relationships/hyperlink" Target="http://9988.hk" TargetMode="External"/><Relationship Id="rId185" Type="http://schemas.openxmlformats.org/officeDocument/2006/relationships/hyperlink" Target="http://1810.hk" TargetMode="External"/><Relationship Id="rId184" Type="http://schemas.openxmlformats.org/officeDocument/2006/relationships/hyperlink" Target="http://2020.hk" TargetMode="External"/><Relationship Id="rId189" Type="http://schemas.openxmlformats.org/officeDocument/2006/relationships/hyperlink" Target="http://9961.hk" TargetMode="External"/><Relationship Id="rId188" Type="http://schemas.openxmlformats.org/officeDocument/2006/relationships/hyperlink" Target="http://0175.hk" TargetMode="External"/><Relationship Id="rId183" Type="http://schemas.openxmlformats.org/officeDocument/2006/relationships/hyperlink" Target="http://1610.hk" TargetMode="External"/><Relationship Id="rId182" Type="http://schemas.openxmlformats.org/officeDocument/2006/relationships/hyperlink" Target="http://3339.hk" TargetMode="External"/><Relationship Id="rId181" Type="http://schemas.openxmlformats.org/officeDocument/2006/relationships/hyperlink" Target="http://2333.hk" TargetMode="External"/><Relationship Id="rId180" Type="http://schemas.openxmlformats.org/officeDocument/2006/relationships/hyperlink" Target="http://ubi.pa" TargetMode="External"/><Relationship Id="rId176" Type="http://schemas.openxmlformats.org/officeDocument/2006/relationships/hyperlink" Target="http://2318.hk" TargetMode="External"/><Relationship Id="rId175" Type="http://schemas.openxmlformats.org/officeDocument/2006/relationships/hyperlink" Target="http://601168.ss" TargetMode="External"/><Relationship Id="rId174" Type="http://schemas.openxmlformats.org/officeDocument/2006/relationships/hyperlink" Target="http://3690.hk" TargetMode="External"/><Relationship Id="rId173" Type="http://schemas.openxmlformats.org/officeDocument/2006/relationships/hyperlink" Target="http://9698.hk" TargetMode="External"/><Relationship Id="rId179" Type="http://schemas.openxmlformats.org/officeDocument/2006/relationships/hyperlink" Target="http://600986.ss" TargetMode="External"/><Relationship Id="rId178" Type="http://schemas.openxmlformats.org/officeDocument/2006/relationships/hyperlink" Target="http://1398.hk" TargetMode="External"/><Relationship Id="rId177" Type="http://schemas.openxmlformats.org/officeDocument/2006/relationships/hyperlink" Target="http://2269.hk" TargetMode="External"/><Relationship Id="rId198" Type="http://schemas.openxmlformats.org/officeDocument/2006/relationships/hyperlink" Target="http://000554.sz" TargetMode="External"/><Relationship Id="rId197" Type="http://schemas.openxmlformats.org/officeDocument/2006/relationships/hyperlink" Target="http://002665.sz" TargetMode="External"/><Relationship Id="rId196" Type="http://schemas.openxmlformats.org/officeDocument/2006/relationships/hyperlink" Target="http://3047.hk" TargetMode="External"/><Relationship Id="rId195" Type="http://schemas.openxmlformats.org/officeDocument/2006/relationships/hyperlink" Target="http://0941.hk" TargetMode="External"/><Relationship Id="rId199" Type="http://schemas.openxmlformats.org/officeDocument/2006/relationships/hyperlink" Target="http://300945.sz" TargetMode="External"/><Relationship Id="rId150" Type="http://schemas.openxmlformats.org/officeDocument/2006/relationships/hyperlink" Target="https://finance.yahoo.com/quote/6078.HK/history?p=6078.HK" TargetMode="External"/><Relationship Id="rId1" Type="http://schemas.openxmlformats.org/officeDocument/2006/relationships/hyperlink" Target="https://finance.yahoo.com/quote/AMZN/history?p=AMZN" TargetMode="External"/><Relationship Id="rId2" Type="http://schemas.openxmlformats.org/officeDocument/2006/relationships/hyperlink" Target="https://finance.yahoo.com/quote/FB/history?p=FB" TargetMode="External"/><Relationship Id="rId3" Type="http://schemas.openxmlformats.org/officeDocument/2006/relationships/hyperlink" Target="https://finance.yahoo.com/quote/TSLA/history?p=TSLA" TargetMode="External"/><Relationship Id="rId149" Type="http://schemas.openxmlformats.org/officeDocument/2006/relationships/hyperlink" Target="https://finance.yahoo.com/quote/BZ=F/history?p=BZ=F" TargetMode="External"/><Relationship Id="rId4" Type="http://schemas.openxmlformats.org/officeDocument/2006/relationships/hyperlink" Target="https://finance.yahoo.com/quote/0700.HK/history?p=0700.HK" TargetMode="External"/><Relationship Id="rId148" Type="http://schemas.openxmlformats.org/officeDocument/2006/relationships/hyperlink" Target="https://finance.yahoo.com/quote/AEP/history?p=AEP" TargetMode="External"/><Relationship Id="rId9" Type="http://schemas.openxmlformats.org/officeDocument/2006/relationships/hyperlink" Target="https://finance.yahoo.com/quote/BAC220325C00045000/history?p=BAC220325C00045000" TargetMode="External"/><Relationship Id="rId143" Type="http://schemas.openxmlformats.org/officeDocument/2006/relationships/hyperlink" Target="https://finance.yahoo.com/quote/600519.SS/history?p=600519.SS" TargetMode="External"/><Relationship Id="rId142" Type="http://schemas.openxmlformats.org/officeDocument/2006/relationships/hyperlink" Target="https://finance.yahoo.com/quote/688076.SS/history?p=688076.SS" TargetMode="External"/><Relationship Id="rId141" Type="http://schemas.openxmlformats.org/officeDocument/2006/relationships/hyperlink" Target="https://finance.yahoo.com/quote/603538.SS/history?p=603538.SS" TargetMode="External"/><Relationship Id="rId140" Type="http://schemas.openxmlformats.org/officeDocument/2006/relationships/hyperlink" Target="https://finance.yahoo.com/quote/603392.SS/history?p=603392.SS" TargetMode="External"/><Relationship Id="rId5" Type="http://schemas.openxmlformats.org/officeDocument/2006/relationships/hyperlink" Target="https://finance.yahoo.com/quote/0883.HK/history?p=0883.HK" TargetMode="External"/><Relationship Id="rId147" Type="http://schemas.openxmlformats.org/officeDocument/2006/relationships/hyperlink" Target="https://finance.yahoo.com/quote/ES=F/history?p=ES=F" TargetMode="External"/><Relationship Id="rId6" Type="http://schemas.openxmlformats.org/officeDocument/2006/relationships/hyperlink" Target="https://finance.yahoo.com/quote/AAPL/history?p=AAPL" TargetMode="External"/><Relationship Id="rId146" Type="http://schemas.openxmlformats.org/officeDocument/2006/relationships/hyperlink" Target="https://finance.yahoo.com/quote/NU220414C00006000/history?p=NU220414C00006000" TargetMode="External"/><Relationship Id="rId7" Type="http://schemas.openxmlformats.org/officeDocument/2006/relationships/hyperlink" Target="https://finance.yahoo.com/quote/BILI220318P00040000/history?p=BILI220318P00040000" TargetMode="External"/><Relationship Id="rId145" Type="http://schemas.openxmlformats.org/officeDocument/2006/relationships/hyperlink" Target="https://finance.yahoo.com/quote/OXY220318P00065000/history?p=OXY220318P00065000" TargetMode="External"/><Relationship Id="rId8" Type="http://schemas.openxmlformats.org/officeDocument/2006/relationships/hyperlink" Target="https://finance.yahoo.com/quote/FB220325P00210000/history?p=FB220325P00210000" TargetMode="External"/><Relationship Id="rId144" Type="http://schemas.openxmlformats.org/officeDocument/2006/relationships/hyperlink" Target="https://finance.yahoo.com/quote/IXHL/history?p=IXHL" TargetMode="External"/><Relationship Id="rId139" Type="http://schemas.openxmlformats.org/officeDocument/2006/relationships/hyperlink" Target="https://finance.yahoo.com/quote/603939.SS/history?p=603939.SS" TargetMode="External"/><Relationship Id="rId138" Type="http://schemas.openxmlformats.org/officeDocument/2006/relationships/hyperlink" Target="https://finance.yahoo.com/quote/XLV/history?p=XLV" TargetMode="External"/><Relationship Id="rId137" Type="http://schemas.openxmlformats.org/officeDocument/2006/relationships/hyperlink" Target="https://finance.yahoo.com/quote/XLI/history?p=XLI" TargetMode="External"/><Relationship Id="rId132" Type="http://schemas.openxmlformats.org/officeDocument/2006/relationships/hyperlink" Target="https://finance.yahoo.com/quote/XLP/history?p=XLP" TargetMode="External"/><Relationship Id="rId131" Type="http://schemas.openxmlformats.org/officeDocument/2006/relationships/hyperlink" Target="https://finance.yahoo.com/quote/XLU/history?p=XLU" TargetMode="External"/><Relationship Id="rId130" Type="http://schemas.openxmlformats.org/officeDocument/2006/relationships/hyperlink" Target="https://finance.yahoo.com/quote/XLRE/history?p=XLRE" TargetMode="External"/><Relationship Id="rId136" Type="http://schemas.openxmlformats.org/officeDocument/2006/relationships/hyperlink" Target="https://finance.yahoo.com/quote/XLC/history?p=XLC" TargetMode="External"/><Relationship Id="rId135" Type="http://schemas.openxmlformats.org/officeDocument/2006/relationships/hyperlink" Target="https://finance.yahoo.com/quote/XLY/history?p=XLY" TargetMode="External"/><Relationship Id="rId134" Type="http://schemas.openxmlformats.org/officeDocument/2006/relationships/hyperlink" Target="https://finance.yahoo.com/quote/XLB/history?p=XLB" TargetMode="External"/><Relationship Id="rId133" Type="http://schemas.openxmlformats.org/officeDocument/2006/relationships/hyperlink" Target="https://finance.yahoo.com/quote/XLF/history?p=XLF" TargetMode="External"/><Relationship Id="rId172" Type="http://schemas.openxmlformats.org/officeDocument/2006/relationships/hyperlink" Target="http://0883.hk" TargetMode="External"/><Relationship Id="rId171" Type="http://schemas.openxmlformats.org/officeDocument/2006/relationships/hyperlink" Target="http://0700.hk" TargetMode="External"/><Relationship Id="rId170" Type="http://schemas.openxmlformats.org/officeDocument/2006/relationships/hyperlink" Target="https://finance.yahoo.com/quote/SHOP/history?p=SHOP" TargetMode="External"/><Relationship Id="rId165" Type="http://schemas.openxmlformats.org/officeDocument/2006/relationships/hyperlink" Target="https://finance.yahoo.com/quote/2607.hk/history?p=2607.hk" TargetMode="External"/><Relationship Id="rId164" Type="http://schemas.openxmlformats.org/officeDocument/2006/relationships/hyperlink" Target="https://finance.yahoo.com/quote/0346.hk/history?p=0346.hk" TargetMode="External"/><Relationship Id="rId163" Type="http://schemas.openxmlformats.org/officeDocument/2006/relationships/hyperlink" Target="https://finance.yahoo.com/quote/ABBV/history?p=ABBV" TargetMode="External"/><Relationship Id="rId162" Type="http://schemas.openxmlformats.org/officeDocument/2006/relationships/hyperlink" Target="https://finance.yahoo.com/quote/ASML/history?p=ASML" TargetMode="External"/><Relationship Id="rId169" Type="http://schemas.openxmlformats.org/officeDocument/2006/relationships/hyperlink" Target="https://finance.yahoo.com/quote/%5ECMC200/history?p=%5ECMC200" TargetMode="External"/><Relationship Id="rId168" Type="http://schemas.openxmlformats.org/officeDocument/2006/relationships/hyperlink" Target="https://finance.yahoo.com/quote/NKE/history?p=NKE" TargetMode="External"/><Relationship Id="rId167" Type="http://schemas.openxmlformats.org/officeDocument/2006/relationships/hyperlink" Target="https://finance.yahoo.com/quote/ANTM/history?p=ANTM" TargetMode="External"/><Relationship Id="rId166" Type="http://schemas.openxmlformats.org/officeDocument/2006/relationships/hyperlink" Target="https://finance.yahoo.com/quote/000568.SZ/history?p=000568.SZ" TargetMode="External"/><Relationship Id="rId161" Type="http://schemas.openxmlformats.org/officeDocument/2006/relationships/hyperlink" Target="https://finance.yahoo.com/quote/001896.SZ/history?p=001896.SZ" TargetMode="External"/><Relationship Id="rId160" Type="http://schemas.openxmlformats.org/officeDocument/2006/relationships/hyperlink" Target="https://finance.yahoo.com/quote/OXY/history?p=OXY" TargetMode="External"/><Relationship Id="rId159" Type="http://schemas.openxmlformats.org/officeDocument/2006/relationships/hyperlink" Target="https://finance.yahoo.com/quote/DVN/history?p=DVN" TargetMode="External"/><Relationship Id="rId154" Type="http://schemas.openxmlformats.org/officeDocument/2006/relationships/hyperlink" Target="https://finance.yahoo.com/quote/BNTX/history?p=BNTX" TargetMode="External"/><Relationship Id="rId153" Type="http://schemas.openxmlformats.org/officeDocument/2006/relationships/hyperlink" Target="https://finance.yahoo.com/quote/TME/history?p=TME" TargetMode="External"/><Relationship Id="rId152" Type="http://schemas.openxmlformats.org/officeDocument/2006/relationships/hyperlink" Target="https://finance.yahoo.com/quote/0968.HK/history?p=0968.HK" TargetMode="External"/><Relationship Id="rId151" Type="http://schemas.openxmlformats.org/officeDocument/2006/relationships/hyperlink" Target="https://finance.yahoo.com/quote/3833.HK/history?p=3833.HK" TargetMode="External"/><Relationship Id="rId158" Type="http://schemas.openxmlformats.org/officeDocument/2006/relationships/hyperlink" Target="https://finance.yahoo.com/quote/002670.SZ/history?p=002670.SZ" TargetMode="External"/><Relationship Id="rId157" Type="http://schemas.openxmlformats.org/officeDocument/2006/relationships/hyperlink" Target="https://finance.yahoo.com/quote/JPM/history?p=JPM" TargetMode="External"/><Relationship Id="rId156" Type="http://schemas.openxmlformats.org/officeDocument/2006/relationships/hyperlink" Target="https://finance.yahoo.com/quote/3988.HK/history?p=3988.HK" TargetMode="External"/><Relationship Id="rId155" Type="http://schemas.openxmlformats.org/officeDocument/2006/relationships/hyperlink" Target="https://finance.yahoo.com/quote/SI=F/history?p=SI=F" TargetMode="External"/><Relationship Id="rId40" Type="http://schemas.openxmlformats.org/officeDocument/2006/relationships/hyperlink" Target="https://finance.yahoo.com/quote/SONY/history?p=SONY" TargetMode="External"/><Relationship Id="rId42" Type="http://schemas.openxmlformats.org/officeDocument/2006/relationships/hyperlink" Target="https://finance.yahoo.com/quote/tcehy/history?p=tcehy" TargetMode="External"/><Relationship Id="rId41" Type="http://schemas.openxmlformats.org/officeDocument/2006/relationships/hyperlink" Target="https://finance.yahoo.com/quote/ATVI/history?p=ATVI" TargetMode="External"/><Relationship Id="rId44" Type="http://schemas.openxmlformats.org/officeDocument/2006/relationships/hyperlink" Target="https://finance.yahoo.com/quote/UVXY/history?p=UVXY" TargetMode="External"/><Relationship Id="rId43" Type="http://schemas.openxmlformats.org/officeDocument/2006/relationships/hyperlink" Target="https://www.bondsupermart.com/bsm/bond-factsheet/US023135AN60" TargetMode="External"/><Relationship Id="rId46" Type="http://schemas.openxmlformats.org/officeDocument/2006/relationships/hyperlink" Target="https://finance.yahoo.com/quote/NTDOY/history?p=NTDOY" TargetMode="External"/><Relationship Id="rId45" Type="http://schemas.openxmlformats.org/officeDocument/2006/relationships/hyperlink" Target="https://finance.yahoo.com/quote/9988.HK/history?p=9988.HK" TargetMode="External"/><Relationship Id="rId48" Type="http://schemas.openxmlformats.org/officeDocument/2006/relationships/hyperlink" Target="https://finance.yahoo.com/quote/AMAT/history?p=AMAT" TargetMode="External"/><Relationship Id="rId47" Type="http://schemas.openxmlformats.org/officeDocument/2006/relationships/hyperlink" Target="https://finance.yahoo.com/quote/DIS/history?p=DIS" TargetMode="External"/><Relationship Id="rId49" Type="http://schemas.openxmlformats.org/officeDocument/2006/relationships/hyperlink" Target="https://finance.yahoo.com/quote/6969.HK/history?p=6969.HK" TargetMode="External"/><Relationship Id="rId31" Type="http://schemas.openxmlformats.org/officeDocument/2006/relationships/hyperlink" Target="https://finance.yahoo.com/quote/UBI.PA/history?p=UBI.PA" TargetMode="External"/><Relationship Id="rId30" Type="http://schemas.openxmlformats.org/officeDocument/2006/relationships/hyperlink" Target="https://finance.yahoo.com/quote/600986.ss/history?p=600986.ss" TargetMode="External"/><Relationship Id="rId33" Type="http://schemas.openxmlformats.org/officeDocument/2006/relationships/hyperlink" Target="https://finance.yahoo.com/quote/3339.HK/history?p=3339.HK" TargetMode="External"/><Relationship Id="rId32" Type="http://schemas.openxmlformats.org/officeDocument/2006/relationships/hyperlink" Target="https://finance.yahoo.com/quote/2333.HK/history?p=2333.HK" TargetMode="External"/><Relationship Id="rId35" Type="http://schemas.openxmlformats.org/officeDocument/2006/relationships/hyperlink" Target="https://finance.yahoo.com/quote/2020.HK/history?p=2020.HK" TargetMode="External"/><Relationship Id="rId34" Type="http://schemas.openxmlformats.org/officeDocument/2006/relationships/hyperlink" Target="https://finance.yahoo.com/quote/1610.HK/history?p=1610.HK" TargetMode="External"/><Relationship Id="rId37" Type="http://schemas.openxmlformats.org/officeDocument/2006/relationships/hyperlink" Target="https://finance.yahoo.com/quote/1810.HK/history?p=1810.HK" TargetMode="External"/><Relationship Id="rId36" Type="http://schemas.openxmlformats.org/officeDocument/2006/relationships/hyperlink" Target="https://finance.yahoo.com/quote/NVDA/history?p=NVDA" TargetMode="External"/><Relationship Id="rId39" Type="http://schemas.openxmlformats.org/officeDocument/2006/relationships/hyperlink" Target="https://finance.yahoo.com/quote/BRK-B/history?p=BRK-B" TargetMode="External"/><Relationship Id="rId38" Type="http://schemas.openxmlformats.org/officeDocument/2006/relationships/hyperlink" Target="https://finance.yahoo.com/quote/BAC/history?p=BAC" TargetMode="External"/><Relationship Id="rId20" Type="http://schemas.openxmlformats.org/officeDocument/2006/relationships/hyperlink" Target="https://finance.yahoo.com/quote/MGM/history?p=MGM" TargetMode="External"/><Relationship Id="rId22" Type="http://schemas.openxmlformats.org/officeDocument/2006/relationships/hyperlink" Target="https://finance.yahoo.com/quote/MCD/history?p=MCD" TargetMode="External"/><Relationship Id="rId21" Type="http://schemas.openxmlformats.org/officeDocument/2006/relationships/hyperlink" Target="https://finance.yahoo.com/quote/601168.ss/history?p=601168.ss" TargetMode="External"/><Relationship Id="rId24" Type="http://schemas.openxmlformats.org/officeDocument/2006/relationships/hyperlink" Target="https://finance.yahoo.com/quote/2318.HK/history?p=2318.HK" TargetMode="External"/><Relationship Id="rId23" Type="http://schemas.openxmlformats.org/officeDocument/2006/relationships/hyperlink" Target="https://finance.yahoo.com/quote/GOOG/history?p=GOOG" TargetMode="External"/><Relationship Id="rId26" Type="http://schemas.openxmlformats.org/officeDocument/2006/relationships/hyperlink" Target="https://finance.yahoo.com/quote/NET/history?p=NET" TargetMode="External"/><Relationship Id="rId25" Type="http://schemas.openxmlformats.org/officeDocument/2006/relationships/hyperlink" Target="https://finance.yahoo.com/quote/2269.HK/history?p=2269.HK" TargetMode="External"/><Relationship Id="rId28" Type="http://schemas.openxmlformats.org/officeDocument/2006/relationships/hyperlink" Target="https://finance.yahoo.com/quote/XLE/history?p=XLE" TargetMode="External"/><Relationship Id="rId27" Type="http://schemas.openxmlformats.org/officeDocument/2006/relationships/hyperlink" Target="https://finance.yahoo.com/quote/1398.HK/history?p=1398.HK" TargetMode="External"/><Relationship Id="rId29" Type="http://schemas.openxmlformats.org/officeDocument/2006/relationships/hyperlink" Target="https://finance.yahoo.com/quote/VYGLX/history?p=VYGLX" TargetMode="External"/><Relationship Id="rId11" Type="http://schemas.openxmlformats.org/officeDocument/2006/relationships/hyperlink" Target="https://finance.yahoo.com/quote/3690.HK/history?p=3690.HK" TargetMode="External"/><Relationship Id="rId10" Type="http://schemas.openxmlformats.org/officeDocument/2006/relationships/hyperlink" Target="https://finance.yahoo.com/quote/9698.HK/history?p=9698.HK" TargetMode="External"/><Relationship Id="rId13" Type="http://schemas.openxmlformats.org/officeDocument/2006/relationships/hyperlink" Target="https://finance.yahoo.com/quote/NFLX/history?p=NFLX" TargetMode="External"/><Relationship Id="rId12" Type="http://schemas.openxmlformats.org/officeDocument/2006/relationships/hyperlink" Target="https://finance.yahoo.com/quote/BTC-USD/history?p=BTC-USD" TargetMode="External"/><Relationship Id="rId15" Type="http://schemas.openxmlformats.org/officeDocument/2006/relationships/hyperlink" Target="https://finance.yahoo.com/quote/BMBL/history?p=BMBL" TargetMode="External"/><Relationship Id="rId14" Type="http://schemas.openxmlformats.org/officeDocument/2006/relationships/hyperlink" Target="https://finance.yahoo.com/quote/MSFT/history?p=MSFT" TargetMode="External"/><Relationship Id="rId17" Type="http://schemas.openxmlformats.org/officeDocument/2006/relationships/hyperlink" Target="https://finance.yahoo.com/quote/JD/history?p=JD" TargetMode="External"/><Relationship Id="rId16" Type="http://schemas.openxmlformats.org/officeDocument/2006/relationships/hyperlink" Target="https://finance.yahoo.com/quote/NUSI/history?p=NUSI" TargetMode="External"/><Relationship Id="rId19" Type="http://schemas.openxmlformats.org/officeDocument/2006/relationships/hyperlink" Target="https://finance.yahoo.com/quote/XPEV/history?p=XPEV" TargetMode="External"/><Relationship Id="rId18" Type="http://schemas.openxmlformats.org/officeDocument/2006/relationships/hyperlink" Target="https://finance.yahoo.com/quote/GBTC/history?p=GBTC" TargetMode="External"/><Relationship Id="rId84" Type="http://schemas.openxmlformats.org/officeDocument/2006/relationships/hyperlink" Target="https://finance.yahoo.com/quote/300157.SZ/history?p=300157.SZ" TargetMode="External"/><Relationship Id="rId83" Type="http://schemas.openxmlformats.org/officeDocument/2006/relationships/hyperlink" Target="https://finance.yahoo.com/quote/CL=F/history?p=CL=F" TargetMode="External"/><Relationship Id="rId86" Type="http://schemas.openxmlformats.org/officeDocument/2006/relationships/hyperlink" Target="https://finance.yahoo.com/quote/SARK/history?p=SARK" TargetMode="External"/><Relationship Id="rId85" Type="http://schemas.openxmlformats.org/officeDocument/2006/relationships/hyperlink" Target="https://finance.yahoo.com/quote/GOLD/history?p=GOLD" TargetMode="External"/><Relationship Id="rId88" Type="http://schemas.openxmlformats.org/officeDocument/2006/relationships/hyperlink" Target="https://finance.yahoo.com/quote/603967.SS/history?p=603967.SS" TargetMode="External"/><Relationship Id="rId87" Type="http://schemas.openxmlformats.org/officeDocument/2006/relationships/hyperlink" Target="https://finance.yahoo.com/quote/SPXL220318C00080000/history?p=SPXL220318C00080000" TargetMode="External"/><Relationship Id="rId89" Type="http://schemas.openxmlformats.org/officeDocument/2006/relationships/hyperlink" Target="https://finance.yahoo.com/quote/GOOGL/history?p=GOOGL" TargetMode="External"/><Relationship Id="rId80" Type="http://schemas.openxmlformats.org/officeDocument/2006/relationships/hyperlink" Target="https://finance.yahoo.com/quote/300945.SZ/history?p=300945.SZ" TargetMode="External"/><Relationship Id="rId82" Type="http://schemas.openxmlformats.org/officeDocument/2006/relationships/hyperlink" Target="https://finance.yahoo.com/quote/300922.SZ/history?p=300922.SZ" TargetMode="External"/><Relationship Id="rId81" Type="http://schemas.openxmlformats.org/officeDocument/2006/relationships/hyperlink" Target="https://finance.yahoo.com/quote/601808.SS/history?p=601808.SS" TargetMode="External"/><Relationship Id="rId73" Type="http://schemas.openxmlformats.org/officeDocument/2006/relationships/hyperlink" Target="https://finance.yahoo.com/quote/0941.HK/history?p=0941.HK" TargetMode="External"/><Relationship Id="rId72" Type="http://schemas.openxmlformats.org/officeDocument/2006/relationships/hyperlink" Target="https://finance.yahoo.com/quote/1109.HK/history?p=1109.HK" TargetMode="External"/><Relationship Id="rId75" Type="http://schemas.openxmlformats.org/officeDocument/2006/relationships/hyperlink" Target="https://finance.yahoo.com/quote/YINN/history?p=YINN" TargetMode="External"/><Relationship Id="rId74" Type="http://schemas.openxmlformats.org/officeDocument/2006/relationships/hyperlink" Target="https://finance.yahoo.com/quote/NU/history?p=NU" TargetMode="External"/><Relationship Id="rId77" Type="http://schemas.openxmlformats.org/officeDocument/2006/relationships/hyperlink" Target="https://finance.yahoo.com/quote/3047.HK/history?p=3047.HK" TargetMode="External"/><Relationship Id="rId76" Type="http://schemas.openxmlformats.org/officeDocument/2006/relationships/hyperlink" Target="https://finance.yahoo.com/quote/FUTU220225C00041500/history?p=FUTU220225C00041500" TargetMode="External"/><Relationship Id="rId79" Type="http://schemas.openxmlformats.org/officeDocument/2006/relationships/hyperlink" Target="https://finance.yahoo.com/quote/000554.SZ/history?p=000554.SZ" TargetMode="External"/><Relationship Id="rId78" Type="http://schemas.openxmlformats.org/officeDocument/2006/relationships/hyperlink" Target="https://finance.yahoo.com/quote/002665.SZ/history?p=002665.SZ" TargetMode="External"/><Relationship Id="rId71" Type="http://schemas.openxmlformats.org/officeDocument/2006/relationships/hyperlink" Target="https://finance.yahoo.com/quote/002230.SZ/history?p=002230.SZ" TargetMode="External"/><Relationship Id="rId70" Type="http://schemas.openxmlformats.org/officeDocument/2006/relationships/hyperlink" Target="https://finance.yahoo.com/quote/1498.HK/history?p=1498.HK" TargetMode="External"/><Relationship Id="rId62" Type="http://schemas.openxmlformats.org/officeDocument/2006/relationships/hyperlink" Target="https://finance.yahoo.com/quote/SNPS/history?p=SNPS" TargetMode="External"/><Relationship Id="rId61" Type="http://schemas.openxmlformats.org/officeDocument/2006/relationships/hyperlink" Target="https://finance.yahoo.com/quote/LCID/history?p=LCID" TargetMode="External"/><Relationship Id="rId64" Type="http://schemas.openxmlformats.org/officeDocument/2006/relationships/hyperlink" Target="https://finance.yahoo.com/quote/F/history?p=F" TargetMode="External"/><Relationship Id="rId63" Type="http://schemas.openxmlformats.org/officeDocument/2006/relationships/hyperlink" Target="https://finance.yahoo.com/quote/TMUS/history?p=TMUS" TargetMode="External"/><Relationship Id="rId66" Type="http://schemas.openxmlformats.org/officeDocument/2006/relationships/hyperlink" Target="https://finance.yahoo.com/quote/LVMHF/history?p=LVMHF" TargetMode="External"/><Relationship Id="rId65" Type="http://schemas.openxmlformats.org/officeDocument/2006/relationships/hyperlink" Target="https://finance.yahoo.com/quote/ANPDY/history?p=ANPDY" TargetMode="External"/><Relationship Id="rId68" Type="http://schemas.openxmlformats.org/officeDocument/2006/relationships/hyperlink" Target="https://finance.yahoo.com/quote/SOFI/history?p=SOFI" TargetMode="External"/><Relationship Id="rId67" Type="http://schemas.openxmlformats.org/officeDocument/2006/relationships/hyperlink" Target="https://finance.yahoo.com/quote/RIVN/history?p=RIVN" TargetMode="External"/><Relationship Id="rId60" Type="http://schemas.openxmlformats.org/officeDocument/2006/relationships/hyperlink" Target="https://finance.yahoo.com/quote/AMGN/history?p=AMGN" TargetMode="External"/><Relationship Id="rId69" Type="http://schemas.openxmlformats.org/officeDocument/2006/relationships/hyperlink" Target="https://finance.yahoo.com/quote/SOXL/history?p=SOXL" TargetMode="External"/><Relationship Id="rId51" Type="http://schemas.openxmlformats.org/officeDocument/2006/relationships/hyperlink" Target="https://finance.yahoo.com/quote/SPXW220218P04300000/history?p=SPXW220218P04300000" TargetMode="External"/><Relationship Id="rId50" Type="http://schemas.openxmlformats.org/officeDocument/2006/relationships/hyperlink" Target="https://finance.yahoo.com/quote/RBLX/history?p=RBLX" TargetMode="External"/><Relationship Id="rId53" Type="http://schemas.openxmlformats.org/officeDocument/2006/relationships/hyperlink" Target="https://finance.yahoo.com/quote/0175.HK/history?p=0175.HK" TargetMode="External"/><Relationship Id="rId52" Type="http://schemas.openxmlformats.org/officeDocument/2006/relationships/hyperlink" Target="https://finance.yahoo.com/quote/SPX220218P04220000/history?p=SPX220218P04220000" TargetMode="External"/><Relationship Id="rId55" Type="http://schemas.openxmlformats.org/officeDocument/2006/relationships/hyperlink" Target="https://finance.yahoo.com/quote/9961.HK/history?p=9961.HK" TargetMode="External"/><Relationship Id="rId54" Type="http://schemas.openxmlformats.org/officeDocument/2006/relationships/hyperlink" Target="https://finance.yahoo.com/quote/ISPO/history?p=ISPO" TargetMode="External"/><Relationship Id="rId57" Type="http://schemas.openxmlformats.org/officeDocument/2006/relationships/hyperlink" Target="https://finance.yahoo.com/quote/0909.HK/history?p=0909.HK" TargetMode="External"/><Relationship Id="rId56" Type="http://schemas.openxmlformats.org/officeDocument/2006/relationships/hyperlink" Target="https://finance.yahoo.com/quote/9999.HK/history?p=9999.HK" TargetMode="External"/><Relationship Id="rId59" Type="http://schemas.openxmlformats.org/officeDocument/2006/relationships/hyperlink" Target="https://finance.yahoo.com/quote/TEAM/history?p=TEAM" TargetMode="External"/><Relationship Id="rId58" Type="http://schemas.openxmlformats.org/officeDocument/2006/relationships/hyperlink" Target="https://finance.yahoo.com/quote/PANW/history?p=PANW" TargetMode="External"/><Relationship Id="rId107" Type="http://schemas.openxmlformats.org/officeDocument/2006/relationships/hyperlink" Target="https://finance.yahoo.com/quote/603963.SS/history?p=603963.SS" TargetMode="External"/><Relationship Id="rId106" Type="http://schemas.openxmlformats.org/officeDocument/2006/relationships/hyperlink" Target="https://finance.yahoo.com/quote/XLK/history?p=XLK" TargetMode="External"/><Relationship Id="rId105" Type="http://schemas.openxmlformats.org/officeDocument/2006/relationships/hyperlink" Target="https://finance.yahoo.com/quote/NU220414C00009000/history?p=NU220414C00009000" TargetMode="External"/><Relationship Id="rId104" Type="http://schemas.openxmlformats.org/officeDocument/2006/relationships/hyperlink" Target="https://finance.yahoo.com/quote/MARA220401P00016000/history?p=MARA220401P00016000" TargetMode="External"/><Relationship Id="rId109" Type="http://schemas.openxmlformats.org/officeDocument/2006/relationships/hyperlink" Target="https://finance.yahoo.com/quote/0001.HK/history?p=0001.HK" TargetMode="External"/><Relationship Id="rId108" Type="http://schemas.openxmlformats.org/officeDocument/2006/relationships/hyperlink" Target="https://finance.yahoo.com/quote/0151.HK/history?p=0151.HK" TargetMode="External"/><Relationship Id="rId103" Type="http://schemas.openxmlformats.org/officeDocument/2006/relationships/hyperlink" Target="https://finance.yahoo.com/quote/1024.HK/history?p=1024.HK" TargetMode="External"/><Relationship Id="rId102" Type="http://schemas.openxmlformats.org/officeDocument/2006/relationships/hyperlink" Target="https://finance.yahoo.com/quote/RLX220414C00005000/history?p=RLX220414C00005000" TargetMode="External"/><Relationship Id="rId101" Type="http://schemas.openxmlformats.org/officeDocument/2006/relationships/hyperlink" Target="https://finance.yahoo.com/quote/TQQQ220311P00057500/history?p=TQQQ220311P00057500" TargetMode="External"/><Relationship Id="rId100" Type="http://schemas.openxmlformats.org/officeDocument/2006/relationships/hyperlink" Target="https://finance.yahoo.com/quote/1208.HK/history?p=1208.HK" TargetMode="External"/><Relationship Id="rId129" Type="http://schemas.openxmlformats.org/officeDocument/2006/relationships/hyperlink" Target="https://finance.yahoo.com/quote/NVAX/history?p=NVAX" TargetMode="External"/><Relationship Id="rId128" Type="http://schemas.openxmlformats.org/officeDocument/2006/relationships/hyperlink" Target="https://finance.yahoo.com/quote/TSLA220318C00005000/history?p=TSLA220318C00005000" TargetMode="External"/><Relationship Id="rId127" Type="http://schemas.openxmlformats.org/officeDocument/2006/relationships/hyperlink" Target="https://finance.yahoo.com/quote/BITO/history?p=BITO" TargetMode="External"/><Relationship Id="rId126" Type="http://schemas.openxmlformats.org/officeDocument/2006/relationships/hyperlink" Target="https://finance.yahoo.com/quote/0070.HK/history?p=0070.HK" TargetMode="External"/><Relationship Id="rId121" Type="http://schemas.openxmlformats.org/officeDocument/2006/relationships/hyperlink" Target="https://finance.yahoo.com/quote/BILI220401P00020000/history?p=BILI220401P00020000" TargetMode="External"/><Relationship Id="rId120" Type="http://schemas.openxmlformats.org/officeDocument/2006/relationships/hyperlink" Target="https://finance.yahoo.com/quote/BABA/history?p=BABA" TargetMode="External"/><Relationship Id="rId125" Type="http://schemas.openxmlformats.org/officeDocument/2006/relationships/hyperlink" Target="https://finance.yahoo.com/quote/6862.HK/history?p=6862.HK" TargetMode="External"/><Relationship Id="rId124" Type="http://schemas.openxmlformats.org/officeDocument/2006/relationships/hyperlink" Target="https://finance.yahoo.com/quote/PFE/history?p=PFE" TargetMode="External"/><Relationship Id="rId123" Type="http://schemas.openxmlformats.org/officeDocument/2006/relationships/hyperlink" Target="https://finance.yahoo.com/quote/1898.HK/history?p=1898.HK" TargetMode="External"/><Relationship Id="rId122" Type="http://schemas.openxmlformats.org/officeDocument/2006/relationships/hyperlink" Target="https://finance.yahoo.com/quote/0708.HK/history?p=0708.HK" TargetMode="External"/><Relationship Id="rId95" Type="http://schemas.openxmlformats.org/officeDocument/2006/relationships/hyperlink" Target="https://finance.yahoo.com/quote/SBRCY/history?p=SBRCY" TargetMode="External"/><Relationship Id="rId94" Type="http://schemas.openxmlformats.org/officeDocument/2006/relationships/hyperlink" Target="https://finance.yahoo.com/quote/005930.KS/history?p=005930.KS" TargetMode="External"/><Relationship Id="rId97" Type="http://schemas.openxmlformats.org/officeDocument/2006/relationships/hyperlink" Target="https://finance.yahoo.com/quote/2800.HK/history?p=2800.HK" TargetMode="External"/><Relationship Id="rId96" Type="http://schemas.openxmlformats.org/officeDocument/2006/relationships/hyperlink" Target="https://finance.yahoo.com/quote/002475.SZ/history?p=002475.SZ" TargetMode="External"/><Relationship Id="rId99" Type="http://schemas.openxmlformats.org/officeDocument/2006/relationships/hyperlink" Target="https://finance.yahoo.com/quote/3800.hk/history?p=3800.hk" TargetMode="External"/><Relationship Id="rId98" Type="http://schemas.openxmlformats.org/officeDocument/2006/relationships/hyperlink" Target="https://finance.yahoo.com/quote/GC=F/history?p=GC=F" TargetMode="External"/><Relationship Id="rId91" Type="http://schemas.openxmlformats.org/officeDocument/2006/relationships/hyperlink" Target="https://finance.yahoo.com/quote/9626.HK/history?p=9626.HK" TargetMode="External"/><Relationship Id="rId90" Type="http://schemas.openxmlformats.org/officeDocument/2006/relationships/hyperlink" Target="https://finance.yahoo.com/quote/FTCH220318P00017500/history?p=FTCH220318P00017500" TargetMode="External"/><Relationship Id="rId93" Type="http://schemas.openxmlformats.org/officeDocument/2006/relationships/hyperlink" Target="https://finance.yahoo.com/quote/ARKK/history?p=ARKK" TargetMode="External"/><Relationship Id="rId92" Type="http://schemas.openxmlformats.org/officeDocument/2006/relationships/hyperlink" Target="https://finance.yahoo.com/quote/9888.HK/history?p=9888.HK" TargetMode="External"/><Relationship Id="rId118" Type="http://schemas.openxmlformats.org/officeDocument/2006/relationships/hyperlink" Target="https://finance.yahoo.com/quote/0388.HK/history?p=0388.HK" TargetMode="External"/><Relationship Id="rId117" Type="http://schemas.openxmlformats.org/officeDocument/2006/relationships/hyperlink" Target="https://finance.yahoo.com/quote/ABNB/history?p=ABNB" TargetMode="External"/><Relationship Id="rId116" Type="http://schemas.openxmlformats.org/officeDocument/2006/relationships/hyperlink" Target="https://finance.yahoo.com/quote/LMT/history?p=LMT" TargetMode="External"/><Relationship Id="rId115" Type="http://schemas.openxmlformats.org/officeDocument/2006/relationships/hyperlink" Target="https://finance.yahoo.com/quote/6680.HK/history?p=6680.HK" TargetMode="External"/><Relationship Id="rId119" Type="http://schemas.openxmlformats.org/officeDocument/2006/relationships/hyperlink" Target="https://finance.yahoo.com/quote/TQQQ220408P00056000/history?p=TQQQ220408P00056000" TargetMode="External"/><Relationship Id="rId110" Type="http://schemas.openxmlformats.org/officeDocument/2006/relationships/hyperlink" Target="https://finance.yahoo.com/quote/000950.SZ/history?p=000950.SZ" TargetMode="External"/><Relationship Id="rId114" Type="http://schemas.openxmlformats.org/officeDocument/2006/relationships/hyperlink" Target="https://finance.yahoo.com/quote/NU220318C00005000/history?p=NU220318C00005000" TargetMode="External"/><Relationship Id="rId113" Type="http://schemas.openxmlformats.org/officeDocument/2006/relationships/hyperlink" Target="https://finance.yahoo.com/quote/FSR/history?p=FSR" TargetMode="External"/><Relationship Id="rId112" Type="http://schemas.openxmlformats.org/officeDocument/2006/relationships/hyperlink" Target="https://finance.yahoo.com/quote/WMT/history?p=WMT" TargetMode="External"/><Relationship Id="rId111" Type="http://schemas.openxmlformats.org/officeDocument/2006/relationships/hyperlink" Target="https://finance.yahoo.com/quote/600661.SS/history?p=600661.SS" TargetMode="External"/><Relationship Id="rId228" Type="http://schemas.openxmlformats.org/officeDocument/2006/relationships/hyperlink" Target="http://3833.hk" TargetMode="External"/><Relationship Id="rId227" Type="http://schemas.openxmlformats.org/officeDocument/2006/relationships/hyperlink" Target="http://6078.hk" TargetMode="External"/><Relationship Id="rId226" Type="http://schemas.openxmlformats.org/officeDocument/2006/relationships/hyperlink" Target="http://600519.ss" TargetMode="External"/><Relationship Id="rId225" Type="http://schemas.openxmlformats.org/officeDocument/2006/relationships/hyperlink" Target="http://688076.ss" TargetMode="External"/><Relationship Id="rId229" Type="http://schemas.openxmlformats.org/officeDocument/2006/relationships/hyperlink" Target="http://0968.hk" TargetMode="External"/><Relationship Id="rId220" Type="http://schemas.openxmlformats.org/officeDocument/2006/relationships/hyperlink" Target="http://6862.hk" TargetMode="External"/><Relationship Id="rId224" Type="http://schemas.openxmlformats.org/officeDocument/2006/relationships/hyperlink" Target="http://603538.ss" TargetMode="External"/><Relationship Id="rId223" Type="http://schemas.openxmlformats.org/officeDocument/2006/relationships/hyperlink" Target="http://603392.ss" TargetMode="External"/><Relationship Id="rId222" Type="http://schemas.openxmlformats.org/officeDocument/2006/relationships/hyperlink" Target="http://603939.ss" TargetMode="External"/><Relationship Id="rId221" Type="http://schemas.openxmlformats.org/officeDocument/2006/relationships/hyperlink" Target="http://0070.hk" TargetMode="External"/><Relationship Id="rId217" Type="http://schemas.openxmlformats.org/officeDocument/2006/relationships/hyperlink" Target="http://0388.hk" TargetMode="External"/><Relationship Id="rId216" Type="http://schemas.openxmlformats.org/officeDocument/2006/relationships/hyperlink" Target="http://6680.hk" TargetMode="External"/><Relationship Id="rId215" Type="http://schemas.openxmlformats.org/officeDocument/2006/relationships/hyperlink" Target="http://600661.ss" TargetMode="External"/><Relationship Id="rId214" Type="http://schemas.openxmlformats.org/officeDocument/2006/relationships/hyperlink" Target="http://000950.sz" TargetMode="External"/><Relationship Id="rId219" Type="http://schemas.openxmlformats.org/officeDocument/2006/relationships/hyperlink" Target="http://1898.hk" TargetMode="External"/><Relationship Id="rId218" Type="http://schemas.openxmlformats.org/officeDocument/2006/relationships/hyperlink" Target="http://0708.hk" TargetMode="External"/><Relationship Id="rId213" Type="http://schemas.openxmlformats.org/officeDocument/2006/relationships/hyperlink" Target="http://0001.hk" TargetMode="External"/><Relationship Id="rId212" Type="http://schemas.openxmlformats.org/officeDocument/2006/relationships/hyperlink" Target="http://0151.hk" TargetMode="External"/><Relationship Id="rId211" Type="http://schemas.openxmlformats.org/officeDocument/2006/relationships/hyperlink" Target="http://603963.ss" TargetMode="External"/><Relationship Id="rId210" Type="http://schemas.openxmlformats.org/officeDocument/2006/relationships/hyperlink" Target="http://1024.hk" TargetMode="External"/><Relationship Id="rId236" Type="http://schemas.openxmlformats.org/officeDocument/2006/relationships/drawing" Target="../drawings/drawing4.xml"/><Relationship Id="rId231" Type="http://schemas.openxmlformats.org/officeDocument/2006/relationships/hyperlink" Target="http://002670.sz" TargetMode="External"/><Relationship Id="rId230" Type="http://schemas.openxmlformats.org/officeDocument/2006/relationships/hyperlink" Target="http://3988.hk" TargetMode="External"/><Relationship Id="rId235" Type="http://schemas.openxmlformats.org/officeDocument/2006/relationships/hyperlink" Target="http://000568.sz" TargetMode="External"/><Relationship Id="rId234" Type="http://schemas.openxmlformats.org/officeDocument/2006/relationships/hyperlink" Target="http://2607.hk" TargetMode="External"/><Relationship Id="rId233" Type="http://schemas.openxmlformats.org/officeDocument/2006/relationships/hyperlink" Target="http://0346.hk" TargetMode="External"/><Relationship Id="rId232" Type="http://schemas.openxmlformats.org/officeDocument/2006/relationships/hyperlink" Target="http://001896.sz" TargetMode="External"/><Relationship Id="rId206" Type="http://schemas.openxmlformats.org/officeDocument/2006/relationships/hyperlink" Target="http://002475.sz" TargetMode="External"/><Relationship Id="rId205" Type="http://schemas.openxmlformats.org/officeDocument/2006/relationships/hyperlink" Target="http://9888.hk" TargetMode="External"/><Relationship Id="rId204" Type="http://schemas.openxmlformats.org/officeDocument/2006/relationships/hyperlink" Target="http://9626.hk" TargetMode="External"/><Relationship Id="rId203" Type="http://schemas.openxmlformats.org/officeDocument/2006/relationships/hyperlink" Target="http://603967.ss" TargetMode="External"/><Relationship Id="rId209" Type="http://schemas.openxmlformats.org/officeDocument/2006/relationships/hyperlink" Target="http://1208.hk" TargetMode="External"/><Relationship Id="rId208" Type="http://schemas.openxmlformats.org/officeDocument/2006/relationships/hyperlink" Target="http://3800.hk" TargetMode="External"/><Relationship Id="rId207" Type="http://schemas.openxmlformats.org/officeDocument/2006/relationships/hyperlink" Target="http://2800.hk" TargetMode="External"/><Relationship Id="rId202" Type="http://schemas.openxmlformats.org/officeDocument/2006/relationships/hyperlink" Target="http://300157.sz" TargetMode="External"/><Relationship Id="rId201" Type="http://schemas.openxmlformats.org/officeDocument/2006/relationships/hyperlink" Target="http://300922.sz" TargetMode="External"/><Relationship Id="rId200" Type="http://schemas.openxmlformats.org/officeDocument/2006/relationships/hyperlink" Target="http://601808.ss"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9988.hk" TargetMode="External"/><Relationship Id="rId194" Type="http://schemas.openxmlformats.org/officeDocument/2006/relationships/hyperlink" Target="http://9988.hk" TargetMode="External"/><Relationship Id="rId193" Type="http://schemas.openxmlformats.org/officeDocument/2006/relationships/hyperlink" Target="http://600661.ss" TargetMode="External"/><Relationship Id="rId192" Type="http://schemas.openxmlformats.org/officeDocument/2006/relationships/hyperlink" Target="http://000950.sz" TargetMode="External"/><Relationship Id="rId191" Type="http://schemas.openxmlformats.org/officeDocument/2006/relationships/hyperlink" Target="http://9999.hk" TargetMode="External"/><Relationship Id="rId187" Type="http://schemas.openxmlformats.org/officeDocument/2006/relationships/hyperlink" Target="http://0189.hk" TargetMode="External"/><Relationship Id="rId186" Type="http://schemas.openxmlformats.org/officeDocument/2006/relationships/hyperlink" Target="http://0968.hk" TargetMode="External"/><Relationship Id="rId185" Type="http://schemas.openxmlformats.org/officeDocument/2006/relationships/hyperlink" Target="http://3833.hk" TargetMode="External"/><Relationship Id="rId184" Type="http://schemas.openxmlformats.org/officeDocument/2006/relationships/hyperlink" Target="http://6862.hk" TargetMode="External"/><Relationship Id="rId189" Type="http://schemas.openxmlformats.org/officeDocument/2006/relationships/hyperlink" Target="http://0175.hk" TargetMode="External"/><Relationship Id="rId188" Type="http://schemas.openxmlformats.org/officeDocument/2006/relationships/hyperlink" Target="http://3800.hk" TargetMode="External"/><Relationship Id="rId183" Type="http://schemas.openxmlformats.org/officeDocument/2006/relationships/hyperlink" Target="http://0700.hk" TargetMode="External"/><Relationship Id="rId182" Type="http://schemas.openxmlformats.org/officeDocument/2006/relationships/hyperlink" Target="http://3690.hk" TargetMode="External"/><Relationship Id="rId181" Type="http://schemas.openxmlformats.org/officeDocument/2006/relationships/hyperlink" Target="http://6078.hk" TargetMode="External"/><Relationship Id="rId180" Type="http://schemas.openxmlformats.org/officeDocument/2006/relationships/hyperlink" Target="http://0700.hk" TargetMode="External"/><Relationship Id="rId176" Type="http://schemas.openxmlformats.org/officeDocument/2006/relationships/hyperlink" Target="http://1398.hk" TargetMode="External"/><Relationship Id="rId175" Type="http://schemas.openxmlformats.org/officeDocument/2006/relationships/hyperlink" Target="http://0700.hk" TargetMode="External"/><Relationship Id="rId174" Type="http://schemas.openxmlformats.org/officeDocument/2006/relationships/hyperlink" Target="http://0700.hk" TargetMode="External"/><Relationship Id="rId173" Type="http://schemas.openxmlformats.org/officeDocument/2006/relationships/hyperlink" Target="http://01024.hk" TargetMode="External"/><Relationship Id="rId179" Type="http://schemas.openxmlformats.org/officeDocument/2006/relationships/hyperlink" Target="http://1810.hk" TargetMode="External"/><Relationship Id="rId178" Type="http://schemas.openxmlformats.org/officeDocument/2006/relationships/hyperlink" Target="http://0700.hk" TargetMode="External"/><Relationship Id="rId177" Type="http://schemas.openxmlformats.org/officeDocument/2006/relationships/hyperlink" Target="http://1398.hk" TargetMode="External"/><Relationship Id="rId198" Type="http://schemas.openxmlformats.org/officeDocument/2006/relationships/hyperlink" Target="http://3988.hk" TargetMode="External"/><Relationship Id="rId197" Type="http://schemas.openxmlformats.org/officeDocument/2006/relationships/hyperlink" Target="http://0700.hk" TargetMode="External"/><Relationship Id="rId196" Type="http://schemas.openxmlformats.org/officeDocument/2006/relationships/hyperlink" Target="http://0700.hk" TargetMode="External"/><Relationship Id="rId195" Type="http://schemas.openxmlformats.org/officeDocument/2006/relationships/hyperlink" Target="http://600519.ss" TargetMode="External"/><Relationship Id="rId199" Type="http://schemas.openxmlformats.org/officeDocument/2006/relationships/hyperlink" Target="http://9988.hk" TargetMode="External"/><Relationship Id="rId150" Type="http://schemas.openxmlformats.org/officeDocument/2006/relationships/hyperlink" Target="http://9988.hk" TargetMode="External"/><Relationship Id="rId392" Type="http://schemas.openxmlformats.org/officeDocument/2006/relationships/hyperlink" Target="http://9888.hk" TargetMode="External"/><Relationship Id="rId391" Type="http://schemas.openxmlformats.org/officeDocument/2006/relationships/hyperlink" Target="http://0883.hk" TargetMode="External"/><Relationship Id="rId390" Type="http://schemas.openxmlformats.org/officeDocument/2006/relationships/hyperlink" Target="http://6618.hk" TargetMode="External"/><Relationship Id="rId1" Type="http://schemas.openxmlformats.org/officeDocument/2006/relationships/hyperlink" Target="http://0700.hk" TargetMode="External"/><Relationship Id="rId2" Type="http://schemas.openxmlformats.org/officeDocument/2006/relationships/hyperlink" Target="http://0883.hk" TargetMode="External"/><Relationship Id="rId3" Type="http://schemas.openxmlformats.org/officeDocument/2006/relationships/hyperlink" Target="http://9698.hk" TargetMode="External"/><Relationship Id="rId149" Type="http://schemas.openxmlformats.org/officeDocument/2006/relationships/hyperlink" Target="http://603963.ss" TargetMode="External"/><Relationship Id="rId4" Type="http://schemas.openxmlformats.org/officeDocument/2006/relationships/hyperlink" Target="http://3690.hk" TargetMode="External"/><Relationship Id="rId148" Type="http://schemas.openxmlformats.org/officeDocument/2006/relationships/hyperlink" Target="http://9988.hk" TargetMode="External"/><Relationship Id="rId9" Type="http://schemas.openxmlformats.org/officeDocument/2006/relationships/hyperlink" Target="http://2269.hk" TargetMode="External"/><Relationship Id="rId143" Type="http://schemas.openxmlformats.org/officeDocument/2006/relationships/hyperlink" Target="http://9988.hk" TargetMode="External"/><Relationship Id="rId385" Type="http://schemas.openxmlformats.org/officeDocument/2006/relationships/hyperlink" Target="http://9888.hk" TargetMode="External"/><Relationship Id="rId142" Type="http://schemas.openxmlformats.org/officeDocument/2006/relationships/hyperlink" Target="http://1024.hk" TargetMode="External"/><Relationship Id="rId384" Type="http://schemas.openxmlformats.org/officeDocument/2006/relationships/hyperlink" Target="http://9888.hk" TargetMode="External"/><Relationship Id="rId141" Type="http://schemas.openxmlformats.org/officeDocument/2006/relationships/hyperlink" Target="http://9988.hk" TargetMode="External"/><Relationship Id="rId383" Type="http://schemas.openxmlformats.org/officeDocument/2006/relationships/hyperlink" Target="http://9888.hk" TargetMode="External"/><Relationship Id="rId140" Type="http://schemas.openxmlformats.org/officeDocument/2006/relationships/hyperlink" Target="http://1024.hk" TargetMode="External"/><Relationship Id="rId382" Type="http://schemas.openxmlformats.org/officeDocument/2006/relationships/hyperlink" Target="http://0836.hk" TargetMode="External"/><Relationship Id="rId5" Type="http://schemas.openxmlformats.org/officeDocument/2006/relationships/hyperlink" Target="http://9698.hk" TargetMode="External"/><Relationship Id="rId147" Type="http://schemas.openxmlformats.org/officeDocument/2006/relationships/hyperlink" Target="http://9626.hk" TargetMode="External"/><Relationship Id="rId389" Type="http://schemas.openxmlformats.org/officeDocument/2006/relationships/hyperlink" Target="http://603538.ss" TargetMode="External"/><Relationship Id="rId6" Type="http://schemas.openxmlformats.org/officeDocument/2006/relationships/hyperlink" Target="http://3690.hk" TargetMode="External"/><Relationship Id="rId146" Type="http://schemas.openxmlformats.org/officeDocument/2006/relationships/hyperlink" Target="http://9988.hk" TargetMode="External"/><Relationship Id="rId388" Type="http://schemas.openxmlformats.org/officeDocument/2006/relationships/hyperlink" Target="http://000950.sz" TargetMode="External"/><Relationship Id="rId7" Type="http://schemas.openxmlformats.org/officeDocument/2006/relationships/hyperlink" Target="http://601168.ss" TargetMode="External"/><Relationship Id="rId145" Type="http://schemas.openxmlformats.org/officeDocument/2006/relationships/hyperlink" Target="http://0388.hk" TargetMode="External"/><Relationship Id="rId387" Type="http://schemas.openxmlformats.org/officeDocument/2006/relationships/hyperlink" Target="http://000568.sz" TargetMode="External"/><Relationship Id="rId8" Type="http://schemas.openxmlformats.org/officeDocument/2006/relationships/hyperlink" Target="http://2318.hk" TargetMode="External"/><Relationship Id="rId144" Type="http://schemas.openxmlformats.org/officeDocument/2006/relationships/hyperlink" Target="http://3800.hk" TargetMode="External"/><Relationship Id="rId386" Type="http://schemas.openxmlformats.org/officeDocument/2006/relationships/hyperlink" Target="http://600519.ss" TargetMode="External"/><Relationship Id="rId381" Type="http://schemas.openxmlformats.org/officeDocument/2006/relationships/hyperlink" Target="http://003040.sz" TargetMode="External"/><Relationship Id="rId380" Type="http://schemas.openxmlformats.org/officeDocument/2006/relationships/hyperlink" Target="http://000788.sz" TargetMode="External"/><Relationship Id="rId139" Type="http://schemas.openxmlformats.org/officeDocument/2006/relationships/hyperlink" Target="http://6680.hk" TargetMode="External"/><Relationship Id="rId138" Type="http://schemas.openxmlformats.org/officeDocument/2006/relationships/hyperlink" Target="http://9988.hk" TargetMode="External"/><Relationship Id="rId137" Type="http://schemas.openxmlformats.org/officeDocument/2006/relationships/hyperlink" Target="http://1024.hk" TargetMode="External"/><Relationship Id="rId379" Type="http://schemas.openxmlformats.org/officeDocument/2006/relationships/hyperlink" Target="http://002864.sz" TargetMode="External"/><Relationship Id="rId132" Type="http://schemas.openxmlformats.org/officeDocument/2006/relationships/hyperlink" Target="http://1810.hk" TargetMode="External"/><Relationship Id="rId374" Type="http://schemas.openxmlformats.org/officeDocument/2006/relationships/hyperlink" Target="http://8055.hk" TargetMode="External"/><Relationship Id="rId131" Type="http://schemas.openxmlformats.org/officeDocument/2006/relationships/hyperlink" Target="http://1024.hk" TargetMode="External"/><Relationship Id="rId373" Type="http://schemas.openxmlformats.org/officeDocument/2006/relationships/hyperlink" Target="http://0386.hk" TargetMode="External"/><Relationship Id="rId130" Type="http://schemas.openxmlformats.org/officeDocument/2006/relationships/hyperlink" Target="http://9988.hk" TargetMode="External"/><Relationship Id="rId372" Type="http://schemas.openxmlformats.org/officeDocument/2006/relationships/hyperlink" Target="http://1398.hk" TargetMode="External"/><Relationship Id="rId371" Type="http://schemas.openxmlformats.org/officeDocument/2006/relationships/hyperlink" Target="http://000788.sz" TargetMode="External"/><Relationship Id="rId136" Type="http://schemas.openxmlformats.org/officeDocument/2006/relationships/hyperlink" Target="http://1024.hk" TargetMode="External"/><Relationship Id="rId378" Type="http://schemas.openxmlformats.org/officeDocument/2006/relationships/hyperlink" Target="http://002657.sz" TargetMode="External"/><Relationship Id="rId135" Type="http://schemas.openxmlformats.org/officeDocument/2006/relationships/hyperlink" Target="http://1024.hk" TargetMode="External"/><Relationship Id="rId377" Type="http://schemas.openxmlformats.org/officeDocument/2006/relationships/hyperlink" Target="http://0700.hk" TargetMode="External"/><Relationship Id="rId134" Type="http://schemas.openxmlformats.org/officeDocument/2006/relationships/hyperlink" Target="http://1024.hk" TargetMode="External"/><Relationship Id="rId376" Type="http://schemas.openxmlformats.org/officeDocument/2006/relationships/hyperlink" Target="http://9988.hk" TargetMode="External"/><Relationship Id="rId133" Type="http://schemas.openxmlformats.org/officeDocument/2006/relationships/hyperlink" Target="http://2318.hk" TargetMode="External"/><Relationship Id="rId375" Type="http://schemas.openxmlformats.org/officeDocument/2006/relationships/hyperlink" Target="http://3333.hk" TargetMode="External"/><Relationship Id="rId172" Type="http://schemas.openxmlformats.org/officeDocument/2006/relationships/hyperlink" Target="http://6862.hk" TargetMode="External"/><Relationship Id="rId171" Type="http://schemas.openxmlformats.org/officeDocument/2006/relationships/hyperlink" Target="http://0700.hk" TargetMode="External"/><Relationship Id="rId170" Type="http://schemas.openxmlformats.org/officeDocument/2006/relationships/hyperlink" Target="http://600519.ss" TargetMode="External"/><Relationship Id="rId165" Type="http://schemas.openxmlformats.org/officeDocument/2006/relationships/hyperlink" Target="http://3339.hk" TargetMode="External"/><Relationship Id="rId164" Type="http://schemas.openxmlformats.org/officeDocument/2006/relationships/hyperlink" Target="http://603392.ss" TargetMode="External"/><Relationship Id="rId163" Type="http://schemas.openxmlformats.org/officeDocument/2006/relationships/hyperlink" Target="http://603939.ss" TargetMode="External"/><Relationship Id="rId162" Type="http://schemas.openxmlformats.org/officeDocument/2006/relationships/hyperlink" Target="http://0700.hk" TargetMode="External"/><Relationship Id="rId169" Type="http://schemas.openxmlformats.org/officeDocument/2006/relationships/hyperlink" Target="http://688076.ss" TargetMode="External"/><Relationship Id="rId168" Type="http://schemas.openxmlformats.org/officeDocument/2006/relationships/hyperlink" Target="http://6862.hk" TargetMode="External"/><Relationship Id="rId167" Type="http://schemas.openxmlformats.org/officeDocument/2006/relationships/hyperlink" Target="http://603538.ss" TargetMode="External"/><Relationship Id="rId166" Type="http://schemas.openxmlformats.org/officeDocument/2006/relationships/hyperlink" Target="http://9988.hk" TargetMode="External"/><Relationship Id="rId161" Type="http://schemas.openxmlformats.org/officeDocument/2006/relationships/hyperlink" Target="http://0070.hk" TargetMode="External"/><Relationship Id="rId160" Type="http://schemas.openxmlformats.org/officeDocument/2006/relationships/hyperlink" Target="http://6862.hk" TargetMode="External"/><Relationship Id="rId159" Type="http://schemas.openxmlformats.org/officeDocument/2006/relationships/hyperlink" Target="http://0388.hk" TargetMode="External"/><Relationship Id="rId154" Type="http://schemas.openxmlformats.org/officeDocument/2006/relationships/hyperlink" Target="http://9988.hk" TargetMode="External"/><Relationship Id="rId396" Type="http://schemas.openxmlformats.org/officeDocument/2006/relationships/hyperlink" Target="http://2799.hk" TargetMode="External"/><Relationship Id="rId153" Type="http://schemas.openxmlformats.org/officeDocument/2006/relationships/hyperlink" Target="http://1024.hk" TargetMode="External"/><Relationship Id="rId395" Type="http://schemas.openxmlformats.org/officeDocument/2006/relationships/hyperlink" Target="http://9988.hk" TargetMode="External"/><Relationship Id="rId152" Type="http://schemas.openxmlformats.org/officeDocument/2006/relationships/hyperlink" Target="http://1024.hk" TargetMode="External"/><Relationship Id="rId394" Type="http://schemas.openxmlformats.org/officeDocument/2006/relationships/hyperlink" Target="http://0700.hk" TargetMode="External"/><Relationship Id="rId151" Type="http://schemas.openxmlformats.org/officeDocument/2006/relationships/hyperlink" Target="http://0151.hk" TargetMode="External"/><Relationship Id="rId393" Type="http://schemas.openxmlformats.org/officeDocument/2006/relationships/hyperlink" Target="http://9888.hk" TargetMode="External"/><Relationship Id="rId158" Type="http://schemas.openxmlformats.org/officeDocument/2006/relationships/hyperlink" Target="http://1898.hk" TargetMode="External"/><Relationship Id="rId157" Type="http://schemas.openxmlformats.org/officeDocument/2006/relationships/hyperlink" Target="http://0708.hk" TargetMode="External"/><Relationship Id="rId399" Type="http://schemas.openxmlformats.org/officeDocument/2006/relationships/hyperlink" Target="http://002307.sz" TargetMode="External"/><Relationship Id="rId156" Type="http://schemas.openxmlformats.org/officeDocument/2006/relationships/hyperlink" Target="http://3690.hk" TargetMode="External"/><Relationship Id="rId398" Type="http://schemas.openxmlformats.org/officeDocument/2006/relationships/hyperlink" Target="http://0587.hk" TargetMode="External"/><Relationship Id="rId155" Type="http://schemas.openxmlformats.org/officeDocument/2006/relationships/hyperlink" Target="http://1024.hk" TargetMode="External"/><Relationship Id="rId397" Type="http://schemas.openxmlformats.org/officeDocument/2006/relationships/hyperlink" Target="http://1919.hk" TargetMode="External"/><Relationship Id="rId40" Type="http://schemas.openxmlformats.org/officeDocument/2006/relationships/hyperlink" Target="http://3690.hk" TargetMode="External"/><Relationship Id="rId42" Type="http://schemas.openxmlformats.org/officeDocument/2006/relationships/hyperlink" Target="http://002230.sz" TargetMode="External"/><Relationship Id="rId41" Type="http://schemas.openxmlformats.org/officeDocument/2006/relationships/hyperlink" Target="http://3690.hk" TargetMode="External"/><Relationship Id="rId44" Type="http://schemas.openxmlformats.org/officeDocument/2006/relationships/hyperlink" Target="http://0941.hk" TargetMode="External"/><Relationship Id="rId43" Type="http://schemas.openxmlformats.org/officeDocument/2006/relationships/hyperlink" Target="http://1109.hk" TargetMode="External"/><Relationship Id="rId46" Type="http://schemas.openxmlformats.org/officeDocument/2006/relationships/hyperlink" Target="http://0941.hk" TargetMode="External"/><Relationship Id="rId45" Type="http://schemas.openxmlformats.org/officeDocument/2006/relationships/hyperlink" Target="http://9698.hk" TargetMode="External"/><Relationship Id="rId509" Type="http://schemas.openxmlformats.org/officeDocument/2006/relationships/hyperlink" Target="http://9988.hk" TargetMode="External"/><Relationship Id="rId508" Type="http://schemas.openxmlformats.org/officeDocument/2006/relationships/hyperlink" Target="http://0700.hk" TargetMode="External"/><Relationship Id="rId503" Type="http://schemas.openxmlformats.org/officeDocument/2006/relationships/hyperlink" Target="http://9866.hk" TargetMode="External"/><Relationship Id="rId502" Type="http://schemas.openxmlformats.org/officeDocument/2006/relationships/hyperlink" Target="http://9988.hk" TargetMode="External"/><Relationship Id="rId501" Type="http://schemas.openxmlformats.org/officeDocument/2006/relationships/hyperlink" Target="http://603963.ss" TargetMode="External"/><Relationship Id="rId500" Type="http://schemas.openxmlformats.org/officeDocument/2006/relationships/hyperlink" Target="http://605089.ss" TargetMode="External"/><Relationship Id="rId507" Type="http://schemas.openxmlformats.org/officeDocument/2006/relationships/hyperlink" Target="http://9988.hk" TargetMode="External"/><Relationship Id="rId506" Type="http://schemas.openxmlformats.org/officeDocument/2006/relationships/hyperlink" Target="http://9939.hk" TargetMode="External"/><Relationship Id="rId505" Type="http://schemas.openxmlformats.org/officeDocument/2006/relationships/hyperlink" Target="http://9939.hk" TargetMode="External"/><Relationship Id="rId504" Type="http://schemas.openxmlformats.org/officeDocument/2006/relationships/hyperlink" Target="http://0700.hk" TargetMode="External"/><Relationship Id="rId48" Type="http://schemas.openxmlformats.org/officeDocument/2006/relationships/hyperlink" Target="http://9988.hk" TargetMode="External"/><Relationship Id="rId47" Type="http://schemas.openxmlformats.org/officeDocument/2006/relationships/hyperlink" Target="http://3047.hk" TargetMode="External"/><Relationship Id="rId49" Type="http://schemas.openxmlformats.org/officeDocument/2006/relationships/hyperlink" Target="http://0941.hk" TargetMode="External"/><Relationship Id="rId31" Type="http://schemas.openxmlformats.org/officeDocument/2006/relationships/hyperlink" Target="http://0175.hk" TargetMode="External"/><Relationship Id="rId30" Type="http://schemas.openxmlformats.org/officeDocument/2006/relationships/hyperlink" Target="http://2333.hk" TargetMode="External"/><Relationship Id="rId33" Type="http://schemas.openxmlformats.org/officeDocument/2006/relationships/hyperlink" Target="http://9999.hk" TargetMode="External"/><Relationship Id="rId32" Type="http://schemas.openxmlformats.org/officeDocument/2006/relationships/hyperlink" Target="http://9961.hk" TargetMode="External"/><Relationship Id="rId35" Type="http://schemas.openxmlformats.org/officeDocument/2006/relationships/hyperlink" Target="http://6969.hk" TargetMode="External"/><Relationship Id="rId34" Type="http://schemas.openxmlformats.org/officeDocument/2006/relationships/hyperlink" Target="http://0909.hk" TargetMode="External"/><Relationship Id="rId37" Type="http://schemas.openxmlformats.org/officeDocument/2006/relationships/hyperlink" Target="http://6969.hk" TargetMode="External"/><Relationship Id="rId36" Type="http://schemas.openxmlformats.org/officeDocument/2006/relationships/hyperlink" Target="http://0700.hk" TargetMode="External"/><Relationship Id="rId39" Type="http://schemas.openxmlformats.org/officeDocument/2006/relationships/hyperlink" Target="http://0700.hk" TargetMode="External"/><Relationship Id="rId38" Type="http://schemas.openxmlformats.org/officeDocument/2006/relationships/hyperlink" Target="http://1498.hk" TargetMode="External"/><Relationship Id="rId20" Type="http://schemas.openxmlformats.org/officeDocument/2006/relationships/hyperlink" Target="http://3339.hk" TargetMode="External"/><Relationship Id="rId22" Type="http://schemas.openxmlformats.org/officeDocument/2006/relationships/hyperlink" Target="http://1810.hk" TargetMode="External"/><Relationship Id="rId21" Type="http://schemas.openxmlformats.org/officeDocument/2006/relationships/hyperlink" Target="http://2333.hk" TargetMode="External"/><Relationship Id="rId24" Type="http://schemas.openxmlformats.org/officeDocument/2006/relationships/hyperlink" Target="http://9988.hk" TargetMode="External"/><Relationship Id="rId23" Type="http://schemas.openxmlformats.org/officeDocument/2006/relationships/hyperlink" Target="http://9698.hk" TargetMode="External"/><Relationship Id="rId525" Type="http://schemas.openxmlformats.org/officeDocument/2006/relationships/hyperlink" Target="http://6862.hk" TargetMode="External"/><Relationship Id="rId524" Type="http://schemas.openxmlformats.org/officeDocument/2006/relationships/hyperlink" Target="http://0293.hk" TargetMode="External"/><Relationship Id="rId523" Type="http://schemas.openxmlformats.org/officeDocument/2006/relationships/hyperlink" Target="http://9992.hk" TargetMode="External"/><Relationship Id="rId522" Type="http://schemas.openxmlformats.org/officeDocument/2006/relationships/hyperlink" Target="http://9922.hk" TargetMode="External"/><Relationship Id="rId529" Type="http://schemas.openxmlformats.org/officeDocument/2006/relationships/hyperlink" Target="http://0883.hk" TargetMode="External"/><Relationship Id="rId528" Type="http://schemas.openxmlformats.org/officeDocument/2006/relationships/hyperlink" Target="http://9626.hk" TargetMode="External"/><Relationship Id="rId527" Type="http://schemas.openxmlformats.org/officeDocument/2006/relationships/hyperlink" Target="http://9988.hk" TargetMode="External"/><Relationship Id="rId526" Type="http://schemas.openxmlformats.org/officeDocument/2006/relationships/hyperlink" Target="http://1024.hk" TargetMode="External"/><Relationship Id="rId26" Type="http://schemas.openxmlformats.org/officeDocument/2006/relationships/hyperlink" Target="http://2020.hk" TargetMode="External"/><Relationship Id="rId25" Type="http://schemas.openxmlformats.org/officeDocument/2006/relationships/hyperlink" Target="http://0883.hk" TargetMode="External"/><Relationship Id="rId28" Type="http://schemas.openxmlformats.org/officeDocument/2006/relationships/hyperlink" Target="http://6969.hk" TargetMode="External"/><Relationship Id="rId27" Type="http://schemas.openxmlformats.org/officeDocument/2006/relationships/hyperlink" Target="http://0700.hk" TargetMode="External"/><Relationship Id="rId521" Type="http://schemas.openxmlformats.org/officeDocument/2006/relationships/hyperlink" Target="http://0700.hk" TargetMode="External"/><Relationship Id="rId29" Type="http://schemas.openxmlformats.org/officeDocument/2006/relationships/hyperlink" Target="http://0700.hk" TargetMode="External"/><Relationship Id="rId520" Type="http://schemas.openxmlformats.org/officeDocument/2006/relationships/hyperlink" Target="http://9988.hk" TargetMode="External"/><Relationship Id="rId11" Type="http://schemas.openxmlformats.org/officeDocument/2006/relationships/hyperlink" Target="http://1398.hk" TargetMode="External"/><Relationship Id="rId10" Type="http://schemas.openxmlformats.org/officeDocument/2006/relationships/hyperlink" Target="http://1398.hk" TargetMode="External"/><Relationship Id="rId13" Type="http://schemas.openxmlformats.org/officeDocument/2006/relationships/hyperlink" Target="http://ubi.pa" TargetMode="External"/><Relationship Id="rId12" Type="http://schemas.openxmlformats.org/officeDocument/2006/relationships/hyperlink" Target="http://600986.ss" TargetMode="External"/><Relationship Id="rId519" Type="http://schemas.openxmlformats.org/officeDocument/2006/relationships/hyperlink" Target="http://9626.hk" TargetMode="External"/><Relationship Id="rId514" Type="http://schemas.openxmlformats.org/officeDocument/2006/relationships/hyperlink" Target="http://000568.sz" TargetMode="External"/><Relationship Id="rId513" Type="http://schemas.openxmlformats.org/officeDocument/2006/relationships/hyperlink" Target="http://1024.hk" TargetMode="External"/><Relationship Id="rId512" Type="http://schemas.openxmlformats.org/officeDocument/2006/relationships/hyperlink" Target="http://1024.hk" TargetMode="External"/><Relationship Id="rId511" Type="http://schemas.openxmlformats.org/officeDocument/2006/relationships/hyperlink" Target="http://9939.hk" TargetMode="External"/><Relationship Id="rId518" Type="http://schemas.openxmlformats.org/officeDocument/2006/relationships/hyperlink" Target="http://1929.hk" TargetMode="External"/><Relationship Id="rId517" Type="http://schemas.openxmlformats.org/officeDocument/2006/relationships/hyperlink" Target="http://9988.hk" TargetMode="External"/><Relationship Id="rId516" Type="http://schemas.openxmlformats.org/officeDocument/2006/relationships/hyperlink" Target="http://605089.ss" TargetMode="External"/><Relationship Id="rId515" Type="http://schemas.openxmlformats.org/officeDocument/2006/relationships/hyperlink" Target="http://605089.ss" TargetMode="External"/><Relationship Id="rId15" Type="http://schemas.openxmlformats.org/officeDocument/2006/relationships/hyperlink" Target="http://3339.hk" TargetMode="External"/><Relationship Id="rId14" Type="http://schemas.openxmlformats.org/officeDocument/2006/relationships/hyperlink" Target="http://2333.hk" TargetMode="External"/><Relationship Id="rId17" Type="http://schemas.openxmlformats.org/officeDocument/2006/relationships/hyperlink" Target="http://2020.hk" TargetMode="External"/><Relationship Id="rId16" Type="http://schemas.openxmlformats.org/officeDocument/2006/relationships/hyperlink" Target="http://1610.hk" TargetMode="External"/><Relationship Id="rId19" Type="http://schemas.openxmlformats.org/officeDocument/2006/relationships/hyperlink" Target="http://3339.hk" TargetMode="External"/><Relationship Id="rId510" Type="http://schemas.openxmlformats.org/officeDocument/2006/relationships/hyperlink" Target="http://9988.hk" TargetMode="External"/><Relationship Id="rId18" Type="http://schemas.openxmlformats.org/officeDocument/2006/relationships/hyperlink" Target="http://1810.hk" TargetMode="External"/><Relationship Id="rId84" Type="http://schemas.openxmlformats.org/officeDocument/2006/relationships/hyperlink" Target="http://002475.sz" TargetMode="External"/><Relationship Id="rId83" Type="http://schemas.openxmlformats.org/officeDocument/2006/relationships/hyperlink" Target="http://600519.ss" TargetMode="External"/><Relationship Id="rId86" Type="http://schemas.openxmlformats.org/officeDocument/2006/relationships/hyperlink" Target="http://2800.hk" TargetMode="External"/><Relationship Id="rId85" Type="http://schemas.openxmlformats.org/officeDocument/2006/relationships/hyperlink" Target="http://9988.hk" TargetMode="External"/><Relationship Id="rId88" Type="http://schemas.openxmlformats.org/officeDocument/2006/relationships/hyperlink" Target="http://0700.hk" TargetMode="External"/><Relationship Id="rId87" Type="http://schemas.openxmlformats.org/officeDocument/2006/relationships/hyperlink" Target="http://9988.hk" TargetMode="External"/><Relationship Id="rId89" Type="http://schemas.openxmlformats.org/officeDocument/2006/relationships/hyperlink" Target="http://9988.hk" TargetMode="External"/><Relationship Id="rId80" Type="http://schemas.openxmlformats.org/officeDocument/2006/relationships/hyperlink" Target="http://603967.ss" TargetMode="External"/><Relationship Id="rId82" Type="http://schemas.openxmlformats.org/officeDocument/2006/relationships/hyperlink" Target="http://0700.hk" TargetMode="External"/><Relationship Id="rId81" Type="http://schemas.openxmlformats.org/officeDocument/2006/relationships/hyperlink" Target="http://00700.hk" TargetMode="External"/><Relationship Id="rId73" Type="http://schemas.openxmlformats.org/officeDocument/2006/relationships/hyperlink" Target="http://00700.hk" TargetMode="External"/><Relationship Id="rId72" Type="http://schemas.openxmlformats.org/officeDocument/2006/relationships/hyperlink" Target="http://300922.sz" TargetMode="External"/><Relationship Id="rId75" Type="http://schemas.openxmlformats.org/officeDocument/2006/relationships/hyperlink" Target="http://9626.hk" TargetMode="External"/><Relationship Id="rId74" Type="http://schemas.openxmlformats.org/officeDocument/2006/relationships/hyperlink" Target="http://00700.hk" TargetMode="External"/><Relationship Id="rId77" Type="http://schemas.openxmlformats.org/officeDocument/2006/relationships/hyperlink" Target="http://9626.hk" TargetMode="External"/><Relationship Id="rId76" Type="http://schemas.openxmlformats.org/officeDocument/2006/relationships/hyperlink" Target="http://9888.hk" TargetMode="External"/><Relationship Id="rId79" Type="http://schemas.openxmlformats.org/officeDocument/2006/relationships/hyperlink" Target="http://002665.sz" TargetMode="External"/><Relationship Id="rId78" Type="http://schemas.openxmlformats.org/officeDocument/2006/relationships/hyperlink" Target="http://9988.hk" TargetMode="External"/><Relationship Id="rId71" Type="http://schemas.openxmlformats.org/officeDocument/2006/relationships/hyperlink" Target="http://603967.ss" TargetMode="External"/><Relationship Id="rId70" Type="http://schemas.openxmlformats.org/officeDocument/2006/relationships/hyperlink" Target="http://6969.hk" TargetMode="External"/><Relationship Id="rId62" Type="http://schemas.openxmlformats.org/officeDocument/2006/relationships/hyperlink" Target="http://1398.hk" TargetMode="External"/><Relationship Id="rId61" Type="http://schemas.openxmlformats.org/officeDocument/2006/relationships/hyperlink" Target="http://1398.hk" TargetMode="External"/><Relationship Id="rId64" Type="http://schemas.openxmlformats.org/officeDocument/2006/relationships/hyperlink" Target="http://300157.sz" TargetMode="External"/><Relationship Id="rId63" Type="http://schemas.openxmlformats.org/officeDocument/2006/relationships/hyperlink" Target="http://300157.sz" TargetMode="External"/><Relationship Id="rId66" Type="http://schemas.openxmlformats.org/officeDocument/2006/relationships/hyperlink" Target="http://300945.sz" TargetMode="External"/><Relationship Id="rId65" Type="http://schemas.openxmlformats.org/officeDocument/2006/relationships/hyperlink" Target="http://000554.sz" TargetMode="External"/><Relationship Id="rId68" Type="http://schemas.openxmlformats.org/officeDocument/2006/relationships/hyperlink" Target="http://300922.sz" TargetMode="External"/><Relationship Id="rId67" Type="http://schemas.openxmlformats.org/officeDocument/2006/relationships/hyperlink" Target="http://601808.ss" TargetMode="External"/><Relationship Id="rId60" Type="http://schemas.openxmlformats.org/officeDocument/2006/relationships/hyperlink" Target="http://300922.sz" TargetMode="External"/><Relationship Id="rId69" Type="http://schemas.openxmlformats.org/officeDocument/2006/relationships/hyperlink" Target="http://9698.hk" TargetMode="External"/><Relationship Id="rId51" Type="http://schemas.openxmlformats.org/officeDocument/2006/relationships/hyperlink" Target="http://3047.hk" TargetMode="External"/><Relationship Id="rId50" Type="http://schemas.openxmlformats.org/officeDocument/2006/relationships/hyperlink" Target="http://3047.hk" TargetMode="External"/><Relationship Id="rId53" Type="http://schemas.openxmlformats.org/officeDocument/2006/relationships/hyperlink" Target="http://0941.hk" TargetMode="External"/><Relationship Id="rId52" Type="http://schemas.openxmlformats.org/officeDocument/2006/relationships/hyperlink" Target="http://9988.hk" TargetMode="External"/><Relationship Id="rId55" Type="http://schemas.openxmlformats.org/officeDocument/2006/relationships/hyperlink" Target="http://000554.sz" TargetMode="External"/><Relationship Id="rId54" Type="http://schemas.openxmlformats.org/officeDocument/2006/relationships/hyperlink" Target="http://002665.sz" TargetMode="External"/><Relationship Id="rId57" Type="http://schemas.openxmlformats.org/officeDocument/2006/relationships/hyperlink" Target="http://601808.ss" TargetMode="External"/><Relationship Id="rId56" Type="http://schemas.openxmlformats.org/officeDocument/2006/relationships/hyperlink" Target="http://300945.sz" TargetMode="External"/><Relationship Id="rId59" Type="http://schemas.openxmlformats.org/officeDocument/2006/relationships/hyperlink" Target="http://300922.sz" TargetMode="External"/><Relationship Id="rId58" Type="http://schemas.openxmlformats.org/officeDocument/2006/relationships/hyperlink" Target="http://601808.ss" TargetMode="External"/><Relationship Id="rId107" Type="http://schemas.openxmlformats.org/officeDocument/2006/relationships/hyperlink" Target="http://0151.hk" TargetMode="External"/><Relationship Id="rId349" Type="http://schemas.openxmlformats.org/officeDocument/2006/relationships/hyperlink" Target="http://002864.sz" TargetMode="External"/><Relationship Id="rId106" Type="http://schemas.openxmlformats.org/officeDocument/2006/relationships/hyperlink" Target="http://0001.hk" TargetMode="External"/><Relationship Id="rId348" Type="http://schemas.openxmlformats.org/officeDocument/2006/relationships/hyperlink" Target="http://002864.sz" TargetMode="External"/><Relationship Id="rId105" Type="http://schemas.openxmlformats.org/officeDocument/2006/relationships/hyperlink" Target="http://0151.hk" TargetMode="External"/><Relationship Id="rId347" Type="http://schemas.openxmlformats.org/officeDocument/2006/relationships/hyperlink" Target="http://002864.sz" TargetMode="External"/><Relationship Id="rId104" Type="http://schemas.openxmlformats.org/officeDocument/2006/relationships/hyperlink" Target="http://0700.hk" TargetMode="External"/><Relationship Id="rId346" Type="http://schemas.openxmlformats.org/officeDocument/2006/relationships/hyperlink" Target="http://2007.hk" TargetMode="External"/><Relationship Id="rId109" Type="http://schemas.openxmlformats.org/officeDocument/2006/relationships/hyperlink" Target="http://000950.sz" TargetMode="External"/><Relationship Id="rId108" Type="http://schemas.openxmlformats.org/officeDocument/2006/relationships/hyperlink" Target="http://0001.hk" TargetMode="External"/><Relationship Id="rId341" Type="http://schemas.openxmlformats.org/officeDocument/2006/relationships/hyperlink" Target="http://0700.hk" TargetMode="External"/><Relationship Id="rId340" Type="http://schemas.openxmlformats.org/officeDocument/2006/relationships/hyperlink" Target="http://000999.sz" TargetMode="External"/><Relationship Id="rId103" Type="http://schemas.openxmlformats.org/officeDocument/2006/relationships/hyperlink" Target="http://603963.ss" TargetMode="External"/><Relationship Id="rId345" Type="http://schemas.openxmlformats.org/officeDocument/2006/relationships/hyperlink" Target="http://600745.ss" TargetMode="External"/><Relationship Id="rId102" Type="http://schemas.openxmlformats.org/officeDocument/2006/relationships/hyperlink" Target="http://0151.hk" TargetMode="External"/><Relationship Id="rId344" Type="http://schemas.openxmlformats.org/officeDocument/2006/relationships/hyperlink" Target="http://600745.ss" TargetMode="External"/><Relationship Id="rId101" Type="http://schemas.openxmlformats.org/officeDocument/2006/relationships/hyperlink" Target="http://0001.hk" TargetMode="External"/><Relationship Id="rId343" Type="http://schemas.openxmlformats.org/officeDocument/2006/relationships/hyperlink" Target="http://9999.hk" TargetMode="External"/><Relationship Id="rId100" Type="http://schemas.openxmlformats.org/officeDocument/2006/relationships/hyperlink" Target="http://9988.hk" TargetMode="External"/><Relationship Id="rId342" Type="http://schemas.openxmlformats.org/officeDocument/2006/relationships/hyperlink" Target="http://9988.hk" TargetMode="External"/><Relationship Id="rId338" Type="http://schemas.openxmlformats.org/officeDocument/2006/relationships/hyperlink" Target="http://002670.sz" TargetMode="External"/><Relationship Id="rId337" Type="http://schemas.openxmlformats.org/officeDocument/2006/relationships/hyperlink" Target="http://603392.ss" TargetMode="External"/><Relationship Id="rId336" Type="http://schemas.openxmlformats.org/officeDocument/2006/relationships/hyperlink" Target="http://000568.sz" TargetMode="External"/><Relationship Id="rId335" Type="http://schemas.openxmlformats.org/officeDocument/2006/relationships/hyperlink" Target="http://600745.ss" TargetMode="External"/><Relationship Id="rId339" Type="http://schemas.openxmlformats.org/officeDocument/2006/relationships/hyperlink" Target="http://600227.ss" TargetMode="External"/><Relationship Id="rId330" Type="http://schemas.openxmlformats.org/officeDocument/2006/relationships/hyperlink" Target="http://000568.sz" TargetMode="External"/><Relationship Id="rId334" Type="http://schemas.openxmlformats.org/officeDocument/2006/relationships/hyperlink" Target="http://600745.ss" TargetMode="External"/><Relationship Id="rId333" Type="http://schemas.openxmlformats.org/officeDocument/2006/relationships/hyperlink" Target="http://600519.ss" TargetMode="External"/><Relationship Id="rId332" Type="http://schemas.openxmlformats.org/officeDocument/2006/relationships/hyperlink" Target="http://002060.sz" TargetMode="External"/><Relationship Id="rId331" Type="http://schemas.openxmlformats.org/officeDocument/2006/relationships/hyperlink" Target="http://600056.ss" TargetMode="External"/><Relationship Id="rId370" Type="http://schemas.openxmlformats.org/officeDocument/2006/relationships/hyperlink" Target="http://603051.ss" TargetMode="External"/><Relationship Id="rId129" Type="http://schemas.openxmlformats.org/officeDocument/2006/relationships/hyperlink" Target="http://6680.hk" TargetMode="External"/><Relationship Id="rId128" Type="http://schemas.openxmlformats.org/officeDocument/2006/relationships/hyperlink" Target="http://9988.hk" TargetMode="External"/><Relationship Id="rId127" Type="http://schemas.openxmlformats.org/officeDocument/2006/relationships/hyperlink" Target="http://9988.hk" TargetMode="External"/><Relationship Id="rId369" Type="http://schemas.openxmlformats.org/officeDocument/2006/relationships/hyperlink" Target="http://9888.hk" TargetMode="External"/><Relationship Id="rId126" Type="http://schemas.openxmlformats.org/officeDocument/2006/relationships/hyperlink" Target="http://0700.hk" TargetMode="External"/><Relationship Id="rId368" Type="http://schemas.openxmlformats.org/officeDocument/2006/relationships/hyperlink" Target="http://9888.hk" TargetMode="External"/><Relationship Id="rId121" Type="http://schemas.openxmlformats.org/officeDocument/2006/relationships/hyperlink" Target="http://0700.hk" TargetMode="External"/><Relationship Id="rId363" Type="http://schemas.openxmlformats.org/officeDocument/2006/relationships/hyperlink" Target="http://0460.hk" TargetMode="External"/><Relationship Id="rId120" Type="http://schemas.openxmlformats.org/officeDocument/2006/relationships/hyperlink" Target="http://09988.hk" TargetMode="External"/><Relationship Id="rId362" Type="http://schemas.openxmlformats.org/officeDocument/2006/relationships/hyperlink" Target="http://0241.hk" TargetMode="External"/><Relationship Id="rId361" Type="http://schemas.openxmlformats.org/officeDocument/2006/relationships/hyperlink" Target="http://0386.hk" TargetMode="External"/><Relationship Id="rId360" Type="http://schemas.openxmlformats.org/officeDocument/2006/relationships/hyperlink" Target="http://0700.hk" TargetMode="External"/><Relationship Id="rId125" Type="http://schemas.openxmlformats.org/officeDocument/2006/relationships/hyperlink" Target="http://1772.hk" TargetMode="External"/><Relationship Id="rId367" Type="http://schemas.openxmlformats.org/officeDocument/2006/relationships/hyperlink" Target="http://000545.sz" TargetMode="External"/><Relationship Id="rId124" Type="http://schemas.openxmlformats.org/officeDocument/2006/relationships/hyperlink" Target="http://0151.hk" TargetMode="External"/><Relationship Id="rId366" Type="http://schemas.openxmlformats.org/officeDocument/2006/relationships/hyperlink" Target="http://baba.us" TargetMode="External"/><Relationship Id="rId123" Type="http://schemas.openxmlformats.org/officeDocument/2006/relationships/hyperlink" Target="http://9988.hk" TargetMode="External"/><Relationship Id="rId365" Type="http://schemas.openxmlformats.org/officeDocument/2006/relationships/hyperlink" Target="http://002657.sz" TargetMode="External"/><Relationship Id="rId122" Type="http://schemas.openxmlformats.org/officeDocument/2006/relationships/hyperlink" Target="http://3047.hk" TargetMode="External"/><Relationship Id="rId364" Type="http://schemas.openxmlformats.org/officeDocument/2006/relationships/hyperlink" Target="http://002864.sz" TargetMode="External"/><Relationship Id="rId95" Type="http://schemas.openxmlformats.org/officeDocument/2006/relationships/hyperlink" Target="http://3800.hk" TargetMode="External"/><Relationship Id="rId94" Type="http://schemas.openxmlformats.org/officeDocument/2006/relationships/hyperlink" Target="http://1810.hk" TargetMode="External"/><Relationship Id="rId97" Type="http://schemas.openxmlformats.org/officeDocument/2006/relationships/hyperlink" Target="http://1024.hk" TargetMode="External"/><Relationship Id="rId96" Type="http://schemas.openxmlformats.org/officeDocument/2006/relationships/hyperlink" Target="http://9988.hk" TargetMode="External"/><Relationship Id="rId99" Type="http://schemas.openxmlformats.org/officeDocument/2006/relationships/hyperlink" Target="http://0700.hk" TargetMode="External"/><Relationship Id="rId98" Type="http://schemas.openxmlformats.org/officeDocument/2006/relationships/hyperlink" Target="http://1810.hk" TargetMode="External"/><Relationship Id="rId91" Type="http://schemas.openxmlformats.org/officeDocument/2006/relationships/hyperlink" Target="http://3800.hk" TargetMode="External"/><Relationship Id="rId90" Type="http://schemas.openxmlformats.org/officeDocument/2006/relationships/hyperlink" Target="http://2800.hk" TargetMode="External"/><Relationship Id="rId93" Type="http://schemas.openxmlformats.org/officeDocument/2006/relationships/hyperlink" Target="http://3800.hk" TargetMode="External"/><Relationship Id="rId92" Type="http://schemas.openxmlformats.org/officeDocument/2006/relationships/hyperlink" Target="http://1208.hk" TargetMode="External"/><Relationship Id="rId118" Type="http://schemas.openxmlformats.org/officeDocument/2006/relationships/hyperlink" Target="http://603963.ss" TargetMode="External"/><Relationship Id="rId117" Type="http://schemas.openxmlformats.org/officeDocument/2006/relationships/hyperlink" Target="http://2800.hk" TargetMode="External"/><Relationship Id="rId359" Type="http://schemas.openxmlformats.org/officeDocument/2006/relationships/hyperlink" Target="http://603051.ss" TargetMode="External"/><Relationship Id="rId116" Type="http://schemas.openxmlformats.org/officeDocument/2006/relationships/hyperlink" Target="http://3690.hk" TargetMode="External"/><Relationship Id="rId358" Type="http://schemas.openxmlformats.org/officeDocument/2006/relationships/hyperlink" Target="http://3690.hk" TargetMode="External"/><Relationship Id="rId115" Type="http://schemas.openxmlformats.org/officeDocument/2006/relationships/hyperlink" Target="http://0700.hk" TargetMode="External"/><Relationship Id="rId357" Type="http://schemas.openxmlformats.org/officeDocument/2006/relationships/hyperlink" Target="http://300917.sz" TargetMode="External"/><Relationship Id="rId119" Type="http://schemas.openxmlformats.org/officeDocument/2006/relationships/hyperlink" Target="http://00700.hk" TargetMode="External"/><Relationship Id="rId110" Type="http://schemas.openxmlformats.org/officeDocument/2006/relationships/hyperlink" Target="http://600661.ss" TargetMode="External"/><Relationship Id="rId352" Type="http://schemas.openxmlformats.org/officeDocument/2006/relationships/hyperlink" Target="http://000665.sz" TargetMode="External"/><Relationship Id="rId351" Type="http://schemas.openxmlformats.org/officeDocument/2006/relationships/hyperlink" Target="http://2800.hk" TargetMode="External"/><Relationship Id="rId350" Type="http://schemas.openxmlformats.org/officeDocument/2006/relationships/hyperlink" Target="http://002657.sz" TargetMode="External"/><Relationship Id="rId114" Type="http://schemas.openxmlformats.org/officeDocument/2006/relationships/hyperlink" Target="http://3690.hk" TargetMode="External"/><Relationship Id="rId356" Type="http://schemas.openxmlformats.org/officeDocument/2006/relationships/hyperlink" Target="http://002670.sz" TargetMode="External"/><Relationship Id="rId113" Type="http://schemas.openxmlformats.org/officeDocument/2006/relationships/hyperlink" Target="http://1810.hk" TargetMode="External"/><Relationship Id="rId355" Type="http://schemas.openxmlformats.org/officeDocument/2006/relationships/hyperlink" Target="http://000545.sz" TargetMode="External"/><Relationship Id="rId112" Type="http://schemas.openxmlformats.org/officeDocument/2006/relationships/hyperlink" Target="http://1024.hk" TargetMode="External"/><Relationship Id="rId354" Type="http://schemas.openxmlformats.org/officeDocument/2006/relationships/hyperlink" Target="http://000568.sz" TargetMode="External"/><Relationship Id="rId111" Type="http://schemas.openxmlformats.org/officeDocument/2006/relationships/hyperlink" Target="http://9988.hk" TargetMode="External"/><Relationship Id="rId353" Type="http://schemas.openxmlformats.org/officeDocument/2006/relationships/hyperlink" Target="http://603261.ss" TargetMode="External"/><Relationship Id="rId305" Type="http://schemas.openxmlformats.org/officeDocument/2006/relationships/hyperlink" Target="http://0708.hk" TargetMode="External"/><Relationship Id="rId304" Type="http://schemas.openxmlformats.org/officeDocument/2006/relationships/hyperlink" Target="http://0700.hk" TargetMode="External"/><Relationship Id="rId303" Type="http://schemas.openxmlformats.org/officeDocument/2006/relationships/hyperlink" Target="http://0708.hk" TargetMode="External"/><Relationship Id="rId302" Type="http://schemas.openxmlformats.org/officeDocument/2006/relationships/hyperlink" Target="http://0700.hk" TargetMode="External"/><Relationship Id="rId544" Type="http://schemas.openxmlformats.org/officeDocument/2006/relationships/drawing" Target="../drawings/drawing5.xml"/><Relationship Id="rId309" Type="http://schemas.openxmlformats.org/officeDocument/2006/relationships/hyperlink" Target="http://1919.hk" TargetMode="External"/><Relationship Id="rId308" Type="http://schemas.openxmlformats.org/officeDocument/2006/relationships/hyperlink" Target="http://0700.hk" TargetMode="External"/><Relationship Id="rId307" Type="http://schemas.openxmlformats.org/officeDocument/2006/relationships/hyperlink" Target="http://9988.hk" TargetMode="External"/><Relationship Id="rId306" Type="http://schemas.openxmlformats.org/officeDocument/2006/relationships/hyperlink" Target="http://0700.hk" TargetMode="External"/><Relationship Id="rId301" Type="http://schemas.openxmlformats.org/officeDocument/2006/relationships/hyperlink" Target="http://600519.ss" TargetMode="External"/><Relationship Id="rId543" Type="http://schemas.openxmlformats.org/officeDocument/2006/relationships/hyperlink" Target="http://600519.ss" TargetMode="External"/><Relationship Id="rId300" Type="http://schemas.openxmlformats.org/officeDocument/2006/relationships/hyperlink" Target="http://1398.hk" TargetMode="External"/><Relationship Id="rId542" Type="http://schemas.openxmlformats.org/officeDocument/2006/relationships/hyperlink" Target="http://0700.hk" TargetMode="External"/><Relationship Id="rId541" Type="http://schemas.openxmlformats.org/officeDocument/2006/relationships/hyperlink" Target="http://0981.hk" TargetMode="External"/><Relationship Id="rId540" Type="http://schemas.openxmlformats.org/officeDocument/2006/relationships/hyperlink" Target="http://6098.hk" TargetMode="External"/><Relationship Id="rId536" Type="http://schemas.openxmlformats.org/officeDocument/2006/relationships/hyperlink" Target="http://9988.hk" TargetMode="External"/><Relationship Id="rId535" Type="http://schemas.openxmlformats.org/officeDocument/2006/relationships/hyperlink" Target="http://6185.hk" TargetMode="External"/><Relationship Id="rId534" Type="http://schemas.openxmlformats.org/officeDocument/2006/relationships/hyperlink" Target="http://0070.hk" TargetMode="External"/><Relationship Id="rId533" Type="http://schemas.openxmlformats.org/officeDocument/2006/relationships/hyperlink" Target="http://0883.hk" TargetMode="External"/><Relationship Id="rId539" Type="http://schemas.openxmlformats.org/officeDocument/2006/relationships/hyperlink" Target="http://1898.hk" TargetMode="External"/><Relationship Id="rId538" Type="http://schemas.openxmlformats.org/officeDocument/2006/relationships/hyperlink" Target="http://0941.hk" TargetMode="External"/><Relationship Id="rId537" Type="http://schemas.openxmlformats.org/officeDocument/2006/relationships/hyperlink" Target="http://0700.hk" TargetMode="External"/><Relationship Id="rId532" Type="http://schemas.openxmlformats.org/officeDocument/2006/relationships/hyperlink" Target="http://000927.sz" TargetMode="External"/><Relationship Id="rId531" Type="http://schemas.openxmlformats.org/officeDocument/2006/relationships/hyperlink" Target="http://000927.sz" TargetMode="External"/><Relationship Id="rId530" Type="http://schemas.openxmlformats.org/officeDocument/2006/relationships/hyperlink" Target="http://300750.sz" TargetMode="External"/><Relationship Id="rId327" Type="http://schemas.openxmlformats.org/officeDocument/2006/relationships/hyperlink" Target="http://000505.sz" TargetMode="External"/><Relationship Id="rId326" Type="http://schemas.openxmlformats.org/officeDocument/2006/relationships/hyperlink" Target="http://6680.hk" TargetMode="External"/><Relationship Id="rId325" Type="http://schemas.openxmlformats.org/officeDocument/2006/relationships/hyperlink" Target="http://002657.sz" TargetMode="External"/><Relationship Id="rId324" Type="http://schemas.openxmlformats.org/officeDocument/2006/relationships/hyperlink" Target="http://002657.sz" TargetMode="External"/><Relationship Id="rId329" Type="http://schemas.openxmlformats.org/officeDocument/2006/relationships/hyperlink" Target="http://000665.sz" TargetMode="External"/><Relationship Id="rId328" Type="http://schemas.openxmlformats.org/officeDocument/2006/relationships/hyperlink" Target="http://2607.hk" TargetMode="External"/><Relationship Id="rId323" Type="http://schemas.openxmlformats.org/officeDocument/2006/relationships/hyperlink" Target="http://2328.hk" TargetMode="External"/><Relationship Id="rId322" Type="http://schemas.openxmlformats.org/officeDocument/2006/relationships/hyperlink" Target="http://002864.sz" TargetMode="External"/><Relationship Id="rId321" Type="http://schemas.openxmlformats.org/officeDocument/2006/relationships/hyperlink" Target="http://002864.sz" TargetMode="External"/><Relationship Id="rId320" Type="http://schemas.openxmlformats.org/officeDocument/2006/relationships/hyperlink" Target="http://002864.sz" TargetMode="External"/><Relationship Id="rId316" Type="http://schemas.openxmlformats.org/officeDocument/2006/relationships/hyperlink" Target="http://0700.hk" TargetMode="External"/><Relationship Id="rId315" Type="http://schemas.openxmlformats.org/officeDocument/2006/relationships/hyperlink" Target="http://002657.sz/" TargetMode="External"/><Relationship Id="rId314" Type="http://schemas.openxmlformats.org/officeDocument/2006/relationships/hyperlink" Target="http://002657.sz" TargetMode="External"/><Relationship Id="rId313" Type="http://schemas.openxmlformats.org/officeDocument/2006/relationships/hyperlink" Target="http://0006.hk" TargetMode="External"/><Relationship Id="rId319" Type="http://schemas.openxmlformats.org/officeDocument/2006/relationships/hyperlink" Target="http://002657.sz" TargetMode="External"/><Relationship Id="rId318" Type="http://schemas.openxmlformats.org/officeDocument/2006/relationships/hyperlink" Target="http://002657.sz" TargetMode="External"/><Relationship Id="rId317" Type="http://schemas.openxmlformats.org/officeDocument/2006/relationships/hyperlink" Target="http://2318.hk" TargetMode="External"/><Relationship Id="rId312" Type="http://schemas.openxmlformats.org/officeDocument/2006/relationships/hyperlink" Target="http://0700.hk" TargetMode="External"/><Relationship Id="rId311" Type="http://schemas.openxmlformats.org/officeDocument/2006/relationships/hyperlink" Target="http://3690.hk" TargetMode="External"/><Relationship Id="rId310" Type="http://schemas.openxmlformats.org/officeDocument/2006/relationships/hyperlink" Target="http://600745.ss" TargetMode="External"/><Relationship Id="rId297" Type="http://schemas.openxmlformats.org/officeDocument/2006/relationships/hyperlink" Target="http://2607.hk" TargetMode="External"/><Relationship Id="rId296" Type="http://schemas.openxmlformats.org/officeDocument/2006/relationships/hyperlink" Target="http://0288.hk" TargetMode="External"/><Relationship Id="rId295" Type="http://schemas.openxmlformats.org/officeDocument/2006/relationships/hyperlink" Target="http://0700.hk" TargetMode="External"/><Relationship Id="rId294" Type="http://schemas.openxmlformats.org/officeDocument/2006/relationships/hyperlink" Target="http://0700.hk" TargetMode="External"/><Relationship Id="rId299" Type="http://schemas.openxmlformats.org/officeDocument/2006/relationships/hyperlink" Target="http://2328.hk" TargetMode="External"/><Relationship Id="rId298" Type="http://schemas.openxmlformats.org/officeDocument/2006/relationships/hyperlink" Target="http://002864.sz" TargetMode="External"/><Relationship Id="rId271" Type="http://schemas.openxmlformats.org/officeDocument/2006/relationships/hyperlink" Target="http://9988.hk" TargetMode="External"/><Relationship Id="rId270" Type="http://schemas.openxmlformats.org/officeDocument/2006/relationships/hyperlink" Target="http://0853.hk" TargetMode="External"/><Relationship Id="rId269" Type="http://schemas.openxmlformats.org/officeDocument/2006/relationships/hyperlink" Target="http://0708.hk" TargetMode="External"/><Relationship Id="rId264" Type="http://schemas.openxmlformats.org/officeDocument/2006/relationships/hyperlink" Target="http://0700.hk" TargetMode="External"/><Relationship Id="rId263" Type="http://schemas.openxmlformats.org/officeDocument/2006/relationships/hyperlink" Target="http://603261.ss" TargetMode="External"/><Relationship Id="rId262" Type="http://schemas.openxmlformats.org/officeDocument/2006/relationships/hyperlink" Target="http://603261.sh" TargetMode="External"/><Relationship Id="rId261" Type="http://schemas.openxmlformats.org/officeDocument/2006/relationships/hyperlink" Target="http://0968.hk" TargetMode="External"/><Relationship Id="rId268" Type="http://schemas.openxmlformats.org/officeDocument/2006/relationships/hyperlink" Target="http://0708.hk" TargetMode="External"/><Relationship Id="rId267" Type="http://schemas.openxmlformats.org/officeDocument/2006/relationships/hyperlink" Target="http://0853.hk" TargetMode="External"/><Relationship Id="rId266" Type="http://schemas.openxmlformats.org/officeDocument/2006/relationships/hyperlink" Target="http://0346.hk" TargetMode="External"/><Relationship Id="rId265" Type="http://schemas.openxmlformats.org/officeDocument/2006/relationships/hyperlink" Target="http://3690.hk" TargetMode="External"/><Relationship Id="rId260" Type="http://schemas.openxmlformats.org/officeDocument/2006/relationships/hyperlink" Target="http://1211.hk" TargetMode="External"/><Relationship Id="rId259" Type="http://schemas.openxmlformats.org/officeDocument/2006/relationships/hyperlink" Target="http://600519.ss" TargetMode="External"/><Relationship Id="rId258" Type="http://schemas.openxmlformats.org/officeDocument/2006/relationships/hyperlink" Target="http://3261.sh" TargetMode="External"/><Relationship Id="rId253" Type="http://schemas.openxmlformats.org/officeDocument/2006/relationships/hyperlink" Target="http://bksc.us" TargetMode="External"/><Relationship Id="rId495" Type="http://schemas.openxmlformats.org/officeDocument/2006/relationships/hyperlink" Target="http://2319.hk" TargetMode="External"/><Relationship Id="rId252" Type="http://schemas.openxmlformats.org/officeDocument/2006/relationships/hyperlink" Target="http://atax.us" TargetMode="External"/><Relationship Id="rId494" Type="http://schemas.openxmlformats.org/officeDocument/2006/relationships/hyperlink" Target="http://9988.hk" TargetMode="External"/><Relationship Id="rId251" Type="http://schemas.openxmlformats.org/officeDocument/2006/relationships/hyperlink" Target="http://arow.us" TargetMode="External"/><Relationship Id="rId493" Type="http://schemas.openxmlformats.org/officeDocument/2006/relationships/hyperlink" Target="http://7552.hk" TargetMode="External"/><Relationship Id="rId250" Type="http://schemas.openxmlformats.org/officeDocument/2006/relationships/hyperlink" Target="http://600519.sh" TargetMode="External"/><Relationship Id="rId492" Type="http://schemas.openxmlformats.org/officeDocument/2006/relationships/hyperlink" Target="http://6928.hk" TargetMode="External"/><Relationship Id="rId257" Type="http://schemas.openxmlformats.org/officeDocument/2006/relationships/hyperlink" Target="http://0059.sz" TargetMode="External"/><Relationship Id="rId499" Type="http://schemas.openxmlformats.org/officeDocument/2006/relationships/hyperlink" Target="http://605089.ss" TargetMode="External"/><Relationship Id="rId256" Type="http://schemas.openxmlformats.org/officeDocument/2006/relationships/hyperlink" Target="http://9988.hk" TargetMode="External"/><Relationship Id="rId498" Type="http://schemas.openxmlformats.org/officeDocument/2006/relationships/hyperlink" Target="http://000568.sz" TargetMode="External"/><Relationship Id="rId255" Type="http://schemas.openxmlformats.org/officeDocument/2006/relationships/hyperlink" Target="http://0700.hk" TargetMode="External"/><Relationship Id="rId497" Type="http://schemas.openxmlformats.org/officeDocument/2006/relationships/hyperlink" Target="http://0570.hk" TargetMode="External"/><Relationship Id="rId254" Type="http://schemas.openxmlformats.org/officeDocument/2006/relationships/hyperlink" Target="http://01211.hk" TargetMode="External"/><Relationship Id="rId496" Type="http://schemas.openxmlformats.org/officeDocument/2006/relationships/hyperlink" Target="http://600519.ss" TargetMode="External"/><Relationship Id="rId293" Type="http://schemas.openxmlformats.org/officeDocument/2006/relationships/hyperlink" Target="http://0700.hk" TargetMode="External"/><Relationship Id="rId292" Type="http://schemas.openxmlformats.org/officeDocument/2006/relationships/hyperlink" Target="http://002104.sz" TargetMode="External"/><Relationship Id="rId291" Type="http://schemas.openxmlformats.org/officeDocument/2006/relationships/hyperlink" Target="http://600511.ss" TargetMode="External"/><Relationship Id="rId290" Type="http://schemas.openxmlformats.org/officeDocument/2006/relationships/hyperlink" Target="http://000505.sz" TargetMode="External"/><Relationship Id="rId286" Type="http://schemas.openxmlformats.org/officeDocument/2006/relationships/hyperlink" Target="http://601658.ss" TargetMode="External"/><Relationship Id="rId285" Type="http://schemas.openxmlformats.org/officeDocument/2006/relationships/hyperlink" Target="http://600036.ss" TargetMode="External"/><Relationship Id="rId284" Type="http://schemas.openxmlformats.org/officeDocument/2006/relationships/hyperlink" Target="http://601939.ss" TargetMode="External"/><Relationship Id="rId283" Type="http://schemas.openxmlformats.org/officeDocument/2006/relationships/hyperlink" Target="http://601398.ss" TargetMode="External"/><Relationship Id="rId289" Type="http://schemas.openxmlformats.org/officeDocument/2006/relationships/hyperlink" Target="http://000965.sz" TargetMode="External"/><Relationship Id="rId288" Type="http://schemas.openxmlformats.org/officeDocument/2006/relationships/hyperlink" Target="http://603392.ss" TargetMode="External"/><Relationship Id="rId287" Type="http://schemas.openxmlformats.org/officeDocument/2006/relationships/hyperlink" Target="http://00700.hk" TargetMode="External"/><Relationship Id="rId282" Type="http://schemas.openxmlformats.org/officeDocument/2006/relationships/hyperlink" Target="http://0941.hk" TargetMode="External"/><Relationship Id="rId281" Type="http://schemas.openxmlformats.org/officeDocument/2006/relationships/hyperlink" Target="http://6862.hk" TargetMode="External"/><Relationship Id="rId280" Type="http://schemas.openxmlformats.org/officeDocument/2006/relationships/hyperlink" Target="http://000965.sz" TargetMode="External"/><Relationship Id="rId275" Type="http://schemas.openxmlformats.org/officeDocument/2006/relationships/hyperlink" Target="http://1810.hk" TargetMode="External"/><Relationship Id="rId274" Type="http://schemas.openxmlformats.org/officeDocument/2006/relationships/hyperlink" Target="http://2800.hk" TargetMode="External"/><Relationship Id="rId273" Type="http://schemas.openxmlformats.org/officeDocument/2006/relationships/hyperlink" Target="http://2800.hk" TargetMode="External"/><Relationship Id="rId272" Type="http://schemas.openxmlformats.org/officeDocument/2006/relationships/hyperlink" Target="http://0700.hk" TargetMode="External"/><Relationship Id="rId279" Type="http://schemas.openxmlformats.org/officeDocument/2006/relationships/hyperlink" Target="http://0700.hk" TargetMode="External"/><Relationship Id="rId278" Type="http://schemas.openxmlformats.org/officeDocument/2006/relationships/hyperlink" Target="http://9868.hk" TargetMode="External"/><Relationship Id="rId277" Type="http://schemas.openxmlformats.org/officeDocument/2006/relationships/hyperlink" Target="http://0700.hk" TargetMode="External"/><Relationship Id="rId276" Type="http://schemas.openxmlformats.org/officeDocument/2006/relationships/hyperlink" Target="http://6862.hk" TargetMode="External"/><Relationship Id="rId409" Type="http://schemas.openxmlformats.org/officeDocument/2006/relationships/hyperlink" Target="http://600511.ss" TargetMode="External"/><Relationship Id="rId404" Type="http://schemas.openxmlformats.org/officeDocument/2006/relationships/hyperlink" Target="http://0817.hk" TargetMode="External"/><Relationship Id="rId403" Type="http://schemas.openxmlformats.org/officeDocument/2006/relationships/hyperlink" Target="http://9999.hk" TargetMode="External"/><Relationship Id="rId402" Type="http://schemas.openxmlformats.org/officeDocument/2006/relationships/hyperlink" Target="http://603051.ss" TargetMode="External"/><Relationship Id="rId401" Type="http://schemas.openxmlformats.org/officeDocument/2006/relationships/hyperlink" Target="http://9999.hk" TargetMode="External"/><Relationship Id="rId408" Type="http://schemas.openxmlformats.org/officeDocument/2006/relationships/hyperlink" Target="http://2333.hk" TargetMode="External"/><Relationship Id="rId407" Type="http://schemas.openxmlformats.org/officeDocument/2006/relationships/hyperlink" Target="http://603392.ss" TargetMode="External"/><Relationship Id="rId406" Type="http://schemas.openxmlformats.org/officeDocument/2006/relationships/hyperlink" Target="http://3380.hk" TargetMode="External"/><Relationship Id="rId405" Type="http://schemas.openxmlformats.org/officeDocument/2006/relationships/hyperlink" Target="http://1638.hk" TargetMode="External"/><Relationship Id="rId400" Type="http://schemas.openxmlformats.org/officeDocument/2006/relationships/hyperlink" Target="http://600519.ss" TargetMode="External"/><Relationship Id="rId228" Type="http://schemas.openxmlformats.org/officeDocument/2006/relationships/hyperlink" Target="http://0700.hk" TargetMode="External"/><Relationship Id="rId227" Type="http://schemas.openxmlformats.org/officeDocument/2006/relationships/hyperlink" Target="http://2222.sr" TargetMode="External"/><Relationship Id="rId469" Type="http://schemas.openxmlformats.org/officeDocument/2006/relationships/hyperlink" Target="http://9939.hk" TargetMode="External"/><Relationship Id="rId226" Type="http://schemas.openxmlformats.org/officeDocument/2006/relationships/hyperlink" Target="http://9868.hk" TargetMode="External"/><Relationship Id="rId468" Type="http://schemas.openxmlformats.org/officeDocument/2006/relationships/hyperlink" Target="http://9858.hk" TargetMode="External"/><Relationship Id="rId225" Type="http://schemas.openxmlformats.org/officeDocument/2006/relationships/hyperlink" Target="http://0700.hk" TargetMode="External"/><Relationship Id="rId467" Type="http://schemas.openxmlformats.org/officeDocument/2006/relationships/hyperlink" Target="http://3800.hk" TargetMode="External"/><Relationship Id="rId229" Type="http://schemas.openxmlformats.org/officeDocument/2006/relationships/hyperlink" Target="http://1810.hk" TargetMode="External"/><Relationship Id="rId220" Type="http://schemas.openxmlformats.org/officeDocument/2006/relationships/hyperlink" Target="http://2222.sr" TargetMode="External"/><Relationship Id="rId462" Type="http://schemas.openxmlformats.org/officeDocument/2006/relationships/hyperlink" Target="http://9988.hk" TargetMode="External"/><Relationship Id="rId461" Type="http://schemas.openxmlformats.org/officeDocument/2006/relationships/hyperlink" Target="http://0001.hk" TargetMode="External"/><Relationship Id="rId460" Type="http://schemas.openxmlformats.org/officeDocument/2006/relationships/hyperlink" Target="http://0928.hk" TargetMode="External"/><Relationship Id="rId224" Type="http://schemas.openxmlformats.org/officeDocument/2006/relationships/hyperlink" Target="http://9988.hk" TargetMode="External"/><Relationship Id="rId466" Type="http://schemas.openxmlformats.org/officeDocument/2006/relationships/hyperlink" Target="http://0503.hk" TargetMode="External"/><Relationship Id="rId223" Type="http://schemas.openxmlformats.org/officeDocument/2006/relationships/hyperlink" Target="http://0700.hk" TargetMode="External"/><Relationship Id="rId465" Type="http://schemas.openxmlformats.org/officeDocument/2006/relationships/hyperlink" Target="http://600519.ss" TargetMode="External"/><Relationship Id="rId222" Type="http://schemas.openxmlformats.org/officeDocument/2006/relationships/hyperlink" Target="http://0700.hk" TargetMode="External"/><Relationship Id="rId464" Type="http://schemas.openxmlformats.org/officeDocument/2006/relationships/hyperlink" Target="http://002205.sz" TargetMode="External"/><Relationship Id="rId221" Type="http://schemas.openxmlformats.org/officeDocument/2006/relationships/hyperlink" Target="http://9988.hk" TargetMode="External"/><Relationship Id="rId463" Type="http://schemas.openxmlformats.org/officeDocument/2006/relationships/hyperlink" Target="http://0836.hk" TargetMode="External"/><Relationship Id="rId217" Type="http://schemas.openxmlformats.org/officeDocument/2006/relationships/hyperlink" Target="http://2607.hk" TargetMode="External"/><Relationship Id="rId459" Type="http://schemas.openxmlformats.org/officeDocument/2006/relationships/hyperlink" Target="http://600519.ss" TargetMode="External"/><Relationship Id="rId216" Type="http://schemas.openxmlformats.org/officeDocument/2006/relationships/hyperlink" Target="http://0346.hk" TargetMode="External"/><Relationship Id="rId458" Type="http://schemas.openxmlformats.org/officeDocument/2006/relationships/hyperlink" Target="http://2217.hk" TargetMode="External"/><Relationship Id="rId215" Type="http://schemas.openxmlformats.org/officeDocument/2006/relationships/hyperlink" Target="http://9988.hk" TargetMode="External"/><Relationship Id="rId457" Type="http://schemas.openxmlformats.org/officeDocument/2006/relationships/hyperlink" Target="http://0708.hk" TargetMode="External"/><Relationship Id="rId214" Type="http://schemas.openxmlformats.org/officeDocument/2006/relationships/hyperlink" Target="http://02607.hk" TargetMode="External"/><Relationship Id="rId456" Type="http://schemas.openxmlformats.org/officeDocument/2006/relationships/hyperlink" Target="http://002104.sz/" TargetMode="External"/><Relationship Id="rId219" Type="http://schemas.openxmlformats.org/officeDocument/2006/relationships/hyperlink" Target="http://2318.hk" TargetMode="External"/><Relationship Id="rId218" Type="http://schemas.openxmlformats.org/officeDocument/2006/relationships/hyperlink" Target="http://000568.sz" TargetMode="External"/><Relationship Id="rId451" Type="http://schemas.openxmlformats.org/officeDocument/2006/relationships/hyperlink" Target="http://9939.hk" TargetMode="External"/><Relationship Id="rId450" Type="http://schemas.openxmlformats.org/officeDocument/2006/relationships/hyperlink" Target="http://0510.hk" TargetMode="External"/><Relationship Id="rId213" Type="http://schemas.openxmlformats.org/officeDocument/2006/relationships/hyperlink" Target="http://0700.hk" TargetMode="External"/><Relationship Id="rId455" Type="http://schemas.openxmlformats.org/officeDocument/2006/relationships/hyperlink" Target="http://6185.hk" TargetMode="External"/><Relationship Id="rId212" Type="http://schemas.openxmlformats.org/officeDocument/2006/relationships/hyperlink" Target="http://00386.hk" TargetMode="External"/><Relationship Id="rId454" Type="http://schemas.openxmlformats.org/officeDocument/2006/relationships/hyperlink" Target="http://0700.hk" TargetMode="External"/><Relationship Id="rId211" Type="http://schemas.openxmlformats.org/officeDocument/2006/relationships/hyperlink" Target="http://600519.ss" TargetMode="External"/><Relationship Id="rId453" Type="http://schemas.openxmlformats.org/officeDocument/2006/relationships/hyperlink" Target="http://9939.hk" TargetMode="External"/><Relationship Id="rId210" Type="http://schemas.openxmlformats.org/officeDocument/2006/relationships/hyperlink" Target="http://600519.ss" TargetMode="External"/><Relationship Id="rId452" Type="http://schemas.openxmlformats.org/officeDocument/2006/relationships/hyperlink" Target="http://002205.sz" TargetMode="External"/><Relationship Id="rId491" Type="http://schemas.openxmlformats.org/officeDocument/2006/relationships/hyperlink" Target="http://3690.hk" TargetMode="External"/><Relationship Id="rId490" Type="http://schemas.openxmlformats.org/officeDocument/2006/relationships/hyperlink" Target="http://3800.hk" TargetMode="External"/><Relationship Id="rId249" Type="http://schemas.openxmlformats.org/officeDocument/2006/relationships/hyperlink" Target="http://9988.hk" TargetMode="External"/><Relationship Id="rId248" Type="http://schemas.openxmlformats.org/officeDocument/2006/relationships/hyperlink" Target="http://3315.hk" TargetMode="External"/><Relationship Id="rId247" Type="http://schemas.openxmlformats.org/officeDocument/2006/relationships/hyperlink" Target="http://9988.hk" TargetMode="External"/><Relationship Id="rId489" Type="http://schemas.openxmlformats.org/officeDocument/2006/relationships/hyperlink" Target="http://000950.sz" TargetMode="External"/><Relationship Id="rId242" Type="http://schemas.openxmlformats.org/officeDocument/2006/relationships/hyperlink" Target="http://1810.hk" TargetMode="External"/><Relationship Id="rId484" Type="http://schemas.openxmlformats.org/officeDocument/2006/relationships/hyperlink" Target="http://0883.hk" TargetMode="External"/><Relationship Id="rId241" Type="http://schemas.openxmlformats.org/officeDocument/2006/relationships/hyperlink" Target="http://0700.hk" TargetMode="External"/><Relationship Id="rId483" Type="http://schemas.openxmlformats.org/officeDocument/2006/relationships/hyperlink" Target="http://3690.hk" TargetMode="External"/><Relationship Id="rId240" Type="http://schemas.openxmlformats.org/officeDocument/2006/relationships/hyperlink" Target="http://9988.hk" TargetMode="External"/><Relationship Id="rId482" Type="http://schemas.openxmlformats.org/officeDocument/2006/relationships/hyperlink" Target="http://6108.hk" TargetMode="External"/><Relationship Id="rId481" Type="http://schemas.openxmlformats.org/officeDocument/2006/relationships/hyperlink" Target="http://4338.hk" TargetMode="External"/><Relationship Id="rId246" Type="http://schemas.openxmlformats.org/officeDocument/2006/relationships/hyperlink" Target="http://1024.hk" TargetMode="External"/><Relationship Id="rId488" Type="http://schemas.openxmlformats.org/officeDocument/2006/relationships/hyperlink" Target="http://003040.sz" TargetMode="External"/><Relationship Id="rId245" Type="http://schemas.openxmlformats.org/officeDocument/2006/relationships/hyperlink" Target="http://1024.hk" TargetMode="External"/><Relationship Id="rId487" Type="http://schemas.openxmlformats.org/officeDocument/2006/relationships/hyperlink" Target="http://002307.sz" TargetMode="External"/><Relationship Id="rId244" Type="http://schemas.openxmlformats.org/officeDocument/2006/relationships/hyperlink" Target="http://6049.hk" TargetMode="External"/><Relationship Id="rId486" Type="http://schemas.openxmlformats.org/officeDocument/2006/relationships/hyperlink" Target="http://600724.ss" TargetMode="External"/><Relationship Id="rId243" Type="http://schemas.openxmlformats.org/officeDocument/2006/relationships/hyperlink" Target="http://1299.hk" TargetMode="External"/><Relationship Id="rId485" Type="http://schemas.openxmlformats.org/officeDocument/2006/relationships/hyperlink" Target="http://002307.sz" TargetMode="External"/><Relationship Id="rId480" Type="http://schemas.openxmlformats.org/officeDocument/2006/relationships/hyperlink" Target="http://6108.hk" TargetMode="External"/><Relationship Id="rId239" Type="http://schemas.openxmlformats.org/officeDocument/2006/relationships/hyperlink" Target="http://0700.hk" TargetMode="External"/><Relationship Id="rId238" Type="http://schemas.openxmlformats.org/officeDocument/2006/relationships/hyperlink" Target="http://9988.hk" TargetMode="External"/><Relationship Id="rId237" Type="http://schemas.openxmlformats.org/officeDocument/2006/relationships/hyperlink" Target="http://2800.hk" TargetMode="External"/><Relationship Id="rId479" Type="http://schemas.openxmlformats.org/officeDocument/2006/relationships/hyperlink" Target="http://9939.hk" TargetMode="External"/><Relationship Id="rId236" Type="http://schemas.openxmlformats.org/officeDocument/2006/relationships/hyperlink" Target="http://0700.hk" TargetMode="External"/><Relationship Id="rId478" Type="http://schemas.openxmlformats.org/officeDocument/2006/relationships/hyperlink" Target="http://0883.hk" TargetMode="External"/><Relationship Id="rId231" Type="http://schemas.openxmlformats.org/officeDocument/2006/relationships/hyperlink" Target="http://0700.hk" TargetMode="External"/><Relationship Id="rId473" Type="http://schemas.openxmlformats.org/officeDocument/2006/relationships/hyperlink" Target="http://2196.hk" TargetMode="External"/><Relationship Id="rId230" Type="http://schemas.openxmlformats.org/officeDocument/2006/relationships/hyperlink" Target="http://600519.ss" TargetMode="External"/><Relationship Id="rId472" Type="http://schemas.openxmlformats.org/officeDocument/2006/relationships/hyperlink" Target="http://9858.hk" TargetMode="External"/><Relationship Id="rId471" Type="http://schemas.openxmlformats.org/officeDocument/2006/relationships/hyperlink" Target="http://3800.hk" TargetMode="External"/><Relationship Id="rId470" Type="http://schemas.openxmlformats.org/officeDocument/2006/relationships/hyperlink" Target="http://1566.hk" TargetMode="External"/><Relationship Id="rId235" Type="http://schemas.openxmlformats.org/officeDocument/2006/relationships/hyperlink" Target="http://3047.hk" TargetMode="External"/><Relationship Id="rId477" Type="http://schemas.openxmlformats.org/officeDocument/2006/relationships/hyperlink" Target="http://9939.hk" TargetMode="External"/><Relationship Id="rId234" Type="http://schemas.openxmlformats.org/officeDocument/2006/relationships/hyperlink" Target="http://9988.hk" TargetMode="External"/><Relationship Id="rId476" Type="http://schemas.openxmlformats.org/officeDocument/2006/relationships/hyperlink" Target="http://9868.hk" TargetMode="External"/><Relationship Id="rId233" Type="http://schemas.openxmlformats.org/officeDocument/2006/relationships/hyperlink" Target="http://1810.hk" TargetMode="External"/><Relationship Id="rId475" Type="http://schemas.openxmlformats.org/officeDocument/2006/relationships/hyperlink" Target="http://9939.hk" TargetMode="External"/><Relationship Id="rId232" Type="http://schemas.openxmlformats.org/officeDocument/2006/relationships/hyperlink" Target="http://9988.hk" TargetMode="External"/><Relationship Id="rId474" Type="http://schemas.openxmlformats.org/officeDocument/2006/relationships/hyperlink" Target="http://9939.hk" TargetMode="External"/><Relationship Id="rId426" Type="http://schemas.openxmlformats.org/officeDocument/2006/relationships/hyperlink" Target="http://0006.hk" TargetMode="External"/><Relationship Id="rId425" Type="http://schemas.openxmlformats.org/officeDocument/2006/relationships/hyperlink" Target="http://0006.hk" TargetMode="External"/><Relationship Id="rId424" Type="http://schemas.openxmlformats.org/officeDocument/2006/relationships/hyperlink" Target="http://1024.hk" TargetMode="External"/><Relationship Id="rId423" Type="http://schemas.openxmlformats.org/officeDocument/2006/relationships/hyperlink" Target="http://1024.hk" TargetMode="External"/><Relationship Id="rId429" Type="http://schemas.openxmlformats.org/officeDocument/2006/relationships/hyperlink" Target="http://0006.hk" TargetMode="External"/><Relationship Id="rId428" Type="http://schemas.openxmlformats.org/officeDocument/2006/relationships/hyperlink" Target="http://1024.hk" TargetMode="External"/><Relationship Id="rId427" Type="http://schemas.openxmlformats.org/officeDocument/2006/relationships/hyperlink" Target="http://1024.hk" TargetMode="External"/><Relationship Id="rId422" Type="http://schemas.openxmlformats.org/officeDocument/2006/relationships/hyperlink" Target="http://0095.hk" TargetMode="External"/><Relationship Id="rId421" Type="http://schemas.openxmlformats.org/officeDocument/2006/relationships/hyperlink" Target="http://1919.hk" TargetMode="External"/><Relationship Id="rId420" Type="http://schemas.openxmlformats.org/officeDocument/2006/relationships/hyperlink" Target="http://002657.sz" TargetMode="External"/><Relationship Id="rId415" Type="http://schemas.openxmlformats.org/officeDocument/2006/relationships/hyperlink" Target="http://2333.hk" TargetMode="External"/><Relationship Id="rId414" Type="http://schemas.openxmlformats.org/officeDocument/2006/relationships/hyperlink" Target="http://0241.hk" TargetMode="External"/><Relationship Id="rId413" Type="http://schemas.openxmlformats.org/officeDocument/2006/relationships/hyperlink" Target="http://9939.hk" TargetMode="External"/><Relationship Id="rId412" Type="http://schemas.openxmlformats.org/officeDocument/2006/relationships/hyperlink" Target="http://9939.hk" TargetMode="External"/><Relationship Id="rId419" Type="http://schemas.openxmlformats.org/officeDocument/2006/relationships/hyperlink" Target="http://002657.sz" TargetMode="External"/><Relationship Id="rId418" Type="http://schemas.openxmlformats.org/officeDocument/2006/relationships/hyperlink" Target="http://002657.sz" TargetMode="External"/><Relationship Id="rId417" Type="http://schemas.openxmlformats.org/officeDocument/2006/relationships/hyperlink" Target="http://9868.hk" TargetMode="External"/><Relationship Id="rId416" Type="http://schemas.openxmlformats.org/officeDocument/2006/relationships/hyperlink" Target="http://2196.hk" TargetMode="External"/><Relationship Id="rId411" Type="http://schemas.openxmlformats.org/officeDocument/2006/relationships/hyperlink" Target="http://9939.hk" TargetMode="External"/><Relationship Id="rId410" Type="http://schemas.openxmlformats.org/officeDocument/2006/relationships/hyperlink" Target="http://1610.hk" TargetMode="External"/><Relationship Id="rId206" Type="http://schemas.openxmlformats.org/officeDocument/2006/relationships/hyperlink" Target="http://001896.sz" TargetMode="External"/><Relationship Id="rId448" Type="http://schemas.openxmlformats.org/officeDocument/2006/relationships/hyperlink" Target="http://8009.hk" TargetMode="External"/><Relationship Id="rId205" Type="http://schemas.openxmlformats.org/officeDocument/2006/relationships/hyperlink" Target="http://0700.hk" TargetMode="External"/><Relationship Id="rId447" Type="http://schemas.openxmlformats.org/officeDocument/2006/relationships/hyperlink" Target="http://1725.hk" TargetMode="External"/><Relationship Id="rId204" Type="http://schemas.openxmlformats.org/officeDocument/2006/relationships/hyperlink" Target="http://9988.hk" TargetMode="External"/><Relationship Id="rId446" Type="http://schemas.openxmlformats.org/officeDocument/2006/relationships/hyperlink" Target="http://600533.ss" TargetMode="External"/><Relationship Id="rId203" Type="http://schemas.openxmlformats.org/officeDocument/2006/relationships/hyperlink" Target="http://02607.hk" TargetMode="External"/><Relationship Id="rId445" Type="http://schemas.openxmlformats.org/officeDocument/2006/relationships/hyperlink" Target="http://300147.sz" TargetMode="External"/><Relationship Id="rId209" Type="http://schemas.openxmlformats.org/officeDocument/2006/relationships/hyperlink" Target="http://3800.hk" TargetMode="External"/><Relationship Id="rId208" Type="http://schemas.openxmlformats.org/officeDocument/2006/relationships/hyperlink" Target="http://1109.hk" TargetMode="External"/><Relationship Id="rId207" Type="http://schemas.openxmlformats.org/officeDocument/2006/relationships/hyperlink" Target="http://0700.hk" TargetMode="External"/><Relationship Id="rId449" Type="http://schemas.openxmlformats.org/officeDocument/2006/relationships/hyperlink" Target="http://2196.hk" TargetMode="External"/><Relationship Id="rId440" Type="http://schemas.openxmlformats.org/officeDocument/2006/relationships/hyperlink" Target="http://002864.sz" TargetMode="External"/><Relationship Id="rId202" Type="http://schemas.openxmlformats.org/officeDocument/2006/relationships/hyperlink" Target="http://002670.sz" TargetMode="External"/><Relationship Id="rId444" Type="http://schemas.openxmlformats.org/officeDocument/2006/relationships/hyperlink" Target="http://688076.ss" TargetMode="External"/><Relationship Id="rId201" Type="http://schemas.openxmlformats.org/officeDocument/2006/relationships/hyperlink" Target="http://9988.hk" TargetMode="External"/><Relationship Id="rId443" Type="http://schemas.openxmlformats.org/officeDocument/2006/relationships/hyperlink" Target="http://002307.sz" TargetMode="External"/><Relationship Id="rId200" Type="http://schemas.openxmlformats.org/officeDocument/2006/relationships/hyperlink" Target="http://0700.hk" TargetMode="External"/><Relationship Id="rId442" Type="http://schemas.openxmlformats.org/officeDocument/2006/relationships/hyperlink" Target="http://600724.ss" TargetMode="External"/><Relationship Id="rId441" Type="http://schemas.openxmlformats.org/officeDocument/2006/relationships/hyperlink" Target="http://002657.sz" TargetMode="External"/><Relationship Id="rId437" Type="http://schemas.openxmlformats.org/officeDocument/2006/relationships/hyperlink" Target="http://0883.hk" TargetMode="External"/><Relationship Id="rId436" Type="http://schemas.openxmlformats.org/officeDocument/2006/relationships/hyperlink" Target="http://2319.hk" TargetMode="External"/><Relationship Id="rId435" Type="http://schemas.openxmlformats.org/officeDocument/2006/relationships/hyperlink" Target="http://0700.hk" TargetMode="External"/><Relationship Id="rId434" Type="http://schemas.openxmlformats.org/officeDocument/2006/relationships/hyperlink" Target="http://000568.sz" TargetMode="External"/><Relationship Id="rId439" Type="http://schemas.openxmlformats.org/officeDocument/2006/relationships/hyperlink" Target="http://9988.hk" TargetMode="External"/><Relationship Id="rId438" Type="http://schemas.openxmlformats.org/officeDocument/2006/relationships/hyperlink" Target="http://9988.hk" TargetMode="External"/><Relationship Id="rId433" Type="http://schemas.openxmlformats.org/officeDocument/2006/relationships/hyperlink" Target="http://600519.ss" TargetMode="External"/><Relationship Id="rId432" Type="http://schemas.openxmlformats.org/officeDocument/2006/relationships/hyperlink" Target="http://600533.ss" TargetMode="External"/><Relationship Id="rId431" Type="http://schemas.openxmlformats.org/officeDocument/2006/relationships/hyperlink" Target="http://0700.hk" TargetMode="External"/><Relationship Id="rId430" Type="http://schemas.openxmlformats.org/officeDocument/2006/relationships/hyperlink" Target="http://0006.h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0941.hk" TargetMode="External"/><Relationship Id="rId2" Type="http://schemas.openxmlformats.org/officeDocument/2006/relationships/hyperlink" Target="http://3047.hk" TargetMode="External"/><Relationship Id="rId3" Type="http://schemas.openxmlformats.org/officeDocument/2006/relationships/hyperlink" Target="http://9988.hk" TargetMode="External"/><Relationship Id="rId4" Type="http://schemas.openxmlformats.org/officeDocument/2006/relationships/hyperlink" Target="http://0941.hk" TargetMode="External"/><Relationship Id="rId9" Type="http://schemas.openxmlformats.org/officeDocument/2006/relationships/hyperlink" Target="http://600519.ss" TargetMode="External"/><Relationship Id="rId5" Type="http://schemas.openxmlformats.org/officeDocument/2006/relationships/hyperlink" Target="http://3047.hk" TargetMode="External"/><Relationship Id="rId6" Type="http://schemas.openxmlformats.org/officeDocument/2006/relationships/hyperlink" Target="http://00700.hk" TargetMode="External"/><Relationship Id="rId7" Type="http://schemas.openxmlformats.org/officeDocument/2006/relationships/hyperlink" Target="http://00700.hk" TargetMode="External"/><Relationship Id="rId8" Type="http://schemas.openxmlformats.org/officeDocument/2006/relationships/hyperlink" Target="http://00700.hk" TargetMode="External"/><Relationship Id="rId40" Type="http://schemas.openxmlformats.org/officeDocument/2006/relationships/hyperlink" Target="http://01211.hk" TargetMode="External"/><Relationship Id="rId42" Type="http://schemas.openxmlformats.org/officeDocument/2006/relationships/hyperlink" Target="http://3261.sh" TargetMode="External"/><Relationship Id="rId41" Type="http://schemas.openxmlformats.org/officeDocument/2006/relationships/hyperlink" Target="http://0059.sz" TargetMode="External"/><Relationship Id="rId44" Type="http://schemas.openxmlformats.org/officeDocument/2006/relationships/hyperlink" Target="http://2800.hk" TargetMode="External"/><Relationship Id="rId43" Type="http://schemas.openxmlformats.org/officeDocument/2006/relationships/hyperlink" Target="http://603261.sh" TargetMode="External"/><Relationship Id="rId46" Type="http://schemas.openxmlformats.org/officeDocument/2006/relationships/hyperlink" Target="http://00700.hk" TargetMode="External"/><Relationship Id="rId45" Type="http://schemas.openxmlformats.org/officeDocument/2006/relationships/hyperlink" Target="http://2800.hk" TargetMode="External"/><Relationship Id="rId48" Type="http://schemas.openxmlformats.org/officeDocument/2006/relationships/hyperlink" Target="http://0708.hk" TargetMode="External"/><Relationship Id="rId47" Type="http://schemas.openxmlformats.org/officeDocument/2006/relationships/hyperlink" Target="http://0708.hk" TargetMode="External"/><Relationship Id="rId49" Type="http://schemas.openxmlformats.org/officeDocument/2006/relationships/hyperlink" Target="http://600745.ss" TargetMode="External"/><Relationship Id="rId31" Type="http://schemas.openxmlformats.org/officeDocument/2006/relationships/hyperlink" Target="http://9988.hk" TargetMode="External"/><Relationship Id="rId30" Type="http://schemas.openxmlformats.org/officeDocument/2006/relationships/hyperlink" Target="http://02607.hk" TargetMode="External"/><Relationship Id="rId33" Type="http://schemas.openxmlformats.org/officeDocument/2006/relationships/hyperlink" Target="http://1024.hk" TargetMode="External"/><Relationship Id="rId32" Type="http://schemas.openxmlformats.org/officeDocument/2006/relationships/hyperlink" Target="http://1810.hk" TargetMode="External"/><Relationship Id="rId35" Type="http://schemas.openxmlformats.org/officeDocument/2006/relationships/hyperlink" Target="http://9988.hk" TargetMode="External"/><Relationship Id="rId34" Type="http://schemas.openxmlformats.org/officeDocument/2006/relationships/hyperlink" Target="http://1024.hk" TargetMode="External"/><Relationship Id="rId37" Type="http://schemas.openxmlformats.org/officeDocument/2006/relationships/hyperlink" Target="http://arow.us" TargetMode="External"/><Relationship Id="rId36" Type="http://schemas.openxmlformats.org/officeDocument/2006/relationships/hyperlink" Target="http://600519.sh" TargetMode="External"/><Relationship Id="rId39" Type="http://schemas.openxmlformats.org/officeDocument/2006/relationships/hyperlink" Target="http://bksc.us" TargetMode="External"/><Relationship Id="rId38" Type="http://schemas.openxmlformats.org/officeDocument/2006/relationships/hyperlink" Target="http://atax.us" TargetMode="External"/><Relationship Id="rId20" Type="http://schemas.openxmlformats.org/officeDocument/2006/relationships/hyperlink" Target="http://9988.hk" TargetMode="External"/><Relationship Id="rId22" Type="http://schemas.openxmlformats.org/officeDocument/2006/relationships/hyperlink" Target="http://9988.hk" TargetMode="External"/><Relationship Id="rId21" Type="http://schemas.openxmlformats.org/officeDocument/2006/relationships/hyperlink" Target="http://1024.hk" TargetMode="External"/><Relationship Id="rId24" Type="http://schemas.openxmlformats.org/officeDocument/2006/relationships/hyperlink" Target="http://6862.hk" TargetMode="External"/><Relationship Id="rId23" Type="http://schemas.openxmlformats.org/officeDocument/2006/relationships/hyperlink" Target="http://1024.hk" TargetMode="External"/><Relationship Id="rId26" Type="http://schemas.openxmlformats.org/officeDocument/2006/relationships/hyperlink" Target="http://0189.hk" TargetMode="External"/><Relationship Id="rId25" Type="http://schemas.openxmlformats.org/officeDocument/2006/relationships/hyperlink" Target="http://01024.hk" TargetMode="External"/><Relationship Id="rId28" Type="http://schemas.openxmlformats.org/officeDocument/2006/relationships/hyperlink" Target="http://02607.hk" TargetMode="External"/><Relationship Id="rId27" Type="http://schemas.openxmlformats.org/officeDocument/2006/relationships/hyperlink" Target="http://600519.ss" TargetMode="External"/><Relationship Id="rId29" Type="http://schemas.openxmlformats.org/officeDocument/2006/relationships/hyperlink" Target="http://00386.hk" TargetMode="External"/><Relationship Id="rId11" Type="http://schemas.openxmlformats.org/officeDocument/2006/relationships/hyperlink" Target="http://0151.hk" TargetMode="External"/><Relationship Id="rId10" Type="http://schemas.openxmlformats.org/officeDocument/2006/relationships/hyperlink" Target="http://0001.hk" TargetMode="External"/><Relationship Id="rId13" Type="http://schemas.openxmlformats.org/officeDocument/2006/relationships/hyperlink" Target="http://0001.hk" TargetMode="External"/><Relationship Id="rId12" Type="http://schemas.openxmlformats.org/officeDocument/2006/relationships/hyperlink" Target="http://0151.hk" TargetMode="External"/><Relationship Id="rId15" Type="http://schemas.openxmlformats.org/officeDocument/2006/relationships/hyperlink" Target="http://09988.hk" TargetMode="External"/><Relationship Id="rId14" Type="http://schemas.openxmlformats.org/officeDocument/2006/relationships/hyperlink" Target="http://00700.hk" TargetMode="External"/><Relationship Id="rId17" Type="http://schemas.openxmlformats.org/officeDocument/2006/relationships/hyperlink" Target="http://1772.hk" TargetMode="External"/><Relationship Id="rId16" Type="http://schemas.openxmlformats.org/officeDocument/2006/relationships/hyperlink" Target="http://0700.hk" TargetMode="External"/><Relationship Id="rId19" Type="http://schemas.openxmlformats.org/officeDocument/2006/relationships/hyperlink" Target="http://1024.hk" TargetMode="External"/><Relationship Id="rId18" Type="http://schemas.openxmlformats.org/officeDocument/2006/relationships/hyperlink" Target="http://9988.hk" TargetMode="External"/><Relationship Id="rId84" Type="http://schemas.openxmlformats.org/officeDocument/2006/relationships/hyperlink" Target="http://3690.hk" TargetMode="External"/><Relationship Id="rId83" Type="http://schemas.openxmlformats.org/officeDocument/2006/relationships/hyperlink" Target="http://6108.hk" TargetMode="External"/><Relationship Id="rId86" Type="http://schemas.openxmlformats.org/officeDocument/2006/relationships/hyperlink" Target="http://3690.hk" TargetMode="External"/><Relationship Id="rId85" Type="http://schemas.openxmlformats.org/officeDocument/2006/relationships/hyperlink" Target="http://0883.hk" TargetMode="External"/><Relationship Id="rId88" Type="http://schemas.openxmlformats.org/officeDocument/2006/relationships/drawing" Target="../drawings/drawing6.xml"/><Relationship Id="rId87" Type="http://schemas.openxmlformats.org/officeDocument/2006/relationships/hyperlink" Target="http://0883.hk" TargetMode="External"/><Relationship Id="rId80" Type="http://schemas.openxmlformats.org/officeDocument/2006/relationships/hyperlink" Target="http://0503.hk" TargetMode="External"/><Relationship Id="rId82" Type="http://schemas.openxmlformats.org/officeDocument/2006/relationships/hyperlink" Target="http://4338.hk" TargetMode="External"/><Relationship Id="rId81" Type="http://schemas.openxmlformats.org/officeDocument/2006/relationships/hyperlink" Target="http://6108.hk" TargetMode="External"/><Relationship Id="rId73" Type="http://schemas.openxmlformats.org/officeDocument/2006/relationships/hyperlink" Target="http://1024.hk" TargetMode="External"/><Relationship Id="rId72" Type="http://schemas.openxmlformats.org/officeDocument/2006/relationships/hyperlink" Target="http://0006.hk" TargetMode="External"/><Relationship Id="rId75" Type="http://schemas.openxmlformats.org/officeDocument/2006/relationships/hyperlink" Target="http://0700.hk" TargetMode="External"/><Relationship Id="rId74" Type="http://schemas.openxmlformats.org/officeDocument/2006/relationships/hyperlink" Target="http://0006.hk" TargetMode="External"/><Relationship Id="rId77" Type="http://schemas.openxmlformats.org/officeDocument/2006/relationships/hyperlink" Target="http://9988.hk" TargetMode="External"/><Relationship Id="rId76" Type="http://schemas.openxmlformats.org/officeDocument/2006/relationships/hyperlink" Target="http://600519.ss" TargetMode="External"/><Relationship Id="rId79" Type="http://schemas.openxmlformats.org/officeDocument/2006/relationships/hyperlink" Target="http://600519.ss" TargetMode="External"/><Relationship Id="rId78" Type="http://schemas.openxmlformats.org/officeDocument/2006/relationships/hyperlink" Target="http://0928.hk" TargetMode="External"/><Relationship Id="rId71" Type="http://schemas.openxmlformats.org/officeDocument/2006/relationships/hyperlink" Target="http://0006.hk" TargetMode="External"/><Relationship Id="rId70" Type="http://schemas.openxmlformats.org/officeDocument/2006/relationships/hyperlink" Target="http://1024.hk" TargetMode="External"/><Relationship Id="rId62" Type="http://schemas.openxmlformats.org/officeDocument/2006/relationships/hyperlink" Target="http://9888.hk" TargetMode="External"/><Relationship Id="rId61" Type="http://schemas.openxmlformats.org/officeDocument/2006/relationships/hyperlink" Target="http://9888.hk" TargetMode="External"/><Relationship Id="rId64" Type="http://schemas.openxmlformats.org/officeDocument/2006/relationships/hyperlink" Target="http://6618.hk" TargetMode="External"/><Relationship Id="rId63" Type="http://schemas.openxmlformats.org/officeDocument/2006/relationships/hyperlink" Target="http://9888.hk" TargetMode="External"/><Relationship Id="rId66" Type="http://schemas.openxmlformats.org/officeDocument/2006/relationships/hyperlink" Target="http://9888.hk" TargetMode="External"/><Relationship Id="rId65" Type="http://schemas.openxmlformats.org/officeDocument/2006/relationships/hyperlink" Target="http://0883.hk" TargetMode="External"/><Relationship Id="rId68" Type="http://schemas.openxmlformats.org/officeDocument/2006/relationships/hyperlink" Target="http://9939.hk" TargetMode="External"/><Relationship Id="rId67" Type="http://schemas.openxmlformats.org/officeDocument/2006/relationships/hyperlink" Target="http://9888.hk" TargetMode="External"/><Relationship Id="rId60" Type="http://schemas.openxmlformats.org/officeDocument/2006/relationships/hyperlink" Target="http://baba.us" TargetMode="External"/><Relationship Id="rId69" Type="http://schemas.openxmlformats.org/officeDocument/2006/relationships/hyperlink" Target="http://1024.hk" TargetMode="External"/><Relationship Id="rId51" Type="http://schemas.openxmlformats.org/officeDocument/2006/relationships/hyperlink" Target="http://002657.sz" TargetMode="External"/><Relationship Id="rId50" Type="http://schemas.openxmlformats.org/officeDocument/2006/relationships/hyperlink" Target="http://0006.hk" TargetMode="External"/><Relationship Id="rId53" Type="http://schemas.openxmlformats.org/officeDocument/2006/relationships/hyperlink" Target="http://002864.sz" TargetMode="External"/><Relationship Id="rId52" Type="http://schemas.openxmlformats.org/officeDocument/2006/relationships/hyperlink" Target="http://002657.sz" TargetMode="External"/><Relationship Id="rId55" Type="http://schemas.openxmlformats.org/officeDocument/2006/relationships/hyperlink" Target="http://002864.sz" TargetMode="External"/><Relationship Id="rId54" Type="http://schemas.openxmlformats.org/officeDocument/2006/relationships/hyperlink" Target="http://002657.sz" TargetMode="External"/><Relationship Id="rId57" Type="http://schemas.openxmlformats.org/officeDocument/2006/relationships/hyperlink" Target="http://002864.sz" TargetMode="External"/><Relationship Id="rId56" Type="http://schemas.openxmlformats.org/officeDocument/2006/relationships/hyperlink" Target="http://002864.sz" TargetMode="External"/><Relationship Id="rId59" Type="http://schemas.openxmlformats.org/officeDocument/2006/relationships/hyperlink" Target="http://300917.sz" TargetMode="External"/><Relationship Id="rId58" Type="http://schemas.openxmlformats.org/officeDocument/2006/relationships/hyperlink" Target="http://002657.sz"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9698.hk" TargetMode="External"/><Relationship Id="rId2" Type="http://schemas.openxmlformats.org/officeDocument/2006/relationships/hyperlink" Target="http://601168.ss" TargetMode="External"/><Relationship Id="rId3" Type="http://schemas.openxmlformats.org/officeDocument/2006/relationships/hyperlink" Target="http://2269.hk" TargetMode="External"/><Relationship Id="rId4" Type="http://schemas.openxmlformats.org/officeDocument/2006/relationships/hyperlink" Target="http://1610.hk" TargetMode="External"/><Relationship Id="rId9" Type="http://schemas.openxmlformats.org/officeDocument/2006/relationships/hyperlink" Target="http://6969.hk" TargetMode="External"/><Relationship Id="rId5" Type="http://schemas.openxmlformats.org/officeDocument/2006/relationships/hyperlink" Target="http://1810.hk" TargetMode="External"/><Relationship Id="rId6" Type="http://schemas.openxmlformats.org/officeDocument/2006/relationships/hyperlink" Target="http://2333.hk" TargetMode="External"/><Relationship Id="rId7" Type="http://schemas.openxmlformats.org/officeDocument/2006/relationships/hyperlink" Target="http://3339.hk" TargetMode="External"/><Relationship Id="rId8" Type="http://schemas.openxmlformats.org/officeDocument/2006/relationships/hyperlink" Target="http://2333.hk" TargetMode="External"/><Relationship Id="rId40" Type="http://schemas.openxmlformats.org/officeDocument/2006/relationships/hyperlink" Target="http://0700.hk" TargetMode="External"/><Relationship Id="rId42" Type="http://schemas.openxmlformats.org/officeDocument/2006/relationships/hyperlink" Target="http://601658.ss" TargetMode="External"/><Relationship Id="rId41" Type="http://schemas.openxmlformats.org/officeDocument/2006/relationships/hyperlink" Target="http://0700.hk" TargetMode="External"/><Relationship Id="rId44" Type="http://schemas.openxmlformats.org/officeDocument/2006/relationships/hyperlink" Target="http://600745.ss" TargetMode="External"/><Relationship Id="rId43" Type="http://schemas.openxmlformats.org/officeDocument/2006/relationships/hyperlink" Target="http://0700.hk" TargetMode="External"/><Relationship Id="rId46" Type="http://schemas.openxmlformats.org/officeDocument/2006/relationships/hyperlink" Target="http://000568.sz" TargetMode="External"/><Relationship Id="rId45" Type="http://schemas.openxmlformats.org/officeDocument/2006/relationships/hyperlink" Target="http://600745.ss" TargetMode="External"/><Relationship Id="rId48" Type="http://schemas.openxmlformats.org/officeDocument/2006/relationships/hyperlink" Target="http://9999.hk" TargetMode="External"/><Relationship Id="rId47" Type="http://schemas.openxmlformats.org/officeDocument/2006/relationships/hyperlink" Target="http://9988.hk" TargetMode="External"/><Relationship Id="rId49" Type="http://schemas.openxmlformats.org/officeDocument/2006/relationships/hyperlink" Target="http://600745.ss" TargetMode="External"/><Relationship Id="rId31" Type="http://schemas.openxmlformats.org/officeDocument/2006/relationships/hyperlink" Target="http://0700.hk" TargetMode="External"/><Relationship Id="rId30" Type="http://schemas.openxmlformats.org/officeDocument/2006/relationships/hyperlink" Target="http://1398.hk" TargetMode="External"/><Relationship Id="rId33" Type="http://schemas.openxmlformats.org/officeDocument/2006/relationships/hyperlink" Target="http://0700.hk" TargetMode="External"/><Relationship Id="rId32" Type="http://schemas.openxmlformats.org/officeDocument/2006/relationships/hyperlink" Target="http://3800.hk" TargetMode="External"/><Relationship Id="rId35" Type="http://schemas.openxmlformats.org/officeDocument/2006/relationships/hyperlink" Target="http://0700.hk" TargetMode="External"/><Relationship Id="rId34" Type="http://schemas.openxmlformats.org/officeDocument/2006/relationships/hyperlink" Target="http://000568.sz" TargetMode="External"/><Relationship Id="rId37" Type="http://schemas.openxmlformats.org/officeDocument/2006/relationships/hyperlink" Target="http://3315.hk" TargetMode="External"/><Relationship Id="rId36" Type="http://schemas.openxmlformats.org/officeDocument/2006/relationships/hyperlink" Target="http://1810.hk" TargetMode="External"/><Relationship Id="rId39" Type="http://schemas.openxmlformats.org/officeDocument/2006/relationships/hyperlink" Target="http://603392.ss" TargetMode="External"/><Relationship Id="rId38" Type="http://schemas.openxmlformats.org/officeDocument/2006/relationships/hyperlink" Target="http://0700.hk" TargetMode="External"/><Relationship Id="rId20" Type="http://schemas.openxmlformats.org/officeDocument/2006/relationships/hyperlink" Target="http://9988.hk" TargetMode="External"/><Relationship Id="rId22" Type="http://schemas.openxmlformats.org/officeDocument/2006/relationships/hyperlink" Target="http://9988.hk" TargetMode="External"/><Relationship Id="rId21" Type="http://schemas.openxmlformats.org/officeDocument/2006/relationships/hyperlink" Target="http://1024.hk" TargetMode="External"/><Relationship Id="rId24" Type="http://schemas.openxmlformats.org/officeDocument/2006/relationships/hyperlink" Target="http://1024.hk" TargetMode="External"/><Relationship Id="rId23" Type="http://schemas.openxmlformats.org/officeDocument/2006/relationships/hyperlink" Target="http://1810.hk" TargetMode="External"/><Relationship Id="rId26" Type="http://schemas.openxmlformats.org/officeDocument/2006/relationships/hyperlink" Target="http://1024.hk" TargetMode="External"/><Relationship Id="rId25" Type="http://schemas.openxmlformats.org/officeDocument/2006/relationships/hyperlink" Target="http://1024.hk" TargetMode="External"/><Relationship Id="rId28" Type="http://schemas.openxmlformats.org/officeDocument/2006/relationships/hyperlink" Target="http://9988.hk" TargetMode="External"/><Relationship Id="rId27" Type="http://schemas.openxmlformats.org/officeDocument/2006/relationships/hyperlink" Target="http://6680.hk" TargetMode="External"/><Relationship Id="rId29" Type="http://schemas.openxmlformats.org/officeDocument/2006/relationships/hyperlink" Target="http://603392.ss" TargetMode="External"/><Relationship Id="rId11" Type="http://schemas.openxmlformats.org/officeDocument/2006/relationships/hyperlink" Target="http://300157.sz" TargetMode="External"/><Relationship Id="rId10" Type="http://schemas.openxmlformats.org/officeDocument/2006/relationships/hyperlink" Target="http://002230.sz" TargetMode="External"/><Relationship Id="rId13" Type="http://schemas.openxmlformats.org/officeDocument/2006/relationships/hyperlink" Target="http://9888.hk" TargetMode="External"/><Relationship Id="rId12" Type="http://schemas.openxmlformats.org/officeDocument/2006/relationships/hyperlink" Target="http://300157.sz" TargetMode="External"/><Relationship Id="rId15" Type="http://schemas.openxmlformats.org/officeDocument/2006/relationships/hyperlink" Target="http://9988.hk" TargetMode="External"/><Relationship Id="rId14" Type="http://schemas.openxmlformats.org/officeDocument/2006/relationships/hyperlink" Target="http://2800.hk" TargetMode="External"/><Relationship Id="rId17" Type="http://schemas.openxmlformats.org/officeDocument/2006/relationships/hyperlink" Target="http://1208.hk" TargetMode="External"/><Relationship Id="rId16" Type="http://schemas.openxmlformats.org/officeDocument/2006/relationships/hyperlink" Target="http://1810.hk" TargetMode="External"/><Relationship Id="rId19" Type="http://schemas.openxmlformats.org/officeDocument/2006/relationships/hyperlink" Target="http://3800.hk" TargetMode="External"/><Relationship Id="rId18" Type="http://schemas.openxmlformats.org/officeDocument/2006/relationships/hyperlink" Target="http://3800.hk" TargetMode="External"/><Relationship Id="rId73" Type="http://schemas.openxmlformats.org/officeDocument/2006/relationships/hyperlink" Target="http://300750.sz" TargetMode="External"/><Relationship Id="rId72" Type="http://schemas.openxmlformats.org/officeDocument/2006/relationships/hyperlink" Target="http://9988.hk" TargetMode="External"/><Relationship Id="rId74" Type="http://schemas.openxmlformats.org/officeDocument/2006/relationships/drawing" Target="../drawings/drawing7.xml"/><Relationship Id="rId71" Type="http://schemas.openxmlformats.org/officeDocument/2006/relationships/hyperlink" Target="http://9626.hk" TargetMode="External"/><Relationship Id="rId70" Type="http://schemas.openxmlformats.org/officeDocument/2006/relationships/hyperlink" Target="http://1024.hk" TargetMode="External"/><Relationship Id="rId62" Type="http://schemas.openxmlformats.org/officeDocument/2006/relationships/hyperlink" Target="http://2319.hk" TargetMode="External"/><Relationship Id="rId61" Type="http://schemas.openxmlformats.org/officeDocument/2006/relationships/hyperlink" Target="http://0570.hk" TargetMode="External"/><Relationship Id="rId64" Type="http://schemas.openxmlformats.org/officeDocument/2006/relationships/hyperlink" Target="http://9988.hk" TargetMode="External"/><Relationship Id="rId63" Type="http://schemas.openxmlformats.org/officeDocument/2006/relationships/hyperlink" Target="http://3800.hk" TargetMode="External"/><Relationship Id="rId66" Type="http://schemas.openxmlformats.org/officeDocument/2006/relationships/hyperlink" Target="http://1929.hk" TargetMode="External"/><Relationship Id="rId65" Type="http://schemas.openxmlformats.org/officeDocument/2006/relationships/hyperlink" Target="http://0293.hk" TargetMode="External"/><Relationship Id="rId68" Type="http://schemas.openxmlformats.org/officeDocument/2006/relationships/hyperlink" Target="http://9626.hk" TargetMode="External"/><Relationship Id="rId67" Type="http://schemas.openxmlformats.org/officeDocument/2006/relationships/hyperlink" Target="http://9988.hk" TargetMode="External"/><Relationship Id="rId60" Type="http://schemas.openxmlformats.org/officeDocument/2006/relationships/hyperlink" Target="http://6185.hk" TargetMode="External"/><Relationship Id="rId69" Type="http://schemas.openxmlformats.org/officeDocument/2006/relationships/hyperlink" Target="http://9988.hk" TargetMode="External"/><Relationship Id="rId51" Type="http://schemas.openxmlformats.org/officeDocument/2006/relationships/hyperlink" Target="http://9888.hk" TargetMode="External"/><Relationship Id="rId50" Type="http://schemas.openxmlformats.org/officeDocument/2006/relationships/hyperlink" Target="http://600745.ss" TargetMode="External"/><Relationship Id="rId53" Type="http://schemas.openxmlformats.org/officeDocument/2006/relationships/hyperlink" Target="http://000568.sz" TargetMode="External"/><Relationship Id="rId52" Type="http://schemas.openxmlformats.org/officeDocument/2006/relationships/hyperlink" Target="http://9888.hk" TargetMode="External"/><Relationship Id="rId55" Type="http://schemas.openxmlformats.org/officeDocument/2006/relationships/hyperlink" Target="http://9988.hk" TargetMode="External"/><Relationship Id="rId54" Type="http://schemas.openxmlformats.org/officeDocument/2006/relationships/hyperlink" Target="http://1024.hk" TargetMode="External"/><Relationship Id="rId57" Type="http://schemas.openxmlformats.org/officeDocument/2006/relationships/hyperlink" Target="http://9858.hk" TargetMode="External"/><Relationship Id="rId56" Type="http://schemas.openxmlformats.org/officeDocument/2006/relationships/hyperlink" Target="http://3800.hk" TargetMode="External"/><Relationship Id="rId59" Type="http://schemas.openxmlformats.org/officeDocument/2006/relationships/hyperlink" Target="http://600519.ss" TargetMode="External"/><Relationship Id="rId58" Type="http://schemas.openxmlformats.org/officeDocument/2006/relationships/hyperlink" Target="http://9858.hk"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finance.yahoo.com/quote/MSFT/?p=MSFT" TargetMode="External"/><Relationship Id="rId194" Type="http://schemas.openxmlformats.org/officeDocument/2006/relationships/hyperlink" Target="https://finance.yahoo.com/quote/9939.HK/?p=9939.HK" TargetMode="External"/><Relationship Id="rId193" Type="http://schemas.openxmlformats.org/officeDocument/2006/relationships/hyperlink" Target="http://9939.hk" TargetMode="External"/><Relationship Id="rId192" Type="http://schemas.openxmlformats.org/officeDocument/2006/relationships/hyperlink" Target="https://finance.yahoo.com/quote/MSFT/?p=MSFT" TargetMode="External"/><Relationship Id="rId191" Type="http://schemas.openxmlformats.org/officeDocument/2006/relationships/hyperlink" Target="https://finance.yahoo.com/quote/MSFT/?p=MSFT" TargetMode="External"/><Relationship Id="rId187" Type="http://schemas.openxmlformats.org/officeDocument/2006/relationships/hyperlink" Target="https://finance.yahoo.com/quote/ANPDY/?p=ANPDY" TargetMode="External"/><Relationship Id="rId186" Type="http://schemas.openxmlformats.org/officeDocument/2006/relationships/hyperlink" Target="https://finance.yahoo.com/quote/TSLA/?p=TSLA" TargetMode="External"/><Relationship Id="rId185" Type="http://schemas.openxmlformats.org/officeDocument/2006/relationships/hyperlink" Target="https://finance.yahoo.com/quote/GOLD/?p=GOLD" TargetMode="External"/><Relationship Id="rId184" Type="http://schemas.openxmlformats.org/officeDocument/2006/relationships/hyperlink" Target="https://finance.yahoo.com/quote/GOLD/?p=GOLD" TargetMode="External"/><Relationship Id="rId189" Type="http://schemas.openxmlformats.org/officeDocument/2006/relationships/hyperlink" Target="https://finance.yahoo.com/quote/GOLD/?p=GOLD" TargetMode="External"/><Relationship Id="rId188" Type="http://schemas.openxmlformats.org/officeDocument/2006/relationships/hyperlink" Target="https://finance.yahoo.com/quote/TSLA/?p=TSLA" TargetMode="External"/><Relationship Id="rId183" Type="http://schemas.openxmlformats.org/officeDocument/2006/relationships/hyperlink" Target="https://finance.yahoo.com/quote/ANPDY/?p=ANPDY" TargetMode="External"/><Relationship Id="rId182" Type="http://schemas.openxmlformats.org/officeDocument/2006/relationships/hyperlink" Target="https://finance.yahoo.com/quote/TSLA/?p=TSLA" TargetMode="External"/><Relationship Id="rId181" Type="http://schemas.openxmlformats.org/officeDocument/2006/relationships/hyperlink" Target="https://finance.yahoo.com/quote/TSLA/?p=TSLA" TargetMode="External"/><Relationship Id="rId180" Type="http://schemas.openxmlformats.org/officeDocument/2006/relationships/hyperlink" Target="https://finance.yahoo.com/quote/TME/?p=TME" TargetMode="External"/><Relationship Id="rId176" Type="http://schemas.openxmlformats.org/officeDocument/2006/relationships/hyperlink" Target="https://finance.yahoo.com/quote/ADN/?p=ADN" TargetMode="External"/><Relationship Id="rId175" Type="http://schemas.openxmlformats.org/officeDocument/2006/relationships/hyperlink" Target="https://finance.yahoo.com/quote/MF/?p=MF" TargetMode="External"/><Relationship Id="rId174" Type="http://schemas.openxmlformats.org/officeDocument/2006/relationships/hyperlink" Target="https://finance.yahoo.com/quote/CL=F/?p=CL=F" TargetMode="External"/><Relationship Id="rId173" Type="http://schemas.openxmlformats.org/officeDocument/2006/relationships/hyperlink" Target="https://finance.yahoo.com/quote/DVN/?p=DVN" TargetMode="External"/><Relationship Id="rId179" Type="http://schemas.openxmlformats.org/officeDocument/2006/relationships/hyperlink" Target="https://finance.yahoo.com/quote/DVN/?p=DVN" TargetMode="External"/><Relationship Id="rId178" Type="http://schemas.openxmlformats.org/officeDocument/2006/relationships/hyperlink" Target="https://finance.yahoo.com/quote/ADN/?p=ADN" TargetMode="External"/><Relationship Id="rId177" Type="http://schemas.openxmlformats.org/officeDocument/2006/relationships/hyperlink" Target="https://finance.yahoo.com/quote/MF/?p=MF" TargetMode="External"/><Relationship Id="rId198" Type="http://schemas.openxmlformats.org/officeDocument/2006/relationships/hyperlink" Target="https://finance.yahoo.com/quote/1109.HK/?p=1109.HK" TargetMode="External"/><Relationship Id="rId197" Type="http://schemas.openxmlformats.org/officeDocument/2006/relationships/hyperlink" Target="http://1109.hk" TargetMode="External"/><Relationship Id="rId196" Type="http://schemas.openxmlformats.org/officeDocument/2006/relationships/hyperlink" Target="https://finance.yahoo.com/quote/BILI/?p=BILI" TargetMode="External"/><Relationship Id="rId195" Type="http://schemas.openxmlformats.org/officeDocument/2006/relationships/hyperlink" Target="https://finance.yahoo.com/quote/AAPL/?p=AAPL" TargetMode="External"/><Relationship Id="rId199" Type="http://schemas.openxmlformats.org/officeDocument/2006/relationships/hyperlink" Target="http://1109.hk" TargetMode="External"/><Relationship Id="rId150" Type="http://schemas.openxmlformats.org/officeDocument/2006/relationships/hyperlink" Target="https://finance.yahoo.com/quote/000545.SZ/?p=000545.SZ" TargetMode="External"/><Relationship Id="rId392" Type="http://schemas.openxmlformats.org/officeDocument/2006/relationships/hyperlink" Target="https://finance.yahoo.com/quote/603392.SS/?p=603392.SS" TargetMode="External"/><Relationship Id="rId391" Type="http://schemas.openxmlformats.org/officeDocument/2006/relationships/hyperlink" Target="http://603392.ss" TargetMode="External"/><Relationship Id="rId390" Type="http://schemas.openxmlformats.org/officeDocument/2006/relationships/hyperlink" Target="https://finance.yahoo.com/quote/PFE/?p=PFE" TargetMode="External"/><Relationship Id="rId1" Type="http://schemas.openxmlformats.org/officeDocument/2006/relationships/hyperlink" Target="https://finance.yahoo.com/quote/AAPL/?p=AAPL" TargetMode="External"/><Relationship Id="rId2" Type="http://schemas.openxmlformats.org/officeDocument/2006/relationships/hyperlink" Target="https://finance.yahoo.com/quote/TSLA/?p=TSLA" TargetMode="External"/><Relationship Id="rId3" Type="http://schemas.openxmlformats.org/officeDocument/2006/relationships/hyperlink" Target="https://finance.yahoo.com/quote/TSLA/?p=TSLA" TargetMode="External"/><Relationship Id="rId149" Type="http://schemas.openxmlformats.org/officeDocument/2006/relationships/hyperlink" Target="http://000545.sz" TargetMode="External"/><Relationship Id="rId4" Type="http://schemas.openxmlformats.org/officeDocument/2006/relationships/hyperlink" Target="https://finance.yahoo.com/quote/GC=F/?p=GC=F" TargetMode="External"/><Relationship Id="rId148" Type="http://schemas.openxmlformats.org/officeDocument/2006/relationships/hyperlink" Target="https://finance.yahoo.com/quote/603051.SS/?p=603051.SS" TargetMode="External"/><Relationship Id="rId1090" Type="http://schemas.openxmlformats.org/officeDocument/2006/relationships/hyperlink" Target="http://0700.hk" TargetMode="External"/><Relationship Id="rId1091" Type="http://schemas.openxmlformats.org/officeDocument/2006/relationships/hyperlink" Target="https://finance.yahoo.com/quote/0700.HK/?p=0700.HK" TargetMode="External"/><Relationship Id="rId1092" Type="http://schemas.openxmlformats.org/officeDocument/2006/relationships/hyperlink" Target="http://9988.hk" TargetMode="External"/><Relationship Id="rId1093" Type="http://schemas.openxmlformats.org/officeDocument/2006/relationships/hyperlink" Target="https://finance.yahoo.com/quote/9988.HK/?p=9988.HK" TargetMode="External"/><Relationship Id="rId1094" Type="http://schemas.openxmlformats.org/officeDocument/2006/relationships/hyperlink" Target="http://002670.sz" TargetMode="External"/><Relationship Id="rId9" Type="http://schemas.openxmlformats.org/officeDocument/2006/relationships/hyperlink" Target="https://finance.yahoo.com/quote/AAPL/?p=AAPL" TargetMode="External"/><Relationship Id="rId143" Type="http://schemas.openxmlformats.org/officeDocument/2006/relationships/hyperlink" Target="http://603261.ss" TargetMode="External"/><Relationship Id="rId385" Type="http://schemas.openxmlformats.org/officeDocument/2006/relationships/hyperlink" Target="http://600511.ss" TargetMode="External"/><Relationship Id="rId1095" Type="http://schemas.openxmlformats.org/officeDocument/2006/relationships/hyperlink" Target="https://finance.yahoo.com/quote/002670.SZ/?p=002670.SZ" TargetMode="External"/><Relationship Id="rId142" Type="http://schemas.openxmlformats.org/officeDocument/2006/relationships/hyperlink" Target="https://finance.yahoo.com/quote/2607.hk/?p=2607.hk" TargetMode="External"/><Relationship Id="rId384" Type="http://schemas.openxmlformats.org/officeDocument/2006/relationships/hyperlink" Target="https://finance.yahoo.com/quote/603392.SS/?p=603392.SS" TargetMode="External"/><Relationship Id="rId1096" Type="http://schemas.openxmlformats.org/officeDocument/2006/relationships/hyperlink" Target="https://finance.yahoo.com/quote/GC=F/?p=GC=F" TargetMode="External"/><Relationship Id="rId141" Type="http://schemas.openxmlformats.org/officeDocument/2006/relationships/hyperlink" Target="http://2607.hk" TargetMode="External"/><Relationship Id="rId383" Type="http://schemas.openxmlformats.org/officeDocument/2006/relationships/hyperlink" Target="http://603392.ss" TargetMode="External"/><Relationship Id="rId1097" Type="http://schemas.openxmlformats.org/officeDocument/2006/relationships/hyperlink" Target="http://002670.sz" TargetMode="External"/><Relationship Id="rId140" Type="http://schemas.openxmlformats.org/officeDocument/2006/relationships/hyperlink" Target="https://finance.yahoo.com/quote/2328.hk/?p=2328.hk" TargetMode="External"/><Relationship Id="rId382" Type="http://schemas.openxmlformats.org/officeDocument/2006/relationships/hyperlink" Target="https://finance.yahoo.com/quote/NVAX/?p=NVAX" TargetMode="External"/><Relationship Id="rId1098" Type="http://schemas.openxmlformats.org/officeDocument/2006/relationships/hyperlink" Target="https://finance.yahoo.com/quote/002670.SZ/?p=002670.SZ" TargetMode="External"/><Relationship Id="rId5" Type="http://schemas.openxmlformats.org/officeDocument/2006/relationships/hyperlink" Target="https://finance.yahoo.com/quote/CL=F/?p=CL=F" TargetMode="External"/><Relationship Id="rId147" Type="http://schemas.openxmlformats.org/officeDocument/2006/relationships/hyperlink" Target="http://603051.ss" TargetMode="External"/><Relationship Id="rId389" Type="http://schemas.openxmlformats.org/officeDocument/2006/relationships/hyperlink" Target="https://finance.yahoo.com/quote/FWONK/?p=FWONK" TargetMode="External"/><Relationship Id="rId1099" Type="http://schemas.openxmlformats.org/officeDocument/2006/relationships/hyperlink" Target="http://600227.ss" TargetMode="External"/><Relationship Id="rId6" Type="http://schemas.openxmlformats.org/officeDocument/2006/relationships/hyperlink" Target="https://finance.yahoo.com/quote/SI=F/?p=SI=F" TargetMode="External"/><Relationship Id="rId146" Type="http://schemas.openxmlformats.org/officeDocument/2006/relationships/hyperlink" Target="https://finance.yahoo.com/quote/000545.SZ/?p=000545.SZ" TargetMode="External"/><Relationship Id="rId388" Type="http://schemas.openxmlformats.org/officeDocument/2006/relationships/hyperlink" Target="https://finance.yahoo.com/quote/002104.SZ/?p=002104.SZ" TargetMode="External"/><Relationship Id="rId7" Type="http://schemas.openxmlformats.org/officeDocument/2006/relationships/hyperlink" Target="https://finance.yahoo.com/quote/OXY/?p=OXY" TargetMode="External"/><Relationship Id="rId145" Type="http://schemas.openxmlformats.org/officeDocument/2006/relationships/hyperlink" Target="http://000545.sz" TargetMode="External"/><Relationship Id="rId387" Type="http://schemas.openxmlformats.org/officeDocument/2006/relationships/hyperlink" Target="http://002104.sz" TargetMode="External"/><Relationship Id="rId8" Type="http://schemas.openxmlformats.org/officeDocument/2006/relationships/hyperlink" Target="https://finance.yahoo.com/quote/ABBV/?p=ABBV" TargetMode="External"/><Relationship Id="rId144" Type="http://schemas.openxmlformats.org/officeDocument/2006/relationships/hyperlink" Target="https://finance.yahoo.com/quote/603261.SS/?p=603261.SS" TargetMode="External"/><Relationship Id="rId386" Type="http://schemas.openxmlformats.org/officeDocument/2006/relationships/hyperlink" Target="https://finance.yahoo.com/quote/600511.SS/?p=600511.SS" TargetMode="External"/><Relationship Id="rId381" Type="http://schemas.openxmlformats.org/officeDocument/2006/relationships/hyperlink" Target="https://finance.yahoo.com/quote/AAPL/?p=AAPL" TargetMode="External"/><Relationship Id="rId380" Type="http://schemas.openxmlformats.org/officeDocument/2006/relationships/hyperlink" Target="https://finance.yahoo.com/quote/FWONK/?p=FWONK" TargetMode="External"/><Relationship Id="rId139" Type="http://schemas.openxmlformats.org/officeDocument/2006/relationships/hyperlink" Target="http://2328.hk" TargetMode="External"/><Relationship Id="rId138" Type="http://schemas.openxmlformats.org/officeDocument/2006/relationships/hyperlink" Target="https://finance.yahoo.com/quote/002864.SZ/?p=002864.SZ" TargetMode="External"/><Relationship Id="rId137" Type="http://schemas.openxmlformats.org/officeDocument/2006/relationships/hyperlink" Target="http://002864.sz" TargetMode="External"/><Relationship Id="rId379" Type="http://schemas.openxmlformats.org/officeDocument/2006/relationships/hyperlink" Target="https://finance.yahoo.com/quote/NVAX/?p=NVAX" TargetMode="External"/><Relationship Id="rId1080" Type="http://schemas.openxmlformats.org/officeDocument/2006/relationships/hyperlink" Target="https://finance.yahoo.com/quote/603963.SS/?p=603963.SS" TargetMode="External"/><Relationship Id="rId1081" Type="http://schemas.openxmlformats.org/officeDocument/2006/relationships/hyperlink" Target="http://603963.ss" TargetMode="External"/><Relationship Id="rId1082" Type="http://schemas.openxmlformats.org/officeDocument/2006/relationships/hyperlink" Target="https://finance.yahoo.com/quote/603963.SS/?p=603963.SS" TargetMode="External"/><Relationship Id="rId1083" Type="http://schemas.openxmlformats.org/officeDocument/2006/relationships/hyperlink" Target="https://finance.yahoo.com/quote/GC=F/?p=GC=F" TargetMode="External"/><Relationship Id="rId132" Type="http://schemas.openxmlformats.org/officeDocument/2006/relationships/hyperlink" Target="https://finance.yahoo.com/quote/002864.SZ/?p=002864.SZ" TargetMode="External"/><Relationship Id="rId374" Type="http://schemas.openxmlformats.org/officeDocument/2006/relationships/hyperlink" Target="http://603939.ss" TargetMode="External"/><Relationship Id="rId1084" Type="http://schemas.openxmlformats.org/officeDocument/2006/relationships/hyperlink" Target="http://603538.ss" TargetMode="External"/><Relationship Id="rId131" Type="http://schemas.openxmlformats.org/officeDocument/2006/relationships/hyperlink" Target="http://002864.sz" TargetMode="External"/><Relationship Id="rId373" Type="http://schemas.openxmlformats.org/officeDocument/2006/relationships/hyperlink" Target="https://finance.yahoo.com/quote/NVAX/?p=NVAX" TargetMode="External"/><Relationship Id="rId1085" Type="http://schemas.openxmlformats.org/officeDocument/2006/relationships/hyperlink" Target="https://finance.yahoo.com/quote/603538.SS/?p=603538.SS" TargetMode="External"/><Relationship Id="rId130" Type="http://schemas.openxmlformats.org/officeDocument/2006/relationships/hyperlink" Target="https://finance.yahoo.com/quote/2607.hk/?p=2607.hk" TargetMode="External"/><Relationship Id="rId372" Type="http://schemas.openxmlformats.org/officeDocument/2006/relationships/hyperlink" Target="https://finance.yahoo.com/quote/PFE/?p=PFE" TargetMode="External"/><Relationship Id="rId1086" Type="http://schemas.openxmlformats.org/officeDocument/2006/relationships/hyperlink" Target="http://688076.ss" TargetMode="External"/><Relationship Id="rId371" Type="http://schemas.openxmlformats.org/officeDocument/2006/relationships/hyperlink" Target="https://finance.yahoo.com/quote/PFE/?p=PFE" TargetMode="External"/><Relationship Id="rId1087" Type="http://schemas.openxmlformats.org/officeDocument/2006/relationships/hyperlink" Target="https://finance.yahoo.com/quote/688076.SS/?p=688076.SS" TargetMode="External"/><Relationship Id="rId136" Type="http://schemas.openxmlformats.org/officeDocument/2006/relationships/hyperlink" Target="https://finance.yahoo.com/quote/2318.hk/?p=2318.hk" TargetMode="External"/><Relationship Id="rId378" Type="http://schemas.openxmlformats.org/officeDocument/2006/relationships/hyperlink" Target="https://finance.yahoo.com/quote/FWONK/?p=FWONK" TargetMode="External"/><Relationship Id="rId1088" Type="http://schemas.openxmlformats.org/officeDocument/2006/relationships/hyperlink" Target="https://finance.yahoo.com/quote/GC=F/?p=GC=F" TargetMode="External"/><Relationship Id="rId135" Type="http://schemas.openxmlformats.org/officeDocument/2006/relationships/hyperlink" Target="http://2318.hk" TargetMode="External"/><Relationship Id="rId377" Type="http://schemas.openxmlformats.org/officeDocument/2006/relationships/hyperlink" Target="https://finance.yahoo.com/quote/603392.SS/?p=603392.SS" TargetMode="External"/><Relationship Id="rId1089" Type="http://schemas.openxmlformats.org/officeDocument/2006/relationships/hyperlink" Target="https://finance.yahoo.com/quote/GC=F/?p=GC=F" TargetMode="External"/><Relationship Id="rId134" Type="http://schemas.openxmlformats.org/officeDocument/2006/relationships/hyperlink" Target="https://finance.yahoo.com/quote/2328.hk/?p=2328.hk" TargetMode="External"/><Relationship Id="rId376" Type="http://schemas.openxmlformats.org/officeDocument/2006/relationships/hyperlink" Target="http://603392.ss" TargetMode="External"/><Relationship Id="rId133" Type="http://schemas.openxmlformats.org/officeDocument/2006/relationships/hyperlink" Target="http://2328.hk" TargetMode="External"/><Relationship Id="rId375" Type="http://schemas.openxmlformats.org/officeDocument/2006/relationships/hyperlink" Target="https://finance.yahoo.com/quote/603939.SS/?p=603939.SS" TargetMode="External"/><Relationship Id="rId172" Type="http://schemas.openxmlformats.org/officeDocument/2006/relationships/hyperlink" Target="https://finance.yahoo.com/quote/BNTX/?p=BNTX" TargetMode="External"/><Relationship Id="rId171" Type="http://schemas.openxmlformats.org/officeDocument/2006/relationships/hyperlink" Target="https://finance.yahoo.com/quote/BNTX/?p=BNTX" TargetMode="External"/><Relationship Id="rId170" Type="http://schemas.openxmlformats.org/officeDocument/2006/relationships/hyperlink" Target="https://finance.yahoo.com/quote/TME/?p=TME" TargetMode="External"/><Relationship Id="rId165" Type="http://schemas.openxmlformats.org/officeDocument/2006/relationships/hyperlink" Target="https://finance.yahoo.com/quote/FB/?p=FB" TargetMode="External"/><Relationship Id="rId164" Type="http://schemas.openxmlformats.org/officeDocument/2006/relationships/hyperlink" Target="https://finance.yahoo.com/quote/FB/?p=FB" TargetMode="External"/><Relationship Id="rId163" Type="http://schemas.openxmlformats.org/officeDocument/2006/relationships/hyperlink" Target="https://www.bondsupermart.com/bsm/general-search/XS1637274124" TargetMode="External"/><Relationship Id="rId162" Type="http://schemas.openxmlformats.org/officeDocument/2006/relationships/hyperlink" Target="https://finance.yahoo.com/quote/TSLA/?p=TSLA" TargetMode="External"/><Relationship Id="rId169" Type="http://schemas.openxmlformats.org/officeDocument/2006/relationships/hyperlink" Target="https://finance.yahoo.com/quote/0388.HK/?p=0388.HK" TargetMode="External"/><Relationship Id="rId168" Type="http://schemas.openxmlformats.org/officeDocument/2006/relationships/hyperlink" Target="http://0388.hk" TargetMode="External"/><Relationship Id="rId167" Type="http://schemas.openxmlformats.org/officeDocument/2006/relationships/hyperlink" Target="https://finance.yahoo.com/quote/NUSI/?p=NUSI" TargetMode="External"/><Relationship Id="rId166" Type="http://schemas.openxmlformats.org/officeDocument/2006/relationships/hyperlink" Target="https://finance.yahoo.com/quote/BMBL/?p=BMBL" TargetMode="External"/><Relationship Id="rId161" Type="http://schemas.openxmlformats.org/officeDocument/2006/relationships/hyperlink" Target="https://finance.yahoo.com/quote/0700.HK/?p=0700.HK" TargetMode="External"/><Relationship Id="rId160" Type="http://schemas.openxmlformats.org/officeDocument/2006/relationships/hyperlink" Target="http://0700.hk" TargetMode="External"/><Relationship Id="rId159" Type="http://schemas.openxmlformats.org/officeDocument/2006/relationships/hyperlink" Target="https://finance.yahoo.com/quote/TSLA/?p=TSLA" TargetMode="External"/><Relationship Id="rId154" Type="http://schemas.openxmlformats.org/officeDocument/2006/relationships/hyperlink" Target="https://finance.yahoo.com/quote/603051.SS/?p=603051.SS" TargetMode="External"/><Relationship Id="rId396" Type="http://schemas.openxmlformats.org/officeDocument/2006/relationships/hyperlink" Target="http://600511.ss" TargetMode="External"/><Relationship Id="rId153" Type="http://schemas.openxmlformats.org/officeDocument/2006/relationships/hyperlink" Target="http://603051.ss" TargetMode="External"/><Relationship Id="rId395" Type="http://schemas.openxmlformats.org/officeDocument/2006/relationships/hyperlink" Target="https://finance.yahoo.com/quote/603392.SS/?p=603392.SS" TargetMode="External"/><Relationship Id="rId152" Type="http://schemas.openxmlformats.org/officeDocument/2006/relationships/hyperlink" Target="https://finance.yahoo.com/quote/603051.SS/?p=603051.SS" TargetMode="External"/><Relationship Id="rId394" Type="http://schemas.openxmlformats.org/officeDocument/2006/relationships/hyperlink" Target="http://603392.ss" TargetMode="External"/><Relationship Id="rId151" Type="http://schemas.openxmlformats.org/officeDocument/2006/relationships/hyperlink" Target="http://603051.ss" TargetMode="External"/><Relationship Id="rId393" Type="http://schemas.openxmlformats.org/officeDocument/2006/relationships/hyperlink" Target="https://finance.yahoo.com/quote/BA/?p=BA" TargetMode="External"/><Relationship Id="rId158" Type="http://schemas.openxmlformats.org/officeDocument/2006/relationships/hyperlink" Target="https://finance.yahoo.com/quote/CL=F/?p=CL=F" TargetMode="External"/><Relationship Id="rId157" Type="http://schemas.openxmlformats.org/officeDocument/2006/relationships/hyperlink" Target="https://finance.yahoo.com/quote/TSLA/?p=TSLA" TargetMode="External"/><Relationship Id="rId399" Type="http://schemas.openxmlformats.org/officeDocument/2006/relationships/hyperlink" Target="https://finance.yahoo.com/quote/NZRO/?p=NZRO" TargetMode="External"/><Relationship Id="rId156" Type="http://schemas.openxmlformats.org/officeDocument/2006/relationships/hyperlink" Target="https://finance.yahoo.com/quote/0700.HK/?p=0700.HK" TargetMode="External"/><Relationship Id="rId398" Type="http://schemas.openxmlformats.org/officeDocument/2006/relationships/hyperlink" Target="https://finance.yahoo.com/quote/BA/?p=BA" TargetMode="External"/><Relationship Id="rId155" Type="http://schemas.openxmlformats.org/officeDocument/2006/relationships/hyperlink" Target="http://0700.hk" TargetMode="External"/><Relationship Id="rId397" Type="http://schemas.openxmlformats.org/officeDocument/2006/relationships/hyperlink" Target="https://finance.yahoo.com/quote/600511.SS/?p=600511.SS" TargetMode="External"/><Relationship Id="rId808" Type="http://schemas.openxmlformats.org/officeDocument/2006/relationships/hyperlink" Target="https://finance.yahoo.com/quote/PATH/?p=PATH" TargetMode="External"/><Relationship Id="rId807" Type="http://schemas.openxmlformats.org/officeDocument/2006/relationships/hyperlink" Target="https://finance.yahoo.com/quote/AAPL/?p=AAPL" TargetMode="External"/><Relationship Id="rId806" Type="http://schemas.openxmlformats.org/officeDocument/2006/relationships/hyperlink" Target="https://finance.yahoo.com/quote/NFLX/?p=NFLX" TargetMode="External"/><Relationship Id="rId805" Type="http://schemas.openxmlformats.org/officeDocument/2006/relationships/hyperlink" Target="https://finance.yahoo.com/quote/AAPL/?p=AAPL" TargetMode="External"/><Relationship Id="rId809" Type="http://schemas.openxmlformats.org/officeDocument/2006/relationships/hyperlink" Target="https://finance.yahoo.com/quote/005930.KS/?p=005930.KS" TargetMode="External"/><Relationship Id="rId800" Type="http://schemas.openxmlformats.org/officeDocument/2006/relationships/hyperlink" Target="https://finance.yahoo.com/quote/TSLA/?p=TSLA" TargetMode="External"/><Relationship Id="rId804" Type="http://schemas.openxmlformats.org/officeDocument/2006/relationships/hyperlink" Target="https://finance.yahoo.com/quote/TSLA/?p=TSLA" TargetMode="External"/><Relationship Id="rId803" Type="http://schemas.openxmlformats.org/officeDocument/2006/relationships/hyperlink" Target="https://finance.yahoo.com/quote/AAPL/?p=AAPL" TargetMode="External"/><Relationship Id="rId802" Type="http://schemas.openxmlformats.org/officeDocument/2006/relationships/hyperlink" Target="https://finance.yahoo.com/quote/0700.HK/?p=0700.HK" TargetMode="External"/><Relationship Id="rId801" Type="http://schemas.openxmlformats.org/officeDocument/2006/relationships/hyperlink" Target="http://0700.hk" TargetMode="External"/><Relationship Id="rId40" Type="http://schemas.openxmlformats.org/officeDocument/2006/relationships/hyperlink" Target="https://finance.yahoo.com/quote/PFE/?p=PFE" TargetMode="External"/><Relationship Id="rId1334" Type="http://schemas.openxmlformats.org/officeDocument/2006/relationships/hyperlink" Target="https://finance.yahoo.com/quote/TCEHY/?p=TCEHY" TargetMode="External"/><Relationship Id="rId1335" Type="http://schemas.openxmlformats.org/officeDocument/2006/relationships/hyperlink" Target="https://finance.yahoo.com/quote/YINN/?p=YINN" TargetMode="External"/><Relationship Id="rId42" Type="http://schemas.openxmlformats.org/officeDocument/2006/relationships/hyperlink" Target="https://finance.yahoo.com/quote/TSLA/?p=TSLA" TargetMode="External"/><Relationship Id="rId1336" Type="http://schemas.openxmlformats.org/officeDocument/2006/relationships/hyperlink" Target="http://9988.hk" TargetMode="External"/><Relationship Id="rId41" Type="http://schemas.openxmlformats.org/officeDocument/2006/relationships/hyperlink" Target="https://finance.yahoo.com/quote/GOOG/?p=GOOG" TargetMode="External"/><Relationship Id="rId1337" Type="http://schemas.openxmlformats.org/officeDocument/2006/relationships/hyperlink" Target="https://finance.yahoo.com/quote/9988.HK/?p=9988.HK" TargetMode="External"/><Relationship Id="rId44" Type="http://schemas.openxmlformats.org/officeDocument/2006/relationships/hyperlink" Target="https://finance.yahoo.com/quote/TSLA/?p=TSLA" TargetMode="External"/><Relationship Id="rId1338" Type="http://schemas.openxmlformats.org/officeDocument/2006/relationships/hyperlink" Target="http://3690.hk" TargetMode="External"/><Relationship Id="rId43" Type="http://schemas.openxmlformats.org/officeDocument/2006/relationships/hyperlink" Target="https://finance.yahoo.com/quote/AAPL/?p=AAPL" TargetMode="External"/><Relationship Id="rId1339" Type="http://schemas.openxmlformats.org/officeDocument/2006/relationships/hyperlink" Target="https://finance.yahoo.com/quote/3690.HK/?p=3690.HK" TargetMode="External"/><Relationship Id="rId46" Type="http://schemas.openxmlformats.org/officeDocument/2006/relationships/hyperlink" Target="https://finance.yahoo.com/quote/1929.hk/?p=1929.hk" TargetMode="External"/><Relationship Id="rId45" Type="http://schemas.openxmlformats.org/officeDocument/2006/relationships/hyperlink" Target="http://1929.hk" TargetMode="External"/><Relationship Id="rId509" Type="http://schemas.openxmlformats.org/officeDocument/2006/relationships/hyperlink" Target="https://finance.yahoo.com/quote/AMZN/?p=AMZN" TargetMode="External"/><Relationship Id="rId508" Type="http://schemas.openxmlformats.org/officeDocument/2006/relationships/hyperlink" Target="https://finance.yahoo.com/quote/0700.HK/?p=0700.HK" TargetMode="External"/><Relationship Id="rId503" Type="http://schemas.openxmlformats.org/officeDocument/2006/relationships/hyperlink" Target="https://finance.yahoo.com/quote/0700.HK/?p=0700.HK" TargetMode="External"/><Relationship Id="rId745" Type="http://schemas.openxmlformats.org/officeDocument/2006/relationships/hyperlink" Target="http://3047.hk" TargetMode="External"/><Relationship Id="rId987" Type="http://schemas.openxmlformats.org/officeDocument/2006/relationships/hyperlink" Target="https://finance.yahoo.com/quote/SNPS/?p=SNPS" TargetMode="External"/><Relationship Id="rId502" Type="http://schemas.openxmlformats.org/officeDocument/2006/relationships/hyperlink" Target="http://0700.hk" TargetMode="External"/><Relationship Id="rId744" Type="http://schemas.openxmlformats.org/officeDocument/2006/relationships/hyperlink" Target="https://finance.yahoo.com/quote/SARK/?p=SARK" TargetMode="External"/><Relationship Id="rId986" Type="http://schemas.openxmlformats.org/officeDocument/2006/relationships/hyperlink" Target="https://finance.yahoo.com/quote/NET/?p=NET" TargetMode="External"/><Relationship Id="rId501" Type="http://schemas.openxmlformats.org/officeDocument/2006/relationships/hyperlink" Target="https://finance.yahoo.com/quote/BABA/?p=BABA" TargetMode="External"/><Relationship Id="rId743" Type="http://schemas.openxmlformats.org/officeDocument/2006/relationships/hyperlink" Target="https://finance.yahoo.com/quote/ARKK/?p=ARKK" TargetMode="External"/><Relationship Id="rId985" Type="http://schemas.openxmlformats.org/officeDocument/2006/relationships/hyperlink" Target="https://finance.yahoo.com/quote/9988.hk/?p=9988.hk" TargetMode="External"/><Relationship Id="rId500" Type="http://schemas.openxmlformats.org/officeDocument/2006/relationships/hyperlink" Target="https://finance.yahoo.com/quote/0700.HK/?p=0700.HK" TargetMode="External"/><Relationship Id="rId742" Type="http://schemas.openxmlformats.org/officeDocument/2006/relationships/hyperlink" Target="https://finance.yahoo.com/quote/ARKK/?p=ARKK" TargetMode="External"/><Relationship Id="rId984" Type="http://schemas.openxmlformats.org/officeDocument/2006/relationships/hyperlink" Target="http://9988.hk" TargetMode="External"/><Relationship Id="rId507" Type="http://schemas.openxmlformats.org/officeDocument/2006/relationships/hyperlink" Target="http://0700.hk" TargetMode="External"/><Relationship Id="rId749" Type="http://schemas.openxmlformats.org/officeDocument/2006/relationships/hyperlink" Target="https://finance.yahoo.com/quote/NET/?p=NET" TargetMode="External"/><Relationship Id="rId506" Type="http://schemas.openxmlformats.org/officeDocument/2006/relationships/hyperlink" Target="https://finance.yahoo.com/quote/GC=F/?p=GC=F" TargetMode="External"/><Relationship Id="rId748" Type="http://schemas.openxmlformats.org/officeDocument/2006/relationships/hyperlink" Target="https://finance.yahoo.com/quote/9988.HK/?p=9988.HK" TargetMode="External"/><Relationship Id="rId505" Type="http://schemas.openxmlformats.org/officeDocument/2006/relationships/hyperlink" Target="https://finance.yahoo.com/quote/AMZN/?p=AMZN" TargetMode="External"/><Relationship Id="rId747" Type="http://schemas.openxmlformats.org/officeDocument/2006/relationships/hyperlink" Target="http://9988.hk" TargetMode="External"/><Relationship Id="rId989" Type="http://schemas.openxmlformats.org/officeDocument/2006/relationships/hyperlink" Target="https://finance.yahoo.com/quote/GBTC/?p=GBTC" TargetMode="External"/><Relationship Id="rId504" Type="http://schemas.openxmlformats.org/officeDocument/2006/relationships/hyperlink" Target="https://finance.yahoo.com/quote/BABA/?p=BABA" TargetMode="External"/><Relationship Id="rId746" Type="http://schemas.openxmlformats.org/officeDocument/2006/relationships/hyperlink" Target="https://finance.yahoo.com/quote/3047.HK/?p=3047.HK" TargetMode="External"/><Relationship Id="rId988" Type="http://schemas.openxmlformats.org/officeDocument/2006/relationships/hyperlink" Target="https://finance.yahoo.com/quote/PANW/?p=PANW" TargetMode="External"/><Relationship Id="rId48" Type="http://schemas.openxmlformats.org/officeDocument/2006/relationships/hyperlink" Target="https://finance.yahoo.com/quote/9988.hk/?p=9988.hk" TargetMode="External"/><Relationship Id="rId47" Type="http://schemas.openxmlformats.org/officeDocument/2006/relationships/hyperlink" Target="http://9988.hk" TargetMode="External"/><Relationship Id="rId49" Type="http://schemas.openxmlformats.org/officeDocument/2006/relationships/hyperlink" Target="http://0293.hk" TargetMode="External"/><Relationship Id="rId741" Type="http://schemas.openxmlformats.org/officeDocument/2006/relationships/hyperlink" Target="https://finance.yahoo.com/quote/SARK/?p=SARK" TargetMode="External"/><Relationship Id="rId983" Type="http://schemas.openxmlformats.org/officeDocument/2006/relationships/hyperlink" Target="https://finance.yahoo.com/quote/LMT/?p=LMT" TargetMode="External"/><Relationship Id="rId1330" Type="http://schemas.openxmlformats.org/officeDocument/2006/relationships/hyperlink" Target="https://finance.yahoo.com/quote/SOXL/?p=SOXL" TargetMode="External"/><Relationship Id="rId740" Type="http://schemas.openxmlformats.org/officeDocument/2006/relationships/hyperlink" Target="https://finance.yahoo.com/quote/0941.HK/?p=0941.HK" TargetMode="External"/><Relationship Id="rId982" Type="http://schemas.openxmlformats.org/officeDocument/2006/relationships/hyperlink" Target="https://finance.yahoo.com/quote/9999.hk/?p=9999.hk" TargetMode="External"/><Relationship Id="rId1331" Type="http://schemas.openxmlformats.org/officeDocument/2006/relationships/hyperlink" Target="http://9988.hk" TargetMode="External"/><Relationship Id="rId981" Type="http://schemas.openxmlformats.org/officeDocument/2006/relationships/hyperlink" Target="http://9999.hk" TargetMode="External"/><Relationship Id="rId1332" Type="http://schemas.openxmlformats.org/officeDocument/2006/relationships/hyperlink" Target="https://finance.yahoo.com/quote/9988.HK/?p=9988.HK" TargetMode="External"/><Relationship Id="rId980" Type="http://schemas.openxmlformats.org/officeDocument/2006/relationships/hyperlink" Target="https://finance.yahoo.com/quote/0700.hk/?p=0700.hk" TargetMode="External"/><Relationship Id="rId1333" Type="http://schemas.openxmlformats.org/officeDocument/2006/relationships/hyperlink" Target="https://finance.yahoo.com/quote/SOXL/?p=SOXL" TargetMode="External"/><Relationship Id="rId1323" Type="http://schemas.openxmlformats.org/officeDocument/2006/relationships/hyperlink" Target="https://finance.yahoo.com/quote/SOFI/?p=SOFI" TargetMode="External"/><Relationship Id="rId1324" Type="http://schemas.openxmlformats.org/officeDocument/2006/relationships/hyperlink" Target="https://finance.yahoo.com/quote/NU/?p=NU" TargetMode="External"/><Relationship Id="rId31" Type="http://schemas.openxmlformats.org/officeDocument/2006/relationships/hyperlink" Target="https://finance.yahoo.com/quote/AMC/?p=AMC" TargetMode="External"/><Relationship Id="rId1325" Type="http://schemas.openxmlformats.org/officeDocument/2006/relationships/hyperlink" Target="https://finance.yahoo.com/quote/YINN/?p=YINN" TargetMode="External"/><Relationship Id="rId30" Type="http://schemas.openxmlformats.org/officeDocument/2006/relationships/hyperlink" Target="https://finance.yahoo.com/quote/MMM/?p=MMM" TargetMode="External"/><Relationship Id="rId1326" Type="http://schemas.openxmlformats.org/officeDocument/2006/relationships/hyperlink" Target="https://finance.yahoo.com/quote/SOXL/?p=SOXL" TargetMode="External"/><Relationship Id="rId33" Type="http://schemas.openxmlformats.org/officeDocument/2006/relationships/hyperlink" Target="https://finance.yahoo.com/quote/FB/?p=FB" TargetMode="External"/><Relationship Id="rId1327" Type="http://schemas.openxmlformats.org/officeDocument/2006/relationships/hyperlink" Target="https://finance.yahoo.com/quote/SBRCY/?p=SBRCY" TargetMode="External"/><Relationship Id="rId32" Type="http://schemas.openxmlformats.org/officeDocument/2006/relationships/hyperlink" Target="https://finance.yahoo.com/quote/MSFT/?p=MSFT" TargetMode="External"/><Relationship Id="rId1328" Type="http://schemas.openxmlformats.org/officeDocument/2006/relationships/hyperlink" Target="https://finance.yahoo.com/quote/SOFI/?p=SOFI" TargetMode="External"/><Relationship Id="rId35" Type="http://schemas.openxmlformats.org/officeDocument/2006/relationships/hyperlink" Target="https://finance.yahoo.com/quote/TSLA/?p=TSLA" TargetMode="External"/><Relationship Id="rId1329" Type="http://schemas.openxmlformats.org/officeDocument/2006/relationships/hyperlink" Target="https://finance.yahoo.com/quote/NU/?p=NU" TargetMode="External"/><Relationship Id="rId34" Type="http://schemas.openxmlformats.org/officeDocument/2006/relationships/hyperlink" Target="https://finance.yahoo.com/quote/GOOG/?p=GOOG" TargetMode="External"/><Relationship Id="rId739" Type="http://schemas.openxmlformats.org/officeDocument/2006/relationships/hyperlink" Target="http://0941.hk" TargetMode="External"/><Relationship Id="rId734" Type="http://schemas.openxmlformats.org/officeDocument/2006/relationships/hyperlink" Target="https://finance.yahoo.com/quote/BRK-B/?p=BRK-B" TargetMode="External"/><Relationship Id="rId976" Type="http://schemas.openxmlformats.org/officeDocument/2006/relationships/hyperlink" Target="https://finance.yahoo.com/quote/9988.hk/?p=9988.hk" TargetMode="External"/><Relationship Id="rId733" Type="http://schemas.openxmlformats.org/officeDocument/2006/relationships/hyperlink" Target="https://finance.yahoo.com/quote/BRK-B/?p=BRK-B" TargetMode="External"/><Relationship Id="rId975" Type="http://schemas.openxmlformats.org/officeDocument/2006/relationships/hyperlink" Target="http://9988.hk" TargetMode="External"/><Relationship Id="rId732" Type="http://schemas.openxmlformats.org/officeDocument/2006/relationships/hyperlink" Target="https://finance.yahoo.com/quote/BAC/?p=BAC" TargetMode="External"/><Relationship Id="rId974" Type="http://schemas.openxmlformats.org/officeDocument/2006/relationships/hyperlink" Target="https://finance.yahoo.com/quote/RBLX/?p=RBLX" TargetMode="External"/><Relationship Id="rId731" Type="http://schemas.openxmlformats.org/officeDocument/2006/relationships/hyperlink" Target="https://finance.yahoo.com/quote/NVDA/?p=NVDA" TargetMode="External"/><Relationship Id="rId973" Type="http://schemas.openxmlformats.org/officeDocument/2006/relationships/hyperlink" Target="https://finance.yahoo.com/quote/LMT/?p=LMT" TargetMode="External"/><Relationship Id="rId738" Type="http://schemas.openxmlformats.org/officeDocument/2006/relationships/hyperlink" Target="https://finance.yahoo.com/quote/9988.HK/?p=9988.HK" TargetMode="External"/><Relationship Id="rId737" Type="http://schemas.openxmlformats.org/officeDocument/2006/relationships/hyperlink" Target="http://9988.hk" TargetMode="External"/><Relationship Id="rId979" Type="http://schemas.openxmlformats.org/officeDocument/2006/relationships/hyperlink" Target="http://0700.hk" TargetMode="External"/><Relationship Id="rId736" Type="http://schemas.openxmlformats.org/officeDocument/2006/relationships/hyperlink" Target="https://finance.yahoo.com/quote/3047.HK/?p=3047.HK" TargetMode="External"/><Relationship Id="rId978" Type="http://schemas.openxmlformats.org/officeDocument/2006/relationships/hyperlink" Target="https://finance.yahoo.com/quote/9999.hk/?p=9999.hk" TargetMode="External"/><Relationship Id="rId735" Type="http://schemas.openxmlformats.org/officeDocument/2006/relationships/hyperlink" Target="http://3047.hk" TargetMode="External"/><Relationship Id="rId977" Type="http://schemas.openxmlformats.org/officeDocument/2006/relationships/hyperlink" Target="http://9999.hk" TargetMode="External"/><Relationship Id="rId37" Type="http://schemas.openxmlformats.org/officeDocument/2006/relationships/hyperlink" Target="https://finance.yahoo.com/quote/BA/?p=BA" TargetMode="External"/><Relationship Id="rId36" Type="http://schemas.openxmlformats.org/officeDocument/2006/relationships/hyperlink" Target="https://finance.yahoo.com/quote/F/?p=F" TargetMode="External"/><Relationship Id="rId39" Type="http://schemas.openxmlformats.org/officeDocument/2006/relationships/hyperlink" Target="https://finance.yahoo.com/quote/OXY/?p=OXY" TargetMode="External"/><Relationship Id="rId38" Type="http://schemas.openxmlformats.org/officeDocument/2006/relationships/hyperlink" Target="https://finance.yahoo.com/quote/BRK-B/?p=BRK-B" TargetMode="External"/><Relationship Id="rId730" Type="http://schemas.openxmlformats.org/officeDocument/2006/relationships/hyperlink" Target="https://finance.yahoo.com/quote/TSLA/?p=TSLA" TargetMode="External"/><Relationship Id="rId972" Type="http://schemas.openxmlformats.org/officeDocument/2006/relationships/hyperlink" Target="https://finance.yahoo.com/quote/LCID/?p=LCID" TargetMode="External"/><Relationship Id="rId971" Type="http://schemas.openxmlformats.org/officeDocument/2006/relationships/hyperlink" Target="https://finance.yahoo.com/quote/BABA/?p=BABA" TargetMode="External"/><Relationship Id="rId1320" Type="http://schemas.openxmlformats.org/officeDocument/2006/relationships/hyperlink" Target="https://finance.yahoo.com/quote/9698.HK/?p=9698.HK" TargetMode="External"/><Relationship Id="rId970" Type="http://schemas.openxmlformats.org/officeDocument/2006/relationships/hyperlink" Target="https://finance.yahoo.com/quote/YINN/?p=YINN" TargetMode="External"/><Relationship Id="rId1321" Type="http://schemas.openxmlformats.org/officeDocument/2006/relationships/hyperlink" Target="http://6969.hk" TargetMode="External"/><Relationship Id="rId1322" Type="http://schemas.openxmlformats.org/officeDocument/2006/relationships/hyperlink" Target="https://finance.yahoo.com/quote/6969.HK/?p=6969.HK" TargetMode="External"/><Relationship Id="rId1114" Type="http://schemas.openxmlformats.org/officeDocument/2006/relationships/hyperlink" Target="https://finance.yahoo.com/quote/9988.HK/?p=9988.HK" TargetMode="External"/><Relationship Id="rId1356" Type="http://schemas.openxmlformats.org/officeDocument/2006/relationships/hyperlink" Target="http://0883.hk" TargetMode="External"/><Relationship Id="rId1115" Type="http://schemas.openxmlformats.org/officeDocument/2006/relationships/hyperlink" Target="http://0700.hk" TargetMode="External"/><Relationship Id="rId1357" Type="http://schemas.openxmlformats.org/officeDocument/2006/relationships/hyperlink" Target="https://finance.yahoo.com/quote/0883.HK/?p=0883.HK" TargetMode="External"/><Relationship Id="rId20" Type="http://schemas.openxmlformats.org/officeDocument/2006/relationships/hyperlink" Target="https://finance.yahoo.com/quote/NKE/?p=NKE" TargetMode="External"/><Relationship Id="rId1116" Type="http://schemas.openxmlformats.org/officeDocument/2006/relationships/hyperlink" Target="https://finance.yahoo.com/quote/0700.HK/?p=0700.HK" TargetMode="External"/><Relationship Id="rId1358" Type="http://schemas.openxmlformats.org/officeDocument/2006/relationships/hyperlink" Target="https://finance.yahoo.com/quote/OXY/?p=OXY" TargetMode="External"/><Relationship Id="rId1117" Type="http://schemas.openxmlformats.org/officeDocument/2006/relationships/hyperlink" Target="https://finance.yahoo.com/quote/TSLA/?p=TSLA" TargetMode="External"/><Relationship Id="rId1359" Type="http://schemas.openxmlformats.org/officeDocument/2006/relationships/hyperlink" Target="https://finance.yahoo.com/quote/BILI/?p=BILI" TargetMode="External"/><Relationship Id="rId22" Type="http://schemas.openxmlformats.org/officeDocument/2006/relationships/hyperlink" Target="http://0700.hk" TargetMode="External"/><Relationship Id="rId1118" Type="http://schemas.openxmlformats.org/officeDocument/2006/relationships/hyperlink" Target="https://finance.yahoo.com/quote/MSFT/?p=MSFT" TargetMode="External"/><Relationship Id="rId21" Type="http://schemas.openxmlformats.org/officeDocument/2006/relationships/hyperlink" Target="https://finance.yahoo.com/quote/DIDI/?p=DIDI" TargetMode="External"/><Relationship Id="rId1119" Type="http://schemas.openxmlformats.org/officeDocument/2006/relationships/hyperlink" Target="https://finance.yahoo.com/quote/NVDA/?p=NVDA" TargetMode="External"/><Relationship Id="rId24" Type="http://schemas.openxmlformats.org/officeDocument/2006/relationships/hyperlink" Target="https://finance.yahoo.com/quote/GOOG/?p=GOOG" TargetMode="External"/><Relationship Id="rId23" Type="http://schemas.openxmlformats.org/officeDocument/2006/relationships/hyperlink" Target="https://finance.yahoo.com/quote/0700.HK/?p=0700.HK" TargetMode="External"/><Relationship Id="rId525" Type="http://schemas.openxmlformats.org/officeDocument/2006/relationships/hyperlink" Target="http://2196.hk" TargetMode="External"/><Relationship Id="rId767" Type="http://schemas.openxmlformats.org/officeDocument/2006/relationships/hyperlink" Target="https://finance.yahoo.com/quote/9988.HK/?p=9988.HK" TargetMode="External"/><Relationship Id="rId524" Type="http://schemas.openxmlformats.org/officeDocument/2006/relationships/hyperlink" Target="https://finance.yahoo.com/quote/NTDOY/?p=NTDOY" TargetMode="External"/><Relationship Id="rId766" Type="http://schemas.openxmlformats.org/officeDocument/2006/relationships/hyperlink" Target="http://9988.hk" TargetMode="External"/><Relationship Id="rId523" Type="http://schemas.openxmlformats.org/officeDocument/2006/relationships/hyperlink" Target="https://finance.yahoo.com/quote/SONY/?p=SONY" TargetMode="External"/><Relationship Id="rId765" Type="http://schemas.openxmlformats.org/officeDocument/2006/relationships/hyperlink" Target="https://finance.yahoo.com/quote/0700.HK/?p=0700.HK" TargetMode="External"/><Relationship Id="rId522" Type="http://schemas.openxmlformats.org/officeDocument/2006/relationships/hyperlink" Target="https://finance.yahoo.com/quote/NVDA/?p=NVDA" TargetMode="External"/><Relationship Id="rId764" Type="http://schemas.openxmlformats.org/officeDocument/2006/relationships/hyperlink" Target="http://0700.hk" TargetMode="External"/><Relationship Id="rId529" Type="http://schemas.openxmlformats.org/officeDocument/2006/relationships/hyperlink" Target="https://finance.yahoo.com/quote/TSLA/?p=TSLA" TargetMode="External"/><Relationship Id="rId528" Type="http://schemas.openxmlformats.org/officeDocument/2006/relationships/hyperlink" Target="https://finance.yahoo.com/quote/9868.HK/?p=9868.HK" TargetMode="External"/><Relationship Id="rId527" Type="http://schemas.openxmlformats.org/officeDocument/2006/relationships/hyperlink" Target="http://9868.hk" TargetMode="External"/><Relationship Id="rId769" Type="http://schemas.openxmlformats.org/officeDocument/2006/relationships/hyperlink" Target="https://finance.yahoo.com/quote/0700.HK/?p=0700.HK" TargetMode="External"/><Relationship Id="rId526" Type="http://schemas.openxmlformats.org/officeDocument/2006/relationships/hyperlink" Target="https://finance.yahoo.com/quote/2196.HK/?p=2196.HK" TargetMode="External"/><Relationship Id="rId768" Type="http://schemas.openxmlformats.org/officeDocument/2006/relationships/hyperlink" Target="http://0700.hk" TargetMode="External"/><Relationship Id="rId26" Type="http://schemas.openxmlformats.org/officeDocument/2006/relationships/hyperlink" Target="https://finance.yahoo.com/quote/MSFT/?p=MSFT" TargetMode="External"/><Relationship Id="rId25" Type="http://schemas.openxmlformats.org/officeDocument/2006/relationships/hyperlink" Target="https://finance.yahoo.com/quote/FB/?p=FB" TargetMode="External"/><Relationship Id="rId28" Type="http://schemas.openxmlformats.org/officeDocument/2006/relationships/hyperlink" Target="https://finance.yahoo.com/quote/F/?p=F" TargetMode="External"/><Relationship Id="rId1350" Type="http://schemas.openxmlformats.org/officeDocument/2006/relationships/hyperlink" Target="https://finance.yahoo.com/quote/%5EHSI/?p=%5EHSI" TargetMode="External"/><Relationship Id="rId27" Type="http://schemas.openxmlformats.org/officeDocument/2006/relationships/hyperlink" Target="https://finance.yahoo.com/quote/TSLA/?p=TSLA" TargetMode="External"/><Relationship Id="rId1351" Type="http://schemas.openxmlformats.org/officeDocument/2006/relationships/hyperlink" Target="https://finance.yahoo.com/quote/MARA/?p=MARA" TargetMode="External"/><Relationship Id="rId521" Type="http://schemas.openxmlformats.org/officeDocument/2006/relationships/hyperlink" Target="https://finance.yahoo.com/quote/UBI.PA/?p=UBI.PA" TargetMode="External"/><Relationship Id="rId763" Type="http://schemas.openxmlformats.org/officeDocument/2006/relationships/hyperlink" Target="https://finance.yahoo.com/quote/0700.HK/?p=0700.HK" TargetMode="External"/><Relationship Id="rId1110" Type="http://schemas.openxmlformats.org/officeDocument/2006/relationships/hyperlink" Target="https://finance.yahoo.com/quote/300147.SZ/?p=300147.SZ" TargetMode="External"/><Relationship Id="rId1352" Type="http://schemas.openxmlformats.org/officeDocument/2006/relationships/hyperlink" Target="http://0700.hk" TargetMode="External"/><Relationship Id="rId29" Type="http://schemas.openxmlformats.org/officeDocument/2006/relationships/hyperlink" Target="https://finance.yahoo.com/quote/BA/?p=BA" TargetMode="External"/><Relationship Id="rId520" Type="http://schemas.openxmlformats.org/officeDocument/2006/relationships/hyperlink" Target="http://ubi.pa" TargetMode="External"/><Relationship Id="rId762" Type="http://schemas.openxmlformats.org/officeDocument/2006/relationships/hyperlink" Target="http://0700.hk" TargetMode="External"/><Relationship Id="rId1111" Type="http://schemas.openxmlformats.org/officeDocument/2006/relationships/hyperlink" Target="http://603963.ss" TargetMode="External"/><Relationship Id="rId1353" Type="http://schemas.openxmlformats.org/officeDocument/2006/relationships/hyperlink" Target="https://finance.yahoo.com/quote/0700.HK/?p=0700.HK" TargetMode="External"/><Relationship Id="rId761" Type="http://schemas.openxmlformats.org/officeDocument/2006/relationships/hyperlink" Target="https://finance.yahoo.com/quote/SARK/?p=SARK" TargetMode="External"/><Relationship Id="rId1112" Type="http://schemas.openxmlformats.org/officeDocument/2006/relationships/hyperlink" Target="https://finance.yahoo.com/quote/603963.SS/?p=603963.SS" TargetMode="External"/><Relationship Id="rId1354" Type="http://schemas.openxmlformats.org/officeDocument/2006/relationships/hyperlink" Target="http://0700.hk" TargetMode="External"/><Relationship Id="rId760" Type="http://schemas.openxmlformats.org/officeDocument/2006/relationships/hyperlink" Target="https://finance.yahoo.com/quote/SARK/?p=SARK" TargetMode="External"/><Relationship Id="rId1113" Type="http://schemas.openxmlformats.org/officeDocument/2006/relationships/hyperlink" Target="http://9988.hk" TargetMode="External"/><Relationship Id="rId1355" Type="http://schemas.openxmlformats.org/officeDocument/2006/relationships/hyperlink" Target="https://finance.yahoo.com/quote/0700.HK/?p=0700.HK" TargetMode="External"/><Relationship Id="rId1103" Type="http://schemas.openxmlformats.org/officeDocument/2006/relationships/hyperlink" Target="http://002670.sz" TargetMode="External"/><Relationship Id="rId1345" Type="http://schemas.openxmlformats.org/officeDocument/2006/relationships/hyperlink" Target="https://finance.yahoo.com/quote/3833.HK/?p=3833.HK" TargetMode="External"/><Relationship Id="rId1104" Type="http://schemas.openxmlformats.org/officeDocument/2006/relationships/hyperlink" Target="https://finance.yahoo.com/quote/002670.SZ/?p=002670.SZ" TargetMode="External"/><Relationship Id="rId1346" Type="http://schemas.openxmlformats.org/officeDocument/2006/relationships/hyperlink" Target="https://finance.yahoo.com/quote/TCEHY/?p=TCEHY" TargetMode="External"/><Relationship Id="rId1105" Type="http://schemas.openxmlformats.org/officeDocument/2006/relationships/hyperlink" Target="http://603538.ss" TargetMode="External"/><Relationship Id="rId1347" Type="http://schemas.openxmlformats.org/officeDocument/2006/relationships/hyperlink" Target="https://finance.yahoo.com/quote/TCEHY/?p=TCEHY" TargetMode="External"/><Relationship Id="rId1106" Type="http://schemas.openxmlformats.org/officeDocument/2006/relationships/hyperlink" Target="https://finance.yahoo.com/quote/603538.SS/?p=603538.SS" TargetMode="External"/><Relationship Id="rId1348" Type="http://schemas.openxmlformats.org/officeDocument/2006/relationships/hyperlink" Target="http://3690.hk" TargetMode="External"/><Relationship Id="rId11" Type="http://schemas.openxmlformats.org/officeDocument/2006/relationships/hyperlink" Target="https://finance.yahoo.com/quote/AMZN/?p=AMZN" TargetMode="External"/><Relationship Id="rId1107" Type="http://schemas.openxmlformats.org/officeDocument/2006/relationships/hyperlink" Target="http://688076.ss" TargetMode="External"/><Relationship Id="rId1349" Type="http://schemas.openxmlformats.org/officeDocument/2006/relationships/hyperlink" Target="https://finance.yahoo.com/quote/3690.HK/?p=3690.HK" TargetMode="External"/><Relationship Id="rId10" Type="http://schemas.openxmlformats.org/officeDocument/2006/relationships/hyperlink" Target="https://finance.yahoo.com/quote/MSFT/?p=MSFT" TargetMode="External"/><Relationship Id="rId1108" Type="http://schemas.openxmlformats.org/officeDocument/2006/relationships/hyperlink" Target="https://finance.yahoo.com/quote/688076.SS/?p=688076.SS" TargetMode="External"/><Relationship Id="rId13" Type="http://schemas.openxmlformats.org/officeDocument/2006/relationships/hyperlink" Target="https://finance.yahoo.com/quote/SHOP/?p=SHOP" TargetMode="External"/><Relationship Id="rId1109" Type="http://schemas.openxmlformats.org/officeDocument/2006/relationships/hyperlink" Target="http://300147.sz" TargetMode="External"/><Relationship Id="rId12" Type="http://schemas.openxmlformats.org/officeDocument/2006/relationships/hyperlink" Target="https://finance.yahoo.com/quote/%5ECMC200/?p=%5ECMC200" TargetMode="External"/><Relationship Id="rId519" Type="http://schemas.openxmlformats.org/officeDocument/2006/relationships/hyperlink" Target="https://finance.yahoo.com/quote/MSFT/?p=MSFT" TargetMode="External"/><Relationship Id="rId514" Type="http://schemas.openxmlformats.org/officeDocument/2006/relationships/hyperlink" Target="https://finance.yahoo.com/quote/AMZN/?p=AMZN" TargetMode="External"/><Relationship Id="rId756" Type="http://schemas.openxmlformats.org/officeDocument/2006/relationships/hyperlink" Target="https://finance.yahoo.com/quote/9988.HK/?p=9988.HK" TargetMode="External"/><Relationship Id="rId998" Type="http://schemas.openxmlformats.org/officeDocument/2006/relationships/hyperlink" Target="https://finance.yahoo.com/quote/600519.SS/?p=600519.SS" TargetMode="External"/><Relationship Id="rId513" Type="http://schemas.openxmlformats.org/officeDocument/2006/relationships/hyperlink" Target="https://finance.yahoo.com/quote/0700.HK/?p=0700.HK" TargetMode="External"/><Relationship Id="rId755" Type="http://schemas.openxmlformats.org/officeDocument/2006/relationships/hyperlink" Target="http://9988.hk" TargetMode="External"/><Relationship Id="rId997" Type="http://schemas.openxmlformats.org/officeDocument/2006/relationships/hyperlink" Target="http://600519.ss" TargetMode="External"/><Relationship Id="rId512" Type="http://schemas.openxmlformats.org/officeDocument/2006/relationships/hyperlink" Target="http://0700.hk" TargetMode="External"/><Relationship Id="rId754" Type="http://schemas.openxmlformats.org/officeDocument/2006/relationships/hyperlink" Target="https://finance.yahoo.com/quote/SARK/?p=SARK" TargetMode="External"/><Relationship Id="rId996" Type="http://schemas.openxmlformats.org/officeDocument/2006/relationships/hyperlink" Target="https://finance.yahoo.com/quote/WEAT/?p=WEAT" TargetMode="External"/><Relationship Id="rId511" Type="http://schemas.openxmlformats.org/officeDocument/2006/relationships/hyperlink" Target="https://finance.yahoo.com/quote/BABA/?p=BABA" TargetMode="External"/><Relationship Id="rId753" Type="http://schemas.openxmlformats.org/officeDocument/2006/relationships/hyperlink" Target="https://finance.yahoo.com/quote/SARK/?p=SARK" TargetMode="External"/><Relationship Id="rId995" Type="http://schemas.openxmlformats.org/officeDocument/2006/relationships/hyperlink" Target="https://finance.yahoo.com/quote/UVXY/?p=UVXY" TargetMode="External"/><Relationship Id="rId518" Type="http://schemas.openxmlformats.org/officeDocument/2006/relationships/hyperlink" Target="https://finance.yahoo.com/quote/BABA/?p=BABA" TargetMode="External"/><Relationship Id="rId517" Type="http://schemas.openxmlformats.org/officeDocument/2006/relationships/hyperlink" Target="https://finance.yahoo.com/quote/CL=F/?p=CL=F" TargetMode="External"/><Relationship Id="rId759" Type="http://schemas.openxmlformats.org/officeDocument/2006/relationships/hyperlink" Target="https://finance.yahoo.com/quote/SARK/?p=SARK" TargetMode="External"/><Relationship Id="rId516" Type="http://schemas.openxmlformats.org/officeDocument/2006/relationships/hyperlink" Target="https://finance.yahoo.com/quote/BABA/?p=BABA" TargetMode="External"/><Relationship Id="rId758" Type="http://schemas.openxmlformats.org/officeDocument/2006/relationships/hyperlink" Target="https://finance.yahoo.com/quote/3047.HK/?p=3047.HK" TargetMode="External"/><Relationship Id="rId515" Type="http://schemas.openxmlformats.org/officeDocument/2006/relationships/hyperlink" Target="https://finance.yahoo.com/quote/AAPL/?p=AAPL" TargetMode="External"/><Relationship Id="rId757" Type="http://schemas.openxmlformats.org/officeDocument/2006/relationships/hyperlink" Target="http://3047.hk" TargetMode="External"/><Relationship Id="rId999" Type="http://schemas.openxmlformats.org/officeDocument/2006/relationships/hyperlink" Target="http://600519.ss" TargetMode="External"/><Relationship Id="rId15" Type="http://schemas.openxmlformats.org/officeDocument/2006/relationships/hyperlink" Target="https://finance.yahoo.com/quote/PFE/?p=PFE" TargetMode="External"/><Relationship Id="rId990" Type="http://schemas.openxmlformats.org/officeDocument/2006/relationships/hyperlink" Target="https://finance.yahoo.com/quote/F/?p=F" TargetMode="External"/><Relationship Id="rId14" Type="http://schemas.openxmlformats.org/officeDocument/2006/relationships/hyperlink" Target="https://finance.yahoo.com/quote/%5EN225/?p=%5EN225" TargetMode="External"/><Relationship Id="rId17" Type="http://schemas.openxmlformats.org/officeDocument/2006/relationships/hyperlink" Target="https://finance.yahoo.com/quote/NFLX/?p=NFLX" TargetMode="External"/><Relationship Id="rId16" Type="http://schemas.openxmlformats.org/officeDocument/2006/relationships/hyperlink" Target="https://finance.yahoo.com/quote/LUNA1-USD/?p=LUNA1-USD" TargetMode="External"/><Relationship Id="rId1340" Type="http://schemas.openxmlformats.org/officeDocument/2006/relationships/hyperlink" Target="http://0708.hk" TargetMode="External"/><Relationship Id="rId19" Type="http://schemas.openxmlformats.org/officeDocument/2006/relationships/hyperlink" Target="https://finance.yahoo.com/quote/CL=F/?p=CL=F" TargetMode="External"/><Relationship Id="rId510" Type="http://schemas.openxmlformats.org/officeDocument/2006/relationships/hyperlink" Target="https://finance.yahoo.com/quote/AAPL/?p=AAPL" TargetMode="External"/><Relationship Id="rId752" Type="http://schemas.openxmlformats.org/officeDocument/2006/relationships/hyperlink" Target="https://finance.yahoo.com/quote/SARK/?p=SARK" TargetMode="External"/><Relationship Id="rId994" Type="http://schemas.openxmlformats.org/officeDocument/2006/relationships/hyperlink" Target="https://finance.yahoo.com/quote/UVXY/?p=UVXY" TargetMode="External"/><Relationship Id="rId1341" Type="http://schemas.openxmlformats.org/officeDocument/2006/relationships/hyperlink" Target="https://finance.yahoo.com/quote/0708.HK/?p=0708.HK" TargetMode="External"/><Relationship Id="rId18" Type="http://schemas.openxmlformats.org/officeDocument/2006/relationships/hyperlink" Target="https://finance.yahoo.com/quote/NVDA/?p=NVDA" TargetMode="External"/><Relationship Id="rId751" Type="http://schemas.openxmlformats.org/officeDocument/2006/relationships/hyperlink" Target="https://finance.yahoo.com/quote/9988.HK/?p=9988.HK" TargetMode="External"/><Relationship Id="rId993" Type="http://schemas.openxmlformats.org/officeDocument/2006/relationships/hyperlink" Target="https://finance.yahoo.com/quote/f/?p=f" TargetMode="External"/><Relationship Id="rId1100" Type="http://schemas.openxmlformats.org/officeDocument/2006/relationships/hyperlink" Target="https://finance.yahoo.com/quote/600227.SS/?p=600227.SS" TargetMode="External"/><Relationship Id="rId1342" Type="http://schemas.openxmlformats.org/officeDocument/2006/relationships/hyperlink" Target="https://finance.yahoo.com/quote/TCEHY/?p=TCEHY" TargetMode="External"/><Relationship Id="rId750" Type="http://schemas.openxmlformats.org/officeDocument/2006/relationships/hyperlink" Target="http://9988.hk" TargetMode="External"/><Relationship Id="rId992" Type="http://schemas.openxmlformats.org/officeDocument/2006/relationships/hyperlink" Target="https://finance.yahoo.com/quote/GBTC/?p=GBTC" TargetMode="External"/><Relationship Id="rId1101" Type="http://schemas.openxmlformats.org/officeDocument/2006/relationships/hyperlink" Target="http://000999.sz" TargetMode="External"/><Relationship Id="rId1343" Type="http://schemas.openxmlformats.org/officeDocument/2006/relationships/hyperlink" Target="https://finance.yahoo.com/quote/SBRCY/?p=SBRCY" TargetMode="External"/><Relationship Id="rId991" Type="http://schemas.openxmlformats.org/officeDocument/2006/relationships/hyperlink" Target="https://finance.yahoo.com/quote/MSFT/?p=MSFT" TargetMode="External"/><Relationship Id="rId1102" Type="http://schemas.openxmlformats.org/officeDocument/2006/relationships/hyperlink" Target="https://finance.yahoo.com/quote/000999.SZ/?p=000999.SZ" TargetMode="External"/><Relationship Id="rId1344" Type="http://schemas.openxmlformats.org/officeDocument/2006/relationships/hyperlink" Target="http://3833.hk" TargetMode="External"/><Relationship Id="rId84" Type="http://schemas.openxmlformats.org/officeDocument/2006/relationships/hyperlink" Target="https://finance.yahoo.com/quote/TSLA/?p=TSLA" TargetMode="External"/><Relationship Id="rId83" Type="http://schemas.openxmlformats.org/officeDocument/2006/relationships/hyperlink" Target="https://finance.yahoo.com/quote/AAPL/?p=AAPL" TargetMode="External"/><Relationship Id="rId86" Type="http://schemas.openxmlformats.org/officeDocument/2006/relationships/hyperlink" Target="https://www.bondsupermart.com/bsm/general-search/US023135AN60" TargetMode="External"/><Relationship Id="rId85" Type="http://schemas.openxmlformats.org/officeDocument/2006/relationships/hyperlink" Target="https://finance.yahoo.com/quote/VYGLX/?p=VYGLX" TargetMode="External"/><Relationship Id="rId88" Type="http://schemas.openxmlformats.org/officeDocument/2006/relationships/hyperlink" Target="https://finance.yahoo.com/quote/WMT/?p=WMT" TargetMode="External"/><Relationship Id="rId87" Type="http://schemas.openxmlformats.org/officeDocument/2006/relationships/hyperlink" Target="https://finance.yahoo.com/quote/AAPL/?p=AAPL" TargetMode="External"/><Relationship Id="rId89" Type="http://schemas.openxmlformats.org/officeDocument/2006/relationships/hyperlink" Target="https://finance.yahoo.com/quote/WMT/?p=WMT" TargetMode="External"/><Relationship Id="rId709" Type="http://schemas.openxmlformats.org/officeDocument/2006/relationships/hyperlink" Target="https://finance.yahoo.com/quote/RBLX/?p=RBLX" TargetMode="External"/><Relationship Id="rId708" Type="http://schemas.openxmlformats.org/officeDocument/2006/relationships/hyperlink" Target="https://finance.yahoo.com/quote/GOOG/?p=GOOG" TargetMode="External"/><Relationship Id="rId707" Type="http://schemas.openxmlformats.org/officeDocument/2006/relationships/hyperlink" Target="https://finance.yahoo.com/quote/0883.hk/?p=0883.hk" TargetMode="External"/><Relationship Id="rId949" Type="http://schemas.openxmlformats.org/officeDocument/2006/relationships/hyperlink" Target="http://9868.hk" TargetMode="External"/><Relationship Id="rId706" Type="http://schemas.openxmlformats.org/officeDocument/2006/relationships/hyperlink" Target="http://0883.hk" TargetMode="External"/><Relationship Id="rId948" Type="http://schemas.openxmlformats.org/officeDocument/2006/relationships/hyperlink" Target="https://finance.yahoo.com/quote/0700.HK/?p=0700.HK" TargetMode="External"/><Relationship Id="rId80" Type="http://schemas.openxmlformats.org/officeDocument/2006/relationships/hyperlink" Target="https://finance.yahoo.com/quote/SONY/?p=SONY" TargetMode="External"/><Relationship Id="rId82" Type="http://schemas.openxmlformats.org/officeDocument/2006/relationships/hyperlink" Target="https://finance.yahoo.com/quote/DIS/?p=DIS" TargetMode="External"/><Relationship Id="rId81" Type="http://schemas.openxmlformats.org/officeDocument/2006/relationships/hyperlink" Target="https://finance.yahoo.com/quote/BABA/?p=BABA" TargetMode="External"/><Relationship Id="rId701" Type="http://schemas.openxmlformats.org/officeDocument/2006/relationships/hyperlink" Target="https://finance.yahoo.com/quote/BTC-USD/?p=BTC-USD" TargetMode="External"/><Relationship Id="rId943" Type="http://schemas.openxmlformats.org/officeDocument/2006/relationships/hyperlink" Target="http://3800.hk" TargetMode="External"/><Relationship Id="rId700" Type="http://schemas.openxmlformats.org/officeDocument/2006/relationships/hyperlink" Target="https://finance.yahoo.com/quote/FB/?p=FB" TargetMode="External"/><Relationship Id="rId942" Type="http://schemas.openxmlformats.org/officeDocument/2006/relationships/hyperlink" Target="https://finance.yahoo.com/quote/0700.HK/?p=0700.HK" TargetMode="External"/><Relationship Id="rId941" Type="http://schemas.openxmlformats.org/officeDocument/2006/relationships/hyperlink" Target="http://0700.hk" TargetMode="External"/><Relationship Id="rId940" Type="http://schemas.openxmlformats.org/officeDocument/2006/relationships/hyperlink" Target="https://finance.yahoo.com/quote/XLE/?p=XLE" TargetMode="External"/><Relationship Id="rId705" Type="http://schemas.openxmlformats.org/officeDocument/2006/relationships/hyperlink" Target="https://finance.yahoo.com/quote/BTC-USD/?p=BTC-USD" TargetMode="External"/><Relationship Id="rId947" Type="http://schemas.openxmlformats.org/officeDocument/2006/relationships/hyperlink" Target="http://0700.hk" TargetMode="External"/><Relationship Id="rId704" Type="http://schemas.openxmlformats.org/officeDocument/2006/relationships/hyperlink" Target="https://finance.yahoo.com/quote/TSLA/?p=TSLA" TargetMode="External"/><Relationship Id="rId946" Type="http://schemas.openxmlformats.org/officeDocument/2006/relationships/hyperlink" Target="https://finance.yahoo.com/quote/0700.HK/?p=0700.HK" TargetMode="External"/><Relationship Id="rId703" Type="http://schemas.openxmlformats.org/officeDocument/2006/relationships/hyperlink" Target="https://finance.yahoo.com/quote/MCD/?p=MCD" TargetMode="External"/><Relationship Id="rId945" Type="http://schemas.openxmlformats.org/officeDocument/2006/relationships/hyperlink" Target="http://0700.hk" TargetMode="External"/><Relationship Id="rId702" Type="http://schemas.openxmlformats.org/officeDocument/2006/relationships/hyperlink" Target="https://finance.yahoo.com/quote/NFLX/?p=NFLX" TargetMode="External"/><Relationship Id="rId944" Type="http://schemas.openxmlformats.org/officeDocument/2006/relationships/hyperlink" Target="https://finance.yahoo.com/quote/3800.HK/?p=3800.HK" TargetMode="External"/><Relationship Id="rId73" Type="http://schemas.openxmlformats.org/officeDocument/2006/relationships/hyperlink" Target="https://finance.yahoo.com/quote/ANPDY/?p=ANPDY" TargetMode="External"/><Relationship Id="rId72" Type="http://schemas.openxmlformats.org/officeDocument/2006/relationships/hyperlink" Target="https://finance.yahoo.com/quote/TSLA/?p=TSLA" TargetMode="External"/><Relationship Id="rId75" Type="http://schemas.openxmlformats.org/officeDocument/2006/relationships/hyperlink" Target="https://finance.yahoo.com/quote/GOLD/?p=GOLD" TargetMode="External"/><Relationship Id="rId74" Type="http://schemas.openxmlformats.org/officeDocument/2006/relationships/hyperlink" Target="https://finance.yahoo.com/quote/GOLD/?p=GOLD" TargetMode="External"/><Relationship Id="rId77" Type="http://schemas.openxmlformats.org/officeDocument/2006/relationships/hyperlink" Target="https://finance.yahoo.com/quote/ANPDY/?p=ANPDY" TargetMode="External"/><Relationship Id="rId76" Type="http://schemas.openxmlformats.org/officeDocument/2006/relationships/hyperlink" Target="https://finance.yahoo.com/quote/TSLA/?p=TSLA" TargetMode="External"/><Relationship Id="rId79" Type="http://schemas.openxmlformats.org/officeDocument/2006/relationships/hyperlink" Target="https://finance.yahoo.com/quote/GOLD/?p=GOLD" TargetMode="External"/><Relationship Id="rId78" Type="http://schemas.openxmlformats.org/officeDocument/2006/relationships/hyperlink" Target="https://finance.yahoo.com/quote/TSLA/?p=TSLA" TargetMode="External"/><Relationship Id="rId939" Type="http://schemas.openxmlformats.org/officeDocument/2006/relationships/hyperlink" Target="https://finance.yahoo.com/quote/XLE/?p=XLE" TargetMode="External"/><Relationship Id="rId938" Type="http://schemas.openxmlformats.org/officeDocument/2006/relationships/hyperlink" Target="https://finance.yahoo.com/quote/TSLA/?p=TSLA" TargetMode="External"/><Relationship Id="rId937" Type="http://schemas.openxmlformats.org/officeDocument/2006/relationships/hyperlink" Target="https://finance.yahoo.com/quote/000568.sz/?p=000568.sz" TargetMode="External"/><Relationship Id="rId71" Type="http://schemas.openxmlformats.org/officeDocument/2006/relationships/hyperlink" Target="https://finance.yahoo.com/quote/TSLA/?p=TSLA" TargetMode="External"/><Relationship Id="rId70" Type="http://schemas.openxmlformats.org/officeDocument/2006/relationships/hyperlink" Target="https://finance.yahoo.com/quote/XLV/?p=XLV" TargetMode="External"/><Relationship Id="rId932" Type="http://schemas.openxmlformats.org/officeDocument/2006/relationships/hyperlink" Target="http://000568.sz" TargetMode="External"/><Relationship Id="rId931" Type="http://schemas.openxmlformats.org/officeDocument/2006/relationships/hyperlink" Target="https://finance.yahoo.com/quote/002475.SZ/?p=002475.SZ" TargetMode="External"/><Relationship Id="rId930" Type="http://schemas.openxmlformats.org/officeDocument/2006/relationships/hyperlink" Target="http://002475.sz" TargetMode="External"/><Relationship Id="rId936" Type="http://schemas.openxmlformats.org/officeDocument/2006/relationships/hyperlink" Target="http://000568.sz" TargetMode="External"/><Relationship Id="rId935" Type="http://schemas.openxmlformats.org/officeDocument/2006/relationships/hyperlink" Target="https://finance.yahoo.com/quote/000568.sz/?p=000568.sz" TargetMode="External"/><Relationship Id="rId934" Type="http://schemas.openxmlformats.org/officeDocument/2006/relationships/hyperlink" Target="http://000568.sz" TargetMode="External"/><Relationship Id="rId933" Type="http://schemas.openxmlformats.org/officeDocument/2006/relationships/hyperlink" Target="https://finance.yahoo.com/quote/000568.sz/?p=000568.sz" TargetMode="External"/><Relationship Id="rId62" Type="http://schemas.openxmlformats.org/officeDocument/2006/relationships/hyperlink" Target="https://finance.yahoo.com/quote/XLE/?p=XLE" TargetMode="External"/><Relationship Id="rId1312" Type="http://schemas.openxmlformats.org/officeDocument/2006/relationships/hyperlink" Target="http://9698.hk" TargetMode="External"/><Relationship Id="rId61" Type="http://schemas.openxmlformats.org/officeDocument/2006/relationships/hyperlink" Target="https://finance.yahoo.com/quote/XLP/?p=XLP" TargetMode="External"/><Relationship Id="rId1313" Type="http://schemas.openxmlformats.org/officeDocument/2006/relationships/hyperlink" Target="https://finance.yahoo.com/quote/9698.HK/?p=9698.HK" TargetMode="External"/><Relationship Id="rId64" Type="http://schemas.openxmlformats.org/officeDocument/2006/relationships/hyperlink" Target="https://finance.yahoo.com/quote/XLB/?p=XLB" TargetMode="External"/><Relationship Id="rId1314" Type="http://schemas.openxmlformats.org/officeDocument/2006/relationships/hyperlink" Target="https://finance.yahoo.com/quote/UVXY/?p=UVXY" TargetMode="External"/><Relationship Id="rId63" Type="http://schemas.openxmlformats.org/officeDocument/2006/relationships/hyperlink" Target="https://finance.yahoo.com/quote/XLF/?p=XLF" TargetMode="External"/><Relationship Id="rId1315" Type="http://schemas.openxmlformats.org/officeDocument/2006/relationships/hyperlink" Target="https://finance.yahoo.com/quote/SOFI/?p=SOFI" TargetMode="External"/><Relationship Id="rId66" Type="http://schemas.openxmlformats.org/officeDocument/2006/relationships/hyperlink" Target="https://finance.yahoo.com/quote/XLC/?p=XLC" TargetMode="External"/><Relationship Id="rId1316" Type="http://schemas.openxmlformats.org/officeDocument/2006/relationships/hyperlink" Target="https://finance.yahoo.com/quote/NU/?p=NU" TargetMode="External"/><Relationship Id="rId65" Type="http://schemas.openxmlformats.org/officeDocument/2006/relationships/hyperlink" Target="https://finance.yahoo.com/quote/XLY/?p=XLY" TargetMode="External"/><Relationship Id="rId1317" Type="http://schemas.openxmlformats.org/officeDocument/2006/relationships/hyperlink" Target="https://finance.yahoo.com/quote/YINN/?p=YINN" TargetMode="External"/><Relationship Id="rId68" Type="http://schemas.openxmlformats.org/officeDocument/2006/relationships/hyperlink" Target="https://finance.yahoo.com/quote/XLI/?p=XLI" TargetMode="External"/><Relationship Id="rId1318" Type="http://schemas.openxmlformats.org/officeDocument/2006/relationships/hyperlink" Target="https://finance.yahoo.com/quote/TCEHY/?p=TCEHY" TargetMode="External"/><Relationship Id="rId67" Type="http://schemas.openxmlformats.org/officeDocument/2006/relationships/hyperlink" Target="https://finance.yahoo.com/quote/XLK/?p=XLK" TargetMode="External"/><Relationship Id="rId1319" Type="http://schemas.openxmlformats.org/officeDocument/2006/relationships/hyperlink" Target="http://9698.hk" TargetMode="External"/><Relationship Id="rId729" Type="http://schemas.openxmlformats.org/officeDocument/2006/relationships/hyperlink" Target="https://finance.yahoo.com/quote/SOL-USD/?p=SOL-USD" TargetMode="External"/><Relationship Id="rId728" Type="http://schemas.openxmlformats.org/officeDocument/2006/relationships/hyperlink" Target="https://finance.yahoo.com/quote/SNOW/?p=SNOW" TargetMode="External"/><Relationship Id="rId60" Type="http://schemas.openxmlformats.org/officeDocument/2006/relationships/hyperlink" Target="https://finance.yahoo.com/quote/XLU/?p=XLU" TargetMode="External"/><Relationship Id="rId723" Type="http://schemas.openxmlformats.org/officeDocument/2006/relationships/hyperlink" Target="https://finance.yahoo.com/quote/SNOW/?p=SNOW" TargetMode="External"/><Relationship Id="rId965" Type="http://schemas.openxmlformats.org/officeDocument/2006/relationships/hyperlink" Target="https://finance.yahoo.com/quote/TSLA/?p=TSLA" TargetMode="External"/><Relationship Id="rId722" Type="http://schemas.openxmlformats.org/officeDocument/2006/relationships/hyperlink" Target="https://finance.yahoo.com/quote/BABA/?p=BABA" TargetMode="External"/><Relationship Id="rId964" Type="http://schemas.openxmlformats.org/officeDocument/2006/relationships/hyperlink" Target="https://finance.yahoo.com/quote/TSLA/?p=TSLA" TargetMode="External"/><Relationship Id="rId721" Type="http://schemas.openxmlformats.org/officeDocument/2006/relationships/hyperlink" Target="https://finance.yahoo.com/quote/9988.HK/?p=9988.HK" TargetMode="External"/><Relationship Id="rId963" Type="http://schemas.openxmlformats.org/officeDocument/2006/relationships/hyperlink" Target="https://finance.yahoo.com/quote/3690.hk/?p=3690.hk" TargetMode="External"/><Relationship Id="rId720" Type="http://schemas.openxmlformats.org/officeDocument/2006/relationships/hyperlink" Target="http://9988.hk" TargetMode="External"/><Relationship Id="rId962" Type="http://schemas.openxmlformats.org/officeDocument/2006/relationships/hyperlink" Target="http://3690.hk" TargetMode="External"/><Relationship Id="rId727" Type="http://schemas.openxmlformats.org/officeDocument/2006/relationships/hyperlink" Target="https://finance.yahoo.com/quote/BABA/?p=BABA" TargetMode="External"/><Relationship Id="rId969" Type="http://schemas.openxmlformats.org/officeDocument/2006/relationships/hyperlink" Target="https://finance.yahoo.com/quote/AAPL/?p=AAPL" TargetMode="External"/><Relationship Id="rId726" Type="http://schemas.openxmlformats.org/officeDocument/2006/relationships/hyperlink" Target="https://finance.yahoo.com/quote/TSLA/?p=TSLA" TargetMode="External"/><Relationship Id="rId968" Type="http://schemas.openxmlformats.org/officeDocument/2006/relationships/hyperlink" Target="https://finance.yahoo.com/quote/FB/?p=FB" TargetMode="External"/><Relationship Id="rId725" Type="http://schemas.openxmlformats.org/officeDocument/2006/relationships/hyperlink" Target="https://finance.yahoo.com/quote/SOL-USD/?p=SOL-USD" TargetMode="External"/><Relationship Id="rId967" Type="http://schemas.openxmlformats.org/officeDocument/2006/relationships/hyperlink" Target="https://finance.yahoo.com/quote/3690.hk/?p=3690.hk" TargetMode="External"/><Relationship Id="rId724" Type="http://schemas.openxmlformats.org/officeDocument/2006/relationships/hyperlink" Target="https://finance.yahoo.com/quote/SNOW/?p=SNOW" TargetMode="External"/><Relationship Id="rId966" Type="http://schemas.openxmlformats.org/officeDocument/2006/relationships/hyperlink" Target="http://3690.hk" TargetMode="External"/><Relationship Id="rId69" Type="http://schemas.openxmlformats.org/officeDocument/2006/relationships/hyperlink" Target="https://finance.yahoo.com/quote/XLV/?p=XLV" TargetMode="External"/><Relationship Id="rId961" Type="http://schemas.openxmlformats.org/officeDocument/2006/relationships/hyperlink" Target="https://finance.yahoo.com/quote/0700.hk/?p=0700.hk" TargetMode="External"/><Relationship Id="rId960" Type="http://schemas.openxmlformats.org/officeDocument/2006/relationships/hyperlink" Target="http://0700.hk" TargetMode="External"/><Relationship Id="rId1310" Type="http://schemas.openxmlformats.org/officeDocument/2006/relationships/hyperlink" Target="https://finance.yahoo.com/quote/UVXY/?p=UVXY" TargetMode="External"/><Relationship Id="rId1311" Type="http://schemas.openxmlformats.org/officeDocument/2006/relationships/hyperlink" Target="https://finance.yahoo.com/quote/SOXL/?p=SOXL" TargetMode="External"/><Relationship Id="rId51" Type="http://schemas.openxmlformats.org/officeDocument/2006/relationships/hyperlink" Target="https://finance.yahoo.com/quote/TSLA/?p=TSLA" TargetMode="External"/><Relationship Id="rId1301" Type="http://schemas.openxmlformats.org/officeDocument/2006/relationships/hyperlink" Target="https://finance.yahoo.com/quote/2269.HK/?p=2269.HK" TargetMode="External"/><Relationship Id="rId50" Type="http://schemas.openxmlformats.org/officeDocument/2006/relationships/hyperlink" Target="https://finance.yahoo.com/quote/0293.hk/?p=0293.hk" TargetMode="External"/><Relationship Id="rId1302" Type="http://schemas.openxmlformats.org/officeDocument/2006/relationships/hyperlink" Target="https://finance.yahoo.com/quote/UVXY/?p=UVXY" TargetMode="External"/><Relationship Id="rId53" Type="http://schemas.openxmlformats.org/officeDocument/2006/relationships/hyperlink" Target="https://finance.yahoo.com/quote/TSM/?p=TSM" TargetMode="External"/><Relationship Id="rId1303" Type="http://schemas.openxmlformats.org/officeDocument/2006/relationships/hyperlink" Target="http://9698.hk" TargetMode="External"/><Relationship Id="rId52" Type="http://schemas.openxmlformats.org/officeDocument/2006/relationships/hyperlink" Target="https://finance.yahoo.com/quote/NVDA/?p=NVDA" TargetMode="External"/><Relationship Id="rId1304" Type="http://schemas.openxmlformats.org/officeDocument/2006/relationships/hyperlink" Target="https://finance.yahoo.com/quote/9698.HK/?p=9698.HK" TargetMode="External"/><Relationship Id="rId55" Type="http://schemas.openxmlformats.org/officeDocument/2006/relationships/hyperlink" Target="https://finance.yahoo.com/quote/TSLA/?p=TSLA" TargetMode="External"/><Relationship Id="rId1305" Type="http://schemas.openxmlformats.org/officeDocument/2006/relationships/hyperlink" Target="http://6969.hk" TargetMode="External"/><Relationship Id="rId54" Type="http://schemas.openxmlformats.org/officeDocument/2006/relationships/hyperlink" Target="https://finance.yahoo.com/quote/KO/?p=KO" TargetMode="External"/><Relationship Id="rId1306" Type="http://schemas.openxmlformats.org/officeDocument/2006/relationships/hyperlink" Target="https://finance.yahoo.com/quote/6969.HK/?p=6969.HK" TargetMode="External"/><Relationship Id="rId57" Type="http://schemas.openxmlformats.org/officeDocument/2006/relationships/hyperlink" Target="https://finance.yahoo.com/quote/XLK/?p=XLK" TargetMode="External"/><Relationship Id="rId1307" Type="http://schemas.openxmlformats.org/officeDocument/2006/relationships/hyperlink" Target="http://6969.hk" TargetMode="External"/><Relationship Id="rId56" Type="http://schemas.openxmlformats.org/officeDocument/2006/relationships/hyperlink" Target="https://finance.yahoo.com/quote/005930.KS/?p=005930.KS" TargetMode="External"/><Relationship Id="rId1308" Type="http://schemas.openxmlformats.org/officeDocument/2006/relationships/hyperlink" Target="https://finance.yahoo.com/quote/6969.HK/?p=6969.HK" TargetMode="External"/><Relationship Id="rId1309" Type="http://schemas.openxmlformats.org/officeDocument/2006/relationships/hyperlink" Target="https://finance.yahoo.com/quote/SOFI/?p=SOFI" TargetMode="External"/><Relationship Id="rId719" Type="http://schemas.openxmlformats.org/officeDocument/2006/relationships/hyperlink" Target="https://finance.yahoo.com/quote/GC=F/?p=GC=F" TargetMode="External"/><Relationship Id="rId718" Type="http://schemas.openxmlformats.org/officeDocument/2006/relationships/hyperlink" Target="https://finance.yahoo.com/quote/9988.HK/?p=9988.HK" TargetMode="External"/><Relationship Id="rId717" Type="http://schemas.openxmlformats.org/officeDocument/2006/relationships/hyperlink" Target="http://9988.hk" TargetMode="External"/><Relationship Id="rId959" Type="http://schemas.openxmlformats.org/officeDocument/2006/relationships/hyperlink" Target="https://finance.yahoo.com/quote/1810.hk/?p=1810.hk" TargetMode="External"/><Relationship Id="rId712" Type="http://schemas.openxmlformats.org/officeDocument/2006/relationships/hyperlink" Target="https://finance.yahoo.com/quote/6969.HK/?p=6969.HK" TargetMode="External"/><Relationship Id="rId954" Type="http://schemas.openxmlformats.org/officeDocument/2006/relationships/hyperlink" Target="https://finance.yahoo.com/quote/0241.HK/?p=0241.HK" TargetMode="External"/><Relationship Id="rId711" Type="http://schemas.openxmlformats.org/officeDocument/2006/relationships/hyperlink" Target="http://6969.hk" TargetMode="External"/><Relationship Id="rId953" Type="http://schemas.openxmlformats.org/officeDocument/2006/relationships/hyperlink" Target="http://0241.hk" TargetMode="External"/><Relationship Id="rId710" Type="http://schemas.openxmlformats.org/officeDocument/2006/relationships/hyperlink" Target="https://finance.yahoo.com/quote/BTC-USD/?p=BTC-USD" TargetMode="External"/><Relationship Id="rId952" Type="http://schemas.openxmlformats.org/officeDocument/2006/relationships/hyperlink" Target="https://finance.yahoo.com/quote/9868.HK/?p=9868.HK" TargetMode="External"/><Relationship Id="rId951" Type="http://schemas.openxmlformats.org/officeDocument/2006/relationships/hyperlink" Target="http://9868.hk" TargetMode="External"/><Relationship Id="rId716" Type="http://schemas.openxmlformats.org/officeDocument/2006/relationships/hyperlink" Target="https://finance.yahoo.com/quote/NFLX/?p=NFLX" TargetMode="External"/><Relationship Id="rId958" Type="http://schemas.openxmlformats.org/officeDocument/2006/relationships/hyperlink" Target="http://1810.hk" TargetMode="External"/><Relationship Id="rId715" Type="http://schemas.openxmlformats.org/officeDocument/2006/relationships/hyperlink" Target="https://finance.yahoo.com/quote/AMZN/?p=AMZN" TargetMode="External"/><Relationship Id="rId957" Type="http://schemas.openxmlformats.org/officeDocument/2006/relationships/hyperlink" Target="https://finance.yahoo.com/quote/V/?p=V" TargetMode="External"/><Relationship Id="rId714" Type="http://schemas.openxmlformats.org/officeDocument/2006/relationships/hyperlink" Target="https://finance.yahoo.com/quote/YINN/?p=YINN" TargetMode="External"/><Relationship Id="rId956" Type="http://schemas.openxmlformats.org/officeDocument/2006/relationships/hyperlink" Target="https://finance.yahoo.com/quote/ABNB/?p=ABNB" TargetMode="External"/><Relationship Id="rId713" Type="http://schemas.openxmlformats.org/officeDocument/2006/relationships/hyperlink" Target="https://finance.yahoo.com/quote/TSLA/?p=TSLA" TargetMode="External"/><Relationship Id="rId955" Type="http://schemas.openxmlformats.org/officeDocument/2006/relationships/hyperlink" Target="https://finance.yahoo.com/quote/ABNB/?p=ABNB" TargetMode="External"/><Relationship Id="rId59" Type="http://schemas.openxmlformats.org/officeDocument/2006/relationships/hyperlink" Target="https://finance.yahoo.com/quote/XLRE/?p=XLRE" TargetMode="External"/><Relationship Id="rId58" Type="http://schemas.openxmlformats.org/officeDocument/2006/relationships/hyperlink" Target="https://finance.yahoo.com/quote/XLK/?p=XLK" TargetMode="External"/><Relationship Id="rId950" Type="http://schemas.openxmlformats.org/officeDocument/2006/relationships/hyperlink" Target="https://finance.yahoo.com/quote/9868.HK/?p=9868.HK" TargetMode="External"/><Relationship Id="rId1300" Type="http://schemas.openxmlformats.org/officeDocument/2006/relationships/hyperlink" Target="http://2269.hk" TargetMode="External"/><Relationship Id="rId590" Type="http://schemas.openxmlformats.org/officeDocument/2006/relationships/hyperlink" Target="http://3800.hk" TargetMode="External"/><Relationship Id="rId107" Type="http://schemas.openxmlformats.org/officeDocument/2006/relationships/hyperlink" Target="https://finance.yahoo.com/quote/BA/?p=BA" TargetMode="External"/><Relationship Id="rId349" Type="http://schemas.openxmlformats.org/officeDocument/2006/relationships/hyperlink" Target="https://finance.yahoo.com/quote/XLV/?p=XLV" TargetMode="External"/><Relationship Id="rId106" Type="http://schemas.openxmlformats.org/officeDocument/2006/relationships/hyperlink" Target="https://finance.yahoo.com/quote/BA/?p=BA" TargetMode="External"/><Relationship Id="rId348" Type="http://schemas.openxmlformats.org/officeDocument/2006/relationships/hyperlink" Target="https://finance.yahoo.com/quote/600519.SS/?p=600519.SS" TargetMode="External"/><Relationship Id="rId105" Type="http://schemas.openxmlformats.org/officeDocument/2006/relationships/hyperlink" Target="https://finance.yahoo.com/quote/tcehy/?p=tcehy" TargetMode="External"/><Relationship Id="rId347" Type="http://schemas.openxmlformats.org/officeDocument/2006/relationships/hyperlink" Target="http://600519.ss" TargetMode="External"/><Relationship Id="rId589" Type="http://schemas.openxmlformats.org/officeDocument/2006/relationships/hyperlink" Target="https://finance.yahoo.com/quote/2319.HK/?p=2319.HK" TargetMode="External"/><Relationship Id="rId104" Type="http://schemas.openxmlformats.org/officeDocument/2006/relationships/hyperlink" Target="https://finance.yahoo.com/quote/ATVI/?p=ATVI" TargetMode="External"/><Relationship Id="rId346" Type="http://schemas.openxmlformats.org/officeDocument/2006/relationships/hyperlink" Target="https://finance.yahoo.com/quote/9988.HK/?p=9988.HK" TargetMode="External"/><Relationship Id="rId588" Type="http://schemas.openxmlformats.org/officeDocument/2006/relationships/hyperlink" Target="http://2319.hk" TargetMode="External"/><Relationship Id="rId109" Type="http://schemas.openxmlformats.org/officeDocument/2006/relationships/hyperlink" Target="https://finance.yahoo.com/quote/TSLA/?p=TSLA" TargetMode="External"/><Relationship Id="rId1170" Type="http://schemas.openxmlformats.org/officeDocument/2006/relationships/hyperlink" Target="http://9888.hk" TargetMode="External"/><Relationship Id="rId108" Type="http://schemas.openxmlformats.org/officeDocument/2006/relationships/hyperlink" Target="https://finance.yahoo.com/quote/TSLA/?p=TSLA" TargetMode="External"/><Relationship Id="rId1171" Type="http://schemas.openxmlformats.org/officeDocument/2006/relationships/hyperlink" Target="https://finance.yahoo.com/quote/9888.HK/?p=9888.HK" TargetMode="External"/><Relationship Id="rId341" Type="http://schemas.openxmlformats.org/officeDocument/2006/relationships/hyperlink" Target="https://finance.yahoo.com/quote/600519.SS/?p=600519.SS" TargetMode="External"/><Relationship Id="rId583" Type="http://schemas.openxmlformats.org/officeDocument/2006/relationships/hyperlink" Target="https://finance.yahoo.com/quote/3315.HK/?p=3315.HK" TargetMode="External"/><Relationship Id="rId1172" Type="http://schemas.openxmlformats.org/officeDocument/2006/relationships/hyperlink" Target="http://9888.hk" TargetMode="External"/><Relationship Id="rId340" Type="http://schemas.openxmlformats.org/officeDocument/2006/relationships/hyperlink" Target="http://600519.ss" TargetMode="External"/><Relationship Id="rId582" Type="http://schemas.openxmlformats.org/officeDocument/2006/relationships/hyperlink" Target="http://3315.hk" TargetMode="External"/><Relationship Id="rId1173" Type="http://schemas.openxmlformats.org/officeDocument/2006/relationships/hyperlink" Target="https://finance.yahoo.com/quote/9888.HK/?p=9888.HK" TargetMode="External"/><Relationship Id="rId581" Type="http://schemas.openxmlformats.org/officeDocument/2006/relationships/hyperlink" Target="https://finance.yahoo.com/quote/3800.HK/?p=3800.HK" TargetMode="External"/><Relationship Id="rId1174" Type="http://schemas.openxmlformats.org/officeDocument/2006/relationships/hyperlink" Target="http://1024.hk" TargetMode="External"/><Relationship Id="rId580" Type="http://schemas.openxmlformats.org/officeDocument/2006/relationships/hyperlink" Target="http://3800.hk" TargetMode="External"/><Relationship Id="rId1175" Type="http://schemas.openxmlformats.org/officeDocument/2006/relationships/hyperlink" Target="https://finance.yahoo.com/quote/1024.HK/?p=1024.HK" TargetMode="External"/><Relationship Id="rId103" Type="http://schemas.openxmlformats.org/officeDocument/2006/relationships/hyperlink" Target="https://finance.yahoo.com/quote/SONY/?p=SONY" TargetMode="External"/><Relationship Id="rId345" Type="http://schemas.openxmlformats.org/officeDocument/2006/relationships/hyperlink" Target="http://9988.hk" TargetMode="External"/><Relationship Id="rId587" Type="http://schemas.openxmlformats.org/officeDocument/2006/relationships/hyperlink" Target="https://finance.yahoo.com/quote/0288.HK/?p=0288.HK" TargetMode="External"/><Relationship Id="rId1176" Type="http://schemas.openxmlformats.org/officeDocument/2006/relationships/hyperlink" Target="http://0006.hk" TargetMode="External"/><Relationship Id="rId102" Type="http://schemas.openxmlformats.org/officeDocument/2006/relationships/hyperlink" Target="https://finance.yahoo.com/quote/NVDA/?p=NVDA" TargetMode="External"/><Relationship Id="rId344" Type="http://schemas.openxmlformats.org/officeDocument/2006/relationships/hyperlink" Target="https://finance.yahoo.com/quote/1810.HK/?p=1810.HK" TargetMode="External"/><Relationship Id="rId586" Type="http://schemas.openxmlformats.org/officeDocument/2006/relationships/hyperlink" Target="http://0288.hk" TargetMode="External"/><Relationship Id="rId1177" Type="http://schemas.openxmlformats.org/officeDocument/2006/relationships/hyperlink" Target="https://finance.yahoo.com/quote/0006.HK/?p=0006.HK" TargetMode="External"/><Relationship Id="rId101" Type="http://schemas.openxmlformats.org/officeDocument/2006/relationships/hyperlink" Target="https://finance.yahoo.com/quote/0853.HK/?p=0853.HK" TargetMode="External"/><Relationship Id="rId343" Type="http://schemas.openxmlformats.org/officeDocument/2006/relationships/hyperlink" Target="http://1810.hk" TargetMode="External"/><Relationship Id="rId585" Type="http://schemas.openxmlformats.org/officeDocument/2006/relationships/hyperlink" Target="https://finance.yahoo.com/quote/0700.HK/?p=0700.HK" TargetMode="External"/><Relationship Id="rId1178" Type="http://schemas.openxmlformats.org/officeDocument/2006/relationships/hyperlink" Target="http://9988.hk" TargetMode="External"/><Relationship Id="rId100" Type="http://schemas.openxmlformats.org/officeDocument/2006/relationships/hyperlink" Target="http://0853.hk" TargetMode="External"/><Relationship Id="rId342" Type="http://schemas.openxmlformats.org/officeDocument/2006/relationships/hyperlink" Target="https://finance.yahoo.com/quote/XLV/?p=XLV" TargetMode="External"/><Relationship Id="rId584" Type="http://schemas.openxmlformats.org/officeDocument/2006/relationships/hyperlink" Target="http://0700.hk" TargetMode="External"/><Relationship Id="rId1179" Type="http://schemas.openxmlformats.org/officeDocument/2006/relationships/hyperlink" Target="https://finance.yahoo.com/quote/9988.HK/?p=9988.HK" TargetMode="External"/><Relationship Id="rId1169" Type="http://schemas.openxmlformats.org/officeDocument/2006/relationships/hyperlink" Target="https://finance.yahoo.com/quote/1024.HK/?p=1024.HK" TargetMode="External"/><Relationship Id="rId338" Type="http://schemas.openxmlformats.org/officeDocument/2006/relationships/hyperlink" Target="http://6862.hk" TargetMode="External"/><Relationship Id="rId337" Type="http://schemas.openxmlformats.org/officeDocument/2006/relationships/hyperlink" Target="https://finance.yahoo.com/quote/9988.HK/?p=9988.HK" TargetMode="External"/><Relationship Id="rId579" Type="http://schemas.openxmlformats.org/officeDocument/2006/relationships/hyperlink" Target="https://finance.yahoo.com/quote/3800.HK/?p=3800.HK" TargetMode="External"/><Relationship Id="rId336" Type="http://schemas.openxmlformats.org/officeDocument/2006/relationships/hyperlink" Target="http://9988.hk" TargetMode="External"/><Relationship Id="rId578" Type="http://schemas.openxmlformats.org/officeDocument/2006/relationships/hyperlink" Target="http://3800.hk" TargetMode="External"/><Relationship Id="rId335" Type="http://schemas.openxmlformats.org/officeDocument/2006/relationships/hyperlink" Target="https://finance.yahoo.com/quote/9988.HK/?p=9988.HK" TargetMode="External"/><Relationship Id="rId577" Type="http://schemas.openxmlformats.org/officeDocument/2006/relationships/hyperlink" Target="https://finance.yahoo.com/quote/3800.HK/?p=3800.HK" TargetMode="External"/><Relationship Id="rId339" Type="http://schemas.openxmlformats.org/officeDocument/2006/relationships/hyperlink" Target="https://finance.yahoo.com/quote/6862.HK/?p=6862.HK" TargetMode="External"/><Relationship Id="rId1160" Type="http://schemas.openxmlformats.org/officeDocument/2006/relationships/hyperlink" Target="https://finance.yahoo.com/quote/DIDI/?p=DIDI" TargetMode="External"/><Relationship Id="rId330" Type="http://schemas.openxmlformats.org/officeDocument/2006/relationships/hyperlink" Target="http://6680.hk" TargetMode="External"/><Relationship Id="rId572" Type="http://schemas.openxmlformats.org/officeDocument/2006/relationships/hyperlink" Target="http://3800.hk" TargetMode="External"/><Relationship Id="rId1161" Type="http://schemas.openxmlformats.org/officeDocument/2006/relationships/hyperlink" Target="https://finance.yahoo.com/quote/DIDI/?p=DIDI" TargetMode="External"/><Relationship Id="rId571" Type="http://schemas.openxmlformats.org/officeDocument/2006/relationships/hyperlink" Target="https://finance.yahoo.com/quote/AEP/?p=AEP" TargetMode="External"/><Relationship Id="rId1162" Type="http://schemas.openxmlformats.org/officeDocument/2006/relationships/hyperlink" Target="http://000568.sz" TargetMode="External"/><Relationship Id="rId570" Type="http://schemas.openxmlformats.org/officeDocument/2006/relationships/hyperlink" Target="https://finance.yahoo.com/quote/TWTR/?p=TWTR" TargetMode="External"/><Relationship Id="rId1163" Type="http://schemas.openxmlformats.org/officeDocument/2006/relationships/hyperlink" Target="https://finance.yahoo.com/quote/000568.SZ/?p=000568.SZ" TargetMode="External"/><Relationship Id="rId1164" Type="http://schemas.openxmlformats.org/officeDocument/2006/relationships/hyperlink" Target="http://000568.sz" TargetMode="External"/><Relationship Id="rId334" Type="http://schemas.openxmlformats.org/officeDocument/2006/relationships/hyperlink" Target="http://9988.hk" TargetMode="External"/><Relationship Id="rId576" Type="http://schemas.openxmlformats.org/officeDocument/2006/relationships/hyperlink" Target="http://3800.hk" TargetMode="External"/><Relationship Id="rId1165" Type="http://schemas.openxmlformats.org/officeDocument/2006/relationships/hyperlink" Target="https://finance.yahoo.com/quote/000568.sz/?p=000568.sz" TargetMode="External"/><Relationship Id="rId333" Type="http://schemas.openxmlformats.org/officeDocument/2006/relationships/hyperlink" Target="https://finance.yahoo.com/quote/1024.HK/?p=1024.HK" TargetMode="External"/><Relationship Id="rId575" Type="http://schemas.openxmlformats.org/officeDocument/2006/relationships/hyperlink" Target="https://finance.yahoo.com/quote/1208.HK/?p=1208.HK" TargetMode="External"/><Relationship Id="rId1166" Type="http://schemas.openxmlformats.org/officeDocument/2006/relationships/hyperlink" Target="http://000568.sz" TargetMode="External"/><Relationship Id="rId332" Type="http://schemas.openxmlformats.org/officeDocument/2006/relationships/hyperlink" Target="http://1024.hk" TargetMode="External"/><Relationship Id="rId574" Type="http://schemas.openxmlformats.org/officeDocument/2006/relationships/hyperlink" Target="http://1208.hk" TargetMode="External"/><Relationship Id="rId1167" Type="http://schemas.openxmlformats.org/officeDocument/2006/relationships/hyperlink" Target="https://finance.yahoo.com/quote/000568.sz/?p=000568.sz" TargetMode="External"/><Relationship Id="rId331" Type="http://schemas.openxmlformats.org/officeDocument/2006/relationships/hyperlink" Target="https://finance.yahoo.com/quote/6680.HK/?p=6680.HK" TargetMode="External"/><Relationship Id="rId573" Type="http://schemas.openxmlformats.org/officeDocument/2006/relationships/hyperlink" Target="https://finance.yahoo.com/quote/3800.hk/?p=3800.hk" TargetMode="External"/><Relationship Id="rId1168" Type="http://schemas.openxmlformats.org/officeDocument/2006/relationships/hyperlink" Target="http://1024.hk" TargetMode="External"/><Relationship Id="rId370" Type="http://schemas.openxmlformats.org/officeDocument/2006/relationships/hyperlink" Target="https://finance.yahoo.com/quote/AU/?p=AU" TargetMode="External"/><Relationship Id="rId129" Type="http://schemas.openxmlformats.org/officeDocument/2006/relationships/hyperlink" Target="http://2607.hk" TargetMode="External"/><Relationship Id="rId128" Type="http://schemas.openxmlformats.org/officeDocument/2006/relationships/hyperlink" Target="https://finance.yahoo.com/quote/0346.hk/?p=0346.hk" TargetMode="External"/><Relationship Id="rId127" Type="http://schemas.openxmlformats.org/officeDocument/2006/relationships/hyperlink" Target="http://0346.hk" TargetMode="External"/><Relationship Id="rId369" Type="http://schemas.openxmlformats.org/officeDocument/2006/relationships/hyperlink" Target="https://finance.yahoo.com/quote/NEM/?p=NEM" TargetMode="External"/><Relationship Id="rId126" Type="http://schemas.openxmlformats.org/officeDocument/2006/relationships/hyperlink" Target="https://finance.yahoo.com/quote/603261.SS/?p=603261.SS" TargetMode="External"/><Relationship Id="rId368" Type="http://schemas.openxmlformats.org/officeDocument/2006/relationships/hyperlink" Target="https://finance.yahoo.com/quote/%5ESPX/?p=%5ESPX" TargetMode="External"/><Relationship Id="rId1190" Type="http://schemas.openxmlformats.org/officeDocument/2006/relationships/hyperlink" Target="http://3690.hk" TargetMode="External"/><Relationship Id="rId1191" Type="http://schemas.openxmlformats.org/officeDocument/2006/relationships/hyperlink" Target="https://finance.yahoo.com/quote/3690.HK/?p=3690.HK" TargetMode="External"/><Relationship Id="rId1192" Type="http://schemas.openxmlformats.org/officeDocument/2006/relationships/hyperlink" Target="http://0700.hk" TargetMode="External"/><Relationship Id="rId1193" Type="http://schemas.openxmlformats.org/officeDocument/2006/relationships/hyperlink" Target="https://finance.yahoo.com/quote/0700.HK/?p=0700.HK" TargetMode="External"/><Relationship Id="rId121" Type="http://schemas.openxmlformats.org/officeDocument/2006/relationships/hyperlink" Target="http://0346.hk" TargetMode="External"/><Relationship Id="rId363" Type="http://schemas.openxmlformats.org/officeDocument/2006/relationships/hyperlink" Target="https://finance.yahoo.com/quote/000568.SZ/?p=000568.SZ" TargetMode="External"/><Relationship Id="rId1194" Type="http://schemas.openxmlformats.org/officeDocument/2006/relationships/hyperlink" Target="http://3690.hk" TargetMode="External"/><Relationship Id="rId120" Type="http://schemas.openxmlformats.org/officeDocument/2006/relationships/hyperlink" Target="https://finance.yahoo.com/quote/2318.hk/?p=2318.hk" TargetMode="External"/><Relationship Id="rId362" Type="http://schemas.openxmlformats.org/officeDocument/2006/relationships/hyperlink" Target="http://000568.sz" TargetMode="External"/><Relationship Id="rId1195" Type="http://schemas.openxmlformats.org/officeDocument/2006/relationships/hyperlink" Target="https://finance.yahoo.com/quote/3690.HK/?p=3690.HK" TargetMode="External"/><Relationship Id="rId361" Type="http://schemas.openxmlformats.org/officeDocument/2006/relationships/hyperlink" Target="https://finance.yahoo.com/quote/600519.SS/?p=600519.SS" TargetMode="External"/><Relationship Id="rId1196" Type="http://schemas.openxmlformats.org/officeDocument/2006/relationships/hyperlink" Target="http://9988.hk" TargetMode="External"/><Relationship Id="rId360" Type="http://schemas.openxmlformats.org/officeDocument/2006/relationships/hyperlink" Target="http://600519.ss" TargetMode="External"/><Relationship Id="rId1197" Type="http://schemas.openxmlformats.org/officeDocument/2006/relationships/hyperlink" Target="https://finance.yahoo.com/quote/9988.HK/?p=9988.HK" TargetMode="External"/><Relationship Id="rId125" Type="http://schemas.openxmlformats.org/officeDocument/2006/relationships/hyperlink" Target="http://603261.ss" TargetMode="External"/><Relationship Id="rId367" Type="http://schemas.openxmlformats.org/officeDocument/2006/relationships/hyperlink" Target="https://finance.yahoo.com/quote/000568.SZ/?p=000568.SZ" TargetMode="External"/><Relationship Id="rId1198" Type="http://schemas.openxmlformats.org/officeDocument/2006/relationships/hyperlink" Target="http://9626.hk" TargetMode="External"/><Relationship Id="rId124" Type="http://schemas.openxmlformats.org/officeDocument/2006/relationships/hyperlink" Target="https://finance.yahoo.com/quote/2607.hk/?p=2607.hk" TargetMode="External"/><Relationship Id="rId366" Type="http://schemas.openxmlformats.org/officeDocument/2006/relationships/hyperlink" Target="http://000568.sz" TargetMode="External"/><Relationship Id="rId1199" Type="http://schemas.openxmlformats.org/officeDocument/2006/relationships/hyperlink" Target="https://finance.yahoo.com/quote/9626.HK/?p=9626.HK" TargetMode="External"/><Relationship Id="rId123" Type="http://schemas.openxmlformats.org/officeDocument/2006/relationships/hyperlink" Target="http://2607.hk" TargetMode="External"/><Relationship Id="rId365" Type="http://schemas.openxmlformats.org/officeDocument/2006/relationships/hyperlink" Target="https://finance.yahoo.com/quote/1024.HK/?p=1024.HK" TargetMode="External"/><Relationship Id="rId122" Type="http://schemas.openxmlformats.org/officeDocument/2006/relationships/hyperlink" Target="https://finance.yahoo.com/quote/0346.hk/?p=0346.hk" TargetMode="External"/><Relationship Id="rId364" Type="http://schemas.openxmlformats.org/officeDocument/2006/relationships/hyperlink" Target="http://1024.hk" TargetMode="External"/><Relationship Id="rId95" Type="http://schemas.openxmlformats.org/officeDocument/2006/relationships/hyperlink" Target="https://finance.yahoo.com/quote/DIS/?p=DIS" TargetMode="External"/><Relationship Id="rId94" Type="http://schemas.openxmlformats.org/officeDocument/2006/relationships/hyperlink" Target="https://finance.yahoo.com/quote/ADBE/?p=ADBE" TargetMode="External"/><Relationship Id="rId97" Type="http://schemas.openxmlformats.org/officeDocument/2006/relationships/hyperlink" Target="http://0853.hk" TargetMode="External"/><Relationship Id="rId96" Type="http://schemas.openxmlformats.org/officeDocument/2006/relationships/hyperlink" Target="https://finance.yahoo.com/quote/BAC/?p=BAC" TargetMode="External"/><Relationship Id="rId99" Type="http://schemas.openxmlformats.org/officeDocument/2006/relationships/hyperlink" Target="https://finance.yahoo.com/quote/NIO/?p=NIO" TargetMode="External"/><Relationship Id="rId98" Type="http://schemas.openxmlformats.org/officeDocument/2006/relationships/hyperlink" Target="https://finance.yahoo.com/quote/0853.HK/?p=0853.HK" TargetMode="External"/><Relationship Id="rId91" Type="http://schemas.openxmlformats.org/officeDocument/2006/relationships/hyperlink" Target="https://finance.yahoo.com/quote/AAPL/?p=AAPL" TargetMode="External"/><Relationship Id="rId90" Type="http://schemas.openxmlformats.org/officeDocument/2006/relationships/hyperlink" Target="https://finance.yahoo.com/quote/AAPL/?p=AAPL" TargetMode="External"/><Relationship Id="rId93" Type="http://schemas.openxmlformats.org/officeDocument/2006/relationships/hyperlink" Target="https://finance.yahoo.com/quote/BAC/?p=BAC" TargetMode="External"/><Relationship Id="rId92" Type="http://schemas.openxmlformats.org/officeDocument/2006/relationships/hyperlink" Target="https://finance.yahoo.com/quote/ADBE/?p=ADBE" TargetMode="External"/><Relationship Id="rId118" Type="http://schemas.openxmlformats.org/officeDocument/2006/relationships/hyperlink" Target="https://finance.yahoo.com/quote/000927.SZ/?p=000927.SZ" TargetMode="External"/><Relationship Id="rId117" Type="http://schemas.openxmlformats.org/officeDocument/2006/relationships/hyperlink" Target="http://000927.sz" TargetMode="External"/><Relationship Id="rId359" Type="http://schemas.openxmlformats.org/officeDocument/2006/relationships/hyperlink" Target="https://finance.yahoo.com/quote/6680.HK/?p=6680.HK" TargetMode="External"/><Relationship Id="rId116" Type="http://schemas.openxmlformats.org/officeDocument/2006/relationships/hyperlink" Target="https://finance.yahoo.com/quote/1024.HK/?p=1024.HK" TargetMode="External"/><Relationship Id="rId358" Type="http://schemas.openxmlformats.org/officeDocument/2006/relationships/hyperlink" Target="http://6680.hk" TargetMode="External"/><Relationship Id="rId115" Type="http://schemas.openxmlformats.org/officeDocument/2006/relationships/hyperlink" Target="http://1024.hk" TargetMode="External"/><Relationship Id="rId357" Type="http://schemas.openxmlformats.org/officeDocument/2006/relationships/hyperlink" Target="https://finance.yahoo.com/quote/600519.SS/?p=600519.SS" TargetMode="External"/><Relationship Id="rId599" Type="http://schemas.openxmlformats.org/officeDocument/2006/relationships/hyperlink" Target="https://finance.yahoo.com/quote/3800.HK/?p=3800.HK" TargetMode="External"/><Relationship Id="rId1180" Type="http://schemas.openxmlformats.org/officeDocument/2006/relationships/hyperlink" Target="http://1024.hk" TargetMode="External"/><Relationship Id="rId1181" Type="http://schemas.openxmlformats.org/officeDocument/2006/relationships/hyperlink" Target="https://finance.yahoo.com/quote/1024.HK/?p=1024.HK" TargetMode="External"/><Relationship Id="rId119" Type="http://schemas.openxmlformats.org/officeDocument/2006/relationships/hyperlink" Target="http://2318.hk" TargetMode="External"/><Relationship Id="rId1182" Type="http://schemas.openxmlformats.org/officeDocument/2006/relationships/hyperlink" Target="https://finance.yahoo.com/quote/KO/?p=KO" TargetMode="External"/><Relationship Id="rId110" Type="http://schemas.openxmlformats.org/officeDocument/2006/relationships/hyperlink" Target="https://finance.yahoo.com/quote/TSLA/?p=TSLA" TargetMode="External"/><Relationship Id="rId352" Type="http://schemas.openxmlformats.org/officeDocument/2006/relationships/hyperlink" Target="http://6862.hk" TargetMode="External"/><Relationship Id="rId594" Type="http://schemas.openxmlformats.org/officeDocument/2006/relationships/hyperlink" Target="http://3800.hk" TargetMode="External"/><Relationship Id="rId1183" Type="http://schemas.openxmlformats.org/officeDocument/2006/relationships/hyperlink" Target="https://finance.yahoo.com/quote/KO/?p=KO" TargetMode="External"/><Relationship Id="rId351" Type="http://schemas.openxmlformats.org/officeDocument/2006/relationships/hyperlink" Target="https://finance.yahoo.com/quote/1810.HK/?p=1810.HK" TargetMode="External"/><Relationship Id="rId593" Type="http://schemas.openxmlformats.org/officeDocument/2006/relationships/hyperlink" Target="https://finance.yahoo.com/quote/9858.HK/?p=9858.HK" TargetMode="External"/><Relationship Id="rId1184" Type="http://schemas.openxmlformats.org/officeDocument/2006/relationships/hyperlink" Target="https://finance.yahoo.com/quote/VNM/?p=VNM" TargetMode="External"/><Relationship Id="rId350" Type="http://schemas.openxmlformats.org/officeDocument/2006/relationships/hyperlink" Target="http://1810.hk" TargetMode="External"/><Relationship Id="rId592" Type="http://schemas.openxmlformats.org/officeDocument/2006/relationships/hyperlink" Target="http://9858.hk" TargetMode="External"/><Relationship Id="rId1185" Type="http://schemas.openxmlformats.org/officeDocument/2006/relationships/hyperlink" Target="https://finance.yahoo.com/quote/KPLT/?p=KPLT" TargetMode="External"/><Relationship Id="rId591" Type="http://schemas.openxmlformats.org/officeDocument/2006/relationships/hyperlink" Target="https://finance.yahoo.com/quote/3800.HK/?p=3800.HK" TargetMode="External"/><Relationship Id="rId1186" Type="http://schemas.openxmlformats.org/officeDocument/2006/relationships/hyperlink" Target="http://2217.hk" TargetMode="External"/><Relationship Id="rId114" Type="http://schemas.openxmlformats.org/officeDocument/2006/relationships/hyperlink" Target="https://finance.yahoo.com/quote/LMT/?p=LMT" TargetMode="External"/><Relationship Id="rId356" Type="http://schemas.openxmlformats.org/officeDocument/2006/relationships/hyperlink" Target="http://600519.ss" TargetMode="External"/><Relationship Id="rId598" Type="http://schemas.openxmlformats.org/officeDocument/2006/relationships/hyperlink" Target="http://3800.hk" TargetMode="External"/><Relationship Id="rId1187" Type="http://schemas.openxmlformats.org/officeDocument/2006/relationships/hyperlink" Target="https://finance.yahoo.com/quote/2217.HK/?p=2217.HK" TargetMode="External"/><Relationship Id="rId113" Type="http://schemas.openxmlformats.org/officeDocument/2006/relationships/hyperlink" Target="https://finance.yahoo.com/quote/SOHU/?p=SOHU" TargetMode="External"/><Relationship Id="rId355" Type="http://schemas.openxmlformats.org/officeDocument/2006/relationships/hyperlink" Target="https://finance.yahoo.com/quote/0700.HK/?p=0700.HK" TargetMode="External"/><Relationship Id="rId597" Type="http://schemas.openxmlformats.org/officeDocument/2006/relationships/hyperlink" Target="https://finance.yahoo.com/quote/9858.HK/?p=9858.HK" TargetMode="External"/><Relationship Id="rId1188" Type="http://schemas.openxmlformats.org/officeDocument/2006/relationships/hyperlink" Target="http://0700.hk" TargetMode="External"/><Relationship Id="rId112" Type="http://schemas.openxmlformats.org/officeDocument/2006/relationships/hyperlink" Target="https://finance.yahoo.com/quote/TSLA/?p=TSLA" TargetMode="External"/><Relationship Id="rId354" Type="http://schemas.openxmlformats.org/officeDocument/2006/relationships/hyperlink" Target="http://0700.hk" TargetMode="External"/><Relationship Id="rId596" Type="http://schemas.openxmlformats.org/officeDocument/2006/relationships/hyperlink" Target="http://9858.hk" TargetMode="External"/><Relationship Id="rId1189" Type="http://schemas.openxmlformats.org/officeDocument/2006/relationships/hyperlink" Target="https://finance.yahoo.com/quote/0700.HK/?p=0700.HK" TargetMode="External"/><Relationship Id="rId111" Type="http://schemas.openxmlformats.org/officeDocument/2006/relationships/hyperlink" Target="https://finance.yahoo.com/quote/SOHU/?p=SOHU" TargetMode="External"/><Relationship Id="rId353" Type="http://schemas.openxmlformats.org/officeDocument/2006/relationships/hyperlink" Target="https://finance.yahoo.com/quote/6862.HK/?p=6862.HK" TargetMode="External"/><Relationship Id="rId595" Type="http://schemas.openxmlformats.org/officeDocument/2006/relationships/hyperlink" Target="https://finance.yahoo.com/quote/3800.HK/?p=3800.HK" TargetMode="External"/><Relationship Id="rId1136" Type="http://schemas.openxmlformats.org/officeDocument/2006/relationships/hyperlink" Target="https://finance.yahoo.com/quote/300157.SZ/?p=300157.SZ" TargetMode="External"/><Relationship Id="rId1378" Type="http://schemas.openxmlformats.org/officeDocument/2006/relationships/hyperlink" Target="https://finance.yahoo.com/quote/0175.HK/?p=0175.HK" TargetMode="External"/><Relationship Id="rId1137" Type="http://schemas.openxmlformats.org/officeDocument/2006/relationships/hyperlink" Target="https://finance.yahoo.com/quote/AMAT/?p=AMAT" TargetMode="External"/><Relationship Id="rId1379" Type="http://schemas.openxmlformats.org/officeDocument/2006/relationships/hyperlink" Target="http://9988.hk" TargetMode="External"/><Relationship Id="rId1138" Type="http://schemas.openxmlformats.org/officeDocument/2006/relationships/hyperlink" Target="https://finance.yahoo.com/quote/BRK-B/?p=BRK-B" TargetMode="External"/><Relationship Id="rId1139" Type="http://schemas.openxmlformats.org/officeDocument/2006/relationships/hyperlink" Target="https://finance.yahoo.com/quote/BRK-B/?p=BRK-B" TargetMode="External"/><Relationship Id="rId305" Type="http://schemas.openxmlformats.org/officeDocument/2006/relationships/hyperlink" Target="https://finance.yahoo.com/quote/1810.HK/?p=1810.HK" TargetMode="External"/><Relationship Id="rId547" Type="http://schemas.openxmlformats.org/officeDocument/2006/relationships/hyperlink" Target="https://finance.yahoo.com/quote/BG/?p=BG" TargetMode="External"/><Relationship Id="rId789" Type="http://schemas.openxmlformats.org/officeDocument/2006/relationships/hyperlink" Target="https://finance.yahoo.com/quote/0700.HK/?p=0700.HK" TargetMode="External"/><Relationship Id="rId304" Type="http://schemas.openxmlformats.org/officeDocument/2006/relationships/hyperlink" Target="http://1810.hk" TargetMode="External"/><Relationship Id="rId546" Type="http://schemas.openxmlformats.org/officeDocument/2006/relationships/hyperlink" Target="https://finance.yahoo.com/quote/BG/?p=BG" TargetMode="External"/><Relationship Id="rId788" Type="http://schemas.openxmlformats.org/officeDocument/2006/relationships/hyperlink" Target="http://0700.hk" TargetMode="External"/><Relationship Id="rId303" Type="http://schemas.openxmlformats.org/officeDocument/2006/relationships/hyperlink" Target="https://finance.yahoo.com/quote/1024.HK/?p=1024.HK" TargetMode="External"/><Relationship Id="rId545" Type="http://schemas.openxmlformats.org/officeDocument/2006/relationships/hyperlink" Target="https://finance.yahoo.com/quote/BG/?p=BG" TargetMode="External"/><Relationship Id="rId787" Type="http://schemas.openxmlformats.org/officeDocument/2006/relationships/hyperlink" Target="https://finance.yahoo.com/quote/0700.HK/?p=0700.HK" TargetMode="External"/><Relationship Id="rId302" Type="http://schemas.openxmlformats.org/officeDocument/2006/relationships/hyperlink" Target="http://1024.hk" TargetMode="External"/><Relationship Id="rId544" Type="http://schemas.openxmlformats.org/officeDocument/2006/relationships/hyperlink" Target="https://finance.yahoo.com/quote/GOLD/?p=GOLD" TargetMode="External"/><Relationship Id="rId786" Type="http://schemas.openxmlformats.org/officeDocument/2006/relationships/hyperlink" Target="http://0700.hk" TargetMode="External"/><Relationship Id="rId309" Type="http://schemas.openxmlformats.org/officeDocument/2006/relationships/hyperlink" Target="https://finance.yahoo.com/quote/1024.HK/?p=1024.HK" TargetMode="External"/><Relationship Id="rId308" Type="http://schemas.openxmlformats.org/officeDocument/2006/relationships/hyperlink" Target="http://1024.hk" TargetMode="External"/><Relationship Id="rId307" Type="http://schemas.openxmlformats.org/officeDocument/2006/relationships/hyperlink" Target="https://finance.yahoo.com/quote/9988.Hk/?p=9988.Hk" TargetMode="External"/><Relationship Id="rId549" Type="http://schemas.openxmlformats.org/officeDocument/2006/relationships/hyperlink" Target="https://finance.yahoo.com/quote/TSLA/?p=TSLA" TargetMode="External"/><Relationship Id="rId306" Type="http://schemas.openxmlformats.org/officeDocument/2006/relationships/hyperlink" Target="http://9988.hk" TargetMode="External"/><Relationship Id="rId548" Type="http://schemas.openxmlformats.org/officeDocument/2006/relationships/hyperlink" Target="https://finance.yahoo.com/quote/BG/?p=BG" TargetMode="External"/><Relationship Id="rId781" Type="http://schemas.openxmlformats.org/officeDocument/2006/relationships/hyperlink" Target="https://finance.yahoo.com/quote/9988.HK/?p=9988.HK" TargetMode="External"/><Relationship Id="rId1370" Type="http://schemas.openxmlformats.org/officeDocument/2006/relationships/hyperlink" Target="http://9939.hk" TargetMode="External"/><Relationship Id="rId780" Type="http://schemas.openxmlformats.org/officeDocument/2006/relationships/hyperlink" Target="http://9988.hk" TargetMode="External"/><Relationship Id="rId1371" Type="http://schemas.openxmlformats.org/officeDocument/2006/relationships/hyperlink" Target="https://finance.yahoo.com/quote/9939.HK/?p=9939.HK" TargetMode="External"/><Relationship Id="rId1130" Type="http://schemas.openxmlformats.org/officeDocument/2006/relationships/hyperlink" Target="https://finance.yahoo.com/quote/AMAT/?p=AMAT" TargetMode="External"/><Relationship Id="rId1372" Type="http://schemas.openxmlformats.org/officeDocument/2006/relationships/hyperlink" Target="https://finance.yahoo.com/quote/TWTR/?p=TWTR" TargetMode="External"/><Relationship Id="rId1131" Type="http://schemas.openxmlformats.org/officeDocument/2006/relationships/hyperlink" Target="https://finance.yahoo.com/quote/CL=F/?p=CL=F" TargetMode="External"/><Relationship Id="rId1373" Type="http://schemas.openxmlformats.org/officeDocument/2006/relationships/hyperlink" Target="http://0968.hk" TargetMode="External"/><Relationship Id="rId301" Type="http://schemas.openxmlformats.org/officeDocument/2006/relationships/hyperlink" Target="https://finance.yahoo.com/quote/9988.HK/?p=9988.HK" TargetMode="External"/><Relationship Id="rId543" Type="http://schemas.openxmlformats.org/officeDocument/2006/relationships/hyperlink" Target="https://finance.yahoo.com/quote/TSLA/?p=TSLA" TargetMode="External"/><Relationship Id="rId785" Type="http://schemas.openxmlformats.org/officeDocument/2006/relationships/hyperlink" Target="https://finance.yahoo.com/quote/AAPL/?p=AAPL" TargetMode="External"/><Relationship Id="rId1132" Type="http://schemas.openxmlformats.org/officeDocument/2006/relationships/hyperlink" Target="https://finance.yahoo.com/quote/NET/?p=NET" TargetMode="External"/><Relationship Id="rId1374" Type="http://schemas.openxmlformats.org/officeDocument/2006/relationships/hyperlink" Target="https://finance.yahoo.com/quote/0968.HK/?p=0968.HK" TargetMode="External"/><Relationship Id="rId300" Type="http://schemas.openxmlformats.org/officeDocument/2006/relationships/hyperlink" Target="http://9988.hk" TargetMode="External"/><Relationship Id="rId542" Type="http://schemas.openxmlformats.org/officeDocument/2006/relationships/hyperlink" Target="https://finance.yahoo.com/quote/ANPDY/?p=ANPDY" TargetMode="External"/><Relationship Id="rId784" Type="http://schemas.openxmlformats.org/officeDocument/2006/relationships/hyperlink" Target="https://finance.yahoo.com/quote/TSLA/?p=TSLA" TargetMode="External"/><Relationship Id="rId1133" Type="http://schemas.openxmlformats.org/officeDocument/2006/relationships/hyperlink" Target="http://1398.hk" TargetMode="External"/><Relationship Id="rId1375" Type="http://schemas.openxmlformats.org/officeDocument/2006/relationships/hyperlink" Target="http://3800.hk" TargetMode="External"/><Relationship Id="rId541" Type="http://schemas.openxmlformats.org/officeDocument/2006/relationships/hyperlink" Target="https://finance.yahoo.com/quote/TSLA/?p=TSLA" TargetMode="External"/><Relationship Id="rId783" Type="http://schemas.openxmlformats.org/officeDocument/2006/relationships/hyperlink" Target="https://finance.yahoo.com/quote/0700.HK/?p=0700.HK" TargetMode="External"/><Relationship Id="rId1134" Type="http://schemas.openxmlformats.org/officeDocument/2006/relationships/hyperlink" Target="https://finance.yahoo.com/quote/1398.HK/?p=1398.HK" TargetMode="External"/><Relationship Id="rId1376" Type="http://schemas.openxmlformats.org/officeDocument/2006/relationships/hyperlink" Target="https://finance.yahoo.com/quote/3800.HK/?p=3800.HK" TargetMode="External"/><Relationship Id="rId540" Type="http://schemas.openxmlformats.org/officeDocument/2006/relationships/hyperlink" Target="https://finance.yahoo.com/quote/GOLD/?p=GOLD" TargetMode="External"/><Relationship Id="rId782" Type="http://schemas.openxmlformats.org/officeDocument/2006/relationships/hyperlink" Target="http://0700.hk" TargetMode="External"/><Relationship Id="rId1135" Type="http://schemas.openxmlformats.org/officeDocument/2006/relationships/hyperlink" Target="http://300157.sz" TargetMode="External"/><Relationship Id="rId1377" Type="http://schemas.openxmlformats.org/officeDocument/2006/relationships/hyperlink" Target="http://0175.hk" TargetMode="External"/><Relationship Id="rId1125" Type="http://schemas.openxmlformats.org/officeDocument/2006/relationships/hyperlink" Target="https://finance.yahoo.com/quote/MSFT/?p=MSFT" TargetMode="External"/><Relationship Id="rId1367" Type="http://schemas.openxmlformats.org/officeDocument/2006/relationships/hyperlink" Target="https://finance.yahoo.com/quote/ASML/?p=ASML" TargetMode="External"/><Relationship Id="rId1126" Type="http://schemas.openxmlformats.org/officeDocument/2006/relationships/hyperlink" Target="https://finance.yahoo.com/quote/MSFT/?p=MSFT" TargetMode="External"/><Relationship Id="rId1368" Type="http://schemas.openxmlformats.org/officeDocument/2006/relationships/hyperlink" Target="https://finance.yahoo.com/quote/AAPL/?p=AAPL" TargetMode="External"/><Relationship Id="rId1127" Type="http://schemas.openxmlformats.org/officeDocument/2006/relationships/hyperlink" Target="https://finance.yahoo.com/quote/NET/?p=NET" TargetMode="External"/><Relationship Id="rId1369" Type="http://schemas.openxmlformats.org/officeDocument/2006/relationships/hyperlink" Target="https://finance.yahoo.com/quote/TSLA/?p=TSLA" TargetMode="External"/><Relationship Id="rId1128" Type="http://schemas.openxmlformats.org/officeDocument/2006/relationships/hyperlink" Target="http://1398.hk" TargetMode="External"/><Relationship Id="rId1129" Type="http://schemas.openxmlformats.org/officeDocument/2006/relationships/hyperlink" Target="https://finance.yahoo.com/quote/1398.HK/?p=1398.HK" TargetMode="External"/><Relationship Id="rId536" Type="http://schemas.openxmlformats.org/officeDocument/2006/relationships/hyperlink" Target="https://finance.yahoo.com/quote/TSLA/?p=TSLA" TargetMode="External"/><Relationship Id="rId778" Type="http://schemas.openxmlformats.org/officeDocument/2006/relationships/hyperlink" Target="http://1299.hk" TargetMode="External"/><Relationship Id="rId535" Type="http://schemas.openxmlformats.org/officeDocument/2006/relationships/hyperlink" Target="https://finance.yahoo.com/quote/9868.HK/?p=9868.HK" TargetMode="External"/><Relationship Id="rId777" Type="http://schemas.openxmlformats.org/officeDocument/2006/relationships/hyperlink" Target="https://finance.yahoo.com/quote/1810.HK/?p=1810.HK" TargetMode="External"/><Relationship Id="rId534" Type="http://schemas.openxmlformats.org/officeDocument/2006/relationships/hyperlink" Target="http://9868.hk" TargetMode="External"/><Relationship Id="rId776" Type="http://schemas.openxmlformats.org/officeDocument/2006/relationships/hyperlink" Target="http://1810.hk" TargetMode="External"/><Relationship Id="rId533" Type="http://schemas.openxmlformats.org/officeDocument/2006/relationships/hyperlink" Target="https://finance.yahoo.com/quote/2196.HK/?p=2196.HK" TargetMode="External"/><Relationship Id="rId775" Type="http://schemas.openxmlformats.org/officeDocument/2006/relationships/hyperlink" Target="https://finance.yahoo.com/quote/0700.HK/?p=0700.HK" TargetMode="External"/><Relationship Id="rId539" Type="http://schemas.openxmlformats.org/officeDocument/2006/relationships/hyperlink" Target="https://finance.yahoo.com/quote/GOLD/?p=GOLD" TargetMode="External"/><Relationship Id="rId538" Type="http://schemas.openxmlformats.org/officeDocument/2006/relationships/hyperlink" Target="https://finance.yahoo.com/quote/ANPDY/?p=ANPDY" TargetMode="External"/><Relationship Id="rId537" Type="http://schemas.openxmlformats.org/officeDocument/2006/relationships/hyperlink" Target="https://finance.yahoo.com/quote/TSLA/?p=TSLA" TargetMode="External"/><Relationship Id="rId779" Type="http://schemas.openxmlformats.org/officeDocument/2006/relationships/hyperlink" Target="https://finance.yahoo.com/quote/1299.HK/?p=1299.HK" TargetMode="External"/><Relationship Id="rId770" Type="http://schemas.openxmlformats.org/officeDocument/2006/relationships/hyperlink" Target="http://9988.hk" TargetMode="External"/><Relationship Id="rId1360" Type="http://schemas.openxmlformats.org/officeDocument/2006/relationships/hyperlink" Target="http://0883.hk" TargetMode="External"/><Relationship Id="rId1361" Type="http://schemas.openxmlformats.org/officeDocument/2006/relationships/hyperlink" Target="https://finance.yahoo.com/quote/0883.HK/?p=0883.HK" TargetMode="External"/><Relationship Id="rId1120" Type="http://schemas.openxmlformats.org/officeDocument/2006/relationships/hyperlink" Target="https://finance.yahoo.com/quote/ISPO/?p=ISPO" TargetMode="External"/><Relationship Id="rId1362" Type="http://schemas.openxmlformats.org/officeDocument/2006/relationships/hyperlink" Target="https://finance.yahoo.com/quote/OXY/?p=OXY" TargetMode="External"/><Relationship Id="rId532" Type="http://schemas.openxmlformats.org/officeDocument/2006/relationships/hyperlink" Target="http://2196.hk" TargetMode="External"/><Relationship Id="rId774" Type="http://schemas.openxmlformats.org/officeDocument/2006/relationships/hyperlink" Target="http://0700.hk" TargetMode="External"/><Relationship Id="rId1121" Type="http://schemas.openxmlformats.org/officeDocument/2006/relationships/hyperlink" Target="https://finance.yahoo.com/quote/GOOGL/?p=GOOGL" TargetMode="External"/><Relationship Id="rId1363" Type="http://schemas.openxmlformats.org/officeDocument/2006/relationships/hyperlink" Target="https://finance.yahoo.com/quote/OXY/?p=OXY" TargetMode="External"/><Relationship Id="rId531" Type="http://schemas.openxmlformats.org/officeDocument/2006/relationships/hyperlink" Target="https://finance.yahoo.com/quote/2196.HK/?p=2196.HK" TargetMode="External"/><Relationship Id="rId773" Type="http://schemas.openxmlformats.org/officeDocument/2006/relationships/hyperlink" Target="https://finance.yahoo.com/quote/9988.HK/?p=9988.HK" TargetMode="External"/><Relationship Id="rId1122" Type="http://schemas.openxmlformats.org/officeDocument/2006/relationships/hyperlink" Target="https://finance.yahoo.com/quote/MSFT/?p=MSFT" TargetMode="External"/><Relationship Id="rId1364" Type="http://schemas.openxmlformats.org/officeDocument/2006/relationships/hyperlink" Target="https://finance.yahoo.com/quote/ASML/?p=ASML" TargetMode="External"/><Relationship Id="rId530" Type="http://schemas.openxmlformats.org/officeDocument/2006/relationships/hyperlink" Target="http://2196.hk" TargetMode="External"/><Relationship Id="rId772" Type="http://schemas.openxmlformats.org/officeDocument/2006/relationships/hyperlink" Target="http://9988.hk" TargetMode="External"/><Relationship Id="rId1123" Type="http://schemas.openxmlformats.org/officeDocument/2006/relationships/hyperlink" Target="https://finance.yahoo.com/quote/MSFT/?p=MSFT" TargetMode="External"/><Relationship Id="rId1365" Type="http://schemas.openxmlformats.org/officeDocument/2006/relationships/hyperlink" Target="https://finance.yahoo.com/quote/ASML/?p=ASML" TargetMode="External"/><Relationship Id="rId771" Type="http://schemas.openxmlformats.org/officeDocument/2006/relationships/hyperlink" Target="https://finance.yahoo.com/quote/9988.HK/?p=9988.HK" TargetMode="External"/><Relationship Id="rId1124" Type="http://schemas.openxmlformats.org/officeDocument/2006/relationships/hyperlink" Target="https://finance.yahoo.com/quote/MSFT/?p=MSFT" TargetMode="External"/><Relationship Id="rId1366" Type="http://schemas.openxmlformats.org/officeDocument/2006/relationships/hyperlink" Target="https://finance.yahoo.com/quote/ASML/?p=ASML" TargetMode="External"/><Relationship Id="rId1158" Type="http://schemas.openxmlformats.org/officeDocument/2006/relationships/hyperlink" Target="https://finance.yahoo.com/quote/ABML/?p=ABML" TargetMode="External"/><Relationship Id="rId1159" Type="http://schemas.openxmlformats.org/officeDocument/2006/relationships/hyperlink" Target="https://finance.yahoo.com/quote/DIDI/?p=DIDI" TargetMode="External"/><Relationship Id="rId327" Type="http://schemas.openxmlformats.org/officeDocument/2006/relationships/hyperlink" Target="https://finance.yahoo.com/quote/1024.HK/?p=1024.HK" TargetMode="External"/><Relationship Id="rId569" Type="http://schemas.openxmlformats.org/officeDocument/2006/relationships/hyperlink" Target="https://finance.yahoo.com/quote/TWTR/?p=TWTR" TargetMode="External"/><Relationship Id="rId326" Type="http://schemas.openxmlformats.org/officeDocument/2006/relationships/hyperlink" Target="http://1024.hk" TargetMode="External"/><Relationship Id="rId568" Type="http://schemas.openxmlformats.org/officeDocument/2006/relationships/hyperlink" Target="https://finance.yahoo.com/quote/9939.HK/?p=9939.HK" TargetMode="External"/><Relationship Id="rId325" Type="http://schemas.openxmlformats.org/officeDocument/2006/relationships/hyperlink" Target="https://finance.yahoo.com/quote/1024.HK/?p=1024.HK" TargetMode="External"/><Relationship Id="rId567" Type="http://schemas.openxmlformats.org/officeDocument/2006/relationships/hyperlink" Target="http://9939.hk" TargetMode="External"/><Relationship Id="rId324" Type="http://schemas.openxmlformats.org/officeDocument/2006/relationships/hyperlink" Target="http://1024.hk" TargetMode="External"/><Relationship Id="rId566" Type="http://schemas.openxmlformats.org/officeDocument/2006/relationships/hyperlink" Target="https://finance.yahoo.com/quote/9939.HK/?p=9939.HK" TargetMode="External"/><Relationship Id="rId329" Type="http://schemas.openxmlformats.org/officeDocument/2006/relationships/hyperlink" Target="https://finance.yahoo.com/quote/9988.HK/?p=9988.HK" TargetMode="External"/><Relationship Id="rId1390" Type="http://schemas.openxmlformats.org/officeDocument/2006/relationships/hyperlink" Target="https://finance.yahoo.com/quote/9999.HK/?p=9999.HK" TargetMode="External"/><Relationship Id="rId328" Type="http://schemas.openxmlformats.org/officeDocument/2006/relationships/hyperlink" Target="http://9988.hk" TargetMode="External"/><Relationship Id="rId1391" Type="http://schemas.openxmlformats.org/officeDocument/2006/relationships/hyperlink" Target="http://1919.hk" TargetMode="External"/><Relationship Id="rId561" Type="http://schemas.openxmlformats.org/officeDocument/2006/relationships/hyperlink" Target="https://finance.yahoo.com/quote/TSLA/?p=TSLA" TargetMode="External"/><Relationship Id="rId1150" Type="http://schemas.openxmlformats.org/officeDocument/2006/relationships/hyperlink" Target="https://finance.yahoo.com/quote/0700.HK/?p=0700.HK" TargetMode="External"/><Relationship Id="rId1392" Type="http://schemas.openxmlformats.org/officeDocument/2006/relationships/hyperlink" Target="https://finance.yahoo.com/quote/1919.HK/?p=1919.HK" TargetMode="External"/><Relationship Id="rId560" Type="http://schemas.openxmlformats.org/officeDocument/2006/relationships/hyperlink" Target="https://finance.yahoo.com/quote/9939.HK/?p=9939.HK" TargetMode="External"/><Relationship Id="rId1151" Type="http://schemas.openxmlformats.org/officeDocument/2006/relationships/hyperlink" Target="http://3690.hk" TargetMode="External"/><Relationship Id="rId1393" Type="http://schemas.openxmlformats.org/officeDocument/2006/relationships/hyperlink" Target="https://finance.yahoo.com/quote/AMZN/?p=AMZN" TargetMode="External"/><Relationship Id="rId1152" Type="http://schemas.openxmlformats.org/officeDocument/2006/relationships/hyperlink" Target="https://finance.yahoo.com/quote/3690.HK/?p=3690.HK" TargetMode="External"/><Relationship Id="rId1394" Type="http://schemas.openxmlformats.org/officeDocument/2006/relationships/hyperlink" Target="http://9961.hk" TargetMode="External"/><Relationship Id="rId1153" Type="http://schemas.openxmlformats.org/officeDocument/2006/relationships/hyperlink" Target="https://finance.yahoo.com/quote/JD/?p=JD" TargetMode="External"/><Relationship Id="rId1395" Type="http://schemas.openxmlformats.org/officeDocument/2006/relationships/hyperlink" Target="https://finance.yahoo.com/quote/9961.HK/?p=9961.HK" TargetMode="External"/><Relationship Id="rId323" Type="http://schemas.openxmlformats.org/officeDocument/2006/relationships/hyperlink" Target="https://finance.yahoo.com/quote/1024.HK/?p=1024.HK" TargetMode="External"/><Relationship Id="rId565" Type="http://schemas.openxmlformats.org/officeDocument/2006/relationships/hyperlink" Target="http://9939.hk" TargetMode="External"/><Relationship Id="rId1154" Type="http://schemas.openxmlformats.org/officeDocument/2006/relationships/hyperlink" Target="http://0700.hk" TargetMode="External"/><Relationship Id="rId1396" Type="http://schemas.openxmlformats.org/officeDocument/2006/relationships/hyperlink" Target="http://9999.hk" TargetMode="External"/><Relationship Id="rId322" Type="http://schemas.openxmlformats.org/officeDocument/2006/relationships/hyperlink" Target="http://1024.hk" TargetMode="External"/><Relationship Id="rId564" Type="http://schemas.openxmlformats.org/officeDocument/2006/relationships/hyperlink" Target="https://finance.yahoo.com/quote/9939.HK/?p=9939.HK" TargetMode="External"/><Relationship Id="rId1155" Type="http://schemas.openxmlformats.org/officeDocument/2006/relationships/hyperlink" Target="https://finance.yahoo.com/quote/0700.HK/?p=0700.HK" TargetMode="External"/><Relationship Id="rId1397" Type="http://schemas.openxmlformats.org/officeDocument/2006/relationships/hyperlink" Target="https://finance.yahoo.com/quote/9999.HK/?p=9999.HK" TargetMode="External"/><Relationship Id="rId321" Type="http://schemas.openxmlformats.org/officeDocument/2006/relationships/hyperlink" Target="https://finance.yahoo.com/quote/1024.HK/?p=1024.HK" TargetMode="External"/><Relationship Id="rId563" Type="http://schemas.openxmlformats.org/officeDocument/2006/relationships/hyperlink" Target="http://9939.hk" TargetMode="External"/><Relationship Id="rId1156" Type="http://schemas.openxmlformats.org/officeDocument/2006/relationships/hyperlink" Target="http://0700.hk" TargetMode="External"/><Relationship Id="rId1398" Type="http://schemas.openxmlformats.org/officeDocument/2006/relationships/hyperlink" Target="http://0909.hk" TargetMode="External"/><Relationship Id="rId320" Type="http://schemas.openxmlformats.org/officeDocument/2006/relationships/hyperlink" Target="http://1024.hk" TargetMode="External"/><Relationship Id="rId562" Type="http://schemas.openxmlformats.org/officeDocument/2006/relationships/hyperlink" Target="https://finance.yahoo.com/quote/TSLA/?p=TSLA" TargetMode="External"/><Relationship Id="rId1157" Type="http://schemas.openxmlformats.org/officeDocument/2006/relationships/hyperlink" Target="https://finance.yahoo.com/quote/0700.HK/?p=0700.HK" TargetMode="External"/><Relationship Id="rId1399" Type="http://schemas.openxmlformats.org/officeDocument/2006/relationships/hyperlink" Target="https://finance.yahoo.com/quote/0909.HK/?p=0909.HK" TargetMode="External"/><Relationship Id="rId1147" Type="http://schemas.openxmlformats.org/officeDocument/2006/relationships/hyperlink" Target="https://finance.yahoo.com/quote/AAPL/?p=AAPL" TargetMode="External"/><Relationship Id="rId1389" Type="http://schemas.openxmlformats.org/officeDocument/2006/relationships/hyperlink" Target="http://9999.hk" TargetMode="External"/><Relationship Id="rId1148" Type="http://schemas.openxmlformats.org/officeDocument/2006/relationships/hyperlink" Target="https://finance.yahoo.com/quote/JD/?p=JD" TargetMode="External"/><Relationship Id="rId1149" Type="http://schemas.openxmlformats.org/officeDocument/2006/relationships/hyperlink" Target="http://0700.hk" TargetMode="External"/><Relationship Id="rId316" Type="http://schemas.openxmlformats.org/officeDocument/2006/relationships/hyperlink" Target="http://1024.hk" TargetMode="External"/><Relationship Id="rId558" Type="http://schemas.openxmlformats.org/officeDocument/2006/relationships/hyperlink" Target="https://finance.yahoo.com/quote/AEP/?p=AEP" TargetMode="External"/><Relationship Id="rId315" Type="http://schemas.openxmlformats.org/officeDocument/2006/relationships/hyperlink" Target="https://finance.yahoo.com/quote/9988.HK/?p=9988.HK" TargetMode="External"/><Relationship Id="rId557" Type="http://schemas.openxmlformats.org/officeDocument/2006/relationships/hyperlink" Target="https://finance.yahoo.com/quote/BABA/?p=BABA" TargetMode="External"/><Relationship Id="rId799" Type="http://schemas.openxmlformats.org/officeDocument/2006/relationships/hyperlink" Target="https://finance.yahoo.com/quote/0700.HK/?p=0700.HK" TargetMode="External"/><Relationship Id="rId314" Type="http://schemas.openxmlformats.org/officeDocument/2006/relationships/hyperlink" Target="http://9988.hk" TargetMode="External"/><Relationship Id="rId556" Type="http://schemas.openxmlformats.org/officeDocument/2006/relationships/hyperlink" Target="https://finance.yahoo.com/quote/BILI/?p=BILI" TargetMode="External"/><Relationship Id="rId798" Type="http://schemas.openxmlformats.org/officeDocument/2006/relationships/hyperlink" Target="http://0700.hk" TargetMode="External"/><Relationship Id="rId313" Type="http://schemas.openxmlformats.org/officeDocument/2006/relationships/hyperlink" Target="https://finance.yahoo.com/quote/6680.HK/?p=6680.HK" TargetMode="External"/><Relationship Id="rId555" Type="http://schemas.openxmlformats.org/officeDocument/2006/relationships/hyperlink" Target="https://finance.yahoo.com/quote/AAPL/?p=AAPL" TargetMode="External"/><Relationship Id="rId797" Type="http://schemas.openxmlformats.org/officeDocument/2006/relationships/hyperlink" Target="https://finance.yahoo.com/quote/9988.HK/?p=9988.HK" TargetMode="External"/><Relationship Id="rId319" Type="http://schemas.openxmlformats.org/officeDocument/2006/relationships/hyperlink" Target="https://finance.yahoo.com/quote/1810.HK/?p=1810.HK" TargetMode="External"/><Relationship Id="rId318" Type="http://schemas.openxmlformats.org/officeDocument/2006/relationships/hyperlink" Target="http://1810.hk" TargetMode="External"/><Relationship Id="rId317" Type="http://schemas.openxmlformats.org/officeDocument/2006/relationships/hyperlink" Target="https://finance.yahoo.com/quote/1024.HK/?p=1024.HK" TargetMode="External"/><Relationship Id="rId559" Type="http://schemas.openxmlformats.org/officeDocument/2006/relationships/hyperlink" Target="http://9939.hk" TargetMode="External"/><Relationship Id="rId1380" Type="http://schemas.openxmlformats.org/officeDocument/2006/relationships/hyperlink" Target="https://finance.yahoo.com/quote/9988.HK/?p=9988.HK" TargetMode="External"/><Relationship Id="rId550" Type="http://schemas.openxmlformats.org/officeDocument/2006/relationships/hyperlink" Target="https://finance.yahoo.com/quote/AAPL/?p=AAPL" TargetMode="External"/><Relationship Id="rId792" Type="http://schemas.openxmlformats.org/officeDocument/2006/relationships/hyperlink" Target="http://0700.hk" TargetMode="External"/><Relationship Id="rId1381" Type="http://schemas.openxmlformats.org/officeDocument/2006/relationships/hyperlink" Target="http://9999.hk" TargetMode="External"/><Relationship Id="rId791" Type="http://schemas.openxmlformats.org/officeDocument/2006/relationships/hyperlink" Target="https://finance.yahoo.com/quote/0700.HK/?p=0700.HK" TargetMode="External"/><Relationship Id="rId1140" Type="http://schemas.openxmlformats.org/officeDocument/2006/relationships/hyperlink" Target="https://finance.yahoo.com/quote/CL=F/?p=CL=F" TargetMode="External"/><Relationship Id="rId1382" Type="http://schemas.openxmlformats.org/officeDocument/2006/relationships/hyperlink" Target="https://finance.yahoo.com/quote/9999.HK/?p=9999.HK" TargetMode="External"/><Relationship Id="rId790" Type="http://schemas.openxmlformats.org/officeDocument/2006/relationships/hyperlink" Target="http://0700.hk" TargetMode="External"/><Relationship Id="rId1141" Type="http://schemas.openxmlformats.org/officeDocument/2006/relationships/hyperlink" Target="https://finance.yahoo.com/quote/AAPL/?p=AAPL" TargetMode="External"/><Relationship Id="rId1383" Type="http://schemas.openxmlformats.org/officeDocument/2006/relationships/hyperlink" Target="http://9988.hk" TargetMode="External"/><Relationship Id="rId1142" Type="http://schemas.openxmlformats.org/officeDocument/2006/relationships/hyperlink" Target="https://finance.yahoo.com/quote/CL=F/?p=CL=F" TargetMode="External"/><Relationship Id="rId1384" Type="http://schemas.openxmlformats.org/officeDocument/2006/relationships/hyperlink" Target="https://finance.yahoo.com/quote/9988.HK/?p=9988.HK" TargetMode="External"/><Relationship Id="rId312" Type="http://schemas.openxmlformats.org/officeDocument/2006/relationships/hyperlink" Target="http://6680.hk" TargetMode="External"/><Relationship Id="rId554" Type="http://schemas.openxmlformats.org/officeDocument/2006/relationships/hyperlink" Target="https://finance.yahoo.com/quote/9626.HK/?p=9626.HK" TargetMode="External"/><Relationship Id="rId796" Type="http://schemas.openxmlformats.org/officeDocument/2006/relationships/hyperlink" Target="http://9988.hk" TargetMode="External"/><Relationship Id="rId1143" Type="http://schemas.openxmlformats.org/officeDocument/2006/relationships/hyperlink" Target="https://finance.yahoo.com/quote/IXHL/?p=IXHL" TargetMode="External"/><Relationship Id="rId1385" Type="http://schemas.openxmlformats.org/officeDocument/2006/relationships/hyperlink" Target="http://0968.hk" TargetMode="External"/><Relationship Id="rId311" Type="http://schemas.openxmlformats.org/officeDocument/2006/relationships/hyperlink" Target="https://finance.yahoo.com/quote/1810.HK/?p=1810.HK" TargetMode="External"/><Relationship Id="rId553" Type="http://schemas.openxmlformats.org/officeDocument/2006/relationships/hyperlink" Target="http://9626.hk" TargetMode="External"/><Relationship Id="rId795" Type="http://schemas.openxmlformats.org/officeDocument/2006/relationships/hyperlink" Target="https://finance.yahoo.com/quote/0700.HK/?p=0700.HK" TargetMode="External"/><Relationship Id="rId1144" Type="http://schemas.openxmlformats.org/officeDocument/2006/relationships/hyperlink" Target="http://1398.hk" TargetMode="External"/><Relationship Id="rId1386" Type="http://schemas.openxmlformats.org/officeDocument/2006/relationships/hyperlink" Target="https://finance.yahoo.com/quote/0968.HK/?p=0968.HK" TargetMode="External"/><Relationship Id="rId310" Type="http://schemas.openxmlformats.org/officeDocument/2006/relationships/hyperlink" Target="http://1810.hk" TargetMode="External"/><Relationship Id="rId552" Type="http://schemas.openxmlformats.org/officeDocument/2006/relationships/hyperlink" Target="https://finance.yahoo.com/quote/9988.HK/?p=9988.HK" TargetMode="External"/><Relationship Id="rId794" Type="http://schemas.openxmlformats.org/officeDocument/2006/relationships/hyperlink" Target="http://0700.hk" TargetMode="External"/><Relationship Id="rId1145" Type="http://schemas.openxmlformats.org/officeDocument/2006/relationships/hyperlink" Target="https://finance.yahoo.com/quote/1398.HK/?p=1398.HK" TargetMode="External"/><Relationship Id="rId1387" Type="http://schemas.openxmlformats.org/officeDocument/2006/relationships/hyperlink" Target="http://1919.hk" TargetMode="External"/><Relationship Id="rId551" Type="http://schemas.openxmlformats.org/officeDocument/2006/relationships/hyperlink" Target="http://9988.hk" TargetMode="External"/><Relationship Id="rId793" Type="http://schemas.openxmlformats.org/officeDocument/2006/relationships/hyperlink" Target="https://finance.yahoo.com/quote/0700.HK/?p=0700.HK" TargetMode="External"/><Relationship Id="rId1146" Type="http://schemas.openxmlformats.org/officeDocument/2006/relationships/hyperlink" Target="https://finance.yahoo.com/quote/IXHL/?p=IXHL" TargetMode="External"/><Relationship Id="rId1388" Type="http://schemas.openxmlformats.org/officeDocument/2006/relationships/hyperlink" Target="https://finance.yahoo.com/quote/1919.HK/?p=1919.HK" TargetMode="External"/><Relationship Id="rId297" Type="http://schemas.openxmlformats.org/officeDocument/2006/relationships/hyperlink" Target="https://finance.yahoo.com/quote/TSLA/?p=TSLA" TargetMode="External"/><Relationship Id="rId296" Type="http://schemas.openxmlformats.org/officeDocument/2006/relationships/hyperlink" Target="https://finance.yahoo.com/quote/FB/?p=FB" TargetMode="External"/><Relationship Id="rId295" Type="http://schemas.openxmlformats.org/officeDocument/2006/relationships/hyperlink" Target="https://finance.yahoo.com/quote/AMZN/?p=AMZN" TargetMode="External"/><Relationship Id="rId294" Type="http://schemas.openxmlformats.org/officeDocument/2006/relationships/hyperlink" Target="https://finance.yahoo.com/quote/AAPL/?p=AAPL" TargetMode="External"/><Relationship Id="rId299" Type="http://schemas.openxmlformats.org/officeDocument/2006/relationships/hyperlink" Target="https://finance.yahoo.com/quote/1810.HK/?p=1810.HK" TargetMode="External"/><Relationship Id="rId298" Type="http://schemas.openxmlformats.org/officeDocument/2006/relationships/hyperlink" Target="http://1810.hk" TargetMode="External"/><Relationship Id="rId271" Type="http://schemas.openxmlformats.org/officeDocument/2006/relationships/hyperlink" Target="http://8009.hk" TargetMode="External"/><Relationship Id="rId270" Type="http://schemas.openxmlformats.org/officeDocument/2006/relationships/hyperlink" Target="https://finance.yahoo.com/quote/1725.HK/?p=1725.HK" TargetMode="External"/><Relationship Id="rId269" Type="http://schemas.openxmlformats.org/officeDocument/2006/relationships/hyperlink" Target="http://1725.hk" TargetMode="External"/><Relationship Id="rId264" Type="http://schemas.openxmlformats.org/officeDocument/2006/relationships/hyperlink" Target="http://1638.hk" TargetMode="External"/><Relationship Id="rId263" Type="http://schemas.openxmlformats.org/officeDocument/2006/relationships/hyperlink" Target="https://finance.yahoo.com/quote/0817.HK/?p=0817.HK" TargetMode="External"/><Relationship Id="rId262" Type="http://schemas.openxmlformats.org/officeDocument/2006/relationships/hyperlink" Target="http://0817.hk" TargetMode="External"/><Relationship Id="rId261" Type="http://schemas.openxmlformats.org/officeDocument/2006/relationships/hyperlink" Target="https://finance.yahoo.com/quote/0587.HK/?p=0587.HK" TargetMode="External"/><Relationship Id="rId268" Type="http://schemas.openxmlformats.org/officeDocument/2006/relationships/hyperlink" Target="https://finance.yahoo.com/quote/NKE/?p=NKE" TargetMode="External"/><Relationship Id="rId267" Type="http://schemas.openxmlformats.org/officeDocument/2006/relationships/hyperlink" Target="https://finance.yahoo.com/quote/3380.HK/?p=3380.HK" TargetMode="External"/><Relationship Id="rId266" Type="http://schemas.openxmlformats.org/officeDocument/2006/relationships/hyperlink" Target="http://3380.hk" TargetMode="External"/><Relationship Id="rId265" Type="http://schemas.openxmlformats.org/officeDocument/2006/relationships/hyperlink" Target="https://finance.yahoo.com/quote/1638.HK/?p=1638.HK" TargetMode="External"/><Relationship Id="rId260" Type="http://schemas.openxmlformats.org/officeDocument/2006/relationships/hyperlink" Target="http://0587.hk" TargetMode="External"/><Relationship Id="rId259" Type="http://schemas.openxmlformats.org/officeDocument/2006/relationships/hyperlink" Target="https://finance.yahoo.com/quote/1919.HK/?p=1919.HK" TargetMode="External"/><Relationship Id="rId258" Type="http://schemas.openxmlformats.org/officeDocument/2006/relationships/hyperlink" Target="http://1919.hk" TargetMode="External"/><Relationship Id="rId253" Type="http://schemas.openxmlformats.org/officeDocument/2006/relationships/hyperlink" Target="https://finance.yahoo.com/quote/8055.HK/?p=8055.HK" TargetMode="External"/><Relationship Id="rId495" Type="http://schemas.openxmlformats.org/officeDocument/2006/relationships/hyperlink" Target="https://finance.yahoo.com/quote/BABA/?p=BABA" TargetMode="External"/><Relationship Id="rId252" Type="http://schemas.openxmlformats.org/officeDocument/2006/relationships/hyperlink" Target="http://8055.hk" TargetMode="External"/><Relationship Id="rId494" Type="http://schemas.openxmlformats.org/officeDocument/2006/relationships/hyperlink" Target="https://finance.yahoo.com/quote/AMZN/?p=AMZN" TargetMode="External"/><Relationship Id="rId251" Type="http://schemas.openxmlformats.org/officeDocument/2006/relationships/hyperlink" Target="https://finance.yahoo.com/quote/0386.HK/?p=0386.HK" TargetMode="External"/><Relationship Id="rId493" Type="http://schemas.openxmlformats.org/officeDocument/2006/relationships/hyperlink" Target="https://finance.yahoo.com/quote/CL=F/?p=CL=F" TargetMode="External"/><Relationship Id="rId250" Type="http://schemas.openxmlformats.org/officeDocument/2006/relationships/hyperlink" Target="http://0386.hk" TargetMode="External"/><Relationship Id="rId492" Type="http://schemas.openxmlformats.org/officeDocument/2006/relationships/hyperlink" Target="https://finance.yahoo.com/quote/BABA/?p=BABA" TargetMode="External"/><Relationship Id="rId257" Type="http://schemas.openxmlformats.org/officeDocument/2006/relationships/hyperlink" Target="https://finance.yahoo.com/quote/2799.HK/?p=2799.HK" TargetMode="External"/><Relationship Id="rId499" Type="http://schemas.openxmlformats.org/officeDocument/2006/relationships/hyperlink" Target="http://0700.hk" TargetMode="External"/><Relationship Id="rId256" Type="http://schemas.openxmlformats.org/officeDocument/2006/relationships/hyperlink" Target="http://2799.hk" TargetMode="External"/><Relationship Id="rId498" Type="http://schemas.openxmlformats.org/officeDocument/2006/relationships/hyperlink" Target="https://finance.yahoo.com/quote/BABA/?p=BABA" TargetMode="External"/><Relationship Id="rId255" Type="http://schemas.openxmlformats.org/officeDocument/2006/relationships/hyperlink" Target="https://finance.yahoo.com/quote/3333.HK/?p=3333.HK" TargetMode="External"/><Relationship Id="rId497" Type="http://schemas.openxmlformats.org/officeDocument/2006/relationships/hyperlink" Target="https://finance.yahoo.com/quote/0070.HK/?p=0070.HK" TargetMode="External"/><Relationship Id="rId254" Type="http://schemas.openxmlformats.org/officeDocument/2006/relationships/hyperlink" Target="http://3333.hk" TargetMode="External"/><Relationship Id="rId496" Type="http://schemas.openxmlformats.org/officeDocument/2006/relationships/hyperlink" Target="http://0070.hk" TargetMode="External"/><Relationship Id="rId293" Type="http://schemas.openxmlformats.org/officeDocument/2006/relationships/hyperlink" Target="https://finance.yahoo.com/quote/FB/?p=FB" TargetMode="External"/><Relationship Id="rId292" Type="http://schemas.openxmlformats.org/officeDocument/2006/relationships/hyperlink" Target="https://finance.yahoo.com/quote/AMZN/?p=AMZN" TargetMode="External"/><Relationship Id="rId291" Type="http://schemas.openxmlformats.org/officeDocument/2006/relationships/hyperlink" Target="https://finance.yahoo.com/quote/LMT/?p=LMT" TargetMode="External"/><Relationship Id="rId290" Type="http://schemas.openxmlformats.org/officeDocument/2006/relationships/hyperlink" Target="https://finance.yahoo.com/quote/XOM/?p=XOM" TargetMode="External"/><Relationship Id="rId286" Type="http://schemas.openxmlformats.org/officeDocument/2006/relationships/hyperlink" Target="https://finance.yahoo.com/quote/9992.HK/?p=9992.HK" TargetMode="External"/><Relationship Id="rId285" Type="http://schemas.openxmlformats.org/officeDocument/2006/relationships/hyperlink" Target="http://9992.hk" TargetMode="External"/><Relationship Id="rId284" Type="http://schemas.openxmlformats.org/officeDocument/2006/relationships/hyperlink" Target="https://finance.yahoo.com/quote/9922.HK/?p=9922.HK" TargetMode="External"/><Relationship Id="rId283" Type="http://schemas.openxmlformats.org/officeDocument/2006/relationships/hyperlink" Target="http://9922.hk" TargetMode="External"/><Relationship Id="rId289" Type="http://schemas.openxmlformats.org/officeDocument/2006/relationships/hyperlink" Target="https://finance.yahoo.com/quote/GME/?p=GME" TargetMode="External"/><Relationship Id="rId288" Type="http://schemas.openxmlformats.org/officeDocument/2006/relationships/hyperlink" Target="https://finance.yahoo.com/quote/6862.HK/?p=6862.HK" TargetMode="External"/><Relationship Id="rId287" Type="http://schemas.openxmlformats.org/officeDocument/2006/relationships/hyperlink" Target="http://6862.hk" TargetMode="External"/><Relationship Id="rId282" Type="http://schemas.openxmlformats.org/officeDocument/2006/relationships/hyperlink" Target="https://finance.yahoo.com/quote/7552.HK/?p=7552.HK" TargetMode="External"/><Relationship Id="rId281" Type="http://schemas.openxmlformats.org/officeDocument/2006/relationships/hyperlink" Target="http://7552.hk" TargetMode="External"/><Relationship Id="rId280" Type="http://schemas.openxmlformats.org/officeDocument/2006/relationships/hyperlink" Target="https://finance.yahoo.com/quote/6928.HK/?p=6928.HK" TargetMode="External"/><Relationship Id="rId275" Type="http://schemas.openxmlformats.org/officeDocument/2006/relationships/hyperlink" Target="http://9939.hk" TargetMode="External"/><Relationship Id="rId274" Type="http://schemas.openxmlformats.org/officeDocument/2006/relationships/hyperlink" Target="https://finance.yahoo.com/quote/0510.HK/?p=0510.HK" TargetMode="External"/><Relationship Id="rId273" Type="http://schemas.openxmlformats.org/officeDocument/2006/relationships/hyperlink" Target="http://0510.hk" TargetMode="External"/><Relationship Id="rId272" Type="http://schemas.openxmlformats.org/officeDocument/2006/relationships/hyperlink" Target="https://finance.yahoo.com/quote/8009.HK/?p=8009.HK" TargetMode="External"/><Relationship Id="rId279" Type="http://schemas.openxmlformats.org/officeDocument/2006/relationships/hyperlink" Target="http://6928.hk" TargetMode="External"/><Relationship Id="rId278" Type="http://schemas.openxmlformats.org/officeDocument/2006/relationships/hyperlink" Target="https://finance.yahoo.com/quote/1566.HK/?p=1566.HK" TargetMode="External"/><Relationship Id="rId277" Type="http://schemas.openxmlformats.org/officeDocument/2006/relationships/hyperlink" Target="http://1566.hk" TargetMode="External"/><Relationship Id="rId276" Type="http://schemas.openxmlformats.org/officeDocument/2006/relationships/hyperlink" Target="https://finance.yahoo.com/quote/9939.HK/?p=9939.HK" TargetMode="External"/><Relationship Id="rId907" Type="http://schemas.openxmlformats.org/officeDocument/2006/relationships/hyperlink" Target="https://finance.yahoo.com/quote/300157.SZ/?p=300157.SZ" TargetMode="External"/><Relationship Id="rId906" Type="http://schemas.openxmlformats.org/officeDocument/2006/relationships/hyperlink" Target="http://300157.sz" TargetMode="External"/><Relationship Id="rId905" Type="http://schemas.openxmlformats.org/officeDocument/2006/relationships/hyperlink" Target="https://finance.yahoo.com/quote/1398.HK/?p=1398.HK" TargetMode="External"/><Relationship Id="rId904" Type="http://schemas.openxmlformats.org/officeDocument/2006/relationships/hyperlink" Target="http://1398.hk" TargetMode="External"/><Relationship Id="rId909" Type="http://schemas.openxmlformats.org/officeDocument/2006/relationships/hyperlink" Target="https://finance.yahoo.com/quote/AMAT/?p=AMAT" TargetMode="External"/><Relationship Id="rId908" Type="http://schemas.openxmlformats.org/officeDocument/2006/relationships/hyperlink" Target="https://finance.yahoo.com/quote/NET/?p=NET" TargetMode="External"/><Relationship Id="rId903" Type="http://schemas.openxmlformats.org/officeDocument/2006/relationships/hyperlink" Target="https://finance.yahoo.com/quote/NET/?p=NET" TargetMode="External"/><Relationship Id="rId902" Type="http://schemas.openxmlformats.org/officeDocument/2006/relationships/hyperlink" Target="https://finance.yahoo.com/quote/CL=F/?p=CL=F" TargetMode="External"/><Relationship Id="rId901" Type="http://schemas.openxmlformats.org/officeDocument/2006/relationships/hyperlink" Target="https://finance.yahoo.com/quote/AMAT/?p=AMAT" TargetMode="External"/><Relationship Id="rId900" Type="http://schemas.openxmlformats.org/officeDocument/2006/relationships/hyperlink" Target="https://finance.yahoo.com/quote/1398.HK/?p=1398.HK" TargetMode="External"/><Relationship Id="rId929" Type="http://schemas.openxmlformats.org/officeDocument/2006/relationships/hyperlink" Target="https://finance.yahoo.com/quote/002230.SZ/?p=002230.SZ" TargetMode="External"/><Relationship Id="rId928" Type="http://schemas.openxmlformats.org/officeDocument/2006/relationships/hyperlink" Target="http://002230.sz" TargetMode="External"/><Relationship Id="rId927" Type="http://schemas.openxmlformats.org/officeDocument/2006/relationships/hyperlink" Target="https://finance.yahoo.com/quote/600986.ss/?p=600986.ss" TargetMode="External"/><Relationship Id="rId926" Type="http://schemas.openxmlformats.org/officeDocument/2006/relationships/hyperlink" Target="http://600986.ss" TargetMode="External"/><Relationship Id="rId921" Type="http://schemas.openxmlformats.org/officeDocument/2006/relationships/hyperlink" Target="https://finance.yahoo.com/quote/1398.HK/?p=1398.HK" TargetMode="External"/><Relationship Id="rId920" Type="http://schemas.openxmlformats.org/officeDocument/2006/relationships/hyperlink" Target="http://1398.hk" TargetMode="External"/><Relationship Id="rId925" Type="http://schemas.openxmlformats.org/officeDocument/2006/relationships/hyperlink" Target="https://finance.yahoo.com/quote/601168.ss/?p=601168.ss" TargetMode="External"/><Relationship Id="rId924" Type="http://schemas.openxmlformats.org/officeDocument/2006/relationships/hyperlink" Target="http://601168.ss" TargetMode="External"/><Relationship Id="rId923" Type="http://schemas.openxmlformats.org/officeDocument/2006/relationships/hyperlink" Target="https://finance.yahoo.com/quote/AMAT/?p=AMAT" TargetMode="External"/><Relationship Id="rId922" Type="http://schemas.openxmlformats.org/officeDocument/2006/relationships/hyperlink" Target="https://finance.yahoo.com/quote/BRK-B/?p=BRK-B" TargetMode="External"/><Relationship Id="rId918" Type="http://schemas.openxmlformats.org/officeDocument/2006/relationships/hyperlink" Target="https://finance.yahoo.com/quote/BRK-B/?p=BRK-B" TargetMode="External"/><Relationship Id="rId917" Type="http://schemas.openxmlformats.org/officeDocument/2006/relationships/hyperlink" Target="https://finance.yahoo.com/quote/NET/?p=NET" TargetMode="External"/><Relationship Id="rId916" Type="http://schemas.openxmlformats.org/officeDocument/2006/relationships/hyperlink" Target="https://finance.yahoo.com/quote/AMAT/?p=AMAT" TargetMode="External"/><Relationship Id="rId915" Type="http://schemas.openxmlformats.org/officeDocument/2006/relationships/hyperlink" Target="https://finance.yahoo.com/quote/AAPL/?p=AAPL" TargetMode="External"/><Relationship Id="rId919" Type="http://schemas.openxmlformats.org/officeDocument/2006/relationships/hyperlink" Target="https://finance.yahoo.com/quote/IXHL/?p=IXHL" TargetMode="External"/><Relationship Id="rId910" Type="http://schemas.openxmlformats.org/officeDocument/2006/relationships/hyperlink" Target="https://finance.yahoo.com/quote/BRK-B/?p=BRK-B" TargetMode="External"/><Relationship Id="rId914" Type="http://schemas.openxmlformats.org/officeDocument/2006/relationships/hyperlink" Target="https://finance.yahoo.com/quote/CL=F/?p=CL=F" TargetMode="External"/><Relationship Id="rId913" Type="http://schemas.openxmlformats.org/officeDocument/2006/relationships/hyperlink" Target="https://finance.yahoo.com/quote/AAPL/?p=AAPL" TargetMode="External"/><Relationship Id="rId912" Type="http://schemas.openxmlformats.org/officeDocument/2006/relationships/hyperlink" Target="https://finance.yahoo.com/quote/CL=F/?p=CL=F" TargetMode="External"/><Relationship Id="rId911" Type="http://schemas.openxmlformats.org/officeDocument/2006/relationships/hyperlink" Target="https://finance.yahoo.com/quote/BRK-B/?p=BRK-B" TargetMode="External"/><Relationship Id="rId1213" Type="http://schemas.openxmlformats.org/officeDocument/2006/relationships/hyperlink" Target="https://finance.yahoo.com/quote/000950.SZ/?p=000950.SZ" TargetMode="External"/><Relationship Id="rId1214" Type="http://schemas.openxmlformats.org/officeDocument/2006/relationships/hyperlink" Target="http://600661.ss" TargetMode="External"/><Relationship Id="rId1215" Type="http://schemas.openxmlformats.org/officeDocument/2006/relationships/hyperlink" Target="https://finance.yahoo.com/quote/600661.SS/?p=600661.SS" TargetMode="External"/><Relationship Id="rId1216" Type="http://schemas.openxmlformats.org/officeDocument/2006/relationships/hyperlink" Target="http://0700.hk" TargetMode="External"/><Relationship Id="rId1217" Type="http://schemas.openxmlformats.org/officeDocument/2006/relationships/hyperlink" Target="https://finance.yahoo.com/quote/0700.HK/?p=0700.HK" TargetMode="External"/><Relationship Id="rId1218" Type="http://schemas.openxmlformats.org/officeDocument/2006/relationships/hyperlink" Target="http://001896.sz" TargetMode="External"/><Relationship Id="rId1219" Type="http://schemas.openxmlformats.org/officeDocument/2006/relationships/hyperlink" Target="https://finance.yahoo.com/quote/001896.SZ/?p=001896.SZ" TargetMode="External"/><Relationship Id="rId629" Type="http://schemas.openxmlformats.org/officeDocument/2006/relationships/hyperlink" Target="https://finance.yahoo.com/quote/9939.HK/?p=9939.HK" TargetMode="External"/><Relationship Id="rId624" Type="http://schemas.openxmlformats.org/officeDocument/2006/relationships/hyperlink" Target="http://9988.hk" TargetMode="External"/><Relationship Id="rId866" Type="http://schemas.openxmlformats.org/officeDocument/2006/relationships/hyperlink" Target="https://finance.yahoo.com/quote/0708.HK/?p=0708.HK" TargetMode="External"/><Relationship Id="rId623" Type="http://schemas.openxmlformats.org/officeDocument/2006/relationships/hyperlink" Target="https://finance.yahoo.com/quote/TSLA/?p=TSLA" TargetMode="External"/><Relationship Id="rId865" Type="http://schemas.openxmlformats.org/officeDocument/2006/relationships/hyperlink" Target="http://0708.hk" TargetMode="External"/><Relationship Id="rId622" Type="http://schemas.openxmlformats.org/officeDocument/2006/relationships/hyperlink" Target="https://finance.yahoo.com/quote/9988.HK/?p=9988.HK" TargetMode="External"/><Relationship Id="rId864" Type="http://schemas.openxmlformats.org/officeDocument/2006/relationships/hyperlink" Target="https://finance.yahoo.com/quote/2333.HK/?p=2333.HK" TargetMode="External"/><Relationship Id="rId621" Type="http://schemas.openxmlformats.org/officeDocument/2006/relationships/hyperlink" Target="http://9988.hk" TargetMode="External"/><Relationship Id="rId863" Type="http://schemas.openxmlformats.org/officeDocument/2006/relationships/hyperlink" Target="http://2333.hk" TargetMode="External"/><Relationship Id="rId628" Type="http://schemas.openxmlformats.org/officeDocument/2006/relationships/hyperlink" Target="http://9939.hk" TargetMode="External"/><Relationship Id="rId627" Type="http://schemas.openxmlformats.org/officeDocument/2006/relationships/hyperlink" Target="https://finance.yahoo.com/quote/9939.HK/?p=9939.HK" TargetMode="External"/><Relationship Id="rId869" Type="http://schemas.openxmlformats.org/officeDocument/2006/relationships/hyperlink" Target="http://3339.hk" TargetMode="External"/><Relationship Id="rId626" Type="http://schemas.openxmlformats.org/officeDocument/2006/relationships/hyperlink" Target="http://9939.hk" TargetMode="External"/><Relationship Id="rId868" Type="http://schemas.openxmlformats.org/officeDocument/2006/relationships/hyperlink" Target="https://finance.yahoo.com/quote/2333.HK/?p=2333.HK" TargetMode="External"/><Relationship Id="rId625" Type="http://schemas.openxmlformats.org/officeDocument/2006/relationships/hyperlink" Target="https://finance.yahoo.com/quote/9988.HK/?p=9988.HK" TargetMode="External"/><Relationship Id="rId867" Type="http://schemas.openxmlformats.org/officeDocument/2006/relationships/hyperlink" Target="http://2333.hk" TargetMode="External"/><Relationship Id="rId620" Type="http://schemas.openxmlformats.org/officeDocument/2006/relationships/hyperlink" Target="https://finance.yahoo.com/quote/TSLA/?p=TSLA" TargetMode="External"/><Relationship Id="rId862" Type="http://schemas.openxmlformats.org/officeDocument/2006/relationships/hyperlink" Target="https://finance.yahoo.com/quote/2333.HK/?p=2333.HK" TargetMode="External"/><Relationship Id="rId861" Type="http://schemas.openxmlformats.org/officeDocument/2006/relationships/hyperlink" Target="http://2333.hk" TargetMode="External"/><Relationship Id="rId1210" Type="http://schemas.openxmlformats.org/officeDocument/2006/relationships/hyperlink" Target="https://finance.yahoo.com/quote/600661.SS/?p=600661.SS" TargetMode="External"/><Relationship Id="rId860" Type="http://schemas.openxmlformats.org/officeDocument/2006/relationships/hyperlink" Target="https://finance.yahoo.com/quote/CLOV/?p=CLOV" TargetMode="External"/><Relationship Id="rId1211" Type="http://schemas.openxmlformats.org/officeDocument/2006/relationships/hyperlink" Target="https://finance.yahoo.com/quote/AAPL/?p=AAPL" TargetMode="External"/><Relationship Id="rId1212" Type="http://schemas.openxmlformats.org/officeDocument/2006/relationships/hyperlink" Target="http://000950.sz" TargetMode="External"/><Relationship Id="rId1202" Type="http://schemas.openxmlformats.org/officeDocument/2006/relationships/hyperlink" Target="http://3690.hk" TargetMode="External"/><Relationship Id="rId1203" Type="http://schemas.openxmlformats.org/officeDocument/2006/relationships/hyperlink" Target="https://finance.yahoo.com/quote/3690.HK/?p=3690.HK" TargetMode="External"/><Relationship Id="rId1204" Type="http://schemas.openxmlformats.org/officeDocument/2006/relationships/hyperlink" Target="http://0700.hk" TargetMode="External"/><Relationship Id="rId1205" Type="http://schemas.openxmlformats.org/officeDocument/2006/relationships/hyperlink" Target="https://finance.yahoo.com/quote/0700.HK/?p=0700.HK" TargetMode="External"/><Relationship Id="rId1206" Type="http://schemas.openxmlformats.org/officeDocument/2006/relationships/hyperlink" Target="https://finance.yahoo.com/quote/AAPL/?p=AAPL" TargetMode="External"/><Relationship Id="rId1207" Type="http://schemas.openxmlformats.org/officeDocument/2006/relationships/hyperlink" Target="http://000950.sz" TargetMode="External"/><Relationship Id="rId1208" Type="http://schemas.openxmlformats.org/officeDocument/2006/relationships/hyperlink" Target="https://finance.yahoo.com/quote/000950.SZ/?p=000950.SZ" TargetMode="External"/><Relationship Id="rId1209" Type="http://schemas.openxmlformats.org/officeDocument/2006/relationships/hyperlink" Target="http://600661.ss" TargetMode="External"/><Relationship Id="rId619" Type="http://schemas.openxmlformats.org/officeDocument/2006/relationships/hyperlink" Target="https://finance.yahoo.com/quote/TSLA/?p=TSLA" TargetMode="External"/><Relationship Id="rId618" Type="http://schemas.openxmlformats.org/officeDocument/2006/relationships/hyperlink" Target="https://finance.yahoo.com/quote/DIS/?p=DIS" TargetMode="External"/><Relationship Id="rId613" Type="http://schemas.openxmlformats.org/officeDocument/2006/relationships/hyperlink" Target="https://finance.yahoo.com/quote/DIS/?p=DIS" TargetMode="External"/><Relationship Id="rId855" Type="http://schemas.openxmlformats.org/officeDocument/2006/relationships/hyperlink" Target="https://finance.yahoo.com/quote/2318.HK/?p=2318.HK" TargetMode="External"/><Relationship Id="rId612" Type="http://schemas.openxmlformats.org/officeDocument/2006/relationships/hyperlink" Target="https://finance.yahoo.com/quote/DIS/?p=DIS" TargetMode="External"/><Relationship Id="rId854" Type="http://schemas.openxmlformats.org/officeDocument/2006/relationships/hyperlink" Target="http://2318.hk" TargetMode="External"/><Relationship Id="rId611" Type="http://schemas.openxmlformats.org/officeDocument/2006/relationships/hyperlink" Target="https://finance.yahoo.com/quote/TSLA/?p=TSLA" TargetMode="External"/><Relationship Id="rId853" Type="http://schemas.openxmlformats.org/officeDocument/2006/relationships/hyperlink" Target="https://finance.yahoo.com/quote/2318.HK/?p=2318.HK" TargetMode="External"/><Relationship Id="rId610" Type="http://schemas.openxmlformats.org/officeDocument/2006/relationships/hyperlink" Target="https://finance.yahoo.com/quote/600519.SS/?p=600519.SS" TargetMode="External"/><Relationship Id="rId852" Type="http://schemas.openxmlformats.org/officeDocument/2006/relationships/hyperlink" Target="http://2318.hk" TargetMode="External"/><Relationship Id="rId617" Type="http://schemas.openxmlformats.org/officeDocument/2006/relationships/hyperlink" Target="https://finance.yahoo.com/quote/TSLA/?p=TSLA" TargetMode="External"/><Relationship Id="rId859" Type="http://schemas.openxmlformats.org/officeDocument/2006/relationships/hyperlink" Target="https://finance.yahoo.com/quote/0708.HK/?p=0708.HK" TargetMode="External"/><Relationship Id="rId616" Type="http://schemas.openxmlformats.org/officeDocument/2006/relationships/hyperlink" Target="https://finance.yahoo.com/quote/RIVN/?p=RIVN" TargetMode="External"/><Relationship Id="rId858" Type="http://schemas.openxmlformats.org/officeDocument/2006/relationships/hyperlink" Target="http://0708.hk" TargetMode="External"/><Relationship Id="rId615" Type="http://schemas.openxmlformats.org/officeDocument/2006/relationships/hyperlink" Target="https://finance.yahoo.com/quote/RIVN/?p=RIVN" TargetMode="External"/><Relationship Id="rId857" Type="http://schemas.openxmlformats.org/officeDocument/2006/relationships/hyperlink" Target="https://finance.yahoo.com/quote/0708.hk/?p=0708.hk" TargetMode="External"/><Relationship Id="rId614" Type="http://schemas.openxmlformats.org/officeDocument/2006/relationships/hyperlink" Target="https://finance.yahoo.com/quote/TSLA/?p=TSLA" TargetMode="External"/><Relationship Id="rId856" Type="http://schemas.openxmlformats.org/officeDocument/2006/relationships/hyperlink" Target="http://0708.hk" TargetMode="External"/><Relationship Id="rId851" Type="http://schemas.openxmlformats.org/officeDocument/2006/relationships/hyperlink" Target="https://finance.yahoo.com/quote/LMT/?p=LMT" TargetMode="External"/><Relationship Id="rId850" Type="http://schemas.openxmlformats.org/officeDocument/2006/relationships/hyperlink" Target="https://finance.yahoo.com/quote/SOFI/?p=SOFI" TargetMode="External"/><Relationship Id="rId1200" Type="http://schemas.openxmlformats.org/officeDocument/2006/relationships/hyperlink" Target="http://6078.hk" TargetMode="External"/><Relationship Id="rId1201" Type="http://schemas.openxmlformats.org/officeDocument/2006/relationships/hyperlink" Target="https://finance.yahoo.com/quote/6078.HK/?p=6078.HK" TargetMode="External"/><Relationship Id="rId1235" Type="http://schemas.openxmlformats.org/officeDocument/2006/relationships/hyperlink" Target="https://finance.yahoo.com/quote/600533.SS/?p=600533.SS" TargetMode="External"/><Relationship Id="rId1236" Type="http://schemas.openxmlformats.org/officeDocument/2006/relationships/hyperlink" Target="http://600533.ss" TargetMode="External"/><Relationship Id="rId1237" Type="http://schemas.openxmlformats.org/officeDocument/2006/relationships/hyperlink" Target="https://finance.yahoo.com/quote/600533.SS/?p=600533.SS" TargetMode="External"/><Relationship Id="rId1238" Type="http://schemas.openxmlformats.org/officeDocument/2006/relationships/hyperlink" Target="http://002205.sz" TargetMode="External"/><Relationship Id="rId1239" Type="http://schemas.openxmlformats.org/officeDocument/2006/relationships/hyperlink" Target="https://finance.yahoo.com/quote/002205.SZ/?p=002205.SZ" TargetMode="External"/><Relationship Id="rId409" Type="http://schemas.openxmlformats.org/officeDocument/2006/relationships/hyperlink" Target="http://1398.hk" TargetMode="External"/><Relationship Id="rId404" Type="http://schemas.openxmlformats.org/officeDocument/2006/relationships/hyperlink" Target="https://finance.yahoo.com/quote/AAPL/?p=AAPL" TargetMode="External"/><Relationship Id="rId646" Type="http://schemas.openxmlformats.org/officeDocument/2006/relationships/hyperlink" Target="https://finance.yahoo.com/quote/TWTR/?p=TWTR" TargetMode="External"/><Relationship Id="rId888" Type="http://schemas.openxmlformats.org/officeDocument/2006/relationships/hyperlink" Target="https://finance.yahoo.com/quote/1610.HK/?p=1610.HK" TargetMode="External"/><Relationship Id="rId403" Type="http://schemas.openxmlformats.org/officeDocument/2006/relationships/hyperlink" Target="https://finance.yahoo.com/quote/BZ=F/?p=BZ=F" TargetMode="External"/><Relationship Id="rId645" Type="http://schemas.openxmlformats.org/officeDocument/2006/relationships/hyperlink" Target="https://finance.yahoo.com/quote/9866.HK/?p=9866.HK" TargetMode="External"/><Relationship Id="rId887" Type="http://schemas.openxmlformats.org/officeDocument/2006/relationships/hyperlink" Target="http://1610.hk" TargetMode="External"/><Relationship Id="rId402" Type="http://schemas.openxmlformats.org/officeDocument/2006/relationships/hyperlink" Target="https://finance.yahoo.com/quote/TSLA/?p=TSLA" TargetMode="External"/><Relationship Id="rId644" Type="http://schemas.openxmlformats.org/officeDocument/2006/relationships/hyperlink" Target="http://9866.hk" TargetMode="External"/><Relationship Id="rId886" Type="http://schemas.openxmlformats.org/officeDocument/2006/relationships/hyperlink" Target="https://finance.yahoo.com/quote/0175.HK/?p=0175.HK" TargetMode="External"/><Relationship Id="rId401" Type="http://schemas.openxmlformats.org/officeDocument/2006/relationships/hyperlink" Target="https://finance.yahoo.com/quote/002104.SZ/?p=002104.SZ" TargetMode="External"/><Relationship Id="rId643" Type="http://schemas.openxmlformats.org/officeDocument/2006/relationships/hyperlink" Target="https://finance.yahoo.com/quote/DIS/?p=DIS" TargetMode="External"/><Relationship Id="rId885" Type="http://schemas.openxmlformats.org/officeDocument/2006/relationships/hyperlink" Target="http://0175.hk" TargetMode="External"/><Relationship Id="rId408" Type="http://schemas.openxmlformats.org/officeDocument/2006/relationships/hyperlink" Target="https://finance.yahoo.com/quote/BZ=F/?p=BZ=F" TargetMode="External"/><Relationship Id="rId407" Type="http://schemas.openxmlformats.org/officeDocument/2006/relationships/hyperlink" Target="https://finance.yahoo.com/quote/JPM/?p=JPM" TargetMode="External"/><Relationship Id="rId649" Type="http://schemas.openxmlformats.org/officeDocument/2006/relationships/hyperlink" Target="https://finance.yahoo.com/quote/TWTR/?p=TWTR" TargetMode="External"/><Relationship Id="rId406" Type="http://schemas.openxmlformats.org/officeDocument/2006/relationships/hyperlink" Target="https://finance.yahoo.com/quote/3988.HK/?p=3988.HK" TargetMode="External"/><Relationship Id="rId648" Type="http://schemas.openxmlformats.org/officeDocument/2006/relationships/hyperlink" Target="https://finance.yahoo.com/quote/TSLA/?p=TSLA" TargetMode="External"/><Relationship Id="rId405" Type="http://schemas.openxmlformats.org/officeDocument/2006/relationships/hyperlink" Target="http://3988.hk" TargetMode="External"/><Relationship Id="rId647" Type="http://schemas.openxmlformats.org/officeDocument/2006/relationships/hyperlink" Target="https://finance.yahoo.com/quote/DIS/?p=DIS" TargetMode="External"/><Relationship Id="rId889" Type="http://schemas.openxmlformats.org/officeDocument/2006/relationships/hyperlink" Target="https://finance.yahoo.com/quote/AAPL/?p=AAPL" TargetMode="External"/><Relationship Id="rId880" Type="http://schemas.openxmlformats.org/officeDocument/2006/relationships/hyperlink" Target="https://finance.yahoo.com/quote/2333.HK/?p=2333.HK" TargetMode="External"/><Relationship Id="rId1230" Type="http://schemas.openxmlformats.org/officeDocument/2006/relationships/hyperlink" Target="http://000665.sz" TargetMode="External"/><Relationship Id="rId400" Type="http://schemas.openxmlformats.org/officeDocument/2006/relationships/hyperlink" Target="http://002104.sz/" TargetMode="External"/><Relationship Id="rId642" Type="http://schemas.openxmlformats.org/officeDocument/2006/relationships/hyperlink" Target="https://finance.yahoo.com/quote/9939.HK/?p=9939.HK" TargetMode="External"/><Relationship Id="rId884" Type="http://schemas.openxmlformats.org/officeDocument/2006/relationships/hyperlink" Target="https://finance.yahoo.com/quote/2333.HK/?p=2333.HK" TargetMode="External"/><Relationship Id="rId1231" Type="http://schemas.openxmlformats.org/officeDocument/2006/relationships/hyperlink" Target="https://finance.yahoo.com/quote/000665.SZ/?p=000665.SZ" TargetMode="External"/><Relationship Id="rId641" Type="http://schemas.openxmlformats.org/officeDocument/2006/relationships/hyperlink" Target="http://9939.hk" TargetMode="External"/><Relationship Id="rId883" Type="http://schemas.openxmlformats.org/officeDocument/2006/relationships/hyperlink" Target="http://2333.hk" TargetMode="External"/><Relationship Id="rId1232" Type="http://schemas.openxmlformats.org/officeDocument/2006/relationships/hyperlink" Target="http://000665.sz" TargetMode="External"/><Relationship Id="rId640" Type="http://schemas.openxmlformats.org/officeDocument/2006/relationships/hyperlink" Target="https://finance.yahoo.com/quote/DIS/?p=DIS" TargetMode="External"/><Relationship Id="rId882" Type="http://schemas.openxmlformats.org/officeDocument/2006/relationships/hyperlink" Target="https://finance.yahoo.com/quote/1810.HK/?p=1810.HK" TargetMode="External"/><Relationship Id="rId1233" Type="http://schemas.openxmlformats.org/officeDocument/2006/relationships/hyperlink" Target="https://finance.yahoo.com/quote/000665.SZ/?p=000665.SZ" TargetMode="External"/><Relationship Id="rId881" Type="http://schemas.openxmlformats.org/officeDocument/2006/relationships/hyperlink" Target="http://1810.hk" TargetMode="External"/><Relationship Id="rId1234" Type="http://schemas.openxmlformats.org/officeDocument/2006/relationships/hyperlink" Target="http://600533.ss" TargetMode="External"/><Relationship Id="rId1224" Type="http://schemas.openxmlformats.org/officeDocument/2006/relationships/hyperlink" Target="http://000965.sz" TargetMode="External"/><Relationship Id="rId1225" Type="http://schemas.openxmlformats.org/officeDocument/2006/relationships/hyperlink" Target="https://finance.yahoo.com/quote/000965.SZ/?p=000965.SZ" TargetMode="External"/><Relationship Id="rId1226" Type="http://schemas.openxmlformats.org/officeDocument/2006/relationships/hyperlink" Target="http://000505.sz" TargetMode="External"/><Relationship Id="rId1227" Type="http://schemas.openxmlformats.org/officeDocument/2006/relationships/hyperlink" Target="https://finance.yahoo.com/quote/000505.SZ/?p=000505.SZ" TargetMode="External"/><Relationship Id="rId1228" Type="http://schemas.openxmlformats.org/officeDocument/2006/relationships/hyperlink" Target="http://000505.sz" TargetMode="External"/><Relationship Id="rId1229" Type="http://schemas.openxmlformats.org/officeDocument/2006/relationships/hyperlink" Target="https://finance.yahoo.com/quote/000505.SZ/?p=000505.SZ" TargetMode="External"/><Relationship Id="rId635" Type="http://schemas.openxmlformats.org/officeDocument/2006/relationships/hyperlink" Target="https://finance.yahoo.com/quote/TWTR/?p=TWTR" TargetMode="External"/><Relationship Id="rId877" Type="http://schemas.openxmlformats.org/officeDocument/2006/relationships/hyperlink" Target="http://3339.hk" TargetMode="External"/><Relationship Id="rId634" Type="http://schemas.openxmlformats.org/officeDocument/2006/relationships/hyperlink" Target="https://finance.yahoo.com/quote/TWTR/?p=TWTR" TargetMode="External"/><Relationship Id="rId876" Type="http://schemas.openxmlformats.org/officeDocument/2006/relationships/hyperlink" Target="https://finance.yahoo.com/quote/3339.HK/?p=3339.HK" TargetMode="External"/><Relationship Id="rId633" Type="http://schemas.openxmlformats.org/officeDocument/2006/relationships/hyperlink" Target="https://finance.yahoo.com/quote/9939.HK/?p=9939.HK" TargetMode="External"/><Relationship Id="rId875" Type="http://schemas.openxmlformats.org/officeDocument/2006/relationships/hyperlink" Target="http://3339.hk" TargetMode="External"/><Relationship Id="rId632" Type="http://schemas.openxmlformats.org/officeDocument/2006/relationships/hyperlink" Target="http://9939.hk" TargetMode="External"/><Relationship Id="rId874" Type="http://schemas.openxmlformats.org/officeDocument/2006/relationships/hyperlink" Target="https://finance.yahoo.com/quote/1810.HK/?p=1810.HK" TargetMode="External"/><Relationship Id="rId639" Type="http://schemas.openxmlformats.org/officeDocument/2006/relationships/hyperlink" Target="https://www.bondsupermart.com/bsm/general-search/US88032XAE40" TargetMode="External"/><Relationship Id="rId638" Type="http://schemas.openxmlformats.org/officeDocument/2006/relationships/hyperlink" Target="https://finance.yahoo.com/quote/DIS/?p=DIS" TargetMode="External"/><Relationship Id="rId637" Type="http://schemas.openxmlformats.org/officeDocument/2006/relationships/hyperlink" Target="https://finance.yahoo.com/quote/DIS/?p=DIS" TargetMode="External"/><Relationship Id="rId879" Type="http://schemas.openxmlformats.org/officeDocument/2006/relationships/hyperlink" Target="http://2333.hk" TargetMode="External"/><Relationship Id="rId636" Type="http://schemas.openxmlformats.org/officeDocument/2006/relationships/hyperlink" Target="https://finance.yahoo.com/quote/DIS/?p=DIS" TargetMode="External"/><Relationship Id="rId878" Type="http://schemas.openxmlformats.org/officeDocument/2006/relationships/hyperlink" Target="https://finance.yahoo.com/quote/3339.HK/?p=3339.HK" TargetMode="External"/><Relationship Id="rId631" Type="http://schemas.openxmlformats.org/officeDocument/2006/relationships/hyperlink" Target="https://finance.yahoo.com/quote/9939.HK/?p=9939.HK" TargetMode="External"/><Relationship Id="rId873" Type="http://schemas.openxmlformats.org/officeDocument/2006/relationships/hyperlink" Target="http://1810.hk" TargetMode="External"/><Relationship Id="rId1220" Type="http://schemas.openxmlformats.org/officeDocument/2006/relationships/hyperlink" Target="http://0700.hk" TargetMode="External"/><Relationship Id="rId630" Type="http://schemas.openxmlformats.org/officeDocument/2006/relationships/hyperlink" Target="http://9939.hk" TargetMode="External"/><Relationship Id="rId872" Type="http://schemas.openxmlformats.org/officeDocument/2006/relationships/hyperlink" Target="https://finance.yahoo.com/quote/1610.HK/?p=1610.HK" TargetMode="External"/><Relationship Id="rId1221" Type="http://schemas.openxmlformats.org/officeDocument/2006/relationships/hyperlink" Target="https://finance.yahoo.com/quote/0700.HK/?p=0700.HK" TargetMode="External"/><Relationship Id="rId871" Type="http://schemas.openxmlformats.org/officeDocument/2006/relationships/hyperlink" Target="http://1610.hk" TargetMode="External"/><Relationship Id="rId1222" Type="http://schemas.openxmlformats.org/officeDocument/2006/relationships/hyperlink" Target="http://000965.sz" TargetMode="External"/><Relationship Id="rId870" Type="http://schemas.openxmlformats.org/officeDocument/2006/relationships/hyperlink" Target="https://finance.yahoo.com/quote/3339.HK/?p=3339.HK" TargetMode="External"/><Relationship Id="rId1223" Type="http://schemas.openxmlformats.org/officeDocument/2006/relationships/hyperlink" Target="https://finance.yahoo.com/quote/000965.SZ/?p=000965.SZ" TargetMode="External"/><Relationship Id="rId829" Type="http://schemas.openxmlformats.org/officeDocument/2006/relationships/hyperlink" Target="https://finance.yahoo.com/quote/AAPL/?p=AAPL" TargetMode="External"/><Relationship Id="rId828" Type="http://schemas.openxmlformats.org/officeDocument/2006/relationships/hyperlink" Target="https://finance.yahoo.com/quote/9988.HK/?p=9988.HK" TargetMode="External"/><Relationship Id="rId827" Type="http://schemas.openxmlformats.org/officeDocument/2006/relationships/hyperlink" Target="http://9988.hk" TargetMode="External"/><Relationship Id="rId822" Type="http://schemas.openxmlformats.org/officeDocument/2006/relationships/hyperlink" Target="http://0460.hk" TargetMode="External"/><Relationship Id="rId821" Type="http://schemas.openxmlformats.org/officeDocument/2006/relationships/hyperlink" Target="https://finance.yahoo.com/quote/0241.HK/?p=0241.HK" TargetMode="External"/><Relationship Id="rId820" Type="http://schemas.openxmlformats.org/officeDocument/2006/relationships/hyperlink" Target="http://0241.hk" TargetMode="External"/><Relationship Id="rId826" Type="http://schemas.openxmlformats.org/officeDocument/2006/relationships/hyperlink" Target="https://finance.yahoo.com/quote/1898.HK/?p=1898.HK" TargetMode="External"/><Relationship Id="rId825" Type="http://schemas.openxmlformats.org/officeDocument/2006/relationships/hyperlink" Target="http://1898.hk" TargetMode="External"/><Relationship Id="rId824" Type="http://schemas.openxmlformats.org/officeDocument/2006/relationships/hyperlink" Target="https://finance.yahoo.com/quote/FSR/?p=FSR" TargetMode="External"/><Relationship Id="rId823" Type="http://schemas.openxmlformats.org/officeDocument/2006/relationships/hyperlink" Target="https://finance.yahoo.com/quote/0460.HK/?p=0460.HK" TargetMode="External"/><Relationship Id="rId1400" Type="http://schemas.openxmlformats.org/officeDocument/2006/relationships/hyperlink" Target="https://finance.yahoo.com/quote/PANW/?p=PANW" TargetMode="External"/><Relationship Id="rId1401" Type="http://schemas.openxmlformats.org/officeDocument/2006/relationships/hyperlink" Target="https://finance.yahoo.com/quote/TEAM/?p=TEAM" TargetMode="External"/><Relationship Id="rId1402" Type="http://schemas.openxmlformats.org/officeDocument/2006/relationships/hyperlink" Target="https://finance.yahoo.com/quote/ATVI/?p=ATVI" TargetMode="External"/><Relationship Id="rId1403" Type="http://schemas.openxmlformats.org/officeDocument/2006/relationships/hyperlink" Target="https://finance.yahoo.com/quote/AMGN/?p=AMGN" TargetMode="External"/><Relationship Id="rId1404" Type="http://schemas.openxmlformats.org/officeDocument/2006/relationships/hyperlink" Target="https://finance.yahoo.com/quote/LCID/?p=LCID" TargetMode="External"/><Relationship Id="rId1405" Type="http://schemas.openxmlformats.org/officeDocument/2006/relationships/hyperlink" Target="https://finance.yahoo.com/quote/SNPS/?p=SNPS" TargetMode="External"/><Relationship Id="rId1406" Type="http://schemas.openxmlformats.org/officeDocument/2006/relationships/hyperlink" Target="https://finance.yahoo.com/quote/TMUS/?p=TMUS" TargetMode="External"/><Relationship Id="rId1407" Type="http://schemas.openxmlformats.org/officeDocument/2006/relationships/hyperlink" Target="https://finance.yahoo.com/quote/AMZN/?p=AMZN" TargetMode="External"/><Relationship Id="rId819" Type="http://schemas.openxmlformats.org/officeDocument/2006/relationships/hyperlink" Target="https://finance.yahoo.com/quote/0386.HK/?p=0386.HK" TargetMode="External"/><Relationship Id="rId1408" Type="http://schemas.openxmlformats.org/officeDocument/2006/relationships/drawing" Target="../drawings/drawing8.xml"/><Relationship Id="rId818" Type="http://schemas.openxmlformats.org/officeDocument/2006/relationships/hyperlink" Target="http://0386.hk" TargetMode="External"/><Relationship Id="rId817" Type="http://schemas.openxmlformats.org/officeDocument/2006/relationships/hyperlink" Target="https://finance.yahoo.com/quote/0151.HK/?p=0151.HK" TargetMode="External"/><Relationship Id="rId816" Type="http://schemas.openxmlformats.org/officeDocument/2006/relationships/hyperlink" Target="http://0151.hk" TargetMode="External"/><Relationship Id="rId811" Type="http://schemas.openxmlformats.org/officeDocument/2006/relationships/hyperlink" Target="https://finance.yahoo.com/quote/0151.HK/?p=0151.HK" TargetMode="External"/><Relationship Id="rId810" Type="http://schemas.openxmlformats.org/officeDocument/2006/relationships/hyperlink" Target="http://0151.hk" TargetMode="External"/><Relationship Id="rId815" Type="http://schemas.openxmlformats.org/officeDocument/2006/relationships/hyperlink" Target="https://finance.yahoo.com/quote/0151.HK/?p=0151.HK" TargetMode="External"/><Relationship Id="rId814" Type="http://schemas.openxmlformats.org/officeDocument/2006/relationships/hyperlink" Target="http://0151.hk" TargetMode="External"/><Relationship Id="rId813" Type="http://schemas.openxmlformats.org/officeDocument/2006/relationships/hyperlink" Target="https://finance.yahoo.com/quote/0001.HK/?p=0001.HK" TargetMode="External"/><Relationship Id="rId812" Type="http://schemas.openxmlformats.org/officeDocument/2006/relationships/hyperlink" Target="http://0001.hk" TargetMode="External"/><Relationship Id="rId609" Type="http://schemas.openxmlformats.org/officeDocument/2006/relationships/hyperlink" Target="http://600519.ss" TargetMode="External"/><Relationship Id="rId608" Type="http://schemas.openxmlformats.org/officeDocument/2006/relationships/hyperlink" Target="https://finance.yahoo.com/quote/HPQ/?p=HPQ" TargetMode="External"/><Relationship Id="rId607" Type="http://schemas.openxmlformats.org/officeDocument/2006/relationships/hyperlink" Target="https://finance.yahoo.com/quote/COST/?p=COST" TargetMode="External"/><Relationship Id="rId849" Type="http://schemas.openxmlformats.org/officeDocument/2006/relationships/hyperlink" Target="https://finance.yahoo.com/quote/NFLX/?p=NFLX" TargetMode="External"/><Relationship Id="rId602" Type="http://schemas.openxmlformats.org/officeDocument/2006/relationships/hyperlink" Target="http://0570.hk" TargetMode="External"/><Relationship Id="rId844" Type="http://schemas.openxmlformats.org/officeDocument/2006/relationships/hyperlink" Target="https://finance.yahoo.com/quote/PFE/?p=PFE" TargetMode="External"/><Relationship Id="rId601" Type="http://schemas.openxmlformats.org/officeDocument/2006/relationships/hyperlink" Target="https://finance.yahoo.com/quote/2319.HK/?p=2319.HK" TargetMode="External"/><Relationship Id="rId843" Type="http://schemas.openxmlformats.org/officeDocument/2006/relationships/hyperlink" Target="https://finance.yahoo.com/quote/LMT/?p=LMT" TargetMode="External"/><Relationship Id="rId600" Type="http://schemas.openxmlformats.org/officeDocument/2006/relationships/hyperlink" Target="http://2319.hk" TargetMode="External"/><Relationship Id="rId842" Type="http://schemas.openxmlformats.org/officeDocument/2006/relationships/hyperlink" Target="https://finance.yahoo.com/quote/AAPL/?p=AAPL" TargetMode="External"/><Relationship Id="rId841" Type="http://schemas.openxmlformats.org/officeDocument/2006/relationships/hyperlink" Target="https://finance.yahoo.com/quote/aapl/?p=aapl" TargetMode="External"/><Relationship Id="rId606" Type="http://schemas.openxmlformats.org/officeDocument/2006/relationships/hyperlink" Target="https://finance.yahoo.com/quote/MNTS/?p=MNTS" TargetMode="External"/><Relationship Id="rId848" Type="http://schemas.openxmlformats.org/officeDocument/2006/relationships/hyperlink" Target="https://finance.yahoo.com/quote/SOFI/?p=SOFI" TargetMode="External"/><Relationship Id="rId605" Type="http://schemas.openxmlformats.org/officeDocument/2006/relationships/hyperlink" Target="https://finance.yahoo.com/quote/A/?p=A" TargetMode="External"/><Relationship Id="rId847" Type="http://schemas.openxmlformats.org/officeDocument/2006/relationships/hyperlink" Target="https://finance.yahoo.com/quote/PFE/?p=PFE" TargetMode="External"/><Relationship Id="rId604" Type="http://schemas.openxmlformats.org/officeDocument/2006/relationships/hyperlink" Target="https://finance.yahoo.com/quote/A/?p=A" TargetMode="External"/><Relationship Id="rId846" Type="http://schemas.openxmlformats.org/officeDocument/2006/relationships/hyperlink" Target="https://finance.yahoo.com/quote/3339.HK/?p=3339.HK" TargetMode="External"/><Relationship Id="rId603" Type="http://schemas.openxmlformats.org/officeDocument/2006/relationships/hyperlink" Target="https://finance.yahoo.com/quote/0570.HK/?p=0570.HK" TargetMode="External"/><Relationship Id="rId845" Type="http://schemas.openxmlformats.org/officeDocument/2006/relationships/hyperlink" Target="http://3339.hk" TargetMode="External"/><Relationship Id="rId840" Type="http://schemas.openxmlformats.org/officeDocument/2006/relationships/hyperlink" Target="https://finance.yahoo.com/quote/AAPL/?p=AAPL" TargetMode="External"/><Relationship Id="rId839" Type="http://schemas.openxmlformats.org/officeDocument/2006/relationships/hyperlink" Target="https://finance.yahoo.com/quote/6862.HK/?p=6862.HK" TargetMode="External"/><Relationship Id="rId838" Type="http://schemas.openxmlformats.org/officeDocument/2006/relationships/hyperlink" Target="http://6862.hk" TargetMode="External"/><Relationship Id="rId833" Type="http://schemas.openxmlformats.org/officeDocument/2006/relationships/hyperlink" Target="https://finance.yahoo.com/quote/0700.HK/?p=0700.HK" TargetMode="External"/><Relationship Id="rId832" Type="http://schemas.openxmlformats.org/officeDocument/2006/relationships/hyperlink" Target="http://0700.hk" TargetMode="External"/><Relationship Id="rId831" Type="http://schemas.openxmlformats.org/officeDocument/2006/relationships/hyperlink" Target="https://finance.yahoo.com/quote/6862.HK/?p=6862.HK" TargetMode="External"/><Relationship Id="rId830" Type="http://schemas.openxmlformats.org/officeDocument/2006/relationships/hyperlink" Target="http://6862.hk" TargetMode="External"/><Relationship Id="rId837" Type="http://schemas.openxmlformats.org/officeDocument/2006/relationships/hyperlink" Target="https://finance.yahoo.com/quote/6862.HK/?p=6862.HK" TargetMode="External"/><Relationship Id="rId836" Type="http://schemas.openxmlformats.org/officeDocument/2006/relationships/hyperlink" Target="http://6862.hk" TargetMode="External"/><Relationship Id="rId835" Type="http://schemas.openxmlformats.org/officeDocument/2006/relationships/hyperlink" Target="https://finance.yahoo.com/quote/0700.HK/?p=0700.HK" TargetMode="External"/><Relationship Id="rId834" Type="http://schemas.openxmlformats.org/officeDocument/2006/relationships/hyperlink" Target="http://0700.hk" TargetMode="External"/><Relationship Id="rId1059" Type="http://schemas.openxmlformats.org/officeDocument/2006/relationships/hyperlink" Target="http://300922.sz" TargetMode="External"/><Relationship Id="rId228" Type="http://schemas.openxmlformats.org/officeDocument/2006/relationships/hyperlink" Target="https://finance.yahoo.com/quote/TSLA/?p=TSLA" TargetMode="External"/><Relationship Id="rId227" Type="http://schemas.openxmlformats.org/officeDocument/2006/relationships/hyperlink" Target="https://finance.yahoo.com/quote/0700.HK/?p=0700.HK" TargetMode="External"/><Relationship Id="rId469" Type="http://schemas.openxmlformats.org/officeDocument/2006/relationships/hyperlink" Target="http://002657.sz" TargetMode="External"/><Relationship Id="rId226" Type="http://schemas.openxmlformats.org/officeDocument/2006/relationships/hyperlink" Target="http://0700.hk" TargetMode="External"/><Relationship Id="rId468" Type="http://schemas.openxmlformats.org/officeDocument/2006/relationships/hyperlink" Target="https://finance.yahoo.com/quote/002657.SZ/?p=002657.SZ" TargetMode="External"/><Relationship Id="rId225" Type="http://schemas.openxmlformats.org/officeDocument/2006/relationships/hyperlink" Target="https://finance.yahoo.com/quote/9988.HK/?p=9988.HK" TargetMode="External"/><Relationship Id="rId467" Type="http://schemas.openxmlformats.org/officeDocument/2006/relationships/hyperlink" Target="http://002657.sz" TargetMode="External"/><Relationship Id="rId1290" Type="http://schemas.openxmlformats.org/officeDocument/2006/relationships/hyperlink" Target="http://9988.hk" TargetMode="External"/><Relationship Id="rId1291" Type="http://schemas.openxmlformats.org/officeDocument/2006/relationships/hyperlink" Target="https://finance.yahoo.com/quote/9988.HK/?p=9988.HK" TargetMode="External"/><Relationship Id="rId229" Type="http://schemas.openxmlformats.org/officeDocument/2006/relationships/hyperlink" Target="http://2007.hk" TargetMode="External"/><Relationship Id="rId1050" Type="http://schemas.openxmlformats.org/officeDocument/2006/relationships/hyperlink" Target="https://finance.yahoo.com/quote/000554.SZ/?p=000554.SZ" TargetMode="External"/><Relationship Id="rId1292" Type="http://schemas.openxmlformats.org/officeDocument/2006/relationships/hyperlink" Target="http://9698.hk" TargetMode="External"/><Relationship Id="rId220" Type="http://schemas.openxmlformats.org/officeDocument/2006/relationships/hyperlink" Target="https://finance.yahoo.com/quote/9626.HK/?p=9626.HK" TargetMode="External"/><Relationship Id="rId462" Type="http://schemas.openxmlformats.org/officeDocument/2006/relationships/hyperlink" Target="https://finance.yahoo.com/quote/000950.SZ/?p=000950.SZ" TargetMode="External"/><Relationship Id="rId1051" Type="http://schemas.openxmlformats.org/officeDocument/2006/relationships/hyperlink" Target="http://300945.sz" TargetMode="External"/><Relationship Id="rId1293" Type="http://schemas.openxmlformats.org/officeDocument/2006/relationships/hyperlink" Target="https://finance.yahoo.com/quote/9698.HK/?p=9698.HK" TargetMode="External"/><Relationship Id="rId461" Type="http://schemas.openxmlformats.org/officeDocument/2006/relationships/hyperlink" Target="http://000950.sz" TargetMode="External"/><Relationship Id="rId1052" Type="http://schemas.openxmlformats.org/officeDocument/2006/relationships/hyperlink" Target="https://finance.yahoo.com/quote/300945.SZ/?p=300945.SZ" TargetMode="External"/><Relationship Id="rId1294" Type="http://schemas.openxmlformats.org/officeDocument/2006/relationships/hyperlink" Target="http://3690.hk" TargetMode="External"/><Relationship Id="rId460" Type="http://schemas.openxmlformats.org/officeDocument/2006/relationships/hyperlink" Target="https://finance.yahoo.com/quote/003040.SZ/?p=003040.SZ" TargetMode="External"/><Relationship Id="rId1053" Type="http://schemas.openxmlformats.org/officeDocument/2006/relationships/hyperlink" Target="http://601808.ss" TargetMode="External"/><Relationship Id="rId1295" Type="http://schemas.openxmlformats.org/officeDocument/2006/relationships/hyperlink" Target="https://finance.yahoo.com/quote/3690.HK/?p=3690.HK" TargetMode="External"/><Relationship Id="rId1054" Type="http://schemas.openxmlformats.org/officeDocument/2006/relationships/hyperlink" Target="https://finance.yahoo.com/quote/601808.SS/?p=601808.SS" TargetMode="External"/><Relationship Id="rId1296" Type="http://schemas.openxmlformats.org/officeDocument/2006/relationships/hyperlink" Target="http://9698.hk" TargetMode="External"/><Relationship Id="rId224" Type="http://schemas.openxmlformats.org/officeDocument/2006/relationships/hyperlink" Target="http://9988.hk" TargetMode="External"/><Relationship Id="rId466" Type="http://schemas.openxmlformats.org/officeDocument/2006/relationships/hyperlink" Target="https://finance.yahoo.com/quote/002657.SZ/?p=002657.SZ" TargetMode="External"/><Relationship Id="rId1055" Type="http://schemas.openxmlformats.org/officeDocument/2006/relationships/hyperlink" Target="http://601808.ss" TargetMode="External"/><Relationship Id="rId1297" Type="http://schemas.openxmlformats.org/officeDocument/2006/relationships/hyperlink" Target="https://finance.yahoo.com/quote/9698.HK/?p=9698.HK" TargetMode="External"/><Relationship Id="rId223" Type="http://schemas.openxmlformats.org/officeDocument/2006/relationships/hyperlink" Target="https://finance.yahoo.com/quote/TSLA/?p=TSLA" TargetMode="External"/><Relationship Id="rId465" Type="http://schemas.openxmlformats.org/officeDocument/2006/relationships/hyperlink" Target="http://002657.sz" TargetMode="External"/><Relationship Id="rId1056" Type="http://schemas.openxmlformats.org/officeDocument/2006/relationships/hyperlink" Target="https://finance.yahoo.com/quote/601808.SS/?p=601808.SS" TargetMode="External"/><Relationship Id="rId1298" Type="http://schemas.openxmlformats.org/officeDocument/2006/relationships/hyperlink" Target="http://3690.hk" TargetMode="External"/><Relationship Id="rId222" Type="http://schemas.openxmlformats.org/officeDocument/2006/relationships/hyperlink" Target="https://finance.yahoo.com/quote/9988.HK/?p=9988.HK" TargetMode="External"/><Relationship Id="rId464" Type="http://schemas.openxmlformats.org/officeDocument/2006/relationships/hyperlink" Target="https://finance.yahoo.com/quote/002307.SZ/?p=002307.SZ" TargetMode="External"/><Relationship Id="rId1057" Type="http://schemas.openxmlformats.org/officeDocument/2006/relationships/hyperlink" Target="http://300922.sz" TargetMode="External"/><Relationship Id="rId1299" Type="http://schemas.openxmlformats.org/officeDocument/2006/relationships/hyperlink" Target="https://finance.yahoo.com/quote/3690.HK/?p=3690.HK" TargetMode="External"/><Relationship Id="rId221" Type="http://schemas.openxmlformats.org/officeDocument/2006/relationships/hyperlink" Target="http://9988.hk" TargetMode="External"/><Relationship Id="rId463" Type="http://schemas.openxmlformats.org/officeDocument/2006/relationships/hyperlink" Target="http://002307.sz" TargetMode="External"/><Relationship Id="rId1058" Type="http://schemas.openxmlformats.org/officeDocument/2006/relationships/hyperlink" Target="https://finance.yahoo.com/quote/300922.SZ/?p=300922.SZ" TargetMode="External"/><Relationship Id="rId1048" Type="http://schemas.openxmlformats.org/officeDocument/2006/relationships/hyperlink" Target="https://finance.yahoo.com/quote/002665.SZ/?p=002665.SZ" TargetMode="External"/><Relationship Id="rId1049" Type="http://schemas.openxmlformats.org/officeDocument/2006/relationships/hyperlink" Target="http://000554.sz" TargetMode="External"/><Relationship Id="rId217" Type="http://schemas.openxmlformats.org/officeDocument/2006/relationships/hyperlink" Target="http://9888.hk" TargetMode="External"/><Relationship Id="rId459" Type="http://schemas.openxmlformats.org/officeDocument/2006/relationships/hyperlink" Target="http://003040.sz" TargetMode="External"/><Relationship Id="rId216" Type="http://schemas.openxmlformats.org/officeDocument/2006/relationships/hyperlink" Target="https://finance.yahoo.com/quote/9626.HK/?p=9626.HK" TargetMode="External"/><Relationship Id="rId458" Type="http://schemas.openxmlformats.org/officeDocument/2006/relationships/hyperlink" Target="https://finance.yahoo.com/quote/000788.SZ/?p=000788.SZ" TargetMode="External"/><Relationship Id="rId215" Type="http://schemas.openxmlformats.org/officeDocument/2006/relationships/hyperlink" Target="http://9626.hk" TargetMode="External"/><Relationship Id="rId457" Type="http://schemas.openxmlformats.org/officeDocument/2006/relationships/hyperlink" Target="http://000788.sz" TargetMode="External"/><Relationship Id="rId699" Type="http://schemas.openxmlformats.org/officeDocument/2006/relationships/hyperlink" Target="https://finance.yahoo.com/quote/0883.HK/?p=0883.HK" TargetMode="External"/><Relationship Id="rId214" Type="http://schemas.openxmlformats.org/officeDocument/2006/relationships/hyperlink" Target="https://finance.yahoo.com/quote/SOFI/?p=SOFI" TargetMode="External"/><Relationship Id="rId456" Type="http://schemas.openxmlformats.org/officeDocument/2006/relationships/hyperlink" Target="https://finance.yahoo.com/quote/002864.SZ/?p=002864.SZ" TargetMode="External"/><Relationship Id="rId698" Type="http://schemas.openxmlformats.org/officeDocument/2006/relationships/hyperlink" Target="http://0883.hk" TargetMode="External"/><Relationship Id="rId219" Type="http://schemas.openxmlformats.org/officeDocument/2006/relationships/hyperlink" Target="http://9626.hk" TargetMode="External"/><Relationship Id="rId1280" Type="http://schemas.openxmlformats.org/officeDocument/2006/relationships/hyperlink" Target="https://finance.yahoo.com/quote/SNDL/?p=SNDL" TargetMode="External"/><Relationship Id="rId218" Type="http://schemas.openxmlformats.org/officeDocument/2006/relationships/hyperlink" Target="https://finance.yahoo.com/quote/9888.HK/?p=9888.HK" TargetMode="External"/><Relationship Id="rId1281" Type="http://schemas.openxmlformats.org/officeDocument/2006/relationships/hyperlink" Target="https://finance.yahoo.com/quote/SNDL/?p=SNDL" TargetMode="External"/><Relationship Id="rId451" Type="http://schemas.openxmlformats.org/officeDocument/2006/relationships/hyperlink" Target="http://000788.sz" TargetMode="External"/><Relationship Id="rId693" Type="http://schemas.openxmlformats.org/officeDocument/2006/relationships/hyperlink" Target="http://0700.hk" TargetMode="External"/><Relationship Id="rId1040" Type="http://schemas.openxmlformats.org/officeDocument/2006/relationships/hyperlink" Target="https://finance.yahoo.com/quote/600745.SS/?p=600745.SS" TargetMode="External"/><Relationship Id="rId1282" Type="http://schemas.openxmlformats.org/officeDocument/2006/relationships/hyperlink" Target="https://finance.yahoo.com/quote/FB/?p=FB" TargetMode="External"/><Relationship Id="rId450" Type="http://schemas.openxmlformats.org/officeDocument/2006/relationships/hyperlink" Target="https://finance.yahoo.com/quote/002657.SZ/?p=002657.SZ" TargetMode="External"/><Relationship Id="rId692" Type="http://schemas.openxmlformats.org/officeDocument/2006/relationships/hyperlink" Target="https://finance.yahoo.com/quote/TSLA/?p=TSLA" TargetMode="External"/><Relationship Id="rId1041" Type="http://schemas.openxmlformats.org/officeDocument/2006/relationships/hyperlink" Target="http://600519.ss" TargetMode="External"/><Relationship Id="rId1283" Type="http://schemas.openxmlformats.org/officeDocument/2006/relationships/hyperlink" Target="https://finance.yahoo.com/quote/AMZN/?p=AMZN" TargetMode="External"/><Relationship Id="rId691" Type="http://schemas.openxmlformats.org/officeDocument/2006/relationships/hyperlink" Target="https://finance.yahoo.com/quote/9626.hk/?p=9626.hk" TargetMode="External"/><Relationship Id="rId1042" Type="http://schemas.openxmlformats.org/officeDocument/2006/relationships/hyperlink" Target="https://finance.yahoo.com/quote/600519.SS/?p=600519.SS" TargetMode="External"/><Relationship Id="rId1284" Type="http://schemas.openxmlformats.org/officeDocument/2006/relationships/hyperlink" Target="https://finance.yahoo.com/quote/TSLA/?p=TSLA" TargetMode="External"/><Relationship Id="rId690" Type="http://schemas.openxmlformats.org/officeDocument/2006/relationships/hyperlink" Target="http://9626.hk" TargetMode="External"/><Relationship Id="rId1043" Type="http://schemas.openxmlformats.org/officeDocument/2006/relationships/hyperlink" Target="https://finance.yahoo.com/quote/XPEV/?p=XPEV" TargetMode="External"/><Relationship Id="rId1285" Type="http://schemas.openxmlformats.org/officeDocument/2006/relationships/hyperlink" Target="https://finance.yahoo.com/quote/TSLA/?p=TSLA" TargetMode="External"/><Relationship Id="rId213" Type="http://schemas.openxmlformats.org/officeDocument/2006/relationships/hyperlink" Target="https://www.bondsupermart.com/bsm/general-search/HK0000814290" TargetMode="External"/><Relationship Id="rId455" Type="http://schemas.openxmlformats.org/officeDocument/2006/relationships/hyperlink" Target="http://002864.sz" TargetMode="External"/><Relationship Id="rId697" Type="http://schemas.openxmlformats.org/officeDocument/2006/relationships/hyperlink" Target="https://finance.yahoo.com/quote/FB/?p=FB" TargetMode="External"/><Relationship Id="rId1044" Type="http://schemas.openxmlformats.org/officeDocument/2006/relationships/hyperlink" Target="https://finance.yahoo.com/quote/MGM/?p=MGM" TargetMode="External"/><Relationship Id="rId1286" Type="http://schemas.openxmlformats.org/officeDocument/2006/relationships/hyperlink" Target="https://finance.yahoo.com/quote/TWTR/?p=TWTR" TargetMode="External"/><Relationship Id="rId212" Type="http://schemas.openxmlformats.org/officeDocument/2006/relationships/hyperlink" Target="https://finance.yahoo.com/quote/002060.SZ/?p=002060.SZ" TargetMode="External"/><Relationship Id="rId454" Type="http://schemas.openxmlformats.org/officeDocument/2006/relationships/hyperlink" Target="https://finance.yahoo.com/quote/002657.SZ/?p=002657.SZ" TargetMode="External"/><Relationship Id="rId696" Type="http://schemas.openxmlformats.org/officeDocument/2006/relationships/hyperlink" Target="https://finance.yahoo.com/quote/0700.hk/?p=0700.hk" TargetMode="External"/><Relationship Id="rId1045" Type="http://schemas.openxmlformats.org/officeDocument/2006/relationships/hyperlink" Target="http://1498.hk" TargetMode="External"/><Relationship Id="rId1287" Type="http://schemas.openxmlformats.org/officeDocument/2006/relationships/hyperlink" Target="https://finance.yahoo.com/quote/AAPL/?p=AAPL" TargetMode="External"/><Relationship Id="rId211" Type="http://schemas.openxmlformats.org/officeDocument/2006/relationships/hyperlink" Target="http://002060.sz" TargetMode="External"/><Relationship Id="rId453" Type="http://schemas.openxmlformats.org/officeDocument/2006/relationships/hyperlink" Target="http://002657.sz" TargetMode="External"/><Relationship Id="rId695" Type="http://schemas.openxmlformats.org/officeDocument/2006/relationships/hyperlink" Target="http://0700.hk" TargetMode="External"/><Relationship Id="rId1046" Type="http://schemas.openxmlformats.org/officeDocument/2006/relationships/hyperlink" Target="https://finance.yahoo.com/quote/1498.HK/?p=1498.HK" TargetMode="External"/><Relationship Id="rId1288" Type="http://schemas.openxmlformats.org/officeDocument/2006/relationships/hyperlink" Target="http://9988.hk" TargetMode="External"/><Relationship Id="rId210" Type="http://schemas.openxmlformats.org/officeDocument/2006/relationships/hyperlink" Target="https://finance.yahoo.com/quote/600056.SS/?p=600056.SS" TargetMode="External"/><Relationship Id="rId452" Type="http://schemas.openxmlformats.org/officeDocument/2006/relationships/hyperlink" Target="https://finance.yahoo.com/quote/000788.SZ/?p=000788.SZ" TargetMode="External"/><Relationship Id="rId694" Type="http://schemas.openxmlformats.org/officeDocument/2006/relationships/hyperlink" Target="https://finance.yahoo.com/quote/0700.HK/?p=0700.HK" TargetMode="External"/><Relationship Id="rId1047" Type="http://schemas.openxmlformats.org/officeDocument/2006/relationships/hyperlink" Target="http://002665.sz" TargetMode="External"/><Relationship Id="rId1289" Type="http://schemas.openxmlformats.org/officeDocument/2006/relationships/hyperlink" Target="https://finance.yahoo.com/quote/9988.HK/?p=9988.HK" TargetMode="External"/><Relationship Id="rId491" Type="http://schemas.openxmlformats.org/officeDocument/2006/relationships/hyperlink" Target="https://finance.yahoo.com/quote/GOOG/?p=GOOG" TargetMode="External"/><Relationship Id="rId490" Type="http://schemas.openxmlformats.org/officeDocument/2006/relationships/hyperlink" Target="https://finance.yahoo.com/quote/GOOG/?p=GOOG" TargetMode="External"/><Relationship Id="rId249" Type="http://schemas.openxmlformats.org/officeDocument/2006/relationships/hyperlink" Target="https://finance.yahoo.com/quote/1398.HK/?p=1398.HK" TargetMode="External"/><Relationship Id="rId248" Type="http://schemas.openxmlformats.org/officeDocument/2006/relationships/hyperlink" Target="http://1398.hk" TargetMode="External"/><Relationship Id="rId247" Type="http://schemas.openxmlformats.org/officeDocument/2006/relationships/hyperlink" Target="https://finance.yahoo.com/quote/0700.HK/?p=0700.HK" TargetMode="External"/><Relationship Id="rId489" Type="http://schemas.openxmlformats.org/officeDocument/2006/relationships/hyperlink" Target="https://finance.yahoo.com/quote/AMZN/?p=AMZN" TargetMode="External"/><Relationship Id="rId1070" Type="http://schemas.openxmlformats.org/officeDocument/2006/relationships/hyperlink" Target="https://finance.yahoo.com/quote/603967.SS/?p=603967.SS" TargetMode="External"/><Relationship Id="rId1071" Type="http://schemas.openxmlformats.org/officeDocument/2006/relationships/hyperlink" Target="http://300922.sz" TargetMode="External"/><Relationship Id="rId1072" Type="http://schemas.openxmlformats.org/officeDocument/2006/relationships/hyperlink" Target="https://finance.yahoo.com/quote/300922.SZ/?p=300922.SZ" TargetMode="External"/><Relationship Id="rId242" Type="http://schemas.openxmlformats.org/officeDocument/2006/relationships/hyperlink" Target="https://finance.yahoo.com/quote/TSLA/?p=TSLA" TargetMode="External"/><Relationship Id="rId484" Type="http://schemas.openxmlformats.org/officeDocument/2006/relationships/hyperlink" Target="https://finance.yahoo.com/quote/002307.SZ/?p=002307.SZ" TargetMode="External"/><Relationship Id="rId1073" Type="http://schemas.openxmlformats.org/officeDocument/2006/relationships/hyperlink" Target="http://002665.sz" TargetMode="External"/><Relationship Id="rId241" Type="http://schemas.openxmlformats.org/officeDocument/2006/relationships/hyperlink" Target="https://finance.yahoo.com/quote/NKE/?p=NKE" TargetMode="External"/><Relationship Id="rId483" Type="http://schemas.openxmlformats.org/officeDocument/2006/relationships/hyperlink" Target="http://002307.sz" TargetMode="External"/><Relationship Id="rId1074" Type="http://schemas.openxmlformats.org/officeDocument/2006/relationships/hyperlink" Target="https://finance.yahoo.com/quote/002665.SZ/?p=002665.SZ" TargetMode="External"/><Relationship Id="rId240" Type="http://schemas.openxmlformats.org/officeDocument/2006/relationships/hyperlink" Target="https://finance.yahoo.com/quote/0836.HK/?p=0836.HK" TargetMode="External"/><Relationship Id="rId482" Type="http://schemas.openxmlformats.org/officeDocument/2006/relationships/hyperlink" Target="https://finance.yahoo.com/quote/600724.SS/?p=600724.SS" TargetMode="External"/><Relationship Id="rId1075" Type="http://schemas.openxmlformats.org/officeDocument/2006/relationships/hyperlink" Target="http://603967.ss" TargetMode="External"/><Relationship Id="rId481" Type="http://schemas.openxmlformats.org/officeDocument/2006/relationships/hyperlink" Target="http://600724.ss" TargetMode="External"/><Relationship Id="rId1076" Type="http://schemas.openxmlformats.org/officeDocument/2006/relationships/hyperlink" Target="https://finance.yahoo.com/quote/603967.SS/?p=603967.SS" TargetMode="External"/><Relationship Id="rId246" Type="http://schemas.openxmlformats.org/officeDocument/2006/relationships/hyperlink" Target="http://0700.hk" TargetMode="External"/><Relationship Id="rId488" Type="http://schemas.openxmlformats.org/officeDocument/2006/relationships/hyperlink" Target="https://finance.yahoo.com/quote/000950.SZ/?p=000950.SZ" TargetMode="External"/><Relationship Id="rId1077" Type="http://schemas.openxmlformats.org/officeDocument/2006/relationships/hyperlink" Target="http://603963.ss" TargetMode="External"/><Relationship Id="rId245" Type="http://schemas.openxmlformats.org/officeDocument/2006/relationships/hyperlink" Target="https://finance.yahoo.com/quote/ADA-USD/?p=ADA-USD" TargetMode="External"/><Relationship Id="rId487" Type="http://schemas.openxmlformats.org/officeDocument/2006/relationships/hyperlink" Target="http://000950.sz" TargetMode="External"/><Relationship Id="rId1078" Type="http://schemas.openxmlformats.org/officeDocument/2006/relationships/hyperlink" Target="https://finance.yahoo.com/quote/603963.SS/?p=603963.SS" TargetMode="External"/><Relationship Id="rId244" Type="http://schemas.openxmlformats.org/officeDocument/2006/relationships/hyperlink" Target="https://finance.yahoo.com/quote/TSLA/?p=TSLA" TargetMode="External"/><Relationship Id="rId486" Type="http://schemas.openxmlformats.org/officeDocument/2006/relationships/hyperlink" Target="https://finance.yahoo.com/quote/003040.SZ/?p=003040.SZ" TargetMode="External"/><Relationship Id="rId1079" Type="http://schemas.openxmlformats.org/officeDocument/2006/relationships/hyperlink" Target="http://603963.ss" TargetMode="External"/><Relationship Id="rId243" Type="http://schemas.openxmlformats.org/officeDocument/2006/relationships/hyperlink" Target="https://finance.yahoo.com/quote/NKE/?p=NKE" TargetMode="External"/><Relationship Id="rId485" Type="http://schemas.openxmlformats.org/officeDocument/2006/relationships/hyperlink" Target="http://003040.sz" TargetMode="External"/><Relationship Id="rId480" Type="http://schemas.openxmlformats.org/officeDocument/2006/relationships/hyperlink" Target="https://finance.yahoo.com/quote/002307.SZ/?p=002307.SZ" TargetMode="External"/><Relationship Id="rId239" Type="http://schemas.openxmlformats.org/officeDocument/2006/relationships/hyperlink" Target="http://0836.hk" TargetMode="External"/><Relationship Id="rId238" Type="http://schemas.openxmlformats.org/officeDocument/2006/relationships/hyperlink" Target="https://finance.yahoo.com/quote/9988.HK/?p=9988.HK" TargetMode="External"/><Relationship Id="rId237" Type="http://schemas.openxmlformats.org/officeDocument/2006/relationships/hyperlink" Target="http://9988.hk" TargetMode="External"/><Relationship Id="rId479" Type="http://schemas.openxmlformats.org/officeDocument/2006/relationships/hyperlink" Target="http://002307.sz" TargetMode="External"/><Relationship Id="rId236" Type="http://schemas.openxmlformats.org/officeDocument/2006/relationships/hyperlink" Target="https://finance.yahoo.com/quote/0001.HK/?p=0001.HK" TargetMode="External"/><Relationship Id="rId478" Type="http://schemas.openxmlformats.org/officeDocument/2006/relationships/hyperlink" Target="https://finance.yahoo.com/quote/002307.SZ/?p=002307.SZ" TargetMode="External"/><Relationship Id="rId1060" Type="http://schemas.openxmlformats.org/officeDocument/2006/relationships/hyperlink" Target="https://finance.yahoo.com/quote/300922.SZ/?p=300922.SZ" TargetMode="External"/><Relationship Id="rId1061" Type="http://schemas.openxmlformats.org/officeDocument/2006/relationships/hyperlink" Target="http://000554.sz" TargetMode="External"/><Relationship Id="rId231" Type="http://schemas.openxmlformats.org/officeDocument/2006/relationships/hyperlink" Target="http://0836.hk" TargetMode="External"/><Relationship Id="rId473" Type="http://schemas.openxmlformats.org/officeDocument/2006/relationships/hyperlink" Target="http://002657.sz" TargetMode="External"/><Relationship Id="rId1062" Type="http://schemas.openxmlformats.org/officeDocument/2006/relationships/hyperlink" Target="https://finance.yahoo.com/quote/000554.SZ/?p=000554.SZ" TargetMode="External"/><Relationship Id="rId230" Type="http://schemas.openxmlformats.org/officeDocument/2006/relationships/hyperlink" Target="https://finance.yahoo.com/quote/2007.hk/?p=2007.hk" TargetMode="External"/><Relationship Id="rId472" Type="http://schemas.openxmlformats.org/officeDocument/2006/relationships/hyperlink" Target="https://finance.yahoo.com/quote/002864.SZ/?p=002864.SZ" TargetMode="External"/><Relationship Id="rId1063" Type="http://schemas.openxmlformats.org/officeDocument/2006/relationships/hyperlink" Target="http://300945.sz" TargetMode="External"/><Relationship Id="rId471" Type="http://schemas.openxmlformats.org/officeDocument/2006/relationships/hyperlink" Target="http://002864.sz" TargetMode="External"/><Relationship Id="rId1064" Type="http://schemas.openxmlformats.org/officeDocument/2006/relationships/hyperlink" Target="https://finance.yahoo.com/quote/300945.SZ/?p=300945.SZ" TargetMode="External"/><Relationship Id="rId470" Type="http://schemas.openxmlformats.org/officeDocument/2006/relationships/hyperlink" Target="https://finance.yahoo.com/quote/002657.SZ/?p=002657.SZ" TargetMode="External"/><Relationship Id="rId1065" Type="http://schemas.openxmlformats.org/officeDocument/2006/relationships/hyperlink" Target="http://601808.ss" TargetMode="External"/><Relationship Id="rId235" Type="http://schemas.openxmlformats.org/officeDocument/2006/relationships/hyperlink" Target="http://0001.hk" TargetMode="External"/><Relationship Id="rId477" Type="http://schemas.openxmlformats.org/officeDocument/2006/relationships/hyperlink" Target="http://002307.sz" TargetMode="External"/><Relationship Id="rId1066" Type="http://schemas.openxmlformats.org/officeDocument/2006/relationships/hyperlink" Target="https://finance.yahoo.com/quote/601808.SS/?p=601808.SS" TargetMode="External"/><Relationship Id="rId234" Type="http://schemas.openxmlformats.org/officeDocument/2006/relationships/hyperlink" Target="https://finance.yahoo.com/quote/0095.HK/?p=0095.HK" TargetMode="External"/><Relationship Id="rId476" Type="http://schemas.openxmlformats.org/officeDocument/2006/relationships/hyperlink" Target="https://finance.yahoo.com/quote/600724.SS/?p=600724.SS" TargetMode="External"/><Relationship Id="rId1067" Type="http://schemas.openxmlformats.org/officeDocument/2006/relationships/hyperlink" Target="http://300922.sz" TargetMode="External"/><Relationship Id="rId233" Type="http://schemas.openxmlformats.org/officeDocument/2006/relationships/hyperlink" Target="http://0095.hk" TargetMode="External"/><Relationship Id="rId475" Type="http://schemas.openxmlformats.org/officeDocument/2006/relationships/hyperlink" Target="http://600724.ss" TargetMode="External"/><Relationship Id="rId1068" Type="http://schemas.openxmlformats.org/officeDocument/2006/relationships/hyperlink" Target="https://finance.yahoo.com/quote/300922.SZ/?p=300922.SZ" TargetMode="External"/><Relationship Id="rId232" Type="http://schemas.openxmlformats.org/officeDocument/2006/relationships/hyperlink" Target="https://finance.yahoo.com/quote/0836.HK/?p=0836.HK" TargetMode="External"/><Relationship Id="rId474" Type="http://schemas.openxmlformats.org/officeDocument/2006/relationships/hyperlink" Target="https://finance.yahoo.com/quote/002657.SZ/?p=002657.SZ" TargetMode="External"/><Relationship Id="rId1069" Type="http://schemas.openxmlformats.org/officeDocument/2006/relationships/hyperlink" Target="http://603967.ss" TargetMode="External"/><Relationship Id="rId1015" Type="http://schemas.openxmlformats.org/officeDocument/2006/relationships/hyperlink" Target="https://finance.yahoo.com/quote/Nio/?p=Nio" TargetMode="External"/><Relationship Id="rId1257" Type="http://schemas.openxmlformats.org/officeDocument/2006/relationships/hyperlink" Target="https://finance.yahoo.com/quote/9988.HK/?p=9988.HK" TargetMode="External"/><Relationship Id="rId1016" Type="http://schemas.openxmlformats.org/officeDocument/2006/relationships/hyperlink" Target="https://finance.yahoo.com/quote/TQqq/?p=TQqq" TargetMode="External"/><Relationship Id="rId1258" Type="http://schemas.openxmlformats.org/officeDocument/2006/relationships/hyperlink" Target="http://2800.hk" TargetMode="External"/><Relationship Id="rId1017" Type="http://schemas.openxmlformats.org/officeDocument/2006/relationships/hyperlink" Target="https://finance.yahoo.com/quote/Soxl/?p=Soxl" TargetMode="External"/><Relationship Id="rId1259" Type="http://schemas.openxmlformats.org/officeDocument/2006/relationships/hyperlink" Target="https://finance.yahoo.com/quote/2800.HK/?p=2800.HK" TargetMode="External"/><Relationship Id="rId1018" Type="http://schemas.openxmlformats.org/officeDocument/2006/relationships/hyperlink" Target="http://6185.hk" TargetMode="External"/><Relationship Id="rId1019" Type="http://schemas.openxmlformats.org/officeDocument/2006/relationships/hyperlink" Target="https://finance.yahoo.com/quote/6185.HK/?p=6185.HK" TargetMode="External"/><Relationship Id="rId426" Type="http://schemas.openxmlformats.org/officeDocument/2006/relationships/hyperlink" Target="https://finance.yahoo.com/quote/0700.HK/?p=0700.HK" TargetMode="External"/><Relationship Id="rId668" Type="http://schemas.openxmlformats.org/officeDocument/2006/relationships/hyperlink" Target="https://finance.yahoo.com/quote/605089.SS/?p=605089.SS" TargetMode="External"/><Relationship Id="rId425" Type="http://schemas.openxmlformats.org/officeDocument/2006/relationships/hyperlink" Target="http://0700.hk" TargetMode="External"/><Relationship Id="rId667" Type="http://schemas.openxmlformats.org/officeDocument/2006/relationships/hyperlink" Target="http://605089.ss" TargetMode="External"/><Relationship Id="rId424" Type="http://schemas.openxmlformats.org/officeDocument/2006/relationships/hyperlink" Target="https://finance.yahoo.com/quote/AAPL/?p=AAPL" TargetMode="External"/><Relationship Id="rId666" Type="http://schemas.openxmlformats.org/officeDocument/2006/relationships/hyperlink" Target="https://finance.yahoo.com/quote/605089.SS/?p=605089.SS" TargetMode="External"/><Relationship Id="rId423" Type="http://schemas.openxmlformats.org/officeDocument/2006/relationships/hyperlink" Target="https://finance.yahoo.com/quote/HPK/?p=HPK" TargetMode="External"/><Relationship Id="rId665" Type="http://schemas.openxmlformats.org/officeDocument/2006/relationships/hyperlink" Target="http://605089.ss" TargetMode="External"/><Relationship Id="rId429" Type="http://schemas.openxmlformats.org/officeDocument/2006/relationships/hyperlink" Target="http://0700.hk" TargetMode="External"/><Relationship Id="rId428" Type="http://schemas.openxmlformats.org/officeDocument/2006/relationships/hyperlink" Target="https://finance.yahoo.com/quote/600519.SS/?p=600519.SS" TargetMode="External"/><Relationship Id="rId427" Type="http://schemas.openxmlformats.org/officeDocument/2006/relationships/hyperlink" Target="http://600519.ss" TargetMode="External"/><Relationship Id="rId669" Type="http://schemas.openxmlformats.org/officeDocument/2006/relationships/hyperlink" Target="https://finance.yahoo.com/quote/TSLA/?p=TSLA" TargetMode="External"/><Relationship Id="rId660" Type="http://schemas.openxmlformats.org/officeDocument/2006/relationships/hyperlink" Target="https://finance.yahoo.com/quote/ABNB/?p=ABNB" TargetMode="External"/><Relationship Id="rId1250" Type="http://schemas.openxmlformats.org/officeDocument/2006/relationships/hyperlink" Target="http://0941.hk" TargetMode="External"/><Relationship Id="rId1251" Type="http://schemas.openxmlformats.org/officeDocument/2006/relationships/hyperlink" Target="https://finance.yahoo.com/quote/0941.HK/?p=0941.HK" TargetMode="External"/><Relationship Id="rId1010" Type="http://schemas.openxmlformats.org/officeDocument/2006/relationships/hyperlink" Target="https://finance.yahoo.com/quote/AMC/?p=AMC" TargetMode="External"/><Relationship Id="rId1252" Type="http://schemas.openxmlformats.org/officeDocument/2006/relationships/hyperlink" Target="http://9988.hk" TargetMode="External"/><Relationship Id="rId422" Type="http://schemas.openxmlformats.org/officeDocument/2006/relationships/hyperlink" Target="https://finance.yahoo.com/quote/SHEL/?p=SHEL" TargetMode="External"/><Relationship Id="rId664" Type="http://schemas.openxmlformats.org/officeDocument/2006/relationships/hyperlink" Target="https://finance.yahoo.com/quote/ABNB/?p=ABNB" TargetMode="External"/><Relationship Id="rId1011" Type="http://schemas.openxmlformats.org/officeDocument/2006/relationships/hyperlink" Target="https://finance.yahoo.com/quote/AMC/?p=AMC" TargetMode="External"/><Relationship Id="rId1253" Type="http://schemas.openxmlformats.org/officeDocument/2006/relationships/hyperlink" Target="https://finance.yahoo.com/quote/9988.HK/?p=9988.HK" TargetMode="External"/><Relationship Id="rId421" Type="http://schemas.openxmlformats.org/officeDocument/2006/relationships/hyperlink" Target="https://finance.yahoo.com/quote/UNH/?p=UNH" TargetMode="External"/><Relationship Id="rId663" Type="http://schemas.openxmlformats.org/officeDocument/2006/relationships/hyperlink" Target="https://finance.yahoo.com/quote/ABNB/?p=ABNB" TargetMode="External"/><Relationship Id="rId1012" Type="http://schemas.openxmlformats.org/officeDocument/2006/relationships/hyperlink" Target="https://finance.yahoo.com/quote/TSLA/?p=TSLA" TargetMode="External"/><Relationship Id="rId1254" Type="http://schemas.openxmlformats.org/officeDocument/2006/relationships/hyperlink" Target="http://2800.hk" TargetMode="External"/><Relationship Id="rId420" Type="http://schemas.openxmlformats.org/officeDocument/2006/relationships/hyperlink" Target="https://finance.yahoo.com/quote/ANTM/?p=ANTM" TargetMode="External"/><Relationship Id="rId662" Type="http://schemas.openxmlformats.org/officeDocument/2006/relationships/hyperlink" Target="https://finance.yahoo.com/quote/BA/?p=BA" TargetMode="External"/><Relationship Id="rId1013" Type="http://schemas.openxmlformats.org/officeDocument/2006/relationships/hyperlink" Target="https://finance.yahoo.com/quote/TSLA/?p=TSLA" TargetMode="External"/><Relationship Id="rId1255" Type="http://schemas.openxmlformats.org/officeDocument/2006/relationships/hyperlink" Target="https://finance.yahoo.com/quote/2800.HK/?p=2800.HK" TargetMode="External"/><Relationship Id="rId661" Type="http://schemas.openxmlformats.org/officeDocument/2006/relationships/hyperlink" Target="https://finance.yahoo.com/quote/AAPL/?p=AAPL" TargetMode="External"/><Relationship Id="rId1014" Type="http://schemas.openxmlformats.org/officeDocument/2006/relationships/hyperlink" Target="https://finance.yahoo.com/quote/TSLA/?p=TSLA" TargetMode="External"/><Relationship Id="rId1256" Type="http://schemas.openxmlformats.org/officeDocument/2006/relationships/hyperlink" Target="http://9988.hk" TargetMode="External"/><Relationship Id="rId1004" Type="http://schemas.openxmlformats.org/officeDocument/2006/relationships/hyperlink" Target="https://finance.yahoo.com/quote/TSLA/?p=TSLA" TargetMode="External"/><Relationship Id="rId1246" Type="http://schemas.openxmlformats.org/officeDocument/2006/relationships/hyperlink" Target="http://000927.sz" TargetMode="External"/><Relationship Id="rId1005" Type="http://schemas.openxmlformats.org/officeDocument/2006/relationships/hyperlink" Target="https://finance.yahoo.com/quote/MULN/?p=MULN" TargetMode="External"/><Relationship Id="rId1247" Type="http://schemas.openxmlformats.org/officeDocument/2006/relationships/hyperlink" Target="https://finance.yahoo.com/quote/000927.SZ/?p=000927.SZ" TargetMode="External"/><Relationship Id="rId1006" Type="http://schemas.openxmlformats.org/officeDocument/2006/relationships/hyperlink" Target="https://finance.yahoo.com/quote/TSLA/?p=TSLA" TargetMode="External"/><Relationship Id="rId1248" Type="http://schemas.openxmlformats.org/officeDocument/2006/relationships/hyperlink" Target="http://9988.hk" TargetMode="External"/><Relationship Id="rId1007" Type="http://schemas.openxmlformats.org/officeDocument/2006/relationships/hyperlink" Target="https://finance.yahoo.com/quote/HYMC/?p=HYMC" TargetMode="External"/><Relationship Id="rId1249" Type="http://schemas.openxmlformats.org/officeDocument/2006/relationships/hyperlink" Target="https://finance.yahoo.com/quote/9988.HK/?p=9988.HK" TargetMode="External"/><Relationship Id="rId1008" Type="http://schemas.openxmlformats.org/officeDocument/2006/relationships/hyperlink" Target="https://finance.yahoo.com/quote/MULN/?p=MULN" TargetMode="External"/><Relationship Id="rId1009" Type="http://schemas.openxmlformats.org/officeDocument/2006/relationships/hyperlink" Target="https://finance.yahoo.com/quote/MULN/?p=MULN" TargetMode="External"/><Relationship Id="rId415" Type="http://schemas.openxmlformats.org/officeDocument/2006/relationships/hyperlink" Target="https://finance.yahoo.com/quote/UNP/?p=UNP" TargetMode="External"/><Relationship Id="rId657" Type="http://schemas.openxmlformats.org/officeDocument/2006/relationships/hyperlink" Target="https://finance.yahoo.com/quote/6049.HK/?p=6049.HK" TargetMode="External"/><Relationship Id="rId899" Type="http://schemas.openxmlformats.org/officeDocument/2006/relationships/hyperlink" Target="http://1398.hk" TargetMode="External"/><Relationship Id="rId414" Type="http://schemas.openxmlformats.org/officeDocument/2006/relationships/hyperlink" Target="https://finance.yahoo.com/quote/NKE/?p=NKE" TargetMode="External"/><Relationship Id="rId656" Type="http://schemas.openxmlformats.org/officeDocument/2006/relationships/hyperlink" Target="http://6049.hk" TargetMode="External"/><Relationship Id="rId898" Type="http://schemas.openxmlformats.org/officeDocument/2006/relationships/hyperlink" Target="https://finance.yahoo.com/quote/NET/?p=NET" TargetMode="External"/><Relationship Id="rId413" Type="http://schemas.openxmlformats.org/officeDocument/2006/relationships/hyperlink" Target="https://finance.yahoo.com/quote/NKE/?p=NKE" TargetMode="External"/><Relationship Id="rId655" Type="http://schemas.openxmlformats.org/officeDocument/2006/relationships/hyperlink" Target="https://finance.yahoo.com/quote/TSLA/?p=TSLA" TargetMode="External"/><Relationship Id="rId897" Type="http://schemas.openxmlformats.org/officeDocument/2006/relationships/hyperlink" Target="https://finance.yahoo.com/quote/3690.HK/?p=3690.HK" TargetMode="External"/><Relationship Id="rId412" Type="http://schemas.openxmlformats.org/officeDocument/2006/relationships/hyperlink" Target="https://finance.yahoo.com/quote/ANTM/?p=ANTM" TargetMode="External"/><Relationship Id="rId654" Type="http://schemas.openxmlformats.org/officeDocument/2006/relationships/hyperlink" Target="https://finance.yahoo.com/quote/2020.HK/?p=2020.HK" TargetMode="External"/><Relationship Id="rId896" Type="http://schemas.openxmlformats.org/officeDocument/2006/relationships/hyperlink" Target="http://3690.hk" TargetMode="External"/><Relationship Id="rId419" Type="http://schemas.openxmlformats.org/officeDocument/2006/relationships/hyperlink" Target="https://finance.yahoo.com/quote/ANTM/?p=ANTM" TargetMode="External"/><Relationship Id="rId418" Type="http://schemas.openxmlformats.org/officeDocument/2006/relationships/hyperlink" Target="https://finance.yahoo.com/quote/UNH/?p=UNH" TargetMode="External"/><Relationship Id="rId417" Type="http://schemas.openxmlformats.org/officeDocument/2006/relationships/hyperlink" Target="https://finance.yahoo.com/quote/UNP/?p=UNP" TargetMode="External"/><Relationship Id="rId659" Type="http://schemas.openxmlformats.org/officeDocument/2006/relationships/hyperlink" Target="https://finance.yahoo.com/quote/LMT/?p=LMT" TargetMode="External"/><Relationship Id="rId416" Type="http://schemas.openxmlformats.org/officeDocument/2006/relationships/hyperlink" Target="https://finance.yahoo.com/quote/UNH/?p=UNH" TargetMode="External"/><Relationship Id="rId658" Type="http://schemas.openxmlformats.org/officeDocument/2006/relationships/hyperlink" Target="https://finance.yahoo.com/quote/AAPL/?p=AAPL" TargetMode="External"/><Relationship Id="rId891" Type="http://schemas.openxmlformats.org/officeDocument/2006/relationships/hyperlink" Target="https://finance.yahoo.com/quote/0700.HK/?p=0700.HK" TargetMode="External"/><Relationship Id="rId890" Type="http://schemas.openxmlformats.org/officeDocument/2006/relationships/hyperlink" Target="http://0700.hk" TargetMode="External"/><Relationship Id="rId1240" Type="http://schemas.openxmlformats.org/officeDocument/2006/relationships/hyperlink" Target="http://002205.sz" TargetMode="External"/><Relationship Id="rId1241" Type="http://schemas.openxmlformats.org/officeDocument/2006/relationships/hyperlink" Target="https://finance.yahoo.com/quote/002205.SZ/?p=002205.SZ" TargetMode="External"/><Relationship Id="rId411" Type="http://schemas.openxmlformats.org/officeDocument/2006/relationships/hyperlink" Target="https://finance.yahoo.com/quote/BZ=F/?p=BZ=F" TargetMode="External"/><Relationship Id="rId653" Type="http://schemas.openxmlformats.org/officeDocument/2006/relationships/hyperlink" Target="http://2020.hk" TargetMode="External"/><Relationship Id="rId895" Type="http://schemas.openxmlformats.org/officeDocument/2006/relationships/hyperlink" Target="https://finance.yahoo.com/quote/0700.HK/?p=0700.HK" TargetMode="External"/><Relationship Id="rId1000" Type="http://schemas.openxmlformats.org/officeDocument/2006/relationships/hyperlink" Target="https://finance.yahoo.com/quote/600519.SS/?p=600519.SS" TargetMode="External"/><Relationship Id="rId1242" Type="http://schemas.openxmlformats.org/officeDocument/2006/relationships/hyperlink" Target="http://605089.ss" TargetMode="External"/><Relationship Id="rId410" Type="http://schemas.openxmlformats.org/officeDocument/2006/relationships/hyperlink" Target="https://finance.yahoo.com/quote/1398.HK/?p=1398.HK" TargetMode="External"/><Relationship Id="rId652" Type="http://schemas.openxmlformats.org/officeDocument/2006/relationships/hyperlink" Target="https://finance.yahoo.com/quote/2020.HK/?p=2020.HK" TargetMode="External"/><Relationship Id="rId894" Type="http://schemas.openxmlformats.org/officeDocument/2006/relationships/hyperlink" Target="http://0700.hk" TargetMode="External"/><Relationship Id="rId1001" Type="http://schemas.openxmlformats.org/officeDocument/2006/relationships/hyperlink" Target="https://finance.yahoo.com/quote/aapl/?p=aapl" TargetMode="External"/><Relationship Id="rId1243" Type="http://schemas.openxmlformats.org/officeDocument/2006/relationships/hyperlink" Target="https://finance.yahoo.com/quote/605089.SS/?p=605089.SS" TargetMode="External"/><Relationship Id="rId651" Type="http://schemas.openxmlformats.org/officeDocument/2006/relationships/hyperlink" Target="http://2020.hk" TargetMode="External"/><Relationship Id="rId893" Type="http://schemas.openxmlformats.org/officeDocument/2006/relationships/hyperlink" Target="https://finance.yahoo.com/quote/TSLA/?p=TSLA" TargetMode="External"/><Relationship Id="rId1002" Type="http://schemas.openxmlformats.org/officeDocument/2006/relationships/hyperlink" Target="https://finance.yahoo.com/quote/TSLA/?p=TSLA" TargetMode="External"/><Relationship Id="rId1244" Type="http://schemas.openxmlformats.org/officeDocument/2006/relationships/hyperlink" Target="http://605089.ss" TargetMode="External"/><Relationship Id="rId650" Type="http://schemas.openxmlformats.org/officeDocument/2006/relationships/hyperlink" Target="https://finance.yahoo.com/quote/TWTR/?p=TWTR" TargetMode="External"/><Relationship Id="rId892" Type="http://schemas.openxmlformats.org/officeDocument/2006/relationships/hyperlink" Target="https://www.bondsupermart.com/bsm/general-search/HK0000317724" TargetMode="External"/><Relationship Id="rId1003" Type="http://schemas.openxmlformats.org/officeDocument/2006/relationships/hyperlink" Target="https://finance.yahoo.com/quote/ES=F/?p=ES=F" TargetMode="External"/><Relationship Id="rId1245" Type="http://schemas.openxmlformats.org/officeDocument/2006/relationships/hyperlink" Target="https://finance.yahoo.com/quote/605089.SS/?p=605089.SS" TargetMode="External"/><Relationship Id="rId1037" Type="http://schemas.openxmlformats.org/officeDocument/2006/relationships/hyperlink" Target="http://600745.ss" TargetMode="External"/><Relationship Id="rId1279" Type="http://schemas.openxmlformats.org/officeDocument/2006/relationships/hyperlink" Target="https://finance.yahoo.com/quote/COIN/?p=COIN" TargetMode="External"/><Relationship Id="rId1038" Type="http://schemas.openxmlformats.org/officeDocument/2006/relationships/hyperlink" Target="https://finance.yahoo.com/quote/600745.SS/?p=600745.SS" TargetMode="External"/><Relationship Id="rId1039" Type="http://schemas.openxmlformats.org/officeDocument/2006/relationships/hyperlink" Target="http://600745.ss" TargetMode="External"/><Relationship Id="rId206" Type="http://schemas.openxmlformats.org/officeDocument/2006/relationships/hyperlink" Target="https://finance.yahoo.com/quote/0700.hk/?p=0700.hk" TargetMode="External"/><Relationship Id="rId448" Type="http://schemas.openxmlformats.org/officeDocument/2006/relationships/hyperlink" Target="https://finance.yahoo.com/quote/002864.SZ/?p=002864.SZ" TargetMode="External"/><Relationship Id="rId205" Type="http://schemas.openxmlformats.org/officeDocument/2006/relationships/hyperlink" Target="http://0700.hk" TargetMode="External"/><Relationship Id="rId447" Type="http://schemas.openxmlformats.org/officeDocument/2006/relationships/hyperlink" Target="http://002864.sz" TargetMode="External"/><Relationship Id="rId689" Type="http://schemas.openxmlformats.org/officeDocument/2006/relationships/hyperlink" Target="https://finance.yahoo.com/quote/9988.hk/?p=9988.hk" TargetMode="External"/><Relationship Id="rId204" Type="http://schemas.openxmlformats.org/officeDocument/2006/relationships/hyperlink" Target="https://finance.yahoo.com/quote/9988.HK/?p=9988.HK" TargetMode="External"/><Relationship Id="rId446" Type="http://schemas.openxmlformats.org/officeDocument/2006/relationships/hyperlink" Target="https://finance.yahoo.com/quote/0700.HK/?p=0700.HK" TargetMode="External"/><Relationship Id="rId688" Type="http://schemas.openxmlformats.org/officeDocument/2006/relationships/hyperlink" Target="http://9988.hk" TargetMode="External"/><Relationship Id="rId203" Type="http://schemas.openxmlformats.org/officeDocument/2006/relationships/hyperlink" Target="http://9988.hk" TargetMode="External"/><Relationship Id="rId445" Type="http://schemas.openxmlformats.org/officeDocument/2006/relationships/hyperlink" Target="http://0700.hk" TargetMode="External"/><Relationship Id="rId687" Type="http://schemas.openxmlformats.org/officeDocument/2006/relationships/hyperlink" Target="https://finance.yahoo.com/quote/TSLA/?p=TSLA" TargetMode="External"/><Relationship Id="rId209" Type="http://schemas.openxmlformats.org/officeDocument/2006/relationships/hyperlink" Target="http://600056.ss" TargetMode="External"/><Relationship Id="rId208" Type="http://schemas.openxmlformats.org/officeDocument/2006/relationships/hyperlink" Target="https://finance.yahoo.com/quote/0700.HK/?p=0700.HK" TargetMode="External"/><Relationship Id="rId207" Type="http://schemas.openxmlformats.org/officeDocument/2006/relationships/hyperlink" Target="http://0700.hk" TargetMode="External"/><Relationship Id="rId449" Type="http://schemas.openxmlformats.org/officeDocument/2006/relationships/hyperlink" Target="http://002657.sz" TargetMode="External"/><Relationship Id="rId1270" Type="http://schemas.openxmlformats.org/officeDocument/2006/relationships/hyperlink" Target="http://2800.hk" TargetMode="External"/><Relationship Id="rId440" Type="http://schemas.openxmlformats.org/officeDocument/2006/relationships/hyperlink" Target="https://finance.yahoo.com/quote/DUK/?p=DUK" TargetMode="External"/><Relationship Id="rId682" Type="http://schemas.openxmlformats.org/officeDocument/2006/relationships/hyperlink" Target="https://finance.yahoo.com/quote/AAPL/?p=AAPL" TargetMode="External"/><Relationship Id="rId1271" Type="http://schemas.openxmlformats.org/officeDocument/2006/relationships/hyperlink" Target="https://finance.yahoo.com/quote/2800.HK/?p=2800.HK" TargetMode="External"/><Relationship Id="rId681" Type="http://schemas.openxmlformats.org/officeDocument/2006/relationships/hyperlink" Target="https://finance.yahoo.com/quote/AAPL/?p=AAPL" TargetMode="External"/><Relationship Id="rId1030" Type="http://schemas.openxmlformats.org/officeDocument/2006/relationships/hyperlink" Target="https://finance.yahoo.com/quote/600036.SS/?p=600036.SS" TargetMode="External"/><Relationship Id="rId1272" Type="http://schemas.openxmlformats.org/officeDocument/2006/relationships/hyperlink" Target="http://9988.hk" TargetMode="External"/><Relationship Id="rId680" Type="http://schemas.openxmlformats.org/officeDocument/2006/relationships/hyperlink" Target="https://finance.yahoo.com/quote/300750.SZ/?p=300750.SZ" TargetMode="External"/><Relationship Id="rId1031" Type="http://schemas.openxmlformats.org/officeDocument/2006/relationships/hyperlink" Target="http://601658.ss" TargetMode="External"/><Relationship Id="rId1273" Type="http://schemas.openxmlformats.org/officeDocument/2006/relationships/hyperlink" Target="https://finance.yahoo.com/quote/9988.HK/?p=9988.HK" TargetMode="External"/><Relationship Id="rId1032" Type="http://schemas.openxmlformats.org/officeDocument/2006/relationships/hyperlink" Target="https://finance.yahoo.com/quote/601658.SS/?p=601658.SS" TargetMode="External"/><Relationship Id="rId1274" Type="http://schemas.openxmlformats.org/officeDocument/2006/relationships/hyperlink" Target="http://0941.hk" TargetMode="External"/><Relationship Id="rId202" Type="http://schemas.openxmlformats.org/officeDocument/2006/relationships/hyperlink" Target="https://finance.yahoo.com/quote/AAPL/?p=AAPL" TargetMode="External"/><Relationship Id="rId444" Type="http://schemas.openxmlformats.org/officeDocument/2006/relationships/hyperlink" Target="https://finance.yahoo.com/quote/0700.HK/?p=0700.HK" TargetMode="External"/><Relationship Id="rId686" Type="http://schemas.openxmlformats.org/officeDocument/2006/relationships/hyperlink" Target="https://finance.yahoo.com/quote/SOFI/?p=SOFI" TargetMode="External"/><Relationship Id="rId1033" Type="http://schemas.openxmlformats.org/officeDocument/2006/relationships/hyperlink" Target="http://600745.ss" TargetMode="External"/><Relationship Id="rId1275" Type="http://schemas.openxmlformats.org/officeDocument/2006/relationships/hyperlink" Target="https://finance.yahoo.com/quote/0941.HK/?p=0941.HK" TargetMode="External"/><Relationship Id="rId201" Type="http://schemas.openxmlformats.org/officeDocument/2006/relationships/hyperlink" Target="https://finance.yahoo.com/quote/NDAQ/?p=NDAQ" TargetMode="External"/><Relationship Id="rId443" Type="http://schemas.openxmlformats.org/officeDocument/2006/relationships/hyperlink" Target="http://0700.hk" TargetMode="External"/><Relationship Id="rId685" Type="http://schemas.openxmlformats.org/officeDocument/2006/relationships/hyperlink" Target="https://finance.yahoo.com/quote/AAPL/?p=AAPL" TargetMode="External"/><Relationship Id="rId1034" Type="http://schemas.openxmlformats.org/officeDocument/2006/relationships/hyperlink" Target="https://finance.yahoo.com/quote/600745.SS/?p=600745.SS" TargetMode="External"/><Relationship Id="rId1276" Type="http://schemas.openxmlformats.org/officeDocument/2006/relationships/hyperlink" Target="http://2800.hk" TargetMode="External"/><Relationship Id="rId200" Type="http://schemas.openxmlformats.org/officeDocument/2006/relationships/hyperlink" Target="https://finance.yahoo.com/quote/1109.HK/?p=1109.HK" TargetMode="External"/><Relationship Id="rId442" Type="http://schemas.openxmlformats.org/officeDocument/2006/relationships/hyperlink" Target="https://www.bondsupermart.com/bsm/general-search/HK0000061041" TargetMode="External"/><Relationship Id="rId684" Type="http://schemas.openxmlformats.org/officeDocument/2006/relationships/hyperlink" Target="https://finance.yahoo.com/quote/TSLA/?p=TSLA" TargetMode="External"/><Relationship Id="rId1035" Type="http://schemas.openxmlformats.org/officeDocument/2006/relationships/hyperlink" Target="http://600745.ss" TargetMode="External"/><Relationship Id="rId1277" Type="http://schemas.openxmlformats.org/officeDocument/2006/relationships/hyperlink" Target="https://finance.yahoo.com/quote/2800.HK/?p=2800.HK" TargetMode="External"/><Relationship Id="rId441" Type="http://schemas.openxmlformats.org/officeDocument/2006/relationships/hyperlink" Target="https://finance.yahoo.com/quote/XPEV/?p=XPEV" TargetMode="External"/><Relationship Id="rId683" Type="http://schemas.openxmlformats.org/officeDocument/2006/relationships/hyperlink" Target="https://finance.yahoo.com/quote/TSLA/?p=TSLA" TargetMode="External"/><Relationship Id="rId1036" Type="http://schemas.openxmlformats.org/officeDocument/2006/relationships/hyperlink" Target="https://finance.yahoo.com/quote/600745.SS/?p=600745.SS" TargetMode="External"/><Relationship Id="rId1278" Type="http://schemas.openxmlformats.org/officeDocument/2006/relationships/hyperlink" Target="https://finance.yahoo.com/quote/BITO/?p=BITO" TargetMode="External"/><Relationship Id="rId1026" Type="http://schemas.openxmlformats.org/officeDocument/2006/relationships/hyperlink" Target="https://finance.yahoo.com/quote/601398.SS/?p=601398.SS" TargetMode="External"/><Relationship Id="rId1268" Type="http://schemas.openxmlformats.org/officeDocument/2006/relationships/hyperlink" Target="http://9988.hk" TargetMode="External"/><Relationship Id="rId1027" Type="http://schemas.openxmlformats.org/officeDocument/2006/relationships/hyperlink" Target="http://601939.ss" TargetMode="External"/><Relationship Id="rId1269" Type="http://schemas.openxmlformats.org/officeDocument/2006/relationships/hyperlink" Target="https://finance.yahoo.com/quote/9988.HK/?p=9988.HK" TargetMode="External"/><Relationship Id="rId1028" Type="http://schemas.openxmlformats.org/officeDocument/2006/relationships/hyperlink" Target="https://finance.yahoo.com/quote/601939.SS/?p=601939.SS" TargetMode="External"/><Relationship Id="rId1029" Type="http://schemas.openxmlformats.org/officeDocument/2006/relationships/hyperlink" Target="http://600036.ss" TargetMode="External"/><Relationship Id="rId437" Type="http://schemas.openxmlformats.org/officeDocument/2006/relationships/hyperlink" Target="https://finance.yahoo.com/quote/GM/?p=GM" TargetMode="External"/><Relationship Id="rId679" Type="http://schemas.openxmlformats.org/officeDocument/2006/relationships/hyperlink" Target="http://300750.sz" TargetMode="External"/><Relationship Id="rId436" Type="http://schemas.openxmlformats.org/officeDocument/2006/relationships/hyperlink" Target="https://finance.yahoo.com/quote/600519.SS/?p=600519.SS" TargetMode="External"/><Relationship Id="rId678" Type="http://schemas.openxmlformats.org/officeDocument/2006/relationships/hyperlink" Target="https://finance.yahoo.com/quote/AAPL/?p=AAPL" TargetMode="External"/><Relationship Id="rId435" Type="http://schemas.openxmlformats.org/officeDocument/2006/relationships/hyperlink" Target="http://600519.ss" TargetMode="External"/><Relationship Id="rId677" Type="http://schemas.openxmlformats.org/officeDocument/2006/relationships/hyperlink" Target="https://finance.yahoo.com/quote/GOLD/?p=GOLD" TargetMode="External"/><Relationship Id="rId434" Type="http://schemas.openxmlformats.org/officeDocument/2006/relationships/hyperlink" Target="https://finance.yahoo.com/quote/0700.HK/?p=0700.HK" TargetMode="External"/><Relationship Id="rId676" Type="http://schemas.openxmlformats.org/officeDocument/2006/relationships/hyperlink" Target="https://finance.yahoo.com/quote/2222.SR/?p=2222.SR" TargetMode="External"/><Relationship Id="rId439" Type="http://schemas.openxmlformats.org/officeDocument/2006/relationships/hyperlink" Target="https://finance.yahoo.com/quote/YANG/?p=YANG" TargetMode="External"/><Relationship Id="rId438" Type="http://schemas.openxmlformats.org/officeDocument/2006/relationships/hyperlink" Target="https://finance.yahoo.com/quote/YANG/?p=YANG" TargetMode="External"/><Relationship Id="rId671" Type="http://schemas.openxmlformats.org/officeDocument/2006/relationships/hyperlink" Target="https://finance.yahoo.com/quote/LVMHF/?p=LVMHF" TargetMode="External"/><Relationship Id="rId1260" Type="http://schemas.openxmlformats.org/officeDocument/2006/relationships/hyperlink" Target="http://0700.hk" TargetMode="External"/><Relationship Id="rId670" Type="http://schemas.openxmlformats.org/officeDocument/2006/relationships/hyperlink" Target="https://finance.yahoo.com/quote/TSLA/?p=TSLA" TargetMode="External"/><Relationship Id="rId1261" Type="http://schemas.openxmlformats.org/officeDocument/2006/relationships/hyperlink" Target="https://finance.yahoo.com/quote/0700.HK/?p=0700.HK" TargetMode="External"/><Relationship Id="rId1020" Type="http://schemas.openxmlformats.org/officeDocument/2006/relationships/hyperlink" Target="https://www.bondsupermart.com/bsm/general-search/XS1974522853" TargetMode="External"/><Relationship Id="rId1262" Type="http://schemas.openxmlformats.org/officeDocument/2006/relationships/hyperlink" Target="http://2800.hk" TargetMode="External"/><Relationship Id="rId1021" Type="http://schemas.openxmlformats.org/officeDocument/2006/relationships/hyperlink" Target="http://600519.ss" TargetMode="External"/><Relationship Id="rId1263" Type="http://schemas.openxmlformats.org/officeDocument/2006/relationships/hyperlink" Target="https://finance.yahoo.com/quote/2800.HK/?p=2800.HK" TargetMode="External"/><Relationship Id="rId433" Type="http://schemas.openxmlformats.org/officeDocument/2006/relationships/hyperlink" Target="http://0700.hk" TargetMode="External"/><Relationship Id="rId675" Type="http://schemas.openxmlformats.org/officeDocument/2006/relationships/hyperlink" Target="http://2222.sr" TargetMode="External"/><Relationship Id="rId1022" Type="http://schemas.openxmlformats.org/officeDocument/2006/relationships/hyperlink" Target="https://finance.yahoo.com/quote/600519.SS/?p=600519.SS" TargetMode="External"/><Relationship Id="rId1264" Type="http://schemas.openxmlformats.org/officeDocument/2006/relationships/hyperlink" Target="http://0388.hk" TargetMode="External"/><Relationship Id="rId432" Type="http://schemas.openxmlformats.org/officeDocument/2006/relationships/hyperlink" Target="https://finance.yahoo.com/quote/0700.HK/?p=0700.HK" TargetMode="External"/><Relationship Id="rId674" Type="http://schemas.openxmlformats.org/officeDocument/2006/relationships/hyperlink" Target="https://finance.yahoo.com/quote/2222.SR/?p=2222.SR" TargetMode="External"/><Relationship Id="rId1023" Type="http://schemas.openxmlformats.org/officeDocument/2006/relationships/hyperlink" Target="http://1211.hk" TargetMode="External"/><Relationship Id="rId1265" Type="http://schemas.openxmlformats.org/officeDocument/2006/relationships/hyperlink" Target="https://finance.yahoo.com/quote/0388.HK/?p=0388.HK" TargetMode="External"/><Relationship Id="rId431" Type="http://schemas.openxmlformats.org/officeDocument/2006/relationships/hyperlink" Target="http://0700.hk" TargetMode="External"/><Relationship Id="rId673" Type="http://schemas.openxmlformats.org/officeDocument/2006/relationships/hyperlink" Target="http://2222.sr" TargetMode="External"/><Relationship Id="rId1024" Type="http://schemas.openxmlformats.org/officeDocument/2006/relationships/hyperlink" Target="https://finance.yahoo.com/quote/1211.HK/?p=1211.HK" TargetMode="External"/><Relationship Id="rId1266" Type="http://schemas.openxmlformats.org/officeDocument/2006/relationships/hyperlink" Target="http://9988.hk" TargetMode="External"/><Relationship Id="rId430" Type="http://schemas.openxmlformats.org/officeDocument/2006/relationships/hyperlink" Target="https://finance.yahoo.com/quote/0700.HK/?p=0700.HK" TargetMode="External"/><Relationship Id="rId672" Type="http://schemas.openxmlformats.org/officeDocument/2006/relationships/hyperlink" Target="https://finance.yahoo.com/quote/DIS/?p=DIS" TargetMode="External"/><Relationship Id="rId1025" Type="http://schemas.openxmlformats.org/officeDocument/2006/relationships/hyperlink" Target="http://601398.ss" TargetMode="External"/><Relationship Id="rId1267" Type="http://schemas.openxmlformats.org/officeDocument/2006/relationships/hyperlink" Target="https://finance.yahoo.com/quote/9988.HK/?p=9988.HK"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outlineLevelRow="1"/>
  <cols>
    <col customWidth="1" min="6" max="6" width="3.0"/>
    <col customWidth="1" min="7" max="7" width="10.88"/>
    <col customWidth="1" min="8" max="8" width="7.63"/>
    <col customWidth="1" min="9" max="9" width="8.5"/>
    <col customWidth="1" min="10" max="10" width="4.13"/>
    <col customWidth="1" min="11" max="11" width="38.25"/>
    <col customWidth="1" min="12" max="12" width="9.13"/>
    <col customWidth="1" min="13" max="13" width="9.0"/>
  </cols>
  <sheetData>
    <row r="1">
      <c r="A1" s="1" t="str">
        <f>IFERROR(__xludf.DUMMYFUNCTION("importrange(""https://docs.google.com/spreadsheets/d/1mvA960mm3QaFyRdwkfIRxhE1UQJl45QEUTnDVxtxiIE/edit?usp=sharing"",""PnL!A1:i123"")"),"Latest PnL Summary")</f>
        <v>Latest PnL Summary</v>
      </c>
      <c r="B1" s="2"/>
      <c r="C1" s="3"/>
      <c r="D1" s="3" t="str">
        <f>IFERROR(__xludf.DUMMYFUNCTION("""COMPUTED_VALUE"""),"As of closing day of:")</f>
        <v>As of closing day of:</v>
      </c>
      <c r="E1" s="4">
        <f>IFERROR(__xludf.DUMMYFUNCTION("""COMPUTED_VALUE"""),44664.0)</f>
        <v>44664</v>
      </c>
      <c r="F1" s="5"/>
      <c r="G1" s="5"/>
      <c r="H1" s="6"/>
      <c r="I1" s="6"/>
      <c r="J1" s="7" t="str">
        <f>IFERROR(__xludf.DUMMYFUNCTION("importrange(""https://docs.google.com/spreadsheets/d/1mvA960mm3QaFyRdwkfIRxhE1UQJl45QEUTnDVxtxiIE/edit?usp=sharing"",""PnL!j1:t122"")"),"")</f>
        <v/>
      </c>
      <c r="K1" s="8" t="str">
        <f>IFERROR(__xludf.DUMMYFUNCTION("""COMPUTED_VALUE"""),"Total B-school traders:")</f>
        <v>Total B-school traders:</v>
      </c>
      <c r="L1" s="9">
        <f>IFERROR(__xludf.DUMMYFUNCTION("""COMPUTED_VALUE"""),118.0)</f>
        <v>118</v>
      </c>
      <c r="M1" s="5"/>
      <c r="N1" s="5"/>
      <c r="O1" s="5"/>
      <c r="P1" s="5"/>
      <c r="Q1" s="5"/>
      <c r="R1" s="5"/>
      <c r="S1" s="5"/>
      <c r="T1" s="5"/>
    </row>
    <row r="2">
      <c r="A2" s="10" t="str">
        <f>IFERROR(__xludf.DUMMYFUNCTION("""COMPUTED_VALUE"""),"* select the latest date for display")</f>
        <v>* select the latest date for display</v>
      </c>
      <c r="B2" s="2"/>
      <c r="C2" s="3"/>
      <c r="D2" s="3" t="str">
        <f>IFERROR(__xludf.DUMMYFUNCTION("""COMPUTED_VALUE"""),"* PnL assume trade day FX, not value day FX")</f>
        <v>* PnL assume trade day FX, not value day FX</v>
      </c>
      <c r="E2" s="11"/>
      <c r="F2" s="5"/>
      <c r="G2" s="5"/>
      <c r="H2" s="12"/>
      <c r="I2" s="12"/>
      <c r="J2" s="5"/>
      <c r="K2" s="8" t="str">
        <f>IFERROR(__xludf.DUMMYFUNCTION("""COMPUTED_VALUE"""),"Active:")</f>
        <v>Active:</v>
      </c>
      <c r="L2" s="9">
        <f>IFERROR(__xludf.DUMMYFUNCTION("""COMPUTED_VALUE"""),94.0)</f>
        <v>94</v>
      </c>
      <c r="M2" s="13">
        <f>IFERROR(__xludf.DUMMYFUNCTION("""COMPUTED_VALUE"""),0.7966101694915254)</f>
        <v>0.7966101695</v>
      </c>
      <c r="N2" s="5"/>
      <c r="O2" s="5"/>
      <c r="P2" s="5"/>
      <c r="Q2" s="5"/>
      <c r="R2" s="5"/>
      <c r="S2" s="5"/>
      <c r="T2" s="5"/>
    </row>
    <row r="3">
      <c r="A3" s="14"/>
      <c r="B3" s="3"/>
      <c r="C3" s="3"/>
      <c r="D3" s="3"/>
      <c r="E3" s="11"/>
      <c r="F3" s="5"/>
      <c r="G3" s="5"/>
      <c r="H3" s="12"/>
      <c r="I3" s="12"/>
      <c r="J3" s="5"/>
      <c r="K3" s="8" t="str">
        <f>IFERROR(__xludf.DUMMYFUNCTION("""COMPUTED_VALUE"""),"Non-Active:")</f>
        <v>Non-Active:</v>
      </c>
      <c r="L3" s="9">
        <f>IFERROR(__xludf.DUMMYFUNCTION("""COMPUTED_VALUE"""),24.0)</f>
        <v>24</v>
      </c>
      <c r="M3" s="13">
        <f>IFERROR(__xludf.DUMMYFUNCTION("""COMPUTED_VALUE"""),0.2033898305084746)</f>
        <v>0.2033898305</v>
      </c>
      <c r="N3" s="5"/>
      <c r="O3" s="5"/>
      <c r="P3" s="5"/>
      <c r="Q3" s="5"/>
      <c r="R3" s="5"/>
      <c r="S3" s="5"/>
      <c r="T3" s="5"/>
    </row>
    <row r="4" collapsed="1">
      <c r="A4" s="15" t="str">
        <f>IFERROR(__xludf.DUMMYFUNCTION("""COMPUTED_VALUE"""),"Acct#")</f>
        <v>Acct#</v>
      </c>
      <c r="B4" s="16" t="str">
        <f>IFERROR(__xludf.DUMMYFUNCTION("""COMPUTED_VALUE"""),"MTM AuM per value day")</f>
        <v>MTM AuM per value day</v>
      </c>
      <c r="C4" s="16" t="str">
        <f>IFERROR(__xludf.DUMMYFUNCTION("""COMPUTED_VALUE"""),"Post-Trade Ava Margin Balance")</f>
        <v>Post-Trade Ava Margin Balance</v>
      </c>
      <c r="D4" s="16" t="str">
        <f>IFERROR(__xludf.DUMMYFUNCTION("""COMPUTED_VALUE"""),"Post-Trade Margin Loan Balance")</f>
        <v>Post-Trade Margin Loan Balance</v>
      </c>
      <c r="E4" s="17" t="str">
        <f>IFERROR(__xludf.DUMMYFUNCTION("""COMPUTED_VALUE"""),"SUM of YTD return")</f>
        <v>SUM of YTD return</v>
      </c>
      <c r="F4" s="5"/>
      <c r="G4" s="18" t="str">
        <f>IFERROR(__xludf.DUMMYFUNCTION("""COMPUTED_VALUE"""),"Return Only Rank")</f>
        <v>Return Only Rank</v>
      </c>
      <c r="H4" s="18" t="str">
        <f>IFERROR(__xludf.DUMMYFUNCTION("""COMPUTED_VALUE"""),"Stdev")</f>
        <v>Stdev</v>
      </c>
      <c r="I4" s="18" t="str">
        <f>IFERROR(__xludf.DUMMYFUNCTION("""COMPUTED_VALUE"""),"Return/ Stdev")</f>
        <v>Return/ Stdev</v>
      </c>
      <c r="J4" s="5"/>
      <c r="K4" s="19" t="str">
        <f>IFERROR(__xludf.DUMMYFUNCTION("""COMPUTED_VALUE"""),"Number of days left before Assignment 2 due:")</f>
        <v>Number of days left before Assignment 2 due:</v>
      </c>
      <c r="L4" s="20">
        <f>IFERROR(__xludf.DUMMYFUNCTION("""COMPUTED_VALUE"""),0.0)</f>
        <v>0</v>
      </c>
      <c r="M4" s="21"/>
      <c r="N4" s="5"/>
      <c r="O4" s="5"/>
      <c r="P4" s="5"/>
      <c r="Q4" s="5"/>
      <c r="R4" s="5"/>
      <c r="S4" s="5"/>
      <c r="T4" s="5"/>
    </row>
    <row r="5" hidden="1" outlineLevel="1">
      <c r="A5" s="22" t="str">
        <f>IFERROR(__xludf.DUMMYFUNCTION("""COMPUTED_VALUE"""),"Acct Total")</f>
        <v>Acct Total</v>
      </c>
      <c r="B5" s="9" t="str">
        <f>IFERROR(__xludf.DUMMYFUNCTION("""COMPUTED_VALUE"""),"AuM")</f>
        <v>AuM</v>
      </c>
      <c r="C5" s="23" t="str">
        <f>IFERROR(__xludf.DUMMYFUNCTION("""COMPUTED_VALUE"""),"Post-Trade Ava Margin Balance")</f>
        <v>Post-Trade Ava Margin Balance</v>
      </c>
      <c r="D5" s="23" t="str">
        <f>IFERROR(__xludf.DUMMYFUNCTION("""COMPUTED_VALUE"""),"Post-Trade Margin Loan Balance")</f>
        <v>Post-Trade Margin Loan Balance</v>
      </c>
      <c r="E5" s="24" t="str">
        <f>IFERROR(__xludf.DUMMYFUNCTION("""COMPUTED_VALUE"""),"PnL in %")</f>
        <v>PnL in %</v>
      </c>
      <c r="F5" s="5"/>
      <c r="G5" s="25" t="str">
        <f>IFERROR(__xludf.DUMMYFUNCTION("""COMPUTED_VALUE"""),"Rank")</f>
        <v>Rank</v>
      </c>
      <c r="H5" s="12"/>
      <c r="I5" s="12"/>
      <c r="J5" s="5"/>
      <c r="K5" s="5"/>
      <c r="L5" s="5"/>
      <c r="M5" s="5"/>
      <c r="N5" s="5"/>
      <c r="O5" s="5"/>
      <c r="P5" s="5"/>
      <c r="Q5" s="5"/>
      <c r="R5" s="5"/>
      <c r="S5" s="5"/>
      <c r="T5" s="5"/>
    </row>
    <row r="6">
      <c r="A6" s="5" t="str">
        <f>IFERROR(__xludf.DUMMYFUNCTION("""COMPUTED_VALUE"""),"14626")</f>
        <v>14626</v>
      </c>
      <c r="B6" s="9">
        <f>IFERROR(__xludf.DUMMYFUNCTION("""COMPUTED_VALUE"""),484680.56289500004)</f>
        <v>484680.5629</v>
      </c>
      <c r="C6" s="22">
        <f>IFERROR(__xludf.DUMMYFUNCTION("""COMPUTED_VALUE"""),-206368.1012599999)</f>
        <v>-206368.1013</v>
      </c>
      <c r="D6" s="22">
        <f>IFERROR(__xludf.DUMMYFUNCTION("""COMPUTED_VALUE"""),206368.1012599999)</f>
        <v>206368.1013</v>
      </c>
      <c r="E6" s="24">
        <f>IFERROR(__xludf.DUMMYFUNCTION("""COMPUTED_VALUE"""),-0.03063887420999989)</f>
        <v>-0.03063887421</v>
      </c>
      <c r="F6" s="5"/>
      <c r="G6" s="9">
        <f>IFERROR(__xludf.DUMMYFUNCTION("""COMPUTED_VALUE"""),98.0)</f>
        <v>98</v>
      </c>
      <c r="H6" s="26">
        <f>IFERROR(__xludf.DUMMYFUNCTION("""COMPUTED_VALUE"""),0.017540032465045007)</f>
        <v>0.01754003247</v>
      </c>
      <c r="I6" s="27">
        <f>IFERROR(__xludf.DUMMYFUNCTION("""COMPUTED_VALUE"""),-1.987118455422455)</f>
        <v>-1.987118455</v>
      </c>
      <c r="J6" s="5"/>
      <c r="K6" s="8" t="str">
        <f>IFERROR(__xludf.DUMMYFUNCTION("""COMPUTED_VALUE"""),"BEST Return:")</f>
        <v>BEST Return:</v>
      </c>
      <c r="L6" s="24">
        <f>IFERROR(__xludf.DUMMYFUNCTION("""COMPUTED_VALUE"""),1.291439972908)</f>
        <v>1.291439973</v>
      </c>
      <c r="M6" s="5"/>
      <c r="N6" s="5"/>
      <c r="O6" s="5"/>
      <c r="P6" s="5"/>
      <c r="Q6" s="5"/>
      <c r="R6" s="5"/>
      <c r="S6" s="5"/>
      <c r="T6" s="5"/>
    </row>
    <row r="7">
      <c r="A7" s="5" t="str">
        <f>IFERROR(__xludf.DUMMYFUNCTION("""COMPUTED_VALUE"""),"18111")</f>
        <v>18111</v>
      </c>
      <c r="B7" s="9">
        <f>IFERROR(__xludf.DUMMYFUNCTION("""COMPUTED_VALUE"""),500000.0)</f>
        <v>500000</v>
      </c>
      <c r="C7" s="22">
        <f>IFERROR(__xludf.DUMMYFUNCTION("""COMPUTED_VALUE"""),500000.0)</f>
        <v>500000</v>
      </c>
      <c r="D7" s="22">
        <f>IFERROR(__xludf.DUMMYFUNCTION("""COMPUTED_VALUE"""),0.0)</f>
        <v>0</v>
      </c>
      <c r="E7" s="24">
        <f>IFERROR(__xludf.DUMMYFUNCTION("""COMPUTED_VALUE"""),0.0)</f>
        <v>0</v>
      </c>
      <c r="F7" s="5"/>
      <c r="G7" s="9">
        <f>IFERROR(__xludf.DUMMYFUNCTION("""COMPUTED_VALUE"""),47.0)</f>
        <v>47</v>
      </c>
      <c r="H7" s="26">
        <f>IFERROR(__xludf.DUMMYFUNCTION("""COMPUTED_VALUE"""),0.0)</f>
        <v>0</v>
      </c>
      <c r="I7" s="27" t="str">
        <f>IFERROR(__xludf.DUMMYFUNCTION("""COMPUTED_VALUE"""),"n/a")</f>
        <v>n/a</v>
      </c>
      <c r="J7" s="5"/>
      <c r="K7" s="8" t="str">
        <f>IFERROR(__xludf.DUMMYFUNCTION("""COMPUTED_VALUE"""),"Worst Return")</f>
        <v>Worst Return</v>
      </c>
      <c r="L7" s="24">
        <f>IFERROR(__xludf.DUMMYFUNCTION("""COMPUTED_VALUE"""),-0.24178063875660005)</f>
        <v>-0.2417806388</v>
      </c>
      <c r="M7" s="5"/>
      <c r="N7" s="5"/>
      <c r="O7" s="5"/>
      <c r="P7" s="5"/>
      <c r="Q7" s="5"/>
      <c r="R7" s="5"/>
      <c r="S7" s="5"/>
      <c r="T7" s="5"/>
    </row>
    <row r="8">
      <c r="A8" s="28" t="str">
        <f>IFERROR(__xludf.DUMMYFUNCTION("""COMPUTED_VALUE"""),"18649")</f>
        <v>18649</v>
      </c>
      <c r="B8" s="9">
        <f>IFERROR(__xludf.DUMMYFUNCTION("""COMPUTED_VALUE"""),500000.0)</f>
        <v>500000</v>
      </c>
      <c r="C8" s="22">
        <f>IFERROR(__xludf.DUMMYFUNCTION("""COMPUTED_VALUE"""),500000.0)</f>
        <v>500000</v>
      </c>
      <c r="D8" s="22">
        <f>IFERROR(__xludf.DUMMYFUNCTION("""COMPUTED_VALUE"""),0.0)</f>
        <v>0</v>
      </c>
      <c r="E8" s="24">
        <f>IFERROR(__xludf.DUMMYFUNCTION("""COMPUTED_VALUE"""),0.0)</f>
        <v>0</v>
      </c>
      <c r="F8" s="5"/>
      <c r="G8" s="9">
        <f>IFERROR(__xludf.DUMMYFUNCTION("""COMPUTED_VALUE"""),47.0)</f>
        <v>47</v>
      </c>
      <c r="H8" s="26">
        <f>IFERROR(__xludf.DUMMYFUNCTION("""COMPUTED_VALUE"""),0.0)</f>
        <v>0</v>
      </c>
      <c r="I8" s="27" t="str">
        <f>IFERROR(__xludf.DUMMYFUNCTION("""COMPUTED_VALUE"""),"n/a")</f>
        <v>n/a</v>
      </c>
      <c r="J8" s="5"/>
      <c r="K8" s="8" t="str">
        <f>IFERROR(__xludf.DUMMYFUNCTION("""COMPUTED_VALUE"""),"Zero Return # of traders:")</f>
        <v>Zero Return # of traders:</v>
      </c>
      <c r="L8" s="9">
        <f>IFERROR(__xludf.DUMMYFUNCTION("""COMPUTED_VALUE"""),24.0)</f>
        <v>24</v>
      </c>
      <c r="M8" s="5" t="str">
        <f>IFERROR(__xludf.DUMMYFUNCTION("""COMPUTED_VALUE"""),"(Inactive traders)")</f>
        <v>(Inactive traders)</v>
      </c>
      <c r="N8" s="5"/>
      <c r="O8" s="5"/>
      <c r="P8" s="5"/>
      <c r="Q8" s="5"/>
      <c r="R8" s="5"/>
      <c r="S8" s="5"/>
      <c r="T8" s="5"/>
    </row>
    <row r="9">
      <c r="A9" s="28" t="str">
        <f>IFERROR(__xludf.DUMMYFUNCTION("""COMPUTED_VALUE"""),"18874")</f>
        <v>18874</v>
      </c>
      <c r="B9" s="9">
        <f>IFERROR(__xludf.DUMMYFUNCTION("""COMPUTED_VALUE"""),504668.94767499994)</f>
        <v>504668.9477</v>
      </c>
      <c r="C9" s="22">
        <f>IFERROR(__xludf.DUMMYFUNCTION("""COMPUTED_VALUE"""),363403.89823000005)</f>
        <v>363403.8982</v>
      </c>
      <c r="D9" s="22">
        <f>IFERROR(__xludf.DUMMYFUNCTION("""COMPUTED_VALUE"""),0.0)</f>
        <v>0</v>
      </c>
      <c r="E9" s="24">
        <f>IFERROR(__xludf.DUMMYFUNCTION("""COMPUTED_VALUE"""),0.009337895349999847)</f>
        <v>0.00933789535</v>
      </c>
      <c r="F9" s="5"/>
      <c r="G9" s="9">
        <f>IFERROR(__xludf.DUMMYFUNCTION("""COMPUTED_VALUE"""),35.0)</f>
        <v>35</v>
      </c>
      <c r="H9" s="26">
        <f>IFERROR(__xludf.DUMMYFUNCTION("""COMPUTED_VALUE"""),0.0)</f>
        <v>0</v>
      </c>
      <c r="I9" s="27" t="str">
        <f>IFERROR(__xludf.DUMMYFUNCTION("""COMPUTED_VALUE"""),"n/a")</f>
        <v>n/a</v>
      </c>
      <c r="J9" s="5"/>
      <c r="K9" s="5"/>
      <c r="L9" s="5"/>
      <c r="M9" s="5"/>
      <c r="N9" s="5"/>
      <c r="O9" s="5"/>
      <c r="P9" s="5"/>
      <c r="Q9" s="5"/>
      <c r="R9" s="5"/>
      <c r="S9" s="5"/>
      <c r="T9" s="5"/>
    </row>
    <row r="10">
      <c r="A10" s="28" t="str">
        <f>IFERROR(__xludf.DUMMYFUNCTION("""COMPUTED_VALUE"""),"24442")</f>
        <v>24442</v>
      </c>
      <c r="B10" s="9">
        <f>IFERROR(__xludf.DUMMYFUNCTION("""COMPUTED_VALUE"""),537076.3577450002)</f>
        <v>537076.3577</v>
      </c>
      <c r="C10" s="22">
        <f>IFERROR(__xludf.DUMMYFUNCTION("""COMPUTED_VALUE"""),-88189.5695575001)</f>
        <v>-88189.56956</v>
      </c>
      <c r="D10" s="22">
        <f>IFERROR(__xludf.DUMMYFUNCTION("""COMPUTED_VALUE"""),88189.5695575001)</f>
        <v>88189.56956</v>
      </c>
      <c r="E10" s="24">
        <f>IFERROR(__xludf.DUMMYFUNCTION("""COMPUTED_VALUE"""),0.07415271549000035)</f>
        <v>0.07415271549</v>
      </c>
      <c r="F10" s="5"/>
      <c r="G10" s="9">
        <f>IFERROR(__xludf.DUMMYFUNCTION("""COMPUTED_VALUE"""),16.0)</f>
        <v>16</v>
      </c>
      <c r="H10" s="26">
        <f>IFERROR(__xludf.DUMMYFUNCTION("""COMPUTED_VALUE"""),0.03393521947872181)</f>
        <v>0.03393521948</v>
      </c>
      <c r="I10" s="27">
        <f>IFERROR(__xludf.DUMMYFUNCTION("""COMPUTED_VALUE"""),1.8498293284757175)</f>
        <v>1.849829328</v>
      </c>
      <c r="J10" s="5"/>
      <c r="K10" s="5" t="str">
        <f>IFERROR(__xludf.DUMMYFUNCTION("""COMPUTED_VALUE"""),"Average Return:")</f>
        <v>Average Return:</v>
      </c>
      <c r="L10" s="24">
        <f>IFERROR(__xludf.DUMMYFUNCTION("""COMPUTED_VALUE"""),0.029333968775861415)</f>
        <v>0.02933396878</v>
      </c>
      <c r="M10" s="5" t="str">
        <f>IFERROR(__xludf.DUMMYFUNCTION("""COMPUTED_VALUE"""),"(not counted inactive traders)")</f>
        <v>(not counted inactive traders)</v>
      </c>
      <c r="N10" s="5"/>
      <c r="O10" s="5"/>
      <c r="P10" s="5"/>
      <c r="Q10" s="5"/>
      <c r="R10" s="5" t="str">
        <f>IFERROR(__xludf.DUMMYFUNCTION("""COMPUTED_VALUE"""),"LSKAM Overall Stats")</f>
        <v>LSKAM Overall Stats</v>
      </c>
      <c r="S10" s="5"/>
      <c r="T10" s="5"/>
    </row>
    <row r="11">
      <c r="A11" s="28" t="str">
        <f>IFERROR(__xludf.DUMMYFUNCTION("""COMPUTED_VALUE"""),"32312")</f>
        <v>32312</v>
      </c>
      <c r="B11" s="9">
        <f>IFERROR(__xludf.DUMMYFUNCTION("""COMPUTED_VALUE"""),509274.0515956)</f>
        <v>509274.0516</v>
      </c>
      <c r="C11" s="22">
        <f>IFERROR(__xludf.DUMMYFUNCTION("""COMPUTED_VALUE"""),510489.70426689996)</f>
        <v>510489.7043</v>
      </c>
      <c r="D11" s="22">
        <f>IFERROR(__xludf.DUMMYFUNCTION("""COMPUTED_VALUE"""),0.0)</f>
        <v>0</v>
      </c>
      <c r="E11" s="24">
        <f>IFERROR(__xludf.DUMMYFUNCTION("""COMPUTED_VALUE"""),0.018548103191200038)</f>
        <v>0.01854810319</v>
      </c>
      <c r="F11" s="5"/>
      <c r="G11" s="9">
        <f>IFERROR(__xludf.DUMMYFUNCTION("""COMPUTED_VALUE"""),31.0)</f>
        <v>31</v>
      </c>
      <c r="H11" s="26">
        <f>IFERROR(__xludf.DUMMYFUNCTION("""COMPUTED_VALUE"""),0.022057851519748525)</f>
        <v>0.02205785152</v>
      </c>
      <c r="I11" s="27">
        <f>IFERROR(__xludf.DUMMYFUNCTION("""COMPUTED_VALUE"""),0.8432889441723939)</f>
        <v>0.8432889442</v>
      </c>
      <c r="J11" s="5"/>
      <c r="K11" s="5" t="str">
        <f>IFERROR(__xludf.DUMMYFUNCTION("""COMPUTED_VALUE"""),"Average Return:")</f>
        <v>Average Return:</v>
      </c>
      <c r="L11" s="29">
        <f>IFERROR(__xludf.DUMMYFUNCTION("""COMPUTED_VALUE"""),0.023066026729737184)</f>
        <v>0.02306602673</v>
      </c>
      <c r="M11" s="30" t="str">
        <f>IFERROR(__xludf.DUMMYFUNCTION("""COMPUTED_VALUE"""),"(inactive traders included)")</f>
        <v>(inactive traders included)</v>
      </c>
      <c r="O11" s="5"/>
      <c r="P11" s="5"/>
      <c r="Q11" s="5"/>
      <c r="R11" s="5" t="str">
        <f>IFERROR(__xludf.DUMMYFUNCTION("""COMPUTED_VALUE"""),"Stdev")</f>
        <v>Stdev</v>
      </c>
      <c r="S11" s="24">
        <f>IFERROR(__xludf.DUMMYFUNCTION("""COMPUTED_VALUE"""),0.004109099519269356)</f>
        <v>0.004109099519</v>
      </c>
      <c r="T11" s="5"/>
    </row>
    <row r="12">
      <c r="A12" s="28" t="str">
        <f>IFERROR(__xludf.DUMMYFUNCTION("""COMPUTED_VALUE"""),"32582")</f>
        <v>32582</v>
      </c>
      <c r="B12" s="9">
        <f>IFERROR(__xludf.DUMMYFUNCTION("""COMPUTED_VALUE"""),500000.0)</f>
        <v>500000</v>
      </c>
      <c r="C12" s="22">
        <f>IFERROR(__xludf.DUMMYFUNCTION("""COMPUTED_VALUE"""),500000.0)</f>
        <v>500000</v>
      </c>
      <c r="D12" s="22">
        <f>IFERROR(__xludf.DUMMYFUNCTION("""COMPUTED_VALUE"""),0.0)</f>
        <v>0</v>
      </c>
      <c r="E12" s="24">
        <f>IFERROR(__xludf.DUMMYFUNCTION("""COMPUTED_VALUE"""),0.0)</f>
        <v>0</v>
      </c>
      <c r="F12" s="5"/>
      <c r="G12" s="9">
        <f>IFERROR(__xludf.DUMMYFUNCTION("""COMPUTED_VALUE"""),47.0)</f>
        <v>47</v>
      </c>
      <c r="H12" s="26">
        <f>IFERROR(__xludf.DUMMYFUNCTION("""COMPUTED_VALUE"""),0.0)</f>
        <v>0</v>
      </c>
      <c r="I12" s="27" t="str">
        <f>IFERROR(__xludf.DUMMYFUNCTION("""COMPUTED_VALUE"""),"n/a")</f>
        <v>n/a</v>
      </c>
      <c r="J12" s="7"/>
      <c r="K12" s="8" t="str">
        <f>IFERROR(__xludf.DUMMYFUNCTION("""COMPUTED_VALUE"""),"Stdev Return")</f>
        <v>Stdev Return</v>
      </c>
      <c r="L12" s="24">
        <f>IFERROR(__xludf.DUMMYFUNCTION("""COMPUTED_VALUE"""),0.153519846305515)</f>
        <v>0.1535198463</v>
      </c>
      <c r="M12" s="30" t="str">
        <f>IFERROR(__xludf.DUMMYFUNCTION("""COMPUTED_VALUE"""),"(inactive traders included)")</f>
        <v>(inactive traders included)</v>
      </c>
      <c r="N12" s="30"/>
      <c r="O12" s="5"/>
      <c r="P12" s="5"/>
      <c r="Q12" s="5"/>
      <c r="R12" s="5" t="str">
        <f>IFERROR(__xludf.DUMMYFUNCTION("""COMPUTED_VALUE"""),"Sharpe")</f>
        <v>Sharpe</v>
      </c>
      <c r="S12" s="31">
        <f>IFERROR(__xludf.DUMMYFUNCTION("""COMPUTED_VALUE"""),4.639851438584388)</f>
        <v>4.639851439</v>
      </c>
      <c r="T12" s="5"/>
    </row>
    <row r="13">
      <c r="A13" s="28" t="str">
        <f>IFERROR(__xludf.DUMMYFUNCTION("""COMPUTED_VALUE"""),"33050")</f>
        <v>33050</v>
      </c>
      <c r="B13" s="9">
        <f>IFERROR(__xludf.DUMMYFUNCTION("""COMPUTED_VALUE"""),503762.12)</f>
        <v>503762.12</v>
      </c>
      <c r="C13" s="22">
        <f>IFERROR(__xludf.DUMMYFUNCTION("""COMPUTED_VALUE"""),144048.58375)</f>
        <v>144048.5838</v>
      </c>
      <c r="D13" s="22">
        <f>IFERROR(__xludf.DUMMYFUNCTION("""COMPUTED_VALUE"""),0.0)</f>
        <v>0</v>
      </c>
      <c r="E13" s="24">
        <f>IFERROR(__xludf.DUMMYFUNCTION("""COMPUTED_VALUE"""),0.00752423999999996)</f>
        <v>0.00752424</v>
      </c>
      <c r="F13" s="5"/>
      <c r="G13" s="9">
        <f>IFERROR(__xludf.DUMMYFUNCTION("""COMPUTED_VALUE"""),39.0)</f>
        <v>39</v>
      </c>
      <c r="H13" s="26">
        <f>IFERROR(__xludf.DUMMYFUNCTION("""COMPUTED_VALUE"""),0.0)</f>
        <v>0</v>
      </c>
      <c r="I13" s="27" t="str">
        <f>IFERROR(__xludf.DUMMYFUNCTION("""COMPUTED_VALUE"""),"n/a")</f>
        <v>n/a</v>
      </c>
      <c r="J13" s="5"/>
      <c r="K13" s="5"/>
      <c r="L13" s="5"/>
      <c r="M13" s="12"/>
      <c r="N13" s="5"/>
      <c r="O13" s="5"/>
      <c r="P13" s="5"/>
      <c r="Q13" s="5"/>
      <c r="R13" s="5"/>
      <c r="S13" s="5"/>
      <c r="T13" s="5"/>
    </row>
    <row r="14">
      <c r="A14" s="28" t="str">
        <f>IFERROR(__xludf.DUMMYFUNCTION("""COMPUTED_VALUE"""),"34857")</f>
        <v>34857</v>
      </c>
      <c r="B14" s="9">
        <f>IFERROR(__xludf.DUMMYFUNCTION("""COMPUTED_VALUE"""),500000.0)</f>
        <v>500000</v>
      </c>
      <c r="C14" s="22">
        <f>IFERROR(__xludf.DUMMYFUNCTION("""COMPUTED_VALUE"""),500000.0)</f>
        <v>500000</v>
      </c>
      <c r="D14" s="22">
        <f>IFERROR(__xludf.DUMMYFUNCTION("""COMPUTED_VALUE"""),0.0)</f>
        <v>0</v>
      </c>
      <c r="E14" s="24">
        <f>IFERROR(__xludf.DUMMYFUNCTION("""COMPUTED_VALUE"""),0.0)</f>
        <v>0</v>
      </c>
      <c r="F14" s="5"/>
      <c r="G14" s="9">
        <f>IFERROR(__xludf.DUMMYFUNCTION("""COMPUTED_VALUE"""),47.0)</f>
        <v>47</v>
      </c>
      <c r="H14" s="26">
        <f>IFERROR(__xludf.DUMMYFUNCTION("""COMPUTED_VALUE"""),0.0)</f>
        <v>0</v>
      </c>
      <c r="I14" s="27" t="str">
        <f>IFERROR(__xludf.DUMMYFUNCTION("""COMPUTED_VALUE"""),"n/a")</f>
        <v>n/a</v>
      </c>
      <c r="J14" s="5"/>
      <c r="K14" s="32" t="str">
        <f>IFERROR(__xludf.DUMMYFUNCTION("""COMPUTED_VALUE"""),"LSK Asset Mgmt Initial Capital")</f>
        <v>LSK Asset Mgmt Initial Capital</v>
      </c>
      <c r="L14" s="33">
        <f>IFERROR(__xludf.DUMMYFUNCTION("""COMPUTED_VALUE"""),5.9E7)</f>
        <v>59000000</v>
      </c>
      <c r="M14" s="34"/>
      <c r="N14" s="34"/>
      <c r="O14" s="35"/>
      <c r="P14" s="35" t="str">
        <f>IFERROR(__xludf.DUMMYFUNCTION("""COMPUTED_VALUE"""),"Since:")</f>
        <v>Since:</v>
      </c>
      <c r="Q14" s="35"/>
      <c r="R14" s="36">
        <f>IFERROR(__xludf.DUMMYFUNCTION("""COMPUTED_VALUE"""),44597.0)</f>
        <v>44597</v>
      </c>
      <c r="S14" s="5"/>
      <c r="T14" s="5"/>
    </row>
    <row r="15">
      <c r="A15" s="28" t="str">
        <f>IFERROR(__xludf.DUMMYFUNCTION("""COMPUTED_VALUE"""),"35577")</f>
        <v>35577</v>
      </c>
      <c r="B15" s="9">
        <f>IFERROR(__xludf.DUMMYFUNCTION("""COMPUTED_VALUE"""),484758.19492105755)</f>
        <v>484758.1949</v>
      </c>
      <c r="C15" s="22">
        <f>IFERROR(__xludf.DUMMYFUNCTION("""COMPUTED_VALUE"""),148874.8805012001)</f>
        <v>148874.8805</v>
      </c>
      <c r="D15" s="22">
        <f>IFERROR(__xludf.DUMMYFUNCTION("""COMPUTED_VALUE"""),0.0)</f>
        <v>0</v>
      </c>
      <c r="E15" s="24">
        <f>IFERROR(__xludf.DUMMYFUNCTION("""COMPUTED_VALUE"""),-0.03048361015788492)</f>
        <v>-0.03048361016</v>
      </c>
      <c r="F15" s="5"/>
      <c r="G15" s="9">
        <f>IFERROR(__xludf.DUMMYFUNCTION("""COMPUTED_VALUE"""),97.0)</f>
        <v>97</v>
      </c>
      <c r="H15" s="26">
        <f>IFERROR(__xludf.DUMMYFUNCTION("""COMPUTED_VALUE"""),0.00742359632749285)</f>
        <v>0.007423596327</v>
      </c>
      <c r="I15" s="27">
        <f>IFERROR(__xludf.DUMMYFUNCTION("""COMPUTED_VALUE"""),-4.3621921967316375)</f>
        <v>-4.362192197</v>
      </c>
      <c r="J15" s="5"/>
      <c r="K15" s="32" t="str">
        <f>IFERROR(__xludf.DUMMYFUNCTION("""COMPUTED_VALUE"""),"Total LSK AM Current AuM")</f>
        <v>Total LSK AM Current AuM</v>
      </c>
      <c r="L15" s="33">
        <f>IFERROR(__xludf.DUMMYFUNCTION("""COMPUTED_VALUE"""),6.046828237914963E7)</f>
        <v>60468282.38</v>
      </c>
      <c r="M15" s="34"/>
      <c r="N15" s="37">
        <f>IFERROR(__xludf.DUMMYFUNCTION("""COMPUTED_VALUE"""),0.024886142019485247)</f>
        <v>0.02488614202</v>
      </c>
      <c r="O15" s="35"/>
      <c r="P15" s="10" t="str">
        <f>IFERROR(__xludf.DUMMYFUNCTION("""COMPUTED_VALUE"""),"Annualized:")</f>
        <v>Annualized:</v>
      </c>
      <c r="Q15" s="35"/>
      <c r="R15" s="38">
        <f>IFERROR(__xludf.DUMMYFUNCTION("""COMPUTED_VALUE"""),0.13358002701635463)</f>
        <v>0.133580027</v>
      </c>
      <c r="S15" s="5"/>
      <c r="T15" s="5"/>
    </row>
    <row r="16">
      <c r="A16" s="28" t="str">
        <f>IFERROR(__xludf.DUMMYFUNCTION("""COMPUTED_VALUE"""),"35702")</f>
        <v>35702</v>
      </c>
      <c r="B16" s="9">
        <f>IFERROR(__xludf.DUMMYFUNCTION("""COMPUTED_VALUE"""),480036.86950000003)</f>
        <v>480036.8695</v>
      </c>
      <c r="C16" s="22">
        <f>IFERROR(__xludf.DUMMYFUNCTION("""COMPUTED_VALUE"""),289276.173)</f>
        <v>289276.173</v>
      </c>
      <c r="D16" s="22">
        <f>IFERROR(__xludf.DUMMYFUNCTION("""COMPUTED_VALUE"""),0.0)</f>
        <v>0</v>
      </c>
      <c r="E16" s="24">
        <f>IFERROR(__xludf.DUMMYFUNCTION("""COMPUTED_VALUE"""),-0.03992626099999996)</f>
        <v>-0.039926261</v>
      </c>
      <c r="F16" s="5"/>
      <c r="G16" s="9">
        <f>IFERROR(__xludf.DUMMYFUNCTION("""COMPUTED_VALUE"""),104.0)</f>
        <v>104</v>
      </c>
      <c r="H16" s="26">
        <f>IFERROR(__xludf.DUMMYFUNCTION("""COMPUTED_VALUE"""),0.01586912496712976)</f>
        <v>0.01586912497</v>
      </c>
      <c r="I16" s="27">
        <f>IFERROR(__xludf.DUMMYFUNCTION("""COMPUTED_VALUE"""),-3.462774167688653)</f>
        <v>-3.462774168</v>
      </c>
      <c r="J16" s="5"/>
      <c r="K16" s="5"/>
      <c r="L16" s="5"/>
      <c r="M16" s="5"/>
      <c r="N16" s="5"/>
      <c r="O16" s="5"/>
      <c r="P16" s="5"/>
      <c r="Q16" s="5"/>
      <c r="R16" s="5"/>
      <c r="S16" s="5"/>
      <c r="T16" s="5"/>
    </row>
    <row r="17">
      <c r="A17" s="28" t="str">
        <f>IFERROR(__xludf.DUMMYFUNCTION("""COMPUTED_VALUE"""),"35792")</f>
        <v>35792</v>
      </c>
      <c r="B17" s="9">
        <f>IFERROR(__xludf.DUMMYFUNCTION("""COMPUTED_VALUE"""),500000.0)</f>
        <v>500000</v>
      </c>
      <c r="C17" s="22">
        <f>IFERROR(__xludf.DUMMYFUNCTION("""COMPUTED_VALUE"""),500000.0)</f>
        <v>500000</v>
      </c>
      <c r="D17" s="22">
        <f>IFERROR(__xludf.DUMMYFUNCTION("""COMPUTED_VALUE"""),0.0)</f>
        <v>0</v>
      </c>
      <c r="E17" s="24">
        <f>IFERROR(__xludf.DUMMYFUNCTION("""COMPUTED_VALUE"""),0.0)</f>
        <v>0</v>
      </c>
      <c r="F17" s="5"/>
      <c r="G17" s="9">
        <f>IFERROR(__xludf.DUMMYFUNCTION("""COMPUTED_VALUE"""),47.0)</f>
        <v>47</v>
      </c>
      <c r="H17" s="26">
        <f>IFERROR(__xludf.DUMMYFUNCTION("""COMPUTED_VALUE"""),0.0)</f>
        <v>0</v>
      </c>
      <c r="I17" s="27" t="str">
        <f>IFERROR(__xludf.DUMMYFUNCTION("""COMPUTED_VALUE"""),"n/a")</f>
        <v>n/a</v>
      </c>
      <c r="J17" s="7"/>
      <c r="K17" s="39" t="str">
        <f>IFERROR(__xludf.DUMMYFUNCTION("""COMPUTED_VALUE"""),"Traders beating the below reference portfolio return will have 1% additional point reward for BMK, 2% for MONKEY, 2% for Trader X (seperate events)")</f>
        <v>Traders beating the below reference portfolio return will have 1% additional point reward for BMK, 2% for MONKEY, 2% for Trader X (seperate events)</v>
      </c>
      <c r="L17" s="39"/>
      <c r="M17" s="39"/>
      <c r="N17" s="39"/>
      <c r="O17" s="39"/>
      <c r="P17" s="39"/>
      <c r="Q17" s="39"/>
      <c r="R17" s="39"/>
      <c r="S17" s="5"/>
      <c r="T17" s="5"/>
    </row>
    <row r="18">
      <c r="A18" s="28" t="str">
        <f>IFERROR(__xludf.DUMMYFUNCTION("""COMPUTED_VALUE"""),"36196")</f>
        <v>36196</v>
      </c>
      <c r="B18" s="9">
        <f>IFERROR(__xludf.DUMMYFUNCTION("""COMPUTED_VALUE"""),500000.0)</f>
        <v>500000</v>
      </c>
      <c r="C18" s="22">
        <f>IFERROR(__xludf.DUMMYFUNCTION("""COMPUTED_VALUE"""),500000.0)</f>
        <v>500000</v>
      </c>
      <c r="D18" s="22">
        <f>IFERROR(__xludf.DUMMYFUNCTION("""COMPUTED_VALUE"""),0.0)</f>
        <v>0</v>
      </c>
      <c r="E18" s="24">
        <f>IFERROR(__xludf.DUMMYFUNCTION("""COMPUTED_VALUE"""),0.0)</f>
        <v>0</v>
      </c>
      <c r="F18" s="5"/>
      <c r="G18" s="9">
        <f>IFERROR(__xludf.DUMMYFUNCTION("""COMPUTED_VALUE"""),47.0)</f>
        <v>47</v>
      </c>
      <c r="H18" s="26">
        <f>IFERROR(__xludf.DUMMYFUNCTION("""COMPUTED_VALUE"""),0.0)</f>
        <v>0</v>
      </c>
      <c r="I18" s="27" t="str">
        <f>IFERROR(__xludf.DUMMYFUNCTION("""COMPUTED_VALUE"""),"n/a")</f>
        <v>n/a</v>
      </c>
      <c r="J18" s="5"/>
      <c r="K18" s="5"/>
      <c r="L18" s="5"/>
      <c r="M18" s="5"/>
      <c r="N18" s="5" t="str">
        <f>IFERROR(__xludf.DUMMYFUNCTION("""COMPUTED_VALUE"""),"Return")</f>
        <v>Return</v>
      </c>
      <c r="O18" s="5" t="str">
        <f>IFERROR(__xludf.DUMMYFUNCTION("""COMPUTED_VALUE"""),"# of traders beating the portfolio")</f>
        <v># of traders beating the portfolio</v>
      </c>
      <c r="P18" s="5"/>
      <c r="Q18" s="5"/>
      <c r="R18" s="5"/>
      <c r="S18" s="5"/>
      <c r="T18" s="5"/>
    </row>
    <row r="19">
      <c r="A19" s="28" t="str">
        <f>IFERROR(__xludf.DUMMYFUNCTION("""COMPUTED_VALUE"""),"36221")</f>
        <v>36221</v>
      </c>
      <c r="B19" s="9">
        <f>IFERROR(__xludf.DUMMYFUNCTION("""COMPUTED_VALUE"""),410721.29338000005)</f>
        <v>410721.2934</v>
      </c>
      <c r="C19" s="22">
        <f>IFERROR(__xludf.DUMMYFUNCTION("""COMPUTED_VALUE"""),-172344.17796499998)</f>
        <v>-172344.178</v>
      </c>
      <c r="D19" s="22">
        <f>IFERROR(__xludf.DUMMYFUNCTION("""COMPUTED_VALUE"""),172344.17796499998)</f>
        <v>172344.178</v>
      </c>
      <c r="E19" s="24">
        <f>IFERROR(__xludf.DUMMYFUNCTION("""COMPUTED_VALUE"""),-0.17855741323999996)</f>
        <v>-0.1785574132</v>
      </c>
      <c r="F19" s="5"/>
      <c r="G19" s="9">
        <f>IFERROR(__xludf.DUMMYFUNCTION("""COMPUTED_VALUE"""),116.0)</f>
        <v>116</v>
      </c>
      <c r="H19" s="26">
        <f>IFERROR(__xludf.DUMMYFUNCTION("""COMPUTED_VALUE"""),0.056010377129937665)</f>
        <v>0.05601037713</v>
      </c>
      <c r="I19" s="27">
        <f>IFERROR(__xludf.DUMMYFUNCTION("""COMPUTED_VALUE"""),-3.465109853478609)</f>
        <v>-3.465109853</v>
      </c>
      <c r="J19" s="5"/>
      <c r="K19" s="8" t="str">
        <f>IFERROR(__xludf.DUMMYFUNCTION("""COMPUTED_VALUE"""),"Customized Benchmark (BMK) Return:")</f>
        <v>Customized Benchmark (BMK) Return:</v>
      </c>
      <c r="L19" s="40" t="str">
        <f>IFERROR(__xludf.DUMMYFUNCTION("""COMPUTED_VALUE"""),"link to bmk formula")</f>
        <v>link to bmk formula</v>
      </c>
      <c r="M19" s="5"/>
      <c r="N19" s="24">
        <f>IFERROR(__xludf.DUMMYFUNCTION("""COMPUTED_VALUE"""),-0.06117173596474057)</f>
        <v>-0.06117173596</v>
      </c>
      <c r="O19" s="5">
        <f>IFERROR(__xludf.DUMMYFUNCTION("""COMPUTED_VALUE"""),103.0)</f>
        <v>103</v>
      </c>
      <c r="P19" s="13">
        <f>IFERROR(__xludf.DUMMYFUNCTION("""COMPUTED_VALUE"""),0.8728813559322034)</f>
        <v>0.8728813559</v>
      </c>
      <c r="Q19" s="5" t="str">
        <f>IFERROR(__xludf.DUMMYFUNCTION("""COMPUTED_VALUE"""),"of the entire trading floor")</f>
        <v>of the entire trading floor</v>
      </c>
      <c r="R19" s="5"/>
      <c r="S19" s="5"/>
      <c r="T19" s="5"/>
    </row>
    <row r="20">
      <c r="A20" s="28" t="str">
        <f>IFERROR(__xludf.DUMMYFUNCTION("""COMPUTED_VALUE"""),"36242")</f>
        <v>36242</v>
      </c>
      <c r="B20" s="9">
        <f>IFERROR(__xludf.DUMMYFUNCTION("""COMPUTED_VALUE"""),529590.02117)</f>
        <v>529590.0212</v>
      </c>
      <c r="C20" s="22" t="str">
        <f>IFERROR(__xludf.DUMMYFUNCTION("""COMPUTED_VALUE"""),"#N/A")</f>
        <v>#N/A</v>
      </c>
      <c r="D20" s="22" t="str">
        <f>IFERROR(__xludf.DUMMYFUNCTION("""COMPUTED_VALUE"""),"#N/A")</f>
        <v>#N/A</v>
      </c>
      <c r="E20" s="24">
        <f>IFERROR(__xludf.DUMMYFUNCTION("""COMPUTED_VALUE"""),0.05918004233999996)</f>
        <v>0.05918004234</v>
      </c>
      <c r="F20" s="5"/>
      <c r="G20" s="9">
        <f>IFERROR(__xludf.DUMMYFUNCTION("""COMPUTED_VALUE"""),18.0)</f>
        <v>18</v>
      </c>
      <c r="H20" s="26">
        <f>IFERROR(__xludf.DUMMYFUNCTION("""COMPUTED_VALUE"""),0.017177874362657566)</f>
        <v>0.01717787436</v>
      </c>
      <c r="I20" s="27">
        <f>IFERROR(__xludf.DUMMYFUNCTION("""COMPUTED_VALUE"""),3.3673912044523173)</f>
        <v>3.367391204</v>
      </c>
      <c r="J20" s="5"/>
      <c r="K20" s="8" t="str">
        <f>IFERROR(__xludf.DUMMYFUNCTION("""COMPUTED_VALUE"""),"MONKEY's random stock selection return:")</f>
        <v>MONKEY's random stock selection return:</v>
      </c>
      <c r="L20" s="5"/>
      <c r="M20" s="5"/>
      <c r="N20" s="41">
        <f>IFERROR(__xludf.DUMMYFUNCTION("""COMPUTED_VALUE"""),0.024191185533000148)</f>
        <v>0.02419118553</v>
      </c>
      <c r="O20" s="5">
        <f>IFERROR(__xludf.DUMMYFUNCTION("""COMPUTED_VALUE"""),27.0)</f>
        <v>27</v>
      </c>
      <c r="P20" s="13">
        <f>IFERROR(__xludf.DUMMYFUNCTION("""COMPUTED_VALUE"""),0.2288135593220339)</f>
        <v>0.2288135593</v>
      </c>
      <c r="Q20" s="5" t="str">
        <f>IFERROR(__xludf.DUMMYFUNCTION("""COMPUTED_VALUE"""),"of the entire trading floor")</f>
        <v>of the entire trading floor</v>
      </c>
      <c r="R20" s="5"/>
      <c r="S20" s="5"/>
      <c r="T20" s="5"/>
    </row>
    <row r="21">
      <c r="A21" s="28" t="str">
        <f>IFERROR(__xludf.DUMMYFUNCTION("""COMPUTED_VALUE"""),"36252")</f>
        <v>36252</v>
      </c>
      <c r="B21" s="9">
        <f>IFERROR(__xludf.DUMMYFUNCTION("""COMPUTED_VALUE"""),553100.2199280001)</f>
        <v>553100.2199</v>
      </c>
      <c r="C21" s="22">
        <f>IFERROR(__xludf.DUMMYFUNCTION("""COMPUTED_VALUE"""),553015.346158)</f>
        <v>553015.3462</v>
      </c>
      <c r="D21" s="22">
        <f>IFERROR(__xludf.DUMMYFUNCTION("""COMPUTED_VALUE"""),0.0)</f>
        <v>0</v>
      </c>
      <c r="E21" s="24">
        <f>IFERROR(__xludf.DUMMYFUNCTION("""COMPUTED_VALUE"""),0.10620043985600014)</f>
        <v>0.1062004399</v>
      </c>
      <c r="F21" s="5"/>
      <c r="G21" s="9">
        <f>IFERROR(__xludf.DUMMYFUNCTION("""COMPUTED_VALUE"""),12.0)</f>
        <v>12</v>
      </c>
      <c r="H21" s="26">
        <f>IFERROR(__xludf.DUMMYFUNCTION("""COMPUTED_VALUE"""),0.0438528146410986)</f>
        <v>0.04385281464</v>
      </c>
      <c r="I21" s="27">
        <f>IFERROR(__xludf.DUMMYFUNCTION("""COMPUTED_VALUE"""),2.4233536019465407)</f>
        <v>2.423353602</v>
      </c>
      <c r="J21" s="5"/>
      <c r="K21" s="8" t="str">
        <f>IFERROR(__xludf.DUMMYFUNCTION("""COMPUTED_VALUE"""),"Trader X's focus strategy return:")</f>
        <v>Trader X's focus strategy return:</v>
      </c>
      <c r="L21" s="5"/>
      <c r="M21" s="5"/>
      <c r="N21" s="24">
        <f>IFERROR(__xludf.DUMMYFUNCTION("""COMPUTED_VALUE"""),0.23783963092000016)</f>
        <v>0.2378396309</v>
      </c>
      <c r="O21" s="5">
        <f>IFERROR(__xludf.DUMMYFUNCTION("""COMPUTED_VALUE"""),5.0)</f>
        <v>5</v>
      </c>
      <c r="P21" s="13">
        <f>IFERROR(__xludf.DUMMYFUNCTION("""COMPUTED_VALUE"""),0.0423728813559322)</f>
        <v>0.04237288136</v>
      </c>
      <c r="Q21" s="5" t="str">
        <f>IFERROR(__xludf.DUMMYFUNCTION("""COMPUTED_VALUE"""),"of the entire trading floor")</f>
        <v>of the entire trading floor</v>
      </c>
      <c r="R21" s="5"/>
      <c r="S21" s="5"/>
      <c r="T21" s="5"/>
    </row>
    <row r="22">
      <c r="A22" s="28" t="str">
        <f>IFERROR(__xludf.DUMMYFUNCTION("""COMPUTED_VALUE"""),"36460")</f>
        <v>36460</v>
      </c>
      <c r="B22" s="9">
        <f>IFERROR(__xludf.DUMMYFUNCTION("""COMPUTED_VALUE"""),575591.968371)</f>
        <v>575591.9684</v>
      </c>
      <c r="C22" s="22">
        <f>IFERROR(__xludf.DUMMYFUNCTION("""COMPUTED_VALUE"""),542424.2766162499)</f>
        <v>542424.2766</v>
      </c>
      <c r="D22" s="22">
        <f>IFERROR(__xludf.DUMMYFUNCTION("""COMPUTED_VALUE"""),0.0)</f>
        <v>0</v>
      </c>
      <c r="E22" s="24">
        <f>IFERROR(__xludf.DUMMYFUNCTION("""COMPUTED_VALUE"""),0.15118393674200004)</f>
        <v>0.1511839367</v>
      </c>
      <c r="F22" s="5"/>
      <c r="G22" s="9">
        <f>IFERROR(__xludf.DUMMYFUNCTION("""COMPUTED_VALUE"""),9.0)</f>
        <v>9</v>
      </c>
      <c r="H22" s="26">
        <f>IFERROR(__xludf.DUMMYFUNCTION("""COMPUTED_VALUE"""),0.061071228909217394)</f>
        <v>0.06107122891</v>
      </c>
      <c r="I22" s="27">
        <f>IFERROR(__xludf.DUMMYFUNCTION("""COMPUTED_VALUE"""),2.4661599512903933)</f>
        <v>2.466159951</v>
      </c>
      <c r="J22" s="5"/>
      <c r="K22" s="5"/>
      <c r="L22" s="5"/>
      <c r="M22" s="5"/>
      <c r="N22" s="5"/>
      <c r="O22" s="5"/>
      <c r="P22" s="5"/>
      <c r="Q22" s="5"/>
      <c r="R22" s="5"/>
      <c r="S22" s="5"/>
      <c r="T22" s="5"/>
    </row>
    <row r="23">
      <c r="A23" s="28" t="str">
        <f>IFERROR(__xludf.DUMMYFUNCTION("""COMPUTED_VALUE"""),"36560")</f>
        <v>36560</v>
      </c>
      <c r="B23" s="9">
        <f>IFERROR(__xludf.DUMMYFUNCTION("""COMPUTED_VALUE"""),500000.0)</f>
        <v>500000</v>
      </c>
      <c r="C23" s="22">
        <f>IFERROR(__xludf.DUMMYFUNCTION("""COMPUTED_VALUE"""),500000.0)</f>
        <v>500000</v>
      </c>
      <c r="D23" s="22">
        <f>IFERROR(__xludf.DUMMYFUNCTION("""COMPUTED_VALUE"""),0.0)</f>
        <v>0</v>
      </c>
      <c r="E23" s="24">
        <f>IFERROR(__xludf.DUMMYFUNCTION("""COMPUTED_VALUE"""),0.0)</f>
        <v>0</v>
      </c>
      <c r="F23" s="5"/>
      <c r="G23" s="9">
        <f>IFERROR(__xludf.DUMMYFUNCTION("""COMPUTED_VALUE"""),47.0)</f>
        <v>47</v>
      </c>
      <c r="H23" s="26">
        <f>IFERROR(__xludf.DUMMYFUNCTION("""COMPUTED_VALUE"""),0.0)</f>
        <v>0</v>
      </c>
      <c r="I23" s="27" t="str">
        <f>IFERROR(__xludf.DUMMYFUNCTION("""COMPUTED_VALUE"""),"n/a")</f>
        <v>n/a</v>
      </c>
      <c r="J23" s="5"/>
      <c r="K23" s="42" t="str">
        <f>IFERROR(__xludf.DUMMYFUNCTION("""COMPUTED_VALUE"""),"Customized Benchmark Value Date: ")</f>
        <v>Customized Benchmark Value Date: </v>
      </c>
      <c r="L23" s="43">
        <f>IFERROR(__xludf.DUMMYFUNCTION("""COMPUTED_VALUE"""),44664.66666666667)</f>
        <v>44664.66667</v>
      </c>
      <c r="M23" s="44"/>
      <c r="N23" s="44"/>
      <c r="O23" s="5"/>
      <c r="P23" s="5"/>
      <c r="Q23" s="5"/>
      <c r="R23" s="5"/>
      <c r="S23" s="5"/>
      <c r="T23" s="5"/>
    </row>
    <row r="24">
      <c r="A24" s="28" t="str">
        <f>IFERROR(__xludf.DUMMYFUNCTION("""COMPUTED_VALUE"""),"36903")</f>
        <v>36903</v>
      </c>
      <c r="B24" s="9">
        <f>IFERROR(__xludf.DUMMYFUNCTION("""COMPUTED_VALUE"""),467596.80817)</f>
        <v>467596.8082</v>
      </c>
      <c r="C24" s="22">
        <f>IFERROR(__xludf.DUMMYFUNCTION("""COMPUTED_VALUE"""),38871.952074999936)</f>
        <v>38871.95207</v>
      </c>
      <c r="D24" s="22">
        <f>IFERROR(__xludf.DUMMYFUNCTION("""COMPUTED_VALUE"""),0.0)</f>
        <v>0</v>
      </c>
      <c r="E24" s="24">
        <f>IFERROR(__xludf.DUMMYFUNCTION("""COMPUTED_VALUE"""),-0.06480638366000002)</f>
        <v>-0.06480638366</v>
      </c>
      <c r="F24" s="5"/>
      <c r="G24" s="9">
        <f>IFERROR(__xludf.DUMMYFUNCTION("""COMPUTED_VALUE"""),108.0)</f>
        <v>108</v>
      </c>
      <c r="H24" s="26">
        <f>IFERROR(__xludf.DUMMYFUNCTION("""COMPUTED_VALUE"""),0.05484909321926115)</f>
        <v>0.05484909322</v>
      </c>
      <c r="I24" s="27">
        <f>IFERROR(__xludf.DUMMYFUNCTION("""COMPUTED_VALUE"""),-1.4304504268896048)</f>
        <v>-1.430450427</v>
      </c>
      <c r="J24" s="5"/>
      <c r="K24" s="5" t="str">
        <f>IFERROR(__xludf.DUMMYFUNCTION("""COMPUTED_VALUE"""),"(Final score for the relative performance wil be measured at the investment period on April 30th, 2022)")</f>
        <v>(Final score for the relative performance wil be measured at the investment period on April 30th, 2022)</v>
      </c>
      <c r="L24" s="5"/>
      <c r="M24" s="5"/>
      <c r="N24" s="5"/>
      <c r="O24" s="5"/>
      <c r="P24" s="5"/>
      <c r="Q24" s="5"/>
      <c r="R24" s="5"/>
      <c r="S24" s="5"/>
      <c r="T24" s="5"/>
    </row>
    <row r="25">
      <c r="A25" s="28" t="str">
        <f>IFERROR(__xludf.DUMMYFUNCTION("""COMPUTED_VALUE"""),"37198")</f>
        <v>37198</v>
      </c>
      <c r="B25" s="9">
        <f>IFERROR(__xludf.DUMMYFUNCTION("""COMPUTED_VALUE"""),492824.028885)</f>
        <v>492824.0289</v>
      </c>
      <c r="C25" s="22">
        <f>IFERROR(__xludf.DUMMYFUNCTION("""COMPUTED_VALUE"""),364144.72951499996)</f>
        <v>364144.7295</v>
      </c>
      <c r="D25" s="22">
        <f>IFERROR(__xludf.DUMMYFUNCTION("""COMPUTED_VALUE"""),0.0)</f>
        <v>0</v>
      </c>
      <c r="E25" s="24">
        <f>IFERROR(__xludf.DUMMYFUNCTION("""COMPUTED_VALUE"""),-0.014351942230000025)</f>
        <v>-0.01435194223</v>
      </c>
      <c r="F25" s="5"/>
      <c r="G25" s="9">
        <f>IFERROR(__xludf.DUMMYFUNCTION("""COMPUTED_VALUE"""),85.0)</f>
        <v>85</v>
      </c>
      <c r="H25" s="26">
        <f>IFERROR(__xludf.DUMMYFUNCTION("""COMPUTED_VALUE"""),0.005033644947212672)</f>
        <v>0.005033644947</v>
      </c>
      <c r="I25" s="27">
        <f>IFERROR(__xludf.DUMMYFUNCTION("""COMPUTED_VALUE"""),-3.8903134300013518)</f>
        <v>-3.89031343</v>
      </c>
      <c r="J25" s="5"/>
      <c r="K25" s="5"/>
      <c r="L25" s="5"/>
      <c r="M25" s="5"/>
      <c r="N25" s="5"/>
      <c r="O25" s="5"/>
      <c r="P25" s="5"/>
      <c r="Q25" s="5"/>
      <c r="R25" s="5"/>
      <c r="S25" s="5"/>
      <c r="T25" s="5"/>
    </row>
    <row r="26">
      <c r="A26" s="28" t="str">
        <f>IFERROR(__xludf.DUMMYFUNCTION("""COMPUTED_VALUE"""),"37400")</f>
        <v>37400</v>
      </c>
      <c r="B26" s="9">
        <f>IFERROR(__xludf.DUMMYFUNCTION("""COMPUTED_VALUE"""),509274.0515956)</f>
        <v>509274.0516</v>
      </c>
      <c r="C26" s="22">
        <f>IFERROR(__xludf.DUMMYFUNCTION("""COMPUTED_VALUE"""),510489.70426689996)</f>
        <v>510489.7043</v>
      </c>
      <c r="D26" s="22">
        <f>IFERROR(__xludf.DUMMYFUNCTION("""COMPUTED_VALUE"""),0.0)</f>
        <v>0</v>
      </c>
      <c r="E26" s="24">
        <f>IFERROR(__xludf.DUMMYFUNCTION("""COMPUTED_VALUE"""),0.018548103191200038)</f>
        <v>0.01854810319</v>
      </c>
      <c r="F26" s="5"/>
      <c r="G26" s="9">
        <f>IFERROR(__xludf.DUMMYFUNCTION("""COMPUTED_VALUE"""),31.0)</f>
        <v>31</v>
      </c>
      <c r="H26" s="26">
        <f>IFERROR(__xludf.DUMMYFUNCTION("""COMPUTED_VALUE"""),0.022057851519748525)</f>
        <v>0.02205785152</v>
      </c>
      <c r="I26" s="27">
        <f>IFERROR(__xludf.DUMMYFUNCTION("""COMPUTED_VALUE"""),0.8432889441723939)</f>
        <v>0.8432889442</v>
      </c>
      <c r="J26" s="5"/>
      <c r="K26" s="5"/>
      <c r="L26" s="5"/>
      <c r="M26" s="5"/>
      <c r="N26" s="5"/>
      <c r="O26" s="5"/>
      <c r="P26" s="5"/>
      <c r="Q26" s="5"/>
      <c r="R26" s="5"/>
      <c r="S26" s="5"/>
      <c r="T26" s="5"/>
    </row>
    <row r="27">
      <c r="A27" s="28" t="str">
        <f>IFERROR(__xludf.DUMMYFUNCTION("""COMPUTED_VALUE"""),"37568")</f>
        <v>37568</v>
      </c>
      <c r="B27" s="9">
        <f>IFERROR(__xludf.DUMMYFUNCTION("""COMPUTED_VALUE"""),510997.717546)</f>
        <v>510997.7175</v>
      </c>
      <c r="C27" s="22">
        <f>IFERROR(__xludf.DUMMYFUNCTION("""COMPUTED_VALUE"""),-193400.07111100003)</f>
        <v>-193400.0711</v>
      </c>
      <c r="D27" s="22">
        <f>IFERROR(__xludf.DUMMYFUNCTION("""COMPUTED_VALUE"""),193400.07111100003)</f>
        <v>193400.0711</v>
      </c>
      <c r="E27" s="24">
        <f>IFERROR(__xludf.DUMMYFUNCTION("""COMPUTED_VALUE"""),0.02199543509199997)</f>
        <v>0.02199543509</v>
      </c>
      <c r="F27" s="5"/>
      <c r="G27" s="9">
        <f>IFERROR(__xludf.DUMMYFUNCTION("""COMPUTED_VALUE"""),30.0)</f>
        <v>30</v>
      </c>
      <c r="H27" s="26">
        <f>IFERROR(__xludf.DUMMYFUNCTION("""COMPUTED_VALUE"""),2.334076530862242E-4)</f>
        <v>0.0002334076531</v>
      </c>
      <c r="I27" s="27">
        <f>IFERROR(__xludf.DUMMYFUNCTION("""COMPUTED_VALUE"""),-2.1494369758931535)</f>
        <v>-2.149436976</v>
      </c>
      <c r="J27" s="5"/>
      <c r="K27" s="45" t="str">
        <f>IFERROR(__xludf.DUMMYFUNCTION("""COMPUTED_VALUE"""),"Below Traders will get extra bonus point for their performances and investment strategy sharing (keep updating till end of investment period - Apr 30, 2022)")</f>
        <v>Below Traders will get extra bonus point for their performances and investment strategy sharing (keep updating till end of investment period - Apr 30, 2022)</v>
      </c>
      <c r="L27" s="46"/>
      <c r="M27" s="47"/>
      <c r="N27" s="5"/>
      <c r="O27" s="5"/>
      <c r="P27" s="5"/>
      <c r="Q27" s="5"/>
      <c r="R27" s="5"/>
      <c r="S27" s="5"/>
      <c r="T27" s="5"/>
    </row>
    <row r="28">
      <c r="A28" s="28" t="str">
        <f>IFERROR(__xludf.DUMMYFUNCTION("""COMPUTED_VALUE"""),"37649")</f>
        <v>37649</v>
      </c>
      <c r="B28" s="9">
        <f>IFERROR(__xludf.DUMMYFUNCTION("""COMPUTED_VALUE"""),472671.53912499995)</f>
        <v>472671.5391</v>
      </c>
      <c r="C28" s="22">
        <f>IFERROR(__xludf.DUMMYFUNCTION("""COMPUTED_VALUE"""),187212.46415)</f>
        <v>187212.4642</v>
      </c>
      <c r="D28" s="22">
        <f>IFERROR(__xludf.DUMMYFUNCTION("""COMPUTED_VALUE"""),0.0)</f>
        <v>0</v>
      </c>
      <c r="E28" s="24">
        <f>IFERROR(__xludf.DUMMYFUNCTION("""COMPUTED_VALUE"""),-0.05465692175000014)</f>
        <v>-0.05465692175</v>
      </c>
      <c r="F28" s="5"/>
      <c r="G28" s="9">
        <f>IFERROR(__xludf.DUMMYFUNCTION("""COMPUTED_VALUE"""),107.0)</f>
        <v>107</v>
      </c>
      <c r="H28" s="26">
        <f>IFERROR(__xludf.DUMMYFUNCTION("""COMPUTED_VALUE"""),0.015676591721009846)</f>
        <v>0.01567659172</v>
      </c>
      <c r="I28" s="27">
        <f>IFERROR(__xludf.DUMMYFUNCTION("""COMPUTED_VALUE"""),-3.5941068124194637)</f>
        <v>-3.594106812</v>
      </c>
      <c r="J28" s="5"/>
      <c r="K28" s="5"/>
      <c r="L28" s="48" t="str">
        <f>IFERROR(__xludf.DUMMYFUNCTION("""COMPUTED_VALUE"""),"Rank")</f>
        <v>Rank</v>
      </c>
      <c r="M28" s="49" t="str">
        <f>IFERROR(__xludf.DUMMYFUNCTION("""COMPUTED_VALUE"""),"Trader ID")</f>
        <v>Trader ID</v>
      </c>
      <c r="N28" s="49" t="str">
        <f>IFERROR(__xludf.DUMMYFUNCTION("""COMPUTED_VALUE"""),"PnL")</f>
        <v>PnL</v>
      </c>
      <c r="O28" s="50" t="str">
        <f>IFERROR(__xludf.DUMMYFUNCTION("""COMPUTED_VALUE"""),"# of trades executed")</f>
        <v># of trades executed</v>
      </c>
      <c r="P28" s="5"/>
      <c r="Q28" s="5"/>
      <c r="R28" s="5"/>
      <c r="S28" s="5"/>
      <c r="T28" s="5"/>
    </row>
    <row r="29">
      <c r="A29" s="28" t="str">
        <f>IFERROR(__xludf.DUMMYFUNCTION("""COMPUTED_VALUE"""),"37922")</f>
        <v>37922</v>
      </c>
      <c r="B29" s="9">
        <f>IFERROR(__xludf.DUMMYFUNCTION("""COMPUTED_VALUE"""),499983.08450253)</f>
        <v>499983.0845</v>
      </c>
      <c r="C29" s="22">
        <f>IFERROR(__xludf.DUMMYFUNCTION("""COMPUTED_VALUE"""),398348.90211039997)</f>
        <v>398348.9021</v>
      </c>
      <c r="D29" s="22">
        <f>IFERROR(__xludf.DUMMYFUNCTION("""COMPUTED_VALUE"""),0.0)</f>
        <v>0</v>
      </c>
      <c r="E29" s="24">
        <f>IFERROR(__xludf.DUMMYFUNCTION("""COMPUTED_VALUE"""),-3.383099494003172E-5)</f>
        <v>-0.00003383099494</v>
      </c>
      <c r="F29" s="5"/>
      <c r="G29" s="9">
        <f>IFERROR(__xludf.DUMMYFUNCTION("""COMPUTED_VALUE"""),72.0)</f>
        <v>72</v>
      </c>
      <c r="H29" s="26">
        <f>IFERROR(__xludf.DUMMYFUNCTION("""COMPUTED_VALUE"""),9.557446303060423E-5)</f>
        <v>0.00009557446303</v>
      </c>
      <c r="I29" s="27">
        <f>IFERROR(__xludf.DUMMYFUNCTION("""COMPUTED_VALUE"""),0.5109738866587773)</f>
        <v>0.5109738867</v>
      </c>
      <c r="J29" s="5"/>
      <c r="K29" s="5"/>
      <c r="L29" s="51">
        <f>IFERROR(__xludf.DUMMYFUNCTION("""COMPUTED_VALUE"""),118.0)</f>
        <v>118</v>
      </c>
      <c r="M29" s="52" t="str">
        <f>IFERROR(__xludf.DUMMYFUNCTION("""COMPUTED_VALUE"""),"82533")</f>
        <v>82533</v>
      </c>
      <c r="N29" s="53">
        <f>IFERROR(__xludf.DUMMYFUNCTION("""COMPUTED_VALUE"""),-0.24178063875660005)</f>
        <v>-0.2417806388</v>
      </c>
      <c r="O29" s="5">
        <f>IFERROR(__xludf.DUMMYFUNCTION("""COMPUTED_VALUE"""),5.0)</f>
        <v>5</v>
      </c>
      <c r="P29" s="5"/>
      <c r="Q29" s="5"/>
      <c r="R29" s="5"/>
      <c r="S29" s="5"/>
      <c r="T29" s="5"/>
    </row>
    <row r="30">
      <c r="A30" s="28" t="str">
        <f>IFERROR(__xludf.DUMMYFUNCTION("""COMPUTED_VALUE"""),"37934")</f>
        <v>37934</v>
      </c>
      <c r="B30" s="9">
        <f>IFERROR(__xludf.DUMMYFUNCTION("""COMPUTED_VALUE"""),519290.8325)</f>
        <v>519290.8325</v>
      </c>
      <c r="C30" s="22">
        <f>IFERROR(__xludf.DUMMYFUNCTION("""COMPUTED_VALUE"""),201703.76255)</f>
        <v>201703.7626</v>
      </c>
      <c r="D30" s="22">
        <f>IFERROR(__xludf.DUMMYFUNCTION("""COMPUTED_VALUE"""),0.0)</f>
        <v>0</v>
      </c>
      <c r="E30" s="24">
        <f>IFERROR(__xludf.DUMMYFUNCTION("""COMPUTED_VALUE"""),0.03858166499999993)</f>
        <v>0.038581665</v>
      </c>
      <c r="F30" s="5"/>
      <c r="G30" s="9">
        <f>IFERROR(__xludf.DUMMYFUNCTION("""COMPUTED_VALUE"""),25.0)</f>
        <v>25</v>
      </c>
      <c r="H30" s="26">
        <f>IFERROR(__xludf.DUMMYFUNCTION("""COMPUTED_VALUE"""),0.0691737766613003)</f>
        <v>0.06917377666</v>
      </c>
      <c r="I30" s="27">
        <f>IFERROR(__xludf.DUMMYFUNCTION("""COMPUTED_VALUE"""),0.5165757072215957)</f>
        <v>0.5165757072</v>
      </c>
      <c r="J30" s="5"/>
      <c r="K30" s="9"/>
      <c r="L30" s="51">
        <f>IFERROR(__xludf.DUMMYFUNCTION("""COMPUTED_VALUE"""),117.0)</f>
        <v>117</v>
      </c>
      <c r="M30" s="52" t="str">
        <f>IFERROR(__xludf.DUMMYFUNCTION("""COMPUTED_VALUE"""),"39296")</f>
        <v>39296</v>
      </c>
      <c r="N30" s="53">
        <f>IFERROR(__xludf.DUMMYFUNCTION("""COMPUTED_VALUE"""),-0.19352000000000003)</f>
        <v>-0.19352</v>
      </c>
      <c r="O30" s="5">
        <f>IFERROR(__xludf.DUMMYFUNCTION("""COMPUTED_VALUE"""),3.0)</f>
        <v>3</v>
      </c>
      <c r="P30" s="5"/>
      <c r="Q30" s="5"/>
      <c r="R30" s="5"/>
      <c r="S30" s="5"/>
      <c r="T30" s="5"/>
    </row>
    <row r="31">
      <c r="A31" s="28" t="str">
        <f>IFERROR(__xludf.DUMMYFUNCTION("""COMPUTED_VALUE"""),"38063")</f>
        <v>38063</v>
      </c>
      <c r="B31" s="9">
        <f>IFERROR(__xludf.DUMMYFUNCTION("""COMPUTED_VALUE"""),488420.0)</f>
        <v>488420</v>
      </c>
      <c r="C31" s="22">
        <f>IFERROR(__xludf.DUMMYFUNCTION("""COMPUTED_VALUE"""),183370.0)</f>
        <v>183370</v>
      </c>
      <c r="D31" s="22">
        <f>IFERROR(__xludf.DUMMYFUNCTION("""COMPUTED_VALUE"""),0.0)</f>
        <v>0</v>
      </c>
      <c r="E31" s="24">
        <f>IFERROR(__xludf.DUMMYFUNCTION("""COMPUTED_VALUE"""),-0.02315999999999996)</f>
        <v>-0.02316</v>
      </c>
      <c r="F31" s="5"/>
      <c r="G31" s="9">
        <f>IFERROR(__xludf.DUMMYFUNCTION("""COMPUTED_VALUE"""),92.0)</f>
        <v>92</v>
      </c>
      <c r="H31" s="26">
        <f>IFERROR(__xludf.DUMMYFUNCTION("""COMPUTED_VALUE"""),0.0038751685567576933)</f>
        <v>0.003875168557</v>
      </c>
      <c r="I31" s="27">
        <f>IFERROR(__xludf.DUMMYFUNCTION("""COMPUTED_VALUE"""),-5.893937170854298)</f>
        <v>-5.893937171</v>
      </c>
      <c r="J31" s="5"/>
      <c r="K31" s="9"/>
      <c r="L31" s="51">
        <f>IFERROR(__xludf.DUMMYFUNCTION("""COMPUTED_VALUE"""),116.0)</f>
        <v>116</v>
      </c>
      <c r="M31" s="52" t="str">
        <f>IFERROR(__xludf.DUMMYFUNCTION("""COMPUTED_VALUE"""),"36221")</f>
        <v>36221</v>
      </c>
      <c r="N31" s="53">
        <f>IFERROR(__xludf.DUMMYFUNCTION("""COMPUTED_VALUE"""),-0.17855741323999996)</f>
        <v>-0.1785574132</v>
      </c>
      <c r="O31" s="5">
        <f>IFERROR(__xludf.DUMMYFUNCTION("""COMPUTED_VALUE"""),4.0)</f>
        <v>4</v>
      </c>
      <c r="P31" s="5"/>
      <c r="Q31" s="5"/>
      <c r="R31" s="5"/>
      <c r="S31" s="5"/>
      <c r="T31" s="5"/>
    </row>
    <row r="32">
      <c r="A32" s="28" t="str">
        <f>IFERROR(__xludf.DUMMYFUNCTION("""COMPUTED_VALUE"""),"38093")</f>
        <v>38093</v>
      </c>
      <c r="B32" s="9">
        <f>IFERROR(__xludf.DUMMYFUNCTION("""COMPUTED_VALUE"""),503907.5355225)</f>
        <v>503907.5355</v>
      </c>
      <c r="C32" s="22">
        <f>IFERROR(__xludf.DUMMYFUNCTION("""COMPUTED_VALUE"""),12929.666815000084)</f>
        <v>12929.66682</v>
      </c>
      <c r="D32" s="22">
        <f>IFERROR(__xludf.DUMMYFUNCTION("""COMPUTED_VALUE"""),0.0)</f>
        <v>0</v>
      </c>
      <c r="E32" s="24">
        <f>IFERROR(__xludf.DUMMYFUNCTION("""COMPUTED_VALUE"""),0.00781507104500001)</f>
        <v>0.007815071045</v>
      </c>
      <c r="F32" s="5"/>
      <c r="G32" s="9">
        <f>IFERROR(__xludf.DUMMYFUNCTION("""COMPUTED_VALUE"""),36.0)</f>
        <v>36</v>
      </c>
      <c r="H32" s="26">
        <f>IFERROR(__xludf.DUMMYFUNCTION("""COMPUTED_VALUE"""),0.02624944320954566)</f>
        <v>0.02624944321</v>
      </c>
      <c r="I32" s="27">
        <f>IFERROR(__xludf.DUMMYFUNCTION("""COMPUTED_VALUE"""),-0.8072486673658059)</f>
        <v>-0.8072486674</v>
      </c>
      <c r="J32" s="5"/>
      <c r="K32" s="9"/>
      <c r="L32" s="51">
        <f>IFERROR(__xludf.DUMMYFUNCTION("""COMPUTED_VALUE"""),115.0)</f>
        <v>115</v>
      </c>
      <c r="M32" s="52" t="str">
        <f>IFERROR(__xludf.DUMMYFUNCTION("""COMPUTED_VALUE"""),"70628")</f>
        <v>70628</v>
      </c>
      <c r="N32" s="53">
        <f>IFERROR(__xludf.DUMMYFUNCTION("""COMPUTED_VALUE"""),-0.15090332799999995)</f>
        <v>-0.150903328</v>
      </c>
      <c r="O32" s="5">
        <f>IFERROR(__xludf.DUMMYFUNCTION("""COMPUTED_VALUE"""),11.0)</f>
        <v>11</v>
      </c>
      <c r="P32" s="5"/>
      <c r="Q32" s="5"/>
      <c r="R32" s="5"/>
      <c r="S32" s="5"/>
      <c r="T32" s="5"/>
    </row>
    <row r="33">
      <c r="A33" s="28" t="str">
        <f>IFERROR(__xludf.DUMMYFUNCTION("""COMPUTED_VALUE"""),"38105")</f>
        <v>38105</v>
      </c>
      <c r="B33" s="9">
        <f>IFERROR(__xludf.DUMMYFUNCTION("""COMPUTED_VALUE"""),535330.1759585)</f>
        <v>535330.176</v>
      </c>
      <c r="C33" s="22">
        <f>IFERROR(__xludf.DUMMYFUNCTION("""COMPUTED_VALUE"""),-218079.01319650002)</f>
        <v>-218079.0132</v>
      </c>
      <c r="D33" s="22">
        <f>IFERROR(__xludf.DUMMYFUNCTION("""COMPUTED_VALUE"""),218079.01319650002)</f>
        <v>218079.0132</v>
      </c>
      <c r="E33" s="24">
        <f>IFERROR(__xludf.DUMMYFUNCTION("""COMPUTED_VALUE"""),0.07066035191699993)</f>
        <v>0.07066035192</v>
      </c>
      <c r="F33" s="5"/>
      <c r="G33" s="9">
        <f>IFERROR(__xludf.DUMMYFUNCTION("""COMPUTED_VALUE"""),17.0)</f>
        <v>17</v>
      </c>
      <c r="H33" s="26">
        <f>IFERROR(__xludf.DUMMYFUNCTION("""COMPUTED_VALUE"""),0.015860475295494444)</f>
        <v>0.0158604753</v>
      </c>
      <c r="I33" s="27">
        <f>IFERROR(__xludf.DUMMYFUNCTION("""COMPUTED_VALUE"""),4.165855336741987)</f>
        <v>4.165855337</v>
      </c>
      <c r="J33" s="5"/>
      <c r="K33" s="9"/>
      <c r="L33" s="51">
        <f>IFERROR(__xludf.DUMMYFUNCTION("""COMPUTED_VALUE"""),114.0)</f>
        <v>114</v>
      </c>
      <c r="M33" s="52" t="str">
        <f>IFERROR(__xludf.DUMMYFUNCTION("""COMPUTED_VALUE"""),"75415")</f>
        <v>75415</v>
      </c>
      <c r="N33" s="53">
        <f>IFERROR(__xludf.DUMMYFUNCTION("""COMPUTED_VALUE"""),-0.10594614012000003)</f>
        <v>-0.1059461401</v>
      </c>
      <c r="O33" s="5">
        <f>IFERROR(__xludf.DUMMYFUNCTION("""COMPUTED_VALUE"""),8.0)</f>
        <v>8</v>
      </c>
      <c r="P33" s="5"/>
      <c r="Q33" s="5"/>
      <c r="R33" s="5"/>
      <c r="S33" s="5"/>
      <c r="T33" s="5"/>
    </row>
    <row r="34">
      <c r="A34" s="28" t="str">
        <f>IFERROR(__xludf.DUMMYFUNCTION("""COMPUTED_VALUE"""),"38109")</f>
        <v>38109</v>
      </c>
      <c r="B34" s="9">
        <f>IFERROR(__xludf.DUMMYFUNCTION("""COMPUTED_VALUE"""),500000.0)</f>
        <v>500000</v>
      </c>
      <c r="C34" s="22">
        <f>IFERROR(__xludf.DUMMYFUNCTION("""COMPUTED_VALUE"""),26159.285807)</f>
        <v>26159.28581</v>
      </c>
      <c r="D34" s="22">
        <f>IFERROR(__xludf.DUMMYFUNCTION("""COMPUTED_VALUE"""),0.0)</f>
        <v>0</v>
      </c>
      <c r="E34" s="24">
        <f>IFERROR(__xludf.DUMMYFUNCTION("""COMPUTED_VALUE"""),0.0)</f>
        <v>0</v>
      </c>
      <c r="F34" s="5"/>
      <c r="G34" s="9">
        <f>IFERROR(__xludf.DUMMYFUNCTION("""COMPUTED_VALUE"""),47.0)</f>
        <v>47</v>
      </c>
      <c r="H34" s="26">
        <f>IFERROR(__xludf.DUMMYFUNCTION("""COMPUTED_VALUE"""),0.0)</f>
        <v>0</v>
      </c>
      <c r="I34" s="27" t="str">
        <f>IFERROR(__xludf.DUMMYFUNCTION("""COMPUTED_VALUE"""),"n/a")</f>
        <v>n/a</v>
      </c>
      <c r="J34" s="5"/>
      <c r="K34" s="9"/>
      <c r="L34" s="51">
        <f>IFERROR(__xludf.DUMMYFUNCTION("""COMPUTED_VALUE"""),113.0)</f>
        <v>113</v>
      </c>
      <c r="M34" s="52" t="str">
        <f>IFERROR(__xludf.DUMMYFUNCTION("""COMPUTED_VALUE"""),"76975")</f>
        <v>76975</v>
      </c>
      <c r="N34" s="53">
        <f>IFERROR(__xludf.DUMMYFUNCTION("""COMPUTED_VALUE"""),-0.10364241386399997)</f>
        <v>-0.1036424139</v>
      </c>
      <c r="O34" s="5">
        <f>IFERROR(__xludf.DUMMYFUNCTION("""COMPUTED_VALUE"""),6.0)</f>
        <v>6</v>
      </c>
      <c r="P34" s="5"/>
      <c r="Q34" s="5"/>
      <c r="R34" s="5"/>
      <c r="S34" s="5"/>
      <c r="T34" s="5"/>
    </row>
    <row r="35">
      <c r="A35" s="28" t="str">
        <f>IFERROR(__xludf.DUMMYFUNCTION("""COMPUTED_VALUE"""),"38209")</f>
        <v>38209</v>
      </c>
      <c r="B35" s="9">
        <f>IFERROR(__xludf.DUMMYFUNCTION("""COMPUTED_VALUE"""),537467.720094)</f>
        <v>537467.7201</v>
      </c>
      <c r="C35" s="22">
        <f>IFERROR(__xludf.DUMMYFUNCTION("""COMPUTED_VALUE"""),159879.55757149996)</f>
        <v>159879.5576</v>
      </c>
      <c r="D35" s="22">
        <f>IFERROR(__xludf.DUMMYFUNCTION("""COMPUTED_VALUE"""),0.0)</f>
        <v>0</v>
      </c>
      <c r="E35" s="24">
        <f>IFERROR(__xludf.DUMMYFUNCTION("""COMPUTED_VALUE"""),0.07493544018800002)</f>
        <v>0.07493544019</v>
      </c>
      <c r="F35" s="5"/>
      <c r="G35" s="9">
        <f>IFERROR(__xludf.DUMMYFUNCTION("""COMPUTED_VALUE"""),15.0)</f>
        <v>15</v>
      </c>
      <c r="H35" s="26">
        <f>IFERROR(__xludf.DUMMYFUNCTION("""COMPUTED_VALUE"""),0.03302152020191657)</f>
        <v>0.0330215202</v>
      </c>
      <c r="I35" s="27">
        <f>IFERROR(__xludf.DUMMYFUNCTION("""COMPUTED_VALUE"""),2.681818530355249)</f>
        <v>2.68181853</v>
      </c>
      <c r="J35" s="5"/>
      <c r="K35" s="9"/>
      <c r="L35" s="51">
        <f>IFERROR(__xludf.DUMMYFUNCTION("""COMPUTED_VALUE"""),112.0)</f>
        <v>112</v>
      </c>
      <c r="M35" s="52" t="str">
        <f>IFERROR(__xludf.DUMMYFUNCTION("""COMPUTED_VALUE"""),"45962")</f>
        <v>45962</v>
      </c>
      <c r="N35" s="53">
        <f>IFERROR(__xludf.DUMMYFUNCTION("""COMPUTED_VALUE"""),-0.09255999999999998)</f>
        <v>-0.09256</v>
      </c>
      <c r="O35" s="5">
        <f>IFERROR(__xludf.DUMMYFUNCTION("""COMPUTED_VALUE"""),2.0)</f>
        <v>2</v>
      </c>
      <c r="P35" s="5"/>
      <c r="Q35" s="5"/>
      <c r="R35" s="5"/>
      <c r="S35" s="5"/>
      <c r="T35" s="5"/>
    </row>
    <row r="36">
      <c r="A36" s="28" t="str">
        <f>IFERROR(__xludf.DUMMYFUNCTION("""COMPUTED_VALUE"""),"38302")</f>
        <v>38302</v>
      </c>
      <c r="B36" s="9">
        <f>IFERROR(__xludf.DUMMYFUNCTION("""COMPUTED_VALUE"""),523817.94400000013)</f>
        <v>523817.944</v>
      </c>
      <c r="C36" s="22">
        <f>IFERROR(__xludf.DUMMYFUNCTION("""COMPUTED_VALUE"""),-136581.5625)</f>
        <v>-136581.5625</v>
      </c>
      <c r="D36" s="22">
        <f>IFERROR(__xludf.DUMMYFUNCTION("""COMPUTED_VALUE"""),136581.5625)</f>
        <v>136581.5625</v>
      </c>
      <c r="E36" s="24">
        <f>IFERROR(__xludf.DUMMYFUNCTION("""COMPUTED_VALUE"""),0.04763588800000029)</f>
        <v>0.047635888</v>
      </c>
      <c r="F36" s="5"/>
      <c r="G36" s="9">
        <f>IFERROR(__xludf.DUMMYFUNCTION("""COMPUTED_VALUE"""),22.0)</f>
        <v>22</v>
      </c>
      <c r="H36" s="26">
        <f>IFERROR(__xludf.DUMMYFUNCTION("""COMPUTED_VALUE"""),0.15566414552037902)</f>
        <v>0.1556641455</v>
      </c>
      <c r="I36" s="27">
        <f>IFERROR(__xludf.DUMMYFUNCTION("""COMPUTED_VALUE"""),0.12582939336814494)</f>
        <v>0.1258293934</v>
      </c>
      <c r="J36" s="5"/>
      <c r="K36" s="9"/>
      <c r="L36" s="51">
        <f>IFERROR(__xludf.DUMMYFUNCTION("""COMPUTED_VALUE"""),111.0)</f>
        <v>111</v>
      </c>
      <c r="M36" s="52" t="str">
        <f>IFERROR(__xludf.DUMMYFUNCTION("""COMPUTED_VALUE"""),"39494")</f>
        <v>39494</v>
      </c>
      <c r="N36" s="53">
        <f>IFERROR(__xludf.DUMMYFUNCTION("""COMPUTED_VALUE"""),-0.09023300755260011)</f>
        <v>-0.09023300755</v>
      </c>
      <c r="O36" s="5">
        <f>IFERROR(__xludf.DUMMYFUNCTION("""COMPUTED_VALUE"""),5.0)</f>
        <v>5</v>
      </c>
      <c r="P36" s="5"/>
      <c r="Q36" s="5"/>
      <c r="R36" s="5"/>
      <c r="S36" s="5"/>
      <c r="T36" s="5"/>
    </row>
    <row r="37">
      <c r="A37" s="28" t="str">
        <f>IFERROR(__xludf.DUMMYFUNCTION("""COMPUTED_VALUE"""),"38307")</f>
        <v>38307</v>
      </c>
      <c r="B37" s="9">
        <f>IFERROR(__xludf.DUMMYFUNCTION("""COMPUTED_VALUE"""),505310.00784899987)</f>
        <v>505310.0078</v>
      </c>
      <c r="C37" s="22">
        <f>IFERROR(__xludf.DUMMYFUNCTION("""COMPUTED_VALUE"""),172646.79915099996)</f>
        <v>172646.7992</v>
      </c>
      <c r="D37" s="22">
        <f>IFERROR(__xludf.DUMMYFUNCTION("""COMPUTED_VALUE"""),0.0)</f>
        <v>0</v>
      </c>
      <c r="E37" s="24">
        <f>IFERROR(__xludf.DUMMYFUNCTION("""COMPUTED_VALUE"""),0.01062001569799964)</f>
        <v>0.0106200157</v>
      </c>
      <c r="F37" s="5"/>
      <c r="G37" s="9">
        <f>IFERROR(__xludf.DUMMYFUNCTION("""COMPUTED_VALUE"""),33.0)</f>
        <v>33</v>
      </c>
      <c r="H37" s="26">
        <f>IFERROR(__xludf.DUMMYFUNCTION("""COMPUTED_VALUE"""),0.025930573744540837)</f>
        <v>0.02593057374</v>
      </c>
      <c r="I37" s="27">
        <f>IFERROR(__xludf.DUMMYFUNCTION("""COMPUTED_VALUE"""),0.6193076844426072)</f>
        <v>0.6193076844</v>
      </c>
      <c r="J37" s="5"/>
      <c r="K37" s="9"/>
      <c r="L37" s="51">
        <f>IFERROR(__xludf.DUMMYFUNCTION("""COMPUTED_VALUE"""),110.0)</f>
        <v>110</v>
      </c>
      <c r="M37" s="52" t="str">
        <f>IFERROR(__xludf.DUMMYFUNCTION("""COMPUTED_VALUE"""),"40105")</f>
        <v>40105</v>
      </c>
      <c r="N37" s="53">
        <f>IFERROR(__xludf.DUMMYFUNCTION("""COMPUTED_VALUE"""),-0.07664725977999987)</f>
        <v>-0.07664725978</v>
      </c>
      <c r="O37" s="5">
        <f>IFERROR(__xludf.DUMMYFUNCTION("""COMPUTED_VALUE"""),14.0)</f>
        <v>14</v>
      </c>
      <c r="P37" s="5"/>
      <c r="Q37" s="5"/>
      <c r="R37" s="5"/>
      <c r="S37" s="5"/>
      <c r="T37" s="5"/>
    </row>
    <row r="38">
      <c r="A38" s="28" t="str">
        <f>IFERROR(__xludf.DUMMYFUNCTION("""COMPUTED_VALUE"""),"38369")</f>
        <v>38369</v>
      </c>
      <c r="B38" s="9">
        <f>IFERROR(__xludf.DUMMYFUNCTION("""COMPUTED_VALUE"""),500000.0)</f>
        <v>500000</v>
      </c>
      <c r="C38" s="22">
        <f>IFERROR(__xludf.DUMMYFUNCTION("""COMPUTED_VALUE"""),500000.0)</f>
        <v>500000</v>
      </c>
      <c r="D38" s="22">
        <f>IFERROR(__xludf.DUMMYFUNCTION("""COMPUTED_VALUE"""),0.0)</f>
        <v>0</v>
      </c>
      <c r="E38" s="24">
        <f>IFERROR(__xludf.DUMMYFUNCTION("""COMPUTED_VALUE"""),0.0)</f>
        <v>0</v>
      </c>
      <c r="F38" s="5"/>
      <c r="G38" s="9">
        <f>IFERROR(__xludf.DUMMYFUNCTION("""COMPUTED_VALUE"""),47.0)</f>
        <v>47</v>
      </c>
      <c r="H38" s="26">
        <f>IFERROR(__xludf.DUMMYFUNCTION("""COMPUTED_VALUE"""),0.0)</f>
        <v>0</v>
      </c>
      <c r="I38" s="27" t="str">
        <f>IFERROR(__xludf.DUMMYFUNCTION("""COMPUTED_VALUE"""),"n/a")</f>
        <v>n/a</v>
      </c>
      <c r="J38" s="5"/>
      <c r="K38" s="9"/>
      <c r="L38" s="51">
        <f>IFERROR(__xludf.DUMMYFUNCTION("""COMPUTED_VALUE"""),109.0)</f>
        <v>109</v>
      </c>
      <c r="M38" s="52" t="str">
        <f>IFERROR(__xludf.DUMMYFUNCTION("""COMPUTED_VALUE"""),"75369")</f>
        <v>75369</v>
      </c>
      <c r="N38" s="53">
        <f>IFERROR(__xludf.DUMMYFUNCTION("""COMPUTED_VALUE"""),-0.07657338850000017)</f>
        <v>-0.0765733885</v>
      </c>
      <c r="O38" s="5">
        <f>IFERROR(__xludf.DUMMYFUNCTION("""COMPUTED_VALUE"""),22.0)</f>
        <v>22</v>
      </c>
      <c r="P38" s="5"/>
      <c r="Q38" s="5"/>
      <c r="R38" s="5"/>
      <c r="S38" s="5"/>
      <c r="T38" s="5"/>
    </row>
    <row r="39">
      <c r="A39" s="28" t="str">
        <f>IFERROR(__xludf.DUMMYFUNCTION("""COMPUTED_VALUE"""),"38381")</f>
        <v>38381</v>
      </c>
      <c r="B39" s="9">
        <f>IFERROR(__xludf.DUMMYFUNCTION("""COMPUTED_VALUE"""),547679.724215)</f>
        <v>547679.7242</v>
      </c>
      <c r="C39" s="22">
        <f>IFERROR(__xludf.DUMMYFUNCTION("""COMPUTED_VALUE"""),56429.477225000024)</f>
        <v>56429.47723</v>
      </c>
      <c r="D39" s="22">
        <f>IFERROR(__xludf.DUMMYFUNCTION("""COMPUTED_VALUE"""),0.0)</f>
        <v>0</v>
      </c>
      <c r="E39" s="24">
        <f>IFERROR(__xludf.DUMMYFUNCTION("""COMPUTED_VALUE"""),0.09535944843000022)</f>
        <v>0.09535944843</v>
      </c>
      <c r="F39" s="5"/>
      <c r="G39" s="9">
        <f>IFERROR(__xludf.DUMMYFUNCTION("""COMPUTED_VALUE"""),13.0)</f>
        <v>13</v>
      </c>
      <c r="H39" s="26">
        <f>IFERROR(__xludf.DUMMYFUNCTION("""COMPUTED_VALUE"""),0.05489990908020286)</f>
        <v>0.05489990908</v>
      </c>
      <c r="I39" s="27">
        <f>IFERROR(__xludf.DUMMYFUNCTION("""COMPUTED_VALUE"""),1.6212115296944136)</f>
        <v>1.62121153</v>
      </c>
      <c r="J39" s="5"/>
      <c r="K39" s="5"/>
      <c r="L39" s="54"/>
      <c r="M39" s="3"/>
      <c r="N39" s="35"/>
      <c r="O39" s="5"/>
      <c r="P39" s="5"/>
      <c r="Q39" s="5" t="str">
        <f>IFERROR(__xludf.DUMMYFUNCTION("""COMPUTED_VALUE"""),"Rtn/ Stdev")</f>
        <v>Rtn/ Stdev</v>
      </c>
      <c r="R39" s="5"/>
      <c r="S39" s="5"/>
      <c r="T39" s="5"/>
    </row>
    <row r="40">
      <c r="A40" s="28" t="str">
        <f>IFERROR(__xludf.DUMMYFUNCTION("""COMPUTED_VALUE"""),"38705")</f>
        <v>38705</v>
      </c>
      <c r="B40" s="9">
        <f>IFERROR(__xludf.DUMMYFUNCTION("""COMPUTED_VALUE"""),493764.26180499996)</f>
        <v>493764.2618</v>
      </c>
      <c r="C40" s="22">
        <f>IFERROR(__xludf.DUMMYFUNCTION("""COMPUTED_VALUE"""),-65881.3906924999)</f>
        <v>-65881.39069</v>
      </c>
      <c r="D40" s="22">
        <f>IFERROR(__xludf.DUMMYFUNCTION("""COMPUTED_VALUE"""),65881.3906924999)</f>
        <v>65881.39069</v>
      </c>
      <c r="E40" s="24">
        <f>IFERROR(__xludf.DUMMYFUNCTION("""COMPUTED_VALUE"""),-0.012471476390000125)</f>
        <v>-0.01247147639</v>
      </c>
      <c r="F40" s="5"/>
      <c r="G40" s="9">
        <f>IFERROR(__xludf.DUMMYFUNCTION("""COMPUTED_VALUE"""),84.0)</f>
        <v>84</v>
      </c>
      <c r="H40" s="26">
        <f>IFERROR(__xludf.DUMMYFUNCTION("""COMPUTED_VALUE"""),0.01222948478710973)</f>
        <v>0.01222948479</v>
      </c>
      <c r="I40" s="27">
        <f>IFERROR(__xludf.DUMMYFUNCTION("""COMPUTED_VALUE"""),-1.1983821996693944)</f>
        <v>-1.1983822</v>
      </c>
      <c r="J40" s="5"/>
      <c r="K40" s="5"/>
      <c r="L40" s="55">
        <f>IFERROR(__xludf.DUMMYFUNCTION("""COMPUTED_VALUE"""),1.0)</f>
        <v>1</v>
      </c>
      <c r="M40" s="56" t="str">
        <f>IFERROR(__xludf.DUMMYFUNCTION("""COMPUTED_VALUE"""),"89750")</f>
        <v>89750</v>
      </c>
      <c r="N40" s="57">
        <f>IFERROR(__xludf.DUMMYFUNCTION("""COMPUTED_VALUE"""),1.291439972908)</f>
        <v>1.291439973</v>
      </c>
      <c r="O40" s="5">
        <f>IFERROR(__xludf.DUMMYFUNCTION("""COMPUTED_VALUE"""),80.0)</f>
        <v>80</v>
      </c>
      <c r="P40" s="5"/>
      <c r="Q40" s="31">
        <f>IFERROR(__xludf.DUMMYFUNCTION("""COMPUTED_VALUE"""),3.885550539181247)</f>
        <v>3.885550539</v>
      </c>
      <c r="R40" s="5"/>
      <c r="S40" s="5"/>
      <c r="T40" s="5"/>
    </row>
    <row r="41">
      <c r="A41" s="28" t="str">
        <f>IFERROR(__xludf.DUMMYFUNCTION("""COMPUTED_VALUE"""),"38758")</f>
        <v>38758</v>
      </c>
      <c r="B41" s="9">
        <f>IFERROR(__xludf.DUMMYFUNCTION("""COMPUTED_VALUE"""),494736.911485)</f>
        <v>494736.9115</v>
      </c>
      <c r="C41" s="22">
        <f>IFERROR(__xludf.DUMMYFUNCTION("""COMPUTED_VALUE"""),317104.31831999996)</f>
        <v>317104.3183</v>
      </c>
      <c r="D41" s="22">
        <f>IFERROR(__xludf.DUMMYFUNCTION("""COMPUTED_VALUE"""),0.0)</f>
        <v>0</v>
      </c>
      <c r="E41" s="24">
        <f>IFERROR(__xludf.DUMMYFUNCTION("""COMPUTED_VALUE"""),-0.010526177030000028)</f>
        <v>-0.01052617703</v>
      </c>
      <c r="F41" s="5"/>
      <c r="G41" s="9">
        <f>IFERROR(__xludf.DUMMYFUNCTION("""COMPUTED_VALUE"""),83.0)</f>
        <v>83</v>
      </c>
      <c r="H41" s="26">
        <f>IFERROR(__xludf.DUMMYFUNCTION("""COMPUTED_VALUE"""),0.004572398903074962)</f>
        <v>0.004572398903</v>
      </c>
      <c r="I41" s="27">
        <f>IFERROR(__xludf.DUMMYFUNCTION("""COMPUTED_VALUE"""),-2.3613348898187616)</f>
        <v>-2.36133489</v>
      </c>
      <c r="J41" s="5"/>
      <c r="K41" s="9"/>
      <c r="L41" s="55">
        <f>IFERROR(__xludf.DUMMYFUNCTION("""COMPUTED_VALUE"""),2.0)</f>
        <v>2</v>
      </c>
      <c r="M41" s="56" t="str">
        <f>IFERROR(__xludf.DUMMYFUNCTION("""COMPUTED_VALUE"""),"45969")</f>
        <v>45969</v>
      </c>
      <c r="N41" s="57">
        <f>IFERROR(__xludf.DUMMYFUNCTION("""COMPUTED_VALUE"""),0.6393755484499997)</f>
        <v>0.6393755485</v>
      </c>
      <c r="O41" s="5">
        <f>IFERROR(__xludf.DUMMYFUNCTION("""COMPUTED_VALUE"""),8.0)</f>
        <v>8</v>
      </c>
      <c r="P41" s="5"/>
      <c r="Q41" s="31">
        <f>IFERROR(__xludf.DUMMYFUNCTION("""COMPUTED_VALUE"""),2.978871321298779)</f>
        <v>2.978871321</v>
      </c>
      <c r="R41" s="5"/>
      <c r="S41" s="5"/>
      <c r="T41" s="5"/>
    </row>
    <row r="42">
      <c r="A42" s="28" t="str">
        <f>IFERROR(__xludf.DUMMYFUNCTION("""COMPUTED_VALUE"""),"39011")</f>
        <v>39011</v>
      </c>
      <c r="B42" s="9">
        <f>IFERROR(__xludf.DUMMYFUNCTION("""COMPUTED_VALUE"""),488086.316)</f>
        <v>488086.316</v>
      </c>
      <c r="C42" s="22">
        <f>IFERROR(__xludf.DUMMYFUNCTION("""COMPUTED_VALUE"""),240250.337)</f>
        <v>240250.337</v>
      </c>
      <c r="D42" s="22">
        <f>IFERROR(__xludf.DUMMYFUNCTION("""COMPUTED_VALUE"""),0.0)</f>
        <v>0</v>
      </c>
      <c r="E42" s="24">
        <f>IFERROR(__xludf.DUMMYFUNCTION("""COMPUTED_VALUE"""),-0.02382736800000007)</f>
        <v>-0.023827368</v>
      </c>
      <c r="F42" s="5"/>
      <c r="G42" s="9">
        <f>IFERROR(__xludf.DUMMYFUNCTION("""COMPUTED_VALUE"""),93.0)</f>
        <v>93</v>
      </c>
      <c r="H42" s="26">
        <f>IFERROR(__xludf.DUMMYFUNCTION("""COMPUTED_VALUE"""),7.660463971140057E-4)</f>
        <v>0.0007660463971</v>
      </c>
      <c r="I42" s="27">
        <f>IFERROR(__xludf.DUMMYFUNCTION("""COMPUTED_VALUE"""),8.18535277187245)</f>
        <v>8.185352772</v>
      </c>
      <c r="J42" s="5"/>
      <c r="K42" s="9"/>
      <c r="L42" s="55">
        <f>IFERROR(__xludf.DUMMYFUNCTION("""COMPUTED_VALUE"""),3.0)</f>
        <v>3</v>
      </c>
      <c r="M42" s="56" t="str">
        <f>IFERROR(__xludf.DUMMYFUNCTION("""COMPUTED_VALUE"""),"75965")</f>
        <v>75965</v>
      </c>
      <c r="N42" s="57">
        <f>IFERROR(__xludf.DUMMYFUNCTION("""COMPUTED_VALUE"""),0.36827603102499995)</f>
        <v>0.368276031</v>
      </c>
      <c r="O42" s="5">
        <f>IFERROR(__xludf.DUMMYFUNCTION("""COMPUTED_VALUE"""),19.0)</f>
        <v>19</v>
      </c>
      <c r="P42" s="5"/>
      <c r="Q42" s="31">
        <f>IFERROR(__xludf.DUMMYFUNCTION("""COMPUTED_VALUE"""),2.293139860023982)</f>
        <v>2.29313986</v>
      </c>
      <c r="R42" s="5"/>
      <c r="S42" s="5"/>
      <c r="T42" s="5"/>
    </row>
    <row r="43">
      <c r="A43" s="28" t="str">
        <f>IFERROR(__xludf.DUMMYFUNCTION("""COMPUTED_VALUE"""),"39296")</f>
        <v>39296</v>
      </c>
      <c r="B43" s="9">
        <f>IFERROR(__xludf.DUMMYFUNCTION("""COMPUTED_VALUE"""),403240.0)</f>
        <v>403240</v>
      </c>
      <c r="C43" s="22">
        <f>IFERROR(__xludf.DUMMYFUNCTION("""COMPUTED_VALUE"""),48320.0)</f>
        <v>48320</v>
      </c>
      <c r="D43" s="22">
        <f>IFERROR(__xludf.DUMMYFUNCTION("""COMPUTED_VALUE"""),0.0)</f>
        <v>0</v>
      </c>
      <c r="E43" s="24">
        <f>IFERROR(__xludf.DUMMYFUNCTION("""COMPUTED_VALUE"""),-0.19352000000000003)</f>
        <v>-0.19352</v>
      </c>
      <c r="F43" s="5"/>
      <c r="G43" s="9">
        <f>IFERROR(__xludf.DUMMYFUNCTION("""COMPUTED_VALUE"""),117.0)</f>
        <v>117</v>
      </c>
      <c r="H43" s="26">
        <f>IFERROR(__xludf.DUMMYFUNCTION("""COMPUTED_VALUE"""),0.09095421807888308)</f>
        <v>0.09095421808</v>
      </c>
      <c r="I43" s="27">
        <f>IFERROR(__xludf.DUMMYFUNCTION("""COMPUTED_VALUE"""),-2.278069169043913)</f>
        <v>-2.278069169</v>
      </c>
      <c r="J43" s="5"/>
      <c r="K43" s="9"/>
      <c r="L43" s="55">
        <f>IFERROR(__xludf.DUMMYFUNCTION("""COMPUTED_VALUE"""),4.0)</f>
        <v>4</v>
      </c>
      <c r="M43" s="56" t="str">
        <f>IFERROR(__xludf.DUMMYFUNCTION("""COMPUTED_VALUE"""),"39857")</f>
        <v>39857</v>
      </c>
      <c r="N43" s="57">
        <f>IFERROR(__xludf.DUMMYFUNCTION("""COMPUTED_VALUE"""),0.2850161605507999)</f>
        <v>0.2850161606</v>
      </c>
      <c r="O43" s="5">
        <f>IFERROR(__xludf.DUMMYFUNCTION("""COMPUTED_VALUE"""),19.0)</f>
        <v>19</v>
      </c>
      <c r="P43" s="5"/>
      <c r="Q43" s="31">
        <f>IFERROR(__xludf.DUMMYFUNCTION("""COMPUTED_VALUE"""),2.4170556754876342)</f>
        <v>2.417055675</v>
      </c>
      <c r="R43" s="5"/>
      <c r="S43" s="5"/>
      <c r="T43" s="5"/>
    </row>
    <row r="44">
      <c r="A44" s="28" t="str">
        <f>IFERROR(__xludf.DUMMYFUNCTION("""COMPUTED_VALUE"""),"39302")</f>
        <v>39302</v>
      </c>
      <c r="B44" s="9">
        <f>IFERROR(__xludf.DUMMYFUNCTION("""COMPUTED_VALUE"""),596178.1752370001)</f>
        <v>596178.1752</v>
      </c>
      <c r="C44" s="22">
        <f>IFERROR(__xludf.DUMMYFUNCTION("""COMPUTED_VALUE"""),595540.2666719998)</f>
        <v>595540.2667</v>
      </c>
      <c r="D44" s="22">
        <f>IFERROR(__xludf.DUMMYFUNCTION("""COMPUTED_VALUE"""),0.0)</f>
        <v>0</v>
      </c>
      <c r="E44" s="24">
        <f>IFERROR(__xludf.DUMMYFUNCTION("""COMPUTED_VALUE"""),0.19235635047400024)</f>
        <v>0.1923563505</v>
      </c>
      <c r="F44" s="5"/>
      <c r="G44" s="9">
        <f>IFERROR(__xludf.DUMMYFUNCTION("""COMPUTED_VALUE"""),7.0)</f>
        <v>7</v>
      </c>
      <c r="H44" s="26">
        <f>IFERROR(__xludf.DUMMYFUNCTION("""COMPUTED_VALUE"""),0.03735230510921498)</f>
        <v>0.03735230511</v>
      </c>
      <c r="I44" s="27">
        <f>IFERROR(__xludf.DUMMYFUNCTION("""COMPUTED_VALUE"""),5.15341961282361)</f>
        <v>5.153419613</v>
      </c>
      <c r="J44" s="5"/>
      <c r="K44" s="9"/>
      <c r="L44" s="55">
        <f>IFERROR(__xludf.DUMMYFUNCTION("""COMPUTED_VALUE"""),5.0)</f>
        <v>5</v>
      </c>
      <c r="M44" s="56" t="str">
        <f>IFERROR(__xludf.DUMMYFUNCTION("""COMPUTED_VALUE"""),"46876")</f>
        <v>46876</v>
      </c>
      <c r="N44" s="57">
        <f>IFERROR(__xludf.DUMMYFUNCTION("""COMPUTED_VALUE"""),0.2802)</f>
        <v>0.2802</v>
      </c>
      <c r="O44" s="5">
        <f>IFERROR(__xludf.DUMMYFUNCTION("""COMPUTED_VALUE"""),3.0)</f>
        <v>3</v>
      </c>
      <c r="P44" s="5"/>
      <c r="Q44" s="31">
        <f>IFERROR(__xludf.DUMMYFUNCTION("""COMPUTED_VALUE"""),3.9844010536953065)</f>
        <v>3.984401054</v>
      </c>
      <c r="R44" s="5"/>
      <c r="S44" s="5"/>
      <c r="T44" s="5"/>
    </row>
    <row r="45">
      <c r="A45" s="28" t="str">
        <f>IFERROR(__xludf.DUMMYFUNCTION("""COMPUTED_VALUE"""),"39441")</f>
        <v>39441</v>
      </c>
      <c r="B45" s="9">
        <f>IFERROR(__xludf.DUMMYFUNCTION("""COMPUTED_VALUE"""),519166.98219875013)</f>
        <v>519166.9822</v>
      </c>
      <c r="C45" s="22">
        <f>IFERROR(__xludf.DUMMYFUNCTION("""COMPUTED_VALUE"""),415813.13846625003)</f>
        <v>415813.1385</v>
      </c>
      <c r="D45" s="22">
        <f>IFERROR(__xludf.DUMMYFUNCTION("""COMPUTED_VALUE"""),0.0)</f>
        <v>0</v>
      </c>
      <c r="E45" s="24">
        <f>IFERROR(__xludf.DUMMYFUNCTION("""COMPUTED_VALUE"""),0.03833396439750025)</f>
        <v>0.0383339644</v>
      </c>
      <c r="F45" s="5"/>
      <c r="G45" s="9">
        <f>IFERROR(__xludf.DUMMYFUNCTION("""COMPUTED_VALUE"""),26.0)</f>
        <v>26</v>
      </c>
      <c r="H45" s="26">
        <f>IFERROR(__xludf.DUMMYFUNCTION("""COMPUTED_VALUE"""),0.017124635929810603)</f>
        <v>0.01712463593</v>
      </c>
      <c r="I45" s="27">
        <f>IFERROR(__xludf.DUMMYFUNCTION("""COMPUTED_VALUE"""),2.2391137785446675)</f>
        <v>2.239113779</v>
      </c>
      <c r="J45" s="5"/>
      <c r="K45" s="9"/>
      <c r="L45" s="55">
        <f>IFERROR(__xludf.DUMMYFUNCTION("""COMPUTED_VALUE"""),6.0)</f>
        <v>6</v>
      </c>
      <c r="M45" s="56" t="str">
        <f>IFERROR(__xludf.DUMMYFUNCTION("""COMPUTED_VALUE"""),"TraderX")</f>
        <v>TraderX</v>
      </c>
      <c r="N45" s="57">
        <f>IFERROR(__xludf.DUMMYFUNCTION("""COMPUTED_VALUE"""),0.23783963092000016)</f>
        <v>0.2378396309</v>
      </c>
      <c r="O45" s="5">
        <f>IFERROR(__xludf.DUMMYFUNCTION("""COMPUTED_VALUE"""),37.0)</f>
        <v>37</v>
      </c>
      <c r="P45" s="5"/>
      <c r="Q45" s="31">
        <f>IFERROR(__xludf.DUMMYFUNCTION("""COMPUTED_VALUE"""),6.781574789444472)</f>
        <v>6.781574789</v>
      </c>
      <c r="R45" s="5"/>
      <c r="S45" s="5"/>
      <c r="T45" s="5"/>
    </row>
    <row r="46">
      <c r="A46" s="28" t="str">
        <f>IFERROR(__xludf.DUMMYFUNCTION("""COMPUTED_VALUE"""),"39494")</f>
        <v>39494</v>
      </c>
      <c r="B46" s="9">
        <f>IFERROR(__xludf.DUMMYFUNCTION("""COMPUTED_VALUE"""),454883.49622369994)</f>
        <v>454883.4962</v>
      </c>
      <c r="C46" s="22">
        <f>IFERROR(__xludf.DUMMYFUNCTION("""COMPUTED_VALUE"""),151407.21530699998)</f>
        <v>151407.2153</v>
      </c>
      <c r="D46" s="22">
        <f>IFERROR(__xludf.DUMMYFUNCTION("""COMPUTED_VALUE"""),0.0)</f>
        <v>0</v>
      </c>
      <c r="E46" s="24">
        <f>IFERROR(__xludf.DUMMYFUNCTION("""COMPUTED_VALUE"""),-0.09023300755260011)</f>
        <v>-0.09023300755</v>
      </c>
      <c r="F46" s="5"/>
      <c r="G46" s="9">
        <f>IFERROR(__xludf.DUMMYFUNCTION("""COMPUTED_VALUE"""),111.0)</f>
        <v>111</v>
      </c>
      <c r="H46" s="26">
        <f>IFERROR(__xludf.DUMMYFUNCTION("""COMPUTED_VALUE"""),0.03877924596812079)</f>
        <v>0.03877924597</v>
      </c>
      <c r="I46" s="27">
        <f>IFERROR(__xludf.DUMMYFUNCTION("""COMPUTED_VALUE"""),-2.680831856897444)</f>
        <v>-2.680831857</v>
      </c>
      <c r="J46" s="5"/>
      <c r="K46" s="9"/>
      <c r="L46" s="55">
        <f>IFERROR(__xludf.DUMMYFUNCTION("""COMPUTED_VALUE"""),7.0)</f>
        <v>7</v>
      </c>
      <c r="M46" s="56" t="str">
        <f>IFERROR(__xludf.DUMMYFUNCTION("""COMPUTED_VALUE"""),"39302")</f>
        <v>39302</v>
      </c>
      <c r="N46" s="57">
        <f>IFERROR(__xludf.DUMMYFUNCTION("""COMPUTED_VALUE"""),0.19235635047400024)</f>
        <v>0.1923563505</v>
      </c>
      <c r="O46" s="5">
        <f>IFERROR(__xludf.DUMMYFUNCTION("""COMPUTED_VALUE"""),21.0)</f>
        <v>21</v>
      </c>
      <c r="P46" s="5"/>
      <c r="Q46" s="31">
        <f>IFERROR(__xludf.DUMMYFUNCTION("""COMPUTED_VALUE"""),5.15341961282361)</f>
        <v>5.153419613</v>
      </c>
      <c r="R46" s="5"/>
      <c r="S46" s="5"/>
      <c r="T46" s="5"/>
    </row>
    <row r="47">
      <c r="A47" s="28" t="str">
        <f>IFERROR(__xludf.DUMMYFUNCTION("""COMPUTED_VALUE"""),"39563")</f>
        <v>39563</v>
      </c>
      <c r="B47" s="9">
        <f>IFERROR(__xludf.DUMMYFUNCTION("""COMPUTED_VALUE"""),492150.0)</f>
        <v>492150</v>
      </c>
      <c r="C47" s="22">
        <f>IFERROR(__xludf.DUMMYFUNCTION("""COMPUTED_VALUE"""),492150.0)</f>
        <v>492150</v>
      </c>
      <c r="D47" s="22">
        <f>IFERROR(__xludf.DUMMYFUNCTION("""COMPUTED_VALUE"""),0.0)</f>
        <v>0</v>
      </c>
      <c r="E47" s="24">
        <f>IFERROR(__xludf.DUMMYFUNCTION("""COMPUTED_VALUE"""),-0.015700000000000047)</f>
        <v>-0.0157</v>
      </c>
      <c r="F47" s="5"/>
      <c r="G47" s="9">
        <f>IFERROR(__xludf.DUMMYFUNCTION("""COMPUTED_VALUE"""),87.0)</f>
        <v>87</v>
      </c>
      <c r="H47" s="26">
        <f>IFERROR(__xludf.DUMMYFUNCTION("""COMPUTED_VALUE"""),0.004179034381075258)</f>
        <v>0.004179034381</v>
      </c>
      <c r="I47" s="27">
        <f>IFERROR(__xludf.DUMMYFUNCTION("""COMPUTED_VALUE"""),-3.7568487282845626)</f>
        <v>-3.756848728</v>
      </c>
      <c r="J47" s="5"/>
      <c r="K47" s="9"/>
      <c r="L47" s="55">
        <f>IFERROR(__xludf.DUMMYFUNCTION("""COMPUTED_VALUE"""),8.0)</f>
        <v>8</v>
      </c>
      <c r="M47" s="56" t="str">
        <f>IFERROR(__xludf.DUMMYFUNCTION("""COMPUTED_VALUE"""),"79521")</f>
        <v>79521</v>
      </c>
      <c r="N47" s="57">
        <f>IFERROR(__xludf.DUMMYFUNCTION("""COMPUTED_VALUE"""),0.19176838491000026)</f>
        <v>0.1917683849</v>
      </c>
      <c r="O47" s="5">
        <f>IFERROR(__xludf.DUMMYFUNCTION("""COMPUTED_VALUE"""),22.0)</f>
        <v>22</v>
      </c>
      <c r="P47" s="5"/>
      <c r="Q47" s="31">
        <f>IFERROR(__xludf.DUMMYFUNCTION("""COMPUTED_VALUE"""),2.2720065916686214)</f>
        <v>2.272006592</v>
      </c>
      <c r="R47" s="5"/>
      <c r="S47" s="5"/>
      <c r="T47" s="5"/>
    </row>
    <row r="48">
      <c r="A48" s="28" t="str">
        <f>IFERROR(__xludf.DUMMYFUNCTION("""COMPUTED_VALUE"""),"39608")</f>
        <v>39608</v>
      </c>
      <c r="B48" s="9">
        <f>IFERROR(__xludf.DUMMYFUNCTION("""COMPUTED_VALUE"""),542670.6293556)</f>
        <v>542670.6294</v>
      </c>
      <c r="C48" s="22">
        <f>IFERROR(__xludf.DUMMYFUNCTION("""COMPUTED_VALUE"""),354580.8733919)</f>
        <v>354580.8734</v>
      </c>
      <c r="D48" s="22">
        <f>IFERROR(__xludf.DUMMYFUNCTION("""COMPUTED_VALUE"""),0.0)</f>
        <v>0</v>
      </c>
      <c r="E48" s="24">
        <f>IFERROR(__xludf.DUMMYFUNCTION("""COMPUTED_VALUE"""),0.08534125871119991)</f>
        <v>0.08534125871</v>
      </c>
      <c r="F48" s="5"/>
      <c r="G48" s="9">
        <f>IFERROR(__xludf.DUMMYFUNCTION("""COMPUTED_VALUE"""),14.0)</f>
        <v>14</v>
      </c>
      <c r="H48" s="26">
        <f>IFERROR(__xludf.DUMMYFUNCTION("""COMPUTED_VALUE"""),0.03209987295147203)</f>
        <v>0.03209987295</v>
      </c>
      <c r="I48" s="27">
        <f>IFERROR(__xludf.DUMMYFUNCTION("""COMPUTED_VALUE"""),2.4974412512471895)</f>
        <v>2.497441251</v>
      </c>
      <c r="J48" s="5"/>
      <c r="K48" s="9"/>
      <c r="L48" s="55">
        <f>IFERROR(__xludf.DUMMYFUNCTION("""COMPUTED_VALUE"""),9.0)</f>
        <v>9</v>
      </c>
      <c r="M48" s="56" t="str">
        <f>IFERROR(__xludf.DUMMYFUNCTION("""COMPUTED_VALUE"""),"36460")</f>
        <v>36460</v>
      </c>
      <c r="N48" s="57">
        <f>IFERROR(__xludf.DUMMYFUNCTION("""COMPUTED_VALUE"""),0.15118393674200004)</f>
        <v>0.1511839367</v>
      </c>
      <c r="O48" s="5">
        <f>IFERROR(__xludf.DUMMYFUNCTION("""COMPUTED_VALUE"""),10.0)</f>
        <v>10</v>
      </c>
      <c r="P48" s="5"/>
      <c r="Q48" s="31">
        <f>IFERROR(__xludf.DUMMYFUNCTION("""COMPUTED_VALUE"""),2.4661599512903933)</f>
        <v>2.466159951</v>
      </c>
      <c r="R48" s="5"/>
      <c r="S48" s="5"/>
      <c r="T48" s="5"/>
    </row>
    <row r="49">
      <c r="A49" s="28" t="str">
        <f>IFERROR(__xludf.DUMMYFUNCTION("""COMPUTED_VALUE"""),"39670")</f>
        <v>39670</v>
      </c>
      <c r="B49" s="9">
        <f>IFERROR(__xludf.DUMMYFUNCTION("""COMPUTED_VALUE"""),498777.07466)</f>
        <v>498777.0747</v>
      </c>
      <c r="C49" s="22">
        <f>IFERROR(__xludf.DUMMYFUNCTION("""COMPUTED_VALUE"""),70393.00513249997)</f>
        <v>70393.00513</v>
      </c>
      <c r="D49" s="22">
        <f>IFERROR(__xludf.DUMMYFUNCTION("""COMPUTED_VALUE"""),0.0)</f>
        <v>0</v>
      </c>
      <c r="E49" s="24">
        <f>IFERROR(__xludf.DUMMYFUNCTION("""COMPUTED_VALUE"""),-0.002445850680000028)</f>
        <v>-0.00244585068</v>
      </c>
      <c r="F49" s="5"/>
      <c r="G49" s="9">
        <f>IFERROR(__xludf.DUMMYFUNCTION("""COMPUTED_VALUE"""),78.0)</f>
        <v>78</v>
      </c>
      <c r="H49" s="26">
        <f>IFERROR(__xludf.DUMMYFUNCTION("""COMPUTED_VALUE"""),0.00596839714225667)</f>
        <v>0.005968397142</v>
      </c>
      <c r="I49" s="27">
        <f>IFERROR(__xludf.DUMMYFUNCTION("""COMPUTED_VALUE"""),-5.062083938096746)</f>
        <v>-5.062083938</v>
      </c>
      <c r="J49" s="5"/>
      <c r="K49" s="9"/>
      <c r="L49" s="55">
        <f>IFERROR(__xludf.DUMMYFUNCTION("""COMPUTED_VALUE"""),10.0)</f>
        <v>10</v>
      </c>
      <c r="M49" s="56" t="str">
        <f>IFERROR(__xludf.DUMMYFUNCTION("""COMPUTED_VALUE"""),"39704")</f>
        <v>39704</v>
      </c>
      <c r="N49" s="57">
        <f>IFERROR(__xludf.DUMMYFUNCTION("""COMPUTED_VALUE"""),0.12792108256299972)</f>
        <v>0.1279210826</v>
      </c>
      <c r="O49" s="5">
        <f>IFERROR(__xludf.DUMMYFUNCTION("""COMPUTED_VALUE"""),10.0)</f>
        <v>10</v>
      </c>
      <c r="P49" s="5"/>
      <c r="Q49" s="31">
        <f>IFERROR(__xludf.DUMMYFUNCTION("""COMPUTED_VALUE"""),3.578024952462935)</f>
        <v>3.578024952</v>
      </c>
      <c r="R49" s="5"/>
      <c r="S49" s="5"/>
      <c r="T49" s="5"/>
    </row>
    <row r="50">
      <c r="A50" s="28" t="str">
        <f>IFERROR(__xludf.DUMMYFUNCTION("""COMPUTED_VALUE"""),"39704")</f>
        <v>39704</v>
      </c>
      <c r="B50" s="9">
        <f>IFERROR(__xludf.DUMMYFUNCTION("""COMPUTED_VALUE"""),563960.5412814999)</f>
        <v>563960.5413</v>
      </c>
      <c r="C50" s="22">
        <f>IFERROR(__xludf.DUMMYFUNCTION("""COMPUTED_VALUE"""),541196.311304)</f>
        <v>541196.3113</v>
      </c>
      <c r="D50" s="22">
        <f>IFERROR(__xludf.DUMMYFUNCTION("""COMPUTED_VALUE"""),0.0)</f>
        <v>0</v>
      </c>
      <c r="E50" s="24">
        <f>IFERROR(__xludf.DUMMYFUNCTION("""COMPUTED_VALUE"""),0.12792108256299972)</f>
        <v>0.1279210826</v>
      </c>
      <c r="F50" s="5"/>
      <c r="G50" s="9">
        <f>IFERROR(__xludf.DUMMYFUNCTION("""COMPUTED_VALUE"""),10.0)</f>
        <v>10</v>
      </c>
      <c r="H50" s="26">
        <f>IFERROR(__xludf.DUMMYFUNCTION("""COMPUTED_VALUE"""),0.03577738464033985)</f>
        <v>0.03577738464</v>
      </c>
      <c r="I50" s="27">
        <f>IFERROR(__xludf.DUMMYFUNCTION("""COMPUTED_VALUE"""),3.578024952462935)</f>
        <v>3.578024952</v>
      </c>
      <c r="J50" s="5"/>
      <c r="K50" s="5"/>
      <c r="L50" s="5"/>
      <c r="M50" s="5"/>
      <c r="N50" s="5"/>
      <c r="O50" s="5"/>
      <c r="P50" s="5"/>
      <c r="Q50" s="5"/>
      <c r="R50" s="5"/>
      <c r="S50" s="5"/>
      <c r="T50" s="5"/>
    </row>
    <row r="51">
      <c r="A51" s="28" t="str">
        <f>IFERROR(__xludf.DUMMYFUNCTION("""COMPUTED_VALUE"""),"39776")</f>
        <v>39776</v>
      </c>
      <c r="B51" s="9">
        <f>IFERROR(__xludf.DUMMYFUNCTION("""COMPUTED_VALUE"""),501350.0)</f>
        <v>501350</v>
      </c>
      <c r="C51" s="22">
        <f>IFERROR(__xludf.DUMMYFUNCTION("""COMPUTED_VALUE"""),370600.0)</f>
        <v>370600</v>
      </c>
      <c r="D51" s="22">
        <f>IFERROR(__xludf.DUMMYFUNCTION("""COMPUTED_VALUE"""),0.0)</f>
        <v>0</v>
      </c>
      <c r="E51" s="24">
        <f>IFERROR(__xludf.DUMMYFUNCTION("""COMPUTED_VALUE"""),0.0026999999999999247)</f>
        <v>0.0027</v>
      </c>
      <c r="F51" s="5"/>
      <c r="G51" s="9">
        <f>IFERROR(__xludf.DUMMYFUNCTION("""COMPUTED_VALUE"""),44.0)</f>
        <v>44</v>
      </c>
      <c r="H51" s="26">
        <f>IFERROR(__xludf.DUMMYFUNCTION("""COMPUTED_VALUE"""),0.002995161936335939)</f>
        <v>0.002995161936</v>
      </c>
      <c r="I51" s="27">
        <f>IFERROR(__xludf.DUMMYFUNCTION("""COMPUTED_VALUE"""),0.20032305857022537)</f>
        <v>0.2003230586</v>
      </c>
      <c r="J51" s="5"/>
      <c r="K51" s="5"/>
      <c r="L51" s="5"/>
      <c r="M51" s="5"/>
      <c r="N51" s="5"/>
      <c r="O51" s="5"/>
      <c r="P51" s="5"/>
      <c r="Q51" s="5"/>
      <c r="R51" s="5"/>
      <c r="S51" s="5"/>
      <c r="T51" s="5"/>
    </row>
    <row r="52">
      <c r="A52" s="28" t="str">
        <f>IFERROR(__xludf.DUMMYFUNCTION("""COMPUTED_VALUE"""),"39815")</f>
        <v>39815</v>
      </c>
      <c r="B52" s="9">
        <f>IFERROR(__xludf.DUMMYFUNCTION("""COMPUTED_VALUE"""),497860.59591499995)</f>
        <v>497860.5959</v>
      </c>
      <c r="C52" s="22">
        <f>IFERROR(__xludf.DUMMYFUNCTION("""COMPUTED_VALUE"""),465166.112975)</f>
        <v>465166.113</v>
      </c>
      <c r="D52" s="22">
        <f>IFERROR(__xludf.DUMMYFUNCTION("""COMPUTED_VALUE"""),0.0)</f>
        <v>0</v>
      </c>
      <c r="E52" s="24">
        <f>IFERROR(__xludf.DUMMYFUNCTION("""COMPUTED_VALUE"""),-0.004278808170000037)</f>
        <v>-0.00427880817</v>
      </c>
      <c r="F52" s="5"/>
      <c r="G52" s="9">
        <f>IFERROR(__xludf.DUMMYFUNCTION("""COMPUTED_VALUE"""),81.0)</f>
        <v>81</v>
      </c>
      <c r="H52" s="26">
        <f>IFERROR(__xludf.DUMMYFUNCTION("""COMPUTED_VALUE"""),9.21813068609306E-4)</f>
        <v>0.0009218130686</v>
      </c>
      <c r="I52" s="27">
        <f>IFERROR(__xludf.DUMMYFUNCTION("""COMPUTED_VALUE"""),-5.2028192084926115)</f>
        <v>-5.202819208</v>
      </c>
      <c r="J52" s="5"/>
      <c r="K52" s="5"/>
      <c r="L52" s="5"/>
      <c r="M52" s="5"/>
      <c r="N52" s="5"/>
      <c r="O52" s="5"/>
      <c r="P52" s="5"/>
      <c r="Q52" s="5"/>
      <c r="R52" s="5"/>
      <c r="S52" s="5"/>
      <c r="T52" s="5"/>
    </row>
    <row r="53">
      <c r="A53" s="28" t="str">
        <f>IFERROR(__xludf.DUMMYFUNCTION("""COMPUTED_VALUE"""),"39857")</f>
        <v>39857</v>
      </c>
      <c r="B53" s="9">
        <f>IFERROR(__xludf.DUMMYFUNCTION("""COMPUTED_VALUE"""),642508.0802754)</f>
        <v>642508.0803</v>
      </c>
      <c r="C53" s="22">
        <f>IFERROR(__xludf.DUMMYFUNCTION("""COMPUTED_VALUE"""),672784.9566167999)</f>
        <v>672784.9566</v>
      </c>
      <c r="D53" s="22">
        <f>IFERROR(__xludf.DUMMYFUNCTION("""COMPUTED_VALUE"""),0.0)</f>
        <v>0</v>
      </c>
      <c r="E53" s="24">
        <f>IFERROR(__xludf.DUMMYFUNCTION("""COMPUTED_VALUE"""),0.2850161605507999)</f>
        <v>0.2850161606</v>
      </c>
      <c r="F53" s="5"/>
      <c r="G53" s="9">
        <f>IFERROR(__xludf.DUMMYFUNCTION("""COMPUTED_VALUE"""),4.0)</f>
        <v>4</v>
      </c>
      <c r="H53" s="26">
        <f>IFERROR(__xludf.DUMMYFUNCTION("""COMPUTED_VALUE"""),0.11792107708189122)</f>
        <v>0.1179210771</v>
      </c>
      <c r="I53" s="27">
        <f>IFERROR(__xludf.DUMMYFUNCTION("""COMPUTED_VALUE"""),2.4170556754876342)</f>
        <v>2.417055675</v>
      </c>
      <c r="J53" s="5"/>
      <c r="K53" s="5"/>
      <c r="L53" s="5"/>
      <c r="M53" s="5"/>
      <c r="N53" s="5"/>
      <c r="O53" s="5"/>
      <c r="P53" s="5"/>
      <c r="Q53" s="5"/>
      <c r="R53" s="5"/>
      <c r="S53" s="5"/>
      <c r="T53" s="5"/>
    </row>
    <row r="54">
      <c r="A54" s="28" t="str">
        <f>IFERROR(__xludf.DUMMYFUNCTION("""COMPUTED_VALUE"""),"40105")</f>
        <v>40105</v>
      </c>
      <c r="B54" s="9">
        <f>IFERROR(__xludf.DUMMYFUNCTION("""COMPUTED_VALUE"""),461676.3701100001)</f>
        <v>461676.3701</v>
      </c>
      <c r="C54" s="22">
        <f>IFERROR(__xludf.DUMMYFUNCTION("""COMPUTED_VALUE"""),4661.064200000008)</f>
        <v>4661.0642</v>
      </c>
      <c r="D54" s="22">
        <f>IFERROR(__xludf.DUMMYFUNCTION("""COMPUTED_VALUE"""),0.0)</f>
        <v>0</v>
      </c>
      <c r="E54" s="24">
        <f>IFERROR(__xludf.DUMMYFUNCTION("""COMPUTED_VALUE"""),-0.07664725977999987)</f>
        <v>-0.07664725978</v>
      </c>
      <c r="F54" s="5"/>
      <c r="G54" s="9">
        <f>IFERROR(__xludf.DUMMYFUNCTION("""COMPUTED_VALUE"""),110.0)</f>
        <v>110</v>
      </c>
      <c r="H54" s="26">
        <f>IFERROR(__xludf.DUMMYFUNCTION("""COMPUTED_VALUE"""),0.03538907434397937)</f>
        <v>0.03538907434</v>
      </c>
      <c r="I54" s="27">
        <f>IFERROR(__xludf.DUMMYFUNCTION("""COMPUTED_VALUE"""),-2.1683017191732343)</f>
        <v>-2.168301719</v>
      </c>
      <c r="J54" s="5"/>
      <c r="K54" s="5"/>
      <c r="L54" s="5"/>
      <c r="M54" s="5"/>
      <c r="N54" s="5"/>
      <c r="O54" s="5"/>
      <c r="P54" s="5"/>
      <c r="Q54" s="5"/>
      <c r="R54" s="5"/>
      <c r="S54" s="5"/>
      <c r="T54" s="5"/>
    </row>
    <row r="55">
      <c r="A55" s="28" t="str">
        <f>IFERROR(__xludf.DUMMYFUNCTION("""COMPUTED_VALUE"""),"40158")</f>
        <v>40158</v>
      </c>
      <c r="B55" s="9">
        <f>IFERROR(__xludf.DUMMYFUNCTION("""COMPUTED_VALUE"""),478299.4606338)</f>
        <v>478299.4606</v>
      </c>
      <c r="C55" s="22">
        <f>IFERROR(__xludf.DUMMYFUNCTION("""COMPUTED_VALUE"""),346242.8734185)</f>
        <v>346242.8734</v>
      </c>
      <c r="D55" s="22">
        <f>IFERROR(__xludf.DUMMYFUNCTION("""COMPUTED_VALUE"""),0.0)</f>
        <v>0</v>
      </c>
      <c r="E55" s="24">
        <f>IFERROR(__xludf.DUMMYFUNCTION("""COMPUTED_VALUE"""),-0.043401078732399956)</f>
        <v>-0.04340107873</v>
      </c>
      <c r="F55" s="5"/>
      <c r="G55" s="9">
        <f>IFERROR(__xludf.DUMMYFUNCTION("""COMPUTED_VALUE"""),105.0)</f>
        <v>105</v>
      </c>
      <c r="H55" s="26">
        <f>IFERROR(__xludf.DUMMYFUNCTION("""COMPUTED_VALUE"""),0.017141257946880113)</f>
        <v>0.01714125795</v>
      </c>
      <c r="I55" s="27">
        <f>IFERROR(__xludf.DUMMYFUNCTION("""COMPUTED_VALUE"""),-2.5442015228490122)</f>
        <v>-2.544201523</v>
      </c>
      <c r="J55" s="5"/>
      <c r="K55" s="5"/>
      <c r="L55" s="5"/>
      <c r="M55" s="5"/>
      <c r="N55" s="5"/>
      <c r="O55" s="5"/>
      <c r="P55" s="5"/>
      <c r="Q55" s="5"/>
      <c r="R55" s="5"/>
      <c r="S55" s="5"/>
      <c r="T55" s="5"/>
    </row>
    <row r="56">
      <c r="A56" s="28" t="str">
        <f>IFERROR(__xludf.DUMMYFUNCTION("""COMPUTED_VALUE"""),"40318")</f>
        <v>40318</v>
      </c>
      <c r="B56" s="9">
        <f>IFERROR(__xludf.DUMMYFUNCTION("""COMPUTED_VALUE"""),521095.26573100005)</f>
        <v>521095.2657</v>
      </c>
      <c r="C56" s="22">
        <f>IFERROR(__xludf.DUMMYFUNCTION("""COMPUTED_VALUE"""),448111.57768099994)</f>
        <v>448111.5777</v>
      </c>
      <c r="D56" s="22">
        <f>IFERROR(__xludf.DUMMYFUNCTION("""COMPUTED_VALUE"""),0.0)</f>
        <v>0</v>
      </c>
      <c r="E56" s="24">
        <f>IFERROR(__xludf.DUMMYFUNCTION("""COMPUTED_VALUE"""),0.042190531462000136)</f>
        <v>0.04219053146</v>
      </c>
      <c r="F56" s="5"/>
      <c r="G56" s="9">
        <f>IFERROR(__xludf.DUMMYFUNCTION("""COMPUTED_VALUE"""),24.0)</f>
        <v>24</v>
      </c>
      <c r="H56" s="26">
        <f>IFERROR(__xludf.DUMMYFUNCTION("""COMPUTED_VALUE"""),0.011251369457121458)</f>
        <v>0.01125136946</v>
      </c>
      <c r="I56" s="27">
        <f>IFERROR(__xludf.DUMMYFUNCTION("""COMPUTED_VALUE"""),3.7064247834831274)</f>
        <v>3.706424783</v>
      </c>
      <c r="J56" s="5"/>
      <c r="K56" s="5"/>
      <c r="L56" s="5"/>
      <c r="M56" s="5"/>
      <c r="N56" s="5"/>
      <c r="O56" s="5"/>
      <c r="P56" s="5"/>
      <c r="Q56" s="5"/>
      <c r="R56" s="5"/>
      <c r="S56" s="5"/>
      <c r="T56" s="5"/>
    </row>
    <row r="57">
      <c r="A57" s="28" t="str">
        <f>IFERROR(__xludf.DUMMYFUNCTION("""COMPUTED_VALUE"""),"40433")</f>
        <v>40433</v>
      </c>
      <c r="B57" s="9">
        <f>IFERROR(__xludf.DUMMYFUNCTION("""COMPUTED_VALUE"""),496446.8239727)</f>
        <v>496446.824</v>
      </c>
      <c r="C57" s="22">
        <f>IFERROR(__xludf.DUMMYFUNCTION("""COMPUTED_VALUE"""),464939.76030575)</f>
        <v>464939.7603</v>
      </c>
      <c r="D57" s="22">
        <f>IFERROR(__xludf.DUMMYFUNCTION("""COMPUTED_VALUE"""),0.0)</f>
        <v>0</v>
      </c>
      <c r="E57" s="24">
        <f>IFERROR(__xludf.DUMMYFUNCTION("""COMPUTED_VALUE"""),-0.007106352054599974)</f>
        <v>-0.007106352055</v>
      </c>
      <c r="F57" s="5"/>
      <c r="G57" s="9">
        <f>IFERROR(__xludf.DUMMYFUNCTION("""COMPUTED_VALUE"""),82.0)</f>
        <v>82</v>
      </c>
      <c r="H57" s="26">
        <f>IFERROR(__xludf.DUMMYFUNCTION("""COMPUTED_VALUE"""),0.0037004511110472786)</f>
        <v>0.003700451111</v>
      </c>
      <c r="I57" s="27">
        <f>IFERROR(__xludf.DUMMYFUNCTION("""COMPUTED_VALUE"""),-2.028562686989676)</f>
        <v>-2.028562687</v>
      </c>
      <c r="J57" s="5"/>
      <c r="K57" s="5"/>
      <c r="L57" s="5"/>
      <c r="M57" s="5"/>
      <c r="N57" s="5"/>
      <c r="O57" s="5"/>
      <c r="P57" s="5"/>
      <c r="Q57" s="5"/>
      <c r="R57" s="5"/>
      <c r="S57" s="5"/>
      <c r="T57" s="5"/>
    </row>
    <row r="58">
      <c r="A58" s="28" t="str">
        <f>IFERROR(__xludf.DUMMYFUNCTION("""COMPUTED_VALUE"""),"40658")</f>
        <v>40658</v>
      </c>
      <c r="B58" s="9">
        <f>IFERROR(__xludf.DUMMYFUNCTION("""COMPUTED_VALUE"""),500000.0)</f>
        <v>500000</v>
      </c>
      <c r="C58" s="22">
        <f>IFERROR(__xludf.DUMMYFUNCTION("""COMPUTED_VALUE"""),500000.0)</f>
        <v>500000</v>
      </c>
      <c r="D58" s="22">
        <f>IFERROR(__xludf.DUMMYFUNCTION("""COMPUTED_VALUE"""),0.0)</f>
        <v>0</v>
      </c>
      <c r="E58" s="24">
        <f>IFERROR(__xludf.DUMMYFUNCTION("""COMPUTED_VALUE"""),0.0)</f>
        <v>0</v>
      </c>
      <c r="F58" s="5"/>
      <c r="G58" s="9">
        <f>IFERROR(__xludf.DUMMYFUNCTION("""COMPUTED_VALUE"""),47.0)</f>
        <v>47</v>
      </c>
      <c r="H58" s="26">
        <f>IFERROR(__xludf.DUMMYFUNCTION("""COMPUTED_VALUE"""),0.0)</f>
        <v>0</v>
      </c>
      <c r="I58" s="27" t="str">
        <f>IFERROR(__xludf.DUMMYFUNCTION("""COMPUTED_VALUE"""),"n/a")</f>
        <v>n/a</v>
      </c>
      <c r="J58" s="5"/>
      <c r="K58" s="5"/>
      <c r="L58" s="5"/>
      <c r="M58" s="5"/>
      <c r="N58" s="5"/>
      <c r="O58" s="5"/>
      <c r="P58" s="5"/>
      <c r="Q58" s="5"/>
      <c r="R58" s="5"/>
      <c r="S58" s="5"/>
      <c r="T58" s="5"/>
    </row>
    <row r="59">
      <c r="A59" s="28" t="str">
        <f>IFERROR(__xludf.DUMMYFUNCTION("""COMPUTED_VALUE"""),"40776")</f>
        <v>40776</v>
      </c>
      <c r="B59" s="9">
        <f>IFERROR(__xludf.DUMMYFUNCTION("""COMPUTED_VALUE"""),500504.70052)</f>
        <v>500504.7005</v>
      </c>
      <c r="C59" s="22">
        <f>IFERROR(__xludf.DUMMYFUNCTION("""COMPUTED_VALUE"""),99769.14313749998)</f>
        <v>99769.14314</v>
      </c>
      <c r="D59" s="22">
        <f>IFERROR(__xludf.DUMMYFUNCTION("""COMPUTED_VALUE"""),0.0)</f>
        <v>0</v>
      </c>
      <c r="E59" s="24">
        <f>IFERROR(__xludf.DUMMYFUNCTION("""COMPUTED_VALUE"""),0.0010094010400001352)</f>
        <v>0.00100940104</v>
      </c>
      <c r="F59" s="5"/>
      <c r="G59" s="9">
        <f>IFERROR(__xludf.DUMMYFUNCTION("""COMPUTED_VALUE"""),46.0)</f>
        <v>46</v>
      </c>
      <c r="H59" s="26">
        <f>IFERROR(__xludf.DUMMYFUNCTION("""COMPUTED_VALUE"""),0.005722299870095454)</f>
        <v>0.00572229987</v>
      </c>
      <c r="I59" s="27">
        <f>IFERROR(__xludf.DUMMYFUNCTION("""COMPUTED_VALUE"""),-4.676014811777744)</f>
        <v>-4.676014812</v>
      </c>
      <c r="J59" s="5"/>
      <c r="K59" s="5"/>
      <c r="L59" s="5"/>
      <c r="M59" s="5"/>
      <c r="N59" s="5"/>
      <c r="O59" s="5"/>
      <c r="P59" s="5"/>
      <c r="Q59" s="5"/>
      <c r="R59" s="5"/>
      <c r="S59" s="5"/>
      <c r="T59" s="5"/>
    </row>
    <row r="60">
      <c r="A60" s="28" t="str">
        <f>IFERROR(__xludf.DUMMYFUNCTION("""COMPUTED_VALUE"""),"45962")</f>
        <v>45962</v>
      </c>
      <c r="B60" s="9">
        <f>IFERROR(__xludf.DUMMYFUNCTION("""COMPUTED_VALUE"""),453720.0)</f>
        <v>453720</v>
      </c>
      <c r="C60" s="22">
        <f>IFERROR(__xludf.DUMMYFUNCTION("""COMPUTED_VALUE"""),5400.0)</f>
        <v>5400</v>
      </c>
      <c r="D60" s="22">
        <f>IFERROR(__xludf.DUMMYFUNCTION("""COMPUTED_VALUE"""),0.0)</f>
        <v>0</v>
      </c>
      <c r="E60" s="24">
        <f>IFERROR(__xludf.DUMMYFUNCTION("""COMPUTED_VALUE"""),-0.09255999999999998)</f>
        <v>-0.09256</v>
      </c>
      <c r="F60" s="5"/>
      <c r="G60" s="9">
        <f>IFERROR(__xludf.DUMMYFUNCTION("""COMPUTED_VALUE"""),112.0)</f>
        <v>112</v>
      </c>
      <c r="H60" s="26">
        <f>IFERROR(__xludf.DUMMYFUNCTION("""COMPUTED_VALUE"""),0.055056304317833996)</f>
        <v>0.05505630432</v>
      </c>
      <c r="I60" s="27">
        <f>IFERROR(__xludf.DUMMYFUNCTION("""COMPUTED_VALUE"""),-1.9950485482262994)</f>
        <v>-1.995048548</v>
      </c>
      <c r="J60" s="5"/>
      <c r="K60" s="5"/>
      <c r="L60" s="5"/>
      <c r="M60" s="5"/>
      <c r="N60" s="5"/>
      <c r="O60" s="5"/>
      <c r="P60" s="5"/>
      <c r="Q60" s="5"/>
      <c r="R60" s="5"/>
      <c r="S60" s="5"/>
      <c r="T60" s="5"/>
    </row>
    <row r="61">
      <c r="A61" s="28" t="str">
        <f>IFERROR(__xludf.DUMMYFUNCTION("""COMPUTED_VALUE"""),"45969")</f>
        <v>45969</v>
      </c>
      <c r="B61" s="9">
        <f>IFERROR(__xludf.DUMMYFUNCTION("""COMPUTED_VALUE"""),819687.7742249998)</f>
        <v>819687.7742</v>
      </c>
      <c r="C61" s="22">
        <f>IFERROR(__xludf.DUMMYFUNCTION("""COMPUTED_VALUE"""),978558.650675)</f>
        <v>978558.6507</v>
      </c>
      <c r="D61" s="22">
        <f>IFERROR(__xludf.DUMMYFUNCTION("""COMPUTED_VALUE"""),0.0)</f>
        <v>0</v>
      </c>
      <c r="E61" s="24">
        <f>IFERROR(__xludf.DUMMYFUNCTION("""COMPUTED_VALUE"""),0.6393755484499997)</f>
        <v>0.6393755485</v>
      </c>
      <c r="F61" s="5"/>
      <c r="G61" s="9">
        <f>IFERROR(__xludf.DUMMYFUNCTION("""COMPUTED_VALUE"""),2.0)</f>
        <v>2</v>
      </c>
      <c r="H61" s="26">
        <f>IFERROR(__xludf.DUMMYFUNCTION("""COMPUTED_VALUE"""),0.21451409816903175)</f>
        <v>0.2145140982</v>
      </c>
      <c r="I61" s="27">
        <f>IFERROR(__xludf.DUMMYFUNCTION("""COMPUTED_VALUE"""),2.978871321298779)</f>
        <v>2.978871321</v>
      </c>
      <c r="J61" s="5"/>
      <c r="K61" s="5"/>
      <c r="L61" s="5"/>
      <c r="M61" s="5"/>
      <c r="N61" s="5"/>
      <c r="O61" s="5"/>
      <c r="P61" s="5"/>
      <c r="Q61" s="5"/>
      <c r="R61" s="5"/>
      <c r="S61" s="5"/>
      <c r="T61" s="5"/>
    </row>
    <row r="62">
      <c r="A62" s="28" t="str">
        <f>IFERROR(__xludf.DUMMYFUNCTION("""COMPUTED_VALUE"""),"46104")</f>
        <v>46104</v>
      </c>
      <c r="B62" s="9">
        <f>IFERROR(__xludf.DUMMYFUNCTION("""COMPUTED_VALUE"""),500000.0)</f>
        <v>500000</v>
      </c>
      <c r="C62" s="22">
        <f>IFERROR(__xludf.DUMMYFUNCTION("""COMPUTED_VALUE"""),500000.0)</f>
        <v>500000</v>
      </c>
      <c r="D62" s="22">
        <f>IFERROR(__xludf.DUMMYFUNCTION("""COMPUTED_VALUE"""),0.0)</f>
        <v>0</v>
      </c>
      <c r="E62" s="24">
        <f>IFERROR(__xludf.DUMMYFUNCTION("""COMPUTED_VALUE"""),0.0)</f>
        <v>0</v>
      </c>
      <c r="F62" s="5"/>
      <c r="G62" s="9">
        <f>IFERROR(__xludf.DUMMYFUNCTION("""COMPUTED_VALUE"""),47.0)</f>
        <v>47</v>
      </c>
      <c r="H62" s="26">
        <f>IFERROR(__xludf.DUMMYFUNCTION("""COMPUTED_VALUE"""),0.0)</f>
        <v>0</v>
      </c>
      <c r="I62" s="27" t="str">
        <f>IFERROR(__xludf.DUMMYFUNCTION("""COMPUTED_VALUE"""),"n/a")</f>
        <v>n/a</v>
      </c>
      <c r="J62" s="5"/>
      <c r="K62" s="5"/>
      <c r="L62" s="5"/>
      <c r="M62" s="5"/>
      <c r="N62" s="5"/>
      <c r="O62" s="5"/>
      <c r="P62" s="5"/>
      <c r="Q62" s="5"/>
      <c r="R62" s="5"/>
      <c r="S62" s="5"/>
      <c r="T62" s="5"/>
    </row>
    <row r="63">
      <c r="A63" s="28" t="str">
        <f>IFERROR(__xludf.DUMMYFUNCTION("""COMPUTED_VALUE"""),"46220")</f>
        <v>46220</v>
      </c>
      <c r="B63" s="9">
        <f>IFERROR(__xludf.DUMMYFUNCTION("""COMPUTED_VALUE"""),481330.0352907499)</f>
        <v>481330.0353</v>
      </c>
      <c r="C63" s="22">
        <f>IFERROR(__xludf.DUMMYFUNCTION("""COMPUTED_VALUE"""),-200216.75308200004)</f>
        <v>-200216.7531</v>
      </c>
      <c r="D63" s="22">
        <f>IFERROR(__xludf.DUMMYFUNCTION("""COMPUTED_VALUE"""),200216.75308200004)</f>
        <v>200216.7531</v>
      </c>
      <c r="E63" s="24">
        <f>IFERROR(__xludf.DUMMYFUNCTION("""COMPUTED_VALUE"""),-0.03733992941850017)</f>
        <v>-0.03733992942</v>
      </c>
      <c r="F63" s="5"/>
      <c r="G63" s="9">
        <f>IFERROR(__xludf.DUMMYFUNCTION("""COMPUTED_VALUE"""),102.0)</f>
        <v>102</v>
      </c>
      <c r="H63" s="26">
        <f>IFERROR(__xludf.DUMMYFUNCTION("""COMPUTED_VALUE"""),0.059549081184001325)</f>
        <v>0.05954908118</v>
      </c>
      <c r="I63" s="27">
        <f>IFERROR(__xludf.DUMMYFUNCTION("""COMPUTED_VALUE"""),-1.0368666321435769)</f>
        <v>-1.036866632</v>
      </c>
      <c r="J63" s="5"/>
      <c r="K63" s="5"/>
      <c r="L63" s="5"/>
      <c r="M63" s="5"/>
      <c r="N63" s="5"/>
      <c r="O63" s="5"/>
      <c r="P63" s="5"/>
      <c r="Q63" s="5"/>
      <c r="R63" s="5"/>
      <c r="S63" s="5"/>
      <c r="T63" s="5"/>
    </row>
    <row r="64">
      <c r="A64" s="28" t="str">
        <f>IFERROR(__xludf.DUMMYFUNCTION("""COMPUTED_VALUE"""),"46225")</f>
        <v>46225</v>
      </c>
      <c r="B64" s="9">
        <f>IFERROR(__xludf.DUMMYFUNCTION("""COMPUTED_VALUE"""),484988.77352)</f>
        <v>484988.7735</v>
      </c>
      <c r="C64" s="22">
        <f>IFERROR(__xludf.DUMMYFUNCTION("""COMPUTED_VALUE"""),58343.03038145018)</f>
        <v>58343.03038</v>
      </c>
      <c r="D64" s="22">
        <f>IFERROR(__xludf.DUMMYFUNCTION("""COMPUTED_VALUE"""),0.0)</f>
        <v>0</v>
      </c>
      <c r="E64" s="24">
        <f>IFERROR(__xludf.DUMMYFUNCTION("""COMPUTED_VALUE"""),-0.030022452960000057)</f>
        <v>-0.03002245296</v>
      </c>
      <c r="F64" s="5"/>
      <c r="G64" s="9">
        <f>IFERROR(__xludf.DUMMYFUNCTION("""COMPUTED_VALUE"""),96.0)</f>
        <v>96</v>
      </c>
      <c r="H64" s="26">
        <f>IFERROR(__xludf.DUMMYFUNCTION("""COMPUTED_VALUE"""),0.008819869467247478)</f>
        <v>0.008819869467</v>
      </c>
      <c r="I64" s="27">
        <f>IFERROR(__xludf.DUMMYFUNCTION("""COMPUTED_VALUE"""),-5.661887423611099)</f>
        <v>-5.661887424</v>
      </c>
      <c r="J64" s="5"/>
      <c r="K64" s="5"/>
      <c r="L64" s="5"/>
      <c r="M64" s="5"/>
      <c r="N64" s="5"/>
      <c r="O64" s="5"/>
      <c r="P64" s="5"/>
      <c r="Q64" s="5"/>
      <c r="R64" s="5"/>
      <c r="S64" s="5"/>
      <c r="T64" s="5"/>
    </row>
    <row r="65">
      <c r="A65" s="28" t="str">
        <f>IFERROR(__xludf.DUMMYFUNCTION("""COMPUTED_VALUE"""),"46276")</f>
        <v>46276</v>
      </c>
      <c r="B65" s="9">
        <f>IFERROR(__xludf.DUMMYFUNCTION("""COMPUTED_VALUE"""),489688.29479725)</f>
        <v>489688.2948</v>
      </c>
      <c r="C65" s="22">
        <f>IFERROR(__xludf.DUMMYFUNCTION("""COMPUTED_VALUE"""),165972.043025)</f>
        <v>165972.043</v>
      </c>
      <c r="D65" s="22">
        <f>IFERROR(__xludf.DUMMYFUNCTION("""COMPUTED_VALUE"""),0.0)</f>
        <v>0</v>
      </c>
      <c r="E65" s="24">
        <f>IFERROR(__xludf.DUMMYFUNCTION("""COMPUTED_VALUE"""),-0.020623410405499976)</f>
        <v>-0.02062341041</v>
      </c>
      <c r="F65" s="5"/>
      <c r="G65" s="9">
        <f>IFERROR(__xludf.DUMMYFUNCTION("""COMPUTED_VALUE"""),89.0)</f>
        <v>89</v>
      </c>
      <c r="H65" s="26">
        <f>IFERROR(__xludf.DUMMYFUNCTION("""COMPUTED_VALUE"""),0.03821385509718592)</f>
        <v>0.0382138551</v>
      </c>
      <c r="I65" s="27">
        <f>IFERROR(__xludf.DUMMYFUNCTION("""COMPUTED_VALUE"""),-0.3750388330240802)</f>
        <v>-0.375038833</v>
      </c>
      <c r="J65" s="5"/>
      <c r="K65" s="5"/>
      <c r="L65" s="5"/>
      <c r="M65" s="5"/>
      <c r="N65" s="5"/>
      <c r="O65" s="5"/>
      <c r="P65" s="5"/>
      <c r="Q65" s="5"/>
      <c r="R65" s="5"/>
      <c r="S65" s="5"/>
      <c r="T65" s="5"/>
    </row>
    <row r="66">
      <c r="A66" s="28" t="str">
        <f>IFERROR(__xludf.DUMMYFUNCTION("""COMPUTED_VALUE"""),"46322")</f>
        <v>46322</v>
      </c>
      <c r="B66" s="9">
        <f>IFERROR(__xludf.DUMMYFUNCTION("""COMPUTED_VALUE"""),481761.0967100001)</f>
        <v>481761.0967</v>
      </c>
      <c r="C66" s="22">
        <f>IFERROR(__xludf.DUMMYFUNCTION("""COMPUTED_VALUE"""),-104971.51035)</f>
        <v>-104971.5104</v>
      </c>
      <c r="D66" s="22">
        <f>IFERROR(__xludf.DUMMYFUNCTION("""COMPUTED_VALUE"""),104971.51035)</f>
        <v>104971.5104</v>
      </c>
      <c r="E66" s="24">
        <f>IFERROR(__xludf.DUMMYFUNCTION("""COMPUTED_VALUE"""),-0.03647780657999977)</f>
        <v>-0.03647780658</v>
      </c>
      <c r="F66" s="5"/>
      <c r="G66" s="9">
        <f>IFERROR(__xludf.DUMMYFUNCTION("""COMPUTED_VALUE"""),99.0)</f>
        <v>99</v>
      </c>
      <c r="H66" s="26">
        <f>IFERROR(__xludf.DUMMYFUNCTION("""COMPUTED_VALUE"""),0.05637687510391869)</f>
        <v>0.0563768751</v>
      </c>
      <c r="I66" s="27">
        <f>IFERROR(__xludf.DUMMYFUNCTION("""COMPUTED_VALUE"""),-0.008323773517682952)</f>
        <v>-0.008323773518</v>
      </c>
      <c r="J66" s="5"/>
      <c r="K66" s="5"/>
      <c r="L66" s="5"/>
      <c r="M66" s="5"/>
      <c r="N66" s="5"/>
      <c r="O66" s="5"/>
      <c r="P66" s="5"/>
      <c r="Q66" s="5"/>
      <c r="R66" s="5"/>
      <c r="S66" s="5"/>
      <c r="T66" s="5"/>
    </row>
    <row r="67">
      <c r="A67" s="28" t="str">
        <f>IFERROR(__xludf.DUMMYFUNCTION("""COMPUTED_VALUE"""),"46446")</f>
        <v>46446</v>
      </c>
      <c r="B67" s="9">
        <f>IFERROR(__xludf.DUMMYFUNCTION("""COMPUTED_VALUE"""),500000.0)</f>
        <v>500000</v>
      </c>
      <c r="C67" s="22">
        <f>IFERROR(__xludf.DUMMYFUNCTION("""COMPUTED_VALUE"""),500000.0)</f>
        <v>500000</v>
      </c>
      <c r="D67" s="22">
        <f>IFERROR(__xludf.DUMMYFUNCTION("""COMPUTED_VALUE"""),0.0)</f>
        <v>0</v>
      </c>
      <c r="E67" s="24">
        <f>IFERROR(__xludf.DUMMYFUNCTION("""COMPUTED_VALUE"""),0.0)</f>
        <v>0</v>
      </c>
      <c r="F67" s="5"/>
      <c r="G67" s="9">
        <f>IFERROR(__xludf.DUMMYFUNCTION("""COMPUTED_VALUE"""),47.0)</f>
        <v>47</v>
      </c>
      <c r="H67" s="26">
        <f>IFERROR(__xludf.DUMMYFUNCTION("""COMPUTED_VALUE"""),0.0)</f>
        <v>0</v>
      </c>
      <c r="I67" s="27" t="str">
        <f>IFERROR(__xludf.DUMMYFUNCTION("""COMPUTED_VALUE"""),"n/a")</f>
        <v>n/a</v>
      </c>
      <c r="J67" s="5"/>
      <c r="K67" s="5"/>
      <c r="L67" s="5"/>
      <c r="M67" s="5"/>
      <c r="N67" s="5"/>
      <c r="O67" s="5"/>
      <c r="P67" s="5"/>
      <c r="Q67" s="5"/>
      <c r="R67" s="5"/>
      <c r="S67" s="5"/>
      <c r="T67" s="5"/>
    </row>
    <row r="68">
      <c r="A68" s="28" t="str">
        <f>IFERROR(__xludf.DUMMYFUNCTION("""COMPUTED_VALUE"""),"46600")</f>
        <v>46600</v>
      </c>
      <c r="B68" s="9">
        <f>IFERROR(__xludf.DUMMYFUNCTION("""COMPUTED_VALUE"""),521271.83150000003)</f>
        <v>521271.8315</v>
      </c>
      <c r="C68" s="22">
        <f>IFERROR(__xludf.DUMMYFUNCTION("""COMPUTED_VALUE"""),-21375.57035499999)</f>
        <v>-21375.57036</v>
      </c>
      <c r="D68" s="22">
        <f>IFERROR(__xludf.DUMMYFUNCTION("""COMPUTED_VALUE"""),21375.57035499999)</f>
        <v>21375.57036</v>
      </c>
      <c r="E68" s="24">
        <f>IFERROR(__xludf.DUMMYFUNCTION("""COMPUTED_VALUE"""),0.04254366300000001)</f>
        <v>0.042543663</v>
      </c>
      <c r="F68" s="5"/>
      <c r="G68" s="9">
        <f>IFERROR(__xludf.DUMMYFUNCTION("""COMPUTED_VALUE"""),23.0)</f>
        <v>23</v>
      </c>
      <c r="H68" s="26">
        <f>IFERROR(__xludf.DUMMYFUNCTION("""COMPUTED_VALUE"""),0.019940519246223264)</f>
        <v>0.01994051925</v>
      </c>
      <c r="I68" s="27">
        <f>IFERROR(__xludf.DUMMYFUNCTION("""COMPUTED_VALUE"""),1.518212079945407)</f>
        <v>1.51821208</v>
      </c>
      <c r="J68" s="5"/>
      <c r="K68" s="5"/>
      <c r="L68" s="5"/>
      <c r="M68" s="5"/>
      <c r="N68" s="5"/>
      <c r="O68" s="5"/>
      <c r="P68" s="5"/>
      <c r="Q68" s="5"/>
      <c r="R68" s="5"/>
      <c r="S68" s="5"/>
      <c r="T68" s="5"/>
    </row>
    <row r="69">
      <c r="A69" s="28" t="str">
        <f>IFERROR(__xludf.DUMMYFUNCTION("""COMPUTED_VALUE"""),"46699")</f>
        <v>46699</v>
      </c>
      <c r="B69" s="9">
        <f>IFERROR(__xludf.DUMMYFUNCTION("""COMPUTED_VALUE"""),491455.96500950004)</f>
        <v>491455.965</v>
      </c>
      <c r="C69" s="22">
        <f>IFERROR(__xludf.DUMMYFUNCTION("""COMPUTED_VALUE"""),352191.21102049993)</f>
        <v>352191.211</v>
      </c>
      <c r="D69" s="22">
        <f>IFERROR(__xludf.DUMMYFUNCTION("""COMPUTED_VALUE"""),0.0)</f>
        <v>0</v>
      </c>
      <c r="E69" s="24">
        <f>IFERROR(__xludf.DUMMYFUNCTION("""COMPUTED_VALUE"""),-0.017088069980999876)</f>
        <v>-0.01708806998</v>
      </c>
      <c r="F69" s="5"/>
      <c r="G69" s="9">
        <f>IFERROR(__xludf.DUMMYFUNCTION("""COMPUTED_VALUE"""),88.0)</f>
        <v>88</v>
      </c>
      <c r="H69" s="26">
        <f>IFERROR(__xludf.DUMMYFUNCTION("""COMPUTED_VALUE"""),0.00740680912654835)</f>
        <v>0.007406809127</v>
      </c>
      <c r="I69" s="27">
        <f>IFERROR(__xludf.DUMMYFUNCTION("""COMPUTED_VALUE"""),-2.976754526044426)</f>
        <v>-2.976754526</v>
      </c>
      <c r="J69" s="5"/>
      <c r="K69" s="5"/>
      <c r="L69" s="5"/>
      <c r="M69" s="5"/>
      <c r="N69" s="5"/>
      <c r="O69" s="5"/>
      <c r="P69" s="5"/>
      <c r="Q69" s="5"/>
      <c r="R69" s="5"/>
      <c r="S69" s="5"/>
      <c r="T69" s="5"/>
    </row>
    <row r="70">
      <c r="A70" s="28" t="str">
        <f>IFERROR(__xludf.DUMMYFUNCTION("""COMPUTED_VALUE"""),"46763")</f>
        <v>46763</v>
      </c>
      <c r="B70" s="9">
        <f>IFERROR(__xludf.DUMMYFUNCTION("""COMPUTED_VALUE"""),481600.0)</f>
        <v>481600</v>
      </c>
      <c r="C70" s="22">
        <f>IFERROR(__xludf.DUMMYFUNCTION("""COMPUTED_VALUE"""),104150.0)</f>
        <v>104150</v>
      </c>
      <c r="D70" s="22">
        <f>IFERROR(__xludf.DUMMYFUNCTION("""COMPUTED_VALUE"""),0.0)</f>
        <v>0</v>
      </c>
      <c r="E70" s="24">
        <f>IFERROR(__xludf.DUMMYFUNCTION("""COMPUTED_VALUE"""),-0.036800000000000055)</f>
        <v>-0.0368</v>
      </c>
      <c r="F70" s="5"/>
      <c r="G70" s="9">
        <f>IFERROR(__xludf.DUMMYFUNCTION("""COMPUTED_VALUE"""),101.0)</f>
        <v>101</v>
      </c>
      <c r="H70" s="26">
        <f>IFERROR(__xludf.DUMMYFUNCTION("""COMPUTED_VALUE"""),0.009759563436510875)</f>
        <v>0.009759563437</v>
      </c>
      <c r="I70" s="27">
        <f>IFERROR(__xludf.DUMMYFUNCTION("""COMPUTED_VALUE"""),-4.375195701916106)</f>
        <v>-4.375195702</v>
      </c>
      <c r="J70" s="5"/>
      <c r="K70" s="5"/>
      <c r="L70" s="5"/>
      <c r="M70" s="5"/>
      <c r="N70" s="5"/>
      <c r="O70" s="5"/>
      <c r="P70" s="5"/>
      <c r="Q70" s="5"/>
      <c r="R70" s="5"/>
      <c r="S70" s="5"/>
      <c r="T70" s="5"/>
    </row>
    <row r="71">
      <c r="A71" s="28" t="str">
        <f>IFERROR(__xludf.DUMMYFUNCTION("""COMPUTED_VALUE"""),"46876")</f>
        <v>46876</v>
      </c>
      <c r="B71" s="9">
        <f>IFERROR(__xludf.DUMMYFUNCTION("""COMPUTED_VALUE"""),640100.0)</f>
        <v>640100</v>
      </c>
      <c r="C71" s="22">
        <f>IFERROR(__xludf.DUMMYFUNCTION("""COMPUTED_VALUE"""),149200.0)</f>
        <v>149200</v>
      </c>
      <c r="D71" s="22">
        <f>IFERROR(__xludf.DUMMYFUNCTION("""COMPUTED_VALUE"""),0.0)</f>
        <v>0</v>
      </c>
      <c r="E71" s="24">
        <f>IFERROR(__xludf.DUMMYFUNCTION("""COMPUTED_VALUE"""),0.2802)</f>
        <v>0.2802</v>
      </c>
      <c r="F71" s="5"/>
      <c r="G71" s="9">
        <f>IFERROR(__xludf.DUMMYFUNCTION("""COMPUTED_VALUE"""),5.0)</f>
        <v>5</v>
      </c>
      <c r="H71" s="26">
        <f>IFERROR(__xludf.DUMMYFUNCTION("""COMPUTED_VALUE"""),0.059306278864886125)</f>
        <v>0.05930627886</v>
      </c>
      <c r="I71" s="27">
        <f>IFERROR(__xludf.DUMMYFUNCTION("""COMPUTED_VALUE"""),3.9844010536953065)</f>
        <v>3.984401054</v>
      </c>
      <c r="J71" s="5"/>
      <c r="K71" s="5"/>
      <c r="L71" s="5"/>
      <c r="M71" s="5"/>
      <c r="N71" s="5"/>
      <c r="O71" s="5"/>
      <c r="P71" s="5"/>
      <c r="Q71" s="5"/>
      <c r="R71" s="5"/>
      <c r="S71" s="5"/>
      <c r="T71" s="5"/>
    </row>
    <row r="72">
      <c r="A72" s="28" t="str">
        <f>IFERROR(__xludf.DUMMYFUNCTION("""COMPUTED_VALUE"""),"46975")</f>
        <v>46975</v>
      </c>
      <c r="B72" s="9">
        <f>IFERROR(__xludf.DUMMYFUNCTION("""COMPUTED_VALUE"""),502480.5126125)</f>
        <v>502480.5126</v>
      </c>
      <c r="C72" s="22">
        <f>IFERROR(__xludf.DUMMYFUNCTION("""COMPUTED_VALUE"""),479340.0304125)</f>
        <v>479340.0304</v>
      </c>
      <c r="D72" s="22">
        <f>IFERROR(__xludf.DUMMYFUNCTION("""COMPUTED_VALUE"""),0.0)</f>
        <v>0</v>
      </c>
      <c r="E72" s="24">
        <f>IFERROR(__xludf.DUMMYFUNCTION("""COMPUTED_VALUE"""),0.004961025225000082)</f>
        <v>0.004961025225</v>
      </c>
      <c r="F72" s="5"/>
      <c r="G72" s="9">
        <f>IFERROR(__xludf.DUMMYFUNCTION("""COMPUTED_VALUE"""),41.0)</f>
        <v>41</v>
      </c>
      <c r="H72" s="26">
        <f>IFERROR(__xludf.DUMMYFUNCTION("""COMPUTED_VALUE"""),0.0064486679841542485)</f>
        <v>0.006448667984</v>
      </c>
      <c r="I72" s="27">
        <f>IFERROR(__xludf.DUMMYFUNCTION("""COMPUTED_VALUE"""),0.547102881349973)</f>
        <v>0.5471028813</v>
      </c>
      <c r="J72" s="5"/>
      <c r="K72" s="5"/>
      <c r="L72" s="5"/>
      <c r="M72" s="5"/>
      <c r="N72" s="5"/>
      <c r="O72" s="5"/>
      <c r="P72" s="5"/>
      <c r="Q72" s="5"/>
      <c r="R72" s="5"/>
      <c r="S72" s="5"/>
      <c r="T72" s="5"/>
    </row>
    <row r="73">
      <c r="A73" s="28" t="str">
        <f>IFERROR(__xludf.DUMMYFUNCTION("""COMPUTED_VALUE"""),"52981")</f>
        <v>52981</v>
      </c>
      <c r="B73" s="9">
        <f>IFERROR(__xludf.DUMMYFUNCTION("""COMPUTED_VALUE"""),500000.0)</f>
        <v>500000</v>
      </c>
      <c r="C73" s="22">
        <f>IFERROR(__xludf.DUMMYFUNCTION("""COMPUTED_VALUE"""),500000.0)</f>
        <v>500000</v>
      </c>
      <c r="D73" s="22">
        <f>IFERROR(__xludf.DUMMYFUNCTION("""COMPUTED_VALUE"""),0.0)</f>
        <v>0</v>
      </c>
      <c r="E73" s="24">
        <f>IFERROR(__xludf.DUMMYFUNCTION("""COMPUTED_VALUE"""),0.0)</f>
        <v>0</v>
      </c>
      <c r="F73" s="5"/>
      <c r="G73" s="9">
        <f>IFERROR(__xludf.DUMMYFUNCTION("""COMPUTED_VALUE"""),47.0)</f>
        <v>47</v>
      </c>
      <c r="H73" s="26">
        <f>IFERROR(__xludf.DUMMYFUNCTION("""COMPUTED_VALUE"""),0.0)</f>
        <v>0</v>
      </c>
      <c r="I73" s="27" t="str">
        <f>IFERROR(__xludf.DUMMYFUNCTION("""COMPUTED_VALUE"""),"n/a")</f>
        <v>n/a</v>
      </c>
      <c r="J73" s="5"/>
      <c r="K73" s="5"/>
      <c r="L73" s="5"/>
      <c r="M73" s="5"/>
      <c r="N73" s="5"/>
      <c r="O73" s="5"/>
      <c r="P73" s="5"/>
      <c r="Q73" s="5"/>
      <c r="R73" s="5"/>
      <c r="S73" s="5"/>
      <c r="T73" s="5"/>
    </row>
    <row r="74">
      <c r="A74" s="28" t="str">
        <f>IFERROR(__xludf.DUMMYFUNCTION("""COMPUTED_VALUE"""),"56118")</f>
        <v>56118</v>
      </c>
      <c r="B74" s="9">
        <f>IFERROR(__xludf.DUMMYFUNCTION("""COMPUTED_VALUE"""),515985.31349999993)</f>
        <v>515985.3135</v>
      </c>
      <c r="C74" s="22">
        <f>IFERROR(__xludf.DUMMYFUNCTION("""COMPUTED_VALUE"""),-153870.66731500003)</f>
        <v>-153870.6673</v>
      </c>
      <c r="D74" s="22">
        <f>IFERROR(__xludf.DUMMYFUNCTION("""COMPUTED_VALUE"""),153870.66731500003)</f>
        <v>153870.6673</v>
      </c>
      <c r="E74" s="24">
        <f>IFERROR(__xludf.DUMMYFUNCTION("""COMPUTED_VALUE"""),0.03197062699999975)</f>
        <v>0.031970627</v>
      </c>
      <c r="F74" s="5"/>
      <c r="G74" s="9">
        <f>IFERROR(__xludf.DUMMYFUNCTION("""COMPUTED_VALUE"""),27.0)</f>
        <v>27</v>
      </c>
      <c r="H74" s="26">
        <f>IFERROR(__xludf.DUMMYFUNCTION("""COMPUTED_VALUE"""),0.02354038602937486)</f>
        <v>0.02354038603</v>
      </c>
      <c r="I74" s="27">
        <f>IFERROR(__xludf.DUMMYFUNCTION("""COMPUTED_VALUE"""),1.2137975101319385)</f>
        <v>1.21379751</v>
      </c>
      <c r="J74" s="5"/>
      <c r="K74" s="5"/>
      <c r="L74" s="5"/>
      <c r="M74" s="5"/>
      <c r="N74" s="5"/>
      <c r="O74" s="5"/>
      <c r="P74" s="5"/>
      <c r="Q74" s="5"/>
      <c r="R74" s="5"/>
      <c r="S74" s="5"/>
      <c r="T74" s="5"/>
    </row>
    <row r="75">
      <c r="A75" s="28" t="str">
        <f>IFERROR(__xludf.DUMMYFUNCTION("""COMPUTED_VALUE"""),"69930")</f>
        <v>69930</v>
      </c>
      <c r="B75" s="9">
        <f>IFERROR(__xludf.DUMMYFUNCTION("""COMPUTED_VALUE"""),498502.5)</f>
        <v>498502.5</v>
      </c>
      <c r="C75" s="22">
        <f>IFERROR(__xludf.DUMMYFUNCTION("""COMPUTED_VALUE"""),495737.5)</f>
        <v>495737.5</v>
      </c>
      <c r="D75" s="22">
        <f>IFERROR(__xludf.DUMMYFUNCTION("""COMPUTED_VALUE"""),0.0)</f>
        <v>0</v>
      </c>
      <c r="E75" s="24">
        <f>IFERROR(__xludf.DUMMYFUNCTION("""COMPUTED_VALUE"""),-0.00299499999999997)</f>
        <v>-0.002995</v>
      </c>
      <c r="F75" s="5"/>
      <c r="G75" s="9">
        <f>IFERROR(__xludf.DUMMYFUNCTION("""COMPUTED_VALUE"""),79.0)</f>
        <v>79</v>
      </c>
      <c r="H75" s="26">
        <f>IFERROR(__xludf.DUMMYFUNCTION("""COMPUTED_VALUE"""),0.0011657277364743926)</f>
        <v>0.001165727736</v>
      </c>
      <c r="I75" s="27">
        <f>IFERROR(__xludf.DUMMYFUNCTION("""COMPUTED_VALUE"""),-2.556343052291648)</f>
        <v>-2.556343052</v>
      </c>
      <c r="J75" s="5"/>
      <c r="K75" s="5"/>
      <c r="L75" s="5"/>
      <c r="M75" s="5"/>
      <c r="N75" s="5"/>
      <c r="O75" s="5"/>
      <c r="P75" s="5"/>
      <c r="Q75" s="5"/>
      <c r="R75" s="5"/>
      <c r="S75" s="5"/>
      <c r="T75" s="5"/>
    </row>
    <row r="76">
      <c r="A76" s="28" t="str">
        <f>IFERROR(__xludf.DUMMYFUNCTION("""COMPUTED_VALUE"""),"70227")</f>
        <v>70227</v>
      </c>
      <c r="B76" s="9">
        <f>IFERROR(__xludf.DUMMYFUNCTION("""COMPUTED_VALUE"""),500000.0)</f>
        <v>500000</v>
      </c>
      <c r="C76" s="22">
        <f>IFERROR(__xludf.DUMMYFUNCTION("""COMPUTED_VALUE"""),500000.0)</f>
        <v>500000</v>
      </c>
      <c r="D76" s="22">
        <f>IFERROR(__xludf.DUMMYFUNCTION("""COMPUTED_VALUE"""),0.0)</f>
        <v>0</v>
      </c>
      <c r="E76" s="24">
        <f>IFERROR(__xludf.DUMMYFUNCTION("""COMPUTED_VALUE"""),0.0)</f>
        <v>0</v>
      </c>
      <c r="F76" s="5"/>
      <c r="G76" s="9">
        <f>IFERROR(__xludf.DUMMYFUNCTION("""COMPUTED_VALUE"""),47.0)</f>
        <v>47</v>
      </c>
      <c r="H76" s="26">
        <f>IFERROR(__xludf.DUMMYFUNCTION("""COMPUTED_VALUE"""),0.0)</f>
        <v>0</v>
      </c>
      <c r="I76" s="27" t="str">
        <f>IFERROR(__xludf.DUMMYFUNCTION("""COMPUTED_VALUE"""),"n/a")</f>
        <v>n/a</v>
      </c>
      <c r="J76" s="5"/>
      <c r="K76" s="5"/>
      <c r="L76" s="5"/>
      <c r="M76" s="5"/>
      <c r="N76" s="5"/>
      <c r="O76" s="5"/>
      <c r="P76" s="5"/>
      <c r="Q76" s="5"/>
      <c r="R76" s="5"/>
      <c r="S76" s="5"/>
      <c r="T76" s="5"/>
    </row>
    <row r="77">
      <c r="A77" s="28" t="str">
        <f>IFERROR(__xludf.DUMMYFUNCTION("""COMPUTED_VALUE"""),"70236")</f>
        <v>70236</v>
      </c>
      <c r="B77" s="9">
        <f>IFERROR(__xludf.DUMMYFUNCTION("""COMPUTED_VALUE"""),499658.1121)</f>
        <v>499658.1121</v>
      </c>
      <c r="C77" s="22">
        <f>IFERROR(__xludf.DUMMYFUNCTION("""COMPUTED_VALUE"""),494789.66235)</f>
        <v>494789.6624</v>
      </c>
      <c r="D77" s="22">
        <f>IFERROR(__xludf.DUMMYFUNCTION("""COMPUTED_VALUE"""),0.0)</f>
        <v>0</v>
      </c>
      <c r="E77" s="24">
        <f>IFERROR(__xludf.DUMMYFUNCTION("""COMPUTED_VALUE"""),-6.837757999998972E-4)</f>
        <v>-0.0006837758</v>
      </c>
      <c r="F77" s="5"/>
      <c r="G77" s="9">
        <f>IFERROR(__xludf.DUMMYFUNCTION("""COMPUTED_VALUE"""),75.0)</f>
        <v>75</v>
      </c>
      <c r="H77" s="26">
        <f>IFERROR(__xludf.DUMMYFUNCTION("""COMPUTED_VALUE"""),2.149672811630288E-4)</f>
        <v>0.0002149672812</v>
      </c>
      <c r="I77" s="27">
        <f>IFERROR(__xludf.DUMMYFUNCTION("""COMPUTED_VALUE"""),-3.835939569680828)</f>
        <v>-3.83593957</v>
      </c>
      <c r="J77" s="5"/>
      <c r="K77" s="5"/>
      <c r="L77" s="5"/>
      <c r="M77" s="5"/>
      <c r="N77" s="5"/>
      <c r="O77" s="5"/>
      <c r="P77" s="5"/>
      <c r="Q77" s="5"/>
      <c r="R77" s="5"/>
      <c r="S77" s="5"/>
      <c r="T77" s="5"/>
    </row>
    <row r="78">
      <c r="A78" s="28" t="str">
        <f>IFERROR(__xludf.DUMMYFUNCTION("""COMPUTED_VALUE"""),"70628")</f>
        <v>70628</v>
      </c>
      <c r="B78" s="9">
        <f>IFERROR(__xludf.DUMMYFUNCTION("""COMPUTED_VALUE"""),424548.336)</f>
        <v>424548.336</v>
      </c>
      <c r="C78" s="22">
        <f>IFERROR(__xludf.DUMMYFUNCTION("""COMPUTED_VALUE"""),8019.278999999995)</f>
        <v>8019.279</v>
      </c>
      <c r="D78" s="22">
        <f>IFERROR(__xludf.DUMMYFUNCTION("""COMPUTED_VALUE"""),0.0)</f>
        <v>0</v>
      </c>
      <c r="E78" s="24">
        <f>IFERROR(__xludf.DUMMYFUNCTION("""COMPUTED_VALUE"""),-0.15090332799999995)</f>
        <v>-0.150903328</v>
      </c>
      <c r="F78" s="5"/>
      <c r="G78" s="9">
        <f>IFERROR(__xludf.DUMMYFUNCTION("""COMPUTED_VALUE"""),115.0)</f>
        <v>115</v>
      </c>
      <c r="H78" s="26">
        <f>IFERROR(__xludf.DUMMYFUNCTION("""COMPUTED_VALUE"""),0.0508024245955174)</f>
        <v>0.0508024246</v>
      </c>
      <c r="I78" s="27">
        <f>IFERROR(__xludf.DUMMYFUNCTION("""COMPUTED_VALUE"""),-3.111321068993758)</f>
        <v>-3.111321069</v>
      </c>
      <c r="J78" s="5"/>
      <c r="K78" s="5"/>
      <c r="L78" s="5"/>
      <c r="M78" s="5"/>
      <c r="N78" s="5"/>
      <c r="O78" s="5"/>
      <c r="P78" s="5"/>
      <c r="Q78" s="5"/>
      <c r="R78" s="5"/>
      <c r="S78" s="5"/>
      <c r="T78" s="5"/>
    </row>
    <row r="79">
      <c r="A79" s="28" t="str">
        <f>IFERROR(__xludf.DUMMYFUNCTION("""COMPUTED_VALUE"""),"71502")</f>
        <v>71502</v>
      </c>
      <c r="B79" s="9">
        <f>IFERROR(__xludf.DUMMYFUNCTION("""COMPUTED_VALUE"""),488462.6335)</f>
        <v>488462.6335</v>
      </c>
      <c r="C79" s="22">
        <f>IFERROR(__xludf.DUMMYFUNCTION("""COMPUTED_VALUE"""),221709.9535)</f>
        <v>221709.9535</v>
      </c>
      <c r="D79" s="22">
        <f>IFERROR(__xludf.DUMMYFUNCTION("""COMPUTED_VALUE"""),0.0)</f>
        <v>0</v>
      </c>
      <c r="E79" s="24">
        <f>IFERROR(__xludf.DUMMYFUNCTION("""COMPUTED_VALUE"""),-0.02307473299999996)</f>
        <v>-0.023074733</v>
      </c>
      <c r="F79" s="5"/>
      <c r="G79" s="9">
        <f>IFERROR(__xludf.DUMMYFUNCTION("""COMPUTED_VALUE"""),91.0)</f>
        <v>91</v>
      </c>
      <c r="H79" s="26">
        <f>IFERROR(__xludf.DUMMYFUNCTION("""COMPUTED_VALUE"""),0.008335656306741306)</f>
        <v>0.008335656307</v>
      </c>
      <c r="I79" s="27">
        <f>IFERROR(__xludf.DUMMYFUNCTION("""COMPUTED_VALUE"""),-3.797349343014644)</f>
        <v>-3.797349343</v>
      </c>
      <c r="J79" s="5"/>
      <c r="K79" s="5"/>
      <c r="L79" s="5"/>
      <c r="M79" s="5"/>
      <c r="N79" s="5"/>
      <c r="O79" s="5"/>
      <c r="P79" s="5"/>
      <c r="Q79" s="5"/>
      <c r="R79" s="5"/>
      <c r="S79" s="5"/>
      <c r="T79" s="5"/>
    </row>
    <row r="80">
      <c r="A80" s="28" t="str">
        <f>IFERROR(__xludf.DUMMYFUNCTION("""COMPUTED_VALUE"""),"73341")</f>
        <v>73341</v>
      </c>
      <c r="B80" s="9">
        <f>IFERROR(__xludf.DUMMYFUNCTION("""COMPUTED_VALUE"""),499821.157329155)</f>
        <v>499821.1573</v>
      </c>
      <c r="C80" s="22">
        <f>IFERROR(__xludf.DUMMYFUNCTION("""COMPUTED_VALUE"""),449654.9914361)</f>
        <v>449654.9914</v>
      </c>
      <c r="D80" s="22">
        <f>IFERROR(__xludf.DUMMYFUNCTION("""COMPUTED_VALUE"""),0.0)</f>
        <v>0</v>
      </c>
      <c r="E80" s="24">
        <f>IFERROR(__xludf.DUMMYFUNCTION("""COMPUTED_VALUE"""),-3.576853416900061E-4)</f>
        <v>-0.0003576853417</v>
      </c>
      <c r="F80" s="5"/>
      <c r="G80" s="9">
        <f>IFERROR(__xludf.DUMMYFUNCTION("""COMPUTED_VALUE"""),73.0)</f>
        <v>73</v>
      </c>
      <c r="H80" s="26">
        <f>IFERROR(__xludf.DUMMYFUNCTION("""COMPUTED_VALUE"""),2.7097995475560744E-4)</f>
        <v>0.0002709799548</v>
      </c>
      <c r="I80" s="27">
        <f>IFERROR(__xludf.DUMMYFUNCTION("""COMPUTED_VALUE"""),-2.9109126006069137)</f>
        <v>-2.910912601</v>
      </c>
      <c r="J80" s="5"/>
      <c r="K80" s="5"/>
      <c r="L80" s="5"/>
      <c r="M80" s="5"/>
      <c r="N80" s="5"/>
      <c r="O80" s="5"/>
      <c r="P80" s="5"/>
      <c r="Q80" s="5"/>
      <c r="R80" s="5"/>
      <c r="S80" s="5"/>
      <c r="T80" s="5"/>
    </row>
    <row r="81">
      <c r="A81" s="28" t="str">
        <f>IFERROR(__xludf.DUMMYFUNCTION("""COMPUTED_VALUE"""),"73542")</f>
        <v>73542</v>
      </c>
      <c r="B81" s="9">
        <f>IFERROR(__xludf.DUMMYFUNCTION("""COMPUTED_VALUE"""),502183.7357924)</f>
        <v>502183.7358</v>
      </c>
      <c r="C81" s="22">
        <f>IFERROR(__xludf.DUMMYFUNCTION("""COMPUTED_VALUE"""),406199.8165286)</f>
        <v>406199.8165</v>
      </c>
      <c r="D81" s="22">
        <f>IFERROR(__xludf.DUMMYFUNCTION("""COMPUTED_VALUE"""),0.0)</f>
        <v>0</v>
      </c>
      <c r="E81" s="24">
        <f>IFERROR(__xludf.DUMMYFUNCTION("""COMPUTED_VALUE"""),0.004367471584800109)</f>
        <v>0.004367471585</v>
      </c>
      <c r="F81" s="5"/>
      <c r="G81" s="9">
        <f>IFERROR(__xludf.DUMMYFUNCTION("""COMPUTED_VALUE"""),42.0)</f>
        <v>42</v>
      </c>
      <c r="H81" s="26">
        <f>IFERROR(__xludf.DUMMYFUNCTION("""COMPUTED_VALUE"""),0.006449865218728457)</f>
        <v>0.006449865219</v>
      </c>
      <c r="I81" s="27">
        <f>IFERROR(__xludf.DUMMYFUNCTION("""COMPUTED_VALUE"""),-0.3540000417636929)</f>
        <v>-0.3540000418</v>
      </c>
      <c r="J81" s="5"/>
      <c r="K81" s="5"/>
      <c r="L81" s="5"/>
      <c r="M81" s="5"/>
      <c r="N81" s="5"/>
      <c r="O81" s="5"/>
      <c r="P81" s="5"/>
      <c r="Q81" s="5"/>
      <c r="R81" s="5"/>
      <c r="S81" s="5"/>
      <c r="T81" s="5"/>
    </row>
    <row r="82">
      <c r="A82" s="28" t="str">
        <f>IFERROR(__xludf.DUMMYFUNCTION("""COMPUTED_VALUE"""),"73879")</f>
        <v>73879</v>
      </c>
      <c r="B82" s="9">
        <f>IFERROR(__xludf.DUMMYFUNCTION("""COMPUTED_VALUE"""),501690.19999999995)</f>
        <v>501690.2</v>
      </c>
      <c r="C82" s="22">
        <f>IFERROR(__xludf.DUMMYFUNCTION("""COMPUTED_VALUE"""),306406.8)</f>
        <v>306406.8</v>
      </c>
      <c r="D82" s="22">
        <f>IFERROR(__xludf.DUMMYFUNCTION("""COMPUTED_VALUE"""),0.0)</f>
        <v>0</v>
      </c>
      <c r="E82" s="24">
        <f>IFERROR(__xludf.DUMMYFUNCTION("""COMPUTED_VALUE"""),0.00338039999999995)</f>
        <v>0.0033804</v>
      </c>
      <c r="F82" s="5"/>
      <c r="G82" s="9">
        <f>IFERROR(__xludf.DUMMYFUNCTION("""COMPUTED_VALUE"""),43.0)</f>
        <v>43</v>
      </c>
      <c r="H82" s="26">
        <f>IFERROR(__xludf.DUMMYFUNCTION("""COMPUTED_VALUE"""),0.01871152740010269)</f>
        <v>0.0187115274</v>
      </c>
      <c r="I82" s="27">
        <f>IFERROR(__xludf.DUMMYFUNCTION("""COMPUTED_VALUE"""),-0.02443413571878832)</f>
        <v>-0.02443413572</v>
      </c>
      <c r="J82" s="5"/>
      <c r="K82" s="5"/>
      <c r="L82" s="5"/>
      <c r="M82" s="5"/>
      <c r="N82" s="5"/>
      <c r="O82" s="5"/>
      <c r="P82" s="5"/>
      <c r="Q82" s="5"/>
      <c r="R82" s="5"/>
      <c r="S82" s="5"/>
      <c r="T82" s="5"/>
    </row>
    <row r="83">
      <c r="A83" s="28" t="str">
        <f>IFERROR(__xludf.DUMMYFUNCTION("""COMPUTED_VALUE"""),"74356")</f>
        <v>74356</v>
      </c>
      <c r="B83" s="9">
        <f>IFERROR(__xludf.DUMMYFUNCTION("""COMPUTED_VALUE"""),499689.7003070001)</f>
        <v>499689.7003</v>
      </c>
      <c r="C83" s="22">
        <f>IFERROR(__xludf.DUMMYFUNCTION("""COMPUTED_VALUE"""),405413.3737624999)</f>
        <v>405413.3738</v>
      </c>
      <c r="D83" s="22">
        <f>IFERROR(__xludf.DUMMYFUNCTION("""COMPUTED_VALUE"""),0.0)</f>
        <v>0</v>
      </c>
      <c r="E83" s="24">
        <f>IFERROR(__xludf.DUMMYFUNCTION("""COMPUTED_VALUE"""),-6.205993859997871E-4)</f>
        <v>-0.000620599386</v>
      </c>
      <c r="F83" s="5"/>
      <c r="G83" s="9">
        <f>IFERROR(__xludf.DUMMYFUNCTION("""COMPUTED_VALUE"""),74.0)</f>
        <v>74</v>
      </c>
      <c r="H83" s="26">
        <f>IFERROR(__xludf.DUMMYFUNCTION("""COMPUTED_VALUE"""),0.014421499443678779)</f>
        <v>0.01442149944</v>
      </c>
      <c r="I83" s="27">
        <f>IFERROR(__xludf.DUMMYFUNCTION("""COMPUTED_VALUE"""),-0.2916577424855445)</f>
        <v>-0.2916577425</v>
      </c>
      <c r="J83" s="5"/>
      <c r="K83" s="5"/>
      <c r="L83" s="5"/>
      <c r="M83" s="5"/>
      <c r="N83" s="5"/>
      <c r="O83" s="5"/>
      <c r="P83" s="5"/>
      <c r="Q83" s="5"/>
      <c r="R83" s="5"/>
      <c r="S83" s="5"/>
      <c r="T83" s="5"/>
    </row>
    <row r="84">
      <c r="A84" s="28" t="str">
        <f>IFERROR(__xludf.DUMMYFUNCTION("""COMPUTED_VALUE"""),"74641")</f>
        <v>74641</v>
      </c>
      <c r="B84" s="9">
        <f>IFERROR(__xludf.DUMMYFUNCTION("""COMPUTED_VALUE"""),526876.69447)</f>
        <v>526876.6945</v>
      </c>
      <c r="C84" s="22">
        <f>IFERROR(__xludf.DUMMYFUNCTION("""COMPUTED_VALUE"""),-90155.92839000002)</f>
        <v>-90155.92839</v>
      </c>
      <c r="D84" s="22">
        <f>IFERROR(__xludf.DUMMYFUNCTION("""COMPUTED_VALUE"""),90155.92839000002)</f>
        <v>90155.92839</v>
      </c>
      <c r="E84" s="24">
        <f>IFERROR(__xludf.DUMMYFUNCTION("""COMPUTED_VALUE"""),0.053753388939999924)</f>
        <v>0.05375338894</v>
      </c>
      <c r="F84" s="5"/>
      <c r="G84" s="9">
        <f>IFERROR(__xludf.DUMMYFUNCTION("""COMPUTED_VALUE"""),21.0)</f>
        <v>21</v>
      </c>
      <c r="H84" s="26">
        <f>IFERROR(__xludf.DUMMYFUNCTION("""COMPUTED_VALUE"""),0.01951348909497003)</f>
        <v>0.01951348909</v>
      </c>
      <c r="I84" s="27">
        <f>IFERROR(__xludf.DUMMYFUNCTION("""COMPUTED_VALUE"""),2.9382670254895222)</f>
        <v>2.938267025</v>
      </c>
      <c r="J84" s="5"/>
      <c r="K84" s="5"/>
      <c r="L84" s="5"/>
      <c r="M84" s="5"/>
      <c r="N84" s="5"/>
      <c r="O84" s="5"/>
      <c r="P84" s="5"/>
      <c r="Q84" s="5"/>
      <c r="R84" s="5"/>
      <c r="S84" s="5"/>
      <c r="T84" s="5"/>
    </row>
    <row r="85">
      <c r="A85" s="28" t="str">
        <f>IFERROR(__xludf.DUMMYFUNCTION("""COMPUTED_VALUE"""),"74972")</f>
        <v>74972</v>
      </c>
      <c r="B85" s="9">
        <f>IFERROR(__xludf.DUMMYFUNCTION("""COMPUTED_VALUE"""),500000.0)</f>
        <v>500000</v>
      </c>
      <c r="C85" s="22">
        <f>IFERROR(__xludf.DUMMYFUNCTION("""COMPUTED_VALUE"""),500000.0)</f>
        <v>500000</v>
      </c>
      <c r="D85" s="22">
        <f>IFERROR(__xludf.DUMMYFUNCTION("""COMPUTED_VALUE"""),0.0)</f>
        <v>0</v>
      </c>
      <c r="E85" s="24">
        <f>IFERROR(__xludf.DUMMYFUNCTION("""COMPUTED_VALUE"""),0.0)</f>
        <v>0</v>
      </c>
      <c r="F85" s="5"/>
      <c r="G85" s="9">
        <f>IFERROR(__xludf.DUMMYFUNCTION("""COMPUTED_VALUE"""),47.0)</f>
        <v>47</v>
      </c>
      <c r="H85" s="26">
        <f>IFERROR(__xludf.DUMMYFUNCTION("""COMPUTED_VALUE"""),0.0)</f>
        <v>0</v>
      </c>
      <c r="I85" s="27" t="str">
        <f>IFERROR(__xludf.DUMMYFUNCTION("""COMPUTED_VALUE"""),"n/a")</f>
        <v>n/a</v>
      </c>
      <c r="J85" s="5"/>
      <c r="K85" s="5"/>
      <c r="L85" s="5"/>
      <c r="M85" s="5"/>
      <c r="N85" s="5"/>
      <c r="O85" s="5"/>
      <c r="P85" s="5"/>
      <c r="Q85" s="5"/>
      <c r="R85" s="5"/>
      <c r="S85" s="5"/>
      <c r="T85" s="5"/>
    </row>
    <row r="86">
      <c r="A86" s="28" t="str">
        <f>IFERROR(__xludf.DUMMYFUNCTION("""COMPUTED_VALUE"""),"75005")</f>
        <v>75005</v>
      </c>
      <c r="B86" s="9">
        <f>IFERROR(__xludf.DUMMYFUNCTION("""COMPUTED_VALUE"""),500000.0)</f>
        <v>500000</v>
      </c>
      <c r="C86" s="22">
        <f>IFERROR(__xludf.DUMMYFUNCTION("""COMPUTED_VALUE"""),500000.0)</f>
        <v>500000</v>
      </c>
      <c r="D86" s="22">
        <f>IFERROR(__xludf.DUMMYFUNCTION("""COMPUTED_VALUE"""),0.0)</f>
        <v>0</v>
      </c>
      <c r="E86" s="24">
        <f>IFERROR(__xludf.DUMMYFUNCTION("""COMPUTED_VALUE"""),0.0)</f>
        <v>0</v>
      </c>
      <c r="F86" s="5"/>
      <c r="G86" s="9">
        <f>IFERROR(__xludf.DUMMYFUNCTION("""COMPUTED_VALUE"""),47.0)</f>
        <v>47</v>
      </c>
      <c r="H86" s="26">
        <f>IFERROR(__xludf.DUMMYFUNCTION("""COMPUTED_VALUE"""),0.0)</f>
        <v>0</v>
      </c>
      <c r="I86" s="27" t="str">
        <f>IFERROR(__xludf.DUMMYFUNCTION("""COMPUTED_VALUE"""),"n/a")</f>
        <v>n/a</v>
      </c>
      <c r="J86" s="5"/>
      <c r="K86" s="5"/>
      <c r="L86" s="5"/>
      <c r="M86" s="5"/>
      <c r="N86" s="5"/>
      <c r="O86" s="5"/>
      <c r="P86" s="5"/>
      <c r="Q86" s="5"/>
      <c r="R86" s="5"/>
      <c r="S86" s="5"/>
      <c r="T86" s="5"/>
    </row>
    <row r="87">
      <c r="A87" s="28" t="str">
        <f>IFERROR(__xludf.DUMMYFUNCTION("""COMPUTED_VALUE"""),"75076")</f>
        <v>75076</v>
      </c>
      <c r="B87" s="9">
        <f>IFERROR(__xludf.DUMMYFUNCTION("""COMPUTED_VALUE"""),557349.1657199999)</f>
        <v>557349.1657</v>
      </c>
      <c r="C87" s="22">
        <f>IFERROR(__xludf.DUMMYFUNCTION("""COMPUTED_VALUE"""),60614.28091999999)</f>
        <v>60614.28092</v>
      </c>
      <c r="D87" s="22">
        <f>IFERROR(__xludf.DUMMYFUNCTION("""COMPUTED_VALUE"""),0.0)</f>
        <v>0</v>
      </c>
      <c r="E87" s="24">
        <f>IFERROR(__xludf.DUMMYFUNCTION("""COMPUTED_VALUE"""),0.11469833143999986)</f>
        <v>0.1146983314</v>
      </c>
      <c r="F87" s="5"/>
      <c r="G87" s="9">
        <f>IFERROR(__xludf.DUMMYFUNCTION("""COMPUTED_VALUE"""),11.0)</f>
        <v>11</v>
      </c>
      <c r="H87" s="26">
        <f>IFERROR(__xludf.DUMMYFUNCTION("""COMPUTED_VALUE"""),0.047936381904358484)</f>
        <v>0.0479363819</v>
      </c>
      <c r="I87" s="27">
        <f>IFERROR(__xludf.DUMMYFUNCTION("""COMPUTED_VALUE"""),2.085493560182739)</f>
        <v>2.08549356</v>
      </c>
      <c r="J87" s="5"/>
      <c r="K87" s="5"/>
      <c r="L87" s="5"/>
      <c r="M87" s="5"/>
      <c r="N87" s="5"/>
      <c r="O87" s="5"/>
      <c r="P87" s="5"/>
      <c r="Q87" s="5"/>
      <c r="R87" s="5"/>
      <c r="S87" s="5"/>
      <c r="T87" s="5"/>
    </row>
    <row r="88">
      <c r="A88" s="28" t="str">
        <f>IFERROR(__xludf.DUMMYFUNCTION("""COMPUTED_VALUE"""),"75288")</f>
        <v>75288</v>
      </c>
      <c r="B88" s="9">
        <f>IFERROR(__xludf.DUMMYFUNCTION("""COMPUTED_VALUE"""),480431.95391)</f>
        <v>480431.9539</v>
      </c>
      <c r="C88" s="22">
        <f>IFERROR(__xludf.DUMMYFUNCTION("""COMPUTED_VALUE"""),293631.74389499996)</f>
        <v>293631.7439</v>
      </c>
      <c r="D88" s="22">
        <f>IFERROR(__xludf.DUMMYFUNCTION("""COMPUTED_VALUE"""),0.0)</f>
        <v>0</v>
      </c>
      <c r="E88" s="24">
        <f>IFERROR(__xludf.DUMMYFUNCTION("""COMPUTED_VALUE"""),-0.039136092180000026)</f>
        <v>-0.03913609218</v>
      </c>
      <c r="F88" s="5"/>
      <c r="G88" s="9">
        <f>IFERROR(__xludf.DUMMYFUNCTION("""COMPUTED_VALUE"""),103.0)</f>
        <v>103</v>
      </c>
      <c r="H88" s="26">
        <f>IFERROR(__xludf.DUMMYFUNCTION("""COMPUTED_VALUE"""),0.018179346002973856)</f>
        <v>0.018179346</v>
      </c>
      <c r="I88" s="27">
        <f>IFERROR(__xludf.DUMMYFUNCTION("""COMPUTED_VALUE"""),-2.631149656988505)</f>
        <v>-2.631149657</v>
      </c>
      <c r="J88" s="5"/>
      <c r="K88" s="5"/>
      <c r="L88" s="5"/>
      <c r="M88" s="5"/>
      <c r="N88" s="5"/>
      <c r="O88" s="5"/>
      <c r="P88" s="5"/>
      <c r="Q88" s="5"/>
      <c r="R88" s="5"/>
      <c r="S88" s="5"/>
      <c r="T88" s="5"/>
    </row>
    <row r="89">
      <c r="A89" s="28" t="str">
        <f>IFERROR(__xludf.DUMMYFUNCTION("""COMPUTED_VALUE"""),"75369")</f>
        <v>75369</v>
      </c>
      <c r="B89" s="9">
        <f>IFERROR(__xludf.DUMMYFUNCTION("""COMPUTED_VALUE"""),461713.30574999994)</f>
        <v>461713.3058</v>
      </c>
      <c r="C89" s="22">
        <f>IFERROR(__xludf.DUMMYFUNCTION("""COMPUTED_VALUE"""),-218458.609625)</f>
        <v>-218458.6096</v>
      </c>
      <c r="D89" s="22">
        <f>IFERROR(__xludf.DUMMYFUNCTION("""COMPUTED_VALUE"""),218458.609625)</f>
        <v>218458.6096</v>
      </c>
      <c r="E89" s="24">
        <f>IFERROR(__xludf.DUMMYFUNCTION("""COMPUTED_VALUE"""),-0.07657338850000017)</f>
        <v>-0.0765733885</v>
      </c>
      <c r="F89" s="5"/>
      <c r="G89" s="9">
        <f>IFERROR(__xludf.DUMMYFUNCTION("""COMPUTED_VALUE"""),109.0)</f>
        <v>109</v>
      </c>
      <c r="H89" s="26">
        <f>IFERROR(__xludf.DUMMYFUNCTION("""COMPUTED_VALUE"""),0.02264243181687502)</f>
        <v>0.02264243182</v>
      </c>
      <c r="I89" s="27">
        <f>IFERROR(__xludf.DUMMYFUNCTION("""COMPUTED_VALUE"""),-4.32313505641418)</f>
        <v>-4.323135056</v>
      </c>
      <c r="J89" s="5"/>
      <c r="K89" s="5"/>
      <c r="L89" s="5"/>
      <c r="M89" s="5"/>
      <c r="N89" s="5"/>
      <c r="O89" s="5"/>
      <c r="P89" s="5"/>
      <c r="Q89" s="5"/>
      <c r="R89" s="5"/>
      <c r="S89" s="5"/>
      <c r="T89" s="5"/>
    </row>
    <row r="90">
      <c r="A90" s="28" t="str">
        <f>IFERROR(__xludf.DUMMYFUNCTION("""COMPUTED_VALUE"""),"75415")</f>
        <v>75415</v>
      </c>
      <c r="B90" s="9">
        <f>IFERROR(__xludf.DUMMYFUNCTION("""COMPUTED_VALUE"""),447026.92994)</f>
        <v>447026.9299</v>
      </c>
      <c r="C90" s="22">
        <f>IFERROR(__xludf.DUMMYFUNCTION("""COMPUTED_VALUE"""),227201.09204000002)</f>
        <v>227201.092</v>
      </c>
      <c r="D90" s="22">
        <f>IFERROR(__xludf.DUMMYFUNCTION("""COMPUTED_VALUE"""),0.0)</f>
        <v>0</v>
      </c>
      <c r="E90" s="24">
        <f>IFERROR(__xludf.DUMMYFUNCTION("""COMPUTED_VALUE"""),-0.10594614012000003)</f>
        <v>-0.1059461401</v>
      </c>
      <c r="F90" s="5"/>
      <c r="G90" s="9">
        <f>IFERROR(__xludf.DUMMYFUNCTION("""COMPUTED_VALUE"""),114.0)</f>
        <v>114</v>
      </c>
      <c r="H90" s="26">
        <f>IFERROR(__xludf.DUMMYFUNCTION("""COMPUTED_VALUE"""),0.05250736347212166)</f>
        <v>0.05250736347</v>
      </c>
      <c r="I90" s="27">
        <f>IFERROR(__xludf.DUMMYFUNCTION("""COMPUTED_VALUE"""),-2.466285954897656)</f>
        <v>-2.466285955</v>
      </c>
      <c r="J90" s="5"/>
      <c r="K90" s="5"/>
      <c r="L90" s="5"/>
      <c r="M90" s="5"/>
      <c r="N90" s="5"/>
      <c r="O90" s="5"/>
      <c r="P90" s="5"/>
      <c r="Q90" s="5"/>
      <c r="R90" s="5"/>
      <c r="S90" s="5"/>
      <c r="T90" s="5"/>
    </row>
    <row r="91">
      <c r="A91" s="28" t="str">
        <f>IFERROR(__xludf.DUMMYFUNCTION("""COMPUTED_VALUE"""),"75597")</f>
        <v>75597</v>
      </c>
      <c r="B91" s="9">
        <f>IFERROR(__xludf.DUMMYFUNCTION("""COMPUTED_VALUE"""),501271.885767)</f>
        <v>501271.8858</v>
      </c>
      <c r="C91" s="22">
        <f>IFERROR(__xludf.DUMMYFUNCTION("""COMPUTED_VALUE"""),-43177.755183)</f>
        <v>-43177.75518</v>
      </c>
      <c r="D91" s="22">
        <f>IFERROR(__xludf.DUMMYFUNCTION("""COMPUTED_VALUE"""),43177.755183)</f>
        <v>43177.75518</v>
      </c>
      <c r="E91" s="24">
        <f>IFERROR(__xludf.DUMMYFUNCTION("""COMPUTED_VALUE"""),0.0025437715339999833)</f>
        <v>0.002543771534</v>
      </c>
      <c r="F91" s="5"/>
      <c r="G91" s="9">
        <f>IFERROR(__xludf.DUMMYFUNCTION("""COMPUTED_VALUE"""),45.0)</f>
        <v>45</v>
      </c>
      <c r="H91" s="26">
        <f>IFERROR(__xludf.DUMMYFUNCTION("""COMPUTED_VALUE"""),0.0051940526620455054)</f>
        <v>0.005194052662</v>
      </c>
      <c r="I91" s="27">
        <f>IFERROR(__xludf.DUMMYFUNCTION("""COMPUTED_VALUE"""),2.0303717578879814)</f>
        <v>2.030371758</v>
      </c>
      <c r="J91" s="5"/>
      <c r="K91" s="5"/>
      <c r="L91" s="5"/>
      <c r="M91" s="5"/>
      <c r="N91" s="5"/>
      <c r="O91" s="5"/>
      <c r="P91" s="5"/>
      <c r="Q91" s="5"/>
      <c r="R91" s="5"/>
      <c r="S91" s="5"/>
      <c r="T91" s="5"/>
    </row>
    <row r="92">
      <c r="A92" s="28" t="str">
        <f>IFERROR(__xludf.DUMMYFUNCTION("""COMPUTED_VALUE"""),"75965")</f>
        <v>75965</v>
      </c>
      <c r="B92" s="9">
        <f>IFERROR(__xludf.DUMMYFUNCTION("""COMPUTED_VALUE"""),684138.0155125)</f>
        <v>684138.0155</v>
      </c>
      <c r="C92" s="22">
        <f>IFERROR(__xludf.DUMMYFUNCTION("""COMPUTED_VALUE"""),-246132.6484525)</f>
        <v>-246132.6485</v>
      </c>
      <c r="D92" s="22">
        <f>IFERROR(__xludf.DUMMYFUNCTION("""COMPUTED_VALUE"""),246132.6484525)</f>
        <v>246132.6485</v>
      </c>
      <c r="E92" s="24">
        <f>IFERROR(__xludf.DUMMYFUNCTION("""COMPUTED_VALUE"""),0.36827603102499995)</f>
        <v>0.368276031</v>
      </c>
      <c r="F92" s="5"/>
      <c r="G92" s="9">
        <f>IFERROR(__xludf.DUMMYFUNCTION("""COMPUTED_VALUE"""),3.0)</f>
        <v>3</v>
      </c>
      <c r="H92" s="26">
        <f>IFERROR(__xludf.DUMMYFUNCTION("""COMPUTED_VALUE"""),0.13450776914312335)</f>
        <v>0.1345077691</v>
      </c>
      <c r="I92" s="27">
        <f>IFERROR(__xludf.DUMMYFUNCTION("""COMPUTED_VALUE"""),2.293139860023982)</f>
        <v>2.29313986</v>
      </c>
      <c r="J92" s="5"/>
      <c r="K92" s="5"/>
      <c r="L92" s="5"/>
      <c r="M92" s="5"/>
      <c r="N92" s="5"/>
      <c r="O92" s="5"/>
      <c r="P92" s="5"/>
      <c r="Q92" s="5"/>
      <c r="R92" s="5"/>
      <c r="S92" s="5"/>
      <c r="T92" s="5"/>
    </row>
    <row r="93">
      <c r="A93" s="28" t="str">
        <f>IFERROR(__xludf.DUMMYFUNCTION("""COMPUTED_VALUE"""),"75973")</f>
        <v>75973</v>
      </c>
      <c r="B93" s="9">
        <f>IFERROR(__xludf.DUMMYFUNCTION("""COMPUTED_VALUE"""),514441.4193518825)</f>
        <v>514441.4194</v>
      </c>
      <c r="C93" s="22">
        <f>IFERROR(__xludf.DUMMYFUNCTION("""COMPUTED_VALUE"""),-193641.44274415)</f>
        <v>-193641.4427</v>
      </c>
      <c r="D93" s="22">
        <f>IFERROR(__xludf.DUMMYFUNCTION("""COMPUTED_VALUE"""),193641.44274415)</f>
        <v>193641.4427</v>
      </c>
      <c r="E93" s="24">
        <f>IFERROR(__xludf.DUMMYFUNCTION("""COMPUTED_VALUE"""),0.028882838703764957)</f>
        <v>0.0288828387</v>
      </c>
      <c r="F93" s="5"/>
      <c r="G93" s="9">
        <f>IFERROR(__xludf.DUMMYFUNCTION("""COMPUTED_VALUE"""),28.0)</f>
        <v>28</v>
      </c>
      <c r="H93" s="26">
        <f>IFERROR(__xludf.DUMMYFUNCTION("""COMPUTED_VALUE"""),0.02886950644480695)</f>
        <v>0.02886950644</v>
      </c>
      <c r="I93" s="27">
        <f>IFERROR(__xludf.DUMMYFUNCTION("""COMPUTED_VALUE"""),0.23706741247479965)</f>
        <v>0.2370674125</v>
      </c>
      <c r="J93" s="5"/>
      <c r="K93" s="5"/>
      <c r="L93" s="5"/>
      <c r="M93" s="5"/>
      <c r="N93" s="5"/>
      <c r="O93" s="5"/>
      <c r="P93" s="5"/>
      <c r="Q93" s="5"/>
      <c r="R93" s="5"/>
      <c r="S93" s="5"/>
      <c r="T93" s="5"/>
    </row>
    <row r="94">
      <c r="A94" s="28" t="str">
        <f>IFERROR(__xludf.DUMMYFUNCTION("""COMPUTED_VALUE"""),"76369")</f>
        <v>76369</v>
      </c>
      <c r="B94" s="9">
        <f>IFERROR(__xludf.DUMMYFUNCTION("""COMPUTED_VALUE"""),487902.13761674997)</f>
        <v>487902.1376</v>
      </c>
      <c r="C94" s="22">
        <f>IFERROR(__xludf.DUMMYFUNCTION("""COMPUTED_VALUE"""),444723.1813147501)</f>
        <v>444723.1813</v>
      </c>
      <c r="D94" s="22">
        <f>IFERROR(__xludf.DUMMYFUNCTION("""COMPUTED_VALUE"""),0.0)</f>
        <v>0</v>
      </c>
      <c r="E94" s="24">
        <f>IFERROR(__xludf.DUMMYFUNCTION("""COMPUTED_VALUE"""),-0.024195724766500115)</f>
        <v>-0.02419572477</v>
      </c>
      <c r="F94" s="5"/>
      <c r="G94" s="9">
        <f>IFERROR(__xludf.DUMMYFUNCTION("""COMPUTED_VALUE"""),94.0)</f>
        <v>94</v>
      </c>
      <c r="H94" s="26">
        <f>IFERROR(__xludf.DUMMYFUNCTION("""COMPUTED_VALUE"""),0.009049482569912061)</f>
        <v>0.00904948257</v>
      </c>
      <c r="I94" s="27">
        <f>IFERROR(__xludf.DUMMYFUNCTION("""COMPUTED_VALUE"""),-2.3647272468538416)</f>
        <v>-2.364727247</v>
      </c>
      <c r="J94" s="5"/>
      <c r="K94" s="5"/>
      <c r="L94" s="5"/>
      <c r="M94" s="5"/>
      <c r="N94" s="5"/>
      <c r="O94" s="5"/>
      <c r="P94" s="5"/>
      <c r="Q94" s="5"/>
      <c r="R94" s="5"/>
      <c r="S94" s="5"/>
      <c r="T94" s="5"/>
    </row>
    <row r="95">
      <c r="A95" s="28" t="str">
        <f>IFERROR(__xludf.DUMMYFUNCTION("""COMPUTED_VALUE"""),"76796")</f>
        <v>76796</v>
      </c>
      <c r="B95" s="9">
        <f>IFERROR(__xludf.DUMMYFUNCTION("""COMPUTED_VALUE"""),481620.20535)</f>
        <v>481620.2054</v>
      </c>
      <c r="C95" s="22">
        <f>IFERROR(__xludf.DUMMYFUNCTION("""COMPUTED_VALUE"""),257525.39665)</f>
        <v>257525.3967</v>
      </c>
      <c r="D95" s="22">
        <f>IFERROR(__xludf.DUMMYFUNCTION("""COMPUTED_VALUE"""),0.0)</f>
        <v>0</v>
      </c>
      <c r="E95" s="24">
        <f>IFERROR(__xludf.DUMMYFUNCTION("""COMPUTED_VALUE"""),-0.036759589300000006)</f>
        <v>-0.0367595893</v>
      </c>
      <c r="F95" s="5"/>
      <c r="G95" s="9">
        <f>IFERROR(__xludf.DUMMYFUNCTION("""COMPUTED_VALUE"""),100.0)</f>
        <v>100</v>
      </c>
      <c r="H95" s="26">
        <f>IFERROR(__xludf.DUMMYFUNCTION("""COMPUTED_VALUE"""),0.01590376601513127)</f>
        <v>0.01590376602</v>
      </c>
      <c r="I95" s="27">
        <f>IFERROR(__xludf.DUMMYFUNCTION("""COMPUTED_VALUE"""),-2.856151835784222)</f>
        <v>-2.856151836</v>
      </c>
      <c r="J95" s="5"/>
      <c r="K95" s="5"/>
      <c r="L95" s="5"/>
      <c r="M95" s="5"/>
      <c r="N95" s="5"/>
      <c r="O95" s="5"/>
      <c r="P95" s="5"/>
      <c r="Q95" s="5"/>
      <c r="R95" s="5"/>
      <c r="S95" s="5"/>
      <c r="T95" s="5"/>
    </row>
    <row r="96">
      <c r="A96" s="28" t="str">
        <f>IFERROR(__xludf.DUMMYFUNCTION("""COMPUTED_VALUE"""),"76848")</f>
        <v>76848</v>
      </c>
      <c r="B96" s="9">
        <f>IFERROR(__xludf.DUMMYFUNCTION("""COMPUTED_VALUE"""),488676.59330700006)</f>
        <v>488676.5933</v>
      </c>
      <c r="C96" s="22">
        <f>IFERROR(__xludf.DUMMYFUNCTION("""COMPUTED_VALUE"""),409714.76947749994)</f>
        <v>409714.7695</v>
      </c>
      <c r="D96" s="22">
        <f>IFERROR(__xludf.DUMMYFUNCTION("""COMPUTED_VALUE"""),0.0)</f>
        <v>0</v>
      </c>
      <c r="E96" s="24">
        <f>IFERROR(__xludf.DUMMYFUNCTION("""COMPUTED_VALUE"""),-0.02264681338599983)</f>
        <v>-0.02264681339</v>
      </c>
      <c r="F96" s="5"/>
      <c r="G96" s="9">
        <f>IFERROR(__xludf.DUMMYFUNCTION("""COMPUTED_VALUE"""),90.0)</f>
        <v>90</v>
      </c>
      <c r="H96" s="26">
        <f>IFERROR(__xludf.DUMMYFUNCTION("""COMPUTED_VALUE"""),0.014768490137090317)</f>
        <v>0.01476849014</v>
      </c>
      <c r="I96" s="27">
        <f>IFERROR(__xludf.DUMMYFUNCTION("""COMPUTED_VALUE"""),-1.7116120314503656)</f>
        <v>-1.711612031</v>
      </c>
      <c r="J96" s="5"/>
      <c r="K96" s="5"/>
      <c r="L96" s="5"/>
      <c r="M96" s="5"/>
      <c r="N96" s="5"/>
      <c r="O96" s="5"/>
      <c r="P96" s="5"/>
      <c r="Q96" s="5"/>
      <c r="R96" s="5"/>
      <c r="S96" s="5"/>
      <c r="T96" s="5"/>
    </row>
    <row r="97">
      <c r="A97" s="28" t="str">
        <f>IFERROR(__xludf.DUMMYFUNCTION("""COMPUTED_VALUE"""),"76937")</f>
        <v>76937</v>
      </c>
      <c r="B97" s="9">
        <f>IFERROR(__xludf.DUMMYFUNCTION("""COMPUTED_VALUE"""),500000.0)</f>
        <v>500000</v>
      </c>
      <c r="C97" s="22">
        <f>IFERROR(__xludf.DUMMYFUNCTION("""COMPUTED_VALUE"""),500000.0)</f>
        <v>500000</v>
      </c>
      <c r="D97" s="22">
        <f>IFERROR(__xludf.DUMMYFUNCTION("""COMPUTED_VALUE"""),0.0)</f>
        <v>0</v>
      </c>
      <c r="E97" s="24">
        <f>IFERROR(__xludf.DUMMYFUNCTION("""COMPUTED_VALUE"""),0.0)</f>
        <v>0</v>
      </c>
      <c r="F97" s="5"/>
      <c r="G97" s="9">
        <f>IFERROR(__xludf.DUMMYFUNCTION("""COMPUTED_VALUE"""),47.0)</f>
        <v>47</v>
      </c>
      <c r="H97" s="26">
        <f>IFERROR(__xludf.DUMMYFUNCTION("""COMPUTED_VALUE"""),0.0)</f>
        <v>0</v>
      </c>
      <c r="I97" s="27" t="str">
        <f>IFERROR(__xludf.DUMMYFUNCTION("""COMPUTED_VALUE"""),"n/a")</f>
        <v>n/a</v>
      </c>
      <c r="J97" s="5"/>
      <c r="K97" s="5"/>
      <c r="L97" s="5"/>
      <c r="M97" s="5"/>
      <c r="N97" s="5"/>
      <c r="O97" s="5"/>
      <c r="P97" s="5"/>
      <c r="Q97" s="5"/>
      <c r="R97" s="5"/>
      <c r="S97" s="5"/>
      <c r="T97" s="5"/>
    </row>
    <row r="98">
      <c r="A98" s="28" t="str">
        <f>IFERROR(__xludf.DUMMYFUNCTION("""COMPUTED_VALUE"""),"76938")</f>
        <v>76938</v>
      </c>
      <c r="B98" s="9">
        <f>IFERROR(__xludf.DUMMYFUNCTION("""COMPUTED_VALUE"""),500000.0)</f>
        <v>500000</v>
      </c>
      <c r="C98" s="22">
        <f>IFERROR(__xludf.DUMMYFUNCTION("""COMPUTED_VALUE"""),500000.0)</f>
        <v>500000</v>
      </c>
      <c r="D98" s="22">
        <f>IFERROR(__xludf.DUMMYFUNCTION("""COMPUTED_VALUE"""),0.0)</f>
        <v>0</v>
      </c>
      <c r="E98" s="24">
        <f>IFERROR(__xludf.DUMMYFUNCTION("""COMPUTED_VALUE"""),0.0)</f>
        <v>0</v>
      </c>
      <c r="F98" s="5"/>
      <c r="G98" s="9">
        <f>IFERROR(__xludf.DUMMYFUNCTION("""COMPUTED_VALUE"""),47.0)</f>
        <v>47</v>
      </c>
      <c r="H98" s="26">
        <f>IFERROR(__xludf.DUMMYFUNCTION("""COMPUTED_VALUE"""),0.0)</f>
        <v>0</v>
      </c>
      <c r="I98" s="27" t="str">
        <f>IFERROR(__xludf.DUMMYFUNCTION("""COMPUTED_VALUE"""),"n/a")</f>
        <v>n/a</v>
      </c>
      <c r="J98" s="5"/>
      <c r="K98" s="5"/>
      <c r="L98" s="5"/>
      <c r="M98" s="5"/>
      <c r="N98" s="5"/>
      <c r="O98" s="5"/>
      <c r="P98" s="5"/>
      <c r="Q98" s="5"/>
      <c r="R98" s="5"/>
      <c r="S98" s="5"/>
      <c r="T98" s="5"/>
    </row>
    <row r="99">
      <c r="A99" s="28" t="str">
        <f>IFERROR(__xludf.DUMMYFUNCTION("""COMPUTED_VALUE"""),"76975")</f>
        <v>76975</v>
      </c>
      <c r="B99" s="9">
        <f>IFERROR(__xludf.DUMMYFUNCTION("""COMPUTED_VALUE"""),448178.793068)</f>
        <v>448178.7931</v>
      </c>
      <c r="C99" s="22">
        <f>IFERROR(__xludf.DUMMYFUNCTION("""COMPUTED_VALUE"""),131487.17922)</f>
        <v>131487.1792</v>
      </c>
      <c r="D99" s="22">
        <f>IFERROR(__xludf.DUMMYFUNCTION("""COMPUTED_VALUE"""),0.0)</f>
        <v>0</v>
      </c>
      <c r="E99" s="24">
        <f>IFERROR(__xludf.DUMMYFUNCTION("""COMPUTED_VALUE"""),-0.10364241386399997)</f>
        <v>-0.1036424139</v>
      </c>
      <c r="F99" s="5"/>
      <c r="G99" s="9">
        <f>IFERROR(__xludf.DUMMYFUNCTION("""COMPUTED_VALUE"""),113.0)</f>
        <v>113</v>
      </c>
      <c r="H99" s="26">
        <f>IFERROR(__xludf.DUMMYFUNCTION("""COMPUTED_VALUE"""),0.054483670991566764)</f>
        <v>0.05448367099</v>
      </c>
      <c r="I99" s="27">
        <f>IFERROR(__xludf.DUMMYFUNCTION("""COMPUTED_VALUE"""),-2.1221558591728624)</f>
        <v>-2.122155859</v>
      </c>
      <c r="J99" s="5"/>
      <c r="K99" s="5"/>
      <c r="L99" s="5"/>
      <c r="M99" s="5"/>
      <c r="N99" s="5"/>
      <c r="O99" s="5"/>
      <c r="P99" s="5"/>
      <c r="Q99" s="5"/>
      <c r="R99" s="5"/>
      <c r="S99" s="5"/>
      <c r="T99" s="5"/>
    </row>
    <row r="100">
      <c r="A100" s="28" t="str">
        <f>IFERROR(__xludf.DUMMYFUNCTION("""COMPUTED_VALUE"""),"77134")</f>
        <v>77134</v>
      </c>
      <c r="B100" s="9">
        <f>IFERROR(__xludf.DUMMYFUNCTION("""COMPUTED_VALUE"""),500000.0)</f>
        <v>500000</v>
      </c>
      <c r="C100" s="22">
        <f>IFERROR(__xludf.DUMMYFUNCTION("""COMPUTED_VALUE"""),500000.0)</f>
        <v>500000</v>
      </c>
      <c r="D100" s="22">
        <f>IFERROR(__xludf.DUMMYFUNCTION("""COMPUTED_VALUE"""),0.0)</f>
        <v>0</v>
      </c>
      <c r="E100" s="24">
        <f>IFERROR(__xludf.DUMMYFUNCTION("""COMPUTED_VALUE"""),0.0)</f>
        <v>0</v>
      </c>
      <c r="F100" s="5"/>
      <c r="G100" s="9">
        <f>IFERROR(__xludf.DUMMYFUNCTION("""COMPUTED_VALUE"""),47.0)</f>
        <v>47</v>
      </c>
      <c r="H100" s="26">
        <f>IFERROR(__xludf.DUMMYFUNCTION("""COMPUTED_VALUE"""),0.0)</f>
        <v>0</v>
      </c>
      <c r="I100" s="27" t="str">
        <f>IFERROR(__xludf.DUMMYFUNCTION("""COMPUTED_VALUE"""),"n/a")</f>
        <v>n/a</v>
      </c>
      <c r="J100" s="5"/>
      <c r="K100" s="5"/>
      <c r="L100" s="5"/>
      <c r="M100" s="5"/>
      <c r="N100" s="5"/>
      <c r="O100" s="5"/>
      <c r="P100" s="5"/>
      <c r="Q100" s="5"/>
      <c r="R100" s="5"/>
      <c r="S100" s="5"/>
      <c r="T100" s="5"/>
    </row>
    <row r="101">
      <c r="A101" s="28" t="str">
        <f>IFERROR(__xludf.DUMMYFUNCTION("""COMPUTED_VALUE"""),"77216")</f>
        <v>77216</v>
      </c>
      <c r="B101" s="9">
        <f>IFERROR(__xludf.DUMMYFUNCTION("""COMPUTED_VALUE"""),503762.8472)</f>
        <v>503762.8472</v>
      </c>
      <c r="C101" s="22">
        <f>IFERROR(__xludf.DUMMYFUNCTION("""COMPUTED_VALUE"""),25881.252800000017)</f>
        <v>25881.2528</v>
      </c>
      <c r="D101" s="22">
        <f>IFERROR(__xludf.DUMMYFUNCTION("""COMPUTED_VALUE"""),0.0)</f>
        <v>0</v>
      </c>
      <c r="E101" s="24">
        <f>IFERROR(__xludf.DUMMYFUNCTION("""COMPUTED_VALUE"""),0.007525694399999949)</f>
        <v>0.0075256944</v>
      </c>
      <c r="F101" s="5"/>
      <c r="G101" s="9">
        <f>IFERROR(__xludf.DUMMYFUNCTION("""COMPUTED_VALUE"""),38.0)</f>
        <v>38</v>
      </c>
      <c r="H101" s="26">
        <f>IFERROR(__xludf.DUMMYFUNCTION("""COMPUTED_VALUE"""),0.003102427933604289)</f>
        <v>0.003102427934</v>
      </c>
      <c r="I101" s="27">
        <f>IFERROR(__xludf.DUMMYFUNCTION("""COMPUTED_VALUE"""),-7.2772305056481095)</f>
        <v>-7.277230506</v>
      </c>
      <c r="J101" s="5"/>
      <c r="K101" s="5"/>
      <c r="L101" s="5"/>
      <c r="M101" s="5"/>
      <c r="N101" s="5"/>
      <c r="O101" s="5"/>
      <c r="P101" s="5"/>
      <c r="Q101" s="5"/>
      <c r="R101" s="5"/>
      <c r="S101" s="5"/>
      <c r="T101" s="5"/>
    </row>
    <row r="102">
      <c r="A102" s="28" t="str">
        <f>IFERROR(__xludf.DUMMYFUNCTION("""COMPUTED_VALUE"""),"77393")</f>
        <v>77393</v>
      </c>
      <c r="B102" s="9">
        <f>IFERROR(__xludf.DUMMYFUNCTION("""COMPUTED_VALUE"""),504924.316)</f>
        <v>504924.316</v>
      </c>
      <c r="C102" s="22">
        <f>IFERROR(__xludf.DUMMYFUNCTION("""COMPUTED_VALUE"""),30466.4694)</f>
        <v>30466.4694</v>
      </c>
      <c r="D102" s="22">
        <f>IFERROR(__xludf.DUMMYFUNCTION("""COMPUTED_VALUE"""),0.0)</f>
        <v>0</v>
      </c>
      <c r="E102" s="24">
        <f>IFERROR(__xludf.DUMMYFUNCTION("""COMPUTED_VALUE"""),0.009848631999999968)</f>
        <v>0.009848632</v>
      </c>
      <c r="F102" s="5"/>
      <c r="G102" s="9">
        <f>IFERROR(__xludf.DUMMYFUNCTION("""COMPUTED_VALUE"""),34.0)</f>
        <v>34</v>
      </c>
      <c r="H102" s="26">
        <f>IFERROR(__xludf.DUMMYFUNCTION("""COMPUTED_VALUE"""),0.007237058401773517)</f>
        <v>0.007237058402</v>
      </c>
      <c r="I102" s="27">
        <f>IFERROR(__xludf.DUMMYFUNCTION("""COMPUTED_VALUE"""),1.5649903830021008)</f>
        <v>1.564990383</v>
      </c>
      <c r="J102" s="5"/>
      <c r="K102" s="5"/>
      <c r="L102" s="5"/>
      <c r="M102" s="5"/>
      <c r="N102" s="5"/>
      <c r="O102" s="5"/>
      <c r="P102" s="5"/>
      <c r="Q102" s="5"/>
      <c r="R102" s="5"/>
      <c r="S102" s="5"/>
      <c r="T102" s="5"/>
    </row>
    <row r="103">
      <c r="A103" s="28" t="str">
        <f>IFERROR(__xludf.DUMMYFUNCTION("""COMPUTED_VALUE"""),"77603")</f>
        <v>77603</v>
      </c>
      <c r="B103" s="9">
        <f>IFERROR(__xludf.DUMMYFUNCTION("""COMPUTED_VALUE"""),527400.0)</f>
        <v>527400</v>
      </c>
      <c r="C103" s="22">
        <f>IFERROR(__xludf.DUMMYFUNCTION("""COMPUTED_VALUE"""),27200.0)</f>
        <v>27200</v>
      </c>
      <c r="D103" s="22">
        <f>IFERROR(__xludf.DUMMYFUNCTION("""COMPUTED_VALUE"""),0.0)</f>
        <v>0</v>
      </c>
      <c r="E103" s="24">
        <f>IFERROR(__xludf.DUMMYFUNCTION("""COMPUTED_VALUE"""),0.05479999999999996)</f>
        <v>0.0548</v>
      </c>
      <c r="F103" s="5"/>
      <c r="G103" s="9">
        <f>IFERROR(__xludf.DUMMYFUNCTION("""COMPUTED_VALUE"""),20.0)</f>
        <v>20</v>
      </c>
      <c r="H103" s="26">
        <f>IFERROR(__xludf.DUMMYFUNCTION("""COMPUTED_VALUE"""),0.10145523987837608)</f>
        <v>0.1014552399</v>
      </c>
      <c r="I103" s="27">
        <f>IFERROR(__xludf.DUMMYFUNCTION("""COMPUTED_VALUE"""),0.07490988153111544)</f>
        <v>0.07490988153</v>
      </c>
      <c r="J103" s="5"/>
      <c r="K103" s="5"/>
      <c r="L103" s="5"/>
      <c r="M103" s="5"/>
      <c r="N103" s="5"/>
      <c r="O103" s="5"/>
      <c r="P103" s="5"/>
      <c r="Q103" s="5"/>
      <c r="R103" s="5"/>
      <c r="S103" s="5"/>
      <c r="T103" s="5"/>
    </row>
    <row r="104">
      <c r="A104" s="28" t="str">
        <f>IFERROR(__xludf.DUMMYFUNCTION("""COMPUTED_VALUE"""),"77665")</f>
        <v>77665</v>
      </c>
      <c r="B104" s="9">
        <f>IFERROR(__xludf.DUMMYFUNCTION("""COMPUTED_VALUE"""),499376.52158999996)</f>
        <v>499376.5216</v>
      </c>
      <c r="C104" s="22">
        <f>IFERROR(__xludf.DUMMYFUNCTION("""COMPUTED_VALUE"""),394173.97947)</f>
        <v>394173.9795</v>
      </c>
      <c r="D104" s="22">
        <f>IFERROR(__xludf.DUMMYFUNCTION("""COMPUTED_VALUE"""),0.0)</f>
        <v>0</v>
      </c>
      <c r="E104" s="24">
        <f>IFERROR(__xludf.DUMMYFUNCTION("""COMPUTED_VALUE"""),-0.0012469568200000891)</f>
        <v>-0.00124695682</v>
      </c>
      <c r="F104" s="5"/>
      <c r="G104" s="9">
        <f>IFERROR(__xludf.DUMMYFUNCTION("""COMPUTED_VALUE"""),76.0)</f>
        <v>76</v>
      </c>
      <c r="H104" s="26">
        <f>IFERROR(__xludf.DUMMYFUNCTION("""COMPUTED_VALUE"""),5.490903438049701E-4)</f>
        <v>0.0005490903438</v>
      </c>
      <c r="I104" s="27">
        <f>IFERROR(__xludf.DUMMYFUNCTION("""COMPUTED_VALUE"""),-3.4915523859238577)</f>
        <v>-3.491552386</v>
      </c>
      <c r="J104" s="5"/>
      <c r="K104" s="5"/>
      <c r="L104" s="5"/>
      <c r="M104" s="5"/>
      <c r="N104" s="5"/>
      <c r="O104" s="5"/>
      <c r="P104" s="5"/>
      <c r="Q104" s="5"/>
      <c r="R104" s="5"/>
      <c r="S104" s="5"/>
      <c r="T104" s="5"/>
    </row>
    <row r="105">
      <c r="A105" s="28" t="str">
        <f>IFERROR(__xludf.DUMMYFUNCTION("""COMPUTED_VALUE"""),"77729")</f>
        <v>77729</v>
      </c>
      <c r="B105" s="9">
        <f>IFERROR(__xludf.DUMMYFUNCTION("""COMPUTED_VALUE"""),475989.6)</f>
        <v>475989.6</v>
      </c>
      <c r="C105" s="22">
        <f>IFERROR(__xludf.DUMMYFUNCTION("""COMPUTED_VALUE"""),213307.8)</f>
        <v>213307.8</v>
      </c>
      <c r="D105" s="22">
        <f>IFERROR(__xludf.DUMMYFUNCTION("""COMPUTED_VALUE"""),0.0)</f>
        <v>0</v>
      </c>
      <c r="E105" s="24">
        <f>IFERROR(__xludf.DUMMYFUNCTION("""COMPUTED_VALUE"""),-0.048020800000000086)</f>
        <v>-0.0480208</v>
      </c>
      <c r="F105" s="5"/>
      <c r="G105" s="9">
        <f>IFERROR(__xludf.DUMMYFUNCTION("""COMPUTED_VALUE"""),106.0)</f>
        <v>106</v>
      </c>
      <c r="H105" s="26">
        <f>IFERROR(__xludf.DUMMYFUNCTION("""COMPUTED_VALUE"""),0.03384184766818656)</f>
        <v>0.03384184767</v>
      </c>
      <c r="I105" s="27">
        <f>IFERROR(__xludf.DUMMYFUNCTION("""COMPUTED_VALUE"""),-1.6248521812150396)</f>
        <v>-1.624852181</v>
      </c>
      <c r="J105" s="5"/>
      <c r="K105" s="5"/>
      <c r="L105" s="5"/>
      <c r="M105" s="5"/>
      <c r="N105" s="5"/>
      <c r="O105" s="5"/>
      <c r="P105" s="5"/>
      <c r="Q105" s="5"/>
      <c r="R105" s="5"/>
      <c r="S105" s="5"/>
      <c r="T105" s="5"/>
    </row>
    <row r="106">
      <c r="A106" s="28" t="str">
        <f>IFERROR(__xludf.DUMMYFUNCTION("""COMPUTED_VALUE"""),"77936")</f>
        <v>77936</v>
      </c>
      <c r="B106" s="9">
        <f>IFERROR(__xludf.DUMMYFUNCTION("""COMPUTED_VALUE"""),527590.0)</f>
        <v>527590</v>
      </c>
      <c r="C106" s="22">
        <f>IFERROR(__xludf.DUMMYFUNCTION("""COMPUTED_VALUE"""),159030.0)</f>
        <v>159030</v>
      </c>
      <c r="D106" s="22">
        <f>IFERROR(__xludf.DUMMYFUNCTION("""COMPUTED_VALUE"""),0.0)</f>
        <v>0</v>
      </c>
      <c r="E106" s="24">
        <f>IFERROR(__xludf.DUMMYFUNCTION("""COMPUTED_VALUE"""),0.05518000000000001)</f>
        <v>0.05518</v>
      </c>
      <c r="F106" s="5"/>
      <c r="G106" s="9">
        <f>IFERROR(__xludf.DUMMYFUNCTION("""COMPUTED_VALUE"""),19.0)</f>
        <v>19</v>
      </c>
      <c r="H106" s="26">
        <f>IFERROR(__xludf.DUMMYFUNCTION("""COMPUTED_VALUE"""),0.05708231796407683)</f>
        <v>0.05708231796</v>
      </c>
      <c r="I106" s="27">
        <f>IFERROR(__xludf.DUMMYFUNCTION("""COMPUTED_VALUE"""),1.258533335055006)</f>
        <v>1.258533335</v>
      </c>
      <c r="J106" s="5"/>
      <c r="K106" s="5"/>
      <c r="L106" s="5"/>
      <c r="M106" s="5"/>
      <c r="N106" s="5"/>
      <c r="O106" s="5"/>
      <c r="P106" s="5"/>
      <c r="Q106" s="5"/>
      <c r="R106" s="5"/>
      <c r="S106" s="5"/>
      <c r="T106" s="5"/>
    </row>
    <row r="107">
      <c r="A107" s="28" t="str">
        <f>IFERROR(__xludf.DUMMYFUNCTION("""COMPUTED_VALUE"""),"79521")</f>
        <v>79521</v>
      </c>
      <c r="B107" s="9">
        <f>IFERROR(__xludf.DUMMYFUNCTION("""COMPUTED_VALUE"""),595884.1924550001)</f>
        <v>595884.1925</v>
      </c>
      <c r="C107" s="22">
        <f>IFERROR(__xludf.DUMMYFUNCTION("""COMPUTED_VALUE"""),265177.62782399997)</f>
        <v>265177.6278</v>
      </c>
      <c r="D107" s="22">
        <f>IFERROR(__xludf.DUMMYFUNCTION("""COMPUTED_VALUE"""),0.0)</f>
        <v>0</v>
      </c>
      <c r="E107" s="24">
        <f>IFERROR(__xludf.DUMMYFUNCTION("""COMPUTED_VALUE"""),0.19176838491000026)</f>
        <v>0.1917683849</v>
      </c>
      <c r="F107" s="5"/>
      <c r="G107" s="9">
        <f>IFERROR(__xludf.DUMMYFUNCTION("""COMPUTED_VALUE"""),8.0)</f>
        <v>8</v>
      </c>
      <c r="H107" s="26">
        <f>IFERROR(__xludf.DUMMYFUNCTION("""COMPUTED_VALUE"""),0.08592085422015924)</f>
        <v>0.08592085422</v>
      </c>
      <c r="I107" s="27">
        <f>IFERROR(__xludf.DUMMYFUNCTION("""COMPUTED_VALUE"""),2.2720065916686214)</f>
        <v>2.272006592</v>
      </c>
      <c r="J107" s="5"/>
      <c r="K107" s="5"/>
      <c r="L107" s="5"/>
      <c r="M107" s="5"/>
      <c r="N107" s="5"/>
      <c r="O107" s="5"/>
      <c r="P107" s="5"/>
      <c r="Q107" s="5"/>
      <c r="R107" s="5"/>
      <c r="S107" s="5"/>
      <c r="T107" s="5"/>
    </row>
    <row r="108">
      <c r="A108" s="28" t="str">
        <f>IFERROR(__xludf.DUMMYFUNCTION("""COMPUTED_VALUE"""),"82124")</f>
        <v>82124</v>
      </c>
      <c r="B108" s="9">
        <f>IFERROR(__xludf.DUMMYFUNCTION("""COMPUTED_VALUE"""),503800.0)</f>
        <v>503800</v>
      </c>
      <c r="C108" s="22">
        <f>IFERROR(__xludf.DUMMYFUNCTION("""COMPUTED_VALUE"""),319480.0)</f>
        <v>319480</v>
      </c>
      <c r="D108" s="22">
        <f>IFERROR(__xludf.DUMMYFUNCTION("""COMPUTED_VALUE"""),0.0)</f>
        <v>0</v>
      </c>
      <c r="E108" s="24">
        <f>IFERROR(__xludf.DUMMYFUNCTION("""COMPUTED_VALUE"""),0.007600000000000051)</f>
        <v>0.0076</v>
      </c>
      <c r="F108" s="5"/>
      <c r="G108" s="9">
        <f>IFERROR(__xludf.DUMMYFUNCTION("""COMPUTED_VALUE"""),37.0)</f>
        <v>37</v>
      </c>
      <c r="H108" s="26">
        <f>IFERROR(__xludf.DUMMYFUNCTION("""COMPUTED_VALUE"""),0.03101477077306608)</f>
        <v>0.03101477077</v>
      </c>
      <c r="I108" s="27">
        <f>IFERROR(__xludf.DUMMYFUNCTION("""COMPUTED_VALUE"""),0.25794161299903545)</f>
        <v>0.257941613</v>
      </c>
      <c r="J108" s="5"/>
      <c r="K108" s="5"/>
      <c r="L108" s="5"/>
      <c r="M108" s="5"/>
      <c r="N108" s="5"/>
      <c r="O108" s="5"/>
      <c r="P108" s="5"/>
      <c r="Q108" s="5"/>
      <c r="R108" s="5"/>
      <c r="S108" s="5"/>
      <c r="T108" s="5"/>
    </row>
    <row r="109">
      <c r="A109" s="28" t="str">
        <f>IFERROR(__xludf.DUMMYFUNCTION("""COMPUTED_VALUE"""),"82458")</f>
        <v>82458</v>
      </c>
      <c r="B109" s="9">
        <f>IFERROR(__xludf.DUMMYFUNCTION("""COMPUTED_VALUE"""),500000.0)</f>
        <v>500000</v>
      </c>
      <c r="C109" s="22">
        <f>IFERROR(__xludf.DUMMYFUNCTION("""COMPUTED_VALUE"""),500000.0)</f>
        <v>500000</v>
      </c>
      <c r="D109" s="22">
        <f>IFERROR(__xludf.DUMMYFUNCTION("""COMPUTED_VALUE"""),0.0)</f>
        <v>0</v>
      </c>
      <c r="E109" s="24">
        <f>IFERROR(__xludf.DUMMYFUNCTION("""COMPUTED_VALUE"""),0.0)</f>
        <v>0</v>
      </c>
      <c r="F109" s="5"/>
      <c r="G109" s="9">
        <f>IFERROR(__xludf.DUMMYFUNCTION("""COMPUTED_VALUE"""),47.0)</f>
        <v>47</v>
      </c>
      <c r="H109" s="26">
        <f>IFERROR(__xludf.DUMMYFUNCTION("""COMPUTED_VALUE"""),0.0)</f>
        <v>0</v>
      </c>
      <c r="I109" s="27" t="str">
        <f>IFERROR(__xludf.DUMMYFUNCTION("""COMPUTED_VALUE"""),"n/a")</f>
        <v>n/a</v>
      </c>
      <c r="J109" s="5"/>
      <c r="K109" s="5"/>
      <c r="L109" s="5"/>
      <c r="M109" s="5"/>
      <c r="N109" s="5"/>
      <c r="O109" s="5"/>
      <c r="P109" s="5"/>
      <c r="Q109" s="5"/>
      <c r="R109" s="5"/>
      <c r="S109" s="5"/>
      <c r="T109" s="5"/>
    </row>
    <row r="110">
      <c r="A110" s="28" t="str">
        <f>IFERROR(__xludf.DUMMYFUNCTION("""COMPUTED_VALUE"""),"82533")</f>
        <v>82533</v>
      </c>
      <c r="B110" s="9">
        <f>IFERROR(__xludf.DUMMYFUNCTION("""COMPUTED_VALUE"""),379109.68062169995)</f>
        <v>379109.6806</v>
      </c>
      <c r="C110" s="22">
        <f>IFERROR(__xludf.DUMMYFUNCTION("""COMPUTED_VALUE"""),-207442.47402750005)</f>
        <v>-207442.474</v>
      </c>
      <c r="D110" s="22">
        <f>IFERROR(__xludf.DUMMYFUNCTION("""COMPUTED_VALUE"""),207442.47402750005)</f>
        <v>207442.474</v>
      </c>
      <c r="E110" s="24">
        <f>IFERROR(__xludf.DUMMYFUNCTION("""COMPUTED_VALUE"""),-0.24178063875660005)</f>
        <v>-0.2417806388</v>
      </c>
      <c r="F110" s="5"/>
      <c r="G110" s="9">
        <f>IFERROR(__xludf.DUMMYFUNCTION("""COMPUTED_VALUE"""),118.0)</f>
        <v>118</v>
      </c>
      <c r="H110" s="26">
        <f>IFERROR(__xludf.DUMMYFUNCTION("""COMPUTED_VALUE"""),0.0831868529297475)</f>
        <v>0.08318685293</v>
      </c>
      <c r="I110" s="27">
        <f>IFERROR(__xludf.DUMMYFUNCTION("""COMPUTED_VALUE"""),-3.490581676478641)</f>
        <v>-3.490581676</v>
      </c>
      <c r="J110" s="5"/>
      <c r="K110" s="5"/>
      <c r="L110" s="5"/>
      <c r="M110" s="5"/>
      <c r="N110" s="5"/>
      <c r="O110" s="5"/>
      <c r="P110" s="5"/>
      <c r="Q110" s="5"/>
      <c r="R110" s="5"/>
      <c r="S110" s="5"/>
      <c r="T110" s="5"/>
    </row>
    <row r="111">
      <c r="A111" s="28" t="str">
        <f>IFERROR(__xludf.DUMMYFUNCTION("""COMPUTED_VALUE"""),"83293")</f>
        <v>83293</v>
      </c>
      <c r="B111" s="9">
        <f>IFERROR(__xludf.DUMMYFUNCTION("""COMPUTED_VALUE"""),500000.0)</f>
        <v>500000</v>
      </c>
      <c r="C111" s="22">
        <f>IFERROR(__xludf.DUMMYFUNCTION("""COMPUTED_VALUE"""),500000.0)</f>
        <v>500000</v>
      </c>
      <c r="D111" s="22">
        <f>IFERROR(__xludf.DUMMYFUNCTION("""COMPUTED_VALUE"""),0.0)</f>
        <v>0</v>
      </c>
      <c r="E111" s="24">
        <f>IFERROR(__xludf.DUMMYFUNCTION("""COMPUTED_VALUE"""),0.0)</f>
        <v>0</v>
      </c>
      <c r="F111" s="5"/>
      <c r="G111" s="9">
        <f>IFERROR(__xludf.DUMMYFUNCTION("""COMPUTED_VALUE"""),47.0)</f>
        <v>47</v>
      </c>
      <c r="H111" s="26">
        <f>IFERROR(__xludf.DUMMYFUNCTION("""COMPUTED_VALUE"""),0.0)</f>
        <v>0</v>
      </c>
      <c r="I111" s="27" t="str">
        <f>IFERROR(__xludf.DUMMYFUNCTION("""COMPUTED_VALUE"""),"n/a")</f>
        <v>n/a</v>
      </c>
      <c r="J111" s="5"/>
      <c r="K111" s="5"/>
      <c r="L111" s="5"/>
      <c r="M111" s="5"/>
      <c r="N111" s="5"/>
      <c r="O111" s="5"/>
      <c r="P111" s="5"/>
      <c r="Q111" s="5"/>
      <c r="R111" s="5"/>
      <c r="S111" s="5"/>
      <c r="T111" s="5"/>
    </row>
    <row r="112">
      <c r="A112" s="28" t="str">
        <f>IFERROR(__xludf.DUMMYFUNCTION("""COMPUTED_VALUE"""),"83314")</f>
        <v>83314</v>
      </c>
      <c r="B112" s="9">
        <f>IFERROR(__xludf.DUMMYFUNCTION("""COMPUTED_VALUE"""),500000.0)</f>
        <v>500000</v>
      </c>
      <c r="C112" s="22">
        <f>IFERROR(__xludf.DUMMYFUNCTION("""COMPUTED_VALUE"""),159139.64752999996)</f>
        <v>159139.6475</v>
      </c>
      <c r="D112" s="22">
        <f>IFERROR(__xludf.DUMMYFUNCTION("""COMPUTED_VALUE"""),0.0)</f>
        <v>0</v>
      </c>
      <c r="E112" s="24">
        <f>IFERROR(__xludf.DUMMYFUNCTION("""COMPUTED_VALUE"""),0.0)</f>
        <v>0</v>
      </c>
      <c r="F112" s="5"/>
      <c r="G112" s="9">
        <f>IFERROR(__xludf.DUMMYFUNCTION("""COMPUTED_VALUE"""),47.0)</f>
        <v>47</v>
      </c>
      <c r="H112" s="26">
        <f>IFERROR(__xludf.DUMMYFUNCTION("""COMPUTED_VALUE"""),0.0)</f>
        <v>0</v>
      </c>
      <c r="I112" s="27" t="str">
        <f>IFERROR(__xludf.DUMMYFUNCTION("""COMPUTED_VALUE"""),"n/a")</f>
        <v>n/a</v>
      </c>
      <c r="J112" s="5"/>
      <c r="K112" s="5"/>
      <c r="L112" s="5"/>
      <c r="M112" s="5"/>
      <c r="N112" s="5"/>
      <c r="O112" s="5"/>
      <c r="P112" s="5"/>
      <c r="Q112" s="5"/>
      <c r="R112" s="5"/>
      <c r="S112" s="5"/>
      <c r="T112" s="5"/>
    </row>
    <row r="113">
      <c r="A113" s="28" t="str">
        <f>IFERROR(__xludf.DUMMYFUNCTION("""COMPUTED_VALUE"""),"84216")</f>
        <v>84216</v>
      </c>
      <c r="B113" s="9">
        <f>IFERROR(__xludf.DUMMYFUNCTION("""COMPUTED_VALUE"""),492543.98225500004)</f>
        <v>492543.9823</v>
      </c>
      <c r="C113" s="22">
        <f>IFERROR(__xludf.DUMMYFUNCTION("""COMPUTED_VALUE"""),-140538.74295999997)</f>
        <v>-140538.743</v>
      </c>
      <c r="D113" s="22">
        <f>IFERROR(__xludf.DUMMYFUNCTION("""COMPUTED_VALUE"""),140538.74295999997)</f>
        <v>140538.743</v>
      </c>
      <c r="E113" s="24">
        <f>IFERROR(__xludf.DUMMYFUNCTION("""COMPUTED_VALUE"""),-0.014912035489999975)</f>
        <v>-0.01491203549</v>
      </c>
      <c r="F113" s="5"/>
      <c r="G113" s="9">
        <f>IFERROR(__xludf.DUMMYFUNCTION("""COMPUTED_VALUE"""),86.0)</f>
        <v>86</v>
      </c>
      <c r="H113" s="26">
        <f>IFERROR(__xludf.DUMMYFUNCTION("""COMPUTED_VALUE"""),0.005566667656228173)</f>
        <v>0.005566667656</v>
      </c>
      <c r="I113" s="27">
        <f>IFERROR(__xludf.DUMMYFUNCTION("""COMPUTED_VALUE"""),-8.18535277187245)</f>
        <v>-8.185352772</v>
      </c>
      <c r="J113" s="5"/>
      <c r="K113" s="5"/>
      <c r="L113" s="5"/>
      <c r="M113" s="5"/>
      <c r="N113" s="5"/>
      <c r="O113" s="5"/>
      <c r="P113" s="5"/>
      <c r="Q113" s="5"/>
      <c r="R113" s="5"/>
      <c r="S113" s="5"/>
      <c r="T113" s="5"/>
    </row>
    <row r="114">
      <c r="A114" s="28" t="str">
        <f>IFERROR(__xludf.DUMMYFUNCTION("""COMPUTED_VALUE"""),"89651")</f>
        <v>89651</v>
      </c>
      <c r="B114" s="9">
        <f>IFERROR(__xludf.DUMMYFUNCTION("""COMPUTED_VALUE"""),500000.0)</f>
        <v>500000</v>
      </c>
      <c r="C114" s="22">
        <f>IFERROR(__xludf.DUMMYFUNCTION("""COMPUTED_VALUE"""),500000.0)</f>
        <v>500000</v>
      </c>
      <c r="D114" s="22">
        <f>IFERROR(__xludf.DUMMYFUNCTION("""COMPUTED_VALUE"""),0.0)</f>
        <v>0</v>
      </c>
      <c r="E114" s="24">
        <f>IFERROR(__xludf.DUMMYFUNCTION("""COMPUTED_VALUE"""),0.0)</f>
        <v>0</v>
      </c>
      <c r="F114" s="5"/>
      <c r="G114" s="9">
        <f>IFERROR(__xludf.DUMMYFUNCTION("""COMPUTED_VALUE"""),47.0)</f>
        <v>47</v>
      </c>
      <c r="H114" s="26">
        <f>IFERROR(__xludf.DUMMYFUNCTION("""COMPUTED_VALUE"""),0.0)</f>
        <v>0</v>
      </c>
      <c r="I114" s="27" t="str">
        <f>IFERROR(__xludf.DUMMYFUNCTION("""COMPUTED_VALUE"""),"n/a")</f>
        <v>n/a</v>
      </c>
      <c r="J114" s="5"/>
      <c r="K114" s="5"/>
      <c r="L114" s="5"/>
      <c r="M114" s="5"/>
      <c r="N114" s="5"/>
      <c r="O114" s="5"/>
      <c r="P114" s="5"/>
      <c r="Q114" s="5"/>
      <c r="R114" s="5"/>
      <c r="S114" s="5"/>
      <c r="T114" s="5"/>
    </row>
    <row r="115">
      <c r="A115" s="28" t="str">
        <f>IFERROR(__xludf.DUMMYFUNCTION("""COMPUTED_VALUE"""),"89750")</f>
        <v>89750</v>
      </c>
      <c r="B115" s="9">
        <f>IFERROR(__xludf.DUMMYFUNCTION("""COMPUTED_VALUE"""),1145719.986454)</f>
        <v>1145719.986</v>
      </c>
      <c r="C115" s="22">
        <f>IFERROR(__xludf.DUMMYFUNCTION("""COMPUTED_VALUE"""),404876.817484)</f>
        <v>404876.8175</v>
      </c>
      <c r="D115" s="22">
        <f>IFERROR(__xludf.DUMMYFUNCTION("""COMPUTED_VALUE"""),0.0)</f>
        <v>0</v>
      </c>
      <c r="E115" s="24">
        <f>IFERROR(__xludf.DUMMYFUNCTION("""COMPUTED_VALUE"""),1.291439972908)</f>
        <v>1.291439973</v>
      </c>
      <c r="F115" s="5"/>
      <c r="G115" s="9">
        <f>IFERROR(__xludf.DUMMYFUNCTION("""COMPUTED_VALUE"""),1.0)</f>
        <v>1</v>
      </c>
      <c r="H115" s="26">
        <f>IFERROR(__xludf.DUMMYFUNCTION("""COMPUTED_VALUE"""),0.32532898738112)</f>
        <v>0.3253289874</v>
      </c>
      <c r="I115" s="27">
        <f>IFERROR(__xludf.DUMMYFUNCTION("""COMPUTED_VALUE"""),3.885550539181247)</f>
        <v>3.885550539</v>
      </c>
      <c r="J115" s="5"/>
      <c r="K115" s="5"/>
      <c r="L115" s="5"/>
      <c r="M115" s="5"/>
      <c r="N115" s="5"/>
      <c r="O115" s="5"/>
      <c r="P115" s="5"/>
      <c r="Q115" s="5"/>
      <c r="R115" s="5"/>
      <c r="S115" s="5"/>
      <c r="T115" s="5"/>
    </row>
    <row r="116">
      <c r="A116" s="28" t="str">
        <f>IFERROR(__xludf.DUMMYFUNCTION("""COMPUTED_VALUE"""),"89833")</f>
        <v>89833</v>
      </c>
      <c r="B116" s="9">
        <f>IFERROR(__xludf.DUMMYFUNCTION("""COMPUTED_VALUE"""),498182.9742350001)</f>
        <v>498182.9742</v>
      </c>
      <c r="C116" s="22">
        <f>IFERROR(__xludf.DUMMYFUNCTION("""COMPUTED_VALUE"""),247777.312305)</f>
        <v>247777.3123</v>
      </c>
      <c r="D116" s="22">
        <f>IFERROR(__xludf.DUMMYFUNCTION("""COMPUTED_VALUE"""),0.0)</f>
        <v>0</v>
      </c>
      <c r="E116" s="24">
        <f>IFERROR(__xludf.DUMMYFUNCTION("""COMPUTED_VALUE"""),-0.003634051529999849)</f>
        <v>-0.00363405153</v>
      </c>
      <c r="F116" s="5"/>
      <c r="G116" s="9">
        <f>IFERROR(__xludf.DUMMYFUNCTION("""COMPUTED_VALUE"""),80.0)</f>
        <v>80</v>
      </c>
      <c r="H116" s="26">
        <f>IFERROR(__xludf.DUMMYFUNCTION("""COMPUTED_VALUE"""),0.00762129984649282)</f>
        <v>0.007621299846</v>
      </c>
      <c r="I116" s="27">
        <f>IFERROR(__xludf.DUMMYFUNCTION("""COMPUTED_VALUE"""),-0.25046027166591456)</f>
        <v>-0.2504602717</v>
      </c>
      <c r="J116" s="5"/>
      <c r="K116" s="5"/>
      <c r="L116" s="5"/>
      <c r="M116" s="5"/>
      <c r="N116" s="5"/>
      <c r="O116" s="5"/>
      <c r="P116" s="5"/>
      <c r="Q116" s="5"/>
      <c r="R116" s="5"/>
      <c r="S116" s="5"/>
      <c r="T116" s="5"/>
    </row>
    <row r="117">
      <c r="A117" s="28" t="str">
        <f>IFERROR(__xludf.DUMMYFUNCTION("""COMPUTED_VALUE"""),"89845")</f>
        <v>89845</v>
      </c>
      <c r="B117" s="9">
        <f>IFERROR(__xludf.DUMMYFUNCTION("""COMPUTED_VALUE"""),499190.0915)</f>
        <v>499190.0915</v>
      </c>
      <c r="C117" s="22">
        <f>IFERROR(__xludf.DUMMYFUNCTION("""COMPUTED_VALUE"""),279823.984)</f>
        <v>279823.984</v>
      </c>
      <c r="D117" s="22">
        <f>IFERROR(__xludf.DUMMYFUNCTION("""COMPUTED_VALUE"""),0.0)</f>
        <v>0</v>
      </c>
      <c r="E117" s="24">
        <f>IFERROR(__xludf.DUMMYFUNCTION("""COMPUTED_VALUE"""),-0.0016198170000000234)</f>
        <v>-0.001619817</v>
      </c>
      <c r="F117" s="5"/>
      <c r="G117" s="9">
        <f>IFERROR(__xludf.DUMMYFUNCTION("""COMPUTED_VALUE"""),77.0)</f>
        <v>77</v>
      </c>
      <c r="H117" s="26">
        <f>IFERROR(__xludf.DUMMYFUNCTION("""COMPUTED_VALUE"""),0.0030980828753687274)</f>
        <v>0.003098082875</v>
      </c>
      <c r="I117" s="27">
        <f>IFERROR(__xludf.DUMMYFUNCTION("""COMPUTED_VALUE"""),-3.3425855332444683)</f>
        <v>-3.342585533</v>
      </c>
      <c r="J117" s="5"/>
      <c r="K117" s="5"/>
      <c r="L117" s="5"/>
      <c r="M117" s="5"/>
      <c r="N117" s="5"/>
      <c r="O117" s="5"/>
      <c r="P117" s="5"/>
      <c r="Q117" s="5"/>
      <c r="R117" s="5"/>
      <c r="S117" s="5"/>
      <c r="T117" s="5"/>
    </row>
    <row r="118">
      <c r="A118" s="28" t="str">
        <f>IFERROR(__xludf.DUMMYFUNCTION("""COMPUTED_VALUE"""),"95516")</f>
        <v>95516</v>
      </c>
      <c r="B118" s="9">
        <f>IFERROR(__xludf.DUMMYFUNCTION("""COMPUTED_VALUE"""),487750.0)</f>
        <v>487750</v>
      </c>
      <c r="C118" s="22">
        <f>IFERROR(__xludf.DUMMYFUNCTION("""COMPUTED_VALUE"""),11460.0)</f>
        <v>11460</v>
      </c>
      <c r="D118" s="22">
        <f>IFERROR(__xludf.DUMMYFUNCTION("""COMPUTED_VALUE"""),0.0)</f>
        <v>0</v>
      </c>
      <c r="E118" s="24">
        <f>IFERROR(__xludf.DUMMYFUNCTION("""COMPUTED_VALUE"""),-0.024499999999999966)</f>
        <v>-0.0245</v>
      </c>
      <c r="F118" s="5"/>
      <c r="G118" s="9">
        <f>IFERROR(__xludf.DUMMYFUNCTION("""COMPUTED_VALUE"""),95.0)</f>
        <v>95</v>
      </c>
      <c r="H118" s="26">
        <f>IFERROR(__xludf.DUMMYFUNCTION("""COMPUTED_VALUE"""),0.03128538829340911)</f>
        <v>0.03128538829</v>
      </c>
      <c r="I118" s="27">
        <f>IFERROR(__xludf.DUMMYFUNCTION("""COMPUTED_VALUE"""),-0.8630226911931317)</f>
        <v>-0.8630226912</v>
      </c>
      <c r="J118" s="5"/>
      <c r="K118" s="5"/>
      <c r="L118" s="5"/>
      <c r="M118" s="5"/>
      <c r="N118" s="5"/>
      <c r="O118" s="5"/>
      <c r="P118" s="5"/>
      <c r="Q118" s="5"/>
      <c r="R118" s="5"/>
      <c r="S118" s="5"/>
      <c r="T118" s="5"/>
    </row>
    <row r="119">
      <c r="A119" s="28" t="str">
        <f>IFERROR(__xludf.DUMMYFUNCTION("""COMPUTED_VALUE"""),"97316")</f>
        <v>97316</v>
      </c>
      <c r="B119" s="9">
        <f>IFERROR(__xludf.DUMMYFUNCTION("""COMPUTED_VALUE"""),500000.0)</f>
        <v>500000</v>
      </c>
      <c r="C119" s="22">
        <f>IFERROR(__xludf.DUMMYFUNCTION("""COMPUTED_VALUE"""),500000.0)</f>
        <v>500000</v>
      </c>
      <c r="D119" s="22">
        <f>IFERROR(__xludf.DUMMYFUNCTION("""COMPUTED_VALUE"""),0.0)</f>
        <v>0</v>
      </c>
      <c r="E119" s="24">
        <f>IFERROR(__xludf.DUMMYFUNCTION("""COMPUTED_VALUE"""),0.0)</f>
        <v>0</v>
      </c>
      <c r="F119" s="5"/>
      <c r="G119" s="9">
        <f>IFERROR(__xludf.DUMMYFUNCTION("""COMPUTED_VALUE"""),47.0)</f>
        <v>47</v>
      </c>
      <c r="H119" s="26">
        <f>IFERROR(__xludf.DUMMYFUNCTION("""COMPUTED_VALUE"""),0.0)</f>
        <v>0</v>
      </c>
      <c r="I119" s="27" t="str">
        <f>IFERROR(__xludf.DUMMYFUNCTION("""COMPUTED_VALUE"""),"n/a")</f>
        <v>n/a</v>
      </c>
      <c r="J119" s="5"/>
      <c r="K119" s="5"/>
      <c r="L119" s="5"/>
      <c r="M119" s="5"/>
      <c r="N119" s="5"/>
      <c r="O119" s="5"/>
      <c r="P119" s="5"/>
      <c r="Q119" s="5"/>
      <c r="R119" s="5"/>
      <c r="S119" s="5"/>
      <c r="T119" s="5"/>
    </row>
    <row r="120">
      <c r="A120" s="28" t="str">
        <f>IFERROR(__xludf.DUMMYFUNCTION("""COMPUTED_VALUE"""),"C0007")</f>
        <v>C0007</v>
      </c>
      <c r="B120" s="9">
        <f>IFERROR(__xludf.DUMMYFUNCTION("""COMPUTED_VALUE"""),500000.0)</f>
        <v>500000</v>
      </c>
      <c r="C120" s="22">
        <f>IFERROR(__xludf.DUMMYFUNCTION("""COMPUTED_VALUE"""),500000.0)</f>
        <v>500000</v>
      </c>
      <c r="D120" s="22">
        <f>IFERROR(__xludf.DUMMYFUNCTION("""COMPUTED_VALUE"""),0.0)</f>
        <v>0</v>
      </c>
      <c r="E120" s="24">
        <f>IFERROR(__xludf.DUMMYFUNCTION("""COMPUTED_VALUE"""),0.0)</f>
        <v>0</v>
      </c>
      <c r="F120" s="5"/>
      <c r="G120" s="9">
        <f>IFERROR(__xludf.DUMMYFUNCTION("""COMPUTED_VALUE"""),47.0)</f>
        <v>47</v>
      </c>
      <c r="H120" s="26">
        <f>IFERROR(__xludf.DUMMYFUNCTION("""COMPUTED_VALUE"""),0.0)</f>
        <v>0</v>
      </c>
      <c r="I120" s="27" t="str">
        <f>IFERROR(__xludf.DUMMYFUNCTION("""COMPUTED_VALUE"""),"n/a")</f>
        <v>n/a</v>
      </c>
      <c r="J120" s="5"/>
      <c r="K120" s="5"/>
      <c r="L120" s="5"/>
      <c r="M120" s="5"/>
      <c r="N120" s="5"/>
      <c r="O120" s="5"/>
      <c r="P120" s="5"/>
      <c r="Q120" s="5"/>
      <c r="R120" s="5"/>
      <c r="S120" s="5"/>
      <c r="T120" s="5"/>
    </row>
    <row r="121">
      <c r="A121" s="28" t="str">
        <f>IFERROR(__xludf.DUMMYFUNCTION("""COMPUTED_VALUE"""),"MONKEY")</f>
        <v>MONKEY</v>
      </c>
      <c r="B121" s="9">
        <f>IFERROR(__xludf.DUMMYFUNCTION("""COMPUTED_VALUE"""),512095.5927665001)</f>
        <v>512095.5928</v>
      </c>
      <c r="C121" s="22">
        <f>IFERROR(__xludf.DUMMYFUNCTION("""COMPUTED_VALUE"""),131473.7478175)</f>
        <v>131473.7478</v>
      </c>
      <c r="D121" s="22">
        <f>IFERROR(__xludf.DUMMYFUNCTION("""COMPUTED_VALUE"""),0.0)</f>
        <v>0</v>
      </c>
      <c r="E121" s="24">
        <f>IFERROR(__xludf.DUMMYFUNCTION("""COMPUTED_VALUE"""),0.024191185533000148)</f>
        <v>0.02419118553</v>
      </c>
      <c r="F121" s="5"/>
      <c r="G121" s="9">
        <f>IFERROR(__xludf.DUMMYFUNCTION("""COMPUTED_VALUE"""),29.0)</f>
        <v>29</v>
      </c>
      <c r="H121" s="26">
        <f>IFERROR(__xludf.DUMMYFUNCTION("""COMPUTED_VALUE"""),0.023487558359595345)</f>
        <v>0.02348755836</v>
      </c>
      <c r="I121" s="27">
        <f>IFERROR(__xludf.DUMMYFUNCTION("""COMPUTED_VALUE"""),0.4577903988733355)</f>
        <v>0.4577903989</v>
      </c>
      <c r="J121" s="5"/>
      <c r="K121" s="5"/>
      <c r="L121" s="5"/>
      <c r="M121" s="5"/>
      <c r="N121" s="5"/>
      <c r="O121" s="5"/>
      <c r="P121" s="5"/>
      <c r="Q121" s="5"/>
      <c r="R121" s="5"/>
      <c r="S121" s="5"/>
      <c r="T121" s="5"/>
    </row>
    <row r="122">
      <c r="A122" s="28" t="str">
        <f>IFERROR(__xludf.DUMMYFUNCTION("""COMPUTED_VALUE"""),"Steve")</f>
        <v>Steve</v>
      </c>
      <c r="B122" s="9">
        <f>IFERROR(__xludf.DUMMYFUNCTION("""COMPUTED_VALUE"""),502602.2441075)</f>
        <v>502602.2441</v>
      </c>
      <c r="C122" s="22">
        <f>IFERROR(__xludf.DUMMYFUNCTION("""COMPUTED_VALUE"""),478358.8461425)</f>
        <v>478358.8461</v>
      </c>
      <c r="D122" s="22">
        <f>IFERROR(__xludf.DUMMYFUNCTION("""COMPUTED_VALUE"""),0.0)</f>
        <v>0</v>
      </c>
      <c r="E122" s="24">
        <f>IFERROR(__xludf.DUMMYFUNCTION("""COMPUTED_VALUE"""),0.005204488214999969)</f>
        <v>0.005204488215</v>
      </c>
      <c r="F122" s="5"/>
      <c r="G122" s="9">
        <f>IFERROR(__xludf.DUMMYFUNCTION("""COMPUTED_VALUE"""),40.0)</f>
        <v>40</v>
      </c>
      <c r="H122" s="26">
        <f>IFERROR(__xludf.DUMMYFUNCTION("""COMPUTED_VALUE"""),0.006398620968249291)</f>
        <v>0.006398620968</v>
      </c>
      <c r="I122" s="27">
        <f>IFERROR(__xludf.DUMMYFUNCTION("""COMPUTED_VALUE"""),0.5817940581997957)</f>
        <v>0.5817940582</v>
      </c>
      <c r="J122" s="5"/>
      <c r="K122" s="5"/>
      <c r="L122" s="5"/>
      <c r="M122" s="5"/>
      <c r="N122" s="5"/>
      <c r="O122" s="5"/>
      <c r="P122" s="5"/>
      <c r="Q122" s="5"/>
      <c r="R122" s="5"/>
      <c r="S122" s="5"/>
      <c r="T122" s="5"/>
    </row>
    <row r="123">
      <c r="A123" s="5" t="str">
        <f>IFERROR(__xludf.DUMMYFUNCTION("""COMPUTED_VALUE"""),"TraderX")</f>
        <v>TraderX</v>
      </c>
      <c r="B123" s="9">
        <f>IFERROR(__xludf.DUMMYFUNCTION("""COMPUTED_VALUE"""),618919.8154600001)</f>
        <v>618919.8155</v>
      </c>
      <c r="C123" s="25">
        <f>IFERROR(__xludf.DUMMYFUNCTION("""COMPUTED_VALUE"""),606640.513495)</f>
        <v>606640.5135</v>
      </c>
      <c r="D123" s="25">
        <f>IFERROR(__xludf.DUMMYFUNCTION("""COMPUTED_VALUE"""),0.0)</f>
        <v>0</v>
      </c>
      <c r="E123" s="24">
        <f>IFERROR(__xludf.DUMMYFUNCTION("""COMPUTED_VALUE"""),0.23783963092000016)</f>
        <v>0.2378396309</v>
      </c>
      <c r="F123" s="5"/>
      <c r="G123" s="9">
        <f>IFERROR(__xludf.DUMMYFUNCTION("""COMPUTED_VALUE"""),6.0)</f>
        <v>6</v>
      </c>
      <c r="H123" s="58">
        <f>IFERROR(__xludf.DUMMYFUNCTION("""COMPUTED_VALUE"""),0.037022352228687425)</f>
        <v>0.03702235223</v>
      </c>
      <c r="I123" s="59">
        <f>IFERROR(__xludf.DUMMYFUNCTION("""COMPUTED_VALUE"""),6.781574789444472)</f>
        <v>6.781574789</v>
      </c>
    </row>
    <row r="124">
      <c r="E124" s="24"/>
      <c r="H124" s="12"/>
      <c r="I124" s="12"/>
    </row>
    <row r="125">
      <c r="E125" s="24"/>
      <c r="H125" s="12"/>
      <c r="I125" s="12"/>
    </row>
    <row r="126">
      <c r="E126" s="24"/>
      <c r="H126" s="12"/>
      <c r="I126" s="12"/>
    </row>
    <row r="127">
      <c r="E127" s="24"/>
      <c r="H127" s="12"/>
      <c r="I127" s="12"/>
    </row>
    <row r="128">
      <c r="E128" s="24"/>
      <c r="H128" s="12"/>
      <c r="I128" s="12"/>
    </row>
    <row r="129">
      <c r="E129" s="24"/>
      <c r="H129" s="12"/>
      <c r="I129" s="12"/>
    </row>
    <row r="130">
      <c r="E130" s="24"/>
      <c r="H130" s="12"/>
      <c r="I130" s="12"/>
    </row>
    <row r="131">
      <c r="E131" s="24"/>
      <c r="H131" s="12"/>
      <c r="I131" s="12"/>
    </row>
    <row r="132">
      <c r="E132" s="24"/>
      <c r="H132" s="12"/>
      <c r="I132" s="12"/>
    </row>
    <row r="133">
      <c r="E133" s="24"/>
      <c r="H133" s="12"/>
      <c r="I133" s="12"/>
    </row>
    <row r="134">
      <c r="E134" s="24"/>
      <c r="H134" s="12"/>
      <c r="I134" s="12"/>
    </row>
    <row r="135">
      <c r="E135" s="24"/>
      <c r="H135" s="12"/>
      <c r="I135" s="12"/>
    </row>
    <row r="136">
      <c r="E136" s="24"/>
      <c r="H136" s="12"/>
      <c r="I136" s="12"/>
    </row>
    <row r="137">
      <c r="E137" s="24"/>
      <c r="H137" s="12"/>
      <c r="I137" s="12"/>
    </row>
    <row r="138">
      <c r="E138" s="24"/>
      <c r="H138" s="12"/>
      <c r="I138" s="12"/>
    </row>
    <row r="139">
      <c r="E139" s="24"/>
      <c r="H139" s="12"/>
      <c r="I139" s="12"/>
    </row>
    <row r="140">
      <c r="E140" s="24"/>
      <c r="H140" s="12"/>
      <c r="I140" s="12"/>
    </row>
    <row r="141">
      <c r="E141" s="24"/>
      <c r="H141" s="12"/>
      <c r="I141" s="12"/>
    </row>
    <row r="142">
      <c r="E142" s="24"/>
      <c r="H142" s="12"/>
      <c r="I142" s="12"/>
    </row>
    <row r="143">
      <c r="E143" s="24"/>
      <c r="H143" s="12"/>
      <c r="I143" s="12"/>
    </row>
    <row r="144">
      <c r="E144" s="24"/>
      <c r="H144" s="12"/>
      <c r="I144" s="12"/>
    </row>
    <row r="145">
      <c r="E145" s="24"/>
      <c r="H145" s="12"/>
      <c r="I145" s="12"/>
    </row>
    <row r="146">
      <c r="E146" s="24"/>
      <c r="H146" s="12"/>
      <c r="I146" s="12"/>
    </row>
    <row r="147">
      <c r="E147" s="24"/>
      <c r="H147" s="12"/>
      <c r="I147" s="12"/>
    </row>
    <row r="148">
      <c r="E148" s="24"/>
      <c r="H148" s="12"/>
      <c r="I148" s="12"/>
    </row>
    <row r="149">
      <c r="E149" s="24"/>
      <c r="H149" s="12"/>
      <c r="I149" s="12"/>
    </row>
    <row r="150">
      <c r="E150" s="24"/>
      <c r="H150" s="12"/>
      <c r="I150" s="12"/>
    </row>
    <row r="151">
      <c r="E151" s="24"/>
      <c r="H151" s="12"/>
      <c r="I151" s="12"/>
    </row>
    <row r="152">
      <c r="E152" s="24"/>
      <c r="H152" s="12"/>
      <c r="I152" s="12"/>
    </row>
    <row r="153">
      <c r="E153" s="24"/>
      <c r="H153" s="12"/>
      <c r="I153" s="12"/>
    </row>
    <row r="154">
      <c r="E154" s="24"/>
      <c r="H154" s="12"/>
      <c r="I154" s="12"/>
    </row>
    <row r="155">
      <c r="E155" s="24"/>
      <c r="H155" s="12"/>
      <c r="I155" s="12"/>
    </row>
    <row r="156">
      <c r="E156" s="24"/>
      <c r="H156" s="12"/>
      <c r="I156" s="12"/>
    </row>
    <row r="157">
      <c r="E157" s="24"/>
      <c r="H157" s="12"/>
      <c r="I157" s="12"/>
    </row>
    <row r="158">
      <c r="E158" s="24"/>
      <c r="H158" s="12"/>
      <c r="I158" s="12"/>
    </row>
    <row r="159">
      <c r="E159" s="24"/>
      <c r="H159" s="12"/>
      <c r="I159" s="12"/>
    </row>
    <row r="160">
      <c r="E160" s="24"/>
      <c r="H160" s="12"/>
      <c r="I160" s="12"/>
    </row>
    <row r="161">
      <c r="E161" s="24"/>
      <c r="H161" s="12"/>
      <c r="I161" s="12"/>
    </row>
    <row r="162">
      <c r="E162" s="24"/>
      <c r="H162" s="12"/>
      <c r="I162" s="12"/>
    </row>
    <row r="163">
      <c r="E163" s="24"/>
      <c r="H163" s="12"/>
      <c r="I163" s="12"/>
    </row>
    <row r="164">
      <c r="E164" s="24"/>
      <c r="H164" s="12"/>
      <c r="I164" s="12"/>
    </row>
    <row r="165">
      <c r="E165" s="24"/>
      <c r="H165" s="12"/>
      <c r="I165" s="12"/>
    </row>
    <row r="166">
      <c r="E166" s="24"/>
      <c r="H166" s="12"/>
      <c r="I166" s="12"/>
    </row>
    <row r="167">
      <c r="E167" s="24"/>
      <c r="H167" s="12"/>
      <c r="I167" s="12"/>
    </row>
    <row r="168">
      <c r="E168" s="24"/>
      <c r="H168" s="12"/>
      <c r="I168" s="12"/>
    </row>
    <row r="169">
      <c r="E169" s="24"/>
      <c r="H169" s="12"/>
      <c r="I169" s="12"/>
    </row>
    <row r="170">
      <c r="E170" s="24"/>
      <c r="H170" s="12"/>
      <c r="I170" s="12"/>
    </row>
    <row r="171">
      <c r="E171" s="24"/>
      <c r="H171" s="12"/>
      <c r="I171" s="12"/>
    </row>
    <row r="172">
      <c r="E172" s="24"/>
      <c r="H172" s="12"/>
      <c r="I172" s="12"/>
    </row>
    <row r="173">
      <c r="E173" s="24"/>
      <c r="H173" s="12"/>
      <c r="I173" s="12"/>
    </row>
    <row r="174">
      <c r="E174" s="24"/>
      <c r="H174" s="12"/>
      <c r="I174" s="12"/>
    </row>
    <row r="175">
      <c r="E175" s="24"/>
      <c r="H175" s="12"/>
      <c r="I175" s="12"/>
    </row>
    <row r="176">
      <c r="E176" s="24"/>
      <c r="H176" s="12"/>
      <c r="I176" s="12"/>
    </row>
    <row r="177">
      <c r="E177" s="24"/>
      <c r="H177" s="12"/>
      <c r="I177" s="12"/>
    </row>
    <row r="178">
      <c r="E178" s="24"/>
      <c r="H178" s="12"/>
      <c r="I178" s="12"/>
    </row>
    <row r="179">
      <c r="E179" s="24"/>
      <c r="H179" s="12"/>
      <c r="I179" s="12"/>
    </row>
    <row r="180">
      <c r="E180" s="24"/>
      <c r="H180" s="12"/>
      <c r="I180" s="12"/>
    </row>
    <row r="181">
      <c r="E181" s="24"/>
      <c r="H181" s="12"/>
      <c r="I181" s="12"/>
    </row>
    <row r="182">
      <c r="E182" s="24"/>
      <c r="H182" s="12"/>
      <c r="I182" s="12"/>
    </row>
    <row r="183">
      <c r="E183" s="24"/>
      <c r="H183" s="12"/>
      <c r="I183" s="12"/>
    </row>
    <row r="184">
      <c r="E184" s="24"/>
      <c r="H184" s="12"/>
      <c r="I184" s="12"/>
    </row>
    <row r="185">
      <c r="E185" s="24"/>
      <c r="H185" s="12"/>
      <c r="I185" s="12"/>
    </row>
    <row r="186">
      <c r="E186" s="24"/>
      <c r="H186" s="12"/>
      <c r="I186" s="12"/>
    </row>
    <row r="187">
      <c r="E187" s="24"/>
      <c r="H187" s="12"/>
      <c r="I187" s="12"/>
    </row>
    <row r="188">
      <c r="E188" s="24"/>
      <c r="H188" s="12"/>
      <c r="I188" s="12"/>
    </row>
    <row r="189">
      <c r="E189" s="24"/>
      <c r="H189" s="12"/>
      <c r="I189" s="12"/>
    </row>
    <row r="190">
      <c r="E190" s="24"/>
      <c r="H190" s="12"/>
      <c r="I190" s="12"/>
    </row>
    <row r="191">
      <c r="E191" s="24"/>
      <c r="H191" s="12"/>
      <c r="I191" s="12"/>
    </row>
    <row r="192">
      <c r="E192" s="24"/>
      <c r="H192" s="12"/>
      <c r="I192" s="12"/>
    </row>
    <row r="193">
      <c r="E193" s="24"/>
      <c r="H193" s="12"/>
      <c r="I193" s="12"/>
    </row>
    <row r="194">
      <c r="E194" s="24"/>
      <c r="H194" s="12"/>
      <c r="I194" s="12"/>
    </row>
    <row r="195">
      <c r="E195" s="24"/>
      <c r="H195" s="12"/>
      <c r="I195" s="12"/>
    </row>
    <row r="196">
      <c r="E196" s="24"/>
      <c r="H196" s="12"/>
      <c r="I196" s="12"/>
    </row>
    <row r="197">
      <c r="E197" s="24"/>
      <c r="H197" s="12"/>
      <c r="I197" s="12"/>
    </row>
    <row r="198">
      <c r="E198" s="24"/>
      <c r="H198" s="12"/>
      <c r="I198" s="12"/>
    </row>
    <row r="199">
      <c r="E199" s="24"/>
      <c r="H199" s="12"/>
      <c r="I199" s="12"/>
    </row>
    <row r="200">
      <c r="E200" s="24"/>
      <c r="H200" s="12"/>
      <c r="I200" s="12"/>
    </row>
    <row r="201">
      <c r="E201" s="24"/>
      <c r="H201" s="12"/>
      <c r="I201" s="12"/>
    </row>
    <row r="202">
      <c r="E202" s="24"/>
      <c r="H202" s="12"/>
      <c r="I202" s="12"/>
    </row>
    <row r="203">
      <c r="E203" s="24"/>
      <c r="H203" s="12"/>
      <c r="I203" s="12"/>
    </row>
    <row r="204">
      <c r="E204" s="24"/>
      <c r="H204" s="12"/>
      <c r="I204" s="12"/>
    </row>
    <row r="205">
      <c r="E205" s="24"/>
      <c r="H205" s="12"/>
      <c r="I205" s="12"/>
    </row>
    <row r="206">
      <c r="E206" s="24"/>
      <c r="H206" s="12"/>
      <c r="I206" s="12"/>
    </row>
    <row r="207">
      <c r="E207" s="24"/>
      <c r="H207" s="12"/>
      <c r="I207" s="12"/>
    </row>
    <row r="208">
      <c r="E208" s="24"/>
      <c r="H208" s="12"/>
      <c r="I208" s="12"/>
    </row>
    <row r="209">
      <c r="E209" s="24"/>
      <c r="H209" s="12"/>
      <c r="I209" s="12"/>
    </row>
    <row r="210">
      <c r="E210" s="24"/>
      <c r="H210" s="12"/>
      <c r="I210" s="12"/>
    </row>
    <row r="211">
      <c r="E211" s="24"/>
      <c r="H211" s="12"/>
      <c r="I211" s="12"/>
    </row>
    <row r="212">
      <c r="E212" s="24"/>
      <c r="H212" s="12"/>
      <c r="I212" s="12"/>
    </row>
    <row r="213">
      <c r="E213" s="24"/>
      <c r="H213" s="12"/>
      <c r="I213" s="12"/>
    </row>
    <row r="214">
      <c r="E214" s="24"/>
      <c r="H214" s="12"/>
      <c r="I214" s="12"/>
    </row>
    <row r="215">
      <c r="E215" s="24"/>
      <c r="H215" s="12"/>
      <c r="I215" s="12"/>
    </row>
    <row r="216">
      <c r="E216" s="24"/>
      <c r="H216" s="12"/>
      <c r="I216" s="12"/>
    </row>
    <row r="217">
      <c r="E217" s="24"/>
      <c r="H217" s="12"/>
      <c r="I217" s="12"/>
    </row>
    <row r="218">
      <c r="E218" s="24"/>
      <c r="H218" s="12"/>
      <c r="I218" s="12"/>
    </row>
    <row r="219">
      <c r="E219" s="24"/>
      <c r="H219" s="12"/>
      <c r="I219" s="12"/>
    </row>
    <row r="220">
      <c r="E220" s="24"/>
      <c r="H220" s="12"/>
      <c r="I220" s="12"/>
    </row>
    <row r="221">
      <c r="E221" s="24"/>
      <c r="H221" s="12"/>
      <c r="I221" s="12"/>
    </row>
    <row r="222">
      <c r="E222" s="24"/>
      <c r="H222" s="12"/>
      <c r="I222" s="12"/>
    </row>
    <row r="223">
      <c r="E223" s="24"/>
      <c r="H223" s="12"/>
      <c r="I223" s="12"/>
    </row>
    <row r="224">
      <c r="E224" s="24"/>
      <c r="H224" s="12"/>
      <c r="I224" s="12"/>
    </row>
    <row r="225">
      <c r="E225" s="24"/>
      <c r="H225" s="12"/>
      <c r="I225" s="12"/>
    </row>
    <row r="226">
      <c r="E226" s="24"/>
      <c r="H226" s="12"/>
      <c r="I226" s="12"/>
    </row>
    <row r="227">
      <c r="E227" s="24"/>
      <c r="H227" s="12"/>
      <c r="I227" s="12"/>
    </row>
    <row r="228">
      <c r="E228" s="24"/>
      <c r="H228" s="12"/>
      <c r="I228" s="12"/>
    </row>
    <row r="229">
      <c r="E229" s="24"/>
      <c r="H229" s="12"/>
      <c r="I229" s="12"/>
    </row>
    <row r="230">
      <c r="E230" s="24"/>
      <c r="H230" s="12"/>
      <c r="I230" s="12"/>
    </row>
    <row r="231">
      <c r="E231" s="24"/>
      <c r="H231" s="12"/>
      <c r="I231" s="12"/>
    </row>
    <row r="232">
      <c r="E232" s="24"/>
      <c r="H232" s="12"/>
      <c r="I232" s="12"/>
    </row>
    <row r="233">
      <c r="E233" s="24"/>
      <c r="H233" s="12"/>
      <c r="I233" s="12"/>
    </row>
    <row r="234">
      <c r="E234" s="24"/>
      <c r="H234" s="12"/>
      <c r="I234" s="12"/>
    </row>
    <row r="235">
      <c r="E235" s="24"/>
      <c r="H235" s="12"/>
      <c r="I235" s="12"/>
    </row>
    <row r="236">
      <c r="E236" s="24"/>
      <c r="H236" s="12"/>
      <c r="I236" s="12"/>
    </row>
    <row r="237">
      <c r="E237" s="24"/>
      <c r="H237" s="12"/>
      <c r="I237" s="12"/>
    </row>
    <row r="238">
      <c r="E238" s="24"/>
      <c r="H238" s="12"/>
      <c r="I238" s="12"/>
    </row>
    <row r="239">
      <c r="E239" s="24"/>
      <c r="H239" s="12"/>
      <c r="I239" s="12"/>
    </row>
    <row r="240">
      <c r="E240" s="24"/>
      <c r="H240" s="12"/>
      <c r="I240" s="12"/>
    </row>
    <row r="241">
      <c r="E241" s="24"/>
      <c r="H241" s="12"/>
      <c r="I241" s="12"/>
    </row>
    <row r="242">
      <c r="E242" s="24"/>
      <c r="H242" s="12"/>
      <c r="I242" s="12"/>
    </row>
    <row r="243">
      <c r="E243" s="24"/>
      <c r="H243" s="12"/>
      <c r="I243" s="12"/>
    </row>
    <row r="244">
      <c r="E244" s="24"/>
      <c r="H244" s="12"/>
      <c r="I244" s="12"/>
    </row>
    <row r="245">
      <c r="E245" s="24"/>
      <c r="H245" s="12"/>
      <c r="I245" s="12"/>
    </row>
    <row r="246">
      <c r="E246" s="24"/>
      <c r="H246" s="12"/>
      <c r="I246" s="12"/>
    </row>
    <row r="247">
      <c r="E247" s="24"/>
      <c r="H247" s="12"/>
      <c r="I247" s="12"/>
    </row>
    <row r="248">
      <c r="E248" s="24"/>
      <c r="H248" s="12"/>
      <c r="I248" s="12"/>
    </row>
    <row r="249">
      <c r="E249" s="24"/>
      <c r="H249" s="12"/>
      <c r="I249" s="12"/>
    </row>
    <row r="250">
      <c r="E250" s="24"/>
      <c r="H250" s="12"/>
      <c r="I250" s="12"/>
    </row>
    <row r="251">
      <c r="E251" s="24"/>
      <c r="H251" s="12"/>
      <c r="I251" s="12"/>
    </row>
    <row r="252">
      <c r="E252" s="24"/>
      <c r="H252" s="12"/>
      <c r="I252" s="12"/>
    </row>
    <row r="253">
      <c r="E253" s="24"/>
      <c r="H253" s="12"/>
      <c r="I253" s="12"/>
    </row>
    <row r="254">
      <c r="E254" s="24"/>
      <c r="H254" s="12"/>
      <c r="I254" s="12"/>
    </row>
    <row r="255">
      <c r="E255" s="24"/>
      <c r="H255" s="12"/>
      <c r="I255" s="12"/>
    </row>
    <row r="256">
      <c r="E256" s="24"/>
      <c r="H256" s="12"/>
      <c r="I256" s="12"/>
    </row>
    <row r="257">
      <c r="E257" s="24"/>
      <c r="H257" s="12"/>
      <c r="I257" s="12"/>
    </row>
    <row r="258">
      <c r="E258" s="24"/>
      <c r="H258" s="12"/>
      <c r="I258" s="12"/>
    </row>
    <row r="259">
      <c r="E259" s="24"/>
      <c r="H259" s="12"/>
      <c r="I259" s="12"/>
    </row>
    <row r="260">
      <c r="E260" s="24"/>
      <c r="H260" s="12"/>
      <c r="I260" s="12"/>
    </row>
    <row r="261">
      <c r="E261" s="24"/>
      <c r="H261" s="12"/>
      <c r="I261" s="12"/>
    </row>
    <row r="262">
      <c r="E262" s="24"/>
      <c r="H262" s="12"/>
      <c r="I262" s="12"/>
    </row>
    <row r="263">
      <c r="E263" s="24"/>
      <c r="H263" s="12"/>
      <c r="I263" s="12"/>
    </row>
    <row r="264">
      <c r="E264" s="24"/>
      <c r="H264" s="12"/>
      <c r="I264" s="12"/>
    </row>
    <row r="265">
      <c r="E265" s="24"/>
      <c r="H265" s="12"/>
      <c r="I265" s="12"/>
    </row>
    <row r="266">
      <c r="E266" s="24"/>
      <c r="H266" s="12"/>
      <c r="I266" s="12"/>
    </row>
    <row r="267">
      <c r="E267" s="24"/>
      <c r="H267" s="12"/>
      <c r="I267" s="12"/>
    </row>
    <row r="268">
      <c r="E268" s="24"/>
      <c r="H268" s="12"/>
      <c r="I268" s="12"/>
    </row>
    <row r="269">
      <c r="E269" s="24"/>
      <c r="H269" s="12"/>
      <c r="I269" s="12"/>
    </row>
    <row r="270">
      <c r="E270" s="24"/>
      <c r="H270" s="12"/>
      <c r="I270" s="12"/>
    </row>
    <row r="271">
      <c r="E271" s="24"/>
      <c r="H271" s="12"/>
      <c r="I271" s="12"/>
    </row>
    <row r="272">
      <c r="E272" s="24"/>
      <c r="H272" s="12"/>
      <c r="I272" s="12"/>
    </row>
    <row r="273">
      <c r="E273" s="24"/>
      <c r="H273" s="12"/>
      <c r="I273" s="12"/>
    </row>
    <row r="274">
      <c r="E274" s="24"/>
      <c r="H274" s="12"/>
      <c r="I274" s="12"/>
    </row>
    <row r="275">
      <c r="E275" s="24"/>
      <c r="H275" s="12"/>
      <c r="I275" s="12"/>
    </row>
    <row r="276">
      <c r="E276" s="24"/>
      <c r="H276" s="12"/>
      <c r="I276" s="12"/>
    </row>
    <row r="277">
      <c r="E277" s="24"/>
      <c r="H277" s="12"/>
      <c r="I277" s="12"/>
    </row>
    <row r="278">
      <c r="E278" s="24"/>
      <c r="H278" s="12"/>
      <c r="I278" s="12"/>
    </row>
    <row r="279">
      <c r="E279" s="24"/>
      <c r="H279" s="12"/>
      <c r="I279" s="12"/>
    </row>
    <row r="280">
      <c r="E280" s="24"/>
      <c r="H280" s="12"/>
      <c r="I280" s="12"/>
    </row>
    <row r="281">
      <c r="E281" s="24"/>
      <c r="H281" s="12"/>
      <c r="I281" s="12"/>
    </row>
    <row r="282">
      <c r="E282" s="24"/>
      <c r="H282" s="12"/>
      <c r="I282" s="12"/>
    </row>
    <row r="283">
      <c r="E283" s="24"/>
      <c r="H283" s="12"/>
      <c r="I283" s="12"/>
    </row>
    <row r="284">
      <c r="E284" s="24"/>
      <c r="H284" s="12"/>
      <c r="I284" s="12"/>
    </row>
    <row r="285">
      <c r="E285" s="24"/>
      <c r="H285" s="12"/>
      <c r="I285" s="12"/>
    </row>
    <row r="286">
      <c r="E286" s="24"/>
      <c r="H286" s="12"/>
      <c r="I286" s="12"/>
    </row>
    <row r="287">
      <c r="E287" s="24"/>
      <c r="H287" s="12"/>
      <c r="I287" s="12"/>
    </row>
    <row r="288">
      <c r="E288" s="24"/>
      <c r="H288" s="12"/>
      <c r="I288" s="12"/>
    </row>
    <row r="289">
      <c r="E289" s="24"/>
      <c r="H289" s="12"/>
      <c r="I289" s="12"/>
    </row>
    <row r="290">
      <c r="E290" s="24"/>
      <c r="H290" s="12"/>
      <c r="I290" s="12"/>
    </row>
    <row r="291">
      <c r="E291" s="24"/>
      <c r="H291" s="12"/>
      <c r="I291" s="12"/>
    </row>
    <row r="292">
      <c r="E292" s="24"/>
      <c r="H292" s="12"/>
      <c r="I292" s="12"/>
    </row>
    <row r="293">
      <c r="E293" s="24"/>
      <c r="H293" s="12"/>
      <c r="I293" s="12"/>
    </row>
    <row r="294">
      <c r="E294" s="24"/>
      <c r="H294" s="12"/>
      <c r="I294" s="12"/>
    </row>
    <row r="295">
      <c r="E295" s="24"/>
      <c r="H295" s="12"/>
      <c r="I295" s="12"/>
    </row>
    <row r="296">
      <c r="E296" s="24"/>
      <c r="H296" s="12"/>
      <c r="I296" s="12"/>
    </row>
    <row r="297">
      <c r="E297" s="24"/>
      <c r="H297" s="12"/>
      <c r="I297" s="12"/>
    </row>
    <row r="298">
      <c r="E298" s="24"/>
      <c r="H298" s="12"/>
      <c r="I298" s="12"/>
    </row>
    <row r="299">
      <c r="E299" s="24"/>
      <c r="H299" s="12"/>
      <c r="I299" s="12"/>
    </row>
    <row r="300">
      <c r="E300" s="24"/>
      <c r="H300" s="12"/>
      <c r="I300" s="12"/>
    </row>
    <row r="301">
      <c r="E301" s="24"/>
      <c r="H301" s="12"/>
      <c r="I301" s="12"/>
    </row>
    <row r="302">
      <c r="E302" s="24"/>
      <c r="H302" s="12"/>
      <c r="I302" s="12"/>
    </row>
    <row r="303">
      <c r="E303" s="24"/>
      <c r="H303" s="12"/>
      <c r="I303" s="12"/>
    </row>
    <row r="304">
      <c r="E304" s="24"/>
      <c r="H304" s="12"/>
      <c r="I304" s="12"/>
    </row>
    <row r="305">
      <c r="E305" s="24"/>
      <c r="H305" s="12"/>
      <c r="I305" s="12"/>
    </row>
    <row r="306">
      <c r="E306" s="24"/>
      <c r="H306" s="12"/>
      <c r="I306" s="12"/>
    </row>
    <row r="307">
      <c r="E307" s="24"/>
      <c r="H307" s="12"/>
      <c r="I307" s="12"/>
    </row>
    <row r="308">
      <c r="E308" s="24"/>
      <c r="H308" s="12"/>
      <c r="I308" s="12"/>
    </row>
    <row r="309">
      <c r="E309" s="24"/>
      <c r="H309" s="12"/>
      <c r="I309" s="12"/>
    </row>
    <row r="310">
      <c r="E310" s="24"/>
      <c r="H310" s="12"/>
      <c r="I310" s="12"/>
    </row>
    <row r="311">
      <c r="E311" s="24"/>
      <c r="H311" s="12"/>
      <c r="I311" s="12"/>
    </row>
    <row r="312">
      <c r="E312" s="24"/>
      <c r="H312" s="12"/>
      <c r="I312" s="12"/>
    </row>
    <row r="313">
      <c r="E313" s="24"/>
      <c r="H313" s="12"/>
      <c r="I313" s="12"/>
    </row>
    <row r="314">
      <c r="E314" s="24"/>
      <c r="H314" s="12"/>
      <c r="I314" s="12"/>
    </row>
    <row r="315">
      <c r="E315" s="24"/>
      <c r="H315" s="12"/>
      <c r="I315" s="12"/>
    </row>
    <row r="316">
      <c r="E316" s="24"/>
      <c r="H316" s="12"/>
      <c r="I316" s="12"/>
    </row>
    <row r="317">
      <c r="E317" s="24"/>
      <c r="H317" s="12"/>
      <c r="I317" s="12"/>
    </row>
    <row r="318">
      <c r="E318" s="24"/>
      <c r="H318" s="12"/>
      <c r="I318" s="12"/>
    </row>
    <row r="319">
      <c r="E319" s="24"/>
      <c r="H319" s="12"/>
      <c r="I319" s="12"/>
    </row>
    <row r="320">
      <c r="E320" s="24"/>
      <c r="H320" s="12"/>
      <c r="I320" s="12"/>
    </row>
    <row r="321">
      <c r="E321" s="24"/>
      <c r="H321" s="12"/>
      <c r="I321" s="12"/>
    </row>
    <row r="322">
      <c r="E322" s="24"/>
      <c r="H322" s="12"/>
      <c r="I322" s="12"/>
    </row>
    <row r="323">
      <c r="E323" s="24"/>
      <c r="H323" s="12"/>
      <c r="I323" s="12"/>
    </row>
    <row r="324">
      <c r="E324" s="24"/>
      <c r="H324" s="12"/>
      <c r="I324" s="12"/>
    </row>
    <row r="325">
      <c r="E325" s="24"/>
      <c r="H325" s="12"/>
      <c r="I325" s="12"/>
    </row>
    <row r="326">
      <c r="E326" s="24"/>
      <c r="H326" s="12"/>
      <c r="I326" s="12"/>
    </row>
    <row r="327">
      <c r="E327" s="24"/>
      <c r="H327" s="12"/>
      <c r="I327" s="12"/>
    </row>
    <row r="328">
      <c r="E328" s="24"/>
      <c r="H328" s="12"/>
      <c r="I328" s="12"/>
    </row>
    <row r="329">
      <c r="E329" s="24"/>
      <c r="H329" s="12"/>
      <c r="I329" s="12"/>
    </row>
    <row r="330">
      <c r="E330" s="24"/>
      <c r="H330" s="12"/>
      <c r="I330" s="12"/>
    </row>
    <row r="331">
      <c r="E331" s="24"/>
      <c r="H331" s="12"/>
      <c r="I331" s="12"/>
    </row>
    <row r="332">
      <c r="E332" s="24"/>
      <c r="H332" s="12"/>
      <c r="I332" s="12"/>
    </row>
    <row r="333">
      <c r="E333" s="24"/>
      <c r="H333" s="12"/>
      <c r="I333" s="12"/>
    </row>
    <row r="334">
      <c r="E334" s="24"/>
      <c r="H334" s="12"/>
      <c r="I334" s="12"/>
    </row>
    <row r="335">
      <c r="E335" s="24"/>
      <c r="H335" s="12"/>
      <c r="I335" s="12"/>
    </row>
    <row r="336">
      <c r="E336" s="24"/>
      <c r="H336" s="12"/>
      <c r="I336" s="12"/>
    </row>
    <row r="337">
      <c r="E337" s="24"/>
      <c r="H337" s="12"/>
      <c r="I337" s="12"/>
    </row>
    <row r="338">
      <c r="E338" s="24"/>
      <c r="H338" s="12"/>
      <c r="I338" s="12"/>
    </row>
    <row r="339">
      <c r="E339" s="24"/>
      <c r="H339" s="12"/>
      <c r="I339" s="12"/>
    </row>
    <row r="340">
      <c r="E340" s="24"/>
      <c r="H340" s="12"/>
      <c r="I340" s="12"/>
    </row>
    <row r="341">
      <c r="E341" s="24"/>
      <c r="H341" s="12"/>
      <c r="I341" s="12"/>
    </row>
    <row r="342">
      <c r="E342" s="24"/>
      <c r="H342" s="12"/>
      <c r="I342" s="12"/>
    </row>
    <row r="343">
      <c r="E343" s="24"/>
      <c r="H343" s="12"/>
      <c r="I343" s="12"/>
    </row>
    <row r="344">
      <c r="E344" s="24"/>
      <c r="H344" s="12"/>
      <c r="I344" s="12"/>
    </row>
    <row r="345">
      <c r="E345" s="24"/>
      <c r="H345" s="12"/>
      <c r="I345" s="12"/>
    </row>
    <row r="346">
      <c r="E346" s="24"/>
      <c r="H346" s="12"/>
      <c r="I346" s="12"/>
    </row>
    <row r="347">
      <c r="E347" s="24"/>
      <c r="H347" s="12"/>
      <c r="I347" s="12"/>
    </row>
    <row r="348">
      <c r="E348" s="24"/>
      <c r="H348" s="12"/>
      <c r="I348" s="12"/>
    </row>
    <row r="349">
      <c r="E349" s="24"/>
      <c r="H349" s="12"/>
      <c r="I349" s="12"/>
    </row>
    <row r="350">
      <c r="E350" s="24"/>
      <c r="H350" s="12"/>
      <c r="I350" s="12"/>
    </row>
    <row r="351">
      <c r="E351" s="24"/>
      <c r="H351" s="12"/>
      <c r="I351" s="12"/>
    </row>
    <row r="352">
      <c r="E352" s="24"/>
      <c r="H352" s="12"/>
      <c r="I352" s="12"/>
    </row>
    <row r="353">
      <c r="E353" s="24"/>
      <c r="H353" s="12"/>
      <c r="I353" s="12"/>
    </row>
    <row r="354">
      <c r="E354" s="24"/>
      <c r="H354" s="12"/>
      <c r="I354" s="12"/>
    </row>
    <row r="355">
      <c r="E355" s="24"/>
      <c r="H355" s="12"/>
      <c r="I355" s="12"/>
    </row>
    <row r="356">
      <c r="E356" s="24"/>
      <c r="H356" s="12"/>
      <c r="I356" s="12"/>
    </row>
    <row r="357">
      <c r="E357" s="24"/>
      <c r="H357" s="12"/>
      <c r="I357" s="12"/>
    </row>
    <row r="358">
      <c r="E358" s="24"/>
      <c r="H358" s="12"/>
      <c r="I358" s="12"/>
    </row>
    <row r="359">
      <c r="E359" s="24"/>
      <c r="H359" s="12"/>
      <c r="I359" s="12"/>
    </row>
    <row r="360">
      <c r="E360" s="24"/>
      <c r="H360" s="12"/>
      <c r="I360" s="12"/>
    </row>
    <row r="361">
      <c r="E361" s="24"/>
      <c r="H361" s="12"/>
      <c r="I361" s="12"/>
    </row>
    <row r="362">
      <c r="E362" s="24"/>
      <c r="H362" s="12"/>
      <c r="I362" s="12"/>
    </row>
    <row r="363">
      <c r="E363" s="24"/>
      <c r="H363" s="12"/>
      <c r="I363" s="12"/>
    </row>
    <row r="364">
      <c r="E364" s="24"/>
      <c r="H364" s="12"/>
      <c r="I364" s="12"/>
    </row>
    <row r="365">
      <c r="E365" s="24"/>
      <c r="H365" s="12"/>
      <c r="I365" s="12"/>
    </row>
    <row r="366">
      <c r="E366" s="24"/>
      <c r="H366" s="12"/>
      <c r="I366" s="12"/>
    </row>
    <row r="367">
      <c r="E367" s="24"/>
      <c r="H367" s="12"/>
      <c r="I367" s="12"/>
    </row>
    <row r="368">
      <c r="E368" s="24"/>
      <c r="H368" s="12"/>
      <c r="I368" s="12"/>
    </row>
    <row r="369">
      <c r="E369" s="24"/>
      <c r="H369" s="12"/>
      <c r="I369" s="12"/>
    </row>
    <row r="370">
      <c r="E370" s="24"/>
      <c r="H370" s="12"/>
      <c r="I370" s="12"/>
    </row>
    <row r="371">
      <c r="E371" s="24"/>
      <c r="H371" s="12"/>
      <c r="I371" s="12"/>
    </row>
    <row r="372">
      <c r="E372" s="24"/>
      <c r="H372" s="12"/>
      <c r="I372" s="12"/>
    </row>
    <row r="373">
      <c r="E373" s="24"/>
      <c r="H373" s="12"/>
      <c r="I373" s="12"/>
    </row>
    <row r="374">
      <c r="E374" s="24"/>
      <c r="H374" s="12"/>
      <c r="I374" s="12"/>
    </row>
    <row r="375">
      <c r="E375" s="24"/>
      <c r="H375" s="12"/>
      <c r="I375" s="12"/>
    </row>
    <row r="376">
      <c r="E376" s="24"/>
      <c r="H376" s="12"/>
      <c r="I376" s="12"/>
    </row>
    <row r="377">
      <c r="E377" s="24"/>
      <c r="H377" s="12"/>
      <c r="I377" s="12"/>
    </row>
    <row r="378">
      <c r="E378" s="24"/>
      <c r="H378" s="12"/>
      <c r="I378" s="12"/>
    </row>
    <row r="379">
      <c r="E379" s="24"/>
      <c r="H379" s="12"/>
      <c r="I379" s="12"/>
    </row>
    <row r="380">
      <c r="E380" s="24"/>
      <c r="H380" s="12"/>
      <c r="I380" s="12"/>
    </row>
    <row r="381">
      <c r="E381" s="24"/>
      <c r="H381" s="12"/>
      <c r="I381" s="12"/>
    </row>
    <row r="382">
      <c r="E382" s="24"/>
      <c r="H382" s="12"/>
      <c r="I382" s="12"/>
    </row>
    <row r="383">
      <c r="E383" s="24"/>
      <c r="H383" s="12"/>
      <c r="I383" s="12"/>
    </row>
    <row r="384">
      <c r="E384" s="24"/>
      <c r="H384" s="12"/>
      <c r="I384" s="12"/>
    </row>
    <row r="385">
      <c r="E385" s="24"/>
      <c r="H385" s="12"/>
      <c r="I385" s="12"/>
    </row>
    <row r="386">
      <c r="E386" s="24"/>
      <c r="H386" s="12"/>
      <c r="I386" s="12"/>
    </row>
    <row r="387">
      <c r="E387" s="24"/>
      <c r="H387" s="12"/>
      <c r="I387" s="12"/>
    </row>
    <row r="388">
      <c r="E388" s="24"/>
      <c r="H388" s="12"/>
      <c r="I388" s="12"/>
    </row>
    <row r="389">
      <c r="E389" s="24"/>
      <c r="H389" s="12"/>
      <c r="I389" s="12"/>
    </row>
    <row r="390">
      <c r="E390" s="24"/>
      <c r="H390" s="12"/>
      <c r="I390" s="12"/>
    </row>
    <row r="391">
      <c r="E391" s="24"/>
      <c r="H391" s="12"/>
      <c r="I391" s="12"/>
    </row>
    <row r="392">
      <c r="E392" s="24"/>
      <c r="H392" s="12"/>
      <c r="I392" s="12"/>
    </row>
    <row r="393">
      <c r="E393" s="24"/>
      <c r="H393" s="12"/>
      <c r="I393" s="12"/>
    </row>
    <row r="394">
      <c r="E394" s="24"/>
      <c r="H394" s="12"/>
      <c r="I394" s="12"/>
    </row>
    <row r="395">
      <c r="E395" s="24"/>
      <c r="H395" s="12"/>
      <c r="I395" s="12"/>
    </row>
    <row r="396">
      <c r="E396" s="24"/>
      <c r="H396" s="12"/>
      <c r="I396" s="12"/>
    </row>
    <row r="397">
      <c r="E397" s="24"/>
      <c r="H397" s="12"/>
      <c r="I397" s="12"/>
    </row>
    <row r="398">
      <c r="E398" s="24"/>
      <c r="H398" s="12"/>
      <c r="I398" s="12"/>
    </row>
    <row r="399">
      <c r="E399" s="24"/>
      <c r="H399" s="12"/>
      <c r="I399" s="12"/>
    </row>
    <row r="400">
      <c r="E400" s="24"/>
      <c r="H400" s="12"/>
      <c r="I400" s="12"/>
    </row>
    <row r="401">
      <c r="E401" s="24"/>
      <c r="H401" s="12"/>
      <c r="I401" s="12"/>
    </row>
    <row r="402">
      <c r="E402" s="24"/>
      <c r="H402" s="12"/>
      <c r="I402" s="12"/>
    </row>
    <row r="403">
      <c r="E403" s="24"/>
      <c r="H403" s="12"/>
      <c r="I403" s="12"/>
    </row>
    <row r="404">
      <c r="E404" s="24"/>
      <c r="H404" s="12"/>
      <c r="I404" s="12"/>
    </row>
    <row r="405">
      <c r="E405" s="24"/>
      <c r="H405" s="12"/>
      <c r="I405" s="12"/>
    </row>
    <row r="406">
      <c r="E406" s="24"/>
      <c r="H406" s="12"/>
      <c r="I406" s="12"/>
    </row>
    <row r="407">
      <c r="E407" s="24"/>
      <c r="H407" s="12"/>
      <c r="I407" s="12"/>
    </row>
    <row r="408">
      <c r="E408" s="24"/>
      <c r="H408" s="12"/>
      <c r="I408" s="12"/>
    </row>
    <row r="409">
      <c r="E409" s="24"/>
      <c r="H409" s="12"/>
      <c r="I409" s="12"/>
    </row>
    <row r="410">
      <c r="E410" s="24"/>
      <c r="H410" s="12"/>
      <c r="I410" s="12"/>
    </row>
    <row r="411">
      <c r="E411" s="24"/>
      <c r="H411" s="12"/>
      <c r="I411" s="12"/>
    </row>
    <row r="412">
      <c r="E412" s="24"/>
      <c r="H412" s="12"/>
      <c r="I412" s="12"/>
    </row>
    <row r="413">
      <c r="E413" s="24"/>
      <c r="H413" s="12"/>
      <c r="I413" s="12"/>
    </row>
    <row r="414">
      <c r="E414" s="24"/>
      <c r="H414" s="12"/>
      <c r="I414" s="12"/>
    </row>
    <row r="415">
      <c r="E415" s="24"/>
      <c r="H415" s="12"/>
      <c r="I415" s="12"/>
    </row>
    <row r="416">
      <c r="E416" s="24"/>
      <c r="H416" s="12"/>
      <c r="I416" s="12"/>
    </row>
    <row r="417">
      <c r="E417" s="24"/>
      <c r="H417" s="12"/>
      <c r="I417" s="12"/>
    </row>
    <row r="418">
      <c r="E418" s="24"/>
      <c r="H418" s="12"/>
      <c r="I418" s="12"/>
    </row>
    <row r="419">
      <c r="E419" s="24"/>
      <c r="H419" s="12"/>
      <c r="I419" s="12"/>
    </row>
    <row r="420">
      <c r="E420" s="24"/>
      <c r="H420" s="12"/>
      <c r="I420" s="12"/>
    </row>
    <row r="421">
      <c r="E421" s="24"/>
      <c r="H421" s="12"/>
      <c r="I421" s="12"/>
    </row>
    <row r="422">
      <c r="E422" s="24"/>
      <c r="H422" s="12"/>
      <c r="I422" s="12"/>
    </row>
    <row r="423">
      <c r="E423" s="24"/>
      <c r="H423" s="12"/>
      <c r="I423" s="12"/>
    </row>
    <row r="424">
      <c r="E424" s="24"/>
      <c r="H424" s="12"/>
      <c r="I424" s="12"/>
    </row>
    <row r="425">
      <c r="E425" s="24"/>
      <c r="H425" s="12"/>
      <c r="I425" s="12"/>
    </row>
    <row r="426">
      <c r="E426" s="24"/>
      <c r="H426" s="12"/>
      <c r="I426" s="12"/>
    </row>
    <row r="427">
      <c r="E427" s="24"/>
      <c r="H427" s="12"/>
      <c r="I427" s="12"/>
    </row>
    <row r="428">
      <c r="E428" s="24"/>
      <c r="H428" s="12"/>
      <c r="I428" s="12"/>
    </row>
    <row r="429">
      <c r="E429" s="24"/>
      <c r="H429" s="12"/>
      <c r="I429" s="12"/>
    </row>
    <row r="430">
      <c r="E430" s="24"/>
      <c r="H430" s="12"/>
      <c r="I430" s="12"/>
    </row>
    <row r="431">
      <c r="E431" s="24"/>
      <c r="H431" s="12"/>
      <c r="I431" s="12"/>
    </row>
    <row r="432">
      <c r="E432" s="24"/>
      <c r="H432" s="12"/>
      <c r="I432" s="12"/>
    </row>
    <row r="433">
      <c r="E433" s="24"/>
      <c r="H433" s="12"/>
      <c r="I433" s="12"/>
    </row>
    <row r="434">
      <c r="E434" s="24"/>
      <c r="H434" s="12"/>
      <c r="I434" s="12"/>
    </row>
    <row r="435">
      <c r="E435" s="24"/>
      <c r="H435" s="12"/>
      <c r="I435" s="12"/>
    </row>
    <row r="436">
      <c r="E436" s="24"/>
      <c r="H436" s="12"/>
      <c r="I436" s="12"/>
    </row>
    <row r="437">
      <c r="E437" s="24"/>
      <c r="H437" s="12"/>
      <c r="I437" s="12"/>
    </row>
    <row r="438">
      <c r="E438" s="24"/>
      <c r="H438" s="12"/>
      <c r="I438" s="12"/>
    </row>
    <row r="439">
      <c r="E439" s="24"/>
      <c r="H439" s="12"/>
      <c r="I439" s="12"/>
    </row>
    <row r="440">
      <c r="E440" s="24"/>
      <c r="H440" s="12"/>
      <c r="I440" s="12"/>
    </row>
    <row r="441">
      <c r="E441" s="24"/>
      <c r="H441" s="12"/>
      <c r="I441" s="12"/>
    </row>
    <row r="442">
      <c r="E442" s="24"/>
      <c r="H442" s="12"/>
      <c r="I442" s="12"/>
    </row>
    <row r="443">
      <c r="E443" s="24"/>
      <c r="H443" s="12"/>
      <c r="I443" s="12"/>
    </row>
    <row r="444">
      <c r="E444" s="24"/>
      <c r="H444" s="12"/>
      <c r="I444" s="12"/>
    </row>
    <row r="445">
      <c r="E445" s="24"/>
      <c r="H445" s="12"/>
      <c r="I445" s="12"/>
    </row>
    <row r="446">
      <c r="E446" s="24"/>
      <c r="H446" s="12"/>
      <c r="I446" s="12"/>
    </row>
    <row r="447">
      <c r="E447" s="24"/>
      <c r="H447" s="12"/>
      <c r="I447" s="12"/>
    </row>
    <row r="448">
      <c r="E448" s="24"/>
      <c r="H448" s="12"/>
      <c r="I448" s="12"/>
    </row>
    <row r="449">
      <c r="E449" s="24"/>
      <c r="H449" s="12"/>
      <c r="I449" s="12"/>
    </row>
    <row r="450">
      <c r="E450" s="24"/>
      <c r="H450" s="12"/>
      <c r="I450" s="12"/>
    </row>
    <row r="451">
      <c r="E451" s="24"/>
      <c r="H451" s="12"/>
      <c r="I451" s="12"/>
    </row>
    <row r="452">
      <c r="E452" s="24"/>
      <c r="H452" s="12"/>
      <c r="I452" s="12"/>
    </row>
    <row r="453">
      <c r="E453" s="24"/>
      <c r="H453" s="12"/>
      <c r="I453" s="12"/>
    </row>
    <row r="454">
      <c r="E454" s="24"/>
      <c r="H454" s="12"/>
      <c r="I454" s="12"/>
    </row>
    <row r="455">
      <c r="E455" s="24"/>
      <c r="H455" s="12"/>
      <c r="I455" s="12"/>
    </row>
    <row r="456">
      <c r="E456" s="24"/>
      <c r="H456" s="12"/>
      <c r="I456" s="12"/>
    </row>
    <row r="457">
      <c r="E457" s="24"/>
      <c r="H457" s="12"/>
      <c r="I457" s="12"/>
    </row>
    <row r="458">
      <c r="E458" s="24"/>
      <c r="H458" s="12"/>
      <c r="I458" s="12"/>
    </row>
    <row r="459">
      <c r="E459" s="24"/>
      <c r="H459" s="12"/>
      <c r="I459" s="12"/>
    </row>
    <row r="460">
      <c r="E460" s="24"/>
      <c r="H460" s="12"/>
      <c r="I460" s="12"/>
    </row>
    <row r="461">
      <c r="E461" s="24"/>
      <c r="H461" s="12"/>
      <c r="I461" s="12"/>
    </row>
    <row r="462">
      <c r="E462" s="24"/>
      <c r="H462" s="12"/>
      <c r="I462" s="12"/>
    </row>
    <row r="463">
      <c r="E463" s="24"/>
      <c r="H463" s="12"/>
      <c r="I463" s="12"/>
    </row>
    <row r="464">
      <c r="E464" s="24"/>
      <c r="H464" s="12"/>
      <c r="I464" s="12"/>
    </row>
    <row r="465">
      <c r="E465" s="24"/>
      <c r="H465" s="12"/>
      <c r="I465" s="12"/>
    </row>
    <row r="466">
      <c r="E466" s="24"/>
      <c r="H466" s="12"/>
      <c r="I466" s="12"/>
    </row>
    <row r="467">
      <c r="E467" s="24"/>
      <c r="H467" s="12"/>
      <c r="I467" s="12"/>
    </row>
    <row r="468">
      <c r="E468" s="24"/>
      <c r="H468" s="12"/>
      <c r="I468" s="12"/>
    </row>
    <row r="469">
      <c r="E469" s="24"/>
      <c r="H469" s="12"/>
      <c r="I469" s="12"/>
    </row>
    <row r="470">
      <c r="E470" s="24"/>
      <c r="H470" s="12"/>
      <c r="I470" s="12"/>
    </row>
    <row r="471">
      <c r="E471" s="24"/>
      <c r="H471" s="12"/>
      <c r="I471" s="12"/>
    </row>
    <row r="472">
      <c r="E472" s="24"/>
      <c r="H472" s="12"/>
      <c r="I472" s="12"/>
    </row>
    <row r="473">
      <c r="E473" s="24"/>
      <c r="H473" s="12"/>
      <c r="I473" s="12"/>
    </row>
    <row r="474">
      <c r="E474" s="24"/>
      <c r="H474" s="12"/>
      <c r="I474" s="12"/>
    </row>
    <row r="475">
      <c r="E475" s="24"/>
      <c r="H475" s="12"/>
      <c r="I475" s="12"/>
    </row>
    <row r="476">
      <c r="E476" s="24"/>
      <c r="H476" s="12"/>
      <c r="I476" s="12"/>
    </row>
    <row r="477">
      <c r="E477" s="24"/>
      <c r="H477" s="12"/>
      <c r="I477" s="12"/>
    </row>
    <row r="478">
      <c r="E478" s="24"/>
      <c r="H478" s="12"/>
      <c r="I478" s="12"/>
    </row>
    <row r="479">
      <c r="E479" s="24"/>
      <c r="H479" s="12"/>
      <c r="I479" s="12"/>
    </row>
    <row r="480">
      <c r="E480" s="24"/>
      <c r="H480" s="12"/>
      <c r="I480" s="12"/>
    </row>
    <row r="481">
      <c r="E481" s="24"/>
      <c r="H481" s="12"/>
      <c r="I481" s="12"/>
    </row>
    <row r="482">
      <c r="E482" s="24"/>
      <c r="H482" s="12"/>
      <c r="I482" s="12"/>
    </row>
    <row r="483">
      <c r="E483" s="24"/>
      <c r="H483" s="12"/>
      <c r="I483" s="12"/>
    </row>
    <row r="484">
      <c r="E484" s="24"/>
      <c r="H484" s="12"/>
      <c r="I484" s="12"/>
    </row>
    <row r="485">
      <c r="E485" s="24"/>
      <c r="H485" s="12"/>
      <c r="I485" s="12"/>
    </row>
    <row r="486">
      <c r="E486" s="24"/>
      <c r="H486" s="12"/>
      <c r="I486" s="12"/>
    </row>
    <row r="487">
      <c r="E487" s="24"/>
      <c r="H487" s="12"/>
      <c r="I487" s="12"/>
    </row>
    <row r="488">
      <c r="E488" s="24"/>
      <c r="H488" s="12"/>
      <c r="I488" s="12"/>
    </row>
    <row r="489">
      <c r="E489" s="24"/>
      <c r="H489" s="12"/>
      <c r="I489" s="12"/>
    </row>
    <row r="490">
      <c r="E490" s="24"/>
      <c r="H490" s="12"/>
      <c r="I490" s="12"/>
    </row>
    <row r="491">
      <c r="E491" s="24"/>
      <c r="H491" s="12"/>
      <c r="I491" s="12"/>
    </row>
    <row r="492">
      <c r="E492" s="24"/>
      <c r="H492" s="12"/>
      <c r="I492" s="12"/>
    </row>
    <row r="493">
      <c r="E493" s="24"/>
      <c r="H493" s="12"/>
      <c r="I493" s="12"/>
    </row>
    <row r="494">
      <c r="E494" s="24"/>
      <c r="H494" s="12"/>
      <c r="I494" s="12"/>
    </row>
    <row r="495">
      <c r="E495" s="24"/>
      <c r="H495" s="12"/>
      <c r="I495" s="12"/>
    </row>
    <row r="496">
      <c r="E496" s="24"/>
      <c r="H496" s="12"/>
      <c r="I496" s="12"/>
    </row>
    <row r="497">
      <c r="E497" s="24"/>
      <c r="H497" s="12"/>
      <c r="I497" s="12"/>
    </row>
    <row r="498">
      <c r="E498" s="24"/>
      <c r="H498" s="12"/>
      <c r="I498" s="12"/>
    </row>
    <row r="499">
      <c r="E499" s="24"/>
      <c r="H499" s="12"/>
      <c r="I499" s="12"/>
    </row>
    <row r="500">
      <c r="E500" s="24"/>
      <c r="H500" s="12"/>
      <c r="I500" s="12"/>
    </row>
    <row r="501">
      <c r="E501" s="24"/>
      <c r="H501" s="12"/>
      <c r="I501" s="12"/>
    </row>
    <row r="502">
      <c r="E502" s="24"/>
      <c r="H502" s="12"/>
      <c r="I502" s="12"/>
    </row>
    <row r="503">
      <c r="E503" s="24"/>
      <c r="H503" s="12"/>
      <c r="I503" s="12"/>
    </row>
    <row r="504">
      <c r="E504" s="24"/>
      <c r="H504" s="12"/>
      <c r="I504" s="12"/>
    </row>
    <row r="505">
      <c r="E505" s="24"/>
      <c r="H505" s="12"/>
      <c r="I505" s="12"/>
    </row>
    <row r="506">
      <c r="E506" s="24"/>
      <c r="H506" s="12"/>
      <c r="I506" s="12"/>
    </row>
    <row r="507">
      <c r="E507" s="24"/>
      <c r="H507" s="12"/>
      <c r="I507" s="12"/>
    </row>
    <row r="508">
      <c r="E508" s="24"/>
      <c r="H508" s="12"/>
      <c r="I508" s="12"/>
    </row>
    <row r="509">
      <c r="E509" s="24"/>
      <c r="H509" s="12"/>
      <c r="I509" s="12"/>
    </row>
    <row r="510">
      <c r="E510" s="24"/>
      <c r="H510" s="12"/>
      <c r="I510" s="12"/>
    </row>
    <row r="511">
      <c r="E511" s="24"/>
      <c r="H511" s="12"/>
      <c r="I511" s="12"/>
    </row>
    <row r="512">
      <c r="E512" s="24"/>
      <c r="H512" s="12"/>
      <c r="I512" s="12"/>
    </row>
    <row r="513">
      <c r="E513" s="24"/>
      <c r="H513" s="12"/>
      <c r="I513" s="12"/>
    </row>
    <row r="514">
      <c r="E514" s="24"/>
      <c r="H514" s="12"/>
      <c r="I514" s="12"/>
    </row>
    <row r="515">
      <c r="E515" s="24"/>
      <c r="H515" s="12"/>
      <c r="I515" s="12"/>
    </row>
    <row r="516">
      <c r="E516" s="24"/>
      <c r="H516" s="12"/>
      <c r="I516" s="12"/>
    </row>
    <row r="517">
      <c r="E517" s="24"/>
      <c r="H517" s="12"/>
      <c r="I517" s="12"/>
    </row>
    <row r="518">
      <c r="E518" s="24"/>
      <c r="H518" s="12"/>
      <c r="I518" s="12"/>
    </row>
    <row r="519">
      <c r="E519" s="24"/>
      <c r="H519" s="12"/>
      <c r="I519" s="12"/>
    </row>
    <row r="520">
      <c r="E520" s="24"/>
      <c r="H520" s="12"/>
      <c r="I520" s="12"/>
    </row>
    <row r="521">
      <c r="E521" s="24"/>
      <c r="H521" s="12"/>
      <c r="I521" s="12"/>
    </row>
    <row r="522">
      <c r="E522" s="24"/>
      <c r="H522" s="12"/>
      <c r="I522" s="12"/>
    </row>
    <row r="523">
      <c r="E523" s="24"/>
      <c r="H523" s="12"/>
      <c r="I523" s="12"/>
    </row>
    <row r="524">
      <c r="E524" s="24"/>
      <c r="H524" s="12"/>
      <c r="I524" s="12"/>
    </row>
    <row r="525">
      <c r="E525" s="24"/>
      <c r="H525" s="12"/>
      <c r="I525" s="12"/>
    </row>
    <row r="526">
      <c r="E526" s="24"/>
      <c r="H526" s="12"/>
      <c r="I526" s="12"/>
    </row>
    <row r="527">
      <c r="E527" s="24"/>
      <c r="H527" s="12"/>
      <c r="I527" s="12"/>
    </row>
    <row r="528">
      <c r="E528" s="24"/>
      <c r="H528" s="12"/>
      <c r="I528" s="12"/>
    </row>
    <row r="529">
      <c r="E529" s="24"/>
      <c r="H529" s="12"/>
      <c r="I529" s="12"/>
    </row>
    <row r="530">
      <c r="E530" s="24"/>
      <c r="H530" s="12"/>
      <c r="I530" s="12"/>
    </row>
    <row r="531">
      <c r="E531" s="24"/>
      <c r="H531" s="12"/>
      <c r="I531" s="12"/>
    </row>
    <row r="532">
      <c r="E532" s="24"/>
      <c r="H532" s="12"/>
      <c r="I532" s="12"/>
    </row>
    <row r="533">
      <c r="E533" s="24"/>
      <c r="H533" s="12"/>
      <c r="I533" s="12"/>
    </row>
    <row r="534">
      <c r="E534" s="24"/>
      <c r="H534" s="12"/>
      <c r="I534" s="12"/>
    </row>
    <row r="535">
      <c r="E535" s="24"/>
      <c r="H535" s="12"/>
      <c r="I535" s="12"/>
    </row>
    <row r="536">
      <c r="E536" s="24"/>
      <c r="H536" s="12"/>
      <c r="I536" s="12"/>
    </row>
    <row r="537">
      <c r="E537" s="24"/>
      <c r="H537" s="12"/>
      <c r="I537" s="12"/>
    </row>
    <row r="538">
      <c r="E538" s="24"/>
      <c r="H538" s="12"/>
      <c r="I538" s="12"/>
    </row>
    <row r="539">
      <c r="E539" s="24"/>
      <c r="H539" s="12"/>
      <c r="I539" s="12"/>
    </row>
    <row r="540">
      <c r="E540" s="24"/>
      <c r="H540" s="12"/>
      <c r="I540" s="12"/>
    </row>
    <row r="541">
      <c r="E541" s="24"/>
      <c r="H541" s="12"/>
      <c r="I541" s="12"/>
    </row>
    <row r="542">
      <c r="E542" s="24"/>
      <c r="H542" s="12"/>
      <c r="I542" s="12"/>
    </row>
    <row r="543">
      <c r="E543" s="24"/>
      <c r="H543" s="12"/>
      <c r="I543" s="12"/>
    </row>
    <row r="544">
      <c r="E544" s="24"/>
      <c r="H544" s="12"/>
      <c r="I544" s="12"/>
    </row>
    <row r="545">
      <c r="E545" s="24"/>
      <c r="H545" s="12"/>
      <c r="I545" s="12"/>
    </row>
    <row r="546">
      <c r="E546" s="24"/>
      <c r="H546" s="12"/>
      <c r="I546" s="12"/>
    </row>
    <row r="547">
      <c r="E547" s="24"/>
      <c r="H547" s="12"/>
      <c r="I547" s="12"/>
    </row>
    <row r="548">
      <c r="E548" s="24"/>
      <c r="H548" s="12"/>
      <c r="I548" s="12"/>
    </row>
    <row r="549">
      <c r="E549" s="24"/>
      <c r="H549" s="12"/>
      <c r="I549" s="12"/>
    </row>
    <row r="550">
      <c r="E550" s="24"/>
      <c r="H550" s="12"/>
      <c r="I550" s="12"/>
    </row>
    <row r="551">
      <c r="E551" s="24"/>
      <c r="H551" s="12"/>
      <c r="I551" s="12"/>
    </row>
    <row r="552">
      <c r="E552" s="24"/>
      <c r="H552" s="12"/>
      <c r="I552" s="12"/>
    </row>
    <row r="553">
      <c r="E553" s="24"/>
      <c r="H553" s="12"/>
      <c r="I553" s="12"/>
    </row>
    <row r="554">
      <c r="E554" s="24"/>
      <c r="H554" s="12"/>
      <c r="I554" s="12"/>
    </row>
    <row r="555">
      <c r="E555" s="24"/>
      <c r="H555" s="12"/>
      <c r="I555" s="12"/>
    </row>
    <row r="556">
      <c r="E556" s="24"/>
      <c r="H556" s="12"/>
      <c r="I556" s="12"/>
    </row>
    <row r="557">
      <c r="E557" s="24"/>
      <c r="H557" s="12"/>
      <c r="I557" s="12"/>
    </row>
    <row r="558">
      <c r="E558" s="24"/>
      <c r="H558" s="12"/>
      <c r="I558" s="12"/>
    </row>
    <row r="559">
      <c r="E559" s="24"/>
      <c r="H559" s="12"/>
      <c r="I559" s="12"/>
    </row>
    <row r="560">
      <c r="E560" s="24"/>
      <c r="H560" s="12"/>
      <c r="I560" s="12"/>
    </row>
    <row r="561">
      <c r="E561" s="24"/>
      <c r="H561" s="12"/>
      <c r="I561" s="12"/>
    </row>
    <row r="562">
      <c r="E562" s="24"/>
      <c r="H562" s="12"/>
      <c r="I562" s="12"/>
    </row>
    <row r="563">
      <c r="E563" s="24"/>
      <c r="H563" s="12"/>
      <c r="I563" s="12"/>
    </row>
    <row r="564">
      <c r="E564" s="24"/>
      <c r="H564" s="12"/>
      <c r="I564" s="12"/>
    </row>
    <row r="565">
      <c r="E565" s="24"/>
      <c r="H565" s="12"/>
      <c r="I565" s="12"/>
    </row>
    <row r="566">
      <c r="E566" s="24"/>
      <c r="H566" s="12"/>
      <c r="I566" s="12"/>
    </row>
    <row r="567">
      <c r="E567" s="24"/>
      <c r="H567" s="12"/>
      <c r="I567" s="12"/>
    </row>
    <row r="568">
      <c r="E568" s="24"/>
      <c r="H568" s="12"/>
      <c r="I568" s="12"/>
    </row>
    <row r="569">
      <c r="E569" s="24"/>
      <c r="H569" s="12"/>
      <c r="I569" s="12"/>
    </row>
    <row r="570">
      <c r="E570" s="24"/>
      <c r="H570" s="12"/>
      <c r="I570" s="12"/>
    </row>
    <row r="571">
      <c r="E571" s="24"/>
      <c r="H571" s="12"/>
      <c r="I571" s="12"/>
    </row>
    <row r="572">
      <c r="E572" s="24"/>
      <c r="H572" s="12"/>
      <c r="I572" s="12"/>
    </row>
    <row r="573">
      <c r="E573" s="24"/>
      <c r="H573" s="12"/>
      <c r="I573" s="12"/>
    </row>
    <row r="574">
      <c r="E574" s="24"/>
      <c r="H574" s="12"/>
      <c r="I574" s="12"/>
    </row>
    <row r="575">
      <c r="E575" s="24"/>
      <c r="H575" s="12"/>
      <c r="I575" s="12"/>
    </row>
    <row r="576">
      <c r="E576" s="24"/>
      <c r="H576" s="12"/>
      <c r="I576" s="12"/>
    </row>
    <row r="577">
      <c r="E577" s="24"/>
      <c r="H577" s="12"/>
      <c r="I577" s="12"/>
    </row>
    <row r="578">
      <c r="E578" s="24"/>
      <c r="H578" s="12"/>
      <c r="I578" s="12"/>
    </row>
    <row r="579">
      <c r="E579" s="24"/>
      <c r="H579" s="12"/>
      <c r="I579" s="12"/>
    </row>
    <row r="580">
      <c r="E580" s="24"/>
      <c r="H580" s="12"/>
      <c r="I580" s="12"/>
    </row>
    <row r="581">
      <c r="E581" s="24"/>
      <c r="H581" s="12"/>
      <c r="I581" s="12"/>
    </row>
    <row r="582">
      <c r="E582" s="24"/>
      <c r="H582" s="12"/>
      <c r="I582" s="12"/>
    </row>
    <row r="583">
      <c r="E583" s="24"/>
      <c r="H583" s="12"/>
      <c r="I583" s="12"/>
    </row>
    <row r="584">
      <c r="E584" s="24"/>
      <c r="H584" s="12"/>
      <c r="I584" s="12"/>
    </row>
    <row r="585">
      <c r="E585" s="24"/>
      <c r="H585" s="12"/>
      <c r="I585" s="12"/>
    </row>
    <row r="586">
      <c r="E586" s="24"/>
      <c r="H586" s="12"/>
      <c r="I586" s="12"/>
    </row>
    <row r="587">
      <c r="E587" s="24"/>
      <c r="H587" s="12"/>
      <c r="I587" s="12"/>
    </row>
    <row r="588">
      <c r="E588" s="24"/>
      <c r="H588" s="12"/>
      <c r="I588" s="12"/>
    </row>
    <row r="589">
      <c r="E589" s="24"/>
      <c r="H589" s="12"/>
      <c r="I589" s="12"/>
    </row>
    <row r="590">
      <c r="E590" s="24"/>
      <c r="H590" s="12"/>
      <c r="I590" s="12"/>
    </row>
    <row r="591">
      <c r="E591" s="24"/>
      <c r="H591" s="12"/>
      <c r="I591" s="12"/>
    </row>
    <row r="592">
      <c r="E592" s="24"/>
      <c r="H592" s="12"/>
      <c r="I592" s="12"/>
    </row>
    <row r="593">
      <c r="E593" s="24"/>
      <c r="H593" s="12"/>
      <c r="I593" s="12"/>
    </row>
    <row r="594">
      <c r="E594" s="24"/>
      <c r="H594" s="12"/>
      <c r="I594" s="12"/>
    </row>
    <row r="595">
      <c r="E595" s="24"/>
      <c r="H595" s="12"/>
      <c r="I595" s="12"/>
    </row>
    <row r="596">
      <c r="E596" s="24"/>
      <c r="H596" s="12"/>
      <c r="I596" s="12"/>
    </row>
    <row r="597">
      <c r="E597" s="24"/>
      <c r="H597" s="12"/>
      <c r="I597" s="12"/>
    </row>
    <row r="598">
      <c r="E598" s="24"/>
      <c r="H598" s="12"/>
      <c r="I598" s="12"/>
    </row>
    <row r="599">
      <c r="E599" s="24"/>
      <c r="H599" s="12"/>
      <c r="I599" s="12"/>
    </row>
    <row r="600">
      <c r="E600" s="24"/>
      <c r="H600" s="12"/>
      <c r="I600" s="12"/>
    </row>
    <row r="601">
      <c r="E601" s="24"/>
      <c r="H601" s="12"/>
      <c r="I601" s="12"/>
    </row>
    <row r="602">
      <c r="E602" s="24"/>
      <c r="H602" s="12"/>
      <c r="I602" s="12"/>
    </row>
    <row r="603">
      <c r="E603" s="24"/>
      <c r="H603" s="12"/>
      <c r="I603" s="12"/>
    </row>
    <row r="604">
      <c r="E604" s="24"/>
      <c r="H604" s="12"/>
      <c r="I604" s="12"/>
    </row>
    <row r="605">
      <c r="E605" s="24"/>
      <c r="H605" s="12"/>
      <c r="I605" s="12"/>
    </row>
    <row r="606">
      <c r="E606" s="24"/>
      <c r="H606" s="12"/>
      <c r="I606" s="12"/>
    </row>
    <row r="607">
      <c r="E607" s="24"/>
      <c r="H607" s="12"/>
      <c r="I607" s="12"/>
    </row>
    <row r="608">
      <c r="E608" s="24"/>
      <c r="H608" s="12"/>
      <c r="I608" s="12"/>
    </row>
    <row r="609">
      <c r="E609" s="24"/>
      <c r="H609" s="12"/>
      <c r="I609" s="12"/>
    </row>
    <row r="610">
      <c r="E610" s="24"/>
      <c r="H610" s="12"/>
      <c r="I610" s="12"/>
    </row>
    <row r="611">
      <c r="E611" s="24"/>
      <c r="H611" s="12"/>
      <c r="I611" s="12"/>
    </row>
    <row r="612">
      <c r="E612" s="24"/>
      <c r="H612" s="12"/>
      <c r="I612" s="12"/>
    </row>
    <row r="613">
      <c r="E613" s="24"/>
      <c r="H613" s="12"/>
      <c r="I613" s="12"/>
    </row>
    <row r="614">
      <c r="E614" s="24"/>
      <c r="H614" s="12"/>
      <c r="I614" s="12"/>
    </row>
    <row r="615">
      <c r="E615" s="24"/>
      <c r="H615" s="12"/>
      <c r="I615" s="12"/>
    </row>
    <row r="616">
      <c r="E616" s="24"/>
      <c r="H616" s="12"/>
      <c r="I616" s="12"/>
    </row>
    <row r="617">
      <c r="E617" s="24"/>
      <c r="H617" s="12"/>
      <c r="I617" s="12"/>
    </row>
    <row r="618">
      <c r="E618" s="24"/>
      <c r="H618" s="12"/>
      <c r="I618" s="12"/>
    </row>
    <row r="619">
      <c r="E619" s="24"/>
      <c r="H619" s="12"/>
      <c r="I619" s="12"/>
    </row>
    <row r="620">
      <c r="E620" s="24"/>
      <c r="H620" s="12"/>
      <c r="I620" s="12"/>
    </row>
    <row r="621">
      <c r="E621" s="24"/>
      <c r="H621" s="12"/>
      <c r="I621" s="12"/>
    </row>
    <row r="622">
      <c r="E622" s="24"/>
      <c r="H622" s="12"/>
      <c r="I622" s="12"/>
    </row>
    <row r="623">
      <c r="E623" s="24"/>
      <c r="H623" s="12"/>
      <c r="I623" s="12"/>
    </row>
    <row r="624">
      <c r="E624" s="24"/>
      <c r="H624" s="12"/>
      <c r="I624" s="12"/>
    </row>
    <row r="625">
      <c r="E625" s="24"/>
      <c r="H625" s="12"/>
      <c r="I625" s="12"/>
    </row>
    <row r="626">
      <c r="E626" s="24"/>
      <c r="H626" s="12"/>
      <c r="I626" s="12"/>
    </row>
    <row r="627">
      <c r="E627" s="24"/>
      <c r="H627" s="12"/>
      <c r="I627" s="12"/>
    </row>
    <row r="628">
      <c r="E628" s="24"/>
      <c r="H628" s="12"/>
      <c r="I628" s="12"/>
    </row>
    <row r="629">
      <c r="E629" s="24"/>
      <c r="H629" s="12"/>
      <c r="I629" s="12"/>
    </row>
    <row r="630">
      <c r="E630" s="24"/>
      <c r="H630" s="12"/>
      <c r="I630" s="12"/>
    </row>
    <row r="631">
      <c r="E631" s="24"/>
      <c r="H631" s="12"/>
      <c r="I631" s="12"/>
    </row>
    <row r="632">
      <c r="E632" s="24"/>
      <c r="H632" s="12"/>
      <c r="I632" s="12"/>
    </row>
    <row r="633">
      <c r="E633" s="24"/>
      <c r="H633" s="12"/>
      <c r="I633" s="12"/>
    </row>
    <row r="634">
      <c r="E634" s="24"/>
      <c r="H634" s="12"/>
      <c r="I634" s="12"/>
    </row>
    <row r="635">
      <c r="E635" s="24"/>
      <c r="H635" s="12"/>
      <c r="I635" s="12"/>
    </row>
    <row r="636">
      <c r="E636" s="24"/>
      <c r="H636" s="12"/>
      <c r="I636" s="12"/>
    </row>
    <row r="637">
      <c r="E637" s="24"/>
      <c r="H637" s="12"/>
      <c r="I637" s="12"/>
    </row>
    <row r="638">
      <c r="E638" s="24"/>
      <c r="H638" s="12"/>
      <c r="I638" s="12"/>
    </row>
    <row r="639">
      <c r="E639" s="24"/>
      <c r="H639" s="12"/>
      <c r="I639" s="12"/>
    </row>
    <row r="640">
      <c r="E640" s="24"/>
      <c r="H640" s="12"/>
      <c r="I640" s="12"/>
    </row>
    <row r="641">
      <c r="E641" s="24"/>
      <c r="H641" s="12"/>
      <c r="I641" s="12"/>
    </row>
    <row r="642">
      <c r="E642" s="24"/>
      <c r="H642" s="12"/>
      <c r="I642" s="12"/>
    </row>
    <row r="643">
      <c r="E643" s="24"/>
      <c r="H643" s="12"/>
      <c r="I643" s="12"/>
    </row>
    <row r="644">
      <c r="E644" s="24"/>
      <c r="H644" s="12"/>
      <c r="I644" s="12"/>
    </row>
    <row r="645">
      <c r="E645" s="24"/>
      <c r="H645" s="12"/>
      <c r="I645" s="12"/>
    </row>
    <row r="646">
      <c r="E646" s="24"/>
      <c r="H646" s="12"/>
      <c r="I646" s="12"/>
    </row>
    <row r="647">
      <c r="E647" s="24"/>
      <c r="H647" s="12"/>
      <c r="I647" s="12"/>
    </row>
    <row r="648">
      <c r="E648" s="24"/>
      <c r="H648" s="12"/>
      <c r="I648" s="12"/>
    </row>
    <row r="649">
      <c r="E649" s="24"/>
      <c r="H649" s="12"/>
      <c r="I649" s="12"/>
    </row>
    <row r="650">
      <c r="E650" s="24"/>
      <c r="H650" s="12"/>
      <c r="I650" s="12"/>
    </row>
    <row r="651">
      <c r="E651" s="24"/>
      <c r="H651" s="12"/>
      <c r="I651" s="12"/>
    </row>
    <row r="652">
      <c r="E652" s="24"/>
      <c r="H652" s="12"/>
      <c r="I652" s="12"/>
    </row>
    <row r="653">
      <c r="E653" s="24"/>
      <c r="H653" s="12"/>
      <c r="I653" s="12"/>
    </row>
    <row r="654">
      <c r="E654" s="24"/>
      <c r="H654" s="12"/>
      <c r="I654" s="12"/>
    </row>
    <row r="655">
      <c r="E655" s="24"/>
      <c r="H655" s="12"/>
      <c r="I655" s="12"/>
    </row>
    <row r="656">
      <c r="E656" s="24"/>
      <c r="H656" s="12"/>
      <c r="I656" s="12"/>
    </row>
    <row r="657">
      <c r="E657" s="24"/>
      <c r="H657" s="12"/>
      <c r="I657" s="12"/>
    </row>
    <row r="658">
      <c r="E658" s="24"/>
      <c r="H658" s="12"/>
      <c r="I658" s="12"/>
    </row>
    <row r="659">
      <c r="E659" s="24"/>
      <c r="H659" s="12"/>
      <c r="I659" s="12"/>
    </row>
    <row r="660">
      <c r="E660" s="24"/>
      <c r="H660" s="12"/>
      <c r="I660" s="12"/>
    </row>
    <row r="661">
      <c r="E661" s="24"/>
      <c r="H661" s="12"/>
      <c r="I661" s="12"/>
    </row>
    <row r="662">
      <c r="E662" s="24"/>
      <c r="H662" s="12"/>
      <c r="I662" s="12"/>
    </row>
    <row r="663">
      <c r="E663" s="24"/>
      <c r="H663" s="12"/>
      <c r="I663" s="12"/>
    </row>
    <row r="664">
      <c r="E664" s="24"/>
      <c r="H664" s="12"/>
      <c r="I664" s="12"/>
    </row>
    <row r="665">
      <c r="E665" s="24"/>
      <c r="H665" s="12"/>
      <c r="I665" s="12"/>
    </row>
    <row r="666">
      <c r="E666" s="24"/>
      <c r="H666" s="12"/>
      <c r="I666" s="12"/>
    </row>
    <row r="667">
      <c r="E667" s="24"/>
      <c r="H667" s="12"/>
      <c r="I667" s="12"/>
    </row>
    <row r="668">
      <c r="E668" s="24"/>
      <c r="H668" s="12"/>
      <c r="I668" s="12"/>
    </row>
    <row r="669">
      <c r="E669" s="24"/>
      <c r="H669" s="12"/>
      <c r="I669" s="12"/>
    </row>
    <row r="670">
      <c r="E670" s="24"/>
      <c r="H670" s="12"/>
      <c r="I670" s="12"/>
    </row>
    <row r="671">
      <c r="E671" s="24"/>
      <c r="H671" s="12"/>
      <c r="I671" s="12"/>
    </row>
    <row r="672">
      <c r="E672" s="24"/>
      <c r="H672" s="12"/>
      <c r="I672" s="12"/>
    </row>
    <row r="673">
      <c r="E673" s="24"/>
      <c r="H673" s="12"/>
      <c r="I673" s="12"/>
    </row>
    <row r="674">
      <c r="E674" s="24"/>
      <c r="H674" s="12"/>
      <c r="I674" s="12"/>
    </row>
    <row r="675">
      <c r="E675" s="24"/>
      <c r="H675" s="12"/>
      <c r="I675" s="12"/>
    </row>
    <row r="676">
      <c r="E676" s="24"/>
      <c r="H676" s="12"/>
      <c r="I676" s="12"/>
    </row>
    <row r="677">
      <c r="E677" s="24"/>
      <c r="H677" s="12"/>
      <c r="I677" s="12"/>
    </row>
    <row r="678">
      <c r="E678" s="24"/>
      <c r="H678" s="12"/>
      <c r="I678" s="12"/>
    </row>
    <row r="679">
      <c r="E679" s="24"/>
      <c r="H679" s="12"/>
      <c r="I679" s="12"/>
    </row>
    <row r="680">
      <c r="E680" s="24"/>
      <c r="H680" s="12"/>
      <c r="I680" s="12"/>
    </row>
    <row r="681">
      <c r="E681" s="24"/>
      <c r="H681" s="12"/>
      <c r="I681" s="12"/>
    </row>
    <row r="682">
      <c r="E682" s="24"/>
      <c r="H682" s="12"/>
      <c r="I682" s="12"/>
    </row>
    <row r="683">
      <c r="E683" s="24"/>
      <c r="H683" s="12"/>
      <c r="I683" s="12"/>
    </row>
    <row r="684">
      <c r="E684" s="24"/>
      <c r="H684" s="12"/>
      <c r="I684" s="12"/>
    </row>
    <row r="685">
      <c r="E685" s="24"/>
      <c r="H685" s="12"/>
      <c r="I685" s="12"/>
    </row>
    <row r="686">
      <c r="E686" s="24"/>
      <c r="H686" s="12"/>
      <c r="I686" s="12"/>
    </row>
    <row r="687">
      <c r="E687" s="24"/>
      <c r="H687" s="12"/>
      <c r="I687" s="12"/>
    </row>
    <row r="688">
      <c r="E688" s="24"/>
      <c r="H688" s="12"/>
      <c r="I688" s="12"/>
    </row>
    <row r="689">
      <c r="E689" s="24"/>
      <c r="H689" s="12"/>
      <c r="I689" s="12"/>
    </row>
    <row r="690">
      <c r="E690" s="24"/>
      <c r="H690" s="12"/>
      <c r="I690" s="12"/>
    </row>
    <row r="691">
      <c r="E691" s="24"/>
      <c r="H691" s="12"/>
      <c r="I691" s="12"/>
    </row>
    <row r="692">
      <c r="E692" s="24"/>
      <c r="H692" s="12"/>
      <c r="I692" s="12"/>
    </row>
    <row r="693">
      <c r="E693" s="24"/>
      <c r="H693" s="12"/>
      <c r="I693" s="12"/>
    </row>
    <row r="694">
      <c r="E694" s="24"/>
      <c r="H694" s="12"/>
      <c r="I694" s="12"/>
    </row>
    <row r="695">
      <c r="E695" s="24"/>
      <c r="H695" s="12"/>
      <c r="I695" s="12"/>
    </row>
    <row r="696">
      <c r="E696" s="24"/>
      <c r="H696" s="12"/>
      <c r="I696" s="12"/>
    </row>
    <row r="697">
      <c r="E697" s="24"/>
      <c r="H697" s="12"/>
      <c r="I697" s="12"/>
    </row>
    <row r="698">
      <c r="E698" s="24"/>
      <c r="H698" s="12"/>
      <c r="I698" s="12"/>
    </row>
    <row r="699">
      <c r="E699" s="24"/>
      <c r="H699" s="12"/>
      <c r="I699" s="12"/>
    </row>
    <row r="700">
      <c r="E700" s="24"/>
      <c r="H700" s="12"/>
      <c r="I700" s="12"/>
    </row>
    <row r="701">
      <c r="E701" s="24"/>
      <c r="H701" s="12"/>
      <c r="I701" s="12"/>
    </row>
    <row r="702">
      <c r="E702" s="24"/>
      <c r="H702" s="12"/>
      <c r="I702" s="12"/>
    </row>
    <row r="703">
      <c r="E703" s="24"/>
      <c r="H703" s="12"/>
      <c r="I703" s="12"/>
    </row>
    <row r="704">
      <c r="E704" s="24"/>
      <c r="H704" s="12"/>
      <c r="I704" s="12"/>
    </row>
    <row r="705">
      <c r="E705" s="24"/>
      <c r="H705" s="12"/>
      <c r="I705" s="12"/>
    </row>
    <row r="706">
      <c r="E706" s="24"/>
      <c r="H706" s="12"/>
      <c r="I706" s="12"/>
    </row>
    <row r="707">
      <c r="E707" s="24"/>
      <c r="H707" s="12"/>
      <c r="I707" s="12"/>
    </row>
    <row r="708">
      <c r="E708" s="24"/>
      <c r="H708" s="12"/>
      <c r="I708" s="12"/>
    </row>
    <row r="709">
      <c r="E709" s="24"/>
      <c r="H709" s="12"/>
      <c r="I709" s="12"/>
    </row>
    <row r="710">
      <c r="E710" s="24"/>
      <c r="H710" s="12"/>
      <c r="I710" s="12"/>
    </row>
    <row r="711">
      <c r="E711" s="24"/>
      <c r="H711" s="12"/>
      <c r="I711" s="12"/>
    </row>
    <row r="712">
      <c r="E712" s="24"/>
      <c r="H712" s="12"/>
      <c r="I712" s="12"/>
    </row>
    <row r="713">
      <c r="E713" s="24"/>
      <c r="H713" s="12"/>
      <c r="I713" s="12"/>
    </row>
    <row r="714">
      <c r="E714" s="24"/>
      <c r="H714" s="12"/>
      <c r="I714" s="12"/>
    </row>
    <row r="715">
      <c r="E715" s="24"/>
      <c r="H715" s="12"/>
      <c r="I715" s="12"/>
    </row>
    <row r="716">
      <c r="E716" s="24"/>
      <c r="H716" s="12"/>
      <c r="I716" s="12"/>
    </row>
    <row r="717">
      <c r="E717" s="24"/>
      <c r="H717" s="12"/>
      <c r="I717" s="12"/>
    </row>
    <row r="718">
      <c r="E718" s="24"/>
      <c r="H718" s="12"/>
      <c r="I718" s="12"/>
    </row>
    <row r="719">
      <c r="E719" s="24"/>
      <c r="H719" s="12"/>
      <c r="I719" s="12"/>
    </row>
    <row r="720">
      <c r="E720" s="24"/>
      <c r="H720" s="12"/>
      <c r="I720" s="12"/>
    </row>
    <row r="721">
      <c r="E721" s="24"/>
      <c r="H721" s="12"/>
      <c r="I721" s="12"/>
    </row>
    <row r="722">
      <c r="E722" s="24"/>
      <c r="H722" s="12"/>
      <c r="I722" s="12"/>
    </row>
    <row r="723">
      <c r="E723" s="24"/>
      <c r="H723" s="12"/>
      <c r="I723" s="12"/>
    </row>
    <row r="724">
      <c r="E724" s="24"/>
      <c r="H724" s="12"/>
      <c r="I724" s="12"/>
    </row>
    <row r="725">
      <c r="E725" s="24"/>
      <c r="H725" s="12"/>
      <c r="I725" s="12"/>
    </row>
    <row r="726">
      <c r="E726" s="24"/>
      <c r="H726" s="12"/>
      <c r="I726" s="12"/>
    </row>
    <row r="727">
      <c r="E727" s="24"/>
      <c r="H727" s="12"/>
      <c r="I727" s="12"/>
    </row>
    <row r="728">
      <c r="E728" s="24"/>
      <c r="H728" s="12"/>
      <c r="I728" s="12"/>
    </row>
    <row r="729">
      <c r="E729" s="24"/>
      <c r="H729" s="12"/>
      <c r="I729" s="12"/>
    </row>
    <row r="730">
      <c r="E730" s="24"/>
      <c r="H730" s="12"/>
      <c r="I730" s="12"/>
    </row>
    <row r="731">
      <c r="E731" s="24"/>
      <c r="H731" s="12"/>
      <c r="I731" s="12"/>
    </row>
    <row r="732">
      <c r="E732" s="24"/>
      <c r="H732" s="12"/>
      <c r="I732" s="12"/>
    </row>
    <row r="733">
      <c r="E733" s="24"/>
      <c r="H733" s="12"/>
      <c r="I733" s="12"/>
    </row>
    <row r="734">
      <c r="E734" s="24"/>
      <c r="H734" s="12"/>
      <c r="I734" s="12"/>
    </row>
    <row r="735">
      <c r="E735" s="24"/>
      <c r="H735" s="12"/>
      <c r="I735" s="12"/>
    </row>
    <row r="736">
      <c r="E736" s="24"/>
      <c r="H736" s="12"/>
      <c r="I736" s="12"/>
    </row>
    <row r="737">
      <c r="E737" s="24"/>
      <c r="H737" s="12"/>
      <c r="I737" s="12"/>
    </row>
    <row r="738">
      <c r="E738" s="24"/>
      <c r="H738" s="12"/>
      <c r="I738" s="12"/>
    </row>
    <row r="739">
      <c r="E739" s="24"/>
      <c r="H739" s="12"/>
      <c r="I739" s="12"/>
    </row>
    <row r="740">
      <c r="E740" s="24"/>
      <c r="H740" s="12"/>
      <c r="I740" s="12"/>
    </row>
    <row r="741">
      <c r="E741" s="24"/>
      <c r="H741" s="12"/>
      <c r="I741" s="12"/>
    </row>
    <row r="742">
      <c r="E742" s="24"/>
      <c r="H742" s="12"/>
      <c r="I742" s="12"/>
    </row>
    <row r="743">
      <c r="E743" s="24"/>
      <c r="H743" s="12"/>
      <c r="I743" s="12"/>
    </row>
    <row r="744">
      <c r="E744" s="24"/>
      <c r="H744" s="12"/>
      <c r="I744" s="12"/>
    </row>
    <row r="745">
      <c r="E745" s="24"/>
      <c r="H745" s="12"/>
      <c r="I745" s="12"/>
    </row>
    <row r="746">
      <c r="E746" s="24"/>
      <c r="H746" s="12"/>
      <c r="I746" s="12"/>
    </row>
    <row r="747">
      <c r="E747" s="24"/>
      <c r="H747" s="12"/>
      <c r="I747" s="12"/>
    </row>
    <row r="748">
      <c r="E748" s="24"/>
      <c r="H748" s="12"/>
      <c r="I748" s="12"/>
    </row>
    <row r="749">
      <c r="E749" s="24"/>
      <c r="H749" s="12"/>
      <c r="I749" s="12"/>
    </row>
    <row r="750">
      <c r="E750" s="24"/>
      <c r="H750" s="12"/>
      <c r="I750" s="12"/>
    </row>
    <row r="751">
      <c r="E751" s="24"/>
      <c r="H751" s="12"/>
      <c r="I751" s="12"/>
    </row>
    <row r="752">
      <c r="E752" s="24"/>
      <c r="H752" s="12"/>
      <c r="I752" s="12"/>
    </row>
    <row r="753">
      <c r="E753" s="24"/>
      <c r="H753" s="12"/>
      <c r="I753" s="12"/>
    </row>
    <row r="754">
      <c r="E754" s="24"/>
      <c r="H754" s="12"/>
      <c r="I754" s="12"/>
    </row>
    <row r="755">
      <c r="E755" s="24"/>
      <c r="H755" s="12"/>
      <c r="I755" s="12"/>
    </row>
    <row r="756">
      <c r="E756" s="24"/>
      <c r="H756" s="12"/>
      <c r="I756" s="12"/>
    </row>
    <row r="757">
      <c r="E757" s="24"/>
      <c r="H757" s="12"/>
      <c r="I757" s="12"/>
    </row>
    <row r="758">
      <c r="E758" s="24"/>
      <c r="H758" s="12"/>
      <c r="I758" s="12"/>
    </row>
    <row r="759">
      <c r="E759" s="24"/>
      <c r="H759" s="12"/>
      <c r="I759" s="12"/>
    </row>
    <row r="760">
      <c r="E760" s="24"/>
      <c r="H760" s="12"/>
      <c r="I760" s="12"/>
    </row>
    <row r="761">
      <c r="E761" s="24"/>
      <c r="H761" s="12"/>
      <c r="I761" s="12"/>
    </row>
    <row r="762">
      <c r="E762" s="24"/>
      <c r="H762" s="12"/>
      <c r="I762" s="12"/>
    </row>
    <row r="763">
      <c r="E763" s="24"/>
      <c r="H763" s="12"/>
      <c r="I763" s="12"/>
    </row>
    <row r="764">
      <c r="E764" s="24"/>
      <c r="H764" s="12"/>
      <c r="I764" s="12"/>
    </row>
    <row r="765">
      <c r="E765" s="24"/>
      <c r="H765" s="12"/>
      <c r="I765" s="12"/>
    </row>
    <row r="766">
      <c r="E766" s="24"/>
      <c r="H766" s="12"/>
      <c r="I766" s="12"/>
    </row>
    <row r="767">
      <c r="E767" s="24"/>
      <c r="H767" s="12"/>
      <c r="I767" s="12"/>
    </row>
    <row r="768">
      <c r="E768" s="24"/>
      <c r="H768" s="12"/>
      <c r="I768" s="12"/>
    </row>
    <row r="769">
      <c r="E769" s="24"/>
      <c r="H769" s="12"/>
      <c r="I769" s="12"/>
    </row>
    <row r="770">
      <c r="E770" s="24"/>
      <c r="H770" s="12"/>
      <c r="I770" s="12"/>
    </row>
    <row r="771">
      <c r="E771" s="24"/>
      <c r="H771" s="12"/>
      <c r="I771" s="12"/>
    </row>
    <row r="772">
      <c r="E772" s="24"/>
      <c r="H772" s="12"/>
      <c r="I772" s="12"/>
    </row>
    <row r="773">
      <c r="E773" s="24"/>
      <c r="H773" s="12"/>
      <c r="I773" s="12"/>
    </row>
    <row r="774">
      <c r="E774" s="24"/>
      <c r="H774" s="12"/>
      <c r="I774" s="12"/>
    </row>
    <row r="775">
      <c r="E775" s="24"/>
      <c r="H775" s="12"/>
      <c r="I775" s="12"/>
    </row>
    <row r="776">
      <c r="E776" s="24"/>
      <c r="H776" s="12"/>
      <c r="I776" s="12"/>
    </row>
    <row r="777">
      <c r="E777" s="24"/>
      <c r="H777" s="12"/>
      <c r="I777" s="12"/>
    </row>
    <row r="778">
      <c r="E778" s="24"/>
      <c r="H778" s="12"/>
      <c r="I778" s="12"/>
    </row>
    <row r="779">
      <c r="E779" s="24"/>
      <c r="H779" s="12"/>
      <c r="I779" s="12"/>
    </row>
    <row r="780">
      <c r="E780" s="24"/>
      <c r="H780" s="12"/>
      <c r="I780" s="12"/>
    </row>
    <row r="781">
      <c r="E781" s="24"/>
      <c r="H781" s="12"/>
      <c r="I781" s="12"/>
    </row>
    <row r="782">
      <c r="E782" s="24"/>
      <c r="H782" s="12"/>
      <c r="I782" s="12"/>
    </row>
    <row r="783">
      <c r="E783" s="24"/>
      <c r="H783" s="12"/>
      <c r="I783" s="12"/>
    </row>
    <row r="784">
      <c r="E784" s="24"/>
      <c r="H784" s="12"/>
      <c r="I784" s="12"/>
    </row>
    <row r="785">
      <c r="E785" s="24"/>
      <c r="H785" s="12"/>
      <c r="I785" s="12"/>
    </row>
    <row r="786">
      <c r="E786" s="24"/>
      <c r="H786" s="12"/>
      <c r="I786" s="12"/>
    </row>
    <row r="787">
      <c r="E787" s="24"/>
      <c r="H787" s="12"/>
      <c r="I787" s="12"/>
    </row>
    <row r="788">
      <c r="E788" s="24"/>
      <c r="H788" s="12"/>
      <c r="I788" s="12"/>
    </row>
    <row r="789">
      <c r="E789" s="24"/>
      <c r="H789" s="12"/>
      <c r="I789" s="12"/>
    </row>
    <row r="790">
      <c r="E790" s="24"/>
      <c r="H790" s="12"/>
      <c r="I790" s="12"/>
    </row>
    <row r="791">
      <c r="E791" s="24"/>
      <c r="H791" s="12"/>
      <c r="I791" s="12"/>
    </row>
    <row r="792">
      <c r="E792" s="24"/>
      <c r="H792" s="12"/>
      <c r="I792" s="12"/>
    </row>
    <row r="793">
      <c r="E793" s="24"/>
      <c r="H793" s="12"/>
      <c r="I793" s="12"/>
    </row>
    <row r="794">
      <c r="E794" s="24"/>
      <c r="H794" s="12"/>
      <c r="I794" s="12"/>
    </row>
    <row r="795">
      <c r="E795" s="24"/>
      <c r="H795" s="12"/>
      <c r="I795" s="12"/>
    </row>
    <row r="796">
      <c r="E796" s="24"/>
      <c r="H796" s="12"/>
      <c r="I796" s="12"/>
    </row>
    <row r="797">
      <c r="E797" s="24"/>
      <c r="H797" s="12"/>
      <c r="I797" s="12"/>
    </row>
    <row r="798">
      <c r="E798" s="24"/>
      <c r="H798" s="12"/>
      <c r="I798" s="12"/>
    </row>
    <row r="799">
      <c r="E799" s="24"/>
      <c r="H799" s="12"/>
      <c r="I799" s="12"/>
    </row>
    <row r="800">
      <c r="E800" s="24"/>
      <c r="H800" s="12"/>
      <c r="I800" s="12"/>
    </row>
    <row r="801">
      <c r="E801" s="24"/>
      <c r="H801" s="12"/>
      <c r="I801" s="12"/>
    </row>
    <row r="802">
      <c r="E802" s="24"/>
      <c r="H802" s="12"/>
      <c r="I802" s="12"/>
    </row>
    <row r="803">
      <c r="E803" s="24"/>
      <c r="H803" s="12"/>
      <c r="I803" s="12"/>
    </row>
    <row r="804">
      <c r="E804" s="24"/>
      <c r="H804" s="12"/>
      <c r="I804" s="12"/>
    </row>
    <row r="805">
      <c r="E805" s="24"/>
      <c r="H805" s="12"/>
      <c r="I805" s="12"/>
    </row>
    <row r="806">
      <c r="E806" s="24"/>
      <c r="H806" s="12"/>
      <c r="I806" s="12"/>
    </row>
    <row r="807">
      <c r="E807" s="24"/>
      <c r="H807" s="12"/>
      <c r="I807" s="12"/>
    </row>
    <row r="808">
      <c r="E808" s="24"/>
      <c r="H808" s="12"/>
      <c r="I808" s="12"/>
    </row>
    <row r="809">
      <c r="E809" s="24"/>
      <c r="H809" s="12"/>
      <c r="I809" s="12"/>
    </row>
    <row r="810">
      <c r="E810" s="24"/>
      <c r="H810" s="12"/>
      <c r="I810" s="12"/>
    </row>
    <row r="811">
      <c r="E811" s="24"/>
      <c r="H811" s="12"/>
      <c r="I811" s="12"/>
    </row>
    <row r="812">
      <c r="E812" s="24"/>
      <c r="H812" s="12"/>
      <c r="I812" s="12"/>
    </row>
    <row r="813">
      <c r="E813" s="24"/>
      <c r="H813" s="12"/>
      <c r="I813" s="12"/>
    </row>
    <row r="814">
      <c r="E814" s="24"/>
      <c r="H814" s="12"/>
      <c r="I814" s="12"/>
    </row>
    <row r="815">
      <c r="E815" s="24"/>
      <c r="H815" s="12"/>
      <c r="I815" s="12"/>
    </row>
    <row r="816">
      <c r="E816" s="24"/>
      <c r="H816" s="12"/>
      <c r="I816" s="12"/>
    </row>
    <row r="817">
      <c r="E817" s="24"/>
      <c r="H817" s="12"/>
      <c r="I817" s="12"/>
    </row>
    <row r="818">
      <c r="E818" s="24"/>
      <c r="H818" s="12"/>
      <c r="I818" s="12"/>
    </row>
    <row r="819">
      <c r="E819" s="24"/>
      <c r="H819" s="12"/>
      <c r="I819" s="12"/>
    </row>
    <row r="820">
      <c r="E820" s="24"/>
      <c r="H820" s="12"/>
      <c r="I820" s="12"/>
    </row>
    <row r="821">
      <c r="E821" s="24"/>
      <c r="H821" s="12"/>
      <c r="I821" s="12"/>
    </row>
    <row r="822">
      <c r="E822" s="24"/>
      <c r="H822" s="12"/>
      <c r="I822" s="12"/>
    </row>
    <row r="823">
      <c r="E823" s="24"/>
      <c r="H823" s="12"/>
      <c r="I823" s="12"/>
    </row>
    <row r="824">
      <c r="E824" s="24"/>
      <c r="H824" s="12"/>
      <c r="I824" s="12"/>
    </row>
    <row r="825">
      <c r="E825" s="24"/>
      <c r="H825" s="12"/>
      <c r="I825" s="12"/>
    </row>
    <row r="826">
      <c r="E826" s="24"/>
      <c r="H826" s="12"/>
      <c r="I826" s="12"/>
    </row>
    <row r="827">
      <c r="E827" s="24"/>
      <c r="H827" s="12"/>
      <c r="I827" s="12"/>
    </row>
    <row r="828">
      <c r="E828" s="24"/>
      <c r="H828" s="12"/>
      <c r="I828" s="12"/>
    </row>
    <row r="829">
      <c r="E829" s="24"/>
      <c r="H829" s="12"/>
      <c r="I829" s="12"/>
    </row>
    <row r="830">
      <c r="E830" s="24"/>
      <c r="H830" s="12"/>
      <c r="I830" s="12"/>
    </row>
    <row r="831">
      <c r="E831" s="24"/>
      <c r="H831" s="12"/>
      <c r="I831" s="12"/>
    </row>
    <row r="832">
      <c r="E832" s="24"/>
      <c r="H832" s="12"/>
      <c r="I832" s="12"/>
    </row>
    <row r="833">
      <c r="E833" s="24"/>
      <c r="H833" s="12"/>
      <c r="I833" s="12"/>
    </row>
    <row r="834">
      <c r="E834" s="24"/>
      <c r="H834" s="12"/>
      <c r="I834" s="12"/>
    </row>
    <row r="835">
      <c r="E835" s="24"/>
      <c r="H835" s="12"/>
      <c r="I835" s="12"/>
    </row>
    <row r="836">
      <c r="E836" s="24"/>
      <c r="H836" s="12"/>
      <c r="I836" s="12"/>
    </row>
    <row r="837">
      <c r="E837" s="24"/>
      <c r="H837" s="12"/>
      <c r="I837" s="12"/>
    </row>
    <row r="838">
      <c r="E838" s="24"/>
      <c r="H838" s="12"/>
      <c r="I838" s="12"/>
    </row>
    <row r="839">
      <c r="E839" s="24"/>
      <c r="H839" s="12"/>
      <c r="I839" s="12"/>
    </row>
    <row r="840">
      <c r="E840" s="24"/>
      <c r="H840" s="12"/>
      <c r="I840" s="12"/>
    </row>
    <row r="841">
      <c r="E841" s="24"/>
      <c r="H841" s="12"/>
      <c r="I841" s="12"/>
    </row>
    <row r="842">
      <c r="E842" s="24"/>
      <c r="H842" s="12"/>
      <c r="I842" s="12"/>
    </row>
    <row r="843">
      <c r="E843" s="24"/>
      <c r="H843" s="12"/>
      <c r="I843" s="12"/>
    </row>
    <row r="844">
      <c r="E844" s="24"/>
      <c r="H844" s="12"/>
      <c r="I844" s="12"/>
    </row>
    <row r="845">
      <c r="E845" s="24"/>
      <c r="H845" s="12"/>
      <c r="I845" s="12"/>
    </row>
    <row r="846">
      <c r="E846" s="24"/>
      <c r="H846" s="12"/>
      <c r="I846" s="12"/>
    </row>
    <row r="847">
      <c r="E847" s="24"/>
      <c r="H847" s="12"/>
      <c r="I847" s="12"/>
    </row>
    <row r="848">
      <c r="E848" s="24"/>
      <c r="H848" s="12"/>
      <c r="I848" s="12"/>
    </row>
    <row r="849">
      <c r="E849" s="24"/>
      <c r="H849" s="12"/>
      <c r="I849" s="12"/>
    </row>
    <row r="850">
      <c r="E850" s="24"/>
      <c r="H850" s="12"/>
      <c r="I850" s="12"/>
    </row>
    <row r="851">
      <c r="E851" s="24"/>
      <c r="H851" s="12"/>
      <c r="I851" s="12"/>
    </row>
    <row r="852">
      <c r="E852" s="24"/>
      <c r="H852" s="12"/>
      <c r="I852" s="12"/>
    </row>
    <row r="853">
      <c r="E853" s="24"/>
      <c r="H853" s="12"/>
      <c r="I853" s="12"/>
    </row>
    <row r="854">
      <c r="E854" s="24"/>
      <c r="H854" s="12"/>
      <c r="I854" s="12"/>
    </row>
    <row r="855">
      <c r="E855" s="24"/>
      <c r="H855" s="12"/>
      <c r="I855" s="12"/>
    </row>
    <row r="856">
      <c r="E856" s="24"/>
      <c r="H856" s="12"/>
      <c r="I856" s="12"/>
    </row>
    <row r="857">
      <c r="E857" s="24"/>
      <c r="H857" s="12"/>
      <c r="I857" s="12"/>
    </row>
    <row r="858">
      <c r="E858" s="24"/>
      <c r="H858" s="12"/>
      <c r="I858" s="12"/>
    </row>
    <row r="859">
      <c r="E859" s="24"/>
      <c r="H859" s="12"/>
      <c r="I859" s="12"/>
    </row>
    <row r="860">
      <c r="E860" s="24"/>
      <c r="H860" s="12"/>
      <c r="I860" s="12"/>
    </row>
    <row r="861">
      <c r="E861" s="24"/>
      <c r="H861" s="12"/>
      <c r="I861" s="12"/>
    </row>
    <row r="862">
      <c r="E862" s="24"/>
      <c r="H862" s="12"/>
      <c r="I862" s="12"/>
    </row>
    <row r="863">
      <c r="E863" s="24"/>
      <c r="H863" s="12"/>
      <c r="I863" s="12"/>
    </row>
    <row r="864">
      <c r="E864" s="24"/>
      <c r="H864" s="12"/>
      <c r="I864" s="12"/>
    </row>
    <row r="865">
      <c r="E865" s="24"/>
      <c r="H865" s="12"/>
      <c r="I865" s="12"/>
    </row>
    <row r="866">
      <c r="E866" s="24"/>
      <c r="H866" s="12"/>
      <c r="I866" s="12"/>
    </row>
    <row r="867">
      <c r="E867" s="24"/>
      <c r="H867" s="12"/>
      <c r="I867" s="12"/>
    </row>
    <row r="868">
      <c r="E868" s="24"/>
      <c r="H868" s="12"/>
      <c r="I868" s="12"/>
    </row>
    <row r="869">
      <c r="E869" s="24"/>
      <c r="H869" s="12"/>
      <c r="I869" s="12"/>
    </row>
    <row r="870">
      <c r="E870" s="24"/>
      <c r="H870" s="12"/>
      <c r="I870" s="12"/>
    </row>
    <row r="871">
      <c r="E871" s="24"/>
      <c r="H871" s="12"/>
      <c r="I871" s="12"/>
    </row>
    <row r="872">
      <c r="E872" s="24"/>
      <c r="H872" s="12"/>
      <c r="I872" s="12"/>
    </row>
    <row r="873">
      <c r="E873" s="24"/>
      <c r="H873" s="12"/>
      <c r="I873" s="12"/>
    </row>
    <row r="874">
      <c r="E874" s="24"/>
      <c r="H874" s="12"/>
      <c r="I874" s="12"/>
    </row>
    <row r="875">
      <c r="E875" s="24"/>
      <c r="H875" s="12"/>
      <c r="I875" s="12"/>
    </row>
    <row r="876">
      <c r="E876" s="24"/>
      <c r="H876" s="12"/>
      <c r="I876" s="12"/>
    </row>
    <row r="877">
      <c r="E877" s="24"/>
      <c r="H877" s="12"/>
      <c r="I877" s="12"/>
    </row>
    <row r="878">
      <c r="E878" s="24"/>
      <c r="H878" s="12"/>
      <c r="I878" s="12"/>
    </row>
    <row r="879">
      <c r="E879" s="24"/>
      <c r="H879" s="12"/>
      <c r="I879" s="12"/>
    </row>
    <row r="880">
      <c r="E880" s="24"/>
      <c r="H880" s="12"/>
      <c r="I880" s="12"/>
    </row>
    <row r="881">
      <c r="E881" s="24"/>
      <c r="H881" s="12"/>
      <c r="I881" s="12"/>
    </row>
    <row r="882">
      <c r="E882" s="24"/>
      <c r="H882" s="12"/>
      <c r="I882" s="12"/>
    </row>
    <row r="883">
      <c r="E883" s="24"/>
      <c r="H883" s="12"/>
      <c r="I883" s="12"/>
    </row>
    <row r="884">
      <c r="E884" s="24"/>
      <c r="H884" s="12"/>
      <c r="I884" s="12"/>
    </row>
    <row r="885">
      <c r="E885" s="24"/>
      <c r="H885" s="12"/>
      <c r="I885" s="12"/>
    </row>
    <row r="886">
      <c r="E886" s="24"/>
      <c r="H886" s="12"/>
      <c r="I886" s="12"/>
    </row>
    <row r="887">
      <c r="E887" s="24"/>
      <c r="H887" s="12"/>
      <c r="I887" s="12"/>
    </row>
    <row r="888">
      <c r="E888" s="24"/>
      <c r="H888" s="12"/>
      <c r="I888" s="12"/>
    </row>
    <row r="889">
      <c r="E889" s="24"/>
      <c r="H889" s="12"/>
      <c r="I889" s="12"/>
    </row>
    <row r="890">
      <c r="E890" s="24"/>
      <c r="H890" s="12"/>
      <c r="I890" s="12"/>
    </row>
    <row r="891">
      <c r="E891" s="24"/>
      <c r="H891" s="12"/>
      <c r="I891" s="12"/>
    </row>
    <row r="892">
      <c r="E892" s="24"/>
      <c r="H892" s="12"/>
      <c r="I892" s="12"/>
    </row>
    <row r="893">
      <c r="E893" s="24"/>
      <c r="H893" s="12"/>
      <c r="I893" s="12"/>
    </row>
    <row r="894">
      <c r="E894" s="24"/>
      <c r="H894" s="12"/>
      <c r="I894" s="12"/>
    </row>
    <row r="895">
      <c r="E895" s="24"/>
      <c r="H895" s="12"/>
      <c r="I895" s="12"/>
    </row>
    <row r="896">
      <c r="E896" s="24"/>
      <c r="H896" s="12"/>
      <c r="I896" s="12"/>
    </row>
    <row r="897">
      <c r="E897" s="24"/>
      <c r="H897" s="12"/>
      <c r="I897" s="12"/>
    </row>
    <row r="898">
      <c r="E898" s="24"/>
      <c r="H898" s="12"/>
      <c r="I898" s="12"/>
    </row>
    <row r="899">
      <c r="E899" s="24"/>
      <c r="H899" s="12"/>
      <c r="I899" s="12"/>
    </row>
    <row r="900">
      <c r="E900" s="24"/>
      <c r="H900" s="12"/>
      <c r="I900" s="12"/>
    </row>
    <row r="901">
      <c r="E901" s="24"/>
      <c r="H901" s="12"/>
      <c r="I901" s="12"/>
    </row>
    <row r="902">
      <c r="E902" s="24"/>
      <c r="H902" s="12"/>
      <c r="I902" s="12"/>
    </row>
    <row r="903">
      <c r="E903" s="24"/>
      <c r="H903" s="12"/>
      <c r="I903" s="12"/>
    </row>
    <row r="904">
      <c r="E904" s="24"/>
      <c r="H904" s="12"/>
      <c r="I904" s="12"/>
    </row>
    <row r="905">
      <c r="E905" s="24"/>
      <c r="H905" s="12"/>
      <c r="I905" s="12"/>
    </row>
    <row r="906">
      <c r="E906" s="24"/>
      <c r="H906" s="12"/>
      <c r="I906" s="12"/>
    </row>
    <row r="907">
      <c r="E907" s="24"/>
      <c r="H907" s="12"/>
      <c r="I907" s="12"/>
    </row>
    <row r="908">
      <c r="E908" s="24"/>
      <c r="H908" s="12"/>
      <c r="I908" s="12"/>
    </row>
    <row r="909">
      <c r="E909" s="24"/>
      <c r="H909" s="12"/>
      <c r="I909" s="12"/>
    </row>
    <row r="910">
      <c r="E910" s="24"/>
      <c r="H910" s="12"/>
      <c r="I910" s="12"/>
    </row>
    <row r="911">
      <c r="E911" s="24"/>
      <c r="H911" s="12"/>
      <c r="I911" s="12"/>
    </row>
    <row r="912">
      <c r="E912" s="24"/>
      <c r="H912" s="12"/>
      <c r="I912" s="12"/>
    </row>
    <row r="913">
      <c r="E913" s="24"/>
      <c r="H913" s="12"/>
      <c r="I913" s="12"/>
    </row>
    <row r="914">
      <c r="E914" s="24"/>
      <c r="H914" s="12"/>
      <c r="I914" s="12"/>
    </row>
    <row r="915">
      <c r="E915" s="24"/>
      <c r="H915" s="12"/>
      <c r="I915" s="12"/>
    </row>
    <row r="916">
      <c r="E916" s="24"/>
      <c r="H916" s="12"/>
      <c r="I916" s="12"/>
    </row>
    <row r="917">
      <c r="E917" s="24"/>
      <c r="H917" s="12"/>
      <c r="I917" s="12"/>
    </row>
    <row r="918">
      <c r="E918" s="24"/>
      <c r="H918" s="12"/>
      <c r="I918" s="12"/>
    </row>
    <row r="919">
      <c r="E919" s="24"/>
      <c r="H919" s="12"/>
      <c r="I919" s="12"/>
    </row>
    <row r="920">
      <c r="E920" s="24"/>
      <c r="H920" s="12"/>
      <c r="I920" s="12"/>
    </row>
    <row r="921">
      <c r="E921" s="24"/>
      <c r="H921" s="12"/>
      <c r="I921" s="12"/>
    </row>
    <row r="922">
      <c r="E922" s="24"/>
      <c r="H922" s="12"/>
      <c r="I922" s="12"/>
    </row>
    <row r="923">
      <c r="E923" s="24"/>
      <c r="H923" s="12"/>
      <c r="I923" s="12"/>
    </row>
    <row r="924">
      <c r="E924" s="24"/>
      <c r="H924" s="12"/>
      <c r="I924" s="12"/>
    </row>
    <row r="925">
      <c r="E925" s="24"/>
      <c r="H925" s="12"/>
      <c r="I925" s="12"/>
    </row>
    <row r="926">
      <c r="E926" s="24"/>
      <c r="H926" s="12"/>
      <c r="I926" s="12"/>
    </row>
    <row r="927">
      <c r="E927" s="24"/>
      <c r="H927" s="12"/>
      <c r="I927" s="12"/>
    </row>
    <row r="928">
      <c r="E928" s="24"/>
      <c r="H928" s="12"/>
      <c r="I928" s="12"/>
    </row>
    <row r="929">
      <c r="E929" s="24"/>
      <c r="H929" s="12"/>
      <c r="I929" s="12"/>
    </row>
    <row r="930">
      <c r="E930" s="24"/>
      <c r="H930" s="12"/>
      <c r="I930" s="12"/>
    </row>
    <row r="931">
      <c r="E931" s="24"/>
      <c r="H931" s="12"/>
      <c r="I931" s="12"/>
    </row>
    <row r="932">
      <c r="E932" s="24"/>
      <c r="H932" s="12"/>
      <c r="I932" s="12"/>
    </row>
    <row r="933">
      <c r="E933" s="24"/>
      <c r="H933" s="12"/>
      <c r="I933" s="12"/>
    </row>
    <row r="934">
      <c r="E934" s="24"/>
      <c r="H934" s="12"/>
      <c r="I934" s="12"/>
    </row>
    <row r="935">
      <c r="E935" s="24"/>
      <c r="H935" s="12"/>
      <c r="I935" s="12"/>
    </row>
    <row r="936">
      <c r="E936" s="24"/>
      <c r="H936" s="12"/>
      <c r="I936" s="12"/>
    </row>
    <row r="937">
      <c r="E937" s="24"/>
      <c r="H937" s="12"/>
      <c r="I937" s="12"/>
    </row>
    <row r="938">
      <c r="E938" s="24"/>
      <c r="H938" s="12"/>
      <c r="I938" s="12"/>
    </row>
    <row r="939">
      <c r="E939" s="24"/>
      <c r="H939" s="12"/>
      <c r="I939" s="12"/>
    </row>
    <row r="940">
      <c r="E940" s="24"/>
      <c r="H940" s="12"/>
      <c r="I940" s="12"/>
    </row>
    <row r="941">
      <c r="E941" s="24"/>
      <c r="H941" s="12"/>
      <c r="I941" s="12"/>
    </row>
    <row r="942">
      <c r="E942" s="24"/>
      <c r="H942" s="12"/>
      <c r="I942" s="12"/>
    </row>
    <row r="943">
      <c r="E943" s="24"/>
      <c r="H943" s="12"/>
      <c r="I943" s="12"/>
    </row>
    <row r="944">
      <c r="E944" s="24"/>
      <c r="H944" s="12"/>
      <c r="I944" s="12"/>
    </row>
    <row r="945">
      <c r="E945" s="24"/>
      <c r="H945" s="12"/>
      <c r="I945" s="12"/>
    </row>
    <row r="946">
      <c r="E946" s="24"/>
      <c r="H946" s="12"/>
      <c r="I946" s="12"/>
    </row>
    <row r="947">
      <c r="E947" s="24"/>
      <c r="H947" s="12"/>
      <c r="I947" s="12"/>
    </row>
    <row r="948">
      <c r="E948" s="24"/>
      <c r="H948" s="12"/>
      <c r="I948" s="12"/>
    </row>
    <row r="949">
      <c r="E949" s="24"/>
      <c r="H949" s="12"/>
      <c r="I949" s="12"/>
    </row>
    <row r="950">
      <c r="E950" s="24"/>
      <c r="H950" s="12"/>
      <c r="I950" s="12"/>
    </row>
    <row r="951">
      <c r="E951" s="24"/>
      <c r="H951" s="12"/>
      <c r="I951" s="12"/>
    </row>
    <row r="952">
      <c r="E952" s="24"/>
      <c r="H952" s="12"/>
      <c r="I952" s="12"/>
    </row>
    <row r="953">
      <c r="E953" s="24"/>
      <c r="H953" s="12"/>
      <c r="I953" s="12"/>
    </row>
    <row r="954">
      <c r="E954" s="24"/>
      <c r="H954" s="12"/>
      <c r="I954" s="12"/>
    </row>
    <row r="955">
      <c r="E955" s="24"/>
      <c r="H955" s="12"/>
      <c r="I955" s="12"/>
    </row>
    <row r="956">
      <c r="E956" s="24"/>
      <c r="H956" s="12"/>
      <c r="I956" s="12"/>
    </row>
    <row r="957">
      <c r="E957" s="24"/>
      <c r="H957" s="12"/>
      <c r="I957" s="12"/>
    </row>
    <row r="958">
      <c r="E958" s="24"/>
      <c r="H958" s="12"/>
      <c r="I958" s="12"/>
    </row>
    <row r="959">
      <c r="E959" s="24"/>
      <c r="H959" s="12"/>
      <c r="I959" s="12"/>
    </row>
    <row r="960">
      <c r="E960" s="24"/>
      <c r="H960" s="12"/>
      <c r="I960" s="12"/>
    </row>
    <row r="961">
      <c r="E961" s="24"/>
      <c r="H961" s="12"/>
      <c r="I961" s="12"/>
    </row>
    <row r="962">
      <c r="E962" s="24"/>
      <c r="H962" s="12"/>
      <c r="I962" s="12"/>
    </row>
    <row r="963">
      <c r="E963" s="24"/>
      <c r="H963" s="12"/>
      <c r="I963" s="12"/>
    </row>
    <row r="964">
      <c r="E964" s="24"/>
      <c r="H964" s="12"/>
      <c r="I964" s="12"/>
    </row>
    <row r="965">
      <c r="E965" s="24"/>
      <c r="H965" s="12"/>
      <c r="I965" s="12"/>
    </row>
    <row r="966">
      <c r="E966" s="24"/>
      <c r="H966" s="12"/>
      <c r="I966" s="12"/>
    </row>
    <row r="967">
      <c r="E967" s="24"/>
      <c r="H967" s="12"/>
      <c r="I967" s="12"/>
    </row>
    <row r="968">
      <c r="E968" s="24"/>
      <c r="H968" s="12"/>
      <c r="I968" s="12"/>
    </row>
    <row r="969">
      <c r="E969" s="24"/>
      <c r="H969" s="12"/>
      <c r="I969" s="12"/>
    </row>
    <row r="970">
      <c r="E970" s="24"/>
      <c r="H970" s="12"/>
      <c r="I970" s="12"/>
    </row>
    <row r="971">
      <c r="E971" s="24"/>
      <c r="H971" s="12"/>
      <c r="I971" s="12"/>
    </row>
    <row r="972">
      <c r="E972" s="24"/>
      <c r="H972" s="12"/>
      <c r="I972" s="12"/>
    </row>
    <row r="973">
      <c r="E973" s="24"/>
      <c r="H973" s="12"/>
      <c r="I973" s="12"/>
    </row>
    <row r="974">
      <c r="E974" s="24"/>
      <c r="H974" s="12"/>
      <c r="I974" s="12"/>
    </row>
    <row r="975">
      <c r="E975" s="24"/>
      <c r="H975" s="12"/>
      <c r="I975" s="12"/>
    </row>
    <row r="976">
      <c r="E976" s="24"/>
      <c r="H976" s="12"/>
      <c r="I976" s="12"/>
    </row>
    <row r="977">
      <c r="E977" s="24"/>
      <c r="H977" s="12"/>
      <c r="I977" s="12"/>
    </row>
    <row r="978">
      <c r="E978" s="24"/>
      <c r="H978" s="12"/>
      <c r="I978" s="12"/>
    </row>
    <row r="979">
      <c r="E979" s="24"/>
      <c r="H979" s="12"/>
      <c r="I979" s="12"/>
    </row>
    <row r="980">
      <c r="E980" s="24"/>
      <c r="H980" s="12"/>
      <c r="I980" s="12"/>
    </row>
    <row r="981">
      <c r="E981" s="24"/>
      <c r="H981" s="12"/>
      <c r="I981" s="12"/>
    </row>
    <row r="982">
      <c r="E982" s="24"/>
      <c r="H982" s="12"/>
      <c r="I982" s="12"/>
    </row>
    <row r="983">
      <c r="E983" s="24"/>
      <c r="H983" s="12"/>
      <c r="I983" s="12"/>
    </row>
    <row r="984">
      <c r="E984" s="24"/>
      <c r="H984" s="12"/>
      <c r="I984" s="12"/>
    </row>
    <row r="985">
      <c r="E985" s="24"/>
      <c r="H985" s="12"/>
      <c r="I985" s="12"/>
    </row>
    <row r="986">
      <c r="E986" s="24"/>
      <c r="H986" s="12"/>
      <c r="I986" s="12"/>
    </row>
    <row r="987">
      <c r="E987" s="24"/>
      <c r="H987" s="12"/>
      <c r="I987" s="12"/>
    </row>
    <row r="988">
      <c r="E988" s="24"/>
      <c r="H988" s="12"/>
      <c r="I988" s="12"/>
    </row>
    <row r="989">
      <c r="E989" s="24"/>
      <c r="H989" s="12"/>
      <c r="I989" s="12"/>
    </row>
    <row r="990">
      <c r="E990" s="24"/>
      <c r="H990" s="12"/>
      <c r="I990" s="12"/>
    </row>
    <row r="991">
      <c r="E991" s="24"/>
      <c r="H991" s="12"/>
      <c r="I991" s="12"/>
    </row>
    <row r="992">
      <c r="E992" s="24"/>
      <c r="H992" s="12"/>
      <c r="I992" s="12"/>
    </row>
    <row r="993">
      <c r="E993" s="24"/>
      <c r="H993" s="12"/>
      <c r="I993" s="12"/>
    </row>
    <row r="994">
      <c r="E994" s="24"/>
      <c r="H994" s="12"/>
      <c r="I994" s="12"/>
    </row>
    <row r="995">
      <c r="E995" s="24"/>
      <c r="H995" s="12"/>
      <c r="I995" s="12"/>
    </row>
    <row r="996">
      <c r="E996" s="24"/>
      <c r="H996" s="12"/>
      <c r="I996" s="12"/>
    </row>
    <row r="997">
      <c r="E997" s="24"/>
      <c r="H997" s="12"/>
      <c r="I997" s="12"/>
    </row>
    <row r="998">
      <c r="E998" s="24"/>
      <c r="H998" s="12"/>
      <c r="I998" s="12"/>
    </row>
    <row r="999">
      <c r="E999" s="24"/>
      <c r="H999" s="12"/>
      <c r="I999" s="12"/>
    </row>
    <row r="1000">
      <c r="E1000" s="24"/>
      <c r="H1000" s="12"/>
      <c r="I1000" s="12"/>
    </row>
  </sheetData>
  <mergeCells count="1">
    <mergeCell ref="M11:N11"/>
  </mergeCells>
  <hyperlinks>
    <hyperlink r:id="rId1" location="gid=1674547729" ref="L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2" max="2" width="9.5"/>
    <col customWidth="1" min="3" max="5" width="2.75"/>
    <col customWidth="1" min="9" max="9" width="9.88"/>
  </cols>
  <sheetData>
    <row r="1">
      <c r="A1" s="60" t="str">
        <f>IFERROR(__xludf.DUMMYFUNCTION("importrange(""https://docs.google.com/spreadsheets/d/1mvA960mm3QaFyRdwkfIRxhE1UQJl45QEUTnDVxtxiIE/edit?usp=sharing"",""PortPerf!A1:i"" &amp; right(K1,4))"),"Portfolio Performance")</f>
        <v>Portfolio Performance</v>
      </c>
      <c r="B1" s="61"/>
      <c r="C1" s="3"/>
      <c r="D1" s="3"/>
      <c r="E1" s="3"/>
      <c r="F1" s="3" t="str">
        <f>IFERROR(__xludf.DUMMYFUNCTION("""COMPUTED_VALUE"""),"As of closing day of 2022-4-12")</f>
        <v>As of closing day of 2022-4-12</v>
      </c>
      <c r="G1" s="3"/>
      <c r="H1" s="54"/>
      <c r="I1" s="5"/>
      <c r="K1" s="9" t="str">
        <f>IFERROR(__xludf.DUMMYFUNCTION("importrange(""https://docs.google.com/spreadsheets/d/1mvA960mm3QaFyRdwkfIRxhE1UQJl45QEUTnDVxtxiIE/edit?usp=sharing"",""PortPerf!k1"")"),"Last row: 7909")</f>
        <v>Last row: 7909</v>
      </c>
    </row>
    <row r="2" collapsed="1">
      <c r="A2" s="15" t="str">
        <f>IFERROR(__xludf.DUMMYFUNCTION("""COMPUTED_VALUE"""),"Acct#")</f>
        <v>Acct#</v>
      </c>
      <c r="B2" s="62" t="str">
        <f>IFERROR(__xludf.DUMMYFUNCTION("""COMPUTED_VALUE"""),"Report Date")</f>
        <v>Report Date</v>
      </c>
      <c r="C2" s="16" t="str">
        <f>IFERROR(__xludf.DUMMYFUNCTION("""COMPUTED_VALUE"""),".")</f>
        <v>.</v>
      </c>
      <c r="D2" s="16" t="str">
        <f>IFERROR(__xludf.DUMMYFUNCTION("""COMPUTED_VALUE"""),".")</f>
        <v>.</v>
      </c>
      <c r="E2" s="16" t="str">
        <f>IFERROR(__xludf.DUMMYFUNCTION("""COMPUTED_VALUE"""),".")</f>
        <v>.</v>
      </c>
      <c r="F2" s="63" t="str">
        <f>IFERROR(__xludf.DUMMYFUNCTION("""COMPUTED_VALUE"""),"Post-Trade Ava Margin Balance")</f>
        <v>Post-Trade Ava Margin Balance</v>
      </c>
      <c r="G2" s="63" t="str">
        <f>IFERROR(__xludf.DUMMYFUNCTION("""COMPUTED_VALUE"""),"Post-Trade Margin Loan Balance")</f>
        <v>Post-Trade Margin Loan Balance</v>
      </c>
      <c r="H2" s="16" t="str">
        <f>IFERROR(__xludf.DUMMYFUNCTION("""COMPUTED_VALUE"""),"MTM AuM per value day")</f>
        <v>MTM AuM per value day</v>
      </c>
      <c r="I2" s="16" t="str">
        <f>IFERROR(__xludf.DUMMYFUNCTION("""COMPUTED_VALUE"""),"PnL in %")</f>
        <v>PnL in %</v>
      </c>
    </row>
    <row r="3" hidden="1" outlineLevel="1">
      <c r="A3" s="25" t="str">
        <f>IFERROR(__xludf.DUMMYFUNCTION("""COMPUTED_VALUE"""),"Acct#")</f>
        <v>Acct#</v>
      </c>
      <c r="B3" s="64" t="str">
        <f>IFERROR(__xludf.DUMMYFUNCTION("""COMPUTED_VALUE"""),"Report Date")</f>
        <v>Report Date</v>
      </c>
      <c r="C3" s="5" t="str">
        <f>IFERROR(__xludf.DUMMYFUNCTION("""COMPUTED_VALUE"""),"x")</f>
        <v>x</v>
      </c>
      <c r="D3" s="5" t="str">
        <f>IFERROR(__xludf.DUMMYFUNCTION("""COMPUTED_VALUE"""),"y")</f>
        <v>y</v>
      </c>
      <c r="E3" s="5" t="str">
        <f>IFERROR(__xludf.DUMMYFUNCTION("""COMPUTED_VALUE"""),"z")</f>
        <v>z</v>
      </c>
      <c r="F3" s="22" t="str">
        <f>IFERROR(__xludf.DUMMYFUNCTION("""COMPUTED_VALUE"""),"Post-Trade Ava Margin Balance")</f>
        <v>Post-Trade Ava Margin Balance</v>
      </c>
      <c r="G3" s="22" t="str">
        <f>IFERROR(__xludf.DUMMYFUNCTION("""COMPUTED_VALUE"""),"Post-Trade Margin Loan Balance")</f>
        <v>Post-Trade Margin Loan Balance</v>
      </c>
      <c r="H3" s="22" t="str">
        <f>IFERROR(__xludf.DUMMYFUNCTION("""COMPUTED_VALUE"""),"MTM AuM per value day")</f>
        <v>MTM AuM per value day</v>
      </c>
      <c r="I3" s="24" t="str">
        <f>IFERROR(__xludf.DUMMYFUNCTION("""COMPUTED_VALUE"""),"PnL in %")</f>
        <v>PnL in %</v>
      </c>
    </row>
    <row r="4">
      <c r="A4" s="5" t="str">
        <f>IFERROR(__xludf.DUMMYFUNCTION("""COMPUTED_VALUE""")," Total")</f>
        <v> Total</v>
      </c>
      <c r="B4" s="5"/>
      <c r="C4" s="5"/>
      <c r="D4" s="5"/>
      <c r="E4" s="5"/>
      <c r="F4" s="5"/>
      <c r="G4" s="5"/>
      <c r="H4" s="5"/>
      <c r="I4" s="5"/>
    </row>
    <row r="5">
      <c r="A5" s="5" t="str">
        <f>IFERROR(__xludf.DUMMYFUNCTION("""COMPUTED_VALUE"""),"14626")</f>
        <v>14626</v>
      </c>
      <c r="B5" s="64">
        <f>IFERROR(__xludf.DUMMYFUNCTION("""COMPUTED_VALUE"""),44597.0)</f>
        <v>44597</v>
      </c>
      <c r="C5" s="5"/>
      <c r="D5" s="5"/>
      <c r="E5" s="5"/>
      <c r="F5" s="22">
        <f>IFERROR(__xludf.DUMMYFUNCTION("""COMPUTED_VALUE"""),500000.0)</f>
        <v>500000</v>
      </c>
      <c r="G5" s="22">
        <f>IFERROR(__xludf.DUMMYFUNCTION("""COMPUTED_VALUE"""),0.0)</f>
        <v>0</v>
      </c>
      <c r="H5" s="22">
        <f>IFERROR(__xludf.DUMMYFUNCTION("""COMPUTED_VALUE"""),500000.0)</f>
        <v>500000</v>
      </c>
      <c r="I5" s="24">
        <f>IFERROR(__xludf.DUMMYFUNCTION("""COMPUTED_VALUE"""),0.0)</f>
        <v>0</v>
      </c>
    </row>
    <row r="6">
      <c r="A6" s="5" t="str">
        <f>IFERROR(__xludf.DUMMYFUNCTION("""COMPUTED_VALUE"""),"14626")</f>
        <v>14626</v>
      </c>
      <c r="B6" s="64">
        <f>IFERROR(__xludf.DUMMYFUNCTION("""COMPUTED_VALUE"""),44598.0)</f>
        <v>44598</v>
      </c>
      <c r="C6" s="5"/>
      <c r="D6" s="5"/>
      <c r="E6" s="5"/>
      <c r="F6" s="22">
        <f>IFERROR(__xludf.DUMMYFUNCTION("""COMPUTED_VALUE"""),500000.0)</f>
        <v>500000</v>
      </c>
      <c r="G6" s="22">
        <f>IFERROR(__xludf.DUMMYFUNCTION("""COMPUTED_VALUE"""),0.0)</f>
        <v>0</v>
      </c>
      <c r="H6" s="22">
        <f>IFERROR(__xludf.DUMMYFUNCTION("""COMPUTED_VALUE"""),500000.0)</f>
        <v>500000</v>
      </c>
      <c r="I6" s="24">
        <f>IFERROR(__xludf.DUMMYFUNCTION("""COMPUTED_VALUE"""),0.0)</f>
        <v>0</v>
      </c>
    </row>
    <row r="7">
      <c r="A7" s="5" t="str">
        <f>IFERROR(__xludf.DUMMYFUNCTION("""COMPUTED_VALUE"""),"14626")</f>
        <v>14626</v>
      </c>
      <c r="B7" s="64">
        <f>IFERROR(__xludf.DUMMYFUNCTION("""COMPUTED_VALUE"""),44599.0)</f>
        <v>44599</v>
      </c>
      <c r="C7" s="5"/>
      <c r="D7" s="5"/>
      <c r="E7" s="5"/>
      <c r="F7" s="22">
        <f>IFERROR(__xludf.DUMMYFUNCTION("""COMPUTED_VALUE"""),500000.0)</f>
        <v>500000</v>
      </c>
      <c r="G7" s="22">
        <f>IFERROR(__xludf.DUMMYFUNCTION("""COMPUTED_VALUE"""),0.0)</f>
        <v>0</v>
      </c>
      <c r="H7" s="22">
        <f>IFERROR(__xludf.DUMMYFUNCTION("""COMPUTED_VALUE"""),500000.0)</f>
        <v>500000</v>
      </c>
      <c r="I7" s="24">
        <f>IFERROR(__xludf.DUMMYFUNCTION("""COMPUTED_VALUE"""),0.0)</f>
        <v>0</v>
      </c>
    </row>
    <row r="8">
      <c r="A8" s="5" t="str">
        <f>IFERROR(__xludf.DUMMYFUNCTION("""COMPUTED_VALUE"""),"14626")</f>
        <v>14626</v>
      </c>
      <c r="B8" s="64">
        <f>IFERROR(__xludf.DUMMYFUNCTION("""COMPUTED_VALUE"""),44600.0)</f>
        <v>44600</v>
      </c>
      <c r="C8" s="5"/>
      <c r="D8" s="5"/>
      <c r="E8" s="5"/>
      <c r="F8" s="22">
        <f>IFERROR(__xludf.DUMMYFUNCTION("""COMPUTED_VALUE"""),500000.0)</f>
        <v>500000</v>
      </c>
      <c r="G8" s="22">
        <f>IFERROR(__xludf.DUMMYFUNCTION("""COMPUTED_VALUE"""),0.0)</f>
        <v>0</v>
      </c>
      <c r="H8" s="22">
        <f>IFERROR(__xludf.DUMMYFUNCTION("""COMPUTED_VALUE"""),500000.0)</f>
        <v>500000</v>
      </c>
      <c r="I8" s="24">
        <f>IFERROR(__xludf.DUMMYFUNCTION("""COMPUTED_VALUE"""),0.0)</f>
        <v>0</v>
      </c>
    </row>
    <row r="9">
      <c r="A9" s="5" t="str">
        <f>IFERROR(__xludf.DUMMYFUNCTION("""COMPUTED_VALUE"""),"14626")</f>
        <v>14626</v>
      </c>
      <c r="B9" s="64">
        <f>IFERROR(__xludf.DUMMYFUNCTION("""COMPUTED_VALUE"""),44601.0)</f>
        <v>44601</v>
      </c>
      <c r="C9" s="5"/>
      <c r="D9" s="5"/>
      <c r="E9" s="5"/>
      <c r="F9" s="22">
        <f>IFERROR(__xludf.DUMMYFUNCTION("""COMPUTED_VALUE"""),500000.0)</f>
        <v>500000</v>
      </c>
      <c r="G9" s="22">
        <f>IFERROR(__xludf.DUMMYFUNCTION("""COMPUTED_VALUE"""),0.0)</f>
        <v>0</v>
      </c>
      <c r="H9" s="22">
        <f>IFERROR(__xludf.DUMMYFUNCTION("""COMPUTED_VALUE"""),500000.0)</f>
        <v>500000</v>
      </c>
      <c r="I9" s="24">
        <f>IFERROR(__xludf.DUMMYFUNCTION("""COMPUTED_VALUE"""),0.0)</f>
        <v>0</v>
      </c>
    </row>
    <row r="10">
      <c r="A10" s="5" t="str">
        <f>IFERROR(__xludf.DUMMYFUNCTION("""COMPUTED_VALUE"""),"14626")</f>
        <v>14626</v>
      </c>
      <c r="B10" s="64">
        <f>IFERROR(__xludf.DUMMYFUNCTION("""COMPUTED_VALUE"""),44602.0)</f>
        <v>44602</v>
      </c>
      <c r="C10" s="5"/>
      <c r="D10" s="5"/>
      <c r="E10" s="5"/>
      <c r="F10" s="22">
        <f>IFERROR(__xludf.DUMMYFUNCTION("""COMPUTED_VALUE"""),500000.0)</f>
        <v>500000</v>
      </c>
      <c r="G10" s="22">
        <f>IFERROR(__xludf.DUMMYFUNCTION("""COMPUTED_VALUE"""),0.0)</f>
        <v>0</v>
      </c>
      <c r="H10" s="22">
        <f>IFERROR(__xludf.DUMMYFUNCTION("""COMPUTED_VALUE"""),500000.0)</f>
        <v>500000</v>
      </c>
      <c r="I10" s="24">
        <f>IFERROR(__xludf.DUMMYFUNCTION("""COMPUTED_VALUE"""),0.0)</f>
        <v>0</v>
      </c>
    </row>
    <row r="11">
      <c r="A11" s="5" t="str">
        <f>IFERROR(__xludf.DUMMYFUNCTION("""COMPUTED_VALUE"""),"14626")</f>
        <v>14626</v>
      </c>
      <c r="B11" s="64">
        <f>IFERROR(__xludf.DUMMYFUNCTION("""COMPUTED_VALUE"""),44603.0)</f>
        <v>44603</v>
      </c>
      <c r="C11" s="5"/>
      <c r="D11" s="5"/>
      <c r="E11" s="5"/>
      <c r="F11" s="22">
        <f>IFERROR(__xludf.DUMMYFUNCTION("""COMPUTED_VALUE"""),500000.0)</f>
        <v>500000</v>
      </c>
      <c r="G11" s="22">
        <f>IFERROR(__xludf.DUMMYFUNCTION("""COMPUTED_VALUE"""),0.0)</f>
        <v>0</v>
      </c>
      <c r="H11" s="22">
        <f>IFERROR(__xludf.DUMMYFUNCTION("""COMPUTED_VALUE"""),500000.0)</f>
        <v>500000</v>
      </c>
      <c r="I11" s="24">
        <f>IFERROR(__xludf.DUMMYFUNCTION("""COMPUTED_VALUE"""),0.0)</f>
        <v>0</v>
      </c>
    </row>
    <row r="12">
      <c r="A12" s="5" t="str">
        <f>IFERROR(__xludf.DUMMYFUNCTION("""COMPUTED_VALUE"""),"14626")</f>
        <v>14626</v>
      </c>
      <c r="B12" s="64">
        <f>IFERROR(__xludf.DUMMYFUNCTION("""COMPUTED_VALUE"""),44604.0)</f>
        <v>44604</v>
      </c>
      <c r="C12" s="5"/>
      <c r="D12" s="5"/>
      <c r="E12" s="5"/>
      <c r="F12" s="22">
        <f>IFERROR(__xludf.DUMMYFUNCTION("""COMPUTED_VALUE"""),500000.0)</f>
        <v>500000</v>
      </c>
      <c r="G12" s="22">
        <f>IFERROR(__xludf.DUMMYFUNCTION("""COMPUTED_VALUE"""),0.0)</f>
        <v>0</v>
      </c>
      <c r="H12" s="22">
        <f>IFERROR(__xludf.DUMMYFUNCTION("""COMPUTED_VALUE"""),500000.0)</f>
        <v>500000</v>
      </c>
      <c r="I12" s="24">
        <f>IFERROR(__xludf.DUMMYFUNCTION("""COMPUTED_VALUE"""),0.0)</f>
        <v>0</v>
      </c>
    </row>
    <row r="13">
      <c r="A13" s="5" t="str">
        <f>IFERROR(__xludf.DUMMYFUNCTION("""COMPUTED_VALUE"""),"14626")</f>
        <v>14626</v>
      </c>
      <c r="B13" s="64">
        <f>IFERROR(__xludf.DUMMYFUNCTION("""COMPUTED_VALUE"""),44605.0)</f>
        <v>44605</v>
      </c>
      <c r="C13" s="5"/>
      <c r="D13" s="5"/>
      <c r="E13" s="5"/>
      <c r="F13" s="22">
        <f>IFERROR(__xludf.DUMMYFUNCTION("""COMPUTED_VALUE"""),500000.0)</f>
        <v>500000</v>
      </c>
      <c r="G13" s="22">
        <f>IFERROR(__xludf.DUMMYFUNCTION("""COMPUTED_VALUE"""),0.0)</f>
        <v>0</v>
      </c>
      <c r="H13" s="22">
        <f>IFERROR(__xludf.DUMMYFUNCTION("""COMPUTED_VALUE"""),500000.0)</f>
        <v>500000</v>
      </c>
      <c r="I13" s="24">
        <f>IFERROR(__xludf.DUMMYFUNCTION("""COMPUTED_VALUE"""),0.0)</f>
        <v>0</v>
      </c>
    </row>
    <row r="14">
      <c r="A14" s="5" t="str">
        <f>IFERROR(__xludf.DUMMYFUNCTION("""COMPUTED_VALUE"""),"14626")</f>
        <v>14626</v>
      </c>
      <c r="B14" s="64">
        <f>IFERROR(__xludf.DUMMYFUNCTION("""COMPUTED_VALUE"""),44606.0)</f>
        <v>44606</v>
      </c>
      <c r="C14" s="5"/>
      <c r="D14" s="5"/>
      <c r="E14" s="5"/>
      <c r="F14" s="22">
        <f>IFERROR(__xludf.DUMMYFUNCTION("""COMPUTED_VALUE"""),500000.0)</f>
        <v>500000</v>
      </c>
      <c r="G14" s="22">
        <f>IFERROR(__xludf.DUMMYFUNCTION("""COMPUTED_VALUE"""),0.0)</f>
        <v>0</v>
      </c>
      <c r="H14" s="22">
        <f>IFERROR(__xludf.DUMMYFUNCTION("""COMPUTED_VALUE"""),500000.0)</f>
        <v>500000</v>
      </c>
      <c r="I14" s="24">
        <f>IFERROR(__xludf.DUMMYFUNCTION("""COMPUTED_VALUE"""),0.0)</f>
        <v>0</v>
      </c>
    </row>
    <row r="15">
      <c r="A15" s="5" t="str">
        <f>IFERROR(__xludf.DUMMYFUNCTION("""COMPUTED_VALUE"""),"14626")</f>
        <v>14626</v>
      </c>
      <c r="B15" s="64">
        <f>IFERROR(__xludf.DUMMYFUNCTION("""COMPUTED_VALUE"""),44607.0)</f>
        <v>44607</v>
      </c>
      <c r="C15" s="5"/>
      <c r="D15" s="5"/>
      <c r="E15" s="5"/>
      <c r="F15" s="22">
        <f>IFERROR(__xludf.DUMMYFUNCTION("""COMPUTED_VALUE"""),500000.0)</f>
        <v>500000</v>
      </c>
      <c r="G15" s="22">
        <f>IFERROR(__xludf.DUMMYFUNCTION("""COMPUTED_VALUE"""),0.0)</f>
        <v>0</v>
      </c>
      <c r="H15" s="22">
        <f>IFERROR(__xludf.DUMMYFUNCTION("""COMPUTED_VALUE"""),500000.0)</f>
        <v>500000</v>
      </c>
      <c r="I15" s="24">
        <f>IFERROR(__xludf.DUMMYFUNCTION("""COMPUTED_VALUE"""),0.0)</f>
        <v>0</v>
      </c>
    </row>
    <row r="16">
      <c r="A16" s="5" t="str">
        <f>IFERROR(__xludf.DUMMYFUNCTION("""COMPUTED_VALUE"""),"14626")</f>
        <v>14626</v>
      </c>
      <c r="B16" s="64">
        <f>IFERROR(__xludf.DUMMYFUNCTION("""COMPUTED_VALUE"""),44608.0)</f>
        <v>44608</v>
      </c>
      <c r="C16" s="5"/>
      <c r="D16" s="5"/>
      <c r="E16" s="5"/>
      <c r="F16" s="22">
        <f>IFERROR(__xludf.DUMMYFUNCTION("""COMPUTED_VALUE"""),500000.0)</f>
        <v>500000</v>
      </c>
      <c r="G16" s="22">
        <f>IFERROR(__xludf.DUMMYFUNCTION("""COMPUTED_VALUE"""),0.0)</f>
        <v>0</v>
      </c>
      <c r="H16" s="22">
        <f>IFERROR(__xludf.DUMMYFUNCTION("""COMPUTED_VALUE"""),500000.0)</f>
        <v>500000</v>
      </c>
      <c r="I16" s="24">
        <f>IFERROR(__xludf.DUMMYFUNCTION("""COMPUTED_VALUE"""),0.0)</f>
        <v>0</v>
      </c>
    </row>
    <row r="17">
      <c r="A17" s="5" t="str">
        <f>IFERROR(__xludf.DUMMYFUNCTION("""COMPUTED_VALUE"""),"14626")</f>
        <v>14626</v>
      </c>
      <c r="B17" s="64">
        <f>IFERROR(__xludf.DUMMYFUNCTION("""COMPUTED_VALUE"""),44609.0)</f>
        <v>44609</v>
      </c>
      <c r="C17" s="5"/>
      <c r="D17" s="5"/>
      <c r="E17" s="5"/>
      <c r="F17" s="22">
        <f>IFERROR(__xludf.DUMMYFUNCTION("""COMPUTED_VALUE"""),500000.0)</f>
        <v>500000</v>
      </c>
      <c r="G17" s="22">
        <f>IFERROR(__xludf.DUMMYFUNCTION("""COMPUTED_VALUE"""),0.0)</f>
        <v>0</v>
      </c>
      <c r="H17" s="22">
        <f>IFERROR(__xludf.DUMMYFUNCTION("""COMPUTED_VALUE"""),500000.0)</f>
        <v>500000</v>
      </c>
      <c r="I17" s="24">
        <f>IFERROR(__xludf.DUMMYFUNCTION("""COMPUTED_VALUE"""),0.0)</f>
        <v>0</v>
      </c>
    </row>
    <row r="18">
      <c r="A18" s="5" t="str">
        <f>IFERROR(__xludf.DUMMYFUNCTION("""COMPUTED_VALUE"""),"14626")</f>
        <v>14626</v>
      </c>
      <c r="B18" s="64">
        <f>IFERROR(__xludf.DUMMYFUNCTION("""COMPUTED_VALUE"""),44610.0)</f>
        <v>44610</v>
      </c>
      <c r="C18" s="5"/>
      <c r="D18" s="5"/>
      <c r="E18" s="5"/>
      <c r="F18" s="22">
        <f>IFERROR(__xludf.DUMMYFUNCTION("""COMPUTED_VALUE"""),500000.0)</f>
        <v>500000</v>
      </c>
      <c r="G18" s="22">
        <f>IFERROR(__xludf.DUMMYFUNCTION("""COMPUTED_VALUE"""),0.0)</f>
        <v>0</v>
      </c>
      <c r="H18" s="22">
        <f>IFERROR(__xludf.DUMMYFUNCTION("""COMPUTED_VALUE"""),500000.0)</f>
        <v>500000</v>
      </c>
      <c r="I18" s="24">
        <f>IFERROR(__xludf.DUMMYFUNCTION("""COMPUTED_VALUE"""),0.0)</f>
        <v>0</v>
      </c>
    </row>
    <row r="19">
      <c r="A19" s="5" t="str">
        <f>IFERROR(__xludf.DUMMYFUNCTION("""COMPUTED_VALUE"""),"14626")</f>
        <v>14626</v>
      </c>
      <c r="B19" s="64">
        <f>IFERROR(__xludf.DUMMYFUNCTION("""COMPUTED_VALUE"""),44611.0)</f>
        <v>44611</v>
      </c>
      <c r="C19" s="5"/>
      <c r="D19" s="5"/>
      <c r="E19" s="5"/>
      <c r="F19" s="22">
        <f>IFERROR(__xludf.DUMMYFUNCTION("""COMPUTED_VALUE"""),500000.0)</f>
        <v>500000</v>
      </c>
      <c r="G19" s="22">
        <f>IFERROR(__xludf.DUMMYFUNCTION("""COMPUTED_VALUE"""),0.0)</f>
        <v>0</v>
      </c>
      <c r="H19" s="22">
        <f>IFERROR(__xludf.DUMMYFUNCTION("""COMPUTED_VALUE"""),500000.0)</f>
        <v>500000</v>
      </c>
      <c r="I19" s="24">
        <f>IFERROR(__xludf.DUMMYFUNCTION("""COMPUTED_VALUE"""),0.0)</f>
        <v>0</v>
      </c>
    </row>
    <row r="20">
      <c r="A20" s="5" t="str">
        <f>IFERROR(__xludf.DUMMYFUNCTION("""COMPUTED_VALUE"""),"14626")</f>
        <v>14626</v>
      </c>
      <c r="B20" s="64">
        <f>IFERROR(__xludf.DUMMYFUNCTION("""COMPUTED_VALUE"""),44612.0)</f>
        <v>44612</v>
      </c>
      <c r="C20" s="5"/>
      <c r="D20" s="5"/>
      <c r="E20" s="5"/>
      <c r="F20" s="22">
        <f>IFERROR(__xludf.DUMMYFUNCTION("""COMPUTED_VALUE"""),500000.0)</f>
        <v>500000</v>
      </c>
      <c r="G20" s="22">
        <f>IFERROR(__xludf.DUMMYFUNCTION("""COMPUTED_VALUE"""),0.0)</f>
        <v>0</v>
      </c>
      <c r="H20" s="22">
        <f>IFERROR(__xludf.DUMMYFUNCTION("""COMPUTED_VALUE"""),500000.0)</f>
        <v>500000</v>
      </c>
      <c r="I20" s="24">
        <f>IFERROR(__xludf.DUMMYFUNCTION("""COMPUTED_VALUE"""),0.0)</f>
        <v>0</v>
      </c>
    </row>
    <row r="21">
      <c r="A21" s="5" t="str">
        <f>IFERROR(__xludf.DUMMYFUNCTION("""COMPUTED_VALUE"""),"14626")</f>
        <v>14626</v>
      </c>
      <c r="B21" s="64">
        <f>IFERROR(__xludf.DUMMYFUNCTION("""COMPUTED_VALUE"""),44613.0)</f>
        <v>44613</v>
      </c>
      <c r="C21" s="5"/>
      <c r="D21" s="5"/>
      <c r="E21" s="5"/>
      <c r="F21" s="22">
        <f>IFERROR(__xludf.DUMMYFUNCTION("""COMPUTED_VALUE"""),500000.0)</f>
        <v>500000</v>
      </c>
      <c r="G21" s="22">
        <f>IFERROR(__xludf.DUMMYFUNCTION("""COMPUTED_VALUE"""),0.0)</f>
        <v>0</v>
      </c>
      <c r="H21" s="22">
        <f>IFERROR(__xludf.DUMMYFUNCTION("""COMPUTED_VALUE"""),500000.0)</f>
        <v>500000</v>
      </c>
      <c r="I21" s="24">
        <f>IFERROR(__xludf.DUMMYFUNCTION("""COMPUTED_VALUE"""),0.0)</f>
        <v>0</v>
      </c>
    </row>
    <row r="22">
      <c r="A22" s="5" t="str">
        <f>IFERROR(__xludf.DUMMYFUNCTION("""COMPUTED_VALUE"""),"14626")</f>
        <v>14626</v>
      </c>
      <c r="B22" s="64">
        <f>IFERROR(__xludf.DUMMYFUNCTION("""COMPUTED_VALUE"""),44614.0)</f>
        <v>44614</v>
      </c>
      <c r="C22" s="5"/>
      <c r="D22" s="5"/>
      <c r="E22" s="5"/>
      <c r="F22" s="22">
        <f>IFERROR(__xludf.DUMMYFUNCTION("""COMPUTED_VALUE"""),500000.0)</f>
        <v>500000</v>
      </c>
      <c r="G22" s="22">
        <f>IFERROR(__xludf.DUMMYFUNCTION("""COMPUTED_VALUE"""),0.0)</f>
        <v>0</v>
      </c>
      <c r="H22" s="22">
        <f>IFERROR(__xludf.DUMMYFUNCTION("""COMPUTED_VALUE"""),500000.0)</f>
        <v>500000</v>
      </c>
      <c r="I22" s="24">
        <f>IFERROR(__xludf.DUMMYFUNCTION("""COMPUTED_VALUE"""),0.0)</f>
        <v>0</v>
      </c>
    </row>
    <row r="23">
      <c r="A23" s="5" t="str">
        <f>IFERROR(__xludf.DUMMYFUNCTION("""COMPUTED_VALUE"""),"14626")</f>
        <v>14626</v>
      </c>
      <c r="B23" s="64">
        <f>IFERROR(__xludf.DUMMYFUNCTION("""COMPUTED_VALUE"""),44615.0)</f>
        <v>44615</v>
      </c>
      <c r="C23" s="5"/>
      <c r="D23" s="5"/>
      <c r="E23" s="5"/>
      <c r="F23" s="22">
        <f>IFERROR(__xludf.DUMMYFUNCTION("""COMPUTED_VALUE"""),500000.0)</f>
        <v>500000</v>
      </c>
      <c r="G23" s="22">
        <f>IFERROR(__xludf.DUMMYFUNCTION("""COMPUTED_VALUE"""),0.0)</f>
        <v>0</v>
      </c>
      <c r="H23" s="22">
        <f>IFERROR(__xludf.DUMMYFUNCTION("""COMPUTED_VALUE"""),500000.0)</f>
        <v>500000</v>
      </c>
      <c r="I23" s="24">
        <f>IFERROR(__xludf.DUMMYFUNCTION("""COMPUTED_VALUE"""),0.0)</f>
        <v>0</v>
      </c>
    </row>
    <row r="24">
      <c r="A24" s="5" t="str">
        <f>IFERROR(__xludf.DUMMYFUNCTION("""COMPUTED_VALUE"""),"14626")</f>
        <v>14626</v>
      </c>
      <c r="B24" s="64">
        <f>IFERROR(__xludf.DUMMYFUNCTION("""COMPUTED_VALUE"""),44616.0)</f>
        <v>44616</v>
      </c>
      <c r="C24" s="5"/>
      <c r="D24" s="5"/>
      <c r="E24" s="5"/>
      <c r="F24" s="22">
        <f>IFERROR(__xludf.DUMMYFUNCTION("""COMPUTED_VALUE"""),500000.0)</f>
        <v>500000</v>
      </c>
      <c r="G24" s="22">
        <f>IFERROR(__xludf.DUMMYFUNCTION("""COMPUTED_VALUE"""),0.0)</f>
        <v>0</v>
      </c>
      <c r="H24" s="22">
        <f>IFERROR(__xludf.DUMMYFUNCTION("""COMPUTED_VALUE"""),500000.0)</f>
        <v>500000</v>
      </c>
      <c r="I24" s="24">
        <f>IFERROR(__xludf.DUMMYFUNCTION("""COMPUTED_VALUE"""),0.0)</f>
        <v>0</v>
      </c>
    </row>
    <row r="25">
      <c r="A25" s="5" t="str">
        <f>IFERROR(__xludf.DUMMYFUNCTION("""COMPUTED_VALUE"""),"14626")</f>
        <v>14626</v>
      </c>
      <c r="B25" s="64">
        <f>IFERROR(__xludf.DUMMYFUNCTION("""COMPUTED_VALUE"""),44617.0)</f>
        <v>44617</v>
      </c>
      <c r="C25" s="5"/>
      <c r="D25" s="5"/>
      <c r="E25" s="5"/>
      <c r="F25" s="22">
        <f>IFERROR(__xludf.DUMMYFUNCTION("""COMPUTED_VALUE"""),500000.0)</f>
        <v>500000</v>
      </c>
      <c r="G25" s="22">
        <f>IFERROR(__xludf.DUMMYFUNCTION("""COMPUTED_VALUE"""),0.0)</f>
        <v>0</v>
      </c>
      <c r="H25" s="22">
        <f>IFERROR(__xludf.DUMMYFUNCTION("""COMPUTED_VALUE"""),500000.0)</f>
        <v>500000</v>
      </c>
      <c r="I25" s="24">
        <f>IFERROR(__xludf.DUMMYFUNCTION("""COMPUTED_VALUE"""),0.0)</f>
        <v>0</v>
      </c>
    </row>
    <row r="26">
      <c r="A26" s="5" t="str">
        <f>IFERROR(__xludf.DUMMYFUNCTION("""COMPUTED_VALUE"""),"14626")</f>
        <v>14626</v>
      </c>
      <c r="B26" s="64">
        <f>IFERROR(__xludf.DUMMYFUNCTION("""COMPUTED_VALUE"""),44618.0)</f>
        <v>44618</v>
      </c>
      <c r="C26" s="5"/>
      <c r="D26" s="5"/>
      <c r="E26" s="5"/>
      <c r="F26" s="22">
        <f>IFERROR(__xludf.DUMMYFUNCTION("""COMPUTED_VALUE"""),500000.0)</f>
        <v>500000</v>
      </c>
      <c r="G26" s="22">
        <f>IFERROR(__xludf.DUMMYFUNCTION("""COMPUTED_VALUE"""),0.0)</f>
        <v>0</v>
      </c>
      <c r="H26" s="22">
        <f>IFERROR(__xludf.DUMMYFUNCTION("""COMPUTED_VALUE"""),500000.0)</f>
        <v>500000</v>
      </c>
      <c r="I26" s="24">
        <f>IFERROR(__xludf.DUMMYFUNCTION("""COMPUTED_VALUE"""),0.0)</f>
        <v>0</v>
      </c>
    </row>
    <row r="27">
      <c r="A27" s="5" t="str">
        <f>IFERROR(__xludf.DUMMYFUNCTION("""COMPUTED_VALUE"""),"14626")</f>
        <v>14626</v>
      </c>
      <c r="B27" s="64">
        <f>IFERROR(__xludf.DUMMYFUNCTION("""COMPUTED_VALUE"""),44619.0)</f>
        <v>44619</v>
      </c>
      <c r="C27" s="5"/>
      <c r="D27" s="5"/>
      <c r="E27" s="5"/>
      <c r="F27" s="22">
        <f>IFERROR(__xludf.DUMMYFUNCTION("""COMPUTED_VALUE"""),500000.0)</f>
        <v>500000</v>
      </c>
      <c r="G27" s="22">
        <f>IFERROR(__xludf.DUMMYFUNCTION("""COMPUTED_VALUE"""),0.0)</f>
        <v>0</v>
      </c>
      <c r="H27" s="22">
        <f>IFERROR(__xludf.DUMMYFUNCTION("""COMPUTED_VALUE"""),500000.0)</f>
        <v>500000</v>
      </c>
      <c r="I27" s="24">
        <f>IFERROR(__xludf.DUMMYFUNCTION("""COMPUTED_VALUE"""),0.0)</f>
        <v>0</v>
      </c>
    </row>
    <row r="28">
      <c r="A28" s="5" t="str">
        <f>IFERROR(__xludf.DUMMYFUNCTION("""COMPUTED_VALUE"""),"14626")</f>
        <v>14626</v>
      </c>
      <c r="B28" s="64">
        <f>IFERROR(__xludf.DUMMYFUNCTION("""COMPUTED_VALUE"""),44620.0)</f>
        <v>44620</v>
      </c>
      <c r="C28" s="5"/>
      <c r="D28" s="5"/>
      <c r="E28" s="5"/>
      <c r="F28" s="22">
        <f>IFERROR(__xludf.DUMMYFUNCTION("""COMPUTED_VALUE"""),500000.0)</f>
        <v>500000</v>
      </c>
      <c r="G28" s="22">
        <f>IFERROR(__xludf.DUMMYFUNCTION("""COMPUTED_VALUE"""),0.0)</f>
        <v>0</v>
      </c>
      <c r="H28" s="22">
        <f>IFERROR(__xludf.DUMMYFUNCTION("""COMPUTED_VALUE"""),500000.0)</f>
        <v>500000</v>
      </c>
      <c r="I28" s="24">
        <f>IFERROR(__xludf.DUMMYFUNCTION("""COMPUTED_VALUE"""),0.0)</f>
        <v>0</v>
      </c>
    </row>
    <row r="29">
      <c r="A29" s="5" t="str">
        <f>IFERROR(__xludf.DUMMYFUNCTION("""COMPUTED_VALUE"""),"14626")</f>
        <v>14626</v>
      </c>
      <c r="B29" s="64">
        <f>IFERROR(__xludf.DUMMYFUNCTION("""COMPUTED_VALUE"""),44621.0)</f>
        <v>44621</v>
      </c>
      <c r="C29" s="5"/>
      <c r="D29" s="5"/>
      <c r="E29" s="5"/>
      <c r="F29" s="22">
        <f>IFERROR(__xludf.DUMMYFUNCTION("""COMPUTED_VALUE"""),500000.0)</f>
        <v>500000</v>
      </c>
      <c r="G29" s="22">
        <f>IFERROR(__xludf.DUMMYFUNCTION("""COMPUTED_VALUE"""),0.0)</f>
        <v>0</v>
      </c>
      <c r="H29" s="22">
        <f>IFERROR(__xludf.DUMMYFUNCTION("""COMPUTED_VALUE"""),500000.0)</f>
        <v>500000</v>
      </c>
      <c r="I29" s="24">
        <f>IFERROR(__xludf.DUMMYFUNCTION("""COMPUTED_VALUE"""),0.0)</f>
        <v>0</v>
      </c>
    </row>
    <row r="30">
      <c r="A30" s="5" t="str">
        <f>IFERROR(__xludf.DUMMYFUNCTION("""COMPUTED_VALUE"""),"14626")</f>
        <v>14626</v>
      </c>
      <c r="B30" s="64">
        <f>IFERROR(__xludf.DUMMYFUNCTION("""COMPUTED_VALUE"""),44622.0)</f>
        <v>44622</v>
      </c>
      <c r="C30" s="5"/>
      <c r="D30" s="5"/>
      <c r="E30" s="5"/>
      <c r="F30" s="22">
        <f>IFERROR(__xludf.DUMMYFUNCTION("""COMPUTED_VALUE"""),500000.0)</f>
        <v>500000</v>
      </c>
      <c r="G30" s="22">
        <f>IFERROR(__xludf.DUMMYFUNCTION("""COMPUTED_VALUE"""),0.0)</f>
        <v>0</v>
      </c>
      <c r="H30" s="22">
        <f>IFERROR(__xludf.DUMMYFUNCTION("""COMPUTED_VALUE"""),500891.00177000003)</f>
        <v>500891.0018</v>
      </c>
      <c r="I30" s="24">
        <f>IFERROR(__xludf.DUMMYFUNCTION("""COMPUTED_VALUE"""),0.0017820035400000211)</f>
        <v>0.00178200354</v>
      </c>
    </row>
    <row r="31">
      <c r="A31" s="5" t="str">
        <f>IFERROR(__xludf.DUMMYFUNCTION("""COMPUTED_VALUE"""),"14626")</f>
        <v>14626</v>
      </c>
      <c r="B31" s="64">
        <f>IFERROR(__xludf.DUMMYFUNCTION("""COMPUTED_VALUE"""),44623.0)</f>
        <v>44623</v>
      </c>
      <c r="C31" s="5"/>
      <c r="D31" s="5"/>
      <c r="E31" s="5"/>
      <c r="F31" s="22">
        <f>IFERROR(__xludf.DUMMYFUNCTION("""COMPUTED_VALUE"""),500000.0)</f>
        <v>500000</v>
      </c>
      <c r="G31" s="22">
        <f>IFERROR(__xludf.DUMMYFUNCTION("""COMPUTED_VALUE"""),0.0)</f>
        <v>0</v>
      </c>
      <c r="H31" s="22">
        <f>IFERROR(__xludf.DUMMYFUNCTION("""COMPUTED_VALUE"""),500226.658345)</f>
        <v>500226.6583</v>
      </c>
      <c r="I31" s="24">
        <f>IFERROR(__xludf.DUMMYFUNCTION("""COMPUTED_VALUE"""),4.533166900000385E-4)</f>
        <v>0.00045331669</v>
      </c>
    </row>
    <row r="32">
      <c r="A32" s="5" t="str">
        <f>IFERROR(__xludf.DUMMYFUNCTION("""COMPUTED_VALUE"""),"14626")</f>
        <v>14626</v>
      </c>
      <c r="B32" s="64">
        <f>IFERROR(__xludf.DUMMYFUNCTION("""COMPUTED_VALUE"""),44624.0)</f>
        <v>44624</v>
      </c>
      <c r="C32" s="5"/>
      <c r="D32" s="5"/>
      <c r="E32" s="5"/>
      <c r="F32" s="22">
        <f>IFERROR(__xludf.DUMMYFUNCTION("""COMPUTED_VALUE"""),500000.0)</f>
        <v>500000</v>
      </c>
      <c r="G32" s="22">
        <f>IFERROR(__xludf.DUMMYFUNCTION("""COMPUTED_VALUE"""),0.0)</f>
        <v>0</v>
      </c>
      <c r="H32" s="22">
        <f>IFERROR(__xludf.DUMMYFUNCTION("""COMPUTED_VALUE"""),497584.91625500005)</f>
        <v>497584.9163</v>
      </c>
      <c r="I32" s="24">
        <f>IFERROR(__xludf.DUMMYFUNCTION("""COMPUTED_VALUE"""),-0.00483016748999987)</f>
        <v>-0.00483016749</v>
      </c>
    </row>
    <row r="33">
      <c r="A33" s="5" t="str">
        <f>IFERROR(__xludf.DUMMYFUNCTION("""COMPUTED_VALUE"""),"14626")</f>
        <v>14626</v>
      </c>
      <c r="B33" s="64">
        <f>IFERROR(__xludf.DUMMYFUNCTION("""COMPUTED_VALUE"""),44625.0)</f>
        <v>44625</v>
      </c>
      <c r="C33" s="5"/>
      <c r="D33" s="5"/>
      <c r="E33" s="5"/>
      <c r="F33" s="22">
        <f>IFERROR(__xludf.DUMMYFUNCTION("""COMPUTED_VALUE"""),500000.0)</f>
        <v>500000</v>
      </c>
      <c r="G33" s="22">
        <f>IFERROR(__xludf.DUMMYFUNCTION("""COMPUTED_VALUE"""),0.0)</f>
        <v>0</v>
      </c>
      <c r="H33" s="22">
        <f>IFERROR(__xludf.DUMMYFUNCTION("""COMPUTED_VALUE"""),497584.91625500005)</f>
        <v>497584.9163</v>
      </c>
      <c r="I33" s="24">
        <f>IFERROR(__xludf.DUMMYFUNCTION("""COMPUTED_VALUE"""),-0.00483016748999987)</f>
        <v>-0.00483016749</v>
      </c>
    </row>
    <row r="34">
      <c r="A34" s="5" t="str">
        <f>IFERROR(__xludf.DUMMYFUNCTION("""COMPUTED_VALUE"""),"14626")</f>
        <v>14626</v>
      </c>
      <c r="B34" s="64">
        <f>IFERROR(__xludf.DUMMYFUNCTION("""COMPUTED_VALUE"""),44626.0)</f>
        <v>44626</v>
      </c>
      <c r="C34" s="5"/>
      <c r="D34" s="5"/>
      <c r="E34" s="5"/>
      <c r="F34" s="22">
        <f>IFERROR(__xludf.DUMMYFUNCTION("""COMPUTED_VALUE"""),500000.0)</f>
        <v>500000</v>
      </c>
      <c r="G34" s="22">
        <f>IFERROR(__xludf.DUMMYFUNCTION("""COMPUTED_VALUE"""),0.0)</f>
        <v>0</v>
      </c>
      <c r="H34" s="22">
        <f>IFERROR(__xludf.DUMMYFUNCTION("""COMPUTED_VALUE"""),497584.91625500005)</f>
        <v>497584.9163</v>
      </c>
      <c r="I34" s="24">
        <f>IFERROR(__xludf.DUMMYFUNCTION("""COMPUTED_VALUE"""),-0.00483016748999987)</f>
        <v>-0.00483016749</v>
      </c>
    </row>
    <row r="35">
      <c r="A35" s="5" t="str">
        <f>IFERROR(__xludf.DUMMYFUNCTION("""COMPUTED_VALUE"""),"14626")</f>
        <v>14626</v>
      </c>
      <c r="B35" s="64">
        <f>IFERROR(__xludf.DUMMYFUNCTION("""COMPUTED_VALUE"""),44627.0)</f>
        <v>44627</v>
      </c>
      <c r="C35" s="5"/>
      <c r="D35" s="5"/>
      <c r="E35" s="5"/>
      <c r="F35" s="22">
        <f>IFERROR(__xludf.DUMMYFUNCTION("""COMPUTED_VALUE"""),500000.0)</f>
        <v>500000</v>
      </c>
      <c r="G35" s="22">
        <f>IFERROR(__xludf.DUMMYFUNCTION("""COMPUTED_VALUE"""),0.0)</f>
        <v>0</v>
      </c>
      <c r="H35" s="22">
        <f>IFERROR(__xludf.DUMMYFUNCTION("""COMPUTED_VALUE"""),495873.25496000005)</f>
        <v>495873.255</v>
      </c>
      <c r="I35" s="24">
        <f>IFERROR(__xludf.DUMMYFUNCTION("""COMPUTED_VALUE"""),-0.00825349007999987)</f>
        <v>-0.00825349008</v>
      </c>
    </row>
    <row r="36">
      <c r="A36" s="5" t="str">
        <f>IFERROR(__xludf.DUMMYFUNCTION("""COMPUTED_VALUE"""),"14626")</f>
        <v>14626</v>
      </c>
      <c r="B36" s="64">
        <f>IFERROR(__xludf.DUMMYFUNCTION("""COMPUTED_VALUE"""),44628.0)</f>
        <v>44628</v>
      </c>
      <c r="C36" s="5"/>
      <c r="D36" s="5"/>
      <c r="E36" s="5"/>
      <c r="F36" s="22">
        <f>IFERROR(__xludf.DUMMYFUNCTION("""COMPUTED_VALUE"""),500000.0)</f>
        <v>500000</v>
      </c>
      <c r="G36" s="22">
        <f>IFERROR(__xludf.DUMMYFUNCTION("""COMPUTED_VALUE"""),0.0)</f>
        <v>0</v>
      </c>
      <c r="H36" s="22">
        <f>IFERROR(__xludf.DUMMYFUNCTION("""COMPUTED_VALUE"""),491582.378015)</f>
        <v>491582.378</v>
      </c>
      <c r="I36" s="24">
        <f>IFERROR(__xludf.DUMMYFUNCTION("""COMPUTED_VALUE"""),-0.016835243969999913)</f>
        <v>-0.01683524397</v>
      </c>
    </row>
    <row r="37">
      <c r="A37" s="5" t="str">
        <f>IFERROR(__xludf.DUMMYFUNCTION("""COMPUTED_VALUE"""),"14626")</f>
        <v>14626</v>
      </c>
      <c r="B37" s="64">
        <f>IFERROR(__xludf.DUMMYFUNCTION("""COMPUTED_VALUE"""),44629.0)</f>
        <v>44629</v>
      </c>
      <c r="C37" s="5"/>
      <c r="D37" s="5"/>
      <c r="E37" s="5"/>
      <c r="F37" s="22">
        <f>IFERROR(__xludf.DUMMYFUNCTION("""COMPUTED_VALUE"""),500000.0)</f>
        <v>500000</v>
      </c>
      <c r="G37" s="22">
        <f>IFERROR(__xludf.DUMMYFUNCTION("""COMPUTED_VALUE"""),0.0)</f>
        <v>0</v>
      </c>
      <c r="H37" s="22">
        <f>IFERROR(__xludf.DUMMYFUNCTION("""COMPUTED_VALUE"""),496725.17770500004)</f>
        <v>496725.1777</v>
      </c>
      <c r="I37" s="24">
        <f>IFERROR(__xludf.DUMMYFUNCTION("""COMPUTED_VALUE"""),-0.006549644589999959)</f>
        <v>-0.00654964459</v>
      </c>
    </row>
    <row r="38">
      <c r="A38" s="5" t="str">
        <f>IFERROR(__xludf.DUMMYFUNCTION("""COMPUTED_VALUE"""),"14626")</f>
        <v>14626</v>
      </c>
      <c r="B38" s="64">
        <f>IFERROR(__xludf.DUMMYFUNCTION("""COMPUTED_VALUE"""),44630.0)</f>
        <v>44630</v>
      </c>
      <c r="C38" s="5"/>
      <c r="D38" s="5"/>
      <c r="E38" s="5"/>
      <c r="F38" s="22">
        <f>IFERROR(__xludf.DUMMYFUNCTION("""COMPUTED_VALUE"""),500000.0)</f>
        <v>500000</v>
      </c>
      <c r="G38" s="22">
        <f>IFERROR(__xludf.DUMMYFUNCTION("""COMPUTED_VALUE"""),0.0)</f>
        <v>0</v>
      </c>
      <c r="H38" s="22">
        <f>IFERROR(__xludf.DUMMYFUNCTION("""COMPUTED_VALUE"""),495544.99115)</f>
        <v>495544.9912</v>
      </c>
      <c r="I38" s="24">
        <f>IFERROR(__xludf.DUMMYFUNCTION("""COMPUTED_VALUE"""),-0.008910017699999995)</f>
        <v>-0.0089100177</v>
      </c>
    </row>
    <row r="39">
      <c r="A39" s="5" t="str">
        <f>IFERROR(__xludf.DUMMYFUNCTION("""COMPUTED_VALUE"""),"14626")</f>
        <v>14626</v>
      </c>
      <c r="B39" s="64">
        <f>IFERROR(__xludf.DUMMYFUNCTION("""COMPUTED_VALUE"""),44631.0)</f>
        <v>44631</v>
      </c>
      <c r="C39" s="5"/>
      <c r="D39" s="5"/>
      <c r="E39" s="5"/>
      <c r="F39" s="22">
        <f>IFERROR(__xludf.DUMMYFUNCTION("""COMPUTED_VALUE"""),500000.0)</f>
        <v>500000</v>
      </c>
      <c r="G39" s="22">
        <f>IFERROR(__xludf.DUMMYFUNCTION("""COMPUTED_VALUE"""),0.0)</f>
        <v>0</v>
      </c>
      <c r="H39" s="22">
        <f>IFERROR(__xludf.DUMMYFUNCTION("""COMPUTED_VALUE"""),496224.966185)</f>
        <v>496224.9662</v>
      </c>
      <c r="I39" s="24">
        <f>IFERROR(__xludf.DUMMYFUNCTION("""COMPUTED_VALUE"""),-0.00755006762999999)</f>
        <v>-0.00755006763</v>
      </c>
    </row>
    <row r="40">
      <c r="A40" s="5" t="str">
        <f>IFERROR(__xludf.DUMMYFUNCTION("""COMPUTED_VALUE"""),"14626")</f>
        <v>14626</v>
      </c>
      <c r="B40" s="64">
        <f>IFERROR(__xludf.DUMMYFUNCTION("""COMPUTED_VALUE"""),44632.0)</f>
        <v>44632</v>
      </c>
      <c r="C40" s="5"/>
      <c r="D40" s="5"/>
      <c r="E40" s="5"/>
      <c r="F40" s="22">
        <f>IFERROR(__xludf.DUMMYFUNCTION("""COMPUTED_VALUE"""),500000.0)</f>
        <v>500000</v>
      </c>
      <c r="G40" s="22">
        <f>IFERROR(__xludf.DUMMYFUNCTION("""COMPUTED_VALUE"""),0.0)</f>
        <v>0</v>
      </c>
      <c r="H40" s="22">
        <f>IFERROR(__xludf.DUMMYFUNCTION("""COMPUTED_VALUE"""),496224.966185)</f>
        <v>496224.9662</v>
      </c>
      <c r="I40" s="24">
        <f>IFERROR(__xludf.DUMMYFUNCTION("""COMPUTED_VALUE"""),-0.00755006762999999)</f>
        <v>-0.00755006763</v>
      </c>
    </row>
    <row r="41">
      <c r="A41" s="5" t="str">
        <f>IFERROR(__xludf.DUMMYFUNCTION("""COMPUTED_VALUE"""),"14626")</f>
        <v>14626</v>
      </c>
      <c r="B41" s="64">
        <f>IFERROR(__xludf.DUMMYFUNCTION("""COMPUTED_VALUE"""),44633.0)</f>
        <v>44633</v>
      </c>
      <c r="C41" s="5"/>
      <c r="D41" s="5"/>
      <c r="E41" s="5"/>
      <c r="F41" s="22">
        <f>IFERROR(__xludf.DUMMYFUNCTION("""COMPUTED_VALUE"""),500000.0)</f>
        <v>500000</v>
      </c>
      <c r="G41" s="22">
        <f>IFERROR(__xludf.DUMMYFUNCTION("""COMPUTED_VALUE"""),0.0)</f>
        <v>0</v>
      </c>
      <c r="H41" s="22">
        <f>IFERROR(__xludf.DUMMYFUNCTION("""COMPUTED_VALUE"""),496224.966185)</f>
        <v>496224.9662</v>
      </c>
      <c r="I41" s="24">
        <f>IFERROR(__xludf.DUMMYFUNCTION("""COMPUTED_VALUE"""),-0.00755006762999999)</f>
        <v>-0.00755006763</v>
      </c>
    </row>
    <row r="42">
      <c r="A42" s="5" t="str">
        <f>IFERROR(__xludf.DUMMYFUNCTION("""COMPUTED_VALUE"""),"14626")</f>
        <v>14626</v>
      </c>
      <c r="B42" s="64">
        <f>IFERROR(__xludf.DUMMYFUNCTION("""COMPUTED_VALUE"""),44634.0)</f>
        <v>44634</v>
      </c>
      <c r="C42" s="5"/>
      <c r="D42" s="5"/>
      <c r="E42" s="5"/>
      <c r="F42" s="22">
        <f>IFERROR(__xludf.DUMMYFUNCTION("""COMPUTED_VALUE"""),500000.0)</f>
        <v>500000</v>
      </c>
      <c r="G42" s="22">
        <f>IFERROR(__xludf.DUMMYFUNCTION("""COMPUTED_VALUE"""),0.0)</f>
        <v>0</v>
      </c>
      <c r="H42" s="22">
        <f>IFERROR(__xludf.DUMMYFUNCTION("""COMPUTED_VALUE"""),499359.10399)</f>
        <v>499359.104</v>
      </c>
      <c r="I42" s="24">
        <f>IFERROR(__xludf.DUMMYFUNCTION("""COMPUTED_VALUE"""),-0.0012817920200000055)</f>
        <v>-0.00128179202</v>
      </c>
    </row>
    <row r="43">
      <c r="A43" s="5" t="str">
        <f>IFERROR(__xludf.DUMMYFUNCTION("""COMPUTED_VALUE"""),"14626")</f>
        <v>14626</v>
      </c>
      <c r="B43" s="64">
        <f>IFERROR(__xludf.DUMMYFUNCTION("""COMPUTED_VALUE"""),44635.0)</f>
        <v>44635</v>
      </c>
      <c r="C43" s="5"/>
      <c r="D43" s="5"/>
      <c r="E43" s="5"/>
      <c r="F43" s="22">
        <f>IFERROR(__xludf.DUMMYFUNCTION("""COMPUTED_VALUE"""),500000.0)</f>
        <v>500000</v>
      </c>
      <c r="G43" s="22">
        <f>IFERROR(__xludf.DUMMYFUNCTION("""COMPUTED_VALUE"""),0.0)</f>
        <v>0</v>
      </c>
      <c r="H43" s="22">
        <f>IFERROR(__xludf.DUMMYFUNCTION("""COMPUTED_VALUE"""),501516.26617)</f>
        <v>501516.2662</v>
      </c>
      <c r="I43" s="24">
        <f>IFERROR(__xludf.DUMMYFUNCTION("""COMPUTED_VALUE"""),0.003032532340000005)</f>
        <v>0.00303253234</v>
      </c>
    </row>
    <row r="44">
      <c r="A44" s="5" t="str">
        <f>IFERROR(__xludf.DUMMYFUNCTION("""COMPUTED_VALUE"""),"14626")</f>
        <v>14626</v>
      </c>
      <c r="B44" s="64">
        <f>IFERROR(__xludf.DUMMYFUNCTION("""COMPUTED_VALUE"""),44636.0)</f>
        <v>44636</v>
      </c>
      <c r="C44" s="5"/>
      <c r="D44" s="5"/>
      <c r="E44" s="5"/>
      <c r="F44" s="22">
        <f>IFERROR(__xludf.DUMMYFUNCTION("""COMPUTED_VALUE"""),500000.0)</f>
        <v>500000</v>
      </c>
      <c r="G44" s="22">
        <f>IFERROR(__xludf.DUMMYFUNCTION("""COMPUTED_VALUE"""),0.0)</f>
        <v>0</v>
      </c>
      <c r="H44" s="22">
        <f>IFERROR(__xludf.DUMMYFUNCTION("""COMPUTED_VALUE"""),501203.63397)</f>
        <v>501203.634</v>
      </c>
      <c r="I44" s="24">
        <f>IFERROR(__xludf.DUMMYFUNCTION("""COMPUTED_VALUE"""),0.002407267940000013)</f>
        <v>0.00240726794</v>
      </c>
    </row>
    <row r="45">
      <c r="A45" s="5" t="str">
        <f>IFERROR(__xludf.DUMMYFUNCTION("""COMPUTED_VALUE"""),"14626")</f>
        <v>14626</v>
      </c>
      <c r="B45" s="64">
        <f>IFERROR(__xludf.DUMMYFUNCTION("""COMPUTED_VALUE"""),44637.0)</f>
        <v>44637</v>
      </c>
      <c r="C45" s="5"/>
      <c r="D45" s="5"/>
      <c r="E45" s="5"/>
      <c r="F45" s="22">
        <f>IFERROR(__xludf.DUMMYFUNCTION("""COMPUTED_VALUE"""),500000.0)</f>
        <v>500000</v>
      </c>
      <c r="G45" s="22">
        <f>IFERROR(__xludf.DUMMYFUNCTION("""COMPUTED_VALUE"""),0.0)</f>
        <v>0</v>
      </c>
      <c r="H45" s="22">
        <f>IFERROR(__xludf.DUMMYFUNCTION("""COMPUTED_VALUE"""),500402.49344500003)</f>
        <v>500402.4934</v>
      </c>
      <c r="I45" s="24">
        <f>IFERROR(__xludf.DUMMYFUNCTION("""COMPUTED_VALUE"""),8.049868899999701E-4)</f>
        <v>0.00080498689</v>
      </c>
    </row>
    <row r="46">
      <c r="A46" s="5" t="str">
        <f>IFERROR(__xludf.DUMMYFUNCTION("""COMPUTED_VALUE"""),"14626")</f>
        <v>14626</v>
      </c>
      <c r="B46" s="64">
        <f>IFERROR(__xludf.DUMMYFUNCTION("""COMPUTED_VALUE"""),44638.0)</f>
        <v>44638</v>
      </c>
      <c r="C46" s="5"/>
      <c r="D46" s="5"/>
      <c r="E46" s="5"/>
      <c r="F46" s="22">
        <f>IFERROR(__xludf.DUMMYFUNCTION("""COMPUTED_VALUE"""),500000.0)</f>
        <v>500000</v>
      </c>
      <c r="G46" s="22">
        <f>IFERROR(__xludf.DUMMYFUNCTION("""COMPUTED_VALUE"""),0.0)</f>
        <v>0</v>
      </c>
      <c r="H46" s="22">
        <f>IFERROR(__xludf.DUMMYFUNCTION("""COMPUTED_VALUE"""),502868.788805)</f>
        <v>502868.7888</v>
      </c>
      <c r="I46" s="24">
        <f>IFERROR(__xludf.DUMMYFUNCTION("""COMPUTED_VALUE"""),0.005737577609999933)</f>
        <v>0.00573757761</v>
      </c>
    </row>
    <row r="47">
      <c r="A47" s="5" t="str">
        <f>IFERROR(__xludf.DUMMYFUNCTION("""COMPUTED_VALUE"""),"14626")</f>
        <v>14626</v>
      </c>
      <c r="B47" s="64">
        <f>IFERROR(__xludf.DUMMYFUNCTION("""COMPUTED_VALUE"""),44639.0)</f>
        <v>44639</v>
      </c>
      <c r="C47" s="5"/>
      <c r="D47" s="5"/>
      <c r="E47" s="5"/>
      <c r="F47" s="22">
        <f>IFERROR(__xludf.DUMMYFUNCTION("""COMPUTED_VALUE"""),500000.0)</f>
        <v>500000</v>
      </c>
      <c r="G47" s="22">
        <f>IFERROR(__xludf.DUMMYFUNCTION("""COMPUTED_VALUE"""),0.0)</f>
        <v>0</v>
      </c>
      <c r="H47" s="22">
        <f>IFERROR(__xludf.DUMMYFUNCTION("""COMPUTED_VALUE"""),502868.788805)</f>
        <v>502868.7888</v>
      </c>
      <c r="I47" s="24">
        <f>IFERROR(__xludf.DUMMYFUNCTION("""COMPUTED_VALUE"""),0.005737577609999933)</f>
        <v>0.00573757761</v>
      </c>
    </row>
    <row r="48">
      <c r="A48" s="5" t="str">
        <f>IFERROR(__xludf.DUMMYFUNCTION("""COMPUTED_VALUE"""),"14626")</f>
        <v>14626</v>
      </c>
      <c r="B48" s="64">
        <f>IFERROR(__xludf.DUMMYFUNCTION("""COMPUTED_VALUE"""),44640.0)</f>
        <v>44640</v>
      </c>
      <c r="C48" s="5"/>
      <c r="D48" s="5"/>
      <c r="E48" s="5"/>
      <c r="F48" s="22">
        <f>IFERROR(__xludf.DUMMYFUNCTION("""COMPUTED_VALUE"""),500000.0)</f>
        <v>500000</v>
      </c>
      <c r="G48" s="22">
        <f>IFERROR(__xludf.DUMMYFUNCTION("""COMPUTED_VALUE"""),0.0)</f>
        <v>0</v>
      </c>
      <c r="H48" s="22">
        <f>IFERROR(__xludf.DUMMYFUNCTION("""COMPUTED_VALUE"""),502868.788805)</f>
        <v>502868.7888</v>
      </c>
      <c r="I48" s="24">
        <f>IFERROR(__xludf.DUMMYFUNCTION("""COMPUTED_VALUE"""),0.005737577609999933)</f>
        <v>0.00573757761</v>
      </c>
    </row>
    <row r="49">
      <c r="A49" s="5" t="str">
        <f>IFERROR(__xludf.DUMMYFUNCTION("""COMPUTED_VALUE"""),"14626")</f>
        <v>14626</v>
      </c>
      <c r="B49" s="64">
        <f>IFERROR(__xludf.DUMMYFUNCTION("""COMPUTED_VALUE"""),44641.0)</f>
        <v>44641</v>
      </c>
      <c r="C49" s="5"/>
      <c r="D49" s="5"/>
      <c r="E49" s="5"/>
      <c r="F49" s="22">
        <f>IFERROR(__xludf.DUMMYFUNCTION("""COMPUTED_VALUE"""),-192991.8437099999)</f>
        <v>-192991.8437</v>
      </c>
      <c r="G49" s="22">
        <f>IFERROR(__xludf.DUMMYFUNCTION("""COMPUTED_VALUE"""),192991.8437099999)</f>
        <v>192991.8437</v>
      </c>
      <c r="H49" s="22">
        <f>IFERROR(__xludf.DUMMYFUNCTION("""COMPUTED_VALUE"""),508940.15041)</f>
        <v>508940.1504</v>
      </c>
      <c r="I49" s="24">
        <f>IFERROR(__xludf.DUMMYFUNCTION("""COMPUTED_VALUE"""),0.017880300819999917)</f>
        <v>0.01788030082</v>
      </c>
    </row>
    <row r="50">
      <c r="A50" s="5" t="str">
        <f>IFERROR(__xludf.DUMMYFUNCTION("""COMPUTED_VALUE"""),"14626")</f>
        <v>14626</v>
      </c>
      <c r="B50" s="64">
        <f>IFERROR(__xludf.DUMMYFUNCTION("""COMPUTED_VALUE"""),44642.0)</f>
        <v>44642</v>
      </c>
      <c r="C50" s="5"/>
      <c r="D50" s="5"/>
      <c r="E50" s="5"/>
      <c r="F50" s="22">
        <f>IFERROR(__xludf.DUMMYFUNCTION("""COMPUTED_VALUE"""),-192991.8437099999)</f>
        <v>-192991.8437</v>
      </c>
      <c r="G50" s="22">
        <f>IFERROR(__xludf.DUMMYFUNCTION("""COMPUTED_VALUE"""),192991.8437099999)</f>
        <v>192991.8437</v>
      </c>
      <c r="H50" s="22">
        <f>IFERROR(__xludf.DUMMYFUNCTION("""COMPUTED_VALUE"""),498126.06507499993)</f>
        <v>498126.0651</v>
      </c>
      <c r="I50" s="24">
        <f>IFERROR(__xludf.DUMMYFUNCTION("""COMPUTED_VALUE"""),-0.003747869850000085)</f>
        <v>-0.00374786985</v>
      </c>
    </row>
    <row r="51">
      <c r="A51" s="5" t="str">
        <f>IFERROR(__xludf.DUMMYFUNCTION("""COMPUTED_VALUE"""),"14626")</f>
        <v>14626</v>
      </c>
      <c r="B51" s="64">
        <f>IFERROR(__xludf.DUMMYFUNCTION("""COMPUTED_VALUE"""),44643.0)</f>
        <v>44643</v>
      </c>
      <c r="C51" s="5"/>
      <c r="D51" s="5"/>
      <c r="E51" s="5"/>
      <c r="F51" s="22">
        <f>IFERROR(__xludf.DUMMYFUNCTION("""COMPUTED_VALUE"""),-192991.8437099999)</f>
        <v>-192991.8437</v>
      </c>
      <c r="G51" s="22">
        <f>IFERROR(__xludf.DUMMYFUNCTION("""COMPUTED_VALUE"""),192991.8437099999)</f>
        <v>192991.8437</v>
      </c>
      <c r="H51" s="22">
        <f>IFERROR(__xludf.DUMMYFUNCTION("""COMPUTED_VALUE"""),492714.163615)</f>
        <v>492714.1636</v>
      </c>
      <c r="I51" s="24">
        <f>IFERROR(__xludf.DUMMYFUNCTION("""COMPUTED_VALUE"""),-0.014571672769999933)</f>
        <v>-0.01457167277</v>
      </c>
    </row>
    <row r="52">
      <c r="A52" s="5" t="str">
        <f>IFERROR(__xludf.DUMMYFUNCTION("""COMPUTED_VALUE"""),"14626")</f>
        <v>14626</v>
      </c>
      <c r="B52" s="64">
        <f>IFERROR(__xludf.DUMMYFUNCTION("""COMPUTED_VALUE"""),44644.0)</f>
        <v>44644</v>
      </c>
      <c r="C52" s="5"/>
      <c r="D52" s="5"/>
      <c r="E52" s="5"/>
      <c r="F52" s="22">
        <f>IFERROR(__xludf.DUMMYFUNCTION("""COMPUTED_VALUE"""),-192991.8437099999)</f>
        <v>-192991.8437</v>
      </c>
      <c r="G52" s="22">
        <f>IFERROR(__xludf.DUMMYFUNCTION("""COMPUTED_VALUE"""),192991.8437099999)</f>
        <v>192991.8437</v>
      </c>
      <c r="H52" s="22">
        <f>IFERROR(__xludf.DUMMYFUNCTION("""COMPUTED_VALUE"""),491536.56668499997)</f>
        <v>491536.5667</v>
      </c>
      <c r="I52" s="24">
        <f>IFERROR(__xludf.DUMMYFUNCTION("""COMPUTED_VALUE"""),-0.016926866630000093)</f>
        <v>-0.01692686663</v>
      </c>
    </row>
    <row r="53">
      <c r="A53" s="5" t="str">
        <f>IFERROR(__xludf.DUMMYFUNCTION("""COMPUTED_VALUE"""),"14626")</f>
        <v>14626</v>
      </c>
      <c r="B53" s="64">
        <f>IFERROR(__xludf.DUMMYFUNCTION("""COMPUTED_VALUE"""),44645.0)</f>
        <v>44645</v>
      </c>
      <c r="C53" s="5"/>
      <c r="D53" s="5"/>
      <c r="E53" s="5"/>
      <c r="F53" s="22">
        <f>IFERROR(__xludf.DUMMYFUNCTION("""COMPUTED_VALUE"""),-192991.8437099999)</f>
        <v>-192991.8437</v>
      </c>
      <c r="G53" s="22">
        <f>IFERROR(__xludf.DUMMYFUNCTION("""COMPUTED_VALUE"""),192991.8437099999)</f>
        <v>192991.8437</v>
      </c>
      <c r="H53" s="22">
        <f>IFERROR(__xludf.DUMMYFUNCTION("""COMPUTED_VALUE"""),492337.64488000004)</f>
        <v>492337.6449</v>
      </c>
      <c r="I53" s="24">
        <f>IFERROR(__xludf.DUMMYFUNCTION("""COMPUTED_VALUE"""),-0.015324710239999928)</f>
        <v>-0.01532471024</v>
      </c>
    </row>
    <row r="54">
      <c r="A54" s="5" t="str">
        <f>IFERROR(__xludf.DUMMYFUNCTION("""COMPUTED_VALUE"""),"14626")</f>
        <v>14626</v>
      </c>
      <c r="B54" s="64">
        <f>IFERROR(__xludf.DUMMYFUNCTION("""COMPUTED_VALUE"""),44646.0)</f>
        <v>44646</v>
      </c>
      <c r="C54" s="5"/>
      <c r="D54" s="5"/>
      <c r="E54" s="5"/>
      <c r="F54" s="22">
        <f>IFERROR(__xludf.DUMMYFUNCTION("""COMPUTED_VALUE"""),-192991.8437099999)</f>
        <v>-192991.8437</v>
      </c>
      <c r="G54" s="22">
        <f>IFERROR(__xludf.DUMMYFUNCTION("""COMPUTED_VALUE"""),192991.8437099999)</f>
        <v>192991.8437</v>
      </c>
      <c r="H54" s="22">
        <f>IFERROR(__xludf.DUMMYFUNCTION("""COMPUTED_VALUE"""),492337.64488000004)</f>
        <v>492337.6449</v>
      </c>
      <c r="I54" s="24">
        <f>IFERROR(__xludf.DUMMYFUNCTION("""COMPUTED_VALUE"""),-0.015324710239999928)</f>
        <v>-0.01532471024</v>
      </c>
    </row>
    <row r="55">
      <c r="A55" s="5" t="str">
        <f>IFERROR(__xludf.DUMMYFUNCTION("""COMPUTED_VALUE"""),"14626")</f>
        <v>14626</v>
      </c>
      <c r="B55" s="64">
        <f>IFERROR(__xludf.DUMMYFUNCTION("""COMPUTED_VALUE"""),44647.0)</f>
        <v>44647</v>
      </c>
      <c r="C55" s="5"/>
      <c r="D55" s="5"/>
      <c r="E55" s="5"/>
      <c r="F55" s="22">
        <f>IFERROR(__xludf.DUMMYFUNCTION("""COMPUTED_VALUE"""),-192991.8437099999)</f>
        <v>-192991.8437</v>
      </c>
      <c r="G55" s="22">
        <f>IFERROR(__xludf.DUMMYFUNCTION("""COMPUTED_VALUE"""),192991.8437099999)</f>
        <v>192991.8437</v>
      </c>
      <c r="H55" s="22">
        <f>IFERROR(__xludf.DUMMYFUNCTION("""COMPUTED_VALUE"""),492337.64488000004)</f>
        <v>492337.6449</v>
      </c>
      <c r="I55" s="24">
        <f>IFERROR(__xludf.DUMMYFUNCTION("""COMPUTED_VALUE"""),-0.015324710239999928)</f>
        <v>-0.01532471024</v>
      </c>
    </row>
    <row r="56">
      <c r="A56" s="5" t="str">
        <f>IFERROR(__xludf.DUMMYFUNCTION("""COMPUTED_VALUE"""),"14626")</f>
        <v>14626</v>
      </c>
      <c r="B56" s="64">
        <f>IFERROR(__xludf.DUMMYFUNCTION("""COMPUTED_VALUE"""),44648.0)</f>
        <v>44648</v>
      </c>
      <c r="C56" s="5"/>
      <c r="D56" s="5"/>
      <c r="E56" s="5"/>
      <c r="F56" s="22">
        <f>IFERROR(__xludf.DUMMYFUNCTION("""COMPUTED_VALUE"""),-192991.8437099999)</f>
        <v>-192991.8437</v>
      </c>
      <c r="G56" s="22">
        <f>IFERROR(__xludf.DUMMYFUNCTION("""COMPUTED_VALUE"""),192991.8437099999)</f>
        <v>192991.8437</v>
      </c>
      <c r="H56" s="22">
        <f>IFERROR(__xludf.DUMMYFUNCTION("""COMPUTED_VALUE"""),490188.99303500005)</f>
        <v>490188.993</v>
      </c>
      <c r="I56" s="24">
        <f>IFERROR(__xludf.DUMMYFUNCTION("""COMPUTED_VALUE"""),-0.01962201392999985)</f>
        <v>-0.01962201393</v>
      </c>
    </row>
    <row r="57">
      <c r="A57" s="5" t="str">
        <f>IFERROR(__xludf.DUMMYFUNCTION("""COMPUTED_VALUE"""),"14626")</f>
        <v>14626</v>
      </c>
      <c r="B57" s="64">
        <f>IFERROR(__xludf.DUMMYFUNCTION("""COMPUTED_VALUE"""),44649.0)</f>
        <v>44649</v>
      </c>
      <c r="C57" s="5"/>
      <c r="D57" s="5"/>
      <c r="E57" s="5"/>
      <c r="F57" s="22">
        <f>IFERROR(__xludf.DUMMYFUNCTION("""COMPUTED_VALUE"""),-192991.8437099999)</f>
        <v>-192991.8437</v>
      </c>
      <c r="G57" s="22">
        <f>IFERROR(__xludf.DUMMYFUNCTION("""COMPUTED_VALUE"""),192991.8437099999)</f>
        <v>192991.8437</v>
      </c>
      <c r="H57" s="22">
        <f>IFERROR(__xludf.DUMMYFUNCTION("""COMPUTED_VALUE"""),486814.59415)</f>
        <v>486814.5942</v>
      </c>
      <c r="I57" s="24">
        <f>IFERROR(__xludf.DUMMYFUNCTION("""COMPUTED_VALUE"""),-0.026370811699999996)</f>
        <v>-0.0263708117</v>
      </c>
    </row>
    <row r="58">
      <c r="A58" s="5" t="str">
        <f>IFERROR(__xludf.DUMMYFUNCTION("""COMPUTED_VALUE"""),"14626")</f>
        <v>14626</v>
      </c>
      <c r="B58" s="64">
        <f>IFERROR(__xludf.DUMMYFUNCTION("""COMPUTED_VALUE"""),44650.0)</f>
        <v>44650</v>
      </c>
      <c r="C58" s="5"/>
      <c r="D58" s="5"/>
      <c r="E58" s="5"/>
      <c r="F58" s="22">
        <f>IFERROR(__xludf.DUMMYFUNCTION("""COMPUTED_VALUE"""),-192991.8437099999)</f>
        <v>-192991.8437</v>
      </c>
      <c r="G58" s="22">
        <f>IFERROR(__xludf.DUMMYFUNCTION("""COMPUTED_VALUE"""),192991.8437099999)</f>
        <v>192991.8437</v>
      </c>
      <c r="H58" s="22">
        <f>IFERROR(__xludf.DUMMYFUNCTION("""COMPUTED_VALUE"""),485096.77283)</f>
        <v>485096.7728</v>
      </c>
      <c r="I58" s="24">
        <f>IFERROR(__xludf.DUMMYFUNCTION("""COMPUTED_VALUE"""),-0.029806454340000066)</f>
        <v>-0.02980645434</v>
      </c>
    </row>
    <row r="59">
      <c r="A59" s="5" t="str">
        <f>IFERROR(__xludf.DUMMYFUNCTION("""COMPUTED_VALUE"""),"14626")</f>
        <v>14626</v>
      </c>
      <c r="B59" s="64">
        <f>IFERROR(__xludf.DUMMYFUNCTION("""COMPUTED_VALUE"""),44651.0)</f>
        <v>44651</v>
      </c>
      <c r="C59" s="5"/>
      <c r="D59" s="5"/>
      <c r="E59" s="5"/>
      <c r="F59" s="22">
        <f>IFERROR(__xludf.DUMMYFUNCTION("""COMPUTED_VALUE"""),-192991.8437099999)</f>
        <v>-192991.8437</v>
      </c>
      <c r="G59" s="22">
        <f>IFERROR(__xludf.DUMMYFUNCTION("""COMPUTED_VALUE"""),192991.8437099999)</f>
        <v>192991.8437</v>
      </c>
      <c r="H59" s="22">
        <f>IFERROR(__xludf.DUMMYFUNCTION("""COMPUTED_VALUE"""),472491.515315)</f>
        <v>472491.5153</v>
      </c>
      <c r="I59" s="24">
        <f>IFERROR(__xludf.DUMMYFUNCTION("""COMPUTED_VALUE"""),-0.05501696937)</f>
        <v>-0.05501696937</v>
      </c>
    </row>
    <row r="60">
      <c r="A60" s="5" t="str">
        <f>IFERROR(__xludf.DUMMYFUNCTION("""COMPUTED_VALUE"""),"14626")</f>
        <v>14626</v>
      </c>
      <c r="B60" s="64">
        <f>IFERROR(__xludf.DUMMYFUNCTION("""COMPUTED_VALUE"""),44652.0)</f>
        <v>44652</v>
      </c>
      <c r="C60" s="5"/>
      <c r="D60" s="5"/>
      <c r="E60" s="5"/>
      <c r="F60" s="22">
        <f>IFERROR(__xludf.DUMMYFUNCTION("""COMPUTED_VALUE"""),-192991.8437099999)</f>
        <v>-192991.8437</v>
      </c>
      <c r="G60" s="22">
        <f>IFERROR(__xludf.DUMMYFUNCTION("""COMPUTED_VALUE"""),192991.8437099999)</f>
        <v>192991.8437</v>
      </c>
      <c r="H60" s="22">
        <f>IFERROR(__xludf.DUMMYFUNCTION("""COMPUTED_VALUE"""),472573.092765)</f>
        <v>472573.0928</v>
      </c>
      <c r="I60" s="24">
        <f>IFERROR(__xludf.DUMMYFUNCTION("""COMPUTED_VALUE"""),-0.05485381446999993)</f>
        <v>-0.05485381447</v>
      </c>
    </row>
    <row r="61">
      <c r="A61" s="5" t="str">
        <f>IFERROR(__xludf.DUMMYFUNCTION("""COMPUTED_VALUE"""),"14626")</f>
        <v>14626</v>
      </c>
      <c r="B61" s="64">
        <f>IFERROR(__xludf.DUMMYFUNCTION("""COMPUTED_VALUE"""),44653.0)</f>
        <v>44653</v>
      </c>
      <c r="C61" s="5"/>
      <c r="D61" s="5"/>
      <c r="E61" s="5"/>
      <c r="F61" s="22">
        <f>IFERROR(__xludf.DUMMYFUNCTION("""COMPUTED_VALUE"""),-192991.8437099999)</f>
        <v>-192991.8437</v>
      </c>
      <c r="G61" s="22">
        <f>IFERROR(__xludf.DUMMYFUNCTION("""COMPUTED_VALUE"""),192991.8437099999)</f>
        <v>192991.8437</v>
      </c>
      <c r="H61" s="22">
        <f>IFERROR(__xludf.DUMMYFUNCTION("""COMPUTED_VALUE"""),472573.092765)</f>
        <v>472573.0928</v>
      </c>
      <c r="I61" s="24">
        <f>IFERROR(__xludf.DUMMYFUNCTION("""COMPUTED_VALUE"""),-0.05485381446999993)</f>
        <v>-0.05485381447</v>
      </c>
    </row>
    <row r="62">
      <c r="A62" s="5" t="str">
        <f>IFERROR(__xludf.DUMMYFUNCTION("""COMPUTED_VALUE"""),"14626")</f>
        <v>14626</v>
      </c>
      <c r="B62" s="64">
        <f>IFERROR(__xludf.DUMMYFUNCTION("""COMPUTED_VALUE"""),44654.0)</f>
        <v>44654</v>
      </c>
      <c r="C62" s="5"/>
      <c r="D62" s="5"/>
      <c r="E62" s="5"/>
      <c r="F62" s="22">
        <f>IFERROR(__xludf.DUMMYFUNCTION("""COMPUTED_VALUE"""),-192991.8437099999)</f>
        <v>-192991.8437</v>
      </c>
      <c r="G62" s="22">
        <f>IFERROR(__xludf.DUMMYFUNCTION("""COMPUTED_VALUE"""),192991.8437099999)</f>
        <v>192991.8437</v>
      </c>
      <c r="H62" s="22">
        <f>IFERROR(__xludf.DUMMYFUNCTION("""COMPUTED_VALUE"""),472573.092765)</f>
        <v>472573.0928</v>
      </c>
      <c r="I62" s="24">
        <f>IFERROR(__xludf.DUMMYFUNCTION("""COMPUTED_VALUE"""),-0.05485381446999993)</f>
        <v>-0.05485381447</v>
      </c>
    </row>
    <row r="63">
      <c r="A63" s="5" t="str">
        <f>IFERROR(__xludf.DUMMYFUNCTION("""COMPUTED_VALUE"""),"14626")</f>
        <v>14626</v>
      </c>
      <c r="B63" s="64">
        <f>IFERROR(__xludf.DUMMYFUNCTION("""COMPUTED_VALUE"""),44655.0)</f>
        <v>44655</v>
      </c>
      <c r="C63" s="5"/>
      <c r="D63" s="5"/>
      <c r="E63" s="5"/>
      <c r="F63" s="22">
        <f>IFERROR(__xludf.DUMMYFUNCTION("""COMPUTED_VALUE"""),-192991.8437099999)</f>
        <v>-192991.8437</v>
      </c>
      <c r="G63" s="22">
        <f>IFERROR(__xludf.DUMMYFUNCTION("""COMPUTED_VALUE"""),192991.8437099999)</f>
        <v>192991.8437</v>
      </c>
      <c r="H63" s="22">
        <f>IFERROR(__xludf.DUMMYFUNCTION("""COMPUTED_VALUE"""),472045.6994899999)</f>
        <v>472045.6995</v>
      </c>
      <c r="I63" s="24">
        <f>IFERROR(__xludf.DUMMYFUNCTION("""COMPUTED_VALUE"""),-0.05590860102000017)</f>
        <v>-0.05590860102</v>
      </c>
    </row>
    <row r="64">
      <c r="A64" s="5" t="str">
        <f>IFERROR(__xludf.DUMMYFUNCTION("""COMPUTED_VALUE"""),"14626")</f>
        <v>14626</v>
      </c>
      <c r="B64" s="64">
        <f>IFERROR(__xludf.DUMMYFUNCTION("""COMPUTED_VALUE"""),44656.0)</f>
        <v>44656</v>
      </c>
      <c r="C64" s="5"/>
      <c r="D64" s="5"/>
      <c r="E64" s="5"/>
      <c r="F64" s="22">
        <f>IFERROR(__xludf.DUMMYFUNCTION("""COMPUTED_VALUE"""),-192991.8437099999)</f>
        <v>-192991.8437</v>
      </c>
      <c r="G64" s="22">
        <f>IFERROR(__xludf.DUMMYFUNCTION("""COMPUTED_VALUE"""),192991.8437099999)</f>
        <v>192991.8437</v>
      </c>
      <c r="H64" s="22">
        <f>IFERROR(__xludf.DUMMYFUNCTION("""COMPUTED_VALUE"""),470886.0113650001)</f>
        <v>470886.0114</v>
      </c>
      <c r="I64" s="24">
        <f>IFERROR(__xludf.DUMMYFUNCTION("""COMPUTED_VALUE"""),-0.05822797726999984)</f>
        <v>-0.05822797727</v>
      </c>
    </row>
    <row r="65">
      <c r="A65" s="5" t="str">
        <f>IFERROR(__xludf.DUMMYFUNCTION("""COMPUTED_VALUE"""),"14626")</f>
        <v>14626</v>
      </c>
      <c r="B65" s="64">
        <f>IFERROR(__xludf.DUMMYFUNCTION("""COMPUTED_VALUE"""),44657.0)</f>
        <v>44657</v>
      </c>
      <c r="C65" s="5"/>
      <c r="D65" s="5"/>
      <c r="E65" s="5"/>
      <c r="F65" s="22">
        <f>IFERROR(__xludf.DUMMYFUNCTION("""COMPUTED_VALUE"""),-192991.8437099999)</f>
        <v>-192991.8437</v>
      </c>
      <c r="G65" s="22">
        <f>IFERROR(__xludf.DUMMYFUNCTION("""COMPUTED_VALUE"""),192991.8437099999)</f>
        <v>192991.8437</v>
      </c>
      <c r="H65" s="22">
        <f>IFERROR(__xludf.DUMMYFUNCTION("""COMPUTED_VALUE"""),481022.56856999994)</f>
        <v>481022.5686</v>
      </c>
      <c r="I65" s="24">
        <f>IFERROR(__xludf.DUMMYFUNCTION("""COMPUTED_VALUE"""),-0.03795486286000016)</f>
        <v>-0.03795486286</v>
      </c>
    </row>
    <row r="66">
      <c r="A66" s="5" t="str">
        <f>IFERROR(__xludf.DUMMYFUNCTION("""COMPUTED_VALUE"""),"14626")</f>
        <v>14626</v>
      </c>
      <c r="B66" s="64">
        <f>IFERROR(__xludf.DUMMYFUNCTION("""COMPUTED_VALUE"""),44658.0)</f>
        <v>44658</v>
      </c>
      <c r="C66" s="5"/>
      <c r="D66" s="5"/>
      <c r="E66" s="5"/>
      <c r="F66" s="22">
        <f>IFERROR(__xludf.DUMMYFUNCTION("""COMPUTED_VALUE"""),-192991.8437099999)</f>
        <v>-192991.8437</v>
      </c>
      <c r="G66" s="22">
        <f>IFERROR(__xludf.DUMMYFUNCTION("""COMPUTED_VALUE"""),192991.8437099999)</f>
        <v>192991.8437</v>
      </c>
      <c r="H66" s="22">
        <f>IFERROR(__xludf.DUMMYFUNCTION("""COMPUTED_VALUE"""),498411.7953300001)</f>
        <v>498411.7953</v>
      </c>
      <c r="I66" s="24">
        <f>IFERROR(__xludf.DUMMYFUNCTION("""COMPUTED_VALUE"""),-0.0031764093399997417)</f>
        <v>-0.00317640934</v>
      </c>
    </row>
    <row r="67">
      <c r="A67" s="5" t="str">
        <f>IFERROR(__xludf.DUMMYFUNCTION("""COMPUTED_VALUE"""),"14626")</f>
        <v>14626</v>
      </c>
      <c r="B67" s="64">
        <f>IFERROR(__xludf.DUMMYFUNCTION("""COMPUTED_VALUE"""),44659.0)</f>
        <v>44659</v>
      </c>
      <c r="C67" s="5"/>
      <c r="D67" s="5"/>
      <c r="E67" s="5"/>
      <c r="F67" s="22">
        <f>IFERROR(__xludf.DUMMYFUNCTION("""COMPUTED_VALUE"""),-192991.8437099999)</f>
        <v>-192991.8437</v>
      </c>
      <c r="G67" s="22">
        <f>IFERROR(__xludf.DUMMYFUNCTION("""COMPUTED_VALUE"""),192991.8437099999)</f>
        <v>192991.8437</v>
      </c>
      <c r="H67" s="22">
        <f>IFERROR(__xludf.DUMMYFUNCTION("""COMPUTED_VALUE"""),497833.31587500003)</f>
        <v>497833.3159</v>
      </c>
      <c r="I67" s="24">
        <f>IFERROR(__xludf.DUMMYFUNCTION("""COMPUTED_VALUE"""),-0.004333368249999969)</f>
        <v>-0.00433336825</v>
      </c>
    </row>
    <row r="68">
      <c r="A68" s="5" t="str">
        <f>IFERROR(__xludf.DUMMYFUNCTION("""COMPUTED_VALUE"""),"14626")</f>
        <v>14626</v>
      </c>
      <c r="B68" s="64">
        <f>IFERROR(__xludf.DUMMYFUNCTION("""COMPUTED_VALUE"""),44660.0)</f>
        <v>44660</v>
      </c>
      <c r="C68" s="5"/>
      <c r="D68" s="5"/>
      <c r="E68" s="5"/>
      <c r="F68" s="22">
        <f>IFERROR(__xludf.DUMMYFUNCTION("""COMPUTED_VALUE"""),-192991.8437099999)</f>
        <v>-192991.8437</v>
      </c>
      <c r="G68" s="22">
        <f>IFERROR(__xludf.DUMMYFUNCTION("""COMPUTED_VALUE"""),192991.8437099999)</f>
        <v>192991.8437</v>
      </c>
      <c r="H68" s="22">
        <f>IFERROR(__xludf.DUMMYFUNCTION("""COMPUTED_VALUE"""),497833.31587500003)</f>
        <v>497833.3159</v>
      </c>
      <c r="I68" s="24">
        <f>IFERROR(__xludf.DUMMYFUNCTION("""COMPUTED_VALUE"""),-0.004333368249999969)</f>
        <v>-0.00433336825</v>
      </c>
    </row>
    <row r="69">
      <c r="A69" s="5" t="str">
        <f>IFERROR(__xludf.DUMMYFUNCTION("""COMPUTED_VALUE"""),"14626")</f>
        <v>14626</v>
      </c>
      <c r="B69" s="64">
        <f>IFERROR(__xludf.DUMMYFUNCTION("""COMPUTED_VALUE"""),44661.0)</f>
        <v>44661</v>
      </c>
      <c r="C69" s="5"/>
      <c r="D69" s="5"/>
      <c r="E69" s="5"/>
      <c r="F69" s="22">
        <f>IFERROR(__xludf.DUMMYFUNCTION("""COMPUTED_VALUE"""),-192991.8437099999)</f>
        <v>-192991.8437</v>
      </c>
      <c r="G69" s="22">
        <f>IFERROR(__xludf.DUMMYFUNCTION("""COMPUTED_VALUE"""),192991.8437099999)</f>
        <v>192991.8437</v>
      </c>
      <c r="H69" s="22">
        <f>IFERROR(__xludf.DUMMYFUNCTION("""COMPUTED_VALUE"""),497833.31587500003)</f>
        <v>497833.3159</v>
      </c>
      <c r="I69" s="24">
        <f>IFERROR(__xludf.DUMMYFUNCTION("""COMPUTED_VALUE"""),-0.004333368249999969)</f>
        <v>-0.00433336825</v>
      </c>
    </row>
    <row r="70">
      <c r="A70" s="5" t="str">
        <f>IFERROR(__xludf.DUMMYFUNCTION("""COMPUTED_VALUE"""),"14626")</f>
        <v>14626</v>
      </c>
      <c r="B70" s="64">
        <f>IFERROR(__xludf.DUMMYFUNCTION("""COMPUTED_VALUE"""),44662.0)</f>
        <v>44662</v>
      </c>
      <c r="C70" s="5"/>
      <c r="D70" s="5"/>
      <c r="E70" s="5"/>
      <c r="F70" s="22">
        <f>IFERROR(__xludf.DUMMYFUNCTION("""COMPUTED_VALUE"""),-192991.8437099999)</f>
        <v>-192991.8437</v>
      </c>
      <c r="G70" s="22">
        <f>IFERROR(__xludf.DUMMYFUNCTION("""COMPUTED_VALUE"""),192991.8437099999)</f>
        <v>192991.8437</v>
      </c>
      <c r="H70" s="22">
        <f>IFERROR(__xludf.DUMMYFUNCTION("""COMPUTED_VALUE"""),485190.12953000003)</f>
        <v>485190.1295</v>
      </c>
      <c r="I70" s="24">
        <f>IFERROR(__xludf.DUMMYFUNCTION("""COMPUTED_VALUE"""),-0.029619740939999972)</f>
        <v>-0.02961974094</v>
      </c>
    </row>
    <row r="71">
      <c r="A71" s="5" t="str">
        <f>IFERROR(__xludf.DUMMYFUNCTION("""COMPUTED_VALUE"""),"14626")</f>
        <v>14626</v>
      </c>
      <c r="B71" s="64">
        <f>IFERROR(__xludf.DUMMYFUNCTION("""COMPUTED_VALUE"""),44663.0)</f>
        <v>44663</v>
      </c>
      <c r="C71" s="5"/>
      <c r="D71" s="5"/>
      <c r="E71" s="5"/>
      <c r="F71" s="22">
        <f>IFERROR(__xludf.DUMMYFUNCTION("""COMPUTED_VALUE"""),-192991.8437099999)</f>
        <v>-192991.8437</v>
      </c>
      <c r="G71" s="22">
        <f>IFERROR(__xludf.DUMMYFUNCTION("""COMPUTED_VALUE"""),192991.8437099999)</f>
        <v>192991.8437</v>
      </c>
      <c r="H71" s="22">
        <f>IFERROR(__xludf.DUMMYFUNCTION("""COMPUTED_VALUE"""),482572.93889000005)</f>
        <v>482572.9389</v>
      </c>
      <c r="I71" s="24">
        <f>IFERROR(__xludf.DUMMYFUNCTION("""COMPUTED_VALUE"""),-0.03485412221999995)</f>
        <v>-0.03485412222</v>
      </c>
    </row>
    <row r="72">
      <c r="A72" s="5" t="str">
        <f>IFERROR(__xludf.DUMMYFUNCTION("""COMPUTED_VALUE"""),"18111")</f>
        <v>18111</v>
      </c>
      <c r="B72" s="64">
        <f>IFERROR(__xludf.DUMMYFUNCTION("""COMPUTED_VALUE"""),44597.0)</f>
        <v>44597</v>
      </c>
      <c r="C72" s="5"/>
      <c r="D72" s="5"/>
      <c r="E72" s="5"/>
      <c r="F72" s="22">
        <f>IFERROR(__xludf.DUMMYFUNCTION("""COMPUTED_VALUE"""),500000.0)</f>
        <v>500000</v>
      </c>
      <c r="G72" s="22">
        <f>IFERROR(__xludf.DUMMYFUNCTION("""COMPUTED_VALUE"""),0.0)</f>
        <v>0</v>
      </c>
      <c r="H72" s="22">
        <f>IFERROR(__xludf.DUMMYFUNCTION("""COMPUTED_VALUE"""),500000.0)</f>
        <v>500000</v>
      </c>
      <c r="I72" s="24">
        <f>IFERROR(__xludf.DUMMYFUNCTION("""COMPUTED_VALUE"""),0.0)</f>
        <v>0</v>
      </c>
    </row>
    <row r="73">
      <c r="A73" s="5" t="str">
        <f>IFERROR(__xludf.DUMMYFUNCTION("""COMPUTED_VALUE"""),"18111")</f>
        <v>18111</v>
      </c>
      <c r="B73" s="64">
        <f>IFERROR(__xludf.DUMMYFUNCTION("""COMPUTED_VALUE"""),44598.0)</f>
        <v>44598</v>
      </c>
      <c r="C73" s="5"/>
      <c r="D73" s="5"/>
      <c r="E73" s="5"/>
      <c r="F73" s="22">
        <f>IFERROR(__xludf.DUMMYFUNCTION("""COMPUTED_VALUE"""),500000.0)</f>
        <v>500000</v>
      </c>
      <c r="G73" s="22">
        <f>IFERROR(__xludf.DUMMYFUNCTION("""COMPUTED_VALUE"""),0.0)</f>
        <v>0</v>
      </c>
      <c r="H73" s="22">
        <f>IFERROR(__xludf.DUMMYFUNCTION("""COMPUTED_VALUE"""),500000.0)</f>
        <v>500000</v>
      </c>
      <c r="I73" s="24">
        <f>IFERROR(__xludf.DUMMYFUNCTION("""COMPUTED_VALUE"""),0.0)</f>
        <v>0</v>
      </c>
    </row>
    <row r="74">
      <c r="A74" s="5" t="str">
        <f>IFERROR(__xludf.DUMMYFUNCTION("""COMPUTED_VALUE"""),"18111")</f>
        <v>18111</v>
      </c>
      <c r="B74" s="64">
        <f>IFERROR(__xludf.DUMMYFUNCTION("""COMPUTED_VALUE"""),44599.0)</f>
        <v>44599</v>
      </c>
      <c r="C74" s="5"/>
      <c r="D74" s="5"/>
      <c r="E74" s="5"/>
      <c r="F74" s="22">
        <f>IFERROR(__xludf.DUMMYFUNCTION("""COMPUTED_VALUE"""),500000.0)</f>
        <v>500000</v>
      </c>
      <c r="G74" s="22">
        <f>IFERROR(__xludf.DUMMYFUNCTION("""COMPUTED_VALUE"""),0.0)</f>
        <v>0</v>
      </c>
      <c r="H74" s="22">
        <f>IFERROR(__xludf.DUMMYFUNCTION("""COMPUTED_VALUE"""),500000.0)</f>
        <v>500000</v>
      </c>
      <c r="I74" s="24">
        <f>IFERROR(__xludf.DUMMYFUNCTION("""COMPUTED_VALUE"""),0.0)</f>
        <v>0</v>
      </c>
    </row>
    <row r="75">
      <c r="A75" s="5" t="str">
        <f>IFERROR(__xludf.DUMMYFUNCTION("""COMPUTED_VALUE"""),"18111")</f>
        <v>18111</v>
      </c>
      <c r="B75" s="64">
        <f>IFERROR(__xludf.DUMMYFUNCTION("""COMPUTED_VALUE"""),44600.0)</f>
        <v>44600</v>
      </c>
      <c r="C75" s="5"/>
      <c r="D75" s="5"/>
      <c r="E75" s="5"/>
      <c r="F75" s="22">
        <f>IFERROR(__xludf.DUMMYFUNCTION("""COMPUTED_VALUE"""),500000.0)</f>
        <v>500000</v>
      </c>
      <c r="G75" s="22">
        <f>IFERROR(__xludf.DUMMYFUNCTION("""COMPUTED_VALUE"""),0.0)</f>
        <v>0</v>
      </c>
      <c r="H75" s="22">
        <f>IFERROR(__xludf.DUMMYFUNCTION("""COMPUTED_VALUE"""),500000.0)</f>
        <v>500000</v>
      </c>
      <c r="I75" s="24">
        <f>IFERROR(__xludf.DUMMYFUNCTION("""COMPUTED_VALUE"""),0.0)</f>
        <v>0</v>
      </c>
    </row>
    <row r="76">
      <c r="A76" s="5" t="str">
        <f>IFERROR(__xludf.DUMMYFUNCTION("""COMPUTED_VALUE"""),"18111")</f>
        <v>18111</v>
      </c>
      <c r="B76" s="64">
        <f>IFERROR(__xludf.DUMMYFUNCTION("""COMPUTED_VALUE"""),44601.0)</f>
        <v>44601</v>
      </c>
      <c r="C76" s="5"/>
      <c r="D76" s="5"/>
      <c r="E76" s="5"/>
      <c r="F76" s="22">
        <f>IFERROR(__xludf.DUMMYFUNCTION("""COMPUTED_VALUE"""),500000.0)</f>
        <v>500000</v>
      </c>
      <c r="G76" s="22">
        <f>IFERROR(__xludf.DUMMYFUNCTION("""COMPUTED_VALUE"""),0.0)</f>
        <v>0</v>
      </c>
      <c r="H76" s="22">
        <f>IFERROR(__xludf.DUMMYFUNCTION("""COMPUTED_VALUE"""),500000.0)</f>
        <v>500000</v>
      </c>
      <c r="I76" s="24">
        <f>IFERROR(__xludf.DUMMYFUNCTION("""COMPUTED_VALUE"""),0.0)</f>
        <v>0</v>
      </c>
    </row>
    <row r="77">
      <c r="A77" s="5" t="str">
        <f>IFERROR(__xludf.DUMMYFUNCTION("""COMPUTED_VALUE"""),"18111")</f>
        <v>18111</v>
      </c>
      <c r="B77" s="64">
        <f>IFERROR(__xludf.DUMMYFUNCTION("""COMPUTED_VALUE"""),44602.0)</f>
        <v>44602</v>
      </c>
      <c r="C77" s="5"/>
      <c r="D77" s="5"/>
      <c r="E77" s="5"/>
      <c r="F77" s="22">
        <f>IFERROR(__xludf.DUMMYFUNCTION("""COMPUTED_VALUE"""),500000.0)</f>
        <v>500000</v>
      </c>
      <c r="G77" s="22">
        <f>IFERROR(__xludf.DUMMYFUNCTION("""COMPUTED_VALUE"""),0.0)</f>
        <v>0</v>
      </c>
      <c r="H77" s="22">
        <f>IFERROR(__xludf.DUMMYFUNCTION("""COMPUTED_VALUE"""),500000.0)</f>
        <v>500000</v>
      </c>
      <c r="I77" s="24">
        <f>IFERROR(__xludf.DUMMYFUNCTION("""COMPUTED_VALUE"""),0.0)</f>
        <v>0</v>
      </c>
    </row>
    <row r="78">
      <c r="A78" s="5" t="str">
        <f>IFERROR(__xludf.DUMMYFUNCTION("""COMPUTED_VALUE"""),"18111")</f>
        <v>18111</v>
      </c>
      <c r="B78" s="64">
        <f>IFERROR(__xludf.DUMMYFUNCTION("""COMPUTED_VALUE"""),44603.0)</f>
        <v>44603</v>
      </c>
      <c r="C78" s="5"/>
      <c r="D78" s="5"/>
      <c r="E78" s="5"/>
      <c r="F78" s="22">
        <f>IFERROR(__xludf.DUMMYFUNCTION("""COMPUTED_VALUE"""),500000.0)</f>
        <v>500000</v>
      </c>
      <c r="G78" s="22">
        <f>IFERROR(__xludf.DUMMYFUNCTION("""COMPUTED_VALUE"""),0.0)</f>
        <v>0</v>
      </c>
      <c r="H78" s="22">
        <f>IFERROR(__xludf.DUMMYFUNCTION("""COMPUTED_VALUE"""),500000.0)</f>
        <v>500000</v>
      </c>
      <c r="I78" s="24">
        <f>IFERROR(__xludf.DUMMYFUNCTION("""COMPUTED_VALUE"""),0.0)</f>
        <v>0</v>
      </c>
    </row>
    <row r="79">
      <c r="A79" s="5" t="str">
        <f>IFERROR(__xludf.DUMMYFUNCTION("""COMPUTED_VALUE"""),"18111")</f>
        <v>18111</v>
      </c>
      <c r="B79" s="64">
        <f>IFERROR(__xludf.DUMMYFUNCTION("""COMPUTED_VALUE"""),44604.0)</f>
        <v>44604</v>
      </c>
      <c r="C79" s="5"/>
      <c r="D79" s="5"/>
      <c r="E79" s="5"/>
      <c r="F79" s="22">
        <f>IFERROR(__xludf.DUMMYFUNCTION("""COMPUTED_VALUE"""),500000.0)</f>
        <v>500000</v>
      </c>
      <c r="G79" s="22">
        <f>IFERROR(__xludf.DUMMYFUNCTION("""COMPUTED_VALUE"""),0.0)</f>
        <v>0</v>
      </c>
      <c r="H79" s="22">
        <f>IFERROR(__xludf.DUMMYFUNCTION("""COMPUTED_VALUE"""),500000.0)</f>
        <v>500000</v>
      </c>
      <c r="I79" s="24">
        <f>IFERROR(__xludf.DUMMYFUNCTION("""COMPUTED_VALUE"""),0.0)</f>
        <v>0</v>
      </c>
    </row>
    <row r="80">
      <c r="A80" s="5" t="str">
        <f>IFERROR(__xludf.DUMMYFUNCTION("""COMPUTED_VALUE"""),"18111")</f>
        <v>18111</v>
      </c>
      <c r="B80" s="64">
        <f>IFERROR(__xludf.DUMMYFUNCTION("""COMPUTED_VALUE"""),44605.0)</f>
        <v>44605</v>
      </c>
      <c r="C80" s="5"/>
      <c r="D80" s="5"/>
      <c r="E80" s="5"/>
      <c r="F80" s="22">
        <f>IFERROR(__xludf.DUMMYFUNCTION("""COMPUTED_VALUE"""),500000.0)</f>
        <v>500000</v>
      </c>
      <c r="G80" s="22">
        <f>IFERROR(__xludf.DUMMYFUNCTION("""COMPUTED_VALUE"""),0.0)</f>
        <v>0</v>
      </c>
      <c r="H80" s="22">
        <f>IFERROR(__xludf.DUMMYFUNCTION("""COMPUTED_VALUE"""),500000.0)</f>
        <v>500000</v>
      </c>
      <c r="I80" s="24">
        <f>IFERROR(__xludf.DUMMYFUNCTION("""COMPUTED_VALUE"""),0.0)</f>
        <v>0</v>
      </c>
    </row>
    <row r="81">
      <c r="A81" s="5" t="str">
        <f>IFERROR(__xludf.DUMMYFUNCTION("""COMPUTED_VALUE"""),"18111")</f>
        <v>18111</v>
      </c>
      <c r="B81" s="64">
        <f>IFERROR(__xludf.DUMMYFUNCTION("""COMPUTED_VALUE"""),44606.0)</f>
        <v>44606</v>
      </c>
      <c r="C81" s="5"/>
      <c r="D81" s="5"/>
      <c r="E81" s="5"/>
      <c r="F81" s="22">
        <f>IFERROR(__xludf.DUMMYFUNCTION("""COMPUTED_VALUE"""),500000.0)</f>
        <v>500000</v>
      </c>
      <c r="G81" s="22">
        <f>IFERROR(__xludf.DUMMYFUNCTION("""COMPUTED_VALUE"""),0.0)</f>
        <v>0</v>
      </c>
      <c r="H81" s="22">
        <f>IFERROR(__xludf.DUMMYFUNCTION("""COMPUTED_VALUE"""),500000.0)</f>
        <v>500000</v>
      </c>
      <c r="I81" s="24">
        <f>IFERROR(__xludf.DUMMYFUNCTION("""COMPUTED_VALUE"""),0.0)</f>
        <v>0</v>
      </c>
    </row>
    <row r="82">
      <c r="A82" s="5" t="str">
        <f>IFERROR(__xludf.DUMMYFUNCTION("""COMPUTED_VALUE"""),"18111")</f>
        <v>18111</v>
      </c>
      <c r="B82" s="64">
        <f>IFERROR(__xludf.DUMMYFUNCTION("""COMPUTED_VALUE"""),44607.0)</f>
        <v>44607</v>
      </c>
      <c r="C82" s="5"/>
      <c r="D82" s="5"/>
      <c r="E82" s="5"/>
      <c r="F82" s="22">
        <f>IFERROR(__xludf.DUMMYFUNCTION("""COMPUTED_VALUE"""),500000.0)</f>
        <v>500000</v>
      </c>
      <c r="G82" s="22">
        <f>IFERROR(__xludf.DUMMYFUNCTION("""COMPUTED_VALUE"""),0.0)</f>
        <v>0</v>
      </c>
      <c r="H82" s="22">
        <f>IFERROR(__xludf.DUMMYFUNCTION("""COMPUTED_VALUE"""),500000.0)</f>
        <v>500000</v>
      </c>
      <c r="I82" s="24">
        <f>IFERROR(__xludf.DUMMYFUNCTION("""COMPUTED_VALUE"""),0.0)</f>
        <v>0</v>
      </c>
    </row>
    <row r="83">
      <c r="A83" s="5" t="str">
        <f>IFERROR(__xludf.DUMMYFUNCTION("""COMPUTED_VALUE"""),"18111")</f>
        <v>18111</v>
      </c>
      <c r="B83" s="64">
        <f>IFERROR(__xludf.DUMMYFUNCTION("""COMPUTED_VALUE"""),44608.0)</f>
        <v>44608</v>
      </c>
      <c r="C83" s="5"/>
      <c r="D83" s="5"/>
      <c r="E83" s="5"/>
      <c r="F83" s="22">
        <f>IFERROR(__xludf.DUMMYFUNCTION("""COMPUTED_VALUE"""),500000.0)</f>
        <v>500000</v>
      </c>
      <c r="G83" s="22">
        <f>IFERROR(__xludf.DUMMYFUNCTION("""COMPUTED_VALUE"""),0.0)</f>
        <v>0</v>
      </c>
      <c r="H83" s="22">
        <f>IFERROR(__xludf.DUMMYFUNCTION("""COMPUTED_VALUE"""),500000.0)</f>
        <v>500000</v>
      </c>
      <c r="I83" s="24">
        <f>IFERROR(__xludf.DUMMYFUNCTION("""COMPUTED_VALUE"""),0.0)</f>
        <v>0</v>
      </c>
    </row>
    <row r="84">
      <c r="A84" s="5" t="str">
        <f>IFERROR(__xludf.DUMMYFUNCTION("""COMPUTED_VALUE"""),"18111")</f>
        <v>18111</v>
      </c>
      <c r="B84" s="64">
        <f>IFERROR(__xludf.DUMMYFUNCTION("""COMPUTED_VALUE"""),44609.0)</f>
        <v>44609</v>
      </c>
      <c r="C84" s="5"/>
      <c r="D84" s="5"/>
      <c r="E84" s="5"/>
      <c r="F84" s="22">
        <f>IFERROR(__xludf.DUMMYFUNCTION("""COMPUTED_VALUE"""),500000.0)</f>
        <v>500000</v>
      </c>
      <c r="G84" s="22">
        <f>IFERROR(__xludf.DUMMYFUNCTION("""COMPUTED_VALUE"""),0.0)</f>
        <v>0</v>
      </c>
      <c r="H84" s="22">
        <f>IFERROR(__xludf.DUMMYFUNCTION("""COMPUTED_VALUE"""),500000.0)</f>
        <v>500000</v>
      </c>
      <c r="I84" s="24">
        <f>IFERROR(__xludf.DUMMYFUNCTION("""COMPUTED_VALUE"""),0.0)</f>
        <v>0</v>
      </c>
    </row>
    <row r="85">
      <c r="A85" s="5" t="str">
        <f>IFERROR(__xludf.DUMMYFUNCTION("""COMPUTED_VALUE"""),"18111")</f>
        <v>18111</v>
      </c>
      <c r="B85" s="64">
        <f>IFERROR(__xludf.DUMMYFUNCTION("""COMPUTED_VALUE"""),44610.0)</f>
        <v>44610</v>
      </c>
      <c r="C85" s="5"/>
      <c r="D85" s="5"/>
      <c r="E85" s="5"/>
      <c r="F85" s="22">
        <f>IFERROR(__xludf.DUMMYFUNCTION("""COMPUTED_VALUE"""),500000.0)</f>
        <v>500000</v>
      </c>
      <c r="G85" s="22">
        <f>IFERROR(__xludf.DUMMYFUNCTION("""COMPUTED_VALUE"""),0.0)</f>
        <v>0</v>
      </c>
      <c r="H85" s="22">
        <f>IFERROR(__xludf.DUMMYFUNCTION("""COMPUTED_VALUE"""),500000.0)</f>
        <v>500000</v>
      </c>
      <c r="I85" s="24">
        <f>IFERROR(__xludf.DUMMYFUNCTION("""COMPUTED_VALUE"""),0.0)</f>
        <v>0</v>
      </c>
    </row>
    <row r="86">
      <c r="A86" s="5" t="str">
        <f>IFERROR(__xludf.DUMMYFUNCTION("""COMPUTED_VALUE"""),"18111")</f>
        <v>18111</v>
      </c>
      <c r="B86" s="64">
        <f>IFERROR(__xludf.DUMMYFUNCTION("""COMPUTED_VALUE"""),44611.0)</f>
        <v>44611</v>
      </c>
      <c r="C86" s="5"/>
      <c r="D86" s="5"/>
      <c r="E86" s="5"/>
      <c r="F86" s="22">
        <f>IFERROR(__xludf.DUMMYFUNCTION("""COMPUTED_VALUE"""),500000.0)</f>
        <v>500000</v>
      </c>
      <c r="G86" s="22">
        <f>IFERROR(__xludf.DUMMYFUNCTION("""COMPUTED_VALUE"""),0.0)</f>
        <v>0</v>
      </c>
      <c r="H86" s="22">
        <f>IFERROR(__xludf.DUMMYFUNCTION("""COMPUTED_VALUE"""),500000.0)</f>
        <v>500000</v>
      </c>
      <c r="I86" s="24">
        <f>IFERROR(__xludf.DUMMYFUNCTION("""COMPUTED_VALUE"""),0.0)</f>
        <v>0</v>
      </c>
    </row>
    <row r="87">
      <c r="A87" s="5" t="str">
        <f>IFERROR(__xludf.DUMMYFUNCTION("""COMPUTED_VALUE"""),"18111")</f>
        <v>18111</v>
      </c>
      <c r="B87" s="64">
        <f>IFERROR(__xludf.DUMMYFUNCTION("""COMPUTED_VALUE"""),44612.0)</f>
        <v>44612</v>
      </c>
      <c r="C87" s="5"/>
      <c r="D87" s="5"/>
      <c r="E87" s="5"/>
      <c r="F87" s="22">
        <f>IFERROR(__xludf.DUMMYFUNCTION("""COMPUTED_VALUE"""),500000.0)</f>
        <v>500000</v>
      </c>
      <c r="G87" s="22">
        <f>IFERROR(__xludf.DUMMYFUNCTION("""COMPUTED_VALUE"""),0.0)</f>
        <v>0</v>
      </c>
      <c r="H87" s="22">
        <f>IFERROR(__xludf.DUMMYFUNCTION("""COMPUTED_VALUE"""),500000.0)</f>
        <v>500000</v>
      </c>
      <c r="I87" s="24">
        <f>IFERROR(__xludf.DUMMYFUNCTION("""COMPUTED_VALUE"""),0.0)</f>
        <v>0</v>
      </c>
    </row>
    <row r="88">
      <c r="A88" s="5" t="str">
        <f>IFERROR(__xludf.DUMMYFUNCTION("""COMPUTED_VALUE"""),"18111")</f>
        <v>18111</v>
      </c>
      <c r="B88" s="64">
        <f>IFERROR(__xludf.DUMMYFUNCTION("""COMPUTED_VALUE"""),44613.0)</f>
        <v>44613</v>
      </c>
      <c r="C88" s="5"/>
      <c r="D88" s="5"/>
      <c r="E88" s="5"/>
      <c r="F88" s="22">
        <f>IFERROR(__xludf.DUMMYFUNCTION("""COMPUTED_VALUE"""),500000.0)</f>
        <v>500000</v>
      </c>
      <c r="G88" s="22">
        <f>IFERROR(__xludf.DUMMYFUNCTION("""COMPUTED_VALUE"""),0.0)</f>
        <v>0</v>
      </c>
      <c r="H88" s="22">
        <f>IFERROR(__xludf.DUMMYFUNCTION("""COMPUTED_VALUE"""),500000.0)</f>
        <v>500000</v>
      </c>
      <c r="I88" s="24">
        <f>IFERROR(__xludf.DUMMYFUNCTION("""COMPUTED_VALUE"""),0.0)</f>
        <v>0</v>
      </c>
    </row>
    <row r="89">
      <c r="A89" s="5" t="str">
        <f>IFERROR(__xludf.DUMMYFUNCTION("""COMPUTED_VALUE"""),"18111")</f>
        <v>18111</v>
      </c>
      <c r="B89" s="64">
        <f>IFERROR(__xludf.DUMMYFUNCTION("""COMPUTED_VALUE"""),44614.0)</f>
        <v>44614</v>
      </c>
      <c r="C89" s="5"/>
      <c r="D89" s="5"/>
      <c r="E89" s="5"/>
      <c r="F89" s="22">
        <f>IFERROR(__xludf.DUMMYFUNCTION("""COMPUTED_VALUE"""),500000.0)</f>
        <v>500000</v>
      </c>
      <c r="G89" s="22">
        <f>IFERROR(__xludf.DUMMYFUNCTION("""COMPUTED_VALUE"""),0.0)</f>
        <v>0</v>
      </c>
      <c r="H89" s="22">
        <f>IFERROR(__xludf.DUMMYFUNCTION("""COMPUTED_VALUE"""),500000.0)</f>
        <v>500000</v>
      </c>
      <c r="I89" s="24">
        <f>IFERROR(__xludf.DUMMYFUNCTION("""COMPUTED_VALUE"""),0.0)</f>
        <v>0</v>
      </c>
    </row>
    <row r="90">
      <c r="A90" s="5" t="str">
        <f>IFERROR(__xludf.DUMMYFUNCTION("""COMPUTED_VALUE"""),"18111")</f>
        <v>18111</v>
      </c>
      <c r="B90" s="64">
        <f>IFERROR(__xludf.DUMMYFUNCTION("""COMPUTED_VALUE"""),44615.0)</f>
        <v>44615</v>
      </c>
      <c r="C90" s="5"/>
      <c r="D90" s="5"/>
      <c r="E90" s="5"/>
      <c r="F90" s="22">
        <f>IFERROR(__xludf.DUMMYFUNCTION("""COMPUTED_VALUE"""),500000.0)</f>
        <v>500000</v>
      </c>
      <c r="G90" s="22">
        <f>IFERROR(__xludf.DUMMYFUNCTION("""COMPUTED_VALUE"""),0.0)</f>
        <v>0</v>
      </c>
      <c r="H90" s="22">
        <f>IFERROR(__xludf.DUMMYFUNCTION("""COMPUTED_VALUE"""),500000.0)</f>
        <v>500000</v>
      </c>
      <c r="I90" s="24">
        <f>IFERROR(__xludf.DUMMYFUNCTION("""COMPUTED_VALUE"""),0.0)</f>
        <v>0</v>
      </c>
    </row>
    <row r="91">
      <c r="A91" s="5" t="str">
        <f>IFERROR(__xludf.DUMMYFUNCTION("""COMPUTED_VALUE"""),"18111")</f>
        <v>18111</v>
      </c>
      <c r="B91" s="64">
        <f>IFERROR(__xludf.DUMMYFUNCTION("""COMPUTED_VALUE"""),44616.0)</f>
        <v>44616</v>
      </c>
      <c r="C91" s="5"/>
      <c r="D91" s="5"/>
      <c r="E91" s="5"/>
      <c r="F91" s="22">
        <f>IFERROR(__xludf.DUMMYFUNCTION("""COMPUTED_VALUE"""),500000.0)</f>
        <v>500000</v>
      </c>
      <c r="G91" s="22">
        <f>IFERROR(__xludf.DUMMYFUNCTION("""COMPUTED_VALUE"""),0.0)</f>
        <v>0</v>
      </c>
      <c r="H91" s="22">
        <f>IFERROR(__xludf.DUMMYFUNCTION("""COMPUTED_VALUE"""),500000.0)</f>
        <v>500000</v>
      </c>
      <c r="I91" s="24">
        <f>IFERROR(__xludf.DUMMYFUNCTION("""COMPUTED_VALUE"""),0.0)</f>
        <v>0</v>
      </c>
    </row>
    <row r="92">
      <c r="A92" s="5" t="str">
        <f>IFERROR(__xludf.DUMMYFUNCTION("""COMPUTED_VALUE"""),"18111")</f>
        <v>18111</v>
      </c>
      <c r="B92" s="64">
        <f>IFERROR(__xludf.DUMMYFUNCTION("""COMPUTED_VALUE"""),44617.0)</f>
        <v>44617</v>
      </c>
      <c r="C92" s="5"/>
      <c r="D92" s="5"/>
      <c r="E92" s="5"/>
      <c r="F92" s="22">
        <f>IFERROR(__xludf.DUMMYFUNCTION("""COMPUTED_VALUE"""),500000.0)</f>
        <v>500000</v>
      </c>
      <c r="G92" s="22">
        <f>IFERROR(__xludf.DUMMYFUNCTION("""COMPUTED_VALUE"""),0.0)</f>
        <v>0</v>
      </c>
      <c r="H92" s="22">
        <f>IFERROR(__xludf.DUMMYFUNCTION("""COMPUTED_VALUE"""),500000.0)</f>
        <v>500000</v>
      </c>
      <c r="I92" s="24">
        <f>IFERROR(__xludf.DUMMYFUNCTION("""COMPUTED_VALUE"""),0.0)</f>
        <v>0</v>
      </c>
    </row>
    <row r="93">
      <c r="A93" s="5" t="str">
        <f>IFERROR(__xludf.DUMMYFUNCTION("""COMPUTED_VALUE"""),"18111")</f>
        <v>18111</v>
      </c>
      <c r="B93" s="64">
        <f>IFERROR(__xludf.DUMMYFUNCTION("""COMPUTED_VALUE"""),44618.0)</f>
        <v>44618</v>
      </c>
      <c r="C93" s="5"/>
      <c r="D93" s="5"/>
      <c r="E93" s="5"/>
      <c r="F93" s="22">
        <f>IFERROR(__xludf.DUMMYFUNCTION("""COMPUTED_VALUE"""),500000.0)</f>
        <v>500000</v>
      </c>
      <c r="G93" s="22">
        <f>IFERROR(__xludf.DUMMYFUNCTION("""COMPUTED_VALUE"""),0.0)</f>
        <v>0</v>
      </c>
      <c r="H93" s="22">
        <f>IFERROR(__xludf.DUMMYFUNCTION("""COMPUTED_VALUE"""),500000.0)</f>
        <v>500000</v>
      </c>
      <c r="I93" s="24">
        <f>IFERROR(__xludf.DUMMYFUNCTION("""COMPUTED_VALUE"""),0.0)</f>
        <v>0</v>
      </c>
    </row>
    <row r="94">
      <c r="A94" s="5" t="str">
        <f>IFERROR(__xludf.DUMMYFUNCTION("""COMPUTED_VALUE"""),"18111")</f>
        <v>18111</v>
      </c>
      <c r="B94" s="64">
        <f>IFERROR(__xludf.DUMMYFUNCTION("""COMPUTED_VALUE"""),44619.0)</f>
        <v>44619</v>
      </c>
      <c r="C94" s="5"/>
      <c r="D94" s="5"/>
      <c r="E94" s="5"/>
      <c r="F94" s="22">
        <f>IFERROR(__xludf.DUMMYFUNCTION("""COMPUTED_VALUE"""),500000.0)</f>
        <v>500000</v>
      </c>
      <c r="G94" s="22">
        <f>IFERROR(__xludf.DUMMYFUNCTION("""COMPUTED_VALUE"""),0.0)</f>
        <v>0</v>
      </c>
      <c r="H94" s="22">
        <f>IFERROR(__xludf.DUMMYFUNCTION("""COMPUTED_VALUE"""),500000.0)</f>
        <v>500000</v>
      </c>
      <c r="I94" s="24">
        <f>IFERROR(__xludf.DUMMYFUNCTION("""COMPUTED_VALUE"""),0.0)</f>
        <v>0</v>
      </c>
    </row>
    <row r="95">
      <c r="A95" s="5" t="str">
        <f>IFERROR(__xludf.DUMMYFUNCTION("""COMPUTED_VALUE"""),"18111")</f>
        <v>18111</v>
      </c>
      <c r="B95" s="64">
        <f>IFERROR(__xludf.DUMMYFUNCTION("""COMPUTED_VALUE"""),44620.0)</f>
        <v>44620</v>
      </c>
      <c r="C95" s="5"/>
      <c r="D95" s="5"/>
      <c r="E95" s="5"/>
      <c r="F95" s="22">
        <f>IFERROR(__xludf.DUMMYFUNCTION("""COMPUTED_VALUE"""),500000.0)</f>
        <v>500000</v>
      </c>
      <c r="G95" s="22">
        <f>IFERROR(__xludf.DUMMYFUNCTION("""COMPUTED_VALUE"""),0.0)</f>
        <v>0</v>
      </c>
      <c r="H95" s="22">
        <f>IFERROR(__xludf.DUMMYFUNCTION("""COMPUTED_VALUE"""),500000.0)</f>
        <v>500000</v>
      </c>
      <c r="I95" s="24">
        <f>IFERROR(__xludf.DUMMYFUNCTION("""COMPUTED_VALUE"""),0.0)</f>
        <v>0</v>
      </c>
    </row>
    <row r="96">
      <c r="A96" s="5" t="str">
        <f>IFERROR(__xludf.DUMMYFUNCTION("""COMPUTED_VALUE"""),"18111")</f>
        <v>18111</v>
      </c>
      <c r="B96" s="64">
        <f>IFERROR(__xludf.DUMMYFUNCTION("""COMPUTED_VALUE"""),44621.0)</f>
        <v>44621</v>
      </c>
      <c r="C96" s="5"/>
      <c r="D96" s="5"/>
      <c r="E96" s="5"/>
      <c r="F96" s="22">
        <f>IFERROR(__xludf.DUMMYFUNCTION("""COMPUTED_VALUE"""),500000.0)</f>
        <v>500000</v>
      </c>
      <c r="G96" s="22">
        <f>IFERROR(__xludf.DUMMYFUNCTION("""COMPUTED_VALUE"""),0.0)</f>
        <v>0</v>
      </c>
      <c r="H96" s="22">
        <f>IFERROR(__xludf.DUMMYFUNCTION("""COMPUTED_VALUE"""),500000.0)</f>
        <v>500000</v>
      </c>
      <c r="I96" s="24">
        <f>IFERROR(__xludf.DUMMYFUNCTION("""COMPUTED_VALUE"""),0.0)</f>
        <v>0</v>
      </c>
    </row>
    <row r="97">
      <c r="A97" s="5" t="str">
        <f>IFERROR(__xludf.DUMMYFUNCTION("""COMPUTED_VALUE"""),"18111")</f>
        <v>18111</v>
      </c>
      <c r="B97" s="64">
        <f>IFERROR(__xludf.DUMMYFUNCTION("""COMPUTED_VALUE"""),44622.0)</f>
        <v>44622</v>
      </c>
      <c r="C97" s="5"/>
      <c r="D97" s="5"/>
      <c r="E97" s="5"/>
      <c r="F97" s="22">
        <f>IFERROR(__xludf.DUMMYFUNCTION("""COMPUTED_VALUE"""),500000.0)</f>
        <v>500000</v>
      </c>
      <c r="G97" s="22">
        <f>IFERROR(__xludf.DUMMYFUNCTION("""COMPUTED_VALUE"""),0.0)</f>
        <v>0</v>
      </c>
      <c r="H97" s="22">
        <f>IFERROR(__xludf.DUMMYFUNCTION("""COMPUTED_VALUE"""),500000.0)</f>
        <v>500000</v>
      </c>
      <c r="I97" s="24">
        <f>IFERROR(__xludf.DUMMYFUNCTION("""COMPUTED_VALUE"""),0.0)</f>
        <v>0</v>
      </c>
    </row>
    <row r="98">
      <c r="A98" s="5" t="str">
        <f>IFERROR(__xludf.DUMMYFUNCTION("""COMPUTED_VALUE"""),"18111")</f>
        <v>18111</v>
      </c>
      <c r="B98" s="64">
        <f>IFERROR(__xludf.DUMMYFUNCTION("""COMPUTED_VALUE"""),44623.0)</f>
        <v>44623</v>
      </c>
      <c r="C98" s="5"/>
      <c r="D98" s="5"/>
      <c r="E98" s="5"/>
      <c r="F98" s="22">
        <f>IFERROR(__xludf.DUMMYFUNCTION("""COMPUTED_VALUE"""),500000.0)</f>
        <v>500000</v>
      </c>
      <c r="G98" s="22">
        <f>IFERROR(__xludf.DUMMYFUNCTION("""COMPUTED_VALUE"""),0.0)</f>
        <v>0</v>
      </c>
      <c r="H98" s="22">
        <f>IFERROR(__xludf.DUMMYFUNCTION("""COMPUTED_VALUE"""),500000.0)</f>
        <v>500000</v>
      </c>
      <c r="I98" s="24">
        <f>IFERROR(__xludf.DUMMYFUNCTION("""COMPUTED_VALUE"""),0.0)</f>
        <v>0</v>
      </c>
    </row>
    <row r="99">
      <c r="A99" s="5" t="str">
        <f>IFERROR(__xludf.DUMMYFUNCTION("""COMPUTED_VALUE"""),"18111")</f>
        <v>18111</v>
      </c>
      <c r="B99" s="64">
        <f>IFERROR(__xludf.DUMMYFUNCTION("""COMPUTED_VALUE"""),44624.0)</f>
        <v>44624</v>
      </c>
      <c r="C99" s="5"/>
      <c r="D99" s="5"/>
      <c r="E99" s="5"/>
      <c r="F99" s="22">
        <f>IFERROR(__xludf.DUMMYFUNCTION("""COMPUTED_VALUE"""),500000.0)</f>
        <v>500000</v>
      </c>
      <c r="G99" s="22">
        <f>IFERROR(__xludf.DUMMYFUNCTION("""COMPUTED_VALUE"""),0.0)</f>
        <v>0</v>
      </c>
      <c r="H99" s="22">
        <f>IFERROR(__xludf.DUMMYFUNCTION("""COMPUTED_VALUE"""),500000.0)</f>
        <v>500000</v>
      </c>
      <c r="I99" s="24">
        <f>IFERROR(__xludf.DUMMYFUNCTION("""COMPUTED_VALUE"""),0.0)</f>
        <v>0</v>
      </c>
    </row>
    <row r="100">
      <c r="A100" s="5" t="str">
        <f>IFERROR(__xludf.DUMMYFUNCTION("""COMPUTED_VALUE"""),"18111")</f>
        <v>18111</v>
      </c>
      <c r="B100" s="64">
        <f>IFERROR(__xludf.DUMMYFUNCTION("""COMPUTED_VALUE"""),44625.0)</f>
        <v>44625</v>
      </c>
      <c r="C100" s="5"/>
      <c r="D100" s="5"/>
      <c r="E100" s="5"/>
      <c r="F100" s="22">
        <f>IFERROR(__xludf.DUMMYFUNCTION("""COMPUTED_VALUE"""),500000.0)</f>
        <v>500000</v>
      </c>
      <c r="G100" s="22">
        <f>IFERROR(__xludf.DUMMYFUNCTION("""COMPUTED_VALUE"""),0.0)</f>
        <v>0</v>
      </c>
      <c r="H100" s="22">
        <f>IFERROR(__xludf.DUMMYFUNCTION("""COMPUTED_VALUE"""),500000.0)</f>
        <v>500000</v>
      </c>
      <c r="I100" s="24">
        <f>IFERROR(__xludf.DUMMYFUNCTION("""COMPUTED_VALUE"""),0.0)</f>
        <v>0</v>
      </c>
    </row>
    <row r="101">
      <c r="A101" s="5" t="str">
        <f>IFERROR(__xludf.DUMMYFUNCTION("""COMPUTED_VALUE"""),"18111")</f>
        <v>18111</v>
      </c>
      <c r="B101" s="64">
        <f>IFERROR(__xludf.DUMMYFUNCTION("""COMPUTED_VALUE"""),44626.0)</f>
        <v>44626</v>
      </c>
      <c r="C101" s="5"/>
      <c r="D101" s="5"/>
      <c r="E101" s="5"/>
      <c r="F101" s="22">
        <f>IFERROR(__xludf.DUMMYFUNCTION("""COMPUTED_VALUE"""),500000.0)</f>
        <v>500000</v>
      </c>
      <c r="G101" s="22">
        <f>IFERROR(__xludf.DUMMYFUNCTION("""COMPUTED_VALUE"""),0.0)</f>
        <v>0</v>
      </c>
      <c r="H101" s="22">
        <f>IFERROR(__xludf.DUMMYFUNCTION("""COMPUTED_VALUE"""),500000.0)</f>
        <v>500000</v>
      </c>
      <c r="I101" s="24">
        <f>IFERROR(__xludf.DUMMYFUNCTION("""COMPUTED_VALUE"""),0.0)</f>
        <v>0</v>
      </c>
    </row>
    <row r="102">
      <c r="A102" s="5" t="str">
        <f>IFERROR(__xludf.DUMMYFUNCTION("""COMPUTED_VALUE"""),"18111")</f>
        <v>18111</v>
      </c>
      <c r="B102" s="64">
        <f>IFERROR(__xludf.DUMMYFUNCTION("""COMPUTED_VALUE"""),44627.0)</f>
        <v>44627</v>
      </c>
      <c r="C102" s="5"/>
      <c r="D102" s="5"/>
      <c r="E102" s="5"/>
      <c r="F102" s="22">
        <f>IFERROR(__xludf.DUMMYFUNCTION("""COMPUTED_VALUE"""),500000.0)</f>
        <v>500000</v>
      </c>
      <c r="G102" s="22">
        <f>IFERROR(__xludf.DUMMYFUNCTION("""COMPUTED_VALUE"""),0.0)</f>
        <v>0</v>
      </c>
      <c r="H102" s="22">
        <f>IFERROR(__xludf.DUMMYFUNCTION("""COMPUTED_VALUE"""),500000.0)</f>
        <v>500000</v>
      </c>
      <c r="I102" s="24">
        <f>IFERROR(__xludf.DUMMYFUNCTION("""COMPUTED_VALUE"""),0.0)</f>
        <v>0</v>
      </c>
    </row>
    <row r="103">
      <c r="A103" s="5" t="str">
        <f>IFERROR(__xludf.DUMMYFUNCTION("""COMPUTED_VALUE"""),"18111")</f>
        <v>18111</v>
      </c>
      <c r="B103" s="64">
        <f>IFERROR(__xludf.DUMMYFUNCTION("""COMPUTED_VALUE"""),44628.0)</f>
        <v>44628</v>
      </c>
      <c r="C103" s="5"/>
      <c r="D103" s="5"/>
      <c r="E103" s="5"/>
      <c r="F103" s="22">
        <f>IFERROR(__xludf.DUMMYFUNCTION("""COMPUTED_VALUE"""),500000.0)</f>
        <v>500000</v>
      </c>
      <c r="G103" s="22">
        <f>IFERROR(__xludf.DUMMYFUNCTION("""COMPUTED_VALUE"""),0.0)</f>
        <v>0</v>
      </c>
      <c r="H103" s="22">
        <f>IFERROR(__xludf.DUMMYFUNCTION("""COMPUTED_VALUE"""),500000.0)</f>
        <v>500000</v>
      </c>
      <c r="I103" s="24">
        <f>IFERROR(__xludf.DUMMYFUNCTION("""COMPUTED_VALUE"""),0.0)</f>
        <v>0</v>
      </c>
    </row>
    <row r="104">
      <c r="A104" s="5" t="str">
        <f>IFERROR(__xludf.DUMMYFUNCTION("""COMPUTED_VALUE"""),"18111")</f>
        <v>18111</v>
      </c>
      <c r="B104" s="64">
        <f>IFERROR(__xludf.DUMMYFUNCTION("""COMPUTED_VALUE"""),44629.0)</f>
        <v>44629</v>
      </c>
      <c r="C104" s="5"/>
      <c r="D104" s="5"/>
      <c r="E104" s="5"/>
      <c r="F104" s="22">
        <f>IFERROR(__xludf.DUMMYFUNCTION("""COMPUTED_VALUE"""),500000.0)</f>
        <v>500000</v>
      </c>
      <c r="G104" s="22">
        <f>IFERROR(__xludf.DUMMYFUNCTION("""COMPUTED_VALUE"""),0.0)</f>
        <v>0</v>
      </c>
      <c r="H104" s="22">
        <f>IFERROR(__xludf.DUMMYFUNCTION("""COMPUTED_VALUE"""),500000.0)</f>
        <v>500000</v>
      </c>
      <c r="I104" s="24">
        <f>IFERROR(__xludf.DUMMYFUNCTION("""COMPUTED_VALUE"""),0.0)</f>
        <v>0</v>
      </c>
    </row>
    <row r="105">
      <c r="A105" s="5" t="str">
        <f>IFERROR(__xludf.DUMMYFUNCTION("""COMPUTED_VALUE"""),"18111")</f>
        <v>18111</v>
      </c>
      <c r="B105" s="64">
        <f>IFERROR(__xludf.DUMMYFUNCTION("""COMPUTED_VALUE"""),44630.0)</f>
        <v>44630</v>
      </c>
      <c r="C105" s="5"/>
      <c r="D105" s="5"/>
      <c r="E105" s="5"/>
      <c r="F105" s="22">
        <f>IFERROR(__xludf.DUMMYFUNCTION("""COMPUTED_VALUE"""),500000.0)</f>
        <v>500000</v>
      </c>
      <c r="G105" s="22">
        <f>IFERROR(__xludf.DUMMYFUNCTION("""COMPUTED_VALUE"""),0.0)</f>
        <v>0</v>
      </c>
      <c r="H105" s="22">
        <f>IFERROR(__xludf.DUMMYFUNCTION("""COMPUTED_VALUE"""),500000.0)</f>
        <v>500000</v>
      </c>
      <c r="I105" s="24">
        <f>IFERROR(__xludf.DUMMYFUNCTION("""COMPUTED_VALUE"""),0.0)</f>
        <v>0</v>
      </c>
    </row>
    <row r="106">
      <c r="A106" s="5" t="str">
        <f>IFERROR(__xludf.DUMMYFUNCTION("""COMPUTED_VALUE"""),"18111")</f>
        <v>18111</v>
      </c>
      <c r="B106" s="64">
        <f>IFERROR(__xludf.DUMMYFUNCTION("""COMPUTED_VALUE"""),44631.0)</f>
        <v>44631</v>
      </c>
      <c r="C106" s="5"/>
      <c r="D106" s="5"/>
      <c r="E106" s="5"/>
      <c r="F106" s="22">
        <f>IFERROR(__xludf.DUMMYFUNCTION("""COMPUTED_VALUE"""),500000.0)</f>
        <v>500000</v>
      </c>
      <c r="G106" s="22">
        <f>IFERROR(__xludf.DUMMYFUNCTION("""COMPUTED_VALUE"""),0.0)</f>
        <v>0</v>
      </c>
      <c r="H106" s="22">
        <f>IFERROR(__xludf.DUMMYFUNCTION("""COMPUTED_VALUE"""),500000.0)</f>
        <v>500000</v>
      </c>
      <c r="I106" s="24">
        <f>IFERROR(__xludf.DUMMYFUNCTION("""COMPUTED_VALUE"""),0.0)</f>
        <v>0</v>
      </c>
    </row>
    <row r="107">
      <c r="A107" s="5" t="str">
        <f>IFERROR(__xludf.DUMMYFUNCTION("""COMPUTED_VALUE"""),"18111")</f>
        <v>18111</v>
      </c>
      <c r="B107" s="64">
        <f>IFERROR(__xludf.DUMMYFUNCTION("""COMPUTED_VALUE"""),44632.0)</f>
        <v>44632</v>
      </c>
      <c r="C107" s="5"/>
      <c r="D107" s="5"/>
      <c r="E107" s="5"/>
      <c r="F107" s="22">
        <f>IFERROR(__xludf.DUMMYFUNCTION("""COMPUTED_VALUE"""),500000.0)</f>
        <v>500000</v>
      </c>
      <c r="G107" s="22">
        <f>IFERROR(__xludf.DUMMYFUNCTION("""COMPUTED_VALUE"""),0.0)</f>
        <v>0</v>
      </c>
      <c r="H107" s="22">
        <f>IFERROR(__xludf.DUMMYFUNCTION("""COMPUTED_VALUE"""),500000.0)</f>
        <v>500000</v>
      </c>
      <c r="I107" s="24">
        <f>IFERROR(__xludf.DUMMYFUNCTION("""COMPUTED_VALUE"""),0.0)</f>
        <v>0</v>
      </c>
    </row>
    <row r="108">
      <c r="A108" s="5" t="str">
        <f>IFERROR(__xludf.DUMMYFUNCTION("""COMPUTED_VALUE"""),"18111")</f>
        <v>18111</v>
      </c>
      <c r="B108" s="64">
        <f>IFERROR(__xludf.DUMMYFUNCTION("""COMPUTED_VALUE"""),44633.0)</f>
        <v>44633</v>
      </c>
      <c r="C108" s="5"/>
      <c r="D108" s="5"/>
      <c r="E108" s="5"/>
      <c r="F108" s="22">
        <f>IFERROR(__xludf.DUMMYFUNCTION("""COMPUTED_VALUE"""),500000.0)</f>
        <v>500000</v>
      </c>
      <c r="G108" s="22">
        <f>IFERROR(__xludf.DUMMYFUNCTION("""COMPUTED_VALUE"""),0.0)</f>
        <v>0</v>
      </c>
      <c r="H108" s="22">
        <f>IFERROR(__xludf.DUMMYFUNCTION("""COMPUTED_VALUE"""),500000.0)</f>
        <v>500000</v>
      </c>
      <c r="I108" s="24">
        <f>IFERROR(__xludf.DUMMYFUNCTION("""COMPUTED_VALUE"""),0.0)</f>
        <v>0</v>
      </c>
    </row>
    <row r="109">
      <c r="A109" s="5" t="str">
        <f>IFERROR(__xludf.DUMMYFUNCTION("""COMPUTED_VALUE"""),"18111")</f>
        <v>18111</v>
      </c>
      <c r="B109" s="64">
        <f>IFERROR(__xludf.DUMMYFUNCTION("""COMPUTED_VALUE"""),44634.0)</f>
        <v>44634</v>
      </c>
      <c r="C109" s="5"/>
      <c r="D109" s="5"/>
      <c r="E109" s="5"/>
      <c r="F109" s="22">
        <f>IFERROR(__xludf.DUMMYFUNCTION("""COMPUTED_VALUE"""),500000.0)</f>
        <v>500000</v>
      </c>
      <c r="G109" s="22">
        <f>IFERROR(__xludf.DUMMYFUNCTION("""COMPUTED_VALUE"""),0.0)</f>
        <v>0</v>
      </c>
      <c r="H109" s="22">
        <f>IFERROR(__xludf.DUMMYFUNCTION("""COMPUTED_VALUE"""),500000.0)</f>
        <v>500000</v>
      </c>
      <c r="I109" s="24">
        <f>IFERROR(__xludf.DUMMYFUNCTION("""COMPUTED_VALUE"""),0.0)</f>
        <v>0</v>
      </c>
    </row>
    <row r="110">
      <c r="A110" s="5" t="str">
        <f>IFERROR(__xludf.DUMMYFUNCTION("""COMPUTED_VALUE"""),"18111")</f>
        <v>18111</v>
      </c>
      <c r="B110" s="64">
        <f>IFERROR(__xludf.DUMMYFUNCTION("""COMPUTED_VALUE"""),44635.0)</f>
        <v>44635</v>
      </c>
      <c r="C110" s="5"/>
      <c r="D110" s="5"/>
      <c r="E110" s="5"/>
      <c r="F110" s="22">
        <f>IFERROR(__xludf.DUMMYFUNCTION("""COMPUTED_VALUE"""),500000.0)</f>
        <v>500000</v>
      </c>
      <c r="G110" s="22">
        <f>IFERROR(__xludf.DUMMYFUNCTION("""COMPUTED_VALUE"""),0.0)</f>
        <v>0</v>
      </c>
      <c r="H110" s="22">
        <f>IFERROR(__xludf.DUMMYFUNCTION("""COMPUTED_VALUE"""),500000.0)</f>
        <v>500000</v>
      </c>
      <c r="I110" s="24">
        <f>IFERROR(__xludf.DUMMYFUNCTION("""COMPUTED_VALUE"""),0.0)</f>
        <v>0</v>
      </c>
    </row>
    <row r="111">
      <c r="A111" s="5" t="str">
        <f>IFERROR(__xludf.DUMMYFUNCTION("""COMPUTED_VALUE"""),"18111")</f>
        <v>18111</v>
      </c>
      <c r="B111" s="64">
        <f>IFERROR(__xludf.DUMMYFUNCTION("""COMPUTED_VALUE"""),44636.0)</f>
        <v>44636</v>
      </c>
      <c r="C111" s="5"/>
      <c r="D111" s="5"/>
      <c r="E111" s="5"/>
      <c r="F111" s="22">
        <f>IFERROR(__xludf.DUMMYFUNCTION("""COMPUTED_VALUE"""),500000.0)</f>
        <v>500000</v>
      </c>
      <c r="G111" s="22">
        <f>IFERROR(__xludf.DUMMYFUNCTION("""COMPUTED_VALUE"""),0.0)</f>
        <v>0</v>
      </c>
      <c r="H111" s="22">
        <f>IFERROR(__xludf.DUMMYFUNCTION("""COMPUTED_VALUE"""),500000.0)</f>
        <v>500000</v>
      </c>
      <c r="I111" s="24">
        <f>IFERROR(__xludf.DUMMYFUNCTION("""COMPUTED_VALUE"""),0.0)</f>
        <v>0</v>
      </c>
    </row>
    <row r="112">
      <c r="A112" s="5" t="str">
        <f>IFERROR(__xludf.DUMMYFUNCTION("""COMPUTED_VALUE"""),"18111")</f>
        <v>18111</v>
      </c>
      <c r="B112" s="64">
        <f>IFERROR(__xludf.DUMMYFUNCTION("""COMPUTED_VALUE"""),44637.0)</f>
        <v>44637</v>
      </c>
      <c r="C112" s="5"/>
      <c r="D112" s="5"/>
      <c r="E112" s="5"/>
      <c r="F112" s="22">
        <f>IFERROR(__xludf.DUMMYFUNCTION("""COMPUTED_VALUE"""),500000.0)</f>
        <v>500000</v>
      </c>
      <c r="G112" s="22">
        <f>IFERROR(__xludf.DUMMYFUNCTION("""COMPUTED_VALUE"""),0.0)</f>
        <v>0</v>
      </c>
      <c r="H112" s="22">
        <f>IFERROR(__xludf.DUMMYFUNCTION("""COMPUTED_VALUE"""),500000.0)</f>
        <v>500000</v>
      </c>
      <c r="I112" s="24">
        <f>IFERROR(__xludf.DUMMYFUNCTION("""COMPUTED_VALUE"""),0.0)</f>
        <v>0</v>
      </c>
    </row>
    <row r="113">
      <c r="A113" s="5" t="str">
        <f>IFERROR(__xludf.DUMMYFUNCTION("""COMPUTED_VALUE"""),"18111")</f>
        <v>18111</v>
      </c>
      <c r="B113" s="64">
        <f>IFERROR(__xludf.DUMMYFUNCTION("""COMPUTED_VALUE"""),44638.0)</f>
        <v>44638</v>
      </c>
      <c r="C113" s="5"/>
      <c r="D113" s="5"/>
      <c r="E113" s="5"/>
      <c r="F113" s="22">
        <f>IFERROR(__xludf.DUMMYFUNCTION("""COMPUTED_VALUE"""),500000.0)</f>
        <v>500000</v>
      </c>
      <c r="G113" s="22">
        <f>IFERROR(__xludf.DUMMYFUNCTION("""COMPUTED_VALUE"""),0.0)</f>
        <v>0</v>
      </c>
      <c r="H113" s="22">
        <f>IFERROR(__xludf.DUMMYFUNCTION("""COMPUTED_VALUE"""),500000.0)</f>
        <v>500000</v>
      </c>
      <c r="I113" s="24">
        <f>IFERROR(__xludf.DUMMYFUNCTION("""COMPUTED_VALUE"""),0.0)</f>
        <v>0</v>
      </c>
    </row>
    <row r="114">
      <c r="A114" s="5" t="str">
        <f>IFERROR(__xludf.DUMMYFUNCTION("""COMPUTED_VALUE"""),"18111")</f>
        <v>18111</v>
      </c>
      <c r="B114" s="64">
        <f>IFERROR(__xludf.DUMMYFUNCTION("""COMPUTED_VALUE"""),44639.0)</f>
        <v>44639</v>
      </c>
      <c r="C114" s="5"/>
      <c r="D114" s="5"/>
      <c r="E114" s="5"/>
      <c r="F114" s="22">
        <f>IFERROR(__xludf.DUMMYFUNCTION("""COMPUTED_VALUE"""),500000.0)</f>
        <v>500000</v>
      </c>
      <c r="G114" s="22">
        <f>IFERROR(__xludf.DUMMYFUNCTION("""COMPUTED_VALUE"""),0.0)</f>
        <v>0</v>
      </c>
      <c r="H114" s="22">
        <f>IFERROR(__xludf.DUMMYFUNCTION("""COMPUTED_VALUE"""),500000.0)</f>
        <v>500000</v>
      </c>
      <c r="I114" s="24">
        <f>IFERROR(__xludf.DUMMYFUNCTION("""COMPUTED_VALUE"""),0.0)</f>
        <v>0</v>
      </c>
    </row>
    <row r="115">
      <c r="A115" s="5" t="str">
        <f>IFERROR(__xludf.DUMMYFUNCTION("""COMPUTED_VALUE"""),"18111")</f>
        <v>18111</v>
      </c>
      <c r="B115" s="64">
        <f>IFERROR(__xludf.DUMMYFUNCTION("""COMPUTED_VALUE"""),44640.0)</f>
        <v>44640</v>
      </c>
      <c r="C115" s="5"/>
      <c r="D115" s="5"/>
      <c r="E115" s="5"/>
      <c r="F115" s="22">
        <f>IFERROR(__xludf.DUMMYFUNCTION("""COMPUTED_VALUE"""),500000.0)</f>
        <v>500000</v>
      </c>
      <c r="G115" s="22">
        <f>IFERROR(__xludf.DUMMYFUNCTION("""COMPUTED_VALUE"""),0.0)</f>
        <v>0</v>
      </c>
      <c r="H115" s="22">
        <f>IFERROR(__xludf.DUMMYFUNCTION("""COMPUTED_VALUE"""),500000.0)</f>
        <v>500000</v>
      </c>
      <c r="I115" s="24">
        <f>IFERROR(__xludf.DUMMYFUNCTION("""COMPUTED_VALUE"""),0.0)</f>
        <v>0</v>
      </c>
    </row>
    <row r="116">
      <c r="A116" s="5" t="str">
        <f>IFERROR(__xludf.DUMMYFUNCTION("""COMPUTED_VALUE"""),"18111")</f>
        <v>18111</v>
      </c>
      <c r="B116" s="64">
        <f>IFERROR(__xludf.DUMMYFUNCTION("""COMPUTED_VALUE"""),44641.0)</f>
        <v>44641</v>
      </c>
      <c r="C116" s="5"/>
      <c r="D116" s="5"/>
      <c r="E116" s="5"/>
      <c r="F116" s="22">
        <f>IFERROR(__xludf.DUMMYFUNCTION("""COMPUTED_VALUE"""),500000.0)</f>
        <v>500000</v>
      </c>
      <c r="G116" s="22">
        <f>IFERROR(__xludf.DUMMYFUNCTION("""COMPUTED_VALUE"""),0.0)</f>
        <v>0</v>
      </c>
      <c r="H116" s="22">
        <f>IFERROR(__xludf.DUMMYFUNCTION("""COMPUTED_VALUE"""),500000.0)</f>
        <v>500000</v>
      </c>
      <c r="I116" s="24">
        <f>IFERROR(__xludf.DUMMYFUNCTION("""COMPUTED_VALUE"""),0.0)</f>
        <v>0</v>
      </c>
    </row>
    <row r="117">
      <c r="A117" s="5" t="str">
        <f>IFERROR(__xludf.DUMMYFUNCTION("""COMPUTED_VALUE"""),"18111")</f>
        <v>18111</v>
      </c>
      <c r="B117" s="64">
        <f>IFERROR(__xludf.DUMMYFUNCTION("""COMPUTED_VALUE"""),44642.0)</f>
        <v>44642</v>
      </c>
      <c r="C117" s="5"/>
      <c r="D117" s="5"/>
      <c r="E117" s="5"/>
      <c r="F117" s="22">
        <f>IFERROR(__xludf.DUMMYFUNCTION("""COMPUTED_VALUE"""),500000.0)</f>
        <v>500000</v>
      </c>
      <c r="G117" s="22">
        <f>IFERROR(__xludf.DUMMYFUNCTION("""COMPUTED_VALUE"""),0.0)</f>
        <v>0</v>
      </c>
      <c r="H117" s="22">
        <f>IFERROR(__xludf.DUMMYFUNCTION("""COMPUTED_VALUE"""),500000.0)</f>
        <v>500000</v>
      </c>
      <c r="I117" s="24">
        <f>IFERROR(__xludf.DUMMYFUNCTION("""COMPUTED_VALUE"""),0.0)</f>
        <v>0</v>
      </c>
    </row>
    <row r="118">
      <c r="A118" s="5" t="str">
        <f>IFERROR(__xludf.DUMMYFUNCTION("""COMPUTED_VALUE"""),"18111")</f>
        <v>18111</v>
      </c>
      <c r="B118" s="64">
        <f>IFERROR(__xludf.DUMMYFUNCTION("""COMPUTED_VALUE"""),44643.0)</f>
        <v>44643</v>
      </c>
      <c r="C118" s="5"/>
      <c r="D118" s="5"/>
      <c r="E118" s="5"/>
      <c r="F118" s="22">
        <f>IFERROR(__xludf.DUMMYFUNCTION("""COMPUTED_VALUE"""),500000.0)</f>
        <v>500000</v>
      </c>
      <c r="G118" s="22">
        <f>IFERROR(__xludf.DUMMYFUNCTION("""COMPUTED_VALUE"""),0.0)</f>
        <v>0</v>
      </c>
      <c r="H118" s="22">
        <f>IFERROR(__xludf.DUMMYFUNCTION("""COMPUTED_VALUE"""),500000.0)</f>
        <v>500000</v>
      </c>
      <c r="I118" s="24">
        <f>IFERROR(__xludf.DUMMYFUNCTION("""COMPUTED_VALUE"""),0.0)</f>
        <v>0</v>
      </c>
    </row>
    <row r="119">
      <c r="A119" s="5" t="str">
        <f>IFERROR(__xludf.DUMMYFUNCTION("""COMPUTED_VALUE"""),"18111")</f>
        <v>18111</v>
      </c>
      <c r="B119" s="64">
        <f>IFERROR(__xludf.DUMMYFUNCTION("""COMPUTED_VALUE"""),44644.0)</f>
        <v>44644</v>
      </c>
      <c r="C119" s="5"/>
      <c r="D119" s="5"/>
      <c r="E119" s="5"/>
      <c r="F119" s="22">
        <f>IFERROR(__xludf.DUMMYFUNCTION("""COMPUTED_VALUE"""),500000.0)</f>
        <v>500000</v>
      </c>
      <c r="G119" s="22">
        <f>IFERROR(__xludf.DUMMYFUNCTION("""COMPUTED_VALUE"""),0.0)</f>
        <v>0</v>
      </c>
      <c r="H119" s="22">
        <f>IFERROR(__xludf.DUMMYFUNCTION("""COMPUTED_VALUE"""),500000.0)</f>
        <v>500000</v>
      </c>
      <c r="I119" s="24">
        <f>IFERROR(__xludf.DUMMYFUNCTION("""COMPUTED_VALUE"""),0.0)</f>
        <v>0</v>
      </c>
    </row>
    <row r="120">
      <c r="A120" s="5" t="str">
        <f>IFERROR(__xludf.DUMMYFUNCTION("""COMPUTED_VALUE"""),"18111")</f>
        <v>18111</v>
      </c>
      <c r="B120" s="64">
        <f>IFERROR(__xludf.DUMMYFUNCTION("""COMPUTED_VALUE"""),44645.0)</f>
        <v>44645</v>
      </c>
      <c r="C120" s="5"/>
      <c r="D120" s="5"/>
      <c r="E120" s="5"/>
      <c r="F120" s="22">
        <f>IFERROR(__xludf.DUMMYFUNCTION("""COMPUTED_VALUE"""),500000.0)</f>
        <v>500000</v>
      </c>
      <c r="G120" s="22">
        <f>IFERROR(__xludf.DUMMYFUNCTION("""COMPUTED_VALUE"""),0.0)</f>
        <v>0</v>
      </c>
      <c r="H120" s="22">
        <f>IFERROR(__xludf.DUMMYFUNCTION("""COMPUTED_VALUE"""),500000.0)</f>
        <v>500000</v>
      </c>
      <c r="I120" s="24">
        <f>IFERROR(__xludf.DUMMYFUNCTION("""COMPUTED_VALUE"""),0.0)</f>
        <v>0</v>
      </c>
    </row>
    <row r="121">
      <c r="A121" s="5" t="str">
        <f>IFERROR(__xludf.DUMMYFUNCTION("""COMPUTED_VALUE"""),"18111")</f>
        <v>18111</v>
      </c>
      <c r="B121" s="64">
        <f>IFERROR(__xludf.DUMMYFUNCTION("""COMPUTED_VALUE"""),44646.0)</f>
        <v>44646</v>
      </c>
      <c r="C121" s="5"/>
      <c r="D121" s="5"/>
      <c r="E121" s="5"/>
      <c r="F121" s="22">
        <f>IFERROR(__xludf.DUMMYFUNCTION("""COMPUTED_VALUE"""),500000.0)</f>
        <v>500000</v>
      </c>
      <c r="G121" s="22">
        <f>IFERROR(__xludf.DUMMYFUNCTION("""COMPUTED_VALUE"""),0.0)</f>
        <v>0</v>
      </c>
      <c r="H121" s="22">
        <f>IFERROR(__xludf.DUMMYFUNCTION("""COMPUTED_VALUE"""),500000.0)</f>
        <v>500000</v>
      </c>
      <c r="I121" s="24">
        <f>IFERROR(__xludf.DUMMYFUNCTION("""COMPUTED_VALUE"""),0.0)</f>
        <v>0</v>
      </c>
    </row>
    <row r="122">
      <c r="A122" s="5" t="str">
        <f>IFERROR(__xludf.DUMMYFUNCTION("""COMPUTED_VALUE"""),"18111")</f>
        <v>18111</v>
      </c>
      <c r="B122" s="64">
        <f>IFERROR(__xludf.DUMMYFUNCTION("""COMPUTED_VALUE"""),44647.0)</f>
        <v>44647</v>
      </c>
      <c r="C122" s="5"/>
      <c r="D122" s="5"/>
      <c r="E122" s="5"/>
      <c r="F122" s="22">
        <f>IFERROR(__xludf.DUMMYFUNCTION("""COMPUTED_VALUE"""),500000.0)</f>
        <v>500000</v>
      </c>
      <c r="G122" s="22">
        <f>IFERROR(__xludf.DUMMYFUNCTION("""COMPUTED_VALUE"""),0.0)</f>
        <v>0</v>
      </c>
      <c r="H122" s="22">
        <f>IFERROR(__xludf.DUMMYFUNCTION("""COMPUTED_VALUE"""),500000.0)</f>
        <v>500000</v>
      </c>
      <c r="I122" s="24">
        <f>IFERROR(__xludf.DUMMYFUNCTION("""COMPUTED_VALUE"""),0.0)</f>
        <v>0</v>
      </c>
    </row>
    <row r="123">
      <c r="A123" s="5" t="str">
        <f>IFERROR(__xludf.DUMMYFUNCTION("""COMPUTED_VALUE"""),"18111")</f>
        <v>18111</v>
      </c>
      <c r="B123" s="64">
        <f>IFERROR(__xludf.DUMMYFUNCTION("""COMPUTED_VALUE"""),44648.0)</f>
        <v>44648</v>
      </c>
      <c r="C123" s="5"/>
      <c r="D123" s="5"/>
      <c r="E123" s="5"/>
      <c r="F123" s="22">
        <f>IFERROR(__xludf.DUMMYFUNCTION("""COMPUTED_VALUE"""),500000.0)</f>
        <v>500000</v>
      </c>
      <c r="G123" s="22">
        <f>IFERROR(__xludf.DUMMYFUNCTION("""COMPUTED_VALUE"""),0.0)</f>
        <v>0</v>
      </c>
      <c r="H123" s="22">
        <f>IFERROR(__xludf.DUMMYFUNCTION("""COMPUTED_VALUE"""),500000.0)</f>
        <v>500000</v>
      </c>
      <c r="I123" s="24">
        <f>IFERROR(__xludf.DUMMYFUNCTION("""COMPUTED_VALUE"""),0.0)</f>
        <v>0</v>
      </c>
    </row>
    <row r="124">
      <c r="A124" s="5" t="str">
        <f>IFERROR(__xludf.DUMMYFUNCTION("""COMPUTED_VALUE"""),"18111")</f>
        <v>18111</v>
      </c>
      <c r="B124" s="64">
        <f>IFERROR(__xludf.DUMMYFUNCTION("""COMPUTED_VALUE"""),44649.0)</f>
        <v>44649</v>
      </c>
      <c r="C124" s="5"/>
      <c r="D124" s="5"/>
      <c r="E124" s="5"/>
      <c r="F124" s="22">
        <f>IFERROR(__xludf.DUMMYFUNCTION("""COMPUTED_VALUE"""),500000.0)</f>
        <v>500000</v>
      </c>
      <c r="G124" s="22">
        <f>IFERROR(__xludf.DUMMYFUNCTION("""COMPUTED_VALUE"""),0.0)</f>
        <v>0</v>
      </c>
      <c r="H124" s="22">
        <f>IFERROR(__xludf.DUMMYFUNCTION("""COMPUTED_VALUE"""),500000.0)</f>
        <v>500000</v>
      </c>
      <c r="I124" s="24">
        <f>IFERROR(__xludf.DUMMYFUNCTION("""COMPUTED_VALUE"""),0.0)</f>
        <v>0</v>
      </c>
    </row>
    <row r="125">
      <c r="A125" s="5" t="str">
        <f>IFERROR(__xludf.DUMMYFUNCTION("""COMPUTED_VALUE"""),"18111")</f>
        <v>18111</v>
      </c>
      <c r="B125" s="64">
        <f>IFERROR(__xludf.DUMMYFUNCTION("""COMPUTED_VALUE"""),44650.0)</f>
        <v>44650</v>
      </c>
      <c r="C125" s="5"/>
      <c r="D125" s="5"/>
      <c r="E125" s="5"/>
      <c r="F125" s="22">
        <f>IFERROR(__xludf.DUMMYFUNCTION("""COMPUTED_VALUE"""),500000.0)</f>
        <v>500000</v>
      </c>
      <c r="G125" s="22">
        <f>IFERROR(__xludf.DUMMYFUNCTION("""COMPUTED_VALUE"""),0.0)</f>
        <v>0</v>
      </c>
      <c r="H125" s="22">
        <f>IFERROR(__xludf.DUMMYFUNCTION("""COMPUTED_VALUE"""),500000.0)</f>
        <v>500000</v>
      </c>
      <c r="I125" s="24">
        <f>IFERROR(__xludf.DUMMYFUNCTION("""COMPUTED_VALUE"""),0.0)</f>
        <v>0</v>
      </c>
    </row>
    <row r="126">
      <c r="A126" s="5" t="str">
        <f>IFERROR(__xludf.DUMMYFUNCTION("""COMPUTED_VALUE"""),"18111")</f>
        <v>18111</v>
      </c>
      <c r="B126" s="64">
        <f>IFERROR(__xludf.DUMMYFUNCTION("""COMPUTED_VALUE"""),44651.0)</f>
        <v>44651</v>
      </c>
      <c r="C126" s="5"/>
      <c r="D126" s="5"/>
      <c r="E126" s="5"/>
      <c r="F126" s="22">
        <f>IFERROR(__xludf.DUMMYFUNCTION("""COMPUTED_VALUE"""),500000.0)</f>
        <v>500000</v>
      </c>
      <c r="G126" s="22">
        <f>IFERROR(__xludf.DUMMYFUNCTION("""COMPUTED_VALUE"""),0.0)</f>
        <v>0</v>
      </c>
      <c r="H126" s="22">
        <f>IFERROR(__xludf.DUMMYFUNCTION("""COMPUTED_VALUE"""),500000.0)</f>
        <v>500000</v>
      </c>
      <c r="I126" s="24">
        <f>IFERROR(__xludf.DUMMYFUNCTION("""COMPUTED_VALUE"""),0.0)</f>
        <v>0</v>
      </c>
    </row>
    <row r="127">
      <c r="A127" s="5" t="str">
        <f>IFERROR(__xludf.DUMMYFUNCTION("""COMPUTED_VALUE"""),"18111")</f>
        <v>18111</v>
      </c>
      <c r="B127" s="64">
        <f>IFERROR(__xludf.DUMMYFUNCTION("""COMPUTED_VALUE"""),44652.0)</f>
        <v>44652</v>
      </c>
      <c r="C127" s="5"/>
      <c r="D127" s="5"/>
      <c r="E127" s="5"/>
      <c r="F127" s="22">
        <f>IFERROR(__xludf.DUMMYFUNCTION("""COMPUTED_VALUE"""),500000.0)</f>
        <v>500000</v>
      </c>
      <c r="G127" s="22">
        <f>IFERROR(__xludf.DUMMYFUNCTION("""COMPUTED_VALUE"""),0.0)</f>
        <v>0</v>
      </c>
      <c r="H127" s="22">
        <f>IFERROR(__xludf.DUMMYFUNCTION("""COMPUTED_VALUE"""),500000.0)</f>
        <v>500000</v>
      </c>
      <c r="I127" s="24">
        <f>IFERROR(__xludf.DUMMYFUNCTION("""COMPUTED_VALUE"""),0.0)</f>
        <v>0</v>
      </c>
    </row>
    <row r="128">
      <c r="A128" s="5" t="str">
        <f>IFERROR(__xludf.DUMMYFUNCTION("""COMPUTED_VALUE"""),"18111")</f>
        <v>18111</v>
      </c>
      <c r="B128" s="64">
        <f>IFERROR(__xludf.DUMMYFUNCTION("""COMPUTED_VALUE"""),44653.0)</f>
        <v>44653</v>
      </c>
      <c r="C128" s="5"/>
      <c r="D128" s="5"/>
      <c r="E128" s="5"/>
      <c r="F128" s="22">
        <f>IFERROR(__xludf.DUMMYFUNCTION("""COMPUTED_VALUE"""),500000.0)</f>
        <v>500000</v>
      </c>
      <c r="G128" s="22">
        <f>IFERROR(__xludf.DUMMYFUNCTION("""COMPUTED_VALUE"""),0.0)</f>
        <v>0</v>
      </c>
      <c r="H128" s="22">
        <f>IFERROR(__xludf.DUMMYFUNCTION("""COMPUTED_VALUE"""),500000.0)</f>
        <v>500000</v>
      </c>
      <c r="I128" s="24">
        <f>IFERROR(__xludf.DUMMYFUNCTION("""COMPUTED_VALUE"""),0.0)</f>
        <v>0</v>
      </c>
    </row>
    <row r="129">
      <c r="A129" s="5" t="str">
        <f>IFERROR(__xludf.DUMMYFUNCTION("""COMPUTED_VALUE"""),"18111")</f>
        <v>18111</v>
      </c>
      <c r="B129" s="64">
        <f>IFERROR(__xludf.DUMMYFUNCTION("""COMPUTED_VALUE"""),44654.0)</f>
        <v>44654</v>
      </c>
      <c r="C129" s="5"/>
      <c r="D129" s="5"/>
      <c r="E129" s="5"/>
      <c r="F129" s="22">
        <f>IFERROR(__xludf.DUMMYFUNCTION("""COMPUTED_VALUE"""),500000.0)</f>
        <v>500000</v>
      </c>
      <c r="G129" s="22">
        <f>IFERROR(__xludf.DUMMYFUNCTION("""COMPUTED_VALUE"""),0.0)</f>
        <v>0</v>
      </c>
      <c r="H129" s="22">
        <f>IFERROR(__xludf.DUMMYFUNCTION("""COMPUTED_VALUE"""),500000.0)</f>
        <v>500000</v>
      </c>
      <c r="I129" s="24">
        <f>IFERROR(__xludf.DUMMYFUNCTION("""COMPUTED_VALUE"""),0.0)</f>
        <v>0</v>
      </c>
    </row>
    <row r="130">
      <c r="A130" s="5" t="str">
        <f>IFERROR(__xludf.DUMMYFUNCTION("""COMPUTED_VALUE"""),"18111")</f>
        <v>18111</v>
      </c>
      <c r="B130" s="64">
        <f>IFERROR(__xludf.DUMMYFUNCTION("""COMPUTED_VALUE"""),44655.0)</f>
        <v>44655</v>
      </c>
      <c r="C130" s="5"/>
      <c r="D130" s="5"/>
      <c r="E130" s="5"/>
      <c r="F130" s="22">
        <f>IFERROR(__xludf.DUMMYFUNCTION("""COMPUTED_VALUE"""),500000.0)</f>
        <v>500000</v>
      </c>
      <c r="G130" s="22">
        <f>IFERROR(__xludf.DUMMYFUNCTION("""COMPUTED_VALUE"""),0.0)</f>
        <v>0</v>
      </c>
      <c r="H130" s="22">
        <f>IFERROR(__xludf.DUMMYFUNCTION("""COMPUTED_VALUE"""),500000.0)</f>
        <v>500000</v>
      </c>
      <c r="I130" s="24">
        <f>IFERROR(__xludf.DUMMYFUNCTION("""COMPUTED_VALUE"""),0.0)</f>
        <v>0</v>
      </c>
    </row>
    <row r="131">
      <c r="A131" s="5" t="str">
        <f>IFERROR(__xludf.DUMMYFUNCTION("""COMPUTED_VALUE"""),"18111")</f>
        <v>18111</v>
      </c>
      <c r="B131" s="64">
        <f>IFERROR(__xludf.DUMMYFUNCTION("""COMPUTED_VALUE"""),44656.0)</f>
        <v>44656</v>
      </c>
      <c r="C131" s="5"/>
      <c r="D131" s="5"/>
      <c r="E131" s="5"/>
      <c r="F131" s="22">
        <f>IFERROR(__xludf.DUMMYFUNCTION("""COMPUTED_VALUE"""),500000.0)</f>
        <v>500000</v>
      </c>
      <c r="G131" s="22">
        <f>IFERROR(__xludf.DUMMYFUNCTION("""COMPUTED_VALUE"""),0.0)</f>
        <v>0</v>
      </c>
      <c r="H131" s="22">
        <f>IFERROR(__xludf.DUMMYFUNCTION("""COMPUTED_VALUE"""),500000.0)</f>
        <v>500000</v>
      </c>
      <c r="I131" s="24">
        <f>IFERROR(__xludf.DUMMYFUNCTION("""COMPUTED_VALUE"""),0.0)</f>
        <v>0</v>
      </c>
    </row>
    <row r="132">
      <c r="A132" s="5" t="str">
        <f>IFERROR(__xludf.DUMMYFUNCTION("""COMPUTED_VALUE"""),"18111")</f>
        <v>18111</v>
      </c>
      <c r="B132" s="64">
        <f>IFERROR(__xludf.DUMMYFUNCTION("""COMPUTED_VALUE"""),44657.0)</f>
        <v>44657</v>
      </c>
      <c r="C132" s="5"/>
      <c r="D132" s="5"/>
      <c r="E132" s="5"/>
      <c r="F132" s="22">
        <f>IFERROR(__xludf.DUMMYFUNCTION("""COMPUTED_VALUE"""),500000.0)</f>
        <v>500000</v>
      </c>
      <c r="G132" s="22">
        <f>IFERROR(__xludf.DUMMYFUNCTION("""COMPUTED_VALUE"""),0.0)</f>
        <v>0</v>
      </c>
      <c r="H132" s="22">
        <f>IFERROR(__xludf.DUMMYFUNCTION("""COMPUTED_VALUE"""),500000.0)</f>
        <v>500000</v>
      </c>
      <c r="I132" s="24">
        <f>IFERROR(__xludf.DUMMYFUNCTION("""COMPUTED_VALUE"""),0.0)</f>
        <v>0</v>
      </c>
    </row>
    <row r="133">
      <c r="A133" s="5" t="str">
        <f>IFERROR(__xludf.DUMMYFUNCTION("""COMPUTED_VALUE"""),"18111")</f>
        <v>18111</v>
      </c>
      <c r="B133" s="64">
        <f>IFERROR(__xludf.DUMMYFUNCTION("""COMPUTED_VALUE"""),44658.0)</f>
        <v>44658</v>
      </c>
      <c r="C133" s="5"/>
      <c r="D133" s="5"/>
      <c r="E133" s="5"/>
      <c r="F133" s="22">
        <f>IFERROR(__xludf.DUMMYFUNCTION("""COMPUTED_VALUE"""),500000.0)</f>
        <v>500000</v>
      </c>
      <c r="G133" s="22">
        <f>IFERROR(__xludf.DUMMYFUNCTION("""COMPUTED_VALUE"""),0.0)</f>
        <v>0</v>
      </c>
      <c r="H133" s="22">
        <f>IFERROR(__xludf.DUMMYFUNCTION("""COMPUTED_VALUE"""),500000.0)</f>
        <v>500000</v>
      </c>
      <c r="I133" s="24">
        <f>IFERROR(__xludf.DUMMYFUNCTION("""COMPUTED_VALUE"""),0.0)</f>
        <v>0</v>
      </c>
    </row>
    <row r="134">
      <c r="A134" s="5" t="str">
        <f>IFERROR(__xludf.DUMMYFUNCTION("""COMPUTED_VALUE"""),"18111")</f>
        <v>18111</v>
      </c>
      <c r="B134" s="64">
        <f>IFERROR(__xludf.DUMMYFUNCTION("""COMPUTED_VALUE"""),44659.0)</f>
        <v>44659</v>
      </c>
      <c r="C134" s="5"/>
      <c r="D134" s="5"/>
      <c r="E134" s="5"/>
      <c r="F134" s="22">
        <f>IFERROR(__xludf.DUMMYFUNCTION("""COMPUTED_VALUE"""),500000.0)</f>
        <v>500000</v>
      </c>
      <c r="G134" s="22">
        <f>IFERROR(__xludf.DUMMYFUNCTION("""COMPUTED_VALUE"""),0.0)</f>
        <v>0</v>
      </c>
      <c r="H134" s="22">
        <f>IFERROR(__xludf.DUMMYFUNCTION("""COMPUTED_VALUE"""),500000.0)</f>
        <v>500000</v>
      </c>
      <c r="I134" s="24">
        <f>IFERROR(__xludf.DUMMYFUNCTION("""COMPUTED_VALUE"""),0.0)</f>
        <v>0</v>
      </c>
    </row>
    <row r="135">
      <c r="A135" s="5" t="str">
        <f>IFERROR(__xludf.DUMMYFUNCTION("""COMPUTED_VALUE"""),"18111")</f>
        <v>18111</v>
      </c>
      <c r="B135" s="64">
        <f>IFERROR(__xludf.DUMMYFUNCTION("""COMPUTED_VALUE"""),44660.0)</f>
        <v>44660</v>
      </c>
      <c r="C135" s="5"/>
      <c r="D135" s="5"/>
      <c r="E135" s="5"/>
      <c r="F135" s="22">
        <f>IFERROR(__xludf.DUMMYFUNCTION("""COMPUTED_VALUE"""),500000.0)</f>
        <v>500000</v>
      </c>
      <c r="G135" s="22">
        <f>IFERROR(__xludf.DUMMYFUNCTION("""COMPUTED_VALUE"""),0.0)</f>
        <v>0</v>
      </c>
      <c r="H135" s="22">
        <f>IFERROR(__xludf.DUMMYFUNCTION("""COMPUTED_VALUE"""),500000.0)</f>
        <v>500000</v>
      </c>
      <c r="I135" s="24">
        <f>IFERROR(__xludf.DUMMYFUNCTION("""COMPUTED_VALUE"""),0.0)</f>
        <v>0</v>
      </c>
    </row>
    <row r="136">
      <c r="A136" s="5" t="str">
        <f>IFERROR(__xludf.DUMMYFUNCTION("""COMPUTED_VALUE"""),"18111")</f>
        <v>18111</v>
      </c>
      <c r="B136" s="64">
        <f>IFERROR(__xludf.DUMMYFUNCTION("""COMPUTED_VALUE"""),44661.0)</f>
        <v>44661</v>
      </c>
      <c r="C136" s="5"/>
      <c r="D136" s="5"/>
      <c r="E136" s="5"/>
      <c r="F136" s="22">
        <f>IFERROR(__xludf.DUMMYFUNCTION("""COMPUTED_VALUE"""),500000.0)</f>
        <v>500000</v>
      </c>
      <c r="G136" s="22">
        <f>IFERROR(__xludf.DUMMYFUNCTION("""COMPUTED_VALUE"""),0.0)</f>
        <v>0</v>
      </c>
      <c r="H136" s="22">
        <f>IFERROR(__xludf.DUMMYFUNCTION("""COMPUTED_VALUE"""),500000.0)</f>
        <v>500000</v>
      </c>
      <c r="I136" s="24">
        <f>IFERROR(__xludf.DUMMYFUNCTION("""COMPUTED_VALUE"""),0.0)</f>
        <v>0</v>
      </c>
    </row>
    <row r="137">
      <c r="A137" s="5" t="str">
        <f>IFERROR(__xludf.DUMMYFUNCTION("""COMPUTED_VALUE"""),"18111")</f>
        <v>18111</v>
      </c>
      <c r="B137" s="64">
        <f>IFERROR(__xludf.DUMMYFUNCTION("""COMPUTED_VALUE"""),44662.0)</f>
        <v>44662</v>
      </c>
      <c r="C137" s="5"/>
      <c r="D137" s="5"/>
      <c r="E137" s="5"/>
      <c r="F137" s="22">
        <f>IFERROR(__xludf.DUMMYFUNCTION("""COMPUTED_VALUE"""),500000.0)</f>
        <v>500000</v>
      </c>
      <c r="G137" s="22">
        <f>IFERROR(__xludf.DUMMYFUNCTION("""COMPUTED_VALUE"""),0.0)</f>
        <v>0</v>
      </c>
      <c r="H137" s="22">
        <f>IFERROR(__xludf.DUMMYFUNCTION("""COMPUTED_VALUE"""),500000.0)</f>
        <v>500000</v>
      </c>
      <c r="I137" s="24">
        <f>IFERROR(__xludf.DUMMYFUNCTION("""COMPUTED_VALUE"""),0.0)</f>
        <v>0</v>
      </c>
    </row>
    <row r="138">
      <c r="A138" s="5" t="str">
        <f>IFERROR(__xludf.DUMMYFUNCTION("""COMPUTED_VALUE"""),"18111")</f>
        <v>18111</v>
      </c>
      <c r="B138" s="64">
        <f>IFERROR(__xludf.DUMMYFUNCTION("""COMPUTED_VALUE"""),44663.0)</f>
        <v>44663</v>
      </c>
      <c r="C138" s="5"/>
      <c r="D138" s="5"/>
      <c r="E138" s="5"/>
      <c r="F138" s="22">
        <f>IFERROR(__xludf.DUMMYFUNCTION("""COMPUTED_VALUE"""),500000.0)</f>
        <v>500000</v>
      </c>
      <c r="G138" s="22">
        <f>IFERROR(__xludf.DUMMYFUNCTION("""COMPUTED_VALUE"""),0.0)</f>
        <v>0</v>
      </c>
      <c r="H138" s="22">
        <f>IFERROR(__xludf.DUMMYFUNCTION("""COMPUTED_VALUE"""),500000.0)</f>
        <v>500000</v>
      </c>
      <c r="I138" s="24">
        <f>IFERROR(__xludf.DUMMYFUNCTION("""COMPUTED_VALUE"""),0.0)</f>
        <v>0</v>
      </c>
    </row>
    <row r="139">
      <c r="A139" s="5" t="str">
        <f>IFERROR(__xludf.DUMMYFUNCTION("""COMPUTED_VALUE"""),"18649")</f>
        <v>18649</v>
      </c>
      <c r="B139" s="64">
        <f>IFERROR(__xludf.DUMMYFUNCTION("""COMPUTED_VALUE"""),44597.0)</f>
        <v>44597</v>
      </c>
      <c r="C139" s="5"/>
      <c r="D139" s="5"/>
      <c r="E139" s="5"/>
      <c r="F139" s="22">
        <f>IFERROR(__xludf.DUMMYFUNCTION("""COMPUTED_VALUE"""),500000.0)</f>
        <v>500000</v>
      </c>
      <c r="G139" s="22">
        <f>IFERROR(__xludf.DUMMYFUNCTION("""COMPUTED_VALUE"""),0.0)</f>
        <v>0</v>
      </c>
      <c r="H139" s="22">
        <f>IFERROR(__xludf.DUMMYFUNCTION("""COMPUTED_VALUE"""),500000.0)</f>
        <v>500000</v>
      </c>
      <c r="I139" s="24">
        <f>IFERROR(__xludf.DUMMYFUNCTION("""COMPUTED_VALUE"""),0.0)</f>
        <v>0</v>
      </c>
    </row>
    <row r="140">
      <c r="A140" s="5" t="str">
        <f>IFERROR(__xludf.DUMMYFUNCTION("""COMPUTED_VALUE"""),"18649")</f>
        <v>18649</v>
      </c>
      <c r="B140" s="64">
        <f>IFERROR(__xludf.DUMMYFUNCTION("""COMPUTED_VALUE"""),44598.0)</f>
        <v>44598</v>
      </c>
      <c r="C140" s="5"/>
      <c r="D140" s="5"/>
      <c r="E140" s="5"/>
      <c r="F140" s="22">
        <f>IFERROR(__xludf.DUMMYFUNCTION("""COMPUTED_VALUE"""),500000.0)</f>
        <v>500000</v>
      </c>
      <c r="G140" s="22">
        <f>IFERROR(__xludf.DUMMYFUNCTION("""COMPUTED_VALUE"""),0.0)</f>
        <v>0</v>
      </c>
      <c r="H140" s="22">
        <f>IFERROR(__xludf.DUMMYFUNCTION("""COMPUTED_VALUE"""),500000.0)</f>
        <v>500000</v>
      </c>
      <c r="I140" s="24">
        <f>IFERROR(__xludf.DUMMYFUNCTION("""COMPUTED_VALUE"""),0.0)</f>
        <v>0</v>
      </c>
    </row>
    <row r="141">
      <c r="A141" s="5" t="str">
        <f>IFERROR(__xludf.DUMMYFUNCTION("""COMPUTED_VALUE"""),"18649")</f>
        <v>18649</v>
      </c>
      <c r="B141" s="64">
        <f>IFERROR(__xludf.DUMMYFUNCTION("""COMPUTED_VALUE"""),44599.0)</f>
        <v>44599</v>
      </c>
      <c r="C141" s="5"/>
      <c r="D141" s="5"/>
      <c r="E141" s="5"/>
      <c r="F141" s="22">
        <f>IFERROR(__xludf.DUMMYFUNCTION("""COMPUTED_VALUE"""),500000.0)</f>
        <v>500000</v>
      </c>
      <c r="G141" s="22">
        <f>IFERROR(__xludf.DUMMYFUNCTION("""COMPUTED_VALUE"""),0.0)</f>
        <v>0</v>
      </c>
      <c r="H141" s="22">
        <f>IFERROR(__xludf.DUMMYFUNCTION("""COMPUTED_VALUE"""),500000.0)</f>
        <v>500000</v>
      </c>
      <c r="I141" s="24">
        <f>IFERROR(__xludf.DUMMYFUNCTION("""COMPUTED_VALUE"""),0.0)</f>
        <v>0</v>
      </c>
    </row>
    <row r="142">
      <c r="A142" s="5" t="str">
        <f>IFERROR(__xludf.DUMMYFUNCTION("""COMPUTED_VALUE"""),"18649")</f>
        <v>18649</v>
      </c>
      <c r="B142" s="64">
        <f>IFERROR(__xludf.DUMMYFUNCTION("""COMPUTED_VALUE"""),44600.0)</f>
        <v>44600</v>
      </c>
      <c r="C142" s="5"/>
      <c r="D142" s="5"/>
      <c r="E142" s="5"/>
      <c r="F142" s="22">
        <f>IFERROR(__xludf.DUMMYFUNCTION("""COMPUTED_VALUE"""),500000.0)</f>
        <v>500000</v>
      </c>
      <c r="G142" s="22">
        <f>IFERROR(__xludf.DUMMYFUNCTION("""COMPUTED_VALUE"""),0.0)</f>
        <v>0</v>
      </c>
      <c r="H142" s="22">
        <f>IFERROR(__xludf.DUMMYFUNCTION("""COMPUTED_VALUE"""),500000.0)</f>
        <v>500000</v>
      </c>
      <c r="I142" s="24">
        <f>IFERROR(__xludf.DUMMYFUNCTION("""COMPUTED_VALUE"""),0.0)</f>
        <v>0</v>
      </c>
    </row>
    <row r="143">
      <c r="A143" s="5" t="str">
        <f>IFERROR(__xludf.DUMMYFUNCTION("""COMPUTED_VALUE"""),"18649")</f>
        <v>18649</v>
      </c>
      <c r="B143" s="64">
        <f>IFERROR(__xludf.DUMMYFUNCTION("""COMPUTED_VALUE"""),44601.0)</f>
        <v>44601</v>
      </c>
      <c r="C143" s="5"/>
      <c r="D143" s="5"/>
      <c r="E143" s="5"/>
      <c r="F143" s="22">
        <f>IFERROR(__xludf.DUMMYFUNCTION("""COMPUTED_VALUE"""),500000.0)</f>
        <v>500000</v>
      </c>
      <c r="G143" s="22">
        <f>IFERROR(__xludf.DUMMYFUNCTION("""COMPUTED_VALUE"""),0.0)</f>
        <v>0</v>
      </c>
      <c r="H143" s="22">
        <f>IFERROR(__xludf.DUMMYFUNCTION("""COMPUTED_VALUE"""),500000.0)</f>
        <v>500000</v>
      </c>
      <c r="I143" s="24">
        <f>IFERROR(__xludf.DUMMYFUNCTION("""COMPUTED_VALUE"""),0.0)</f>
        <v>0</v>
      </c>
    </row>
    <row r="144">
      <c r="A144" s="5" t="str">
        <f>IFERROR(__xludf.DUMMYFUNCTION("""COMPUTED_VALUE"""),"18649")</f>
        <v>18649</v>
      </c>
      <c r="B144" s="64">
        <f>IFERROR(__xludf.DUMMYFUNCTION("""COMPUTED_VALUE"""),44602.0)</f>
        <v>44602</v>
      </c>
      <c r="C144" s="5"/>
      <c r="D144" s="5"/>
      <c r="E144" s="5"/>
      <c r="F144" s="22">
        <f>IFERROR(__xludf.DUMMYFUNCTION("""COMPUTED_VALUE"""),500000.0)</f>
        <v>500000</v>
      </c>
      <c r="G144" s="22">
        <f>IFERROR(__xludf.DUMMYFUNCTION("""COMPUTED_VALUE"""),0.0)</f>
        <v>0</v>
      </c>
      <c r="H144" s="22">
        <f>IFERROR(__xludf.DUMMYFUNCTION("""COMPUTED_VALUE"""),500000.0)</f>
        <v>500000</v>
      </c>
      <c r="I144" s="24">
        <f>IFERROR(__xludf.DUMMYFUNCTION("""COMPUTED_VALUE"""),0.0)</f>
        <v>0</v>
      </c>
    </row>
    <row r="145">
      <c r="A145" s="5" t="str">
        <f>IFERROR(__xludf.DUMMYFUNCTION("""COMPUTED_VALUE"""),"18649")</f>
        <v>18649</v>
      </c>
      <c r="B145" s="64">
        <f>IFERROR(__xludf.DUMMYFUNCTION("""COMPUTED_VALUE"""),44603.0)</f>
        <v>44603</v>
      </c>
      <c r="C145" s="5"/>
      <c r="D145" s="5"/>
      <c r="E145" s="5"/>
      <c r="F145" s="22">
        <f>IFERROR(__xludf.DUMMYFUNCTION("""COMPUTED_VALUE"""),500000.0)</f>
        <v>500000</v>
      </c>
      <c r="G145" s="22">
        <f>IFERROR(__xludf.DUMMYFUNCTION("""COMPUTED_VALUE"""),0.0)</f>
        <v>0</v>
      </c>
      <c r="H145" s="22">
        <f>IFERROR(__xludf.DUMMYFUNCTION("""COMPUTED_VALUE"""),500000.0)</f>
        <v>500000</v>
      </c>
      <c r="I145" s="24">
        <f>IFERROR(__xludf.DUMMYFUNCTION("""COMPUTED_VALUE"""),0.0)</f>
        <v>0</v>
      </c>
    </row>
    <row r="146">
      <c r="A146" s="5" t="str">
        <f>IFERROR(__xludf.DUMMYFUNCTION("""COMPUTED_VALUE"""),"18649")</f>
        <v>18649</v>
      </c>
      <c r="B146" s="64">
        <f>IFERROR(__xludf.DUMMYFUNCTION("""COMPUTED_VALUE"""),44604.0)</f>
        <v>44604</v>
      </c>
      <c r="C146" s="5"/>
      <c r="D146" s="5"/>
      <c r="E146" s="5"/>
      <c r="F146" s="22">
        <f>IFERROR(__xludf.DUMMYFUNCTION("""COMPUTED_VALUE"""),500000.0)</f>
        <v>500000</v>
      </c>
      <c r="G146" s="22">
        <f>IFERROR(__xludf.DUMMYFUNCTION("""COMPUTED_VALUE"""),0.0)</f>
        <v>0</v>
      </c>
      <c r="H146" s="22">
        <f>IFERROR(__xludf.DUMMYFUNCTION("""COMPUTED_VALUE"""),500000.0)</f>
        <v>500000</v>
      </c>
      <c r="I146" s="24">
        <f>IFERROR(__xludf.DUMMYFUNCTION("""COMPUTED_VALUE"""),0.0)</f>
        <v>0</v>
      </c>
    </row>
    <row r="147">
      <c r="A147" s="5" t="str">
        <f>IFERROR(__xludf.DUMMYFUNCTION("""COMPUTED_VALUE"""),"18649")</f>
        <v>18649</v>
      </c>
      <c r="B147" s="64">
        <f>IFERROR(__xludf.DUMMYFUNCTION("""COMPUTED_VALUE"""),44605.0)</f>
        <v>44605</v>
      </c>
      <c r="C147" s="5"/>
      <c r="D147" s="5"/>
      <c r="E147" s="5"/>
      <c r="F147" s="22">
        <f>IFERROR(__xludf.DUMMYFUNCTION("""COMPUTED_VALUE"""),500000.0)</f>
        <v>500000</v>
      </c>
      <c r="G147" s="22">
        <f>IFERROR(__xludf.DUMMYFUNCTION("""COMPUTED_VALUE"""),0.0)</f>
        <v>0</v>
      </c>
      <c r="H147" s="22">
        <f>IFERROR(__xludf.DUMMYFUNCTION("""COMPUTED_VALUE"""),500000.0)</f>
        <v>500000</v>
      </c>
      <c r="I147" s="24">
        <f>IFERROR(__xludf.DUMMYFUNCTION("""COMPUTED_VALUE"""),0.0)</f>
        <v>0</v>
      </c>
    </row>
    <row r="148">
      <c r="A148" s="5" t="str">
        <f>IFERROR(__xludf.DUMMYFUNCTION("""COMPUTED_VALUE"""),"18649")</f>
        <v>18649</v>
      </c>
      <c r="B148" s="64">
        <f>IFERROR(__xludf.DUMMYFUNCTION("""COMPUTED_VALUE"""),44606.0)</f>
        <v>44606</v>
      </c>
      <c r="C148" s="5"/>
      <c r="D148" s="5"/>
      <c r="E148" s="5"/>
      <c r="F148" s="22">
        <f>IFERROR(__xludf.DUMMYFUNCTION("""COMPUTED_VALUE"""),500000.0)</f>
        <v>500000</v>
      </c>
      <c r="G148" s="22">
        <f>IFERROR(__xludf.DUMMYFUNCTION("""COMPUTED_VALUE"""),0.0)</f>
        <v>0</v>
      </c>
      <c r="H148" s="22">
        <f>IFERROR(__xludf.DUMMYFUNCTION("""COMPUTED_VALUE"""),500000.0)</f>
        <v>500000</v>
      </c>
      <c r="I148" s="24">
        <f>IFERROR(__xludf.DUMMYFUNCTION("""COMPUTED_VALUE"""),0.0)</f>
        <v>0</v>
      </c>
    </row>
    <row r="149">
      <c r="A149" s="5" t="str">
        <f>IFERROR(__xludf.DUMMYFUNCTION("""COMPUTED_VALUE"""),"18649")</f>
        <v>18649</v>
      </c>
      <c r="B149" s="64">
        <f>IFERROR(__xludf.DUMMYFUNCTION("""COMPUTED_VALUE"""),44607.0)</f>
        <v>44607</v>
      </c>
      <c r="C149" s="5"/>
      <c r="D149" s="5"/>
      <c r="E149" s="5"/>
      <c r="F149" s="22">
        <f>IFERROR(__xludf.DUMMYFUNCTION("""COMPUTED_VALUE"""),500000.0)</f>
        <v>500000</v>
      </c>
      <c r="G149" s="22">
        <f>IFERROR(__xludf.DUMMYFUNCTION("""COMPUTED_VALUE"""),0.0)</f>
        <v>0</v>
      </c>
      <c r="H149" s="22">
        <f>IFERROR(__xludf.DUMMYFUNCTION("""COMPUTED_VALUE"""),500000.0)</f>
        <v>500000</v>
      </c>
      <c r="I149" s="24">
        <f>IFERROR(__xludf.DUMMYFUNCTION("""COMPUTED_VALUE"""),0.0)</f>
        <v>0</v>
      </c>
    </row>
    <row r="150">
      <c r="A150" s="5" t="str">
        <f>IFERROR(__xludf.DUMMYFUNCTION("""COMPUTED_VALUE"""),"18649")</f>
        <v>18649</v>
      </c>
      <c r="B150" s="64">
        <f>IFERROR(__xludf.DUMMYFUNCTION("""COMPUTED_VALUE"""),44608.0)</f>
        <v>44608</v>
      </c>
      <c r="C150" s="5"/>
      <c r="D150" s="5"/>
      <c r="E150" s="5"/>
      <c r="F150" s="22">
        <f>IFERROR(__xludf.DUMMYFUNCTION("""COMPUTED_VALUE"""),500000.0)</f>
        <v>500000</v>
      </c>
      <c r="G150" s="22">
        <f>IFERROR(__xludf.DUMMYFUNCTION("""COMPUTED_VALUE"""),0.0)</f>
        <v>0</v>
      </c>
      <c r="H150" s="22">
        <f>IFERROR(__xludf.DUMMYFUNCTION("""COMPUTED_VALUE"""),500000.0)</f>
        <v>500000</v>
      </c>
      <c r="I150" s="24">
        <f>IFERROR(__xludf.DUMMYFUNCTION("""COMPUTED_VALUE"""),0.0)</f>
        <v>0</v>
      </c>
    </row>
    <row r="151">
      <c r="A151" s="5" t="str">
        <f>IFERROR(__xludf.DUMMYFUNCTION("""COMPUTED_VALUE"""),"18649")</f>
        <v>18649</v>
      </c>
      <c r="B151" s="64">
        <f>IFERROR(__xludf.DUMMYFUNCTION("""COMPUTED_VALUE"""),44609.0)</f>
        <v>44609</v>
      </c>
      <c r="C151" s="5"/>
      <c r="D151" s="5"/>
      <c r="E151" s="5"/>
      <c r="F151" s="22">
        <f>IFERROR(__xludf.DUMMYFUNCTION("""COMPUTED_VALUE"""),500000.0)</f>
        <v>500000</v>
      </c>
      <c r="G151" s="22">
        <f>IFERROR(__xludf.DUMMYFUNCTION("""COMPUTED_VALUE"""),0.0)</f>
        <v>0</v>
      </c>
      <c r="H151" s="22">
        <f>IFERROR(__xludf.DUMMYFUNCTION("""COMPUTED_VALUE"""),500000.0)</f>
        <v>500000</v>
      </c>
      <c r="I151" s="24">
        <f>IFERROR(__xludf.DUMMYFUNCTION("""COMPUTED_VALUE"""),0.0)</f>
        <v>0</v>
      </c>
    </row>
    <row r="152">
      <c r="A152" s="5" t="str">
        <f>IFERROR(__xludf.DUMMYFUNCTION("""COMPUTED_VALUE"""),"18649")</f>
        <v>18649</v>
      </c>
      <c r="B152" s="64">
        <f>IFERROR(__xludf.DUMMYFUNCTION("""COMPUTED_VALUE"""),44610.0)</f>
        <v>44610</v>
      </c>
      <c r="C152" s="5"/>
      <c r="D152" s="5"/>
      <c r="E152" s="5"/>
      <c r="F152" s="22">
        <f>IFERROR(__xludf.DUMMYFUNCTION("""COMPUTED_VALUE"""),500000.0)</f>
        <v>500000</v>
      </c>
      <c r="G152" s="22">
        <f>IFERROR(__xludf.DUMMYFUNCTION("""COMPUTED_VALUE"""),0.0)</f>
        <v>0</v>
      </c>
      <c r="H152" s="22">
        <f>IFERROR(__xludf.DUMMYFUNCTION("""COMPUTED_VALUE"""),500000.0)</f>
        <v>500000</v>
      </c>
      <c r="I152" s="24">
        <f>IFERROR(__xludf.DUMMYFUNCTION("""COMPUTED_VALUE"""),0.0)</f>
        <v>0</v>
      </c>
    </row>
    <row r="153">
      <c r="A153" s="5" t="str">
        <f>IFERROR(__xludf.DUMMYFUNCTION("""COMPUTED_VALUE"""),"18649")</f>
        <v>18649</v>
      </c>
      <c r="B153" s="64">
        <f>IFERROR(__xludf.DUMMYFUNCTION("""COMPUTED_VALUE"""),44611.0)</f>
        <v>44611</v>
      </c>
      <c r="C153" s="5"/>
      <c r="D153" s="5"/>
      <c r="E153" s="5"/>
      <c r="F153" s="22">
        <f>IFERROR(__xludf.DUMMYFUNCTION("""COMPUTED_VALUE"""),500000.0)</f>
        <v>500000</v>
      </c>
      <c r="G153" s="22">
        <f>IFERROR(__xludf.DUMMYFUNCTION("""COMPUTED_VALUE"""),0.0)</f>
        <v>0</v>
      </c>
      <c r="H153" s="22">
        <f>IFERROR(__xludf.DUMMYFUNCTION("""COMPUTED_VALUE"""),500000.0)</f>
        <v>500000</v>
      </c>
      <c r="I153" s="24">
        <f>IFERROR(__xludf.DUMMYFUNCTION("""COMPUTED_VALUE"""),0.0)</f>
        <v>0</v>
      </c>
    </row>
    <row r="154">
      <c r="A154" s="5" t="str">
        <f>IFERROR(__xludf.DUMMYFUNCTION("""COMPUTED_VALUE"""),"18649")</f>
        <v>18649</v>
      </c>
      <c r="B154" s="64">
        <f>IFERROR(__xludf.DUMMYFUNCTION("""COMPUTED_VALUE"""),44612.0)</f>
        <v>44612</v>
      </c>
      <c r="C154" s="5"/>
      <c r="D154" s="5"/>
      <c r="E154" s="5"/>
      <c r="F154" s="22">
        <f>IFERROR(__xludf.DUMMYFUNCTION("""COMPUTED_VALUE"""),500000.0)</f>
        <v>500000</v>
      </c>
      <c r="G154" s="22">
        <f>IFERROR(__xludf.DUMMYFUNCTION("""COMPUTED_VALUE"""),0.0)</f>
        <v>0</v>
      </c>
      <c r="H154" s="22">
        <f>IFERROR(__xludf.DUMMYFUNCTION("""COMPUTED_VALUE"""),500000.0)</f>
        <v>500000</v>
      </c>
      <c r="I154" s="24">
        <f>IFERROR(__xludf.DUMMYFUNCTION("""COMPUTED_VALUE"""),0.0)</f>
        <v>0</v>
      </c>
    </row>
    <row r="155">
      <c r="A155" s="5" t="str">
        <f>IFERROR(__xludf.DUMMYFUNCTION("""COMPUTED_VALUE"""),"18649")</f>
        <v>18649</v>
      </c>
      <c r="B155" s="64">
        <f>IFERROR(__xludf.DUMMYFUNCTION("""COMPUTED_VALUE"""),44613.0)</f>
        <v>44613</v>
      </c>
      <c r="C155" s="5"/>
      <c r="D155" s="5"/>
      <c r="E155" s="5"/>
      <c r="F155" s="22">
        <f>IFERROR(__xludf.DUMMYFUNCTION("""COMPUTED_VALUE"""),500000.0)</f>
        <v>500000</v>
      </c>
      <c r="G155" s="22">
        <f>IFERROR(__xludf.DUMMYFUNCTION("""COMPUTED_VALUE"""),0.0)</f>
        <v>0</v>
      </c>
      <c r="H155" s="22">
        <f>IFERROR(__xludf.DUMMYFUNCTION("""COMPUTED_VALUE"""),500000.0)</f>
        <v>500000</v>
      </c>
      <c r="I155" s="24">
        <f>IFERROR(__xludf.DUMMYFUNCTION("""COMPUTED_VALUE"""),0.0)</f>
        <v>0</v>
      </c>
    </row>
    <row r="156">
      <c r="A156" s="5" t="str">
        <f>IFERROR(__xludf.DUMMYFUNCTION("""COMPUTED_VALUE"""),"18649")</f>
        <v>18649</v>
      </c>
      <c r="B156" s="64">
        <f>IFERROR(__xludf.DUMMYFUNCTION("""COMPUTED_VALUE"""),44614.0)</f>
        <v>44614</v>
      </c>
      <c r="C156" s="5"/>
      <c r="D156" s="5"/>
      <c r="E156" s="5"/>
      <c r="F156" s="22">
        <f>IFERROR(__xludf.DUMMYFUNCTION("""COMPUTED_VALUE"""),500000.0)</f>
        <v>500000</v>
      </c>
      <c r="G156" s="22">
        <f>IFERROR(__xludf.DUMMYFUNCTION("""COMPUTED_VALUE"""),0.0)</f>
        <v>0</v>
      </c>
      <c r="H156" s="22">
        <f>IFERROR(__xludf.DUMMYFUNCTION("""COMPUTED_VALUE"""),500000.0)</f>
        <v>500000</v>
      </c>
      <c r="I156" s="24">
        <f>IFERROR(__xludf.DUMMYFUNCTION("""COMPUTED_VALUE"""),0.0)</f>
        <v>0</v>
      </c>
    </row>
    <row r="157">
      <c r="A157" s="5" t="str">
        <f>IFERROR(__xludf.DUMMYFUNCTION("""COMPUTED_VALUE"""),"18649")</f>
        <v>18649</v>
      </c>
      <c r="B157" s="64">
        <f>IFERROR(__xludf.DUMMYFUNCTION("""COMPUTED_VALUE"""),44615.0)</f>
        <v>44615</v>
      </c>
      <c r="C157" s="5"/>
      <c r="D157" s="5"/>
      <c r="E157" s="5"/>
      <c r="F157" s="22">
        <f>IFERROR(__xludf.DUMMYFUNCTION("""COMPUTED_VALUE"""),500000.0)</f>
        <v>500000</v>
      </c>
      <c r="G157" s="22">
        <f>IFERROR(__xludf.DUMMYFUNCTION("""COMPUTED_VALUE"""),0.0)</f>
        <v>0</v>
      </c>
      <c r="H157" s="22">
        <f>IFERROR(__xludf.DUMMYFUNCTION("""COMPUTED_VALUE"""),500000.0)</f>
        <v>500000</v>
      </c>
      <c r="I157" s="24">
        <f>IFERROR(__xludf.DUMMYFUNCTION("""COMPUTED_VALUE"""),0.0)</f>
        <v>0</v>
      </c>
    </row>
    <row r="158">
      <c r="A158" s="5" t="str">
        <f>IFERROR(__xludf.DUMMYFUNCTION("""COMPUTED_VALUE"""),"18649")</f>
        <v>18649</v>
      </c>
      <c r="B158" s="64">
        <f>IFERROR(__xludf.DUMMYFUNCTION("""COMPUTED_VALUE"""),44616.0)</f>
        <v>44616</v>
      </c>
      <c r="C158" s="5"/>
      <c r="D158" s="5"/>
      <c r="E158" s="5"/>
      <c r="F158" s="22">
        <f>IFERROR(__xludf.DUMMYFUNCTION("""COMPUTED_VALUE"""),500000.0)</f>
        <v>500000</v>
      </c>
      <c r="G158" s="22">
        <f>IFERROR(__xludf.DUMMYFUNCTION("""COMPUTED_VALUE"""),0.0)</f>
        <v>0</v>
      </c>
      <c r="H158" s="22">
        <f>IFERROR(__xludf.DUMMYFUNCTION("""COMPUTED_VALUE"""),500000.0)</f>
        <v>500000</v>
      </c>
      <c r="I158" s="24">
        <f>IFERROR(__xludf.DUMMYFUNCTION("""COMPUTED_VALUE"""),0.0)</f>
        <v>0</v>
      </c>
    </row>
    <row r="159">
      <c r="A159" s="5" t="str">
        <f>IFERROR(__xludf.DUMMYFUNCTION("""COMPUTED_VALUE"""),"18649")</f>
        <v>18649</v>
      </c>
      <c r="B159" s="64">
        <f>IFERROR(__xludf.DUMMYFUNCTION("""COMPUTED_VALUE"""),44617.0)</f>
        <v>44617</v>
      </c>
      <c r="C159" s="5"/>
      <c r="D159" s="5"/>
      <c r="E159" s="5"/>
      <c r="F159" s="22">
        <f>IFERROR(__xludf.DUMMYFUNCTION("""COMPUTED_VALUE"""),500000.0)</f>
        <v>500000</v>
      </c>
      <c r="G159" s="22">
        <f>IFERROR(__xludf.DUMMYFUNCTION("""COMPUTED_VALUE"""),0.0)</f>
        <v>0</v>
      </c>
      <c r="H159" s="22">
        <f>IFERROR(__xludf.DUMMYFUNCTION("""COMPUTED_VALUE"""),500000.0)</f>
        <v>500000</v>
      </c>
      <c r="I159" s="24">
        <f>IFERROR(__xludf.DUMMYFUNCTION("""COMPUTED_VALUE"""),0.0)</f>
        <v>0</v>
      </c>
    </row>
    <row r="160">
      <c r="A160" s="5" t="str">
        <f>IFERROR(__xludf.DUMMYFUNCTION("""COMPUTED_VALUE"""),"18649")</f>
        <v>18649</v>
      </c>
      <c r="B160" s="64">
        <f>IFERROR(__xludf.DUMMYFUNCTION("""COMPUTED_VALUE"""),44618.0)</f>
        <v>44618</v>
      </c>
      <c r="C160" s="5"/>
      <c r="D160" s="5"/>
      <c r="E160" s="5"/>
      <c r="F160" s="22">
        <f>IFERROR(__xludf.DUMMYFUNCTION("""COMPUTED_VALUE"""),500000.0)</f>
        <v>500000</v>
      </c>
      <c r="G160" s="22">
        <f>IFERROR(__xludf.DUMMYFUNCTION("""COMPUTED_VALUE"""),0.0)</f>
        <v>0</v>
      </c>
      <c r="H160" s="22">
        <f>IFERROR(__xludf.DUMMYFUNCTION("""COMPUTED_VALUE"""),500000.0)</f>
        <v>500000</v>
      </c>
      <c r="I160" s="24">
        <f>IFERROR(__xludf.DUMMYFUNCTION("""COMPUTED_VALUE"""),0.0)</f>
        <v>0</v>
      </c>
    </row>
    <row r="161">
      <c r="A161" s="5" t="str">
        <f>IFERROR(__xludf.DUMMYFUNCTION("""COMPUTED_VALUE"""),"18649")</f>
        <v>18649</v>
      </c>
      <c r="B161" s="64">
        <f>IFERROR(__xludf.DUMMYFUNCTION("""COMPUTED_VALUE"""),44619.0)</f>
        <v>44619</v>
      </c>
      <c r="C161" s="5"/>
      <c r="D161" s="5"/>
      <c r="E161" s="5"/>
      <c r="F161" s="22">
        <f>IFERROR(__xludf.DUMMYFUNCTION("""COMPUTED_VALUE"""),500000.0)</f>
        <v>500000</v>
      </c>
      <c r="G161" s="22">
        <f>IFERROR(__xludf.DUMMYFUNCTION("""COMPUTED_VALUE"""),0.0)</f>
        <v>0</v>
      </c>
      <c r="H161" s="22">
        <f>IFERROR(__xludf.DUMMYFUNCTION("""COMPUTED_VALUE"""),500000.0)</f>
        <v>500000</v>
      </c>
      <c r="I161" s="24">
        <f>IFERROR(__xludf.DUMMYFUNCTION("""COMPUTED_VALUE"""),0.0)</f>
        <v>0</v>
      </c>
    </row>
    <row r="162">
      <c r="A162" s="5" t="str">
        <f>IFERROR(__xludf.DUMMYFUNCTION("""COMPUTED_VALUE"""),"18649")</f>
        <v>18649</v>
      </c>
      <c r="B162" s="64">
        <f>IFERROR(__xludf.DUMMYFUNCTION("""COMPUTED_VALUE"""),44620.0)</f>
        <v>44620</v>
      </c>
      <c r="C162" s="5"/>
      <c r="D162" s="5"/>
      <c r="E162" s="5"/>
      <c r="F162" s="22">
        <f>IFERROR(__xludf.DUMMYFUNCTION("""COMPUTED_VALUE"""),500000.0)</f>
        <v>500000</v>
      </c>
      <c r="G162" s="22">
        <f>IFERROR(__xludf.DUMMYFUNCTION("""COMPUTED_VALUE"""),0.0)</f>
        <v>0</v>
      </c>
      <c r="H162" s="22">
        <f>IFERROR(__xludf.DUMMYFUNCTION("""COMPUTED_VALUE"""),500000.0)</f>
        <v>500000</v>
      </c>
      <c r="I162" s="24">
        <f>IFERROR(__xludf.DUMMYFUNCTION("""COMPUTED_VALUE"""),0.0)</f>
        <v>0</v>
      </c>
    </row>
    <row r="163">
      <c r="A163" s="5" t="str">
        <f>IFERROR(__xludf.DUMMYFUNCTION("""COMPUTED_VALUE"""),"18649")</f>
        <v>18649</v>
      </c>
      <c r="B163" s="64">
        <f>IFERROR(__xludf.DUMMYFUNCTION("""COMPUTED_VALUE"""),44621.0)</f>
        <v>44621</v>
      </c>
      <c r="C163" s="5"/>
      <c r="D163" s="5"/>
      <c r="E163" s="5"/>
      <c r="F163" s="22">
        <f>IFERROR(__xludf.DUMMYFUNCTION("""COMPUTED_VALUE"""),500000.0)</f>
        <v>500000</v>
      </c>
      <c r="G163" s="22">
        <f>IFERROR(__xludf.DUMMYFUNCTION("""COMPUTED_VALUE"""),0.0)</f>
        <v>0</v>
      </c>
      <c r="H163" s="22">
        <f>IFERROR(__xludf.DUMMYFUNCTION("""COMPUTED_VALUE"""),500000.0)</f>
        <v>500000</v>
      </c>
      <c r="I163" s="24">
        <f>IFERROR(__xludf.DUMMYFUNCTION("""COMPUTED_VALUE"""),0.0)</f>
        <v>0</v>
      </c>
    </row>
    <row r="164">
      <c r="A164" s="5" t="str">
        <f>IFERROR(__xludf.DUMMYFUNCTION("""COMPUTED_VALUE"""),"18649")</f>
        <v>18649</v>
      </c>
      <c r="B164" s="64">
        <f>IFERROR(__xludf.DUMMYFUNCTION("""COMPUTED_VALUE"""),44622.0)</f>
        <v>44622</v>
      </c>
      <c r="C164" s="5"/>
      <c r="D164" s="5"/>
      <c r="E164" s="5"/>
      <c r="F164" s="22">
        <f>IFERROR(__xludf.DUMMYFUNCTION("""COMPUTED_VALUE"""),500000.0)</f>
        <v>500000</v>
      </c>
      <c r="G164" s="22">
        <f>IFERROR(__xludf.DUMMYFUNCTION("""COMPUTED_VALUE"""),0.0)</f>
        <v>0</v>
      </c>
      <c r="H164" s="22">
        <f>IFERROR(__xludf.DUMMYFUNCTION("""COMPUTED_VALUE"""),500000.0)</f>
        <v>500000</v>
      </c>
      <c r="I164" s="24">
        <f>IFERROR(__xludf.DUMMYFUNCTION("""COMPUTED_VALUE"""),0.0)</f>
        <v>0</v>
      </c>
    </row>
    <row r="165">
      <c r="A165" s="5" t="str">
        <f>IFERROR(__xludf.DUMMYFUNCTION("""COMPUTED_VALUE"""),"18649")</f>
        <v>18649</v>
      </c>
      <c r="B165" s="64">
        <f>IFERROR(__xludf.DUMMYFUNCTION("""COMPUTED_VALUE"""),44623.0)</f>
        <v>44623</v>
      </c>
      <c r="C165" s="5"/>
      <c r="D165" s="5"/>
      <c r="E165" s="5"/>
      <c r="F165" s="22">
        <f>IFERROR(__xludf.DUMMYFUNCTION("""COMPUTED_VALUE"""),500000.0)</f>
        <v>500000</v>
      </c>
      <c r="G165" s="22">
        <f>IFERROR(__xludf.DUMMYFUNCTION("""COMPUTED_VALUE"""),0.0)</f>
        <v>0</v>
      </c>
      <c r="H165" s="22">
        <f>IFERROR(__xludf.DUMMYFUNCTION("""COMPUTED_VALUE"""),500000.0)</f>
        <v>500000</v>
      </c>
      <c r="I165" s="24">
        <f>IFERROR(__xludf.DUMMYFUNCTION("""COMPUTED_VALUE"""),0.0)</f>
        <v>0</v>
      </c>
    </row>
    <row r="166">
      <c r="A166" s="5" t="str">
        <f>IFERROR(__xludf.DUMMYFUNCTION("""COMPUTED_VALUE"""),"18649")</f>
        <v>18649</v>
      </c>
      <c r="B166" s="64">
        <f>IFERROR(__xludf.DUMMYFUNCTION("""COMPUTED_VALUE"""),44624.0)</f>
        <v>44624</v>
      </c>
      <c r="C166" s="5"/>
      <c r="D166" s="5"/>
      <c r="E166" s="5"/>
      <c r="F166" s="22">
        <f>IFERROR(__xludf.DUMMYFUNCTION("""COMPUTED_VALUE"""),500000.0)</f>
        <v>500000</v>
      </c>
      <c r="G166" s="22">
        <f>IFERROR(__xludf.DUMMYFUNCTION("""COMPUTED_VALUE"""),0.0)</f>
        <v>0</v>
      </c>
      <c r="H166" s="22">
        <f>IFERROR(__xludf.DUMMYFUNCTION("""COMPUTED_VALUE"""),500000.0)</f>
        <v>500000</v>
      </c>
      <c r="I166" s="24">
        <f>IFERROR(__xludf.DUMMYFUNCTION("""COMPUTED_VALUE"""),0.0)</f>
        <v>0</v>
      </c>
    </row>
    <row r="167">
      <c r="A167" s="5" t="str">
        <f>IFERROR(__xludf.DUMMYFUNCTION("""COMPUTED_VALUE"""),"18649")</f>
        <v>18649</v>
      </c>
      <c r="B167" s="64">
        <f>IFERROR(__xludf.DUMMYFUNCTION("""COMPUTED_VALUE"""),44625.0)</f>
        <v>44625</v>
      </c>
      <c r="C167" s="5"/>
      <c r="D167" s="5"/>
      <c r="E167" s="5"/>
      <c r="F167" s="22">
        <f>IFERROR(__xludf.DUMMYFUNCTION("""COMPUTED_VALUE"""),500000.0)</f>
        <v>500000</v>
      </c>
      <c r="G167" s="22">
        <f>IFERROR(__xludf.DUMMYFUNCTION("""COMPUTED_VALUE"""),0.0)</f>
        <v>0</v>
      </c>
      <c r="H167" s="22">
        <f>IFERROR(__xludf.DUMMYFUNCTION("""COMPUTED_VALUE"""),500000.0)</f>
        <v>500000</v>
      </c>
      <c r="I167" s="24">
        <f>IFERROR(__xludf.DUMMYFUNCTION("""COMPUTED_VALUE"""),0.0)</f>
        <v>0</v>
      </c>
    </row>
    <row r="168">
      <c r="A168" s="5" t="str">
        <f>IFERROR(__xludf.DUMMYFUNCTION("""COMPUTED_VALUE"""),"18649")</f>
        <v>18649</v>
      </c>
      <c r="B168" s="64">
        <f>IFERROR(__xludf.DUMMYFUNCTION("""COMPUTED_VALUE"""),44626.0)</f>
        <v>44626</v>
      </c>
      <c r="C168" s="5"/>
      <c r="D168" s="5"/>
      <c r="E168" s="5"/>
      <c r="F168" s="22">
        <f>IFERROR(__xludf.DUMMYFUNCTION("""COMPUTED_VALUE"""),500000.0)</f>
        <v>500000</v>
      </c>
      <c r="G168" s="22">
        <f>IFERROR(__xludf.DUMMYFUNCTION("""COMPUTED_VALUE"""),0.0)</f>
        <v>0</v>
      </c>
      <c r="H168" s="22">
        <f>IFERROR(__xludf.DUMMYFUNCTION("""COMPUTED_VALUE"""),500000.0)</f>
        <v>500000</v>
      </c>
      <c r="I168" s="24">
        <f>IFERROR(__xludf.DUMMYFUNCTION("""COMPUTED_VALUE"""),0.0)</f>
        <v>0</v>
      </c>
    </row>
    <row r="169">
      <c r="A169" s="5" t="str">
        <f>IFERROR(__xludf.DUMMYFUNCTION("""COMPUTED_VALUE"""),"18649")</f>
        <v>18649</v>
      </c>
      <c r="B169" s="64">
        <f>IFERROR(__xludf.DUMMYFUNCTION("""COMPUTED_VALUE"""),44627.0)</f>
        <v>44627</v>
      </c>
      <c r="C169" s="5"/>
      <c r="D169" s="5"/>
      <c r="E169" s="5"/>
      <c r="F169" s="22">
        <f>IFERROR(__xludf.DUMMYFUNCTION("""COMPUTED_VALUE"""),500000.0)</f>
        <v>500000</v>
      </c>
      <c r="G169" s="22">
        <f>IFERROR(__xludf.DUMMYFUNCTION("""COMPUTED_VALUE"""),0.0)</f>
        <v>0</v>
      </c>
      <c r="H169" s="22">
        <f>IFERROR(__xludf.DUMMYFUNCTION("""COMPUTED_VALUE"""),500000.0)</f>
        <v>500000</v>
      </c>
      <c r="I169" s="24">
        <f>IFERROR(__xludf.DUMMYFUNCTION("""COMPUTED_VALUE"""),0.0)</f>
        <v>0</v>
      </c>
    </row>
    <row r="170">
      <c r="A170" s="5" t="str">
        <f>IFERROR(__xludf.DUMMYFUNCTION("""COMPUTED_VALUE"""),"18649")</f>
        <v>18649</v>
      </c>
      <c r="B170" s="64">
        <f>IFERROR(__xludf.DUMMYFUNCTION("""COMPUTED_VALUE"""),44628.0)</f>
        <v>44628</v>
      </c>
      <c r="C170" s="5"/>
      <c r="D170" s="5"/>
      <c r="E170" s="5"/>
      <c r="F170" s="22">
        <f>IFERROR(__xludf.DUMMYFUNCTION("""COMPUTED_VALUE"""),500000.0)</f>
        <v>500000</v>
      </c>
      <c r="G170" s="22">
        <f>IFERROR(__xludf.DUMMYFUNCTION("""COMPUTED_VALUE"""),0.0)</f>
        <v>0</v>
      </c>
      <c r="H170" s="22">
        <f>IFERROR(__xludf.DUMMYFUNCTION("""COMPUTED_VALUE"""),500000.0)</f>
        <v>500000</v>
      </c>
      <c r="I170" s="24">
        <f>IFERROR(__xludf.DUMMYFUNCTION("""COMPUTED_VALUE"""),0.0)</f>
        <v>0</v>
      </c>
    </row>
    <row r="171">
      <c r="A171" s="5" t="str">
        <f>IFERROR(__xludf.DUMMYFUNCTION("""COMPUTED_VALUE"""),"18649")</f>
        <v>18649</v>
      </c>
      <c r="B171" s="64">
        <f>IFERROR(__xludf.DUMMYFUNCTION("""COMPUTED_VALUE"""),44629.0)</f>
        <v>44629</v>
      </c>
      <c r="C171" s="5"/>
      <c r="D171" s="5"/>
      <c r="E171" s="5"/>
      <c r="F171" s="22">
        <f>IFERROR(__xludf.DUMMYFUNCTION("""COMPUTED_VALUE"""),500000.0)</f>
        <v>500000</v>
      </c>
      <c r="G171" s="22">
        <f>IFERROR(__xludf.DUMMYFUNCTION("""COMPUTED_VALUE"""),0.0)</f>
        <v>0</v>
      </c>
      <c r="H171" s="22">
        <f>IFERROR(__xludf.DUMMYFUNCTION("""COMPUTED_VALUE"""),500000.0)</f>
        <v>500000</v>
      </c>
      <c r="I171" s="24">
        <f>IFERROR(__xludf.DUMMYFUNCTION("""COMPUTED_VALUE"""),0.0)</f>
        <v>0</v>
      </c>
    </row>
    <row r="172">
      <c r="A172" s="5" t="str">
        <f>IFERROR(__xludf.DUMMYFUNCTION("""COMPUTED_VALUE"""),"18649")</f>
        <v>18649</v>
      </c>
      <c r="B172" s="64">
        <f>IFERROR(__xludf.DUMMYFUNCTION("""COMPUTED_VALUE"""),44630.0)</f>
        <v>44630</v>
      </c>
      <c r="C172" s="5"/>
      <c r="D172" s="5"/>
      <c r="E172" s="5"/>
      <c r="F172" s="22">
        <f>IFERROR(__xludf.DUMMYFUNCTION("""COMPUTED_VALUE"""),500000.0)</f>
        <v>500000</v>
      </c>
      <c r="G172" s="22">
        <f>IFERROR(__xludf.DUMMYFUNCTION("""COMPUTED_VALUE"""),0.0)</f>
        <v>0</v>
      </c>
      <c r="H172" s="22">
        <f>IFERROR(__xludf.DUMMYFUNCTION("""COMPUTED_VALUE"""),500000.0)</f>
        <v>500000</v>
      </c>
      <c r="I172" s="24">
        <f>IFERROR(__xludf.DUMMYFUNCTION("""COMPUTED_VALUE"""),0.0)</f>
        <v>0</v>
      </c>
    </row>
    <row r="173">
      <c r="A173" s="5" t="str">
        <f>IFERROR(__xludf.DUMMYFUNCTION("""COMPUTED_VALUE"""),"18649")</f>
        <v>18649</v>
      </c>
      <c r="B173" s="64">
        <f>IFERROR(__xludf.DUMMYFUNCTION("""COMPUTED_VALUE"""),44631.0)</f>
        <v>44631</v>
      </c>
      <c r="C173" s="5"/>
      <c r="D173" s="5"/>
      <c r="E173" s="5"/>
      <c r="F173" s="22">
        <f>IFERROR(__xludf.DUMMYFUNCTION("""COMPUTED_VALUE"""),500000.0)</f>
        <v>500000</v>
      </c>
      <c r="G173" s="22">
        <f>IFERROR(__xludf.DUMMYFUNCTION("""COMPUTED_VALUE"""),0.0)</f>
        <v>0</v>
      </c>
      <c r="H173" s="22">
        <f>IFERROR(__xludf.DUMMYFUNCTION("""COMPUTED_VALUE"""),500000.0)</f>
        <v>500000</v>
      </c>
      <c r="I173" s="24">
        <f>IFERROR(__xludf.DUMMYFUNCTION("""COMPUTED_VALUE"""),0.0)</f>
        <v>0</v>
      </c>
    </row>
    <row r="174">
      <c r="A174" s="5" t="str">
        <f>IFERROR(__xludf.DUMMYFUNCTION("""COMPUTED_VALUE"""),"18649")</f>
        <v>18649</v>
      </c>
      <c r="B174" s="64">
        <f>IFERROR(__xludf.DUMMYFUNCTION("""COMPUTED_VALUE"""),44632.0)</f>
        <v>44632</v>
      </c>
      <c r="C174" s="5"/>
      <c r="D174" s="5"/>
      <c r="E174" s="5"/>
      <c r="F174" s="22">
        <f>IFERROR(__xludf.DUMMYFUNCTION("""COMPUTED_VALUE"""),500000.0)</f>
        <v>500000</v>
      </c>
      <c r="G174" s="22">
        <f>IFERROR(__xludf.DUMMYFUNCTION("""COMPUTED_VALUE"""),0.0)</f>
        <v>0</v>
      </c>
      <c r="H174" s="22">
        <f>IFERROR(__xludf.DUMMYFUNCTION("""COMPUTED_VALUE"""),500000.0)</f>
        <v>500000</v>
      </c>
      <c r="I174" s="24">
        <f>IFERROR(__xludf.DUMMYFUNCTION("""COMPUTED_VALUE"""),0.0)</f>
        <v>0</v>
      </c>
    </row>
    <row r="175">
      <c r="A175" s="5" t="str">
        <f>IFERROR(__xludf.DUMMYFUNCTION("""COMPUTED_VALUE"""),"18649")</f>
        <v>18649</v>
      </c>
      <c r="B175" s="64">
        <f>IFERROR(__xludf.DUMMYFUNCTION("""COMPUTED_VALUE"""),44633.0)</f>
        <v>44633</v>
      </c>
      <c r="C175" s="5"/>
      <c r="D175" s="5"/>
      <c r="E175" s="5"/>
      <c r="F175" s="22">
        <f>IFERROR(__xludf.DUMMYFUNCTION("""COMPUTED_VALUE"""),500000.0)</f>
        <v>500000</v>
      </c>
      <c r="G175" s="22">
        <f>IFERROR(__xludf.DUMMYFUNCTION("""COMPUTED_VALUE"""),0.0)</f>
        <v>0</v>
      </c>
      <c r="H175" s="22">
        <f>IFERROR(__xludf.DUMMYFUNCTION("""COMPUTED_VALUE"""),500000.0)</f>
        <v>500000</v>
      </c>
      <c r="I175" s="24">
        <f>IFERROR(__xludf.DUMMYFUNCTION("""COMPUTED_VALUE"""),0.0)</f>
        <v>0</v>
      </c>
    </row>
    <row r="176">
      <c r="A176" s="5" t="str">
        <f>IFERROR(__xludf.DUMMYFUNCTION("""COMPUTED_VALUE"""),"18649")</f>
        <v>18649</v>
      </c>
      <c r="B176" s="64">
        <f>IFERROR(__xludf.DUMMYFUNCTION("""COMPUTED_VALUE"""),44634.0)</f>
        <v>44634</v>
      </c>
      <c r="C176" s="5"/>
      <c r="D176" s="5"/>
      <c r="E176" s="5"/>
      <c r="F176" s="22">
        <f>IFERROR(__xludf.DUMMYFUNCTION("""COMPUTED_VALUE"""),500000.0)</f>
        <v>500000</v>
      </c>
      <c r="G176" s="22">
        <f>IFERROR(__xludf.DUMMYFUNCTION("""COMPUTED_VALUE"""),0.0)</f>
        <v>0</v>
      </c>
      <c r="H176" s="22">
        <f>IFERROR(__xludf.DUMMYFUNCTION("""COMPUTED_VALUE"""),500000.0)</f>
        <v>500000</v>
      </c>
      <c r="I176" s="24">
        <f>IFERROR(__xludf.DUMMYFUNCTION("""COMPUTED_VALUE"""),0.0)</f>
        <v>0</v>
      </c>
    </row>
    <row r="177">
      <c r="A177" s="5" t="str">
        <f>IFERROR(__xludf.DUMMYFUNCTION("""COMPUTED_VALUE"""),"18649")</f>
        <v>18649</v>
      </c>
      <c r="B177" s="64">
        <f>IFERROR(__xludf.DUMMYFUNCTION("""COMPUTED_VALUE"""),44635.0)</f>
        <v>44635</v>
      </c>
      <c r="C177" s="5"/>
      <c r="D177" s="5"/>
      <c r="E177" s="5"/>
      <c r="F177" s="22">
        <f>IFERROR(__xludf.DUMMYFUNCTION("""COMPUTED_VALUE"""),500000.0)</f>
        <v>500000</v>
      </c>
      <c r="G177" s="22">
        <f>IFERROR(__xludf.DUMMYFUNCTION("""COMPUTED_VALUE"""),0.0)</f>
        <v>0</v>
      </c>
      <c r="H177" s="22">
        <f>IFERROR(__xludf.DUMMYFUNCTION("""COMPUTED_VALUE"""),500000.0)</f>
        <v>500000</v>
      </c>
      <c r="I177" s="24">
        <f>IFERROR(__xludf.DUMMYFUNCTION("""COMPUTED_VALUE"""),0.0)</f>
        <v>0</v>
      </c>
    </row>
    <row r="178">
      <c r="A178" s="5" t="str">
        <f>IFERROR(__xludf.DUMMYFUNCTION("""COMPUTED_VALUE"""),"18649")</f>
        <v>18649</v>
      </c>
      <c r="B178" s="64">
        <f>IFERROR(__xludf.DUMMYFUNCTION("""COMPUTED_VALUE"""),44636.0)</f>
        <v>44636</v>
      </c>
      <c r="C178" s="5"/>
      <c r="D178" s="5"/>
      <c r="E178" s="5"/>
      <c r="F178" s="22">
        <f>IFERROR(__xludf.DUMMYFUNCTION("""COMPUTED_VALUE"""),500000.0)</f>
        <v>500000</v>
      </c>
      <c r="G178" s="22">
        <f>IFERROR(__xludf.DUMMYFUNCTION("""COMPUTED_VALUE"""),0.0)</f>
        <v>0</v>
      </c>
      <c r="H178" s="22">
        <f>IFERROR(__xludf.DUMMYFUNCTION("""COMPUTED_VALUE"""),500000.0)</f>
        <v>500000</v>
      </c>
      <c r="I178" s="24">
        <f>IFERROR(__xludf.DUMMYFUNCTION("""COMPUTED_VALUE"""),0.0)</f>
        <v>0</v>
      </c>
    </row>
    <row r="179">
      <c r="A179" s="5" t="str">
        <f>IFERROR(__xludf.DUMMYFUNCTION("""COMPUTED_VALUE"""),"18649")</f>
        <v>18649</v>
      </c>
      <c r="B179" s="64">
        <f>IFERROR(__xludf.DUMMYFUNCTION("""COMPUTED_VALUE"""),44637.0)</f>
        <v>44637</v>
      </c>
      <c r="C179" s="5"/>
      <c r="D179" s="5"/>
      <c r="E179" s="5"/>
      <c r="F179" s="22">
        <f>IFERROR(__xludf.DUMMYFUNCTION("""COMPUTED_VALUE"""),500000.0)</f>
        <v>500000</v>
      </c>
      <c r="G179" s="22">
        <f>IFERROR(__xludf.DUMMYFUNCTION("""COMPUTED_VALUE"""),0.0)</f>
        <v>0</v>
      </c>
      <c r="H179" s="22">
        <f>IFERROR(__xludf.DUMMYFUNCTION("""COMPUTED_VALUE"""),500000.0)</f>
        <v>500000</v>
      </c>
      <c r="I179" s="24">
        <f>IFERROR(__xludf.DUMMYFUNCTION("""COMPUTED_VALUE"""),0.0)</f>
        <v>0</v>
      </c>
    </row>
    <row r="180">
      <c r="A180" s="5" t="str">
        <f>IFERROR(__xludf.DUMMYFUNCTION("""COMPUTED_VALUE"""),"18649")</f>
        <v>18649</v>
      </c>
      <c r="B180" s="64">
        <f>IFERROR(__xludf.DUMMYFUNCTION("""COMPUTED_VALUE"""),44638.0)</f>
        <v>44638</v>
      </c>
      <c r="C180" s="5"/>
      <c r="D180" s="5"/>
      <c r="E180" s="5"/>
      <c r="F180" s="22">
        <f>IFERROR(__xludf.DUMMYFUNCTION("""COMPUTED_VALUE"""),500000.0)</f>
        <v>500000</v>
      </c>
      <c r="G180" s="22">
        <f>IFERROR(__xludf.DUMMYFUNCTION("""COMPUTED_VALUE"""),0.0)</f>
        <v>0</v>
      </c>
      <c r="H180" s="22">
        <f>IFERROR(__xludf.DUMMYFUNCTION("""COMPUTED_VALUE"""),500000.0)</f>
        <v>500000</v>
      </c>
      <c r="I180" s="24">
        <f>IFERROR(__xludf.DUMMYFUNCTION("""COMPUTED_VALUE"""),0.0)</f>
        <v>0</v>
      </c>
    </row>
    <row r="181">
      <c r="A181" s="5" t="str">
        <f>IFERROR(__xludf.DUMMYFUNCTION("""COMPUTED_VALUE"""),"18649")</f>
        <v>18649</v>
      </c>
      <c r="B181" s="64">
        <f>IFERROR(__xludf.DUMMYFUNCTION("""COMPUTED_VALUE"""),44639.0)</f>
        <v>44639</v>
      </c>
      <c r="C181" s="5"/>
      <c r="D181" s="5"/>
      <c r="E181" s="5"/>
      <c r="F181" s="22">
        <f>IFERROR(__xludf.DUMMYFUNCTION("""COMPUTED_VALUE"""),500000.0)</f>
        <v>500000</v>
      </c>
      <c r="G181" s="22">
        <f>IFERROR(__xludf.DUMMYFUNCTION("""COMPUTED_VALUE"""),0.0)</f>
        <v>0</v>
      </c>
      <c r="H181" s="22">
        <f>IFERROR(__xludf.DUMMYFUNCTION("""COMPUTED_VALUE"""),500000.0)</f>
        <v>500000</v>
      </c>
      <c r="I181" s="24">
        <f>IFERROR(__xludf.DUMMYFUNCTION("""COMPUTED_VALUE"""),0.0)</f>
        <v>0</v>
      </c>
    </row>
    <row r="182">
      <c r="A182" s="5" t="str">
        <f>IFERROR(__xludf.DUMMYFUNCTION("""COMPUTED_VALUE"""),"18649")</f>
        <v>18649</v>
      </c>
      <c r="B182" s="64">
        <f>IFERROR(__xludf.DUMMYFUNCTION("""COMPUTED_VALUE"""),44640.0)</f>
        <v>44640</v>
      </c>
      <c r="C182" s="5"/>
      <c r="D182" s="5"/>
      <c r="E182" s="5"/>
      <c r="F182" s="22">
        <f>IFERROR(__xludf.DUMMYFUNCTION("""COMPUTED_VALUE"""),500000.0)</f>
        <v>500000</v>
      </c>
      <c r="G182" s="22">
        <f>IFERROR(__xludf.DUMMYFUNCTION("""COMPUTED_VALUE"""),0.0)</f>
        <v>0</v>
      </c>
      <c r="H182" s="22">
        <f>IFERROR(__xludf.DUMMYFUNCTION("""COMPUTED_VALUE"""),500000.0)</f>
        <v>500000</v>
      </c>
      <c r="I182" s="24">
        <f>IFERROR(__xludf.DUMMYFUNCTION("""COMPUTED_VALUE"""),0.0)</f>
        <v>0</v>
      </c>
    </row>
    <row r="183">
      <c r="A183" s="5" t="str">
        <f>IFERROR(__xludf.DUMMYFUNCTION("""COMPUTED_VALUE"""),"18649")</f>
        <v>18649</v>
      </c>
      <c r="B183" s="64">
        <f>IFERROR(__xludf.DUMMYFUNCTION("""COMPUTED_VALUE"""),44641.0)</f>
        <v>44641</v>
      </c>
      <c r="C183" s="5"/>
      <c r="D183" s="5"/>
      <c r="E183" s="5"/>
      <c r="F183" s="22">
        <f>IFERROR(__xludf.DUMMYFUNCTION("""COMPUTED_VALUE"""),500000.0)</f>
        <v>500000</v>
      </c>
      <c r="G183" s="22">
        <f>IFERROR(__xludf.DUMMYFUNCTION("""COMPUTED_VALUE"""),0.0)</f>
        <v>0</v>
      </c>
      <c r="H183" s="22">
        <f>IFERROR(__xludf.DUMMYFUNCTION("""COMPUTED_VALUE"""),500000.0)</f>
        <v>500000</v>
      </c>
      <c r="I183" s="24">
        <f>IFERROR(__xludf.DUMMYFUNCTION("""COMPUTED_VALUE"""),0.0)</f>
        <v>0</v>
      </c>
    </row>
    <row r="184">
      <c r="A184" s="5" t="str">
        <f>IFERROR(__xludf.DUMMYFUNCTION("""COMPUTED_VALUE"""),"18649")</f>
        <v>18649</v>
      </c>
      <c r="B184" s="64">
        <f>IFERROR(__xludf.DUMMYFUNCTION("""COMPUTED_VALUE"""),44642.0)</f>
        <v>44642</v>
      </c>
      <c r="C184" s="5"/>
      <c r="D184" s="5"/>
      <c r="E184" s="5"/>
      <c r="F184" s="22">
        <f>IFERROR(__xludf.DUMMYFUNCTION("""COMPUTED_VALUE"""),500000.0)</f>
        <v>500000</v>
      </c>
      <c r="G184" s="22">
        <f>IFERROR(__xludf.DUMMYFUNCTION("""COMPUTED_VALUE"""),0.0)</f>
        <v>0</v>
      </c>
      <c r="H184" s="22">
        <f>IFERROR(__xludf.DUMMYFUNCTION("""COMPUTED_VALUE"""),500000.0)</f>
        <v>500000</v>
      </c>
      <c r="I184" s="24">
        <f>IFERROR(__xludf.DUMMYFUNCTION("""COMPUTED_VALUE"""),0.0)</f>
        <v>0</v>
      </c>
    </row>
    <row r="185">
      <c r="A185" s="5" t="str">
        <f>IFERROR(__xludf.DUMMYFUNCTION("""COMPUTED_VALUE"""),"18649")</f>
        <v>18649</v>
      </c>
      <c r="B185" s="64">
        <f>IFERROR(__xludf.DUMMYFUNCTION("""COMPUTED_VALUE"""),44643.0)</f>
        <v>44643</v>
      </c>
      <c r="C185" s="5"/>
      <c r="D185" s="5"/>
      <c r="E185" s="5"/>
      <c r="F185" s="22">
        <f>IFERROR(__xludf.DUMMYFUNCTION("""COMPUTED_VALUE"""),500000.0)</f>
        <v>500000</v>
      </c>
      <c r="G185" s="22">
        <f>IFERROR(__xludf.DUMMYFUNCTION("""COMPUTED_VALUE"""),0.0)</f>
        <v>0</v>
      </c>
      <c r="H185" s="22">
        <f>IFERROR(__xludf.DUMMYFUNCTION("""COMPUTED_VALUE"""),500000.0)</f>
        <v>500000</v>
      </c>
      <c r="I185" s="24">
        <f>IFERROR(__xludf.DUMMYFUNCTION("""COMPUTED_VALUE"""),0.0)</f>
        <v>0</v>
      </c>
    </row>
    <row r="186">
      <c r="A186" s="5" t="str">
        <f>IFERROR(__xludf.DUMMYFUNCTION("""COMPUTED_VALUE"""),"18649")</f>
        <v>18649</v>
      </c>
      <c r="B186" s="64">
        <f>IFERROR(__xludf.DUMMYFUNCTION("""COMPUTED_VALUE"""),44644.0)</f>
        <v>44644</v>
      </c>
      <c r="C186" s="5"/>
      <c r="D186" s="5"/>
      <c r="E186" s="5"/>
      <c r="F186" s="22">
        <f>IFERROR(__xludf.DUMMYFUNCTION("""COMPUTED_VALUE"""),500000.0)</f>
        <v>500000</v>
      </c>
      <c r="G186" s="22">
        <f>IFERROR(__xludf.DUMMYFUNCTION("""COMPUTED_VALUE"""),0.0)</f>
        <v>0</v>
      </c>
      <c r="H186" s="22">
        <f>IFERROR(__xludf.DUMMYFUNCTION("""COMPUTED_VALUE"""),500000.0)</f>
        <v>500000</v>
      </c>
      <c r="I186" s="24">
        <f>IFERROR(__xludf.DUMMYFUNCTION("""COMPUTED_VALUE"""),0.0)</f>
        <v>0</v>
      </c>
    </row>
    <row r="187">
      <c r="A187" s="5" t="str">
        <f>IFERROR(__xludf.DUMMYFUNCTION("""COMPUTED_VALUE"""),"18649")</f>
        <v>18649</v>
      </c>
      <c r="B187" s="64">
        <f>IFERROR(__xludf.DUMMYFUNCTION("""COMPUTED_VALUE"""),44645.0)</f>
        <v>44645</v>
      </c>
      <c r="C187" s="5"/>
      <c r="D187" s="5"/>
      <c r="E187" s="5"/>
      <c r="F187" s="22">
        <f>IFERROR(__xludf.DUMMYFUNCTION("""COMPUTED_VALUE"""),500000.0)</f>
        <v>500000</v>
      </c>
      <c r="G187" s="22">
        <f>IFERROR(__xludf.DUMMYFUNCTION("""COMPUTED_VALUE"""),0.0)</f>
        <v>0</v>
      </c>
      <c r="H187" s="22">
        <f>IFERROR(__xludf.DUMMYFUNCTION("""COMPUTED_VALUE"""),500000.0)</f>
        <v>500000</v>
      </c>
      <c r="I187" s="24">
        <f>IFERROR(__xludf.DUMMYFUNCTION("""COMPUTED_VALUE"""),0.0)</f>
        <v>0</v>
      </c>
    </row>
    <row r="188">
      <c r="A188" s="5" t="str">
        <f>IFERROR(__xludf.DUMMYFUNCTION("""COMPUTED_VALUE"""),"18649")</f>
        <v>18649</v>
      </c>
      <c r="B188" s="64">
        <f>IFERROR(__xludf.DUMMYFUNCTION("""COMPUTED_VALUE"""),44646.0)</f>
        <v>44646</v>
      </c>
      <c r="C188" s="5"/>
      <c r="D188" s="5"/>
      <c r="E188" s="5"/>
      <c r="F188" s="22">
        <f>IFERROR(__xludf.DUMMYFUNCTION("""COMPUTED_VALUE"""),500000.0)</f>
        <v>500000</v>
      </c>
      <c r="G188" s="22">
        <f>IFERROR(__xludf.DUMMYFUNCTION("""COMPUTED_VALUE"""),0.0)</f>
        <v>0</v>
      </c>
      <c r="H188" s="22">
        <f>IFERROR(__xludf.DUMMYFUNCTION("""COMPUTED_VALUE"""),500000.0)</f>
        <v>500000</v>
      </c>
      <c r="I188" s="24">
        <f>IFERROR(__xludf.DUMMYFUNCTION("""COMPUTED_VALUE"""),0.0)</f>
        <v>0</v>
      </c>
    </row>
    <row r="189">
      <c r="A189" s="5" t="str">
        <f>IFERROR(__xludf.DUMMYFUNCTION("""COMPUTED_VALUE"""),"18649")</f>
        <v>18649</v>
      </c>
      <c r="B189" s="64">
        <f>IFERROR(__xludf.DUMMYFUNCTION("""COMPUTED_VALUE"""),44647.0)</f>
        <v>44647</v>
      </c>
      <c r="C189" s="5"/>
      <c r="D189" s="5"/>
      <c r="E189" s="5"/>
      <c r="F189" s="22">
        <f>IFERROR(__xludf.DUMMYFUNCTION("""COMPUTED_VALUE"""),500000.0)</f>
        <v>500000</v>
      </c>
      <c r="G189" s="22">
        <f>IFERROR(__xludf.DUMMYFUNCTION("""COMPUTED_VALUE"""),0.0)</f>
        <v>0</v>
      </c>
      <c r="H189" s="22">
        <f>IFERROR(__xludf.DUMMYFUNCTION("""COMPUTED_VALUE"""),500000.0)</f>
        <v>500000</v>
      </c>
      <c r="I189" s="24">
        <f>IFERROR(__xludf.DUMMYFUNCTION("""COMPUTED_VALUE"""),0.0)</f>
        <v>0</v>
      </c>
    </row>
    <row r="190">
      <c r="A190" s="5" t="str">
        <f>IFERROR(__xludf.DUMMYFUNCTION("""COMPUTED_VALUE"""),"18649")</f>
        <v>18649</v>
      </c>
      <c r="B190" s="64">
        <f>IFERROR(__xludf.DUMMYFUNCTION("""COMPUTED_VALUE"""),44648.0)</f>
        <v>44648</v>
      </c>
      <c r="C190" s="5"/>
      <c r="D190" s="5"/>
      <c r="E190" s="5"/>
      <c r="F190" s="22">
        <f>IFERROR(__xludf.DUMMYFUNCTION("""COMPUTED_VALUE"""),500000.0)</f>
        <v>500000</v>
      </c>
      <c r="G190" s="22">
        <f>IFERROR(__xludf.DUMMYFUNCTION("""COMPUTED_VALUE"""),0.0)</f>
        <v>0</v>
      </c>
      <c r="H190" s="22">
        <f>IFERROR(__xludf.DUMMYFUNCTION("""COMPUTED_VALUE"""),500000.0)</f>
        <v>500000</v>
      </c>
      <c r="I190" s="24">
        <f>IFERROR(__xludf.DUMMYFUNCTION("""COMPUTED_VALUE"""),0.0)</f>
        <v>0</v>
      </c>
    </row>
    <row r="191">
      <c r="A191" s="5" t="str">
        <f>IFERROR(__xludf.DUMMYFUNCTION("""COMPUTED_VALUE"""),"18649")</f>
        <v>18649</v>
      </c>
      <c r="B191" s="64">
        <f>IFERROR(__xludf.DUMMYFUNCTION("""COMPUTED_VALUE"""),44649.0)</f>
        <v>44649</v>
      </c>
      <c r="C191" s="5"/>
      <c r="D191" s="5"/>
      <c r="E191" s="5"/>
      <c r="F191" s="22">
        <f>IFERROR(__xludf.DUMMYFUNCTION("""COMPUTED_VALUE"""),500000.0)</f>
        <v>500000</v>
      </c>
      <c r="G191" s="22">
        <f>IFERROR(__xludf.DUMMYFUNCTION("""COMPUTED_VALUE"""),0.0)</f>
        <v>0</v>
      </c>
      <c r="H191" s="22">
        <f>IFERROR(__xludf.DUMMYFUNCTION("""COMPUTED_VALUE"""),500000.0)</f>
        <v>500000</v>
      </c>
      <c r="I191" s="24">
        <f>IFERROR(__xludf.DUMMYFUNCTION("""COMPUTED_VALUE"""),0.0)</f>
        <v>0</v>
      </c>
    </row>
    <row r="192">
      <c r="A192" s="5" t="str">
        <f>IFERROR(__xludf.DUMMYFUNCTION("""COMPUTED_VALUE"""),"18649")</f>
        <v>18649</v>
      </c>
      <c r="B192" s="64">
        <f>IFERROR(__xludf.DUMMYFUNCTION("""COMPUTED_VALUE"""),44650.0)</f>
        <v>44650</v>
      </c>
      <c r="C192" s="5"/>
      <c r="D192" s="5"/>
      <c r="E192" s="5"/>
      <c r="F192" s="22">
        <f>IFERROR(__xludf.DUMMYFUNCTION("""COMPUTED_VALUE"""),500000.0)</f>
        <v>500000</v>
      </c>
      <c r="G192" s="22">
        <f>IFERROR(__xludf.DUMMYFUNCTION("""COMPUTED_VALUE"""),0.0)</f>
        <v>0</v>
      </c>
      <c r="H192" s="22">
        <f>IFERROR(__xludf.DUMMYFUNCTION("""COMPUTED_VALUE"""),500000.0)</f>
        <v>500000</v>
      </c>
      <c r="I192" s="24">
        <f>IFERROR(__xludf.DUMMYFUNCTION("""COMPUTED_VALUE"""),0.0)</f>
        <v>0</v>
      </c>
    </row>
    <row r="193">
      <c r="A193" s="5" t="str">
        <f>IFERROR(__xludf.DUMMYFUNCTION("""COMPUTED_VALUE"""),"18649")</f>
        <v>18649</v>
      </c>
      <c r="B193" s="64">
        <f>IFERROR(__xludf.DUMMYFUNCTION("""COMPUTED_VALUE"""),44651.0)</f>
        <v>44651</v>
      </c>
      <c r="C193" s="5"/>
      <c r="D193" s="5"/>
      <c r="E193" s="5"/>
      <c r="F193" s="22">
        <f>IFERROR(__xludf.DUMMYFUNCTION("""COMPUTED_VALUE"""),500000.0)</f>
        <v>500000</v>
      </c>
      <c r="G193" s="22">
        <f>IFERROR(__xludf.DUMMYFUNCTION("""COMPUTED_VALUE"""),0.0)</f>
        <v>0</v>
      </c>
      <c r="H193" s="22">
        <f>IFERROR(__xludf.DUMMYFUNCTION("""COMPUTED_VALUE"""),500000.0)</f>
        <v>500000</v>
      </c>
      <c r="I193" s="24">
        <f>IFERROR(__xludf.DUMMYFUNCTION("""COMPUTED_VALUE"""),0.0)</f>
        <v>0</v>
      </c>
    </row>
    <row r="194">
      <c r="A194" s="5" t="str">
        <f>IFERROR(__xludf.DUMMYFUNCTION("""COMPUTED_VALUE"""),"18649")</f>
        <v>18649</v>
      </c>
      <c r="B194" s="64">
        <f>IFERROR(__xludf.DUMMYFUNCTION("""COMPUTED_VALUE"""),44652.0)</f>
        <v>44652</v>
      </c>
      <c r="C194" s="5"/>
      <c r="D194" s="5"/>
      <c r="E194" s="5"/>
      <c r="F194" s="22">
        <f>IFERROR(__xludf.DUMMYFUNCTION("""COMPUTED_VALUE"""),500000.0)</f>
        <v>500000</v>
      </c>
      <c r="G194" s="22">
        <f>IFERROR(__xludf.DUMMYFUNCTION("""COMPUTED_VALUE"""),0.0)</f>
        <v>0</v>
      </c>
      <c r="H194" s="22">
        <f>IFERROR(__xludf.DUMMYFUNCTION("""COMPUTED_VALUE"""),500000.0)</f>
        <v>500000</v>
      </c>
      <c r="I194" s="24">
        <f>IFERROR(__xludf.DUMMYFUNCTION("""COMPUTED_VALUE"""),0.0)</f>
        <v>0</v>
      </c>
    </row>
    <row r="195">
      <c r="A195" s="5" t="str">
        <f>IFERROR(__xludf.DUMMYFUNCTION("""COMPUTED_VALUE"""),"18649")</f>
        <v>18649</v>
      </c>
      <c r="B195" s="64">
        <f>IFERROR(__xludf.DUMMYFUNCTION("""COMPUTED_VALUE"""),44653.0)</f>
        <v>44653</v>
      </c>
      <c r="C195" s="5"/>
      <c r="D195" s="5"/>
      <c r="E195" s="5"/>
      <c r="F195" s="22">
        <f>IFERROR(__xludf.DUMMYFUNCTION("""COMPUTED_VALUE"""),500000.0)</f>
        <v>500000</v>
      </c>
      <c r="G195" s="22">
        <f>IFERROR(__xludf.DUMMYFUNCTION("""COMPUTED_VALUE"""),0.0)</f>
        <v>0</v>
      </c>
      <c r="H195" s="22">
        <f>IFERROR(__xludf.DUMMYFUNCTION("""COMPUTED_VALUE"""),500000.0)</f>
        <v>500000</v>
      </c>
      <c r="I195" s="24">
        <f>IFERROR(__xludf.DUMMYFUNCTION("""COMPUTED_VALUE"""),0.0)</f>
        <v>0</v>
      </c>
    </row>
    <row r="196">
      <c r="A196" s="5" t="str">
        <f>IFERROR(__xludf.DUMMYFUNCTION("""COMPUTED_VALUE"""),"18649")</f>
        <v>18649</v>
      </c>
      <c r="B196" s="64">
        <f>IFERROR(__xludf.DUMMYFUNCTION("""COMPUTED_VALUE"""),44654.0)</f>
        <v>44654</v>
      </c>
      <c r="C196" s="5"/>
      <c r="D196" s="5"/>
      <c r="E196" s="5"/>
      <c r="F196" s="22">
        <f>IFERROR(__xludf.DUMMYFUNCTION("""COMPUTED_VALUE"""),500000.0)</f>
        <v>500000</v>
      </c>
      <c r="G196" s="22">
        <f>IFERROR(__xludf.DUMMYFUNCTION("""COMPUTED_VALUE"""),0.0)</f>
        <v>0</v>
      </c>
      <c r="H196" s="22">
        <f>IFERROR(__xludf.DUMMYFUNCTION("""COMPUTED_VALUE"""),500000.0)</f>
        <v>500000</v>
      </c>
      <c r="I196" s="24">
        <f>IFERROR(__xludf.DUMMYFUNCTION("""COMPUTED_VALUE"""),0.0)</f>
        <v>0</v>
      </c>
    </row>
    <row r="197">
      <c r="A197" s="5" t="str">
        <f>IFERROR(__xludf.DUMMYFUNCTION("""COMPUTED_VALUE"""),"18649")</f>
        <v>18649</v>
      </c>
      <c r="B197" s="64">
        <f>IFERROR(__xludf.DUMMYFUNCTION("""COMPUTED_VALUE"""),44655.0)</f>
        <v>44655</v>
      </c>
      <c r="C197" s="5"/>
      <c r="D197" s="5"/>
      <c r="E197" s="5"/>
      <c r="F197" s="22">
        <f>IFERROR(__xludf.DUMMYFUNCTION("""COMPUTED_VALUE"""),500000.0)</f>
        <v>500000</v>
      </c>
      <c r="G197" s="22">
        <f>IFERROR(__xludf.DUMMYFUNCTION("""COMPUTED_VALUE"""),0.0)</f>
        <v>0</v>
      </c>
      <c r="H197" s="22">
        <f>IFERROR(__xludf.DUMMYFUNCTION("""COMPUTED_VALUE"""),500000.0)</f>
        <v>500000</v>
      </c>
      <c r="I197" s="24">
        <f>IFERROR(__xludf.DUMMYFUNCTION("""COMPUTED_VALUE"""),0.0)</f>
        <v>0</v>
      </c>
    </row>
    <row r="198">
      <c r="A198" s="5" t="str">
        <f>IFERROR(__xludf.DUMMYFUNCTION("""COMPUTED_VALUE"""),"18649")</f>
        <v>18649</v>
      </c>
      <c r="B198" s="64">
        <f>IFERROR(__xludf.DUMMYFUNCTION("""COMPUTED_VALUE"""),44656.0)</f>
        <v>44656</v>
      </c>
      <c r="C198" s="5"/>
      <c r="D198" s="5"/>
      <c r="E198" s="5"/>
      <c r="F198" s="22">
        <f>IFERROR(__xludf.DUMMYFUNCTION("""COMPUTED_VALUE"""),500000.0)</f>
        <v>500000</v>
      </c>
      <c r="G198" s="22">
        <f>IFERROR(__xludf.DUMMYFUNCTION("""COMPUTED_VALUE"""),0.0)</f>
        <v>0</v>
      </c>
      <c r="H198" s="22">
        <f>IFERROR(__xludf.DUMMYFUNCTION("""COMPUTED_VALUE"""),500000.0)</f>
        <v>500000</v>
      </c>
      <c r="I198" s="24">
        <f>IFERROR(__xludf.DUMMYFUNCTION("""COMPUTED_VALUE"""),0.0)</f>
        <v>0</v>
      </c>
    </row>
    <row r="199">
      <c r="A199" s="5" t="str">
        <f>IFERROR(__xludf.DUMMYFUNCTION("""COMPUTED_VALUE"""),"18649")</f>
        <v>18649</v>
      </c>
      <c r="B199" s="64">
        <f>IFERROR(__xludf.DUMMYFUNCTION("""COMPUTED_VALUE"""),44657.0)</f>
        <v>44657</v>
      </c>
      <c r="C199" s="5"/>
      <c r="D199" s="5"/>
      <c r="E199" s="5"/>
      <c r="F199" s="22">
        <f>IFERROR(__xludf.DUMMYFUNCTION("""COMPUTED_VALUE"""),500000.0)</f>
        <v>500000</v>
      </c>
      <c r="G199" s="22">
        <f>IFERROR(__xludf.DUMMYFUNCTION("""COMPUTED_VALUE"""),0.0)</f>
        <v>0</v>
      </c>
      <c r="H199" s="22">
        <f>IFERROR(__xludf.DUMMYFUNCTION("""COMPUTED_VALUE"""),500000.0)</f>
        <v>500000</v>
      </c>
      <c r="I199" s="24">
        <f>IFERROR(__xludf.DUMMYFUNCTION("""COMPUTED_VALUE"""),0.0)</f>
        <v>0</v>
      </c>
    </row>
    <row r="200">
      <c r="A200" s="5" t="str">
        <f>IFERROR(__xludf.DUMMYFUNCTION("""COMPUTED_VALUE"""),"18649")</f>
        <v>18649</v>
      </c>
      <c r="B200" s="64">
        <f>IFERROR(__xludf.DUMMYFUNCTION("""COMPUTED_VALUE"""),44658.0)</f>
        <v>44658</v>
      </c>
      <c r="C200" s="5"/>
      <c r="D200" s="5"/>
      <c r="E200" s="5"/>
      <c r="F200" s="22">
        <f>IFERROR(__xludf.DUMMYFUNCTION("""COMPUTED_VALUE"""),500000.0)</f>
        <v>500000</v>
      </c>
      <c r="G200" s="22">
        <f>IFERROR(__xludf.DUMMYFUNCTION("""COMPUTED_VALUE"""),0.0)</f>
        <v>0</v>
      </c>
      <c r="H200" s="22">
        <f>IFERROR(__xludf.DUMMYFUNCTION("""COMPUTED_VALUE"""),500000.0)</f>
        <v>500000</v>
      </c>
      <c r="I200" s="24">
        <f>IFERROR(__xludf.DUMMYFUNCTION("""COMPUTED_VALUE"""),0.0)</f>
        <v>0</v>
      </c>
    </row>
    <row r="201">
      <c r="A201" s="5" t="str">
        <f>IFERROR(__xludf.DUMMYFUNCTION("""COMPUTED_VALUE"""),"18649")</f>
        <v>18649</v>
      </c>
      <c r="B201" s="64">
        <f>IFERROR(__xludf.DUMMYFUNCTION("""COMPUTED_VALUE"""),44659.0)</f>
        <v>44659</v>
      </c>
      <c r="C201" s="5"/>
      <c r="D201" s="5"/>
      <c r="E201" s="5"/>
      <c r="F201" s="22">
        <f>IFERROR(__xludf.DUMMYFUNCTION("""COMPUTED_VALUE"""),500000.0)</f>
        <v>500000</v>
      </c>
      <c r="G201" s="22">
        <f>IFERROR(__xludf.DUMMYFUNCTION("""COMPUTED_VALUE"""),0.0)</f>
        <v>0</v>
      </c>
      <c r="H201" s="22">
        <f>IFERROR(__xludf.DUMMYFUNCTION("""COMPUTED_VALUE"""),500000.0)</f>
        <v>500000</v>
      </c>
      <c r="I201" s="24">
        <f>IFERROR(__xludf.DUMMYFUNCTION("""COMPUTED_VALUE"""),0.0)</f>
        <v>0</v>
      </c>
    </row>
    <row r="202">
      <c r="A202" s="5" t="str">
        <f>IFERROR(__xludf.DUMMYFUNCTION("""COMPUTED_VALUE"""),"18649")</f>
        <v>18649</v>
      </c>
      <c r="B202" s="64">
        <f>IFERROR(__xludf.DUMMYFUNCTION("""COMPUTED_VALUE"""),44660.0)</f>
        <v>44660</v>
      </c>
      <c r="C202" s="5"/>
      <c r="D202" s="5"/>
      <c r="E202" s="5"/>
      <c r="F202" s="22">
        <f>IFERROR(__xludf.DUMMYFUNCTION("""COMPUTED_VALUE"""),500000.0)</f>
        <v>500000</v>
      </c>
      <c r="G202" s="22">
        <f>IFERROR(__xludf.DUMMYFUNCTION("""COMPUTED_VALUE"""),0.0)</f>
        <v>0</v>
      </c>
      <c r="H202" s="22">
        <f>IFERROR(__xludf.DUMMYFUNCTION("""COMPUTED_VALUE"""),500000.0)</f>
        <v>500000</v>
      </c>
      <c r="I202" s="24">
        <f>IFERROR(__xludf.DUMMYFUNCTION("""COMPUTED_VALUE"""),0.0)</f>
        <v>0</v>
      </c>
    </row>
    <row r="203">
      <c r="A203" s="5" t="str">
        <f>IFERROR(__xludf.DUMMYFUNCTION("""COMPUTED_VALUE"""),"18649")</f>
        <v>18649</v>
      </c>
      <c r="B203" s="64">
        <f>IFERROR(__xludf.DUMMYFUNCTION("""COMPUTED_VALUE"""),44661.0)</f>
        <v>44661</v>
      </c>
      <c r="C203" s="5"/>
      <c r="D203" s="5"/>
      <c r="E203" s="5"/>
      <c r="F203" s="22">
        <f>IFERROR(__xludf.DUMMYFUNCTION("""COMPUTED_VALUE"""),500000.0)</f>
        <v>500000</v>
      </c>
      <c r="G203" s="22">
        <f>IFERROR(__xludf.DUMMYFUNCTION("""COMPUTED_VALUE"""),0.0)</f>
        <v>0</v>
      </c>
      <c r="H203" s="22">
        <f>IFERROR(__xludf.DUMMYFUNCTION("""COMPUTED_VALUE"""),500000.0)</f>
        <v>500000</v>
      </c>
      <c r="I203" s="24">
        <f>IFERROR(__xludf.DUMMYFUNCTION("""COMPUTED_VALUE"""),0.0)</f>
        <v>0</v>
      </c>
    </row>
    <row r="204">
      <c r="A204" s="5" t="str">
        <f>IFERROR(__xludf.DUMMYFUNCTION("""COMPUTED_VALUE"""),"18649")</f>
        <v>18649</v>
      </c>
      <c r="B204" s="64">
        <f>IFERROR(__xludf.DUMMYFUNCTION("""COMPUTED_VALUE"""),44662.0)</f>
        <v>44662</v>
      </c>
      <c r="C204" s="5"/>
      <c r="D204" s="5"/>
      <c r="E204" s="5"/>
      <c r="F204" s="22">
        <f>IFERROR(__xludf.DUMMYFUNCTION("""COMPUTED_VALUE"""),500000.0)</f>
        <v>500000</v>
      </c>
      <c r="G204" s="22">
        <f>IFERROR(__xludf.DUMMYFUNCTION("""COMPUTED_VALUE"""),0.0)</f>
        <v>0</v>
      </c>
      <c r="H204" s="22">
        <f>IFERROR(__xludf.DUMMYFUNCTION("""COMPUTED_VALUE"""),500000.0)</f>
        <v>500000</v>
      </c>
      <c r="I204" s="24">
        <f>IFERROR(__xludf.DUMMYFUNCTION("""COMPUTED_VALUE"""),0.0)</f>
        <v>0</v>
      </c>
    </row>
    <row r="205">
      <c r="A205" s="5" t="str">
        <f>IFERROR(__xludf.DUMMYFUNCTION("""COMPUTED_VALUE"""),"18649")</f>
        <v>18649</v>
      </c>
      <c r="B205" s="64">
        <f>IFERROR(__xludf.DUMMYFUNCTION("""COMPUTED_VALUE"""),44663.0)</f>
        <v>44663</v>
      </c>
      <c r="C205" s="5"/>
      <c r="D205" s="5"/>
      <c r="E205" s="5"/>
      <c r="F205" s="22">
        <f>IFERROR(__xludf.DUMMYFUNCTION("""COMPUTED_VALUE"""),500000.0)</f>
        <v>500000</v>
      </c>
      <c r="G205" s="22">
        <f>IFERROR(__xludf.DUMMYFUNCTION("""COMPUTED_VALUE"""),0.0)</f>
        <v>0</v>
      </c>
      <c r="H205" s="22">
        <f>IFERROR(__xludf.DUMMYFUNCTION("""COMPUTED_VALUE"""),500000.0)</f>
        <v>500000</v>
      </c>
      <c r="I205" s="24">
        <f>IFERROR(__xludf.DUMMYFUNCTION("""COMPUTED_VALUE"""),0.0)</f>
        <v>0</v>
      </c>
    </row>
    <row r="206">
      <c r="A206" s="5" t="str">
        <f>IFERROR(__xludf.DUMMYFUNCTION("""COMPUTED_VALUE"""),"18874")</f>
        <v>18874</v>
      </c>
      <c r="B206" s="64">
        <f>IFERROR(__xludf.DUMMYFUNCTION("""COMPUTED_VALUE"""),44597.0)</f>
        <v>44597</v>
      </c>
      <c r="C206" s="5"/>
      <c r="D206" s="5"/>
      <c r="E206" s="5"/>
      <c r="F206" s="22">
        <f>IFERROR(__xludf.DUMMYFUNCTION("""COMPUTED_VALUE"""),500000.0)</f>
        <v>500000</v>
      </c>
      <c r="G206" s="22">
        <f>IFERROR(__xludf.DUMMYFUNCTION("""COMPUTED_VALUE"""),0.0)</f>
        <v>0</v>
      </c>
      <c r="H206" s="22">
        <f>IFERROR(__xludf.DUMMYFUNCTION("""COMPUTED_VALUE"""),500000.0)</f>
        <v>500000</v>
      </c>
      <c r="I206" s="24">
        <f>IFERROR(__xludf.DUMMYFUNCTION("""COMPUTED_VALUE"""),0.0)</f>
        <v>0</v>
      </c>
    </row>
    <row r="207">
      <c r="A207" s="5" t="str">
        <f>IFERROR(__xludf.DUMMYFUNCTION("""COMPUTED_VALUE"""),"18874")</f>
        <v>18874</v>
      </c>
      <c r="B207" s="64">
        <f>IFERROR(__xludf.DUMMYFUNCTION("""COMPUTED_VALUE"""),44598.0)</f>
        <v>44598</v>
      </c>
      <c r="C207" s="5"/>
      <c r="D207" s="5"/>
      <c r="E207" s="5"/>
      <c r="F207" s="22">
        <f>IFERROR(__xludf.DUMMYFUNCTION("""COMPUTED_VALUE"""),500000.0)</f>
        <v>500000</v>
      </c>
      <c r="G207" s="22">
        <f>IFERROR(__xludf.DUMMYFUNCTION("""COMPUTED_VALUE"""),0.0)</f>
        <v>0</v>
      </c>
      <c r="H207" s="22">
        <f>IFERROR(__xludf.DUMMYFUNCTION("""COMPUTED_VALUE"""),500000.0)</f>
        <v>500000</v>
      </c>
      <c r="I207" s="24">
        <f>IFERROR(__xludf.DUMMYFUNCTION("""COMPUTED_VALUE"""),0.0)</f>
        <v>0</v>
      </c>
    </row>
    <row r="208">
      <c r="A208" s="5" t="str">
        <f>IFERROR(__xludf.DUMMYFUNCTION("""COMPUTED_VALUE"""),"18874")</f>
        <v>18874</v>
      </c>
      <c r="B208" s="64">
        <f>IFERROR(__xludf.DUMMYFUNCTION("""COMPUTED_VALUE"""),44599.0)</f>
        <v>44599</v>
      </c>
      <c r="C208" s="5"/>
      <c r="D208" s="5"/>
      <c r="E208" s="5"/>
      <c r="F208" s="22">
        <f>IFERROR(__xludf.DUMMYFUNCTION("""COMPUTED_VALUE"""),500000.0)</f>
        <v>500000</v>
      </c>
      <c r="G208" s="22">
        <f>IFERROR(__xludf.DUMMYFUNCTION("""COMPUTED_VALUE"""),0.0)</f>
        <v>0</v>
      </c>
      <c r="H208" s="22">
        <f>IFERROR(__xludf.DUMMYFUNCTION("""COMPUTED_VALUE"""),500000.0)</f>
        <v>500000</v>
      </c>
      <c r="I208" s="24">
        <f>IFERROR(__xludf.DUMMYFUNCTION("""COMPUTED_VALUE"""),0.0)</f>
        <v>0</v>
      </c>
    </row>
    <row r="209">
      <c r="A209" s="5" t="str">
        <f>IFERROR(__xludf.DUMMYFUNCTION("""COMPUTED_VALUE"""),"18874")</f>
        <v>18874</v>
      </c>
      <c r="B209" s="64">
        <f>IFERROR(__xludf.DUMMYFUNCTION("""COMPUTED_VALUE"""),44600.0)</f>
        <v>44600</v>
      </c>
      <c r="C209" s="5"/>
      <c r="D209" s="5"/>
      <c r="E209" s="5"/>
      <c r="F209" s="22">
        <f>IFERROR(__xludf.DUMMYFUNCTION("""COMPUTED_VALUE"""),500000.0)</f>
        <v>500000</v>
      </c>
      <c r="G209" s="22">
        <f>IFERROR(__xludf.DUMMYFUNCTION("""COMPUTED_VALUE"""),0.0)</f>
        <v>0</v>
      </c>
      <c r="H209" s="22">
        <f>IFERROR(__xludf.DUMMYFUNCTION("""COMPUTED_VALUE"""),500000.0)</f>
        <v>500000</v>
      </c>
      <c r="I209" s="24">
        <f>IFERROR(__xludf.DUMMYFUNCTION("""COMPUTED_VALUE"""),0.0)</f>
        <v>0</v>
      </c>
    </row>
    <row r="210">
      <c r="A210" s="5" t="str">
        <f>IFERROR(__xludf.DUMMYFUNCTION("""COMPUTED_VALUE"""),"18874")</f>
        <v>18874</v>
      </c>
      <c r="B210" s="64">
        <f>IFERROR(__xludf.DUMMYFUNCTION("""COMPUTED_VALUE"""),44601.0)</f>
        <v>44601</v>
      </c>
      <c r="C210" s="5"/>
      <c r="D210" s="5"/>
      <c r="E210" s="5"/>
      <c r="F210" s="22">
        <f>IFERROR(__xludf.DUMMYFUNCTION("""COMPUTED_VALUE"""),500000.0)</f>
        <v>500000</v>
      </c>
      <c r="G210" s="22">
        <f>IFERROR(__xludf.DUMMYFUNCTION("""COMPUTED_VALUE"""),0.0)</f>
        <v>0</v>
      </c>
      <c r="H210" s="22">
        <f>IFERROR(__xludf.DUMMYFUNCTION("""COMPUTED_VALUE"""),500000.0)</f>
        <v>500000</v>
      </c>
      <c r="I210" s="24">
        <f>IFERROR(__xludf.DUMMYFUNCTION("""COMPUTED_VALUE"""),0.0)</f>
        <v>0</v>
      </c>
    </row>
    <row r="211">
      <c r="A211" s="5" t="str">
        <f>IFERROR(__xludf.DUMMYFUNCTION("""COMPUTED_VALUE"""),"18874")</f>
        <v>18874</v>
      </c>
      <c r="B211" s="64">
        <f>IFERROR(__xludf.DUMMYFUNCTION("""COMPUTED_VALUE"""),44602.0)</f>
        <v>44602</v>
      </c>
      <c r="C211" s="5"/>
      <c r="D211" s="5"/>
      <c r="E211" s="5"/>
      <c r="F211" s="22">
        <f>IFERROR(__xludf.DUMMYFUNCTION("""COMPUTED_VALUE"""),500000.0)</f>
        <v>500000</v>
      </c>
      <c r="G211" s="22">
        <f>IFERROR(__xludf.DUMMYFUNCTION("""COMPUTED_VALUE"""),0.0)</f>
        <v>0</v>
      </c>
      <c r="H211" s="22">
        <f>IFERROR(__xludf.DUMMYFUNCTION("""COMPUTED_VALUE"""),500000.0)</f>
        <v>500000</v>
      </c>
      <c r="I211" s="24">
        <f>IFERROR(__xludf.DUMMYFUNCTION("""COMPUTED_VALUE"""),0.0)</f>
        <v>0</v>
      </c>
    </row>
    <row r="212">
      <c r="A212" s="5" t="str">
        <f>IFERROR(__xludf.DUMMYFUNCTION("""COMPUTED_VALUE"""),"18874")</f>
        <v>18874</v>
      </c>
      <c r="B212" s="64">
        <f>IFERROR(__xludf.DUMMYFUNCTION("""COMPUTED_VALUE"""),44603.0)</f>
        <v>44603</v>
      </c>
      <c r="C212" s="5"/>
      <c r="D212" s="5"/>
      <c r="E212" s="5"/>
      <c r="F212" s="22">
        <f>IFERROR(__xludf.DUMMYFUNCTION("""COMPUTED_VALUE"""),500000.0)</f>
        <v>500000</v>
      </c>
      <c r="G212" s="22">
        <f>IFERROR(__xludf.DUMMYFUNCTION("""COMPUTED_VALUE"""),0.0)</f>
        <v>0</v>
      </c>
      <c r="H212" s="22">
        <f>IFERROR(__xludf.DUMMYFUNCTION("""COMPUTED_VALUE"""),500000.0)</f>
        <v>500000</v>
      </c>
      <c r="I212" s="24">
        <f>IFERROR(__xludf.DUMMYFUNCTION("""COMPUTED_VALUE"""),0.0)</f>
        <v>0</v>
      </c>
    </row>
    <row r="213">
      <c r="A213" s="5" t="str">
        <f>IFERROR(__xludf.DUMMYFUNCTION("""COMPUTED_VALUE"""),"18874")</f>
        <v>18874</v>
      </c>
      <c r="B213" s="64">
        <f>IFERROR(__xludf.DUMMYFUNCTION("""COMPUTED_VALUE"""),44604.0)</f>
        <v>44604</v>
      </c>
      <c r="C213" s="5"/>
      <c r="D213" s="5"/>
      <c r="E213" s="5"/>
      <c r="F213" s="22">
        <f>IFERROR(__xludf.DUMMYFUNCTION("""COMPUTED_VALUE"""),500000.0)</f>
        <v>500000</v>
      </c>
      <c r="G213" s="22">
        <f>IFERROR(__xludf.DUMMYFUNCTION("""COMPUTED_VALUE"""),0.0)</f>
        <v>0</v>
      </c>
      <c r="H213" s="22">
        <f>IFERROR(__xludf.DUMMYFUNCTION("""COMPUTED_VALUE"""),500000.0)</f>
        <v>500000</v>
      </c>
      <c r="I213" s="24">
        <f>IFERROR(__xludf.DUMMYFUNCTION("""COMPUTED_VALUE"""),0.0)</f>
        <v>0</v>
      </c>
    </row>
    <row r="214">
      <c r="A214" s="5" t="str">
        <f>IFERROR(__xludf.DUMMYFUNCTION("""COMPUTED_VALUE"""),"18874")</f>
        <v>18874</v>
      </c>
      <c r="B214" s="64">
        <f>IFERROR(__xludf.DUMMYFUNCTION("""COMPUTED_VALUE"""),44605.0)</f>
        <v>44605</v>
      </c>
      <c r="C214" s="5"/>
      <c r="D214" s="5"/>
      <c r="E214" s="5"/>
      <c r="F214" s="22">
        <f>IFERROR(__xludf.DUMMYFUNCTION("""COMPUTED_VALUE"""),500000.0)</f>
        <v>500000</v>
      </c>
      <c r="G214" s="22">
        <f>IFERROR(__xludf.DUMMYFUNCTION("""COMPUTED_VALUE"""),0.0)</f>
        <v>0</v>
      </c>
      <c r="H214" s="22">
        <f>IFERROR(__xludf.DUMMYFUNCTION("""COMPUTED_VALUE"""),500000.0)</f>
        <v>500000</v>
      </c>
      <c r="I214" s="24">
        <f>IFERROR(__xludf.DUMMYFUNCTION("""COMPUTED_VALUE"""),0.0)</f>
        <v>0</v>
      </c>
    </row>
    <row r="215">
      <c r="A215" s="5" t="str">
        <f>IFERROR(__xludf.DUMMYFUNCTION("""COMPUTED_VALUE"""),"18874")</f>
        <v>18874</v>
      </c>
      <c r="B215" s="64">
        <f>IFERROR(__xludf.DUMMYFUNCTION("""COMPUTED_VALUE"""),44606.0)</f>
        <v>44606</v>
      </c>
      <c r="C215" s="5"/>
      <c r="D215" s="5"/>
      <c r="E215" s="5"/>
      <c r="F215" s="22">
        <f>IFERROR(__xludf.DUMMYFUNCTION("""COMPUTED_VALUE"""),500000.0)</f>
        <v>500000</v>
      </c>
      <c r="G215" s="22">
        <f>IFERROR(__xludf.DUMMYFUNCTION("""COMPUTED_VALUE"""),0.0)</f>
        <v>0</v>
      </c>
      <c r="H215" s="22">
        <f>IFERROR(__xludf.DUMMYFUNCTION("""COMPUTED_VALUE"""),500000.0)</f>
        <v>500000</v>
      </c>
      <c r="I215" s="24">
        <f>IFERROR(__xludf.DUMMYFUNCTION("""COMPUTED_VALUE"""),0.0)</f>
        <v>0</v>
      </c>
    </row>
    <row r="216">
      <c r="A216" s="5" t="str">
        <f>IFERROR(__xludf.DUMMYFUNCTION("""COMPUTED_VALUE"""),"18874")</f>
        <v>18874</v>
      </c>
      <c r="B216" s="64">
        <f>IFERROR(__xludf.DUMMYFUNCTION("""COMPUTED_VALUE"""),44607.0)</f>
        <v>44607</v>
      </c>
      <c r="C216" s="5"/>
      <c r="D216" s="5"/>
      <c r="E216" s="5"/>
      <c r="F216" s="22">
        <f>IFERROR(__xludf.DUMMYFUNCTION("""COMPUTED_VALUE"""),500000.0)</f>
        <v>500000</v>
      </c>
      <c r="G216" s="22">
        <f>IFERROR(__xludf.DUMMYFUNCTION("""COMPUTED_VALUE"""),0.0)</f>
        <v>0</v>
      </c>
      <c r="H216" s="22">
        <f>IFERROR(__xludf.DUMMYFUNCTION("""COMPUTED_VALUE"""),500000.0)</f>
        <v>500000</v>
      </c>
      <c r="I216" s="24">
        <f>IFERROR(__xludf.DUMMYFUNCTION("""COMPUTED_VALUE"""),0.0)</f>
        <v>0</v>
      </c>
    </row>
    <row r="217">
      <c r="A217" s="5" t="str">
        <f>IFERROR(__xludf.DUMMYFUNCTION("""COMPUTED_VALUE"""),"18874")</f>
        <v>18874</v>
      </c>
      <c r="B217" s="64">
        <f>IFERROR(__xludf.DUMMYFUNCTION("""COMPUTED_VALUE"""),44608.0)</f>
        <v>44608</v>
      </c>
      <c r="C217" s="5"/>
      <c r="D217" s="5"/>
      <c r="E217" s="5"/>
      <c r="F217" s="22">
        <f>IFERROR(__xludf.DUMMYFUNCTION("""COMPUTED_VALUE"""),500000.0)</f>
        <v>500000</v>
      </c>
      <c r="G217" s="22">
        <f>IFERROR(__xludf.DUMMYFUNCTION("""COMPUTED_VALUE"""),0.0)</f>
        <v>0</v>
      </c>
      <c r="H217" s="22">
        <f>IFERROR(__xludf.DUMMYFUNCTION("""COMPUTED_VALUE"""),500000.0)</f>
        <v>500000</v>
      </c>
      <c r="I217" s="24">
        <f>IFERROR(__xludf.DUMMYFUNCTION("""COMPUTED_VALUE"""),0.0)</f>
        <v>0</v>
      </c>
    </row>
    <row r="218">
      <c r="A218" s="5" t="str">
        <f>IFERROR(__xludf.DUMMYFUNCTION("""COMPUTED_VALUE"""),"18874")</f>
        <v>18874</v>
      </c>
      <c r="B218" s="64">
        <f>IFERROR(__xludf.DUMMYFUNCTION("""COMPUTED_VALUE"""),44609.0)</f>
        <v>44609</v>
      </c>
      <c r="C218" s="5"/>
      <c r="D218" s="5"/>
      <c r="E218" s="5"/>
      <c r="F218" s="22">
        <f>IFERROR(__xludf.DUMMYFUNCTION("""COMPUTED_VALUE"""),500000.0)</f>
        <v>500000</v>
      </c>
      <c r="G218" s="22">
        <f>IFERROR(__xludf.DUMMYFUNCTION("""COMPUTED_VALUE"""),0.0)</f>
        <v>0</v>
      </c>
      <c r="H218" s="22">
        <f>IFERROR(__xludf.DUMMYFUNCTION("""COMPUTED_VALUE"""),500000.0)</f>
        <v>500000</v>
      </c>
      <c r="I218" s="24">
        <f>IFERROR(__xludf.DUMMYFUNCTION("""COMPUTED_VALUE"""),0.0)</f>
        <v>0</v>
      </c>
    </row>
    <row r="219">
      <c r="A219" s="5" t="str">
        <f>IFERROR(__xludf.DUMMYFUNCTION("""COMPUTED_VALUE"""),"18874")</f>
        <v>18874</v>
      </c>
      <c r="B219" s="64">
        <f>IFERROR(__xludf.DUMMYFUNCTION("""COMPUTED_VALUE"""),44610.0)</f>
        <v>44610</v>
      </c>
      <c r="C219" s="5"/>
      <c r="D219" s="5"/>
      <c r="E219" s="5"/>
      <c r="F219" s="22">
        <f>IFERROR(__xludf.DUMMYFUNCTION("""COMPUTED_VALUE"""),500000.0)</f>
        <v>500000</v>
      </c>
      <c r="G219" s="22">
        <f>IFERROR(__xludf.DUMMYFUNCTION("""COMPUTED_VALUE"""),0.0)</f>
        <v>0</v>
      </c>
      <c r="H219" s="22">
        <f>IFERROR(__xludf.DUMMYFUNCTION("""COMPUTED_VALUE"""),500000.0)</f>
        <v>500000</v>
      </c>
      <c r="I219" s="24">
        <f>IFERROR(__xludf.DUMMYFUNCTION("""COMPUTED_VALUE"""),0.0)</f>
        <v>0</v>
      </c>
    </row>
    <row r="220">
      <c r="A220" s="5" t="str">
        <f>IFERROR(__xludf.DUMMYFUNCTION("""COMPUTED_VALUE"""),"18874")</f>
        <v>18874</v>
      </c>
      <c r="B220" s="64">
        <f>IFERROR(__xludf.DUMMYFUNCTION("""COMPUTED_VALUE"""),44611.0)</f>
        <v>44611</v>
      </c>
      <c r="C220" s="5"/>
      <c r="D220" s="5"/>
      <c r="E220" s="5"/>
      <c r="F220" s="22">
        <f>IFERROR(__xludf.DUMMYFUNCTION("""COMPUTED_VALUE"""),500000.0)</f>
        <v>500000</v>
      </c>
      <c r="G220" s="22">
        <f>IFERROR(__xludf.DUMMYFUNCTION("""COMPUTED_VALUE"""),0.0)</f>
        <v>0</v>
      </c>
      <c r="H220" s="22">
        <f>IFERROR(__xludf.DUMMYFUNCTION("""COMPUTED_VALUE"""),500000.0)</f>
        <v>500000</v>
      </c>
      <c r="I220" s="24">
        <f>IFERROR(__xludf.DUMMYFUNCTION("""COMPUTED_VALUE"""),0.0)</f>
        <v>0</v>
      </c>
    </row>
    <row r="221">
      <c r="A221" s="5" t="str">
        <f>IFERROR(__xludf.DUMMYFUNCTION("""COMPUTED_VALUE"""),"18874")</f>
        <v>18874</v>
      </c>
      <c r="B221" s="64">
        <f>IFERROR(__xludf.DUMMYFUNCTION("""COMPUTED_VALUE"""),44612.0)</f>
        <v>44612</v>
      </c>
      <c r="C221" s="5"/>
      <c r="D221" s="5"/>
      <c r="E221" s="5"/>
      <c r="F221" s="22">
        <f>IFERROR(__xludf.DUMMYFUNCTION("""COMPUTED_VALUE"""),500000.0)</f>
        <v>500000</v>
      </c>
      <c r="G221" s="22">
        <f>IFERROR(__xludf.DUMMYFUNCTION("""COMPUTED_VALUE"""),0.0)</f>
        <v>0</v>
      </c>
      <c r="H221" s="22">
        <f>IFERROR(__xludf.DUMMYFUNCTION("""COMPUTED_VALUE"""),500000.0)</f>
        <v>500000</v>
      </c>
      <c r="I221" s="24">
        <f>IFERROR(__xludf.DUMMYFUNCTION("""COMPUTED_VALUE"""),0.0)</f>
        <v>0</v>
      </c>
    </row>
    <row r="222">
      <c r="A222" s="5" t="str">
        <f>IFERROR(__xludf.DUMMYFUNCTION("""COMPUTED_VALUE"""),"18874")</f>
        <v>18874</v>
      </c>
      <c r="B222" s="64">
        <f>IFERROR(__xludf.DUMMYFUNCTION("""COMPUTED_VALUE"""),44613.0)</f>
        <v>44613</v>
      </c>
      <c r="C222" s="5"/>
      <c r="D222" s="5"/>
      <c r="E222" s="5"/>
      <c r="F222" s="22">
        <f>IFERROR(__xludf.DUMMYFUNCTION("""COMPUTED_VALUE"""),500000.0)</f>
        <v>500000</v>
      </c>
      <c r="G222" s="22">
        <f>IFERROR(__xludf.DUMMYFUNCTION("""COMPUTED_VALUE"""),0.0)</f>
        <v>0</v>
      </c>
      <c r="H222" s="22">
        <f>IFERROR(__xludf.DUMMYFUNCTION("""COMPUTED_VALUE"""),500000.0)</f>
        <v>500000</v>
      </c>
      <c r="I222" s="24">
        <f>IFERROR(__xludf.DUMMYFUNCTION("""COMPUTED_VALUE"""),0.0)</f>
        <v>0</v>
      </c>
    </row>
    <row r="223">
      <c r="A223" s="5" t="str">
        <f>IFERROR(__xludf.DUMMYFUNCTION("""COMPUTED_VALUE"""),"18874")</f>
        <v>18874</v>
      </c>
      <c r="B223" s="64">
        <f>IFERROR(__xludf.DUMMYFUNCTION("""COMPUTED_VALUE"""),44614.0)</f>
        <v>44614</v>
      </c>
      <c r="C223" s="5"/>
      <c r="D223" s="5"/>
      <c r="E223" s="5"/>
      <c r="F223" s="22">
        <f>IFERROR(__xludf.DUMMYFUNCTION("""COMPUTED_VALUE"""),500000.0)</f>
        <v>500000</v>
      </c>
      <c r="G223" s="22">
        <f>IFERROR(__xludf.DUMMYFUNCTION("""COMPUTED_VALUE"""),0.0)</f>
        <v>0</v>
      </c>
      <c r="H223" s="22">
        <f>IFERROR(__xludf.DUMMYFUNCTION("""COMPUTED_VALUE"""),500000.0)</f>
        <v>500000</v>
      </c>
      <c r="I223" s="24">
        <f>IFERROR(__xludf.DUMMYFUNCTION("""COMPUTED_VALUE"""),0.0)</f>
        <v>0</v>
      </c>
    </row>
    <row r="224">
      <c r="A224" s="5" t="str">
        <f>IFERROR(__xludf.DUMMYFUNCTION("""COMPUTED_VALUE"""),"18874")</f>
        <v>18874</v>
      </c>
      <c r="B224" s="64">
        <f>IFERROR(__xludf.DUMMYFUNCTION("""COMPUTED_VALUE"""),44615.0)</f>
        <v>44615</v>
      </c>
      <c r="C224" s="5"/>
      <c r="D224" s="5"/>
      <c r="E224" s="5"/>
      <c r="F224" s="22">
        <f>IFERROR(__xludf.DUMMYFUNCTION("""COMPUTED_VALUE"""),500000.0)</f>
        <v>500000</v>
      </c>
      <c r="G224" s="22">
        <f>IFERROR(__xludf.DUMMYFUNCTION("""COMPUTED_VALUE"""),0.0)</f>
        <v>0</v>
      </c>
      <c r="H224" s="22">
        <f>IFERROR(__xludf.DUMMYFUNCTION("""COMPUTED_VALUE"""),500000.0)</f>
        <v>500000</v>
      </c>
      <c r="I224" s="24">
        <f>IFERROR(__xludf.DUMMYFUNCTION("""COMPUTED_VALUE"""),0.0)</f>
        <v>0</v>
      </c>
    </row>
    <row r="225">
      <c r="A225" s="5" t="str">
        <f>IFERROR(__xludf.DUMMYFUNCTION("""COMPUTED_VALUE"""),"18874")</f>
        <v>18874</v>
      </c>
      <c r="B225" s="64">
        <f>IFERROR(__xludf.DUMMYFUNCTION("""COMPUTED_VALUE"""),44616.0)</f>
        <v>44616</v>
      </c>
      <c r="C225" s="5"/>
      <c r="D225" s="5"/>
      <c r="E225" s="5"/>
      <c r="F225" s="22">
        <f>IFERROR(__xludf.DUMMYFUNCTION("""COMPUTED_VALUE"""),500000.0)</f>
        <v>500000</v>
      </c>
      <c r="G225" s="22">
        <f>IFERROR(__xludf.DUMMYFUNCTION("""COMPUTED_VALUE"""),0.0)</f>
        <v>0</v>
      </c>
      <c r="H225" s="22">
        <f>IFERROR(__xludf.DUMMYFUNCTION("""COMPUTED_VALUE"""),500000.0)</f>
        <v>500000</v>
      </c>
      <c r="I225" s="24">
        <f>IFERROR(__xludf.DUMMYFUNCTION("""COMPUTED_VALUE"""),0.0)</f>
        <v>0</v>
      </c>
    </row>
    <row r="226">
      <c r="A226" s="5" t="str">
        <f>IFERROR(__xludf.DUMMYFUNCTION("""COMPUTED_VALUE"""),"18874")</f>
        <v>18874</v>
      </c>
      <c r="B226" s="64">
        <f>IFERROR(__xludf.DUMMYFUNCTION("""COMPUTED_VALUE"""),44617.0)</f>
        <v>44617</v>
      </c>
      <c r="C226" s="5"/>
      <c r="D226" s="5"/>
      <c r="E226" s="5"/>
      <c r="F226" s="22">
        <f>IFERROR(__xludf.DUMMYFUNCTION("""COMPUTED_VALUE"""),500000.0)</f>
        <v>500000</v>
      </c>
      <c r="G226" s="22">
        <f>IFERROR(__xludf.DUMMYFUNCTION("""COMPUTED_VALUE"""),0.0)</f>
        <v>0</v>
      </c>
      <c r="H226" s="22">
        <f>IFERROR(__xludf.DUMMYFUNCTION("""COMPUTED_VALUE"""),500000.0)</f>
        <v>500000</v>
      </c>
      <c r="I226" s="24">
        <f>IFERROR(__xludf.DUMMYFUNCTION("""COMPUTED_VALUE"""),0.0)</f>
        <v>0</v>
      </c>
    </row>
    <row r="227">
      <c r="A227" s="5" t="str">
        <f>IFERROR(__xludf.DUMMYFUNCTION("""COMPUTED_VALUE"""),"18874")</f>
        <v>18874</v>
      </c>
      <c r="B227" s="64">
        <f>IFERROR(__xludf.DUMMYFUNCTION("""COMPUTED_VALUE"""),44618.0)</f>
        <v>44618</v>
      </c>
      <c r="C227" s="5"/>
      <c r="D227" s="5"/>
      <c r="E227" s="5"/>
      <c r="F227" s="22">
        <f>IFERROR(__xludf.DUMMYFUNCTION("""COMPUTED_VALUE"""),500000.0)</f>
        <v>500000</v>
      </c>
      <c r="G227" s="22">
        <f>IFERROR(__xludf.DUMMYFUNCTION("""COMPUTED_VALUE"""),0.0)</f>
        <v>0</v>
      </c>
      <c r="H227" s="22">
        <f>IFERROR(__xludf.DUMMYFUNCTION("""COMPUTED_VALUE"""),500000.0)</f>
        <v>500000</v>
      </c>
      <c r="I227" s="24">
        <f>IFERROR(__xludf.DUMMYFUNCTION("""COMPUTED_VALUE"""),0.0)</f>
        <v>0</v>
      </c>
    </row>
    <row r="228">
      <c r="A228" s="5" t="str">
        <f>IFERROR(__xludf.DUMMYFUNCTION("""COMPUTED_VALUE"""),"18874")</f>
        <v>18874</v>
      </c>
      <c r="B228" s="64">
        <f>IFERROR(__xludf.DUMMYFUNCTION("""COMPUTED_VALUE"""),44619.0)</f>
        <v>44619</v>
      </c>
      <c r="C228" s="5"/>
      <c r="D228" s="5"/>
      <c r="E228" s="5"/>
      <c r="F228" s="22">
        <f>IFERROR(__xludf.DUMMYFUNCTION("""COMPUTED_VALUE"""),500000.0)</f>
        <v>500000</v>
      </c>
      <c r="G228" s="22">
        <f>IFERROR(__xludf.DUMMYFUNCTION("""COMPUTED_VALUE"""),0.0)</f>
        <v>0</v>
      </c>
      <c r="H228" s="22">
        <f>IFERROR(__xludf.DUMMYFUNCTION("""COMPUTED_VALUE"""),500000.0)</f>
        <v>500000</v>
      </c>
      <c r="I228" s="24">
        <f>IFERROR(__xludf.DUMMYFUNCTION("""COMPUTED_VALUE"""),0.0)</f>
        <v>0</v>
      </c>
    </row>
    <row r="229">
      <c r="A229" s="5" t="str">
        <f>IFERROR(__xludf.DUMMYFUNCTION("""COMPUTED_VALUE"""),"18874")</f>
        <v>18874</v>
      </c>
      <c r="B229" s="64">
        <f>IFERROR(__xludf.DUMMYFUNCTION("""COMPUTED_VALUE"""),44620.0)</f>
        <v>44620</v>
      </c>
      <c r="C229" s="5"/>
      <c r="D229" s="5"/>
      <c r="E229" s="5"/>
      <c r="F229" s="22">
        <f>IFERROR(__xludf.DUMMYFUNCTION("""COMPUTED_VALUE"""),500000.0)</f>
        <v>500000</v>
      </c>
      <c r="G229" s="22">
        <f>IFERROR(__xludf.DUMMYFUNCTION("""COMPUTED_VALUE"""),0.0)</f>
        <v>0</v>
      </c>
      <c r="H229" s="22">
        <f>IFERROR(__xludf.DUMMYFUNCTION("""COMPUTED_VALUE"""),500000.0)</f>
        <v>500000</v>
      </c>
      <c r="I229" s="24">
        <f>IFERROR(__xludf.DUMMYFUNCTION("""COMPUTED_VALUE"""),0.0)</f>
        <v>0</v>
      </c>
    </row>
    <row r="230">
      <c r="A230" s="5" t="str">
        <f>IFERROR(__xludf.DUMMYFUNCTION("""COMPUTED_VALUE"""),"18874")</f>
        <v>18874</v>
      </c>
      <c r="B230" s="64">
        <f>IFERROR(__xludf.DUMMYFUNCTION("""COMPUTED_VALUE"""),44621.0)</f>
        <v>44621</v>
      </c>
      <c r="C230" s="5"/>
      <c r="D230" s="5"/>
      <c r="E230" s="5"/>
      <c r="F230" s="22">
        <f>IFERROR(__xludf.DUMMYFUNCTION("""COMPUTED_VALUE"""),500000.0)</f>
        <v>500000</v>
      </c>
      <c r="G230" s="22">
        <f>IFERROR(__xludf.DUMMYFUNCTION("""COMPUTED_VALUE"""),0.0)</f>
        <v>0</v>
      </c>
      <c r="H230" s="22">
        <f>IFERROR(__xludf.DUMMYFUNCTION("""COMPUTED_VALUE"""),500000.0)</f>
        <v>500000</v>
      </c>
      <c r="I230" s="24">
        <f>IFERROR(__xludf.DUMMYFUNCTION("""COMPUTED_VALUE"""),0.0)</f>
        <v>0</v>
      </c>
    </row>
    <row r="231">
      <c r="A231" s="5" t="str">
        <f>IFERROR(__xludf.DUMMYFUNCTION("""COMPUTED_VALUE"""),"18874")</f>
        <v>18874</v>
      </c>
      <c r="B231" s="64">
        <f>IFERROR(__xludf.DUMMYFUNCTION("""COMPUTED_VALUE"""),44622.0)</f>
        <v>44622</v>
      </c>
      <c r="C231" s="5"/>
      <c r="D231" s="5"/>
      <c r="E231" s="5"/>
      <c r="F231" s="22">
        <f>IFERROR(__xludf.DUMMYFUNCTION("""COMPUTED_VALUE"""),500000.0)</f>
        <v>500000</v>
      </c>
      <c r="G231" s="22">
        <f>IFERROR(__xludf.DUMMYFUNCTION("""COMPUTED_VALUE"""),0.0)</f>
        <v>0</v>
      </c>
      <c r="H231" s="22">
        <f>IFERROR(__xludf.DUMMYFUNCTION("""COMPUTED_VALUE"""),500000.0)</f>
        <v>500000</v>
      </c>
      <c r="I231" s="24">
        <f>IFERROR(__xludf.DUMMYFUNCTION("""COMPUTED_VALUE"""),0.0)</f>
        <v>0</v>
      </c>
    </row>
    <row r="232">
      <c r="A232" s="5" t="str">
        <f>IFERROR(__xludf.DUMMYFUNCTION("""COMPUTED_VALUE"""),"18874")</f>
        <v>18874</v>
      </c>
      <c r="B232" s="64">
        <f>IFERROR(__xludf.DUMMYFUNCTION("""COMPUTED_VALUE"""),44623.0)</f>
        <v>44623</v>
      </c>
      <c r="C232" s="5"/>
      <c r="D232" s="5"/>
      <c r="E232" s="5"/>
      <c r="F232" s="22">
        <f>IFERROR(__xludf.DUMMYFUNCTION("""COMPUTED_VALUE"""),500000.0)</f>
        <v>500000</v>
      </c>
      <c r="G232" s="22">
        <f>IFERROR(__xludf.DUMMYFUNCTION("""COMPUTED_VALUE"""),0.0)</f>
        <v>0</v>
      </c>
      <c r="H232" s="22">
        <f>IFERROR(__xludf.DUMMYFUNCTION("""COMPUTED_VALUE"""),500000.0)</f>
        <v>500000</v>
      </c>
      <c r="I232" s="24">
        <f>IFERROR(__xludf.DUMMYFUNCTION("""COMPUTED_VALUE"""),0.0)</f>
        <v>0</v>
      </c>
    </row>
    <row r="233">
      <c r="A233" s="5" t="str">
        <f>IFERROR(__xludf.DUMMYFUNCTION("""COMPUTED_VALUE"""),"18874")</f>
        <v>18874</v>
      </c>
      <c r="B233" s="64">
        <f>IFERROR(__xludf.DUMMYFUNCTION("""COMPUTED_VALUE"""),44624.0)</f>
        <v>44624</v>
      </c>
      <c r="C233" s="5"/>
      <c r="D233" s="5"/>
      <c r="E233" s="5"/>
      <c r="F233" s="22">
        <f>IFERROR(__xludf.DUMMYFUNCTION("""COMPUTED_VALUE"""),500000.0)</f>
        <v>500000</v>
      </c>
      <c r="G233" s="22">
        <f>IFERROR(__xludf.DUMMYFUNCTION("""COMPUTED_VALUE"""),0.0)</f>
        <v>0</v>
      </c>
      <c r="H233" s="22">
        <f>IFERROR(__xludf.DUMMYFUNCTION("""COMPUTED_VALUE"""),500000.0)</f>
        <v>500000</v>
      </c>
      <c r="I233" s="24">
        <f>IFERROR(__xludf.DUMMYFUNCTION("""COMPUTED_VALUE"""),0.0)</f>
        <v>0</v>
      </c>
    </row>
    <row r="234">
      <c r="A234" s="5" t="str">
        <f>IFERROR(__xludf.DUMMYFUNCTION("""COMPUTED_VALUE"""),"18874")</f>
        <v>18874</v>
      </c>
      <c r="B234" s="64">
        <f>IFERROR(__xludf.DUMMYFUNCTION("""COMPUTED_VALUE"""),44625.0)</f>
        <v>44625</v>
      </c>
      <c r="C234" s="5"/>
      <c r="D234" s="5"/>
      <c r="E234" s="5"/>
      <c r="F234" s="22">
        <f>IFERROR(__xludf.DUMMYFUNCTION("""COMPUTED_VALUE"""),500000.0)</f>
        <v>500000</v>
      </c>
      <c r="G234" s="22">
        <f>IFERROR(__xludf.DUMMYFUNCTION("""COMPUTED_VALUE"""),0.0)</f>
        <v>0</v>
      </c>
      <c r="H234" s="22">
        <f>IFERROR(__xludf.DUMMYFUNCTION("""COMPUTED_VALUE"""),500000.0)</f>
        <v>500000</v>
      </c>
      <c r="I234" s="24">
        <f>IFERROR(__xludf.DUMMYFUNCTION("""COMPUTED_VALUE"""),0.0)</f>
        <v>0</v>
      </c>
    </row>
    <row r="235">
      <c r="A235" s="5" t="str">
        <f>IFERROR(__xludf.DUMMYFUNCTION("""COMPUTED_VALUE"""),"18874")</f>
        <v>18874</v>
      </c>
      <c r="B235" s="64">
        <f>IFERROR(__xludf.DUMMYFUNCTION("""COMPUTED_VALUE"""),44626.0)</f>
        <v>44626</v>
      </c>
      <c r="C235" s="5"/>
      <c r="D235" s="5"/>
      <c r="E235" s="5"/>
      <c r="F235" s="22">
        <f>IFERROR(__xludf.DUMMYFUNCTION("""COMPUTED_VALUE"""),500000.0)</f>
        <v>500000</v>
      </c>
      <c r="G235" s="22">
        <f>IFERROR(__xludf.DUMMYFUNCTION("""COMPUTED_VALUE"""),0.0)</f>
        <v>0</v>
      </c>
      <c r="H235" s="22">
        <f>IFERROR(__xludf.DUMMYFUNCTION("""COMPUTED_VALUE"""),500000.0)</f>
        <v>500000</v>
      </c>
      <c r="I235" s="24">
        <f>IFERROR(__xludf.DUMMYFUNCTION("""COMPUTED_VALUE"""),0.0)</f>
        <v>0</v>
      </c>
    </row>
    <row r="236">
      <c r="A236" s="5" t="str">
        <f>IFERROR(__xludf.DUMMYFUNCTION("""COMPUTED_VALUE"""),"18874")</f>
        <v>18874</v>
      </c>
      <c r="B236" s="64">
        <f>IFERROR(__xludf.DUMMYFUNCTION("""COMPUTED_VALUE"""),44627.0)</f>
        <v>44627</v>
      </c>
      <c r="C236" s="5"/>
      <c r="D236" s="5"/>
      <c r="E236" s="5"/>
      <c r="F236" s="22">
        <f>IFERROR(__xludf.DUMMYFUNCTION("""COMPUTED_VALUE"""),500000.0)</f>
        <v>500000</v>
      </c>
      <c r="G236" s="22">
        <f>IFERROR(__xludf.DUMMYFUNCTION("""COMPUTED_VALUE"""),0.0)</f>
        <v>0</v>
      </c>
      <c r="H236" s="22">
        <f>IFERROR(__xludf.DUMMYFUNCTION("""COMPUTED_VALUE"""),500000.0)</f>
        <v>500000</v>
      </c>
      <c r="I236" s="24">
        <f>IFERROR(__xludf.DUMMYFUNCTION("""COMPUTED_VALUE"""),0.0)</f>
        <v>0</v>
      </c>
    </row>
    <row r="237">
      <c r="A237" s="5" t="str">
        <f>IFERROR(__xludf.DUMMYFUNCTION("""COMPUTED_VALUE"""),"18874")</f>
        <v>18874</v>
      </c>
      <c r="B237" s="64">
        <f>IFERROR(__xludf.DUMMYFUNCTION("""COMPUTED_VALUE"""),44628.0)</f>
        <v>44628</v>
      </c>
      <c r="C237" s="5"/>
      <c r="D237" s="5"/>
      <c r="E237" s="5"/>
      <c r="F237" s="22">
        <f>IFERROR(__xludf.DUMMYFUNCTION("""COMPUTED_VALUE"""),500000.0)</f>
        <v>500000</v>
      </c>
      <c r="G237" s="22">
        <f>IFERROR(__xludf.DUMMYFUNCTION("""COMPUTED_VALUE"""),0.0)</f>
        <v>0</v>
      </c>
      <c r="H237" s="22">
        <f>IFERROR(__xludf.DUMMYFUNCTION("""COMPUTED_VALUE"""),500000.0)</f>
        <v>500000</v>
      </c>
      <c r="I237" s="24">
        <f>IFERROR(__xludf.DUMMYFUNCTION("""COMPUTED_VALUE"""),0.0)</f>
        <v>0</v>
      </c>
    </row>
    <row r="238">
      <c r="A238" s="5" t="str">
        <f>IFERROR(__xludf.DUMMYFUNCTION("""COMPUTED_VALUE"""),"18874")</f>
        <v>18874</v>
      </c>
      <c r="B238" s="64">
        <f>IFERROR(__xludf.DUMMYFUNCTION("""COMPUTED_VALUE"""),44629.0)</f>
        <v>44629</v>
      </c>
      <c r="C238" s="5"/>
      <c r="D238" s="5"/>
      <c r="E238" s="5"/>
      <c r="F238" s="22">
        <f>IFERROR(__xludf.DUMMYFUNCTION("""COMPUTED_VALUE"""),500000.0)</f>
        <v>500000</v>
      </c>
      <c r="G238" s="22">
        <f>IFERROR(__xludf.DUMMYFUNCTION("""COMPUTED_VALUE"""),0.0)</f>
        <v>0</v>
      </c>
      <c r="H238" s="22">
        <f>IFERROR(__xludf.DUMMYFUNCTION("""COMPUTED_VALUE"""),500000.0)</f>
        <v>500000</v>
      </c>
      <c r="I238" s="24">
        <f>IFERROR(__xludf.DUMMYFUNCTION("""COMPUTED_VALUE"""),0.0)</f>
        <v>0</v>
      </c>
    </row>
    <row r="239">
      <c r="A239" s="5" t="str">
        <f>IFERROR(__xludf.DUMMYFUNCTION("""COMPUTED_VALUE"""),"18874")</f>
        <v>18874</v>
      </c>
      <c r="B239" s="64">
        <f>IFERROR(__xludf.DUMMYFUNCTION("""COMPUTED_VALUE"""),44630.0)</f>
        <v>44630</v>
      </c>
      <c r="C239" s="5"/>
      <c r="D239" s="5"/>
      <c r="E239" s="5"/>
      <c r="F239" s="22">
        <f>IFERROR(__xludf.DUMMYFUNCTION("""COMPUTED_VALUE"""),500000.0)</f>
        <v>500000</v>
      </c>
      <c r="G239" s="22">
        <f>IFERROR(__xludf.DUMMYFUNCTION("""COMPUTED_VALUE"""),0.0)</f>
        <v>0</v>
      </c>
      <c r="H239" s="22">
        <f>IFERROR(__xludf.DUMMYFUNCTION("""COMPUTED_VALUE"""),500000.0)</f>
        <v>500000</v>
      </c>
      <c r="I239" s="24">
        <f>IFERROR(__xludf.DUMMYFUNCTION("""COMPUTED_VALUE"""),0.0)</f>
        <v>0</v>
      </c>
    </row>
    <row r="240">
      <c r="A240" s="5" t="str">
        <f>IFERROR(__xludf.DUMMYFUNCTION("""COMPUTED_VALUE"""),"18874")</f>
        <v>18874</v>
      </c>
      <c r="B240" s="64">
        <f>IFERROR(__xludf.DUMMYFUNCTION("""COMPUTED_VALUE"""),44631.0)</f>
        <v>44631</v>
      </c>
      <c r="C240" s="5"/>
      <c r="D240" s="5"/>
      <c r="E240" s="5"/>
      <c r="F240" s="22">
        <f>IFERROR(__xludf.DUMMYFUNCTION("""COMPUTED_VALUE"""),500000.0)</f>
        <v>500000</v>
      </c>
      <c r="G240" s="22">
        <f>IFERROR(__xludf.DUMMYFUNCTION("""COMPUTED_VALUE"""),0.0)</f>
        <v>0</v>
      </c>
      <c r="H240" s="22">
        <f>IFERROR(__xludf.DUMMYFUNCTION("""COMPUTED_VALUE"""),500000.0)</f>
        <v>500000</v>
      </c>
      <c r="I240" s="24">
        <f>IFERROR(__xludf.DUMMYFUNCTION("""COMPUTED_VALUE"""),0.0)</f>
        <v>0</v>
      </c>
    </row>
    <row r="241">
      <c r="A241" s="5" t="str">
        <f>IFERROR(__xludf.DUMMYFUNCTION("""COMPUTED_VALUE"""),"18874")</f>
        <v>18874</v>
      </c>
      <c r="B241" s="64">
        <f>IFERROR(__xludf.DUMMYFUNCTION("""COMPUTED_VALUE"""),44632.0)</f>
        <v>44632</v>
      </c>
      <c r="C241" s="5"/>
      <c r="D241" s="5"/>
      <c r="E241" s="5"/>
      <c r="F241" s="22">
        <f>IFERROR(__xludf.DUMMYFUNCTION("""COMPUTED_VALUE"""),500000.0)</f>
        <v>500000</v>
      </c>
      <c r="G241" s="22">
        <f>IFERROR(__xludf.DUMMYFUNCTION("""COMPUTED_VALUE"""),0.0)</f>
        <v>0</v>
      </c>
      <c r="H241" s="22">
        <f>IFERROR(__xludf.DUMMYFUNCTION("""COMPUTED_VALUE"""),500000.0)</f>
        <v>500000</v>
      </c>
      <c r="I241" s="24">
        <f>IFERROR(__xludf.DUMMYFUNCTION("""COMPUTED_VALUE"""),0.0)</f>
        <v>0</v>
      </c>
    </row>
    <row r="242">
      <c r="A242" s="5" t="str">
        <f>IFERROR(__xludf.DUMMYFUNCTION("""COMPUTED_VALUE"""),"18874")</f>
        <v>18874</v>
      </c>
      <c r="B242" s="64">
        <f>IFERROR(__xludf.DUMMYFUNCTION("""COMPUTED_VALUE"""),44633.0)</f>
        <v>44633</v>
      </c>
      <c r="C242" s="5"/>
      <c r="D242" s="5"/>
      <c r="E242" s="5"/>
      <c r="F242" s="22">
        <f>IFERROR(__xludf.DUMMYFUNCTION("""COMPUTED_VALUE"""),500000.0)</f>
        <v>500000</v>
      </c>
      <c r="G242" s="22">
        <f>IFERROR(__xludf.DUMMYFUNCTION("""COMPUTED_VALUE"""),0.0)</f>
        <v>0</v>
      </c>
      <c r="H242" s="22">
        <f>IFERROR(__xludf.DUMMYFUNCTION("""COMPUTED_VALUE"""),500000.0)</f>
        <v>500000</v>
      </c>
      <c r="I242" s="24">
        <f>IFERROR(__xludf.DUMMYFUNCTION("""COMPUTED_VALUE"""),0.0)</f>
        <v>0</v>
      </c>
    </row>
    <row r="243">
      <c r="A243" s="5" t="str">
        <f>IFERROR(__xludf.DUMMYFUNCTION("""COMPUTED_VALUE"""),"18874")</f>
        <v>18874</v>
      </c>
      <c r="B243" s="64">
        <f>IFERROR(__xludf.DUMMYFUNCTION("""COMPUTED_VALUE"""),44634.0)</f>
        <v>44634</v>
      </c>
      <c r="C243" s="5"/>
      <c r="D243" s="5"/>
      <c r="E243" s="5"/>
      <c r="F243" s="22">
        <f>IFERROR(__xludf.DUMMYFUNCTION("""COMPUTED_VALUE"""),500000.0)</f>
        <v>500000</v>
      </c>
      <c r="G243" s="22">
        <f>IFERROR(__xludf.DUMMYFUNCTION("""COMPUTED_VALUE"""),0.0)</f>
        <v>0</v>
      </c>
      <c r="H243" s="22">
        <f>IFERROR(__xludf.DUMMYFUNCTION("""COMPUTED_VALUE"""),500000.0)</f>
        <v>500000</v>
      </c>
      <c r="I243" s="24">
        <f>IFERROR(__xludf.DUMMYFUNCTION("""COMPUTED_VALUE"""),0.0)</f>
        <v>0</v>
      </c>
    </row>
    <row r="244">
      <c r="A244" s="5" t="str">
        <f>IFERROR(__xludf.DUMMYFUNCTION("""COMPUTED_VALUE"""),"18874")</f>
        <v>18874</v>
      </c>
      <c r="B244" s="64">
        <f>IFERROR(__xludf.DUMMYFUNCTION("""COMPUTED_VALUE"""),44635.0)</f>
        <v>44635</v>
      </c>
      <c r="C244" s="5"/>
      <c r="D244" s="5"/>
      <c r="E244" s="5"/>
      <c r="F244" s="22">
        <f>IFERROR(__xludf.DUMMYFUNCTION("""COMPUTED_VALUE"""),500000.0)</f>
        <v>500000</v>
      </c>
      <c r="G244" s="22">
        <f>IFERROR(__xludf.DUMMYFUNCTION("""COMPUTED_VALUE"""),0.0)</f>
        <v>0</v>
      </c>
      <c r="H244" s="22">
        <f>IFERROR(__xludf.DUMMYFUNCTION("""COMPUTED_VALUE"""),500000.0)</f>
        <v>500000</v>
      </c>
      <c r="I244" s="24">
        <f>IFERROR(__xludf.DUMMYFUNCTION("""COMPUTED_VALUE"""),0.0)</f>
        <v>0</v>
      </c>
    </row>
    <row r="245">
      <c r="A245" s="5" t="str">
        <f>IFERROR(__xludf.DUMMYFUNCTION("""COMPUTED_VALUE"""),"18874")</f>
        <v>18874</v>
      </c>
      <c r="B245" s="64">
        <f>IFERROR(__xludf.DUMMYFUNCTION("""COMPUTED_VALUE"""),44636.0)</f>
        <v>44636</v>
      </c>
      <c r="C245" s="5"/>
      <c r="D245" s="5"/>
      <c r="E245" s="5"/>
      <c r="F245" s="22">
        <f>IFERROR(__xludf.DUMMYFUNCTION("""COMPUTED_VALUE"""),500000.0)</f>
        <v>500000</v>
      </c>
      <c r="G245" s="22">
        <f>IFERROR(__xludf.DUMMYFUNCTION("""COMPUTED_VALUE"""),0.0)</f>
        <v>0</v>
      </c>
      <c r="H245" s="22">
        <f>IFERROR(__xludf.DUMMYFUNCTION("""COMPUTED_VALUE"""),500000.0)</f>
        <v>500000</v>
      </c>
      <c r="I245" s="24">
        <f>IFERROR(__xludf.DUMMYFUNCTION("""COMPUTED_VALUE"""),0.0)</f>
        <v>0</v>
      </c>
    </row>
    <row r="246">
      <c r="A246" s="5" t="str">
        <f>IFERROR(__xludf.DUMMYFUNCTION("""COMPUTED_VALUE"""),"18874")</f>
        <v>18874</v>
      </c>
      <c r="B246" s="64">
        <f>IFERROR(__xludf.DUMMYFUNCTION("""COMPUTED_VALUE"""),44637.0)</f>
        <v>44637</v>
      </c>
      <c r="C246" s="5"/>
      <c r="D246" s="5"/>
      <c r="E246" s="5"/>
      <c r="F246" s="22">
        <f>IFERROR(__xludf.DUMMYFUNCTION("""COMPUTED_VALUE"""),500000.0)</f>
        <v>500000</v>
      </c>
      <c r="G246" s="22">
        <f>IFERROR(__xludf.DUMMYFUNCTION("""COMPUTED_VALUE"""),0.0)</f>
        <v>0</v>
      </c>
      <c r="H246" s="22">
        <f>IFERROR(__xludf.DUMMYFUNCTION("""COMPUTED_VALUE"""),500000.0)</f>
        <v>500000</v>
      </c>
      <c r="I246" s="24">
        <f>IFERROR(__xludf.DUMMYFUNCTION("""COMPUTED_VALUE"""),0.0)</f>
        <v>0</v>
      </c>
    </row>
    <row r="247">
      <c r="A247" s="5" t="str">
        <f>IFERROR(__xludf.DUMMYFUNCTION("""COMPUTED_VALUE"""),"18874")</f>
        <v>18874</v>
      </c>
      <c r="B247" s="64">
        <f>IFERROR(__xludf.DUMMYFUNCTION("""COMPUTED_VALUE"""),44638.0)</f>
        <v>44638</v>
      </c>
      <c r="C247" s="5"/>
      <c r="D247" s="5"/>
      <c r="E247" s="5"/>
      <c r="F247" s="22">
        <f>IFERROR(__xludf.DUMMYFUNCTION("""COMPUTED_VALUE"""),500000.0)</f>
        <v>500000</v>
      </c>
      <c r="G247" s="22">
        <f>IFERROR(__xludf.DUMMYFUNCTION("""COMPUTED_VALUE"""),0.0)</f>
        <v>0</v>
      </c>
      <c r="H247" s="22">
        <f>IFERROR(__xludf.DUMMYFUNCTION("""COMPUTED_VALUE"""),500000.0)</f>
        <v>500000</v>
      </c>
      <c r="I247" s="24">
        <f>IFERROR(__xludf.DUMMYFUNCTION("""COMPUTED_VALUE"""),0.0)</f>
        <v>0</v>
      </c>
    </row>
    <row r="248">
      <c r="A248" s="5" t="str">
        <f>IFERROR(__xludf.DUMMYFUNCTION("""COMPUTED_VALUE"""),"18874")</f>
        <v>18874</v>
      </c>
      <c r="B248" s="64">
        <f>IFERROR(__xludf.DUMMYFUNCTION("""COMPUTED_VALUE"""),44639.0)</f>
        <v>44639</v>
      </c>
      <c r="C248" s="5"/>
      <c r="D248" s="5"/>
      <c r="E248" s="5"/>
      <c r="F248" s="22">
        <f>IFERROR(__xludf.DUMMYFUNCTION("""COMPUTED_VALUE"""),500000.0)</f>
        <v>500000</v>
      </c>
      <c r="G248" s="22">
        <f>IFERROR(__xludf.DUMMYFUNCTION("""COMPUTED_VALUE"""),0.0)</f>
        <v>0</v>
      </c>
      <c r="H248" s="22">
        <f>IFERROR(__xludf.DUMMYFUNCTION("""COMPUTED_VALUE"""),500000.0)</f>
        <v>500000</v>
      </c>
      <c r="I248" s="24">
        <f>IFERROR(__xludf.DUMMYFUNCTION("""COMPUTED_VALUE"""),0.0)</f>
        <v>0</v>
      </c>
    </row>
    <row r="249">
      <c r="A249" s="5" t="str">
        <f>IFERROR(__xludf.DUMMYFUNCTION("""COMPUTED_VALUE"""),"18874")</f>
        <v>18874</v>
      </c>
      <c r="B249" s="64">
        <f>IFERROR(__xludf.DUMMYFUNCTION("""COMPUTED_VALUE"""),44640.0)</f>
        <v>44640</v>
      </c>
      <c r="C249" s="5"/>
      <c r="D249" s="5"/>
      <c r="E249" s="5"/>
      <c r="F249" s="22">
        <f>IFERROR(__xludf.DUMMYFUNCTION("""COMPUTED_VALUE"""),500000.0)</f>
        <v>500000</v>
      </c>
      <c r="G249" s="22">
        <f>IFERROR(__xludf.DUMMYFUNCTION("""COMPUTED_VALUE"""),0.0)</f>
        <v>0</v>
      </c>
      <c r="H249" s="22">
        <f>IFERROR(__xludf.DUMMYFUNCTION("""COMPUTED_VALUE"""),500000.0)</f>
        <v>500000</v>
      </c>
      <c r="I249" s="24">
        <f>IFERROR(__xludf.DUMMYFUNCTION("""COMPUTED_VALUE"""),0.0)</f>
        <v>0</v>
      </c>
    </row>
    <row r="250">
      <c r="A250" s="5" t="str">
        <f>IFERROR(__xludf.DUMMYFUNCTION("""COMPUTED_VALUE"""),"18874")</f>
        <v>18874</v>
      </c>
      <c r="B250" s="64">
        <f>IFERROR(__xludf.DUMMYFUNCTION("""COMPUTED_VALUE"""),44641.0)</f>
        <v>44641</v>
      </c>
      <c r="C250" s="5"/>
      <c r="D250" s="5"/>
      <c r="E250" s="5"/>
      <c r="F250" s="22">
        <f>IFERROR(__xludf.DUMMYFUNCTION("""COMPUTED_VALUE"""),500000.0)</f>
        <v>500000</v>
      </c>
      <c r="G250" s="22">
        <f>IFERROR(__xludf.DUMMYFUNCTION("""COMPUTED_VALUE"""),0.0)</f>
        <v>0</v>
      </c>
      <c r="H250" s="22">
        <f>IFERROR(__xludf.DUMMYFUNCTION("""COMPUTED_VALUE"""),500000.0)</f>
        <v>500000</v>
      </c>
      <c r="I250" s="24">
        <f>IFERROR(__xludf.DUMMYFUNCTION("""COMPUTED_VALUE"""),0.0)</f>
        <v>0</v>
      </c>
    </row>
    <row r="251">
      <c r="A251" s="5" t="str">
        <f>IFERROR(__xludf.DUMMYFUNCTION("""COMPUTED_VALUE"""),"18874")</f>
        <v>18874</v>
      </c>
      <c r="B251" s="64">
        <f>IFERROR(__xludf.DUMMYFUNCTION("""COMPUTED_VALUE"""),44642.0)</f>
        <v>44642</v>
      </c>
      <c r="C251" s="5"/>
      <c r="D251" s="5"/>
      <c r="E251" s="5"/>
      <c r="F251" s="22">
        <f>IFERROR(__xludf.DUMMYFUNCTION("""COMPUTED_VALUE"""),500000.0)</f>
        <v>500000</v>
      </c>
      <c r="G251" s="22">
        <f>IFERROR(__xludf.DUMMYFUNCTION("""COMPUTED_VALUE"""),0.0)</f>
        <v>0</v>
      </c>
      <c r="H251" s="22">
        <f>IFERROR(__xludf.DUMMYFUNCTION("""COMPUTED_VALUE"""),500000.0)</f>
        <v>500000</v>
      </c>
      <c r="I251" s="24">
        <f>IFERROR(__xludf.DUMMYFUNCTION("""COMPUTED_VALUE"""),0.0)</f>
        <v>0</v>
      </c>
    </row>
    <row r="252">
      <c r="A252" s="5" t="str">
        <f>IFERROR(__xludf.DUMMYFUNCTION("""COMPUTED_VALUE"""),"18874")</f>
        <v>18874</v>
      </c>
      <c r="B252" s="64">
        <f>IFERROR(__xludf.DUMMYFUNCTION("""COMPUTED_VALUE"""),44643.0)</f>
        <v>44643</v>
      </c>
      <c r="C252" s="5"/>
      <c r="D252" s="5"/>
      <c r="E252" s="5"/>
      <c r="F252" s="22">
        <f>IFERROR(__xludf.DUMMYFUNCTION("""COMPUTED_VALUE"""),500000.0)</f>
        <v>500000</v>
      </c>
      <c r="G252" s="22">
        <f>IFERROR(__xludf.DUMMYFUNCTION("""COMPUTED_VALUE"""),0.0)</f>
        <v>0</v>
      </c>
      <c r="H252" s="22">
        <f>IFERROR(__xludf.DUMMYFUNCTION("""COMPUTED_VALUE"""),500000.0)</f>
        <v>500000</v>
      </c>
      <c r="I252" s="24">
        <f>IFERROR(__xludf.DUMMYFUNCTION("""COMPUTED_VALUE"""),0.0)</f>
        <v>0</v>
      </c>
    </row>
    <row r="253">
      <c r="A253" s="5" t="str">
        <f>IFERROR(__xludf.DUMMYFUNCTION("""COMPUTED_VALUE"""),"18874")</f>
        <v>18874</v>
      </c>
      <c r="B253" s="64">
        <f>IFERROR(__xludf.DUMMYFUNCTION("""COMPUTED_VALUE"""),44644.0)</f>
        <v>44644</v>
      </c>
      <c r="C253" s="5"/>
      <c r="D253" s="5"/>
      <c r="E253" s="5"/>
      <c r="F253" s="22">
        <f>IFERROR(__xludf.DUMMYFUNCTION("""COMPUTED_VALUE"""),500000.0)</f>
        <v>500000</v>
      </c>
      <c r="G253" s="22">
        <f>IFERROR(__xludf.DUMMYFUNCTION("""COMPUTED_VALUE"""),0.0)</f>
        <v>0</v>
      </c>
      <c r="H253" s="22">
        <f>IFERROR(__xludf.DUMMYFUNCTION("""COMPUTED_VALUE"""),500000.0)</f>
        <v>500000</v>
      </c>
      <c r="I253" s="24">
        <f>IFERROR(__xludf.DUMMYFUNCTION("""COMPUTED_VALUE"""),0.0)</f>
        <v>0</v>
      </c>
    </row>
    <row r="254">
      <c r="A254" s="5" t="str">
        <f>IFERROR(__xludf.DUMMYFUNCTION("""COMPUTED_VALUE"""),"18874")</f>
        <v>18874</v>
      </c>
      <c r="B254" s="64">
        <f>IFERROR(__xludf.DUMMYFUNCTION("""COMPUTED_VALUE"""),44645.0)</f>
        <v>44645</v>
      </c>
      <c r="C254" s="5"/>
      <c r="D254" s="5"/>
      <c r="E254" s="5"/>
      <c r="F254" s="22">
        <f>IFERROR(__xludf.DUMMYFUNCTION("""COMPUTED_VALUE"""),500000.0)</f>
        <v>500000</v>
      </c>
      <c r="G254" s="22">
        <f>IFERROR(__xludf.DUMMYFUNCTION("""COMPUTED_VALUE"""),0.0)</f>
        <v>0</v>
      </c>
      <c r="H254" s="22">
        <f>IFERROR(__xludf.DUMMYFUNCTION("""COMPUTED_VALUE"""),500000.0)</f>
        <v>500000</v>
      </c>
      <c r="I254" s="24">
        <f>IFERROR(__xludf.DUMMYFUNCTION("""COMPUTED_VALUE"""),0.0)</f>
        <v>0</v>
      </c>
    </row>
    <row r="255">
      <c r="A255" s="5" t="str">
        <f>IFERROR(__xludf.DUMMYFUNCTION("""COMPUTED_VALUE"""),"18874")</f>
        <v>18874</v>
      </c>
      <c r="B255" s="64">
        <f>IFERROR(__xludf.DUMMYFUNCTION("""COMPUTED_VALUE"""),44646.0)</f>
        <v>44646</v>
      </c>
      <c r="C255" s="5"/>
      <c r="D255" s="5"/>
      <c r="E255" s="5"/>
      <c r="F255" s="22">
        <f>IFERROR(__xludf.DUMMYFUNCTION("""COMPUTED_VALUE"""),500000.0)</f>
        <v>500000</v>
      </c>
      <c r="G255" s="22">
        <f>IFERROR(__xludf.DUMMYFUNCTION("""COMPUTED_VALUE"""),0.0)</f>
        <v>0</v>
      </c>
      <c r="H255" s="22">
        <f>IFERROR(__xludf.DUMMYFUNCTION("""COMPUTED_VALUE"""),500000.0)</f>
        <v>500000</v>
      </c>
      <c r="I255" s="24">
        <f>IFERROR(__xludf.DUMMYFUNCTION("""COMPUTED_VALUE"""),0.0)</f>
        <v>0</v>
      </c>
    </row>
    <row r="256">
      <c r="A256" s="5" t="str">
        <f>IFERROR(__xludf.DUMMYFUNCTION("""COMPUTED_VALUE"""),"18874")</f>
        <v>18874</v>
      </c>
      <c r="B256" s="64">
        <f>IFERROR(__xludf.DUMMYFUNCTION("""COMPUTED_VALUE"""),44647.0)</f>
        <v>44647</v>
      </c>
      <c r="C256" s="5"/>
      <c r="D256" s="5"/>
      <c r="E256" s="5"/>
      <c r="F256" s="22">
        <f>IFERROR(__xludf.DUMMYFUNCTION("""COMPUTED_VALUE"""),500000.0)</f>
        <v>500000</v>
      </c>
      <c r="G256" s="22">
        <f>IFERROR(__xludf.DUMMYFUNCTION("""COMPUTED_VALUE"""),0.0)</f>
        <v>0</v>
      </c>
      <c r="H256" s="22">
        <f>IFERROR(__xludf.DUMMYFUNCTION("""COMPUTED_VALUE"""),500000.0)</f>
        <v>500000</v>
      </c>
      <c r="I256" s="24">
        <f>IFERROR(__xludf.DUMMYFUNCTION("""COMPUTED_VALUE"""),0.0)</f>
        <v>0</v>
      </c>
    </row>
    <row r="257">
      <c r="A257" s="5" t="str">
        <f>IFERROR(__xludf.DUMMYFUNCTION("""COMPUTED_VALUE"""),"18874")</f>
        <v>18874</v>
      </c>
      <c r="B257" s="64">
        <f>IFERROR(__xludf.DUMMYFUNCTION("""COMPUTED_VALUE"""),44648.0)</f>
        <v>44648</v>
      </c>
      <c r="C257" s="5"/>
      <c r="D257" s="5"/>
      <c r="E257" s="5"/>
      <c r="F257" s="22">
        <f>IFERROR(__xludf.DUMMYFUNCTION("""COMPUTED_VALUE"""),500000.0)</f>
        <v>500000</v>
      </c>
      <c r="G257" s="22">
        <f>IFERROR(__xludf.DUMMYFUNCTION("""COMPUTED_VALUE"""),0.0)</f>
        <v>0</v>
      </c>
      <c r="H257" s="22">
        <f>IFERROR(__xludf.DUMMYFUNCTION("""COMPUTED_VALUE"""),500000.0)</f>
        <v>500000</v>
      </c>
      <c r="I257" s="24">
        <f>IFERROR(__xludf.DUMMYFUNCTION("""COMPUTED_VALUE"""),0.0)</f>
        <v>0</v>
      </c>
    </row>
    <row r="258">
      <c r="A258" s="5" t="str">
        <f>IFERROR(__xludf.DUMMYFUNCTION("""COMPUTED_VALUE"""),"18874")</f>
        <v>18874</v>
      </c>
      <c r="B258" s="64">
        <f>IFERROR(__xludf.DUMMYFUNCTION("""COMPUTED_VALUE"""),44649.0)</f>
        <v>44649</v>
      </c>
      <c r="C258" s="5"/>
      <c r="D258" s="5"/>
      <c r="E258" s="5"/>
      <c r="F258" s="22">
        <f>IFERROR(__xludf.DUMMYFUNCTION("""COMPUTED_VALUE"""),500000.0)</f>
        <v>500000</v>
      </c>
      <c r="G258" s="22">
        <f>IFERROR(__xludf.DUMMYFUNCTION("""COMPUTED_VALUE"""),0.0)</f>
        <v>0</v>
      </c>
      <c r="H258" s="22">
        <f>IFERROR(__xludf.DUMMYFUNCTION("""COMPUTED_VALUE"""),500000.0)</f>
        <v>500000</v>
      </c>
      <c r="I258" s="24">
        <f>IFERROR(__xludf.DUMMYFUNCTION("""COMPUTED_VALUE"""),0.0)</f>
        <v>0</v>
      </c>
    </row>
    <row r="259">
      <c r="A259" s="5" t="str">
        <f>IFERROR(__xludf.DUMMYFUNCTION("""COMPUTED_VALUE"""),"18874")</f>
        <v>18874</v>
      </c>
      <c r="B259" s="64">
        <f>IFERROR(__xludf.DUMMYFUNCTION("""COMPUTED_VALUE"""),44650.0)</f>
        <v>44650</v>
      </c>
      <c r="C259" s="5"/>
      <c r="D259" s="5"/>
      <c r="E259" s="5"/>
      <c r="F259" s="22">
        <f>IFERROR(__xludf.DUMMYFUNCTION("""COMPUTED_VALUE"""),500000.0)</f>
        <v>500000</v>
      </c>
      <c r="G259" s="22">
        <f>IFERROR(__xludf.DUMMYFUNCTION("""COMPUTED_VALUE"""),0.0)</f>
        <v>0</v>
      </c>
      <c r="H259" s="22">
        <f>IFERROR(__xludf.DUMMYFUNCTION("""COMPUTED_VALUE"""),500000.0)</f>
        <v>500000</v>
      </c>
      <c r="I259" s="24">
        <f>IFERROR(__xludf.DUMMYFUNCTION("""COMPUTED_VALUE"""),0.0)</f>
        <v>0</v>
      </c>
    </row>
    <row r="260">
      <c r="A260" s="5" t="str">
        <f>IFERROR(__xludf.DUMMYFUNCTION("""COMPUTED_VALUE"""),"18874")</f>
        <v>18874</v>
      </c>
      <c r="B260" s="64">
        <f>IFERROR(__xludf.DUMMYFUNCTION("""COMPUTED_VALUE"""),44651.0)</f>
        <v>44651</v>
      </c>
      <c r="C260" s="5"/>
      <c r="D260" s="5"/>
      <c r="E260" s="5"/>
      <c r="F260" s="22">
        <f>IFERROR(__xludf.DUMMYFUNCTION("""COMPUTED_VALUE"""),500000.0)</f>
        <v>500000</v>
      </c>
      <c r="G260" s="22">
        <f>IFERROR(__xludf.DUMMYFUNCTION("""COMPUTED_VALUE"""),0.0)</f>
        <v>0</v>
      </c>
      <c r="H260" s="22">
        <f>IFERROR(__xludf.DUMMYFUNCTION("""COMPUTED_VALUE"""),500000.0)</f>
        <v>500000</v>
      </c>
      <c r="I260" s="24">
        <f>IFERROR(__xludf.DUMMYFUNCTION("""COMPUTED_VALUE"""),0.0)</f>
        <v>0</v>
      </c>
    </row>
    <row r="261">
      <c r="A261" s="5" t="str">
        <f>IFERROR(__xludf.DUMMYFUNCTION("""COMPUTED_VALUE"""),"18874")</f>
        <v>18874</v>
      </c>
      <c r="B261" s="64">
        <f>IFERROR(__xludf.DUMMYFUNCTION("""COMPUTED_VALUE"""),44652.0)</f>
        <v>44652</v>
      </c>
      <c r="C261" s="5"/>
      <c r="D261" s="5"/>
      <c r="E261" s="5"/>
      <c r="F261" s="22">
        <f>IFERROR(__xludf.DUMMYFUNCTION("""COMPUTED_VALUE"""),500000.0)</f>
        <v>500000</v>
      </c>
      <c r="G261" s="22">
        <f>IFERROR(__xludf.DUMMYFUNCTION("""COMPUTED_VALUE"""),0.0)</f>
        <v>0</v>
      </c>
      <c r="H261" s="22">
        <f>IFERROR(__xludf.DUMMYFUNCTION("""COMPUTED_VALUE"""),500000.0)</f>
        <v>500000</v>
      </c>
      <c r="I261" s="24">
        <f>IFERROR(__xludf.DUMMYFUNCTION("""COMPUTED_VALUE"""),0.0)</f>
        <v>0</v>
      </c>
    </row>
    <row r="262">
      <c r="A262" s="5" t="str">
        <f>IFERROR(__xludf.DUMMYFUNCTION("""COMPUTED_VALUE"""),"18874")</f>
        <v>18874</v>
      </c>
      <c r="B262" s="64">
        <f>IFERROR(__xludf.DUMMYFUNCTION("""COMPUTED_VALUE"""),44653.0)</f>
        <v>44653</v>
      </c>
      <c r="C262" s="5"/>
      <c r="D262" s="5"/>
      <c r="E262" s="5"/>
      <c r="F262" s="22">
        <f>IFERROR(__xludf.DUMMYFUNCTION("""COMPUTED_VALUE"""),500000.0)</f>
        <v>500000</v>
      </c>
      <c r="G262" s="22">
        <f>IFERROR(__xludf.DUMMYFUNCTION("""COMPUTED_VALUE"""),0.0)</f>
        <v>0</v>
      </c>
      <c r="H262" s="22">
        <f>IFERROR(__xludf.DUMMYFUNCTION("""COMPUTED_VALUE"""),500000.0)</f>
        <v>500000</v>
      </c>
      <c r="I262" s="24">
        <f>IFERROR(__xludf.DUMMYFUNCTION("""COMPUTED_VALUE"""),0.0)</f>
        <v>0</v>
      </c>
    </row>
    <row r="263">
      <c r="A263" s="5" t="str">
        <f>IFERROR(__xludf.DUMMYFUNCTION("""COMPUTED_VALUE"""),"18874")</f>
        <v>18874</v>
      </c>
      <c r="B263" s="64">
        <f>IFERROR(__xludf.DUMMYFUNCTION("""COMPUTED_VALUE"""),44654.0)</f>
        <v>44654</v>
      </c>
      <c r="C263" s="5"/>
      <c r="D263" s="5"/>
      <c r="E263" s="5"/>
      <c r="F263" s="22">
        <f>IFERROR(__xludf.DUMMYFUNCTION("""COMPUTED_VALUE"""),500000.0)</f>
        <v>500000</v>
      </c>
      <c r="G263" s="22">
        <f>IFERROR(__xludf.DUMMYFUNCTION("""COMPUTED_VALUE"""),0.0)</f>
        <v>0</v>
      </c>
      <c r="H263" s="22">
        <f>IFERROR(__xludf.DUMMYFUNCTION("""COMPUTED_VALUE"""),500000.0)</f>
        <v>500000</v>
      </c>
      <c r="I263" s="24">
        <f>IFERROR(__xludf.DUMMYFUNCTION("""COMPUTED_VALUE"""),0.0)</f>
        <v>0</v>
      </c>
    </row>
    <row r="264">
      <c r="A264" s="5" t="str">
        <f>IFERROR(__xludf.DUMMYFUNCTION("""COMPUTED_VALUE"""),"18874")</f>
        <v>18874</v>
      </c>
      <c r="B264" s="64">
        <f>IFERROR(__xludf.DUMMYFUNCTION("""COMPUTED_VALUE"""),44655.0)</f>
        <v>44655</v>
      </c>
      <c r="C264" s="5"/>
      <c r="D264" s="5"/>
      <c r="E264" s="5"/>
      <c r="F264" s="22">
        <f>IFERROR(__xludf.DUMMYFUNCTION("""COMPUTED_VALUE"""),500000.0)</f>
        <v>500000</v>
      </c>
      <c r="G264" s="22">
        <f>IFERROR(__xludf.DUMMYFUNCTION("""COMPUTED_VALUE"""),0.0)</f>
        <v>0</v>
      </c>
      <c r="H264" s="22">
        <f>IFERROR(__xludf.DUMMYFUNCTION("""COMPUTED_VALUE"""),500000.0)</f>
        <v>500000</v>
      </c>
      <c r="I264" s="24">
        <f>IFERROR(__xludf.DUMMYFUNCTION("""COMPUTED_VALUE"""),0.0)</f>
        <v>0</v>
      </c>
    </row>
    <row r="265">
      <c r="A265" s="5" t="str">
        <f>IFERROR(__xludf.DUMMYFUNCTION("""COMPUTED_VALUE"""),"18874")</f>
        <v>18874</v>
      </c>
      <c r="B265" s="64">
        <f>IFERROR(__xludf.DUMMYFUNCTION("""COMPUTED_VALUE"""),44656.0)</f>
        <v>44656</v>
      </c>
      <c r="C265" s="5"/>
      <c r="D265" s="5"/>
      <c r="E265" s="5"/>
      <c r="F265" s="22">
        <f>IFERROR(__xludf.DUMMYFUNCTION("""COMPUTED_VALUE"""),500000.0)</f>
        <v>500000</v>
      </c>
      <c r="G265" s="22">
        <f>IFERROR(__xludf.DUMMYFUNCTION("""COMPUTED_VALUE"""),0.0)</f>
        <v>0</v>
      </c>
      <c r="H265" s="22">
        <f>IFERROR(__xludf.DUMMYFUNCTION("""COMPUTED_VALUE"""),500000.0)</f>
        <v>500000</v>
      </c>
      <c r="I265" s="24">
        <f>IFERROR(__xludf.DUMMYFUNCTION("""COMPUTED_VALUE"""),0.0)</f>
        <v>0</v>
      </c>
    </row>
    <row r="266">
      <c r="A266" s="5" t="str">
        <f>IFERROR(__xludf.DUMMYFUNCTION("""COMPUTED_VALUE"""),"18874")</f>
        <v>18874</v>
      </c>
      <c r="B266" s="64">
        <f>IFERROR(__xludf.DUMMYFUNCTION("""COMPUTED_VALUE"""),44657.0)</f>
        <v>44657</v>
      </c>
      <c r="C266" s="5"/>
      <c r="D266" s="5"/>
      <c r="E266" s="5"/>
      <c r="F266" s="22">
        <f>IFERROR(__xludf.DUMMYFUNCTION("""COMPUTED_VALUE"""),500000.0)</f>
        <v>500000</v>
      </c>
      <c r="G266" s="22">
        <f>IFERROR(__xludf.DUMMYFUNCTION("""COMPUTED_VALUE"""),0.0)</f>
        <v>0</v>
      </c>
      <c r="H266" s="22">
        <f>IFERROR(__xludf.DUMMYFUNCTION("""COMPUTED_VALUE"""),500000.0)</f>
        <v>500000</v>
      </c>
      <c r="I266" s="24">
        <f>IFERROR(__xludf.DUMMYFUNCTION("""COMPUTED_VALUE"""),0.0)</f>
        <v>0</v>
      </c>
    </row>
    <row r="267">
      <c r="A267" s="5" t="str">
        <f>IFERROR(__xludf.DUMMYFUNCTION("""COMPUTED_VALUE"""),"18874")</f>
        <v>18874</v>
      </c>
      <c r="B267" s="64">
        <f>IFERROR(__xludf.DUMMYFUNCTION("""COMPUTED_VALUE"""),44658.0)</f>
        <v>44658</v>
      </c>
      <c r="C267" s="5"/>
      <c r="D267" s="5"/>
      <c r="E267" s="5"/>
      <c r="F267" s="22">
        <f>IFERROR(__xludf.DUMMYFUNCTION("""COMPUTED_VALUE"""),500000.0)</f>
        <v>500000</v>
      </c>
      <c r="G267" s="22">
        <f>IFERROR(__xludf.DUMMYFUNCTION("""COMPUTED_VALUE"""),0.0)</f>
        <v>0</v>
      </c>
      <c r="H267" s="22">
        <f>IFERROR(__xludf.DUMMYFUNCTION("""COMPUTED_VALUE"""),500000.0)</f>
        <v>500000</v>
      </c>
      <c r="I267" s="24">
        <f>IFERROR(__xludf.DUMMYFUNCTION("""COMPUTED_VALUE"""),0.0)</f>
        <v>0</v>
      </c>
    </row>
    <row r="268">
      <c r="A268" s="5" t="str">
        <f>IFERROR(__xludf.DUMMYFUNCTION("""COMPUTED_VALUE"""),"18874")</f>
        <v>18874</v>
      </c>
      <c r="B268" s="64">
        <f>IFERROR(__xludf.DUMMYFUNCTION("""COMPUTED_VALUE"""),44659.0)</f>
        <v>44659</v>
      </c>
      <c r="C268" s="5"/>
      <c r="D268" s="5"/>
      <c r="E268" s="5"/>
      <c r="F268" s="22">
        <f>IFERROR(__xludf.DUMMYFUNCTION("""COMPUTED_VALUE"""),500000.0)</f>
        <v>500000</v>
      </c>
      <c r="G268" s="22">
        <f>IFERROR(__xludf.DUMMYFUNCTION("""COMPUTED_VALUE"""),0.0)</f>
        <v>0</v>
      </c>
      <c r="H268" s="22">
        <f>IFERROR(__xludf.DUMMYFUNCTION("""COMPUTED_VALUE"""),500000.0)</f>
        <v>500000</v>
      </c>
      <c r="I268" s="24">
        <f>IFERROR(__xludf.DUMMYFUNCTION("""COMPUTED_VALUE"""),0.0)</f>
        <v>0</v>
      </c>
    </row>
    <row r="269">
      <c r="A269" s="5" t="str">
        <f>IFERROR(__xludf.DUMMYFUNCTION("""COMPUTED_VALUE"""),"18874")</f>
        <v>18874</v>
      </c>
      <c r="B269" s="64">
        <f>IFERROR(__xludf.DUMMYFUNCTION("""COMPUTED_VALUE"""),44660.0)</f>
        <v>44660</v>
      </c>
      <c r="C269" s="5"/>
      <c r="D269" s="5"/>
      <c r="E269" s="5"/>
      <c r="F269" s="22">
        <f>IFERROR(__xludf.DUMMYFUNCTION("""COMPUTED_VALUE"""),500000.0)</f>
        <v>500000</v>
      </c>
      <c r="G269" s="22">
        <f>IFERROR(__xludf.DUMMYFUNCTION("""COMPUTED_VALUE"""),0.0)</f>
        <v>0</v>
      </c>
      <c r="H269" s="22">
        <f>IFERROR(__xludf.DUMMYFUNCTION("""COMPUTED_VALUE"""),500000.0)</f>
        <v>500000</v>
      </c>
      <c r="I269" s="24">
        <f>IFERROR(__xludf.DUMMYFUNCTION("""COMPUTED_VALUE"""),0.0)</f>
        <v>0</v>
      </c>
    </row>
    <row r="270">
      <c r="A270" s="5" t="str">
        <f>IFERROR(__xludf.DUMMYFUNCTION("""COMPUTED_VALUE"""),"18874")</f>
        <v>18874</v>
      </c>
      <c r="B270" s="64">
        <f>IFERROR(__xludf.DUMMYFUNCTION("""COMPUTED_VALUE"""),44661.0)</f>
        <v>44661</v>
      </c>
      <c r="C270" s="5"/>
      <c r="D270" s="5"/>
      <c r="E270" s="5"/>
      <c r="F270" s="22">
        <f>IFERROR(__xludf.DUMMYFUNCTION("""COMPUTED_VALUE"""),500000.0)</f>
        <v>500000</v>
      </c>
      <c r="G270" s="22">
        <f>IFERROR(__xludf.DUMMYFUNCTION("""COMPUTED_VALUE"""),0.0)</f>
        <v>0</v>
      </c>
      <c r="H270" s="22">
        <f>IFERROR(__xludf.DUMMYFUNCTION("""COMPUTED_VALUE"""),500000.0)</f>
        <v>500000</v>
      </c>
      <c r="I270" s="24">
        <f>IFERROR(__xludf.DUMMYFUNCTION("""COMPUTED_VALUE"""),0.0)</f>
        <v>0</v>
      </c>
    </row>
    <row r="271">
      <c r="A271" s="5" t="str">
        <f>IFERROR(__xludf.DUMMYFUNCTION("""COMPUTED_VALUE"""),"18874")</f>
        <v>18874</v>
      </c>
      <c r="B271" s="64">
        <f>IFERROR(__xludf.DUMMYFUNCTION("""COMPUTED_VALUE"""),44662.0)</f>
        <v>44662</v>
      </c>
      <c r="C271" s="5"/>
      <c r="D271" s="5"/>
      <c r="E271" s="5"/>
      <c r="F271" s="22">
        <f>IFERROR(__xludf.DUMMYFUNCTION("""COMPUTED_VALUE"""),500000.0)</f>
        <v>500000</v>
      </c>
      <c r="G271" s="22">
        <f>IFERROR(__xludf.DUMMYFUNCTION("""COMPUTED_VALUE"""),0.0)</f>
        <v>0</v>
      </c>
      <c r="H271" s="22">
        <f>IFERROR(__xludf.DUMMYFUNCTION("""COMPUTED_VALUE"""),500000.0)</f>
        <v>500000</v>
      </c>
      <c r="I271" s="24">
        <f>IFERROR(__xludf.DUMMYFUNCTION("""COMPUTED_VALUE"""),0.0)</f>
        <v>0</v>
      </c>
    </row>
    <row r="272">
      <c r="A272" s="5" t="str">
        <f>IFERROR(__xludf.DUMMYFUNCTION("""COMPUTED_VALUE"""),"18874")</f>
        <v>18874</v>
      </c>
      <c r="B272" s="64">
        <f>IFERROR(__xludf.DUMMYFUNCTION("""COMPUTED_VALUE"""),44663.0)</f>
        <v>44663</v>
      </c>
      <c r="C272" s="5"/>
      <c r="D272" s="5"/>
      <c r="E272" s="5"/>
      <c r="F272" s="22">
        <f>IFERROR(__xludf.DUMMYFUNCTION("""COMPUTED_VALUE"""),384466.679375)</f>
        <v>384466.6794</v>
      </c>
      <c r="G272" s="22">
        <f>IFERROR(__xludf.DUMMYFUNCTION("""COMPUTED_VALUE"""),0.0)</f>
        <v>0</v>
      </c>
      <c r="H272" s="22">
        <f>IFERROR(__xludf.DUMMYFUNCTION("""COMPUTED_VALUE"""),500000.0)</f>
        <v>500000</v>
      </c>
      <c r="I272" s="24">
        <f>IFERROR(__xludf.DUMMYFUNCTION("""COMPUTED_VALUE"""),0.0)</f>
        <v>0</v>
      </c>
    </row>
    <row r="273">
      <c r="A273" s="5" t="str">
        <f>IFERROR(__xludf.DUMMYFUNCTION("""COMPUTED_VALUE"""),"24442")</f>
        <v>24442</v>
      </c>
      <c r="B273" s="64">
        <f>IFERROR(__xludf.DUMMYFUNCTION("""COMPUTED_VALUE"""),44597.0)</f>
        <v>44597</v>
      </c>
      <c r="C273" s="5"/>
      <c r="D273" s="5"/>
      <c r="E273" s="5"/>
      <c r="F273" s="22">
        <f>IFERROR(__xludf.DUMMYFUNCTION("""COMPUTED_VALUE"""),500000.0)</f>
        <v>500000</v>
      </c>
      <c r="G273" s="22">
        <f>IFERROR(__xludf.DUMMYFUNCTION("""COMPUTED_VALUE"""),0.0)</f>
        <v>0</v>
      </c>
      <c r="H273" s="22">
        <f>IFERROR(__xludf.DUMMYFUNCTION("""COMPUTED_VALUE"""),500000.0)</f>
        <v>500000</v>
      </c>
      <c r="I273" s="24">
        <f>IFERROR(__xludf.DUMMYFUNCTION("""COMPUTED_VALUE"""),0.0)</f>
        <v>0</v>
      </c>
    </row>
    <row r="274">
      <c r="A274" s="5" t="str">
        <f>IFERROR(__xludf.DUMMYFUNCTION("""COMPUTED_VALUE"""),"24442")</f>
        <v>24442</v>
      </c>
      <c r="B274" s="64">
        <f>IFERROR(__xludf.DUMMYFUNCTION("""COMPUTED_VALUE"""),44598.0)</f>
        <v>44598</v>
      </c>
      <c r="C274" s="5"/>
      <c r="D274" s="5"/>
      <c r="E274" s="5"/>
      <c r="F274" s="22">
        <f>IFERROR(__xludf.DUMMYFUNCTION("""COMPUTED_VALUE"""),500000.0)</f>
        <v>500000</v>
      </c>
      <c r="G274" s="22">
        <f>IFERROR(__xludf.DUMMYFUNCTION("""COMPUTED_VALUE"""),0.0)</f>
        <v>0</v>
      </c>
      <c r="H274" s="22">
        <f>IFERROR(__xludf.DUMMYFUNCTION("""COMPUTED_VALUE"""),500000.0)</f>
        <v>500000</v>
      </c>
      <c r="I274" s="24">
        <f>IFERROR(__xludf.DUMMYFUNCTION("""COMPUTED_VALUE"""),0.0)</f>
        <v>0</v>
      </c>
    </row>
    <row r="275">
      <c r="A275" s="5" t="str">
        <f>IFERROR(__xludf.DUMMYFUNCTION("""COMPUTED_VALUE"""),"24442")</f>
        <v>24442</v>
      </c>
      <c r="B275" s="64">
        <f>IFERROR(__xludf.DUMMYFUNCTION("""COMPUTED_VALUE"""),44599.0)</f>
        <v>44599</v>
      </c>
      <c r="C275" s="5"/>
      <c r="D275" s="5"/>
      <c r="E275" s="5"/>
      <c r="F275" s="22">
        <f>IFERROR(__xludf.DUMMYFUNCTION("""COMPUTED_VALUE"""),500000.0)</f>
        <v>500000</v>
      </c>
      <c r="G275" s="22">
        <f>IFERROR(__xludf.DUMMYFUNCTION("""COMPUTED_VALUE"""),0.0)</f>
        <v>0</v>
      </c>
      <c r="H275" s="22">
        <f>IFERROR(__xludf.DUMMYFUNCTION("""COMPUTED_VALUE"""),500000.0)</f>
        <v>500000</v>
      </c>
      <c r="I275" s="24">
        <f>IFERROR(__xludf.DUMMYFUNCTION("""COMPUTED_VALUE"""),0.0)</f>
        <v>0</v>
      </c>
    </row>
    <row r="276">
      <c r="A276" s="5" t="str">
        <f>IFERROR(__xludf.DUMMYFUNCTION("""COMPUTED_VALUE"""),"24442")</f>
        <v>24442</v>
      </c>
      <c r="B276" s="64">
        <f>IFERROR(__xludf.DUMMYFUNCTION("""COMPUTED_VALUE"""),44600.0)</f>
        <v>44600</v>
      </c>
      <c r="C276" s="5"/>
      <c r="D276" s="5"/>
      <c r="E276" s="5"/>
      <c r="F276" s="22">
        <f>IFERROR(__xludf.DUMMYFUNCTION("""COMPUTED_VALUE"""),500000.0)</f>
        <v>500000</v>
      </c>
      <c r="G276" s="22">
        <f>IFERROR(__xludf.DUMMYFUNCTION("""COMPUTED_VALUE"""),0.0)</f>
        <v>0</v>
      </c>
      <c r="H276" s="22">
        <f>IFERROR(__xludf.DUMMYFUNCTION("""COMPUTED_VALUE"""),500000.0)</f>
        <v>500000</v>
      </c>
      <c r="I276" s="24">
        <f>IFERROR(__xludf.DUMMYFUNCTION("""COMPUTED_VALUE"""),0.0)</f>
        <v>0</v>
      </c>
    </row>
    <row r="277">
      <c r="A277" s="5" t="str">
        <f>IFERROR(__xludf.DUMMYFUNCTION("""COMPUTED_VALUE"""),"24442")</f>
        <v>24442</v>
      </c>
      <c r="B277" s="64">
        <f>IFERROR(__xludf.DUMMYFUNCTION("""COMPUTED_VALUE"""),44601.0)</f>
        <v>44601</v>
      </c>
      <c r="C277" s="5"/>
      <c r="D277" s="5"/>
      <c r="E277" s="5"/>
      <c r="F277" s="22">
        <f>IFERROR(__xludf.DUMMYFUNCTION("""COMPUTED_VALUE"""),500000.0)</f>
        <v>500000</v>
      </c>
      <c r="G277" s="22">
        <f>IFERROR(__xludf.DUMMYFUNCTION("""COMPUTED_VALUE"""),0.0)</f>
        <v>0</v>
      </c>
      <c r="H277" s="22">
        <f>IFERROR(__xludf.DUMMYFUNCTION("""COMPUTED_VALUE"""),500000.0)</f>
        <v>500000</v>
      </c>
      <c r="I277" s="24">
        <f>IFERROR(__xludf.DUMMYFUNCTION("""COMPUTED_VALUE"""),0.0)</f>
        <v>0</v>
      </c>
    </row>
    <row r="278">
      <c r="A278" s="5" t="str">
        <f>IFERROR(__xludf.DUMMYFUNCTION("""COMPUTED_VALUE"""),"24442")</f>
        <v>24442</v>
      </c>
      <c r="B278" s="64">
        <f>IFERROR(__xludf.DUMMYFUNCTION("""COMPUTED_VALUE"""),44602.0)</f>
        <v>44602</v>
      </c>
      <c r="C278" s="5"/>
      <c r="D278" s="5"/>
      <c r="E278" s="5"/>
      <c r="F278" s="22">
        <f>IFERROR(__xludf.DUMMYFUNCTION("""COMPUTED_VALUE"""),500000.0)</f>
        <v>500000</v>
      </c>
      <c r="G278" s="22">
        <f>IFERROR(__xludf.DUMMYFUNCTION("""COMPUTED_VALUE"""),0.0)</f>
        <v>0</v>
      </c>
      <c r="H278" s="22">
        <f>IFERROR(__xludf.DUMMYFUNCTION("""COMPUTED_VALUE"""),500000.0)</f>
        <v>500000</v>
      </c>
      <c r="I278" s="24">
        <f>IFERROR(__xludf.DUMMYFUNCTION("""COMPUTED_VALUE"""),0.0)</f>
        <v>0</v>
      </c>
    </row>
    <row r="279">
      <c r="A279" s="5" t="str">
        <f>IFERROR(__xludf.DUMMYFUNCTION("""COMPUTED_VALUE"""),"24442")</f>
        <v>24442</v>
      </c>
      <c r="B279" s="64">
        <f>IFERROR(__xludf.DUMMYFUNCTION("""COMPUTED_VALUE"""),44603.0)</f>
        <v>44603</v>
      </c>
      <c r="C279" s="5"/>
      <c r="D279" s="5"/>
      <c r="E279" s="5"/>
      <c r="F279" s="22">
        <f>IFERROR(__xludf.DUMMYFUNCTION("""COMPUTED_VALUE"""),500000.0)</f>
        <v>500000</v>
      </c>
      <c r="G279" s="22">
        <f>IFERROR(__xludf.DUMMYFUNCTION("""COMPUTED_VALUE"""),0.0)</f>
        <v>0</v>
      </c>
      <c r="H279" s="22">
        <f>IFERROR(__xludf.DUMMYFUNCTION("""COMPUTED_VALUE"""),500000.0)</f>
        <v>500000</v>
      </c>
      <c r="I279" s="24">
        <f>IFERROR(__xludf.DUMMYFUNCTION("""COMPUTED_VALUE"""),0.0)</f>
        <v>0</v>
      </c>
    </row>
    <row r="280">
      <c r="A280" s="5" t="str">
        <f>IFERROR(__xludf.DUMMYFUNCTION("""COMPUTED_VALUE"""),"24442")</f>
        <v>24442</v>
      </c>
      <c r="B280" s="64">
        <f>IFERROR(__xludf.DUMMYFUNCTION("""COMPUTED_VALUE"""),44604.0)</f>
        <v>44604</v>
      </c>
      <c r="C280" s="5"/>
      <c r="D280" s="5"/>
      <c r="E280" s="5"/>
      <c r="F280" s="22">
        <f>IFERROR(__xludf.DUMMYFUNCTION("""COMPUTED_VALUE"""),500000.0)</f>
        <v>500000</v>
      </c>
      <c r="G280" s="22">
        <f>IFERROR(__xludf.DUMMYFUNCTION("""COMPUTED_VALUE"""),0.0)</f>
        <v>0</v>
      </c>
      <c r="H280" s="22">
        <f>IFERROR(__xludf.DUMMYFUNCTION("""COMPUTED_VALUE"""),500000.0)</f>
        <v>500000</v>
      </c>
      <c r="I280" s="24">
        <f>IFERROR(__xludf.DUMMYFUNCTION("""COMPUTED_VALUE"""),0.0)</f>
        <v>0</v>
      </c>
    </row>
    <row r="281">
      <c r="A281" s="5" t="str">
        <f>IFERROR(__xludf.DUMMYFUNCTION("""COMPUTED_VALUE"""),"24442")</f>
        <v>24442</v>
      </c>
      <c r="B281" s="64">
        <f>IFERROR(__xludf.DUMMYFUNCTION("""COMPUTED_VALUE"""),44605.0)</f>
        <v>44605</v>
      </c>
      <c r="C281" s="5"/>
      <c r="D281" s="5"/>
      <c r="E281" s="5"/>
      <c r="F281" s="22">
        <f>IFERROR(__xludf.DUMMYFUNCTION("""COMPUTED_VALUE"""),500000.0)</f>
        <v>500000</v>
      </c>
      <c r="G281" s="22">
        <f>IFERROR(__xludf.DUMMYFUNCTION("""COMPUTED_VALUE"""),0.0)</f>
        <v>0</v>
      </c>
      <c r="H281" s="22">
        <f>IFERROR(__xludf.DUMMYFUNCTION("""COMPUTED_VALUE"""),500000.0)</f>
        <v>500000</v>
      </c>
      <c r="I281" s="24">
        <f>IFERROR(__xludf.DUMMYFUNCTION("""COMPUTED_VALUE"""),0.0)</f>
        <v>0</v>
      </c>
    </row>
    <row r="282">
      <c r="A282" s="5" t="str">
        <f>IFERROR(__xludf.DUMMYFUNCTION("""COMPUTED_VALUE"""),"24442")</f>
        <v>24442</v>
      </c>
      <c r="B282" s="64">
        <f>IFERROR(__xludf.DUMMYFUNCTION("""COMPUTED_VALUE"""),44606.0)</f>
        <v>44606</v>
      </c>
      <c r="C282" s="5"/>
      <c r="D282" s="5"/>
      <c r="E282" s="5"/>
      <c r="F282" s="22">
        <f>IFERROR(__xludf.DUMMYFUNCTION("""COMPUTED_VALUE"""),500000.0)</f>
        <v>500000</v>
      </c>
      <c r="G282" s="22">
        <f>IFERROR(__xludf.DUMMYFUNCTION("""COMPUTED_VALUE"""),0.0)</f>
        <v>0</v>
      </c>
      <c r="H282" s="22">
        <f>IFERROR(__xludf.DUMMYFUNCTION("""COMPUTED_VALUE"""),500000.0)</f>
        <v>500000</v>
      </c>
      <c r="I282" s="24">
        <f>IFERROR(__xludf.DUMMYFUNCTION("""COMPUTED_VALUE"""),0.0)</f>
        <v>0</v>
      </c>
    </row>
    <row r="283">
      <c r="A283" s="5" t="str">
        <f>IFERROR(__xludf.DUMMYFUNCTION("""COMPUTED_VALUE"""),"24442")</f>
        <v>24442</v>
      </c>
      <c r="B283" s="64">
        <f>IFERROR(__xludf.DUMMYFUNCTION("""COMPUTED_VALUE"""),44607.0)</f>
        <v>44607</v>
      </c>
      <c r="C283" s="5"/>
      <c r="D283" s="5"/>
      <c r="E283" s="5"/>
      <c r="F283" s="22">
        <f>IFERROR(__xludf.DUMMYFUNCTION("""COMPUTED_VALUE"""),500000.0)</f>
        <v>500000</v>
      </c>
      <c r="G283" s="22">
        <f>IFERROR(__xludf.DUMMYFUNCTION("""COMPUTED_VALUE"""),0.0)</f>
        <v>0</v>
      </c>
      <c r="H283" s="22">
        <f>IFERROR(__xludf.DUMMYFUNCTION("""COMPUTED_VALUE"""),500000.0)</f>
        <v>500000</v>
      </c>
      <c r="I283" s="24">
        <f>IFERROR(__xludf.DUMMYFUNCTION("""COMPUTED_VALUE"""),0.0)</f>
        <v>0</v>
      </c>
    </row>
    <row r="284">
      <c r="A284" s="5" t="str">
        <f>IFERROR(__xludf.DUMMYFUNCTION("""COMPUTED_VALUE"""),"24442")</f>
        <v>24442</v>
      </c>
      <c r="B284" s="64">
        <f>IFERROR(__xludf.DUMMYFUNCTION("""COMPUTED_VALUE"""),44608.0)</f>
        <v>44608</v>
      </c>
      <c r="C284" s="5"/>
      <c r="D284" s="5"/>
      <c r="E284" s="5"/>
      <c r="F284" s="22">
        <f>IFERROR(__xludf.DUMMYFUNCTION("""COMPUTED_VALUE"""),500000.0)</f>
        <v>500000</v>
      </c>
      <c r="G284" s="22">
        <f>IFERROR(__xludf.DUMMYFUNCTION("""COMPUTED_VALUE"""),0.0)</f>
        <v>0</v>
      </c>
      <c r="H284" s="22">
        <f>IFERROR(__xludf.DUMMYFUNCTION("""COMPUTED_VALUE"""),500000.0)</f>
        <v>500000</v>
      </c>
      <c r="I284" s="24">
        <f>IFERROR(__xludf.DUMMYFUNCTION("""COMPUTED_VALUE"""),0.0)</f>
        <v>0</v>
      </c>
    </row>
    <row r="285">
      <c r="A285" s="5" t="str">
        <f>IFERROR(__xludf.DUMMYFUNCTION("""COMPUTED_VALUE"""),"24442")</f>
        <v>24442</v>
      </c>
      <c r="B285" s="64">
        <f>IFERROR(__xludf.DUMMYFUNCTION("""COMPUTED_VALUE"""),44609.0)</f>
        <v>44609</v>
      </c>
      <c r="C285" s="5"/>
      <c r="D285" s="5"/>
      <c r="E285" s="5"/>
      <c r="F285" s="22">
        <f>IFERROR(__xludf.DUMMYFUNCTION("""COMPUTED_VALUE"""),500000.0)</f>
        <v>500000</v>
      </c>
      <c r="G285" s="22">
        <f>IFERROR(__xludf.DUMMYFUNCTION("""COMPUTED_VALUE"""),0.0)</f>
        <v>0</v>
      </c>
      <c r="H285" s="22">
        <f>IFERROR(__xludf.DUMMYFUNCTION("""COMPUTED_VALUE"""),500000.0)</f>
        <v>500000</v>
      </c>
      <c r="I285" s="24">
        <f>IFERROR(__xludf.DUMMYFUNCTION("""COMPUTED_VALUE"""),0.0)</f>
        <v>0</v>
      </c>
    </row>
    <row r="286">
      <c r="A286" s="5" t="str">
        <f>IFERROR(__xludf.DUMMYFUNCTION("""COMPUTED_VALUE"""),"24442")</f>
        <v>24442</v>
      </c>
      <c r="B286" s="64">
        <f>IFERROR(__xludf.DUMMYFUNCTION("""COMPUTED_VALUE"""),44610.0)</f>
        <v>44610</v>
      </c>
      <c r="C286" s="5"/>
      <c r="D286" s="5"/>
      <c r="E286" s="5"/>
      <c r="F286" s="22">
        <f>IFERROR(__xludf.DUMMYFUNCTION("""COMPUTED_VALUE"""),500000.0)</f>
        <v>500000</v>
      </c>
      <c r="G286" s="22">
        <f>IFERROR(__xludf.DUMMYFUNCTION("""COMPUTED_VALUE"""),0.0)</f>
        <v>0</v>
      </c>
      <c r="H286" s="22">
        <f>IFERROR(__xludf.DUMMYFUNCTION("""COMPUTED_VALUE"""),500000.0)</f>
        <v>500000</v>
      </c>
      <c r="I286" s="24">
        <f>IFERROR(__xludf.DUMMYFUNCTION("""COMPUTED_VALUE"""),0.0)</f>
        <v>0</v>
      </c>
    </row>
    <row r="287">
      <c r="A287" s="5" t="str">
        <f>IFERROR(__xludf.DUMMYFUNCTION("""COMPUTED_VALUE"""),"24442")</f>
        <v>24442</v>
      </c>
      <c r="B287" s="64">
        <f>IFERROR(__xludf.DUMMYFUNCTION("""COMPUTED_VALUE"""),44611.0)</f>
        <v>44611</v>
      </c>
      <c r="C287" s="5"/>
      <c r="D287" s="5"/>
      <c r="E287" s="5"/>
      <c r="F287" s="22">
        <f>IFERROR(__xludf.DUMMYFUNCTION("""COMPUTED_VALUE"""),500000.0)</f>
        <v>500000</v>
      </c>
      <c r="G287" s="22">
        <f>IFERROR(__xludf.DUMMYFUNCTION("""COMPUTED_VALUE"""),0.0)</f>
        <v>0</v>
      </c>
      <c r="H287" s="22">
        <f>IFERROR(__xludf.DUMMYFUNCTION("""COMPUTED_VALUE"""),500000.0)</f>
        <v>500000</v>
      </c>
      <c r="I287" s="24">
        <f>IFERROR(__xludf.DUMMYFUNCTION("""COMPUTED_VALUE"""),0.0)</f>
        <v>0</v>
      </c>
    </row>
    <row r="288">
      <c r="A288" s="5" t="str">
        <f>IFERROR(__xludf.DUMMYFUNCTION("""COMPUTED_VALUE"""),"24442")</f>
        <v>24442</v>
      </c>
      <c r="B288" s="64">
        <f>IFERROR(__xludf.DUMMYFUNCTION("""COMPUTED_VALUE"""),44612.0)</f>
        <v>44612</v>
      </c>
      <c r="C288" s="5"/>
      <c r="D288" s="5"/>
      <c r="E288" s="5"/>
      <c r="F288" s="22">
        <f>IFERROR(__xludf.DUMMYFUNCTION("""COMPUTED_VALUE"""),500000.0)</f>
        <v>500000</v>
      </c>
      <c r="G288" s="22">
        <f>IFERROR(__xludf.DUMMYFUNCTION("""COMPUTED_VALUE"""),0.0)</f>
        <v>0</v>
      </c>
      <c r="H288" s="22">
        <f>IFERROR(__xludf.DUMMYFUNCTION("""COMPUTED_VALUE"""),500000.0)</f>
        <v>500000</v>
      </c>
      <c r="I288" s="24">
        <f>IFERROR(__xludf.DUMMYFUNCTION("""COMPUTED_VALUE"""),0.0)</f>
        <v>0</v>
      </c>
    </row>
    <row r="289">
      <c r="A289" s="5" t="str">
        <f>IFERROR(__xludf.DUMMYFUNCTION("""COMPUTED_VALUE"""),"24442")</f>
        <v>24442</v>
      </c>
      <c r="B289" s="64">
        <f>IFERROR(__xludf.DUMMYFUNCTION("""COMPUTED_VALUE"""),44613.0)</f>
        <v>44613</v>
      </c>
      <c r="C289" s="5"/>
      <c r="D289" s="5"/>
      <c r="E289" s="5"/>
      <c r="F289" s="22">
        <f>IFERROR(__xludf.DUMMYFUNCTION("""COMPUTED_VALUE"""),500000.0)</f>
        <v>500000</v>
      </c>
      <c r="G289" s="22">
        <f>IFERROR(__xludf.DUMMYFUNCTION("""COMPUTED_VALUE"""),0.0)</f>
        <v>0</v>
      </c>
      <c r="H289" s="22">
        <f>IFERROR(__xludf.DUMMYFUNCTION("""COMPUTED_VALUE"""),500000.0)</f>
        <v>500000</v>
      </c>
      <c r="I289" s="24">
        <f>IFERROR(__xludf.DUMMYFUNCTION("""COMPUTED_VALUE"""),0.0)</f>
        <v>0</v>
      </c>
    </row>
    <row r="290">
      <c r="A290" s="5" t="str">
        <f>IFERROR(__xludf.DUMMYFUNCTION("""COMPUTED_VALUE"""),"24442")</f>
        <v>24442</v>
      </c>
      <c r="B290" s="64">
        <f>IFERROR(__xludf.DUMMYFUNCTION("""COMPUTED_VALUE"""),44614.0)</f>
        <v>44614</v>
      </c>
      <c r="C290" s="5"/>
      <c r="D290" s="5"/>
      <c r="E290" s="5"/>
      <c r="F290" s="22">
        <f>IFERROR(__xludf.DUMMYFUNCTION("""COMPUTED_VALUE"""),500000.0)</f>
        <v>500000</v>
      </c>
      <c r="G290" s="22">
        <f>IFERROR(__xludf.DUMMYFUNCTION("""COMPUTED_VALUE"""),0.0)</f>
        <v>0</v>
      </c>
      <c r="H290" s="22">
        <f>IFERROR(__xludf.DUMMYFUNCTION("""COMPUTED_VALUE"""),500000.0)</f>
        <v>500000</v>
      </c>
      <c r="I290" s="24">
        <f>IFERROR(__xludf.DUMMYFUNCTION("""COMPUTED_VALUE"""),0.0)</f>
        <v>0</v>
      </c>
    </row>
    <row r="291">
      <c r="A291" s="5" t="str">
        <f>IFERROR(__xludf.DUMMYFUNCTION("""COMPUTED_VALUE"""),"24442")</f>
        <v>24442</v>
      </c>
      <c r="B291" s="64">
        <f>IFERROR(__xludf.DUMMYFUNCTION("""COMPUTED_VALUE"""),44615.0)</f>
        <v>44615</v>
      </c>
      <c r="C291" s="5"/>
      <c r="D291" s="5"/>
      <c r="E291" s="5"/>
      <c r="F291" s="22">
        <f>IFERROR(__xludf.DUMMYFUNCTION("""COMPUTED_VALUE"""),500000.0)</f>
        <v>500000</v>
      </c>
      <c r="G291" s="22">
        <f>IFERROR(__xludf.DUMMYFUNCTION("""COMPUTED_VALUE"""),0.0)</f>
        <v>0</v>
      </c>
      <c r="H291" s="22">
        <f>IFERROR(__xludf.DUMMYFUNCTION("""COMPUTED_VALUE"""),500000.0)</f>
        <v>500000</v>
      </c>
      <c r="I291" s="24">
        <f>IFERROR(__xludf.DUMMYFUNCTION("""COMPUTED_VALUE"""),0.0)</f>
        <v>0</v>
      </c>
    </row>
    <row r="292">
      <c r="A292" s="5" t="str">
        <f>IFERROR(__xludf.DUMMYFUNCTION("""COMPUTED_VALUE"""),"24442")</f>
        <v>24442</v>
      </c>
      <c r="B292" s="64">
        <f>IFERROR(__xludf.DUMMYFUNCTION("""COMPUTED_VALUE"""),44616.0)</f>
        <v>44616</v>
      </c>
      <c r="C292" s="5"/>
      <c r="D292" s="5"/>
      <c r="E292" s="5"/>
      <c r="F292" s="22">
        <f>IFERROR(__xludf.DUMMYFUNCTION("""COMPUTED_VALUE"""),500000.0)</f>
        <v>500000</v>
      </c>
      <c r="G292" s="22">
        <f>IFERROR(__xludf.DUMMYFUNCTION("""COMPUTED_VALUE"""),0.0)</f>
        <v>0</v>
      </c>
      <c r="H292" s="22">
        <f>IFERROR(__xludf.DUMMYFUNCTION("""COMPUTED_VALUE"""),500000.0)</f>
        <v>500000</v>
      </c>
      <c r="I292" s="24">
        <f>IFERROR(__xludf.DUMMYFUNCTION("""COMPUTED_VALUE"""),0.0)</f>
        <v>0</v>
      </c>
    </row>
    <row r="293">
      <c r="A293" s="5" t="str">
        <f>IFERROR(__xludf.DUMMYFUNCTION("""COMPUTED_VALUE"""),"24442")</f>
        <v>24442</v>
      </c>
      <c r="B293" s="64">
        <f>IFERROR(__xludf.DUMMYFUNCTION("""COMPUTED_VALUE"""),44617.0)</f>
        <v>44617</v>
      </c>
      <c r="C293" s="5"/>
      <c r="D293" s="5"/>
      <c r="E293" s="5"/>
      <c r="F293" s="22">
        <f>IFERROR(__xludf.DUMMYFUNCTION("""COMPUTED_VALUE"""),500000.0)</f>
        <v>500000</v>
      </c>
      <c r="G293" s="22">
        <f>IFERROR(__xludf.DUMMYFUNCTION("""COMPUTED_VALUE"""),0.0)</f>
        <v>0</v>
      </c>
      <c r="H293" s="22">
        <f>IFERROR(__xludf.DUMMYFUNCTION("""COMPUTED_VALUE"""),500000.0)</f>
        <v>500000</v>
      </c>
      <c r="I293" s="24">
        <f>IFERROR(__xludf.DUMMYFUNCTION("""COMPUTED_VALUE"""),0.0)</f>
        <v>0</v>
      </c>
    </row>
    <row r="294">
      <c r="A294" s="5" t="str">
        <f>IFERROR(__xludf.DUMMYFUNCTION("""COMPUTED_VALUE"""),"24442")</f>
        <v>24442</v>
      </c>
      <c r="B294" s="64">
        <f>IFERROR(__xludf.DUMMYFUNCTION("""COMPUTED_VALUE"""),44618.0)</f>
        <v>44618</v>
      </c>
      <c r="C294" s="5"/>
      <c r="D294" s="5"/>
      <c r="E294" s="5"/>
      <c r="F294" s="22">
        <f>IFERROR(__xludf.DUMMYFUNCTION("""COMPUTED_VALUE"""),500000.0)</f>
        <v>500000</v>
      </c>
      <c r="G294" s="22">
        <f>IFERROR(__xludf.DUMMYFUNCTION("""COMPUTED_VALUE"""),0.0)</f>
        <v>0</v>
      </c>
      <c r="H294" s="22">
        <f>IFERROR(__xludf.DUMMYFUNCTION("""COMPUTED_VALUE"""),500000.0)</f>
        <v>500000</v>
      </c>
      <c r="I294" s="24">
        <f>IFERROR(__xludf.DUMMYFUNCTION("""COMPUTED_VALUE"""),0.0)</f>
        <v>0</v>
      </c>
    </row>
    <row r="295">
      <c r="A295" s="5" t="str">
        <f>IFERROR(__xludf.DUMMYFUNCTION("""COMPUTED_VALUE"""),"24442")</f>
        <v>24442</v>
      </c>
      <c r="B295" s="64">
        <f>IFERROR(__xludf.DUMMYFUNCTION("""COMPUTED_VALUE"""),44619.0)</f>
        <v>44619</v>
      </c>
      <c r="C295" s="5"/>
      <c r="D295" s="5"/>
      <c r="E295" s="5"/>
      <c r="F295" s="22">
        <f>IFERROR(__xludf.DUMMYFUNCTION("""COMPUTED_VALUE"""),500000.0)</f>
        <v>500000</v>
      </c>
      <c r="G295" s="22">
        <f>IFERROR(__xludf.DUMMYFUNCTION("""COMPUTED_VALUE"""),0.0)</f>
        <v>0</v>
      </c>
      <c r="H295" s="22">
        <f>IFERROR(__xludf.DUMMYFUNCTION("""COMPUTED_VALUE"""),500000.0)</f>
        <v>500000</v>
      </c>
      <c r="I295" s="24">
        <f>IFERROR(__xludf.DUMMYFUNCTION("""COMPUTED_VALUE"""),0.0)</f>
        <v>0</v>
      </c>
    </row>
    <row r="296">
      <c r="A296" s="5" t="str">
        <f>IFERROR(__xludf.DUMMYFUNCTION("""COMPUTED_VALUE"""),"24442")</f>
        <v>24442</v>
      </c>
      <c r="B296" s="64">
        <f>IFERROR(__xludf.DUMMYFUNCTION("""COMPUTED_VALUE"""),44620.0)</f>
        <v>44620</v>
      </c>
      <c r="C296" s="5"/>
      <c r="D296" s="5"/>
      <c r="E296" s="5"/>
      <c r="F296" s="22">
        <f>IFERROR(__xludf.DUMMYFUNCTION("""COMPUTED_VALUE"""),500000.0)</f>
        <v>500000</v>
      </c>
      <c r="G296" s="22">
        <f>IFERROR(__xludf.DUMMYFUNCTION("""COMPUTED_VALUE"""),0.0)</f>
        <v>0</v>
      </c>
      <c r="H296" s="22">
        <f>IFERROR(__xludf.DUMMYFUNCTION("""COMPUTED_VALUE"""),500000.0)</f>
        <v>500000</v>
      </c>
      <c r="I296" s="24">
        <f>IFERROR(__xludf.DUMMYFUNCTION("""COMPUTED_VALUE"""),0.0)</f>
        <v>0</v>
      </c>
    </row>
    <row r="297">
      <c r="A297" s="5" t="str">
        <f>IFERROR(__xludf.DUMMYFUNCTION("""COMPUTED_VALUE"""),"24442")</f>
        <v>24442</v>
      </c>
      <c r="B297" s="64">
        <f>IFERROR(__xludf.DUMMYFUNCTION("""COMPUTED_VALUE"""),44621.0)</f>
        <v>44621</v>
      </c>
      <c r="C297" s="5"/>
      <c r="D297" s="5"/>
      <c r="E297" s="5"/>
      <c r="F297" s="22">
        <f>IFERROR(__xludf.DUMMYFUNCTION("""COMPUTED_VALUE"""),500000.0)</f>
        <v>500000</v>
      </c>
      <c r="G297" s="22">
        <f>IFERROR(__xludf.DUMMYFUNCTION("""COMPUTED_VALUE"""),0.0)</f>
        <v>0</v>
      </c>
      <c r="H297" s="22">
        <f>IFERROR(__xludf.DUMMYFUNCTION("""COMPUTED_VALUE"""),499739.86748)</f>
        <v>499739.8675</v>
      </c>
      <c r="I297" s="24">
        <f>IFERROR(__xludf.DUMMYFUNCTION("""COMPUTED_VALUE"""),-5.20265040000023E-4)</f>
        <v>-0.00052026504</v>
      </c>
    </row>
    <row r="298">
      <c r="A298" s="5" t="str">
        <f>IFERROR(__xludf.DUMMYFUNCTION("""COMPUTED_VALUE"""),"24442")</f>
        <v>24442</v>
      </c>
      <c r="B298" s="64">
        <f>IFERROR(__xludf.DUMMYFUNCTION("""COMPUTED_VALUE"""),44622.0)</f>
        <v>44622</v>
      </c>
      <c r="C298" s="5"/>
      <c r="D298" s="5"/>
      <c r="E298" s="5"/>
      <c r="F298" s="22">
        <f>IFERROR(__xludf.DUMMYFUNCTION("""COMPUTED_VALUE"""),500000.0)</f>
        <v>500000</v>
      </c>
      <c r="G298" s="22">
        <f>IFERROR(__xludf.DUMMYFUNCTION("""COMPUTED_VALUE"""),0.0)</f>
        <v>0</v>
      </c>
      <c r="H298" s="22">
        <f>IFERROR(__xludf.DUMMYFUNCTION("""COMPUTED_VALUE"""),500390.19878)</f>
        <v>500390.1988</v>
      </c>
      <c r="I298" s="24">
        <f>IFERROR(__xludf.DUMMYFUNCTION("""COMPUTED_VALUE"""),7.803975600000346E-4)</f>
        <v>0.00078039756</v>
      </c>
    </row>
    <row r="299">
      <c r="A299" s="5" t="str">
        <f>IFERROR(__xludf.DUMMYFUNCTION("""COMPUTED_VALUE"""),"24442")</f>
        <v>24442</v>
      </c>
      <c r="B299" s="64">
        <f>IFERROR(__xludf.DUMMYFUNCTION("""COMPUTED_VALUE"""),44623.0)</f>
        <v>44623</v>
      </c>
      <c r="C299" s="5"/>
      <c r="D299" s="5"/>
      <c r="E299" s="5"/>
      <c r="F299" s="22">
        <f>IFERROR(__xludf.DUMMYFUNCTION("""COMPUTED_VALUE"""),500000.0)</f>
        <v>500000</v>
      </c>
      <c r="G299" s="22">
        <f>IFERROR(__xludf.DUMMYFUNCTION("""COMPUTED_VALUE"""),0.0)</f>
        <v>0</v>
      </c>
      <c r="H299" s="22">
        <f>IFERROR(__xludf.DUMMYFUNCTION("""COMPUTED_VALUE"""),499869.93374)</f>
        <v>499869.9337</v>
      </c>
      <c r="I299" s="24">
        <f>IFERROR(__xludf.DUMMYFUNCTION("""COMPUTED_VALUE"""),-2.601325200000115E-4)</f>
        <v>-0.00026013252</v>
      </c>
    </row>
    <row r="300">
      <c r="A300" s="5" t="str">
        <f>IFERROR(__xludf.DUMMYFUNCTION("""COMPUTED_VALUE"""),"24442")</f>
        <v>24442</v>
      </c>
      <c r="B300" s="64">
        <f>IFERROR(__xludf.DUMMYFUNCTION("""COMPUTED_VALUE"""),44624.0)</f>
        <v>44624</v>
      </c>
      <c r="C300" s="5"/>
      <c r="D300" s="5"/>
      <c r="E300" s="5"/>
      <c r="F300" s="22">
        <f>IFERROR(__xludf.DUMMYFUNCTION("""COMPUTED_VALUE"""),500000.0)</f>
        <v>500000</v>
      </c>
      <c r="G300" s="22">
        <f>IFERROR(__xludf.DUMMYFUNCTION("""COMPUTED_VALUE"""),0.0)</f>
        <v>0</v>
      </c>
      <c r="H300" s="22">
        <f>IFERROR(__xludf.DUMMYFUNCTION("""COMPUTED_VALUE"""),499609.80122)</f>
        <v>499609.8012</v>
      </c>
      <c r="I300" s="24">
        <f>IFERROR(__xludf.DUMMYFUNCTION("""COMPUTED_VALUE"""),-7.803975599999236E-4)</f>
        <v>-0.00078039756</v>
      </c>
    </row>
    <row r="301">
      <c r="A301" s="5" t="str">
        <f>IFERROR(__xludf.DUMMYFUNCTION("""COMPUTED_VALUE"""),"24442")</f>
        <v>24442</v>
      </c>
      <c r="B301" s="64">
        <f>IFERROR(__xludf.DUMMYFUNCTION("""COMPUTED_VALUE"""),44625.0)</f>
        <v>44625</v>
      </c>
      <c r="C301" s="5"/>
      <c r="D301" s="5"/>
      <c r="E301" s="5"/>
      <c r="F301" s="22">
        <f>IFERROR(__xludf.DUMMYFUNCTION("""COMPUTED_VALUE"""),500000.0)</f>
        <v>500000</v>
      </c>
      <c r="G301" s="22">
        <f>IFERROR(__xludf.DUMMYFUNCTION("""COMPUTED_VALUE"""),0.0)</f>
        <v>0</v>
      </c>
      <c r="H301" s="22">
        <f>IFERROR(__xludf.DUMMYFUNCTION("""COMPUTED_VALUE"""),499609.80122)</f>
        <v>499609.8012</v>
      </c>
      <c r="I301" s="24">
        <f>IFERROR(__xludf.DUMMYFUNCTION("""COMPUTED_VALUE"""),-7.803975599999236E-4)</f>
        <v>-0.00078039756</v>
      </c>
    </row>
    <row r="302">
      <c r="A302" s="5" t="str">
        <f>IFERROR(__xludf.DUMMYFUNCTION("""COMPUTED_VALUE"""),"24442")</f>
        <v>24442</v>
      </c>
      <c r="B302" s="64">
        <f>IFERROR(__xludf.DUMMYFUNCTION("""COMPUTED_VALUE"""),44626.0)</f>
        <v>44626</v>
      </c>
      <c r="C302" s="5"/>
      <c r="D302" s="5"/>
      <c r="E302" s="5"/>
      <c r="F302" s="22">
        <f>IFERROR(__xludf.DUMMYFUNCTION("""COMPUTED_VALUE"""),500000.0)</f>
        <v>500000</v>
      </c>
      <c r="G302" s="22">
        <f>IFERROR(__xludf.DUMMYFUNCTION("""COMPUTED_VALUE"""),0.0)</f>
        <v>0</v>
      </c>
      <c r="H302" s="22">
        <f>IFERROR(__xludf.DUMMYFUNCTION("""COMPUTED_VALUE"""),499609.80122)</f>
        <v>499609.8012</v>
      </c>
      <c r="I302" s="24">
        <f>IFERROR(__xludf.DUMMYFUNCTION("""COMPUTED_VALUE"""),-7.803975599999236E-4)</f>
        <v>-0.00078039756</v>
      </c>
    </row>
    <row r="303">
      <c r="A303" s="5" t="str">
        <f>IFERROR(__xludf.DUMMYFUNCTION("""COMPUTED_VALUE"""),"24442")</f>
        <v>24442</v>
      </c>
      <c r="B303" s="64">
        <f>IFERROR(__xludf.DUMMYFUNCTION("""COMPUTED_VALUE"""),44627.0)</f>
        <v>44627</v>
      </c>
      <c r="C303" s="5"/>
      <c r="D303" s="5"/>
      <c r="E303" s="5"/>
      <c r="F303" s="22">
        <f>IFERROR(__xludf.DUMMYFUNCTION("""COMPUTED_VALUE"""),340312.89241999993)</f>
        <v>340312.8924</v>
      </c>
      <c r="G303" s="22">
        <f>IFERROR(__xludf.DUMMYFUNCTION("""COMPUTED_VALUE"""),0.0)</f>
        <v>0</v>
      </c>
      <c r="H303" s="22">
        <f>IFERROR(__xludf.DUMMYFUNCTION("""COMPUTED_VALUE"""),498439.20488)</f>
        <v>498439.2049</v>
      </c>
      <c r="I303" s="24">
        <f>IFERROR(__xludf.DUMMYFUNCTION("""COMPUTED_VALUE"""),-0.0031215902400000273)</f>
        <v>-0.00312159024</v>
      </c>
    </row>
    <row r="304">
      <c r="A304" s="5" t="str">
        <f>IFERROR(__xludf.DUMMYFUNCTION("""COMPUTED_VALUE"""),"24442")</f>
        <v>24442</v>
      </c>
      <c r="B304" s="64">
        <f>IFERROR(__xludf.DUMMYFUNCTION("""COMPUTED_VALUE"""),44628.0)</f>
        <v>44628</v>
      </c>
      <c r="C304" s="5"/>
      <c r="D304" s="5"/>
      <c r="E304" s="5"/>
      <c r="F304" s="22">
        <f>IFERROR(__xludf.DUMMYFUNCTION("""COMPUTED_VALUE"""),452569.9164949999)</f>
        <v>452569.9165</v>
      </c>
      <c r="G304" s="22">
        <f>IFERROR(__xludf.DUMMYFUNCTION("""COMPUTED_VALUE"""),0.0)</f>
        <v>0</v>
      </c>
      <c r="H304" s="22">
        <f>IFERROR(__xludf.DUMMYFUNCTION("""COMPUTED_VALUE"""),497761.84011999995)</f>
        <v>497761.8401</v>
      </c>
      <c r="I304" s="24">
        <f>IFERROR(__xludf.DUMMYFUNCTION("""COMPUTED_VALUE"""),-0.004476319760000069)</f>
        <v>-0.00447631976</v>
      </c>
    </row>
    <row r="305">
      <c r="A305" s="5" t="str">
        <f>IFERROR(__xludf.DUMMYFUNCTION("""COMPUTED_VALUE"""),"24442")</f>
        <v>24442</v>
      </c>
      <c r="B305" s="64">
        <f>IFERROR(__xludf.DUMMYFUNCTION("""COMPUTED_VALUE"""),44629.0)</f>
        <v>44629</v>
      </c>
      <c r="C305" s="5"/>
      <c r="D305" s="5"/>
      <c r="E305" s="5"/>
      <c r="F305" s="22">
        <f>IFERROR(__xludf.DUMMYFUNCTION("""COMPUTED_VALUE"""),452569.9164949999)</f>
        <v>452569.9165</v>
      </c>
      <c r="G305" s="22">
        <f>IFERROR(__xludf.DUMMYFUNCTION("""COMPUTED_VALUE"""),0.0)</f>
        <v>0</v>
      </c>
      <c r="H305" s="22">
        <f>IFERROR(__xludf.DUMMYFUNCTION("""COMPUTED_VALUE"""),497761.599145)</f>
        <v>497761.5991</v>
      </c>
      <c r="I305" s="24">
        <f>IFERROR(__xludf.DUMMYFUNCTION("""COMPUTED_VALUE"""),-0.004476801709999978)</f>
        <v>-0.00447680171</v>
      </c>
    </row>
    <row r="306">
      <c r="A306" s="5" t="str">
        <f>IFERROR(__xludf.DUMMYFUNCTION("""COMPUTED_VALUE"""),"24442")</f>
        <v>24442</v>
      </c>
      <c r="B306" s="64">
        <f>IFERROR(__xludf.DUMMYFUNCTION("""COMPUTED_VALUE"""),44630.0)</f>
        <v>44630</v>
      </c>
      <c r="C306" s="5"/>
      <c r="D306" s="5"/>
      <c r="E306" s="5"/>
      <c r="F306" s="22">
        <f>IFERROR(__xludf.DUMMYFUNCTION("""COMPUTED_VALUE"""),452569.9164949999)</f>
        <v>452569.9165</v>
      </c>
      <c r="G306" s="22">
        <f>IFERROR(__xludf.DUMMYFUNCTION("""COMPUTED_VALUE"""),0.0)</f>
        <v>0</v>
      </c>
      <c r="H306" s="22">
        <f>IFERROR(__xludf.DUMMYFUNCTION("""COMPUTED_VALUE"""),498867.16192999994)</f>
        <v>498867.1619</v>
      </c>
      <c r="I306" s="24">
        <f>IFERROR(__xludf.DUMMYFUNCTION("""COMPUTED_VALUE"""),-0.0022656761400000613)</f>
        <v>-0.00226567614</v>
      </c>
    </row>
    <row r="307">
      <c r="A307" s="5" t="str">
        <f>IFERROR(__xludf.DUMMYFUNCTION("""COMPUTED_VALUE"""),"24442")</f>
        <v>24442</v>
      </c>
      <c r="B307" s="64">
        <f>IFERROR(__xludf.DUMMYFUNCTION("""COMPUTED_VALUE"""),44631.0)</f>
        <v>44631</v>
      </c>
      <c r="C307" s="5"/>
      <c r="D307" s="5"/>
      <c r="E307" s="5"/>
      <c r="F307" s="22">
        <f>IFERROR(__xludf.DUMMYFUNCTION("""COMPUTED_VALUE"""),452569.9164949999)</f>
        <v>452569.9165</v>
      </c>
      <c r="G307" s="22">
        <f>IFERROR(__xludf.DUMMYFUNCTION("""COMPUTED_VALUE"""),0.0)</f>
        <v>0</v>
      </c>
      <c r="H307" s="22">
        <f>IFERROR(__xludf.DUMMYFUNCTION("""COMPUTED_VALUE"""),498086.98494500003)</f>
        <v>498086.9849</v>
      </c>
      <c r="I307" s="24">
        <f>IFERROR(__xludf.DUMMYFUNCTION("""COMPUTED_VALUE"""),-0.003826030109999934)</f>
        <v>-0.00382603011</v>
      </c>
    </row>
    <row r="308">
      <c r="A308" s="5" t="str">
        <f>IFERROR(__xludf.DUMMYFUNCTION("""COMPUTED_VALUE"""),"24442")</f>
        <v>24442</v>
      </c>
      <c r="B308" s="64">
        <f>IFERROR(__xludf.DUMMYFUNCTION("""COMPUTED_VALUE"""),44632.0)</f>
        <v>44632</v>
      </c>
      <c r="C308" s="5"/>
      <c r="D308" s="5"/>
      <c r="E308" s="5"/>
      <c r="F308" s="22">
        <f>IFERROR(__xludf.DUMMYFUNCTION("""COMPUTED_VALUE"""),452569.9164949999)</f>
        <v>452569.9165</v>
      </c>
      <c r="G308" s="22">
        <f>IFERROR(__xludf.DUMMYFUNCTION("""COMPUTED_VALUE"""),0.0)</f>
        <v>0</v>
      </c>
      <c r="H308" s="22">
        <f>IFERROR(__xludf.DUMMYFUNCTION("""COMPUTED_VALUE"""),498086.98494500003)</f>
        <v>498086.9849</v>
      </c>
      <c r="I308" s="24">
        <f>IFERROR(__xludf.DUMMYFUNCTION("""COMPUTED_VALUE"""),-0.003826030109999934)</f>
        <v>-0.00382603011</v>
      </c>
    </row>
    <row r="309">
      <c r="A309" s="5" t="str">
        <f>IFERROR(__xludf.DUMMYFUNCTION("""COMPUTED_VALUE"""),"24442")</f>
        <v>24442</v>
      </c>
      <c r="B309" s="64">
        <f>IFERROR(__xludf.DUMMYFUNCTION("""COMPUTED_VALUE"""),44633.0)</f>
        <v>44633</v>
      </c>
      <c r="C309" s="5"/>
      <c r="D309" s="5"/>
      <c r="E309" s="5"/>
      <c r="F309" s="22">
        <f>IFERROR(__xludf.DUMMYFUNCTION("""COMPUTED_VALUE"""),452569.9164949999)</f>
        <v>452569.9165</v>
      </c>
      <c r="G309" s="22">
        <f>IFERROR(__xludf.DUMMYFUNCTION("""COMPUTED_VALUE"""),0.0)</f>
        <v>0</v>
      </c>
      <c r="H309" s="22">
        <f>IFERROR(__xludf.DUMMYFUNCTION("""COMPUTED_VALUE"""),498086.98494500003)</f>
        <v>498086.9849</v>
      </c>
      <c r="I309" s="24">
        <f>IFERROR(__xludf.DUMMYFUNCTION("""COMPUTED_VALUE"""),-0.003826030109999934)</f>
        <v>-0.00382603011</v>
      </c>
    </row>
    <row r="310">
      <c r="A310" s="5" t="str">
        <f>IFERROR(__xludf.DUMMYFUNCTION("""COMPUTED_VALUE"""),"24442")</f>
        <v>24442</v>
      </c>
      <c r="B310" s="64">
        <f>IFERROR(__xludf.DUMMYFUNCTION("""COMPUTED_VALUE"""),44634.0)</f>
        <v>44634</v>
      </c>
      <c r="C310" s="5"/>
      <c r="D310" s="5"/>
      <c r="E310" s="5"/>
      <c r="F310" s="22">
        <f>IFERROR(__xludf.DUMMYFUNCTION("""COMPUTED_VALUE"""),133835.27705749986)</f>
        <v>133835.2771</v>
      </c>
      <c r="G310" s="22">
        <f>IFERROR(__xludf.DUMMYFUNCTION("""COMPUTED_VALUE"""),0.0)</f>
        <v>0</v>
      </c>
      <c r="H310" s="22">
        <f>IFERROR(__xludf.DUMMYFUNCTION("""COMPUTED_VALUE"""),498087.09842)</f>
        <v>498087.0984</v>
      </c>
      <c r="I310" s="24">
        <f>IFERROR(__xludf.DUMMYFUNCTION("""COMPUTED_VALUE"""),-0.0038258031600000297)</f>
        <v>-0.00382580316</v>
      </c>
    </row>
    <row r="311">
      <c r="A311" s="5" t="str">
        <f>IFERROR(__xludf.DUMMYFUNCTION("""COMPUTED_VALUE"""),"24442")</f>
        <v>24442</v>
      </c>
      <c r="B311" s="64">
        <f>IFERROR(__xludf.DUMMYFUNCTION("""COMPUTED_VALUE"""),44635.0)</f>
        <v>44635</v>
      </c>
      <c r="C311" s="5"/>
      <c r="D311" s="5"/>
      <c r="E311" s="5"/>
      <c r="F311" s="22">
        <f>IFERROR(__xludf.DUMMYFUNCTION("""COMPUTED_VALUE"""),133835.27705749986)</f>
        <v>133835.2771</v>
      </c>
      <c r="G311" s="22">
        <f>IFERROR(__xludf.DUMMYFUNCTION("""COMPUTED_VALUE"""),0.0)</f>
        <v>0</v>
      </c>
      <c r="H311" s="22">
        <f>IFERROR(__xludf.DUMMYFUNCTION("""COMPUTED_VALUE"""),507917.1966150001)</f>
        <v>507917.1966</v>
      </c>
      <c r="I311" s="24">
        <f>IFERROR(__xludf.DUMMYFUNCTION("""COMPUTED_VALUE"""),0.015834393230000243)</f>
        <v>0.01583439323</v>
      </c>
    </row>
    <row r="312">
      <c r="A312" s="5" t="str">
        <f>IFERROR(__xludf.DUMMYFUNCTION("""COMPUTED_VALUE"""),"24442")</f>
        <v>24442</v>
      </c>
      <c r="B312" s="64">
        <f>IFERROR(__xludf.DUMMYFUNCTION("""COMPUTED_VALUE"""),44636.0)</f>
        <v>44636</v>
      </c>
      <c r="C312" s="5"/>
      <c r="D312" s="5"/>
      <c r="E312" s="5"/>
      <c r="F312" s="22">
        <f>IFERROR(__xludf.DUMMYFUNCTION("""COMPUTED_VALUE"""),133835.27705749986)</f>
        <v>133835.2771</v>
      </c>
      <c r="G312" s="22">
        <f>IFERROR(__xludf.DUMMYFUNCTION("""COMPUTED_VALUE"""),0.0)</f>
        <v>0</v>
      </c>
      <c r="H312" s="22">
        <f>IFERROR(__xludf.DUMMYFUNCTION("""COMPUTED_VALUE"""),516087.5948575)</f>
        <v>516087.5949</v>
      </c>
      <c r="I312" s="24">
        <f>IFERROR(__xludf.DUMMYFUNCTION("""COMPUTED_VALUE"""),0.032175189715)</f>
        <v>0.03217518972</v>
      </c>
    </row>
    <row r="313">
      <c r="A313" s="5" t="str">
        <f>IFERROR(__xludf.DUMMYFUNCTION("""COMPUTED_VALUE"""),"24442")</f>
        <v>24442</v>
      </c>
      <c r="B313" s="64">
        <f>IFERROR(__xludf.DUMMYFUNCTION("""COMPUTED_VALUE"""),44637.0)</f>
        <v>44637</v>
      </c>
      <c r="C313" s="5"/>
      <c r="D313" s="5"/>
      <c r="E313" s="5"/>
      <c r="F313" s="22">
        <f>IFERROR(__xludf.DUMMYFUNCTION("""COMPUTED_VALUE"""),133835.27705749986)</f>
        <v>133835.2771</v>
      </c>
      <c r="G313" s="22">
        <f>IFERROR(__xludf.DUMMYFUNCTION("""COMPUTED_VALUE"""),0.0)</f>
        <v>0</v>
      </c>
      <c r="H313" s="22">
        <f>IFERROR(__xludf.DUMMYFUNCTION("""COMPUTED_VALUE"""),522238.2970899999)</f>
        <v>522238.2971</v>
      </c>
      <c r="I313" s="24">
        <f>IFERROR(__xludf.DUMMYFUNCTION("""COMPUTED_VALUE"""),0.04447659417999983)</f>
        <v>0.04447659418</v>
      </c>
    </row>
    <row r="314">
      <c r="A314" s="5" t="str">
        <f>IFERROR(__xludf.DUMMYFUNCTION("""COMPUTED_VALUE"""),"24442")</f>
        <v>24442</v>
      </c>
      <c r="B314" s="64">
        <f>IFERROR(__xludf.DUMMYFUNCTION("""COMPUTED_VALUE"""),44638.0)</f>
        <v>44638</v>
      </c>
      <c r="C314" s="5"/>
      <c r="D314" s="5"/>
      <c r="E314" s="5"/>
      <c r="F314" s="22">
        <f>IFERROR(__xludf.DUMMYFUNCTION("""COMPUTED_VALUE"""),133835.27705749986)</f>
        <v>133835.2771</v>
      </c>
      <c r="G314" s="22">
        <f>IFERROR(__xludf.DUMMYFUNCTION("""COMPUTED_VALUE"""),0.0)</f>
        <v>0</v>
      </c>
      <c r="H314" s="22">
        <f>IFERROR(__xludf.DUMMYFUNCTION("""COMPUTED_VALUE"""),525030.0589925)</f>
        <v>525030.059</v>
      </c>
      <c r="I314" s="24">
        <f>IFERROR(__xludf.DUMMYFUNCTION("""COMPUTED_VALUE"""),0.050060117984999986)</f>
        <v>0.05006011799</v>
      </c>
    </row>
    <row r="315">
      <c r="A315" s="5" t="str">
        <f>IFERROR(__xludf.DUMMYFUNCTION("""COMPUTED_VALUE"""),"24442")</f>
        <v>24442</v>
      </c>
      <c r="B315" s="64">
        <f>IFERROR(__xludf.DUMMYFUNCTION("""COMPUTED_VALUE"""),44639.0)</f>
        <v>44639</v>
      </c>
      <c r="C315" s="5"/>
      <c r="D315" s="5"/>
      <c r="E315" s="5"/>
      <c r="F315" s="22">
        <f>IFERROR(__xludf.DUMMYFUNCTION("""COMPUTED_VALUE"""),133835.27705749986)</f>
        <v>133835.2771</v>
      </c>
      <c r="G315" s="22">
        <f>IFERROR(__xludf.DUMMYFUNCTION("""COMPUTED_VALUE"""),0.0)</f>
        <v>0</v>
      </c>
      <c r="H315" s="22">
        <f>IFERROR(__xludf.DUMMYFUNCTION("""COMPUTED_VALUE"""),525030.0589925)</f>
        <v>525030.059</v>
      </c>
      <c r="I315" s="24">
        <f>IFERROR(__xludf.DUMMYFUNCTION("""COMPUTED_VALUE"""),0.050060117984999986)</f>
        <v>0.05006011799</v>
      </c>
    </row>
    <row r="316">
      <c r="A316" s="5" t="str">
        <f>IFERROR(__xludf.DUMMYFUNCTION("""COMPUTED_VALUE"""),"24442")</f>
        <v>24442</v>
      </c>
      <c r="B316" s="64">
        <f>IFERROR(__xludf.DUMMYFUNCTION("""COMPUTED_VALUE"""),44640.0)</f>
        <v>44640</v>
      </c>
      <c r="C316" s="5"/>
      <c r="D316" s="5"/>
      <c r="E316" s="5"/>
      <c r="F316" s="22">
        <f>IFERROR(__xludf.DUMMYFUNCTION("""COMPUTED_VALUE"""),133835.27705749986)</f>
        <v>133835.2771</v>
      </c>
      <c r="G316" s="22">
        <f>IFERROR(__xludf.DUMMYFUNCTION("""COMPUTED_VALUE"""),0.0)</f>
        <v>0</v>
      </c>
      <c r="H316" s="22">
        <f>IFERROR(__xludf.DUMMYFUNCTION("""COMPUTED_VALUE"""),525030.0589925)</f>
        <v>525030.059</v>
      </c>
      <c r="I316" s="24">
        <f>IFERROR(__xludf.DUMMYFUNCTION("""COMPUTED_VALUE"""),0.050060117984999986)</f>
        <v>0.05006011799</v>
      </c>
    </row>
    <row r="317">
      <c r="A317" s="5" t="str">
        <f>IFERROR(__xludf.DUMMYFUNCTION("""COMPUTED_VALUE"""),"24442")</f>
        <v>24442</v>
      </c>
      <c r="B317" s="64">
        <f>IFERROR(__xludf.DUMMYFUNCTION("""COMPUTED_VALUE"""),44641.0)</f>
        <v>44641</v>
      </c>
      <c r="C317" s="5"/>
      <c r="D317" s="5"/>
      <c r="E317" s="5"/>
      <c r="F317" s="22">
        <f>IFERROR(__xludf.DUMMYFUNCTION("""COMPUTED_VALUE"""),133835.27705749986)</f>
        <v>133835.2771</v>
      </c>
      <c r="G317" s="22">
        <f>IFERROR(__xludf.DUMMYFUNCTION("""COMPUTED_VALUE"""),0.0)</f>
        <v>0</v>
      </c>
      <c r="H317" s="22">
        <f>IFERROR(__xludf.DUMMYFUNCTION("""COMPUTED_VALUE"""),522566.69946249994)</f>
        <v>522566.6995</v>
      </c>
      <c r="I317" s="24">
        <f>IFERROR(__xludf.DUMMYFUNCTION("""COMPUTED_VALUE"""),0.04513339892499979)</f>
        <v>0.04513339892</v>
      </c>
    </row>
    <row r="318">
      <c r="A318" s="5" t="str">
        <f>IFERROR(__xludf.DUMMYFUNCTION("""COMPUTED_VALUE"""),"24442")</f>
        <v>24442</v>
      </c>
      <c r="B318" s="64">
        <f>IFERROR(__xludf.DUMMYFUNCTION("""COMPUTED_VALUE"""),44642.0)</f>
        <v>44642</v>
      </c>
      <c r="C318" s="5"/>
      <c r="D318" s="5"/>
      <c r="E318" s="5"/>
      <c r="F318" s="22">
        <f>IFERROR(__xludf.DUMMYFUNCTION("""COMPUTED_VALUE"""),133835.27705749986)</f>
        <v>133835.2771</v>
      </c>
      <c r="G318" s="22">
        <f>IFERROR(__xludf.DUMMYFUNCTION("""COMPUTED_VALUE"""),0.0)</f>
        <v>0</v>
      </c>
      <c r="H318" s="22">
        <f>IFERROR(__xludf.DUMMYFUNCTION("""COMPUTED_VALUE"""),526971.8502325)</f>
        <v>526971.8502</v>
      </c>
      <c r="I318" s="24">
        <f>IFERROR(__xludf.DUMMYFUNCTION("""COMPUTED_VALUE"""),0.05394370046500008)</f>
        <v>0.05394370047</v>
      </c>
    </row>
    <row r="319">
      <c r="A319" s="5" t="str">
        <f>IFERROR(__xludf.DUMMYFUNCTION("""COMPUTED_VALUE"""),"24442")</f>
        <v>24442</v>
      </c>
      <c r="B319" s="64">
        <f>IFERROR(__xludf.DUMMYFUNCTION("""COMPUTED_VALUE"""),44643.0)</f>
        <v>44643</v>
      </c>
      <c r="C319" s="5"/>
      <c r="D319" s="5"/>
      <c r="E319" s="5"/>
      <c r="F319" s="22">
        <f>IFERROR(__xludf.DUMMYFUNCTION("""COMPUTED_VALUE"""),133835.27705749986)</f>
        <v>133835.2771</v>
      </c>
      <c r="G319" s="22">
        <f>IFERROR(__xludf.DUMMYFUNCTION("""COMPUTED_VALUE"""),0.0)</f>
        <v>0</v>
      </c>
      <c r="H319" s="22">
        <f>IFERROR(__xludf.DUMMYFUNCTION("""COMPUTED_VALUE"""),520543.7635050001)</f>
        <v>520543.7635</v>
      </c>
      <c r="I319" s="24">
        <f>IFERROR(__xludf.DUMMYFUNCTION("""COMPUTED_VALUE"""),0.04108752701000018)</f>
        <v>0.04108752701</v>
      </c>
    </row>
    <row r="320">
      <c r="A320" s="5" t="str">
        <f>IFERROR(__xludf.DUMMYFUNCTION("""COMPUTED_VALUE"""),"24442")</f>
        <v>24442</v>
      </c>
      <c r="B320" s="64">
        <f>IFERROR(__xludf.DUMMYFUNCTION("""COMPUTED_VALUE"""),44644.0)</f>
        <v>44644</v>
      </c>
      <c r="C320" s="5"/>
      <c r="D320" s="5"/>
      <c r="E320" s="5"/>
      <c r="F320" s="22">
        <f>IFERROR(__xludf.DUMMYFUNCTION("""COMPUTED_VALUE"""),133835.27705749986)</f>
        <v>133835.2771</v>
      </c>
      <c r="G320" s="22">
        <f>IFERROR(__xludf.DUMMYFUNCTION("""COMPUTED_VALUE"""),0.0)</f>
        <v>0</v>
      </c>
      <c r="H320" s="22">
        <f>IFERROR(__xludf.DUMMYFUNCTION("""COMPUTED_VALUE"""),526781.8874249998)</f>
        <v>526781.8874</v>
      </c>
      <c r="I320" s="24">
        <f>IFERROR(__xludf.DUMMYFUNCTION("""COMPUTED_VALUE"""),0.053563774849999746)</f>
        <v>0.05356377485</v>
      </c>
    </row>
    <row r="321">
      <c r="A321" s="5" t="str">
        <f>IFERROR(__xludf.DUMMYFUNCTION("""COMPUTED_VALUE"""),"24442")</f>
        <v>24442</v>
      </c>
      <c r="B321" s="64">
        <f>IFERROR(__xludf.DUMMYFUNCTION("""COMPUTED_VALUE"""),44645.0)</f>
        <v>44645</v>
      </c>
      <c r="C321" s="5"/>
      <c r="D321" s="5"/>
      <c r="E321" s="5"/>
      <c r="F321" s="22">
        <f>IFERROR(__xludf.DUMMYFUNCTION("""COMPUTED_VALUE"""),133835.27705749986)</f>
        <v>133835.2771</v>
      </c>
      <c r="G321" s="22">
        <f>IFERROR(__xludf.DUMMYFUNCTION("""COMPUTED_VALUE"""),0.0)</f>
        <v>0</v>
      </c>
      <c r="H321" s="22">
        <f>IFERROR(__xludf.DUMMYFUNCTION("""COMPUTED_VALUE"""),531109.2760100001)</f>
        <v>531109.276</v>
      </c>
      <c r="I321" s="24">
        <f>IFERROR(__xludf.DUMMYFUNCTION("""COMPUTED_VALUE"""),0.06221855202000026)</f>
        <v>0.06221855202</v>
      </c>
    </row>
    <row r="322">
      <c r="A322" s="5" t="str">
        <f>IFERROR(__xludf.DUMMYFUNCTION("""COMPUTED_VALUE"""),"24442")</f>
        <v>24442</v>
      </c>
      <c r="B322" s="64">
        <f>IFERROR(__xludf.DUMMYFUNCTION("""COMPUTED_VALUE"""),44646.0)</f>
        <v>44646</v>
      </c>
      <c r="C322" s="5"/>
      <c r="D322" s="5"/>
      <c r="E322" s="5"/>
      <c r="F322" s="22">
        <f>IFERROR(__xludf.DUMMYFUNCTION("""COMPUTED_VALUE"""),133835.27705749986)</f>
        <v>133835.2771</v>
      </c>
      <c r="G322" s="22">
        <f>IFERROR(__xludf.DUMMYFUNCTION("""COMPUTED_VALUE"""),0.0)</f>
        <v>0</v>
      </c>
      <c r="H322" s="22">
        <f>IFERROR(__xludf.DUMMYFUNCTION("""COMPUTED_VALUE"""),531109.2760100001)</f>
        <v>531109.276</v>
      </c>
      <c r="I322" s="24">
        <f>IFERROR(__xludf.DUMMYFUNCTION("""COMPUTED_VALUE"""),0.06221855202000026)</f>
        <v>0.06221855202</v>
      </c>
    </row>
    <row r="323">
      <c r="A323" s="5" t="str">
        <f>IFERROR(__xludf.DUMMYFUNCTION("""COMPUTED_VALUE"""),"24442")</f>
        <v>24442</v>
      </c>
      <c r="B323" s="64">
        <f>IFERROR(__xludf.DUMMYFUNCTION("""COMPUTED_VALUE"""),44647.0)</f>
        <v>44647</v>
      </c>
      <c r="C323" s="5"/>
      <c r="D323" s="5"/>
      <c r="E323" s="5"/>
      <c r="F323" s="22">
        <f>IFERROR(__xludf.DUMMYFUNCTION("""COMPUTED_VALUE"""),133835.27705749986)</f>
        <v>133835.2771</v>
      </c>
      <c r="G323" s="22">
        <f>IFERROR(__xludf.DUMMYFUNCTION("""COMPUTED_VALUE"""),0.0)</f>
        <v>0</v>
      </c>
      <c r="H323" s="22">
        <f>IFERROR(__xludf.DUMMYFUNCTION("""COMPUTED_VALUE"""),531109.2760100001)</f>
        <v>531109.276</v>
      </c>
      <c r="I323" s="24">
        <f>IFERROR(__xludf.DUMMYFUNCTION("""COMPUTED_VALUE"""),0.06221855202000026)</f>
        <v>0.06221855202</v>
      </c>
    </row>
    <row r="324">
      <c r="A324" s="5" t="str">
        <f>IFERROR(__xludf.DUMMYFUNCTION("""COMPUTED_VALUE"""),"24442")</f>
        <v>24442</v>
      </c>
      <c r="B324" s="64">
        <f>IFERROR(__xludf.DUMMYFUNCTION("""COMPUTED_VALUE"""),44648.0)</f>
        <v>44648</v>
      </c>
      <c r="C324" s="5"/>
      <c r="D324" s="5"/>
      <c r="E324" s="5"/>
      <c r="F324" s="22">
        <f>IFERROR(__xludf.DUMMYFUNCTION("""COMPUTED_VALUE"""),133835.27705749986)</f>
        <v>133835.2771</v>
      </c>
      <c r="G324" s="22">
        <f>IFERROR(__xludf.DUMMYFUNCTION("""COMPUTED_VALUE"""),0.0)</f>
        <v>0</v>
      </c>
      <c r="H324" s="22">
        <f>IFERROR(__xludf.DUMMYFUNCTION("""COMPUTED_VALUE"""),534624.479005)</f>
        <v>534624.479</v>
      </c>
      <c r="I324" s="24">
        <f>IFERROR(__xludf.DUMMYFUNCTION("""COMPUTED_VALUE"""),0.06924895800999997)</f>
        <v>0.06924895801</v>
      </c>
    </row>
    <row r="325">
      <c r="A325" s="5" t="str">
        <f>IFERROR(__xludf.DUMMYFUNCTION("""COMPUTED_VALUE"""),"24442")</f>
        <v>24442</v>
      </c>
      <c r="B325" s="64">
        <f>IFERROR(__xludf.DUMMYFUNCTION("""COMPUTED_VALUE"""),44649.0)</f>
        <v>44649</v>
      </c>
      <c r="C325" s="5"/>
      <c r="D325" s="5"/>
      <c r="E325" s="5"/>
      <c r="F325" s="22">
        <f>IFERROR(__xludf.DUMMYFUNCTION("""COMPUTED_VALUE"""),133835.27705749986)</f>
        <v>133835.2771</v>
      </c>
      <c r="G325" s="22">
        <f>IFERROR(__xludf.DUMMYFUNCTION("""COMPUTED_VALUE"""),0.0)</f>
        <v>0</v>
      </c>
      <c r="H325" s="22">
        <f>IFERROR(__xludf.DUMMYFUNCTION("""COMPUTED_VALUE"""),542009.2131725001)</f>
        <v>542009.2132</v>
      </c>
      <c r="I325" s="24">
        <f>IFERROR(__xludf.DUMMYFUNCTION("""COMPUTED_VALUE"""),0.08401842634500034)</f>
        <v>0.08401842635</v>
      </c>
    </row>
    <row r="326">
      <c r="A326" s="5" t="str">
        <f>IFERROR(__xludf.DUMMYFUNCTION("""COMPUTED_VALUE"""),"24442")</f>
        <v>24442</v>
      </c>
      <c r="B326" s="64">
        <f>IFERROR(__xludf.DUMMYFUNCTION("""COMPUTED_VALUE"""),44650.0)</f>
        <v>44650</v>
      </c>
      <c r="C326" s="5"/>
      <c r="D326" s="5"/>
      <c r="E326" s="5"/>
      <c r="F326" s="22">
        <f>IFERROR(__xludf.DUMMYFUNCTION("""COMPUTED_VALUE"""),133835.27705749986)</f>
        <v>133835.2771</v>
      </c>
      <c r="G326" s="22">
        <f>IFERROR(__xludf.DUMMYFUNCTION("""COMPUTED_VALUE"""),0.0)</f>
        <v>0</v>
      </c>
      <c r="H326" s="22">
        <f>IFERROR(__xludf.DUMMYFUNCTION("""COMPUTED_VALUE"""),540594.8003199999)</f>
        <v>540594.8003</v>
      </c>
      <c r="I326" s="24">
        <f>IFERROR(__xludf.DUMMYFUNCTION("""COMPUTED_VALUE"""),0.08118960063999991)</f>
        <v>0.08118960064</v>
      </c>
    </row>
    <row r="327">
      <c r="A327" s="5" t="str">
        <f>IFERROR(__xludf.DUMMYFUNCTION("""COMPUTED_VALUE"""),"24442")</f>
        <v>24442</v>
      </c>
      <c r="B327" s="64">
        <f>IFERROR(__xludf.DUMMYFUNCTION("""COMPUTED_VALUE"""),44651.0)</f>
        <v>44651</v>
      </c>
      <c r="C327" s="5"/>
      <c r="D327" s="5"/>
      <c r="E327" s="5"/>
      <c r="F327" s="22">
        <f>IFERROR(__xludf.DUMMYFUNCTION("""COMPUTED_VALUE"""),133835.27705749986)</f>
        <v>133835.2771</v>
      </c>
      <c r="G327" s="22">
        <f>IFERROR(__xludf.DUMMYFUNCTION("""COMPUTED_VALUE"""),0.0)</f>
        <v>0</v>
      </c>
      <c r="H327" s="22">
        <f>IFERROR(__xludf.DUMMYFUNCTION("""COMPUTED_VALUE"""),534319.6856725)</f>
        <v>534319.6857</v>
      </c>
      <c r="I327" s="24">
        <f>IFERROR(__xludf.DUMMYFUNCTION("""COMPUTED_VALUE"""),0.0686393713450002)</f>
        <v>0.06863937135</v>
      </c>
    </row>
    <row r="328">
      <c r="A328" s="5" t="str">
        <f>IFERROR(__xludf.DUMMYFUNCTION("""COMPUTED_VALUE"""),"24442")</f>
        <v>24442</v>
      </c>
      <c r="B328" s="64">
        <f>IFERROR(__xludf.DUMMYFUNCTION("""COMPUTED_VALUE"""),44652.0)</f>
        <v>44652</v>
      </c>
      <c r="C328" s="5"/>
      <c r="D328" s="5"/>
      <c r="E328" s="5"/>
      <c r="F328" s="22">
        <f>IFERROR(__xludf.DUMMYFUNCTION("""COMPUTED_VALUE"""),133835.27705749986)</f>
        <v>133835.2771</v>
      </c>
      <c r="G328" s="22">
        <f>IFERROR(__xludf.DUMMYFUNCTION("""COMPUTED_VALUE"""),0.0)</f>
        <v>0</v>
      </c>
      <c r="H328" s="22">
        <f>IFERROR(__xludf.DUMMYFUNCTION("""COMPUTED_VALUE"""),538230.1642475)</f>
        <v>538230.1642</v>
      </c>
      <c r="I328" s="24">
        <f>IFERROR(__xludf.DUMMYFUNCTION("""COMPUTED_VALUE"""),0.07646032849500006)</f>
        <v>0.0764603285</v>
      </c>
    </row>
    <row r="329">
      <c r="A329" s="5" t="str">
        <f>IFERROR(__xludf.DUMMYFUNCTION("""COMPUTED_VALUE"""),"24442")</f>
        <v>24442</v>
      </c>
      <c r="B329" s="64">
        <f>IFERROR(__xludf.DUMMYFUNCTION("""COMPUTED_VALUE"""),44653.0)</f>
        <v>44653</v>
      </c>
      <c r="C329" s="5"/>
      <c r="D329" s="5"/>
      <c r="E329" s="5"/>
      <c r="F329" s="22">
        <f>IFERROR(__xludf.DUMMYFUNCTION("""COMPUTED_VALUE"""),133835.27705749986)</f>
        <v>133835.2771</v>
      </c>
      <c r="G329" s="22">
        <f>IFERROR(__xludf.DUMMYFUNCTION("""COMPUTED_VALUE"""),0.0)</f>
        <v>0</v>
      </c>
      <c r="H329" s="22">
        <f>IFERROR(__xludf.DUMMYFUNCTION("""COMPUTED_VALUE"""),538230.1642475)</f>
        <v>538230.1642</v>
      </c>
      <c r="I329" s="24">
        <f>IFERROR(__xludf.DUMMYFUNCTION("""COMPUTED_VALUE"""),0.07646032849500006)</f>
        <v>0.0764603285</v>
      </c>
    </row>
    <row r="330">
      <c r="A330" s="5" t="str">
        <f>IFERROR(__xludf.DUMMYFUNCTION("""COMPUTED_VALUE"""),"24442")</f>
        <v>24442</v>
      </c>
      <c r="B330" s="64">
        <f>IFERROR(__xludf.DUMMYFUNCTION("""COMPUTED_VALUE"""),44654.0)</f>
        <v>44654</v>
      </c>
      <c r="C330" s="5"/>
      <c r="D330" s="5"/>
      <c r="E330" s="5"/>
      <c r="F330" s="22">
        <f>IFERROR(__xludf.DUMMYFUNCTION("""COMPUTED_VALUE"""),133835.27705749986)</f>
        <v>133835.2771</v>
      </c>
      <c r="G330" s="22">
        <f>IFERROR(__xludf.DUMMYFUNCTION("""COMPUTED_VALUE"""),0.0)</f>
        <v>0</v>
      </c>
      <c r="H330" s="22">
        <f>IFERROR(__xludf.DUMMYFUNCTION("""COMPUTED_VALUE"""),538230.1642475)</f>
        <v>538230.1642</v>
      </c>
      <c r="I330" s="24">
        <f>IFERROR(__xludf.DUMMYFUNCTION("""COMPUTED_VALUE"""),0.07646032849500006)</f>
        <v>0.0764603285</v>
      </c>
    </row>
    <row r="331">
      <c r="A331" s="5" t="str">
        <f>IFERROR(__xludf.DUMMYFUNCTION("""COMPUTED_VALUE"""),"24442")</f>
        <v>24442</v>
      </c>
      <c r="B331" s="64">
        <f>IFERROR(__xludf.DUMMYFUNCTION("""COMPUTED_VALUE"""),44655.0)</f>
        <v>44655</v>
      </c>
      <c r="C331" s="5"/>
      <c r="D331" s="5"/>
      <c r="E331" s="5"/>
      <c r="F331" s="22">
        <f>IFERROR(__xludf.DUMMYFUNCTION("""COMPUTED_VALUE"""),133835.27705749986)</f>
        <v>133835.2771</v>
      </c>
      <c r="G331" s="22">
        <f>IFERROR(__xludf.DUMMYFUNCTION("""COMPUTED_VALUE"""),0.0)</f>
        <v>0</v>
      </c>
      <c r="H331" s="22">
        <f>IFERROR(__xludf.DUMMYFUNCTION("""COMPUTED_VALUE"""),539024.626905)</f>
        <v>539024.6269</v>
      </c>
      <c r="I331" s="24">
        <f>IFERROR(__xludf.DUMMYFUNCTION("""COMPUTED_VALUE"""),0.07804925380999994)</f>
        <v>0.07804925381</v>
      </c>
    </row>
    <row r="332">
      <c r="A332" s="5" t="str">
        <f>IFERROR(__xludf.DUMMYFUNCTION("""COMPUTED_VALUE"""),"24442")</f>
        <v>24442</v>
      </c>
      <c r="B332" s="64">
        <f>IFERROR(__xludf.DUMMYFUNCTION("""COMPUTED_VALUE"""),44656.0)</f>
        <v>44656</v>
      </c>
      <c r="C332" s="5"/>
      <c r="D332" s="5"/>
      <c r="E332" s="5"/>
      <c r="F332" s="22">
        <f>IFERROR(__xludf.DUMMYFUNCTION("""COMPUTED_VALUE"""),133835.27705749986)</f>
        <v>133835.2771</v>
      </c>
      <c r="G332" s="22">
        <f>IFERROR(__xludf.DUMMYFUNCTION("""COMPUTED_VALUE"""),0.0)</f>
        <v>0</v>
      </c>
      <c r="H332" s="22">
        <f>IFERROR(__xludf.DUMMYFUNCTION("""COMPUTED_VALUE"""),536187.4232674999)</f>
        <v>536187.4233</v>
      </c>
      <c r="I332" s="24">
        <f>IFERROR(__xludf.DUMMYFUNCTION("""COMPUTED_VALUE"""),0.07237484653499981)</f>
        <v>0.07237484653</v>
      </c>
    </row>
    <row r="333">
      <c r="A333" s="5" t="str">
        <f>IFERROR(__xludf.DUMMYFUNCTION("""COMPUTED_VALUE"""),"24442")</f>
        <v>24442</v>
      </c>
      <c r="B333" s="64">
        <f>IFERROR(__xludf.DUMMYFUNCTION("""COMPUTED_VALUE"""),44657.0)</f>
        <v>44657</v>
      </c>
      <c r="C333" s="5"/>
      <c r="D333" s="5"/>
      <c r="E333" s="5"/>
      <c r="F333" s="22">
        <f>IFERROR(__xludf.DUMMYFUNCTION("""COMPUTED_VALUE"""),133835.27705749986)</f>
        <v>133835.2771</v>
      </c>
      <c r="G333" s="22">
        <f>IFERROR(__xludf.DUMMYFUNCTION("""COMPUTED_VALUE"""),0.0)</f>
        <v>0</v>
      </c>
      <c r="H333" s="22">
        <f>IFERROR(__xludf.DUMMYFUNCTION("""COMPUTED_VALUE"""),537333.7451025)</f>
        <v>537333.7451</v>
      </c>
      <c r="I333" s="24">
        <f>IFERROR(__xludf.DUMMYFUNCTION("""COMPUTED_VALUE"""),0.07466749020499996)</f>
        <v>0.07466749021</v>
      </c>
    </row>
    <row r="334">
      <c r="A334" s="5" t="str">
        <f>IFERROR(__xludf.DUMMYFUNCTION("""COMPUTED_VALUE"""),"24442")</f>
        <v>24442</v>
      </c>
      <c r="B334" s="64">
        <f>IFERROR(__xludf.DUMMYFUNCTION("""COMPUTED_VALUE"""),44658.0)</f>
        <v>44658</v>
      </c>
      <c r="C334" s="5"/>
      <c r="D334" s="5"/>
      <c r="E334" s="5"/>
      <c r="F334" s="22">
        <f>IFERROR(__xludf.DUMMYFUNCTION("""COMPUTED_VALUE"""),133835.27705749986)</f>
        <v>133835.2771</v>
      </c>
      <c r="G334" s="22">
        <f>IFERROR(__xludf.DUMMYFUNCTION("""COMPUTED_VALUE"""),0.0)</f>
        <v>0</v>
      </c>
      <c r="H334" s="22">
        <f>IFERROR(__xludf.DUMMYFUNCTION("""COMPUTED_VALUE"""),540201.262935)</f>
        <v>540201.2629</v>
      </c>
      <c r="I334" s="24">
        <f>IFERROR(__xludf.DUMMYFUNCTION("""COMPUTED_VALUE"""),0.08040252587000007)</f>
        <v>0.08040252587</v>
      </c>
    </row>
    <row r="335">
      <c r="A335" s="5" t="str">
        <f>IFERROR(__xludf.DUMMYFUNCTION("""COMPUTED_VALUE"""),"24442")</f>
        <v>24442</v>
      </c>
      <c r="B335" s="64">
        <f>IFERROR(__xludf.DUMMYFUNCTION("""COMPUTED_VALUE"""),44659.0)</f>
        <v>44659</v>
      </c>
      <c r="C335" s="5"/>
      <c r="D335" s="5"/>
      <c r="E335" s="5"/>
      <c r="F335" s="22">
        <f>IFERROR(__xludf.DUMMYFUNCTION("""COMPUTED_VALUE"""),133835.27705749986)</f>
        <v>133835.2771</v>
      </c>
      <c r="G335" s="22">
        <f>IFERROR(__xludf.DUMMYFUNCTION("""COMPUTED_VALUE"""),0.0)</f>
        <v>0</v>
      </c>
      <c r="H335" s="22">
        <f>IFERROR(__xludf.DUMMYFUNCTION("""COMPUTED_VALUE"""),540891.16371)</f>
        <v>540891.1637</v>
      </c>
      <c r="I335" s="24">
        <f>IFERROR(__xludf.DUMMYFUNCTION("""COMPUTED_VALUE"""),0.08178232742000002)</f>
        <v>0.08178232742</v>
      </c>
    </row>
    <row r="336">
      <c r="A336" s="5" t="str">
        <f>IFERROR(__xludf.DUMMYFUNCTION("""COMPUTED_VALUE"""),"24442")</f>
        <v>24442</v>
      </c>
      <c r="B336" s="64">
        <f>IFERROR(__xludf.DUMMYFUNCTION("""COMPUTED_VALUE"""),44660.0)</f>
        <v>44660</v>
      </c>
      <c r="C336" s="5"/>
      <c r="D336" s="5"/>
      <c r="E336" s="5"/>
      <c r="F336" s="22">
        <f>IFERROR(__xludf.DUMMYFUNCTION("""COMPUTED_VALUE"""),133835.27705749986)</f>
        <v>133835.2771</v>
      </c>
      <c r="G336" s="22">
        <f>IFERROR(__xludf.DUMMYFUNCTION("""COMPUTED_VALUE"""),0.0)</f>
        <v>0</v>
      </c>
      <c r="H336" s="22">
        <f>IFERROR(__xludf.DUMMYFUNCTION("""COMPUTED_VALUE"""),540891.16371)</f>
        <v>540891.1637</v>
      </c>
      <c r="I336" s="24">
        <f>IFERROR(__xludf.DUMMYFUNCTION("""COMPUTED_VALUE"""),0.08178232742000002)</f>
        <v>0.08178232742</v>
      </c>
    </row>
    <row r="337">
      <c r="A337" s="5" t="str">
        <f>IFERROR(__xludf.DUMMYFUNCTION("""COMPUTED_VALUE"""),"24442")</f>
        <v>24442</v>
      </c>
      <c r="B337" s="64">
        <f>IFERROR(__xludf.DUMMYFUNCTION("""COMPUTED_VALUE"""),44661.0)</f>
        <v>44661</v>
      </c>
      <c r="C337" s="5"/>
      <c r="D337" s="5"/>
      <c r="E337" s="5"/>
      <c r="F337" s="22">
        <f>IFERROR(__xludf.DUMMYFUNCTION("""COMPUTED_VALUE"""),133835.27705749986)</f>
        <v>133835.2771</v>
      </c>
      <c r="G337" s="22">
        <f>IFERROR(__xludf.DUMMYFUNCTION("""COMPUTED_VALUE"""),0.0)</f>
        <v>0</v>
      </c>
      <c r="H337" s="22">
        <f>IFERROR(__xludf.DUMMYFUNCTION("""COMPUTED_VALUE"""),540891.16371)</f>
        <v>540891.1637</v>
      </c>
      <c r="I337" s="24">
        <f>IFERROR(__xludf.DUMMYFUNCTION("""COMPUTED_VALUE"""),0.08178232742000002)</f>
        <v>0.08178232742</v>
      </c>
    </row>
    <row r="338">
      <c r="A338" s="5" t="str">
        <f>IFERROR(__xludf.DUMMYFUNCTION("""COMPUTED_VALUE"""),"24442")</f>
        <v>24442</v>
      </c>
      <c r="B338" s="64">
        <f>IFERROR(__xludf.DUMMYFUNCTION("""COMPUTED_VALUE"""),44662.0)</f>
        <v>44662</v>
      </c>
      <c r="C338" s="5"/>
      <c r="D338" s="5"/>
      <c r="E338" s="5"/>
      <c r="F338" s="22">
        <f>IFERROR(__xludf.DUMMYFUNCTION("""COMPUTED_VALUE"""),133835.27705749986)</f>
        <v>133835.2771</v>
      </c>
      <c r="G338" s="22">
        <f>IFERROR(__xludf.DUMMYFUNCTION("""COMPUTED_VALUE"""),0.0)</f>
        <v>0</v>
      </c>
      <c r="H338" s="22">
        <f>IFERROR(__xludf.DUMMYFUNCTION("""COMPUTED_VALUE"""),533567.58152)</f>
        <v>533567.5815</v>
      </c>
      <c r="I338" s="24">
        <f>IFERROR(__xludf.DUMMYFUNCTION("""COMPUTED_VALUE"""),0.06713516304000011)</f>
        <v>0.06713516304</v>
      </c>
    </row>
    <row r="339">
      <c r="A339" s="5" t="str">
        <f>IFERROR(__xludf.DUMMYFUNCTION("""COMPUTED_VALUE"""),"24442")</f>
        <v>24442</v>
      </c>
      <c r="B339" s="64">
        <f>IFERROR(__xludf.DUMMYFUNCTION("""COMPUTED_VALUE"""),44663.0)</f>
        <v>44663</v>
      </c>
      <c r="C339" s="5"/>
      <c r="D339" s="5"/>
      <c r="E339" s="5"/>
      <c r="F339" s="22">
        <f>IFERROR(__xludf.DUMMYFUNCTION("""COMPUTED_VALUE"""),133835.27705749986)</f>
        <v>133835.2771</v>
      </c>
      <c r="G339" s="22">
        <f>IFERROR(__xludf.DUMMYFUNCTION("""COMPUTED_VALUE"""),0.0)</f>
        <v>0</v>
      </c>
      <c r="H339" s="22">
        <f>IFERROR(__xludf.DUMMYFUNCTION("""COMPUTED_VALUE"""),531387.18213)</f>
        <v>531387.1821</v>
      </c>
      <c r="I339" s="24">
        <f>IFERROR(__xludf.DUMMYFUNCTION("""COMPUTED_VALUE"""),0.06277436426000005)</f>
        <v>0.06277436426</v>
      </c>
    </row>
    <row r="340">
      <c r="A340" s="5" t="str">
        <f>IFERROR(__xludf.DUMMYFUNCTION("""COMPUTED_VALUE"""),"32312")</f>
        <v>32312</v>
      </c>
      <c r="B340" s="64">
        <f>IFERROR(__xludf.DUMMYFUNCTION("""COMPUTED_VALUE"""),44597.0)</f>
        <v>44597</v>
      </c>
      <c r="C340" s="5"/>
      <c r="D340" s="5"/>
      <c r="E340" s="5"/>
      <c r="F340" s="22">
        <f>IFERROR(__xludf.DUMMYFUNCTION("""COMPUTED_VALUE"""),500000.0)</f>
        <v>500000</v>
      </c>
      <c r="G340" s="22">
        <f>IFERROR(__xludf.DUMMYFUNCTION("""COMPUTED_VALUE"""),0.0)</f>
        <v>0</v>
      </c>
      <c r="H340" s="22">
        <f>IFERROR(__xludf.DUMMYFUNCTION("""COMPUTED_VALUE"""),500000.0)</f>
        <v>500000</v>
      </c>
      <c r="I340" s="24">
        <f>IFERROR(__xludf.DUMMYFUNCTION("""COMPUTED_VALUE"""),0.0)</f>
        <v>0</v>
      </c>
    </row>
    <row r="341">
      <c r="A341" s="5" t="str">
        <f>IFERROR(__xludf.DUMMYFUNCTION("""COMPUTED_VALUE"""),"32312")</f>
        <v>32312</v>
      </c>
      <c r="B341" s="64">
        <f>IFERROR(__xludf.DUMMYFUNCTION("""COMPUTED_VALUE"""),44598.0)</f>
        <v>44598</v>
      </c>
      <c r="C341" s="5"/>
      <c r="D341" s="5"/>
      <c r="E341" s="5"/>
      <c r="F341" s="22">
        <f>IFERROR(__xludf.DUMMYFUNCTION("""COMPUTED_VALUE"""),500000.0)</f>
        <v>500000</v>
      </c>
      <c r="G341" s="22">
        <f>IFERROR(__xludf.DUMMYFUNCTION("""COMPUTED_VALUE"""),0.0)</f>
        <v>0</v>
      </c>
      <c r="H341" s="22">
        <f>IFERROR(__xludf.DUMMYFUNCTION("""COMPUTED_VALUE"""),500000.0)</f>
        <v>500000</v>
      </c>
      <c r="I341" s="24">
        <f>IFERROR(__xludf.DUMMYFUNCTION("""COMPUTED_VALUE"""),0.0)</f>
        <v>0</v>
      </c>
    </row>
    <row r="342">
      <c r="A342" s="5" t="str">
        <f>IFERROR(__xludf.DUMMYFUNCTION("""COMPUTED_VALUE"""),"32312")</f>
        <v>32312</v>
      </c>
      <c r="B342" s="64">
        <f>IFERROR(__xludf.DUMMYFUNCTION("""COMPUTED_VALUE"""),44599.0)</f>
        <v>44599</v>
      </c>
      <c r="C342" s="5"/>
      <c r="D342" s="5"/>
      <c r="E342" s="5"/>
      <c r="F342" s="22">
        <f>IFERROR(__xludf.DUMMYFUNCTION("""COMPUTED_VALUE"""),500000.0)</f>
        <v>500000</v>
      </c>
      <c r="G342" s="22">
        <f>IFERROR(__xludf.DUMMYFUNCTION("""COMPUTED_VALUE"""),0.0)</f>
        <v>0</v>
      </c>
      <c r="H342" s="22">
        <f>IFERROR(__xludf.DUMMYFUNCTION("""COMPUTED_VALUE"""),500000.0)</f>
        <v>500000</v>
      </c>
      <c r="I342" s="24">
        <f>IFERROR(__xludf.DUMMYFUNCTION("""COMPUTED_VALUE"""),0.0)</f>
        <v>0</v>
      </c>
    </row>
    <row r="343">
      <c r="A343" s="5" t="str">
        <f>IFERROR(__xludf.DUMMYFUNCTION("""COMPUTED_VALUE"""),"32312")</f>
        <v>32312</v>
      </c>
      <c r="B343" s="64">
        <f>IFERROR(__xludf.DUMMYFUNCTION("""COMPUTED_VALUE"""),44600.0)</f>
        <v>44600</v>
      </c>
      <c r="C343" s="5"/>
      <c r="D343" s="5"/>
      <c r="E343" s="5"/>
      <c r="F343" s="22">
        <f>IFERROR(__xludf.DUMMYFUNCTION("""COMPUTED_VALUE"""),500000.0)</f>
        <v>500000</v>
      </c>
      <c r="G343" s="22">
        <f>IFERROR(__xludf.DUMMYFUNCTION("""COMPUTED_VALUE"""),0.0)</f>
        <v>0</v>
      </c>
      <c r="H343" s="22">
        <f>IFERROR(__xludf.DUMMYFUNCTION("""COMPUTED_VALUE"""),500000.0)</f>
        <v>500000</v>
      </c>
      <c r="I343" s="24">
        <f>IFERROR(__xludf.DUMMYFUNCTION("""COMPUTED_VALUE"""),0.0)</f>
        <v>0</v>
      </c>
    </row>
    <row r="344">
      <c r="A344" s="5" t="str">
        <f>IFERROR(__xludf.DUMMYFUNCTION("""COMPUTED_VALUE"""),"32312")</f>
        <v>32312</v>
      </c>
      <c r="B344" s="64">
        <f>IFERROR(__xludf.DUMMYFUNCTION("""COMPUTED_VALUE"""),44601.0)</f>
        <v>44601</v>
      </c>
      <c r="C344" s="5"/>
      <c r="D344" s="5"/>
      <c r="E344" s="5"/>
      <c r="F344" s="22">
        <f>IFERROR(__xludf.DUMMYFUNCTION("""COMPUTED_VALUE"""),500000.0)</f>
        <v>500000</v>
      </c>
      <c r="G344" s="22">
        <f>IFERROR(__xludf.DUMMYFUNCTION("""COMPUTED_VALUE"""),0.0)</f>
        <v>0</v>
      </c>
      <c r="H344" s="22">
        <f>IFERROR(__xludf.DUMMYFUNCTION("""COMPUTED_VALUE"""),500000.0)</f>
        <v>500000</v>
      </c>
      <c r="I344" s="24">
        <f>IFERROR(__xludf.DUMMYFUNCTION("""COMPUTED_VALUE"""),0.0)</f>
        <v>0</v>
      </c>
    </row>
    <row r="345">
      <c r="A345" s="5" t="str">
        <f>IFERROR(__xludf.DUMMYFUNCTION("""COMPUTED_VALUE"""),"32312")</f>
        <v>32312</v>
      </c>
      <c r="B345" s="64">
        <f>IFERROR(__xludf.DUMMYFUNCTION("""COMPUTED_VALUE"""),44602.0)</f>
        <v>44602</v>
      </c>
      <c r="C345" s="5"/>
      <c r="D345" s="5"/>
      <c r="E345" s="5"/>
      <c r="F345" s="22">
        <f>IFERROR(__xludf.DUMMYFUNCTION("""COMPUTED_VALUE"""),500000.0)</f>
        <v>500000</v>
      </c>
      <c r="G345" s="22">
        <f>IFERROR(__xludf.DUMMYFUNCTION("""COMPUTED_VALUE"""),0.0)</f>
        <v>0</v>
      </c>
      <c r="H345" s="22">
        <f>IFERROR(__xludf.DUMMYFUNCTION("""COMPUTED_VALUE"""),500000.0)</f>
        <v>500000</v>
      </c>
      <c r="I345" s="24">
        <f>IFERROR(__xludf.DUMMYFUNCTION("""COMPUTED_VALUE"""),0.0)</f>
        <v>0</v>
      </c>
    </row>
    <row r="346">
      <c r="A346" s="5" t="str">
        <f>IFERROR(__xludf.DUMMYFUNCTION("""COMPUTED_VALUE"""),"32312")</f>
        <v>32312</v>
      </c>
      <c r="B346" s="64">
        <f>IFERROR(__xludf.DUMMYFUNCTION("""COMPUTED_VALUE"""),44603.0)</f>
        <v>44603</v>
      </c>
      <c r="C346" s="5"/>
      <c r="D346" s="5"/>
      <c r="E346" s="5"/>
      <c r="F346" s="22">
        <f>IFERROR(__xludf.DUMMYFUNCTION("""COMPUTED_VALUE"""),500000.0)</f>
        <v>500000</v>
      </c>
      <c r="G346" s="22">
        <f>IFERROR(__xludf.DUMMYFUNCTION("""COMPUTED_VALUE"""),0.0)</f>
        <v>0</v>
      </c>
      <c r="H346" s="22">
        <f>IFERROR(__xludf.DUMMYFUNCTION("""COMPUTED_VALUE"""),500000.0)</f>
        <v>500000</v>
      </c>
      <c r="I346" s="24">
        <f>IFERROR(__xludf.DUMMYFUNCTION("""COMPUTED_VALUE"""),0.0)</f>
        <v>0</v>
      </c>
    </row>
    <row r="347">
      <c r="A347" s="5" t="str">
        <f>IFERROR(__xludf.DUMMYFUNCTION("""COMPUTED_VALUE"""),"32312")</f>
        <v>32312</v>
      </c>
      <c r="B347" s="64">
        <f>IFERROR(__xludf.DUMMYFUNCTION("""COMPUTED_VALUE"""),44604.0)</f>
        <v>44604</v>
      </c>
      <c r="C347" s="5"/>
      <c r="D347" s="5"/>
      <c r="E347" s="5"/>
      <c r="F347" s="22">
        <f>IFERROR(__xludf.DUMMYFUNCTION("""COMPUTED_VALUE"""),500000.0)</f>
        <v>500000</v>
      </c>
      <c r="G347" s="22">
        <f>IFERROR(__xludf.DUMMYFUNCTION("""COMPUTED_VALUE"""),0.0)</f>
        <v>0</v>
      </c>
      <c r="H347" s="22">
        <f>IFERROR(__xludf.DUMMYFUNCTION("""COMPUTED_VALUE"""),500000.0)</f>
        <v>500000</v>
      </c>
      <c r="I347" s="24">
        <f>IFERROR(__xludf.DUMMYFUNCTION("""COMPUTED_VALUE"""),0.0)</f>
        <v>0</v>
      </c>
    </row>
    <row r="348">
      <c r="A348" s="5" t="str">
        <f>IFERROR(__xludf.DUMMYFUNCTION("""COMPUTED_VALUE"""),"32312")</f>
        <v>32312</v>
      </c>
      <c r="B348" s="64">
        <f>IFERROR(__xludf.DUMMYFUNCTION("""COMPUTED_VALUE"""),44605.0)</f>
        <v>44605</v>
      </c>
      <c r="C348" s="5"/>
      <c r="D348" s="5"/>
      <c r="E348" s="5"/>
      <c r="F348" s="22">
        <f>IFERROR(__xludf.DUMMYFUNCTION("""COMPUTED_VALUE"""),500000.0)</f>
        <v>500000</v>
      </c>
      <c r="G348" s="22">
        <f>IFERROR(__xludf.DUMMYFUNCTION("""COMPUTED_VALUE"""),0.0)</f>
        <v>0</v>
      </c>
      <c r="H348" s="22">
        <f>IFERROR(__xludf.DUMMYFUNCTION("""COMPUTED_VALUE"""),500000.0)</f>
        <v>500000</v>
      </c>
      <c r="I348" s="24">
        <f>IFERROR(__xludf.DUMMYFUNCTION("""COMPUTED_VALUE"""),0.0)</f>
        <v>0</v>
      </c>
    </row>
    <row r="349">
      <c r="A349" s="5" t="str">
        <f>IFERROR(__xludf.DUMMYFUNCTION("""COMPUTED_VALUE"""),"32312")</f>
        <v>32312</v>
      </c>
      <c r="B349" s="64">
        <f>IFERROR(__xludf.DUMMYFUNCTION("""COMPUTED_VALUE"""),44606.0)</f>
        <v>44606</v>
      </c>
      <c r="C349" s="5"/>
      <c r="D349" s="5"/>
      <c r="E349" s="5"/>
      <c r="F349" s="22">
        <f>IFERROR(__xludf.DUMMYFUNCTION("""COMPUTED_VALUE"""),500000.0)</f>
        <v>500000</v>
      </c>
      <c r="G349" s="22">
        <f>IFERROR(__xludf.DUMMYFUNCTION("""COMPUTED_VALUE"""),0.0)</f>
        <v>0</v>
      </c>
      <c r="H349" s="22">
        <f>IFERROR(__xludf.DUMMYFUNCTION("""COMPUTED_VALUE"""),500000.0)</f>
        <v>500000</v>
      </c>
      <c r="I349" s="24">
        <f>IFERROR(__xludf.DUMMYFUNCTION("""COMPUTED_VALUE"""),0.0)</f>
        <v>0</v>
      </c>
    </row>
    <row r="350">
      <c r="A350" s="5" t="str">
        <f>IFERROR(__xludf.DUMMYFUNCTION("""COMPUTED_VALUE"""),"32312")</f>
        <v>32312</v>
      </c>
      <c r="B350" s="64">
        <f>IFERROR(__xludf.DUMMYFUNCTION("""COMPUTED_VALUE"""),44607.0)</f>
        <v>44607</v>
      </c>
      <c r="C350" s="5"/>
      <c r="D350" s="5"/>
      <c r="E350" s="5"/>
      <c r="F350" s="22">
        <f>IFERROR(__xludf.DUMMYFUNCTION("""COMPUTED_VALUE"""),500000.0)</f>
        <v>500000</v>
      </c>
      <c r="G350" s="22">
        <f>IFERROR(__xludf.DUMMYFUNCTION("""COMPUTED_VALUE"""),0.0)</f>
        <v>0</v>
      </c>
      <c r="H350" s="22">
        <f>IFERROR(__xludf.DUMMYFUNCTION("""COMPUTED_VALUE"""),500000.0)</f>
        <v>500000</v>
      </c>
      <c r="I350" s="24">
        <f>IFERROR(__xludf.DUMMYFUNCTION("""COMPUTED_VALUE"""),0.0)</f>
        <v>0</v>
      </c>
    </row>
    <row r="351">
      <c r="A351" s="5" t="str">
        <f>IFERROR(__xludf.DUMMYFUNCTION("""COMPUTED_VALUE"""),"32312")</f>
        <v>32312</v>
      </c>
      <c r="B351" s="64">
        <f>IFERROR(__xludf.DUMMYFUNCTION("""COMPUTED_VALUE"""),44608.0)</f>
        <v>44608</v>
      </c>
      <c r="C351" s="5"/>
      <c r="D351" s="5"/>
      <c r="E351" s="5"/>
      <c r="F351" s="22">
        <f>IFERROR(__xludf.DUMMYFUNCTION("""COMPUTED_VALUE"""),500000.0)</f>
        <v>500000</v>
      </c>
      <c r="G351" s="22">
        <f>IFERROR(__xludf.DUMMYFUNCTION("""COMPUTED_VALUE"""),0.0)</f>
        <v>0</v>
      </c>
      <c r="H351" s="22">
        <f>IFERROR(__xludf.DUMMYFUNCTION("""COMPUTED_VALUE"""),500000.0)</f>
        <v>500000</v>
      </c>
      <c r="I351" s="24">
        <f>IFERROR(__xludf.DUMMYFUNCTION("""COMPUTED_VALUE"""),0.0)</f>
        <v>0</v>
      </c>
    </row>
    <row r="352">
      <c r="A352" s="5" t="str">
        <f>IFERROR(__xludf.DUMMYFUNCTION("""COMPUTED_VALUE"""),"32312")</f>
        <v>32312</v>
      </c>
      <c r="B352" s="64">
        <f>IFERROR(__xludf.DUMMYFUNCTION("""COMPUTED_VALUE"""),44609.0)</f>
        <v>44609</v>
      </c>
      <c r="C352" s="5"/>
      <c r="D352" s="5"/>
      <c r="E352" s="5"/>
      <c r="F352" s="22">
        <f>IFERROR(__xludf.DUMMYFUNCTION("""COMPUTED_VALUE"""),376974.4202555)</f>
        <v>376974.4203</v>
      </c>
      <c r="G352" s="22">
        <f>IFERROR(__xludf.DUMMYFUNCTION("""COMPUTED_VALUE"""),0.0)</f>
        <v>0</v>
      </c>
      <c r="H352" s="22">
        <f>IFERROR(__xludf.DUMMYFUNCTION("""COMPUTED_VALUE"""),500000.0)</f>
        <v>500000</v>
      </c>
      <c r="I352" s="24">
        <f>IFERROR(__xludf.DUMMYFUNCTION("""COMPUTED_VALUE"""),0.0)</f>
        <v>0</v>
      </c>
    </row>
    <row r="353">
      <c r="A353" s="5" t="str">
        <f>IFERROR(__xludf.DUMMYFUNCTION("""COMPUTED_VALUE"""),"32312")</f>
        <v>32312</v>
      </c>
      <c r="B353" s="64">
        <f>IFERROR(__xludf.DUMMYFUNCTION("""COMPUTED_VALUE"""),44610.0)</f>
        <v>44610</v>
      </c>
      <c r="C353" s="5"/>
      <c r="D353" s="5"/>
      <c r="E353" s="5"/>
      <c r="F353" s="22">
        <f>IFERROR(__xludf.DUMMYFUNCTION("""COMPUTED_VALUE"""),376974.4202555)</f>
        <v>376974.4203</v>
      </c>
      <c r="G353" s="22">
        <f>IFERROR(__xludf.DUMMYFUNCTION("""COMPUTED_VALUE"""),0.0)</f>
        <v>0</v>
      </c>
      <c r="H353" s="22">
        <f>IFERROR(__xludf.DUMMYFUNCTION("""COMPUTED_VALUE"""),497280.7605641)</f>
        <v>497280.7606</v>
      </c>
      <c r="I353" s="24">
        <f>IFERROR(__xludf.DUMMYFUNCTION("""COMPUTED_VALUE"""),-0.005438478871800045)</f>
        <v>-0.005438478872</v>
      </c>
    </row>
    <row r="354">
      <c r="A354" s="5" t="str">
        <f>IFERROR(__xludf.DUMMYFUNCTION("""COMPUTED_VALUE"""),"32312")</f>
        <v>32312</v>
      </c>
      <c r="B354" s="64">
        <f>IFERROR(__xludf.DUMMYFUNCTION("""COMPUTED_VALUE"""),44611.0)</f>
        <v>44611</v>
      </c>
      <c r="C354" s="5"/>
      <c r="D354" s="5"/>
      <c r="E354" s="5"/>
      <c r="F354" s="22">
        <f>IFERROR(__xludf.DUMMYFUNCTION("""COMPUTED_VALUE"""),376974.4202555)</f>
        <v>376974.4203</v>
      </c>
      <c r="G354" s="22">
        <f>IFERROR(__xludf.DUMMYFUNCTION("""COMPUTED_VALUE"""),0.0)</f>
        <v>0</v>
      </c>
      <c r="H354" s="22">
        <f>IFERROR(__xludf.DUMMYFUNCTION("""COMPUTED_VALUE"""),497280.7605641)</f>
        <v>497280.7606</v>
      </c>
      <c r="I354" s="24">
        <f>IFERROR(__xludf.DUMMYFUNCTION("""COMPUTED_VALUE"""),-0.005438478871800045)</f>
        <v>-0.005438478872</v>
      </c>
    </row>
    <row r="355">
      <c r="A355" s="5" t="str">
        <f>IFERROR(__xludf.DUMMYFUNCTION("""COMPUTED_VALUE"""),"32312")</f>
        <v>32312</v>
      </c>
      <c r="B355" s="64">
        <f>IFERROR(__xludf.DUMMYFUNCTION("""COMPUTED_VALUE"""),44612.0)</f>
        <v>44612</v>
      </c>
      <c r="C355" s="5"/>
      <c r="D355" s="5"/>
      <c r="E355" s="5"/>
      <c r="F355" s="22">
        <f>IFERROR(__xludf.DUMMYFUNCTION("""COMPUTED_VALUE"""),376974.4202555)</f>
        <v>376974.4203</v>
      </c>
      <c r="G355" s="22">
        <f>IFERROR(__xludf.DUMMYFUNCTION("""COMPUTED_VALUE"""),0.0)</f>
        <v>0</v>
      </c>
      <c r="H355" s="22">
        <f>IFERROR(__xludf.DUMMYFUNCTION("""COMPUTED_VALUE"""),497280.7605641)</f>
        <v>497280.7606</v>
      </c>
      <c r="I355" s="24">
        <f>IFERROR(__xludf.DUMMYFUNCTION("""COMPUTED_VALUE"""),-0.005438478871800045)</f>
        <v>-0.005438478872</v>
      </c>
    </row>
    <row r="356">
      <c r="A356" s="5" t="str">
        <f>IFERROR(__xludf.DUMMYFUNCTION("""COMPUTED_VALUE"""),"32312")</f>
        <v>32312</v>
      </c>
      <c r="B356" s="64">
        <f>IFERROR(__xludf.DUMMYFUNCTION("""COMPUTED_VALUE"""),44613.0)</f>
        <v>44613</v>
      </c>
      <c r="C356" s="5"/>
      <c r="D356" s="5"/>
      <c r="E356" s="5"/>
      <c r="F356" s="22">
        <f>IFERROR(__xludf.DUMMYFUNCTION("""COMPUTED_VALUE"""),376974.4202555)</f>
        <v>376974.4203</v>
      </c>
      <c r="G356" s="22">
        <f>IFERROR(__xludf.DUMMYFUNCTION("""COMPUTED_VALUE"""),0.0)</f>
        <v>0</v>
      </c>
      <c r="H356" s="22">
        <f>IFERROR(__xludf.DUMMYFUNCTION("""COMPUTED_VALUE"""),497280.7605641)</f>
        <v>497280.7606</v>
      </c>
      <c r="I356" s="24">
        <f>IFERROR(__xludf.DUMMYFUNCTION("""COMPUTED_VALUE"""),-0.005438478871800045)</f>
        <v>-0.005438478872</v>
      </c>
    </row>
    <row r="357">
      <c r="A357" s="5" t="str">
        <f>IFERROR(__xludf.DUMMYFUNCTION("""COMPUTED_VALUE"""),"32312")</f>
        <v>32312</v>
      </c>
      <c r="B357" s="64">
        <f>IFERROR(__xludf.DUMMYFUNCTION("""COMPUTED_VALUE"""),44614.0)</f>
        <v>44614</v>
      </c>
      <c r="C357" s="5"/>
      <c r="D357" s="5"/>
      <c r="E357" s="5"/>
      <c r="F357" s="22">
        <f>IFERROR(__xludf.DUMMYFUNCTION("""COMPUTED_VALUE"""),376974.4202555)</f>
        <v>376974.4203</v>
      </c>
      <c r="G357" s="22">
        <f>IFERROR(__xludf.DUMMYFUNCTION("""COMPUTED_VALUE"""),0.0)</f>
        <v>0</v>
      </c>
      <c r="H357" s="22">
        <f>IFERROR(__xludf.DUMMYFUNCTION("""COMPUTED_VALUE"""),491812.7131526)</f>
        <v>491812.7132</v>
      </c>
      <c r="I357" s="24">
        <f>IFERROR(__xludf.DUMMYFUNCTION("""COMPUTED_VALUE"""),-0.0163745736948)</f>
        <v>-0.01637457369</v>
      </c>
    </row>
    <row r="358">
      <c r="A358" s="5" t="str">
        <f>IFERROR(__xludf.DUMMYFUNCTION("""COMPUTED_VALUE"""),"32312")</f>
        <v>32312</v>
      </c>
      <c r="B358" s="64">
        <f>IFERROR(__xludf.DUMMYFUNCTION("""COMPUTED_VALUE"""),44615.0)</f>
        <v>44615</v>
      </c>
      <c r="C358" s="5"/>
      <c r="D358" s="5"/>
      <c r="E358" s="5"/>
      <c r="F358" s="22">
        <f>IFERROR(__xludf.DUMMYFUNCTION("""COMPUTED_VALUE"""),376974.4202555)</f>
        <v>376974.4203</v>
      </c>
      <c r="G358" s="22">
        <f>IFERROR(__xludf.DUMMYFUNCTION("""COMPUTED_VALUE"""),0.0)</f>
        <v>0</v>
      </c>
      <c r="H358" s="22">
        <f>IFERROR(__xludf.DUMMYFUNCTION("""COMPUTED_VALUE"""),481848.8491913)</f>
        <v>481848.8492</v>
      </c>
      <c r="I358" s="24">
        <f>IFERROR(__xludf.DUMMYFUNCTION("""COMPUTED_VALUE"""),-0.0363023016174)</f>
        <v>-0.03630230162</v>
      </c>
    </row>
    <row r="359">
      <c r="A359" s="5" t="str">
        <f>IFERROR(__xludf.DUMMYFUNCTION("""COMPUTED_VALUE"""),"32312")</f>
        <v>32312</v>
      </c>
      <c r="B359" s="64">
        <f>IFERROR(__xludf.DUMMYFUNCTION("""COMPUTED_VALUE"""),44616.0)</f>
        <v>44616</v>
      </c>
      <c r="C359" s="5"/>
      <c r="D359" s="5"/>
      <c r="E359" s="5"/>
      <c r="F359" s="22">
        <f>IFERROR(__xludf.DUMMYFUNCTION("""COMPUTED_VALUE"""),376974.4202555)</f>
        <v>376974.4203</v>
      </c>
      <c r="G359" s="22">
        <f>IFERROR(__xludf.DUMMYFUNCTION("""COMPUTED_VALUE"""),0.0)</f>
        <v>0</v>
      </c>
      <c r="H359" s="22">
        <f>IFERROR(__xludf.DUMMYFUNCTION("""COMPUTED_VALUE"""),484990.98639529996)</f>
        <v>484990.9864</v>
      </c>
      <c r="I359" s="24">
        <f>IFERROR(__xludf.DUMMYFUNCTION("""COMPUTED_VALUE"""),-0.030018027209400056)</f>
        <v>-0.03001802721</v>
      </c>
    </row>
    <row r="360">
      <c r="A360" s="5" t="str">
        <f>IFERROR(__xludf.DUMMYFUNCTION("""COMPUTED_VALUE"""),"32312")</f>
        <v>32312</v>
      </c>
      <c r="B360" s="64">
        <f>IFERROR(__xludf.DUMMYFUNCTION("""COMPUTED_VALUE"""),44617.0)</f>
        <v>44617</v>
      </c>
      <c r="C360" s="5"/>
      <c r="D360" s="5"/>
      <c r="E360" s="5"/>
      <c r="F360" s="22">
        <f>IFERROR(__xludf.DUMMYFUNCTION("""COMPUTED_VALUE"""),376974.4202555)</f>
        <v>376974.4203</v>
      </c>
      <c r="G360" s="22">
        <f>IFERROR(__xludf.DUMMYFUNCTION("""COMPUTED_VALUE"""),0.0)</f>
        <v>0</v>
      </c>
      <c r="H360" s="22">
        <f>IFERROR(__xludf.DUMMYFUNCTION("""COMPUTED_VALUE"""),488690.43435440003)</f>
        <v>488690.4344</v>
      </c>
      <c r="I360" s="24">
        <f>IFERROR(__xludf.DUMMYFUNCTION("""COMPUTED_VALUE"""),-0.022619131291199968)</f>
        <v>-0.02261913129</v>
      </c>
    </row>
    <row r="361">
      <c r="A361" s="5" t="str">
        <f>IFERROR(__xludf.DUMMYFUNCTION("""COMPUTED_VALUE"""),"32312")</f>
        <v>32312</v>
      </c>
      <c r="B361" s="64">
        <f>IFERROR(__xludf.DUMMYFUNCTION("""COMPUTED_VALUE"""),44618.0)</f>
        <v>44618</v>
      </c>
      <c r="C361" s="5"/>
      <c r="D361" s="5"/>
      <c r="E361" s="5"/>
      <c r="F361" s="22">
        <f>IFERROR(__xludf.DUMMYFUNCTION("""COMPUTED_VALUE"""),376974.4202555)</f>
        <v>376974.4203</v>
      </c>
      <c r="G361" s="22">
        <f>IFERROR(__xludf.DUMMYFUNCTION("""COMPUTED_VALUE"""),0.0)</f>
        <v>0</v>
      </c>
      <c r="H361" s="22">
        <f>IFERROR(__xludf.DUMMYFUNCTION("""COMPUTED_VALUE"""),488690.43435440003)</f>
        <v>488690.4344</v>
      </c>
      <c r="I361" s="24">
        <f>IFERROR(__xludf.DUMMYFUNCTION("""COMPUTED_VALUE"""),-0.022619131291199968)</f>
        <v>-0.02261913129</v>
      </c>
    </row>
    <row r="362">
      <c r="A362" s="5" t="str">
        <f>IFERROR(__xludf.DUMMYFUNCTION("""COMPUTED_VALUE"""),"32312")</f>
        <v>32312</v>
      </c>
      <c r="B362" s="64">
        <f>IFERROR(__xludf.DUMMYFUNCTION("""COMPUTED_VALUE"""),44619.0)</f>
        <v>44619</v>
      </c>
      <c r="C362" s="5"/>
      <c r="D362" s="5"/>
      <c r="E362" s="5"/>
      <c r="F362" s="22">
        <f>IFERROR(__xludf.DUMMYFUNCTION("""COMPUTED_VALUE"""),376974.4202555)</f>
        <v>376974.4203</v>
      </c>
      <c r="G362" s="22">
        <f>IFERROR(__xludf.DUMMYFUNCTION("""COMPUTED_VALUE"""),0.0)</f>
        <v>0</v>
      </c>
      <c r="H362" s="22">
        <f>IFERROR(__xludf.DUMMYFUNCTION("""COMPUTED_VALUE"""),488690.43435440003)</f>
        <v>488690.4344</v>
      </c>
      <c r="I362" s="24">
        <f>IFERROR(__xludf.DUMMYFUNCTION("""COMPUTED_VALUE"""),-0.022619131291199968)</f>
        <v>-0.02261913129</v>
      </c>
    </row>
    <row r="363">
      <c r="A363" s="5" t="str">
        <f>IFERROR(__xludf.DUMMYFUNCTION("""COMPUTED_VALUE"""),"32312")</f>
        <v>32312</v>
      </c>
      <c r="B363" s="64">
        <f>IFERROR(__xludf.DUMMYFUNCTION("""COMPUTED_VALUE"""),44620.0)</f>
        <v>44620</v>
      </c>
      <c r="C363" s="5"/>
      <c r="D363" s="5"/>
      <c r="E363" s="5"/>
      <c r="F363" s="22">
        <f>IFERROR(__xludf.DUMMYFUNCTION("""COMPUTED_VALUE"""),376974.4202555)</f>
        <v>376974.4203</v>
      </c>
      <c r="G363" s="22">
        <f>IFERROR(__xludf.DUMMYFUNCTION("""COMPUTED_VALUE"""),0.0)</f>
        <v>0</v>
      </c>
      <c r="H363" s="22">
        <f>IFERROR(__xludf.DUMMYFUNCTION("""COMPUTED_VALUE"""),496145.1734726)</f>
        <v>496145.1735</v>
      </c>
      <c r="I363" s="24">
        <f>IFERROR(__xludf.DUMMYFUNCTION("""COMPUTED_VALUE"""),-0.007709653054799981)</f>
        <v>-0.007709653055</v>
      </c>
    </row>
    <row r="364">
      <c r="A364" s="5" t="str">
        <f>IFERROR(__xludf.DUMMYFUNCTION("""COMPUTED_VALUE"""),"32312")</f>
        <v>32312</v>
      </c>
      <c r="B364" s="64">
        <f>IFERROR(__xludf.DUMMYFUNCTION("""COMPUTED_VALUE"""),44621.0)</f>
        <v>44621</v>
      </c>
      <c r="C364" s="5"/>
      <c r="D364" s="5"/>
      <c r="E364" s="5"/>
      <c r="F364" s="22">
        <f>IFERROR(__xludf.DUMMYFUNCTION("""COMPUTED_VALUE"""),376974.4202555)</f>
        <v>376974.4203</v>
      </c>
      <c r="G364" s="22">
        <f>IFERROR(__xludf.DUMMYFUNCTION("""COMPUTED_VALUE"""),0.0)</f>
        <v>0</v>
      </c>
      <c r="H364" s="22">
        <f>IFERROR(__xludf.DUMMYFUNCTION("""COMPUTED_VALUE"""),500498.5837994)</f>
        <v>500498.5838</v>
      </c>
      <c r="I364" s="24">
        <f>IFERROR(__xludf.DUMMYFUNCTION("""COMPUTED_VALUE"""),9.97167598800086E-4)</f>
        <v>0.0009971675988</v>
      </c>
    </row>
    <row r="365">
      <c r="A365" s="5" t="str">
        <f>IFERROR(__xludf.DUMMYFUNCTION("""COMPUTED_VALUE"""),"32312")</f>
        <v>32312</v>
      </c>
      <c r="B365" s="64">
        <f>IFERROR(__xludf.DUMMYFUNCTION("""COMPUTED_VALUE"""),44622.0)</f>
        <v>44622</v>
      </c>
      <c r="C365" s="5"/>
      <c r="D365" s="5"/>
      <c r="E365" s="5"/>
      <c r="F365" s="22">
        <f>IFERROR(__xludf.DUMMYFUNCTION("""COMPUTED_VALUE"""),376974.4202555)</f>
        <v>376974.4203</v>
      </c>
      <c r="G365" s="22">
        <f>IFERROR(__xludf.DUMMYFUNCTION("""COMPUTED_VALUE"""),0.0)</f>
        <v>0</v>
      </c>
      <c r="H365" s="22">
        <f>IFERROR(__xludf.DUMMYFUNCTION("""COMPUTED_VALUE"""),499393.05294080003)</f>
        <v>499393.0529</v>
      </c>
      <c r="I365" s="24">
        <f>IFERROR(__xludf.DUMMYFUNCTION("""COMPUTED_VALUE"""),-0.0012138941183998941)</f>
        <v>-0.001213894118</v>
      </c>
    </row>
    <row r="366">
      <c r="A366" s="5" t="str">
        <f>IFERROR(__xludf.DUMMYFUNCTION("""COMPUTED_VALUE"""),"32312")</f>
        <v>32312</v>
      </c>
      <c r="B366" s="64">
        <f>IFERROR(__xludf.DUMMYFUNCTION("""COMPUTED_VALUE"""),44623.0)</f>
        <v>44623</v>
      </c>
      <c r="C366" s="5"/>
      <c r="D366" s="5"/>
      <c r="E366" s="5"/>
      <c r="F366" s="22">
        <f>IFERROR(__xludf.DUMMYFUNCTION("""COMPUTED_VALUE"""),376974.4202555)</f>
        <v>376974.4203</v>
      </c>
      <c r="G366" s="22">
        <f>IFERROR(__xludf.DUMMYFUNCTION("""COMPUTED_VALUE"""),0.0)</f>
        <v>0</v>
      </c>
      <c r="H366" s="22">
        <f>IFERROR(__xludf.DUMMYFUNCTION("""COMPUTED_VALUE"""),495030.51516979997)</f>
        <v>495030.5152</v>
      </c>
      <c r="I366" s="24">
        <f>IFERROR(__xludf.DUMMYFUNCTION("""COMPUTED_VALUE"""),-0.009938969660400088)</f>
        <v>-0.00993896966</v>
      </c>
    </row>
    <row r="367">
      <c r="A367" s="5" t="str">
        <f>IFERROR(__xludf.DUMMYFUNCTION("""COMPUTED_VALUE"""),"32312")</f>
        <v>32312</v>
      </c>
      <c r="B367" s="64">
        <f>IFERROR(__xludf.DUMMYFUNCTION("""COMPUTED_VALUE"""),44624.0)</f>
        <v>44624</v>
      </c>
      <c r="C367" s="5"/>
      <c r="D367" s="5"/>
      <c r="E367" s="5"/>
      <c r="F367" s="22">
        <f>IFERROR(__xludf.DUMMYFUNCTION("""COMPUTED_VALUE"""),81242.97094989997)</f>
        <v>81242.97095</v>
      </c>
      <c r="G367" s="22">
        <f>IFERROR(__xludf.DUMMYFUNCTION("""COMPUTED_VALUE"""),0.0)</f>
        <v>0</v>
      </c>
      <c r="H367" s="22">
        <f>IFERROR(__xludf.DUMMYFUNCTION("""COMPUTED_VALUE"""),495379.5237128)</f>
        <v>495379.5237</v>
      </c>
      <c r="I367" s="24">
        <f>IFERROR(__xludf.DUMMYFUNCTION("""COMPUTED_VALUE"""),-0.009240952574400052)</f>
        <v>-0.009240952574</v>
      </c>
    </row>
    <row r="368">
      <c r="A368" s="5" t="str">
        <f>IFERROR(__xludf.DUMMYFUNCTION("""COMPUTED_VALUE"""),"32312")</f>
        <v>32312</v>
      </c>
      <c r="B368" s="64">
        <f>IFERROR(__xludf.DUMMYFUNCTION("""COMPUTED_VALUE"""),44625.0)</f>
        <v>44625</v>
      </c>
      <c r="C368" s="5"/>
      <c r="D368" s="5"/>
      <c r="E368" s="5"/>
      <c r="F368" s="22">
        <f>IFERROR(__xludf.DUMMYFUNCTION("""COMPUTED_VALUE"""),81242.97094989997)</f>
        <v>81242.97095</v>
      </c>
      <c r="G368" s="22">
        <f>IFERROR(__xludf.DUMMYFUNCTION("""COMPUTED_VALUE"""),0.0)</f>
        <v>0</v>
      </c>
      <c r="H368" s="22">
        <f>IFERROR(__xludf.DUMMYFUNCTION("""COMPUTED_VALUE"""),495379.5237128)</f>
        <v>495379.5237</v>
      </c>
      <c r="I368" s="24">
        <f>IFERROR(__xludf.DUMMYFUNCTION("""COMPUTED_VALUE"""),-0.009240952574400052)</f>
        <v>-0.009240952574</v>
      </c>
    </row>
    <row r="369">
      <c r="A369" s="5" t="str">
        <f>IFERROR(__xludf.DUMMYFUNCTION("""COMPUTED_VALUE"""),"32312")</f>
        <v>32312</v>
      </c>
      <c r="B369" s="64">
        <f>IFERROR(__xludf.DUMMYFUNCTION("""COMPUTED_VALUE"""),44626.0)</f>
        <v>44626</v>
      </c>
      <c r="C369" s="5"/>
      <c r="D369" s="5"/>
      <c r="E369" s="5"/>
      <c r="F369" s="22">
        <f>IFERROR(__xludf.DUMMYFUNCTION("""COMPUTED_VALUE"""),81242.97094989997)</f>
        <v>81242.97095</v>
      </c>
      <c r="G369" s="22">
        <f>IFERROR(__xludf.DUMMYFUNCTION("""COMPUTED_VALUE"""),0.0)</f>
        <v>0</v>
      </c>
      <c r="H369" s="22">
        <f>IFERROR(__xludf.DUMMYFUNCTION("""COMPUTED_VALUE"""),495379.5237128)</f>
        <v>495379.5237</v>
      </c>
      <c r="I369" s="24">
        <f>IFERROR(__xludf.DUMMYFUNCTION("""COMPUTED_VALUE"""),-0.009240952574400052)</f>
        <v>-0.009240952574</v>
      </c>
    </row>
    <row r="370">
      <c r="A370" s="5" t="str">
        <f>IFERROR(__xludf.DUMMYFUNCTION("""COMPUTED_VALUE"""),"32312")</f>
        <v>32312</v>
      </c>
      <c r="B370" s="64">
        <f>IFERROR(__xludf.DUMMYFUNCTION("""COMPUTED_VALUE"""),44627.0)</f>
        <v>44627</v>
      </c>
      <c r="C370" s="5"/>
      <c r="D370" s="5"/>
      <c r="E370" s="5"/>
      <c r="F370" s="22">
        <f>IFERROR(__xludf.DUMMYFUNCTION("""COMPUTED_VALUE"""),81242.97094989997)</f>
        <v>81242.97095</v>
      </c>
      <c r="G370" s="22">
        <f>IFERROR(__xludf.DUMMYFUNCTION("""COMPUTED_VALUE"""),0.0)</f>
        <v>0</v>
      </c>
      <c r="H370" s="22">
        <f>IFERROR(__xludf.DUMMYFUNCTION("""COMPUTED_VALUE"""),485325.58490270004)</f>
        <v>485325.5849</v>
      </c>
      <c r="I370" s="24">
        <f>IFERROR(__xludf.DUMMYFUNCTION("""COMPUTED_VALUE"""),-0.029348830194599884)</f>
        <v>-0.02934883019</v>
      </c>
    </row>
    <row r="371">
      <c r="A371" s="5" t="str">
        <f>IFERROR(__xludf.DUMMYFUNCTION("""COMPUTED_VALUE"""),"32312")</f>
        <v>32312</v>
      </c>
      <c r="B371" s="64">
        <f>IFERROR(__xludf.DUMMYFUNCTION("""COMPUTED_VALUE"""),44628.0)</f>
        <v>44628</v>
      </c>
      <c r="C371" s="5"/>
      <c r="D371" s="5"/>
      <c r="E371" s="5"/>
      <c r="F371" s="22">
        <f>IFERROR(__xludf.DUMMYFUNCTION("""COMPUTED_VALUE"""),81242.97094989997)</f>
        <v>81242.97095</v>
      </c>
      <c r="G371" s="22">
        <f>IFERROR(__xludf.DUMMYFUNCTION("""COMPUTED_VALUE"""),0.0)</f>
        <v>0</v>
      </c>
      <c r="H371" s="22">
        <f>IFERROR(__xludf.DUMMYFUNCTION("""COMPUTED_VALUE"""),490953.00202589994)</f>
        <v>490953.002</v>
      </c>
      <c r="I371" s="24">
        <f>IFERROR(__xludf.DUMMYFUNCTION("""COMPUTED_VALUE"""),-0.01809399594820016)</f>
        <v>-0.01809399595</v>
      </c>
    </row>
    <row r="372">
      <c r="A372" s="5" t="str">
        <f>IFERROR(__xludf.DUMMYFUNCTION("""COMPUTED_VALUE"""),"32312")</f>
        <v>32312</v>
      </c>
      <c r="B372" s="64">
        <f>IFERROR(__xludf.DUMMYFUNCTION("""COMPUTED_VALUE"""),44629.0)</f>
        <v>44629</v>
      </c>
      <c r="C372" s="5"/>
      <c r="D372" s="5"/>
      <c r="E372" s="5"/>
      <c r="F372" s="22">
        <f>IFERROR(__xludf.DUMMYFUNCTION("""COMPUTED_VALUE"""),81242.97094989997)</f>
        <v>81242.97095</v>
      </c>
      <c r="G372" s="22">
        <f>IFERROR(__xludf.DUMMYFUNCTION("""COMPUTED_VALUE"""),0.0)</f>
        <v>0</v>
      </c>
      <c r="H372" s="22">
        <f>IFERROR(__xludf.DUMMYFUNCTION("""COMPUTED_VALUE"""),490968.15795360005)</f>
        <v>490968.158</v>
      </c>
      <c r="I372" s="24">
        <f>IFERROR(__xludf.DUMMYFUNCTION("""COMPUTED_VALUE"""),-0.018063684092799903)</f>
        <v>-0.01806368409</v>
      </c>
    </row>
    <row r="373">
      <c r="A373" s="5" t="str">
        <f>IFERROR(__xludf.DUMMYFUNCTION("""COMPUTED_VALUE"""),"32312")</f>
        <v>32312</v>
      </c>
      <c r="B373" s="64">
        <f>IFERROR(__xludf.DUMMYFUNCTION("""COMPUTED_VALUE"""),44630.0)</f>
        <v>44630</v>
      </c>
      <c r="C373" s="5"/>
      <c r="D373" s="5"/>
      <c r="E373" s="5"/>
      <c r="F373" s="22">
        <f>IFERROR(__xludf.DUMMYFUNCTION("""COMPUTED_VALUE"""),81242.97094989997)</f>
        <v>81242.97095</v>
      </c>
      <c r="G373" s="22">
        <f>IFERROR(__xludf.DUMMYFUNCTION("""COMPUTED_VALUE"""),0.0)</f>
        <v>0</v>
      </c>
      <c r="H373" s="22">
        <f>IFERROR(__xludf.DUMMYFUNCTION("""COMPUTED_VALUE"""),491046.31389760005)</f>
        <v>491046.3139</v>
      </c>
      <c r="I373" s="24">
        <f>IFERROR(__xludf.DUMMYFUNCTION("""COMPUTED_VALUE"""),-0.017907372204799876)</f>
        <v>-0.0179073722</v>
      </c>
    </row>
    <row r="374">
      <c r="A374" s="5" t="str">
        <f>IFERROR(__xludf.DUMMYFUNCTION("""COMPUTED_VALUE"""),"32312")</f>
        <v>32312</v>
      </c>
      <c r="B374" s="64">
        <f>IFERROR(__xludf.DUMMYFUNCTION("""COMPUTED_VALUE"""),44631.0)</f>
        <v>44631</v>
      </c>
      <c r="C374" s="5"/>
      <c r="D374" s="5"/>
      <c r="E374" s="5"/>
      <c r="F374" s="22">
        <f>IFERROR(__xludf.DUMMYFUNCTION("""COMPUTED_VALUE"""),81242.97094989997)</f>
        <v>81242.97095</v>
      </c>
      <c r="G374" s="22">
        <f>IFERROR(__xludf.DUMMYFUNCTION("""COMPUTED_VALUE"""),0.0)</f>
        <v>0</v>
      </c>
      <c r="H374" s="22">
        <f>IFERROR(__xludf.DUMMYFUNCTION("""COMPUTED_VALUE"""),473251.4337794)</f>
        <v>473251.4338</v>
      </c>
      <c r="I374" s="24">
        <f>IFERROR(__xludf.DUMMYFUNCTION("""COMPUTED_VALUE"""),-0.05349713244119991)</f>
        <v>-0.05349713244</v>
      </c>
    </row>
    <row r="375">
      <c r="A375" s="5" t="str">
        <f>IFERROR(__xludf.DUMMYFUNCTION("""COMPUTED_VALUE"""),"32312")</f>
        <v>32312</v>
      </c>
      <c r="B375" s="64">
        <f>IFERROR(__xludf.DUMMYFUNCTION("""COMPUTED_VALUE"""),44632.0)</f>
        <v>44632</v>
      </c>
      <c r="C375" s="5"/>
      <c r="D375" s="5"/>
      <c r="E375" s="5"/>
      <c r="F375" s="22">
        <f>IFERROR(__xludf.DUMMYFUNCTION("""COMPUTED_VALUE"""),81242.97094989997)</f>
        <v>81242.97095</v>
      </c>
      <c r="G375" s="22">
        <f>IFERROR(__xludf.DUMMYFUNCTION("""COMPUTED_VALUE"""),0.0)</f>
        <v>0</v>
      </c>
      <c r="H375" s="22">
        <f>IFERROR(__xludf.DUMMYFUNCTION("""COMPUTED_VALUE"""),473251.4337794)</f>
        <v>473251.4338</v>
      </c>
      <c r="I375" s="24">
        <f>IFERROR(__xludf.DUMMYFUNCTION("""COMPUTED_VALUE"""),-0.05349713244119991)</f>
        <v>-0.05349713244</v>
      </c>
    </row>
    <row r="376">
      <c r="A376" s="5" t="str">
        <f>IFERROR(__xludf.DUMMYFUNCTION("""COMPUTED_VALUE"""),"32312")</f>
        <v>32312</v>
      </c>
      <c r="B376" s="64">
        <f>IFERROR(__xludf.DUMMYFUNCTION("""COMPUTED_VALUE"""),44633.0)</f>
        <v>44633</v>
      </c>
      <c r="C376" s="5"/>
      <c r="D376" s="5"/>
      <c r="E376" s="5"/>
      <c r="F376" s="22">
        <f>IFERROR(__xludf.DUMMYFUNCTION("""COMPUTED_VALUE"""),81242.97094989997)</f>
        <v>81242.97095</v>
      </c>
      <c r="G376" s="22">
        <f>IFERROR(__xludf.DUMMYFUNCTION("""COMPUTED_VALUE"""),0.0)</f>
        <v>0</v>
      </c>
      <c r="H376" s="22">
        <f>IFERROR(__xludf.DUMMYFUNCTION("""COMPUTED_VALUE"""),473251.4337794)</f>
        <v>473251.4338</v>
      </c>
      <c r="I376" s="24">
        <f>IFERROR(__xludf.DUMMYFUNCTION("""COMPUTED_VALUE"""),-0.05349713244119991)</f>
        <v>-0.05349713244</v>
      </c>
    </row>
    <row r="377">
      <c r="A377" s="5" t="str">
        <f>IFERROR(__xludf.DUMMYFUNCTION("""COMPUTED_VALUE"""),"32312")</f>
        <v>32312</v>
      </c>
      <c r="B377" s="64">
        <f>IFERROR(__xludf.DUMMYFUNCTION("""COMPUTED_VALUE"""),44634.0)</f>
        <v>44634</v>
      </c>
      <c r="C377" s="5"/>
      <c r="D377" s="5"/>
      <c r="E377" s="5"/>
      <c r="F377" s="22">
        <f>IFERROR(__xludf.DUMMYFUNCTION("""COMPUTED_VALUE"""),81242.97094989997)</f>
        <v>81242.97095</v>
      </c>
      <c r="G377" s="22">
        <f>IFERROR(__xludf.DUMMYFUNCTION("""COMPUTED_VALUE"""),0.0)</f>
        <v>0</v>
      </c>
      <c r="H377" s="22">
        <f>IFERROR(__xludf.DUMMYFUNCTION("""COMPUTED_VALUE"""),462359.18187760003)</f>
        <v>462359.1819</v>
      </c>
      <c r="I377" s="24">
        <f>IFERROR(__xludf.DUMMYFUNCTION("""COMPUTED_VALUE"""),-0.07528163624479989)</f>
        <v>-0.07528163624</v>
      </c>
    </row>
    <row r="378">
      <c r="A378" s="5" t="str">
        <f>IFERROR(__xludf.DUMMYFUNCTION("""COMPUTED_VALUE"""),"32312")</f>
        <v>32312</v>
      </c>
      <c r="B378" s="64">
        <f>IFERROR(__xludf.DUMMYFUNCTION("""COMPUTED_VALUE"""),44635.0)</f>
        <v>44635</v>
      </c>
      <c r="C378" s="5"/>
      <c r="D378" s="5"/>
      <c r="E378" s="5"/>
      <c r="F378" s="22">
        <f>IFERROR(__xludf.DUMMYFUNCTION("""COMPUTED_VALUE"""),81242.97094989997)</f>
        <v>81242.97095</v>
      </c>
      <c r="G378" s="22">
        <f>IFERROR(__xludf.DUMMYFUNCTION("""COMPUTED_VALUE"""),0.0)</f>
        <v>0</v>
      </c>
      <c r="H378" s="22">
        <f>IFERROR(__xludf.DUMMYFUNCTION("""COMPUTED_VALUE"""),472833.77775480004)</f>
        <v>472833.7778</v>
      </c>
      <c r="I378" s="24">
        <f>IFERROR(__xludf.DUMMYFUNCTION("""COMPUTED_VALUE"""),-0.05433244449039987)</f>
        <v>-0.05433244449</v>
      </c>
    </row>
    <row r="379">
      <c r="A379" s="5" t="str">
        <f>IFERROR(__xludf.DUMMYFUNCTION("""COMPUTED_VALUE"""),"32312")</f>
        <v>32312</v>
      </c>
      <c r="B379" s="64">
        <f>IFERROR(__xludf.DUMMYFUNCTION("""COMPUTED_VALUE"""),44636.0)</f>
        <v>44636</v>
      </c>
      <c r="C379" s="5"/>
      <c r="D379" s="5"/>
      <c r="E379" s="5"/>
      <c r="F379" s="22">
        <f>IFERROR(__xludf.DUMMYFUNCTION("""COMPUTED_VALUE"""),81242.97094989997)</f>
        <v>81242.97095</v>
      </c>
      <c r="G379" s="22">
        <f>IFERROR(__xludf.DUMMYFUNCTION("""COMPUTED_VALUE"""),0.0)</f>
        <v>0</v>
      </c>
      <c r="H379" s="22">
        <f>IFERROR(__xludf.DUMMYFUNCTION("""COMPUTED_VALUE"""),482953.24990419997)</f>
        <v>482953.2499</v>
      </c>
      <c r="I379" s="24">
        <f>IFERROR(__xludf.DUMMYFUNCTION("""COMPUTED_VALUE"""),-0.03409350019160007)</f>
        <v>-0.03409350019</v>
      </c>
    </row>
    <row r="380">
      <c r="A380" s="5" t="str">
        <f>IFERROR(__xludf.DUMMYFUNCTION("""COMPUTED_VALUE"""),"32312")</f>
        <v>32312</v>
      </c>
      <c r="B380" s="64">
        <f>IFERROR(__xludf.DUMMYFUNCTION("""COMPUTED_VALUE"""),44637.0)</f>
        <v>44637</v>
      </c>
      <c r="C380" s="5"/>
      <c r="D380" s="5"/>
      <c r="E380" s="5"/>
      <c r="F380" s="22">
        <f>IFERROR(__xludf.DUMMYFUNCTION("""COMPUTED_VALUE"""),81242.97094989997)</f>
        <v>81242.97095</v>
      </c>
      <c r="G380" s="22">
        <f>IFERROR(__xludf.DUMMYFUNCTION("""COMPUTED_VALUE"""),0.0)</f>
        <v>0</v>
      </c>
      <c r="H380" s="22">
        <f>IFERROR(__xludf.DUMMYFUNCTION("""COMPUTED_VALUE"""),493607.87263490004)</f>
        <v>493607.8726</v>
      </c>
      <c r="I380" s="24">
        <f>IFERROR(__xludf.DUMMYFUNCTION("""COMPUTED_VALUE"""),-0.012784254730199951)</f>
        <v>-0.01278425473</v>
      </c>
    </row>
    <row r="381">
      <c r="A381" s="5" t="str">
        <f>IFERROR(__xludf.DUMMYFUNCTION("""COMPUTED_VALUE"""),"32312")</f>
        <v>32312</v>
      </c>
      <c r="B381" s="64">
        <f>IFERROR(__xludf.DUMMYFUNCTION("""COMPUTED_VALUE"""),44638.0)</f>
        <v>44638</v>
      </c>
      <c r="C381" s="5"/>
      <c r="D381" s="5"/>
      <c r="E381" s="5"/>
      <c r="F381" s="22">
        <f>IFERROR(__xludf.DUMMYFUNCTION("""COMPUTED_VALUE"""),81242.97094989997)</f>
        <v>81242.97095</v>
      </c>
      <c r="G381" s="22">
        <f>IFERROR(__xludf.DUMMYFUNCTION("""COMPUTED_VALUE"""),0.0)</f>
        <v>0</v>
      </c>
      <c r="H381" s="22">
        <f>IFERROR(__xludf.DUMMYFUNCTION("""COMPUTED_VALUE"""),502286.4488078001)</f>
        <v>502286.4488</v>
      </c>
      <c r="I381" s="24">
        <f>IFERROR(__xludf.DUMMYFUNCTION("""COMPUTED_VALUE"""),0.004572897615600091)</f>
        <v>0.004572897616</v>
      </c>
    </row>
    <row r="382">
      <c r="A382" s="5" t="str">
        <f>IFERROR(__xludf.DUMMYFUNCTION("""COMPUTED_VALUE"""),"32312")</f>
        <v>32312</v>
      </c>
      <c r="B382" s="64">
        <f>IFERROR(__xludf.DUMMYFUNCTION("""COMPUTED_VALUE"""),44639.0)</f>
        <v>44639</v>
      </c>
      <c r="C382" s="5"/>
      <c r="D382" s="5"/>
      <c r="E382" s="5"/>
      <c r="F382" s="22">
        <f>IFERROR(__xludf.DUMMYFUNCTION("""COMPUTED_VALUE"""),81242.97094989997)</f>
        <v>81242.97095</v>
      </c>
      <c r="G382" s="22">
        <f>IFERROR(__xludf.DUMMYFUNCTION("""COMPUTED_VALUE"""),0.0)</f>
        <v>0</v>
      </c>
      <c r="H382" s="22">
        <f>IFERROR(__xludf.DUMMYFUNCTION("""COMPUTED_VALUE"""),502286.4488078001)</f>
        <v>502286.4488</v>
      </c>
      <c r="I382" s="24">
        <f>IFERROR(__xludf.DUMMYFUNCTION("""COMPUTED_VALUE"""),0.004572897615600091)</f>
        <v>0.004572897616</v>
      </c>
    </row>
    <row r="383">
      <c r="A383" s="5" t="str">
        <f>IFERROR(__xludf.DUMMYFUNCTION("""COMPUTED_VALUE"""),"32312")</f>
        <v>32312</v>
      </c>
      <c r="B383" s="64">
        <f>IFERROR(__xludf.DUMMYFUNCTION("""COMPUTED_VALUE"""),44640.0)</f>
        <v>44640</v>
      </c>
      <c r="C383" s="5"/>
      <c r="D383" s="5"/>
      <c r="E383" s="5"/>
      <c r="F383" s="22">
        <f>IFERROR(__xludf.DUMMYFUNCTION("""COMPUTED_VALUE"""),81242.97094989997)</f>
        <v>81242.97095</v>
      </c>
      <c r="G383" s="22">
        <f>IFERROR(__xludf.DUMMYFUNCTION("""COMPUTED_VALUE"""),0.0)</f>
        <v>0</v>
      </c>
      <c r="H383" s="22">
        <f>IFERROR(__xludf.DUMMYFUNCTION("""COMPUTED_VALUE"""),502286.4488078001)</f>
        <v>502286.4488</v>
      </c>
      <c r="I383" s="24">
        <f>IFERROR(__xludf.DUMMYFUNCTION("""COMPUTED_VALUE"""),0.004572897615600091)</f>
        <v>0.004572897616</v>
      </c>
    </row>
    <row r="384">
      <c r="A384" s="5" t="str">
        <f>IFERROR(__xludf.DUMMYFUNCTION("""COMPUTED_VALUE"""),"32312")</f>
        <v>32312</v>
      </c>
      <c r="B384" s="64">
        <f>IFERROR(__xludf.DUMMYFUNCTION("""COMPUTED_VALUE"""),44641.0)</f>
        <v>44641</v>
      </c>
      <c r="C384" s="5"/>
      <c r="D384" s="5"/>
      <c r="E384" s="5"/>
      <c r="F384" s="22">
        <f>IFERROR(__xludf.DUMMYFUNCTION("""COMPUTED_VALUE"""),414418.6717669)</f>
        <v>414418.6718</v>
      </c>
      <c r="G384" s="22">
        <f>IFERROR(__xludf.DUMMYFUNCTION("""COMPUTED_VALUE"""),0.0)</f>
        <v>0</v>
      </c>
      <c r="H384" s="22">
        <f>IFERROR(__xludf.DUMMYFUNCTION("""COMPUTED_VALUE"""),508402.42305850005)</f>
        <v>508402.4231</v>
      </c>
      <c r="I384" s="24">
        <f>IFERROR(__xludf.DUMMYFUNCTION("""COMPUTED_VALUE"""),0.01680484611700006)</f>
        <v>0.01680484612</v>
      </c>
    </row>
    <row r="385">
      <c r="A385" s="5" t="str">
        <f>IFERROR(__xludf.DUMMYFUNCTION("""COMPUTED_VALUE"""),"32312")</f>
        <v>32312</v>
      </c>
      <c r="B385" s="64">
        <f>IFERROR(__xludf.DUMMYFUNCTION("""COMPUTED_VALUE"""),44642.0)</f>
        <v>44642</v>
      </c>
      <c r="C385" s="5"/>
      <c r="D385" s="5"/>
      <c r="E385" s="5"/>
      <c r="F385" s="22">
        <f>IFERROR(__xludf.DUMMYFUNCTION("""COMPUTED_VALUE"""),414418.6717669)</f>
        <v>414418.6718</v>
      </c>
      <c r="G385" s="22">
        <f>IFERROR(__xludf.DUMMYFUNCTION("""COMPUTED_VALUE"""),0.0)</f>
        <v>0</v>
      </c>
      <c r="H385" s="22">
        <f>IFERROR(__xludf.DUMMYFUNCTION("""COMPUTED_VALUE"""),508070.24727469997)</f>
        <v>508070.2473</v>
      </c>
      <c r="I385" s="24">
        <f>IFERROR(__xludf.DUMMYFUNCTION("""COMPUTED_VALUE"""),0.01614049454939992)</f>
        <v>0.01614049455</v>
      </c>
    </row>
    <row r="386">
      <c r="A386" s="5" t="str">
        <f>IFERROR(__xludf.DUMMYFUNCTION("""COMPUTED_VALUE"""),"32312")</f>
        <v>32312</v>
      </c>
      <c r="B386" s="64">
        <f>IFERROR(__xludf.DUMMYFUNCTION("""COMPUTED_VALUE"""),44643.0)</f>
        <v>44643</v>
      </c>
      <c r="C386" s="5"/>
      <c r="D386" s="5"/>
      <c r="E386" s="5"/>
      <c r="F386" s="22">
        <f>IFERROR(__xludf.DUMMYFUNCTION("""COMPUTED_VALUE"""),414418.6717669)</f>
        <v>414418.6718</v>
      </c>
      <c r="G386" s="22">
        <f>IFERROR(__xludf.DUMMYFUNCTION("""COMPUTED_VALUE"""),0.0)</f>
        <v>0</v>
      </c>
      <c r="H386" s="22">
        <f>IFERROR(__xludf.DUMMYFUNCTION("""COMPUTED_VALUE"""),509410.622035)</f>
        <v>509410.622</v>
      </c>
      <c r="I386" s="24">
        <f>IFERROR(__xludf.DUMMYFUNCTION("""COMPUTED_VALUE"""),0.018821244069999965)</f>
        <v>0.01882124407</v>
      </c>
    </row>
    <row r="387">
      <c r="A387" s="5" t="str">
        <f>IFERROR(__xludf.DUMMYFUNCTION("""COMPUTED_VALUE"""),"32312")</f>
        <v>32312</v>
      </c>
      <c r="B387" s="64">
        <f>IFERROR(__xludf.DUMMYFUNCTION("""COMPUTED_VALUE"""),44644.0)</f>
        <v>44644</v>
      </c>
      <c r="C387" s="5"/>
      <c r="D387" s="5"/>
      <c r="E387" s="5"/>
      <c r="F387" s="22">
        <f>IFERROR(__xludf.DUMMYFUNCTION("""COMPUTED_VALUE"""),414418.6717669)</f>
        <v>414418.6718</v>
      </c>
      <c r="G387" s="22">
        <f>IFERROR(__xludf.DUMMYFUNCTION("""COMPUTED_VALUE"""),0.0)</f>
        <v>0</v>
      </c>
      <c r="H387" s="22">
        <f>IFERROR(__xludf.DUMMYFUNCTION("""COMPUTED_VALUE"""),509119.51859810005)</f>
        <v>509119.5186</v>
      </c>
      <c r="I387" s="24">
        <f>IFERROR(__xludf.DUMMYFUNCTION("""COMPUTED_VALUE"""),0.018239037196200014)</f>
        <v>0.0182390372</v>
      </c>
    </row>
    <row r="388">
      <c r="A388" s="5" t="str">
        <f>IFERROR(__xludf.DUMMYFUNCTION("""COMPUTED_VALUE"""),"32312")</f>
        <v>32312</v>
      </c>
      <c r="B388" s="64">
        <f>IFERROR(__xludf.DUMMYFUNCTION("""COMPUTED_VALUE"""),44645.0)</f>
        <v>44645</v>
      </c>
      <c r="C388" s="5"/>
      <c r="D388" s="5"/>
      <c r="E388" s="5"/>
      <c r="F388" s="22">
        <f>IFERROR(__xludf.DUMMYFUNCTION("""COMPUTED_VALUE"""),414418.6717669)</f>
        <v>414418.6718</v>
      </c>
      <c r="G388" s="22">
        <f>IFERROR(__xludf.DUMMYFUNCTION("""COMPUTED_VALUE"""),0.0)</f>
        <v>0</v>
      </c>
      <c r="H388" s="22">
        <f>IFERROR(__xludf.DUMMYFUNCTION("""COMPUTED_VALUE"""),509282.61159730004)</f>
        <v>509282.6116</v>
      </c>
      <c r="I388" s="24">
        <f>IFERROR(__xludf.DUMMYFUNCTION("""COMPUTED_VALUE"""),0.018565223194600078)</f>
        <v>0.01856522319</v>
      </c>
    </row>
    <row r="389">
      <c r="A389" s="5" t="str">
        <f>IFERROR(__xludf.DUMMYFUNCTION("""COMPUTED_VALUE"""),"32312")</f>
        <v>32312</v>
      </c>
      <c r="B389" s="64">
        <f>IFERROR(__xludf.DUMMYFUNCTION("""COMPUTED_VALUE"""),44646.0)</f>
        <v>44646</v>
      </c>
      <c r="C389" s="5"/>
      <c r="D389" s="5"/>
      <c r="E389" s="5"/>
      <c r="F389" s="22">
        <f>IFERROR(__xludf.DUMMYFUNCTION("""COMPUTED_VALUE"""),414418.6717669)</f>
        <v>414418.6718</v>
      </c>
      <c r="G389" s="22">
        <f>IFERROR(__xludf.DUMMYFUNCTION("""COMPUTED_VALUE"""),0.0)</f>
        <v>0</v>
      </c>
      <c r="H389" s="22">
        <f>IFERROR(__xludf.DUMMYFUNCTION("""COMPUTED_VALUE"""),509282.61159730004)</f>
        <v>509282.6116</v>
      </c>
      <c r="I389" s="24">
        <f>IFERROR(__xludf.DUMMYFUNCTION("""COMPUTED_VALUE"""),0.018565223194600078)</f>
        <v>0.01856522319</v>
      </c>
    </row>
    <row r="390">
      <c r="A390" s="5" t="str">
        <f>IFERROR(__xludf.DUMMYFUNCTION("""COMPUTED_VALUE"""),"32312")</f>
        <v>32312</v>
      </c>
      <c r="B390" s="64">
        <f>IFERROR(__xludf.DUMMYFUNCTION("""COMPUTED_VALUE"""),44647.0)</f>
        <v>44647</v>
      </c>
      <c r="C390" s="5"/>
      <c r="D390" s="5"/>
      <c r="E390" s="5"/>
      <c r="F390" s="22">
        <f>IFERROR(__xludf.DUMMYFUNCTION("""COMPUTED_VALUE"""),414418.6717669)</f>
        <v>414418.6718</v>
      </c>
      <c r="G390" s="22">
        <f>IFERROR(__xludf.DUMMYFUNCTION("""COMPUTED_VALUE"""),0.0)</f>
        <v>0</v>
      </c>
      <c r="H390" s="22">
        <f>IFERROR(__xludf.DUMMYFUNCTION("""COMPUTED_VALUE"""),509282.61159730004)</f>
        <v>509282.6116</v>
      </c>
      <c r="I390" s="24">
        <f>IFERROR(__xludf.DUMMYFUNCTION("""COMPUTED_VALUE"""),0.018565223194600078)</f>
        <v>0.01856522319</v>
      </c>
    </row>
    <row r="391">
      <c r="A391" s="5" t="str">
        <f>IFERROR(__xludf.DUMMYFUNCTION("""COMPUTED_VALUE"""),"32312")</f>
        <v>32312</v>
      </c>
      <c r="B391" s="64">
        <f>IFERROR(__xludf.DUMMYFUNCTION("""COMPUTED_VALUE"""),44648.0)</f>
        <v>44648</v>
      </c>
      <c r="C391" s="5"/>
      <c r="D391" s="5"/>
      <c r="E391" s="5"/>
      <c r="F391" s="22">
        <f>IFERROR(__xludf.DUMMYFUNCTION("""COMPUTED_VALUE"""),414418.6717669)</f>
        <v>414418.6718</v>
      </c>
      <c r="G391" s="22">
        <f>IFERROR(__xludf.DUMMYFUNCTION("""COMPUTED_VALUE"""),0.0)</f>
        <v>0</v>
      </c>
      <c r="H391" s="22">
        <f>IFERROR(__xludf.DUMMYFUNCTION("""COMPUTED_VALUE"""),509235.4397613001)</f>
        <v>509235.4398</v>
      </c>
      <c r="I391" s="24">
        <f>IFERROR(__xludf.DUMMYFUNCTION("""COMPUTED_VALUE"""),0.018470879522600292)</f>
        <v>0.01847087952</v>
      </c>
    </row>
    <row r="392">
      <c r="A392" s="5" t="str">
        <f>IFERROR(__xludf.DUMMYFUNCTION("""COMPUTED_VALUE"""),"32312")</f>
        <v>32312</v>
      </c>
      <c r="B392" s="64">
        <f>IFERROR(__xludf.DUMMYFUNCTION("""COMPUTED_VALUE"""),44649.0)</f>
        <v>44649</v>
      </c>
      <c r="C392" s="5"/>
      <c r="D392" s="5"/>
      <c r="E392" s="5"/>
      <c r="F392" s="22">
        <f>IFERROR(__xludf.DUMMYFUNCTION("""COMPUTED_VALUE"""),414418.6717669)</f>
        <v>414418.6718</v>
      </c>
      <c r="G392" s="22">
        <f>IFERROR(__xludf.DUMMYFUNCTION("""COMPUTED_VALUE"""),0.0)</f>
        <v>0</v>
      </c>
      <c r="H392" s="22">
        <f>IFERROR(__xludf.DUMMYFUNCTION("""COMPUTED_VALUE"""),509221.5360036)</f>
        <v>509221.536</v>
      </c>
      <c r="I392" s="24">
        <f>IFERROR(__xludf.DUMMYFUNCTION("""COMPUTED_VALUE"""),0.018443072007199968)</f>
        <v>0.01844307201</v>
      </c>
    </row>
    <row r="393">
      <c r="A393" s="5" t="str">
        <f>IFERROR(__xludf.DUMMYFUNCTION("""COMPUTED_VALUE"""),"32312")</f>
        <v>32312</v>
      </c>
      <c r="B393" s="64">
        <f>IFERROR(__xludf.DUMMYFUNCTION("""COMPUTED_VALUE"""),44650.0)</f>
        <v>44650</v>
      </c>
      <c r="C393" s="5"/>
      <c r="D393" s="5"/>
      <c r="E393" s="5"/>
      <c r="F393" s="22">
        <f>IFERROR(__xludf.DUMMYFUNCTION("""COMPUTED_VALUE"""),414418.6717669)</f>
        <v>414418.6718</v>
      </c>
      <c r="G393" s="22">
        <f>IFERROR(__xludf.DUMMYFUNCTION("""COMPUTED_VALUE"""),0.0)</f>
        <v>0</v>
      </c>
      <c r="H393" s="22">
        <f>IFERROR(__xludf.DUMMYFUNCTION("""COMPUTED_VALUE"""),509220.8168738)</f>
        <v>509220.8169</v>
      </c>
      <c r="I393" s="24">
        <f>IFERROR(__xludf.DUMMYFUNCTION("""COMPUTED_VALUE"""),0.018441633747600106)</f>
        <v>0.01844163375</v>
      </c>
    </row>
    <row r="394">
      <c r="A394" s="5" t="str">
        <f>IFERROR(__xludf.DUMMYFUNCTION("""COMPUTED_VALUE"""),"32312")</f>
        <v>32312</v>
      </c>
      <c r="B394" s="64">
        <f>IFERROR(__xludf.DUMMYFUNCTION("""COMPUTED_VALUE"""),44651.0)</f>
        <v>44651</v>
      </c>
      <c r="C394" s="5"/>
      <c r="D394" s="5"/>
      <c r="E394" s="5"/>
      <c r="F394" s="22">
        <f>IFERROR(__xludf.DUMMYFUNCTION("""COMPUTED_VALUE"""),414418.6717669)</f>
        <v>414418.6718</v>
      </c>
      <c r="G394" s="22">
        <f>IFERROR(__xludf.DUMMYFUNCTION("""COMPUTED_VALUE"""),0.0)</f>
        <v>0</v>
      </c>
      <c r="H394" s="22">
        <f>IFERROR(__xludf.DUMMYFUNCTION("""COMPUTED_VALUE"""),509240.50499489997)</f>
        <v>509240.505</v>
      </c>
      <c r="I394" s="24">
        <f>IFERROR(__xludf.DUMMYFUNCTION("""COMPUTED_VALUE"""),0.018481009989799846)</f>
        <v>0.01848100999</v>
      </c>
    </row>
    <row r="395">
      <c r="A395" s="5" t="str">
        <f>IFERROR(__xludf.DUMMYFUNCTION("""COMPUTED_VALUE"""),"32312")</f>
        <v>32312</v>
      </c>
      <c r="B395" s="64">
        <f>IFERROR(__xludf.DUMMYFUNCTION("""COMPUTED_VALUE"""),44652.0)</f>
        <v>44652</v>
      </c>
      <c r="C395" s="5"/>
      <c r="D395" s="5"/>
      <c r="E395" s="5"/>
      <c r="F395" s="22">
        <f>IFERROR(__xludf.DUMMYFUNCTION("""COMPUTED_VALUE"""),414418.6717669)</f>
        <v>414418.6718</v>
      </c>
      <c r="G395" s="22">
        <f>IFERROR(__xludf.DUMMYFUNCTION("""COMPUTED_VALUE"""),0.0)</f>
        <v>0</v>
      </c>
      <c r="H395" s="22">
        <f>IFERROR(__xludf.DUMMYFUNCTION("""COMPUTED_VALUE"""),509229.39975980006)</f>
        <v>509229.3998</v>
      </c>
      <c r="I395" s="24">
        <f>IFERROR(__xludf.DUMMYFUNCTION("""COMPUTED_VALUE"""),0.018458799519600166)</f>
        <v>0.01845879952</v>
      </c>
    </row>
    <row r="396">
      <c r="A396" s="5" t="str">
        <f>IFERROR(__xludf.DUMMYFUNCTION("""COMPUTED_VALUE"""),"32312")</f>
        <v>32312</v>
      </c>
      <c r="B396" s="64">
        <f>IFERROR(__xludf.DUMMYFUNCTION("""COMPUTED_VALUE"""),44653.0)</f>
        <v>44653</v>
      </c>
      <c r="C396" s="5"/>
      <c r="D396" s="5"/>
      <c r="E396" s="5"/>
      <c r="F396" s="22">
        <f>IFERROR(__xludf.DUMMYFUNCTION("""COMPUTED_VALUE"""),414418.6717669)</f>
        <v>414418.6718</v>
      </c>
      <c r="G396" s="22">
        <f>IFERROR(__xludf.DUMMYFUNCTION("""COMPUTED_VALUE"""),0.0)</f>
        <v>0</v>
      </c>
      <c r="H396" s="22">
        <f>IFERROR(__xludf.DUMMYFUNCTION("""COMPUTED_VALUE"""),509229.39975980006)</f>
        <v>509229.3998</v>
      </c>
      <c r="I396" s="24">
        <f>IFERROR(__xludf.DUMMYFUNCTION("""COMPUTED_VALUE"""),0.018458799519600166)</f>
        <v>0.01845879952</v>
      </c>
    </row>
    <row r="397">
      <c r="A397" s="5" t="str">
        <f>IFERROR(__xludf.DUMMYFUNCTION("""COMPUTED_VALUE"""),"32312")</f>
        <v>32312</v>
      </c>
      <c r="B397" s="64">
        <f>IFERROR(__xludf.DUMMYFUNCTION("""COMPUTED_VALUE"""),44654.0)</f>
        <v>44654</v>
      </c>
      <c r="C397" s="5"/>
      <c r="D397" s="5"/>
      <c r="E397" s="5"/>
      <c r="F397" s="22">
        <f>IFERROR(__xludf.DUMMYFUNCTION("""COMPUTED_VALUE"""),414418.6717669)</f>
        <v>414418.6718</v>
      </c>
      <c r="G397" s="22">
        <f>IFERROR(__xludf.DUMMYFUNCTION("""COMPUTED_VALUE"""),0.0)</f>
        <v>0</v>
      </c>
      <c r="H397" s="22">
        <f>IFERROR(__xludf.DUMMYFUNCTION("""COMPUTED_VALUE"""),509229.39975980006)</f>
        <v>509229.3998</v>
      </c>
      <c r="I397" s="24">
        <f>IFERROR(__xludf.DUMMYFUNCTION("""COMPUTED_VALUE"""),0.018458799519600166)</f>
        <v>0.01845879952</v>
      </c>
    </row>
    <row r="398">
      <c r="A398" s="5" t="str">
        <f>IFERROR(__xludf.DUMMYFUNCTION("""COMPUTED_VALUE"""),"32312")</f>
        <v>32312</v>
      </c>
      <c r="B398" s="64">
        <f>IFERROR(__xludf.DUMMYFUNCTION("""COMPUTED_VALUE"""),44655.0)</f>
        <v>44655</v>
      </c>
      <c r="C398" s="5"/>
      <c r="D398" s="5"/>
      <c r="E398" s="5"/>
      <c r="F398" s="22">
        <f>IFERROR(__xludf.DUMMYFUNCTION("""COMPUTED_VALUE"""),414418.6717669)</f>
        <v>414418.6718</v>
      </c>
      <c r="G398" s="22">
        <f>IFERROR(__xludf.DUMMYFUNCTION("""COMPUTED_VALUE"""),0.0)</f>
        <v>0</v>
      </c>
      <c r="H398" s="22">
        <f>IFERROR(__xludf.DUMMYFUNCTION("""COMPUTED_VALUE"""),509186.79441840004)</f>
        <v>509186.7944</v>
      </c>
      <c r="I398" s="24">
        <f>IFERROR(__xludf.DUMMYFUNCTION("""COMPUTED_VALUE"""),0.01837358883680018)</f>
        <v>0.01837358884</v>
      </c>
    </row>
    <row r="399">
      <c r="A399" s="5" t="str">
        <f>IFERROR(__xludf.DUMMYFUNCTION("""COMPUTED_VALUE"""),"32312")</f>
        <v>32312</v>
      </c>
      <c r="B399" s="64">
        <f>IFERROR(__xludf.DUMMYFUNCTION("""COMPUTED_VALUE"""),44656.0)</f>
        <v>44656</v>
      </c>
      <c r="C399" s="5"/>
      <c r="D399" s="5"/>
      <c r="E399" s="5"/>
      <c r="F399" s="22">
        <f>IFERROR(__xludf.DUMMYFUNCTION("""COMPUTED_VALUE"""),414418.6717669)</f>
        <v>414418.6718</v>
      </c>
      <c r="G399" s="22">
        <f>IFERROR(__xludf.DUMMYFUNCTION("""COMPUTED_VALUE"""),0.0)</f>
        <v>0</v>
      </c>
      <c r="H399" s="22">
        <f>IFERROR(__xludf.DUMMYFUNCTION("""COMPUTED_VALUE"""),509231.89457749994)</f>
        <v>509231.8946</v>
      </c>
      <c r="I399" s="24">
        <f>IFERROR(__xludf.DUMMYFUNCTION("""COMPUTED_VALUE"""),0.01846378915499991)</f>
        <v>0.01846378915</v>
      </c>
    </row>
    <row r="400">
      <c r="A400" s="5" t="str">
        <f>IFERROR(__xludf.DUMMYFUNCTION("""COMPUTED_VALUE"""),"32312")</f>
        <v>32312</v>
      </c>
      <c r="B400" s="64">
        <f>IFERROR(__xludf.DUMMYFUNCTION("""COMPUTED_VALUE"""),44657.0)</f>
        <v>44657</v>
      </c>
      <c r="C400" s="5"/>
      <c r="D400" s="5"/>
      <c r="E400" s="5"/>
      <c r="F400" s="22">
        <f>IFERROR(__xludf.DUMMYFUNCTION("""COMPUTED_VALUE"""),414418.6717669)</f>
        <v>414418.6718</v>
      </c>
      <c r="G400" s="22">
        <f>IFERROR(__xludf.DUMMYFUNCTION("""COMPUTED_VALUE"""),0.0)</f>
        <v>0</v>
      </c>
      <c r="H400" s="22">
        <f>IFERROR(__xludf.DUMMYFUNCTION("""COMPUTED_VALUE"""),509267.87691650004)</f>
        <v>509267.8769</v>
      </c>
      <c r="I400" s="24">
        <f>IFERROR(__xludf.DUMMYFUNCTION("""COMPUTED_VALUE"""),0.01853575383299999)</f>
        <v>0.01853575383</v>
      </c>
    </row>
    <row r="401">
      <c r="A401" s="5" t="str">
        <f>IFERROR(__xludf.DUMMYFUNCTION("""COMPUTED_VALUE"""),"32312")</f>
        <v>32312</v>
      </c>
      <c r="B401" s="64">
        <f>IFERROR(__xludf.DUMMYFUNCTION("""COMPUTED_VALUE"""),44658.0)</f>
        <v>44658</v>
      </c>
      <c r="C401" s="5"/>
      <c r="D401" s="5"/>
      <c r="E401" s="5"/>
      <c r="F401" s="22">
        <f>IFERROR(__xludf.DUMMYFUNCTION("""COMPUTED_VALUE"""),414418.6717669)</f>
        <v>414418.6718</v>
      </c>
      <c r="G401" s="22">
        <f>IFERROR(__xludf.DUMMYFUNCTION("""COMPUTED_VALUE"""),0.0)</f>
        <v>0</v>
      </c>
      <c r="H401" s="22">
        <f>IFERROR(__xludf.DUMMYFUNCTION("""COMPUTED_VALUE"""),509256.48699350003)</f>
        <v>509256.487</v>
      </c>
      <c r="I401" s="24">
        <f>IFERROR(__xludf.DUMMYFUNCTION("""COMPUTED_VALUE"""),0.018512973987000025)</f>
        <v>0.01851297399</v>
      </c>
    </row>
    <row r="402">
      <c r="A402" s="5" t="str">
        <f>IFERROR(__xludf.DUMMYFUNCTION("""COMPUTED_VALUE"""),"32312")</f>
        <v>32312</v>
      </c>
      <c r="B402" s="64">
        <f>IFERROR(__xludf.DUMMYFUNCTION("""COMPUTED_VALUE"""),44659.0)</f>
        <v>44659</v>
      </c>
      <c r="C402" s="5"/>
      <c r="D402" s="5"/>
      <c r="E402" s="5"/>
      <c r="F402" s="22">
        <f>IFERROR(__xludf.DUMMYFUNCTION("""COMPUTED_VALUE"""),414418.6717669)</f>
        <v>414418.6718</v>
      </c>
      <c r="G402" s="22">
        <f>IFERROR(__xludf.DUMMYFUNCTION("""COMPUTED_VALUE"""),0.0)</f>
        <v>0</v>
      </c>
      <c r="H402" s="22">
        <f>IFERROR(__xludf.DUMMYFUNCTION("""COMPUTED_VALUE"""),509277.7469548001)</f>
        <v>509277.747</v>
      </c>
      <c r="I402" s="24">
        <f>IFERROR(__xludf.DUMMYFUNCTION("""COMPUTED_VALUE"""),0.018555493909600207)</f>
        <v>0.01855549391</v>
      </c>
    </row>
    <row r="403">
      <c r="A403" s="5" t="str">
        <f>IFERROR(__xludf.DUMMYFUNCTION("""COMPUTED_VALUE"""),"32312")</f>
        <v>32312</v>
      </c>
      <c r="B403" s="64">
        <f>IFERROR(__xludf.DUMMYFUNCTION("""COMPUTED_VALUE"""),44660.0)</f>
        <v>44660</v>
      </c>
      <c r="C403" s="5"/>
      <c r="D403" s="5"/>
      <c r="E403" s="5"/>
      <c r="F403" s="22">
        <f>IFERROR(__xludf.DUMMYFUNCTION("""COMPUTED_VALUE"""),414418.6717669)</f>
        <v>414418.6718</v>
      </c>
      <c r="G403" s="22">
        <f>IFERROR(__xludf.DUMMYFUNCTION("""COMPUTED_VALUE"""),0.0)</f>
        <v>0</v>
      </c>
      <c r="H403" s="22">
        <f>IFERROR(__xludf.DUMMYFUNCTION("""COMPUTED_VALUE"""),509277.7469548001)</f>
        <v>509277.747</v>
      </c>
      <c r="I403" s="24">
        <f>IFERROR(__xludf.DUMMYFUNCTION("""COMPUTED_VALUE"""),0.018555493909600207)</f>
        <v>0.01855549391</v>
      </c>
    </row>
    <row r="404">
      <c r="A404" s="5" t="str">
        <f>IFERROR(__xludf.DUMMYFUNCTION("""COMPUTED_VALUE"""),"32312")</f>
        <v>32312</v>
      </c>
      <c r="B404" s="64">
        <f>IFERROR(__xludf.DUMMYFUNCTION("""COMPUTED_VALUE"""),44661.0)</f>
        <v>44661</v>
      </c>
      <c r="C404" s="5"/>
      <c r="D404" s="5"/>
      <c r="E404" s="5"/>
      <c r="F404" s="22">
        <f>IFERROR(__xludf.DUMMYFUNCTION("""COMPUTED_VALUE"""),414418.6717669)</f>
        <v>414418.6718</v>
      </c>
      <c r="G404" s="22">
        <f>IFERROR(__xludf.DUMMYFUNCTION("""COMPUTED_VALUE"""),0.0)</f>
        <v>0</v>
      </c>
      <c r="H404" s="22">
        <f>IFERROR(__xludf.DUMMYFUNCTION("""COMPUTED_VALUE"""),509277.7469548001)</f>
        <v>509277.747</v>
      </c>
      <c r="I404" s="24">
        <f>IFERROR(__xludf.DUMMYFUNCTION("""COMPUTED_VALUE"""),0.018555493909600207)</f>
        <v>0.01855549391</v>
      </c>
    </row>
    <row r="405">
      <c r="A405" s="5" t="str">
        <f>IFERROR(__xludf.DUMMYFUNCTION("""COMPUTED_VALUE"""),"32312")</f>
        <v>32312</v>
      </c>
      <c r="B405" s="64">
        <f>IFERROR(__xludf.DUMMYFUNCTION("""COMPUTED_VALUE"""),44662.0)</f>
        <v>44662</v>
      </c>
      <c r="C405" s="5"/>
      <c r="D405" s="5"/>
      <c r="E405" s="5"/>
      <c r="F405" s="22">
        <f>IFERROR(__xludf.DUMMYFUNCTION("""COMPUTED_VALUE"""),414418.6717669)</f>
        <v>414418.6718</v>
      </c>
      <c r="G405" s="22">
        <f>IFERROR(__xludf.DUMMYFUNCTION("""COMPUTED_VALUE"""),0.0)</f>
        <v>0</v>
      </c>
      <c r="H405" s="22">
        <f>IFERROR(__xludf.DUMMYFUNCTION("""COMPUTED_VALUE"""),509317.36522320006)</f>
        <v>509317.3652</v>
      </c>
      <c r="I405" s="24">
        <f>IFERROR(__xludf.DUMMYFUNCTION("""COMPUTED_VALUE"""),0.018634730446400072)</f>
        <v>0.01863473045</v>
      </c>
    </row>
    <row r="406">
      <c r="A406" s="5" t="str">
        <f>IFERROR(__xludf.DUMMYFUNCTION("""COMPUTED_VALUE"""),"32312")</f>
        <v>32312</v>
      </c>
      <c r="B406" s="64">
        <f>IFERROR(__xludf.DUMMYFUNCTION("""COMPUTED_VALUE"""),44663.0)</f>
        <v>44663</v>
      </c>
      <c r="C406" s="5"/>
      <c r="D406" s="5"/>
      <c r="E406" s="5"/>
      <c r="F406" s="22">
        <f>IFERROR(__xludf.DUMMYFUNCTION("""COMPUTED_VALUE"""),414418.6717669)</f>
        <v>414418.6718</v>
      </c>
      <c r="G406" s="22">
        <f>IFERROR(__xludf.DUMMYFUNCTION("""COMPUTED_VALUE"""),0.0)</f>
        <v>0</v>
      </c>
      <c r="H406" s="22">
        <f>IFERROR(__xludf.DUMMYFUNCTION("""COMPUTED_VALUE"""),509300.57115940005)</f>
        <v>509300.5712</v>
      </c>
      <c r="I406" s="24">
        <f>IFERROR(__xludf.DUMMYFUNCTION("""COMPUTED_VALUE"""),0.018601142318800168)</f>
        <v>0.01860114232</v>
      </c>
    </row>
    <row r="407">
      <c r="A407" s="5" t="str">
        <f>IFERROR(__xludf.DUMMYFUNCTION("""COMPUTED_VALUE"""),"32582")</f>
        <v>32582</v>
      </c>
      <c r="B407" s="64">
        <f>IFERROR(__xludf.DUMMYFUNCTION("""COMPUTED_VALUE"""),44597.0)</f>
        <v>44597</v>
      </c>
      <c r="C407" s="5"/>
      <c r="D407" s="5"/>
      <c r="E407" s="5"/>
      <c r="F407" s="22">
        <f>IFERROR(__xludf.DUMMYFUNCTION("""COMPUTED_VALUE"""),500000.0)</f>
        <v>500000</v>
      </c>
      <c r="G407" s="22">
        <f>IFERROR(__xludf.DUMMYFUNCTION("""COMPUTED_VALUE"""),0.0)</f>
        <v>0</v>
      </c>
      <c r="H407" s="22">
        <f>IFERROR(__xludf.DUMMYFUNCTION("""COMPUTED_VALUE"""),500000.0)</f>
        <v>500000</v>
      </c>
      <c r="I407" s="24">
        <f>IFERROR(__xludf.DUMMYFUNCTION("""COMPUTED_VALUE"""),0.0)</f>
        <v>0</v>
      </c>
    </row>
    <row r="408">
      <c r="A408" s="5" t="str">
        <f>IFERROR(__xludf.DUMMYFUNCTION("""COMPUTED_VALUE"""),"32582")</f>
        <v>32582</v>
      </c>
      <c r="B408" s="64">
        <f>IFERROR(__xludf.DUMMYFUNCTION("""COMPUTED_VALUE"""),44598.0)</f>
        <v>44598</v>
      </c>
      <c r="C408" s="5"/>
      <c r="D408" s="5"/>
      <c r="E408" s="5"/>
      <c r="F408" s="22">
        <f>IFERROR(__xludf.DUMMYFUNCTION("""COMPUTED_VALUE"""),500000.0)</f>
        <v>500000</v>
      </c>
      <c r="G408" s="22">
        <f>IFERROR(__xludf.DUMMYFUNCTION("""COMPUTED_VALUE"""),0.0)</f>
        <v>0</v>
      </c>
      <c r="H408" s="22">
        <f>IFERROR(__xludf.DUMMYFUNCTION("""COMPUTED_VALUE"""),500000.0)</f>
        <v>500000</v>
      </c>
      <c r="I408" s="24">
        <f>IFERROR(__xludf.DUMMYFUNCTION("""COMPUTED_VALUE"""),0.0)</f>
        <v>0</v>
      </c>
    </row>
    <row r="409">
      <c r="A409" s="5" t="str">
        <f>IFERROR(__xludf.DUMMYFUNCTION("""COMPUTED_VALUE"""),"32582")</f>
        <v>32582</v>
      </c>
      <c r="B409" s="64">
        <f>IFERROR(__xludf.DUMMYFUNCTION("""COMPUTED_VALUE"""),44599.0)</f>
        <v>44599</v>
      </c>
      <c r="C409" s="5"/>
      <c r="D409" s="5"/>
      <c r="E409" s="5"/>
      <c r="F409" s="22">
        <f>IFERROR(__xludf.DUMMYFUNCTION("""COMPUTED_VALUE"""),500000.0)</f>
        <v>500000</v>
      </c>
      <c r="G409" s="22">
        <f>IFERROR(__xludf.DUMMYFUNCTION("""COMPUTED_VALUE"""),0.0)</f>
        <v>0</v>
      </c>
      <c r="H409" s="22">
        <f>IFERROR(__xludf.DUMMYFUNCTION("""COMPUTED_VALUE"""),500000.0)</f>
        <v>500000</v>
      </c>
      <c r="I409" s="24">
        <f>IFERROR(__xludf.DUMMYFUNCTION("""COMPUTED_VALUE"""),0.0)</f>
        <v>0</v>
      </c>
    </row>
    <row r="410">
      <c r="A410" s="5" t="str">
        <f>IFERROR(__xludf.DUMMYFUNCTION("""COMPUTED_VALUE"""),"32582")</f>
        <v>32582</v>
      </c>
      <c r="B410" s="64">
        <f>IFERROR(__xludf.DUMMYFUNCTION("""COMPUTED_VALUE"""),44600.0)</f>
        <v>44600</v>
      </c>
      <c r="C410" s="5"/>
      <c r="D410" s="5"/>
      <c r="E410" s="5"/>
      <c r="F410" s="22">
        <f>IFERROR(__xludf.DUMMYFUNCTION("""COMPUTED_VALUE"""),500000.0)</f>
        <v>500000</v>
      </c>
      <c r="G410" s="22">
        <f>IFERROR(__xludf.DUMMYFUNCTION("""COMPUTED_VALUE"""),0.0)</f>
        <v>0</v>
      </c>
      <c r="H410" s="22">
        <f>IFERROR(__xludf.DUMMYFUNCTION("""COMPUTED_VALUE"""),500000.0)</f>
        <v>500000</v>
      </c>
      <c r="I410" s="24">
        <f>IFERROR(__xludf.DUMMYFUNCTION("""COMPUTED_VALUE"""),0.0)</f>
        <v>0</v>
      </c>
    </row>
    <row r="411">
      <c r="A411" s="5" t="str">
        <f>IFERROR(__xludf.DUMMYFUNCTION("""COMPUTED_VALUE"""),"32582")</f>
        <v>32582</v>
      </c>
      <c r="B411" s="64">
        <f>IFERROR(__xludf.DUMMYFUNCTION("""COMPUTED_VALUE"""),44601.0)</f>
        <v>44601</v>
      </c>
      <c r="C411" s="5"/>
      <c r="D411" s="5"/>
      <c r="E411" s="5"/>
      <c r="F411" s="22">
        <f>IFERROR(__xludf.DUMMYFUNCTION("""COMPUTED_VALUE"""),500000.0)</f>
        <v>500000</v>
      </c>
      <c r="G411" s="22">
        <f>IFERROR(__xludf.DUMMYFUNCTION("""COMPUTED_VALUE"""),0.0)</f>
        <v>0</v>
      </c>
      <c r="H411" s="22">
        <f>IFERROR(__xludf.DUMMYFUNCTION("""COMPUTED_VALUE"""),500000.0)</f>
        <v>500000</v>
      </c>
      <c r="I411" s="24">
        <f>IFERROR(__xludf.DUMMYFUNCTION("""COMPUTED_VALUE"""),0.0)</f>
        <v>0</v>
      </c>
    </row>
    <row r="412">
      <c r="A412" s="5" t="str">
        <f>IFERROR(__xludf.DUMMYFUNCTION("""COMPUTED_VALUE"""),"32582")</f>
        <v>32582</v>
      </c>
      <c r="B412" s="64">
        <f>IFERROR(__xludf.DUMMYFUNCTION("""COMPUTED_VALUE"""),44602.0)</f>
        <v>44602</v>
      </c>
      <c r="C412" s="5"/>
      <c r="D412" s="5"/>
      <c r="E412" s="5"/>
      <c r="F412" s="22">
        <f>IFERROR(__xludf.DUMMYFUNCTION("""COMPUTED_VALUE"""),500000.0)</f>
        <v>500000</v>
      </c>
      <c r="G412" s="22">
        <f>IFERROR(__xludf.DUMMYFUNCTION("""COMPUTED_VALUE"""),0.0)</f>
        <v>0</v>
      </c>
      <c r="H412" s="22">
        <f>IFERROR(__xludf.DUMMYFUNCTION("""COMPUTED_VALUE"""),500000.0)</f>
        <v>500000</v>
      </c>
      <c r="I412" s="24">
        <f>IFERROR(__xludf.DUMMYFUNCTION("""COMPUTED_VALUE"""),0.0)</f>
        <v>0</v>
      </c>
    </row>
    <row r="413">
      <c r="A413" s="5" t="str">
        <f>IFERROR(__xludf.DUMMYFUNCTION("""COMPUTED_VALUE"""),"32582")</f>
        <v>32582</v>
      </c>
      <c r="B413" s="64">
        <f>IFERROR(__xludf.DUMMYFUNCTION("""COMPUTED_VALUE"""),44603.0)</f>
        <v>44603</v>
      </c>
      <c r="C413" s="5"/>
      <c r="D413" s="5"/>
      <c r="E413" s="5"/>
      <c r="F413" s="22">
        <f>IFERROR(__xludf.DUMMYFUNCTION("""COMPUTED_VALUE"""),500000.0)</f>
        <v>500000</v>
      </c>
      <c r="G413" s="22">
        <f>IFERROR(__xludf.DUMMYFUNCTION("""COMPUTED_VALUE"""),0.0)</f>
        <v>0</v>
      </c>
      <c r="H413" s="22">
        <f>IFERROR(__xludf.DUMMYFUNCTION("""COMPUTED_VALUE"""),500000.0)</f>
        <v>500000</v>
      </c>
      <c r="I413" s="24">
        <f>IFERROR(__xludf.DUMMYFUNCTION("""COMPUTED_VALUE"""),0.0)</f>
        <v>0</v>
      </c>
    </row>
    <row r="414">
      <c r="A414" s="5" t="str">
        <f>IFERROR(__xludf.DUMMYFUNCTION("""COMPUTED_VALUE"""),"32582")</f>
        <v>32582</v>
      </c>
      <c r="B414" s="64">
        <f>IFERROR(__xludf.DUMMYFUNCTION("""COMPUTED_VALUE"""),44604.0)</f>
        <v>44604</v>
      </c>
      <c r="C414" s="5"/>
      <c r="D414" s="5"/>
      <c r="E414" s="5"/>
      <c r="F414" s="22">
        <f>IFERROR(__xludf.DUMMYFUNCTION("""COMPUTED_VALUE"""),500000.0)</f>
        <v>500000</v>
      </c>
      <c r="G414" s="22">
        <f>IFERROR(__xludf.DUMMYFUNCTION("""COMPUTED_VALUE"""),0.0)</f>
        <v>0</v>
      </c>
      <c r="H414" s="22">
        <f>IFERROR(__xludf.DUMMYFUNCTION("""COMPUTED_VALUE"""),500000.0)</f>
        <v>500000</v>
      </c>
      <c r="I414" s="24">
        <f>IFERROR(__xludf.DUMMYFUNCTION("""COMPUTED_VALUE"""),0.0)</f>
        <v>0</v>
      </c>
    </row>
    <row r="415">
      <c r="A415" s="5" t="str">
        <f>IFERROR(__xludf.DUMMYFUNCTION("""COMPUTED_VALUE"""),"32582")</f>
        <v>32582</v>
      </c>
      <c r="B415" s="64">
        <f>IFERROR(__xludf.DUMMYFUNCTION("""COMPUTED_VALUE"""),44605.0)</f>
        <v>44605</v>
      </c>
      <c r="C415" s="5"/>
      <c r="D415" s="5"/>
      <c r="E415" s="5"/>
      <c r="F415" s="22">
        <f>IFERROR(__xludf.DUMMYFUNCTION("""COMPUTED_VALUE"""),500000.0)</f>
        <v>500000</v>
      </c>
      <c r="G415" s="22">
        <f>IFERROR(__xludf.DUMMYFUNCTION("""COMPUTED_VALUE"""),0.0)</f>
        <v>0</v>
      </c>
      <c r="H415" s="22">
        <f>IFERROR(__xludf.DUMMYFUNCTION("""COMPUTED_VALUE"""),500000.0)</f>
        <v>500000</v>
      </c>
      <c r="I415" s="24">
        <f>IFERROR(__xludf.DUMMYFUNCTION("""COMPUTED_VALUE"""),0.0)</f>
        <v>0</v>
      </c>
    </row>
    <row r="416">
      <c r="A416" s="5" t="str">
        <f>IFERROR(__xludf.DUMMYFUNCTION("""COMPUTED_VALUE"""),"32582")</f>
        <v>32582</v>
      </c>
      <c r="B416" s="64">
        <f>IFERROR(__xludf.DUMMYFUNCTION("""COMPUTED_VALUE"""),44606.0)</f>
        <v>44606</v>
      </c>
      <c r="C416" s="5"/>
      <c r="D416" s="5"/>
      <c r="E416" s="5"/>
      <c r="F416" s="22">
        <f>IFERROR(__xludf.DUMMYFUNCTION("""COMPUTED_VALUE"""),500000.0)</f>
        <v>500000</v>
      </c>
      <c r="G416" s="22">
        <f>IFERROR(__xludf.DUMMYFUNCTION("""COMPUTED_VALUE"""),0.0)</f>
        <v>0</v>
      </c>
      <c r="H416" s="22">
        <f>IFERROR(__xludf.DUMMYFUNCTION("""COMPUTED_VALUE"""),500000.0)</f>
        <v>500000</v>
      </c>
      <c r="I416" s="24">
        <f>IFERROR(__xludf.DUMMYFUNCTION("""COMPUTED_VALUE"""),0.0)</f>
        <v>0</v>
      </c>
    </row>
    <row r="417">
      <c r="A417" s="5" t="str">
        <f>IFERROR(__xludf.DUMMYFUNCTION("""COMPUTED_VALUE"""),"32582")</f>
        <v>32582</v>
      </c>
      <c r="B417" s="64">
        <f>IFERROR(__xludf.DUMMYFUNCTION("""COMPUTED_VALUE"""),44607.0)</f>
        <v>44607</v>
      </c>
      <c r="C417" s="5"/>
      <c r="D417" s="5"/>
      <c r="E417" s="5"/>
      <c r="F417" s="22">
        <f>IFERROR(__xludf.DUMMYFUNCTION("""COMPUTED_VALUE"""),500000.0)</f>
        <v>500000</v>
      </c>
      <c r="G417" s="22">
        <f>IFERROR(__xludf.DUMMYFUNCTION("""COMPUTED_VALUE"""),0.0)</f>
        <v>0</v>
      </c>
      <c r="H417" s="22">
        <f>IFERROR(__xludf.DUMMYFUNCTION("""COMPUTED_VALUE"""),500000.0)</f>
        <v>500000</v>
      </c>
      <c r="I417" s="24">
        <f>IFERROR(__xludf.DUMMYFUNCTION("""COMPUTED_VALUE"""),0.0)</f>
        <v>0</v>
      </c>
    </row>
    <row r="418">
      <c r="A418" s="5" t="str">
        <f>IFERROR(__xludf.DUMMYFUNCTION("""COMPUTED_VALUE"""),"32582")</f>
        <v>32582</v>
      </c>
      <c r="B418" s="64">
        <f>IFERROR(__xludf.DUMMYFUNCTION("""COMPUTED_VALUE"""),44608.0)</f>
        <v>44608</v>
      </c>
      <c r="C418" s="5"/>
      <c r="D418" s="5"/>
      <c r="E418" s="5"/>
      <c r="F418" s="22">
        <f>IFERROR(__xludf.DUMMYFUNCTION("""COMPUTED_VALUE"""),500000.0)</f>
        <v>500000</v>
      </c>
      <c r="G418" s="22">
        <f>IFERROR(__xludf.DUMMYFUNCTION("""COMPUTED_VALUE"""),0.0)</f>
        <v>0</v>
      </c>
      <c r="H418" s="22">
        <f>IFERROR(__xludf.DUMMYFUNCTION("""COMPUTED_VALUE"""),500000.0)</f>
        <v>500000</v>
      </c>
      <c r="I418" s="24">
        <f>IFERROR(__xludf.DUMMYFUNCTION("""COMPUTED_VALUE"""),0.0)</f>
        <v>0</v>
      </c>
    </row>
    <row r="419">
      <c r="A419" s="5" t="str">
        <f>IFERROR(__xludf.DUMMYFUNCTION("""COMPUTED_VALUE"""),"32582")</f>
        <v>32582</v>
      </c>
      <c r="B419" s="64">
        <f>IFERROR(__xludf.DUMMYFUNCTION("""COMPUTED_VALUE"""),44609.0)</f>
        <v>44609</v>
      </c>
      <c r="C419" s="5"/>
      <c r="D419" s="5"/>
      <c r="E419" s="5"/>
      <c r="F419" s="22">
        <f>IFERROR(__xludf.DUMMYFUNCTION("""COMPUTED_VALUE"""),500000.0)</f>
        <v>500000</v>
      </c>
      <c r="G419" s="22">
        <f>IFERROR(__xludf.DUMMYFUNCTION("""COMPUTED_VALUE"""),0.0)</f>
        <v>0</v>
      </c>
      <c r="H419" s="22">
        <f>IFERROR(__xludf.DUMMYFUNCTION("""COMPUTED_VALUE"""),500000.0)</f>
        <v>500000</v>
      </c>
      <c r="I419" s="24">
        <f>IFERROR(__xludf.DUMMYFUNCTION("""COMPUTED_VALUE"""),0.0)</f>
        <v>0</v>
      </c>
    </row>
    <row r="420">
      <c r="A420" s="5" t="str">
        <f>IFERROR(__xludf.DUMMYFUNCTION("""COMPUTED_VALUE"""),"32582")</f>
        <v>32582</v>
      </c>
      <c r="B420" s="64">
        <f>IFERROR(__xludf.DUMMYFUNCTION("""COMPUTED_VALUE"""),44610.0)</f>
        <v>44610</v>
      </c>
      <c r="C420" s="5"/>
      <c r="D420" s="5"/>
      <c r="E420" s="5"/>
      <c r="F420" s="22">
        <f>IFERROR(__xludf.DUMMYFUNCTION("""COMPUTED_VALUE"""),500000.0)</f>
        <v>500000</v>
      </c>
      <c r="G420" s="22">
        <f>IFERROR(__xludf.DUMMYFUNCTION("""COMPUTED_VALUE"""),0.0)</f>
        <v>0</v>
      </c>
      <c r="H420" s="22">
        <f>IFERROR(__xludf.DUMMYFUNCTION("""COMPUTED_VALUE"""),500000.0)</f>
        <v>500000</v>
      </c>
      <c r="I420" s="24">
        <f>IFERROR(__xludf.DUMMYFUNCTION("""COMPUTED_VALUE"""),0.0)</f>
        <v>0</v>
      </c>
    </row>
    <row r="421">
      <c r="A421" s="5" t="str">
        <f>IFERROR(__xludf.DUMMYFUNCTION("""COMPUTED_VALUE"""),"32582")</f>
        <v>32582</v>
      </c>
      <c r="B421" s="64">
        <f>IFERROR(__xludf.DUMMYFUNCTION("""COMPUTED_VALUE"""),44611.0)</f>
        <v>44611</v>
      </c>
      <c r="C421" s="5"/>
      <c r="D421" s="5"/>
      <c r="E421" s="5"/>
      <c r="F421" s="22">
        <f>IFERROR(__xludf.DUMMYFUNCTION("""COMPUTED_VALUE"""),500000.0)</f>
        <v>500000</v>
      </c>
      <c r="G421" s="22">
        <f>IFERROR(__xludf.DUMMYFUNCTION("""COMPUTED_VALUE"""),0.0)</f>
        <v>0</v>
      </c>
      <c r="H421" s="22">
        <f>IFERROR(__xludf.DUMMYFUNCTION("""COMPUTED_VALUE"""),500000.0)</f>
        <v>500000</v>
      </c>
      <c r="I421" s="24">
        <f>IFERROR(__xludf.DUMMYFUNCTION("""COMPUTED_VALUE"""),0.0)</f>
        <v>0</v>
      </c>
    </row>
    <row r="422">
      <c r="A422" s="5" t="str">
        <f>IFERROR(__xludf.DUMMYFUNCTION("""COMPUTED_VALUE"""),"32582")</f>
        <v>32582</v>
      </c>
      <c r="B422" s="64">
        <f>IFERROR(__xludf.DUMMYFUNCTION("""COMPUTED_VALUE"""),44612.0)</f>
        <v>44612</v>
      </c>
      <c r="C422" s="5"/>
      <c r="D422" s="5"/>
      <c r="E422" s="5"/>
      <c r="F422" s="22">
        <f>IFERROR(__xludf.DUMMYFUNCTION("""COMPUTED_VALUE"""),500000.0)</f>
        <v>500000</v>
      </c>
      <c r="G422" s="22">
        <f>IFERROR(__xludf.DUMMYFUNCTION("""COMPUTED_VALUE"""),0.0)</f>
        <v>0</v>
      </c>
      <c r="H422" s="22">
        <f>IFERROR(__xludf.DUMMYFUNCTION("""COMPUTED_VALUE"""),500000.0)</f>
        <v>500000</v>
      </c>
      <c r="I422" s="24">
        <f>IFERROR(__xludf.DUMMYFUNCTION("""COMPUTED_VALUE"""),0.0)</f>
        <v>0</v>
      </c>
    </row>
    <row r="423">
      <c r="A423" s="5" t="str">
        <f>IFERROR(__xludf.DUMMYFUNCTION("""COMPUTED_VALUE"""),"32582")</f>
        <v>32582</v>
      </c>
      <c r="B423" s="64">
        <f>IFERROR(__xludf.DUMMYFUNCTION("""COMPUTED_VALUE"""),44613.0)</f>
        <v>44613</v>
      </c>
      <c r="C423" s="5"/>
      <c r="D423" s="5"/>
      <c r="E423" s="5"/>
      <c r="F423" s="22">
        <f>IFERROR(__xludf.DUMMYFUNCTION("""COMPUTED_VALUE"""),500000.0)</f>
        <v>500000</v>
      </c>
      <c r="G423" s="22">
        <f>IFERROR(__xludf.DUMMYFUNCTION("""COMPUTED_VALUE"""),0.0)</f>
        <v>0</v>
      </c>
      <c r="H423" s="22">
        <f>IFERROR(__xludf.DUMMYFUNCTION("""COMPUTED_VALUE"""),500000.0)</f>
        <v>500000</v>
      </c>
      <c r="I423" s="24">
        <f>IFERROR(__xludf.DUMMYFUNCTION("""COMPUTED_VALUE"""),0.0)</f>
        <v>0</v>
      </c>
    </row>
    <row r="424">
      <c r="A424" s="5" t="str">
        <f>IFERROR(__xludf.DUMMYFUNCTION("""COMPUTED_VALUE"""),"32582")</f>
        <v>32582</v>
      </c>
      <c r="B424" s="64">
        <f>IFERROR(__xludf.DUMMYFUNCTION("""COMPUTED_VALUE"""),44614.0)</f>
        <v>44614</v>
      </c>
      <c r="C424" s="5"/>
      <c r="D424" s="5"/>
      <c r="E424" s="5"/>
      <c r="F424" s="22">
        <f>IFERROR(__xludf.DUMMYFUNCTION("""COMPUTED_VALUE"""),500000.0)</f>
        <v>500000</v>
      </c>
      <c r="G424" s="22">
        <f>IFERROR(__xludf.DUMMYFUNCTION("""COMPUTED_VALUE"""),0.0)</f>
        <v>0</v>
      </c>
      <c r="H424" s="22">
        <f>IFERROR(__xludf.DUMMYFUNCTION("""COMPUTED_VALUE"""),500000.0)</f>
        <v>500000</v>
      </c>
      <c r="I424" s="24">
        <f>IFERROR(__xludf.DUMMYFUNCTION("""COMPUTED_VALUE"""),0.0)</f>
        <v>0</v>
      </c>
    </row>
    <row r="425">
      <c r="A425" s="5" t="str">
        <f>IFERROR(__xludf.DUMMYFUNCTION("""COMPUTED_VALUE"""),"32582")</f>
        <v>32582</v>
      </c>
      <c r="B425" s="64">
        <f>IFERROR(__xludf.DUMMYFUNCTION("""COMPUTED_VALUE"""),44615.0)</f>
        <v>44615</v>
      </c>
      <c r="C425" s="5"/>
      <c r="D425" s="5"/>
      <c r="E425" s="5"/>
      <c r="F425" s="22">
        <f>IFERROR(__xludf.DUMMYFUNCTION("""COMPUTED_VALUE"""),500000.0)</f>
        <v>500000</v>
      </c>
      <c r="G425" s="22">
        <f>IFERROR(__xludf.DUMMYFUNCTION("""COMPUTED_VALUE"""),0.0)</f>
        <v>0</v>
      </c>
      <c r="H425" s="22">
        <f>IFERROR(__xludf.DUMMYFUNCTION("""COMPUTED_VALUE"""),500000.0)</f>
        <v>500000</v>
      </c>
      <c r="I425" s="24">
        <f>IFERROR(__xludf.DUMMYFUNCTION("""COMPUTED_VALUE"""),0.0)</f>
        <v>0</v>
      </c>
    </row>
    <row r="426">
      <c r="A426" s="5" t="str">
        <f>IFERROR(__xludf.DUMMYFUNCTION("""COMPUTED_VALUE"""),"32582")</f>
        <v>32582</v>
      </c>
      <c r="B426" s="64">
        <f>IFERROR(__xludf.DUMMYFUNCTION("""COMPUTED_VALUE"""),44616.0)</f>
        <v>44616</v>
      </c>
      <c r="C426" s="5"/>
      <c r="D426" s="5"/>
      <c r="E426" s="5"/>
      <c r="F426" s="22">
        <f>IFERROR(__xludf.DUMMYFUNCTION("""COMPUTED_VALUE"""),500000.0)</f>
        <v>500000</v>
      </c>
      <c r="G426" s="22">
        <f>IFERROR(__xludf.DUMMYFUNCTION("""COMPUTED_VALUE"""),0.0)</f>
        <v>0</v>
      </c>
      <c r="H426" s="22">
        <f>IFERROR(__xludf.DUMMYFUNCTION("""COMPUTED_VALUE"""),500000.0)</f>
        <v>500000</v>
      </c>
      <c r="I426" s="24">
        <f>IFERROR(__xludf.DUMMYFUNCTION("""COMPUTED_VALUE"""),0.0)</f>
        <v>0</v>
      </c>
    </row>
    <row r="427">
      <c r="A427" s="5" t="str">
        <f>IFERROR(__xludf.DUMMYFUNCTION("""COMPUTED_VALUE"""),"32582")</f>
        <v>32582</v>
      </c>
      <c r="B427" s="64">
        <f>IFERROR(__xludf.DUMMYFUNCTION("""COMPUTED_VALUE"""),44617.0)</f>
        <v>44617</v>
      </c>
      <c r="C427" s="5"/>
      <c r="D427" s="5"/>
      <c r="E427" s="5"/>
      <c r="F427" s="22">
        <f>IFERROR(__xludf.DUMMYFUNCTION("""COMPUTED_VALUE"""),500000.0)</f>
        <v>500000</v>
      </c>
      <c r="G427" s="22">
        <f>IFERROR(__xludf.DUMMYFUNCTION("""COMPUTED_VALUE"""),0.0)</f>
        <v>0</v>
      </c>
      <c r="H427" s="22">
        <f>IFERROR(__xludf.DUMMYFUNCTION("""COMPUTED_VALUE"""),500000.0)</f>
        <v>500000</v>
      </c>
      <c r="I427" s="24">
        <f>IFERROR(__xludf.DUMMYFUNCTION("""COMPUTED_VALUE"""),0.0)</f>
        <v>0</v>
      </c>
    </row>
    <row r="428">
      <c r="A428" s="5" t="str">
        <f>IFERROR(__xludf.DUMMYFUNCTION("""COMPUTED_VALUE"""),"32582")</f>
        <v>32582</v>
      </c>
      <c r="B428" s="64">
        <f>IFERROR(__xludf.DUMMYFUNCTION("""COMPUTED_VALUE"""),44618.0)</f>
        <v>44618</v>
      </c>
      <c r="C428" s="5"/>
      <c r="D428" s="5"/>
      <c r="E428" s="5"/>
      <c r="F428" s="22">
        <f>IFERROR(__xludf.DUMMYFUNCTION("""COMPUTED_VALUE"""),500000.0)</f>
        <v>500000</v>
      </c>
      <c r="G428" s="22">
        <f>IFERROR(__xludf.DUMMYFUNCTION("""COMPUTED_VALUE"""),0.0)</f>
        <v>0</v>
      </c>
      <c r="H428" s="22">
        <f>IFERROR(__xludf.DUMMYFUNCTION("""COMPUTED_VALUE"""),500000.0)</f>
        <v>500000</v>
      </c>
      <c r="I428" s="24">
        <f>IFERROR(__xludf.DUMMYFUNCTION("""COMPUTED_VALUE"""),0.0)</f>
        <v>0</v>
      </c>
    </row>
    <row r="429">
      <c r="A429" s="5" t="str">
        <f>IFERROR(__xludf.DUMMYFUNCTION("""COMPUTED_VALUE"""),"32582")</f>
        <v>32582</v>
      </c>
      <c r="B429" s="64">
        <f>IFERROR(__xludf.DUMMYFUNCTION("""COMPUTED_VALUE"""),44619.0)</f>
        <v>44619</v>
      </c>
      <c r="C429" s="5"/>
      <c r="D429" s="5"/>
      <c r="E429" s="5"/>
      <c r="F429" s="22">
        <f>IFERROR(__xludf.DUMMYFUNCTION("""COMPUTED_VALUE"""),500000.0)</f>
        <v>500000</v>
      </c>
      <c r="G429" s="22">
        <f>IFERROR(__xludf.DUMMYFUNCTION("""COMPUTED_VALUE"""),0.0)</f>
        <v>0</v>
      </c>
      <c r="H429" s="22">
        <f>IFERROR(__xludf.DUMMYFUNCTION("""COMPUTED_VALUE"""),500000.0)</f>
        <v>500000</v>
      </c>
      <c r="I429" s="24">
        <f>IFERROR(__xludf.DUMMYFUNCTION("""COMPUTED_VALUE"""),0.0)</f>
        <v>0</v>
      </c>
    </row>
    <row r="430">
      <c r="A430" s="5" t="str">
        <f>IFERROR(__xludf.DUMMYFUNCTION("""COMPUTED_VALUE"""),"32582")</f>
        <v>32582</v>
      </c>
      <c r="B430" s="64">
        <f>IFERROR(__xludf.DUMMYFUNCTION("""COMPUTED_VALUE"""),44620.0)</f>
        <v>44620</v>
      </c>
      <c r="C430" s="5"/>
      <c r="D430" s="5"/>
      <c r="E430" s="5"/>
      <c r="F430" s="22">
        <f>IFERROR(__xludf.DUMMYFUNCTION("""COMPUTED_VALUE"""),500000.0)</f>
        <v>500000</v>
      </c>
      <c r="G430" s="22">
        <f>IFERROR(__xludf.DUMMYFUNCTION("""COMPUTED_VALUE"""),0.0)</f>
        <v>0</v>
      </c>
      <c r="H430" s="22">
        <f>IFERROR(__xludf.DUMMYFUNCTION("""COMPUTED_VALUE"""),500000.0)</f>
        <v>500000</v>
      </c>
      <c r="I430" s="24">
        <f>IFERROR(__xludf.DUMMYFUNCTION("""COMPUTED_VALUE"""),0.0)</f>
        <v>0</v>
      </c>
    </row>
    <row r="431">
      <c r="A431" s="5" t="str">
        <f>IFERROR(__xludf.DUMMYFUNCTION("""COMPUTED_VALUE"""),"32582")</f>
        <v>32582</v>
      </c>
      <c r="B431" s="64">
        <f>IFERROR(__xludf.DUMMYFUNCTION("""COMPUTED_VALUE"""),44621.0)</f>
        <v>44621</v>
      </c>
      <c r="C431" s="5"/>
      <c r="D431" s="5"/>
      <c r="E431" s="5"/>
      <c r="F431" s="22">
        <f>IFERROR(__xludf.DUMMYFUNCTION("""COMPUTED_VALUE"""),500000.0)</f>
        <v>500000</v>
      </c>
      <c r="G431" s="22">
        <f>IFERROR(__xludf.DUMMYFUNCTION("""COMPUTED_VALUE"""),0.0)</f>
        <v>0</v>
      </c>
      <c r="H431" s="22">
        <f>IFERROR(__xludf.DUMMYFUNCTION("""COMPUTED_VALUE"""),500000.0)</f>
        <v>500000</v>
      </c>
      <c r="I431" s="24">
        <f>IFERROR(__xludf.DUMMYFUNCTION("""COMPUTED_VALUE"""),0.0)</f>
        <v>0</v>
      </c>
    </row>
    <row r="432">
      <c r="A432" s="5" t="str">
        <f>IFERROR(__xludf.DUMMYFUNCTION("""COMPUTED_VALUE"""),"32582")</f>
        <v>32582</v>
      </c>
      <c r="B432" s="64">
        <f>IFERROR(__xludf.DUMMYFUNCTION("""COMPUTED_VALUE"""),44622.0)</f>
        <v>44622</v>
      </c>
      <c r="C432" s="5"/>
      <c r="D432" s="5"/>
      <c r="E432" s="5"/>
      <c r="F432" s="22">
        <f>IFERROR(__xludf.DUMMYFUNCTION("""COMPUTED_VALUE"""),500000.0)</f>
        <v>500000</v>
      </c>
      <c r="G432" s="22">
        <f>IFERROR(__xludf.DUMMYFUNCTION("""COMPUTED_VALUE"""),0.0)</f>
        <v>0</v>
      </c>
      <c r="H432" s="22">
        <f>IFERROR(__xludf.DUMMYFUNCTION("""COMPUTED_VALUE"""),500000.0)</f>
        <v>500000</v>
      </c>
      <c r="I432" s="24">
        <f>IFERROR(__xludf.DUMMYFUNCTION("""COMPUTED_VALUE"""),0.0)</f>
        <v>0</v>
      </c>
    </row>
    <row r="433">
      <c r="A433" s="5" t="str">
        <f>IFERROR(__xludf.DUMMYFUNCTION("""COMPUTED_VALUE"""),"32582")</f>
        <v>32582</v>
      </c>
      <c r="B433" s="64">
        <f>IFERROR(__xludf.DUMMYFUNCTION("""COMPUTED_VALUE"""),44623.0)</f>
        <v>44623</v>
      </c>
      <c r="C433" s="5"/>
      <c r="D433" s="5"/>
      <c r="E433" s="5"/>
      <c r="F433" s="22">
        <f>IFERROR(__xludf.DUMMYFUNCTION("""COMPUTED_VALUE"""),500000.0)</f>
        <v>500000</v>
      </c>
      <c r="G433" s="22">
        <f>IFERROR(__xludf.DUMMYFUNCTION("""COMPUTED_VALUE"""),0.0)</f>
        <v>0</v>
      </c>
      <c r="H433" s="22">
        <f>IFERROR(__xludf.DUMMYFUNCTION("""COMPUTED_VALUE"""),500000.0)</f>
        <v>500000</v>
      </c>
      <c r="I433" s="24">
        <f>IFERROR(__xludf.DUMMYFUNCTION("""COMPUTED_VALUE"""),0.0)</f>
        <v>0</v>
      </c>
    </row>
    <row r="434">
      <c r="A434" s="5" t="str">
        <f>IFERROR(__xludf.DUMMYFUNCTION("""COMPUTED_VALUE"""),"32582")</f>
        <v>32582</v>
      </c>
      <c r="B434" s="64">
        <f>IFERROR(__xludf.DUMMYFUNCTION("""COMPUTED_VALUE"""),44624.0)</f>
        <v>44624</v>
      </c>
      <c r="C434" s="5"/>
      <c r="D434" s="5"/>
      <c r="E434" s="5"/>
      <c r="F434" s="22">
        <f>IFERROR(__xludf.DUMMYFUNCTION("""COMPUTED_VALUE"""),500000.0)</f>
        <v>500000</v>
      </c>
      <c r="G434" s="22">
        <f>IFERROR(__xludf.DUMMYFUNCTION("""COMPUTED_VALUE"""),0.0)</f>
        <v>0</v>
      </c>
      <c r="H434" s="22">
        <f>IFERROR(__xludf.DUMMYFUNCTION("""COMPUTED_VALUE"""),500000.0)</f>
        <v>500000</v>
      </c>
      <c r="I434" s="24">
        <f>IFERROR(__xludf.DUMMYFUNCTION("""COMPUTED_VALUE"""),0.0)</f>
        <v>0</v>
      </c>
    </row>
    <row r="435">
      <c r="A435" s="5" t="str">
        <f>IFERROR(__xludf.DUMMYFUNCTION("""COMPUTED_VALUE"""),"32582")</f>
        <v>32582</v>
      </c>
      <c r="B435" s="64">
        <f>IFERROR(__xludf.DUMMYFUNCTION("""COMPUTED_VALUE"""),44625.0)</f>
        <v>44625</v>
      </c>
      <c r="C435" s="5"/>
      <c r="D435" s="5"/>
      <c r="E435" s="5"/>
      <c r="F435" s="22">
        <f>IFERROR(__xludf.DUMMYFUNCTION("""COMPUTED_VALUE"""),500000.0)</f>
        <v>500000</v>
      </c>
      <c r="G435" s="22">
        <f>IFERROR(__xludf.DUMMYFUNCTION("""COMPUTED_VALUE"""),0.0)</f>
        <v>0</v>
      </c>
      <c r="H435" s="22">
        <f>IFERROR(__xludf.DUMMYFUNCTION("""COMPUTED_VALUE"""),500000.0)</f>
        <v>500000</v>
      </c>
      <c r="I435" s="24">
        <f>IFERROR(__xludf.DUMMYFUNCTION("""COMPUTED_VALUE"""),0.0)</f>
        <v>0</v>
      </c>
    </row>
    <row r="436">
      <c r="A436" s="5" t="str">
        <f>IFERROR(__xludf.DUMMYFUNCTION("""COMPUTED_VALUE"""),"32582")</f>
        <v>32582</v>
      </c>
      <c r="B436" s="64">
        <f>IFERROR(__xludf.DUMMYFUNCTION("""COMPUTED_VALUE"""),44626.0)</f>
        <v>44626</v>
      </c>
      <c r="C436" s="5"/>
      <c r="D436" s="5"/>
      <c r="E436" s="5"/>
      <c r="F436" s="22">
        <f>IFERROR(__xludf.DUMMYFUNCTION("""COMPUTED_VALUE"""),500000.0)</f>
        <v>500000</v>
      </c>
      <c r="G436" s="22">
        <f>IFERROR(__xludf.DUMMYFUNCTION("""COMPUTED_VALUE"""),0.0)</f>
        <v>0</v>
      </c>
      <c r="H436" s="22">
        <f>IFERROR(__xludf.DUMMYFUNCTION("""COMPUTED_VALUE"""),500000.0)</f>
        <v>500000</v>
      </c>
      <c r="I436" s="24">
        <f>IFERROR(__xludf.DUMMYFUNCTION("""COMPUTED_VALUE"""),0.0)</f>
        <v>0</v>
      </c>
    </row>
    <row r="437">
      <c r="A437" s="5" t="str">
        <f>IFERROR(__xludf.DUMMYFUNCTION("""COMPUTED_VALUE"""),"32582")</f>
        <v>32582</v>
      </c>
      <c r="B437" s="64">
        <f>IFERROR(__xludf.DUMMYFUNCTION("""COMPUTED_VALUE"""),44627.0)</f>
        <v>44627</v>
      </c>
      <c r="C437" s="5"/>
      <c r="D437" s="5"/>
      <c r="E437" s="5"/>
      <c r="F437" s="22">
        <f>IFERROR(__xludf.DUMMYFUNCTION("""COMPUTED_VALUE"""),500000.0)</f>
        <v>500000</v>
      </c>
      <c r="G437" s="22">
        <f>IFERROR(__xludf.DUMMYFUNCTION("""COMPUTED_VALUE"""),0.0)</f>
        <v>0</v>
      </c>
      <c r="H437" s="22">
        <f>IFERROR(__xludf.DUMMYFUNCTION("""COMPUTED_VALUE"""),500000.0)</f>
        <v>500000</v>
      </c>
      <c r="I437" s="24">
        <f>IFERROR(__xludf.DUMMYFUNCTION("""COMPUTED_VALUE"""),0.0)</f>
        <v>0</v>
      </c>
    </row>
    <row r="438">
      <c r="A438" s="5" t="str">
        <f>IFERROR(__xludf.DUMMYFUNCTION("""COMPUTED_VALUE"""),"32582")</f>
        <v>32582</v>
      </c>
      <c r="B438" s="64">
        <f>IFERROR(__xludf.DUMMYFUNCTION("""COMPUTED_VALUE"""),44628.0)</f>
        <v>44628</v>
      </c>
      <c r="C438" s="5"/>
      <c r="D438" s="5"/>
      <c r="E438" s="5"/>
      <c r="F438" s="22">
        <f>IFERROR(__xludf.DUMMYFUNCTION("""COMPUTED_VALUE"""),500000.0)</f>
        <v>500000</v>
      </c>
      <c r="G438" s="22">
        <f>IFERROR(__xludf.DUMMYFUNCTION("""COMPUTED_VALUE"""),0.0)</f>
        <v>0</v>
      </c>
      <c r="H438" s="22">
        <f>IFERROR(__xludf.DUMMYFUNCTION("""COMPUTED_VALUE"""),500000.0)</f>
        <v>500000</v>
      </c>
      <c r="I438" s="24">
        <f>IFERROR(__xludf.DUMMYFUNCTION("""COMPUTED_VALUE"""),0.0)</f>
        <v>0</v>
      </c>
    </row>
    <row r="439">
      <c r="A439" s="5" t="str">
        <f>IFERROR(__xludf.DUMMYFUNCTION("""COMPUTED_VALUE"""),"32582")</f>
        <v>32582</v>
      </c>
      <c r="B439" s="64">
        <f>IFERROR(__xludf.DUMMYFUNCTION("""COMPUTED_VALUE"""),44629.0)</f>
        <v>44629</v>
      </c>
      <c r="C439" s="5"/>
      <c r="D439" s="5"/>
      <c r="E439" s="5"/>
      <c r="F439" s="22">
        <f>IFERROR(__xludf.DUMMYFUNCTION("""COMPUTED_VALUE"""),500000.0)</f>
        <v>500000</v>
      </c>
      <c r="G439" s="22">
        <f>IFERROR(__xludf.DUMMYFUNCTION("""COMPUTED_VALUE"""),0.0)</f>
        <v>0</v>
      </c>
      <c r="H439" s="22">
        <f>IFERROR(__xludf.DUMMYFUNCTION("""COMPUTED_VALUE"""),500000.0)</f>
        <v>500000</v>
      </c>
      <c r="I439" s="24">
        <f>IFERROR(__xludf.DUMMYFUNCTION("""COMPUTED_VALUE"""),0.0)</f>
        <v>0</v>
      </c>
    </row>
    <row r="440">
      <c r="A440" s="5" t="str">
        <f>IFERROR(__xludf.DUMMYFUNCTION("""COMPUTED_VALUE"""),"32582")</f>
        <v>32582</v>
      </c>
      <c r="B440" s="64">
        <f>IFERROR(__xludf.DUMMYFUNCTION("""COMPUTED_VALUE"""),44630.0)</f>
        <v>44630</v>
      </c>
      <c r="C440" s="5"/>
      <c r="D440" s="5"/>
      <c r="E440" s="5"/>
      <c r="F440" s="22">
        <f>IFERROR(__xludf.DUMMYFUNCTION("""COMPUTED_VALUE"""),500000.0)</f>
        <v>500000</v>
      </c>
      <c r="G440" s="22">
        <f>IFERROR(__xludf.DUMMYFUNCTION("""COMPUTED_VALUE"""),0.0)</f>
        <v>0</v>
      </c>
      <c r="H440" s="22">
        <f>IFERROR(__xludf.DUMMYFUNCTION("""COMPUTED_VALUE"""),500000.0)</f>
        <v>500000</v>
      </c>
      <c r="I440" s="24">
        <f>IFERROR(__xludf.DUMMYFUNCTION("""COMPUTED_VALUE"""),0.0)</f>
        <v>0</v>
      </c>
    </row>
    <row r="441">
      <c r="A441" s="5" t="str">
        <f>IFERROR(__xludf.DUMMYFUNCTION("""COMPUTED_VALUE"""),"32582")</f>
        <v>32582</v>
      </c>
      <c r="B441" s="64">
        <f>IFERROR(__xludf.DUMMYFUNCTION("""COMPUTED_VALUE"""),44631.0)</f>
        <v>44631</v>
      </c>
      <c r="C441" s="5"/>
      <c r="D441" s="5"/>
      <c r="E441" s="5"/>
      <c r="F441" s="22">
        <f>IFERROR(__xludf.DUMMYFUNCTION("""COMPUTED_VALUE"""),500000.0)</f>
        <v>500000</v>
      </c>
      <c r="G441" s="22">
        <f>IFERROR(__xludf.DUMMYFUNCTION("""COMPUTED_VALUE"""),0.0)</f>
        <v>0</v>
      </c>
      <c r="H441" s="22">
        <f>IFERROR(__xludf.DUMMYFUNCTION("""COMPUTED_VALUE"""),500000.0)</f>
        <v>500000</v>
      </c>
      <c r="I441" s="24">
        <f>IFERROR(__xludf.DUMMYFUNCTION("""COMPUTED_VALUE"""),0.0)</f>
        <v>0</v>
      </c>
    </row>
    <row r="442">
      <c r="A442" s="5" t="str">
        <f>IFERROR(__xludf.DUMMYFUNCTION("""COMPUTED_VALUE"""),"32582")</f>
        <v>32582</v>
      </c>
      <c r="B442" s="64">
        <f>IFERROR(__xludf.DUMMYFUNCTION("""COMPUTED_VALUE"""),44632.0)</f>
        <v>44632</v>
      </c>
      <c r="C442" s="5"/>
      <c r="D442" s="5"/>
      <c r="E442" s="5"/>
      <c r="F442" s="22">
        <f>IFERROR(__xludf.DUMMYFUNCTION("""COMPUTED_VALUE"""),500000.0)</f>
        <v>500000</v>
      </c>
      <c r="G442" s="22">
        <f>IFERROR(__xludf.DUMMYFUNCTION("""COMPUTED_VALUE"""),0.0)</f>
        <v>0</v>
      </c>
      <c r="H442" s="22">
        <f>IFERROR(__xludf.DUMMYFUNCTION("""COMPUTED_VALUE"""),500000.0)</f>
        <v>500000</v>
      </c>
      <c r="I442" s="24">
        <f>IFERROR(__xludf.DUMMYFUNCTION("""COMPUTED_VALUE"""),0.0)</f>
        <v>0</v>
      </c>
    </row>
    <row r="443">
      <c r="A443" s="5" t="str">
        <f>IFERROR(__xludf.DUMMYFUNCTION("""COMPUTED_VALUE"""),"32582")</f>
        <v>32582</v>
      </c>
      <c r="B443" s="64">
        <f>IFERROR(__xludf.DUMMYFUNCTION("""COMPUTED_VALUE"""),44633.0)</f>
        <v>44633</v>
      </c>
      <c r="C443" s="5"/>
      <c r="D443" s="5"/>
      <c r="E443" s="5"/>
      <c r="F443" s="22">
        <f>IFERROR(__xludf.DUMMYFUNCTION("""COMPUTED_VALUE"""),500000.0)</f>
        <v>500000</v>
      </c>
      <c r="G443" s="22">
        <f>IFERROR(__xludf.DUMMYFUNCTION("""COMPUTED_VALUE"""),0.0)</f>
        <v>0</v>
      </c>
      <c r="H443" s="22">
        <f>IFERROR(__xludf.DUMMYFUNCTION("""COMPUTED_VALUE"""),500000.0)</f>
        <v>500000</v>
      </c>
      <c r="I443" s="24">
        <f>IFERROR(__xludf.DUMMYFUNCTION("""COMPUTED_VALUE"""),0.0)</f>
        <v>0</v>
      </c>
    </row>
    <row r="444">
      <c r="A444" s="5" t="str">
        <f>IFERROR(__xludf.DUMMYFUNCTION("""COMPUTED_VALUE"""),"32582")</f>
        <v>32582</v>
      </c>
      <c r="B444" s="64">
        <f>IFERROR(__xludf.DUMMYFUNCTION("""COMPUTED_VALUE"""),44634.0)</f>
        <v>44634</v>
      </c>
      <c r="C444" s="5"/>
      <c r="D444" s="5"/>
      <c r="E444" s="5"/>
      <c r="F444" s="22">
        <f>IFERROR(__xludf.DUMMYFUNCTION("""COMPUTED_VALUE"""),500000.0)</f>
        <v>500000</v>
      </c>
      <c r="G444" s="22">
        <f>IFERROR(__xludf.DUMMYFUNCTION("""COMPUTED_VALUE"""),0.0)</f>
        <v>0</v>
      </c>
      <c r="H444" s="22">
        <f>IFERROR(__xludf.DUMMYFUNCTION("""COMPUTED_VALUE"""),500000.0)</f>
        <v>500000</v>
      </c>
      <c r="I444" s="24">
        <f>IFERROR(__xludf.DUMMYFUNCTION("""COMPUTED_VALUE"""),0.0)</f>
        <v>0</v>
      </c>
    </row>
    <row r="445">
      <c r="A445" s="5" t="str">
        <f>IFERROR(__xludf.DUMMYFUNCTION("""COMPUTED_VALUE"""),"32582")</f>
        <v>32582</v>
      </c>
      <c r="B445" s="64">
        <f>IFERROR(__xludf.DUMMYFUNCTION("""COMPUTED_VALUE"""),44635.0)</f>
        <v>44635</v>
      </c>
      <c r="C445" s="5"/>
      <c r="D445" s="5"/>
      <c r="E445" s="5"/>
      <c r="F445" s="22">
        <f>IFERROR(__xludf.DUMMYFUNCTION("""COMPUTED_VALUE"""),500000.0)</f>
        <v>500000</v>
      </c>
      <c r="G445" s="22">
        <f>IFERROR(__xludf.DUMMYFUNCTION("""COMPUTED_VALUE"""),0.0)</f>
        <v>0</v>
      </c>
      <c r="H445" s="22">
        <f>IFERROR(__xludf.DUMMYFUNCTION("""COMPUTED_VALUE"""),500000.0)</f>
        <v>500000</v>
      </c>
      <c r="I445" s="24">
        <f>IFERROR(__xludf.DUMMYFUNCTION("""COMPUTED_VALUE"""),0.0)</f>
        <v>0</v>
      </c>
    </row>
    <row r="446">
      <c r="A446" s="5" t="str">
        <f>IFERROR(__xludf.DUMMYFUNCTION("""COMPUTED_VALUE"""),"32582")</f>
        <v>32582</v>
      </c>
      <c r="B446" s="64">
        <f>IFERROR(__xludf.DUMMYFUNCTION("""COMPUTED_VALUE"""),44636.0)</f>
        <v>44636</v>
      </c>
      <c r="C446" s="5"/>
      <c r="D446" s="5"/>
      <c r="E446" s="5"/>
      <c r="F446" s="22">
        <f>IFERROR(__xludf.DUMMYFUNCTION("""COMPUTED_VALUE"""),500000.0)</f>
        <v>500000</v>
      </c>
      <c r="G446" s="22">
        <f>IFERROR(__xludf.DUMMYFUNCTION("""COMPUTED_VALUE"""),0.0)</f>
        <v>0</v>
      </c>
      <c r="H446" s="22">
        <f>IFERROR(__xludf.DUMMYFUNCTION("""COMPUTED_VALUE"""),500000.0)</f>
        <v>500000</v>
      </c>
      <c r="I446" s="24">
        <f>IFERROR(__xludf.DUMMYFUNCTION("""COMPUTED_VALUE"""),0.0)</f>
        <v>0</v>
      </c>
    </row>
    <row r="447">
      <c r="A447" s="5" t="str">
        <f>IFERROR(__xludf.DUMMYFUNCTION("""COMPUTED_VALUE"""),"32582")</f>
        <v>32582</v>
      </c>
      <c r="B447" s="64">
        <f>IFERROR(__xludf.DUMMYFUNCTION("""COMPUTED_VALUE"""),44637.0)</f>
        <v>44637</v>
      </c>
      <c r="C447" s="5"/>
      <c r="D447" s="5"/>
      <c r="E447" s="5"/>
      <c r="F447" s="22">
        <f>IFERROR(__xludf.DUMMYFUNCTION("""COMPUTED_VALUE"""),500000.0)</f>
        <v>500000</v>
      </c>
      <c r="G447" s="22">
        <f>IFERROR(__xludf.DUMMYFUNCTION("""COMPUTED_VALUE"""),0.0)</f>
        <v>0</v>
      </c>
      <c r="H447" s="22">
        <f>IFERROR(__xludf.DUMMYFUNCTION("""COMPUTED_VALUE"""),500000.0)</f>
        <v>500000</v>
      </c>
      <c r="I447" s="24">
        <f>IFERROR(__xludf.DUMMYFUNCTION("""COMPUTED_VALUE"""),0.0)</f>
        <v>0</v>
      </c>
    </row>
    <row r="448">
      <c r="A448" s="5" t="str">
        <f>IFERROR(__xludf.DUMMYFUNCTION("""COMPUTED_VALUE"""),"32582")</f>
        <v>32582</v>
      </c>
      <c r="B448" s="64">
        <f>IFERROR(__xludf.DUMMYFUNCTION("""COMPUTED_VALUE"""),44638.0)</f>
        <v>44638</v>
      </c>
      <c r="C448" s="5"/>
      <c r="D448" s="5"/>
      <c r="E448" s="5"/>
      <c r="F448" s="22">
        <f>IFERROR(__xludf.DUMMYFUNCTION("""COMPUTED_VALUE"""),500000.0)</f>
        <v>500000</v>
      </c>
      <c r="G448" s="22">
        <f>IFERROR(__xludf.DUMMYFUNCTION("""COMPUTED_VALUE"""),0.0)</f>
        <v>0</v>
      </c>
      <c r="H448" s="22">
        <f>IFERROR(__xludf.DUMMYFUNCTION("""COMPUTED_VALUE"""),500000.0)</f>
        <v>500000</v>
      </c>
      <c r="I448" s="24">
        <f>IFERROR(__xludf.DUMMYFUNCTION("""COMPUTED_VALUE"""),0.0)</f>
        <v>0</v>
      </c>
    </row>
    <row r="449">
      <c r="A449" s="5" t="str">
        <f>IFERROR(__xludf.DUMMYFUNCTION("""COMPUTED_VALUE"""),"32582")</f>
        <v>32582</v>
      </c>
      <c r="B449" s="64">
        <f>IFERROR(__xludf.DUMMYFUNCTION("""COMPUTED_VALUE"""),44639.0)</f>
        <v>44639</v>
      </c>
      <c r="C449" s="5"/>
      <c r="D449" s="5"/>
      <c r="E449" s="5"/>
      <c r="F449" s="22">
        <f>IFERROR(__xludf.DUMMYFUNCTION("""COMPUTED_VALUE"""),500000.0)</f>
        <v>500000</v>
      </c>
      <c r="G449" s="22">
        <f>IFERROR(__xludf.DUMMYFUNCTION("""COMPUTED_VALUE"""),0.0)</f>
        <v>0</v>
      </c>
      <c r="H449" s="22">
        <f>IFERROR(__xludf.DUMMYFUNCTION("""COMPUTED_VALUE"""),500000.0)</f>
        <v>500000</v>
      </c>
      <c r="I449" s="24">
        <f>IFERROR(__xludf.DUMMYFUNCTION("""COMPUTED_VALUE"""),0.0)</f>
        <v>0</v>
      </c>
    </row>
    <row r="450">
      <c r="A450" s="5" t="str">
        <f>IFERROR(__xludf.DUMMYFUNCTION("""COMPUTED_VALUE"""),"32582")</f>
        <v>32582</v>
      </c>
      <c r="B450" s="64">
        <f>IFERROR(__xludf.DUMMYFUNCTION("""COMPUTED_VALUE"""),44640.0)</f>
        <v>44640</v>
      </c>
      <c r="C450" s="5"/>
      <c r="D450" s="5"/>
      <c r="E450" s="5"/>
      <c r="F450" s="22">
        <f>IFERROR(__xludf.DUMMYFUNCTION("""COMPUTED_VALUE"""),500000.0)</f>
        <v>500000</v>
      </c>
      <c r="G450" s="22">
        <f>IFERROR(__xludf.DUMMYFUNCTION("""COMPUTED_VALUE"""),0.0)</f>
        <v>0</v>
      </c>
      <c r="H450" s="22">
        <f>IFERROR(__xludf.DUMMYFUNCTION("""COMPUTED_VALUE"""),500000.0)</f>
        <v>500000</v>
      </c>
      <c r="I450" s="24">
        <f>IFERROR(__xludf.DUMMYFUNCTION("""COMPUTED_VALUE"""),0.0)</f>
        <v>0</v>
      </c>
    </row>
    <row r="451">
      <c r="A451" s="5" t="str">
        <f>IFERROR(__xludf.DUMMYFUNCTION("""COMPUTED_VALUE"""),"32582")</f>
        <v>32582</v>
      </c>
      <c r="B451" s="64">
        <f>IFERROR(__xludf.DUMMYFUNCTION("""COMPUTED_VALUE"""),44641.0)</f>
        <v>44641</v>
      </c>
      <c r="C451" s="5"/>
      <c r="D451" s="5"/>
      <c r="E451" s="5"/>
      <c r="F451" s="22">
        <f>IFERROR(__xludf.DUMMYFUNCTION("""COMPUTED_VALUE"""),500000.0)</f>
        <v>500000</v>
      </c>
      <c r="G451" s="22">
        <f>IFERROR(__xludf.DUMMYFUNCTION("""COMPUTED_VALUE"""),0.0)</f>
        <v>0</v>
      </c>
      <c r="H451" s="22">
        <f>IFERROR(__xludf.DUMMYFUNCTION("""COMPUTED_VALUE"""),500000.0)</f>
        <v>500000</v>
      </c>
      <c r="I451" s="24">
        <f>IFERROR(__xludf.DUMMYFUNCTION("""COMPUTED_VALUE"""),0.0)</f>
        <v>0</v>
      </c>
    </row>
    <row r="452">
      <c r="A452" s="5" t="str">
        <f>IFERROR(__xludf.DUMMYFUNCTION("""COMPUTED_VALUE"""),"32582")</f>
        <v>32582</v>
      </c>
      <c r="B452" s="64">
        <f>IFERROR(__xludf.DUMMYFUNCTION("""COMPUTED_VALUE"""),44642.0)</f>
        <v>44642</v>
      </c>
      <c r="C452" s="5"/>
      <c r="D452" s="5"/>
      <c r="E452" s="5"/>
      <c r="F452" s="22">
        <f>IFERROR(__xludf.DUMMYFUNCTION("""COMPUTED_VALUE"""),500000.0)</f>
        <v>500000</v>
      </c>
      <c r="G452" s="22">
        <f>IFERROR(__xludf.DUMMYFUNCTION("""COMPUTED_VALUE"""),0.0)</f>
        <v>0</v>
      </c>
      <c r="H452" s="22">
        <f>IFERROR(__xludf.DUMMYFUNCTION("""COMPUTED_VALUE"""),500000.0)</f>
        <v>500000</v>
      </c>
      <c r="I452" s="24">
        <f>IFERROR(__xludf.DUMMYFUNCTION("""COMPUTED_VALUE"""),0.0)</f>
        <v>0</v>
      </c>
    </row>
    <row r="453">
      <c r="A453" s="5" t="str">
        <f>IFERROR(__xludf.DUMMYFUNCTION("""COMPUTED_VALUE"""),"32582")</f>
        <v>32582</v>
      </c>
      <c r="B453" s="64">
        <f>IFERROR(__xludf.DUMMYFUNCTION("""COMPUTED_VALUE"""),44643.0)</f>
        <v>44643</v>
      </c>
      <c r="C453" s="5"/>
      <c r="D453" s="5"/>
      <c r="E453" s="5"/>
      <c r="F453" s="22">
        <f>IFERROR(__xludf.DUMMYFUNCTION("""COMPUTED_VALUE"""),500000.0)</f>
        <v>500000</v>
      </c>
      <c r="G453" s="22">
        <f>IFERROR(__xludf.DUMMYFUNCTION("""COMPUTED_VALUE"""),0.0)</f>
        <v>0</v>
      </c>
      <c r="H453" s="22">
        <f>IFERROR(__xludf.DUMMYFUNCTION("""COMPUTED_VALUE"""),500000.0)</f>
        <v>500000</v>
      </c>
      <c r="I453" s="24">
        <f>IFERROR(__xludf.DUMMYFUNCTION("""COMPUTED_VALUE"""),0.0)</f>
        <v>0</v>
      </c>
    </row>
    <row r="454">
      <c r="A454" s="5" t="str">
        <f>IFERROR(__xludf.DUMMYFUNCTION("""COMPUTED_VALUE"""),"32582")</f>
        <v>32582</v>
      </c>
      <c r="B454" s="64">
        <f>IFERROR(__xludf.DUMMYFUNCTION("""COMPUTED_VALUE"""),44644.0)</f>
        <v>44644</v>
      </c>
      <c r="C454" s="5"/>
      <c r="D454" s="5"/>
      <c r="E454" s="5"/>
      <c r="F454" s="22">
        <f>IFERROR(__xludf.DUMMYFUNCTION("""COMPUTED_VALUE"""),500000.0)</f>
        <v>500000</v>
      </c>
      <c r="G454" s="22">
        <f>IFERROR(__xludf.DUMMYFUNCTION("""COMPUTED_VALUE"""),0.0)</f>
        <v>0</v>
      </c>
      <c r="H454" s="22">
        <f>IFERROR(__xludf.DUMMYFUNCTION("""COMPUTED_VALUE"""),500000.0)</f>
        <v>500000</v>
      </c>
      <c r="I454" s="24">
        <f>IFERROR(__xludf.DUMMYFUNCTION("""COMPUTED_VALUE"""),0.0)</f>
        <v>0</v>
      </c>
    </row>
    <row r="455">
      <c r="A455" s="5" t="str">
        <f>IFERROR(__xludf.DUMMYFUNCTION("""COMPUTED_VALUE"""),"32582")</f>
        <v>32582</v>
      </c>
      <c r="B455" s="64">
        <f>IFERROR(__xludf.DUMMYFUNCTION("""COMPUTED_VALUE"""),44645.0)</f>
        <v>44645</v>
      </c>
      <c r="C455" s="5"/>
      <c r="D455" s="5"/>
      <c r="E455" s="5"/>
      <c r="F455" s="22">
        <f>IFERROR(__xludf.DUMMYFUNCTION("""COMPUTED_VALUE"""),500000.0)</f>
        <v>500000</v>
      </c>
      <c r="G455" s="22">
        <f>IFERROR(__xludf.DUMMYFUNCTION("""COMPUTED_VALUE"""),0.0)</f>
        <v>0</v>
      </c>
      <c r="H455" s="22">
        <f>IFERROR(__xludf.DUMMYFUNCTION("""COMPUTED_VALUE"""),500000.0)</f>
        <v>500000</v>
      </c>
      <c r="I455" s="24">
        <f>IFERROR(__xludf.DUMMYFUNCTION("""COMPUTED_VALUE"""),0.0)</f>
        <v>0</v>
      </c>
    </row>
    <row r="456">
      <c r="A456" s="5" t="str">
        <f>IFERROR(__xludf.DUMMYFUNCTION("""COMPUTED_VALUE"""),"32582")</f>
        <v>32582</v>
      </c>
      <c r="B456" s="64">
        <f>IFERROR(__xludf.DUMMYFUNCTION("""COMPUTED_VALUE"""),44646.0)</f>
        <v>44646</v>
      </c>
      <c r="C456" s="5"/>
      <c r="D456" s="5"/>
      <c r="E456" s="5"/>
      <c r="F456" s="22">
        <f>IFERROR(__xludf.DUMMYFUNCTION("""COMPUTED_VALUE"""),500000.0)</f>
        <v>500000</v>
      </c>
      <c r="G456" s="22">
        <f>IFERROR(__xludf.DUMMYFUNCTION("""COMPUTED_VALUE"""),0.0)</f>
        <v>0</v>
      </c>
      <c r="H456" s="22">
        <f>IFERROR(__xludf.DUMMYFUNCTION("""COMPUTED_VALUE"""),500000.0)</f>
        <v>500000</v>
      </c>
      <c r="I456" s="24">
        <f>IFERROR(__xludf.DUMMYFUNCTION("""COMPUTED_VALUE"""),0.0)</f>
        <v>0</v>
      </c>
    </row>
    <row r="457">
      <c r="A457" s="5" t="str">
        <f>IFERROR(__xludf.DUMMYFUNCTION("""COMPUTED_VALUE"""),"32582")</f>
        <v>32582</v>
      </c>
      <c r="B457" s="64">
        <f>IFERROR(__xludf.DUMMYFUNCTION("""COMPUTED_VALUE"""),44647.0)</f>
        <v>44647</v>
      </c>
      <c r="C457" s="5"/>
      <c r="D457" s="5"/>
      <c r="E457" s="5"/>
      <c r="F457" s="22">
        <f>IFERROR(__xludf.DUMMYFUNCTION("""COMPUTED_VALUE"""),500000.0)</f>
        <v>500000</v>
      </c>
      <c r="G457" s="22">
        <f>IFERROR(__xludf.DUMMYFUNCTION("""COMPUTED_VALUE"""),0.0)</f>
        <v>0</v>
      </c>
      <c r="H457" s="22">
        <f>IFERROR(__xludf.DUMMYFUNCTION("""COMPUTED_VALUE"""),500000.0)</f>
        <v>500000</v>
      </c>
      <c r="I457" s="24">
        <f>IFERROR(__xludf.DUMMYFUNCTION("""COMPUTED_VALUE"""),0.0)</f>
        <v>0</v>
      </c>
    </row>
    <row r="458">
      <c r="A458" s="5" t="str">
        <f>IFERROR(__xludf.DUMMYFUNCTION("""COMPUTED_VALUE"""),"32582")</f>
        <v>32582</v>
      </c>
      <c r="B458" s="64">
        <f>IFERROR(__xludf.DUMMYFUNCTION("""COMPUTED_VALUE"""),44648.0)</f>
        <v>44648</v>
      </c>
      <c r="C458" s="5"/>
      <c r="D458" s="5"/>
      <c r="E458" s="5"/>
      <c r="F458" s="22">
        <f>IFERROR(__xludf.DUMMYFUNCTION("""COMPUTED_VALUE"""),500000.0)</f>
        <v>500000</v>
      </c>
      <c r="G458" s="22">
        <f>IFERROR(__xludf.DUMMYFUNCTION("""COMPUTED_VALUE"""),0.0)</f>
        <v>0</v>
      </c>
      <c r="H458" s="22">
        <f>IFERROR(__xludf.DUMMYFUNCTION("""COMPUTED_VALUE"""),500000.0)</f>
        <v>500000</v>
      </c>
      <c r="I458" s="24">
        <f>IFERROR(__xludf.DUMMYFUNCTION("""COMPUTED_VALUE"""),0.0)</f>
        <v>0</v>
      </c>
    </row>
    <row r="459">
      <c r="A459" s="5" t="str">
        <f>IFERROR(__xludf.DUMMYFUNCTION("""COMPUTED_VALUE"""),"32582")</f>
        <v>32582</v>
      </c>
      <c r="B459" s="64">
        <f>IFERROR(__xludf.DUMMYFUNCTION("""COMPUTED_VALUE"""),44649.0)</f>
        <v>44649</v>
      </c>
      <c r="C459" s="5"/>
      <c r="D459" s="5"/>
      <c r="E459" s="5"/>
      <c r="F459" s="22">
        <f>IFERROR(__xludf.DUMMYFUNCTION("""COMPUTED_VALUE"""),500000.0)</f>
        <v>500000</v>
      </c>
      <c r="G459" s="22">
        <f>IFERROR(__xludf.DUMMYFUNCTION("""COMPUTED_VALUE"""),0.0)</f>
        <v>0</v>
      </c>
      <c r="H459" s="22">
        <f>IFERROR(__xludf.DUMMYFUNCTION("""COMPUTED_VALUE"""),500000.0)</f>
        <v>500000</v>
      </c>
      <c r="I459" s="24">
        <f>IFERROR(__xludf.DUMMYFUNCTION("""COMPUTED_VALUE"""),0.0)</f>
        <v>0</v>
      </c>
    </row>
    <row r="460">
      <c r="A460" s="5" t="str">
        <f>IFERROR(__xludf.DUMMYFUNCTION("""COMPUTED_VALUE"""),"32582")</f>
        <v>32582</v>
      </c>
      <c r="B460" s="64">
        <f>IFERROR(__xludf.DUMMYFUNCTION("""COMPUTED_VALUE"""),44650.0)</f>
        <v>44650</v>
      </c>
      <c r="C460" s="5"/>
      <c r="D460" s="5"/>
      <c r="E460" s="5"/>
      <c r="F460" s="22">
        <f>IFERROR(__xludf.DUMMYFUNCTION("""COMPUTED_VALUE"""),500000.0)</f>
        <v>500000</v>
      </c>
      <c r="G460" s="22">
        <f>IFERROR(__xludf.DUMMYFUNCTION("""COMPUTED_VALUE"""),0.0)</f>
        <v>0</v>
      </c>
      <c r="H460" s="22">
        <f>IFERROR(__xludf.DUMMYFUNCTION("""COMPUTED_VALUE"""),500000.0)</f>
        <v>500000</v>
      </c>
      <c r="I460" s="24">
        <f>IFERROR(__xludf.DUMMYFUNCTION("""COMPUTED_VALUE"""),0.0)</f>
        <v>0</v>
      </c>
    </row>
    <row r="461">
      <c r="A461" s="5" t="str">
        <f>IFERROR(__xludf.DUMMYFUNCTION("""COMPUTED_VALUE"""),"32582")</f>
        <v>32582</v>
      </c>
      <c r="B461" s="64">
        <f>IFERROR(__xludf.DUMMYFUNCTION("""COMPUTED_VALUE"""),44651.0)</f>
        <v>44651</v>
      </c>
      <c r="C461" s="5"/>
      <c r="D461" s="5"/>
      <c r="E461" s="5"/>
      <c r="F461" s="22">
        <f>IFERROR(__xludf.DUMMYFUNCTION("""COMPUTED_VALUE"""),500000.0)</f>
        <v>500000</v>
      </c>
      <c r="G461" s="22">
        <f>IFERROR(__xludf.DUMMYFUNCTION("""COMPUTED_VALUE"""),0.0)</f>
        <v>0</v>
      </c>
      <c r="H461" s="22">
        <f>IFERROR(__xludf.DUMMYFUNCTION("""COMPUTED_VALUE"""),500000.0)</f>
        <v>500000</v>
      </c>
      <c r="I461" s="24">
        <f>IFERROR(__xludf.DUMMYFUNCTION("""COMPUTED_VALUE"""),0.0)</f>
        <v>0</v>
      </c>
    </row>
    <row r="462">
      <c r="A462" s="5" t="str">
        <f>IFERROR(__xludf.DUMMYFUNCTION("""COMPUTED_VALUE"""),"32582")</f>
        <v>32582</v>
      </c>
      <c r="B462" s="64">
        <f>IFERROR(__xludf.DUMMYFUNCTION("""COMPUTED_VALUE"""),44652.0)</f>
        <v>44652</v>
      </c>
      <c r="C462" s="5"/>
      <c r="D462" s="5"/>
      <c r="E462" s="5"/>
      <c r="F462" s="22">
        <f>IFERROR(__xludf.DUMMYFUNCTION("""COMPUTED_VALUE"""),500000.0)</f>
        <v>500000</v>
      </c>
      <c r="G462" s="22">
        <f>IFERROR(__xludf.DUMMYFUNCTION("""COMPUTED_VALUE"""),0.0)</f>
        <v>0</v>
      </c>
      <c r="H462" s="22">
        <f>IFERROR(__xludf.DUMMYFUNCTION("""COMPUTED_VALUE"""),500000.0)</f>
        <v>500000</v>
      </c>
      <c r="I462" s="24">
        <f>IFERROR(__xludf.DUMMYFUNCTION("""COMPUTED_VALUE"""),0.0)</f>
        <v>0</v>
      </c>
    </row>
    <row r="463">
      <c r="A463" s="5" t="str">
        <f>IFERROR(__xludf.DUMMYFUNCTION("""COMPUTED_VALUE"""),"32582")</f>
        <v>32582</v>
      </c>
      <c r="B463" s="64">
        <f>IFERROR(__xludf.DUMMYFUNCTION("""COMPUTED_VALUE"""),44653.0)</f>
        <v>44653</v>
      </c>
      <c r="C463" s="5"/>
      <c r="D463" s="5"/>
      <c r="E463" s="5"/>
      <c r="F463" s="22">
        <f>IFERROR(__xludf.DUMMYFUNCTION("""COMPUTED_VALUE"""),500000.0)</f>
        <v>500000</v>
      </c>
      <c r="G463" s="22">
        <f>IFERROR(__xludf.DUMMYFUNCTION("""COMPUTED_VALUE"""),0.0)</f>
        <v>0</v>
      </c>
      <c r="H463" s="22">
        <f>IFERROR(__xludf.DUMMYFUNCTION("""COMPUTED_VALUE"""),500000.0)</f>
        <v>500000</v>
      </c>
      <c r="I463" s="24">
        <f>IFERROR(__xludf.DUMMYFUNCTION("""COMPUTED_VALUE"""),0.0)</f>
        <v>0</v>
      </c>
    </row>
    <row r="464">
      <c r="A464" s="5" t="str">
        <f>IFERROR(__xludf.DUMMYFUNCTION("""COMPUTED_VALUE"""),"32582")</f>
        <v>32582</v>
      </c>
      <c r="B464" s="64">
        <f>IFERROR(__xludf.DUMMYFUNCTION("""COMPUTED_VALUE"""),44654.0)</f>
        <v>44654</v>
      </c>
      <c r="C464" s="5"/>
      <c r="D464" s="5"/>
      <c r="E464" s="5"/>
      <c r="F464" s="22">
        <f>IFERROR(__xludf.DUMMYFUNCTION("""COMPUTED_VALUE"""),500000.0)</f>
        <v>500000</v>
      </c>
      <c r="G464" s="22">
        <f>IFERROR(__xludf.DUMMYFUNCTION("""COMPUTED_VALUE"""),0.0)</f>
        <v>0</v>
      </c>
      <c r="H464" s="22">
        <f>IFERROR(__xludf.DUMMYFUNCTION("""COMPUTED_VALUE"""),500000.0)</f>
        <v>500000</v>
      </c>
      <c r="I464" s="24">
        <f>IFERROR(__xludf.DUMMYFUNCTION("""COMPUTED_VALUE"""),0.0)</f>
        <v>0</v>
      </c>
    </row>
    <row r="465">
      <c r="A465" s="5" t="str">
        <f>IFERROR(__xludf.DUMMYFUNCTION("""COMPUTED_VALUE"""),"32582")</f>
        <v>32582</v>
      </c>
      <c r="B465" s="64">
        <f>IFERROR(__xludf.DUMMYFUNCTION("""COMPUTED_VALUE"""),44655.0)</f>
        <v>44655</v>
      </c>
      <c r="C465" s="5"/>
      <c r="D465" s="5"/>
      <c r="E465" s="5"/>
      <c r="F465" s="22">
        <f>IFERROR(__xludf.DUMMYFUNCTION("""COMPUTED_VALUE"""),500000.0)</f>
        <v>500000</v>
      </c>
      <c r="G465" s="22">
        <f>IFERROR(__xludf.DUMMYFUNCTION("""COMPUTED_VALUE"""),0.0)</f>
        <v>0</v>
      </c>
      <c r="H465" s="22">
        <f>IFERROR(__xludf.DUMMYFUNCTION("""COMPUTED_VALUE"""),500000.0)</f>
        <v>500000</v>
      </c>
      <c r="I465" s="24">
        <f>IFERROR(__xludf.DUMMYFUNCTION("""COMPUTED_VALUE"""),0.0)</f>
        <v>0</v>
      </c>
    </row>
    <row r="466">
      <c r="A466" s="5" t="str">
        <f>IFERROR(__xludf.DUMMYFUNCTION("""COMPUTED_VALUE"""),"32582")</f>
        <v>32582</v>
      </c>
      <c r="B466" s="64">
        <f>IFERROR(__xludf.DUMMYFUNCTION("""COMPUTED_VALUE"""),44656.0)</f>
        <v>44656</v>
      </c>
      <c r="C466" s="5"/>
      <c r="D466" s="5"/>
      <c r="E466" s="5"/>
      <c r="F466" s="22">
        <f>IFERROR(__xludf.DUMMYFUNCTION("""COMPUTED_VALUE"""),500000.0)</f>
        <v>500000</v>
      </c>
      <c r="G466" s="22">
        <f>IFERROR(__xludf.DUMMYFUNCTION("""COMPUTED_VALUE"""),0.0)</f>
        <v>0</v>
      </c>
      <c r="H466" s="22">
        <f>IFERROR(__xludf.DUMMYFUNCTION("""COMPUTED_VALUE"""),500000.0)</f>
        <v>500000</v>
      </c>
      <c r="I466" s="24">
        <f>IFERROR(__xludf.DUMMYFUNCTION("""COMPUTED_VALUE"""),0.0)</f>
        <v>0</v>
      </c>
    </row>
    <row r="467">
      <c r="A467" s="5" t="str">
        <f>IFERROR(__xludf.DUMMYFUNCTION("""COMPUTED_VALUE"""),"32582")</f>
        <v>32582</v>
      </c>
      <c r="B467" s="64">
        <f>IFERROR(__xludf.DUMMYFUNCTION("""COMPUTED_VALUE"""),44657.0)</f>
        <v>44657</v>
      </c>
      <c r="C467" s="5"/>
      <c r="D467" s="5"/>
      <c r="E467" s="5"/>
      <c r="F467" s="22">
        <f>IFERROR(__xludf.DUMMYFUNCTION("""COMPUTED_VALUE"""),500000.0)</f>
        <v>500000</v>
      </c>
      <c r="G467" s="22">
        <f>IFERROR(__xludf.DUMMYFUNCTION("""COMPUTED_VALUE"""),0.0)</f>
        <v>0</v>
      </c>
      <c r="H467" s="22">
        <f>IFERROR(__xludf.DUMMYFUNCTION("""COMPUTED_VALUE"""),500000.0)</f>
        <v>500000</v>
      </c>
      <c r="I467" s="24">
        <f>IFERROR(__xludf.DUMMYFUNCTION("""COMPUTED_VALUE"""),0.0)</f>
        <v>0</v>
      </c>
    </row>
    <row r="468">
      <c r="A468" s="5" t="str">
        <f>IFERROR(__xludf.DUMMYFUNCTION("""COMPUTED_VALUE"""),"32582")</f>
        <v>32582</v>
      </c>
      <c r="B468" s="64">
        <f>IFERROR(__xludf.DUMMYFUNCTION("""COMPUTED_VALUE"""),44658.0)</f>
        <v>44658</v>
      </c>
      <c r="C468" s="5"/>
      <c r="D468" s="5"/>
      <c r="E468" s="5"/>
      <c r="F468" s="22">
        <f>IFERROR(__xludf.DUMMYFUNCTION("""COMPUTED_VALUE"""),500000.0)</f>
        <v>500000</v>
      </c>
      <c r="G468" s="22">
        <f>IFERROR(__xludf.DUMMYFUNCTION("""COMPUTED_VALUE"""),0.0)</f>
        <v>0</v>
      </c>
      <c r="H468" s="22">
        <f>IFERROR(__xludf.DUMMYFUNCTION("""COMPUTED_VALUE"""),500000.0)</f>
        <v>500000</v>
      </c>
      <c r="I468" s="24">
        <f>IFERROR(__xludf.DUMMYFUNCTION("""COMPUTED_VALUE"""),0.0)</f>
        <v>0</v>
      </c>
    </row>
    <row r="469">
      <c r="A469" s="5" t="str">
        <f>IFERROR(__xludf.DUMMYFUNCTION("""COMPUTED_VALUE"""),"32582")</f>
        <v>32582</v>
      </c>
      <c r="B469" s="64">
        <f>IFERROR(__xludf.DUMMYFUNCTION("""COMPUTED_VALUE"""),44659.0)</f>
        <v>44659</v>
      </c>
      <c r="C469" s="5"/>
      <c r="D469" s="5"/>
      <c r="E469" s="5"/>
      <c r="F469" s="22">
        <f>IFERROR(__xludf.DUMMYFUNCTION("""COMPUTED_VALUE"""),500000.0)</f>
        <v>500000</v>
      </c>
      <c r="G469" s="22">
        <f>IFERROR(__xludf.DUMMYFUNCTION("""COMPUTED_VALUE"""),0.0)</f>
        <v>0</v>
      </c>
      <c r="H469" s="22">
        <f>IFERROR(__xludf.DUMMYFUNCTION("""COMPUTED_VALUE"""),500000.0)</f>
        <v>500000</v>
      </c>
      <c r="I469" s="24">
        <f>IFERROR(__xludf.DUMMYFUNCTION("""COMPUTED_VALUE"""),0.0)</f>
        <v>0</v>
      </c>
    </row>
    <row r="470">
      <c r="A470" s="5" t="str">
        <f>IFERROR(__xludf.DUMMYFUNCTION("""COMPUTED_VALUE"""),"32582")</f>
        <v>32582</v>
      </c>
      <c r="B470" s="64">
        <f>IFERROR(__xludf.DUMMYFUNCTION("""COMPUTED_VALUE"""),44660.0)</f>
        <v>44660</v>
      </c>
      <c r="C470" s="5"/>
      <c r="D470" s="5"/>
      <c r="E470" s="5"/>
      <c r="F470" s="22">
        <f>IFERROR(__xludf.DUMMYFUNCTION("""COMPUTED_VALUE"""),500000.0)</f>
        <v>500000</v>
      </c>
      <c r="G470" s="22">
        <f>IFERROR(__xludf.DUMMYFUNCTION("""COMPUTED_VALUE"""),0.0)</f>
        <v>0</v>
      </c>
      <c r="H470" s="22">
        <f>IFERROR(__xludf.DUMMYFUNCTION("""COMPUTED_VALUE"""),500000.0)</f>
        <v>500000</v>
      </c>
      <c r="I470" s="24">
        <f>IFERROR(__xludf.DUMMYFUNCTION("""COMPUTED_VALUE"""),0.0)</f>
        <v>0</v>
      </c>
    </row>
    <row r="471">
      <c r="A471" s="5" t="str">
        <f>IFERROR(__xludf.DUMMYFUNCTION("""COMPUTED_VALUE"""),"32582")</f>
        <v>32582</v>
      </c>
      <c r="B471" s="64">
        <f>IFERROR(__xludf.DUMMYFUNCTION("""COMPUTED_VALUE"""),44661.0)</f>
        <v>44661</v>
      </c>
      <c r="C471" s="5"/>
      <c r="D471" s="5"/>
      <c r="E471" s="5"/>
      <c r="F471" s="22">
        <f>IFERROR(__xludf.DUMMYFUNCTION("""COMPUTED_VALUE"""),500000.0)</f>
        <v>500000</v>
      </c>
      <c r="G471" s="22">
        <f>IFERROR(__xludf.DUMMYFUNCTION("""COMPUTED_VALUE"""),0.0)</f>
        <v>0</v>
      </c>
      <c r="H471" s="22">
        <f>IFERROR(__xludf.DUMMYFUNCTION("""COMPUTED_VALUE"""),500000.0)</f>
        <v>500000</v>
      </c>
      <c r="I471" s="24">
        <f>IFERROR(__xludf.DUMMYFUNCTION("""COMPUTED_VALUE"""),0.0)</f>
        <v>0</v>
      </c>
    </row>
    <row r="472">
      <c r="A472" s="5" t="str">
        <f>IFERROR(__xludf.DUMMYFUNCTION("""COMPUTED_VALUE"""),"32582")</f>
        <v>32582</v>
      </c>
      <c r="B472" s="64">
        <f>IFERROR(__xludf.DUMMYFUNCTION("""COMPUTED_VALUE"""),44662.0)</f>
        <v>44662</v>
      </c>
      <c r="C472" s="5"/>
      <c r="D472" s="5"/>
      <c r="E472" s="5"/>
      <c r="F472" s="22">
        <f>IFERROR(__xludf.DUMMYFUNCTION("""COMPUTED_VALUE"""),500000.0)</f>
        <v>500000</v>
      </c>
      <c r="G472" s="22">
        <f>IFERROR(__xludf.DUMMYFUNCTION("""COMPUTED_VALUE"""),0.0)</f>
        <v>0</v>
      </c>
      <c r="H472" s="22">
        <f>IFERROR(__xludf.DUMMYFUNCTION("""COMPUTED_VALUE"""),500000.0)</f>
        <v>500000</v>
      </c>
      <c r="I472" s="24">
        <f>IFERROR(__xludf.DUMMYFUNCTION("""COMPUTED_VALUE"""),0.0)</f>
        <v>0</v>
      </c>
    </row>
    <row r="473">
      <c r="A473" s="5" t="str">
        <f>IFERROR(__xludf.DUMMYFUNCTION("""COMPUTED_VALUE"""),"32582")</f>
        <v>32582</v>
      </c>
      <c r="B473" s="64">
        <f>IFERROR(__xludf.DUMMYFUNCTION("""COMPUTED_VALUE"""),44663.0)</f>
        <v>44663</v>
      </c>
      <c r="C473" s="5"/>
      <c r="D473" s="5"/>
      <c r="E473" s="5"/>
      <c r="F473" s="22">
        <f>IFERROR(__xludf.DUMMYFUNCTION("""COMPUTED_VALUE"""),500000.0)</f>
        <v>500000</v>
      </c>
      <c r="G473" s="22">
        <f>IFERROR(__xludf.DUMMYFUNCTION("""COMPUTED_VALUE"""),0.0)</f>
        <v>0</v>
      </c>
      <c r="H473" s="22">
        <f>IFERROR(__xludf.DUMMYFUNCTION("""COMPUTED_VALUE"""),500000.0)</f>
        <v>500000</v>
      </c>
      <c r="I473" s="24">
        <f>IFERROR(__xludf.DUMMYFUNCTION("""COMPUTED_VALUE"""),0.0)</f>
        <v>0</v>
      </c>
    </row>
    <row r="474">
      <c r="A474" s="5" t="str">
        <f>IFERROR(__xludf.DUMMYFUNCTION("""COMPUTED_VALUE"""),"33050")</f>
        <v>33050</v>
      </c>
      <c r="B474" s="64">
        <f>IFERROR(__xludf.DUMMYFUNCTION("""COMPUTED_VALUE"""),44597.0)</f>
        <v>44597</v>
      </c>
      <c r="C474" s="5"/>
      <c r="D474" s="5"/>
      <c r="E474" s="5"/>
      <c r="F474" s="22">
        <f>IFERROR(__xludf.DUMMYFUNCTION("""COMPUTED_VALUE"""),500000.0)</f>
        <v>500000</v>
      </c>
      <c r="G474" s="22">
        <f>IFERROR(__xludf.DUMMYFUNCTION("""COMPUTED_VALUE"""),0.0)</f>
        <v>0</v>
      </c>
      <c r="H474" s="22">
        <f>IFERROR(__xludf.DUMMYFUNCTION("""COMPUTED_VALUE"""),500000.0)</f>
        <v>500000</v>
      </c>
      <c r="I474" s="24">
        <f>IFERROR(__xludf.DUMMYFUNCTION("""COMPUTED_VALUE"""),0.0)</f>
        <v>0</v>
      </c>
    </row>
    <row r="475">
      <c r="A475" s="5" t="str">
        <f>IFERROR(__xludf.DUMMYFUNCTION("""COMPUTED_VALUE"""),"33050")</f>
        <v>33050</v>
      </c>
      <c r="B475" s="64">
        <f>IFERROR(__xludf.DUMMYFUNCTION("""COMPUTED_VALUE"""),44598.0)</f>
        <v>44598</v>
      </c>
      <c r="C475" s="5"/>
      <c r="D475" s="5"/>
      <c r="E475" s="5"/>
      <c r="F475" s="22">
        <f>IFERROR(__xludf.DUMMYFUNCTION("""COMPUTED_VALUE"""),500000.0)</f>
        <v>500000</v>
      </c>
      <c r="G475" s="22">
        <f>IFERROR(__xludf.DUMMYFUNCTION("""COMPUTED_VALUE"""),0.0)</f>
        <v>0</v>
      </c>
      <c r="H475" s="22">
        <f>IFERROR(__xludf.DUMMYFUNCTION("""COMPUTED_VALUE"""),500000.0)</f>
        <v>500000</v>
      </c>
      <c r="I475" s="24">
        <f>IFERROR(__xludf.DUMMYFUNCTION("""COMPUTED_VALUE"""),0.0)</f>
        <v>0</v>
      </c>
    </row>
    <row r="476">
      <c r="A476" s="5" t="str">
        <f>IFERROR(__xludf.DUMMYFUNCTION("""COMPUTED_VALUE"""),"33050")</f>
        <v>33050</v>
      </c>
      <c r="B476" s="64">
        <f>IFERROR(__xludf.DUMMYFUNCTION("""COMPUTED_VALUE"""),44599.0)</f>
        <v>44599</v>
      </c>
      <c r="C476" s="5"/>
      <c r="D476" s="5"/>
      <c r="E476" s="5"/>
      <c r="F476" s="22">
        <f>IFERROR(__xludf.DUMMYFUNCTION("""COMPUTED_VALUE"""),500000.0)</f>
        <v>500000</v>
      </c>
      <c r="G476" s="22">
        <f>IFERROR(__xludf.DUMMYFUNCTION("""COMPUTED_VALUE"""),0.0)</f>
        <v>0</v>
      </c>
      <c r="H476" s="22">
        <f>IFERROR(__xludf.DUMMYFUNCTION("""COMPUTED_VALUE"""),500000.0)</f>
        <v>500000</v>
      </c>
      <c r="I476" s="24">
        <f>IFERROR(__xludf.DUMMYFUNCTION("""COMPUTED_VALUE"""),0.0)</f>
        <v>0</v>
      </c>
    </row>
    <row r="477">
      <c r="A477" s="5" t="str">
        <f>IFERROR(__xludf.DUMMYFUNCTION("""COMPUTED_VALUE"""),"33050")</f>
        <v>33050</v>
      </c>
      <c r="B477" s="64">
        <f>IFERROR(__xludf.DUMMYFUNCTION("""COMPUTED_VALUE"""),44600.0)</f>
        <v>44600</v>
      </c>
      <c r="C477" s="5"/>
      <c r="D477" s="5"/>
      <c r="E477" s="5"/>
      <c r="F477" s="22">
        <f>IFERROR(__xludf.DUMMYFUNCTION("""COMPUTED_VALUE"""),500000.0)</f>
        <v>500000</v>
      </c>
      <c r="G477" s="22">
        <f>IFERROR(__xludf.DUMMYFUNCTION("""COMPUTED_VALUE"""),0.0)</f>
        <v>0</v>
      </c>
      <c r="H477" s="22">
        <f>IFERROR(__xludf.DUMMYFUNCTION("""COMPUTED_VALUE"""),500000.0)</f>
        <v>500000</v>
      </c>
      <c r="I477" s="24">
        <f>IFERROR(__xludf.DUMMYFUNCTION("""COMPUTED_VALUE"""),0.0)</f>
        <v>0</v>
      </c>
    </row>
    <row r="478">
      <c r="A478" s="5" t="str">
        <f>IFERROR(__xludf.DUMMYFUNCTION("""COMPUTED_VALUE"""),"33050")</f>
        <v>33050</v>
      </c>
      <c r="B478" s="64">
        <f>IFERROR(__xludf.DUMMYFUNCTION("""COMPUTED_VALUE"""),44601.0)</f>
        <v>44601</v>
      </c>
      <c r="C478" s="5"/>
      <c r="D478" s="5"/>
      <c r="E478" s="5"/>
      <c r="F478" s="22">
        <f>IFERROR(__xludf.DUMMYFUNCTION("""COMPUTED_VALUE"""),500000.0)</f>
        <v>500000</v>
      </c>
      <c r="G478" s="22">
        <f>IFERROR(__xludf.DUMMYFUNCTION("""COMPUTED_VALUE"""),0.0)</f>
        <v>0</v>
      </c>
      <c r="H478" s="22">
        <f>IFERROR(__xludf.DUMMYFUNCTION("""COMPUTED_VALUE"""),500000.0)</f>
        <v>500000</v>
      </c>
      <c r="I478" s="24">
        <f>IFERROR(__xludf.DUMMYFUNCTION("""COMPUTED_VALUE"""),0.0)</f>
        <v>0</v>
      </c>
    </row>
    <row r="479">
      <c r="A479" s="5" t="str">
        <f>IFERROR(__xludf.DUMMYFUNCTION("""COMPUTED_VALUE"""),"33050")</f>
        <v>33050</v>
      </c>
      <c r="B479" s="64">
        <f>IFERROR(__xludf.DUMMYFUNCTION("""COMPUTED_VALUE"""),44602.0)</f>
        <v>44602</v>
      </c>
      <c r="C479" s="5"/>
      <c r="D479" s="5"/>
      <c r="E479" s="5"/>
      <c r="F479" s="22">
        <f>IFERROR(__xludf.DUMMYFUNCTION("""COMPUTED_VALUE"""),500000.0)</f>
        <v>500000</v>
      </c>
      <c r="G479" s="22">
        <f>IFERROR(__xludf.DUMMYFUNCTION("""COMPUTED_VALUE"""),0.0)</f>
        <v>0</v>
      </c>
      <c r="H479" s="22">
        <f>IFERROR(__xludf.DUMMYFUNCTION("""COMPUTED_VALUE"""),500000.0)</f>
        <v>500000</v>
      </c>
      <c r="I479" s="24">
        <f>IFERROR(__xludf.DUMMYFUNCTION("""COMPUTED_VALUE"""),0.0)</f>
        <v>0</v>
      </c>
    </row>
    <row r="480">
      <c r="A480" s="5" t="str">
        <f>IFERROR(__xludf.DUMMYFUNCTION("""COMPUTED_VALUE"""),"33050")</f>
        <v>33050</v>
      </c>
      <c r="B480" s="64">
        <f>IFERROR(__xludf.DUMMYFUNCTION("""COMPUTED_VALUE"""),44603.0)</f>
        <v>44603</v>
      </c>
      <c r="C480" s="5"/>
      <c r="D480" s="5"/>
      <c r="E480" s="5"/>
      <c r="F480" s="22">
        <f>IFERROR(__xludf.DUMMYFUNCTION("""COMPUTED_VALUE"""),500000.0)</f>
        <v>500000</v>
      </c>
      <c r="G480" s="22">
        <f>IFERROR(__xludf.DUMMYFUNCTION("""COMPUTED_VALUE"""),0.0)</f>
        <v>0</v>
      </c>
      <c r="H480" s="22">
        <f>IFERROR(__xludf.DUMMYFUNCTION("""COMPUTED_VALUE"""),500000.0)</f>
        <v>500000</v>
      </c>
      <c r="I480" s="24">
        <f>IFERROR(__xludf.DUMMYFUNCTION("""COMPUTED_VALUE"""),0.0)</f>
        <v>0</v>
      </c>
    </row>
    <row r="481">
      <c r="A481" s="5" t="str">
        <f>IFERROR(__xludf.DUMMYFUNCTION("""COMPUTED_VALUE"""),"33050")</f>
        <v>33050</v>
      </c>
      <c r="B481" s="64">
        <f>IFERROR(__xludf.DUMMYFUNCTION("""COMPUTED_VALUE"""),44604.0)</f>
        <v>44604</v>
      </c>
      <c r="C481" s="5"/>
      <c r="D481" s="5"/>
      <c r="E481" s="5"/>
      <c r="F481" s="22">
        <f>IFERROR(__xludf.DUMMYFUNCTION("""COMPUTED_VALUE"""),500000.0)</f>
        <v>500000</v>
      </c>
      <c r="G481" s="22">
        <f>IFERROR(__xludf.DUMMYFUNCTION("""COMPUTED_VALUE"""),0.0)</f>
        <v>0</v>
      </c>
      <c r="H481" s="22">
        <f>IFERROR(__xludf.DUMMYFUNCTION("""COMPUTED_VALUE"""),500000.0)</f>
        <v>500000</v>
      </c>
      <c r="I481" s="24">
        <f>IFERROR(__xludf.DUMMYFUNCTION("""COMPUTED_VALUE"""),0.0)</f>
        <v>0</v>
      </c>
    </row>
    <row r="482">
      <c r="A482" s="5" t="str">
        <f>IFERROR(__xludf.DUMMYFUNCTION("""COMPUTED_VALUE"""),"33050")</f>
        <v>33050</v>
      </c>
      <c r="B482" s="64">
        <f>IFERROR(__xludf.DUMMYFUNCTION("""COMPUTED_VALUE"""),44605.0)</f>
        <v>44605</v>
      </c>
      <c r="C482" s="5"/>
      <c r="D482" s="5"/>
      <c r="E482" s="5"/>
      <c r="F482" s="22">
        <f>IFERROR(__xludf.DUMMYFUNCTION("""COMPUTED_VALUE"""),500000.0)</f>
        <v>500000</v>
      </c>
      <c r="G482" s="22">
        <f>IFERROR(__xludf.DUMMYFUNCTION("""COMPUTED_VALUE"""),0.0)</f>
        <v>0</v>
      </c>
      <c r="H482" s="22">
        <f>IFERROR(__xludf.DUMMYFUNCTION("""COMPUTED_VALUE"""),500000.0)</f>
        <v>500000</v>
      </c>
      <c r="I482" s="24">
        <f>IFERROR(__xludf.DUMMYFUNCTION("""COMPUTED_VALUE"""),0.0)</f>
        <v>0</v>
      </c>
    </row>
    <row r="483">
      <c r="A483" s="5" t="str">
        <f>IFERROR(__xludf.DUMMYFUNCTION("""COMPUTED_VALUE"""),"33050")</f>
        <v>33050</v>
      </c>
      <c r="B483" s="64">
        <f>IFERROR(__xludf.DUMMYFUNCTION("""COMPUTED_VALUE"""),44606.0)</f>
        <v>44606</v>
      </c>
      <c r="C483" s="5"/>
      <c r="D483" s="5"/>
      <c r="E483" s="5"/>
      <c r="F483" s="22">
        <f>IFERROR(__xludf.DUMMYFUNCTION("""COMPUTED_VALUE"""),500000.0)</f>
        <v>500000</v>
      </c>
      <c r="G483" s="22">
        <f>IFERROR(__xludf.DUMMYFUNCTION("""COMPUTED_VALUE"""),0.0)</f>
        <v>0</v>
      </c>
      <c r="H483" s="22">
        <f>IFERROR(__xludf.DUMMYFUNCTION("""COMPUTED_VALUE"""),500000.0)</f>
        <v>500000</v>
      </c>
      <c r="I483" s="24">
        <f>IFERROR(__xludf.DUMMYFUNCTION("""COMPUTED_VALUE"""),0.0)</f>
        <v>0</v>
      </c>
    </row>
    <row r="484">
      <c r="A484" s="5" t="str">
        <f>IFERROR(__xludf.DUMMYFUNCTION("""COMPUTED_VALUE"""),"33050")</f>
        <v>33050</v>
      </c>
      <c r="B484" s="64">
        <f>IFERROR(__xludf.DUMMYFUNCTION("""COMPUTED_VALUE"""),44607.0)</f>
        <v>44607</v>
      </c>
      <c r="C484" s="5"/>
      <c r="D484" s="5"/>
      <c r="E484" s="5"/>
      <c r="F484" s="22">
        <f>IFERROR(__xludf.DUMMYFUNCTION("""COMPUTED_VALUE"""),500000.0)</f>
        <v>500000</v>
      </c>
      <c r="G484" s="22">
        <f>IFERROR(__xludf.DUMMYFUNCTION("""COMPUTED_VALUE"""),0.0)</f>
        <v>0</v>
      </c>
      <c r="H484" s="22">
        <f>IFERROR(__xludf.DUMMYFUNCTION("""COMPUTED_VALUE"""),500000.0)</f>
        <v>500000</v>
      </c>
      <c r="I484" s="24">
        <f>IFERROR(__xludf.DUMMYFUNCTION("""COMPUTED_VALUE"""),0.0)</f>
        <v>0</v>
      </c>
    </row>
    <row r="485">
      <c r="A485" s="5" t="str">
        <f>IFERROR(__xludf.DUMMYFUNCTION("""COMPUTED_VALUE"""),"33050")</f>
        <v>33050</v>
      </c>
      <c r="B485" s="64">
        <f>IFERROR(__xludf.DUMMYFUNCTION("""COMPUTED_VALUE"""),44608.0)</f>
        <v>44608</v>
      </c>
      <c r="C485" s="5"/>
      <c r="D485" s="5"/>
      <c r="E485" s="5"/>
      <c r="F485" s="22">
        <f>IFERROR(__xludf.DUMMYFUNCTION("""COMPUTED_VALUE"""),500000.0)</f>
        <v>500000</v>
      </c>
      <c r="G485" s="22">
        <f>IFERROR(__xludf.DUMMYFUNCTION("""COMPUTED_VALUE"""),0.0)</f>
        <v>0</v>
      </c>
      <c r="H485" s="22">
        <f>IFERROR(__xludf.DUMMYFUNCTION("""COMPUTED_VALUE"""),500000.0)</f>
        <v>500000</v>
      </c>
      <c r="I485" s="24">
        <f>IFERROR(__xludf.DUMMYFUNCTION("""COMPUTED_VALUE"""),0.0)</f>
        <v>0</v>
      </c>
    </row>
    <row r="486">
      <c r="A486" s="5" t="str">
        <f>IFERROR(__xludf.DUMMYFUNCTION("""COMPUTED_VALUE"""),"33050")</f>
        <v>33050</v>
      </c>
      <c r="B486" s="64">
        <f>IFERROR(__xludf.DUMMYFUNCTION("""COMPUTED_VALUE"""),44609.0)</f>
        <v>44609</v>
      </c>
      <c r="C486" s="5"/>
      <c r="D486" s="5"/>
      <c r="E486" s="5"/>
      <c r="F486" s="22">
        <f>IFERROR(__xludf.DUMMYFUNCTION("""COMPUTED_VALUE"""),500000.0)</f>
        <v>500000</v>
      </c>
      <c r="G486" s="22">
        <f>IFERROR(__xludf.DUMMYFUNCTION("""COMPUTED_VALUE"""),0.0)</f>
        <v>0</v>
      </c>
      <c r="H486" s="22">
        <f>IFERROR(__xludf.DUMMYFUNCTION("""COMPUTED_VALUE"""),500000.0)</f>
        <v>500000</v>
      </c>
      <c r="I486" s="24">
        <f>IFERROR(__xludf.DUMMYFUNCTION("""COMPUTED_VALUE"""),0.0)</f>
        <v>0</v>
      </c>
    </row>
    <row r="487">
      <c r="A487" s="5" t="str">
        <f>IFERROR(__xludf.DUMMYFUNCTION("""COMPUTED_VALUE"""),"33050")</f>
        <v>33050</v>
      </c>
      <c r="B487" s="64">
        <f>IFERROR(__xludf.DUMMYFUNCTION("""COMPUTED_VALUE"""),44610.0)</f>
        <v>44610</v>
      </c>
      <c r="C487" s="5"/>
      <c r="D487" s="5"/>
      <c r="E487" s="5"/>
      <c r="F487" s="22">
        <f>IFERROR(__xludf.DUMMYFUNCTION("""COMPUTED_VALUE"""),500000.0)</f>
        <v>500000</v>
      </c>
      <c r="G487" s="22">
        <f>IFERROR(__xludf.DUMMYFUNCTION("""COMPUTED_VALUE"""),0.0)</f>
        <v>0</v>
      </c>
      <c r="H487" s="22">
        <f>IFERROR(__xludf.DUMMYFUNCTION("""COMPUTED_VALUE"""),500000.0)</f>
        <v>500000</v>
      </c>
      <c r="I487" s="24">
        <f>IFERROR(__xludf.DUMMYFUNCTION("""COMPUTED_VALUE"""),0.0)</f>
        <v>0</v>
      </c>
    </row>
    <row r="488">
      <c r="A488" s="5" t="str">
        <f>IFERROR(__xludf.DUMMYFUNCTION("""COMPUTED_VALUE"""),"33050")</f>
        <v>33050</v>
      </c>
      <c r="B488" s="64">
        <f>IFERROR(__xludf.DUMMYFUNCTION("""COMPUTED_VALUE"""),44611.0)</f>
        <v>44611</v>
      </c>
      <c r="C488" s="5"/>
      <c r="D488" s="5"/>
      <c r="E488" s="5"/>
      <c r="F488" s="22">
        <f>IFERROR(__xludf.DUMMYFUNCTION("""COMPUTED_VALUE"""),500000.0)</f>
        <v>500000</v>
      </c>
      <c r="G488" s="22">
        <f>IFERROR(__xludf.DUMMYFUNCTION("""COMPUTED_VALUE"""),0.0)</f>
        <v>0</v>
      </c>
      <c r="H488" s="22">
        <f>IFERROR(__xludf.DUMMYFUNCTION("""COMPUTED_VALUE"""),500000.0)</f>
        <v>500000</v>
      </c>
      <c r="I488" s="24">
        <f>IFERROR(__xludf.DUMMYFUNCTION("""COMPUTED_VALUE"""),0.0)</f>
        <v>0</v>
      </c>
    </row>
    <row r="489">
      <c r="A489" s="5" t="str">
        <f>IFERROR(__xludf.DUMMYFUNCTION("""COMPUTED_VALUE"""),"33050")</f>
        <v>33050</v>
      </c>
      <c r="B489" s="64">
        <f>IFERROR(__xludf.DUMMYFUNCTION("""COMPUTED_VALUE"""),44612.0)</f>
        <v>44612</v>
      </c>
      <c r="C489" s="5"/>
      <c r="D489" s="5"/>
      <c r="E489" s="5"/>
      <c r="F489" s="22">
        <f>IFERROR(__xludf.DUMMYFUNCTION("""COMPUTED_VALUE"""),500000.0)</f>
        <v>500000</v>
      </c>
      <c r="G489" s="22">
        <f>IFERROR(__xludf.DUMMYFUNCTION("""COMPUTED_VALUE"""),0.0)</f>
        <v>0</v>
      </c>
      <c r="H489" s="22">
        <f>IFERROR(__xludf.DUMMYFUNCTION("""COMPUTED_VALUE"""),500000.0)</f>
        <v>500000</v>
      </c>
      <c r="I489" s="24">
        <f>IFERROR(__xludf.DUMMYFUNCTION("""COMPUTED_VALUE"""),0.0)</f>
        <v>0</v>
      </c>
    </row>
    <row r="490">
      <c r="A490" s="5" t="str">
        <f>IFERROR(__xludf.DUMMYFUNCTION("""COMPUTED_VALUE"""),"33050")</f>
        <v>33050</v>
      </c>
      <c r="B490" s="64">
        <f>IFERROR(__xludf.DUMMYFUNCTION("""COMPUTED_VALUE"""),44613.0)</f>
        <v>44613</v>
      </c>
      <c r="C490" s="5"/>
      <c r="D490" s="5"/>
      <c r="E490" s="5"/>
      <c r="F490" s="22">
        <f>IFERROR(__xludf.DUMMYFUNCTION("""COMPUTED_VALUE"""),500000.0)</f>
        <v>500000</v>
      </c>
      <c r="G490" s="22">
        <f>IFERROR(__xludf.DUMMYFUNCTION("""COMPUTED_VALUE"""),0.0)</f>
        <v>0</v>
      </c>
      <c r="H490" s="22">
        <f>IFERROR(__xludf.DUMMYFUNCTION("""COMPUTED_VALUE"""),500000.0)</f>
        <v>500000</v>
      </c>
      <c r="I490" s="24">
        <f>IFERROR(__xludf.DUMMYFUNCTION("""COMPUTED_VALUE"""),0.0)</f>
        <v>0</v>
      </c>
    </row>
    <row r="491">
      <c r="A491" s="5" t="str">
        <f>IFERROR(__xludf.DUMMYFUNCTION("""COMPUTED_VALUE"""),"33050")</f>
        <v>33050</v>
      </c>
      <c r="B491" s="64">
        <f>IFERROR(__xludf.DUMMYFUNCTION("""COMPUTED_VALUE"""),44614.0)</f>
        <v>44614</v>
      </c>
      <c r="C491" s="5"/>
      <c r="D491" s="5"/>
      <c r="E491" s="5"/>
      <c r="F491" s="22">
        <f>IFERROR(__xludf.DUMMYFUNCTION("""COMPUTED_VALUE"""),500000.0)</f>
        <v>500000</v>
      </c>
      <c r="G491" s="22">
        <f>IFERROR(__xludf.DUMMYFUNCTION("""COMPUTED_VALUE"""),0.0)</f>
        <v>0</v>
      </c>
      <c r="H491" s="22">
        <f>IFERROR(__xludf.DUMMYFUNCTION("""COMPUTED_VALUE"""),500000.0)</f>
        <v>500000</v>
      </c>
      <c r="I491" s="24">
        <f>IFERROR(__xludf.DUMMYFUNCTION("""COMPUTED_VALUE"""),0.0)</f>
        <v>0</v>
      </c>
    </row>
    <row r="492">
      <c r="A492" s="5" t="str">
        <f>IFERROR(__xludf.DUMMYFUNCTION("""COMPUTED_VALUE"""),"33050")</f>
        <v>33050</v>
      </c>
      <c r="B492" s="64">
        <f>IFERROR(__xludf.DUMMYFUNCTION("""COMPUTED_VALUE"""),44615.0)</f>
        <v>44615</v>
      </c>
      <c r="C492" s="5"/>
      <c r="D492" s="5"/>
      <c r="E492" s="5"/>
      <c r="F492" s="22">
        <f>IFERROR(__xludf.DUMMYFUNCTION("""COMPUTED_VALUE"""),500000.0)</f>
        <v>500000</v>
      </c>
      <c r="G492" s="22">
        <f>IFERROR(__xludf.DUMMYFUNCTION("""COMPUTED_VALUE"""),0.0)</f>
        <v>0</v>
      </c>
      <c r="H492" s="22">
        <f>IFERROR(__xludf.DUMMYFUNCTION("""COMPUTED_VALUE"""),500000.0)</f>
        <v>500000</v>
      </c>
      <c r="I492" s="24">
        <f>IFERROR(__xludf.DUMMYFUNCTION("""COMPUTED_VALUE"""),0.0)</f>
        <v>0</v>
      </c>
    </row>
    <row r="493">
      <c r="A493" s="5" t="str">
        <f>IFERROR(__xludf.DUMMYFUNCTION("""COMPUTED_VALUE"""),"33050")</f>
        <v>33050</v>
      </c>
      <c r="B493" s="64">
        <f>IFERROR(__xludf.DUMMYFUNCTION("""COMPUTED_VALUE"""),44616.0)</f>
        <v>44616</v>
      </c>
      <c r="C493" s="5"/>
      <c r="D493" s="5"/>
      <c r="E493" s="5"/>
      <c r="F493" s="22">
        <f>IFERROR(__xludf.DUMMYFUNCTION("""COMPUTED_VALUE"""),500000.0)</f>
        <v>500000</v>
      </c>
      <c r="G493" s="22">
        <f>IFERROR(__xludf.DUMMYFUNCTION("""COMPUTED_VALUE"""),0.0)</f>
        <v>0</v>
      </c>
      <c r="H493" s="22">
        <f>IFERROR(__xludf.DUMMYFUNCTION("""COMPUTED_VALUE"""),500000.0)</f>
        <v>500000</v>
      </c>
      <c r="I493" s="24">
        <f>IFERROR(__xludf.DUMMYFUNCTION("""COMPUTED_VALUE"""),0.0)</f>
        <v>0</v>
      </c>
    </row>
    <row r="494">
      <c r="A494" s="5" t="str">
        <f>IFERROR(__xludf.DUMMYFUNCTION("""COMPUTED_VALUE"""),"33050")</f>
        <v>33050</v>
      </c>
      <c r="B494" s="64">
        <f>IFERROR(__xludf.DUMMYFUNCTION("""COMPUTED_VALUE"""),44617.0)</f>
        <v>44617</v>
      </c>
      <c r="C494" s="5"/>
      <c r="D494" s="5"/>
      <c r="E494" s="5"/>
      <c r="F494" s="22">
        <f>IFERROR(__xludf.DUMMYFUNCTION("""COMPUTED_VALUE"""),500000.0)</f>
        <v>500000</v>
      </c>
      <c r="G494" s="22">
        <f>IFERROR(__xludf.DUMMYFUNCTION("""COMPUTED_VALUE"""),0.0)</f>
        <v>0</v>
      </c>
      <c r="H494" s="22">
        <f>IFERROR(__xludf.DUMMYFUNCTION("""COMPUTED_VALUE"""),500000.0)</f>
        <v>500000</v>
      </c>
      <c r="I494" s="24">
        <f>IFERROR(__xludf.DUMMYFUNCTION("""COMPUTED_VALUE"""),0.0)</f>
        <v>0</v>
      </c>
    </row>
    <row r="495">
      <c r="A495" s="5" t="str">
        <f>IFERROR(__xludf.DUMMYFUNCTION("""COMPUTED_VALUE"""),"33050")</f>
        <v>33050</v>
      </c>
      <c r="B495" s="64">
        <f>IFERROR(__xludf.DUMMYFUNCTION("""COMPUTED_VALUE"""),44618.0)</f>
        <v>44618</v>
      </c>
      <c r="C495" s="5"/>
      <c r="D495" s="5"/>
      <c r="E495" s="5"/>
      <c r="F495" s="22">
        <f>IFERROR(__xludf.DUMMYFUNCTION("""COMPUTED_VALUE"""),500000.0)</f>
        <v>500000</v>
      </c>
      <c r="G495" s="22">
        <f>IFERROR(__xludf.DUMMYFUNCTION("""COMPUTED_VALUE"""),0.0)</f>
        <v>0</v>
      </c>
      <c r="H495" s="22">
        <f>IFERROR(__xludf.DUMMYFUNCTION("""COMPUTED_VALUE"""),500000.0)</f>
        <v>500000</v>
      </c>
      <c r="I495" s="24">
        <f>IFERROR(__xludf.DUMMYFUNCTION("""COMPUTED_VALUE"""),0.0)</f>
        <v>0</v>
      </c>
    </row>
    <row r="496">
      <c r="A496" s="5" t="str">
        <f>IFERROR(__xludf.DUMMYFUNCTION("""COMPUTED_VALUE"""),"33050")</f>
        <v>33050</v>
      </c>
      <c r="B496" s="64">
        <f>IFERROR(__xludf.DUMMYFUNCTION("""COMPUTED_VALUE"""),44619.0)</f>
        <v>44619</v>
      </c>
      <c r="C496" s="5"/>
      <c r="D496" s="5"/>
      <c r="E496" s="5"/>
      <c r="F496" s="22">
        <f>IFERROR(__xludf.DUMMYFUNCTION("""COMPUTED_VALUE"""),500000.0)</f>
        <v>500000</v>
      </c>
      <c r="G496" s="22">
        <f>IFERROR(__xludf.DUMMYFUNCTION("""COMPUTED_VALUE"""),0.0)</f>
        <v>0</v>
      </c>
      <c r="H496" s="22">
        <f>IFERROR(__xludf.DUMMYFUNCTION("""COMPUTED_VALUE"""),500000.0)</f>
        <v>500000</v>
      </c>
      <c r="I496" s="24">
        <f>IFERROR(__xludf.DUMMYFUNCTION("""COMPUTED_VALUE"""),0.0)</f>
        <v>0</v>
      </c>
    </row>
    <row r="497">
      <c r="A497" s="5" t="str">
        <f>IFERROR(__xludf.DUMMYFUNCTION("""COMPUTED_VALUE"""),"33050")</f>
        <v>33050</v>
      </c>
      <c r="B497" s="64">
        <f>IFERROR(__xludf.DUMMYFUNCTION("""COMPUTED_VALUE"""),44620.0)</f>
        <v>44620</v>
      </c>
      <c r="C497" s="5"/>
      <c r="D497" s="5"/>
      <c r="E497" s="5"/>
      <c r="F497" s="22">
        <f>IFERROR(__xludf.DUMMYFUNCTION("""COMPUTED_VALUE"""),500000.0)</f>
        <v>500000</v>
      </c>
      <c r="G497" s="22">
        <f>IFERROR(__xludf.DUMMYFUNCTION("""COMPUTED_VALUE"""),0.0)</f>
        <v>0</v>
      </c>
      <c r="H497" s="22">
        <f>IFERROR(__xludf.DUMMYFUNCTION("""COMPUTED_VALUE"""),500000.0)</f>
        <v>500000</v>
      </c>
      <c r="I497" s="24">
        <f>IFERROR(__xludf.DUMMYFUNCTION("""COMPUTED_VALUE"""),0.0)</f>
        <v>0</v>
      </c>
    </row>
    <row r="498">
      <c r="A498" s="5" t="str">
        <f>IFERROR(__xludf.DUMMYFUNCTION("""COMPUTED_VALUE"""),"33050")</f>
        <v>33050</v>
      </c>
      <c r="B498" s="64">
        <f>IFERROR(__xludf.DUMMYFUNCTION("""COMPUTED_VALUE"""),44621.0)</f>
        <v>44621</v>
      </c>
      <c r="C498" s="5"/>
      <c r="D498" s="5"/>
      <c r="E498" s="5"/>
      <c r="F498" s="22">
        <f>IFERROR(__xludf.DUMMYFUNCTION("""COMPUTED_VALUE"""),500000.0)</f>
        <v>500000</v>
      </c>
      <c r="G498" s="22">
        <f>IFERROR(__xludf.DUMMYFUNCTION("""COMPUTED_VALUE"""),0.0)</f>
        <v>0</v>
      </c>
      <c r="H498" s="22">
        <f>IFERROR(__xludf.DUMMYFUNCTION("""COMPUTED_VALUE"""),500000.0)</f>
        <v>500000</v>
      </c>
      <c r="I498" s="24">
        <f>IFERROR(__xludf.DUMMYFUNCTION("""COMPUTED_VALUE"""),0.0)</f>
        <v>0</v>
      </c>
    </row>
    <row r="499">
      <c r="A499" s="5" t="str">
        <f>IFERROR(__xludf.DUMMYFUNCTION("""COMPUTED_VALUE"""),"33050")</f>
        <v>33050</v>
      </c>
      <c r="B499" s="64">
        <f>IFERROR(__xludf.DUMMYFUNCTION("""COMPUTED_VALUE"""),44622.0)</f>
        <v>44622</v>
      </c>
      <c r="C499" s="5"/>
      <c r="D499" s="5"/>
      <c r="E499" s="5"/>
      <c r="F499" s="22">
        <f>IFERROR(__xludf.DUMMYFUNCTION("""COMPUTED_VALUE"""),500000.0)</f>
        <v>500000</v>
      </c>
      <c r="G499" s="22">
        <f>IFERROR(__xludf.DUMMYFUNCTION("""COMPUTED_VALUE"""),0.0)</f>
        <v>0</v>
      </c>
      <c r="H499" s="22">
        <f>IFERROR(__xludf.DUMMYFUNCTION("""COMPUTED_VALUE"""),500000.0)</f>
        <v>500000</v>
      </c>
      <c r="I499" s="24">
        <f>IFERROR(__xludf.DUMMYFUNCTION("""COMPUTED_VALUE"""),0.0)</f>
        <v>0</v>
      </c>
    </row>
    <row r="500">
      <c r="A500" s="5" t="str">
        <f>IFERROR(__xludf.DUMMYFUNCTION("""COMPUTED_VALUE"""),"33050")</f>
        <v>33050</v>
      </c>
      <c r="B500" s="64">
        <f>IFERROR(__xludf.DUMMYFUNCTION("""COMPUTED_VALUE"""),44623.0)</f>
        <v>44623</v>
      </c>
      <c r="C500" s="5"/>
      <c r="D500" s="5"/>
      <c r="E500" s="5"/>
      <c r="F500" s="22">
        <f>IFERROR(__xludf.DUMMYFUNCTION("""COMPUTED_VALUE"""),500000.0)</f>
        <v>500000</v>
      </c>
      <c r="G500" s="22">
        <f>IFERROR(__xludf.DUMMYFUNCTION("""COMPUTED_VALUE"""),0.0)</f>
        <v>0</v>
      </c>
      <c r="H500" s="22">
        <f>IFERROR(__xludf.DUMMYFUNCTION("""COMPUTED_VALUE"""),500000.0)</f>
        <v>500000</v>
      </c>
      <c r="I500" s="24">
        <f>IFERROR(__xludf.DUMMYFUNCTION("""COMPUTED_VALUE"""),0.0)</f>
        <v>0</v>
      </c>
    </row>
    <row r="501">
      <c r="A501" s="5" t="str">
        <f>IFERROR(__xludf.DUMMYFUNCTION("""COMPUTED_VALUE"""),"33050")</f>
        <v>33050</v>
      </c>
      <c r="B501" s="64">
        <f>IFERROR(__xludf.DUMMYFUNCTION("""COMPUTED_VALUE"""),44624.0)</f>
        <v>44624</v>
      </c>
      <c r="C501" s="5"/>
      <c r="D501" s="5"/>
      <c r="E501" s="5"/>
      <c r="F501" s="22">
        <f>IFERROR(__xludf.DUMMYFUNCTION("""COMPUTED_VALUE"""),500000.0)</f>
        <v>500000</v>
      </c>
      <c r="G501" s="22">
        <f>IFERROR(__xludf.DUMMYFUNCTION("""COMPUTED_VALUE"""),0.0)</f>
        <v>0</v>
      </c>
      <c r="H501" s="22">
        <f>IFERROR(__xludf.DUMMYFUNCTION("""COMPUTED_VALUE"""),500000.0)</f>
        <v>500000</v>
      </c>
      <c r="I501" s="24">
        <f>IFERROR(__xludf.DUMMYFUNCTION("""COMPUTED_VALUE"""),0.0)</f>
        <v>0</v>
      </c>
    </row>
    <row r="502">
      <c r="A502" s="5" t="str">
        <f>IFERROR(__xludf.DUMMYFUNCTION("""COMPUTED_VALUE"""),"33050")</f>
        <v>33050</v>
      </c>
      <c r="B502" s="64">
        <f>IFERROR(__xludf.DUMMYFUNCTION("""COMPUTED_VALUE"""),44625.0)</f>
        <v>44625</v>
      </c>
      <c r="C502" s="5"/>
      <c r="D502" s="5"/>
      <c r="E502" s="5"/>
      <c r="F502" s="22">
        <f>IFERROR(__xludf.DUMMYFUNCTION("""COMPUTED_VALUE"""),500000.0)</f>
        <v>500000</v>
      </c>
      <c r="G502" s="22">
        <f>IFERROR(__xludf.DUMMYFUNCTION("""COMPUTED_VALUE"""),0.0)</f>
        <v>0</v>
      </c>
      <c r="H502" s="22">
        <f>IFERROR(__xludf.DUMMYFUNCTION("""COMPUTED_VALUE"""),500000.0)</f>
        <v>500000</v>
      </c>
      <c r="I502" s="24">
        <f>IFERROR(__xludf.DUMMYFUNCTION("""COMPUTED_VALUE"""),0.0)</f>
        <v>0</v>
      </c>
    </row>
    <row r="503">
      <c r="A503" s="5" t="str">
        <f>IFERROR(__xludf.DUMMYFUNCTION("""COMPUTED_VALUE"""),"33050")</f>
        <v>33050</v>
      </c>
      <c r="B503" s="64">
        <f>IFERROR(__xludf.DUMMYFUNCTION("""COMPUTED_VALUE"""),44626.0)</f>
        <v>44626</v>
      </c>
      <c r="C503" s="5"/>
      <c r="D503" s="5"/>
      <c r="E503" s="5"/>
      <c r="F503" s="22">
        <f>IFERROR(__xludf.DUMMYFUNCTION("""COMPUTED_VALUE"""),500000.0)</f>
        <v>500000</v>
      </c>
      <c r="G503" s="22">
        <f>IFERROR(__xludf.DUMMYFUNCTION("""COMPUTED_VALUE"""),0.0)</f>
        <v>0</v>
      </c>
      <c r="H503" s="22">
        <f>IFERROR(__xludf.DUMMYFUNCTION("""COMPUTED_VALUE"""),500000.0)</f>
        <v>500000</v>
      </c>
      <c r="I503" s="24">
        <f>IFERROR(__xludf.DUMMYFUNCTION("""COMPUTED_VALUE"""),0.0)</f>
        <v>0</v>
      </c>
    </row>
    <row r="504">
      <c r="A504" s="5" t="str">
        <f>IFERROR(__xludf.DUMMYFUNCTION("""COMPUTED_VALUE"""),"33050")</f>
        <v>33050</v>
      </c>
      <c r="B504" s="64">
        <f>IFERROR(__xludf.DUMMYFUNCTION("""COMPUTED_VALUE"""),44627.0)</f>
        <v>44627</v>
      </c>
      <c r="C504" s="5"/>
      <c r="D504" s="5"/>
      <c r="E504" s="5"/>
      <c r="F504" s="22">
        <f>IFERROR(__xludf.DUMMYFUNCTION("""COMPUTED_VALUE"""),500000.0)</f>
        <v>500000</v>
      </c>
      <c r="G504" s="22">
        <f>IFERROR(__xludf.DUMMYFUNCTION("""COMPUTED_VALUE"""),0.0)</f>
        <v>0</v>
      </c>
      <c r="H504" s="22">
        <f>IFERROR(__xludf.DUMMYFUNCTION("""COMPUTED_VALUE"""),500000.0)</f>
        <v>500000</v>
      </c>
      <c r="I504" s="24">
        <f>IFERROR(__xludf.DUMMYFUNCTION("""COMPUTED_VALUE"""),0.0)</f>
        <v>0</v>
      </c>
    </row>
    <row r="505">
      <c r="A505" s="5" t="str">
        <f>IFERROR(__xludf.DUMMYFUNCTION("""COMPUTED_VALUE"""),"33050")</f>
        <v>33050</v>
      </c>
      <c r="B505" s="64">
        <f>IFERROR(__xludf.DUMMYFUNCTION("""COMPUTED_VALUE"""),44628.0)</f>
        <v>44628</v>
      </c>
      <c r="C505" s="5"/>
      <c r="D505" s="5"/>
      <c r="E505" s="5"/>
      <c r="F505" s="22">
        <f>IFERROR(__xludf.DUMMYFUNCTION("""COMPUTED_VALUE"""),500000.0)</f>
        <v>500000</v>
      </c>
      <c r="G505" s="22">
        <f>IFERROR(__xludf.DUMMYFUNCTION("""COMPUTED_VALUE"""),0.0)</f>
        <v>0</v>
      </c>
      <c r="H505" s="22">
        <f>IFERROR(__xludf.DUMMYFUNCTION("""COMPUTED_VALUE"""),500000.0)</f>
        <v>500000</v>
      </c>
      <c r="I505" s="24">
        <f>IFERROR(__xludf.DUMMYFUNCTION("""COMPUTED_VALUE"""),0.0)</f>
        <v>0</v>
      </c>
    </row>
    <row r="506">
      <c r="A506" s="5" t="str">
        <f>IFERROR(__xludf.DUMMYFUNCTION("""COMPUTED_VALUE"""),"33050")</f>
        <v>33050</v>
      </c>
      <c r="B506" s="64">
        <f>IFERROR(__xludf.DUMMYFUNCTION("""COMPUTED_VALUE"""),44629.0)</f>
        <v>44629</v>
      </c>
      <c r="C506" s="5"/>
      <c r="D506" s="5"/>
      <c r="E506" s="5"/>
      <c r="F506" s="22">
        <f>IFERROR(__xludf.DUMMYFUNCTION("""COMPUTED_VALUE"""),500000.0)</f>
        <v>500000</v>
      </c>
      <c r="G506" s="22">
        <f>IFERROR(__xludf.DUMMYFUNCTION("""COMPUTED_VALUE"""),0.0)</f>
        <v>0</v>
      </c>
      <c r="H506" s="22">
        <f>IFERROR(__xludf.DUMMYFUNCTION("""COMPUTED_VALUE"""),500000.0)</f>
        <v>500000</v>
      </c>
      <c r="I506" s="24">
        <f>IFERROR(__xludf.DUMMYFUNCTION("""COMPUTED_VALUE"""),0.0)</f>
        <v>0</v>
      </c>
    </row>
    <row r="507">
      <c r="A507" s="5" t="str">
        <f>IFERROR(__xludf.DUMMYFUNCTION("""COMPUTED_VALUE"""),"33050")</f>
        <v>33050</v>
      </c>
      <c r="B507" s="64">
        <f>IFERROR(__xludf.DUMMYFUNCTION("""COMPUTED_VALUE"""),44630.0)</f>
        <v>44630</v>
      </c>
      <c r="C507" s="5"/>
      <c r="D507" s="5"/>
      <c r="E507" s="5"/>
      <c r="F507" s="22">
        <f>IFERROR(__xludf.DUMMYFUNCTION("""COMPUTED_VALUE"""),500000.0)</f>
        <v>500000</v>
      </c>
      <c r="G507" s="22">
        <f>IFERROR(__xludf.DUMMYFUNCTION("""COMPUTED_VALUE"""),0.0)</f>
        <v>0</v>
      </c>
      <c r="H507" s="22">
        <f>IFERROR(__xludf.DUMMYFUNCTION("""COMPUTED_VALUE"""),500000.0)</f>
        <v>500000</v>
      </c>
      <c r="I507" s="24">
        <f>IFERROR(__xludf.DUMMYFUNCTION("""COMPUTED_VALUE"""),0.0)</f>
        <v>0</v>
      </c>
    </row>
    <row r="508">
      <c r="A508" s="5" t="str">
        <f>IFERROR(__xludf.DUMMYFUNCTION("""COMPUTED_VALUE"""),"33050")</f>
        <v>33050</v>
      </c>
      <c r="B508" s="64">
        <f>IFERROR(__xludf.DUMMYFUNCTION("""COMPUTED_VALUE"""),44631.0)</f>
        <v>44631</v>
      </c>
      <c r="C508" s="5"/>
      <c r="D508" s="5"/>
      <c r="E508" s="5"/>
      <c r="F508" s="22">
        <f>IFERROR(__xludf.DUMMYFUNCTION("""COMPUTED_VALUE"""),500000.0)</f>
        <v>500000</v>
      </c>
      <c r="G508" s="22">
        <f>IFERROR(__xludf.DUMMYFUNCTION("""COMPUTED_VALUE"""),0.0)</f>
        <v>0</v>
      </c>
      <c r="H508" s="22">
        <f>IFERROR(__xludf.DUMMYFUNCTION("""COMPUTED_VALUE"""),500000.0)</f>
        <v>500000</v>
      </c>
      <c r="I508" s="24">
        <f>IFERROR(__xludf.DUMMYFUNCTION("""COMPUTED_VALUE"""),0.0)</f>
        <v>0</v>
      </c>
    </row>
    <row r="509">
      <c r="A509" s="5" t="str">
        <f>IFERROR(__xludf.DUMMYFUNCTION("""COMPUTED_VALUE"""),"33050")</f>
        <v>33050</v>
      </c>
      <c r="B509" s="64">
        <f>IFERROR(__xludf.DUMMYFUNCTION("""COMPUTED_VALUE"""),44632.0)</f>
        <v>44632</v>
      </c>
      <c r="C509" s="5"/>
      <c r="D509" s="5"/>
      <c r="E509" s="5"/>
      <c r="F509" s="22">
        <f>IFERROR(__xludf.DUMMYFUNCTION("""COMPUTED_VALUE"""),500000.0)</f>
        <v>500000</v>
      </c>
      <c r="G509" s="22">
        <f>IFERROR(__xludf.DUMMYFUNCTION("""COMPUTED_VALUE"""),0.0)</f>
        <v>0</v>
      </c>
      <c r="H509" s="22">
        <f>IFERROR(__xludf.DUMMYFUNCTION("""COMPUTED_VALUE"""),500000.0)</f>
        <v>500000</v>
      </c>
      <c r="I509" s="24">
        <f>IFERROR(__xludf.DUMMYFUNCTION("""COMPUTED_VALUE"""),0.0)</f>
        <v>0</v>
      </c>
    </row>
    <row r="510">
      <c r="A510" s="5" t="str">
        <f>IFERROR(__xludf.DUMMYFUNCTION("""COMPUTED_VALUE"""),"33050")</f>
        <v>33050</v>
      </c>
      <c r="B510" s="64">
        <f>IFERROR(__xludf.DUMMYFUNCTION("""COMPUTED_VALUE"""),44633.0)</f>
        <v>44633</v>
      </c>
      <c r="C510" s="5"/>
      <c r="D510" s="5"/>
      <c r="E510" s="5"/>
      <c r="F510" s="22">
        <f>IFERROR(__xludf.DUMMYFUNCTION("""COMPUTED_VALUE"""),500000.0)</f>
        <v>500000</v>
      </c>
      <c r="G510" s="22">
        <f>IFERROR(__xludf.DUMMYFUNCTION("""COMPUTED_VALUE"""),0.0)</f>
        <v>0</v>
      </c>
      <c r="H510" s="22">
        <f>IFERROR(__xludf.DUMMYFUNCTION("""COMPUTED_VALUE"""),500000.0)</f>
        <v>500000</v>
      </c>
      <c r="I510" s="24">
        <f>IFERROR(__xludf.DUMMYFUNCTION("""COMPUTED_VALUE"""),0.0)</f>
        <v>0</v>
      </c>
    </row>
    <row r="511">
      <c r="A511" s="5" t="str">
        <f>IFERROR(__xludf.DUMMYFUNCTION("""COMPUTED_VALUE"""),"33050")</f>
        <v>33050</v>
      </c>
      <c r="B511" s="64">
        <f>IFERROR(__xludf.DUMMYFUNCTION("""COMPUTED_VALUE"""),44634.0)</f>
        <v>44634</v>
      </c>
      <c r="C511" s="5"/>
      <c r="D511" s="5"/>
      <c r="E511" s="5"/>
      <c r="F511" s="22">
        <f>IFERROR(__xludf.DUMMYFUNCTION("""COMPUTED_VALUE"""),500000.0)</f>
        <v>500000</v>
      </c>
      <c r="G511" s="22">
        <f>IFERROR(__xludf.DUMMYFUNCTION("""COMPUTED_VALUE"""),0.0)</f>
        <v>0</v>
      </c>
      <c r="H511" s="22">
        <f>IFERROR(__xludf.DUMMYFUNCTION("""COMPUTED_VALUE"""),500000.0)</f>
        <v>500000</v>
      </c>
      <c r="I511" s="24">
        <f>IFERROR(__xludf.DUMMYFUNCTION("""COMPUTED_VALUE"""),0.0)</f>
        <v>0</v>
      </c>
    </row>
    <row r="512">
      <c r="A512" s="5" t="str">
        <f>IFERROR(__xludf.DUMMYFUNCTION("""COMPUTED_VALUE"""),"33050")</f>
        <v>33050</v>
      </c>
      <c r="B512" s="64">
        <f>IFERROR(__xludf.DUMMYFUNCTION("""COMPUTED_VALUE"""),44635.0)</f>
        <v>44635</v>
      </c>
      <c r="C512" s="5"/>
      <c r="D512" s="5"/>
      <c r="E512" s="5"/>
      <c r="F512" s="22">
        <f>IFERROR(__xludf.DUMMYFUNCTION("""COMPUTED_VALUE"""),500000.0)</f>
        <v>500000</v>
      </c>
      <c r="G512" s="22">
        <f>IFERROR(__xludf.DUMMYFUNCTION("""COMPUTED_VALUE"""),0.0)</f>
        <v>0</v>
      </c>
      <c r="H512" s="22">
        <f>IFERROR(__xludf.DUMMYFUNCTION("""COMPUTED_VALUE"""),500000.0)</f>
        <v>500000</v>
      </c>
      <c r="I512" s="24">
        <f>IFERROR(__xludf.DUMMYFUNCTION("""COMPUTED_VALUE"""),0.0)</f>
        <v>0</v>
      </c>
    </row>
    <row r="513">
      <c r="A513" s="5" t="str">
        <f>IFERROR(__xludf.DUMMYFUNCTION("""COMPUTED_VALUE"""),"33050")</f>
        <v>33050</v>
      </c>
      <c r="B513" s="64">
        <f>IFERROR(__xludf.DUMMYFUNCTION("""COMPUTED_VALUE"""),44636.0)</f>
        <v>44636</v>
      </c>
      <c r="C513" s="5"/>
      <c r="D513" s="5"/>
      <c r="E513" s="5"/>
      <c r="F513" s="22">
        <f>IFERROR(__xludf.DUMMYFUNCTION("""COMPUTED_VALUE"""),500000.0)</f>
        <v>500000</v>
      </c>
      <c r="G513" s="22">
        <f>IFERROR(__xludf.DUMMYFUNCTION("""COMPUTED_VALUE"""),0.0)</f>
        <v>0</v>
      </c>
      <c r="H513" s="22">
        <f>IFERROR(__xludf.DUMMYFUNCTION("""COMPUTED_VALUE"""),500000.0)</f>
        <v>500000</v>
      </c>
      <c r="I513" s="24">
        <f>IFERROR(__xludf.DUMMYFUNCTION("""COMPUTED_VALUE"""),0.0)</f>
        <v>0</v>
      </c>
    </row>
    <row r="514">
      <c r="A514" s="5" t="str">
        <f>IFERROR(__xludf.DUMMYFUNCTION("""COMPUTED_VALUE"""),"33050")</f>
        <v>33050</v>
      </c>
      <c r="B514" s="64">
        <f>IFERROR(__xludf.DUMMYFUNCTION("""COMPUTED_VALUE"""),44637.0)</f>
        <v>44637</v>
      </c>
      <c r="C514" s="5"/>
      <c r="D514" s="5"/>
      <c r="E514" s="5"/>
      <c r="F514" s="22">
        <f>IFERROR(__xludf.DUMMYFUNCTION("""COMPUTED_VALUE"""),500000.0)</f>
        <v>500000</v>
      </c>
      <c r="G514" s="22">
        <f>IFERROR(__xludf.DUMMYFUNCTION("""COMPUTED_VALUE"""),0.0)</f>
        <v>0</v>
      </c>
      <c r="H514" s="22">
        <f>IFERROR(__xludf.DUMMYFUNCTION("""COMPUTED_VALUE"""),500000.0)</f>
        <v>500000</v>
      </c>
      <c r="I514" s="24">
        <f>IFERROR(__xludf.DUMMYFUNCTION("""COMPUTED_VALUE"""),0.0)</f>
        <v>0</v>
      </c>
    </row>
    <row r="515">
      <c r="A515" s="5" t="str">
        <f>IFERROR(__xludf.DUMMYFUNCTION("""COMPUTED_VALUE"""),"33050")</f>
        <v>33050</v>
      </c>
      <c r="B515" s="64">
        <f>IFERROR(__xludf.DUMMYFUNCTION("""COMPUTED_VALUE"""),44638.0)</f>
        <v>44638</v>
      </c>
      <c r="C515" s="5"/>
      <c r="D515" s="5"/>
      <c r="E515" s="5"/>
      <c r="F515" s="22">
        <f>IFERROR(__xludf.DUMMYFUNCTION("""COMPUTED_VALUE"""),500000.0)</f>
        <v>500000</v>
      </c>
      <c r="G515" s="22">
        <f>IFERROR(__xludf.DUMMYFUNCTION("""COMPUTED_VALUE"""),0.0)</f>
        <v>0</v>
      </c>
      <c r="H515" s="22">
        <f>IFERROR(__xludf.DUMMYFUNCTION("""COMPUTED_VALUE"""),500000.0)</f>
        <v>500000</v>
      </c>
      <c r="I515" s="24">
        <f>IFERROR(__xludf.DUMMYFUNCTION("""COMPUTED_VALUE"""),0.0)</f>
        <v>0</v>
      </c>
    </row>
    <row r="516">
      <c r="A516" s="5" t="str">
        <f>IFERROR(__xludf.DUMMYFUNCTION("""COMPUTED_VALUE"""),"33050")</f>
        <v>33050</v>
      </c>
      <c r="B516" s="64">
        <f>IFERROR(__xludf.DUMMYFUNCTION("""COMPUTED_VALUE"""),44639.0)</f>
        <v>44639</v>
      </c>
      <c r="C516" s="5"/>
      <c r="D516" s="5"/>
      <c r="E516" s="5"/>
      <c r="F516" s="22">
        <f>IFERROR(__xludf.DUMMYFUNCTION("""COMPUTED_VALUE"""),500000.0)</f>
        <v>500000</v>
      </c>
      <c r="G516" s="22">
        <f>IFERROR(__xludf.DUMMYFUNCTION("""COMPUTED_VALUE"""),0.0)</f>
        <v>0</v>
      </c>
      <c r="H516" s="22">
        <f>IFERROR(__xludf.DUMMYFUNCTION("""COMPUTED_VALUE"""),500000.0)</f>
        <v>500000</v>
      </c>
      <c r="I516" s="24">
        <f>IFERROR(__xludf.DUMMYFUNCTION("""COMPUTED_VALUE"""),0.0)</f>
        <v>0</v>
      </c>
    </row>
    <row r="517">
      <c r="A517" s="5" t="str">
        <f>IFERROR(__xludf.DUMMYFUNCTION("""COMPUTED_VALUE"""),"33050")</f>
        <v>33050</v>
      </c>
      <c r="B517" s="64">
        <f>IFERROR(__xludf.DUMMYFUNCTION("""COMPUTED_VALUE"""),44640.0)</f>
        <v>44640</v>
      </c>
      <c r="C517" s="5"/>
      <c r="D517" s="5"/>
      <c r="E517" s="5"/>
      <c r="F517" s="22">
        <f>IFERROR(__xludf.DUMMYFUNCTION("""COMPUTED_VALUE"""),500000.0)</f>
        <v>500000</v>
      </c>
      <c r="G517" s="22">
        <f>IFERROR(__xludf.DUMMYFUNCTION("""COMPUTED_VALUE"""),0.0)</f>
        <v>0</v>
      </c>
      <c r="H517" s="22">
        <f>IFERROR(__xludf.DUMMYFUNCTION("""COMPUTED_VALUE"""),500000.0)</f>
        <v>500000</v>
      </c>
      <c r="I517" s="24">
        <f>IFERROR(__xludf.DUMMYFUNCTION("""COMPUTED_VALUE"""),0.0)</f>
        <v>0</v>
      </c>
    </row>
    <row r="518">
      <c r="A518" s="5" t="str">
        <f>IFERROR(__xludf.DUMMYFUNCTION("""COMPUTED_VALUE"""),"33050")</f>
        <v>33050</v>
      </c>
      <c r="B518" s="64">
        <f>IFERROR(__xludf.DUMMYFUNCTION("""COMPUTED_VALUE"""),44641.0)</f>
        <v>44641</v>
      </c>
      <c r="C518" s="5"/>
      <c r="D518" s="5"/>
      <c r="E518" s="5"/>
      <c r="F518" s="22">
        <f>IFERROR(__xludf.DUMMYFUNCTION("""COMPUTED_VALUE"""),500000.0)</f>
        <v>500000</v>
      </c>
      <c r="G518" s="22">
        <f>IFERROR(__xludf.DUMMYFUNCTION("""COMPUTED_VALUE"""),0.0)</f>
        <v>0</v>
      </c>
      <c r="H518" s="22">
        <f>IFERROR(__xludf.DUMMYFUNCTION("""COMPUTED_VALUE"""),500000.0)</f>
        <v>500000</v>
      </c>
      <c r="I518" s="24">
        <f>IFERROR(__xludf.DUMMYFUNCTION("""COMPUTED_VALUE"""),0.0)</f>
        <v>0</v>
      </c>
    </row>
    <row r="519">
      <c r="A519" s="5" t="str">
        <f>IFERROR(__xludf.DUMMYFUNCTION("""COMPUTED_VALUE"""),"33050")</f>
        <v>33050</v>
      </c>
      <c r="B519" s="64">
        <f>IFERROR(__xludf.DUMMYFUNCTION("""COMPUTED_VALUE"""),44642.0)</f>
        <v>44642</v>
      </c>
      <c r="C519" s="5"/>
      <c r="D519" s="5"/>
      <c r="E519" s="5"/>
      <c r="F519" s="22">
        <f>IFERROR(__xludf.DUMMYFUNCTION("""COMPUTED_VALUE"""),500000.0)</f>
        <v>500000</v>
      </c>
      <c r="G519" s="22">
        <f>IFERROR(__xludf.DUMMYFUNCTION("""COMPUTED_VALUE"""),0.0)</f>
        <v>0</v>
      </c>
      <c r="H519" s="22">
        <f>IFERROR(__xludf.DUMMYFUNCTION("""COMPUTED_VALUE"""),500000.0)</f>
        <v>500000</v>
      </c>
      <c r="I519" s="24">
        <f>IFERROR(__xludf.DUMMYFUNCTION("""COMPUTED_VALUE"""),0.0)</f>
        <v>0</v>
      </c>
    </row>
    <row r="520">
      <c r="A520" s="5" t="str">
        <f>IFERROR(__xludf.DUMMYFUNCTION("""COMPUTED_VALUE"""),"33050")</f>
        <v>33050</v>
      </c>
      <c r="B520" s="64">
        <f>IFERROR(__xludf.DUMMYFUNCTION("""COMPUTED_VALUE"""),44643.0)</f>
        <v>44643</v>
      </c>
      <c r="C520" s="5"/>
      <c r="D520" s="5"/>
      <c r="E520" s="5"/>
      <c r="F520" s="22">
        <f>IFERROR(__xludf.DUMMYFUNCTION("""COMPUTED_VALUE"""),500000.0)</f>
        <v>500000</v>
      </c>
      <c r="G520" s="22">
        <f>IFERROR(__xludf.DUMMYFUNCTION("""COMPUTED_VALUE"""),0.0)</f>
        <v>0</v>
      </c>
      <c r="H520" s="22">
        <f>IFERROR(__xludf.DUMMYFUNCTION("""COMPUTED_VALUE"""),500000.0)</f>
        <v>500000</v>
      </c>
      <c r="I520" s="24">
        <f>IFERROR(__xludf.DUMMYFUNCTION("""COMPUTED_VALUE"""),0.0)</f>
        <v>0</v>
      </c>
    </row>
    <row r="521">
      <c r="A521" s="5" t="str">
        <f>IFERROR(__xludf.DUMMYFUNCTION("""COMPUTED_VALUE"""),"33050")</f>
        <v>33050</v>
      </c>
      <c r="B521" s="64">
        <f>IFERROR(__xludf.DUMMYFUNCTION("""COMPUTED_VALUE"""),44644.0)</f>
        <v>44644</v>
      </c>
      <c r="C521" s="5"/>
      <c r="D521" s="5"/>
      <c r="E521" s="5"/>
      <c r="F521" s="22">
        <f>IFERROR(__xludf.DUMMYFUNCTION("""COMPUTED_VALUE"""),500000.0)</f>
        <v>500000</v>
      </c>
      <c r="G521" s="22">
        <f>IFERROR(__xludf.DUMMYFUNCTION("""COMPUTED_VALUE"""),0.0)</f>
        <v>0</v>
      </c>
      <c r="H521" s="22">
        <f>IFERROR(__xludf.DUMMYFUNCTION("""COMPUTED_VALUE"""),500000.0)</f>
        <v>500000</v>
      </c>
      <c r="I521" s="24">
        <f>IFERROR(__xludf.DUMMYFUNCTION("""COMPUTED_VALUE"""),0.0)</f>
        <v>0</v>
      </c>
    </row>
    <row r="522">
      <c r="A522" s="5" t="str">
        <f>IFERROR(__xludf.DUMMYFUNCTION("""COMPUTED_VALUE"""),"33050")</f>
        <v>33050</v>
      </c>
      <c r="B522" s="64">
        <f>IFERROR(__xludf.DUMMYFUNCTION("""COMPUTED_VALUE"""),44645.0)</f>
        <v>44645</v>
      </c>
      <c r="C522" s="5"/>
      <c r="D522" s="5"/>
      <c r="E522" s="5"/>
      <c r="F522" s="22">
        <f>IFERROR(__xludf.DUMMYFUNCTION("""COMPUTED_VALUE"""),500000.0)</f>
        <v>500000</v>
      </c>
      <c r="G522" s="22">
        <f>IFERROR(__xludf.DUMMYFUNCTION("""COMPUTED_VALUE"""),0.0)</f>
        <v>0</v>
      </c>
      <c r="H522" s="22">
        <f>IFERROR(__xludf.DUMMYFUNCTION("""COMPUTED_VALUE"""),500000.0)</f>
        <v>500000</v>
      </c>
      <c r="I522" s="24">
        <f>IFERROR(__xludf.DUMMYFUNCTION("""COMPUTED_VALUE"""),0.0)</f>
        <v>0</v>
      </c>
    </row>
    <row r="523">
      <c r="A523" s="5" t="str">
        <f>IFERROR(__xludf.DUMMYFUNCTION("""COMPUTED_VALUE"""),"33050")</f>
        <v>33050</v>
      </c>
      <c r="B523" s="64">
        <f>IFERROR(__xludf.DUMMYFUNCTION("""COMPUTED_VALUE"""),44646.0)</f>
        <v>44646</v>
      </c>
      <c r="C523" s="5"/>
      <c r="D523" s="5"/>
      <c r="E523" s="5"/>
      <c r="F523" s="22">
        <f>IFERROR(__xludf.DUMMYFUNCTION("""COMPUTED_VALUE"""),500000.0)</f>
        <v>500000</v>
      </c>
      <c r="G523" s="22">
        <f>IFERROR(__xludf.DUMMYFUNCTION("""COMPUTED_VALUE"""),0.0)</f>
        <v>0</v>
      </c>
      <c r="H523" s="22">
        <f>IFERROR(__xludf.DUMMYFUNCTION("""COMPUTED_VALUE"""),500000.0)</f>
        <v>500000</v>
      </c>
      <c r="I523" s="24">
        <f>IFERROR(__xludf.DUMMYFUNCTION("""COMPUTED_VALUE"""),0.0)</f>
        <v>0</v>
      </c>
    </row>
    <row r="524">
      <c r="A524" s="5" t="str">
        <f>IFERROR(__xludf.DUMMYFUNCTION("""COMPUTED_VALUE"""),"33050")</f>
        <v>33050</v>
      </c>
      <c r="B524" s="64">
        <f>IFERROR(__xludf.DUMMYFUNCTION("""COMPUTED_VALUE"""),44647.0)</f>
        <v>44647</v>
      </c>
      <c r="C524" s="5"/>
      <c r="D524" s="5"/>
      <c r="E524" s="5"/>
      <c r="F524" s="22">
        <f>IFERROR(__xludf.DUMMYFUNCTION("""COMPUTED_VALUE"""),500000.0)</f>
        <v>500000</v>
      </c>
      <c r="G524" s="22">
        <f>IFERROR(__xludf.DUMMYFUNCTION("""COMPUTED_VALUE"""),0.0)</f>
        <v>0</v>
      </c>
      <c r="H524" s="22">
        <f>IFERROR(__xludf.DUMMYFUNCTION("""COMPUTED_VALUE"""),500000.0)</f>
        <v>500000</v>
      </c>
      <c r="I524" s="24">
        <f>IFERROR(__xludf.DUMMYFUNCTION("""COMPUTED_VALUE"""),0.0)</f>
        <v>0</v>
      </c>
    </row>
    <row r="525">
      <c r="A525" s="5" t="str">
        <f>IFERROR(__xludf.DUMMYFUNCTION("""COMPUTED_VALUE"""),"33050")</f>
        <v>33050</v>
      </c>
      <c r="B525" s="64">
        <f>IFERROR(__xludf.DUMMYFUNCTION("""COMPUTED_VALUE"""),44648.0)</f>
        <v>44648</v>
      </c>
      <c r="C525" s="5"/>
      <c r="D525" s="5"/>
      <c r="E525" s="5"/>
      <c r="F525" s="22">
        <f>IFERROR(__xludf.DUMMYFUNCTION("""COMPUTED_VALUE"""),500000.0)</f>
        <v>500000</v>
      </c>
      <c r="G525" s="22">
        <f>IFERROR(__xludf.DUMMYFUNCTION("""COMPUTED_VALUE"""),0.0)</f>
        <v>0</v>
      </c>
      <c r="H525" s="22">
        <f>IFERROR(__xludf.DUMMYFUNCTION("""COMPUTED_VALUE"""),500000.0)</f>
        <v>500000</v>
      </c>
      <c r="I525" s="24">
        <f>IFERROR(__xludf.DUMMYFUNCTION("""COMPUTED_VALUE"""),0.0)</f>
        <v>0</v>
      </c>
    </row>
    <row r="526">
      <c r="A526" s="5" t="str">
        <f>IFERROR(__xludf.DUMMYFUNCTION("""COMPUTED_VALUE"""),"33050")</f>
        <v>33050</v>
      </c>
      <c r="B526" s="64">
        <f>IFERROR(__xludf.DUMMYFUNCTION("""COMPUTED_VALUE"""),44649.0)</f>
        <v>44649</v>
      </c>
      <c r="C526" s="5"/>
      <c r="D526" s="5"/>
      <c r="E526" s="5"/>
      <c r="F526" s="22">
        <f>IFERROR(__xludf.DUMMYFUNCTION("""COMPUTED_VALUE"""),500000.0)</f>
        <v>500000</v>
      </c>
      <c r="G526" s="22">
        <f>IFERROR(__xludf.DUMMYFUNCTION("""COMPUTED_VALUE"""),0.0)</f>
        <v>0</v>
      </c>
      <c r="H526" s="22">
        <f>IFERROR(__xludf.DUMMYFUNCTION("""COMPUTED_VALUE"""),500000.0)</f>
        <v>500000</v>
      </c>
      <c r="I526" s="24">
        <f>IFERROR(__xludf.DUMMYFUNCTION("""COMPUTED_VALUE"""),0.0)</f>
        <v>0</v>
      </c>
    </row>
    <row r="527">
      <c r="A527" s="5" t="str">
        <f>IFERROR(__xludf.DUMMYFUNCTION("""COMPUTED_VALUE"""),"33050")</f>
        <v>33050</v>
      </c>
      <c r="B527" s="64">
        <f>IFERROR(__xludf.DUMMYFUNCTION("""COMPUTED_VALUE"""),44650.0)</f>
        <v>44650</v>
      </c>
      <c r="C527" s="5"/>
      <c r="D527" s="5"/>
      <c r="E527" s="5"/>
      <c r="F527" s="22">
        <f>IFERROR(__xludf.DUMMYFUNCTION("""COMPUTED_VALUE"""),500000.0)</f>
        <v>500000</v>
      </c>
      <c r="G527" s="22">
        <f>IFERROR(__xludf.DUMMYFUNCTION("""COMPUTED_VALUE"""),0.0)</f>
        <v>0</v>
      </c>
      <c r="H527" s="22">
        <f>IFERROR(__xludf.DUMMYFUNCTION("""COMPUTED_VALUE"""),500000.0)</f>
        <v>500000</v>
      </c>
      <c r="I527" s="24">
        <f>IFERROR(__xludf.DUMMYFUNCTION("""COMPUTED_VALUE"""),0.0)</f>
        <v>0</v>
      </c>
    </row>
    <row r="528">
      <c r="A528" s="5" t="str">
        <f>IFERROR(__xludf.DUMMYFUNCTION("""COMPUTED_VALUE"""),"33050")</f>
        <v>33050</v>
      </c>
      <c r="B528" s="64">
        <f>IFERROR(__xludf.DUMMYFUNCTION("""COMPUTED_VALUE"""),44651.0)</f>
        <v>44651</v>
      </c>
      <c r="C528" s="5"/>
      <c r="D528" s="5"/>
      <c r="E528" s="5"/>
      <c r="F528" s="22">
        <f>IFERROR(__xludf.DUMMYFUNCTION("""COMPUTED_VALUE"""),500000.0)</f>
        <v>500000</v>
      </c>
      <c r="G528" s="22">
        <f>IFERROR(__xludf.DUMMYFUNCTION("""COMPUTED_VALUE"""),0.0)</f>
        <v>0</v>
      </c>
      <c r="H528" s="22">
        <f>IFERROR(__xludf.DUMMYFUNCTION("""COMPUTED_VALUE"""),500000.0)</f>
        <v>500000</v>
      </c>
      <c r="I528" s="24">
        <f>IFERROR(__xludf.DUMMYFUNCTION("""COMPUTED_VALUE"""),0.0)</f>
        <v>0</v>
      </c>
    </row>
    <row r="529">
      <c r="A529" s="5" t="str">
        <f>IFERROR(__xludf.DUMMYFUNCTION("""COMPUTED_VALUE"""),"33050")</f>
        <v>33050</v>
      </c>
      <c r="B529" s="64">
        <f>IFERROR(__xludf.DUMMYFUNCTION("""COMPUTED_VALUE"""),44652.0)</f>
        <v>44652</v>
      </c>
      <c r="C529" s="5"/>
      <c r="D529" s="5"/>
      <c r="E529" s="5"/>
      <c r="F529" s="22">
        <f>IFERROR(__xludf.DUMMYFUNCTION("""COMPUTED_VALUE"""),500000.0)</f>
        <v>500000</v>
      </c>
      <c r="G529" s="22">
        <f>IFERROR(__xludf.DUMMYFUNCTION("""COMPUTED_VALUE"""),0.0)</f>
        <v>0</v>
      </c>
      <c r="H529" s="22">
        <f>IFERROR(__xludf.DUMMYFUNCTION("""COMPUTED_VALUE"""),500000.0)</f>
        <v>500000</v>
      </c>
      <c r="I529" s="24">
        <f>IFERROR(__xludf.DUMMYFUNCTION("""COMPUTED_VALUE"""),0.0)</f>
        <v>0</v>
      </c>
    </row>
    <row r="530">
      <c r="A530" s="5" t="str">
        <f>IFERROR(__xludf.DUMMYFUNCTION("""COMPUTED_VALUE"""),"33050")</f>
        <v>33050</v>
      </c>
      <c r="B530" s="64">
        <f>IFERROR(__xludf.DUMMYFUNCTION("""COMPUTED_VALUE"""),44653.0)</f>
        <v>44653</v>
      </c>
      <c r="C530" s="5"/>
      <c r="D530" s="5"/>
      <c r="E530" s="5"/>
      <c r="F530" s="22">
        <f>IFERROR(__xludf.DUMMYFUNCTION("""COMPUTED_VALUE"""),500000.0)</f>
        <v>500000</v>
      </c>
      <c r="G530" s="22">
        <f>IFERROR(__xludf.DUMMYFUNCTION("""COMPUTED_VALUE"""),0.0)</f>
        <v>0</v>
      </c>
      <c r="H530" s="22">
        <f>IFERROR(__xludf.DUMMYFUNCTION("""COMPUTED_VALUE"""),500000.0)</f>
        <v>500000</v>
      </c>
      <c r="I530" s="24">
        <f>IFERROR(__xludf.DUMMYFUNCTION("""COMPUTED_VALUE"""),0.0)</f>
        <v>0</v>
      </c>
    </row>
    <row r="531">
      <c r="A531" s="5" t="str">
        <f>IFERROR(__xludf.DUMMYFUNCTION("""COMPUTED_VALUE"""),"33050")</f>
        <v>33050</v>
      </c>
      <c r="B531" s="64">
        <f>IFERROR(__xludf.DUMMYFUNCTION("""COMPUTED_VALUE"""),44654.0)</f>
        <v>44654</v>
      </c>
      <c r="C531" s="5"/>
      <c r="D531" s="5"/>
      <c r="E531" s="5"/>
      <c r="F531" s="22">
        <f>IFERROR(__xludf.DUMMYFUNCTION("""COMPUTED_VALUE"""),500000.0)</f>
        <v>500000</v>
      </c>
      <c r="G531" s="22">
        <f>IFERROR(__xludf.DUMMYFUNCTION("""COMPUTED_VALUE"""),0.0)</f>
        <v>0</v>
      </c>
      <c r="H531" s="22">
        <f>IFERROR(__xludf.DUMMYFUNCTION("""COMPUTED_VALUE"""),500000.0)</f>
        <v>500000</v>
      </c>
      <c r="I531" s="24">
        <f>IFERROR(__xludf.DUMMYFUNCTION("""COMPUTED_VALUE"""),0.0)</f>
        <v>0</v>
      </c>
    </row>
    <row r="532">
      <c r="A532" s="5" t="str">
        <f>IFERROR(__xludf.DUMMYFUNCTION("""COMPUTED_VALUE"""),"33050")</f>
        <v>33050</v>
      </c>
      <c r="B532" s="64">
        <f>IFERROR(__xludf.DUMMYFUNCTION("""COMPUTED_VALUE"""),44655.0)</f>
        <v>44655</v>
      </c>
      <c r="C532" s="5"/>
      <c r="D532" s="5"/>
      <c r="E532" s="5"/>
      <c r="F532" s="22">
        <f>IFERROR(__xludf.DUMMYFUNCTION("""COMPUTED_VALUE"""),500000.0)</f>
        <v>500000</v>
      </c>
      <c r="G532" s="22">
        <f>IFERROR(__xludf.DUMMYFUNCTION("""COMPUTED_VALUE"""),0.0)</f>
        <v>0</v>
      </c>
      <c r="H532" s="22">
        <f>IFERROR(__xludf.DUMMYFUNCTION("""COMPUTED_VALUE"""),500000.0)</f>
        <v>500000</v>
      </c>
      <c r="I532" s="24">
        <f>IFERROR(__xludf.DUMMYFUNCTION("""COMPUTED_VALUE"""),0.0)</f>
        <v>0</v>
      </c>
    </row>
    <row r="533">
      <c r="A533" s="5" t="str">
        <f>IFERROR(__xludf.DUMMYFUNCTION("""COMPUTED_VALUE"""),"33050")</f>
        <v>33050</v>
      </c>
      <c r="B533" s="64">
        <f>IFERROR(__xludf.DUMMYFUNCTION("""COMPUTED_VALUE"""),44656.0)</f>
        <v>44656</v>
      </c>
      <c r="C533" s="5"/>
      <c r="D533" s="5"/>
      <c r="E533" s="5"/>
      <c r="F533" s="22">
        <f>IFERROR(__xludf.DUMMYFUNCTION("""COMPUTED_VALUE"""),500000.0)</f>
        <v>500000</v>
      </c>
      <c r="G533" s="22">
        <f>IFERROR(__xludf.DUMMYFUNCTION("""COMPUTED_VALUE"""),0.0)</f>
        <v>0</v>
      </c>
      <c r="H533" s="22">
        <f>IFERROR(__xludf.DUMMYFUNCTION("""COMPUTED_VALUE"""),500000.0)</f>
        <v>500000</v>
      </c>
      <c r="I533" s="24">
        <f>IFERROR(__xludf.DUMMYFUNCTION("""COMPUTED_VALUE"""),0.0)</f>
        <v>0</v>
      </c>
    </row>
    <row r="534">
      <c r="A534" s="5" t="str">
        <f>IFERROR(__xludf.DUMMYFUNCTION("""COMPUTED_VALUE"""),"33050")</f>
        <v>33050</v>
      </c>
      <c r="B534" s="64">
        <f>IFERROR(__xludf.DUMMYFUNCTION("""COMPUTED_VALUE"""),44657.0)</f>
        <v>44657</v>
      </c>
      <c r="C534" s="5"/>
      <c r="D534" s="5"/>
      <c r="E534" s="5"/>
      <c r="F534" s="22">
        <f>IFERROR(__xludf.DUMMYFUNCTION("""COMPUTED_VALUE"""),500000.0)</f>
        <v>500000</v>
      </c>
      <c r="G534" s="22">
        <f>IFERROR(__xludf.DUMMYFUNCTION("""COMPUTED_VALUE"""),0.0)</f>
        <v>0</v>
      </c>
      <c r="H534" s="22">
        <f>IFERROR(__xludf.DUMMYFUNCTION("""COMPUTED_VALUE"""),500000.0)</f>
        <v>500000</v>
      </c>
      <c r="I534" s="24">
        <f>IFERROR(__xludf.DUMMYFUNCTION("""COMPUTED_VALUE"""),0.0)</f>
        <v>0</v>
      </c>
    </row>
    <row r="535">
      <c r="A535" s="5" t="str">
        <f>IFERROR(__xludf.DUMMYFUNCTION("""COMPUTED_VALUE"""),"33050")</f>
        <v>33050</v>
      </c>
      <c r="B535" s="64">
        <f>IFERROR(__xludf.DUMMYFUNCTION("""COMPUTED_VALUE"""),44658.0)</f>
        <v>44658</v>
      </c>
      <c r="C535" s="5"/>
      <c r="D535" s="5"/>
      <c r="E535" s="5"/>
      <c r="F535" s="22">
        <f>IFERROR(__xludf.DUMMYFUNCTION("""COMPUTED_VALUE"""),500000.0)</f>
        <v>500000</v>
      </c>
      <c r="G535" s="22">
        <f>IFERROR(__xludf.DUMMYFUNCTION("""COMPUTED_VALUE"""),0.0)</f>
        <v>0</v>
      </c>
      <c r="H535" s="22">
        <f>IFERROR(__xludf.DUMMYFUNCTION("""COMPUTED_VALUE"""),500000.0)</f>
        <v>500000</v>
      </c>
      <c r="I535" s="24">
        <f>IFERROR(__xludf.DUMMYFUNCTION("""COMPUTED_VALUE"""),0.0)</f>
        <v>0</v>
      </c>
    </row>
    <row r="536">
      <c r="A536" s="5" t="str">
        <f>IFERROR(__xludf.DUMMYFUNCTION("""COMPUTED_VALUE"""),"33050")</f>
        <v>33050</v>
      </c>
      <c r="B536" s="64">
        <f>IFERROR(__xludf.DUMMYFUNCTION("""COMPUTED_VALUE"""),44659.0)</f>
        <v>44659</v>
      </c>
      <c r="C536" s="5"/>
      <c r="D536" s="5"/>
      <c r="E536" s="5"/>
      <c r="F536" s="22">
        <f>IFERROR(__xludf.DUMMYFUNCTION("""COMPUTED_VALUE"""),500000.0)</f>
        <v>500000</v>
      </c>
      <c r="G536" s="22">
        <f>IFERROR(__xludf.DUMMYFUNCTION("""COMPUTED_VALUE"""),0.0)</f>
        <v>0</v>
      </c>
      <c r="H536" s="22">
        <f>IFERROR(__xludf.DUMMYFUNCTION("""COMPUTED_VALUE"""),500000.0)</f>
        <v>500000</v>
      </c>
      <c r="I536" s="24">
        <f>IFERROR(__xludf.DUMMYFUNCTION("""COMPUTED_VALUE"""),0.0)</f>
        <v>0</v>
      </c>
    </row>
    <row r="537">
      <c r="A537" s="5" t="str">
        <f>IFERROR(__xludf.DUMMYFUNCTION("""COMPUTED_VALUE"""),"33050")</f>
        <v>33050</v>
      </c>
      <c r="B537" s="64">
        <f>IFERROR(__xludf.DUMMYFUNCTION("""COMPUTED_VALUE"""),44660.0)</f>
        <v>44660</v>
      </c>
      <c r="C537" s="5"/>
      <c r="D537" s="5"/>
      <c r="E537" s="5"/>
      <c r="F537" s="22">
        <f>IFERROR(__xludf.DUMMYFUNCTION("""COMPUTED_VALUE"""),500000.0)</f>
        <v>500000</v>
      </c>
      <c r="G537" s="22">
        <f>IFERROR(__xludf.DUMMYFUNCTION("""COMPUTED_VALUE"""),0.0)</f>
        <v>0</v>
      </c>
      <c r="H537" s="22">
        <f>IFERROR(__xludf.DUMMYFUNCTION("""COMPUTED_VALUE"""),500000.0)</f>
        <v>500000</v>
      </c>
      <c r="I537" s="24">
        <f>IFERROR(__xludf.DUMMYFUNCTION("""COMPUTED_VALUE"""),0.0)</f>
        <v>0</v>
      </c>
    </row>
    <row r="538">
      <c r="A538" s="5" t="str">
        <f>IFERROR(__xludf.DUMMYFUNCTION("""COMPUTED_VALUE"""),"33050")</f>
        <v>33050</v>
      </c>
      <c r="B538" s="64">
        <f>IFERROR(__xludf.DUMMYFUNCTION("""COMPUTED_VALUE"""),44661.0)</f>
        <v>44661</v>
      </c>
      <c r="C538" s="5"/>
      <c r="D538" s="5"/>
      <c r="E538" s="5"/>
      <c r="F538" s="22">
        <f>IFERROR(__xludf.DUMMYFUNCTION("""COMPUTED_VALUE"""),500000.0)</f>
        <v>500000</v>
      </c>
      <c r="G538" s="22">
        <f>IFERROR(__xludf.DUMMYFUNCTION("""COMPUTED_VALUE"""),0.0)</f>
        <v>0</v>
      </c>
      <c r="H538" s="22">
        <f>IFERROR(__xludf.DUMMYFUNCTION("""COMPUTED_VALUE"""),500000.0)</f>
        <v>500000</v>
      </c>
      <c r="I538" s="24">
        <f>IFERROR(__xludf.DUMMYFUNCTION("""COMPUTED_VALUE"""),0.0)</f>
        <v>0</v>
      </c>
    </row>
    <row r="539">
      <c r="A539" s="5" t="str">
        <f>IFERROR(__xludf.DUMMYFUNCTION("""COMPUTED_VALUE"""),"33050")</f>
        <v>33050</v>
      </c>
      <c r="B539" s="64">
        <f>IFERROR(__xludf.DUMMYFUNCTION("""COMPUTED_VALUE"""),44662.0)</f>
        <v>44662</v>
      </c>
      <c r="C539" s="5"/>
      <c r="D539" s="5"/>
      <c r="E539" s="5"/>
      <c r="F539" s="22">
        <f>IFERROR(__xludf.DUMMYFUNCTION("""COMPUTED_VALUE"""),500000.0)</f>
        <v>500000</v>
      </c>
      <c r="G539" s="22">
        <f>IFERROR(__xludf.DUMMYFUNCTION("""COMPUTED_VALUE"""),0.0)</f>
        <v>0</v>
      </c>
      <c r="H539" s="22">
        <f>IFERROR(__xludf.DUMMYFUNCTION("""COMPUTED_VALUE"""),500000.0)</f>
        <v>500000</v>
      </c>
      <c r="I539" s="24">
        <f>IFERROR(__xludf.DUMMYFUNCTION("""COMPUTED_VALUE"""),0.0)</f>
        <v>0</v>
      </c>
    </row>
    <row r="540">
      <c r="A540" s="5" t="str">
        <f>IFERROR(__xludf.DUMMYFUNCTION("""COMPUTED_VALUE"""),"33050")</f>
        <v>33050</v>
      </c>
      <c r="B540" s="64">
        <f>IFERROR(__xludf.DUMMYFUNCTION("""COMPUTED_VALUE"""),44663.0)</f>
        <v>44663</v>
      </c>
      <c r="C540" s="5"/>
      <c r="D540" s="5"/>
      <c r="E540" s="5"/>
      <c r="F540" s="22">
        <f>IFERROR(__xludf.DUMMYFUNCTION("""COMPUTED_VALUE"""),144075.83275)</f>
        <v>144075.8328</v>
      </c>
      <c r="G540" s="22">
        <f>IFERROR(__xludf.DUMMYFUNCTION("""COMPUTED_VALUE"""),0.0)</f>
        <v>0</v>
      </c>
      <c r="H540" s="22">
        <f>IFERROR(__xludf.DUMMYFUNCTION("""COMPUTED_VALUE"""),500000.0)</f>
        <v>500000</v>
      </c>
      <c r="I540" s="24">
        <f>IFERROR(__xludf.DUMMYFUNCTION("""COMPUTED_VALUE"""),0.0)</f>
        <v>0</v>
      </c>
    </row>
    <row r="541">
      <c r="A541" s="5" t="str">
        <f>IFERROR(__xludf.DUMMYFUNCTION("""COMPUTED_VALUE"""),"34857")</f>
        <v>34857</v>
      </c>
      <c r="B541" s="64">
        <f>IFERROR(__xludf.DUMMYFUNCTION("""COMPUTED_VALUE"""),44597.0)</f>
        <v>44597</v>
      </c>
      <c r="C541" s="5"/>
      <c r="D541" s="5"/>
      <c r="E541" s="5"/>
      <c r="F541" s="22">
        <f>IFERROR(__xludf.DUMMYFUNCTION("""COMPUTED_VALUE"""),500000.0)</f>
        <v>500000</v>
      </c>
      <c r="G541" s="22">
        <f>IFERROR(__xludf.DUMMYFUNCTION("""COMPUTED_VALUE"""),0.0)</f>
        <v>0</v>
      </c>
      <c r="H541" s="22">
        <f>IFERROR(__xludf.DUMMYFUNCTION("""COMPUTED_VALUE"""),500000.0)</f>
        <v>500000</v>
      </c>
      <c r="I541" s="24">
        <f>IFERROR(__xludf.DUMMYFUNCTION("""COMPUTED_VALUE"""),0.0)</f>
        <v>0</v>
      </c>
    </row>
    <row r="542">
      <c r="A542" s="5" t="str">
        <f>IFERROR(__xludf.DUMMYFUNCTION("""COMPUTED_VALUE"""),"34857")</f>
        <v>34857</v>
      </c>
      <c r="B542" s="64">
        <f>IFERROR(__xludf.DUMMYFUNCTION("""COMPUTED_VALUE"""),44598.0)</f>
        <v>44598</v>
      </c>
      <c r="C542" s="5"/>
      <c r="D542" s="5"/>
      <c r="E542" s="5"/>
      <c r="F542" s="22">
        <f>IFERROR(__xludf.DUMMYFUNCTION("""COMPUTED_VALUE"""),500000.0)</f>
        <v>500000</v>
      </c>
      <c r="G542" s="22">
        <f>IFERROR(__xludf.DUMMYFUNCTION("""COMPUTED_VALUE"""),0.0)</f>
        <v>0</v>
      </c>
      <c r="H542" s="22">
        <f>IFERROR(__xludf.DUMMYFUNCTION("""COMPUTED_VALUE"""),500000.0)</f>
        <v>500000</v>
      </c>
      <c r="I542" s="24">
        <f>IFERROR(__xludf.DUMMYFUNCTION("""COMPUTED_VALUE"""),0.0)</f>
        <v>0</v>
      </c>
    </row>
    <row r="543">
      <c r="A543" s="5" t="str">
        <f>IFERROR(__xludf.DUMMYFUNCTION("""COMPUTED_VALUE"""),"34857")</f>
        <v>34857</v>
      </c>
      <c r="B543" s="64">
        <f>IFERROR(__xludf.DUMMYFUNCTION("""COMPUTED_VALUE"""),44599.0)</f>
        <v>44599</v>
      </c>
      <c r="C543" s="5"/>
      <c r="D543" s="5"/>
      <c r="E543" s="5"/>
      <c r="F543" s="22">
        <f>IFERROR(__xludf.DUMMYFUNCTION("""COMPUTED_VALUE"""),500000.0)</f>
        <v>500000</v>
      </c>
      <c r="G543" s="22">
        <f>IFERROR(__xludf.DUMMYFUNCTION("""COMPUTED_VALUE"""),0.0)</f>
        <v>0</v>
      </c>
      <c r="H543" s="22">
        <f>IFERROR(__xludf.DUMMYFUNCTION("""COMPUTED_VALUE"""),500000.0)</f>
        <v>500000</v>
      </c>
      <c r="I543" s="24">
        <f>IFERROR(__xludf.DUMMYFUNCTION("""COMPUTED_VALUE"""),0.0)</f>
        <v>0</v>
      </c>
    </row>
    <row r="544">
      <c r="A544" s="5" t="str">
        <f>IFERROR(__xludf.DUMMYFUNCTION("""COMPUTED_VALUE"""),"34857")</f>
        <v>34857</v>
      </c>
      <c r="B544" s="64">
        <f>IFERROR(__xludf.DUMMYFUNCTION("""COMPUTED_VALUE"""),44600.0)</f>
        <v>44600</v>
      </c>
      <c r="C544" s="5"/>
      <c r="D544" s="5"/>
      <c r="E544" s="5"/>
      <c r="F544" s="22">
        <f>IFERROR(__xludf.DUMMYFUNCTION("""COMPUTED_VALUE"""),500000.0)</f>
        <v>500000</v>
      </c>
      <c r="G544" s="22">
        <f>IFERROR(__xludf.DUMMYFUNCTION("""COMPUTED_VALUE"""),0.0)</f>
        <v>0</v>
      </c>
      <c r="H544" s="22">
        <f>IFERROR(__xludf.DUMMYFUNCTION("""COMPUTED_VALUE"""),500000.0)</f>
        <v>500000</v>
      </c>
      <c r="I544" s="24">
        <f>IFERROR(__xludf.DUMMYFUNCTION("""COMPUTED_VALUE"""),0.0)</f>
        <v>0</v>
      </c>
    </row>
    <row r="545">
      <c r="A545" s="5" t="str">
        <f>IFERROR(__xludf.DUMMYFUNCTION("""COMPUTED_VALUE"""),"34857")</f>
        <v>34857</v>
      </c>
      <c r="B545" s="64">
        <f>IFERROR(__xludf.DUMMYFUNCTION("""COMPUTED_VALUE"""),44601.0)</f>
        <v>44601</v>
      </c>
      <c r="C545" s="5"/>
      <c r="D545" s="5"/>
      <c r="E545" s="5"/>
      <c r="F545" s="22">
        <f>IFERROR(__xludf.DUMMYFUNCTION("""COMPUTED_VALUE"""),500000.0)</f>
        <v>500000</v>
      </c>
      <c r="G545" s="22">
        <f>IFERROR(__xludf.DUMMYFUNCTION("""COMPUTED_VALUE"""),0.0)</f>
        <v>0</v>
      </c>
      <c r="H545" s="22">
        <f>IFERROR(__xludf.DUMMYFUNCTION("""COMPUTED_VALUE"""),500000.0)</f>
        <v>500000</v>
      </c>
      <c r="I545" s="24">
        <f>IFERROR(__xludf.DUMMYFUNCTION("""COMPUTED_VALUE"""),0.0)</f>
        <v>0</v>
      </c>
    </row>
    <row r="546">
      <c r="A546" s="5" t="str">
        <f>IFERROR(__xludf.DUMMYFUNCTION("""COMPUTED_VALUE"""),"34857")</f>
        <v>34857</v>
      </c>
      <c r="B546" s="64">
        <f>IFERROR(__xludf.DUMMYFUNCTION("""COMPUTED_VALUE"""),44602.0)</f>
        <v>44602</v>
      </c>
      <c r="C546" s="5"/>
      <c r="D546" s="5"/>
      <c r="E546" s="5"/>
      <c r="F546" s="22">
        <f>IFERROR(__xludf.DUMMYFUNCTION("""COMPUTED_VALUE"""),500000.0)</f>
        <v>500000</v>
      </c>
      <c r="G546" s="22">
        <f>IFERROR(__xludf.DUMMYFUNCTION("""COMPUTED_VALUE"""),0.0)</f>
        <v>0</v>
      </c>
      <c r="H546" s="22">
        <f>IFERROR(__xludf.DUMMYFUNCTION("""COMPUTED_VALUE"""),500000.0)</f>
        <v>500000</v>
      </c>
      <c r="I546" s="24">
        <f>IFERROR(__xludf.DUMMYFUNCTION("""COMPUTED_VALUE"""),0.0)</f>
        <v>0</v>
      </c>
    </row>
    <row r="547">
      <c r="A547" s="5" t="str">
        <f>IFERROR(__xludf.DUMMYFUNCTION("""COMPUTED_VALUE"""),"34857")</f>
        <v>34857</v>
      </c>
      <c r="B547" s="64">
        <f>IFERROR(__xludf.DUMMYFUNCTION("""COMPUTED_VALUE"""),44603.0)</f>
        <v>44603</v>
      </c>
      <c r="C547" s="5"/>
      <c r="D547" s="5"/>
      <c r="E547" s="5"/>
      <c r="F547" s="22">
        <f>IFERROR(__xludf.DUMMYFUNCTION("""COMPUTED_VALUE"""),500000.0)</f>
        <v>500000</v>
      </c>
      <c r="G547" s="22">
        <f>IFERROR(__xludf.DUMMYFUNCTION("""COMPUTED_VALUE"""),0.0)</f>
        <v>0</v>
      </c>
      <c r="H547" s="22">
        <f>IFERROR(__xludf.DUMMYFUNCTION("""COMPUTED_VALUE"""),500000.0)</f>
        <v>500000</v>
      </c>
      <c r="I547" s="24">
        <f>IFERROR(__xludf.DUMMYFUNCTION("""COMPUTED_VALUE"""),0.0)</f>
        <v>0</v>
      </c>
    </row>
    <row r="548">
      <c r="A548" s="5" t="str">
        <f>IFERROR(__xludf.DUMMYFUNCTION("""COMPUTED_VALUE"""),"34857")</f>
        <v>34857</v>
      </c>
      <c r="B548" s="64">
        <f>IFERROR(__xludf.DUMMYFUNCTION("""COMPUTED_VALUE"""),44604.0)</f>
        <v>44604</v>
      </c>
      <c r="C548" s="5"/>
      <c r="D548" s="5"/>
      <c r="E548" s="5"/>
      <c r="F548" s="22">
        <f>IFERROR(__xludf.DUMMYFUNCTION("""COMPUTED_VALUE"""),500000.0)</f>
        <v>500000</v>
      </c>
      <c r="G548" s="22">
        <f>IFERROR(__xludf.DUMMYFUNCTION("""COMPUTED_VALUE"""),0.0)</f>
        <v>0</v>
      </c>
      <c r="H548" s="22">
        <f>IFERROR(__xludf.DUMMYFUNCTION("""COMPUTED_VALUE"""),500000.0)</f>
        <v>500000</v>
      </c>
      <c r="I548" s="24">
        <f>IFERROR(__xludf.DUMMYFUNCTION("""COMPUTED_VALUE"""),0.0)</f>
        <v>0</v>
      </c>
    </row>
    <row r="549">
      <c r="A549" s="5" t="str">
        <f>IFERROR(__xludf.DUMMYFUNCTION("""COMPUTED_VALUE"""),"34857")</f>
        <v>34857</v>
      </c>
      <c r="B549" s="64">
        <f>IFERROR(__xludf.DUMMYFUNCTION("""COMPUTED_VALUE"""),44605.0)</f>
        <v>44605</v>
      </c>
      <c r="C549" s="5"/>
      <c r="D549" s="5"/>
      <c r="E549" s="5"/>
      <c r="F549" s="22">
        <f>IFERROR(__xludf.DUMMYFUNCTION("""COMPUTED_VALUE"""),500000.0)</f>
        <v>500000</v>
      </c>
      <c r="G549" s="22">
        <f>IFERROR(__xludf.DUMMYFUNCTION("""COMPUTED_VALUE"""),0.0)</f>
        <v>0</v>
      </c>
      <c r="H549" s="22">
        <f>IFERROR(__xludf.DUMMYFUNCTION("""COMPUTED_VALUE"""),500000.0)</f>
        <v>500000</v>
      </c>
      <c r="I549" s="24">
        <f>IFERROR(__xludf.DUMMYFUNCTION("""COMPUTED_VALUE"""),0.0)</f>
        <v>0</v>
      </c>
    </row>
    <row r="550">
      <c r="A550" s="5" t="str">
        <f>IFERROR(__xludf.DUMMYFUNCTION("""COMPUTED_VALUE"""),"34857")</f>
        <v>34857</v>
      </c>
      <c r="B550" s="64">
        <f>IFERROR(__xludf.DUMMYFUNCTION("""COMPUTED_VALUE"""),44606.0)</f>
        <v>44606</v>
      </c>
      <c r="C550" s="5"/>
      <c r="D550" s="5"/>
      <c r="E550" s="5"/>
      <c r="F550" s="22">
        <f>IFERROR(__xludf.DUMMYFUNCTION("""COMPUTED_VALUE"""),500000.0)</f>
        <v>500000</v>
      </c>
      <c r="G550" s="22">
        <f>IFERROR(__xludf.DUMMYFUNCTION("""COMPUTED_VALUE"""),0.0)</f>
        <v>0</v>
      </c>
      <c r="H550" s="22">
        <f>IFERROR(__xludf.DUMMYFUNCTION("""COMPUTED_VALUE"""),500000.0)</f>
        <v>500000</v>
      </c>
      <c r="I550" s="24">
        <f>IFERROR(__xludf.DUMMYFUNCTION("""COMPUTED_VALUE"""),0.0)</f>
        <v>0</v>
      </c>
    </row>
    <row r="551">
      <c r="A551" s="5" t="str">
        <f>IFERROR(__xludf.DUMMYFUNCTION("""COMPUTED_VALUE"""),"34857")</f>
        <v>34857</v>
      </c>
      <c r="B551" s="64">
        <f>IFERROR(__xludf.DUMMYFUNCTION("""COMPUTED_VALUE"""),44607.0)</f>
        <v>44607</v>
      </c>
      <c r="C551" s="5"/>
      <c r="D551" s="5"/>
      <c r="E551" s="5"/>
      <c r="F551" s="22">
        <f>IFERROR(__xludf.DUMMYFUNCTION("""COMPUTED_VALUE"""),500000.0)</f>
        <v>500000</v>
      </c>
      <c r="G551" s="22">
        <f>IFERROR(__xludf.DUMMYFUNCTION("""COMPUTED_VALUE"""),0.0)</f>
        <v>0</v>
      </c>
      <c r="H551" s="22">
        <f>IFERROR(__xludf.DUMMYFUNCTION("""COMPUTED_VALUE"""),500000.0)</f>
        <v>500000</v>
      </c>
      <c r="I551" s="24">
        <f>IFERROR(__xludf.DUMMYFUNCTION("""COMPUTED_VALUE"""),0.0)</f>
        <v>0</v>
      </c>
    </row>
    <row r="552">
      <c r="A552" s="5" t="str">
        <f>IFERROR(__xludf.DUMMYFUNCTION("""COMPUTED_VALUE"""),"34857")</f>
        <v>34857</v>
      </c>
      <c r="B552" s="64">
        <f>IFERROR(__xludf.DUMMYFUNCTION("""COMPUTED_VALUE"""),44608.0)</f>
        <v>44608</v>
      </c>
      <c r="C552" s="5"/>
      <c r="D552" s="5"/>
      <c r="E552" s="5"/>
      <c r="F552" s="22">
        <f>IFERROR(__xludf.DUMMYFUNCTION("""COMPUTED_VALUE"""),500000.0)</f>
        <v>500000</v>
      </c>
      <c r="G552" s="22">
        <f>IFERROR(__xludf.DUMMYFUNCTION("""COMPUTED_VALUE"""),0.0)</f>
        <v>0</v>
      </c>
      <c r="H552" s="22">
        <f>IFERROR(__xludf.DUMMYFUNCTION("""COMPUTED_VALUE"""),500000.0)</f>
        <v>500000</v>
      </c>
      <c r="I552" s="24">
        <f>IFERROR(__xludf.DUMMYFUNCTION("""COMPUTED_VALUE"""),0.0)</f>
        <v>0</v>
      </c>
    </row>
    <row r="553">
      <c r="A553" s="5" t="str">
        <f>IFERROR(__xludf.DUMMYFUNCTION("""COMPUTED_VALUE"""),"34857")</f>
        <v>34857</v>
      </c>
      <c r="B553" s="64">
        <f>IFERROR(__xludf.DUMMYFUNCTION("""COMPUTED_VALUE"""),44609.0)</f>
        <v>44609</v>
      </c>
      <c r="C553" s="5"/>
      <c r="D553" s="5"/>
      <c r="E553" s="5"/>
      <c r="F553" s="22">
        <f>IFERROR(__xludf.DUMMYFUNCTION("""COMPUTED_VALUE"""),500000.0)</f>
        <v>500000</v>
      </c>
      <c r="G553" s="22">
        <f>IFERROR(__xludf.DUMMYFUNCTION("""COMPUTED_VALUE"""),0.0)</f>
        <v>0</v>
      </c>
      <c r="H553" s="22">
        <f>IFERROR(__xludf.DUMMYFUNCTION("""COMPUTED_VALUE"""),500000.0)</f>
        <v>500000</v>
      </c>
      <c r="I553" s="24">
        <f>IFERROR(__xludf.DUMMYFUNCTION("""COMPUTED_VALUE"""),0.0)</f>
        <v>0</v>
      </c>
    </row>
    <row r="554">
      <c r="A554" s="5" t="str">
        <f>IFERROR(__xludf.DUMMYFUNCTION("""COMPUTED_VALUE"""),"34857")</f>
        <v>34857</v>
      </c>
      <c r="B554" s="64">
        <f>IFERROR(__xludf.DUMMYFUNCTION("""COMPUTED_VALUE"""),44610.0)</f>
        <v>44610</v>
      </c>
      <c r="C554" s="5"/>
      <c r="D554" s="5"/>
      <c r="E554" s="5"/>
      <c r="F554" s="22">
        <f>IFERROR(__xludf.DUMMYFUNCTION("""COMPUTED_VALUE"""),500000.0)</f>
        <v>500000</v>
      </c>
      <c r="G554" s="22">
        <f>IFERROR(__xludf.DUMMYFUNCTION("""COMPUTED_VALUE"""),0.0)</f>
        <v>0</v>
      </c>
      <c r="H554" s="22">
        <f>IFERROR(__xludf.DUMMYFUNCTION("""COMPUTED_VALUE"""),500000.0)</f>
        <v>500000</v>
      </c>
      <c r="I554" s="24">
        <f>IFERROR(__xludf.DUMMYFUNCTION("""COMPUTED_VALUE"""),0.0)</f>
        <v>0</v>
      </c>
    </row>
    <row r="555">
      <c r="A555" s="5" t="str">
        <f>IFERROR(__xludf.DUMMYFUNCTION("""COMPUTED_VALUE"""),"34857")</f>
        <v>34857</v>
      </c>
      <c r="B555" s="64">
        <f>IFERROR(__xludf.DUMMYFUNCTION("""COMPUTED_VALUE"""),44611.0)</f>
        <v>44611</v>
      </c>
      <c r="C555" s="5"/>
      <c r="D555" s="5"/>
      <c r="E555" s="5"/>
      <c r="F555" s="22">
        <f>IFERROR(__xludf.DUMMYFUNCTION("""COMPUTED_VALUE"""),500000.0)</f>
        <v>500000</v>
      </c>
      <c r="G555" s="22">
        <f>IFERROR(__xludf.DUMMYFUNCTION("""COMPUTED_VALUE"""),0.0)</f>
        <v>0</v>
      </c>
      <c r="H555" s="22">
        <f>IFERROR(__xludf.DUMMYFUNCTION("""COMPUTED_VALUE"""),500000.0)</f>
        <v>500000</v>
      </c>
      <c r="I555" s="24">
        <f>IFERROR(__xludf.DUMMYFUNCTION("""COMPUTED_VALUE"""),0.0)</f>
        <v>0</v>
      </c>
    </row>
    <row r="556">
      <c r="A556" s="5" t="str">
        <f>IFERROR(__xludf.DUMMYFUNCTION("""COMPUTED_VALUE"""),"34857")</f>
        <v>34857</v>
      </c>
      <c r="B556" s="64">
        <f>IFERROR(__xludf.DUMMYFUNCTION("""COMPUTED_VALUE"""),44612.0)</f>
        <v>44612</v>
      </c>
      <c r="C556" s="5"/>
      <c r="D556" s="5"/>
      <c r="E556" s="5"/>
      <c r="F556" s="22">
        <f>IFERROR(__xludf.DUMMYFUNCTION("""COMPUTED_VALUE"""),500000.0)</f>
        <v>500000</v>
      </c>
      <c r="G556" s="22">
        <f>IFERROR(__xludf.DUMMYFUNCTION("""COMPUTED_VALUE"""),0.0)</f>
        <v>0</v>
      </c>
      <c r="H556" s="22">
        <f>IFERROR(__xludf.DUMMYFUNCTION("""COMPUTED_VALUE"""),500000.0)</f>
        <v>500000</v>
      </c>
      <c r="I556" s="24">
        <f>IFERROR(__xludf.DUMMYFUNCTION("""COMPUTED_VALUE"""),0.0)</f>
        <v>0</v>
      </c>
    </row>
    <row r="557">
      <c r="A557" s="5" t="str">
        <f>IFERROR(__xludf.DUMMYFUNCTION("""COMPUTED_VALUE"""),"34857")</f>
        <v>34857</v>
      </c>
      <c r="B557" s="64">
        <f>IFERROR(__xludf.DUMMYFUNCTION("""COMPUTED_VALUE"""),44613.0)</f>
        <v>44613</v>
      </c>
      <c r="C557" s="5"/>
      <c r="D557" s="5"/>
      <c r="E557" s="5"/>
      <c r="F557" s="22">
        <f>IFERROR(__xludf.DUMMYFUNCTION("""COMPUTED_VALUE"""),500000.0)</f>
        <v>500000</v>
      </c>
      <c r="G557" s="22">
        <f>IFERROR(__xludf.DUMMYFUNCTION("""COMPUTED_VALUE"""),0.0)</f>
        <v>0</v>
      </c>
      <c r="H557" s="22">
        <f>IFERROR(__xludf.DUMMYFUNCTION("""COMPUTED_VALUE"""),500000.0)</f>
        <v>500000</v>
      </c>
      <c r="I557" s="24">
        <f>IFERROR(__xludf.DUMMYFUNCTION("""COMPUTED_VALUE"""),0.0)</f>
        <v>0</v>
      </c>
    </row>
    <row r="558">
      <c r="A558" s="5" t="str">
        <f>IFERROR(__xludf.DUMMYFUNCTION("""COMPUTED_VALUE"""),"34857")</f>
        <v>34857</v>
      </c>
      <c r="B558" s="64">
        <f>IFERROR(__xludf.DUMMYFUNCTION("""COMPUTED_VALUE"""),44614.0)</f>
        <v>44614</v>
      </c>
      <c r="C558" s="5"/>
      <c r="D558" s="5"/>
      <c r="E558" s="5"/>
      <c r="F558" s="22">
        <f>IFERROR(__xludf.DUMMYFUNCTION("""COMPUTED_VALUE"""),500000.0)</f>
        <v>500000</v>
      </c>
      <c r="G558" s="22">
        <f>IFERROR(__xludf.DUMMYFUNCTION("""COMPUTED_VALUE"""),0.0)</f>
        <v>0</v>
      </c>
      <c r="H558" s="22">
        <f>IFERROR(__xludf.DUMMYFUNCTION("""COMPUTED_VALUE"""),500000.0)</f>
        <v>500000</v>
      </c>
      <c r="I558" s="24">
        <f>IFERROR(__xludf.DUMMYFUNCTION("""COMPUTED_VALUE"""),0.0)</f>
        <v>0</v>
      </c>
    </row>
    <row r="559">
      <c r="A559" s="5" t="str">
        <f>IFERROR(__xludf.DUMMYFUNCTION("""COMPUTED_VALUE"""),"34857")</f>
        <v>34857</v>
      </c>
      <c r="B559" s="64">
        <f>IFERROR(__xludf.DUMMYFUNCTION("""COMPUTED_VALUE"""),44615.0)</f>
        <v>44615</v>
      </c>
      <c r="C559" s="5"/>
      <c r="D559" s="5"/>
      <c r="E559" s="5"/>
      <c r="F559" s="22">
        <f>IFERROR(__xludf.DUMMYFUNCTION("""COMPUTED_VALUE"""),500000.0)</f>
        <v>500000</v>
      </c>
      <c r="G559" s="22">
        <f>IFERROR(__xludf.DUMMYFUNCTION("""COMPUTED_VALUE"""),0.0)</f>
        <v>0</v>
      </c>
      <c r="H559" s="22">
        <f>IFERROR(__xludf.DUMMYFUNCTION("""COMPUTED_VALUE"""),500000.0)</f>
        <v>500000</v>
      </c>
      <c r="I559" s="24">
        <f>IFERROR(__xludf.DUMMYFUNCTION("""COMPUTED_VALUE"""),0.0)</f>
        <v>0</v>
      </c>
    </row>
    <row r="560">
      <c r="A560" s="5" t="str">
        <f>IFERROR(__xludf.DUMMYFUNCTION("""COMPUTED_VALUE"""),"34857")</f>
        <v>34857</v>
      </c>
      <c r="B560" s="64">
        <f>IFERROR(__xludf.DUMMYFUNCTION("""COMPUTED_VALUE"""),44616.0)</f>
        <v>44616</v>
      </c>
      <c r="C560" s="5"/>
      <c r="D560" s="5"/>
      <c r="E560" s="5"/>
      <c r="F560" s="22">
        <f>IFERROR(__xludf.DUMMYFUNCTION("""COMPUTED_VALUE"""),500000.0)</f>
        <v>500000</v>
      </c>
      <c r="G560" s="22">
        <f>IFERROR(__xludf.DUMMYFUNCTION("""COMPUTED_VALUE"""),0.0)</f>
        <v>0</v>
      </c>
      <c r="H560" s="22">
        <f>IFERROR(__xludf.DUMMYFUNCTION("""COMPUTED_VALUE"""),500000.0)</f>
        <v>500000</v>
      </c>
      <c r="I560" s="24">
        <f>IFERROR(__xludf.DUMMYFUNCTION("""COMPUTED_VALUE"""),0.0)</f>
        <v>0</v>
      </c>
    </row>
    <row r="561">
      <c r="A561" s="5" t="str">
        <f>IFERROR(__xludf.DUMMYFUNCTION("""COMPUTED_VALUE"""),"34857")</f>
        <v>34857</v>
      </c>
      <c r="B561" s="64">
        <f>IFERROR(__xludf.DUMMYFUNCTION("""COMPUTED_VALUE"""),44617.0)</f>
        <v>44617</v>
      </c>
      <c r="C561" s="5"/>
      <c r="D561" s="5"/>
      <c r="E561" s="5"/>
      <c r="F561" s="22">
        <f>IFERROR(__xludf.DUMMYFUNCTION("""COMPUTED_VALUE"""),500000.0)</f>
        <v>500000</v>
      </c>
      <c r="G561" s="22">
        <f>IFERROR(__xludf.DUMMYFUNCTION("""COMPUTED_VALUE"""),0.0)</f>
        <v>0</v>
      </c>
      <c r="H561" s="22">
        <f>IFERROR(__xludf.DUMMYFUNCTION("""COMPUTED_VALUE"""),500000.0)</f>
        <v>500000</v>
      </c>
      <c r="I561" s="24">
        <f>IFERROR(__xludf.DUMMYFUNCTION("""COMPUTED_VALUE"""),0.0)</f>
        <v>0</v>
      </c>
    </row>
    <row r="562">
      <c r="A562" s="5" t="str">
        <f>IFERROR(__xludf.DUMMYFUNCTION("""COMPUTED_VALUE"""),"34857")</f>
        <v>34857</v>
      </c>
      <c r="B562" s="64">
        <f>IFERROR(__xludf.DUMMYFUNCTION("""COMPUTED_VALUE"""),44618.0)</f>
        <v>44618</v>
      </c>
      <c r="C562" s="5"/>
      <c r="D562" s="5"/>
      <c r="E562" s="5"/>
      <c r="F562" s="22">
        <f>IFERROR(__xludf.DUMMYFUNCTION("""COMPUTED_VALUE"""),500000.0)</f>
        <v>500000</v>
      </c>
      <c r="G562" s="22">
        <f>IFERROR(__xludf.DUMMYFUNCTION("""COMPUTED_VALUE"""),0.0)</f>
        <v>0</v>
      </c>
      <c r="H562" s="22">
        <f>IFERROR(__xludf.DUMMYFUNCTION("""COMPUTED_VALUE"""),500000.0)</f>
        <v>500000</v>
      </c>
      <c r="I562" s="24">
        <f>IFERROR(__xludf.DUMMYFUNCTION("""COMPUTED_VALUE"""),0.0)</f>
        <v>0</v>
      </c>
    </row>
    <row r="563">
      <c r="A563" s="5" t="str">
        <f>IFERROR(__xludf.DUMMYFUNCTION("""COMPUTED_VALUE"""),"34857")</f>
        <v>34857</v>
      </c>
      <c r="B563" s="64">
        <f>IFERROR(__xludf.DUMMYFUNCTION("""COMPUTED_VALUE"""),44619.0)</f>
        <v>44619</v>
      </c>
      <c r="C563" s="5"/>
      <c r="D563" s="5"/>
      <c r="E563" s="5"/>
      <c r="F563" s="22">
        <f>IFERROR(__xludf.DUMMYFUNCTION("""COMPUTED_VALUE"""),500000.0)</f>
        <v>500000</v>
      </c>
      <c r="G563" s="22">
        <f>IFERROR(__xludf.DUMMYFUNCTION("""COMPUTED_VALUE"""),0.0)</f>
        <v>0</v>
      </c>
      <c r="H563" s="22">
        <f>IFERROR(__xludf.DUMMYFUNCTION("""COMPUTED_VALUE"""),500000.0)</f>
        <v>500000</v>
      </c>
      <c r="I563" s="24">
        <f>IFERROR(__xludf.DUMMYFUNCTION("""COMPUTED_VALUE"""),0.0)</f>
        <v>0</v>
      </c>
    </row>
    <row r="564">
      <c r="A564" s="5" t="str">
        <f>IFERROR(__xludf.DUMMYFUNCTION("""COMPUTED_VALUE"""),"34857")</f>
        <v>34857</v>
      </c>
      <c r="B564" s="64">
        <f>IFERROR(__xludf.DUMMYFUNCTION("""COMPUTED_VALUE"""),44620.0)</f>
        <v>44620</v>
      </c>
      <c r="C564" s="5"/>
      <c r="D564" s="5"/>
      <c r="E564" s="5"/>
      <c r="F564" s="22">
        <f>IFERROR(__xludf.DUMMYFUNCTION("""COMPUTED_VALUE"""),500000.0)</f>
        <v>500000</v>
      </c>
      <c r="G564" s="22">
        <f>IFERROR(__xludf.DUMMYFUNCTION("""COMPUTED_VALUE"""),0.0)</f>
        <v>0</v>
      </c>
      <c r="H564" s="22">
        <f>IFERROR(__xludf.DUMMYFUNCTION("""COMPUTED_VALUE"""),500000.0)</f>
        <v>500000</v>
      </c>
      <c r="I564" s="24">
        <f>IFERROR(__xludf.DUMMYFUNCTION("""COMPUTED_VALUE"""),0.0)</f>
        <v>0</v>
      </c>
    </row>
    <row r="565">
      <c r="A565" s="5" t="str">
        <f>IFERROR(__xludf.DUMMYFUNCTION("""COMPUTED_VALUE"""),"34857")</f>
        <v>34857</v>
      </c>
      <c r="B565" s="64">
        <f>IFERROR(__xludf.DUMMYFUNCTION("""COMPUTED_VALUE"""),44621.0)</f>
        <v>44621</v>
      </c>
      <c r="C565" s="5"/>
      <c r="D565" s="5"/>
      <c r="E565" s="5"/>
      <c r="F565" s="22">
        <f>IFERROR(__xludf.DUMMYFUNCTION("""COMPUTED_VALUE"""),500000.0)</f>
        <v>500000</v>
      </c>
      <c r="G565" s="22">
        <f>IFERROR(__xludf.DUMMYFUNCTION("""COMPUTED_VALUE"""),0.0)</f>
        <v>0</v>
      </c>
      <c r="H565" s="22">
        <f>IFERROR(__xludf.DUMMYFUNCTION("""COMPUTED_VALUE"""),500000.0)</f>
        <v>500000</v>
      </c>
      <c r="I565" s="24">
        <f>IFERROR(__xludf.DUMMYFUNCTION("""COMPUTED_VALUE"""),0.0)</f>
        <v>0</v>
      </c>
    </row>
    <row r="566">
      <c r="A566" s="5" t="str">
        <f>IFERROR(__xludf.DUMMYFUNCTION("""COMPUTED_VALUE"""),"34857")</f>
        <v>34857</v>
      </c>
      <c r="B566" s="64">
        <f>IFERROR(__xludf.DUMMYFUNCTION("""COMPUTED_VALUE"""),44622.0)</f>
        <v>44622</v>
      </c>
      <c r="C566" s="5"/>
      <c r="D566" s="5"/>
      <c r="E566" s="5"/>
      <c r="F566" s="22">
        <f>IFERROR(__xludf.DUMMYFUNCTION("""COMPUTED_VALUE"""),500000.0)</f>
        <v>500000</v>
      </c>
      <c r="G566" s="22">
        <f>IFERROR(__xludf.DUMMYFUNCTION("""COMPUTED_VALUE"""),0.0)</f>
        <v>0</v>
      </c>
      <c r="H566" s="22">
        <f>IFERROR(__xludf.DUMMYFUNCTION("""COMPUTED_VALUE"""),500000.0)</f>
        <v>500000</v>
      </c>
      <c r="I566" s="24">
        <f>IFERROR(__xludf.DUMMYFUNCTION("""COMPUTED_VALUE"""),0.0)</f>
        <v>0</v>
      </c>
    </row>
    <row r="567">
      <c r="A567" s="5" t="str">
        <f>IFERROR(__xludf.DUMMYFUNCTION("""COMPUTED_VALUE"""),"34857")</f>
        <v>34857</v>
      </c>
      <c r="B567" s="64">
        <f>IFERROR(__xludf.DUMMYFUNCTION("""COMPUTED_VALUE"""),44623.0)</f>
        <v>44623</v>
      </c>
      <c r="C567" s="5"/>
      <c r="D567" s="5"/>
      <c r="E567" s="5"/>
      <c r="F567" s="22">
        <f>IFERROR(__xludf.DUMMYFUNCTION("""COMPUTED_VALUE"""),500000.0)</f>
        <v>500000</v>
      </c>
      <c r="G567" s="22">
        <f>IFERROR(__xludf.DUMMYFUNCTION("""COMPUTED_VALUE"""),0.0)</f>
        <v>0</v>
      </c>
      <c r="H567" s="22">
        <f>IFERROR(__xludf.DUMMYFUNCTION("""COMPUTED_VALUE"""),500000.0)</f>
        <v>500000</v>
      </c>
      <c r="I567" s="24">
        <f>IFERROR(__xludf.DUMMYFUNCTION("""COMPUTED_VALUE"""),0.0)</f>
        <v>0</v>
      </c>
    </row>
    <row r="568">
      <c r="A568" s="5" t="str">
        <f>IFERROR(__xludf.DUMMYFUNCTION("""COMPUTED_VALUE"""),"34857")</f>
        <v>34857</v>
      </c>
      <c r="B568" s="64">
        <f>IFERROR(__xludf.DUMMYFUNCTION("""COMPUTED_VALUE"""),44624.0)</f>
        <v>44624</v>
      </c>
      <c r="C568" s="5"/>
      <c r="D568" s="5"/>
      <c r="E568" s="5"/>
      <c r="F568" s="22">
        <f>IFERROR(__xludf.DUMMYFUNCTION("""COMPUTED_VALUE"""),500000.0)</f>
        <v>500000</v>
      </c>
      <c r="G568" s="22">
        <f>IFERROR(__xludf.DUMMYFUNCTION("""COMPUTED_VALUE"""),0.0)</f>
        <v>0</v>
      </c>
      <c r="H568" s="22">
        <f>IFERROR(__xludf.DUMMYFUNCTION("""COMPUTED_VALUE"""),500000.0)</f>
        <v>500000</v>
      </c>
      <c r="I568" s="24">
        <f>IFERROR(__xludf.DUMMYFUNCTION("""COMPUTED_VALUE"""),0.0)</f>
        <v>0</v>
      </c>
    </row>
    <row r="569">
      <c r="A569" s="5" t="str">
        <f>IFERROR(__xludf.DUMMYFUNCTION("""COMPUTED_VALUE"""),"34857")</f>
        <v>34857</v>
      </c>
      <c r="B569" s="64">
        <f>IFERROR(__xludf.DUMMYFUNCTION("""COMPUTED_VALUE"""),44625.0)</f>
        <v>44625</v>
      </c>
      <c r="C569" s="5"/>
      <c r="D569" s="5"/>
      <c r="E569" s="5"/>
      <c r="F569" s="22">
        <f>IFERROR(__xludf.DUMMYFUNCTION("""COMPUTED_VALUE"""),500000.0)</f>
        <v>500000</v>
      </c>
      <c r="G569" s="22">
        <f>IFERROR(__xludf.DUMMYFUNCTION("""COMPUTED_VALUE"""),0.0)</f>
        <v>0</v>
      </c>
      <c r="H569" s="22">
        <f>IFERROR(__xludf.DUMMYFUNCTION("""COMPUTED_VALUE"""),500000.0)</f>
        <v>500000</v>
      </c>
      <c r="I569" s="24">
        <f>IFERROR(__xludf.DUMMYFUNCTION("""COMPUTED_VALUE"""),0.0)</f>
        <v>0</v>
      </c>
    </row>
    <row r="570">
      <c r="A570" s="5" t="str">
        <f>IFERROR(__xludf.DUMMYFUNCTION("""COMPUTED_VALUE"""),"34857")</f>
        <v>34857</v>
      </c>
      <c r="B570" s="64">
        <f>IFERROR(__xludf.DUMMYFUNCTION("""COMPUTED_VALUE"""),44626.0)</f>
        <v>44626</v>
      </c>
      <c r="C570" s="5"/>
      <c r="D570" s="5"/>
      <c r="E570" s="5"/>
      <c r="F570" s="22">
        <f>IFERROR(__xludf.DUMMYFUNCTION("""COMPUTED_VALUE"""),500000.0)</f>
        <v>500000</v>
      </c>
      <c r="G570" s="22">
        <f>IFERROR(__xludf.DUMMYFUNCTION("""COMPUTED_VALUE"""),0.0)</f>
        <v>0</v>
      </c>
      <c r="H570" s="22">
        <f>IFERROR(__xludf.DUMMYFUNCTION("""COMPUTED_VALUE"""),500000.0)</f>
        <v>500000</v>
      </c>
      <c r="I570" s="24">
        <f>IFERROR(__xludf.DUMMYFUNCTION("""COMPUTED_VALUE"""),0.0)</f>
        <v>0</v>
      </c>
    </row>
    <row r="571">
      <c r="A571" s="5" t="str">
        <f>IFERROR(__xludf.DUMMYFUNCTION("""COMPUTED_VALUE"""),"34857")</f>
        <v>34857</v>
      </c>
      <c r="B571" s="64">
        <f>IFERROR(__xludf.DUMMYFUNCTION("""COMPUTED_VALUE"""),44627.0)</f>
        <v>44627</v>
      </c>
      <c r="C571" s="5"/>
      <c r="D571" s="5"/>
      <c r="E571" s="5"/>
      <c r="F571" s="22">
        <f>IFERROR(__xludf.DUMMYFUNCTION("""COMPUTED_VALUE"""),500000.0)</f>
        <v>500000</v>
      </c>
      <c r="G571" s="22">
        <f>IFERROR(__xludf.DUMMYFUNCTION("""COMPUTED_VALUE"""),0.0)</f>
        <v>0</v>
      </c>
      <c r="H571" s="22">
        <f>IFERROR(__xludf.DUMMYFUNCTION("""COMPUTED_VALUE"""),500000.0)</f>
        <v>500000</v>
      </c>
      <c r="I571" s="24">
        <f>IFERROR(__xludf.DUMMYFUNCTION("""COMPUTED_VALUE"""),0.0)</f>
        <v>0</v>
      </c>
    </row>
    <row r="572">
      <c r="A572" s="5" t="str">
        <f>IFERROR(__xludf.DUMMYFUNCTION("""COMPUTED_VALUE"""),"34857")</f>
        <v>34857</v>
      </c>
      <c r="B572" s="64">
        <f>IFERROR(__xludf.DUMMYFUNCTION("""COMPUTED_VALUE"""),44628.0)</f>
        <v>44628</v>
      </c>
      <c r="C572" s="5"/>
      <c r="D572" s="5"/>
      <c r="E572" s="5"/>
      <c r="F572" s="22">
        <f>IFERROR(__xludf.DUMMYFUNCTION("""COMPUTED_VALUE"""),500000.0)</f>
        <v>500000</v>
      </c>
      <c r="G572" s="22">
        <f>IFERROR(__xludf.DUMMYFUNCTION("""COMPUTED_VALUE"""),0.0)</f>
        <v>0</v>
      </c>
      <c r="H572" s="22">
        <f>IFERROR(__xludf.DUMMYFUNCTION("""COMPUTED_VALUE"""),500000.0)</f>
        <v>500000</v>
      </c>
      <c r="I572" s="24">
        <f>IFERROR(__xludf.DUMMYFUNCTION("""COMPUTED_VALUE"""),0.0)</f>
        <v>0</v>
      </c>
    </row>
    <row r="573">
      <c r="A573" s="5" t="str">
        <f>IFERROR(__xludf.DUMMYFUNCTION("""COMPUTED_VALUE"""),"34857")</f>
        <v>34857</v>
      </c>
      <c r="B573" s="64">
        <f>IFERROR(__xludf.DUMMYFUNCTION("""COMPUTED_VALUE"""),44629.0)</f>
        <v>44629</v>
      </c>
      <c r="C573" s="5"/>
      <c r="D573" s="5"/>
      <c r="E573" s="5"/>
      <c r="F573" s="22">
        <f>IFERROR(__xludf.DUMMYFUNCTION("""COMPUTED_VALUE"""),500000.0)</f>
        <v>500000</v>
      </c>
      <c r="G573" s="22">
        <f>IFERROR(__xludf.DUMMYFUNCTION("""COMPUTED_VALUE"""),0.0)</f>
        <v>0</v>
      </c>
      <c r="H573" s="22">
        <f>IFERROR(__xludf.DUMMYFUNCTION("""COMPUTED_VALUE"""),500000.0)</f>
        <v>500000</v>
      </c>
      <c r="I573" s="24">
        <f>IFERROR(__xludf.DUMMYFUNCTION("""COMPUTED_VALUE"""),0.0)</f>
        <v>0</v>
      </c>
    </row>
    <row r="574">
      <c r="A574" s="5" t="str">
        <f>IFERROR(__xludf.DUMMYFUNCTION("""COMPUTED_VALUE"""),"34857")</f>
        <v>34857</v>
      </c>
      <c r="B574" s="64">
        <f>IFERROR(__xludf.DUMMYFUNCTION("""COMPUTED_VALUE"""),44630.0)</f>
        <v>44630</v>
      </c>
      <c r="C574" s="5"/>
      <c r="D574" s="5"/>
      <c r="E574" s="5"/>
      <c r="F574" s="22">
        <f>IFERROR(__xludf.DUMMYFUNCTION("""COMPUTED_VALUE"""),500000.0)</f>
        <v>500000</v>
      </c>
      <c r="G574" s="22">
        <f>IFERROR(__xludf.DUMMYFUNCTION("""COMPUTED_VALUE"""),0.0)</f>
        <v>0</v>
      </c>
      <c r="H574" s="22">
        <f>IFERROR(__xludf.DUMMYFUNCTION("""COMPUTED_VALUE"""),500000.0)</f>
        <v>500000</v>
      </c>
      <c r="I574" s="24">
        <f>IFERROR(__xludf.DUMMYFUNCTION("""COMPUTED_VALUE"""),0.0)</f>
        <v>0</v>
      </c>
    </row>
    <row r="575">
      <c r="A575" s="5" t="str">
        <f>IFERROR(__xludf.DUMMYFUNCTION("""COMPUTED_VALUE"""),"34857")</f>
        <v>34857</v>
      </c>
      <c r="B575" s="64">
        <f>IFERROR(__xludf.DUMMYFUNCTION("""COMPUTED_VALUE"""),44631.0)</f>
        <v>44631</v>
      </c>
      <c r="C575" s="5"/>
      <c r="D575" s="5"/>
      <c r="E575" s="5"/>
      <c r="F575" s="22">
        <f>IFERROR(__xludf.DUMMYFUNCTION("""COMPUTED_VALUE"""),500000.0)</f>
        <v>500000</v>
      </c>
      <c r="G575" s="22">
        <f>IFERROR(__xludf.DUMMYFUNCTION("""COMPUTED_VALUE"""),0.0)</f>
        <v>0</v>
      </c>
      <c r="H575" s="22">
        <f>IFERROR(__xludf.DUMMYFUNCTION("""COMPUTED_VALUE"""),500000.0)</f>
        <v>500000</v>
      </c>
      <c r="I575" s="24">
        <f>IFERROR(__xludf.DUMMYFUNCTION("""COMPUTED_VALUE"""),0.0)</f>
        <v>0</v>
      </c>
    </row>
    <row r="576">
      <c r="A576" s="5" t="str">
        <f>IFERROR(__xludf.DUMMYFUNCTION("""COMPUTED_VALUE"""),"34857")</f>
        <v>34857</v>
      </c>
      <c r="B576" s="64">
        <f>IFERROR(__xludf.DUMMYFUNCTION("""COMPUTED_VALUE"""),44632.0)</f>
        <v>44632</v>
      </c>
      <c r="C576" s="5"/>
      <c r="D576" s="5"/>
      <c r="E576" s="5"/>
      <c r="F576" s="22">
        <f>IFERROR(__xludf.DUMMYFUNCTION("""COMPUTED_VALUE"""),500000.0)</f>
        <v>500000</v>
      </c>
      <c r="G576" s="22">
        <f>IFERROR(__xludf.DUMMYFUNCTION("""COMPUTED_VALUE"""),0.0)</f>
        <v>0</v>
      </c>
      <c r="H576" s="22">
        <f>IFERROR(__xludf.DUMMYFUNCTION("""COMPUTED_VALUE"""),500000.0)</f>
        <v>500000</v>
      </c>
      <c r="I576" s="24">
        <f>IFERROR(__xludf.DUMMYFUNCTION("""COMPUTED_VALUE"""),0.0)</f>
        <v>0</v>
      </c>
    </row>
    <row r="577">
      <c r="A577" s="5" t="str">
        <f>IFERROR(__xludf.DUMMYFUNCTION("""COMPUTED_VALUE"""),"34857")</f>
        <v>34857</v>
      </c>
      <c r="B577" s="64">
        <f>IFERROR(__xludf.DUMMYFUNCTION("""COMPUTED_VALUE"""),44633.0)</f>
        <v>44633</v>
      </c>
      <c r="C577" s="5"/>
      <c r="D577" s="5"/>
      <c r="E577" s="5"/>
      <c r="F577" s="22">
        <f>IFERROR(__xludf.DUMMYFUNCTION("""COMPUTED_VALUE"""),500000.0)</f>
        <v>500000</v>
      </c>
      <c r="G577" s="22">
        <f>IFERROR(__xludf.DUMMYFUNCTION("""COMPUTED_VALUE"""),0.0)</f>
        <v>0</v>
      </c>
      <c r="H577" s="22">
        <f>IFERROR(__xludf.DUMMYFUNCTION("""COMPUTED_VALUE"""),500000.0)</f>
        <v>500000</v>
      </c>
      <c r="I577" s="24">
        <f>IFERROR(__xludf.DUMMYFUNCTION("""COMPUTED_VALUE"""),0.0)</f>
        <v>0</v>
      </c>
    </row>
    <row r="578">
      <c r="A578" s="5" t="str">
        <f>IFERROR(__xludf.DUMMYFUNCTION("""COMPUTED_VALUE"""),"34857")</f>
        <v>34857</v>
      </c>
      <c r="B578" s="64">
        <f>IFERROR(__xludf.DUMMYFUNCTION("""COMPUTED_VALUE"""),44634.0)</f>
        <v>44634</v>
      </c>
      <c r="C578" s="5"/>
      <c r="D578" s="5"/>
      <c r="E578" s="5"/>
      <c r="F578" s="22">
        <f>IFERROR(__xludf.DUMMYFUNCTION("""COMPUTED_VALUE"""),500000.0)</f>
        <v>500000</v>
      </c>
      <c r="G578" s="22">
        <f>IFERROR(__xludf.DUMMYFUNCTION("""COMPUTED_VALUE"""),0.0)</f>
        <v>0</v>
      </c>
      <c r="H578" s="22">
        <f>IFERROR(__xludf.DUMMYFUNCTION("""COMPUTED_VALUE"""),500000.0)</f>
        <v>500000</v>
      </c>
      <c r="I578" s="24">
        <f>IFERROR(__xludf.DUMMYFUNCTION("""COMPUTED_VALUE"""),0.0)</f>
        <v>0</v>
      </c>
    </row>
    <row r="579">
      <c r="A579" s="5" t="str">
        <f>IFERROR(__xludf.DUMMYFUNCTION("""COMPUTED_VALUE"""),"34857")</f>
        <v>34857</v>
      </c>
      <c r="B579" s="64">
        <f>IFERROR(__xludf.DUMMYFUNCTION("""COMPUTED_VALUE"""),44635.0)</f>
        <v>44635</v>
      </c>
      <c r="C579" s="5"/>
      <c r="D579" s="5"/>
      <c r="E579" s="5"/>
      <c r="F579" s="22">
        <f>IFERROR(__xludf.DUMMYFUNCTION("""COMPUTED_VALUE"""),500000.0)</f>
        <v>500000</v>
      </c>
      <c r="G579" s="22">
        <f>IFERROR(__xludf.DUMMYFUNCTION("""COMPUTED_VALUE"""),0.0)</f>
        <v>0</v>
      </c>
      <c r="H579" s="22">
        <f>IFERROR(__xludf.DUMMYFUNCTION("""COMPUTED_VALUE"""),500000.0)</f>
        <v>500000</v>
      </c>
      <c r="I579" s="24">
        <f>IFERROR(__xludf.DUMMYFUNCTION("""COMPUTED_VALUE"""),0.0)</f>
        <v>0</v>
      </c>
    </row>
    <row r="580">
      <c r="A580" s="5" t="str">
        <f>IFERROR(__xludf.DUMMYFUNCTION("""COMPUTED_VALUE"""),"34857")</f>
        <v>34857</v>
      </c>
      <c r="B580" s="64">
        <f>IFERROR(__xludf.DUMMYFUNCTION("""COMPUTED_VALUE"""),44636.0)</f>
        <v>44636</v>
      </c>
      <c r="C580" s="5"/>
      <c r="D580" s="5"/>
      <c r="E580" s="5"/>
      <c r="F580" s="22">
        <f>IFERROR(__xludf.DUMMYFUNCTION("""COMPUTED_VALUE"""),500000.0)</f>
        <v>500000</v>
      </c>
      <c r="G580" s="22">
        <f>IFERROR(__xludf.DUMMYFUNCTION("""COMPUTED_VALUE"""),0.0)</f>
        <v>0</v>
      </c>
      <c r="H580" s="22">
        <f>IFERROR(__xludf.DUMMYFUNCTION("""COMPUTED_VALUE"""),500000.0)</f>
        <v>500000</v>
      </c>
      <c r="I580" s="24">
        <f>IFERROR(__xludf.DUMMYFUNCTION("""COMPUTED_VALUE"""),0.0)</f>
        <v>0</v>
      </c>
    </row>
    <row r="581">
      <c r="A581" s="5" t="str">
        <f>IFERROR(__xludf.DUMMYFUNCTION("""COMPUTED_VALUE"""),"34857")</f>
        <v>34857</v>
      </c>
      <c r="B581" s="64">
        <f>IFERROR(__xludf.DUMMYFUNCTION("""COMPUTED_VALUE"""),44637.0)</f>
        <v>44637</v>
      </c>
      <c r="C581" s="5"/>
      <c r="D581" s="5"/>
      <c r="E581" s="5"/>
      <c r="F581" s="22">
        <f>IFERROR(__xludf.DUMMYFUNCTION("""COMPUTED_VALUE"""),500000.0)</f>
        <v>500000</v>
      </c>
      <c r="G581" s="22">
        <f>IFERROR(__xludf.DUMMYFUNCTION("""COMPUTED_VALUE"""),0.0)</f>
        <v>0</v>
      </c>
      <c r="H581" s="22">
        <f>IFERROR(__xludf.DUMMYFUNCTION("""COMPUTED_VALUE"""),500000.0)</f>
        <v>500000</v>
      </c>
      <c r="I581" s="24">
        <f>IFERROR(__xludf.DUMMYFUNCTION("""COMPUTED_VALUE"""),0.0)</f>
        <v>0</v>
      </c>
    </row>
    <row r="582">
      <c r="A582" s="5" t="str">
        <f>IFERROR(__xludf.DUMMYFUNCTION("""COMPUTED_VALUE"""),"34857")</f>
        <v>34857</v>
      </c>
      <c r="B582" s="64">
        <f>IFERROR(__xludf.DUMMYFUNCTION("""COMPUTED_VALUE"""),44638.0)</f>
        <v>44638</v>
      </c>
      <c r="C582" s="5"/>
      <c r="D582" s="5"/>
      <c r="E582" s="5"/>
      <c r="F582" s="22">
        <f>IFERROR(__xludf.DUMMYFUNCTION("""COMPUTED_VALUE"""),500000.0)</f>
        <v>500000</v>
      </c>
      <c r="G582" s="22">
        <f>IFERROR(__xludf.DUMMYFUNCTION("""COMPUTED_VALUE"""),0.0)</f>
        <v>0</v>
      </c>
      <c r="H582" s="22">
        <f>IFERROR(__xludf.DUMMYFUNCTION("""COMPUTED_VALUE"""),500000.0)</f>
        <v>500000</v>
      </c>
      <c r="I582" s="24">
        <f>IFERROR(__xludf.DUMMYFUNCTION("""COMPUTED_VALUE"""),0.0)</f>
        <v>0</v>
      </c>
    </row>
    <row r="583">
      <c r="A583" s="5" t="str">
        <f>IFERROR(__xludf.DUMMYFUNCTION("""COMPUTED_VALUE"""),"34857")</f>
        <v>34857</v>
      </c>
      <c r="B583" s="64">
        <f>IFERROR(__xludf.DUMMYFUNCTION("""COMPUTED_VALUE"""),44639.0)</f>
        <v>44639</v>
      </c>
      <c r="C583" s="5"/>
      <c r="D583" s="5"/>
      <c r="E583" s="5"/>
      <c r="F583" s="22">
        <f>IFERROR(__xludf.DUMMYFUNCTION("""COMPUTED_VALUE"""),500000.0)</f>
        <v>500000</v>
      </c>
      <c r="G583" s="22">
        <f>IFERROR(__xludf.DUMMYFUNCTION("""COMPUTED_VALUE"""),0.0)</f>
        <v>0</v>
      </c>
      <c r="H583" s="22">
        <f>IFERROR(__xludf.DUMMYFUNCTION("""COMPUTED_VALUE"""),500000.0)</f>
        <v>500000</v>
      </c>
      <c r="I583" s="24">
        <f>IFERROR(__xludf.DUMMYFUNCTION("""COMPUTED_VALUE"""),0.0)</f>
        <v>0</v>
      </c>
    </row>
    <row r="584">
      <c r="A584" s="5" t="str">
        <f>IFERROR(__xludf.DUMMYFUNCTION("""COMPUTED_VALUE"""),"34857")</f>
        <v>34857</v>
      </c>
      <c r="B584" s="64">
        <f>IFERROR(__xludf.DUMMYFUNCTION("""COMPUTED_VALUE"""),44640.0)</f>
        <v>44640</v>
      </c>
      <c r="C584" s="5"/>
      <c r="D584" s="5"/>
      <c r="E584" s="5"/>
      <c r="F584" s="22">
        <f>IFERROR(__xludf.DUMMYFUNCTION("""COMPUTED_VALUE"""),500000.0)</f>
        <v>500000</v>
      </c>
      <c r="G584" s="22">
        <f>IFERROR(__xludf.DUMMYFUNCTION("""COMPUTED_VALUE"""),0.0)</f>
        <v>0</v>
      </c>
      <c r="H584" s="22">
        <f>IFERROR(__xludf.DUMMYFUNCTION("""COMPUTED_VALUE"""),500000.0)</f>
        <v>500000</v>
      </c>
      <c r="I584" s="24">
        <f>IFERROR(__xludf.DUMMYFUNCTION("""COMPUTED_VALUE"""),0.0)</f>
        <v>0</v>
      </c>
    </row>
    <row r="585">
      <c r="A585" s="5" t="str">
        <f>IFERROR(__xludf.DUMMYFUNCTION("""COMPUTED_VALUE"""),"34857")</f>
        <v>34857</v>
      </c>
      <c r="B585" s="64">
        <f>IFERROR(__xludf.DUMMYFUNCTION("""COMPUTED_VALUE"""),44641.0)</f>
        <v>44641</v>
      </c>
      <c r="C585" s="5"/>
      <c r="D585" s="5"/>
      <c r="E585" s="5"/>
      <c r="F585" s="22">
        <f>IFERROR(__xludf.DUMMYFUNCTION("""COMPUTED_VALUE"""),500000.0)</f>
        <v>500000</v>
      </c>
      <c r="G585" s="22">
        <f>IFERROR(__xludf.DUMMYFUNCTION("""COMPUTED_VALUE"""),0.0)</f>
        <v>0</v>
      </c>
      <c r="H585" s="22">
        <f>IFERROR(__xludf.DUMMYFUNCTION("""COMPUTED_VALUE"""),500000.0)</f>
        <v>500000</v>
      </c>
      <c r="I585" s="24">
        <f>IFERROR(__xludf.DUMMYFUNCTION("""COMPUTED_VALUE"""),0.0)</f>
        <v>0</v>
      </c>
    </row>
    <row r="586">
      <c r="A586" s="5" t="str">
        <f>IFERROR(__xludf.DUMMYFUNCTION("""COMPUTED_VALUE"""),"34857")</f>
        <v>34857</v>
      </c>
      <c r="B586" s="64">
        <f>IFERROR(__xludf.DUMMYFUNCTION("""COMPUTED_VALUE"""),44642.0)</f>
        <v>44642</v>
      </c>
      <c r="C586" s="5"/>
      <c r="D586" s="5"/>
      <c r="E586" s="5"/>
      <c r="F586" s="22">
        <f>IFERROR(__xludf.DUMMYFUNCTION("""COMPUTED_VALUE"""),500000.0)</f>
        <v>500000</v>
      </c>
      <c r="G586" s="22">
        <f>IFERROR(__xludf.DUMMYFUNCTION("""COMPUTED_VALUE"""),0.0)</f>
        <v>0</v>
      </c>
      <c r="H586" s="22">
        <f>IFERROR(__xludf.DUMMYFUNCTION("""COMPUTED_VALUE"""),500000.0)</f>
        <v>500000</v>
      </c>
      <c r="I586" s="24">
        <f>IFERROR(__xludf.DUMMYFUNCTION("""COMPUTED_VALUE"""),0.0)</f>
        <v>0</v>
      </c>
    </row>
    <row r="587">
      <c r="A587" s="5" t="str">
        <f>IFERROR(__xludf.DUMMYFUNCTION("""COMPUTED_VALUE"""),"34857")</f>
        <v>34857</v>
      </c>
      <c r="B587" s="64">
        <f>IFERROR(__xludf.DUMMYFUNCTION("""COMPUTED_VALUE"""),44643.0)</f>
        <v>44643</v>
      </c>
      <c r="C587" s="5"/>
      <c r="D587" s="5"/>
      <c r="E587" s="5"/>
      <c r="F587" s="22">
        <f>IFERROR(__xludf.DUMMYFUNCTION("""COMPUTED_VALUE"""),500000.0)</f>
        <v>500000</v>
      </c>
      <c r="G587" s="22">
        <f>IFERROR(__xludf.DUMMYFUNCTION("""COMPUTED_VALUE"""),0.0)</f>
        <v>0</v>
      </c>
      <c r="H587" s="22">
        <f>IFERROR(__xludf.DUMMYFUNCTION("""COMPUTED_VALUE"""),500000.0)</f>
        <v>500000</v>
      </c>
      <c r="I587" s="24">
        <f>IFERROR(__xludf.DUMMYFUNCTION("""COMPUTED_VALUE"""),0.0)</f>
        <v>0</v>
      </c>
    </row>
    <row r="588">
      <c r="A588" s="5" t="str">
        <f>IFERROR(__xludf.DUMMYFUNCTION("""COMPUTED_VALUE"""),"34857")</f>
        <v>34857</v>
      </c>
      <c r="B588" s="64">
        <f>IFERROR(__xludf.DUMMYFUNCTION("""COMPUTED_VALUE"""),44644.0)</f>
        <v>44644</v>
      </c>
      <c r="C588" s="5"/>
      <c r="D588" s="5"/>
      <c r="E588" s="5"/>
      <c r="F588" s="22">
        <f>IFERROR(__xludf.DUMMYFUNCTION("""COMPUTED_VALUE"""),500000.0)</f>
        <v>500000</v>
      </c>
      <c r="G588" s="22">
        <f>IFERROR(__xludf.DUMMYFUNCTION("""COMPUTED_VALUE"""),0.0)</f>
        <v>0</v>
      </c>
      <c r="H588" s="22">
        <f>IFERROR(__xludf.DUMMYFUNCTION("""COMPUTED_VALUE"""),500000.0)</f>
        <v>500000</v>
      </c>
      <c r="I588" s="24">
        <f>IFERROR(__xludf.DUMMYFUNCTION("""COMPUTED_VALUE"""),0.0)</f>
        <v>0</v>
      </c>
    </row>
    <row r="589">
      <c r="A589" s="5" t="str">
        <f>IFERROR(__xludf.DUMMYFUNCTION("""COMPUTED_VALUE"""),"34857")</f>
        <v>34857</v>
      </c>
      <c r="B589" s="64">
        <f>IFERROR(__xludf.DUMMYFUNCTION("""COMPUTED_VALUE"""),44645.0)</f>
        <v>44645</v>
      </c>
      <c r="C589" s="5"/>
      <c r="D589" s="5"/>
      <c r="E589" s="5"/>
      <c r="F589" s="22">
        <f>IFERROR(__xludf.DUMMYFUNCTION("""COMPUTED_VALUE"""),500000.0)</f>
        <v>500000</v>
      </c>
      <c r="G589" s="22">
        <f>IFERROR(__xludf.DUMMYFUNCTION("""COMPUTED_VALUE"""),0.0)</f>
        <v>0</v>
      </c>
      <c r="H589" s="22">
        <f>IFERROR(__xludf.DUMMYFUNCTION("""COMPUTED_VALUE"""),500000.0)</f>
        <v>500000</v>
      </c>
      <c r="I589" s="24">
        <f>IFERROR(__xludf.DUMMYFUNCTION("""COMPUTED_VALUE"""),0.0)</f>
        <v>0</v>
      </c>
    </row>
    <row r="590">
      <c r="A590" s="5" t="str">
        <f>IFERROR(__xludf.DUMMYFUNCTION("""COMPUTED_VALUE"""),"34857")</f>
        <v>34857</v>
      </c>
      <c r="B590" s="64">
        <f>IFERROR(__xludf.DUMMYFUNCTION("""COMPUTED_VALUE"""),44646.0)</f>
        <v>44646</v>
      </c>
      <c r="C590" s="5"/>
      <c r="D590" s="5"/>
      <c r="E590" s="5"/>
      <c r="F590" s="22">
        <f>IFERROR(__xludf.DUMMYFUNCTION("""COMPUTED_VALUE"""),500000.0)</f>
        <v>500000</v>
      </c>
      <c r="G590" s="22">
        <f>IFERROR(__xludf.DUMMYFUNCTION("""COMPUTED_VALUE"""),0.0)</f>
        <v>0</v>
      </c>
      <c r="H590" s="22">
        <f>IFERROR(__xludf.DUMMYFUNCTION("""COMPUTED_VALUE"""),500000.0)</f>
        <v>500000</v>
      </c>
      <c r="I590" s="24">
        <f>IFERROR(__xludf.DUMMYFUNCTION("""COMPUTED_VALUE"""),0.0)</f>
        <v>0</v>
      </c>
    </row>
    <row r="591">
      <c r="A591" s="5" t="str">
        <f>IFERROR(__xludf.DUMMYFUNCTION("""COMPUTED_VALUE"""),"34857")</f>
        <v>34857</v>
      </c>
      <c r="B591" s="64">
        <f>IFERROR(__xludf.DUMMYFUNCTION("""COMPUTED_VALUE"""),44647.0)</f>
        <v>44647</v>
      </c>
      <c r="C591" s="5"/>
      <c r="D591" s="5"/>
      <c r="E591" s="5"/>
      <c r="F591" s="22">
        <f>IFERROR(__xludf.DUMMYFUNCTION("""COMPUTED_VALUE"""),500000.0)</f>
        <v>500000</v>
      </c>
      <c r="G591" s="22">
        <f>IFERROR(__xludf.DUMMYFUNCTION("""COMPUTED_VALUE"""),0.0)</f>
        <v>0</v>
      </c>
      <c r="H591" s="22">
        <f>IFERROR(__xludf.DUMMYFUNCTION("""COMPUTED_VALUE"""),500000.0)</f>
        <v>500000</v>
      </c>
      <c r="I591" s="24">
        <f>IFERROR(__xludf.DUMMYFUNCTION("""COMPUTED_VALUE"""),0.0)</f>
        <v>0</v>
      </c>
    </row>
    <row r="592">
      <c r="A592" s="5" t="str">
        <f>IFERROR(__xludf.DUMMYFUNCTION("""COMPUTED_VALUE"""),"34857")</f>
        <v>34857</v>
      </c>
      <c r="B592" s="64">
        <f>IFERROR(__xludf.DUMMYFUNCTION("""COMPUTED_VALUE"""),44648.0)</f>
        <v>44648</v>
      </c>
      <c r="C592" s="5"/>
      <c r="D592" s="5"/>
      <c r="E592" s="5"/>
      <c r="F592" s="22">
        <f>IFERROR(__xludf.DUMMYFUNCTION("""COMPUTED_VALUE"""),500000.0)</f>
        <v>500000</v>
      </c>
      <c r="G592" s="22">
        <f>IFERROR(__xludf.DUMMYFUNCTION("""COMPUTED_VALUE"""),0.0)</f>
        <v>0</v>
      </c>
      <c r="H592" s="22">
        <f>IFERROR(__xludf.DUMMYFUNCTION("""COMPUTED_VALUE"""),500000.0)</f>
        <v>500000</v>
      </c>
      <c r="I592" s="24">
        <f>IFERROR(__xludf.DUMMYFUNCTION("""COMPUTED_VALUE"""),0.0)</f>
        <v>0</v>
      </c>
    </row>
    <row r="593">
      <c r="A593" s="5" t="str">
        <f>IFERROR(__xludf.DUMMYFUNCTION("""COMPUTED_VALUE"""),"34857")</f>
        <v>34857</v>
      </c>
      <c r="B593" s="64">
        <f>IFERROR(__xludf.DUMMYFUNCTION("""COMPUTED_VALUE"""),44649.0)</f>
        <v>44649</v>
      </c>
      <c r="C593" s="5"/>
      <c r="D593" s="5"/>
      <c r="E593" s="5"/>
      <c r="F593" s="22">
        <f>IFERROR(__xludf.DUMMYFUNCTION("""COMPUTED_VALUE"""),500000.0)</f>
        <v>500000</v>
      </c>
      <c r="G593" s="22">
        <f>IFERROR(__xludf.DUMMYFUNCTION("""COMPUTED_VALUE"""),0.0)</f>
        <v>0</v>
      </c>
      <c r="H593" s="22">
        <f>IFERROR(__xludf.DUMMYFUNCTION("""COMPUTED_VALUE"""),500000.0)</f>
        <v>500000</v>
      </c>
      <c r="I593" s="24">
        <f>IFERROR(__xludf.DUMMYFUNCTION("""COMPUTED_VALUE"""),0.0)</f>
        <v>0</v>
      </c>
    </row>
    <row r="594">
      <c r="A594" s="5" t="str">
        <f>IFERROR(__xludf.DUMMYFUNCTION("""COMPUTED_VALUE"""),"34857")</f>
        <v>34857</v>
      </c>
      <c r="B594" s="64">
        <f>IFERROR(__xludf.DUMMYFUNCTION("""COMPUTED_VALUE"""),44650.0)</f>
        <v>44650</v>
      </c>
      <c r="C594" s="5"/>
      <c r="D594" s="5"/>
      <c r="E594" s="5"/>
      <c r="F594" s="22">
        <f>IFERROR(__xludf.DUMMYFUNCTION("""COMPUTED_VALUE"""),500000.0)</f>
        <v>500000</v>
      </c>
      <c r="G594" s="22">
        <f>IFERROR(__xludf.DUMMYFUNCTION("""COMPUTED_VALUE"""),0.0)</f>
        <v>0</v>
      </c>
      <c r="H594" s="22">
        <f>IFERROR(__xludf.DUMMYFUNCTION("""COMPUTED_VALUE"""),500000.0)</f>
        <v>500000</v>
      </c>
      <c r="I594" s="24">
        <f>IFERROR(__xludf.DUMMYFUNCTION("""COMPUTED_VALUE"""),0.0)</f>
        <v>0</v>
      </c>
    </row>
    <row r="595">
      <c r="A595" s="5" t="str">
        <f>IFERROR(__xludf.DUMMYFUNCTION("""COMPUTED_VALUE"""),"34857")</f>
        <v>34857</v>
      </c>
      <c r="B595" s="64">
        <f>IFERROR(__xludf.DUMMYFUNCTION("""COMPUTED_VALUE"""),44651.0)</f>
        <v>44651</v>
      </c>
      <c r="C595" s="5"/>
      <c r="D595" s="5"/>
      <c r="E595" s="5"/>
      <c r="F595" s="22">
        <f>IFERROR(__xludf.DUMMYFUNCTION("""COMPUTED_VALUE"""),500000.0)</f>
        <v>500000</v>
      </c>
      <c r="G595" s="22">
        <f>IFERROR(__xludf.DUMMYFUNCTION("""COMPUTED_VALUE"""),0.0)</f>
        <v>0</v>
      </c>
      <c r="H595" s="22">
        <f>IFERROR(__xludf.DUMMYFUNCTION("""COMPUTED_VALUE"""),500000.0)</f>
        <v>500000</v>
      </c>
      <c r="I595" s="24">
        <f>IFERROR(__xludf.DUMMYFUNCTION("""COMPUTED_VALUE"""),0.0)</f>
        <v>0</v>
      </c>
    </row>
    <row r="596">
      <c r="A596" s="5" t="str">
        <f>IFERROR(__xludf.DUMMYFUNCTION("""COMPUTED_VALUE"""),"34857")</f>
        <v>34857</v>
      </c>
      <c r="B596" s="64">
        <f>IFERROR(__xludf.DUMMYFUNCTION("""COMPUTED_VALUE"""),44652.0)</f>
        <v>44652</v>
      </c>
      <c r="C596" s="5"/>
      <c r="D596" s="5"/>
      <c r="E596" s="5"/>
      <c r="F596" s="22">
        <f>IFERROR(__xludf.DUMMYFUNCTION("""COMPUTED_VALUE"""),500000.0)</f>
        <v>500000</v>
      </c>
      <c r="G596" s="22">
        <f>IFERROR(__xludf.DUMMYFUNCTION("""COMPUTED_VALUE"""),0.0)</f>
        <v>0</v>
      </c>
      <c r="H596" s="22">
        <f>IFERROR(__xludf.DUMMYFUNCTION("""COMPUTED_VALUE"""),500000.0)</f>
        <v>500000</v>
      </c>
      <c r="I596" s="24">
        <f>IFERROR(__xludf.DUMMYFUNCTION("""COMPUTED_VALUE"""),0.0)</f>
        <v>0</v>
      </c>
    </row>
    <row r="597">
      <c r="A597" s="5" t="str">
        <f>IFERROR(__xludf.DUMMYFUNCTION("""COMPUTED_VALUE"""),"34857")</f>
        <v>34857</v>
      </c>
      <c r="B597" s="64">
        <f>IFERROR(__xludf.DUMMYFUNCTION("""COMPUTED_VALUE"""),44653.0)</f>
        <v>44653</v>
      </c>
      <c r="C597" s="5"/>
      <c r="D597" s="5"/>
      <c r="E597" s="5"/>
      <c r="F597" s="22">
        <f>IFERROR(__xludf.DUMMYFUNCTION("""COMPUTED_VALUE"""),500000.0)</f>
        <v>500000</v>
      </c>
      <c r="G597" s="22">
        <f>IFERROR(__xludf.DUMMYFUNCTION("""COMPUTED_VALUE"""),0.0)</f>
        <v>0</v>
      </c>
      <c r="H597" s="22">
        <f>IFERROR(__xludf.DUMMYFUNCTION("""COMPUTED_VALUE"""),500000.0)</f>
        <v>500000</v>
      </c>
      <c r="I597" s="24">
        <f>IFERROR(__xludf.DUMMYFUNCTION("""COMPUTED_VALUE"""),0.0)</f>
        <v>0</v>
      </c>
    </row>
    <row r="598">
      <c r="A598" s="5" t="str">
        <f>IFERROR(__xludf.DUMMYFUNCTION("""COMPUTED_VALUE"""),"34857")</f>
        <v>34857</v>
      </c>
      <c r="B598" s="64">
        <f>IFERROR(__xludf.DUMMYFUNCTION("""COMPUTED_VALUE"""),44654.0)</f>
        <v>44654</v>
      </c>
      <c r="C598" s="5"/>
      <c r="D598" s="5"/>
      <c r="E598" s="5"/>
      <c r="F598" s="22">
        <f>IFERROR(__xludf.DUMMYFUNCTION("""COMPUTED_VALUE"""),500000.0)</f>
        <v>500000</v>
      </c>
      <c r="G598" s="22">
        <f>IFERROR(__xludf.DUMMYFUNCTION("""COMPUTED_VALUE"""),0.0)</f>
        <v>0</v>
      </c>
      <c r="H598" s="22">
        <f>IFERROR(__xludf.DUMMYFUNCTION("""COMPUTED_VALUE"""),500000.0)</f>
        <v>500000</v>
      </c>
      <c r="I598" s="24">
        <f>IFERROR(__xludf.DUMMYFUNCTION("""COMPUTED_VALUE"""),0.0)</f>
        <v>0</v>
      </c>
    </row>
    <row r="599">
      <c r="A599" s="5" t="str">
        <f>IFERROR(__xludf.DUMMYFUNCTION("""COMPUTED_VALUE"""),"34857")</f>
        <v>34857</v>
      </c>
      <c r="B599" s="64">
        <f>IFERROR(__xludf.DUMMYFUNCTION("""COMPUTED_VALUE"""),44655.0)</f>
        <v>44655</v>
      </c>
      <c r="C599" s="5"/>
      <c r="D599" s="5"/>
      <c r="E599" s="5"/>
      <c r="F599" s="22">
        <f>IFERROR(__xludf.DUMMYFUNCTION("""COMPUTED_VALUE"""),500000.0)</f>
        <v>500000</v>
      </c>
      <c r="G599" s="22">
        <f>IFERROR(__xludf.DUMMYFUNCTION("""COMPUTED_VALUE"""),0.0)</f>
        <v>0</v>
      </c>
      <c r="H599" s="22">
        <f>IFERROR(__xludf.DUMMYFUNCTION("""COMPUTED_VALUE"""),500000.0)</f>
        <v>500000</v>
      </c>
      <c r="I599" s="24">
        <f>IFERROR(__xludf.DUMMYFUNCTION("""COMPUTED_VALUE"""),0.0)</f>
        <v>0</v>
      </c>
    </row>
    <row r="600">
      <c r="A600" s="5" t="str">
        <f>IFERROR(__xludf.DUMMYFUNCTION("""COMPUTED_VALUE"""),"34857")</f>
        <v>34857</v>
      </c>
      <c r="B600" s="64">
        <f>IFERROR(__xludf.DUMMYFUNCTION("""COMPUTED_VALUE"""),44656.0)</f>
        <v>44656</v>
      </c>
      <c r="C600" s="5"/>
      <c r="D600" s="5"/>
      <c r="E600" s="5"/>
      <c r="F600" s="22">
        <f>IFERROR(__xludf.DUMMYFUNCTION("""COMPUTED_VALUE"""),500000.0)</f>
        <v>500000</v>
      </c>
      <c r="G600" s="22">
        <f>IFERROR(__xludf.DUMMYFUNCTION("""COMPUTED_VALUE"""),0.0)</f>
        <v>0</v>
      </c>
      <c r="H600" s="22">
        <f>IFERROR(__xludf.DUMMYFUNCTION("""COMPUTED_VALUE"""),500000.0)</f>
        <v>500000</v>
      </c>
      <c r="I600" s="24">
        <f>IFERROR(__xludf.DUMMYFUNCTION("""COMPUTED_VALUE"""),0.0)</f>
        <v>0</v>
      </c>
    </row>
    <row r="601">
      <c r="A601" s="5" t="str">
        <f>IFERROR(__xludf.DUMMYFUNCTION("""COMPUTED_VALUE"""),"34857")</f>
        <v>34857</v>
      </c>
      <c r="B601" s="64">
        <f>IFERROR(__xludf.DUMMYFUNCTION("""COMPUTED_VALUE"""),44657.0)</f>
        <v>44657</v>
      </c>
      <c r="C601" s="5"/>
      <c r="D601" s="5"/>
      <c r="E601" s="5"/>
      <c r="F601" s="22">
        <f>IFERROR(__xludf.DUMMYFUNCTION("""COMPUTED_VALUE"""),500000.0)</f>
        <v>500000</v>
      </c>
      <c r="G601" s="22">
        <f>IFERROR(__xludf.DUMMYFUNCTION("""COMPUTED_VALUE"""),0.0)</f>
        <v>0</v>
      </c>
      <c r="H601" s="22">
        <f>IFERROR(__xludf.DUMMYFUNCTION("""COMPUTED_VALUE"""),500000.0)</f>
        <v>500000</v>
      </c>
      <c r="I601" s="24">
        <f>IFERROR(__xludf.DUMMYFUNCTION("""COMPUTED_VALUE"""),0.0)</f>
        <v>0</v>
      </c>
    </row>
    <row r="602">
      <c r="A602" s="5" t="str">
        <f>IFERROR(__xludf.DUMMYFUNCTION("""COMPUTED_VALUE"""),"34857")</f>
        <v>34857</v>
      </c>
      <c r="B602" s="64">
        <f>IFERROR(__xludf.DUMMYFUNCTION("""COMPUTED_VALUE"""),44658.0)</f>
        <v>44658</v>
      </c>
      <c r="C602" s="5"/>
      <c r="D602" s="5"/>
      <c r="E602" s="5"/>
      <c r="F602" s="22">
        <f>IFERROR(__xludf.DUMMYFUNCTION("""COMPUTED_VALUE"""),500000.0)</f>
        <v>500000</v>
      </c>
      <c r="G602" s="22">
        <f>IFERROR(__xludf.DUMMYFUNCTION("""COMPUTED_VALUE"""),0.0)</f>
        <v>0</v>
      </c>
      <c r="H602" s="22">
        <f>IFERROR(__xludf.DUMMYFUNCTION("""COMPUTED_VALUE"""),500000.0)</f>
        <v>500000</v>
      </c>
      <c r="I602" s="24">
        <f>IFERROR(__xludf.DUMMYFUNCTION("""COMPUTED_VALUE"""),0.0)</f>
        <v>0</v>
      </c>
    </row>
    <row r="603">
      <c r="A603" s="5" t="str">
        <f>IFERROR(__xludf.DUMMYFUNCTION("""COMPUTED_VALUE"""),"34857")</f>
        <v>34857</v>
      </c>
      <c r="B603" s="64">
        <f>IFERROR(__xludf.DUMMYFUNCTION("""COMPUTED_VALUE"""),44659.0)</f>
        <v>44659</v>
      </c>
      <c r="C603" s="5"/>
      <c r="D603" s="5"/>
      <c r="E603" s="5"/>
      <c r="F603" s="22">
        <f>IFERROR(__xludf.DUMMYFUNCTION("""COMPUTED_VALUE"""),500000.0)</f>
        <v>500000</v>
      </c>
      <c r="G603" s="22">
        <f>IFERROR(__xludf.DUMMYFUNCTION("""COMPUTED_VALUE"""),0.0)</f>
        <v>0</v>
      </c>
      <c r="H603" s="22">
        <f>IFERROR(__xludf.DUMMYFUNCTION("""COMPUTED_VALUE"""),500000.0)</f>
        <v>500000</v>
      </c>
      <c r="I603" s="24">
        <f>IFERROR(__xludf.DUMMYFUNCTION("""COMPUTED_VALUE"""),0.0)</f>
        <v>0</v>
      </c>
    </row>
    <row r="604">
      <c r="A604" s="5" t="str">
        <f>IFERROR(__xludf.DUMMYFUNCTION("""COMPUTED_VALUE"""),"34857")</f>
        <v>34857</v>
      </c>
      <c r="B604" s="64">
        <f>IFERROR(__xludf.DUMMYFUNCTION("""COMPUTED_VALUE"""),44660.0)</f>
        <v>44660</v>
      </c>
      <c r="C604" s="5"/>
      <c r="D604" s="5"/>
      <c r="E604" s="5"/>
      <c r="F604" s="22">
        <f>IFERROR(__xludf.DUMMYFUNCTION("""COMPUTED_VALUE"""),500000.0)</f>
        <v>500000</v>
      </c>
      <c r="G604" s="22">
        <f>IFERROR(__xludf.DUMMYFUNCTION("""COMPUTED_VALUE"""),0.0)</f>
        <v>0</v>
      </c>
      <c r="H604" s="22">
        <f>IFERROR(__xludf.DUMMYFUNCTION("""COMPUTED_VALUE"""),500000.0)</f>
        <v>500000</v>
      </c>
      <c r="I604" s="24">
        <f>IFERROR(__xludf.DUMMYFUNCTION("""COMPUTED_VALUE"""),0.0)</f>
        <v>0</v>
      </c>
    </row>
    <row r="605">
      <c r="A605" s="5" t="str">
        <f>IFERROR(__xludf.DUMMYFUNCTION("""COMPUTED_VALUE"""),"34857")</f>
        <v>34857</v>
      </c>
      <c r="B605" s="64">
        <f>IFERROR(__xludf.DUMMYFUNCTION("""COMPUTED_VALUE"""),44661.0)</f>
        <v>44661</v>
      </c>
      <c r="C605" s="5"/>
      <c r="D605" s="5"/>
      <c r="E605" s="5"/>
      <c r="F605" s="22">
        <f>IFERROR(__xludf.DUMMYFUNCTION("""COMPUTED_VALUE"""),500000.0)</f>
        <v>500000</v>
      </c>
      <c r="G605" s="22">
        <f>IFERROR(__xludf.DUMMYFUNCTION("""COMPUTED_VALUE"""),0.0)</f>
        <v>0</v>
      </c>
      <c r="H605" s="22">
        <f>IFERROR(__xludf.DUMMYFUNCTION("""COMPUTED_VALUE"""),500000.0)</f>
        <v>500000</v>
      </c>
      <c r="I605" s="24">
        <f>IFERROR(__xludf.DUMMYFUNCTION("""COMPUTED_VALUE"""),0.0)</f>
        <v>0</v>
      </c>
    </row>
    <row r="606">
      <c r="A606" s="5" t="str">
        <f>IFERROR(__xludf.DUMMYFUNCTION("""COMPUTED_VALUE"""),"34857")</f>
        <v>34857</v>
      </c>
      <c r="B606" s="64">
        <f>IFERROR(__xludf.DUMMYFUNCTION("""COMPUTED_VALUE"""),44662.0)</f>
        <v>44662</v>
      </c>
      <c r="C606" s="5"/>
      <c r="D606" s="5"/>
      <c r="E606" s="5"/>
      <c r="F606" s="22">
        <f>IFERROR(__xludf.DUMMYFUNCTION("""COMPUTED_VALUE"""),500000.0)</f>
        <v>500000</v>
      </c>
      <c r="G606" s="22">
        <f>IFERROR(__xludf.DUMMYFUNCTION("""COMPUTED_VALUE"""),0.0)</f>
        <v>0</v>
      </c>
      <c r="H606" s="22">
        <f>IFERROR(__xludf.DUMMYFUNCTION("""COMPUTED_VALUE"""),500000.0)</f>
        <v>500000</v>
      </c>
      <c r="I606" s="24">
        <f>IFERROR(__xludf.DUMMYFUNCTION("""COMPUTED_VALUE"""),0.0)</f>
        <v>0</v>
      </c>
    </row>
    <row r="607">
      <c r="A607" s="5" t="str">
        <f>IFERROR(__xludf.DUMMYFUNCTION("""COMPUTED_VALUE"""),"34857")</f>
        <v>34857</v>
      </c>
      <c r="B607" s="64">
        <f>IFERROR(__xludf.DUMMYFUNCTION("""COMPUTED_VALUE"""),44663.0)</f>
        <v>44663</v>
      </c>
      <c r="C607" s="5"/>
      <c r="D607" s="5"/>
      <c r="E607" s="5"/>
      <c r="F607" s="22">
        <f>IFERROR(__xludf.DUMMYFUNCTION("""COMPUTED_VALUE"""),500000.0)</f>
        <v>500000</v>
      </c>
      <c r="G607" s="22">
        <f>IFERROR(__xludf.DUMMYFUNCTION("""COMPUTED_VALUE"""),0.0)</f>
        <v>0</v>
      </c>
      <c r="H607" s="22">
        <f>IFERROR(__xludf.DUMMYFUNCTION("""COMPUTED_VALUE"""),500000.0)</f>
        <v>500000</v>
      </c>
      <c r="I607" s="24">
        <f>IFERROR(__xludf.DUMMYFUNCTION("""COMPUTED_VALUE"""),0.0)</f>
        <v>0</v>
      </c>
    </row>
    <row r="608">
      <c r="A608" s="5" t="str">
        <f>IFERROR(__xludf.DUMMYFUNCTION("""COMPUTED_VALUE"""),"35577")</f>
        <v>35577</v>
      </c>
      <c r="B608" s="64">
        <f>IFERROR(__xludf.DUMMYFUNCTION("""COMPUTED_VALUE"""),44597.0)</f>
        <v>44597</v>
      </c>
      <c r="C608" s="5"/>
      <c r="D608" s="5"/>
      <c r="E608" s="5"/>
      <c r="F608" s="22">
        <f>IFERROR(__xludf.DUMMYFUNCTION("""COMPUTED_VALUE"""),500000.0)</f>
        <v>500000</v>
      </c>
      <c r="G608" s="22">
        <f>IFERROR(__xludf.DUMMYFUNCTION("""COMPUTED_VALUE"""),0.0)</f>
        <v>0</v>
      </c>
      <c r="H608" s="22">
        <f>IFERROR(__xludf.DUMMYFUNCTION("""COMPUTED_VALUE"""),500000.0)</f>
        <v>500000</v>
      </c>
      <c r="I608" s="24">
        <f>IFERROR(__xludf.DUMMYFUNCTION("""COMPUTED_VALUE"""),0.0)</f>
        <v>0</v>
      </c>
    </row>
    <row r="609">
      <c r="A609" s="5" t="str">
        <f>IFERROR(__xludf.DUMMYFUNCTION("""COMPUTED_VALUE"""),"35577")</f>
        <v>35577</v>
      </c>
      <c r="B609" s="64">
        <f>IFERROR(__xludf.DUMMYFUNCTION("""COMPUTED_VALUE"""),44598.0)</f>
        <v>44598</v>
      </c>
      <c r="C609" s="5"/>
      <c r="D609" s="5"/>
      <c r="E609" s="5"/>
      <c r="F609" s="22">
        <f>IFERROR(__xludf.DUMMYFUNCTION("""COMPUTED_VALUE"""),500000.0)</f>
        <v>500000</v>
      </c>
      <c r="G609" s="22">
        <f>IFERROR(__xludf.DUMMYFUNCTION("""COMPUTED_VALUE"""),0.0)</f>
        <v>0</v>
      </c>
      <c r="H609" s="22">
        <f>IFERROR(__xludf.DUMMYFUNCTION("""COMPUTED_VALUE"""),500000.0)</f>
        <v>500000</v>
      </c>
      <c r="I609" s="24">
        <f>IFERROR(__xludf.DUMMYFUNCTION("""COMPUTED_VALUE"""),0.0)</f>
        <v>0</v>
      </c>
    </row>
    <row r="610">
      <c r="A610" s="5" t="str">
        <f>IFERROR(__xludf.DUMMYFUNCTION("""COMPUTED_VALUE"""),"35577")</f>
        <v>35577</v>
      </c>
      <c r="B610" s="64">
        <f>IFERROR(__xludf.DUMMYFUNCTION("""COMPUTED_VALUE"""),44599.0)</f>
        <v>44599</v>
      </c>
      <c r="C610" s="5"/>
      <c r="D610" s="5"/>
      <c r="E610" s="5"/>
      <c r="F610" s="22">
        <f>IFERROR(__xludf.DUMMYFUNCTION("""COMPUTED_VALUE"""),500000.0)</f>
        <v>500000</v>
      </c>
      <c r="G610" s="22">
        <f>IFERROR(__xludf.DUMMYFUNCTION("""COMPUTED_VALUE"""),0.0)</f>
        <v>0</v>
      </c>
      <c r="H610" s="22">
        <f>IFERROR(__xludf.DUMMYFUNCTION("""COMPUTED_VALUE"""),500000.0)</f>
        <v>500000</v>
      </c>
      <c r="I610" s="24">
        <f>IFERROR(__xludf.DUMMYFUNCTION("""COMPUTED_VALUE"""),0.0)</f>
        <v>0</v>
      </c>
    </row>
    <row r="611">
      <c r="A611" s="5" t="str">
        <f>IFERROR(__xludf.DUMMYFUNCTION("""COMPUTED_VALUE"""),"35577")</f>
        <v>35577</v>
      </c>
      <c r="B611" s="64">
        <f>IFERROR(__xludf.DUMMYFUNCTION("""COMPUTED_VALUE"""),44600.0)</f>
        <v>44600</v>
      </c>
      <c r="C611" s="5"/>
      <c r="D611" s="5"/>
      <c r="E611" s="5"/>
      <c r="F611" s="22">
        <f>IFERROR(__xludf.DUMMYFUNCTION("""COMPUTED_VALUE"""),500000.0)</f>
        <v>500000</v>
      </c>
      <c r="G611" s="22">
        <f>IFERROR(__xludf.DUMMYFUNCTION("""COMPUTED_VALUE"""),0.0)</f>
        <v>0</v>
      </c>
      <c r="H611" s="22">
        <f>IFERROR(__xludf.DUMMYFUNCTION("""COMPUTED_VALUE"""),500000.0)</f>
        <v>500000</v>
      </c>
      <c r="I611" s="24">
        <f>IFERROR(__xludf.DUMMYFUNCTION("""COMPUTED_VALUE"""),0.0)</f>
        <v>0</v>
      </c>
    </row>
    <row r="612">
      <c r="A612" s="5" t="str">
        <f>IFERROR(__xludf.DUMMYFUNCTION("""COMPUTED_VALUE"""),"35577")</f>
        <v>35577</v>
      </c>
      <c r="B612" s="64">
        <f>IFERROR(__xludf.DUMMYFUNCTION("""COMPUTED_VALUE"""),44601.0)</f>
        <v>44601</v>
      </c>
      <c r="C612" s="5"/>
      <c r="D612" s="5"/>
      <c r="E612" s="5"/>
      <c r="F612" s="22">
        <f>IFERROR(__xludf.DUMMYFUNCTION("""COMPUTED_VALUE"""),500000.0)</f>
        <v>500000</v>
      </c>
      <c r="G612" s="22">
        <f>IFERROR(__xludf.DUMMYFUNCTION("""COMPUTED_VALUE"""),0.0)</f>
        <v>0</v>
      </c>
      <c r="H612" s="22">
        <f>IFERROR(__xludf.DUMMYFUNCTION("""COMPUTED_VALUE"""),500000.0)</f>
        <v>500000</v>
      </c>
      <c r="I612" s="24">
        <f>IFERROR(__xludf.DUMMYFUNCTION("""COMPUTED_VALUE"""),0.0)</f>
        <v>0</v>
      </c>
    </row>
    <row r="613">
      <c r="A613" s="5" t="str">
        <f>IFERROR(__xludf.DUMMYFUNCTION("""COMPUTED_VALUE"""),"35577")</f>
        <v>35577</v>
      </c>
      <c r="B613" s="64">
        <f>IFERROR(__xludf.DUMMYFUNCTION("""COMPUTED_VALUE"""),44602.0)</f>
        <v>44602</v>
      </c>
      <c r="C613" s="5"/>
      <c r="D613" s="5"/>
      <c r="E613" s="5"/>
      <c r="F613" s="22">
        <f>IFERROR(__xludf.DUMMYFUNCTION("""COMPUTED_VALUE"""),500000.0)</f>
        <v>500000</v>
      </c>
      <c r="G613" s="22">
        <f>IFERROR(__xludf.DUMMYFUNCTION("""COMPUTED_VALUE"""),0.0)</f>
        <v>0</v>
      </c>
      <c r="H613" s="22">
        <f>IFERROR(__xludf.DUMMYFUNCTION("""COMPUTED_VALUE"""),500000.0)</f>
        <v>500000</v>
      </c>
      <c r="I613" s="24">
        <f>IFERROR(__xludf.DUMMYFUNCTION("""COMPUTED_VALUE"""),0.0)</f>
        <v>0</v>
      </c>
    </row>
    <row r="614">
      <c r="A614" s="5" t="str">
        <f>IFERROR(__xludf.DUMMYFUNCTION("""COMPUTED_VALUE"""),"35577")</f>
        <v>35577</v>
      </c>
      <c r="B614" s="64">
        <f>IFERROR(__xludf.DUMMYFUNCTION("""COMPUTED_VALUE"""),44603.0)</f>
        <v>44603</v>
      </c>
      <c r="C614" s="5"/>
      <c r="D614" s="5"/>
      <c r="E614" s="5"/>
      <c r="F614" s="22">
        <f>IFERROR(__xludf.DUMMYFUNCTION("""COMPUTED_VALUE"""),500000.0)</f>
        <v>500000</v>
      </c>
      <c r="G614" s="22">
        <f>IFERROR(__xludf.DUMMYFUNCTION("""COMPUTED_VALUE"""),0.0)</f>
        <v>0</v>
      </c>
      <c r="H614" s="22">
        <f>IFERROR(__xludf.DUMMYFUNCTION("""COMPUTED_VALUE"""),500000.0)</f>
        <v>500000</v>
      </c>
      <c r="I614" s="24">
        <f>IFERROR(__xludf.DUMMYFUNCTION("""COMPUTED_VALUE"""),0.0)</f>
        <v>0</v>
      </c>
    </row>
    <row r="615">
      <c r="A615" s="5" t="str">
        <f>IFERROR(__xludf.DUMMYFUNCTION("""COMPUTED_VALUE"""),"35577")</f>
        <v>35577</v>
      </c>
      <c r="B615" s="64">
        <f>IFERROR(__xludf.DUMMYFUNCTION("""COMPUTED_VALUE"""),44604.0)</f>
        <v>44604</v>
      </c>
      <c r="C615" s="5"/>
      <c r="D615" s="5"/>
      <c r="E615" s="5"/>
      <c r="F615" s="22">
        <f>IFERROR(__xludf.DUMMYFUNCTION("""COMPUTED_VALUE"""),500000.0)</f>
        <v>500000</v>
      </c>
      <c r="G615" s="22">
        <f>IFERROR(__xludf.DUMMYFUNCTION("""COMPUTED_VALUE"""),0.0)</f>
        <v>0</v>
      </c>
      <c r="H615" s="22">
        <f>IFERROR(__xludf.DUMMYFUNCTION("""COMPUTED_VALUE"""),500000.0)</f>
        <v>500000</v>
      </c>
      <c r="I615" s="24">
        <f>IFERROR(__xludf.DUMMYFUNCTION("""COMPUTED_VALUE"""),0.0)</f>
        <v>0</v>
      </c>
    </row>
    <row r="616">
      <c r="A616" s="5" t="str">
        <f>IFERROR(__xludf.DUMMYFUNCTION("""COMPUTED_VALUE"""),"35577")</f>
        <v>35577</v>
      </c>
      <c r="B616" s="64">
        <f>IFERROR(__xludf.DUMMYFUNCTION("""COMPUTED_VALUE"""),44605.0)</f>
        <v>44605</v>
      </c>
      <c r="C616" s="5"/>
      <c r="D616" s="5"/>
      <c r="E616" s="5"/>
      <c r="F616" s="22">
        <f>IFERROR(__xludf.DUMMYFUNCTION("""COMPUTED_VALUE"""),500000.0)</f>
        <v>500000</v>
      </c>
      <c r="G616" s="22">
        <f>IFERROR(__xludf.DUMMYFUNCTION("""COMPUTED_VALUE"""),0.0)</f>
        <v>0</v>
      </c>
      <c r="H616" s="22">
        <f>IFERROR(__xludf.DUMMYFUNCTION("""COMPUTED_VALUE"""),500000.0)</f>
        <v>500000</v>
      </c>
      <c r="I616" s="24">
        <f>IFERROR(__xludf.DUMMYFUNCTION("""COMPUTED_VALUE"""),0.0)</f>
        <v>0</v>
      </c>
    </row>
    <row r="617">
      <c r="A617" s="5" t="str">
        <f>IFERROR(__xludf.DUMMYFUNCTION("""COMPUTED_VALUE"""),"35577")</f>
        <v>35577</v>
      </c>
      <c r="B617" s="64">
        <f>IFERROR(__xludf.DUMMYFUNCTION("""COMPUTED_VALUE"""),44606.0)</f>
        <v>44606</v>
      </c>
      <c r="C617" s="5"/>
      <c r="D617" s="5"/>
      <c r="E617" s="5"/>
      <c r="F617" s="22">
        <f>IFERROR(__xludf.DUMMYFUNCTION("""COMPUTED_VALUE"""),421253.95062)</f>
        <v>421253.9506</v>
      </c>
      <c r="G617" s="22">
        <f>IFERROR(__xludf.DUMMYFUNCTION("""COMPUTED_VALUE"""),0.0)</f>
        <v>0</v>
      </c>
      <c r="H617" s="22">
        <f>IFERROR(__xludf.DUMMYFUNCTION("""COMPUTED_VALUE"""),500140.45301)</f>
        <v>500140.453</v>
      </c>
      <c r="I617" s="24">
        <f>IFERROR(__xludf.DUMMYFUNCTION("""COMPUTED_VALUE"""),2.8090601999997133E-4)</f>
        <v>0.00028090602</v>
      </c>
    </row>
    <row r="618">
      <c r="A618" s="5" t="str">
        <f>IFERROR(__xludf.DUMMYFUNCTION("""COMPUTED_VALUE"""),"35577")</f>
        <v>35577</v>
      </c>
      <c r="B618" s="64">
        <f>IFERROR(__xludf.DUMMYFUNCTION("""COMPUTED_VALUE"""),44607.0)</f>
        <v>44607</v>
      </c>
      <c r="C618" s="5"/>
      <c r="D618" s="5"/>
      <c r="E618" s="5"/>
      <c r="F618" s="22">
        <f>IFERROR(__xludf.DUMMYFUNCTION("""COMPUTED_VALUE"""),421253.95062)</f>
        <v>421253.9506</v>
      </c>
      <c r="G618" s="22">
        <f>IFERROR(__xludf.DUMMYFUNCTION("""COMPUTED_VALUE"""),0.0)</f>
        <v>0</v>
      </c>
      <c r="H618" s="22">
        <f>IFERROR(__xludf.DUMMYFUNCTION("""COMPUTED_VALUE"""),500346.428307935)</f>
        <v>500346.4283</v>
      </c>
      <c r="I618" s="24">
        <f>IFERROR(__xludf.DUMMYFUNCTION("""COMPUTED_VALUE"""),6.928566158699301E-4)</f>
        <v>0.0006928566159</v>
      </c>
    </row>
    <row r="619">
      <c r="A619" s="5" t="str">
        <f>IFERROR(__xludf.DUMMYFUNCTION("""COMPUTED_VALUE"""),"35577")</f>
        <v>35577</v>
      </c>
      <c r="B619" s="64">
        <f>IFERROR(__xludf.DUMMYFUNCTION("""COMPUTED_VALUE"""),44608.0)</f>
        <v>44608</v>
      </c>
      <c r="C619" s="5"/>
      <c r="D619" s="5"/>
      <c r="E619" s="5"/>
      <c r="F619" s="22">
        <f>IFERROR(__xludf.DUMMYFUNCTION("""COMPUTED_VALUE"""),421253.95062)</f>
        <v>421253.9506</v>
      </c>
      <c r="G619" s="22">
        <f>IFERROR(__xludf.DUMMYFUNCTION("""COMPUTED_VALUE"""),0.0)</f>
        <v>0</v>
      </c>
      <c r="H619" s="22">
        <f>IFERROR(__xludf.DUMMYFUNCTION("""COMPUTED_VALUE"""),500394.06512021)</f>
        <v>500394.0651</v>
      </c>
      <c r="I619" s="24">
        <f>IFERROR(__xludf.DUMMYFUNCTION("""COMPUTED_VALUE"""),7.881302404200152E-4)</f>
        <v>0.0007881302404</v>
      </c>
    </row>
    <row r="620">
      <c r="A620" s="5" t="str">
        <f>IFERROR(__xludf.DUMMYFUNCTION("""COMPUTED_VALUE"""),"35577")</f>
        <v>35577</v>
      </c>
      <c r="B620" s="64">
        <f>IFERROR(__xludf.DUMMYFUNCTION("""COMPUTED_VALUE"""),44609.0)</f>
        <v>44609</v>
      </c>
      <c r="C620" s="5"/>
      <c r="D620" s="5"/>
      <c r="E620" s="5"/>
      <c r="F620" s="22">
        <f>IFERROR(__xludf.DUMMYFUNCTION("""COMPUTED_VALUE"""),421253.95062)</f>
        <v>421253.9506</v>
      </c>
      <c r="G620" s="22">
        <f>IFERROR(__xludf.DUMMYFUNCTION("""COMPUTED_VALUE"""),0.0)</f>
        <v>0</v>
      </c>
      <c r="H620" s="22">
        <f>IFERROR(__xludf.DUMMYFUNCTION("""COMPUTED_VALUE"""),499973.9582076875)</f>
        <v>499973.9582</v>
      </c>
      <c r="I620" s="24">
        <f>IFERROR(__xludf.DUMMYFUNCTION("""COMPUTED_VALUE"""),-5.208358462505114E-5)</f>
        <v>-0.00005208358463</v>
      </c>
    </row>
    <row r="621">
      <c r="A621" s="5" t="str">
        <f>IFERROR(__xludf.DUMMYFUNCTION("""COMPUTED_VALUE"""),"35577")</f>
        <v>35577</v>
      </c>
      <c r="B621" s="64">
        <f>IFERROR(__xludf.DUMMYFUNCTION("""COMPUTED_VALUE"""),44610.0)</f>
        <v>44610</v>
      </c>
      <c r="C621" s="5"/>
      <c r="D621" s="5"/>
      <c r="E621" s="5"/>
      <c r="F621" s="22">
        <f>IFERROR(__xludf.DUMMYFUNCTION("""COMPUTED_VALUE"""),421253.95062)</f>
        <v>421253.9506</v>
      </c>
      <c r="G621" s="22">
        <f>IFERROR(__xludf.DUMMYFUNCTION("""COMPUTED_VALUE"""),0.0)</f>
        <v>0</v>
      </c>
      <c r="H621" s="22">
        <f>IFERROR(__xludf.DUMMYFUNCTION("""COMPUTED_VALUE"""),499976.21669996)</f>
        <v>499976.2167</v>
      </c>
      <c r="I621" s="24">
        <f>IFERROR(__xludf.DUMMYFUNCTION("""COMPUTED_VALUE"""),-4.756660007998459E-5)</f>
        <v>-0.00004756660008</v>
      </c>
    </row>
    <row r="622">
      <c r="A622" s="5" t="str">
        <f>IFERROR(__xludf.DUMMYFUNCTION("""COMPUTED_VALUE"""),"35577")</f>
        <v>35577</v>
      </c>
      <c r="B622" s="64">
        <f>IFERROR(__xludf.DUMMYFUNCTION("""COMPUTED_VALUE"""),44611.0)</f>
        <v>44611</v>
      </c>
      <c r="C622" s="5"/>
      <c r="D622" s="5"/>
      <c r="E622" s="5"/>
      <c r="F622" s="22">
        <f>IFERROR(__xludf.DUMMYFUNCTION("""COMPUTED_VALUE"""),421253.95062)</f>
        <v>421253.9506</v>
      </c>
      <c r="G622" s="22">
        <f>IFERROR(__xludf.DUMMYFUNCTION("""COMPUTED_VALUE"""),0.0)</f>
        <v>0</v>
      </c>
      <c r="H622" s="22">
        <f>IFERROR(__xludf.DUMMYFUNCTION("""COMPUTED_VALUE"""),499976.21669996)</f>
        <v>499976.2167</v>
      </c>
      <c r="I622" s="24">
        <f>IFERROR(__xludf.DUMMYFUNCTION("""COMPUTED_VALUE"""),-4.756660007998459E-5)</f>
        <v>-0.00004756660008</v>
      </c>
    </row>
    <row r="623">
      <c r="A623" s="5" t="str">
        <f>IFERROR(__xludf.DUMMYFUNCTION("""COMPUTED_VALUE"""),"35577")</f>
        <v>35577</v>
      </c>
      <c r="B623" s="64">
        <f>IFERROR(__xludf.DUMMYFUNCTION("""COMPUTED_VALUE"""),44612.0)</f>
        <v>44612</v>
      </c>
      <c r="C623" s="5"/>
      <c r="D623" s="5"/>
      <c r="E623" s="5"/>
      <c r="F623" s="22">
        <f>IFERROR(__xludf.DUMMYFUNCTION("""COMPUTED_VALUE"""),421253.95062)</f>
        <v>421253.9506</v>
      </c>
      <c r="G623" s="22">
        <f>IFERROR(__xludf.DUMMYFUNCTION("""COMPUTED_VALUE"""),0.0)</f>
        <v>0</v>
      </c>
      <c r="H623" s="22">
        <f>IFERROR(__xludf.DUMMYFUNCTION("""COMPUTED_VALUE"""),499976.21669996)</f>
        <v>499976.2167</v>
      </c>
      <c r="I623" s="24">
        <f>IFERROR(__xludf.DUMMYFUNCTION("""COMPUTED_VALUE"""),-4.756660007998459E-5)</f>
        <v>-0.00004756660008</v>
      </c>
    </row>
    <row r="624">
      <c r="A624" s="5" t="str">
        <f>IFERROR(__xludf.DUMMYFUNCTION("""COMPUTED_VALUE"""),"35577")</f>
        <v>35577</v>
      </c>
      <c r="B624" s="64">
        <f>IFERROR(__xludf.DUMMYFUNCTION("""COMPUTED_VALUE"""),44613.0)</f>
        <v>44613</v>
      </c>
      <c r="C624" s="5"/>
      <c r="D624" s="5"/>
      <c r="E624" s="5"/>
      <c r="F624" s="22">
        <f>IFERROR(__xludf.DUMMYFUNCTION("""COMPUTED_VALUE"""),421253.95062)</f>
        <v>421253.9506</v>
      </c>
      <c r="G624" s="22">
        <f>IFERROR(__xludf.DUMMYFUNCTION("""COMPUTED_VALUE"""),0.0)</f>
        <v>0</v>
      </c>
      <c r="H624" s="22">
        <f>IFERROR(__xludf.DUMMYFUNCTION("""COMPUTED_VALUE"""),499976.3922304475)</f>
        <v>499976.3922</v>
      </c>
      <c r="I624" s="24">
        <f>IFERROR(__xludf.DUMMYFUNCTION("""COMPUTED_VALUE"""),-4.721553910502774E-5)</f>
        <v>-0.00004721553911</v>
      </c>
    </row>
    <row r="625">
      <c r="A625" s="5" t="str">
        <f>IFERROR(__xludf.DUMMYFUNCTION("""COMPUTED_VALUE"""),"35577")</f>
        <v>35577</v>
      </c>
      <c r="B625" s="64">
        <f>IFERROR(__xludf.DUMMYFUNCTION("""COMPUTED_VALUE"""),44614.0)</f>
        <v>44614</v>
      </c>
      <c r="C625" s="5"/>
      <c r="D625" s="5"/>
      <c r="E625" s="5"/>
      <c r="F625" s="22">
        <f>IFERROR(__xludf.DUMMYFUNCTION("""COMPUTED_VALUE"""),421253.95062)</f>
        <v>421253.9506</v>
      </c>
      <c r="G625" s="22">
        <f>IFERROR(__xludf.DUMMYFUNCTION("""COMPUTED_VALUE"""),0.0)</f>
        <v>0</v>
      </c>
      <c r="H625" s="22">
        <f>IFERROR(__xludf.DUMMYFUNCTION("""COMPUTED_VALUE"""),499601.8508704475)</f>
        <v>499601.8509</v>
      </c>
      <c r="I625" s="24">
        <f>IFERROR(__xludf.DUMMYFUNCTION("""COMPUTED_VALUE"""),-7.962982591049883E-4)</f>
        <v>-0.0007962982591</v>
      </c>
    </row>
    <row r="626">
      <c r="A626" s="5" t="str">
        <f>IFERROR(__xludf.DUMMYFUNCTION("""COMPUTED_VALUE"""),"35577")</f>
        <v>35577</v>
      </c>
      <c r="B626" s="64">
        <f>IFERROR(__xludf.DUMMYFUNCTION("""COMPUTED_VALUE"""),44615.0)</f>
        <v>44615</v>
      </c>
      <c r="C626" s="5"/>
      <c r="D626" s="5"/>
      <c r="E626" s="5"/>
      <c r="F626" s="22">
        <f>IFERROR(__xludf.DUMMYFUNCTION("""COMPUTED_VALUE"""),421253.95062)</f>
        <v>421253.9506</v>
      </c>
      <c r="G626" s="22">
        <f>IFERROR(__xludf.DUMMYFUNCTION("""COMPUTED_VALUE"""),0.0)</f>
        <v>0</v>
      </c>
      <c r="H626" s="22">
        <f>IFERROR(__xludf.DUMMYFUNCTION("""COMPUTED_VALUE"""),499221.48189826246)</f>
        <v>499221.4819</v>
      </c>
      <c r="I626" s="24">
        <f>IFERROR(__xludf.DUMMYFUNCTION("""COMPUTED_VALUE"""),-0.0015570362034751373)</f>
        <v>-0.001557036203</v>
      </c>
    </row>
    <row r="627">
      <c r="A627" s="5" t="str">
        <f>IFERROR(__xludf.DUMMYFUNCTION("""COMPUTED_VALUE"""),"35577")</f>
        <v>35577</v>
      </c>
      <c r="B627" s="64">
        <f>IFERROR(__xludf.DUMMYFUNCTION("""COMPUTED_VALUE"""),44616.0)</f>
        <v>44616</v>
      </c>
      <c r="C627" s="5"/>
      <c r="D627" s="5"/>
      <c r="E627" s="5"/>
      <c r="F627" s="22">
        <f>IFERROR(__xludf.DUMMYFUNCTION("""COMPUTED_VALUE"""),421253.95062)</f>
        <v>421253.9506</v>
      </c>
      <c r="G627" s="22">
        <f>IFERROR(__xludf.DUMMYFUNCTION("""COMPUTED_VALUE"""),0.0)</f>
        <v>0</v>
      </c>
      <c r="H627" s="22">
        <f>IFERROR(__xludf.DUMMYFUNCTION("""COMPUTED_VALUE"""),499337.4494862725)</f>
        <v>499337.4495</v>
      </c>
      <c r="I627" s="24">
        <f>IFERROR(__xludf.DUMMYFUNCTION("""COMPUTED_VALUE"""),-0.001325101027454978)</f>
        <v>-0.001325101027</v>
      </c>
    </row>
    <row r="628">
      <c r="A628" s="5" t="str">
        <f>IFERROR(__xludf.DUMMYFUNCTION("""COMPUTED_VALUE"""),"35577")</f>
        <v>35577</v>
      </c>
      <c r="B628" s="64">
        <f>IFERROR(__xludf.DUMMYFUNCTION("""COMPUTED_VALUE"""),44617.0)</f>
        <v>44617</v>
      </c>
      <c r="C628" s="5"/>
      <c r="D628" s="5"/>
      <c r="E628" s="5"/>
      <c r="F628" s="22">
        <f>IFERROR(__xludf.DUMMYFUNCTION("""COMPUTED_VALUE"""),421253.95062)</f>
        <v>421253.9506</v>
      </c>
      <c r="G628" s="22">
        <f>IFERROR(__xludf.DUMMYFUNCTION("""COMPUTED_VALUE"""),0.0)</f>
        <v>0</v>
      </c>
      <c r="H628" s="22">
        <f>IFERROR(__xludf.DUMMYFUNCTION("""COMPUTED_VALUE"""),499805.61448424)</f>
        <v>499805.6145</v>
      </c>
      <c r="I628" s="24">
        <f>IFERROR(__xludf.DUMMYFUNCTION("""COMPUTED_VALUE"""),-3.887710315200188E-4)</f>
        <v>-0.0003887710315</v>
      </c>
    </row>
    <row r="629">
      <c r="A629" s="5" t="str">
        <f>IFERROR(__xludf.DUMMYFUNCTION("""COMPUTED_VALUE"""),"35577")</f>
        <v>35577</v>
      </c>
      <c r="B629" s="64">
        <f>IFERROR(__xludf.DUMMYFUNCTION("""COMPUTED_VALUE"""),44618.0)</f>
        <v>44618</v>
      </c>
      <c r="C629" s="5"/>
      <c r="D629" s="5"/>
      <c r="E629" s="5"/>
      <c r="F629" s="22">
        <f>IFERROR(__xludf.DUMMYFUNCTION("""COMPUTED_VALUE"""),421253.95062)</f>
        <v>421253.9506</v>
      </c>
      <c r="G629" s="22">
        <f>IFERROR(__xludf.DUMMYFUNCTION("""COMPUTED_VALUE"""),0.0)</f>
        <v>0</v>
      </c>
      <c r="H629" s="22">
        <f>IFERROR(__xludf.DUMMYFUNCTION("""COMPUTED_VALUE"""),499805.61448424)</f>
        <v>499805.6145</v>
      </c>
      <c r="I629" s="24">
        <f>IFERROR(__xludf.DUMMYFUNCTION("""COMPUTED_VALUE"""),-3.887710315200188E-4)</f>
        <v>-0.0003887710315</v>
      </c>
    </row>
    <row r="630">
      <c r="A630" s="5" t="str">
        <f>IFERROR(__xludf.DUMMYFUNCTION("""COMPUTED_VALUE"""),"35577")</f>
        <v>35577</v>
      </c>
      <c r="B630" s="64">
        <f>IFERROR(__xludf.DUMMYFUNCTION("""COMPUTED_VALUE"""),44619.0)</f>
        <v>44619</v>
      </c>
      <c r="C630" s="5"/>
      <c r="D630" s="5"/>
      <c r="E630" s="5"/>
      <c r="F630" s="22">
        <f>IFERROR(__xludf.DUMMYFUNCTION("""COMPUTED_VALUE"""),421253.95062)</f>
        <v>421253.9506</v>
      </c>
      <c r="G630" s="22">
        <f>IFERROR(__xludf.DUMMYFUNCTION("""COMPUTED_VALUE"""),0.0)</f>
        <v>0</v>
      </c>
      <c r="H630" s="22">
        <f>IFERROR(__xludf.DUMMYFUNCTION("""COMPUTED_VALUE"""),499809.87402407)</f>
        <v>499809.874</v>
      </c>
      <c r="I630" s="24">
        <f>IFERROR(__xludf.DUMMYFUNCTION("""COMPUTED_VALUE"""),-3.8025195185997784E-4)</f>
        <v>-0.0003802519519</v>
      </c>
    </row>
    <row r="631">
      <c r="A631" s="5" t="str">
        <f>IFERROR(__xludf.DUMMYFUNCTION("""COMPUTED_VALUE"""),"35577")</f>
        <v>35577</v>
      </c>
      <c r="B631" s="64">
        <f>IFERROR(__xludf.DUMMYFUNCTION("""COMPUTED_VALUE"""),44620.0)</f>
        <v>44620</v>
      </c>
      <c r="C631" s="5"/>
      <c r="D631" s="5"/>
      <c r="E631" s="5"/>
      <c r="F631" s="22">
        <f>IFERROR(__xludf.DUMMYFUNCTION("""COMPUTED_VALUE"""),421253.95062)</f>
        <v>421253.9506</v>
      </c>
      <c r="G631" s="22">
        <f>IFERROR(__xludf.DUMMYFUNCTION("""COMPUTED_VALUE"""),0.0)</f>
        <v>0</v>
      </c>
      <c r="H631" s="22">
        <f>IFERROR(__xludf.DUMMYFUNCTION("""COMPUTED_VALUE"""),499691.2500746825)</f>
        <v>499691.2501</v>
      </c>
      <c r="I631" s="24">
        <f>IFERROR(__xludf.DUMMYFUNCTION("""COMPUTED_VALUE"""),-6.174998506349727E-4)</f>
        <v>-0.0006174998506</v>
      </c>
    </row>
    <row r="632">
      <c r="A632" s="5" t="str">
        <f>IFERROR(__xludf.DUMMYFUNCTION("""COMPUTED_VALUE"""),"35577")</f>
        <v>35577</v>
      </c>
      <c r="B632" s="64">
        <f>IFERROR(__xludf.DUMMYFUNCTION("""COMPUTED_VALUE"""),44621.0)</f>
        <v>44621</v>
      </c>
      <c r="C632" s="5"/>
      <c r="D632" s="5"/>
      <c r="E632" s="5"/>
      <c r="F632" s="22">
        <f>IFERROR(__xludf.DUMMYFUNCTION("""COMPUTED_VALUE"""),421253.95062)</f>
        <v>421253.9506</v>
      </c>
      <c r="G632" s="22">
        <f>IFERROR(__xludf.DUMMYFUNCTION("""COMPUTED_VALUE"""),0.0)</f>
        <v>0</v>
      </c>
      <c r="H632" s="22">
        <f>IFERROR(__xludf.DUMMYFUNCTION("""COMPUTED_VALUE"""),499370.9688773525)</f>
        <v>499370.9689</v>
      </c>
      <c r="I632" s="24">
        <f>IFERROR(__xludf.DUMMYFUNCTION("""COMPUTED_VALUE"""),-0.0012580622452950108)</f>
        <v>-0.001258062245</v>
      </c>
    </row>
    <row r="633">
      <c r="A633" s="5" t="str">
        <f>IFERROR(__xludf.DUMMYFUNCTION("""COMPUTED_VALUE"""),"35577")</f>
        <v>35577</v>
      </c>
      <c r="B633" s="64">
        <f>IFERROR(__xludf.DUMMYFUNCTION("""COMPUTED_VALUE"""),44622.0)</f>
        <v>44622</v>
      </c>
      <c r="C633" s="5"/>
      <c r="D633" s="5"/>
      <c r="E633" s="5"/>
      <c r="F633" s="22">
        <f>IFERROR(__xludf.DUMMYFUNCTION("""COMPUTED_VALUE"""),421253.95062)</f>
        <v>421253.9506</v>
      </c>
      <c r="G633" s="22">
        <f>IFERROR(__xludf.DUMMYFUNCTION("""COMPUTED_VALUE"""),0.0)</f>
        <v>0</v>
      </c>
      <c r="H633" s="22">
        <f>IFERROR(__xludf.DUMMYFUNCTION("""COMPUTED_VALUE"""),499585.98984641)</f>
        <v>499585.9898</v>
      </c>
      <c r="I633" s="24">
        <f>IFERROR(__xludf.DUMMYFUNCTION("""COMPUTED_VALUE"""),-8.280203071799885E-4)</f>
        <v>-0.0008280203072</v>
      </c>
    </row>
    <row r="634">
      <c r="A634" s="5" t="str">
        <f>IFERROR(__xludf.DUMMYFUNCTION("""COMPUTED_VALUE"""),"35577")</f>
        <v>35577</v>
      </c>
      <c r="B634" s="64">
        <f>IFERROR(__xludf.DUMMYFUNCTION("""COMPUTED_VALUE"""),44623.0)</f>
        <v>44623</v>
      </c>
      <c r="C634" s="5"/>
      <c r="D634" s="5"/>
      <c r="E634" s="5"/>
      <c r="F634" s="22">
        <f>IFERROR(__xludf.DUMMYFUNCTION("""COMPUTED_VALUE"""),421253.95062)</f>
        <v>421253.9506</v>
      </c>
      <c r="G634" s="22">
        <f>IFERROR(__xludf.DUMMYFUNCTION("""COMPUTED_VALUE"""),0.0)</f>
        <v>0</v>
      </c>
      <c r="H634" s="22">
        <f>IFERROR(__xludf.DUMMYFUNCTION("""COMPUTED_VALUE"""),499389.2054139875)</f>
        <v>499389.2054</v>
      </c>
      <c r="I634" s="24">
        <f>IFERROR(__xludf.DUMMYFUNCTION("""COMPUTED_VALUE"""),-0.0012215891720249727)</f>
        <v>-0.001221589172</v>
      </c>
    </row>
    <row r="635">
      <c r="A635" s="5" t="str">
        <f>IFERROR(__xludf.DUMMYFUNCTION("""COMPUTED_VALUE"""),"35577")</f>
        <v>35577</v>
      </c>
      <c r="B635" s="64">
        <f>IFERROR(__xludf.DUMMYFUNCTION("""COMPUTED_VALUE"""),44624.0)</f>
        <v>44624</v>
      </c>
      <c r="C635" s="5"/>
      <c r="D635" s="5"/>
      <c r="E635" s="5"/>
      <c r="F635" s="22">
        <f>IFERROR(__xludf.DUMMYFUNCTION("""COMPUTED_VALUE"""),421253.95062)</f>
        <v>421253.9506</v>
      </c>
      <c r="G635" s="22">
        <f>IFERROR(__xludf.DUMMYFUNCTION("""COMPUTED_VALUE"""),0.0)</f>
        <v>0</v>
      </c>
      <c r="H635" s="22">
        <f>IFERROR(__xludf.DUMMYFUNCTION("""COMPUTED_VALUE"""),499106.20473017)</f>
        <v>499106.2047</v>
      </c>
      <c r="I635" s="24">
        <f>IFERROR(__xludf.DUMMYFUNCTION("""COMPUTED_VALUE"""),-0.0017875905396599334)</f>
        <v>-0.00178759054</v>
      </c>
    </row>
    <row r="636">
      <c r="A636" s="5" t="str">
        <f>IFERROR(__xludf.DUMMYFUNCTION("""COMPUTED_VALUE"""),"35577")</f>
        <v>35577</v>
      </c>
      <c r="B636" s="64">
        <f>IFERROR(__xludf.DUMMYFUNCTION("""COMPUTED_VALUE"""),44625.0)</f>
        <v>44625</v>
      </c>
      <c r="C636" s="5"/>
      <c r="D636" s="5"/>
      <c r="E636" s="5"/>
      <c r="F636" s="22">
        <f>IFERROR(__xludf.DUMMYFUNCTION("""COMPUTED_VALUE"""),421253.95062)</f>
        <v>421253.9506</v>
      </c>
      <c r="G636" s="22">
        <f>IFERROR(__xludf.DUMMYFUNCTION("""COMPUTED_VALUE"""),0.0)</f>
        <v>0</v>
      </c>
      <c r="H636" s="22">
        <f>IFERROR(__xludf.DUMMYFUNCTION("""COMPUTED_VALUE"""),499106.20473017)</f>
        <v>499106.2047</v>
      </c>
      <c r="I636" s="24">
        <f>IFERROR(__xludf.DUMMYFUNCTION("""COMPUTED_VALUE"""),-0.0017875905396599334)</f>
        <v>-0.00178759054</v>
      </c>
    </row>
    <row r="637">
      <c r="A637" s="5" t="str">
        <f>IFERROR(__xludf.DUMMYFUNCTION("""COMPUTED_VALUE"""),"35577")</f>
        <v>35577</v>
      </c>
      <c r="B637" s="64">
        <f>IFERROR(__xludf.DUMMYFUNCTION("""COMPUTED_VALUE"""),44626.0)</f>
        <v>44626</v>
      </c>
      <c r="C637" s="5"/>
      <c r="D637" s="5"/>
      <c r="E637" s="5"/>
      <c r="F637" s="22">
        <f>IFERROR(__xludf.DUMMYFUNCTION("""COMPUTED_VALUE"""),421253.95062)</f>
        <v>421253.9506</v>
      </c>
      <c r="G637" s="22">
        <f>IFERROR(__xludf.DUMMYFUNCTION("""COMPUTED_VALUE"""),0.0)</f>
        <v>0</v>
      </c>
      <c r="H637" s="22">
        <f>IFERROR(__xludf.DUMMYFUNCTION("""COMPUTED_VALUE"""),499106.20473017)</f>
        <v>499106.2047</v>
      </c>
      <c r="I637" s="24">
        <f>IFERROR(__xludf.DUMMYFUNCTION("""COMPUTED_VALUE"""),-0.0017875905396599334)</f>
        <v>-0.00178759054</v>
      </c>
    </row>
    <row r="638">
      <c r="A638" s="5" t="str">
        <f>IFERROR(__xludf.DUMMYFUNCTION("""COMPUTED_VALUE"""),"35577")</f>
        <v>35577</v>
      </c>
      <c r="B638" s="64">
        <f>IFERROR(__xludf.DUMMYFUNCTION("""COMPUTED_VALUE"""),44627.0)</f>
        <v>44627</v>
      </c>
      <c r="C638" s="5"/>
      <c r="D638" s="5"/>
      <c r="E638" s="5"/>
      <c r="F638" s="22">
        <f>IFERROR(__xludf.DUMMYFUNCTION("""COMPUTED_VALUE"""),382989.30095295)</f>
        <v>382989.301</v>
      </c>
      <c r="G638" s="22">
        <f>IFERROR(__xludf.DUMMYFUNCTION("""COMPUTED_VALUE"""),0.0)</f>
        <v>0</v>
      </c>
      <c r="H638" s="22">
        <f>IFERROR(__xludf.DUMMYFUNCTION("""COMPUTED_VALUE"""),499105.806861065)</f>
        <v>499105.8069</v>
      </c>
      <c r="I638" s="24">
        <f>IFERROR(__xludf.DUMMYFUNCTION("""COMPUTED_VALUE"""),-0.0017883862778700355)</f>
        <v>-0.001788386278</v>
      </c>
    </row>
    <row r="639">
      <c r="A639" s="5" t="str">
        <f>IFERROR(__xludf.DUMMYFUNCTION("""COMPUTED_VALUE"""),"35577")</f>
        <v>35577</v>
      </c>
      <c r="B639" s="64">
        <f>IFERROR(__xludf.DUMMYFUNCTION("""COMPUTED_VALUE"""),44628.0)</f>
        <v>44628</v>
      </c>
      <c r="C639" s="5"/>
      <c r="D639" s="5"/>
      <c r="E639" s="5"/>
      <c r="F639" s="22">
        <f>IFERROR(__xludf.DUMMYFUNCTION("""COMPUTED_VALUE"""),368886.84126345004)</f>
        <v>368886.8413</v>
      </c>
      <c r="G639" s="22">
        <f>IFERROR(__xludf.DUMMYFUNCTION("""COMPUTED_VALUE"""),0.0)</f>
        <v>0</v>
      </c>
      <c r="H639" s="22">
        <f>IFERROR(__xludf.DUMMYFUNCTION("""COMPUTED_VALUE"""),498166.11591697996)</f>
        <v>498166.1159</v>
      </c>
      <c r="I639" s="24">
        <f>IFERROR(__xludf.DUMMYFUNCTION("""COMPUTED_VALUE"""),-0.0036677681660400863)</f>
        <v>-0.003667768166</v>
      </c>
    </row>
    <row r="640">
      <c r="A640" s="5" t="str">
        <f>IFERROR(__xludf.DUMMYFUNCTION("""COMPUTED_VALUE"""),"35577")</f>
        <v>35577</v>
      </c>
      <c r="B640" s="64">
        <f>IFERROR(__xludf.DUMMYFUNCTION("""COMPUTED_VALUE"""),44629.0)</f>
        <v>44629</v>
      </c>
      <c r="C640" s="5"/>
      <c r="D640" s="5"/>
      <c r="E640" s="5"/>
      <c r="F640" s="22">
        <f>IFERROR(__xludf.DUMMYFUNCTION("""COMPUTED_VALUE"""),368886.84126345004)</f>
        <v>368886.8413</v>
      </c>
      <c r="G640" s="22">
        <f>IFERROR(__xludf.DUMMYFUNCTION("""COMPUTED_VALUE"""),0.0)</f>
        <v>0</v>
      </c>
      <c r="H640" s="22">
        <f>IFERROR(__xludf.DUMMYFUNCTION("""COMPUTED_VALUE"""),499268.42255637003)</f>
        <v>499268.4226</v>
      </c>
      <c r="I640" s="24">
        <f>IFERROR(__xludf.DUMMYFUNCTION("""COMPUTED_VALUE"""),-0.0014631548872598987)</f>
        <v>-0.001463154887</v>
      </c>
    </row>
    <row r="641">
      <c r="A641" s="5" t="str">
        <f>IFERROR(__xludf.DUMMYFUNCTION("""COMPUTED_VALUE"""),"35577")</f>
        <v>35577</v>
      </c>
      <c r="B641" s="64">
        <f>IFERROR(__xludf.DUMMYFUNCTION("""COMPUTED_VALUE"""),44630.0)</f>
        <v>44630</v>
      </c>
      <c r="C641" s="5"/>
      <c r="D641" s="5"/>
      <c r="E641" s="5"/>
      <c r="F641" s="22">
        <f>IFERROR(__xludf.DUMMYFUNCTION("""COMPUTED_VALUE"""),368886.84126345004)</f>
        <v>368886.8413</v>
      </c>
      <c r="G641" s="22">
        <f>IFERROR(__xludf.DUMMYFUNCTION("""COMPUTED_VALUE"""),0.0)</f>
        <v>0</v>
      </c>
      <c r="H641" s="22">
        <f>IFERROR(__xludf.DUMMYFUNCTION("""COMPUTED_VALUE"""),499265.2363833751)</f>
        <v>499265.2364</v>
      </c>
      <c r="I641" s="24">
        <f>IFERROR(__xludf.DUMMYFUNCTION("""COMPUTED_VALUE"""),-0.0014695272332498899)</f>
        <v>-0.001469527233</v>
      </c>
    </row>
    <row r="642">
      <c r="A642" s="5" t="str">
        <f>IFERROR(__xludf.DUMMYFUNCTION("""COMPUTED_VALUE"""),"35577")</f>
        <v>35577</v>
      </c>
      <c r="B642" s="64">
        <f>IFERROR(__xludf.DUMMYFUNCTION("""COMPUTED_VALUE"""),44631.0)</f>
        <v>44631</v>
      </c>
      <c r="C642" s="5"/>
      <c r="D642" s="5"/>
      <c r="E642" s="5"/>
      <c r="F642" s="22">
        <f>IFERROR(__xludf.DUMMYFUNCTION("""COMPUTED_VALUE"""),368886.84126345004)</f>
        <v>368886.8413</v>
      </c>
      <c r="G642" s="22">
        <f>IFERROR(__xludf.DUMMYFUNCTION("""COMPUTED_VALUE"""),0.0)</f>
        <v>0</v>
      </c>
      <c r="H642" s="22">
        <f>IFERROR(__xludf.DUMMYFUNCTION("""COMPUTED_VALUE"""),498652.3584906825)</f>
        <v>498652.3585</v>
      </c>
      <c r="I642" s="24">
        <f>IFERROR(__xludf.DUMMYFUNCTION("""COMPUTED_VALUE"""),-0.002695283018634975)</f>
        <v>-0.002695283019</v>
      </c>
    </row>
    <row r="643">
      <c r="A643" s="5" t="str">
        <f>IFERROR(__xludf.DUMMYFUNCTION("""COMPUTED_VALUE"""),"35577")</f>
        <v>35577</v>
      </c>
      <c r="B643" s="64">
        <f>IFERROR(__xludf.DUMMYFUNCTION("""COMPUTED_VALUE"""),44632.0)</f>
        <v>44632</v>
      </c>
      <c r="C643" s="5"/>
      <c r="D643" s="5"/>
      <c r="E643" s="5"/>
      <c r="F643" s="22">
        <f>IFERROR(__xludf.DUMMYFUNCTION("""COMPUTED_VALUE"""),368886.84126345004)</f>
        <v>368886.8413</v>
      </c>
      <c r="G643" s="22">
        <f>IFERROR(__xludf.DUMMYFUNCTION("""COMPUTED_VALUE"""),0.0)</f>
        <v>0</v>
      </c>
      <c r="H643" s="22">
        <f>IFERROR(__xludf.DUMMYFUNCTION("""COMPUTED_VALUE"""),498664.93817562)</f>
        <v>498664.9382</v>
      </c>
      <c r="I643" s="24">
        <f>IFERROR(__xludf.DUMMYFUNCTION("""COMPUTED_VALUE"""),-0.00267012364876007)</f>
        <v>-0.002670123649</v>
      </c>
    </row>
    <row r="644">
      <c r="A644" s="5" t="str">
        <f>IFERROR(__xludf.DUMMYFUNCTION("""COMPUTED_VALUE"""),"35577")</f>
        <v>35577</v>
      </c>
      <c r="B644" s="64">
        <f>IFERROR(__xludf.DUMMYFUNCTION("""COMPUTED_VALUE"""),44633.0)</f>
        <v>44633</v>
      </c>
      <c r="C644" s="5"/>
      <c r="D644" s="5"/>
      <c r="E644" s="5"/>
      <c r="F644" s="22">
        <f>IFERROR(__xludf.DUMMYFUNCTION("""COMPUTED_VALUE"""),368886.84126345004)</f>
        <v>368886.8413</v>
      </c>
      <c r="G644" s="22">
        <f>IFERROR(__xludf.DUMMYFUNCTION("""COMPUTED_VALUE"""),0.0)</f>
        <v>0</v>
      </c>
      <c r="H644" s="22">
        <f>IFERROR(__xludf.DUMMYFUNCTION("""COMPUTED_VALUE"""),498664.93817562)</f>
        <v>498664.9382</v>
      </c>
      <c r="I644" s="24">
        <f>IFERROR(__xludf.DUMMYFUNCTION("""COMPUTED_VALUE"""),-0.00267012364876007)</f>
        <v>-0.002670123649</v>
      </c>
    </row>
    <row r="645">
      <c r="A645" s="5" t="str">
        <f>IFERROR(__xludf.DUMMYFUNCTION("""COMPUTED_VALUE"""),"35577")</f>
        <v>35577</v>
      </c>
      <c r="B645" s="64">
        <f>IFERROR(__xludf.DUMMYFUNCTION("""COMPUTED_VALUE"""),44634.0)</f>
        <v>44634</v>
      </c>
      <c r="C645" s="5"/>
      <c r="D645" s="5"/>
      <c r="E645" s="5"/>
      <c r="F645" s="22">
        <f>IFERROR(__xludf.DUMMYFUNCTION("""COMPUTED_VALUE"""),368886.84126345004)</f>
        <v>368886.8413</v>
      </c>
      <c r="G645" s="22">
        <f>IFERROR(__xludf.DUMMYFUNCTION("""COMPUTED_VALUE"""),0.0)</f>
        <v>0</v>
      </c>
      <c r="H645" s="22">
        <f>IFERROR(__xludf.DUMMYFUNCTION("""COMPUTED_VALUE"""),498008.95459578745)</f>
        <v>498008.9546</v>
      </c>
      <c r="I645" s="24">
        <f>IFERROR(__xludf.DUMMYFUNCTION("""COMPUTED_VALUE"""),-0.003982090808425154)</f>
        <v>-0.003982090808</v>
      </c>
    </row>
    <row r="646">
      <c r="A646" s="5" t="str">
        <f>IFERROR(__xludf.DUMMYFUNCTION("""COMPUTED_VALUE"""),"35577")</f>
        <v>35577</v>
      </c>
      <c r="B646" s="64">
        <f>IFERROR(__xludf.DUMMYFUNCTION("""COMPUTED_VALUE"""),44635.0)</f>
        <v>44635</v>
      </c>
      <c r="C646" s="5"/>
      <c r="D646" s="5"/>
      <c r="E646" s="5"/>
      <c r="F646" s="22">
        <f>IFERROR(__xludf.DUMMYFUNCTION("""COMPUTED_VALUE"""),368886.84126345004)</f>
        <v>368886.8413</v>
      </c>
      <c r="G646" s="22">
        <f>IFERROR(__xludf.DUMMYFUNCTION("""COMPUTED_VALUE"""),0.0)</f>
        <v>0</v>
      </c>
      <c r="H646" s="22">
        <f>IFERROR(__xludf.DUMMYFUNCTION("""COMPUTED_VALUE"""),498826.7386320374)</f>
        <v>498826.7386</v>
      </c>
      <c r="I646" s="24">
        <f>IFERROR(__xludf.DUMMYFUNCTION("""COMPUTED_VALUE"""),-0.0023465227359251717)</f>
        <v>-0.002346522736</v>
      </c>
    </row>
    <row r="647">
      <c r="A647" s="5" t="str">
        <f>IFERROR(__xludf.DUMMYFUNCTION("""COMPUTED_VALUE"""),"35577")</f>
        <v>35577</v>
      </c>
      <c r="B647" s="64">
        <f>IFERROR(__xludf.DUMMYFUNCTION("""COMPUTED_VALUE"""),44636.0)</f>
        <v>44636</v>
      </c>
      <c r="C647" s="5"/>
      <c r="D647" s="5"/>
      <c r="E647" s="5"/>
      <c r="F647" s="22">
        <f>IFERROR(__xludf.DUMMYFUNCTION("""COMPUTED_VALUE"""),368886.84126345004)</f>
        <v>368886.8413</v>
      </c>
      <c r="G647" s="22">
        <f>IFERROR(__xludf.DUMMYFUNCTION("""COMPUTED_VALUE"""),0.0)</f>
        <v>0</v>
      </c>
      <c r="H647" s="22">
        <f>IFERROR(__xludf.DUMMYFUNCTION("""COMPUTED_VALUE"""),499879.27654612495)</f>
        <v>499879.2765</v>
      </c>
      <c r="I647" s="24">
        <f>IFERROR(__xludf.DUMMYFUNCTION("""COMPUTED_VALUE"""),-2.4144690775007582E-4)</f>
        <v>-0.0002414469078</v>
      </c>
    </row>
    <row r="648">
      <c r="A648" s="5" t="str">
        <f>IFERROR(__xludf.DUMMYFUNCTION("""COMPUTED_VALUE"""),"35577")</f>
        <v>35577</v>
      </c>
      <c r="B648" s="64">
        <f>IFERROR(__xludf.DUMMYFUNCTION("""COMPUTED_VALUE"""),44637.0)</f>
        <v>44637</v>
      </c>
      <c r="C648" s="5"/>
      <c r="D648" s="5"/>
      <c r="E648" s="5"/>
      <c r="F648" s="22">
        <f>IFERROR(__xludf.DUMMYFUNCTION("""COMPUTED_VALUE"""),368886.84126345004)</f>
        <v>368886.8413</v>
      </c>
      <c r="G648" s="22">
        <f>IFERROR(__xludf.DUMMYFUNCTION("""COMPUTED_VALUE"""),0.0)</f>
        <v>0</v>
      </c>
      <c r="H648" s="22">
        <f>IFERROR(__xludf.DUMMYFUNCTION("""COMPUTED_VALUE"""),499922.8509331024)</f>
        <v>499922.8509</v>
      </c>
      <c r="I648" s="24">
        <f>IFERROR(__xludf.DUMMYFUNCTION("""COMPUTED_VALUE"""),-1.542981337951943E-4)</f>
        <v>-0.0001542981338</v>
      </c>
    </row>
    <row r="649">
      <c r="A649" s="5" t="str">
        <f>IFERROR(__xludf.DUMMYFUNCTION("""COMPUTED_VALUE"""),"35577")</f>
        <v>35577</v>
      </c>
      <c r="B649" s="64">
        <f>IFERROR(__xludf.DUMMYFUNCTION("""COMPUTED_VALUE"""),44638.0)</f>
        <v>44638</v>
      </c>
      <c r="C649" s="5"/>
      <c r="D649" s="5"/>
      <c r="E649" s="5"/>
      <c r="F649" s="22">
        <f>IFERROR(__xludf.DUMMYFUNCTION("""COMPUTED_VALUE"""),368886.84126345004)</f>
        <v>368886.8413</v>
      </c>
      <c r="G649" s="22">
        <f>IFERROR(__xludf.DUMMYFUNCTION("""COMPUTED_VALUE"""),0.0)</f>
        <v>0</v>
      </c>
      <c r="H649" s="22">
        <f>IFERROR(__xludf.DUMMYFUNCTION("""COMPUTED_VALUE"""),500773.6163179325)</f>
        <v>500773.6163</v>
      </c>
      <c r="I649" s="24">
        <f>IFERROR(__xludf.DUMMYFUNCTION("""COMPUTED_VALUE"""),0.0015472326358649813)</f>
        <v>0.001547232636</v>
      </c>
    </row>
    <row r="650">
      <c r="A650" s="5" t="str">
        <f>IFERROR(__xludf.DUMMYFUNCTION("""COMPUTED_VALUE"""),"35577")</f>
        <v>35577</v>
      </c>
      <c r="B650" s="64">
        <f>IFERROR(__xludf.DUMMYFUNCTION("""COMPUTED_VALUE"""),44639.0)</f>
        <v>44639</v>
      </c>
      <c r="C650" s="5"/>
      <c r="D650" s="5"/>
      <c r="E650" s="5"/>
      <c r="F650" s="22">
        <f>IFERROR(__xludf.DUMMYFUNCTION("""COMPUTED_VALUE"""),368886.84126345004)</f>
        <v>368886.8413</v>
      </c>
      <c r="G650" s="22">
        <f>IFERROR(__xludf.DUMMYFUNCTION("""COMPUTED_VALUE"""),0.0)</f>
        <v>0</v>
      </c>
      <c r="H650" s="22">
        <f>IFERROR(__xludf.DUMMYFUNCTION("""COMPUTED_VALUE"""),500773.6163179325)</f>
        <v>500773.6163</v>
      </c>
      <c r="I650" s="24">
        <f>IFERROR(__xludf.DUMMYFUNCTION("""COMPUTED_VALUE"""),0.0015472326358649813)</f>
        <v>0.001547232636</v>
      </c>
    </row>
    <row r="651">
      <c r="A651" s="5" t="str">
        <f>IFERROR(__xludf.DUMMYFUNCTION("""COMPUTED_VALUE"""),"35577")</f>
        <v>35577</v>
      </c>
      <c r="B651" s="64">
        <f>IFERROR(__xludf.DUMMYFUNCTION("""COMPUTED_VALUE"""),44640.0)</f>
        <v>44640</v>
      </c>
      <c r="C651" s="5"/>
      <c r="D651" s="5"/>
      <c r="E651" s="5"/>
      <c r="F651" s="22">
        <f>IFERROR(__xludf.DUMMYFUNCTION("""COMPUTED_VALUE"""),368886.84126345004)</f>
        <v>368886.8413</v>
      </c>
      <c r="G651" s="22">
        <f>IFERROR(__xludf.DUMMYFUNCTION("""COMPUTED_VALUE"""),0.0)</f>
        <v>0</v>
      </c>
      <c r="H651" s="22">
        <f>IFERROR(__xludf.DUMMYFUNCTION("""COMPUTED_VALUE"""),500773.6163179325)</f>
        <v>500773.6163</v>
      </c>
      <c r="I651" s="24">
        <f>IFERROR(__xludf.DUMMYFUNCTION("""COMPUTED_VALUE"""),0.0015472326358649813)</f>
        <v>0.001547232636</v>
      </c>
    </row>
    <row r="652">
      <c r="A652" s="5" t="str">
        <f>IFERROR(__xludf.DUMMYFUNCTION("""COMPUTED_VALUE"""),"35577")</f>
        <v>35577</v>
      </c>
      <c r="B652" s="64">
        <f>IFERROR(__xludf.DUMMYFUNCTION("""COMPUTED_VALUE"""),44641.0)</f>
        <v>44641</v>
      </c>
      <c r="C652" s="5"/>
      <c r="D652" s="5"/>
      <c r="E652" s="5"/>
      <c r="F652" s="22">
        <f>IFERROR(__xludf.DUMMYFUNCTION("""COMPUTED_VALUE"""),368886.84126345004)</f>
        <v>368886.8413</v>
      </c>
      <c r="G652" s="22">
        <f>IFERROR(__xludf.DUMMYFUNCTION("""COMPUTED_VALUE"""),0.0)</f>
        <v>0</v>
      </c>
      <c r="H652" s="22">
        <f>IFERROR(__xludf.DUMMYFUNCTION("""COMPUTED_VALUE"""),500585.9120051625)</f>
        <v>500585.912</v>
      </c>
      <c r="I652" s="24">
        <f>IFERROR(__xludf.DUMMYFUNCTION("""COMPUTED_VALUE"""),0.0011718240103251176)</f>
        <v>0.00117182401</v>
      </c>
    </row>
    <row r="653">
      <c r="A653" s="5" t="str">
        <f>IFERROR(__xludf.DUMMYFUNCTION("""COMPUTED_VALUE"""),"35577")</f>
        <v>35577</v>
      </c>
      <c r="B653" s="64">
        <f>IFERROR(__xludf.DUMMYFUNCTION("""COMPUTED_VALUE"""),44642.0)</f>
        <v>44642</v>
      </c>
      <c r="C653" s="5"/>
      <c r="D653" s="5"/>
      <c r="E653" s="5"/>
      <c r="F653" s="22">
        <f>IFERROR(__xludf.DUMMYFUNCTION("""COMPUTED_VALUE"""),368886.84126345004)</f>
        <v>368886.8413</v>
      </c>
      <c r="G653" s="22">
        <f>IFERROR(__xludf.DUMMYFUNCTION("""COMPUTED_VALUE"""),0.0)</f>
        <v>0</v>
      </c>
      <c r="H653" s="22">
        <f>IFERROR(__xludf.DUMMYFUNCTION("""COMPUTED_VALUE"""),501072.14621691254)</f>
        <v>501072.1462</v>
      </c>
      <c r="I653" s="24">
        <f>IFERROR(__xludf.DUMMYFUNCTION("""COMPUTED_VALUE"""),0.002144292433825079)</f>
        <v>0.002144292434</v>
      </c>
    </row>
    <row r="654">
      <c r="A654" s="5" t="str">
        <f>IFERROR(__xludf.DUMMYFUNCTION("""COMPUTED_VALUE"""),"35577")</f>
        <v>35577</v>
      </c>
      <c r="B654" s="64">
        <f>IFERROR(__xludf.DUMMYFUNCTION("""COMPUTED_VALUE"""),44643.0)</f>
        <v>44643</v>
      </c>
      <c r="C654" s="5"/>
      <c r="D654" s="5"/>
      <c r="E654" s="5"/>
      <c r="F654" s="22">
        <f>IFERROR(__xludf.DUMMYFUNCTION("""COMPUTED_VALUE"""),368886.84126345004)</f>
        <v>368886.8413</v>
      </c>
      <c r="G654" s="22">
        <f>IFERROR(__xludf.DUMMYFUNCTION("""COMPUTED_VALUE"""),0.0)</f>
        <v>0</v>
      </c>
      <c r="H654" s="22">
        <f>IFERROR(__xludf.DUMMYFUNCTION("""COMPUTED_VALUE"""),500784.6107314575)</f>
        <v>500784.6107</v>
      </c>
      <c r="I654" s="24">
        <f>IFERROR(__xludf.DUMMYFUNCTION("""COMPUTED_VALUE"""),0.0015692214629150492)</f>
        <v>0.001569221463</v>
      </c>
    </row>
    <row r="655">
      <c r="A655" s="5" t="str">
        <f>IFERROR(__xludf.DUMMYFUNCTION("""COMPUTED_VALUE"""),"35577")</f>
        <v>35577</v>
      </c>
      <c r="B655" s="64">
        <f>IFERROR(__xludf.DUMMYFUNCTION("""COMPUTED_VALUE"""),44644.0)</f>
        <v>44644</v>
      </c>
      <c r="C655" s="5"/>
      <c r="D655" s="5"/>
      <c r="E655" s="5"/>
      <c r="F655" s="22">
        <f>IFERROR(__xludf.DUMMYFUNCTION("""COMPUTED_VALUE"""),368886.84126345004)</f>
        <v>368886.8413</v>
      </c>
      <c r="G655" s="22">
        <f>IFERROR(__xludf.DUMMYFUNCTION("""COMPUTED_VALUE"""),0.0)</f>
        <v>0</v>
      </c>
      <c r="H655" s="22">
        <f>IFERROR(__xludf.DUMMYFUNCTION("""COMPUTED_VALUE"""),501206.01203439245)</f>
        <v>501206.012</v>
      </c>
      <c r="I655" s="24">
        <f>IFERROR(__xludf.DUMMYFUNCTION("""COMPUTED_VALUE"""),0.0024120240687848238)</f>
        <v>0.002412024069</v>
      </c>
    </row>
    <row r="656">
      <c r="A656" s="5" t="str">
        <f>IFERROR(__xludf.DUMMYFUNCTION("""COMPUTED_VALUE"""),"35577")</f>
        <v>35577</v>
      </c>
      <c r="B656" s="64">
        <f>IFERROR(__xludf.DUMMYFUNCTION("""COMPUTED_VALUE"""),44645.0)</f>
        <v>44645</v>
      </c>
      <c r="C656" s="5"/>
      <c r="D656" s="5"/>
      <c r="E656" s="5"/>
      <c r="F656" s="22">
        <f>IFERROR(__xludf.DUMMYFUNCTION("""COMPUTED_VALUE"""),368886.84126345004)</f>
        <v>368886.8413</v>
      </c>
      <c r="G656" s="22">
        <f>IFERROR(__xludf.DUMMYFUNCTION("""COMPUTED_VALUE"""),0.0)</f>
        <v>0</v>
      </c>
      <c r="H656" s="22">
        <f>IFERROR(__xludf.DUMMYFUNCTION("""COMPUTED_VALUE"""),501480.670695655)</f>
        <v>501480.6707</v>
      </c>
      <c r="I656" s="24">
        <f>IFERROR(__xludf.DUMMYFUNCTION("""COMPUTED_VALUE"""),0.0029613413913098796)</f>
        <v>0.002961341391</v>
      </c>
    </row>
    <row r="657">
      <c r="A657" s="5" t="str">
        <f>IFERROR(__xludf.DUMMYFUNCTION("""COMPUTED_VALUE"""),"35577")</f>
        <v>35577</v>
      </c>
      <c r="B657" s="64">
        <f>IFERROR(__xludf.DUMMYFUNCTION("""COMPUTED_VALUE"""),44646.0)</f>
        <v>44646</v>
      </c>
      <c r="C657" s="5"/>
      <c r="D657" s="5"/>
      <c r="E657" s="5"/>
      <c r="F657" s="22">
        <f>IFERROR(__xludf.DUMMYFUNCTION("""COMPUTED_VALUE"""),368886.84126345004)</f>
        <v>368886.8413</v>
      </c>
      <c r="G657" s="22">
        <f>IFERROR(__xludf.DUMMYFUNCTION("""COMPUTED_VALUE"""),0.0)</f>
        <v>0</v>
      </c>
      <c r="H657" s="22">
        <f>IFERROR(__xludf.DUMMYFUNCTION("""COMPUTED_VALUE"""),501480.670695655)</f>
        <v>501480.6707</v>
      </c>
      <c r="I657" s="24">
        <f>IFERROR(__xludf.DUMMYFUNCTION("""COMPUTED_VALUE"""),0.0029613413913098796)</f>
        <v>0.002961341391</v>
      </c>
    </row>
    <row r="658">
      <c r="A658" s="5" t="str">
        <f>IFERROR(__xludf.DUMMYFUNCTION("""COMPUTED_VALUE"""),"35577")</f>
        <v>35577</v>
      </c>
      <c r="B658" s="64">
        <f>IFERROR(__xludf.DUMMYFUNCTION("""COMPUTED_VALUE"""),44647.0)</f>
        <v>44647</v>
      </c>
      <c r="C658" s="5"/>
      <c r="D658" s="5"/>
      <c r="E658" s="5"/>
      <c r="F658" s="22">
        <f>IFERROR(__xludf.DUMMYFUNCTION("""COMPUTED_VALUE"""),368886.84126345004)</f>
        <v>368886.8413</v>
      </c>
      <c r="G658" s="22">
        <f>IFERROR(__xludf.DUMMYFUNCTION("""COMPUTED_VALUE"""),0.0)</f>
        <v>0</v>
      </c>
      <c r="H658" s="22">
        <f>IFERROR(__xludf.DUMMYFUNCTION("""COMPUTED_VALUE"""),501480.670695655)</f>
        <v>501480.6707</v>
      </c>
      <c r="I658" s="24">
        <f>IFERROR(__xludf.DUMMYFUNCTION("""COMPUTED_VALUE"""),0.0029613413913098796)</f>
        <v>0.002961341391</v>
      </c>
    </row>
    <row r="659">
      <c r="A659" s="5" t="str">
        <f>IFERROR(__xludf.DUMMYFUNCTION("""COMPUTED_VALUE"""),"35577")</f>
        <v>35577</v>
      </c>
      <c r="B659" s="64">
        <f>IFERROR(__xludf.DUMMYFUNCTION("""COMPUTED_VALUE"""),44648.0)</f>
        <v>44648</v>
      </c>
      <c r="C659" s="5"/>
      <c r="D659" s="5"/>
      <c r="E659" s="5"/>
      <c r="F659" s="22">
        <f>IFERROR(__xludf.DUMMYFUNCTION("""COMPUTED_VALUE"""),368886.84126345004)</f>
        <v>368886.8413</v>
      </c>
      <c r="G659" s="22">
        <f>IFERROR(__xludf.DUMMYFUNCTION("""COMPUTED_VALUE"""),0.0)</f>
        <v>0</v>
      </c>
      <c r="H659" s="22">
        <f>IFERROR(__xludf.DUMMYFUNCTION("""COMPUTED_VALUE"""),501727.58002291)</f>
        <v>501727.58</v>
      </c>
      <c r="I659" s="24">
        <f>IFERROR(__xludf.DUMMYFUNCTION("""COMPUTED_VALUE"""),0.003455160045820138)</f>
        <v>0.003455160046</v>
      </c>
    </row>
    <row r="660">
      <c r="A660" s="5" t="str">
        <f>IFERROR(__xludf.DUMMYFUNCTION("""COMPUTED_VALUE"""),"35577")</f>
        <v>35577</v>
      </c>
      <c r="B660" s="64">
        <f>IFERROR(__xludf.DUMMYFUNCTION("""COMPUTED_VALUE"""),44649.0)</f>
        <v>44649</v>
      </c>
      <c r="C660" s="5"/>
      <c r="D660" s="5"/>
      <c r="E660" s="5"/>
      <c r="F660" s="22">
        <f>IFERROR(__xludf.DUMMYFUNCTION("""COMPUTED_VALUE"""),368886.84126345004)</f>
        <v>368886.8413</v>
      </c>
      <c r="G660" s="22">
        <f>IFERROR(__xludf.DUMMYFUNCTION("""COMPUTED_VALUE"""),0.0)</f>
        <v>0</v>
      </c>
      <c r="H660" s="22">
        <f>IFERROR(__xludf.DUMMYFUNCTION("""COMPUTED_VALUE"""),501945.7831304125)</f>
        <v>501945.7831</v>
      </c>
      <c r="I660" s="24">
        <f>IFERROR(__xludf.DUMMYFUNCTION("""COMPUTED_VALUE"""),0.0038915662608249857)</f>
        <v>0.003891566261</v>
      </c>
    </row>
    <row r="661">
      <c r="A661" s="5" t="str">
        <f>IFERROR(__xludf.DUMMYFUNCTION("""COMPUTED_VALUE"""),"35577")</f>
        <v>35577</v>
      </c>
      <c r="B661" s="64">
        <f>IFERROR(__xludf.DUMMYFUNCTION("""COMPUTED_VALUE"""),44650.0)</f>
        <v>44650</v>
      </c>
      <c r="C661" s="5"/>
      <c r="D661" s="5"/>
      <c r="E661" s="5"/>
      <c r="F661" s="22">
        <f>IFERROR(__xludf.DUMMYFUNCTION("""COMPUTED_VALUE"""),368886.84126345004)</f>
        <v>368886.8413</v>
      </c>
      <c r="G661" s="22">
        <f>IFERROR(__xludf.DUMMYFUNCTION("""COMPUTED_VALUE"""),0.0)</f>
        <v>0</v>
      </c>
      <c r="H661" s="22">
        <f>IFERROR(__xludf.DUMMYFUNCTION("""COMPUTED_VALUE"""),500560.4081542301)</f>
        <v>500560.4082</v>
      </c>
      <c r="I661" s="24">
        <f>IFERROR(__xludf.DUMMYFUNCTION("""COMPUTED_VALUE"""),0.0011208163084601708)</f>
        <v>0.001120816308</v>
      </c>
    </row>
    <row r="662">
      <c r="A662" s="5" t="str">
        <f>IFERROR(__xludf.DUMMYFUNCTION("""COMPUTED_VALUE"""),"35577")</f>
        <v>35577</v>
      </c>
      <c r="B662" s="64">
        <f>IFERROR(__xludf.DUMMYFUNCTION("""COMPUTED_VALUE"""),44651.0)</f>
        <v>44651</v>
      </c>
      <c r="C662" s="5"/>
      <c r="D662" s="5"/>
      <c r="E662" s="5"/>
      <c r="F662" s="22">
        <f>IFERROR(__xludf.DUMMYFUNCTION("""COMPUTED_VALUE"""),368886.84126345004)</f>
        <v>368886.8413</v>
      </c>
      <c r="G662" s="22">
        <f>IFERROR(__xludf.DUMMYFUNCTION("""COMPUTED_VALUE"""),0.0)</f>
        <v>0</v>
      </c>
      <c r="H662" s="22">
        <f>IFERROR(__xludf.DUMMYFUNCTION("""COMPUTED_VALUE"""),496252.10738212004)</f>
        <v>496252.1074</v>
      </c>
      <c r="I662" s="24">
        <f>IFERROR(__xludf.DUMMYFUNCTION("""COMPUTED_VALUE"""),-0.007495785235759889)</f>
        <v>-0.007495785236</v>
      </c>
    </row>
    <row r="663">
      <c r="A663" s="5" t="str">
        <f>IFERROR(__xludf.DUMMYFUNCTION("""COMPUTED_VALUE"""),"35577")</f>
        <v>35577</v>
      </c>
      <c r="B663" s="64">
        <f>IFERROR(__xludf.DUMMYFUNCTION("""COMPUTED_VALUE"""),44652.0)</f>
        <v>44652</v>
      </c>
      <c r="C663" s="5"/>
      <c r="D663" s="5"/>
      <c r="E663" s="5"/>
      <c r="F663" s="22">
        <f>IFERROR(__xludf.DUMMYFUNCTION("""COMPUTED_VALUE"""),368886.84126345004)</f>
        <v>368886.8413</v>
      </c>
      <c r="G663" s="22">
        <f>IFERROR(__xludf.DUMMYFUNCTION("""COMPUTED_VALUE"""),0.0)</f>
        <v>0</v>
      </c>
      <c r="H663" s="22">
        <f>IFERROR(__xludf.DUMMYFUNCTION("""COMPUTED_VALUE"""),495974.34240767505)</f>
        <v>495974.3424</v>
      </c>
      <c r="I663" s="24">
        <f>IFERROR(__xludf.DUMMYFUNCTION("""COMPUTED_VALUE"""),-0.008051315184649854)</f>
        <v>-0.008051315185</v>
      </c>
    </row>
    <row r="664">
      <c r="A664" s="5" t="str">
        <f>IFERROR(__xludf.DUMMYFUNCTION("""COMPUTED_VALUE"""),"35577")</f>
        <v>35577</v>
      </c>
      <c r="B664" s="64">
        <f>IFERROR(__xludf.DUMMYFUNCTION("""COMPUTED_VALUE"""),44653.0)</f>
        <v>44653</v>
      </c>
      <c r="C664" s="5"/>
      <c r="D664" s="5"/>
      <c r="E664" s="5"/>
      <c r="F664" s="22">
        <f>IFERROR(__xludf.DUMMYFUNCTION("""COMPUTED_VALUE"""),368886.84126345004)</f>
        <v>368886.8413</v>
      </c>
      <c r="G664" s="22">
        <f>IFERROR(__xludf.DUMMYFUNCTION("""COMPUTED_VALUE"""),0.0)</f>
        <v>0</v>
      </c>
      <c r="H664" s="22">
        <f>IFERROR(__xludf.DUMMYFUNCTION("""COMPUTED_VALUE"""),495974.34240767505)</f>
        <v>495974.3424</v>
      </c>
      <c r="I664" s="24">
        <f>IFERROR(__xludf.DUMMYFUNCTION("""COMPUTED_VALUE"""),-0.008051315184649854)</f>
        <v>-0.008051315185</v>
      </c>
    </row>
    <row r="665">
      <c r="A665" s="5" t="str">
        <f>IFERROR(__xludf.DUMMYFUNCTION("""COMPUTED_VALUE"""),"35577")</f>
        <v>35577</v>
      </c>
      <c r="B665" s="64">
        <f>IFERROR(__xludf.DUMMYFUNCTION("""COMPUTED_VALUE"""),44654.0)</f>
        <v>44654</v>
      </c>
      <c r="C665" s="5"/>
      <c r="D665" s="5"/>
      <c r="E665" s="5"/>
      <c r="F665" s="22">
        <f>IFERROR(__xludf.DUMMYFUNCTION("""COMPUTED_VALUE"""),368886.84126345004)</f>
        <v>368886.8413</v>
      </c>
      <c r="G665" s="22">
        <f>IFERROR(__xludf.DUMMYFUNCTION("""COMPUTED_VALUE"""),0.0)</f>
        <v>0</v>
      </c>
      <c r="H665" s="22">
        <f>IFERROR(__xludf.DUMMYFUNCTION("""COMPUTED_VALUE"""),495974.34240767505)</f>
        <v>495974.3424</v>
      </c>
      <c r="I665" s="24">
        <f>IFERROR(__xludf.DUMMYFUNCTION("""COMPUTED_VALUE"""),-0.008051315184649854)</f>
        <v>-0.008051315185</v>
      </c>
    </row>
    <row r="666">
      <c r="A666" s="5" t="str">
        <f>IFERROR(__xludf.DUMMYFUNCTION("""COMPUTED_VALUE"""),"35577")</f>
        <v>35577</v>
      </c>
      <c r="B666" s="64">
        <f>IFERROR(__xludf.DUMMYFUNCTION("""COMPUTED_VALUE"""),44655.0)</f>
        <v>44655</v>
      </c>
      <c r="C666" s="5"/>
      <c r="D666" s="5"/>
      <c r="E666" s="5"/>
      <c r="F666" s="22">
        <f>IFERROR(__xludf.DUMMYFUNCTION("""COMPUTED_VALUE"""),368886.84126345004)</f>
        <v>368886.8413</v>
      </c>
      <c r="G666" s="22">
        <f>IFERROR(__xludf.DUMMYFUNCTION("""COMPUTED_VALUE"""),0.0)</f>
        <v>0</v>
      </c>
      <c r="H666" s="22">
        <f>IFERROR(__xludf.DUMMYFUNCTION("""COMPUTED_VALUE"""),498650.41033042746)</f>
        <v>498650.4103</v>
      </c>
      <c r="I666" s="24">
        <f>IFERROR(__xludf.DUMMYFUNCTION("""COMPUTED_VALUE"""),-0.002699179339145097)</f>
        <v>-0.002699179339</v>
      </c>
    </row>
    <row r="667">
      <c r="A667" s="5" t="str">
        <f>IFERROR(__xludf.DUMMYFUNCTION("""COMPUTED_VALUE"""),"35577")</f>
        <v>35577</v>
      </c>
      <c r="B667" s="64">
        <f>IFERROR(__xludf.DUMMYFUNCTION("""COMPUTED_VALUE"""),44656.0)</f>
        <v>44656</v>
      </c>
      <c r="C667" s="5"/>
      <c r="D667" s="5"/>
      <c r="E667" s="5"/>
      <c r="F667" s="22">
        <f>IFERROR(__xludf.DUMMYFUNCTION("""COMPUTED_VALUE"""),368886.84126345004)</f>
        <v>368886.8413</v>
      </c>
      <c r="G667" s="22">
        <f>IFERROR(__xludf.DUMMYFUNCTION("""COMPUTED_VALUE"""),0.0)</f>
        <v>0</v>
      </c>
      <c r="H667" s="22">
        <f>IFERROR(__xludf.DUMMYFUNCTION("""COMPUTED_VALUE"""),494260.16059832496)</f>
        <v>494260.1606</v>
      </c>
      <c r="I667" s="24">
        <f>IFERROR(__xludf.DUMMYFUNCTION("""COMPUTED_VALUE"""),-0.011479678803350102)</f>
        <v>-0.0114796788</v>
      </c>
    </row>
    <row r="668">
      <c r="A668" s="5" t="str">
        <f>IFERROR(__xludf.DUMMYFUNCTION("""COMPUTED_VALUE"""),"35577")</f>
        <v>35577</v>
      </c>
      <c r="B668" s="64">
        <f>IFERROR(__xludf.DUMMYFUNCTION("""COMPUTED_VALUE"""),44657.0)</f>
        <v>44657</v>
      </c>
      <c r="C668" s="5"/>
      <c r="D668" s="5"/>
      <c r="E668" s="5"/>
      <c r="F668" s="22">
        <f>IFERROR(__xludf.DUMMYFUNCTION("""COMPUTED_VALUE"""),368886.84126345004)</f>
        <v>368886.8413</v>
      </c>
      <c r="G668" s="22">
        <f>IFERROR(__xludf.DUMMYFUNCTION("""COMPUTED_VALUE"""),0.0)</f>
        <v>0</v>
      </c>
      <c r="H668" s="22">
        <f>IFERROR(__xludf.DUMMYFUNCTION("""COMPUTED_VALUE"""),489879.02931249497)</f>
        <v>489879.0293</v>
      </c>
      <c r="I668" s="24">
        <f>IFERROR(__xludf.DUMMYFUNCTION("""COMPUTED_VALUE"""),-0.02024194137501012)</f>
        <v>-0.02024194138</v>
      </c>
    </row>
    <row r="669">
      <c r="A669" s="5" t="str">
        <f>IFERROR(__xludf.DUMMYFUNCTION("""COMPUTED_VALUE"""),"35577")</f>
        <v>35577</v>
      </c>
      <c r="B669" s="64">
        <f>IFERROR(__xludf.DUMMYFUNCTION("""COMPUTED_VALUE"""),44658.0)</f>
        <v>44658</v>
      </c>
      <c r="C669" s="5"/>
      <c r="D669" s="5"/>
      <c r="E669" s="5"/>
      <c r="F669" s="22">
        <f>IFERROR(__xludf.DUMMYFUNCTION("""COMPUTED_VALUE"""),368886.84126345004)</f>
        <v>368886.8413</v>
      </c>
      <c r="G669" s="22">
        <f>IFERROR(__xludf.DUMMYFUNCTION("""COMPUTED_VALUE"""),0.0)</f>
        <v>0</v>
      </c>
      <c r="H669" s="22">
        <f>IFERROR(__xludf.DUMMYFUNCTION("""COMPUTED_VALUE"""),490508.33145749)</f>
        <v>490508.3315</v>
      </c>
      <c r="I669" s="24">
        <f>IFERROR(__xludf.DUMMYFUNCTION("""COMPUTED_VALUE"""),-0.01898333708501998)</f>
        <v>-0.01898333709</v>
      </c>
    </row>
    <row r="670">
      <c r="A670" s="5" t="str">
        <f>IFERROR(__xludf.DUMMYFUNCTION("""COMPUTED_VALUE"""),"35577")</f>
        <v>35577</v>
      </c>
      <c r="B670" s="64">
        <f>IFERROR(__xludf.DUMMYFUNCTION("""COMPUTED_VALUE"""),44659.0)</f>
        <v>44659</v>
      </c>
      <c r="C670" s="5"/>
      <c r="D670" s="5"/>
      <c r="E670" s="5"/>
      <c r="F670" s="22">
        <f>IFERROR(__xludf.DUMMYFUNCTION("""COMPUTED_VALUE"""),368886.84126345004)</f>
        <v>368886.8413</v>
      </c>
      <c r="G670" s="22">
        <f>IFERROR(__xludf.DUMMYFUNCTION("""COMPUTED_VALUE"""),0.0)</f>
        <v>0</v>
      </c>
      <c r="H670" s="22">
        <f>IFERROR(__xludf.DUMMYFUNCTION("""COMPUTED_VALUE"""),489865.66472135)</f>
        <v>489865.6647</v>
      </c>
      <c r="I670" s="24">
        <f>IFERROR(__xludf.DUMMYFUNCTION("""COMPUTED_VALUE"""),-0.020268670557299973)</f>
        <v>-0.02026867056</v>
      </c>
    </row>
    <row r="671">
      <c r="A671" s="5" t="str">
        <f>IFERROR(__xludf.DUMMYFUNCTION("""COMPUTED_VALUE"""),"35577")</f>
        <v>35577</v>
      </c>
      <c r="B671" s="64">
        <f>IFERROR(__xludf.DUMMYFUNCTION("""COMPUTED_VALUE"""),44660.0)</f>
        <v>44660</v>
      </c>
      <c r="C671" s="5"/>
      <c r="D671" s="5"/>
      <c r="E671" s="5"/>
      <c r="F671" s="22">
        <f>IFERROR(__xludf.DUMMYFUNCTION("""COMPUTED_VALUE"""),368886.84126345004)</f>
        <v>368886.8413</v>
      </c>
      <c r="G671" s="22">
        <f>IFERROR(__xludf.DUMMYFUNCTION("""COMPUTED_VALUE"""),0.0)</f>
        <v>0</v>
      </c>
      <c r="H671" s="22">
        <f>IFERROR(__xludf.DUMMYFUNCTION("""COMPUTED_VALUE"""),489865.66472135)</f>
        <v>489865.6647</v>
      </c>
      <c r="I671" s="24">
        <f>IFERROR(__xludf.DUMMYFUNCTION("""COMPUTED_VALUE"""),-0.020268670557299973)</f>
        <v>-0.02026867056</v>
      </c>
    </row>
    <row r="672">
      <c r="A672" s="5" t="str">
        <f>IFERROR(__xludf.DUMMYFUNCTION("""COMPUTED_VALUE"""),"35577")</f>
        <v>35577</v>
      </c>
      <c r="B672" s="64">
        <f>IFERROR(__xludf.DUMMYFUNCTION("""COMPUTED_VALUE"""),44661.0)</f>
        <v>44661</v>
      </c>
      <c r="C672" s="5"/>
      <c r="D672" s="5"/>
      <c r="E672" s="5"/>
      <c r="F672" s="22">
        <f>IFERROR(__xludf.DUMMYFUNCTION("""COMPUTED_VALUE"""),368886.84126345004)</f>
        <v>368886.8413</v>
      </c>
      <c r="G672" s="22">
        <f>IFERROR(__xludf.DUMMYFUNCTION("""COMPUTED_VALUE"""),0.0)</f>
        <v>0</v>
      </c>
      <c r="H672" s="22">
        <f>IFERROR(__xludf.DUMMYFUNCTION("""COMPUTED_VALUE"""),489865.66472135)</f>
        <v>489865.6647</v>
      </c>
      <c r="I672" s="24">
        <f>IFERROR(__xludf.DUMMYFUNCTION("""COMPUTED_VALUE"""),-0.020268670557299973)</f>
        <v>-0.02026867056</v>
      </c>
    </row>
    <row r="673">
      <c r="A673" s="5" t="str">
        <f>IFERROR(__xludf.DUMMYFUNCTION("""COMPUTED_VALUE"""),"35577")</f>
        <v>35577</v>
      </c>
      <c r="B673" s="64">
        <f>IFERROR(__xludf.DUMMYFUNCTION("""COMPUTED_VALUE"""),44662.0)</f>
        <v>44662</v>
      </c>
      <c r="C673" s="5"/>
      <c r="D673" s="5"/>
      <c r="E673" s="5"/>
      <c r="F673" s="22">
        <f>IFERROR(__xludf.DUMMYFUNCTION("""COMPUTED_VALUE"""),368886.84126345004)</f>
        <v>368886.8413</v>
      </c>
      <c r="G673" s="22">
        <f>IFERROR(__xludf.DUMMYFUNCTION("""COMPUTED_VALUE"""),0.0)</f>
        <v>0</v>
      </c>
      <c r="H673" s="22">
        <f>IFERROR(__xludf.DUMMYFUNCTION("""COMPUTED_VALUE"""),486753.8010647101)</f>
        <v>486753.8011</v>
      </c>
      <c r="I673" s="24">
        <f>IFERROR(__xludf.DUMMYFUNCTION("""COMPUTED_VALUE"""),-0.026492397870579887)</f>
        <v>-0.02649239787</v>
      </c>
    </row>
    <row r="674">
      <c r="A674" s="5" t="str">
        <f>IFERROR(__xludf.DUMMYFUNCTION("""COMPUTED_VALUE"""),"35577")</f>
        <v>35577</v>
      </c>
      <c r="B674" s="64">
        <f>IFERROR(__xludf.DUMMYFUNCTION("""COMPUTED_VALUE"""),44663.0)</f>
        <v>44663</v>
      </c>
      <c r="C674" s="5"/>
      <c r="D674" s="5"/>
      <c r="E674" s="5"/>
      <c r="F674" s="22">
        <f>IFERROR(__xludf.DUMMYFUNCTION("""COMPUTED_VALUE"""),368886.84126345004)</f>
        <v>368886.8413</v>
      </c>
      <c r="G674" s="22">
        <f>IFERROR(__xludf.DUMMYFUNCTION("""COMPUTED_VALUE"""),0.0)</f>
        <v>0</v>
      </c>
      <c r="H674" s="22">
        <f>IFERROR(__xludf.DUMMYFUNCTION("""COMPUTED_VALUE"""),483808.4230142625)</f>
        <v>483808.423</v>
      </c>
      <c r="I674" s="24">
        <f>IFERROR(__xludf.DUMMYFUNCTION("""COMPUTED_VALUE"""),-0.032383153971474954)</f>
        <v>-0.03238315397</v>
      </c>
    </row>
    <row r="675">
      <c r="A675" s="5" t="str">
        <f>IFERROR(__xludf.DUMMYFUNCTION("""COMPUTED_VALUE"""),"35702")</f>
        <v>35702</v>
      </c>
      <c r="B675" s="64">
        <f>IFERROR(__xludf.DUMMYFUNCTION("""COMPUTED_VALUE"""),44597.0)</f>
        <v>44597</v>
      </c>
      <c r="C675" s="5"/>
      <c r="D675" s="5"/>
      <c r="E675" s="5"/>
      <c r="F675" s="22">
        <f>IFERROR(__xludf.DUMMYFUNCTION("""COMPUTED_VALUE"""),500000.0)</f>
        <v>500000</v>
      </c>
      <c r="G675" s="22">
        <f>IFERROR(__xludf.DUMMYFUNCTION("""COMPUTED_VALUE"""),0.0)</f>
        <v>0</v>
      </c>
      <c r="H675" s="22">
        <f>IFERROR(__xludf.DUMMYFUNCTION("""COMPUTED_VALUE"""),500000.0)</f>
        <v>500000</v>
      </c>
      <c r="I675" s="24">
        <f>IFERROR(__xludf.DUMMYFUNCTION("""COMPUTED_VALUE"""),0.0)</f>
        <v>0</v>
      </c>
    </row>
    <row r="676">
      <c r="A676" s="5" t="str">
        <f>IFERROR(__xludf.DUMMYFUNCTION("""COMPUTED_VALUE"""),"35702")</f>
        <v>35702</v>
      </c>
      <c r="B676" s="64">
        <f>IFERROR(__xludf.DUMMYFUNCTION("""COMPUTED_VALUE"""),44598.0)</f>
        <v>44598</v>
      </c>
      <c r="C676" s="5"/>
      <c r="D676" s="5"/>
      <c r="E676" s="5"/>
      <c r="F676" s="22">
        <f>IFERROR(__xludf.DUMMYFUNCTION("""COMPUTED_VALUE"""),500000.0)</f>
        <v>500000</v>
      </c>
      <c r="G676" s="22">
        <f>IFERROR(__xludf.DUMMYFUNCTION("""COMPUTED_VALUE"""),0.0)</f>
        <v>0</v>
      </c>
      <c r="H676" s="22">
        <f>IFERROR(__xludf.DUMMYFUNCTION("""COMPUTED_VALUE"""),500000.0)</f>
        <v>500000</v>
      </c>
      <c r="I676" s="24">
        <f>IFERROR(__xludf.DUMMYFUNCTION("""COMPUTED_VALUE"""),0.0)</f>
        <v>0</v>
      </c>
    </row>
    <row r="677">
      <c r="A677" s="5" t="str">
        <f>IFERROR(__xludf.DUMMYFUNCTION("""COMPUTED_VALUE"""),"35702")</f>
        <v>35702</v>
      </c>
      <c r="B677" s="64">
        <f>IFERROR(__xludf.DUMMYFUNCTION("""COMPUTED_VALUE"""),44599.0)</f>
        <v>44599</v>
      </c>
      <c r="C677" s="5"/>
      <c r="D677" s="5"/>
      <c r="E677" s="5"/>
      <c r="F677" s="22">
        <f>IFERROR(__xludf.DUMMYFUNCTION("""COMPUTED_VALUE"""),500000.0)</f>
        <v>500000</v>
      </c>
      <c r="G677" s="22">
        <f>IFERROR(__xludf.DUMMYFUNCTION("""COMPUTED_VALUE"""),0.0)</f>
        <v>0</v>
      </c>
      <c r="H677" s="22">
        <f>IFERROR(__xludf.DUMMYFUNCTION("""COMPUTED_VALUE"""),500000.0)</f>
        <v>500000</v>
      </c>
      <c r="I677" s="24">
        <f>IFERROR(__xludf.DUMMYFUNCTION("""COMPUTED_VALUE"""),0.0)</f>
        <v>0</v>
      </c>
    </row>
    <row r="678">
      <c r="A678" s="5" t="str">
        <f>IFERROR(__xludf.DUMMYFUNCTION("""COMPUTED_VALUE"""),"35702")</f>
        <v>35702</v>
      </c>
      <c r="B678" s="64">
        <f>IFERROR(__xludf.DUMMYFUNCTION("""COMPUTED_VALUE"""),44600.0)</f>
        <v>44600</v>
      </c>
      <c r="C678" s="5"/>
      <c r="D678" s="5"/>
      <c r="E678" s="5"/>
      <c r="F678" s="22">
        <f>IFERROR(__xludf.DUMMYFUNCTION("""COMPUTED_VALUE"""),500000.0)</f>
        <v>500000</v>
      </c>
      <c r="G678" s="22">
        <f>IFERROR(__xludf.DUMMYFUNCTION("""COMPUTED_VALUE"""),0.0)</f>
        <v>0</v>
      </c>
      <c r="H678" s="22">
        <f>IFERROR(__xludf.DUMMYFUNCTION("""COMPUTED_VALUE"""),500000.0)</f>
        <v>500000</v>
      </c>
      <c r="I678" s="24">
        <f>IFERROR(__xludf.DUMMYFUNCTION("""COMPUTED_VALUE"""),0.0)</f>
        <v>0</v>
      </c>
    </row>
    <row r="679">
      <c r="A679" s="5" t="str">
        <f>IFERROR(__xludf.DUMMYFUNCTION("""COMPUTED_VALUE"""),"35702")</f>
        <v>35702</v>
      </c>
      <c r="B679" s="64">
        <f>IFERROR(__xludf.DUMMYFUNCTION("""COMPUTED_VALUE"""),44601.0)</f>
        <v>44601</v>
      </c>
      <c r="C679" s="5"/>
      <c r="D679" s="5"/>
      <c r="E679" s="5"/>
      <c r="F679" s="22">
        <f>IFERROR(__xludf.DUMMYFUNCTION("""COMPUTED_VALUE"""),500000.0)</f>
        <v>500000</v>
      </c>
      <c r="G679" s="22">
        <f>IFERROR(__xludf.DUMMYFUNCTION("""COMPUTED_VALUE"""),0.0)</f>
        <v>0</v>
      </c>
      <c r="H679" s="22">
        <f>IFERROR(__xludf.DUMMYFUNCTION("""COMPUTED_VALUE"""),500000.0)</f>
        <v>500000</v>
      </c>
      <c r="I679" s="24">
        <f>IFERROR(__xludf.DUMMYFUNCTION("""COMPUTED_VALUE"""),0.0)</f>
        <v>0</v>
      </c>
    </row>
    <row r="680">
      <c r="A680" s="5" t="str">
        <f>IFERROR(__xludf.DUMMYFUNCTION("""COMPUTED_VALUE"""),"35702")</f>
        <v>35702</v>
      </c>
      <c r="B680" s="64">
        <f>IFERROR(__xludf.DUMMYFUNCTION("""COMPUTED_VALUE"""),44602.0)</f>
        <v>44602</v>
      </c>
      <c r="C680" s="5"/>
      <c r="D680" s="5"/>
      <c r="E680" s="5"/>
      <c r="F680" s="22">
        <f>IFERROR(__xludf.DUMMYFUNCTION("""COMPUTED_VALUE"""),500000.0)</f>
        <v>500000</v>
      </c>
      <c r="G680" s="22">
        <f>IFERROR(__xludf.DUMMYFUNCTION("""COMPUTED_VALUE"""),0.0)</f>
        <v>0</v>
      </c>
      <c r="H680" s="22">
        <f>IFERROR(__xludf.DUMMYFUNCTION("""COMPUTED_VALUE"""),500000.0)</f>
        <v>500000</v>
      </c>
      <c r="I680" s="24">
        <f>IFERROR(__xludf.DUMMYFUNCTION("""COMPUTED_VALUE"""),0.0)</f>
        <v>0</v>
      </c>
    </row>
    <row r="681">
      <c r="A681" s="5" t="str">
        <f>IFERROR(__xludf.DUMMYFUNCTION("""COMPUTED_VALUE"""),"35702")</f>
        <v>35702</v>
      </c>
      <c r="B681" s="64">
        <f>IFERROR(__xludf.DUMMYFUNCTION("""COMPUTED_VALUE"""),44603.0)</f>
        <v>44603</v>
      </c>
      <c r="C681" s="5"/>
      <c r="D681" s="5"/>
      <c r="E681" s="5"/>
      <c r="F681" s="22">
        <f>IFERROR(__xludf.DUMMYFUNCTION("""COMPUTED_VALUE"""),500000.0)</f>
        <v>500000</v>
      </c>
      <c r="G681" s="22">
        <f>IFERROR(__xludf.DUMMYFUNCTION("""COMPUTED_VALUE"""),0.0)</f>
        <v>0</v>
      </c>
      <c r="H681" s="22">
        <f>IFERROR(__xludf.DUMMYFUNCTION("""COMPUTED_VALUE"""),500000.0)</f>
        <v>500000</v>
      </c>
      <c r="I681" s="24">
        <f>IFERROR(__xludf.DUMMYFUNCTION("""COMPUTED_VALUE"""),0.0)</f>
        <v>0</v>
      </c>
    </row>
    <row r="682">
      <c r="A682" s="5" t="str">
        <f>IFERROR(__xludf.DUMMYFUNCTION("""COMPUTED_VALUE"""),"35702")</f>
        <v>35702</v>
      </c>
      <c r="B682" s="64">
        <f>IFERROR(__xludf.DUMMYFUNCTION("""COMPUTED_VALUE"""),44604.0)</f>
        <v>44604</v>
      </c>
      <c r="C682" s="5"/>
      <c r="D682" s="5"/>
      <c r="E682" s="5"/>
      <c r="F682" s="22">
        <f>IFERROR(__xludf.DUMMYFUNCTION("""COMPUTED_VALUE"""),500000.0)</f>
        <v>500000</v>
      </c>
      <c r="G682" s="22">
        <f>IFERROR(__xludf.DUMMYFUNCTION("""COMPUTED_VALUE"""),0.0)</f>
        <v>0</v>
      </c>
      <c r="H682" s="22">
        <f>IFERROR(__xludf.DUMMYFUNCTION("""COMPUTED_VALUE"""),500000.0)</f>
        <v>500000</v>
      </c>
      <c r="I682" s="24">
        <f>IFERROR(__xludf.DUMMYFUNCTION("""COMPUTED_VALUE"""),0.0)</f>
        <v>0</v>
      </c>
    </row>
    <row r="683">
      <c r="A683" s="5" t="str">
        <f>IFERROR(__xludf.DUMMYFUNCTION("""COMPUTED_VALUE"""),"35702")</f>
        <v>35702</v>
      </c>
      <c r="B683" s="64">
        <f>IFERROR(__xludf.DUMMYFUNCTION("""COMPUTED_VALUE"""),44605.0)</f>
        <v>44605</v>
      </c>
      <c r="C683" s="5"/>
      <c r="D683" s="5"/>
      <c r="E683" s="5"/>
      <c r="F683" s="22">
        <f>IFERROR(__xludf.DUMMYFUNCTION("""COMPUTED_VALUE"""),500000.0)</f>
        <v>500000</v>
      </c>
      <c r="G683" s="22">
        <f>IFERROR(__xludf.DUMMYFUNCTION("""COMPUTED_VALUE"""),0.0)</f>
        <v>0</v>
      </c>
      <c r="H683" s="22">
        <f>IFERROR(__xludf.DUMMYFUNCTION("""COMPUTED_VALUE"""),500000.0)</f>
        <v>500000</v>
      </c>
      <c r="I683" s="24">
        <f>IFERROR(__xludf.DUMMYFUNCTION("""COMPUTED_VALUE"""),0.0)</f>
        <v>0</v>
      </c>
    </row>
    <row r="684">
      <c r="A684" s="5" t="str">
        <f>IFERROR(__xludf.DUMMYFUNCTION("""COMPUTED_VALUE"""),"35702")</f>
        <v>35702</v>
      </c>
      <c r="B684" s="64">
        <f>IFERROR(__xludf.DUMMYFUNCTION("""COMPUTED_VALUE"""),44606.0)</f>
        <v>44606</v>
      </c>
      <c r="C684" s="5"/>
      <c r="D684" s="5"/>
      <c r="E684" s="5"/>
      <c r="F684" s="22">
        <f>IFERROR(__xludf.DUMMYFUNCTION("""COMPUTED_VALUE"""),500000.0)</f>
        <v>500000</v>
      </c>
      <c r="G684" s="22">
        <f>IFERROR(__xludf.DUMMYFUNCTION("""COMPUTED_VALUE"""),0.0)</f>
        <v>0</v>
      </c>
      <c r="H684" s="22">
        <f>IFERROR(__xludf.DUMMYFUNCTION("""COMPUTED_VALUE"""),500000.0)</f>
        <v>500000</v>
      </c>
      <c r="I684" s="24">
        <f>IFERROR(__xludf.DUMMYFUNCTION("""COMPUTED_VALUE"""),0.0)</f>
        <v>0</v>
      </c>
    </row>
    <row r="685">
      <c r="A685" s="5" t="str">
        <f>IFERROR(__xludf.DUMMYFUNCTION("""COMPUTED_VALUE"""),"35702")</f>
        <v>35702</v>
      </c>
      <c r="B685" s="64">
        <f>IFERROR(__xludf.DUMMYFUNCTION("""COMPUTED_VALUE"""),44607.0)</f>
        <v>44607</v>
      </c>
      <c r="C685" s="5"/>
      <c r="D685" s="5"/>
      <c r="E685" s="5"/>
      <c r="F685" s="22">
        <f>IFERROR(__xludf.DUMMYFUNCTION("""COMPUTED_VALUE"""),500000.0)</f>
        <v>500000</v>
      </c>
      <c r="G685" s="22">
        <f>IFERROR(__xludf.DUMMYFUNCTION("""COMPUTED_VALUE"""),0.0)</f>
        <v>0</v>
      </c>
      <c r="H685" s="22">
        <f>IFERROR(__xludf.DUMMYFUNCTION("""COMPUTED_VALUE"""),500000.0)</f>
        <v>500000</v>
      </c>
      <c r="I685" s="24">
        <f>IFERROR(__xludf.DUMMYFUNCTION("""COMPUTED_VALUE"""),0.0)</f>
        <v>0</v>
      </c>
    </row>
    <row r="686">
      <c r="A686" s="5" t="str">
        <f>IFERROR(__xludf.DUMMYFUNCTION("""COMPUTED_VALUE"""),"35702")</f>
        <v>35702</v>
      </c>
      <c r="B686" s="64">
        <f>IFERROR(__xludf.DUMMYFUNCTION("""COMPUTED_VALUE"""),44608.0)</f>
        <v>44608</v>
      </c>
      <c r="C686" s="5"/>
      <c r="D686" s="5"/>
      <c r="E686" s="5"/>
      <c r="F686" s="22">
        <f>IFERROR(__xludf.DUMMYFUNCTION("""COMPUTED_VALUE"""),500000.0)</f>
        <v>500000</v>
      </c>
      <c r="G686" s="22">
        <f>IFERROR(__xludf.DUMMYFUNCTION("""COMPUTED_VALUE"""),0.0)</f>
        <v>0</v>
      </c>
      <c r="H686" s="22">
        <f>IFERROR(__xludf.DUMMYFUNCTION("""COMPUTED_VALUE"""),500000.0)</f>
        <v>500000</v>
      </c>
      <c r="I686" s="24">
        <f>IFERROR(__xludf.DUMMYFUNCTION("""COMPUTED_VALUE"""),0.0)</f>
        <v>0</v>
      </c>
    </row>
    <row r="687">
      <c r="A687" s="5" t="str">
        <f>IFERROR(__xludf.DUMMYFUNCTION("""COMPUTED_VALUE"""),"35702")</f>
        <v>35702</v>
      </c>
      <c r="B687" s="64">
        <f>IFERROR(__xludf.DUMMYFUNCTION("""COMPUTED_VALUE"""),44609.0)</f>
        <v>44609</v>
      </c>
      <c r="C687" s="5"/>
      <c r="D687" s="5"/>
      <c r="E687" s="5"/>
      <c r="F687" s="22">
        <f>IFERROR(__xludf.DUMMYFUNCTION("""COMPUTED_VALUE"""),500000.0)</f>
        <v>500000</v>
      </c>
      <c r="G687" s="22">
        <f>IFERROR(__xludf.DUMMYFUNCTION("""COMPUTED_VALUE"""),0.0)</f>
        <v>0</v>
      </c>
      <c r="H687" s="22">
        <f>IFERROR(__xludf.DUMMYFUNCTION("""COMPUTED_VALUE"""),500000.0)</f>
        <v>500000</v>
      </c>
      <c r="I687" s="24">
        <f>IFERROR(__xludf.DUMMYFUNCTION("""COMPUTED_VALUE"""),0.0)</f>
        <v>0</v>
      </c>
    </row>
    <row r="688">
      <c r="A688" s="5" t="str">
        <f>IFERROR(__xludf.DUMMYFUNCTION("""COMPUTED_VALUE"""),"35702")</f>
        <v>35702</v>
      </c>
      <c r="B688" s="64">
        <f>IFERROR(__xludf.DUMMYFUNCTION("""COMPUTED_VALUE"""),44610.0)</f>
        <v>44610</v>
      </c>
      <c r="C688" s="5"/>
      <c r="D688" s="5"/>
      <c r="E688" s="5"/>
      <c r="F688" s="22">
        <f>IFERROR(__xludf.DUMMYFUNCTION("""COMPUTED_VALUE"""),500000.0)</f>
        <v>500000</v>
      </c>
      <c r="G688" s="22">
        <f>IFERROR(__xludf.DUMMYFUNCTION("""COMPUTED_VALUE"""),0.0)</f>
        <v>0</v>
      </c>
      <c r="H688" s="22">
        <f>IFERROR(__xludf.DUMMYFUNCTION("""COMPUTED_VALUE"""),500000.0)</f>
        <v>500000</v>
      </c>
      <c r="I688" s="24">
        <f>IFERROR(__xludf.DUMMYFUNCTION("""COMPUTED_VALUE"""),0.0)</f>
        <v>0</v>
      </c>
    </row>
    <row r="689">
      <c r="A689" s="5" t="str">
        <f>IFERROR(__xludf.DUMMYFUNCTION("""COMPUTED_VALUE"""),"35702")</f>
        <v>35702</v>
      </c>
      <c r="B689" s="64">
        <f>IFERROR(__xludf.DUMMYFUNCTION("""COMPUTED_VALUE"""),44611.0)</f>
        <v>44611</v>
      </c>
      <c r="C689" s="5"/>
      <c r="D689" s="5"/>
      <c r="E689" s="5"/>
      <c r="F689" s="22">
        <f>IFERROR(__xludf.DUMMYFUNCTION("""COMPUTED_VALUE"""),500000.0)</f>
        <v>500000</v>
      </c>
      <c r="G689" s="22">
        <f>IFERROR(__xludf.DUMMYFUNCTION("""COMPUTED_VALUE"""),0.0)</f>
        <v>0</v>
      </c>
      <c r="H689" s="22">
        <f>IFERROR(__xludf.DUMMYFUNCTION("""COMPUTED_VALUE"""),500000.0)</f>
        <v>500000</v>
      </c>
      <c r="I689" s="24">
        <f>IFERROR(__xludf.DUMMYFUNCTION("""COMPUTED_VALUE"""),0.0)</f>
        <v>0</v>
      </c>
    </row>
    <row r="690">
      <c r="A690" s="5" t="str">
        <f>IFERROR(__xludf.DUMMYFUNCTION("""COMPUTED_VALUE"""),"35702")</f>
        <v>35702</v>
      </c>
      <c r="B690" s="64">
        <f>IFERROR(__xludf.DUMMYFUNCTION("""COMPUTED_VALUE"""),44612.0)</f>
        <v>44612</v>
      </c>
      <c r="C690" s="5"/>
      <c r="D690" s="5"/>
      <c r="E690" s="5"/>
      <c r="F690" s="22">
        <f>IFERROR(__xludf.DUMMYFUNCTION("""COMPUTED_VALUE"""),500000.0)</f>
        <v>500000</v>
      </c>
      <c r="G690" s="22">
        <f>IFERROR(__xludf.DUMMYFUNCTION("""COMPUTED_VALUE"""),0.0)</f>
        <v>0</v>
      </c>
      <c r="H690" s="22">
        <f>IFERROR(__xludf.DUMMYFUNCTION("""COMPUTED_VALUE"""),500000.0)</f>
        <v>500000</v>
      </c>
      <c r="I690" s="24">
        <f>IFERROR(__xludf.DUMMYFUNCTION("""COMPUTED_VALUE"""),0.0)</f>
        <v>0</v>
      </c>
    </row>
    <row r="691">
      <c r="A691" s="5" t="str">
        <f>IFERROR(__xludf.DUMMYFUNCTION("""COMPUTED_VALUE"""),"35702")</f>
        <v>35702</v>
      </c>
      <c r="B691" s="64">
        <f>IFERROR(__xludf.DUMMYFUNCTION("""COMPUTED_VALUE"""),44613.0)</f>
        <v>44613</v>
      </c>
      <c r="C691" s="5"/>
      <c r="D691" s="5"/>
      <c r="E691" s="5"/>
      <c r="F691" s="22">
        <f>IFERROR(__xludf.DUMMYFUNCTION("""COMPUTED_VALUE"""),500000.0)</f>
        <v>500000</v>
      </c>
      <c r="G691" s="22">
        <f>IFERROR(__xludf.DUMMYFUNCTION("""COMPUTED_VALUE"""),0.0)</f>
        <v>0</v>
      </c>
      <c r="H691" s="22">
        <f>IFERROR(__xludf.DUMMYFUNCTION("""COMPUTED_VALUE"""),500000.0)</f>
        <v>500000</v>
      </c>
      <c r="I691" s="24">
        <f>IFERROR(__xludf.DUMMYFUNCTION("""COMPUTED_VALUE"""),0.0)</f>
        <v>0</v>
      </c>
    </row>
    <row r="692">
      <c r="A692" s="5" t="str">
        <f>IFERROR(__xludf.DUMMYFUNCTION("""COMPUTED_VALUE"""),"35702")</f>
        <v>35702</v>
      </c>
      <c r="B692" s="64">
        <f>IFERROR(__xludf.DUMMYFUNCTION("""COMPUTED_VALUE"""),44614.0)</f>
        <v>44614</v>
      </c>
      <c r="C692" s="5"/>
      <c r="D692" s="5"/>
      <c r="E692" s="5"/>
      <c r="F692" s="22">
        <f>IFERROR(__xludf.DUMMYFUNCTION("""COMPUTED_VALUE"""),500000.0)</f>
        <v>500000</v>
      </c>
      <c r="G692" s="22">
        <f>IFERROR(__xludf.DUMMYFUNCTION("""COMPUTED_VALUE"""),0.0)</f>
        <v>0</v>
      </c>
      <c r="H692" s="22">
        <f>IFERROR(__xludf.DUMMYFUNCTION("""COMPUTED_VALUE"""),500000.0)</f>
        <v>500000</v>
      </c>
      <c r="I692" s="24">
        <f>IFERROR(__xludf.DUMMYFUNCTION("""COMPUTED_VALUE"""),0.0)</f>
        <v>0</v>
      </c>
    </row>
    <row r="693">
      <c r="A693" s="5" t="str">
        <f>IFERROR(__xludf.DUMMYFUNCTION("""COMPUTED_VALUE"""),"35702")</f>
        <v>35702</v>
      </c>
      <c r="B693" s="64">
        <f>IFERROR(__xludf.DUMMYFUNCTION("""COMPUTED_VALUE"""),44615.0)</f>
        <v>44615</v>
      </c>
      <c r="C693" s="5"/>
      <c r="D693" s="5"/>
      <c r="E693" s="5"/>
      <c r="F693" s="22">
        <f>IFERROR(__xludf.DUMMYFUNCTION("""COMPUTED_VALUE"""),500000.0)</f>
        <v>500000</v>
      </c>
      <c r="G693" s="22">
        <f>IFERROR(__xludf.DUMMYFUNCTION("""COMPUTED_VALUE"""),0.0)</f>
        <v>0</v>
      </c>
      <c r="H693" s="22">
        <f>IFERROR(__xludf.DUMMYFUNCTION("""COMPUTED_VALUE"""),500000.0)</f>
        <v>500000</v>
      </c>
      <c r="I693" s="24">
        <f>IFERROR(__xludf.DUMMYFUNCTION("""COMPUTED_VALUE"""),0.0)</f>
        <v>0</v>
      </c>
    </row>
    <row r="694">
      <c r="A694" s="5" t="str">
        <f>IFERROR(__xludf.DUMMYFUNCTION("""COMPUTED_VALUE"""),"35702")</f>
        <v>35702</v>
      </c>
      <c r="B694" s="64">
        <f>IFERROR(__xludf.DUMMYFUNCTION("""COMPUTED_VALUE"""),44616.0)</f>
        <v>44616</v>
      </c>
      <c r="C694" s="5"/>
      <c r="D694" s="5"/>
      <c r="E694" s="5"/>
      <c r="F694" s="22">
        <f>IFERROR(__xludf.DUMMYFUNCTION("""COMPUTED_VALUE"""),500000.0)</f>
        <v>500000</v>
      </c>
      <c r="G694" s="22">
        <f>IFERROR(__xludf.DUMMYFUNCTION("""COMPUTED_VALUE"""),0.0)</f>
        <v>0</v>
      </c>
      <c r="H694" s="22">
        <f>IFERROR(__xludf.DUMMYFUNCTION("""COMPUTED_VALUE"""),500000.0)</f>
        <v>500000</v>
      </c>
      <c r="I694" s="24">
        <f>IFERROR(__xludf.DUMMYFUNCTION("""COMPUTED_VALUE"""),0.0)</f>
        <v>0</v>
      </c>
    </row>
    <row r="695">
      <c r="A695" s="5" t="str">
        <f>IFERROR(__xludf.DUMMYFUNCTION("""COMPUTED_VALUE"""),"35702")</f>
        <v>35702</v>
      </c>
      <c r="B695" s="64">
        <f>IFERROR(__xludf.DUMMYFUNCTION("""COMPUTED_VALUE"""),44617.0)</f>
        <v>44617</v>
      </c>
      <c r="C695" s="5"/>
      <c r="D695" s="5"/>
      <c r="E695" s="5"/>
      <c r="F695" s="22">
        <f>IFERROR(__xludf.DUMMYFUNCTION("""COMPUTED_VALUE"""),500000.0)</f>
        <v>500000</v>
      </c>
      <c r="G695" s="22">
        <f>IFERROR(__xludf.DUMMYFUNCTION("""COMPUTED_VALUE"""),0.0)</f>
        <v>0</v>
      </c>
      <c r="H695" s="22">
        <f>IFERROR(__xludf.DUMMYFUNCTION("""COMPUTED_VALUE"""),500000.0)</f>
        <v>500000</v>
      </c>
      <c r="I695" s="24">
        <f>IFERROR(__xludf.DUMMYFUNCTION("""COMPUTED_VALUE"""),0.0)</f>
        <v>0</v>
      </c>
    </row>
    <row r="696">
      <c r="A696" s="5" t="str">
        <f>IFERROR(__xludf.DUMMYFUNCTION("""COMPUTED_VALUE"""),"35702")</f>
        <v>35702</v>
      </c>
      <c r="B696" s="64">
        <f>IFERROR(__xludf.DUMMYFUNCTION("""COMPUTED_VALUE"""),44618.0)</f>
        <v>44618</v>
      </c>
      <c r="C696" s="5"/>
      <c r="D696" s="5"/>
      <c r="E696" s="5"/>
      <c r="F696" s="22">
        <f>IFERROR(__xludf.DUMMYFUNCTION("""COMPUTED_VALUE"""),500000.0)</f>
        <v>500000</v>
      </c>
      <c r="G696" s="22">
        <f>IFERROR(__xludf.DUMMYFUNCTION("""COMPUTED_VALUE"""),0.0)</f>
        <v>0</v>
      </c>
      <c r="H696" s="22">
        <f>IFERROR(__xludf.DUMMYFUNCTION("""COMPUTED_VALUE"""),500000.0)</f>
        <v>500000</v>
      </c>
      <c r="I696" s="24">
        <f>IFERROR(__xludf.DUMMYFUNCTION("""COMPUTED_VALUE"""),0.0)</f>
        <v>0</v>
      </c>
    </row>
    <row r="697">
      <c r="A697" s="5" t="str">
        <f>IFERROR(__xludf.DUMMYFUNCTION("""COMPUTED_VALUE"""),"35702")</f>
        <v>35702</v>
      </c>
      <c r="B697" s="64">
        <f>IFERROR(__xludf.DUMMYFUNCTION("""COMPUTED_VALUE"""),44619.0)</f>
        <v>44619</v>
      </c>
      <c r="C697" s="5"/>
      <c r="D697" s="5"/>
      <c r="E697" s="5"/>
      <c r="F697" s="22">
        <f>IFERROR(__xludf.DUMMYFUNCTION("""COMPUTED_VALUE"""),500000.0)</f>
        <v>500000</v>
      </c>
      <c r="G697" s="22">
        <f>IFERROR(__xludf.DUMMYFUNCTION("""COMPUTED_VALUE"""),0.0)</f>
        <v>0</v>
      </c>
      <c r="H697" s="22">
        <f>IFERROR(__xludf.DUMMYFUNCTION("""COMPUTED_VALUE"""),500000.0)</f>
        <v>500000</v>
      </c>
      <c r="I697" s="24">
        <f>IFERROR(__xludf.DUMMYFUNCTION("""COMPUTED_VALUE"""),0.0)</f>
        <v>0</v>
      </c>
    </row>
    <row r="698">
      <c r="A698" s="5" t="str">
        <f>IFERROR(__xludf.DUMMYFUNCTION("""COMPUTED_VALUE"""),"35702")</f>
        <v>35702</v>
      </c>
      <c r="B698" s="64">
        <f>IFERROR(__xludf.DUMMYFUNCTION("""COMPUTED_VALUE"""),44620.0)</f>
        <v>44620</v>
      </c>
      <c r="C698" s="5"/>
      <c r="D698" s="5"/>
      <c r="E698" s="5"/>
      <c r="F698" s="22">
        <f>IFERROR(__xludf.DUMMYFUNCTION("""COMPUTED_VALUE"""),500000.0)</f>
        <v>500000</v>
      </c>
      <c r="G698" s="22">
        <f>IFERROR(__xludf.DUMMYFUNCTION("""COMPUTED_VALUE"""),0.0)</f>
        <v>0</v>
      </c>
      <c r="H698" s="22">
        <f>IFERROR(__xludf.DUMMYFUNCTION("""COMPUTED_VALUE"""),500000.0)</f>
        <v>500000</v>
      </c>
      <c r="I698" s="24">
        <f>IFERROR(__xludf.DUMMYFUNCTION("""COMPUTED_VALUE"""),0.0)</f>
        <v>0</v>
      </c>
    </row>
    <row r="699">
      <c r="A699" s="5" t="str">
        <f>IFERROR(__xludf.DUMMYFUNCTION("""COMPUTED_VALUE"""),"35702")</f>
        <v>35702</v>
      </c>
      <c r="B699" s="64">
        <f>IFERROR(__xludf.DUMMYFUNCTION("""COMPUTED_VALUE"""),44621.0)</f>
        <v>44621</v>
      </c>
      <c r="C699" s="5"/>
      <c r="D699" s="5"/>
      <c r="E699" s="5"/>
      <c r="F699" s="22">
        <f>IFERROR(__xludf.DUMMYFUNCTION("""COMPUTED_VALUE"""),500000.0)</f>
        <v>500000</v>
      </c>
      <c r="G699" s="22">
        <f>IFERROR(__xludf.DUMMYFUNCTION("""COMPUTED_VALUE"""),0.0)</f>
        <v>0</v>
      </c>
      <c r="H699" s="22">
        <f>IFERROR(__xludf.DUMMYFUNCTION("""COMPUTED_VALUE"""),500000.0)</f>
        <v>500000</v>
      </c>
      <c r="I699" s="24">
        <f>IFERROR(__xludf.DUMMYFUNCTION("""COMPUTED_VALUE"""),0.0)</f>
        <v>0</v>
      </c>
    </row>
    <row r="700">
      <c r="A700" s="5" t="str">
        <f>IFERROR(__xludf.DUMMYFUNCTION("""COMPUTED_VALUE"""),"35702")</f>
        <v>35702</v>
      </c>
      <c r="B700" s="64">
        <f>IFERROR(__xludf.DUMMYFUNCTION("""COMPUTED_VALUE"""),44622.0)</f>
        <v>44622</v>
      </c>
      <c r="C700" s="5"/>
      <c r="D700" s="5"/>
      <c r="E700" s="5"/>
      <c r="F700" s="22">
        <f>IFERROR(__xludf.DUMMYFUNCTION("""COMPUTED_VALUE"""),500000.0)</f>
        <v>500000</v>
      </c>
      <c r="G700" s="22">
        <f>IFERROR(__xludf.DUMMYFUNCTION("""COMPUTED_VALUE"""),0.0)</f>
        <v>0</v>
      </c>
      <c r="H700" s="22">
        <f>IFERROR(__xludf.DUMMYFUNCTION("""COMPUTED_VALUE"""),500000.0)</f>
        <v>500000</v>
      </c>
      <c r="I700" s="24">
        <f>IFERROR(__xludf.DUMMYFUNCTION("""COMPUTED_VALUE"""),0.0)</f>
        <v>0</v>
      </c>
    </row>
    <row r="701">
      <c r="A701" s="5" t="str">
        <f>IFERROR(__xludf.DUMMYFUNCTION("""COMPUTED_VALUE"""),"35702")</f>
        <v>35702</v>
      </c>
      <c r="B701" s="64">
        <f>IFERROR(__xludf.DUMMYFUNCTION("""COMPUTED_VALUE"""),44623.0)</f>
        <v>44623</v>
      </c>
      <c r="C701" s="5"/>
      <c r="D701" s="5"/>
      <c r="E701" s="5"/>
      <c r="F701" s="22">
        <f>IFERROR(__xludf.DUMMYFUNCTION("""COMPUTED_VALUE"""),500000.0)</f>
        <v>500000</v>
      </c>
      <c r="G701" s="22">
        <f>IFERROR(__xludf.DUMMYFUNCTION("""COMPUTED_VALUE"""),0.0)</f>
        <v>0</v>
      </c>
      <c r="H701" s="22">
        <f>IFERROR(__xludf.DUMMYFUNCTION("""COMPUTED_VALUE"""),500000.0)</f>
        <v>500000</v>
      </c>
      <c r="I701" s="24">
        <f>IFERROR(__xludf.DUMMYFUNCTION("""COMPUTED_VALUE"""),0.0)</f>
        <v>0</v>
      </c>
    </row>
    <row r="702">
      <c r="A702" s="5" t="str">
        <f>IFERROR(__xludf.DUMMYFUNCTION("""COMPUTED_VALUE"""),"35702")</f>
        <v>35702</v>
      </c>
      <c r="B702" s="64">
        <f>IFERROR(__xludf.DUMMYFUNCTION("""COMPUTED_VALUE"""),44624.0)</f>
        <v>44624</v>
      </c>
      <c r="C702" s="5"/>
      <c r="D702" s="5"/>
      <c r="E702" s="5"/>
      <c r="F702" s="22">
        <f>IFERROR(__xludf.DUMMYFUNCTION("""COMPUTED_VALUE"""),500000.0)</f>
        <v>500000</v>
      </c>
      <c r="G702" s="22">
        <f>IFERROR(__xludf.DUMMYFUNCTION("""COMPUTED_VALUE"""),0.0)</f>
        <v>0</v>
      </c>
      <c r="H702" s="22">
        <f>IFERROR(__xludf.DUMMYFUNCTION("""COMPUTED_VALUE"""),500000.0)</f>
        <v>500000</v>
      </c>
      <c r="I702" s="24">
        <f>IFERROR(__xludf.DUMMYFUNCTION("""COMPUTED_VALUE"""),0.0)</f>
        <v>0</v>
      </c>
    </row>
    <row r="703">
      <c r="A703" s="5" t="str">
        <f>IFERROR(__xludf.DUMMYFUNCTION("""COMPUTED_VALUE"""),"35702")</f>
        <v>35702</v>
      </c>
      <c r="B703" s="64">
        <f>IFERROR(__xludf.DUMMYFUNCTION("""COMPUTED_VALUE"""),44625.0)</f>
        <v>44625</v>
      </c>
      <c r="C703" s="5"/>
      <c r="D703" s="5"/>
      <c r="E703" s="5"/>
      <c r="F703" s="22">
        <f>IFERROR(__xludf.DUMMYFUNCTION("""COMPUTED_VALUE"""),500000.0)</f>
        <v>500000</v>
      </c>
      <c r="G703" s="22">
        <f>IFERROR(__xludf.DUMMYFUNCTION("""COMPUTED_VALUE"""),0.0)</f>
        <v>0</v>
      </c>
      <c r="H703" s="22">
        <f>IFERROR(__xludf.DUMMYFUNCTION("""COMPUTED_VALUE"""),500000.0)</f>
        <v>500000</v>
      </c>
      <c r="I703" s="24">
        <f>IFERROR(__xludf.DUMMYFUNCTION("""COMPUTED_VALUE"""),0.0)</f>
        <v>0</v>
      </c>
    </row>
    <row r="704">
      <c r="A704" s="5" t="str">
        <f>IFERROR(__xludf.DUMMYFUNCTION("""COMPUTED_VALUE"""),"35702")</f>
        <v>35702</v>
      </c>
      <c r="B704" s="64">
        <f>IFERROR(__xludf.DUMMYFUNCTION("""COMPUTED_VALUE"""),44626.0)</f>
        <v>44626</v>
      </c>
      <c r="C704" s="5"/>
      <c r="D704" s="5"/>
      <c r="E704" s="5"/>
      <c r="F704" s="22">
        <f>IFERROR(__xludf.DUMMYFUNCTION("""COMPUTED_VALUE"""),500000.0)</f>
        <v>500000</v>
      </c>
      <c r="G704" s="22">
        <f>IFERROR(__xludf.DUMMYFUNCTION("""COMPUTED_VALUE"""),0.0)</f>
        <v>0</v>
      </c>
      <c r="H704" s="22">
        <f>IFERROR(__xludf.DUMMYFUNCTION("""COMPUTED_VALUE"""),500000.0)</f>
        <v>500000</v>
      </c>
      <c r="I704" s="24">
        <f>IFERROR(__xludf.DUMMYFUNCTION("""COMPUTED_VALUE"""),0.0)</f>
        <v>0</v>
      </c>
    </row>
    <row r="705">
      <c r="A705" s="5" t="str">
        <f>IFERROR(__xludf.DUMMYFUNCTION("""COMPUTED_VALUE"""),"35702")</f>
        <v>35702</v>
      </c>
      <c r="B705" s="64">
        <f>IFERROR(__xludf.DUMMYFUNCTION("""COMPUTED_VALUE"""),44627.0)</f>
        <v>44627</v>
      </c>
      <c r="C705" s="5"/>
      <c r="D705" s="5"/>
      <c r="E705" s="5"/>
      <c r="F705" s="22">
        <f>IFERROR(__xludf.DUMMYFUNCTION("""COMPUTED_VALUE"""),500000.0)</f>
        <v>500000</v>
      </c>
      <c r="G705" s="22">
        <f>IFERROR(__xludf.DUMMYFUNCTION("""COMPUTED_VALUE"""),0.0)</f>
        <v>0</v>
      </c>
      <c r="H705" s="22">
        <f>IFERROR(__xludf.DUMMYFUNCTION("""COMPUTED_VALUE"""),500000.0)</f>
        <v>500000</v>
      </c>
      <c r="I705" s="24">
        <f>IFERROR(__xludf.DUMMYFUNCTION("""COMPUTED_VALUE"""),0.0)</f>
        <v>0</v>
      </c>
    </row>
    <row r="706">
      <c r="A706" s="5" t="str">
        <f>IFERROR(__xludf.DUMMYFUNCTION("""COMPUTED_VALUE"""),"35702")</f>
        <v>35702</v>
      </c>
      <c r="B706" s="64">
        <f>IFERROR(__xludf.DUMMYFUNCTION("""COMPUTED_VALUE"""),44628.0)</f>
        <v>44628</v>
      </c>
      <c r="C706" s="5"/>
      <c r="D706" s="5"/>
      <c r="E706" s="5"/>
      <c r="F706" s="22">
        <f>IFERROR(__xludf.DUMMYFUNCTION("""COMPUTED_VALUE"""),500000.0)</f>
        <v>500000</v>
      </c>
      <c r="G706" s="22">
        <f>IFERROR(__xludf.DUMMYFUNCTION("""COMPUTED_VALUE"""),0.0)</f>
        <v>0</v>
      </c>
      <c r="H706" s="22">
        <f>IFERROR(__xludf.DUMMYFUNCTION("""COMPUTED_VALUE"""),500000.0)</f>
        <v>500000</v>
      </c>
      <c r="I706" s="24">
        <f>IFERROR(__xludf.DUMMYFUNCTION("""COMPUTED_VALUE"""),0.0)</f>
        <v>0</v>
      </c>
    </row>
    <row r="707">
      <c r="A707" s="5" t="str">
        <f>IFERROR(__xludf.DUMMYFUNCTION("""COMPUTED_VALUE"""),"35702")</f>
        <v>35702</v>
      </c>
      <c r="B707" s="64">
        <f>IFERROR(__xludf.DUMMYFUNCTION("""COMPUTED_VALUE"""),44629.0)</f>
        <v>44629</v>
      </c>
      <c r="C707" s="5"/>
      <c r="D707" s="5"/>
      <c r="E707" s="5"/>
      <c r="F707" s="22">
        <f>IFERROR(__xludf.DUMMYFUNCTION("""COMPUTED_VALUE"""),500000.0)</f>
        <v>500000</v>
      </c>
      <c r="G707" s="22">
        <f>IFERROR(__xludf.DUMMYFUNCTION("""COMPUTED_VALUE"""),0.0)</f>
        <v>0</v>
      </c>
      <c r="H707" s="22">
        <f>IFERROR(__xludf.DUMMYFUNCTION("""COMPUTED_VALUE"""),500000.0)</f>
        <v>500000</v>
      </c>
      <c r="I707" s="24">
        <f>IFERROR(__xludf.DUMMYFUNCTION("""COMPUTED_VALUE"""),0.0)</f>
        <v>0</v>
      </c>
    </row>
    <row r="708">
      <c r="A708" s="5" t="str">
        <f>IFERROR(__xludf.DUMMYFUNCTION("""COMPUTED_VALUE"""),"35702")</f>
        <v>35702</v>
      </c>
      <c r="B708" s="64">
        <f>IFERROR(__xludf.DUMMYFUNCTION("""COMPUTED_VALUE"""),44630.0)</f>
        <v>44630</v>
      </c>
      <c r="C708" s="5"/>
      <c r="D708" s="5"/>
      <c r="E708" s="5"/>
      <c r="F708" s="22">
        <f>IFERROR(__xludf.DUMMYFUNCTION("""COMPUTED_VALUE"""),500000.0)</f>
        <v>500000</v>
      </c>
      <c r="G708" s="22">
        <f>IFERROR(__xludf.DUMMYFUNCTION("""COMPUTED_VALUE"""),0.0)</f>
        <v>0</v>
      </c>
      <c r="H708" s="22">
        <f>IFERROR(__xludf.DUMMYFUNCTION("""COMPUTED_VALUE"""),500000.0)</f>
        <v>500000</v>
      </c>
      <c r="I708" s="24">
        <f>IFERROR(__xludf.DUMMYFUNCTION("""COMPUTED_VALUE"""),0.0)</f>
        <v>0</v>
      </c>
    </row>
    <row r="709">
      <c r="A709" s="5" t="str">
        <f>IFERROR(__xludf.DUMMYFUNCTION("""COMPUTED_VALUE"""),"35702")</f>
        <v>35702</v>
      </c>
      <c r="B709" s="64">
        <f>IFERROR(__xludf.DUMMYFUNCTION("""COMPUTED_VALUE"""),44631.0)</f>
        <v>44631</v>
      </c>
      <c r="C709" s="5"/>
      <c r="D709" s="5"/>
      <c r="E709" s="5"/>
      <c r="F709" s="22">
        <f>IFERROR(__xludf.DUMMYFUNCTION("""COMPUTED_VALUE"""),500000.0)</f>
        <v>500000</v>
      </c>
      <c r="G709" s="22">
        <f>IFERROR(__xludf.DUMMYFUNCTION("""COMPUTED_VALUE"""),0.0)</f>
        <v>0</v>
      </c>
      <c r="H709" s="22">
        <f>IFERROR(__xludf.DUMMYFUNCTION("""COMPUTED_VALUE"""),500000.0)</f>
        <v>500000</v>
      </c>
      <c r="I709" s="24">
        <f>IFERROR(__xludf.DUMMYFUNCTION("""COMPUTED_VALUE"""),0.0)</f>
        <v>0</v>
      </c>
    </row>
    <row r="710">
      <c r="A710" s="5" t="str">
        <f>IFERROR(__xludf.DUMMYFUNCTION("""COMPUTED_VALUE"""),"35702")</f>
        <v>35702</v>
      </c>
      <c r="B710" s="64">
        <f>IFERROR(__xludf.DUMMYFUNCTION("""COMPUTED_VALUE"""),44632.0)</f>
        <v>44632</v>
      </c>
      <c r="C710" s="5"/>
      <c r="D710" s="5"/>
      <c r="E710" s="5"/>
      <c r="F710" s="22">
        <f>IFERROR(__xludf.DUMMYFUNCTION("""COMPUTED_VALUE"""),500000.0)</f>
        <v>500000</v>
      </c>
      <c r="G710" s="22">
        <f>IFERROR(__xludf.DUMMYFUNCTION("""COMPUTED_VALUE"""),0.0)</f>
        <v>0</v>
      </c>
      <c r="H710" s="22">
        <f>IFERROR(__xludf.DUMMYFUNCTION("""COMPUTED_VALUE"""),500000.0)</f>
        <v>500000</v>
      </c>
      <c r="I710" s="24">
        <f>IFERROR(__xludf.DUMMYFUNCTION("""COMPUTED_VALUE"""),0.0)</f>
        <v>0</v>
      </c>
    </row>
    <row r="711">
      <c r="A711" s="5" t="str">
        <f>IFERROR(__xludf.DUMMYFUNCTION("""COMPUTED_VALUE"""),"35702")</f>
        <v>35702</v>
      </c>
      <c r="B711" s="64">
        <f>IFERROR(__xludf.DUMMYFUNCTION("""COMPUTED_VALUE"""),44633.0)</f>
        <v>44633</v>
      </c>
      <c r="C711" s="5"/>
      <c r="D711" s="5"/>
      <c r="E711" s="5"/>
      <c r="F711" s="22">
        <f>IFERROR(__xludf.DUMMYFUNCTION("""COMPUTED_VALUE"""),500000.0)</f>
        <v>500000</v>
      </c>
      <c r="G711" s="22">
        <f>IFERROR(__xludf.DUMMYFUNCTION("""COMPUTED_VALUE"""),0.0)</f>
        <v>0</v>
      </c>
      <c r="H711" s="22">
        <f>IFERROR(__xludf.DUMMYFUNCTION("""COMPUTED_VALUE"""),500000.0)</f>
        <v>500000</v>
      </c>
      <c r="I711" s="24">
        <f>IFERROR(__xludf.DUMMYFUNCTION("""COMPUTED_VALUE"""),0.0)</f>
        <v>0</v>
      </c>
    </row>
    <row r="712">
      <c r="A712" s="5" t="str">
        <f>IFERROR(__xludf.DUMMYFUNCTION("""COMPUTED_VALUE"""),"35702")</f>
        <v>35702</v>
      </c>
      <c r="B712" s="64">
        <f>IFERROR(__xludf.DUMMYFUNCTION("""COMPUTED_VALUE"""),44634.0)</f>
        <v>44634</v>
      </c>
      <c r="C712" s="5"/>
      <c r="D712" s="5"/>
      <c r="E712" s="5"/>
      <c r="F712" s="22">
        <f>IFERROR(__xludf.DUMMYFUNCTION("""COMPUTED_VALUE"""),500000.0)</f>
        <v>500000</v>
      </c>
      <c r="G712" s="22">
        <f>IFERROR(__xludf.DUMMYFUNCTION("""COMPUTED_VALUE"""),0.0)</f>
        <v>0</v>
      </c>
      <c r="H712" s="22">
        <f>IFERROR(__xludf.DUMMYFUNCTION("""COMPUTED_VALUE"""),500000.0)</f>
        <v>500000</v>
      </c>
      <c r="I712" s="24">
        <f>IFERROR(__xludf.DUMMYFUNCTION("""COMPUTED_VALUE"""),0.0)</f>
        <v>0</v>
      </c>
    </row>
    <row r="713">
      <c r="A713" s="5" t="str">
        <f>IFERROR(__xludf.DUMMYFUNCTION("""COMPUTED_VALUE"""),"35702")</f>
        <v>35702</v>
      </c>
      <c r="B713" s="64">
        <f>IFERROR(__xludf.DUMMYFUNCTION("""COMPUTED_VALUE"""),44635.0)</f>
        <v>44635</v>
      </c>
      <c r="C713" s="5"/>
      <c r="D713" s="5"/>
      <c r="E713" s="5"/>
      <c r="F713" s="22">
        <f>IFERROR(__xludf.DUMMYFUNCTION("""COMPUTED_VALUE"""),500000.0)</f>
        <v>500000</v>
      </c>
      <c r="G713" s="22">
        <f>IFERROR(__xludf.DUMMYFUNCTION("""COMPUTED_VALUE"""),0.0)</f>
        <v>0</v>
      </c>
      <c r="H713" s="22">
        <f>IFERROR(__xludf.DUMMYFUNCTION("""COMPUTED_VALUE"""),500000.0)</f>
        <v>500000</v>
      </c>
      <c r="I713" s="24">
        <f>IFERROR(__xludf.DUMMYFUNCTION("""COMPUTED_VALUE"""),0.0)</f>
        <v>0</v>
      </c>
    </row>
    <row r="714">
      <c r="A714" s="5" t="str">
        <f>IFERROR(__xludf.DUMMYFUNCTION("""COMPUTED_VALUE"""),"35702")</f>
        <v>35702</v>
      </c>
      <c r="B714" s="64">
        <f>IFERROR(__xludf.DUMMYFUNCTION("""COMPUTED_VALUE"""),44636.0)</f>
        <v>44636</v>
      </c>
      <c r="C714" s="5"/>
      <c r="D714" s="5"/>
      <c r="E714" s="5"/>
      <c r="F714" s="22">
        <f>IFERROR(__xludf.DUMMYFUNCTION("""COMPUTED_VALUE"""),500000.0)</f>
        <v>500000</v>
      </c>
      <c r="G714" s="22">
        <f>IFERROR(__xludf.DUMMYFUNCTION("""COMPUTED_VALUE"""),0.0)</f>
        <v>0</v>
      </c>
      <c r="H714" s="22">
        <f>IFERROR(__xludf.DUMMYFUNCTION("""COMPUTED_VALUE"""),500000.0)</f>
        <v>500000</v>
      </c>
      <c r="I714" s="24">
        <f>IFERROR(__xludf.DUMMYFUNCTION("""COMPUTED_VALUE"""),0.0)</f>
        <v>0</v>
      </c>
    </row>
    <row r="715">
      <c r="A715" s="5" t="str">
        <f>IFERROR(__xludf.DUMMYFUNCTION("""COMPUTED_VALUE"""),"35702")</f>
        <v>35702</v>
      </c>
      <c r="B715" s="64">
        <f>IFERROR(__xludf.DUMMYFUNCTION("""COMPUTED_VALUE"""),44637.0)</f>
        <v>44637</v>
      </c>
      <c r="C715" s="5"/>
      <c r="D715" s="5"/>
      <c r="E715" s="5"/>
      <c r="F715" s="22">
        <f>IFERROR(__xludf.DUMMYFUNCTION("""COMPUTED_VALUE"""),500000.0)</f>
        <v>500000</v>
      </c>
      <c r="G715" s="22">
        <f>IFERROR(__xludf.DUMMYFUNCTION("""COMPUTED_VALUE"""),0.0)</f>
        <v>0</v>
      </c>
      <c r="H715" s="22">
        <f>IFERROR(__xludf.DUMMYFUNCTION("""COMPUTED_VALUE"""),500000.0)</f>
        <v>500000</v>
      </c>
      <c r="I715" s="24">
        <f>IFERROR(__xludf.DUMMYFUNCTION("""COMPUTED_VALUE"""),0.0)</f>
        <v>0</v>
      </c>
    </row>
    <row r="716">
      <c r="A716" s="5" t="str">
        <f>IFERROR(__xludf.DUMMYFUNCTION("""COMPUTED_VALUE"""),"35702")</f>
        <v>35702</v>
      </c>
      <c r="B716" s="64">
        <f>IFERROR(__xludf.DUMMYFUNCTION("""COMPUTED_VALUE"""),44638.0)</f>
        <v>44638</v>
      </c>
      <c r="C716" s="5"/>
      <c r="D716" s="5"/>
      <c r="E716" s="5"/>
      <c r="F716" s="22">
        <f>IFERROR(__xludf.DUMMYFUNCTION("""COMPUTED_VALUE"""),500000.0)</f>
        <v>500000</v>
      </c>
      <c r="G716" s="22">
        <f>IFERROR(__xludf.DUMMYFUNCTION("""COMPUTED_VALUE"""),0.0)</f>
        <v>0</v>
      </c>
      <c r="H716" s="22">
        <f>IFERROR(__xludf.DUMMYFUNCTION("""COMPUTED_VALUE"""),500000.0)</f>
        <v>500000</v>
      </c>
      <c r="I716" s="24">
        <f>IFERROR(__xludf.DUMMYFUNCTION("""COMPUTED_VALUE"""),0.0)</f>
        <v>0</v>
      </c>
    </row>
    <row r="717">
      <c r="A717" s="5" t="str">
        <f>IFERROR(__xludf.DUMMYFUNCTION("""COMPUTED_VALUE"""),"35702")</f>
        <v>35702</v>
      </c>
      <c r="B717" s="64">
        <f>IFERROR(__xludf.DUMMYFUNCTION("""COMPUTED_VALUE"""),44639.0)</f>
        <v>44639</v>
      </c>
      <c r="C717" s="5"/>
      <c r="D717" s="5"/>
      <c r="E717" s="5"/>
      <c r="F717" s="22">
        <f>IFERROR(__xludf.DUMMYFUNCTION("""COMPUTED_VALUE"""),500000.0)</f>
        <v>500000</v>
      </c>
      <c r="G717" s="22">
        <f>IFERROR(__xludf.DUMMYFUNCTION("""COMPUTED_VALUE"""),0.0)</f>
        <v>0</v>
      </c>
      <c r="H717" s="22">
        <f>IFERROR(__xludf.DUMMYFUNCTION("""COMPUTED_VALUE"""),500000.0)</f>
        <v>500000</v>
      </c>
      <c r="I717" s="24">
        <f>IFERROR(__xludf.DUMMYFUNCTION("""COMPUTED_VALUE"""),0.0)</f>
        <v>0</v>
      </c>
    </row>
    <row r="718">
      <c r="A718" s="5" t="str">
        <f>IFERROR(__xludf.DUMMYFUNCTION("""COMPUTED_VALUE"""),"35702")</f>
        <v>35702</v>
      </c>
      <c r="B718" s="64">
        <f>IFERROR(__xludf.DUMMYFUNCTION("""COMPUTED_VALUE"""),44640.0)</f>
        <v>44640</v>
      </c>
      <c r="C718" s="5"/>
      <c r="D718" s="5"/>
      <c r="E718" s="5"/>
      <c r="F718" s="22">
        <f>IFERROR(__xludf.DUMMYFUNCTION("""COMPUTED_VALUE"""),500000.0)</f>
        <v>500000</v>
      </c>
      <c r="G718" s="22">
        <f>IFERROR(__xludf.DUMMYFUNCTION("""COMPUTED_VALUE"""),0.0)</f>
        <v>0</v>
      </c>
      <c r="H718" s="22">
        <f>IFERROR(__xludf.DUMMYFUNCTION("""COMPUTED_VALUE"""),500000.0)</f>
        <v>500000</v>
      </c>
      <c r="I718" s="24">
        <f>IFERROR(__xludf.DUMMYFUNCTION("""COMPUTED_VALUE"""),0.0)</f>
        <v>0</v>
      </c>
    </row>
    <row r="719">
      <c r="A719" s="5" t="str">
        <f>IFERROR(__xludf.DUMMYFUNCTION("""COMPUTED_VALUE"""),"35702")</f>
        <v>35702</v>
      </c>
      <c r="B719" s="64">
        <f>IFERROR(__xludf.DUMMYFUNCTION("""COMPUTED_VALUE"""),44641.0)</f>
        <v>44641</v>
      </c>
      <c r="C719" s="5"/>
      <c r="D719" s="5"/>
      <c r="E719" s="5"/>
      <c r="F719" s="22">
        <f>IFERROR(__xludf.DUMMYFUNCTION("""COMPUTED_VALUE"""),500000.0)</f>
        <v>500000</v>
      </c>
      <c r="G719" s="22">
        <f>IFERROR(__xludf.DUMMYFUNCTION("""COMPUTED_VALUE"""),0.0)</f>
        <v>0</v>
      </c>
      <c r="H719" s="22">
        <f>IFERROR(__xludf.DUMMYFUNCTION("""COMPUTED_VALUE"""),500000.0)</f>
        <v>500000</v>
      </c>
      <c r="I719" s="24">
        <f>IFERROR(__xludf.DUMMYFUNCTION("""COMPUTED_VALUE"""),0.0)</f>
        <v>0</v>
      </c>
    </row>
    <row r="720">
      <c r="A720" s="5" t="str">
        <f>IFERROR(__xludf.DUMMYFUNCTION("""COMPUTED_VALUE"""),"35702")</f>
        <v>35702</v>
      </c>
      <c r="B720" s="64">
        <f>IFERROR(__xludf.DUMMYFUNCTION("""COMPUTED_VALUE"""),44642.0)</f>
        <v>44642</v>
      </c>
      <c r="C720" s="5"/>
      <c r="D720" s="5"/>
      <c r="E720" s="5"/>
      <c r="F720" s="22">
        <f>IFERROR(__xludf.DUMMYFUNCTION("""COMPUTED_VALUE"""),500000.0)</f>
        <v>500000</v>
      </c>
      <c r="G720" s="22">
        <f>IFERROR(__xludf.DUMMYFUNCTION("""COMPUTED_VALUE"""),0.0)</f>
        <v>0</v>
      </c>
      <c r="H720" s="22">
        <f>IFERROR(__xludf.DUMMYFUNCTION("""COMPUTED_VALUE"""),500000.0)</f>
        <v>500000</v>
      </c>
      <c r="I720" s="24">
        <f>IFERROR(__xludf.DUMMYFUNCTION("""COMPUTED_VALUE"""),0.0)</f>
        <v>0</v>
      </c>
    </row>
    <row r="721">
      <c r="A721" s="5" t="str">
        <f>IFERROR(__xludf.DUMMYFUNCTION("""COMPUTED_VALUE"""),"35702")</f>
        <v>35702</v>
      </c>
      <c r="B721" s="64">
        <f>IFERROR(__xludf.DUMMYFUNCTION("""COMPUTED_VALUE"""),44643.0)</f>
        <v>44643</v>
      </c>
      <c r="C721" s="5"/>
      <c r="D721" s="5"/>
      <c r="E721" s="5"/>
      <c r="F721" s="22">
        <f>IFERROR(__xludf.DUMMYFUNCTION("""COMPUTED_VALUE"""),500000.0)</f>
        <v>500000</v>
      </c>
      <c r="G721" s="22">
        <f>IFERROR(__xludf.DUMMYFUNCTION("""COMPUTED_VALUE"""),0.0)</f>
        <v>0</v>
      </c>
      <c r="H721" s="22">
        <f>IFERROR(__xludf.DUMMYFUNCTION("""COMPUTED_VALUE"""),500000.0)</f>
        <v>500000</v>
      </c>
      <c r="I721" s="24">
        <f>IFERROR(__xludf.DUMMYFUNCTION("""COMPUTED_VALUE"""),0.0)</f>
        <v>0</v>
      </c>
    </row>
    <row r="722">
      <c r="A722" s="5" t="str">
        <f>IFERROR(__xludf.DUMMYFUNCTION("""COMPUTED_VALUE"""),"35702")</f>
        <v>35702</v>
      </c>
      <c r="B722" s="64">
        <f>IFERROR(__xludf.DUMMYFUNCTION("""COMPUTED_VALUE"""),44644.0)</f>
        <v>44644</v>
      </c>
      <c r="C722" s="5"/>
      <c r="D722" s="5"/>
      <c r="E722" s="5"/>
      <c r="F722" s="22">
        <f>IFERROR(__xludf.DUMMYFUNCTION("""COMPUTED_VALUE"""),308656.173)</f>
        <v>308656.173</v>
      </c>
      <c r="G722" s="22">
        <f>IFERROR(__xludf.DUMMYFUNCTION("""COMPUTED_VALUE"""),0.0)</f>
        <v>0</v>
      </c>
      <c r="H722" s="22">
        <f>IFERROR(__xludf.DUMMYFUNCTION("""COMPUTED_VALUE"""),500000.0)</f>
        <v>500000</v>
      </c>
      <c r="I722" s="24">
        <f>IFERROR(__xludf.DUMMYFUNCTION("""COMPUTED_VALUE"""),0.0)</f>
        <v>0</v>
      </c>
    </row>
    <row r="723">
      <c r="A723" s="5" t="str">
        <f>IFERROR(__xludf.DUMMYFUNCTION("""COMPUTED_VALUE"""),"35702")</f>
        <v>35702</v>
      </c>
      <c r="B723" s="64">
        <f>IFERROR(__xludf.DUMMYFUNCTION("""COMPUTED_VALUE"""),44645.0)</f>
        <v>44645</v>
      </c>
      <c r="C723" s="5"/>
      <c r="D723" s="5"/>
      <c r="E723" s="5"/>
      <c r="F723" s="22">
        <f>IFERROR(__xludf.DUMMYFUNCTION("""COMPUTED_VALUE"""),308656.173)</f>
        <v>308656.173</v>
      </c>
      <c r="G723" s="22">
        <f>IFERROR(__xludf.DUMMYFUNCTION("""COMPUTED_VALUE"""),0.0)</f>
        <v>0</v>
      </c>
      <c r="H723" s="22">
        <f>IFERROR(__xludf.DUMMYFUNCTION("""COMPUTED_VALUE"""),480445.0445)</f>
        <v>480445.0445</v>
      </c>
      <c r="I723" s="24">
        <f>IFERROR(__xludf.DUMMYFUNCTION("""COMPUTED_VALUE"""),-0.03910991099999994)</f>
        <v>-0.039109911</v>
      </c>
    </row>
    <row r="724">
      <c r="A724" s="5" t="str">
        <f>IFERROR(__xludf.DUMMYFUNCTION("""COMPUTED_VALUE"""),"35702")</f>
        <v>35702</v>
      </c>
      <c r="B724" s="64">
        <f>IFERROR(__xludf.DUMMYFUNCTION("""COMPUTED_VALUE"""),44646.0)</f>
        <v>44646</v>
      </c>
      <c r="C724" s="5"/>
      <c r="D724" s="5"/>
      <c r="E724" s="5"/>
      <c r="F724" s="22">
        <f>IFERROR(__xludf.DUMMYFUNCTION("""COMPUTED_VALUE"""),308656.173)</f>
        <v>308656.173</v>
      </c>
      <c r="G724" s="22">
        <f>IFERROR(__xludf.DUMMYFUNCTION("""COMPUTED_VALUE"""),0.0)</f>
        <v>0</v>
      </c>
      <c r="H724" s="22">
        <f>IFERROR(__xludf.DUMMYFUNCTION("""COMPUTED_VALUE"""),480445.0445)</f>
        <v>480445.0445</v>
      </c>
      <c r="I724" s="24">
        <f>IFERROR(__xludf.DUMMYFUNCTION("""COMPUTED_VALUE"""),-0.03910991099999994)</f>
        <v>-0.039109911</v>
      </c>
    </row>
    <row r="725">
      <c r="A725" s="5" t="str">
        <f>IFERROR(__xludf.DUMMYFUNCTION("""COMPUTED_VALUE"""),"35702")</f>
        <v>35702</v>
      </c>
      <c r="B725" s="64">
        <f>IFERROR(__xludf.DUMMYFUNCTION("""COMPUTED_VALUE"""),44647.0)</f>
        <v>44647</v>
      </c>
      <c r="C725" s="5"/>
      <c r="D725" s="5"/>
      <c r="E725" s="5"/>
      <c r="F725" s="22">
        <f>IFERROR(__xludf.DUMMYFUNCTION("""COMPUTED_VALUE"""),308656.173)</f>
        <v>308656.173</v>
      </c>
      <c r="G725" s="22">
        <f>IFERROR(__xludf.DUMMYFUNCTION("""COMPUTED_VALUE"""),0.0)</f>
        <v>0</v>
      </c>
      <c r="H725" s="22">
        <f>IFERROR(__xludf.DUMMYFUNCTION("""COMPUTED_VALUE"""),480445.0445)</f>
        <v>480445.0445</v>
      </c>
      <c r="I725" s="24">
        <f>IFERROR(__xludf.DUMMYFUNCTION("""COMPUTED_VALUE"""),-0.03910991099999994)</f>
        <v>-0.039109911</v>
      </c>
    </row>
    <row r="726">
      <c r="A726" s="5" t="str">
        <f>IFERROR(__xludf.DUMMYFUNCTION("""COMPUTED_VALUE"""),"35702")</f>
        <v>35702</v>
      </c>
      <c r="B726" s="64">
        <f>IFERROR(__xludf.DUMMYFUNCTION("""COMPUTED_VALUE"""),44648.0)</f>
        <v>44648</v>
      </c>
      <c r="C726" s="5"/>
      <c r="D726" s="5"/>
      <c r="E726" s="5"/>
      <c r="F726" s="22">
        <f>IFERROR(__xludf.DUMMYFUNCTION("""COMPUTED_VALUE"""),308656.173)</f>
        <v>308656.173</v>
      </c>
      <c r="G726" s="22">
        <f>IFERROR(__xludf.DUMMYFUNCTION("""COMPUTED_VALUE"""),0.0)</f>
        <v>0</v>
      </c>
      <c r="H726" s="22">
        <f>IFERROR(__xludf.DUMMYFUNCTION("""COMPUTED_VALUE"""),490455.7895)</f>
        <v>490455.7895</v>
      </c>
      <c r="I726" s="24">
        <f>IFERROR(__xludf.DUMMYFUNCTION("""COMPUTED_VALUE"""),-0.019088420999999967)</f>
        <v>-0.019088421</v>
      </c>
    </row>
    <row r="727">
      <c r="A727" s="5" t="str">
        <f>IFERROR(__xludf.DUMMYFUNCTION("""COMPUTED_VALUE"""),"35702")</f>
        <v>35702</v>
      </c>
      <c r="B727" s="64">
        <f>IFERROR(__xludf.DUMMYFUNCTION("""COMPUTED_VALUE"""),44649.0)</f>
        <v>44649</v>
      </c>
      <c r="C727" s="5"/>
      <c r="D727" s="5"/>
      <c r="E727" s="5"/>
      <c r="F727" s="22">
        <f>IFERROR(__xludf.DUMMYFUNCTION("""COMPUTED_VALUE"""),308656.173)</f>
        <v>308656.173</v>
      </c>
      <c r="G727" s="22">
        <f>IFERROR(__xludf.DUMMYFUNCTION("""COMPUTED_VALUE"""),0.0)</f>
        <v>0</v>
      </c>
      <c r="H727" s="22">
        <f>IFERROR(__xludf.DUMMYFUNCTION("""COMPUTED_VALUE"""),497137.635)</f>
        <v>497137.635</v>
      </c>
      <c r="I727" s="24">
        <f>IFERROR(__xludf.DUMMYFUNCTION("""COMPUTED_VALUE"""),-0.005724729999999956)</f>
        <v>-0.00572473</v>
      </c>
    </row>
    <row r="728">
      <c r="A728" s="5" t="str">
        <f>IFERROR(__xludf.DUMMYFUNCTION("""COMPUTED_VALUE"""),"35702")</f>
        <v>35702</v>
      </c>
      <c r="B728" s="64">
        <f>IFERROR(__xludf.DUMMYFUNCTION("""COMPUTED_VALUE"""),44650.0)</f>
        <v>44650</v>
      </c>
      <c r="C728" s="5"/>
      <c r="D728" s="5"/>
      <c r="E728" s="5"/>
      <c r="F728" s="22">
        <f>IFERROR(__xludf.DUMMYFUNCTION("""COMPUTED_VALUE"""),308656.173)</f>
        <v>308656.173</v>
      </c>
      <c r="G728" s="22">
        <f>IFERROR(__xludf.DUMMYFUNCTION("""COMPUTED_VALUE"""),0.0)</f>
        <v>0</v>
      </c>
      <c r="H728" s="22">
        <f>IFERROR(__xludf.DUMMYFUNCTION("""COMPUTED_VALUE"""),501006.4935)</f>
        <v>501006.4935</v>
      </c>
      <c r="I728" s="24">
        <f>IFERROR(__xludf.DUMMYFUNCTION("""COMPUTED_VALUE"""),0.002012986999999855)</f>
        <v>0.002012987</v>
      </c>
    </row>
    <row r="729">
      <c r="A729" s="5" t="str">
        <f>IFERROR(__xludf.DUMMYFUNCTION("""COMPUTED_VALUE"""),"35702")</f>
        <v>35702</v>
      </c>
      <c r="B729" s="64">
        <f>IFERROR(__xludf.DUMMYFUNCTION("""COMPUTED_VALUE"""),44651.0)</f>
        <v>44651</v>
      </c>
      <c r="C729" s="5"/>
      <c r="D729" s="5"/>
      <c r="E729" s="5"/>
      <c r="F729" s="22">
        <f>IFERROR(__xludf.DUMMYFUNCTION("""COMPUTED_VALUE"""),308656.173)</f>
        <v>308656.173</v>
      </c>
      <c r="G729" s="22">
        <f>IFERROR(__xludf.DUMMYFUNCTION("""COMPUTED_VALUE"""),0.0)</f>
        <v>0</v>
      </c>
      <c r="H729" s="22">
        <f>IFERROR(__xludf.DUMMYFUNCTION("""COMPUTED_VALUE"""),489524.00549999997)</f>
        <v>489524.0055</v>
      </c>
      <c r="I729" s="24">
        <f>IFERROR(__xludf.DUMMYFUNCTION("""COMPUTED_VALUE"""),-0.02095198900000006)</f>
        <v>-0.020951989</v>
      </c>
    </row>
    <row r="730">
      <c r="A730" s="5" t="str">
        <f>IFERROR(__xludf.DUMMYFUNCTION("""COMPUTED_VALUE"""),"35702")</f>
        <v>35702</v>
      </c>
      <c r="B730" s="64">
        <f>IFERROR(__xludf.DUMMYFUNCTION("""COMPUTED_VALUE"""),44652.0)</f>
        <v>44652</v>
      </c>
      <c r="C730" s="5"/>
      <c r="D730" s="5"/>
      <c r="E730" s="5"/>
      <c r="F730" s="22">
        <f>IFERROR(__xludf.DUMMYFUNCTION("""COMPUTED_VALUE"""),308656.173)</f>
        <v>308656.173</v>
      </c>
      <c r="G730" s="22">
        <f>IFERROR(__xludf.DUMMYFUNCTION("""COMPUTED_VALUE"""),0.0)</f>
        <v>0</v>
      </c>
      <c r="H730" s="22">
        <f>IFERROR(__xludf.DUMMYFUNCTION("""COMPUTED_VALUE"""),496248.8175)</f>
        <v>496248.8175</v>
      </c>
      <c r="I730" s="24">
        <f>IFERROR(__xludf.DUMMYFUNCTION("""COMPUTED_VALUE"""),-0.007502365000000011)</f>
        <v>-0.007502365</v>
      </c>
    </row>
    <row r="731">
      <c r="A731" s="5" t="str">
        <f>IFERROR(__xludf.DUMMYFUNCTION("""COMPUTED_VALUE"""),"35702")</f>
        <v>35702</v>
      </c>
      <c r="B731" s="64">
        <f>IFERROR(__xludf.DUMMYFUNCTION("""COMPUTED_VALUE"""),44653.0)</f>
        <v>44653</v>
      </c>
      <c r="C731" s="5"/>
      <c r="D731" s="5"/>
      <c r="E731" s="5"/>
      <c r="F731" s="22">
        <f>IFERROR(__xludf.DUMMYFUNCTION("""COMPUTED_VALUE"""),308656.173)</f>
        <v>308656.173</v>
      </c>
      <c r="G731" s="22">
        <f>IFERROR(__xludf.DUMMYFUNCTION("""COMPUTED_VALUE"""),0.0)</f>
        <v>0</v>
      </c>
      <c r="H731" s="22">
        <f>IFERROR(__xludf.DUMMYFUNCTION("""COMPUTED_VALUE"""),496248.8175)</f>
        <v>496248.8175</v>
      </c>
      <c r="I731" s="24">
        <f>IFERROR(__xludf.DUMMYFUNCTION("""COMPUTED_VALUE"""),-0.007502365000000011)</f>
        <v>-0.007502365</v>
      </c>
    </row>
    <row r="732">
      <c r="A732" s="5" t="str">
        <f>IFERROR(__xludf.DUMMYFUNCTION("""COMPUTED_VALUE"""),"35702")</f>
        <v>35702</v>
      </c>
      <c r="B732" s="64">
        <f>IFERROR(__xludf.DUMMYFUNCTION("""COMPUTED_VALUE"""),44654.0)</f>
        <v>44654</v>
      </c>
      <c r="C732" s="5"/>
      <c r="D732" s="5"/>
      <c r="E732" s="5"/>
      <c r="F732" s="22">
        <f>IFERROR(__xludf.DUMMYFUNCTION("""COMPUTED_VALUE"""),308656.173)</f>
        <v>308656.173</v>
      </c>
      <c r="G732" s="22">
        <f>IFERROR(__xludf.DUMMYFUNCTION("""COMPUTED_VALUE"""),0.0)</f>
        <v>0</v>
      </c>
      <c r="H732" s="22">
        <f>IFERROR(__xludf.DUMMYFUNCTION("""COMPUTED_VALUE"""),496248.8175)</f>
        <v>496248.8175</v>
      </c>
      <c r="I732" s="24">
        <f>IFERROR(__xludf.DUMMYFUNCTION("""COMPUTED_VALUE"""),-0.007502365000000011)</f>
        <v>-0.007502365</v>
      </c>
    </row>
    <row r="733">
      <c r="A733" s="5" t="str">
        <f>IFERROR(__xludf.DUMMYFUNCTION("""COMPUTED_VALUE"""),"35702")</f>
        <v>35702</v>
      </c>
      <c r="B733" s="64">
        <f>IFERROR(__xludf.DUMMYFUNCTION("""COMPUTED_VALUE"""),44655.0)</f>
        <v>44655</v>
      </c>
      <c r="C733" s="5"/>
      <c r="D733" s="5"/>
      <c r="E733" s="5"/>
      <c r="F733" s="22">
        <f>IFERROR(__xludf.DUMMYFUNCTION("""COMPUTED_VALUE"""),308656.173)</f>
        <v>308656.173</v>
      </c>
      <c r="G733" s="22">
        <f>IFERROR(__xludf.DUMMYFUNCTION("""COMPUTED_VALUE"""),0.0)</f>
        <v>0</v>
      </c>
      <c r="H733" s="22">
        <f>IFERROR(__xludf.DUMMYFUNCTION("""COMPUTED_VALUE"""),510670.2255)</f>
        <v>510670.2255</v>
      </c>
      <c r="I733" s="24">
        <f>IFERROR(__xludf.DUMMYFUNCTION("""COMPUTED_VALUE"""),0.021340450999999927)</f>
        <v>0.021340451</v>
      </c>
    </row>
    <row r="734">
      <c r="A734" s="5" t="str">
        <f>IFERROR(__xludf.DUMMYFUNCTION("""COMPUTED_VALUE"""),"35702")</f>
        <v>35702</v>
      </c>
      <c r="B734" s="64">
        <f>IFERROR(__xludf.DUMMYFUNCTION("""COMPUTED_VALUE"""),44656.0)</f>
        <v>44656</v>
      </c>
      <c r="C734" s="5"/>
      <c r="D734" s="5"/>
      <c r="E734" s="5"/>
      <c r="F734" s="22">
        <f>IFERROR(__xludf.DUMMYFUNCTION("""COMPUTED_VALUE"""),308656.173)</f>
        <v>308656.173</v>
      </c>
      <c r="G734" s="22">
        <f>IFERROR(__xludf.DUMMYFUNCTION("""COMPUTED_VALUE"""),0.0)</f>
        <v>0</v>
      </c>
      <c r="H734" s="22">
        <f>IFERROR(__xludf.DUMMYFUNCTION("""COMPUTED_VALUE"""),499873.58849999995)</f>
        <v>499873.5885</v>
      </c>
      <c r="I734" s="24">
        <f>IFERROR(__xludf.DUMMYFUNCTION("""COMPUTED_VALUE"""),-2.5282300000006863E-4)</f>
        <v>-0.000252823</v>
      </c>
    </row>
    <row r="735">
      <c r="A735" s="5" t="str">
        <f>IFERROR(__xludf.DUMMYFUNCTION("""COMPUTED_VALUE"""),"35702")</f>
        <v>35702</v>
      </c>
      <c r="B735" s="64">
        <f>IFERROR(__xludf.DUMMYFUNCTION("""COMPUTED_VALUE"""),44657.0)</f>
        <v>44657</v>
      </c>
      <c r="C735" s="5"/>
      <c r="D735" s="5"/>
      <c r="E735" s="5"/>
      <c r="F735" s="22">
        <f>IFERROR(__xludf.DUMMYFUNCTION("""COMPUTED_VALUE"""),308656.173)</f>
        <v>308656.173</v>
      </c>
      <c r="G735" s="22">
        <f>IFERROR(__xludf.DUMMYFUNCTION("""COMPUTED_VALUE"""),0.0)</f>
        <v>0</v>
      </c>
      <c r="H735" s="22">
        <f>IFERROR(__xludf.DUMMYFUNCTION("""COMPUTED_VALUE"""),495212.905)</f>
        <v>495212.905</v>
      </c>
      <c r="I735" s="24">
        <f>IFERROR(__xludf.DUMMYFUNCTION("""COMPUTED_VALUE"""),-0.009574189999999927)</f>
        <v>-0.00957419</v>
      </c>
    </row>
    <row r="736">
      <c r="A736" s="5" t="str">
        <f>IFERROR(__xludf.DUMMYFUNCTION("""COMPUTED_VALUE"""),"35702")</f>
        <v>35702</v>
      </c>
      <c r="B736" s="64">
        <f>IFERROR(__xludf.DUMMYFUNCTION("""COMPUTED_VALUE"""),44658.0)</f>
        <v>44658</v>
      </c>
      <c r="C736" s="5"/>
      <c r="D736" s="5"/>
      <c r="E736" s="5"/>
      <c r="F736" s="22">
        <f>IFERROR(__xludf.DUMMYFUNCTION("""COMPUTED_VALUE"""),308656.173)</f>
        <v>308656.173</v>
      </c>
      <c r="G736" s="22">
        <f>IFERROR(__xludf.DUMMYFUNCTION("""COMPUTED_VALUE"""),0.0)</f>
        <v>0</v>
      </c>
      <c r="H736" s="22">
        <f>IFERROR(__xludf.DUMMYFUNCTION("""COMPUTED_VALUE"""),478474.46349999995)</f>
        <v>478474.4635</v>
      </c>
      <c r="I736" s="24">
        <f>IFERROR(__xludf.DUMMYFUNCTION("""COMPUTED_VALUE"""),-0.043051073000000106)</f>
        <v>-0.043051073</v>
      </c>
    </row>
    <row r="737">
      <c r="A737" s="5" t="str">
        <f>IFERROR(__xludf.DUMMYFUNCTION("""COMPUTED_VALUE"""),"35702")</f>
        <v>35702</v>
      </c>
      <c r="B737" s="64">
        <f>IFERROR(__xludf.DUMMYFUNCTION("""COMPUTED_VALUE"""),44659.0)</f>
        <v>44659</v>
      </c>
      <c r="C737" s="5"/>
      <c r="D737" s="5"/>
      <c r="E737" s="5"/>
      <c r="F737" s="22">
        <f>IFERROR(__xludf.DUMMYFUNCTION("""COMPUTED_VALUE"""),308656.173)</f>
        <v>308656.173</v>
      </c>
      <c r="G737" s="22">
        <f>IFERROR(__xludf.DUMMYFUNCTION("""COMPUTED_VALUE"""),0.0)</f>
        <v>0</v>
      </c>
      <c r="H737" s="22">
        <f>IFERROR(__xludf.DUMMYFUNCTION("""COMPUTED_VALUE"""),477869.173)</f>
        <v>477869.173</v>
      </c>
      <c r="I737" s="24">
        <f>IFERROR(__xludf.DUMMYFUNCTION("""COMPUTED_VALUE"""),-0.04426165399999993)</f>
        <v>-0.044261654</v>
      </c>
    </row>
    <row r="738">
      <c r="A738" s="5" t="str">
        <f>IFERROR(__xludf.DUMMYFUNCTION("""COMPUTED_VALUE"""),"35702")</f>
        <v>35702</v>
      </c>
      <c r="B738" s="64">
        <f>IFERROR(__xludf.DUMMYFUNCTION("""COMPUTED_VALUE"""),44660.0)</f>
        <v>44660</v>
      </c>
      <c r="C738" s="5"/>
      <c r="D738" s="5"/>
      <c r="E738" s="5"/>
      <c r="F738" s="22">
        <f>IFERROR(__xludf.DUMMYFUNCTION("""COMPUTED_VALUE"""),308656.173)</f>
        <v>308656.173</v>
      </c>
      <c r="G738" s="22">
        <f>IFERROR(__xludf.DUMMYFUNCTION("""COMPUTED_VALUE"""),0.0)</f>
        <v>0</v>
      </c>
      <c r="H738" s="22">
        <f>IFERROR(__xludf.DUMMYFUNCTION("""COMPUTED_VALUE"""),477869.173)</f>
        <v>477869.173</v>
      </c>
      <c r="I738" s="24">
        <f>IFERROR(__xludf.DUMMYFUNCTION("""COMPUTED_VALUE"""),-0.04426165399999993)</f>
        <v>-0.044261654</v>
      </c>
    </row>
    <row r="739">
      <c r="A739" s="5" t="str">
        <f>IFERROR(__xludf.DUMMYFUNCTION("""COMPUTED_VALUE"""),"35702")</f>
        <v>35702</v>
      </c>
      <c r="B739" s="64">
        <f>IFERROR(__xludf.DUMMYFUNCTION("""COMPUTED_VALUE"""),44661.0)</f>
        <v>44661</v>
      </c>
      <c r="C739" s="5"/>
      <c r="D739" s="5"/>
      <c r="E739" s="5"/>
      <c r="F739" s="22">
        <f>IFERROR(__xludf.DUMMYFUNCTION("""COMPUTED_VALUE"""),308656.173)</f>
        <v>308656.173</v>
      </c>
      <c r="G739" s="22">
        <f>IFERROR(__xludf.DUMMYFUNCTION("""COMPUTED_VALUE"""),0.0)</f>
        <v>0</v>
      </c>
      <c r="H739" s="22">
        <f>IFERROR(__xludf.DUMMYFUNCTION("""COMPUTED_VALUE"""),477869.173)</f>
        <v>477869.173</v>
      </c>
      <c r="I739" s="24">
        <f>IFERROR(__xludf.DUMMYFUNCTION("""COMPUTED_VALUE"""),-0.04426165399999993)</f>
        <v>-0.044261654</v>
      </c>
    </row>
    <row r="740">
      <c r="A740" s="5" t="str">
        <f>IFERROR(__xludf.DUMMYFUNCTION("""COMPUTED_VALUE"""),"35702")</f>
        <v>35702</v>
      </c>
      <c r="B740" s="64">
        <f>IFERROR(__xludf.DUMMYFUNCTION("""COMPUTED_VALUE"""),44662.0)</f>
        <v>44662</v>
      </c>
      <c r="C740" s="5"/>
      <c r="D740" s="5"/>
      <c r="E740" s="5"/>
      <c r="F740" s="22">
        <f>IFERROR(__xludf.DUMMYFUNCTION("""COMPUTED_VALUE"""),308656.173)</f>
        <v>308656.173</v>
      </c>
      <c r="G740" s="22">
        <f>IFERROR(__xludf.DUMMYFUNCTION("""COMPUTED_VALUE"""),0.0)</f>
        <v>0</v>
      </c>
      <c r="H740" s="22">
        <f>IFERROR(__xludf.DUMMYFUNCTION("""COMPUTED_VALUE"""),473402.078)</f>
        <v>473402.078</v>
      </c>
      <c r="I740" s="24">
        <f>IFERROR(__xludf.DUMMYFUNCTION("""COMPUTED_VALUE"""),-0.05319584399999999)</f>
        <v>-0.053195844</v>
      </c>
    </row>
    <row r="741">
      <c r="A741" s="5" t="str">
        <f>IFERROR(__xludf.DUMMYFUNCTION("""COMPUTED_VALUE"""),"35702")</f>
        <v>35702</v>
      </c>
      <c r="B741" s="64">
        <f>IFERROR(__xludf.DUMMYFUNCTION("""COMPUTED_VALUE"""),44663.0)</f>
        <v>44663</v>
      </c>
      <c r="C741" s="5"/>
      <c r="D741" s="5"/>
      <c r="E741" s="5"/>
      <c r="F741" s="22">
        <f>IFERROR(__xludf.DUMMYFUNCTION("""COMPUTED_VALUE"""),308656.173)</f>
        <v>308656.173</v>
      </c>
      <c r="G741" s="22">
        <f>IFERROR(__xludf.DUMMYFUNCTION("""COMPUTED_VALUE"""),0.0)</f>
        <v>0</v>
      </c>
      <c r="H741" s="22">
        <f>IFERROR(__xludf.DUMMYFUNCTION("""COMPUTED_VALUE"""),472524.402)</f>
        <v>472524.402</v>
      </c>
      <c r="I741" s="24">
        <f>IFERROR(__xludf.DUMMYFUNCTION("""COMPUTED_VALUE"""),-0.05495119599999998)</f>
        <v>-0.054951196</v>
      </c>
    </row>
    <row r="742">
      <c r="A742" s="5" t="str">
        <f>IFERROR(__xludf.DUMMYFUNCTION("""COMPUTED_VALUE"""),"35792")</f>
        <v>35792</v>
      </c>
      <c r="B742" s="64">
        <f>IFERROR(__xludf.DUMMYFUNCTION("""COMPUTED_VALUE"""),44597.0)</f>
        <v>44597</v>
      </c>
      <c r="C742" s="5"/>
      <c r="D742" s="5"/>
      <c r="E742" s="5"/>
      <c r="F742" s="22">
        <f>IFERROR(__xludf.DUMMYFUNCTION("""COMPUTED_VALUE"""),500000.0)</f>
        <v>500000</v>
      </c>
      <c r="G742" s="22">
        <f>IFERROR(__xludf.DUMMYFUNCTION("""COMPUTED_VALUE"""),0.0)</f>
        <v>0</v>
      </c>
      <c r="H742" s="22">
        <f>IFERROR(__xludf.DUMMYFUNCTION("""COMPUTED_VALUE"""),500000.0)</f>
        <v>500000</v>
      </c>
      <c r="I742" s="24">
        <f>IFERROR(__xludf.DUMMYFUNCTION("""COMPUTED_VALUE"""),0.0)</f>
        <v>0</v>
      </c>
    </row>
    <row r="743">
      <c r="A743" s="5" t="str">
        <f>IFERROR(__xludf.DUMMYFUNCTION("""COMPUTED_VALUE"""),"35792")</f>
        <v>35792</v>
      </c>
      <c r="B743" s="64">
        <f>IFERROR(__xludf.DUMMYFUNCTION("""COMPUTED_VALUE"""),44598.0)</f>
        <v>44598</v>
      </c>
      <c r="C743" s="5"/>
      <c r="D743" s="5"/>
      <c r="E743" s="5"/>
      <c r="F743" s="22">
        <f>IFERROR(__xludf.DUMMYFUNCTION("""COMPUTED_VALUE"""),500000.0)</f>
        <v>500000</v>
      </c>
      <c r="G743" s="22">
        <f>IFERROR(__xludf.DUMMYFUNCTION("""COMPUTED_VALUE"""),0.0)</f>
        <v>0</v>
      </c>
      <c r="H743" s="22">
        <f>IFERROR(__xludf.DUMMYFUNCTION("""COMPUTED_VALUE"""),500000.0)</f>
        <v>500000</v>
      </c>
      <c r="I743" s="24">
        <f>IFERROR(__xludf.DUMMYFUNCTION("""COMPUTED_VALUE"""),0.0)</f>
        <v>0</v>
      </c>
    </row>
    <row r="744">
      <c r="A744" s="5" t="str">
        <f>IFERROR(__xludf.DUMMYFUNCTION("""COMPUTED_VALUE"""),"35792")</f>
        <v>35792</v>
      </c>
      <c r="B744" s="64">
        <f>IFERROR(__xludf.DUMMYFUNCTION("""COMPUTED_VALUE"""),44599.0)</f>
        <v>44599</v>
      </c>
      <c r="C744" s="5"/>
      <c r="D744" s="5"/>
      <c r="E744" s="5"/>
      <c r="F744" s="22">
        <f>IFERROR(__xludf.DUMMYFUNCTION("""COMPUTED_VALUE"""),500000.0)</f>
        <v>500000</v>
      </c>
      <c r="G744" s="22">
        <f>IFERROR(__xludf.DUMMYFUNCTION("""COMPUTED_VALUE"""),0.0)</f>
        <v>0</v>
      </c>
      <c r="H744" s="22">
        <f>IFERROR(__xludf.DUMMYFUNCTION("""COMPUTED_VALUE"""),500000.0)</f>
        <v>500000</v>
      </c>
      <c r="I744" s="24">
        <f>IFERROR(__xludf.DUMMYFUNCTION("""COMPUTED_VALUE"""),0.0)</f>
        <v>0</v>
      </c>
    </row>
    <row r="745">
      <c r="A745" s="5" t="str">
        <f>IFERROR(__xludf.DUMMYFUNCTION("""COMPUTED_VALUE"""),"35792")</f>
        <v>35792</v>
      </c>
      <c r="B745" s="64">
        <f>IFERROR(__xludf.DUMMYFUNCTION("""COMPUTED_VALUE"""),44600.0)</f>
        <v>44600</v>
      </c>
      <c r="C745" s="5"/>
      <c r="D745" s="5"/>
      <c r="E745" s="5"/>
      <c r="F745" s="22">
        <f>IFERROR(__xludf.DUMMYFUNCTION("""COMPUTED_VALUE"""),500000.0)</f>
        <v>500000</v>
      </c>
      <c r="G745" s="22">
        <f>IFERROR(__xludf.DUMMYFUNCTION("""COMPUTED_VALUE"""),0.0)</f>
        <v>0</v>
      </c>
      <c r="H745" s="22">
        <f>IFERROR(__xludf.DUMMYFUNCTION("""COMPUTED_VALUE"""),500000.0)</f>
        <v>500000</v>
      </c>
      <c r="I745" s="24">
        <f>IFERROR(__xludf.DUMMYFUNCTION("""COMPUTED_VALUE"""),0.0)</f>
        <v>0</v>
      </c>
    </row>
    <row r="746">
      <c r="A746" s="5" t="str">
        <f>IFERROR(__xludf.DUMMYFUNCTION("""COMPUTED_VALUE"""),"35792")</f>
        <v>35792</v>
      </c>
      <c r="B746" s="64">
        <f>IFERROR(__xludf.DUMMYFUNCTION("""COMPUTED_VALUE"""),44601.0)</f>
        <v>44601</v>
      </c>
      <c r="C746" s="5"/>
      <c r="D746" s="5"/>
      <c r="E746" s="5"/>
      <c r="F746" s="22">
        <f>IFERROR(__xludf.DUMMYFUNCTION("""COMPUTED_VALUE"""),500000.0)</f>
        <v>500000</v>
      </c>
      <c r="G746" s="22">
        <f>IFERROR(__xludf.DUMMYFUNCTION("""COMPUTED_VALUE"""),0.0)</f>
        <v>0</v>
      </c>
      <c r="H746" s="22">
        <f>IFERROR(__xludf.DUMMYFUNCTION("""COMPUTED_VALUE"""),500000.0)</f>
        <v>500000</v>
      </c>
      <c r="I746" s="24">
        <f>IFERROR(__xludf.DUMMYFUNCTION("""COMPUTED_VALUE"""),0.0)</f>
        <v>0</v>
      </c>
    </row>
    <row r="747">
      <c r="A747" s="5" t="str">
        <f>IFERROR(__xludf.DUMMYFUNCTION("""COMPUTED_VALUE"""),"35792")</f>
        <v>35792</v>
      </c>
      <c r="B747" s="64">
        <f>IFERROR(__xludf.DUMMYFUNCTION("""COMPUTED_VALUE"""),44602.0)</f>
        <v>44602</v>
      </c>
      <c r="C747" s="5"/>
      <c r="D747" s="5"/>
      <c r="E747" s="5"/>
      <c r="F747" s="22">
        <f>IFERROR(__xludf.DUMMYFUNCTION("""COMPUTED_VALUE"""),500000.0)</f>
        <v>500000</v>
      </c>
      <c r="G747" s="22">
        <f>IFERROR(__xludf.DUMMYFUNCTION("""COMPUTED_VALUE"""),0.0)</f>
        <v>0</v>
      </c>
      <c r="H747" s="22">
        <f>IFERROR(__xludf.DUMMYFUNCTION("""COMPUTED_VALUE"""),500000.0)</f>
        <v>500000</v>
      </c>
      <c r="I747" s="24">
        <f>IFERROR(__xludf.DUMMYFUNCTION("""COMPUTED_VALUE"""),0.0)</f>
        <v>0</v>
      </c>
    </row>
    <row r="748">
      <c r="A748" s="5" t="str">
        <f>IFERROR(__xludf.DUMMYFUNCTION("""COMPUTED_VALUE"""),"35792")</f>
        <v>35792</v>
      </c>
      <c r="B748" s="64">
        <f>IFERROR(__xludf.DUMMYFUNCTION("""COMPUTED_VALUE"""),44603.0)</f>
        <v>44603</v>
      </c>
      <c r="C748" s="5"/>
      <c r="D748" s="5"/>
      <c r="E748" s="5"/>
      <c r="F748" s="22">
        <f>IFERROR(__xludf.DUMMYFUNCTION("""COMPUTED_VALUE"""),500000.0)</f>
        <v>500000</v>
      </c>
      <c r="G748" s="22">
        <f>IFERROR(__xludf.DUMMYFUNCTION("""COMPUTED_VALUE"""),0.0)</f>
        <v>0</v>
      </c>
      <c r="H748" s="22">
        <f>IFERROR(__xludf.DUMMYFUNCTION("""COMPUTED_VALUE"""),500000.0)</f>
        <v>500000</v>
      </c>
      <c r="I748" s="24">
        <f>IFERROR(__xludf.DUMMYFUNCTION("""COMPUTED_VALUE"""),0.0)</f>
        <v>0</v>
      </c>
    </row>
    <row r="749">
      <c r="A749" s="5" t="str">
        <f>IFERROR(__xludf.DUMMYFUNCTION("""COMPUTED_VALUE"""),"35792")</f>
        <v>35792</v>
      </c>
      <c r="B749" s="64">
        <f>IFERROR(__xludf.DUMMYFUNCTION("""COMPUTED_VALUE"""),44604.0)</f>
        <v>44604</v>
      </c>
      <c r="C749" s="5"/>
      <c r="D749" s="5"/>
      <c r="E749" s="5"/>
      <c r="F749" s="22">
        <f>IFERROR(__xludf.DUMMYFUNCTION("""COMPUTED_VALUE"""),500000.0)</f>
        <v>500000</v>
      </c>
      <c r="G749" s="22">
        <f>IFERROR(__xludf.DUMMYFUNCTION("""COMPUTED_VALUE"""),0.0)</f>
        <v>0</v>
      </c>
      <c r="H749" s="22">
        <f>IFERROR(__xludf.DUMMYFUNCTION("""COMPUTED_VALUE"""),500000.0)</f>
        <v>500000</v>
      </c>
      <c r="I749" s="24">
        <f>IFERROR(__xludf.DUMMYFUNCTION("""COMPUTED_VALUE"""),0.0)</f>
        <v>0</v>
      </c>
    </row>
    <row r="750">
      <c r="A750" s="5" t="str">
        <f>IFERROR(__xludf.DUMMYFUNCTION("""COMPUTED_VALUE"""),"35792")</f>
        <v>35792</v>
      </c>
      <c r="B750" s="64">
        <f>IFERROR(__xludf.DUMMYFUNCTION("""COMPUTED_VALUE"""),44605.0)</f>
        <v>44605</v>
      </c>
      <c r="C750" s="5"/>
      <c r="D750" s="5"/>
      <c r="E750" s="5"/>
      <c r="F750" s="22">
        <f>IFERROR(__xludf.DUMMYFUNCTION("""COMPUTED_VALUE"""),500000.0)</f>
        <v>500000</v>
      </c>
      <c r="G750" s="22">
        <f>IFERROR(__xludf.DUMMYFUNCTION("""COMPUTED_VALUE"""),0.0)</f>
        <v>0</v>
      </c>
      <c r="H750" s="22">
        <f>IFERROR(__xludf.DUMMYFUNCTION("""COMPUTED_VALUE"""),500000.0)</f>
        <v>500000</v>
      </c>
      <c r="I750" s="24">
        <f>IFERROR(__xludf.DUMMYFUNCTION("""COMPUTED_VALUE"""),0.0)</f>
        <v>0</v>
      </c>
    </row>
    <row r="751">
      <c r="A751" s="5" t="str">
        <f>IFERROR(__xludf.DUMMYFUNCTION("""COMPUTED_VALUE"""),"35792")</f>
        <v>35792</v>
      </c>
      <c r="B751" s="64">
        <f>IFERROR(__xludf.DUMMYFUNCTION("""COMPUTED_VALUE"""),44606.0)</f>
        <v>44606</v>
      </c>
      <c r="C751" s="5"/>
      <c r="D751" s="5"/>
      <c r="E751" s="5"/>
      <c r="F751" s="22">
        <f>IFERROR(__xludf.DUMMYFUNCTION("""COMPUTED_VALUE"""),500000.0)</f>
        <v>500000</v>
      </c>
      <c r="G751" s="22">
        <f>IFERROR(__xludf.DUMMYFUNCTION("""COMPUTED_VALUE"""),0.0)</f>
        <v>0</v>
      </c>
      <c r="H751" s="22">
        <f>IFERROR(__xludf.DUMMYFUNCTION("""COMPUTED_VALUE"""),500000.0)</f>
        <v>500000</v>
      </c>
      <c r="I751" s="24">
        <f>IFERROR(__xludf.DUMMYFUNCTION("""COMPUTED_VALUE"""),0.0)</f>
        <v>0</v>
      </c>
    </row>
    <row r="752">
      <c r="A752" s="5" t="str">
        <f>IFERROR(__xludf.DUMMYFUNCTION("""COMPUTED_VALUE"""),"35792")</f>
        <v>35792</v>
      </c>
      <c r="B752" s="64">
        <f>IFERROR(__xludf.DUMMYFUNCTION("""COMPUTED_VALUE"""),44607.0)</f>
        <v>44607</v>
      </c>
      <c r="C752" s="5"/>
      <c r="D752" s="5"/>
      <c r="E752" s="5"/>
      <c r="F752" s="22">
        <f>IFERROR(__xludf.DUMMYFUNCTION("""COMPUTED_VALUE"""),500000.0)</f>
        <v>500000</v>
      </c>
      <c r="G752" s="22">
        <f>IFERROR(__xludf.DUMMYFUNCTION("""COMPUTED_VALUE"""),0.0)</f>
        <v>0</v>
      </c>
      <c r="H752" s="22">
        <f>IFERROR(__xludf.DUMMYFUNCTION("""COMPUTED_VALUE"""),500000.0)</f>
        <v>500000</v>
      </c>
      <c r="I752" s="24">
        <f>IFERROR(__xludf.DUMMYFUNCTION("""COMPUTED_VALUE"""),0.0)</f>
        <v>0</v>
      </c>
    </row>
    <row r="753">
      <c r="A753" s="5" t="str">
        <f>IFERROR(__xludf.DUMMYFUNCTION("""COMPUTED_VALUE"""),"35792")</f>
        <v>35792</v>
      </c>
      <c r="B753" s="64">
        <f>IFERROR(__xludf.DUMMYFUNCTION("""COMPUTED_VALUE"""),44608.0)</f>
        <v>44608</v>
      </c>
      <c r="C753" s="5"/>
      <c r="D753" s="5"/>
      <c r="E753" s="5"/>
      <c r="F753" s="22">
        <f>IFERROR(__xludf.DUMMYFUNCTION("""COMPUTED_VALUE"""),500000.0)</f>
        <v>500000</v>
      </c>
      <c r="G753" s="22">
        <f>IFERROR(__xludf.DUMMYFUNCTION("""COMPUTED_VALUE"""),0.0)</f>
        <v>0</v>
      </c>
      <c r="H753" s="22">
        <f>IFERROR(__xludf.DUMMYFUNCTION("""COMPUTED_VALUE"""),500000.0)</f>
        <v>500000</v>
      </c>
      <c r="I753" s="24">
        <f>IFERROR(__xludf.DUMMYFUNCTION("""COMPUTED_VALUE"""),0.0)</f>
        <v>0</v>
      </c>
    </row>
    <row r="754">
      <c r="A754" s="5" t="str">
        <f>IFERROR(__xludf.DUMMYFUNCTION("""COMPUTED_VALUE"""),"35792")</f>
        <v>35792</v>
      </c>
      <c r="B754" s="64">
        <f>IFERROR(__xludf.DUMMYFUNCTION("""COMPUTED_VALUE"""),44609.0)</f>
        <v>44609</v>
      </c>
      <c r="C754" s="5"/>
      <c r="D754" s="5"/>
      <c r="E754" s="5"/>
      <c r="F754" s="22">
        <f>IFERROR(__xludf.DUMMYFUNCTION("""COMPUTED_VALUE"""),500000.0)</f>
        <v>500000</v>
      </c>
      <c r="G754" s="22">
        <f>IFERROR(__xludf.DUMMYFUNCTION("""COMPUTED_VALUE"""),0.0)</f>
        <v>0</v>
      </c>
      <c r="H754" s="22">
        <f>IFERROR(__xludf.DUMMYFUNCTION("""COMPUTED_VALUE"""),500000.0)</f>
        <v>500000</v>
      </c>
      <c r="I754" s="24">
        <f>IFERROR(__xludf.DUMMYFUNCTION("""COMPUTED_VALUE"""),0.0)</f>
        <v>0</v>
      </c>
    </row>
    <row r="755">
      <c r="A755" s="5" t="str">
        <f>IFERROR(__xludf.DUMMYFUNCTION("""COMPUTED_VALUE"""),"35792")</f>
        <v>35792</v>
      </c>
      <c r="B755" s="64">
        <f>IFERROR(__xludf.DUMMYFUNCTION("""COMPUTED_VALUE"""),44610.0)</f>
        <v>44610</v>
      </c>
      <c r="C755" s="5"/>
      <c r="D755" s="5"/>
      <c r="E755" s="5"/>
      <c r="F755" s="22">
        <f>IFERROR(__xludf.DUMMYFUNCTION("""COMPUTED_VALUE"""),500000.0)</f>
        <v>500000</v>
      </c>
      <c r="G755" s="22">
        <f>IFERROR(__xludf.DUMMYFUNCTION("""COMPUTED_VALUE"""),0.0)</f>
        <v>0</v>
      </c>
      <c r="H755" s="22">
        <f>IFERROR(__xludf.DUMMYFUNCTION("""COMPUTED_VALUE"""),500000.0)</f>
        <v>500000</v>
      </c>
      <c r="I755" s="24">
        <f>IFERROR(__xludf.DUMMYFUNCTION("""COMPUTED_VALUE"""),0.0)</f>
        <v>0</v>
      </c>
    </row>
    <row r="756">
      <c r="A756" s="5" t="str">
        <f>IFERROR(__xludf.DUMMYFUNCTION("""COMPUTED_VALUE"""),"35792")</f>
        <v>35792</v>
      </c>
      <c r="B756" s="64">
        <f>IFERROR(__xludf.DUMMYFUNCTION("""COMPUTED_VALUE"""),44611.0)</f>
        <v>44611</v>
      </c>
      <c r="C756" s="5"/>
      <c r="D756" s="5"/>
      <c r="E756" s="5"/>
      <c r="F756" s="22">
        <f>IFERROR(__xludf.DUMMYFUNCTION("""COMPUTED_VALUE"""),500000.0)</f>
        <v>500000</v>
      </c>
      <c r="G756" s="22">
        <f>IFERROR(__xludf.DUMMYFUNCTION("""COMPUTED_VALUE"""),0.0)</f>
        <v>0</v>
      </c>
      <c r="H756" s="22">
        <f>IFERROR(__xludf.DUMMYFUNCTION("""COMPUTED_VALUE"""),500000.0)</f>
        <v>500000</v>
      </c>
      <c r="I756" s="24">
        <f>IFERROR(__xludf.DUMMYFUNCTION("""COMPUTED_VALUE"""),0.0)</f>
        <v>0</v>
      </c>
    </row>
    <row r="757">
      <c r="A757" s="5" t="str">
        <f>IFERROR(__xludf.DUMMYFUNCTION("""COMPUTED_VALUE"""),"35792")</f>
        <v>35792</v>
      </c>
      <c r="B757" s="64">
        <f>IFERROR(__xludf.DUMMYFUNCTION("""COMPUTED_VALUE"""),44612.0)</f>
        <v>44612</v>
      </c>
      <c r="C757" s="5"/>
      <c r="D757" s="5"/>
      <c r="E757" s="5"/>
      <c r="F757" s="22">
        <f>IFERROR(__xludf.DUMMYFUNCTION("""COMPUTED_VALUE"""),500000.0)</f>
        <v>500000</v>
      </c>
      <c r="G757" s="22">
        <f>IFERROR(__xludf.DUMMYFUNCTION("""COMPUTED_VALUE"""),0.0)</f>
        <v>0</v>
      </c>
      <c r="H757" s="22">
        <f>IFERROR(__xludf.DUMMYFUNCTION("""COMPUTED_VALUE"""),500000.0)</f>
        <v>500000</v>
      </c>
      <c r="I757" s="24">
        <f>IFERROR(__xludf.DUMMYFUNCTION("""COMPUTED_VALUE"""),0.0)</f>
        <v>0</v>
      </c>
    </row>
    <row r="758">
      <c r="A758" s="5" t="str">
        <f>IFERROR(__xludf.DUMMYFUNCTION("""COMPUTED_VALUE"""),"35792")</f>
        <v>35792</v>
      </c>
      <c r="B758" s="64">
        <f>IFERROR(__xludf.DUMMYFUNCTION("""COMPUTED_VALUE"""),44613.0)</f>
        <v>44613</v>
      </c>
      <c r="C758" s="5"/>
      <c r="D758" s="5"/>
      <c r="E758" s="5"/>
      <c r="F758" s="22">
        <f>IFERROR(__xludf.DUMMYFUNCTION("""COMPUTED_VALUE"""),500000.0)</f>
        <v>500000</v>
      </c>
      <c r="G758" s="22">
        <f>IFERROR(__xludf.DUMMYFUNCTION("""COMPUTED_VALUE"""),0.0)</f>
        <v>0</v>
      </c>
      <c r="H758" s="22">
        <f>IFERROR(__xludf.DUMMYFUNCTION("""COMPUTED_VALUE"""),500000.0)</f>
        <v>500000</v>
      </c>
      <c r="I758" s="24">
        <f>IFERROR(__xludf.DUMMYFUNCTION("""COMPUTED_VALUE"""),0.0)</f>
        <v>0</v>
      </c>
    </row>
    <row r="759">
      <c r="A759" s="5" t="str">
        <f>IFERROR(__xludf.DUMMYFUNCTION("""COMPUTED_VALUE"""),"35792")</f>
        <v>35792</v>
      </c>
      <c r="B759" s="64">
        <f>IFERROR(__xludf.DUMMYFUNCTION("""COMPUTED_VALUE"""),44614.0)</f>
        <v>44614</v>
      </c>
      <c r="C759" s="5"/>
      <c r="D759" s="5"/>
      <c r="E759" s="5"/>
      <c r="F759" s="22">
        <f>IFERROR(__xludf.DUMMYFUNCTION("""COMPUTED_VALUE"""),500000.0)</f>
        <v>500000</v>
      </c>
      <c r="G759" s="22">
        <f>IFERROR(__xludf.DUMMYFUNCTION("""COMPUTED_VALUE"""),0.0)</f>
        <v>0</v>
      </c>
      <c r="H759" s="22">
        <f>IFERROR(__xludf.DUMMYFUNCTION("""COMPUTED_VALUE"""),500000.0)</f>
        <v>500000</v>
      </c>
      <c r="I759" s="24">
        <f>IFERROR(__xludf.DUMMYFUNCTION("""COMPUTED_VALUE"""),0.0)</f>
        <v>0</v>
      </c>
    </row>
    <row r="760">
      <c r="A760" s="5" t="str">
        <f>IFERROR(__xludf.DUMMYFUNCTION("""COMPUTED_VALUE"""),"35792")</f>
        <v>35792</v>
      </c>
      <c r="B760" s="64">
        <f>IFERROR(__xludf.DUMMYFUNCTION("""COMPUTED_VALUE"""),44615.0)</f>
        <v>44615</v>
      </c>
      <c r="C760" s="5"/>
      <c r="D760" s="5"/>
      <c r="E760" s="5"/>
      <c r="F760" s="22">
        <f>IFERROR(__xludf.DUMMYFUNCTION("""COMPUTED_VALUE"""),500000.0)</f>
        <v>500000</v>
      </c>
      <c r="G760" s="22">
        <f>IFERROR(__xludf.DUMMYFUNCTION("""COMPUTED_VALUE"""),0.0)</f>
        <v>0</v>
      </c>
      <c r="H760" s="22">
        <f>IFERROR(__xludf.DUMMYFUNCTION("""COMPUTED_VALUE"""),500000.0)</f>
        <v>500000</v>
      </c>
      <c r="I760" s="24">
        <f>IFERROR(__xludf.DUMMYFUNCTION("""COMPUTED_VALUE"""),0.0)</f>
        <v>0</v>
      </c>
    </row>
    <row r="761">
      <c r="A761" s="5" t="str">
        <f>IFERROR(__xludf.DUMMYFUNCTION("""COMPUTED_VALUE"""),"35792")</f>
        <v>35792</v>
      </c>
      <c r="B761" s="64">
        <f>IFERROR(__xludf.DUMMYFUNCTION("""COMPUTED_VALUE"""),44616.0)</f>
        <v>44616</v>
      </c>
      <c r="C761" s="5"/>
      <c r="D761" s="5"/>
      <c r="E761" s="5"/>
      <c r="F761" s="22">
        <f>IFERROR(__xludf.DUMMYFUNCTION("""COMPUTED_VALUE"""),500000.0)</f>
        <v>500000</v>
      </c>
      <c r="G761" s="22">
        <f>IFERROR(__xludf.DUMMYFUNCTION("""COMPUTED_VALUE"""),0.0)</f>
        <v>0</v>
      </c>
      <c r="H761" s="22">
        <f>IFERROR(__xludf.DUMMYFUNCTION("""COMPUTED_VALUE"""),500000.0)</f>
        <v>500000</v>
      </c>
      <c r="I761" s="24">
        <f>IFERROR(__xludf.DUMMYFUNCTION("""COMPUTED_VALUE"""),0.0)</f>
        <v>0</v>
      </c>
    </row>
    <row r="762">
      <c r="A762" s="5" t="str">
        <f>IFERROR(__xludf.DUMMYFUNCTION("""COMPUTED_VALUE"""),"35792")</f>
        <v>35792</v>
      </c>
      <c r="B762" s="64">
        <f>IFERROR(__xludf.DUMMYFUNCTION("""COMPUTED_VALUE"""),44617.0)</f>
        <v>44617</v>
      </c>
      <c r="C762" s="5"/>
      <c r="D762" s="5"/>
      <c r="E762" s="5"/>
      <c r="F762" s="22">
        <f>IFERROR(__xludf.DUMMYFUNCTION("""COMPUTED_VALUE"""),500000.0)</f>
        <v>500000</v>
      </c>
      <c r="G762" s="22">
        <f>IFERROR(__xludf.DUMMYFUNCTION("""COMPUTED_VALUE"""),0.0)</f>
        <v>0</v>
      </c>
      <c r="H762" s="22">
        <f>IFERROR(__xludf.DUMMYFUNCTION("""COMPUTED_VALUE"""),500000.0)</f>
        <v>500000</v>
      </c>
      <c r="I762" s="24">
        <f>IFERROR(__xludf.DUMMYFUNCTION("""COMPUTED_VALUE"""),0.0)</f>
        <v>0</v>
      </c>
    </row>
    <row r="763">
      <c r="A763" s="5" t="str">
        <f>IFERROR(__xludf.DUMMYFUNCTION("""COMPUTED_VALUE"""),"35792")</f>
        <v>35792</v>
      </c>
      <c r="B763" s="64">
        <f>IFERROR(__xludf.DUMMYFUNCTION("""COMPUTED_VALUE"""),44618.0)</f>
        <v>44618</v>
      </c>
      <c r="C763" s="5"/>
      <c r="D763" s="5"/>
      <c r="E763" s="5"/>
      <c r="F763" s="22">
        <f>IFERROR(__xludf.DUMMYFUNCTION("""COMPUTED_VALUE"""),500000.0)</f>
        <v>500000</v>
      </c>
      <c r="G763" s="22">
        <f>IFERROR(__xludf.DUMMYFUNCTION("""COMPUTED_VALUE"""),0.0)</f>
        <v>0</v>
      </c>
      <c r="H763" s="22">
        <f>IFERROR(__xludf.DUMMYFUNCTION("""COMPUTED_VALUE"""),500000.0)</f>
        <v>500000</v>
      </c>
      <c r="I763" s="24">
        <f>IFERROR(__xludf.DUMMYFUNCTION("""COMPUTED_VALUE"""),0.0)</f>
        <v>0</v>
      </c>
    </row>
    <row r="764">
      <c r="A764" s="5" t="str">
        <f>IFERROR(__xludf.DUMMYFUNCTION("""COMPUTED_VALUE"""),"35792")</f>
        <v>35792</v>
      </c>
      <c r="B764" s="64">
        <f>IFERROR(__xludf.DUMMYFUNCTION("""COMPUTED_VALUE"""),44619.0)</f>
        <v>44619</v>
      </c>
      <c r="C764" s="5"/>
      <c r="D764" s="5"/>
      <c r="E764" s="5"/>
      <c r="F764" s="22">
        <f>IFERROR(__xludf.DUMMYFUNCTION("""COMPUTED_VALUE"""),500000.0)</f>
        <v>500000</v>
      </c>
      <c r="G764" s="22">
        <f>IFERROR(__xludf.DUMMYFUNCTION("""COMPUTED_VALUE"""),0.0)</f>
        <v>0</v>
      </c>
      <c r="H764" s="22">
        <f>IFERROR(__xludf.DUMMYFUNCTION("""COMPUTED_VALUE"""),500000.0)</f>
        <v>500000</v>
      </c>
      <c r="I764" s="24">
        <f>IFERROR(__xludf.DUMMYFUNCTION("""COMPUTED_VALUE"""),0.0)</f>
        <v>0</v>
      </c>
    </row>
    <row r="765">
      <c r="A765" s="5" t="str">
        <f>IFERROR(__xludf.DUMMYFUNCTION("""COMPUTED_VALUE"""),"35792")</f>
        <v>35792</v>
      </c>
      <c r="B765" s="64">
        <f>IFERROR(__xludf.DUMMYFUNCTION("""COMPUTED_VALUE"""),44620.0)</f>
        <v>44620</v>
      </c>
      <c r="C765" s="5"/>
      <c r="D765" s="5"/>
      <c r="E765" s="5"/>
      <c r="F765" s="22">
        <f>IFERROR(__xludf.DUMMYFUNCTION("""COMPUTED_VALUE"""),500000.0)</f>
        <v>500000</v>
      </c>
      <c r="G765" s="22">
        <f>IFERROR(__xludf.DUMMYFUNCTION("""COMPUTED_VALUE"""),0.0)</f>
        <v>0</v>
      </c>
      <c r="H765" s="22">
        <f>IFERROR(__xludf.DUMMYFUNCTION("""COMPUTED_VALUE"""),500000.0)</f>
        <v>500000</v>
      </c>
      <c r="I765" s="24">
        <f>IFERROR(__xludf.DUMMYFUNCTION("""COMPUTED_VALUE"""),0.0)</f>
        <v>0</v>
      </c>
    </row>
    <row r="766">
      <c r="A766" s="5" t="str">
        <f>IFERROR(__xludf.DUMMYFUNCTION("""COMPUTED_VALUE"""),"35792")</f>
        <v>35792</v>
      </c>
      <c r="B766" s="64">
        <f>IFERROR(__xludf.DUMMYFUNCTION("""COMPUTED_VALUE"""),44621.0)</f>
        <v>44621</v>
      </c>
      <c r="C766" s="5"/>
      <c r="D766" s="5"/>
      <c r="E766" s="5"/>
      <c r="F766" s="22">
        <f>IFERROR(__xludf.DUMMYFUNCTION("""COMPUTED_VALUE"""),500000.0)</f>
        <v>500000</v>
      </c>
      <c r="G766" s="22">
        <f>IFERROR(__xludf.DUMMYFUNCTION("""COMPUTED_VALUE"""),0.0)</f>
        <v>0</v>
      </c>
      <c r="H766" s="22">
        <f>IFERROR(__xludf.DUMMYFUNCTION("""COMPUTED_VALUE"""),500000.0)</f>
        <v>500000</v>
      </c>
      <c r="I766" s="24">
        <f>IFERROR(__xludf.DUMMYFUNCTION("""COMPUTED_VALUE"""),0.0)</f>
        <v>0</v>
      </c>
    </row>
    <row r="767">
      <c r="A767" s="5" t="str">
        <f>IFERROR(__xludf.DUMMYFUNCTION("""COMPUTED_VALUE"""),"35792")</f>
        <v>35792</v>
      </c>
      <c r="B767" s="64">
        <f>IFERROR(__xludf.DUMMYFUNCTION("""COMPUTED_VALUE"""),44622.0)</f>
        <v>44622</v>
      </c>
      <c r="C767" s="5"/>
      <c r="D767" s="5"/>
      <c r="E767" s="5"/>
      <c r="F767" s="22">
        <f>IFERROR(__xludf.DUMMYFUNCTION("""COMPUTED_VALUE"""),500000.0)</f>
        <v>500000</v>
      </c>
      <c r="G767" s="22">
        <f>IFERROR(__xludf.DUMMYFUNCTION("""COMPUTED_VALUE"""),0.0)</f>
        <v>0</v>
      </c>
      <c r="H767" s="22">
        <f>IFERROR(__xludf.DUMMYFUNCTION("""COMPUTED_VALUE"""),500000.0)</f>
        <v>500000</v>
      </c>
      <c r="I767" s="24">
        <f>IFERROR(__xludf.DUMMYFUNCTION("""COMPUTED_VALUE"""),0.0)</f>
        <v>0</v>
      </c>
    </row>
    <row r="768">
      <c r="A768" s="5" t="str">
        <f>IFERROR(__xludf.DUMMYFUNCTION("""COMPUTED_VALUE"""),"35792")</f>
        <v>35792</v>
      </c>
      <c r="B768" s="64">
        <f>IFERROR(__xludf.DUMMYFUNCTION("""COMPUTED_VALUE"""),44623.0)</f>
        <v>44623</v>
      </c>
      <c r="C768" s="5"/>
      <c r="D768" s="5"/>
      <c r="E768" s="5"/>
      <c r="F768" s="22">
        <f>IFERROR(__xludf.DUMMYFUNCTION("""COMPUTED_VALUE"""),500000.0)</f>
        <v>500000</v>
      </c>
      <c r="G768" s="22">
        <f>IFERROR(__xludf.DUMMYFUNCTION("""COMPUTED_VALUE"""),0.0)</f>
        <v>0</v>
      </c>
      <c r="H768" s="22">
        <f>IFERROR(__xludf.DUMMYFUNCTION("""COMPUTED_VALUE"""),500000.0)</f>
        <v>500000</v>
      </c>
      <c r="I768" s="24">
        <f>IFERROR(__xludf.DUMMYFUNCTION("""COMPUTED_VALUE"""),0.0)</f>
        <v>0</v>
      </c>
    </row>
    <row r="769">
      <c r="A769" s="5" t="str">
        <f>IFERROR(__xludf.DUMMYFUNCTION("""COMPUTED_VALUE"""),"35792")</f>
        <v>35792</v>
      </c>
      <c r="B769" s="64">
        <f>IFERROR(__xludf.DUMMYFUNCTION("""COMPUTED_VALUE"""),44624.0)</f>
        <v>44624</v>
      </c>
      <c r="C769" s="5"/>
      <c r="D769" s="5"/>
      <c r="E769" s="5"/>
      <c r="F769" s="22">
        <f>IFERROR(__xludf.DUMMYFUNCTION("""COMPUTED_VALUE"""),500000.0)</f>
        <v>500000</v>
      </c>
      <c r="G769" s="22">
        <f>IFERROR(__xludf.DUMMYFUNCTION("""COMPUTED_VALUE"""),0.0)</f>
        <v>0</v>
      </c>
      <c r="H769" s="22">
        <f>IFERROR(__xludf.DUMMYFUNCTION("""COMPUTED_VALUE"""),500000.0)</f>
        <v>500000</v>
      </c>
      <c r="I769" s="24">
        <f>IFERROR(__xludf.DUMMYFUNCTION("""COMPUTED_VALUE"""),0.0)</f>
        <v>0</v>
      </c>
    </row>
    <row r="770">
      <c r="A770" s="5" t="str">
        <f>IFERROR(__xludf.DUMMYFUNCTION("""COMPUTED_VALUE"""),"35792")</f>
        <v>35792</v>
      </c>
      <c r="B770" s="64">
        <f>IFERROR(__xludf.DUMMYFUNCTION("""COMPUTED_VALUE"""),44625.0)</f>
        <v>44625</v>
      </c>
      <c r="C770" s="5"/>
      <c r="D770" s="5"/>
      <c r="E770" s="5"/>
      <c r="F770" s="22">
        <f>IFERROR(__xludf.DUMMYFUNCTION("""COMPUTED_VALUE"""),500000.0)</f>
        <v>500000</v>
      </c>
      <c r="G770" s="22">
        <f>IFERROR(__xludf.DUMMYFUNCTION("""COMPUTED_VALUE"""),0.0)</f>
        <v>0</v>
      </c>
      <c r="H770" s="22">
        <f>IFERROR(__xludf.DUMMYFUNCTION("""COMPUTED_VALUE"""),500000.0)</f>
        <v>500000</v>
      </c>
      <c r="I770" s="24">
        <f>IFERROR(__xludf.DUMMYFUNCTION("""COMPUTED_VALUE"""),0.0)</f>
        <v>0</v>
      </c>
    </row>
    <row r="771">
      <c r="A771" s="5" t="str">
        <f>IFERROR(__xludf.DUMMYFUNCTION("""COMPUTED_VALUE"""),"35792")</f>
        <v>35792</v>
      </c>
      <c r="B771" s="64">
        <f>IFERROR(__xludf.DUMMYFUNCTION("""COMPUTED_VALUE"""),44626.0)</f>
        <v>44626</v>
      </c>
      <c r="C771" s="5"/>
      <c r="D771" s="5"/>
      <c r="E771" s="5"/>
      <c r="F771" s="22">
        <f>IFERROR(__xludf.DUMMYFUNCTION("""COMPUTED_VALUE"""),500000.0)</f>
        <v>500000</v>
      </c>
      <c r="G771" s="22">
        <f>IFERROR(__xludf.DUMMYFUNCTION("""COMPUTED_VALUE"""),0.0)</f>
        <v>0</v>
      </c>
      <c r="H771" s="22">
        <f>IFERROR(__xludf.DUMMYFUNCTION("""COMPUTED_VALUE"""),500000.0)</f>
        <v>500000</v>
      </c>
      <c r="I771" s="24">
        <f>IFERROR(__xludf.DUMMYFUNCTION("""COMPUTED_VALUE"""),0.0)</f>
        <v>0</v>
      </c>
    </row>
    <row r="772">
      <c r="A772" s="5" t="str">
        <f>IFERROR(__xludf.DUMMYFUNCTION("""COMPUTED_VALUE"""),"35792")</f>
        <v>35792</v>
      </c>
      <c r="B772" s="64">
        <f>IFERROR(__xludf.DUMMYFUNCTION("""COMPUTED_VALUE"""),44627.0)</f>
        <v>44627</v>
      </c>
      <c r="C772" s="5"/>
      <c r="D772" s="5"/>
      <c r="E772" s="5"/>
      <c r="F772" s="22">
        <f>IFERROR(__xludf.DUMMYFUNCTION("""COMPUTED_VALUE"""),500000.0)</f>
        <v>500000</v>
      </c>
      <c r="G772" s="22">
        <f>IFERROR(__xludf.DUMMYFUNCTION("""COMPUTED_VALUE"""),0.0)</f>
        <v>0</v>
      </c>
      <c r="H772" s="22">
        <f>IFERROR(__xludf.DUMMYFUNCTION("""COMPUTED_VALUE"""),500000.0)</f>
        <v>500000</v>
      </c>
      <c r="I772" s="24">
        <f>IFERROR(__xludf.DUMMYFUNCTION("""COMPUTED_VALUE"""),0.0)</f>
        <v>0</v>
      </c>
    </row>
    <row r="773">
      <c r="A773" s="5" t="str">
        <f>IFERROR(__xludf.DUMMYFUNCTION("""COMPUTED_VALUE"""),"35792")</f>
        <v>35792</v>
      </c>
      <c r="B773" s="64">
        <f>IFERROR(__xludf.DUMMYFUNCTION("""COMPUTED_VALUE"""),44628.0)</f>
        <v>44628</v>
      </c>
      <c r="C773" s="5"/>
      <c r="D773" s="5"/>
      <c r="E773" s="5"/>
      <c r="F773" s="22">
        <f>IFERROR(__xludf.DUMMYFUNCTION("""COMPUTED_VALUE"""),500000.0)</f>
        <v>500000</v>
      </c>
      <c r="G773" s="22">
        <f>IFERROR(__xludf.DUMMYFUNCTION("""COMPUTED_VALUE"""),0.0)</f>
        <v>0</v>
      </c>
      <c r="H773" s="22">
        <f>IFERROR(__xludf.DUMMYFUNCTION("""COMPUTED_VALUE"""),500000.0)</f>
        <v>500000</v>
      </c>
      <c r="I773" s="24">
        <f>IFERROR(__xludf.DUMMYFUNCTION("""COMPUTED_VALUE"""),0.0)</f>
        <v>0</v>
      </c>
    </row>
    <row r="774">
      <c r="A774" s="5" t="str">
        <f>IFERROR(__xludf.DUMMYFUNCTION("""COMPUTED_VALUE"""),"35792")</f>
        <v>35792</v>
      </c>
      <c r="B774" s="64">
        <f>IFERROR(__xludf.DUMMYFUNCTION("""COMPUTED_VALUE"""),44629.0)</f>
        <v>44629</v>
      </c>
      <c r="C774" s="5"/>
      <c r="D774" s="5"/>
      <c r="E774" s="5"/>
      <c r="F774" s="22">
        <f>IFERROR(__xludf.DUMMYFUNCTION("""COMPUTED_VALUE"""),500000.0)</f>
        <v>500000</v>
      </c>
      <c r="G774" s="22">
        <f>IFERROR(__xludf.DUMMYFUNCTION("""COMPUTED_VALUE"""),0.0)</f>
        <v>0</v>
      </c>
      <c r="H774" s="22">
        <f>IFERROR(__xludf.DUMMYFUNCTION("""COMPUTED_VALUE"""),500000.0)</f>
        <v>500000</v>
      </c>
      <c r="I774" s="24">
        <f>IFERROR(__xludf.DUMMYFUNCTION("""COMPUTED_VALUE"""),0.0)</f>
        <v>0</v>
      </c>
    </row>
    <row r="775">
      <c r="A775" s="5" t="str">
        <f>IFERROR(__xludf.DUMMYFUNCTION("""COMPUTED_VALUE"""),"35792")</f>
        <v>35792</v>
      </c>
      <c r="B775" s="64">
        <f>IFERROR(__xludf.DUMMYFUNCTION("""COMPUTED_VALUE"""),44630.0)</f>
        <v>44630</v>
      </c>
      <c r="C775" s="5"/>
      <c r="D775" s="5"/>
      <c r="E775" s="5"/>
      <c r="F775" s="22">
        <f>IFERROR(__xludf.DUMMYFUNCTION("""COMPUTED_VALUE"""),500000.0)</f>
        <v>500000</v>
      </c>
      <c r="G775" s="22">
        <f>IFERROR(__xludf.DUMMYFUNCTION("""COMPUTED_VALUE"""),0.0)</f>
        <v>0</v>
      </c>
      <c r="H775" s="22">
        <f>IFERROR(__xludf.DUMMYFUNCTION("""COMPUTED_VALUE"""),500000.0)</f>
        <v>500000</v>
      </c>
      <c r="I775" s="24">
        <f>IFERROR(__xludf.DUMMYFUNCTION("""COMPUTED_VALUE"""),0.0)</f>
        <v>0</v>
      </c>
    </row>
    <row r="776">
      <c r="A776" s="5" t="str">
        <f>IFERROR(__xludf.DUMMYFUNCTION("""COMPUTED_VALUE"""),"35792")</f>
        <v>35792</v>
      </c>
      <c r="B776" s="64">
        <f>IFERROR(__xludf.DUMMYFUNCTION("""COMPUTED_VALUE"""),44631.0)</f>
        <v>44631</v>
      </c>
      <c r="C776" s="5"/>
      <c r="D776" s="5"/>
      <c r="E776" s="5"/>
      <c r="F776" s="22">
        <f>IFERROR(__xludf.DUMMYFUNCTION("""COMPUTED_VALUE"""),500000.0)</f>
        <v>500000</v>
      </c>
      <c r="G776" s="22">
        <f>IFERROR(__xludf.DUMMYFUNCTION("""COMPUTED_VALUE"""),0.0)</f>
        <v>0</v>
      </c>
      <c r="H776" s="22">
        <f>IFERROR(__xludf.DUMMYFUNCTION("""COMPUTED_VALUE"""),500000.0)</f>
        <v>500000</v>
      </c>
      <c r="I776" s="24">
        <f>IFERROR(__xludf.DUMMYFUNCTION("""COMPUTED_VALUE"""),0.0)</f>
        <v>0</v>
      </c>
    </row>
    <row r="777">
      <c r="A777" s="5" t="str">
        <f>IFERROR(__xludf.DUMMYFUNCTION("""COMPUTED_VALUE"""),"35792")</f>
        <v>35792</v>
      </c>
      <c r="B777" s="64">
        <f>IFERROR(__xludf.DUMMYFUNCTION("""COMPUTED_VALUE"""),44632.0)</f>
        <v>44632</v>
      </c>
      <c r="C777" s="5"/>
      <c r="D777" s="5"/>
      <c r="E777" s="5"/>
      <c r="F777" s="22">
        <f>IFERROR(__xludf.DUMMYFUNCTION("""COMPUTED_VALUE"""),500000.0)</f>
        <v>500000</v>
      </c>
      <c r="G777" s="22">
        <f>IFERROR(__xludf.DUMMYFUNCTION("""COMPUTED_VALUE"""),0.0)</f>
        <v>0</v>
      </c>
      <c r="H777" s="22">
        <f>IFERROR(__xludf.DUMMYFUNCTION("""COMPUTED_VALUE"""),500000.0)</f>
        <v>500000</v>
      </c>
      <c r="I777" s="24">
        <f>IFERROR(__xludf.DUMMYFUNCTION("""COMPUTED_VALUE"""),0.0)</f>
        <v>0</v>
      </c>
    </row>
    <row r="778">
      <c r="A778" s="5" t="str">
        <f>IFERROR(__xludf.DUMMYFUNCTION("""COMPUTED_VALUE"""),"35792")</f>
        <v>35792</v>
      </c>
      <c r="B778" s="64">
        <f>IFERROR(__xludf.DUMMYFUNCTION("""COMPUTED_VALUE"""),44633.0)</f>
        <v>44633</v>
      </c>
      <c r="C778" s="5"/>
      <c r="D778" s="5"/>
      <c r="E778" s="5"/>
      <c r="F778" s="22">
        <f>IFERROR(__xludf.DUMMYFUNCTION("""COMPUTED_VALUE"""),500000.0)</f>
        <v>500000</v>
      </c>
      <c r="G778" s="22">
        <f>IFERROR(__xludf.DUMMYFUNCTION("""COMPUTED_VALUE"""),0.0)</f>
        <v>0</v>
      </c>
      <c r="H778" s="22">
        <f>IFERROR(__xludf.DUMMYFUNCTION("""COMPUTED_VALUE"""),500000.0)</f>
        <v>500000</v>
      </c>
      <c r="I778" s="24">
        <f>IFERROR(__xludf.DUMMYFUNCTION("""COMPUTED_VALUE"""),0.0)</f>
        <v>0</v>
      </c>
    </row>
    <row r="779">
      <c r="A779" s="5" t="str">
        <f>IFERROR(__xludf.DUMMYFUNCTION("""COMPUTED_VALUE"""),"35792")</f>
        <v>35792</v>
      </c>
      <c r="B779" s="64">
        <f>IFERROR(__xludf.DUMMYFUNCTION("""COMPUTED_VALUE"""),44634.0)</f>
        <v>44634</v>
      </c>
      <c r="C779" s="5"/>
      <c r="D779" s="5"/>
      <c r="E779" s="5"/>
      <c r="F779" s="22">
        <f>IFERROR(__xludf.DUMMYFUNCTION("""COMPUTED_VALUE"""),500000.0)</f>
        <v>500000</v>
      </c>
      <c r="G779" s="22">
        <f>IFERROR(__xludf.DUMMYFUNCTION("""COMPUTED_VALUE"""),0.0)</f>
        <v>0</v>
      </c>
      <c r="H779" s="22">
        <f>IFERROR(__xludf.DUMMYFUNCTION("""COMPUTED_VALUE"""),500000.0)</f>
        <v>500000</v>
      </c>
      <c r="I779" s="24">
        <f>IFERROR(__xludf.DUMMYFUNCTION("""COMPUTED_VALUE"""),0.0)</f>
        <v>0</v>
      </c>
    </row>
    <row r="780">
      <c r="A780" s="5" t="str">
        <f>IFERROR(__xludf.DUMMYFUNCTION("""COMPUTED_VALUE"""),"35792")</f>
        <v>35792</v>
      </c>
      <c r="B780" s="64">
        <f>IFERROR(__xludf.DUMMYFUNCTION("""COMPUTED_VALUE"""),44635.0)</f>
        <v>44635</v>
      </c>
      <c r="C780" s="5"/>
      <c r="D780" s="5"/>
      <c r="E780" s="5"/>
      <c r="F780" s="22">
        <f>IFERROR(__xludf.DUMMYFUNCTION("""COMPUTED_VALUE"""),500000.0)</f>
        <v>500000</v>
      </c>
      <c r="G780" s="22">
        <f>IFERROR(__xludf.DUMMYFUNCTION("""COMPUTED_VALUE"""),0.0)</f>
        <v>0</v>
      </c>
      <c r="H780" s="22">
        <f>IFERROR(__xludf.DUMMYFUNCTION("""COMPUTED_VALUE"""),500000.0)</f>
        <v>500000</v>
      </c>
      <c r="I780" s="24">
        <f>IFERROR(__xludf.DUMMYFUNCTION("""COMPUTED_VALUE"""),0.0)</f>
        <v>0</v>
      </c>
    </row>
    <row r="781">
      <c r="A781" s="5" t="str">
        <f>IFERROR(__xludf.DUMMYFUNCTION("""COMPUTED_VALUE"""),"35792")</f>
        <v>35792</v>
      </c>
      <c r="B781" s="64">
        <f>IFERROR(__xludf.DUMMYFUNCTION("""COMPUTED_VALUE"""),44636.0)</f>
        <v>44636</v>
      </c>
      <c r="C781" s="5"/>
      <c r="D781" s="5"/>
      <c r="E781" s="5"/>
      <c r="F781" s="22">
        <f>IFERROR(__xludf.DUMMYFUNCTION("""COMPUTED_VALUE"""),500000.0)</f>
        <v>500000</v>
      </c>
      <c r="G781" s="22">
        <f>IFERROR(__xludf.DUMMYFUNCTION("""COMPUTED_VALUE"""),0.0)</f>
        <v>0</v>
      </c>
      <c r="H781" s="22">
        <f>IFERROR(__xludf.DUMMYFUNCTION("""COMPUTED_VALUE"""),500000.0)</f>
        <v>500000</v>
      </c>
      <c r="I781" s="24">
        <f>IFERROR(__xludf.DUMMYFUNCTION("""COMPUTED_VALUE"""),0.0)</f>
        <v>0</v>
      </c>
    </row>
    <row r="782">
      <c r="A782" s="5" t="str">
        <f>IFERROR(__xludf.DUMMYFUNCTION("""COMPUTED_VALUE"""),"35792")</f>
        <v>35792</v>
      </c>
      <c r="B782" s="64">
        <f>IFERROR(__xludf.DUMMYFUNCTION("""COMPUTED_VALUE"""),44637.0)</f>
        <v>44637</v>
      </c>
      <c r="C782" s="5"/>
      <c r="D782" s="5"/>
      <c r="E782" s="5"/>
      <c r="F782" s="22">
        <f>IFERROR(__xludf.DUMMYFUNCTION("""COMPUTED_VALUE"""),500000.0)</f>
        <v>500000</v>
      </c>
      <c r="G782" s="22">
        <f>IFERROR(__xludf.DUMMYFUNCTION("""COMPUTED_VALUE"""),0.0)</f>
        <v>0</v>
      </c>
      <c r="H782" s="22">
        <f>IFERROR(__xludf.DUMMYFUNCTION("""COMPUTED_VALUE"""),500000.0)</f>
        <v>500000</v>
      </c>
      <c r="I782" s="24">
        <f>IFERROR(__xludf.DUMMYFUNCTION("""COMPUTED_VALUE"""),0.0)</f>
        <v>0</v>
      </c>
    </row>
    <row r="783">
      <c r="A783" s="5" t="str">
        <f>IFERROR(__xludf.DUMMYFUNCTION("""COMPUTED_VALUE"""),"35792")</f>
        <v>35792</v>
      </c>
      <c r="B783" s="64">
        <f>IFERROR(__xludf.DUMMYFUNCTION("""COMPUTED_VALUE"""),44638.0)</f>
        <v>44638</v>
      </c>
      <c r="C783" s="5"/>
      <c r="D783" s="5"/>
      <c r="E783" s="5"/>
      <c r="F783" s="22">
        <f>IFERROR(__xludf.DUMMYFUNCTION("""COMPUTED_VALUE"""),500000.0)</f>
        <v>500000</v>
      </c>
      <c r="G783" s="22">
        <f>IFERROR(__xludf.DUMMYFUNCTION("""COMPUTED_VALUE"""),0.0)</f>
        <v>0</v>
      </c>
      <c r="H783" s="22">
        <f>IFERROR(__xludf.DUMMYFUNCTION("""COMPUTED_VALUE"""),500000.0)</f>
        <v>500000</v>
      </c>
      <c r="I783" s="24">
        <f>IFERROR(__xludf.DUMMYFUNCTION("""COMPUTED_VALUE"""),0.0)</f>
        <v>0</v>
      </c>
    </row>
    <row r="784">
      <c r="A784" s="5" t="str">
        <f>IFERROR(__xludf.DUMMYFUNCTION("""COMPUTED_VALUE"""),"35792")</f>
        <v>35792</v>
      </c>
      <c r="B784" s="64">
        <f>IFERROR(__xludf.DUMMYFUNCTION("""COMPUTED_VALUE"""),44639.0)</f>
        <v>44639</v>
      </c>
      <c r="C784" s="5"/>
      <c r="D784" s="5"/>
      <c r="E784" s="5"/>
      <c r="F784" s="22">
        <f>IFERROR(__xludf.DUMMYFUNCTION("""COMPUTED_VALUE"""),500000.0)</f>
        <v>500000</v>
      </c>
      <c r="G784" s="22">
        <f>IFERROR(__xludf.DUMMYFUNCTION("""COMPUTED_VALUE"""),0.0)</f>
        <v>0</v>
      </c>
      <c r="H784" s="22">
        <f>IFERROR(__xludf.DUMMYFUNCTION("""COMPUTED_VALUE"""),500000.0)</f>
        <v>500000</v>
      </c>
      <c r="I784" s="24">
        <f>IFERROR(__xludf.DUMMYFUNCTION("""COMPUTED_VALUE"""),0.0)</f>
        <v>0</v>
      </c>
    </row>
    <row r="785">
      <c r="A785" s="5" t="str">
        <f>IFERROR(__xludf.DUMMYFUNCTION("""COMPUTED_VALUE"""),"35792")</f>
        <v>35792</v>
      </c>
      <c r="B785" s="64">
        <f>IFERROR(__xludf.DUMMYFUNCTION("""COMPUTED_VALUE"""),44640.0)</f>
        <v>44640</v>
      </c>
      <c r="C785" s="5"/>
      <c r="D785" s="5"/>
      <c r="E785" s="5"/>
      <c r="F785" s="22">
        <f>IFERROR(__xludf.DUMMYFUNCTION("""COMPUTED_VALUE"""),500000.0)</f>
        <v>500000</v>
      </c>
      <c r="G785" s="22">
        <f>IFERROR(__xludf.DUMMYFUNCTION("""COMPUTED_VALUE"""),0.0)</f>
        <v>0</v>
      </c>
      <c r="H785" s="22">
        <f>IFERROR(__xludf.DUMMYFUNCTION("""COMPUTED_VALUE"""),500000.0)</f>
        <v>500000</v>
      </c>
      <c r="I785" s="24">
        <f>IFERROR(__xludf.DUMMYFUNCTION("""COMPUTED_VALUE"""),0.0)</f>
        <v>0</v>
      </c>
    </row>
    <row r="786">
      <c r="A786" s="5" t="str">
        <f>IFERROR(__xludf.DUMMYFUNCTION("""COMPUTED_VALUE"""),"35792")</f>
        <v>35792</v>
      </c>
      <c r="B786" s="64">
        <f>IFERROR(__xludf.DUMMYFUNCTION("""COMPUTED_VALUE"""),44641.0)</f>
        <v>44641</v>
      </c>
      <c r="C786" s="5"/>
      <c r="D786" s="5"/>
      <c r="E786" s="5"/>
      <c r="F786" s="22">
        <f>IFERROR(__xludf.DUMMYFUNCTION("""COMPUTED_VALUE"""),500000.0)</f>
        <v>500000</v>
      </c>
      <c r="G786" s="22">
        <f>IFERROR(__xludf.DUMMYFUNCTION("""COMPUTED_VALUE"""),0.0)</f>
        <v>0</v>
      </c>
      <c r="H786" s="22">
        <f>IFERROR(__xludf.DUMMYFUNCTION("""COMPUTED_VALUE"""),500000.0)</f>
        <v>500000</v>
      </c>
      <c r="I786" s="24">
        <f>IFERROR(__xludf.DUMMYFUNCTION("""COMPUTED_VALUE"""),0.0)</f>
        <v>0</v>
      </c>
    </row>
    <row r="787">
      <c r="A787" s="5" t="str">
        <f>IFERROR(__xludf.DUMMYFUNCTION("""COMPUTED_VALUE"""),"35792")</f>
        <v>35792</v>
      </c>
      <c r="B787" s="64">
        <f>IFERROR(__xludf.DUMMYFUNCTION("""COMPUTED_VALUE"""),44642.0)</f>
        <v>44642</v>
      </c>
      <c r="C787" s="5"/>
      <c r="D787" s="5"/>
      <c r="E787" s="5"/>
      <c r="F787" s="22">
        <f>IFERROR(__xludf.DUMMYFUNCTION("""COMPUTED_VALUE"""),500000.0)</f>
        <v>500000</v>
      </c>
      <c r="G787" s="22">
        <f>IFERROR(__xludf.DUMMYFUNCTION("""COMPUTED_VALUE"""),0.0)</f>
        <v>0</v>
      </c>
      <c r="H787" s="22">
        <f>IFERROR(__xludf.DUMMYFUNCTION("""COMPUTED_VALUE"""),500000.0)</f>
        <v>500000</v>
      </c>
      <c r="I787" s="24">
        <f>IFERROR(__xludf.DUMMYFUNCTION("""COMPUTED_VALUE"""),0.0)</f>
        <v>0</v>
      </c>
    </row>
    <row r="788">
      <c r="A788" s="5" t="str">
        <f>IFERROR(__xludf.DUMMYFUNCTION("""COMPUTED_VALUE"""),"35792")</f>
        <v>35792</v>
      </c>
      <c r="B788" s="64">
        <f>IFERROR(__xludf.DUMMYFUNCTION("""COMPUTED_VALUE"""),44643.0)</f>
        <v>44643</v>
      </c>
      <c r="C788" s="5"/>
      <c r="D788" s="5"/>
      <c r="E788" s="5"/>
      <c r="F788" s="22">
        <f>IFERROR(__xludf.DUMMYFUNCTION("""COMPUTED_VALUE"""),500000.0)</f>
        <v>500000</v>
      </c>
      <c r="G788" s="22">
        <f>IFERROR(__xludf.DUMMYFUNCTION("""COMPUTED_VALUE"""),0.0)</f>
        <v>0</v>
      </c>
      <c r="H788" s="22">
        <f>IFERROR(__xludf.DUMMYFUNCTION("""COMPUTED_VALUE"""),500000.0)</f>
        <v>500000</v>
      </c>
      <c r="I788" s="24">
        <f>IFERROR(__xludf.DUMMYFUNCTION("""COMPUTED_VALUE"""),0.0)</f>
        <v>0</v>
      </c>
    </row>
    <row r="789">
      <c r="A789" s="5" t="str">
        <f>IFERROR(__xludf.DUMMYFUNCTION("""COMPUTED_VALUE"""),"35792")</f>
        <v>35792</v>
      </c>
      <c r="B789" s="64">
        <f>IFERROR(__xludf.DUMMYFUNCTION("""COMPUTED_VALUE"""),44644.0)</f>
        <v>44644</v>
      </c>
      <c r="C789" s="5"/>
      <c r="D789" s="5"/>
      <c r="E789" s="5"/>
      <c r="F789" s="22">
        <f>IFERROR(__xludf.DUMMYFUNCTION("""COMPUTED_VALUE"""),500000.0)</f>
        <v>500000</v>
      </c>
      <c r="G789" s="22">
        <f>IFERROR(__xludf.DUMMYFUNCTION("""COMPUTED_VALUE"""),0.0)</f>
        <v>0</v>
      </c>
      <c r="H789" s="22">
        <f>IFERROR(__xludf.DUMMYFUNCTION("""COMPUTED_VALUE"""),500000.0)</f>
        <v>500000</v>
      </c>
      <c r="I789" s="24">
        <f>IFERROR(__xludf.DUMMYFUNCTION("""COMPUTED_VALUE"""),0.0)</f>
        <v>0</v>
      </c>
    </row>
    <row r="790">
      <c r="A790" s="5" t="str">
        <f>IFERROR(__xludf.DUMMYFUNCTION("""COMPUTED_VALUE"""),"35792")</f>
        <v>35792</v>
      </c>
      <c r="B790" s="64">
        <f>IFERROR(__xludf.DUMMYFUNCTION("""COMPUTED_VALUE"""),44645.0)</f>
        <v>44645</v>
      </c>
      <c r="C790" s="5"/>
      <c r="D790" s="5"/>
      <c r="E790" s="5"/>
      <c r="F790" s="22">
        <f>IFERROR(__xludf.DUMMYFUNCTION("""COMPUTED_VALUE"""),500000.0)</f>
        <v>500000</v>
      </c>
      <c r="G790" s="22">
        <f>IFERROR(__xludf.DUMMYFUNCTION("""COMPUTED_VALUE"""),0.0)</f>
        <v>0</v>
      </c>
      <c r="H790" s="22">
        <f>IFERROR(__xludf.DUMMYFUNCTION("""COMPUTED_VALUE"""),500000.0)</f>
        <v>500000</v>
      </c>
      <c r="I790" s="24">
        <f>IFERROR(__xludf.DUMMYFUNCTION("""COMPUTED_VALUE"""),0.0)</f>
        <v>0</v>
      </c>
    </row>
    <row r="791">
      <c r="A791" s="5" t="str">
        <f>IFERROR(__xludf.DUMMYFUNCTION("""COMPUTED_VALUE"""),"35792")</f>
        <v>35792</v>
      </c>
      <c r="B791" s="64">
        <f>IFERROR(__xludf.DUMMYFUNCTION("""COMPUTED_VALUE"""),44646.0)</f>
        <v>44646</v>
      </c>
      <c r="C791" s="5"/>
      <c r="D791" s="5"/>
      <c r="E791" s="5"/>
      <c r="F791" s="22">
        <f>IFERROR(__xludf.DUMMYFUNCTION("""COMPUTED_VALUE"""),500000.0)</f>
        <v>500000</v>
      </c>
      <c r="G791" s="22">
        <f>IFERROR(__xludf.DUMMYFUNCTION("""COMPUTED_VALUE"""),0.0)</f>
        <v>0</v>
      </c>
      <c r="H791" s="22">
        <f>IFERROR(__xludf.DUMMYFUNCTION("""COMPUTED_VALUE"""),500000.0)</f>
        <v>500000</v>
      </c>
      <c r="I791" s="24">
        <f>IFERROR(__xludf.DUMMYFUNCTION("""COMPUTED_VALUE"""),0.0)</f>
        <v>0</v>
      </c>
    </row>
    <row r="792">
      <c r="A792" s="5" t="str">
        <f>IFERROR(__xludf.DUMMYFUNCTION("""COMPUTED_VALUE"""),"35792")</f>
        <v>35792</v>
      </c>
      <c r="B792" s="64">
        <f>IFERROR(__xludf.DUMMYFUNCTION("""COMPUTED_VALUE"""),44647.0)</f>
        <v>44647</v>
      </c>
      <c r="C792" s="5"/>
      <c r="D792" s="5"/>
      <c r="E792" s="5"/>
      <c r="F792" s="22">
        <f>IFERROR(__xludf.DUMMYFUNCTION("""COMPUTED_VALUE"""),500000.0)</f>
        <v>500000</v>
      </c>
      <c r="G792" s="22">
        <f>IFERROR(__xludf.DUMMYFUNCTION("""COMPUTED_VALUE"""),0.0)</f>
        <v>0</v>
      </c>
      <c r="H792" s="22">
        <f>IFERROR(__xludf.DUMMYFUNCTION("""COMPUTED_VALUE"""),500000.0)</f>
        <v>500000</v>
      </c>
      <c r="I792" s="24">
        <f>IFERROR(__xludf.DUMMYFUNCTION("""COMPUTED_VALUE"""),0.0)</f>
        <v>0</v>
      </c>
    </row>
    <row r="793">
      <c r="A793" s="5" t="str">
        <f>IFERROR(__xludf.DUMMYFUNCTION("""COMPUTED_VALUE"""),"35792")</f>
        <v>35792</v>
      </c>
      <c r="B793" s="64">
        <f>IFERROR(__xludf.DUMMYFUNCTION("""COMPUTED_VALUE"""),44648.0)</f>
        <v>44648</v>
      </c>
      <c r="C793" s="5"/>
      <c r="D793" s="5"/>
      <c r="E793" s="5"/>
      <c r="F793" s="22">
        <f>IFERROR(__xludf.DUMMYFUNCTION("""COMPUTED_VALUE"""),500000.0)</f>
        <v>500000</v>
      </c>
      <c r="G793" s="22">
        <f>IFERROR(__xludf.DUMMYFUNCTION("""COMPUTED_VALUE"""),0.0)</f>
        <v>0</v>
      </c>
      <c r="H793" s="22">
        <f>IFERROR(__xludf.DUMMYFUNCTION("""COMPUTED_VALUE"""),500000.0)</f>
        <v>500000</v>
      </c>
      <c r="I793" s="24">
        <f>IFERROR(__xludf.DUMMYFUNCTION("""COMPUTED_VALUE"""),0.0)</f>
        <v>0</v>
      </c>
    </row>
    <row r="794">
      <c r="A794" s="5" t="str">
        <f>IFERROR(__xludf.DUMMYFUNCTION("""COMPUTED_VALUE"""),"35792")</f>
        <v>35792</v>
      </c>
      <c r="B794" s="64">
        <f>IFERROR(__xludf.DUMMYFUNCTION("""COMPUTED_VALUE"""),44649.0)</f>
        <v>44649</v>
      </c>
      <c r="C794" s="5"/>
      <c r="D794" s="5"/>
      <c r="E794" s="5"/>
      <c r="F794" s="22">
        <f>IFERROR(__xludf.DUMMYFUNCTION("""COMPUTED_VALUE"""),500000.0)</f>
        <v>500000</v>
      </c>
      <c r="G794" s="22">
        <f>IFERROR(__xludf.DUMMYFUNCTION("""COMPUTED_VALUE"""),0.0)</f>
        <v>0</v>
      </c>
      <c r="H794" s="22">
        <f>IFERROR(__xludf.DUMMYFUNCTION("""COMPUTED_VALUE"""),500000.0)</f>
        <v>500000</v>
      </c>
      <c r="I794" s="24">
        <f>IFERROR(__xludf.DUMMYFUNCTION("""COMPUTED_VALUE"""),0.0)</f>
        <v>0</v>
      </c>
    </row>
    <row r="795">
      <c r="A795" s="5" t="str">
        <f>IFERROR(__xludf.DUMMYFUNCTION("""COMPUTED_VALUE"""),"35792")</f>
        <v>35792</v>
      </c>
      <c r="B795" s="64">
        <f>IFERROR(__xludf.DUMMYFUNCTION("""COMPUTED_VALUE"""),44650.0)</f>
        <v>44650</v>
      </c>
      <c r="C795" s="5"/>
      <c r="D795" s="5"/>
      <c r="E795" s="5"/>
      <c r="F795" s="22">
        <f>IFERROR(__xludf.DUMMYFUNCTION("""COMPUTED_VALUE"""),500000.0)</f>
        <v>500000</v>
      </c>
      <c r="G795" s="22">
        <f>IFERROR(__xludf.DUMMYFUNCTION("""COMPUTED_VALUE"""),0.0)</f>
        <v>0</v>
      </c>
      <c r="H795" s="22">
        <f>IFERROR(__xludf.DUMMYFUNCTION("""COMPUTED_VALUE"""),500000.0)</f>
        <v>500000</v>
      </c>
      <c r="I795" s="24">
        <f>IFERROR(__xludf.DUMMYFUNCTION("""COMPUTED_VALUE"""),0.0)</f>
        <v>0</v>
      </c>
    </row>
    <row r="796">
      <c r="A796" s="5" t="str">
        <f>IFERROR(__xludf.DUMMYFUNCTION("""COMPUTED_VALUE"""),"35792")</f>
        <v>35792</v>
      </c>
      <c r="B796" s="64">
        <f>IFERROR(__xludf.DUMMYFUNCTION("""COMPUTED_VALUE"""),44651.0)</f>
        <v>44651</v>
      </c>
      <c r="C796" s="5"/>
      <c r="D796" s="5"/>
      <c r="E796" s="5"/>
      <c r="F796" s="22">
        <f>IFERROR(__xludf.DUMMYFUNCTION("""COMPUTED_VALUE"""),500000.0)</f>
        <v>500000</v>
      </c>
      <c r="G796" s="22">
        <f>IFERROR(__xludf.DUMMYFUNCTION("""COMPUTED_VALUE"""),0.0)</f>
        <v>0</v>
      </c>
      <c r="H796" s="22">
        <f>IFERROR(__xludf.DUMMYFUNCTION("""COMPUTED_VALUE"""),500000.0)</f>
        <v>500000</v>
      </c>
      <c r="I796" s="24">
        <f>IFERROR(__xludf.DUMMYFUNCTION("""COMPUTED_VALUE"""),0.0)</f>
        <v>0</v>
      </c>
    </row>
    <row r="797">
      <c r="A797" s="5" t="str">
        <f>IFERROR(__xludf.DUMMYFUNCTION("""COMPUTED_VALUE"""),"35792")</f>
        <v>35792</v>
      </c>
      <c r="B797" s="64">
        <f>IFERROR(__xludf.DUMMYFUNCTION("""COMPUTED_VALUE"""),44652.0)</f>
        <v>44652</v>
      </c>
      <c r="C797" s="5"/>
      <c r="D797" s="5"/>
      <c r="E797" s="5"/>
      <c r="F797" s="22">
        <f>IFERROR(__xludf.DUMMYFUNCTION("""COMPUTED_VALUE"""),500000.0)</f>
        <v>500000</v>
      </c>
      <c r="G797" s="22">
        <f>IFERROR(__xludf.DUMMYFUNCTION("""COMPUTED_VALUE"""),0.0)</f>
        <v>0</v>
      </c>
      <c r="H797" s="22">
        <f>IFERROR(__xludf.DUMMYFUNCTION("""COMPUTED_VALUE"""),500000.0)</f>
        <v>500000</v>
      </c>
      <c r="I797" s="24">
        <f>IFERROR(__xludf.DUMMYFUNCTION("""COMPUTED_VALUE"""),0.0)</f>
        <v>0</v>
      </c>
    </row>
    <row r="798">
      <c r="A798" s="5" t="str">
        <f>IFERROR(__xludf.DUMMYFUNCTION("""COMPUTED_VALUE"""),"35792")</f>
        <v>35792</v>
      </c>
      <c r="B798" s="64">
        <f>IFERROR(__xludf.DUMMYFUNCTION("""COMPUTED_VALUE"""),44653.0)</f>
        <v>44653</v>
      </c>
      <c r="C798" s="5"/>
      <c r="D798" s="5"/>
      <c r="E798" s="5"/>
      <c r="F798" s="22">
        <f>IFERROR(__xludf.DUMMYFUNCTION("""COMPUTED_VALUE"""),500000.0)</f>
        <v>500000</v>
      </c>
      <c r="G798" s="22">
        <f>IFERROR(__xludf.DUMMYFUNCTION("""COMPUTED_VALUE"""),0.0)</f>
        <v>0</v>
      </c>
      <c r="H798" s="22">
        <f>IFERROR(__xludf.DUMMYFUNCTION("""COMPUTED_VALUE"""),500000.0)</f>
        <v>500000</v>
      </c>
      <c r="I798" s="24">
        <f>IFERROR(__xludf.DUMMYFUNCTION("""COMPUTED_VALUE"""),0.0)</f>
        <v>0</v>
      </c>
    </row>
    <row r="799">
      <c r="A799" s="5" t="str">
        <f>IFERROR(__xludf.DUMMYFUNCTION("""COMPUTED_VALUE"""),"35792")</f>
        <v>35792</v>
      </c>
      <c r="B799" s="64">
        <f>IFERROR(__xludf.DUMMYFUNCTION("""COMPUTED_VALUE"""),44654.0)</f>
        <v>44654</v>
      </c>
      <c r="C799" s="5"/>
      <c r="D799" s="5"/>
      <c r="E799" s="5"/>
      <c r="F799" s="22">
        <f>IFERROR(__xludf.DUMMYFUNCTION("""COMPUTED_VALUE"""),500000.0)</f>
        <v>500000</v>
      </c>
      <c r="G799" s="22">
        <f>IFERROR(__xludf.DUMMYFUNCTION("""COMPUTED_VALUE"""),0.0)</f>
        <v>0</v>
      </c>
      <c r="H799" s="22">
        <f>IFERROR(__xludf.DUMMYFUNCTION("""COMPUTED_VALUE"""),500000.0)</f>
        <v>500000</v>
      </c>
      <c r="I799" s="24">
        <f>IFERROR(__xludf.DUMMYFUNCTION("""COMPUTED_VALUE"""),0.0)</f>
        <v>0</v>
      </c>
    </row>
    <row r="800">
      <c r="A800" s="5" t="str">
        <f>IFERROR(__xludf.DUMMYFUNCTION("""COMPUTED_VALUE"""),"35792")</f>
        <v>35792</v>
      </c>
      <c r="B800" s="64">
        <f>IFERROR(__xludf.DUMMYFUNCTION("""COMPUTED_VALUE"""),44655.0)</f>
        <v>44655</v>
      </c>
      <c r="C800" s="5"/>
      <c r="D800" s="5"/>
      <c r="E800" s="5"/>
      <c r="F800" s="22">
        <f>IFERROR(__xludf.DUMMYFUNCTION("""COMPUTED_VALUE"""),500000.0)</f>
        <v>500000</v>
      </c>
      <c r="G800" s="22">
        <f>IFERROR(__xludf.DUMMYFUNCTION("""COMPUTED_VALUE"""),0.0)</f>
        <v>0</v>
      </c>
      <c r="H800" s="22">
        <f>IFERROR(__xludf.DUMMYFUNCTION("""COMPUTED_VALUE"""),500000.0)</f>
        <v>500000</v>
      </c>
      <c r="I800" s="24">
        <f>IFERROR(__xludf.DUMMYFUNCTION("""COMPUTED_VALUE"""),0.0)</f>
        <v>0</v>
      </c>
    </row>
    <row r="801">
      <c r="A801" s="5" t="str">
        <f>IFERROR(__xludf.DUMMYFUNCTION("""COMPUTED_VALUE"""),"35792")</f>
        <v>35792</v>
      </c>
      <c r="B801" s="64">
        <f>IFERROR(__xludf.DUMMYFUNCTION("""COMPUTED_VALUE"""),44656.0)</f>
        <v>44656</v>
      </c>
      <c r="C801" s="5"/>
      <c r="D801" s="5"/>
      <c r="E801" s="5"/>
      <c r="F801" s="22">
        <f>IFERROR(__xludf.DUMMYFUNCTION("""COMPUTED_VALUE"""),500000.0)</f>
        <v>500000</v>
      </c>
      <c r="G801" s="22">
        <f>IFERROR(__xludf.DUMMYFUNCTION("""COMPUTED_VALUE"""),0.0)</f>
        <v>0</v>
      </c>
      <c r="H801" s="22">
        <f>IFERROR(__xludf.DUMMYFUNCTION("""COMPUTED_VALUE"""),500000.0)</f>
        <v>500000</v>
      </c>
      <c r="I801" s="24">
        <f>IFERROR(__xludf.DUMMYFUNCTION("""COMPUTED_VALUE"""),0.0)</f>
        <v>0</v>
      </c>
    </row>
    <row r="802">
      <c r="A802" s="5" t="str">
        <f>IFERROR(__xludf.DUMMYFUNCTION("""COMPUTED_VALUE"""),"35792")</f>
        <v>35792</v>
      </c>
      <c r="B802" s="64">
        <f>IFERROR(__xludf.DUMMYFUNCTION("""COMPUTED_VALUE"""),44657.0)</f>
        <v>44657</v>
      </c>
      <c r="C802" s="5"/>
      <c r="D802" s="5"/>
      <c r="E802" s="5"/>
      <c r="F802" s="22">
        <f>IFERROR(__xludf.DUMMYFUNCTION("""COMPUTED_VALUE"""),500000.0)</f>
        <v>500000</v>
      </c>
      <c r="G802" s="22">
        <f>IFERROR(__xludf.DUMMYFUNCTION("""COMPUTED_VALUE"""),0.0)</f>
        <v>0</v>
      </c>
      <c r="H802" s="22">
        <f>IFERROR(__xludf.DUMMYFUNCTION("""COMPUTED_VALUE"""),500000.0)</f>
        <v>500000</v>
      </c>
      <c r="I802" s="24">
        <f>IFERROR(__xludf.DUMMYFUNCTION("""COMPUTED_VALUE"""),0.0)</f>
        <v>0</v>
      </c>
    </row>
    <row r="803">
      <c r="A803" s="5" t="str">
        <f>IFERROR(__xludf.DUMMYFUNCTION("""COMPUTED_VALUE"""),"35792")</f>
        <v>35792</v>
      </c>
      <c r="B803" s="64">
        <f>IFERROR(__xludf.DUMMYFUNCTION("""COMPUTED_VALUE"""),44658.0)</f>
        <v>44658</v>
      </c>
      <c r="C803" s="5"/>
      <c r="D803" s="5"/>
      <c r="E803" s="5"/>
      <c r="F803" s="22">
        <f>IFERROR(__xludf.DUMMYFUNCTION("""COMPUTED_VALUE"""),500000.0)</f>
        <v>500000</v>
      </c>
      <c r="G803" s="22">
        <f>IFERROR(__xludf.DUMMYFUNCTION("""COMPUTED_VALUE"""),0.0)</f>
        <v>0</v>
      </c>
      <c r="H803" s="22">
        <f>IFERROR(__xludf.DUMMYFUNCTION("""COMPUTED_VALUE"""),500000.0)</f>
        <v>500000</v>
      </c>
      <c r="I803" s="24">
        <f>IFERROR(__xludf.DUMMYFUNCTION("""COMPUTED_VALUE"""),0.0)</f>
        <v>0</v>
      </c>
    </row>
    <row r="804">
      <c r="A804" s="5" t="str">
        <f>IFERROR(__xludf.DUMMYFUNCTION("""COMPUTED_VALUE"""),"35792")</f>
        <v>35792</v>
      </c>
      <c r="B804" s="64">
        <f>IFERROR(__xludf.DUMMYFUNCTION("""COMPUTED_VALUE"""),44659.0)</f>
        <v>44659</v>
      </c>
      <c r="C804" s="5"/>
      <c r="D804" s="5"/>
      <c r="E804" s="5"/>
      <c r="F804" s="22">
        <f>IFERROR(__xludf.DUMMYFUNCTION("""COMPUTED_VALUE"""),500000.0)</f>
        <v>500000</v>
      </c>
      <c r="G804" s="22">
        <f>IFERROR(__xludf.DUMMYFUNCTION("""COMPUTED_VALUE"""),0.0)</f>
        <v>0</v>
      </c>
      <c r="H804" s="22">
        <f>IFERROR(__xludf.DUMMYFUNCTION("""COMPUTED_VALUE"""),500000.0)</f>
        <v>500000</v>
      </c>
      <c r="I804" s="24">
        <f>IFERROR(__xludf.DUMMYFUNCTION("""COMPUTED_VALUE"""),0.0)</f>
        <v>0</v>
      </c>
    </row>
    <row r="805">
      <c r="A805" s="5" t="str">
        <f>IFERROR(__xludf.DUMMYFUNCTION("""COMPUTED_VALUE"""),"35792")</f>
        <v>35792</v>
      </c>
      <c r="B805" s="64">
        <f>IFERROR(__xludf.DUMMYFUNCTION("""COMPUTED_VALUE"""),44660.0)</f>
        <v>44660</v>
      </c>
      <c r="C805" s="5"/>
      <c r="D805" s="5"/>
      <c r="E805" s="5"/>
      <c r="F805" s="22">
        <f>IFERROR(__xludf.DUMMYFUNCTION("""COMPUTED_VALUE"""),500000.0)</f>
        <v>500000</v>
      </c>
      <c r="G805" s="22">
        <f>IFERROR(__xludf.DUMMYFUNCTION("""COMPUTED_VALUE"""),0.0)</f>
        <v>0</v>
      </c>
      <c r="H805" s="22">
        <f>IFERROR(__xludf.DUMMYFUNCTION("""COMPUTED_VALUE"""),500000.0)</f>
        <v>500000</v>
      </c>
      <c r="I805" s="24">
        <f>IFERROR(__xludf.DUMMYFUNCTION("""COMPUTED_VALUE"""),0.0)</f>
        <v>0</v>
      </c>
    </row>
    <row r="806">
      <c r="A806" s="5" t="str">
        <f>IFERROR(__xludf.DUMMYFUNCTION("""COMPUTED_VALUE"""),"35792")</f>
        <v>35792</v>
      </c>
      <c r="B806" s="64">
        <f>IFERROR(__xludf.DUMMYFUNCTION("""COMPUTED_VALUE"""),44661.0)</f>
        <v>44661</v>
      </c>
      <c r="C806" s="5"/>
      <c r="D806" s="5"/>
      <c r="E806" s="5"/>
      <c r="F806" s="22">
        <f>IFERROR(__xludf.DUMMYFUNCTION("""COMPUTED_VALUE"""),500000.0)</f>
        <v>500000</v>
      </c>
      <c r="G806" s="22">
        <f>IFERROR(__xludf.DUMMYFUNCTION("""COMPUTED_VALUE"""),0.0)</f>
        <v>0</v>
      </c>
      <c r="H806" s="22">
        <f>IFERROR(__xludf.DUMMYFUNCTION("""COMPUTED_VALUE"""),500000.0)</f>
        <v>500000</v>
      </c>
      <c r="I806" s="24">
        <f>IFERROR(__xludf.DUMMYFUNCTION("""COMPUTED_VALUE"""),0.0)</f>
        <v>0</v>
      </c>
    </row>
    <row r="807">
      <c r="A807" s="5" t="str">
        <f>IFERROR(__xludf.DUMMYFUNCTION("""COMPUTED_VALUE"""),"35792")</f>
        <v>35792</v>
      </c>
      <c r="B807" s="64">
        <f>IFERROR(__xludf.DUMMYFUNCTION("""COMPUTED_VALUE"""),44662.0)</f>
        <v>44662</v>
      </c>
      <c r="C807" s="5"/>
      <c r="D807" s="5"/>
      <c r="E807" s="5"/>
      <c r="F807" s="22">
        <f>IFERROR(__xludf.DUMMYFUNCTION("""COMPUTED_VALUE"""),500000.0)</f>
        <v>500000</v>
      </c>
      <c r="G807" s="22">
        <f>IFERROR(__xludf.DUMMYFUNCTION("""COMPUTED_VALUE"""),0.0)</f>
        <v>0</v>
      </c>
      <c r="H807" s="22">
        <f>IFERROR(__xludf.DUMMYFUNCTION("""COMPUTED_VALUE"""),500000.0)</f>
        <v>500000</v>
      </c>
      <c r="I807" s="24">
        <f>IFERROR(__xludf.DUMMYFUNCTION("""COMPUTED_VALUE"""),0.0)</f>
        <v>0</v>
      </c>
    </row>
    <row r="808">
      <c r="A808" s="5" t="str">
        <f>IFERROR(__xludf.DUMMYFUNCTION("""COMPUTED_VALUE"""),"35792")</f>
        <v>35792</v>
      </c>
      <c r="B808" s="64">
        <f>IFERROR(__xludf.DUMMYFUNCTION("""COMPUTED_VALUE"""),44663.0)</f>
        <v>44663</v>
      </c>
      <c r="C808" s="5"/>
      <c r="D808" s="5"/>
      <c r="E808" s="5"/>
      <c r="F808" s="22">
        <f>IFERROR(__xludf.DUMMYFUNCTION("""COMPUTED_VALUE"""),500000.0)</f>
        <v>500000</v>
      </c>
      <c r="G808" s="22">
        <f>IFERROR(__xludf.DUMMYFUNCTION("""COMPUTED_VALUE"""),0.0)</f>
        <v>0</v>
      </c>
      <c r="H808" s="22">
        <f>IFERROR(__xludf.DUMMYFUNCTION("""COMPUTED_VALUE"""),500000.0)</f>
        <v>500000</v>
      </c>
      <c r="I808" s="24">
        <f>IFERROR(__xludf.DUMMYFUNCTION("""COMPUTED_VALUE"""),0.0)</f>
        <v>0</v>
      </c>
    </row>
    <row r="809">
      <c r="A809" s="5" t="str">
        <f>IFERROR(__xludf.DUMMYFUNCTION("""COMPUTED_VALUE"""),"36196")</f>
        <v>36196</v>
      </c>
      <c r="B809" s="64">
        <f>IFERROR(__xludf.DUMMYFUNCTION("""COMPUTED_VALUE"""),44597.0)</f>
        <v>44597</v>
      </c>
      <c r="C809" s="5"/>
      <c r="D809" s="5"/>
      <c r="E809" s="5"/>
      <c r="F809" s="22">
        <f>IFERROR(__xludf.DUMMYFUNCTION("""COMPUTED_VALUE"""),500000.0)</f>
        <v>500000</v>
      </c>
      <c r="G809" s="22">
        <f>IFERROR(__xludf.DUMMYFUNCTION("""COMPUTED_VALUE"""),0.0)</f>
        <v>0</v>
      </c>
      <c r="H809" s="22">
        <f>IFERROR(__xludf.DUMMYFUNCTION("""COMPUTED_VALUE"""),500000.0)</f>
        <v>500000</v>
      </c>
      <c r="I809" s="24">
        <f>IFERROR(__xludf.DUMMYFUNCTION("""COMPUTED_VALUE"""),0.0)</f>
        <v>0</v>
      </c>
    </row>
    <row r="810">
      <c r="A810" s="5" t="str">
        <f>IFERROR(__xludf.DUMMYFUNCTION("""COMPUTED_VALUE"""),"36196")</f>
        <v>36196</v>
      </c>
      <c r="B810" s="64">
        <f>IFERROR(__xludf.DUMMYFUNCTION("""COMPUTED_VALUE"""),44598.0)</f>
        <v>44598</v>
      </c>
      <c r="C810" s="5"/>
      <c r="D810" s="5"/>
      <c r="E810" s="5"/>
      <c r="F810" s="22">
        <f>IFERROR(__xludf.DUMMYFUNCTION("""COMPUTED_VALUE"""),500000.0)</f>
        <v>500000</v>
      </c>
      <c r="G810" s="22">
        <f>IFERROR(__xludf.DUMMYFUNCTION("""COMPUTED_VALUE"""),0.0)</f>
        <v>0</v>
      </c>
      <c r="H810" s="22">
        <f>IFERROR(__xludf.DUMMYFUNCTION("""COMPUTED_VALUE"""),500000.0)</f>
        <v>500000</v>
      </c>
      <c r="I810" s="24">
        <f>IFERROR(__xludf.DUMMYFUNCTION("""COMPUTED_VALUE"""),0.0)</f>
        <v>0</v>
      </c>
    </row>
    <row r="811">
      <c r="A811" s="5" t="str">
        <f>IFERROR(__xludf.DUMMYFUNCTION("""COMPUTED_VALUE"""),"36196")</f>
        <v>36196</v>
      </c>
      <c r="B811" s="64">
        <f>IFERROR(__xludf.DUMMYFUNCTION("""COMPUTED_VALUE"""),44599.0)</f>
        <v>44599</v>
      </c>
      <c r="C811" s="5"/>
      <c r="D811" s="5"/>
      <c r="E811" s="5"/>
      <c r="F811" s="22">
        <f>IFERROR(__xludf.DUMMYFUNCTION("""COMPUTED_VALUE"""),500000.0)</f>
        <v>500000</v>
      </c>
      <c r="G811" s="22">
        <f>IFERROR(__xludf.DUMMYFUNCTION("""COMPUTED_VALUE"""),0.0)</f>
        <v>0</v>
      </c>
      <c r="H811" s="22">
        <f>IFERROR(__xludf.DUMMYFUNCTION("""COMPUTED_VALUE"""),500000.0)</f>
        <v>500000</v>
      </c>
      <c r="I811" s="24">
        <f>IFERROR(__xludf.DUMMYFUNCTION("""COMPUTED_VALUE"""),0.0)</f>
        <v>0</v>
      </c>
    </row>
    <row r="812">
      <c r="A812" s="5" t="str">
        <f>IFERROR(__xludf.DUMMYFUNCTION("""COMPUTED_VALUE"""),"36196")</f>
        <v>36196</v>
      </c>
      <c r="B812" s="64">
        <f>IFERROR(__xludf.DUMMYFUNCTION("""COMPUTED_VALUE"""),44600.0)</f>
        <v>44600</v>
      </c>
      <c r="C812" s="5"/>
      <c r="D812" s="5"/>
      <c r="E812" s="5"/>
      <c r="F812" s="22">
        <f>IFERROR(__xludf.DUMMYFUNCTION("""COMPUTED_VALUE"""),500000.0)</f>
        <v>500000</v>
      </c>
      <c r="G812" s="22">
        <f>IFERROR(__xludf.DUMMYFUNCTION("""COMPUTED_VALUE"""),0.0)</f>
        <v>0</v>
      </c>
      <c r="H812" s="22">
        <f>IFERROR(__xludf.DUMMYFUNCTION("""COMPUTED_VALUE"""),500000.0)</f>
        <v>500000</v>
      </c>
      <c r="I812" s="24">
        <f>IFERROR(__xludf.DUMMYFUNCTION("""COMPUTED_VALUE"""),0.0)</f>
        <v>0</v>
      </c>
    </row>
    <row r="813">
      <c r="A813" s="5" t="str">
        <f>IFERROR(__xludf.DUMMYFUNCTION("""COMPUTED_VALUE"""),"36196")</f>
        <v>36196</v>
      </c>
      <c r="B813" s="64">
        <f>IFERROR(__xludf.DUMMYFUNCTION("""COMPUTED_VALUE"""),44601.0)</f>
        <v>44601</v>
      </c>
      <c r="C813" s="5"/>
      <c r="D813" s="5"/>
      <c r="E813" s="5"/>
      <c r="F813" s="22">
        <f>IFERROR(__xludf.DUMMYFUNCTION("""COMPUTED_VALUE"""),500000.0)</f>
        <v>500000</v>
      </c>
      <c r="G813" s="22">
        <f>IFERROR(__xludf.DUMMYFUNCTION("""COMPUTED_VALUE"""),0.0)</f>
        <v>0</v>
      </c>
      <c r="H813" s="22">
        <f>IFERROR(__xludf.DUMMYFUNCTION("""COMPUTED_VALUE"""),500000.0)</f>
        <v>500000</v>
      </c>
      <c r="I813" s="24">
        <f>IFERROR(__xludf.DUMMYFUNCTION("""COMPUTED_VALUE"""),0.0)</f>
        <v>0</v>
      </c>
    </row>
    <row r="814">
      <c r="A814" s="5" t="str">
        <f>IFERROR(__xludf.DUMMYFUNCTION("""COMPUTED_VALUE"""),"36196")</f>
        <v>36196</v>
      </c>
      <c r="B814" s="64">
        <f>IFERROR(__xludf.DUMMYFUNCTION("""COMPUTED_VALUE"""),44602.0)</f>
        <v>44602</v>
      </c>
      <c r="C814" s="5"/>
      <c r="D814" s="5"/>
      <c r="E814" s="5"/>
      <c r="F814" s="22">
        <f>IFERROR(__xludf.DUMMYFUNCTION("""COMPUTED_VALUE"""),500000.0)</f>
        <v>500000</v>
      </c>
      <c r="G814" s="22">
        <f>IFERROR(__xludf.DUMMYFUNCTION("""COMPUTED_VALUE"""),0.0)</f>
        <v>0</v>
      </c>
      <c r="H814" s="22">
        <f>IFERROR(__xludf.DUMMYFUNCTION("""COMPUTED_VALUE"""),500000.0)</f>
        <v>500000</v>
      </c>
      <c r="I814" s="24">
        <f>IFERROR(__xludf.DUMMYFUNCTION("""COMPUTED_VALUE"""),0.0)</f>
        <v>0</v>
      </c>
    </row>
    <row r="815">
      <c r="A815" s="5" t="str">
        <f>IFERROR(__xludf.DUMMYFUNCTION("""COMPUTED_VALUE"""),"36196")</f>
        <v>36196</v>
      </c>
      <c r="B815" s="64">
        <f>IFERROR(__xludf.DUMMYFUNCTION("""COMPUTED_VALUE"""),44603.0)</f>
        <v>44603</v>
      </c>
      <c r="C815" s="5"/>
      <c r="D815" s="5"/>
      <c r="E815" s="5"/>
      <c r="F815" s="22">
        <f>IFERROR(__xludf.DUMMYFUNCTION("""COMPUTED_VALUE"""),500000.0)</f>
        <v>500000</v>
      </c>
      <c r="G815" s="22">
        <f>IFERROR(__xludf.DUMMYFUNCTION("""COMPUTED_VALUE"""),0.0)</f>
        <v>0</v>
      </c>
      <c r="H815" s="22">
        <f>IFERROR(__xludf.DUMMYFUNCTION("""COMPUTED_VALUE"""),500000.0)</f>
        <v>500000</v>
      </c>
      <c r="I815" s="24">
        <f>IFERROR(__xludf.DUMMYFUNCTION("""COMPUTED_VALUE"""),0.0)</f>
        <v>0</v>
      </c>
    </row>
    <row r="816">
      <c r="A816" s="5" t="str">
        <f>IFERROR(__xludf.DUMMYFUNCTION("""COMPUTED_VALUE"""),"36196")</f>
        <v>36196</v>
      </c>
      <c r="B816" s="64">
        <f>IFERROR(__xludf.DUMMYFUNCTION("""COMPUTED_VALUE"""),44604.0)</f>
        <v>44604</v>
      </c>
      <c r="C816" s="5"/>
      <c r="D816" s="5"/>
      <c r="E816" s="5"/>
      <c r="F816" s="22">
        <f>IFERROR(__xludf.DUMMYFUNCTION("""COMPUTED_VALUE"""),500000.0)</f>
        <v>500000</v>
      </c>
      <c r="G816" s="22">
        <f>IFERROR(__xludf.DUMMYFUNCTION("""COMPUTED_VALUE"""),0.0)</f>
        <v>0</v>
      </c>
      <c r="H816" s="22">
        <f>IFERROR(__xludf.DUMMYFUNCTION("""COMPUTED_VALUE"""),500000.0)</f>
        <v>500000</v>
      </c>
      <c r="I816" s="24">
        <f>IFERROR(__xludf.DUMMYFUNCTION("""COMPUTED_VALUE"""),0.0)</f>
        <v>0</v>
      </c>
    </row>
    <row r="817">
      <c r="A817" s="5" t="str">
        <f>IFERROR(__xludf.DUMMYFUNCTION("""COMPUTED_VALUE"""),"36196")</f>
        <v>36196</v>
      </c>
      <c r="B817" s="64">
        <f>IFERROR(__xludf.DUMMYFUNCTION("""COMPUTED_VALUE"""),44605.0)</f>
        <v>44605</v>
      </c>
      <c r="C817" s="5"/>
      <c r="D817" s="5"/>
      <c r="E817" s="5"/>
      <c r="F817" s="22">
        <f>IFERROR(__xludf.DUMMYFUNCTION("""COMPUTED_VALUE"""),500000.0)</f>
        <v>500000</v>
      </c>
      <c r="G817" s="22">
        <f>IFERROR(__xludf.DUMMYFUNCTION("""COMPUTED_VALUE"""),0.0)</f>
        <v>0</v>
      </c>
      <c r="H817" s="22">
        <f>IFERROR(__xludf.DUMMYFUNCTION("""COMPUTED_VALUE"""),500000.0)</f>
        <v>500000</v>
      </c>
      <c r="I817" s="24">
        <f>IFERROR(__xludf.DUMMYFUNCTION("""COMPUTED_VALUE"""),0.0)</f>
        <v>0</v>
      </c>
    </row>
    <row r="818">
      <c r="A818" s="5" t="str">
        <f>IFERROR(__xludf.DUMMYFUNCTION("""COMPUTED_VALUE"""),"36196")</f>
        <v>36196</v>
      </c>
      <c r="B818" s="64">
        <f>IFERROR(__xludf.DUMMYFUNCTION("""COMPUTED_VALUE"""),44606.0)</f>
        <v>44606</v>
      </c>
      <c r="C818" s="5"/>
      <c r="D818" s="5"/>
      <c r="E818" s="5"/>
      <c r="F818" s="22">
        <f>IFERROR(__xludf.DUMMYFUNCTION("""COMPUTED_VALUE"""),500000.0)</f>
        <v>500000</v>
      </c>
      <c r="G818" s="22">
        <f>IFERROR(__xludf.DUMMYFUNCTION("""COMPUTED_VALUE"""),0.0)</f>
        <v>0</v>
      </c>
      <c r="H818" s="22">
        <f>IFERROR(__xludf.DUMMYFUNCTION("""COMPUTED_VALUE"""),500000.0)</f>
        <v>500000</v>
      </c>
      <c r="I818" s="24">
        <f>IFERROR(__xludf.DUMMYFUNCTION("""COMPUTED_VALUE"""),0.0)</f>
        <v>0</v>
      </c>
    </row>
    <row r="819">
      <c r="A819" s="5" t="str">
        <f>IFERROR(__xludf.DUMMYFUNCTION("""COMPUTED_VALUE"""),"36196")</f>
        <v>36196</v>
      </c>
      <c r="B819" s="64">
        <f>IFERROR(__xludf.DUMMYFUNCTION("""COMPUTED_VALUE"""),44607.0)</f>
        <v>44607</v>
      </c>
      <c r="C819" s="5"/>
      <c r="D819" s="5"/>
      <c r="E819" s="5"/>
      <c r="F819" s="22">
        <f>IFERROR(__xludf.DUMMYFUNCTION("""COMPUTED_VALUE"""),500000.0)</f>
        <v>500000</v>
      </c>
      <c r="G819" s="22">
        <f>IFERROR(__xludf.DUMMYFUNCTION("""COMPUTED_VALUE"""),0.0)</f>
        <v>0</v>
      </c>
      <c r="H819" s="22">
        <f>IFERROR(__xludf.DUMMYFUNCTION("""COMPUTED_VALUE"""),500000.0)</f>
        <v>500000</v>
      </c>
      <c r="I819" s="24">
        <f>IFERROR(__xludf.DUMMYFUNCTION("""COMPUTED_VALUE"""),0.0)</f>
        <v>0</v>
      </c>
    </row>
    <row r="820">
      <c r="A820" s="5" t="str">
        <f>IFERROR(__xludf.DUMMYFUNCTION("""COMPUTED_VALUE"""),"36196")</f>
        <v>36196</v>
      </c>
      <c r="B820" s="64">
        <f>IFERROR(__xludf.DUMMYFUNCTION("""COMPUTED_VALUE"""),44608.0)</f>
        <v>44608</v>
      </c>
      <c r="C820" s="5"/>
      <c r="D820" s="5"/>
      <c r="E820" s="5"/>
      <c r="F820" s="22">
        <f>IFERROR(__xludf.DUMMYFUNCTION("""COMPUTED_VALUE"""),500000.0)</f>
        <v>500000</v>
      </c>
      <c r="G820" s="22">
        <f>IFERROR(__xludf.DUMMYFUNCTION("""COMPUTED_VALUE"""),0.0)</f>
        <v>0</v>
      </c>
      <c r="H820" s="22">
        <f>IFERROR(__xludf.DUMMYFUNCTION("""COMPUTED_VALUE"""),500000.0)</f>
        <v>500000</v>
      </c>
      <c r="I820" s="24">
        <f>IFERROR(__xludf.DUMMYFUNCTION("""COMPUTED_VALUE"""),0.0)</f>
        <v>0</v>
      </c>
    </row>
    <row r="821">
      <c r="A821" s="5" t="str">
        <f>IFERROR(__xludf.DUMMYFUNCTION("""COMPUTED_VALUE"""),"36196")</f>
        <v>36196</v>
      </c>
      <c r="B821" s="64">
        <f>IFERROR(__xludf.DUMMYFUNCTION("""COMPUTED_VALUE"""),44609.0)</f>
        <v>44609</v>
      </c>
      <c r="C821" s="5"/>
      <c r="D821" s="5"/>
      <c r="E821" s="5"/>
      <c r="F821" s="22">
        <f>IFERROR(__xludf.DUMMYFUNCTION("""COMPUTED_VALUE"""),500000.0)</f>
        <v>500000</v>
      </c>
      <c r="G821" s="22">
        <f>IFERROR(__xludf.DUMMYFUNCTION("""COMPUTED_VALUE"""),0.0)</f>
        <v>0</v>
      </c>
      <c r="H821" s="22">
        <f>IFERROR(__xludf.DUMMYFUNCTION("""COMPUTED_VALUE"""),500000.0)</f>
        <v>500000</v>
      </c>
      <c r="I821" s="24">
        <f>IFERROR(__xludf.DUMMYFUNCTION("""COMPUTED_VALUE"""),0.0)</f>
        <v>0</v>
      </c>
    </row>
    <row r="822">
      <c r="A822" s="5" t="str">
        <f>IFERROR(__xludf.DUMMYFUNCTION("""COMPUTED_VALUE"""),"36196")</f>
        <v>36196</v>
      </c>
      <c r="B822" s="64">
        <f>IFERROR(__xludf.DUMMYFUNCTION("""COMPUTED_VALUE"""),44610.0)</f>
        <v>44610</v>
      </c>
      <c r="C822" s="5"/>
      <c r="D822" s="5"/>
      <c r="E822" s="5"/>
      <c r="F822" s="22">
        <f>IFERROR(__xludf.DUMMYFUNCTION("""COMPUTED_VALUE"""),500000.0)</f>
        <v>500000</v>
      </c>
      <c r="G822" s="22">
        <f>IFERROR(__xludf.DUMMYFUNCTION("""COMPUTED_VALUE"""),0.0)</f>
        <v>0</v>
      </c>
      <c r="H822" s="22">
        <f>IFERROR(__xludf.DUMMYFUNCTION("""COMPUTED_VALUE"""),500000.0)</f>
        <v>500000</v>
      </c>
      <c r="I822" s="24">
        <f>IFERROR(__xludf.DUMMYFUNCTION("""COMPUTED_VALUE"""),0.0)</f>
        <v>0</v>
      </c>
    </row>
    <row r="823">
      <c r="A823" s="5" t="str">
        <f>IFERROR(__xludf.DUMMYFUNCTION("""COMPUTED_VALUE"""),"36196")</f>
        <v>36196</v>
      </c>
      <c r="B823" s="64">
        <f>IFERROR(__xludf.DUMMYFUNCTION("""COMPUTED_VALUE"""),44611.0)</f>
        <v>44611</v>
      </c>
      <c r="C823" s="5"/>
      <c r="D823" s="5"/>
      <c r="E823" s="5"/>
      <c r="F823" s="22">
        <f>IFERROR(__xludf.DUMMYFUNCTION("""COMPUTED_VALUE"""),500000.0)</f>
        <v>500000</v>
      </c>
      <c r="G823" s="22">
        <f>IFERROR(__xludf.DUMMYFUNCTION("""COMPUTED_VALUE"""),0.0)</f>
        <v>0</v>
      </c>
      <c r="H823" s="22">
        <f>IFERROR(__xludf.DUMMYFUNCTION("""COMPUTED_VALUE"""),500000.0)</f>
        <v>500000</v>
      </c>
      <c r="I823" s="24">
        <f>IFERROR(__xludf.DUMMYFUNCTION("""COMPUTED_VALUE"""),0.0)</f>
        <v>0</v>
      </c>
    </row>
    <row r="824">
      <c r="A824" s="5" t="str">
        <f>IFERROR(__xludf.DUMMYFUNCTION("""COMPUTED_VALUE"""),"36196")</f>
        <v>36196</v>
      </c>
      <c r="B824" s="64">
        <f>IFERROR(__xludf.DUMMYFUNCTION("""COMPUTED_VALUE"""),44612.0)</f>
        <v>44612</v>
      </c>
      <c r="C824" s="5"/>
      <c r="D824" s="5"/>
      <c r="E824" s="5"/>
      <c r="F824" s="22">
        <f>IFERROR(__xludf.DUMMYFUNCTION("""COMPUTED_VALUE"""),500000.0)</f>
        <v>500000</v>
      </c>
      <c r="G824" s="22">
        <f>IFERROR(__xludf.DUMMYFUNCTION("""COMPUTED_VALUE"""),0.0)</f>
        <v>0</v>
      </c>
      <c r="H824" s="22">
        <f>IFERROR(__xludf.DUMMYFUNCTION("""COMPUTED_VALUE"""),500000.0)</f>
        <v>500000</v>
      </c>
      <c r="I824" s="24">
        <f>IFERROR(__xludf.DUMMYFUNCTION("""COMPUTED_VALUE"""),0.0)</f>
        <v>0</v>
      </c>
    </row>
    <row r="825">
      <c r="A825" s="5" t="str">
        <f>IFERROR(__xludf.DUMMYFUNCTION("""COMPUTED_VALUE"""),"36196")</f>
        <v>36196</v>
      </c>
      <c r="B825" s="64">
        <f>IFERROR(__xludf.DUMMYFUNCTION("""COMPUTED_VALUE"""),44613.0)</f>
        <v>44613</v>
      </c>
      <c r="C825" s="5"/>
      <c r="D825" s="5"/>
      <c r="E825" s="5"/>
      <c r="F825" s="22">
        <f>IFERROR(__xludf.DUMMYFUNCTION("""COMPUTED_VALUE"""),500000.0)</f>
        <v>500000</v>
      </c>
      <c r="G825" s="22">
        <f>IFERROR(__xludf.DUMMYFUNCTION("""COMPUTED_VALUE"""),0.0)</f>
        <v>0</v>
      </c>
      <c r="H825" s="22">
        <f>IFERROR(__xludf.DUMMYFUNCTION("""COMPUTED_VALUE"""),500000.0)</f>
        <v>500000</v>
      </c>
      <c r="I825" s="24">
        <f>IFERROR(__xludf.DUMMYFUNCTION("""COMPUTED_VALUE"""),0.0)</f>
        <v>0</v>
      </c>
    </row>
    <row r="826">
      <c r="A826" s="5" t="str">
        <f>IFERROR(__xludf.DUMMYFUNCTION("""COMPUTED_VALUE"""),"36196")</f>
        <v>36196</v>
      </c>
      <c r="B826" s="64">
        <f>IFERROR(__xludf.DUMMYFUNCTION("""COMPUTED_VALUE"""),44614.0)</f>
        <v>44614</v>
      </c>
      <c r="C826" s="5"/>
      <c r="D826" s="5"/>
      <c r="E826" s="5"/>
      <c r="F826" s="22">
        <f>IFERROR(__xludf.DUMMYFUNCTION("""COMPUTED_VALUE"""),500000.0)</f>
        <v>500000</v>
      </c>
      <c r="G826" s="22">
        <f>IFERROR(__xludf.DUMMYFUNCTION("""COMPUTED_VALUE"""),0.0)</f>
        <v>0</v>
      </c>
      <c r="H826" s="22">
        <f>IFERROR(__xludf.DUMMYFUNCTION("""COMPUTED_VALUE"""),500000.0)</f>
        <v>500000</v>
      </c>
      <c r="I826" s="24">
        <f>IFERROR(__xludf.DUMMYFUNCTION("""COMPUTED_VALUE"""),0.0)</f>
        <v>0</v>
      </c>
    </row>
    <row r="827">
      <c r="A827" s="5" t="str">
        <f>IFERROR(__xludf.DUMMYFUNCTION("""COMPUTED_VALUE"""),"36196")</f>
        <v>36196</v>
      </c>
      <c r="B827" s="64">
        <f>IFERROR(__xludf.DUMMYFUNCTION("""COMPUTED_VALUE"""),44615.0)</f>
        <v>44615</v>
      </c>
      <c r="C827" s="5"/>
      <c r="D827" s="5"/>
      <c r="E827" s="5"/>
      <c r="F827" s="22">
        <f>IFERROR(__xludf.DUMMYFUNCTION("""COMPUTED_VALUE"""),500000.0)</f>
        <v>500000</v>
      </c>
      <c r="G827" s="22">
        <f>IFERROR(__xludf.DUMMYFUNCTION("""COMPUTED_VALUE"""),0.0)</f>
        <v>0</v>
      </c>
      <c r="H827" s="22">
        <f>IFERROR(__xludf.DUMMYFUNCTION("""COMPUTED_VALUE"""),500000.0)</f>
        <v>500000</v>
      </c>
      <c r="I827" s="24">
        <f>IFERROR(__xludf.DUMMYFUNCTION("""COMPUTED_VALUE"""),0.0)</f>
        <v>0</v>
      </c>
    </row>
    <row r="828">
      <c r="A828" s="5" t="str">
        <f>IFERROR(__xludf.DUMMYFUNCTION("""COMPUTED_VALUE"""),"36196")</f>
        <v>36196</v>
      </c>
      <c r="B828" s="64">
        <f>IFERROR(__xludf.DUMMYFUNCTION("""COMPUTED_VALUE"""),44616.0)</f>
        <v>44616</v>
      </c>
      <c r="C828" s="5"/>
      <c r="D828" s="5"/>
      <c r="E828" s="5"/>
      <c r="F828" s="22">
        <f>IFERROR(__xludf.DUMMYFUNCTION("""COMPUTED_VALUE"""),500000.0)</f>
        <v>500000</v>
      </c>
      <c r="G828" s="22">
        <f>IFERROR(__xludf.DUMMYFUNCTION("""COMPUTED_VALUE"""),0.0)</f>
        <v>0</v>
      </c>
      <c r="H828" s="22">
        <f>IFERROR(__xludf.DUMMYFUNCTION("""COMPUTED_VALUE"""),500000.0)</f>
        <v>500000</v>
      </c>
      <c r="I828" s="24">
        <f>IFERROR(__xludf.DUMMYFUNCTION("""COMPUTED_VALUE"""),0.0)</f>
        <v>0</v>
      </c>
    </row>
    <row r="829">
      <c r="A829" s="5" t="str">
        <f>IFERROR(__xludf.DUMMYFUNCTION("""COMPUTED_VALUE"""),"36196")</f>
        <v>36196</v>
      </c>
      <c r="B829" s="64">
        <f>IFERROR(__xludf.DUMMYFUNCTION("""COMPUTED_VALUE"""),44617.0)</f>
        <v>44617</v>
      </c>
      <c r="C829" s="5"/>
      <c r="D829" s="5"/>
      <c r="E829" s="5"/>
      <c r="F829" s="22">
        <f>IFERROR(__xludf.DUMMYFUNCTION("""COMPUTED_VALUE"""),500000.0)</f>
        <v>500000</v>
      </c>
      <c r="G829" s="22">
        <f>IFERROR(__xludf.DUMMYFUNCTION("""COMPUTED_VALUE"""),0.0)</f>
        <v>0</v>
      </c>
      <c r="H829" s="22">
        <f>IFERROR(__xludf.DUMMYFUNCTION("""COMPUTED_VALUE"""),500000.0)</f>
        <v>500000</v>
      </c>
      <c r="I829" s="24">
        <f>IFERROR(__xludf.DUMMYFUNCTION("""COMPUTED_VALUE"""),0.0)</f>
        <v>0</v>
      </c>
    </row>
    <row r="830">
      <c r="A830" s="5" t="str">
        <f>IFERROR(__xludf.DUMMYFUNCTION("""COMPUTED_VALUE"""),"36196")</f>
        <v>36196</v>
      </c>
      <c r="B830" s="64">
        <f>IFERROR(__xludf.DUMMYFUNCTION("""COMPUTED_VALUE"""),44618.0)</f>
        <v>44618</v>
      </c>
      <c r="C830" s="5"/>
      <c r="D830" s="5"/>
      <c r="E830" s="5"/>
      <c r="F830" s="22">
        <f>IFERROR(__xludf.DUMMYFUNCTION("""COMPUTED_VALUE"""),500000.0)</f>
        <v>500000</v>
      </c>
      <c r="G830" s="22">
        <f>IFERROR(__xludf.DUMMYFUNCTION("""COMPUTED_VALUE"""),0.0)</f>
        <v>0</v>
      </c>
      <c r="H830" s="22">
        <f>IFERROR(__xludf.DUMMYFUNCTION("""COMPUTED_VALUE"""),500000.0)</f>
        <v>500000</v>
      </c>
      <c r="I830" s="24">
        <f>IFERROR(__xludf.DUMMYFUNCTION("""COMPUTED_VALUE"""),0.0)</f>
        <v>0</v>
      </c>
    </row>
    <row r="831">
      <c r="A831" s="5" t="str">
        <f>IFERROR(__xludf.DUMMYFUNCTION("""COMPUTED_VALUE"""),"36196")</f>
        <v>36196</v>
      </c>
      <c r="B831" s="64">
        <f>IFERROR(__xludf.DUMMYFUNCTION("""COMPUTED_VALUE"""),44619.0)</f>
        <v>44619</v>
      </c>
      <c r="C831" s="5"/>
      <c r="D831" s="5"/>
      <c r="E831" s="5"/>
      <c r="F831" s="22">
        <f>IFERROR(__xludf.DUMMYFUNCTION("""COMPUTED_VALUE"""),500000.0)</f>
        <v>500000</v>
      </c>
      <c r="G831" s="22">
        <f>IFERROR(__xludf.DUMMYFUNCTION("""COMPUTED_VALUE"""),0.0)</f>
        <v>0</v>
      </c>
      <c r="H831" s="22">
        <f>IFERROR(__xludf.DUMMYFUNCTION("""COMPUTED_VALUE"""),500000.0)</f>
        <v>500000</v>
      </c>
      <c r="I831" s="24">
        <f>IFERROR(__xludf.DUMMYFUNCTION("""COMPUTED_VALUE"""),0.0)</f>
        <v>0</v>
      </c>
    </row>
    <row r="832">
      <c r="A832" s="5" t="str">
        <f>IFERROR(__xludf.DUMMYFUNCTION("""COMPUTED_VALUE"""),"36196")</f>
        <v>36196</v>
      </c>
      <c r="B832" s="64">
        <f>IFERROR(__xludf.DUMMYFUNCTION("""COMPUTED_VALUE"""),44620.0)</f>
        <v>44620</v>
      </c>
      <c r="C832" s="5"/>
      <c r="D832" s="5"/>
      <c r="E832" s="5"/>
      <c r="F832" s="22">
        <f>IFERROR(__xludf.DUMMYFUNCTION("""COMPUTED_VALUE"""),500000.0)</f>
        <v>500000</v>
      </c>
      <c r="G832" s="22">
        <f>IFERROR(__xludf.DUMMYFUNCTION("""COMPUTED_VALUE"""),0.0)</f>
        <v>0</v>
      </c>
      <c r="H832" s="22">
        <f>IFERROR(__xludf.DUMMYFUNCTION("""COMPUTED_VALUE"""),500000.0)</f>
        <v>500000</v>
      </c>
      <c r="I832" s="24">
        <f>IFERROR(__xludf.DUMMYFUNCTION("""COMPUTED_VALUE"""),0.0)</f>
        <v>0</v>
      </c>
    </row>
    <row r="833">
      <c r="A833" s="5" t="str">
        <f>IFERROR(__xludf.DUMMYFUNCTION("""COMPUTED_VALUE"""),"36196")</f>
        <v>36196</v>
      </c>
      <c r="B833" s="64">
        <f>IFERROR(__xludf.DUMMYFUNCTION("""COMPUTED_VALUE"""),44621.0)</f>
        <v>44621</v>
      </c>
      <c r="C833" s="5"/>
      <c r="D833" s="5"/>
      <c r="E833" s="5"/>
      <c r="F833" s="22">
        <f>IFERROR(__xludf.DUMMYFUNCTION("""COMPUTED_VALUE"""),500000.0)</f>
        <v>500000</v>
      </c>
      <c r="G833" s="22">
        <f>IFERROR(__xludf.DUMMYFUNCTION("""COMPUTED_VALUE"""),0.0)</f>
        <v>0</v>
      </c>
      <c r="H833" s="22">
        <f>IFERROR(__xludf.DUMMYFUNCTION("""COMPUTED_VALUE"""),500000.0)</f>
        <v>500000</v>
      </c>
      <c r="I833" s="24">
        <f>IFERROR(__xludf.DUMMYFUNCTION("""COMPUTED_VALUE"""),0.0)</f>
        <v>0</v>
      </c>
    </row>
    <row r="834">
      <c r="A834" s="5" t="str">
        <f>IFERROR(__xludf.DUMMYFUNCTION("""COMPUTED_VALUE"""),"36196")</f>
        <v>36196</v>
      </c>
      <c r="B834" s="64">
        <f>IFERROR(__xludf.DUMMYFUNCTION("""COMPUTED_VALUE"""),44622.0)</f>
        <v>44622</v>
      </c>
      <c r="C834" s="5"/>
      <c r="D834" s="5"/>
      <c r="E834" s="5"/>
      <c r="F834" s="22">
        <f>IFERROR(__xludf.DUMMYFUNCTION("""COMPUTED_VALUE"""),500000.0)</f>
        <v>500000</v>
      </c>
      <c r="G834" s="22">
        <f>IFERROR(__xludf.DUMMYFUNCTION("""COMPUTED_VALUE"""),0.0)</f>
        <v>0</v>
      </c>
      <c r="H834" s="22">
        <f>IFERROR(__xludf.DUMMYFUNCTION("""COMPUTED_VALUE"""),500000.0)</f>
        <v>500000</v>
      </c>
      <c r="I834" s="24">
        <f>IFERROR(__xludf.DUMMYFUNCTION("""COMPUTED_VALUE"""),0.0)</f>
        <v>0</v>
      </c>
    </row>
    <row r="835">
      <c r="A835" s="5" t="str">
        <f>IFERROR(__xludf.DUMMYFUNCTION("""COMPUTED_VALUE"""),"36196")</f>
        <v>36196</v>
      </c>
      <c r="B835" s="64">
        <f>IFERROR(__xludf.DUMMYFUNCTION("""COMPUTED_VALUE"""),44623.0)</f>
        <v>44623</v>
      </c>
      <c r="C835" s="5"/>
      <c r="D835" s="5"/>
      <c r="E835" s="5"/>
      <c r="F835" s="22">
        <f>IFERROR(__xludf.DUMMYFUNCTION("""COMPUTED_VALUE"""),500000.0)</f>
        <v>500000</v>
      </c>
      <c r="G835" s="22">
        <f>IFERROR(__xludf.DUMMYFUNCTION("""COMPUTED_VALUE"""),0.0)</f>
        <v>0</v>
      </c>
      <c r="H835" s="22">
        <f>IFERROR(__xludf.DUMMYFUNCTION("""COMPUTED_VALUE"""),500000.0)</f>
        <v>500000</v>
      </c>
      <c r="I835" s="24">
        <f>IFERROR(__xludf.DUMMYFUNCTION("""COMPUTED_VALUE"""),0.0)</f>
        <v>0</v>
      </c>
    </row>
    <row r="836">
      <c r="A836" s="5" t="str">
        <f>IFERROR(__xludf.DUMMYFUNCTION("""COMPUTED_VALUE"""),"36196")</f>
        <v>36196</v>
      </c>
      <c r="B836" s="64">
        <f>IFERROR(__xludf.DUMMYFUNCTION("""COMPUTED_VALUE"""),44624.0)</f>
        <v>44624</v>
      </c>
      <c r="C836" s="5"/>
      <c r="D836" s="5"/>
      <c r="E836" s="5"/>
      <c r="F836" s="22">
        <f>IFERROR(__xludf.DUMMYFUNCTION("""COMPUTED_VALUE"""),500000.0)</f>
        <v>500000</v>
      </c>
      <c r="G836" s="22">
        <f>IFERROR(__xludf.DUMMYFUNCTION("""COMPUTED_VALUE"""),0.0)</f>
        <v>0</v>
      </c>
      <c r="H836" s="22">
        <f>IFERROR(__xludf.DUMMYFUNCTION("""COMPUTED_VALUE"""),500000.0)</f>
        <v>500000</v>
      </c>
      <c r="I836" s="24">
        <f>IFERROR(__xludf.DUMMYFUNCTION("""COMPUTED_VALUE"""),0.0)</f>
        <v>0</v>
      </c>
    </row>
    <row r="837">
      <c r="A837" s="5" t="str">
        <f>IFERROR(__xludf.DUMMYFUNCTION("""COMPUTED_VALUE"""),"36196")</f>
        <v>36196</v>
      </c>
      <c r="B837" s="64">
        <f>IFERROR(__xludf.DUMMYFUNCTION("""COMPUTED_VALUE"""),44625.0)</f>
        <v>44625</v>
      </c>
      <c r="C837" s="5"/>
      <c r="D837" s="5"/>
      <c r="E837" s="5"/>
      <c r="F837" s="22">
        <f>IFERROR(__xludf.DUMMYFUNCTION("""COMPUTED_VALUE"""),500000.0)</f>
        <v>500000</v>
      </c>
      <c r="G837" s="22">
        <f>IFERROR(__xludf.DUMMYFUNCTION("""COMPUTED_VALUE"""),0.0)</f>
        <v>0</v>
      </c>
      <c r="H837" s="22">
        <f>IFERROR(__xludf.DUMMYFUNCTION("""COMPUTED_VALUE"""),500000.0)</f>
        <v>500000</v>
      </c>
      <c r="I837" s="24">
        <f>IFERROR(__xludf.DUMMYFUNCTION("""COMPUTED_VALUE"""),0.0)</f>
        <v>0</v>
      </c>
    </row>
    <row r="838">
      <c r="A838" s="5" t="str">
        <f>IFERROR(__xludf.DUMMYFUNCTION("""COMPUTED_VALUE"""),"36196")</f>
        <v>36196</v>
      </c>
      <c r="B838" s="64">
        <f>IFERROR(__xludf.DUMMYFUNCTION("""COMPUTED_VALUE"""),44626.0)</f>
        <v>44626</v>
      </c>
      <c r="C838" s="5"/>
      <c r="D838" s="5"/>
      <c r="E838" s="5"/>
      <c r="F838" s="22">
        <f>IFERROR(__xludf.DUMMYFUNCTION("""COMPUTED_VALUE"""),500000.0)</f>
        <v>500000</v>
      </c>
      <c r="G838" s="22">
        <f>IFERROR(__xludf.DUMMYFUNCTION("""COMPUTED_VALUE"""),0.0)</f>
        <v>0</v>
      </c>
      <c r="H838" s="22">
        <f>IFERROR(__xludf.DUMMYFUNCTION("""COMPUTED_VALUE"""),500000.0)</f>
        <v>500000</v>
      </c>
      <c r="I838" s="24">
        <f>IFERROR(__xludf.DUMMYFUNCTION("""COMPUTED_VALUE"""),0.0)</f>
        <v>0</v>
      </c>
    </row>
    <row r="839">
      <c r="A839" s="5" t="str">
        <f>IFERROR(__xludf.DUMMYFUNCTION("""COMPUTED_VALUE"""),"36196")</f>
        <v>36196</v>
      </c>
      <c r="B839" s="64">
        <f>IFERROR(__xludf.DUMMYFUNCTION("""COMPUTED_VALUE"""),44627.0)</f>
        <v>44627</v>
      </c>
      <c r="C839" s="5"/>
      <c r="D839" s="5"/>
      <c r="E839" s="5"/>
      <c r="F839" s="22">
        <f>IFERROR(__xludf.DUMMYFUNCTION("""COMPUTED_VALUE"""),500000.0)</f>
        <v>500000</v>
      </c>
      <c r="G839" s="22">
        <f>IFERROR(__xludf.DUMMYFUNCTION("""COMPUTED_VALUE"""),0.0)</f>
        <v>0</v>
      </c>
      <c r="H839" s="22">
        <f>IFERROR(__xludf.DUMMYFUNCTION("""COMPUTED_VALUE"""),500000.0)</f>
        <v>500000</v>
      </c>
      <c r="I839" s="24">
        <f>IFERROR(__xludf.DUMMYFUNCTION("""COMPUTED_VALUE"""),0.0)</f>
        <v>0</v>
      </c>
    </row>
    <row r="840">
      <c r="A840" s="5" t="str">
        <f>IFERROR(__xludf.DUMMYFUNCTION("""COMPUTED_VALUE"""),"36196")</f>
        <v>36196</v>
      </c>
      <c r="B840" s="64">
        <f>IFERROR(__xludf.DUMMYFUNCTION("""COMPUTED_VALUE"""),44628.0)</f>
        <v>44628</v>
      </c>
      <c r="C840" s="5"/>
      <c r="D840" s="5"/>
      <c r="E840" s="5"/>
      <c r="F840" s="22">
        <f>IFERROR(__xludf.DUMMYFUNCTION("""COMPUTED_VALUE"""),500000.0)</f>
        <v>500000</v>
      </c>
      <c r="G840" s="22">
        <f>IFERROR(__xludf.DUMMYFUNCTION("""COMPUTED_VALUE"""),0.0)</f>
        <v>0</v>
      </c>
      <c r="H840" s="22">
        <f>IFERROR(__xludf.DUMMYFUNCTION("""COMPUTED_VALUE"""),500000.0)</f>
        <v>500000</v>
      </c>
      <c r="I840" s="24">
        <f>IFERROR(__xludf.DUMMYFUNCTION("""COMPUTED_VALUE"""),0.0)</f>
        <v>0</v>
      </c>
    </row>
    <row r="841">
      <c r="A841" s="5" t="str">
        <f>IFERROR(__xludf.DUMMYFUNCTION("""COMPUTED_VALUE"""),"36196")</f>
        <v>36196</v>
      </c>
      <c r="B841" s="64">
        <f>IFERROR(__xludf.DUMMYFUNCTION("""COMPUTED_VALUE"""),44629.0)</f>
        <v>44629</v>
      </c>
      <c r="C841" s="5"/>
      <c r="D841" s="5"/>
      <c r="E841" s="5"/>
      <c r="F841" s="22">
        <f>IFERROR(__xludf.DUMMYFUNCTION("""COMPUTED_VALUE"""),500000.0)</f>
        <v>500000</v>
      </c>
      <c r="G841" s="22">
        <f>IFERROR(__xludf.DUMMYFUNCTION("""COMPUTED_VALUE"""),0.0)</f>
        <v>0</v>
      </c>
      <c r="H841" s="22">
        <f>IFERROR(__xludf.DUMMYFUNCTION("""COMPUTED_VALUE"""),500000.0)</f>
        <v>500000</v>
      </c>
      <c r="I841" s="24">
        <f>IFERROR(__xludf.DUMMYFUNCTION("""COMPUTED_VALUE"""),0.0)</f>
        <v>0</v>
      </c>
    </row>
    <row r="842">
      <c r="A842" s="5" t="str">
        <f>IFERROR(__xludf.DUMMYFUNCTION("""COMPUTED_VALUE"""),"36196")</f>
        <v>36196</v>
      </c>
      <c r="B842" s="64">
        <f>IFERROR(__xludf.DUMMYFUNCTION("""COMPUTED_VALUE"""),44630.0)</f>
        <v>44630</v>
      </c>
      <c r="C842" s="5"/>
      <c r="D842" s="5"/>
      <c r="E842" s="5"/>
      <c r="F842" s="22">
        <f>IFERROR(__xludf.DUMMYFUNCTION("""COMPUTED_VALUE"""),500000.0)</f>
        <v>500000</v>
      </c>
      <c r="G842" s="22">
        <f>IFERROR(__xludf.DUMMYFUNCTION("""COMPUTED_VALUE"""),0.0)</f>
        <v>0</v>
      </c>
      <c r="H842" s="22">
        <f>IFERROR(__xludf.DUMMYFUNCTION("""COMPUTED_VALUE"""),500000.0)</f>
        <v>500000</v>
      </c>
      <c r="I842" s="24">
        <f>IFERROR(__xludf.DUMMYFUNCTION("""COMPUTED_VALUE"""),0.0)</f>
        <v>0</v>
      </c>
    </row>
    <row r="843">
      <c r="A843" s="5" t="str">
        <f>IFERROR(__xludf.DUMMYFUNCTION("""COMPUTED_VALUE"""),"36196")</f>
        <v>36196</v>
      </c>
      <c r="B843" s="64">
        <f>IFERROR(__xludf.DUMMYFUNCTION("""COMPUTED_VALUE"""),44631.0)</f>
        <v>44631</v>
      </c>
      <c r="C843" s="5"/>
      <c r="D843" s="5"/>
      <c r="E843" s="5"/>
      <c r="F843" s="22">
        <f>IFERROR(__xludf.DUMMYFUNCTION("""COMPUTED_VALUE"""),500000.0)</f>
        <v>500000</v>
      </c>
      <c r="G843" s="22">
        <f>IFERROR(__xludf.DUMMYFUNCTION("""COMPUTED_VALUE"""),0.0)</f>
        <v>0</v>
      </c>
      <c r="H843" s="22">
        <f>IFERROR(__xludf.DUMMYFUNCTION("""COMPUTED_VALUE"""),500000.0)</f>
        <v>500000</v>
      </c>
      <c r="I843" s="24">
        <f>IFERROR(__xludf.DUMMYFUNCTION("""COMPUTED_VALUE"""),0.0)</f>
        <v>0</v>
      </c>
    </row>
    <row r="844">
      <c r="A844" s="5" t="str">
        <f>IFERROR(__xludf.DUMMYFUNCTION("""COMPUTED_VALUE"""),"36196")</f>
        <v>36196</v>
      </c>
      <c r="B844" s="64">
        <f>IFERROR(__xludf.DUMMYFUNCTION("""COMPUTED_VALUE"""),44632.0)</f>
        <v>44632</v>
      </c>
      <c r="C844" s="5"/>
      <c r="D844" s="5"/>
      <c r="E844" s="5"/>
      <c r="F844" s="22">
        <f>IFERROR(__xludf.DUMMYFUNCTION("""COMPUTED_VALUE"""),500000.0)</f>
        <v>500000</v>
      </c>
      <c r="G844" s="22">
        <f>IFERROR(__xludf.DUMMYFUNCTION("""COMPUTED_VALUE"""),0.0)</f>
        <v>0</v>
      </c>
      <c r="H844" s="22">
        <f>IFERROR(__xludf.DUMMYFUNCTION("""COMPUTED_VALUE"""),500000.0)</f>
        <v>500000</v>
      </c>
      <c r="I844" s="24">
        <f>IFERROR(__xludf.DUMMYFUNCTION("""COMPUTED_VALUE"""),0.0)</f>
        <v>0</v>
      </c>
    </row>
    <row r="845">
      <c r="A845" s="5" t="str">
        <f>IFERROR(__xludf.DUMMYFUNCTION("""COMPUTED_VALUE"""),"36196")</f>
        <v>36196</v>
      </c>
      <c r="B845" s="64">
        <f>IFERROR(__xludf.DUMMYFUNCTION("""COMPUTED_VALUE"""),44633.0)</f>
        <v>44633</v>
      </c>
      <c r="C845" s="5"/>
      <c r="D845" s="5"/>
      <c r="E845" s="5"/>
      <c r="F845" s="22">
        <f>IFERROR(__xludf.DUMMYFUNCTION("""COMPUTED_VALUE"""),500000.0)</f>
        <v>500000</v>
      </c>
      <c r="G845" s="22">
        <f>IFERROR(__xludf.DUMMYFUNCTION("""COMPUTED_VALUE"""),0.0)</f>
        <v>0</v>
      </c>
      <c r="H845" s="22">
        <f>IFERROR(__xludf.DUMMYFUNCTION("""COMPUTED_VALUE"""),500000.0)</f>
        <v>500000</v>
      </c>
      <c r="I845" s="24">
        <f>IFERROR(__xludf.DUMMYFUNCTION("""COMPUTED_VALUE"""),0.0)</f>
        <v>0</v>
      </c>
    </row>
    <row r="846">
      <c r="A846" s="5" t="str">
        <f>IFERROR(__xludf.DUMMYFUNCTION("""COMPUTED_VALUE"""),"36196")</f>
        <v>36196</v>
      </c>
      <c r="B846" s="64">
        <f>IFERROR(__xludf.DUMMYFUNCTION("""COMPUTED_VALUE"""),44634.0)</f>
        <v>44634</v>
      </c>
      <c r="C846" s="5"/>
      <c r="D846" s="5"/>
      <c r="E846" s="5"/>
      <c r="F846" s="22">
        <f>IFERROR(__xludf.DUMMYFUNCTION("""COMPUTED_VALUE"""),500000.0)</f>
        <v>500000</v>
      </c>
      <c r="G846" s="22">
        <f>IFERROR(__xludf.DUMMYFUNCTION("""COMPUTED_VALUE"""),0.0)</f>
        <v>0</v>
      </c>
      <c r="H846" s="22">
        <f>IFERROR(__xludf.DUMMYFUNCTION("""COMPUTED_VALUE"""),500000.0)</f>
        <v>500000</v>
      </c>
      <c r="I846" s="24">
        <f>IFERROR(__xludf.DUMMYFUNCTION("""COMPUTED_VALUE"""),0.0)</f>
        <v>0</v>
      </c>
    </row>
    <row r="847">
      <c r="A847" s="5" t="str">
        <f>IFERROR(__xludf.DUMMYFUNCTION("""COMPUTED_VALUE"""),"36196")</f>
        <v>36196</v>
      </c>
      <c r="B847" s="64">
        <f>IFERROR(__xludf.DUMMYFUNCTION("""COMPUTED_VALUE"""),44635.0)</f>
        <v>44635</v>
      </c>
      <c r="C847" s="5"/>
      <c r="D847" s="5"/>
      <c r="E847" s="5"/>
      <c r="F847" s="22">
        <f>IFERROR(__xludf.DUMMYFUNCTION("""COMPUTED_VALUE"""),500000.0)</f>
        <v>500000</v>
      </c>
      <c r="G847" s="22">
        <f>IFERROR(__xludf.DUMMYFUNCTION("""COMPUTED_VALUE"""),0.0)</f>
        <v>0</v>
      </c>
      <c r="H847" s="22">
        <f>IFERROR(__xludf.DUMMYFUNCTION("""COMPUTED_VALUE"""),500000.0)</f>
        <v>500000</v>
      </c>
      <c r="I847" s="24">
        <f>IFERROR(__xludf.DUMMYFUNCTION("""COMPUTED_VALUE"""),0.0)</f>
        <v>0</v>
      </c>
    </row>
    <row r="848">
      <c r="A848" s="5" t="str">
        <f>IFERROR(__xludf.DUMMYFUNCTION("""COMPUTED_VALUE"""),"36196")</f>
        <v>36196</v>
      </c>
      <c r="B848" s="64">
        <f>IFERROR(__xludf.DUMMYFUNCTION("""COMPUTED_VALUE"""),44636.0)</f>
        <v>44636</v>
      </c>
      <c r="C848" s="5"/>
      <c r="D848" s="5"/>
      <c r="E848" s="5"/>
      <c r="F848" s="22">
        <f>IFERROR(__xludf.DUMMYFUNCTION("""COMPUTED_VALUE"""),500000.0)</f>
        <v>500000</v>
      </c>
      <c r="G848" s="22">
        <f>IFERROR(__xludf.DUMMYFUNCTION("""COMPUTED_VALUE"""),0.0)</f>
        <v>0</v>
      </c>
      <c r="H848" s="22">
        <f>IFERROR(__xludf.DUMMYFUNCTION("""COMPUTED_VALUE"""),500000.0)</f>
        <v>500000</v>
      </c>
      <c r="I848" s="24">
        <f>IFERROR(__xludf.DUMMYFUNCTION("""COMPUTED_VALUE"""),0.0)</f>
        <v>0</v>
      </c>
    </row>
    <row r="849">
      <c r="A849" s="5" t="str">
        <f>IFERROR(__xludf.DUMMYFUNCTION("""COMPUTED_VALUE"""),"36196")</f>
        <v>36196</v>
      </c>
      <c r="B849" s="64">
        <f>IFERROR(__xludf.DUMMYFUNCTION("""COMPUTED_VALUE"""),44637.0)</f>
        <v>44637</v>
      </c>
      <c r="C849" s="5"/>
      <c r="D849" s="5"/>
      <c r="E849" s="5"/>
      <c r="F849" s="22">
        <f>IFERROR(__xludf.DUMMYFUNCTION("""COMPUTED_VALUE"""),500000.0)</f>
        <v>500000</v>
      </c>
      <c r="G849" s="22">
        <f>IFERROR(__xludf.DUMMYFUNCTION("""COMPUTED_VALUE"""),0.0)</f>
        <v>0</v>
      </c>
      <c r="H849" s="22">
        <f>IFERROR(__xludf.DUMMYFUNCTION("""COMPUTED_VALUE"""),500000.0)</f>
        <v>500000</v>
      </c>
      <c r="I849" s="24">
        <f>IFERROR(__xludf.DUMMYFUNCTION("""COMPUTED_VALUE"""),0.0)</f>
        <v>0</v>
      </c>
    </row>
    <row r="850">
      <c r="A850" s="5" t="str">
        <f>IFERROR(__xludf.DUMMYFUNCTION("""COMPUTED_VALUE"""),"36196")</f>
        <v>36196</v>
      </c>
      <c r="B850" s="64">
        <f>IFERROR(__xludf.DUMMYFUNCTION("""COMPUTED_VALUE"""),44638.0)</f>
        <v>44638</v>
      </c>
      <c r="C850" s="5"/>
      <c r="D850" s="5"/>
      <c r="E850" s="5"/>
      <c r="F850" s="22">
        <f>IFERROR(__xludf.DUMMYFUNCTION("""COMPUTED_VALUE"""),500000.0)</f>
        <v>500000</v>
      </c>
      <c r="G850" s="22">
        <f>IFERROR(__xludf.DUMMYFUNCTION("""COMPUTED_VALUE"""),0.0)</f>
        <v>0</v>
      </c>
      <c r="H850" s="22">
        <f>IFERROR(__xludf.DUMMYFUNCTION("""COMPUTED_VALUE"""),500000.0)</f>
        <v>500000</v>
      </c>
      <c r="I850" s="24">
        <f>IFERROR(__xludf.DUMMYFUNCTION("""COMPUTED_VALUE"""),0.0)</f>
        <v>0</v>
      </c>
    </row>
    <row r="851">
      <c r="A851" s="5" t="str">
        <f>IFERROR(__xludf.DUMMYFUNCTION("""COMPUTED_VALUE"""),"36196")</f>
        <v>36196</v>
      </c>
      <c r="B851" s="64">
        <f>IFERROR(__xludf.DUMMYFUNCTION("""COMPUTED_VALUE"""),44639.0)</f>
        <v>44639</v>
      </c>
      <c r="C851" s="5"/>
      <c r="D851" s="5"/>
      <c r="E851" s="5"/>
      <c r="F851" s="22">
        <f>IFERROR(__xludf.DUMMYFUNCTION("""COMPUTED_VALUE"""),500000.0)</f>
        <v>500000</v>
      </c>
      <c r="G851" s="22">
        <f>IFERROR(__xludf.DUMMYFUNCTION("""COMPUTED_VALUE"""),0.0)</f>
        <v>0</v>
      </c>
      <c r="H851" s="22">
        <f>IFERROR(__xludf.DUMMYFUNCTION("""COMPUTED_VALUE"""),500000.0)</f>
        <v>500000</v>
      </c>
      <c r="I851" s="24">
        <f>IFERROR(__xludf.DUMMYFUNCTION("""COMPUTED_VALUE"""),0.0)</f>
        <v>0</v>
      </c>
    </row>
    <row r="852">
      <c r="A852" s="5" t="str">
        <f>IFERROR(__xludf.DUMMYFUNCTION("""COMPUTED_VALUE"""),"36196")</f>
        <v>36196</v>
      </c>
      <c r="B852" s="64">
        <f>IFERROR(__xludf.DUMMYFUNCTION("""COMPUTED_VALUE"""),44640.0)</f>
        <v>44640</v>
      </c>
      <c r="C852" s="5"/>
      <c r="D852" s="5"/>
      <c r="E852" s="5"/>
      <c r="F852" s="22">
        <f>IFERROR(__xludf.DUMMYFUNCTION("""COMPUTED_VALUE"""),500000.0)</f>
        <v>500000</v>
      </c>
      <c r="G852" s="22">
        <f>IFERROR(__xludf.DUMMYFUNCTION("""COMPUTED_VALUE"""),0.0)</f>
        <v>0</v>
      </c>
      <c r="H852" s="22">
        <f>IFERROR(__xludf.DUMMYFUNCTION("""COMPUTED_VALUE"""),500000.0)</f>
        <v>500000</v>
      </c>
      <c r="I852" s="24">
        <f>IFERROR(__xludf.DUMMYFUNCTION("""COMPUTED_VALUE"""),0.0)</f>
        <v>0</v>
      </c>
    </row>
    <row r="853">
      <c r="A853" s="5" t="str">
        <f>IFERROR(__xludf.DUMMYFUNCTION("""COMPUTED_VALUE"""),"36196")</f>
        <v>36196</v>
      </c>
      <c r="B853" s="64">
        <f>IFERROR(__xludf.DUMMYFUNCTION("""COMPUTED_VALUE"""),44641.0)</f>
        <v>44641</v>
      </c>
      <c r="C853" s="5"/>
      <c r="D853" s="5"/>
      <c r="E853" s="5"/>
      <c r="F853" s="22">
        <f>IFERROR(__xludf.DUMMYFUNCTION("""COMPUTED_VALUE"""),500000.0)</f>
        <v>500000</v>
      </c>
      <c r="G853" s="22">
        <f>IFERROR(__xludf.DUMMYFUNCTION("""COMPUTED_VALUE"""),0.0)</f>
        <v>0</v>
      </c>
      <c r="H853" s="22">
        <f>IFERROR(__xludf.DUMMYFUNCTION("""COMPUTED_VALUE"""),500000.0)</f>
        <v>500000</v>
      </c>
      <c r="I853" s="24">
        <f>IFERROR(__xludf.DUMMYFUNCTION("""COMPUTED_VALUE"""),0.0)</f>
        <v>0</v>
      </c>
    </row>
    <row r="854">
      <c r="A854" s="5" t="str">
        <f>IFERROR(__xludf.DUMMYFUNCTION("""COMPUTED_VALUE"""),"36196")</f>
        <v>36196</v>
      </c>
      <c r="B854" s="64">
        <f>IFERROR(__xludf.DUMMYFUNCTION("""COMPUTED_VALUE"""),44642.0)</f>
        <v>44642</v>
      </c>
      <c r="C854" s="5"/>
      <c r="D854" s="5"/>
      <c r="E854" s="5"/>
      <c r="F854" s="22">
        <f>IFERROR(__xludf.DUMMYFUNCTION("""COMPUTED_VALUE"""),500000.0)</f>
        <v>500000</v>
      </c>
      <c r="G854" s="22">
        <f>IFERROR(__xludf.DUMMYFUNCTION("""COMPUTED_VALUE"""),0.0)</f>
        <v>0</v>
      </c>
      <c r="H854" s="22">
        <f>IFERROR(__xludf.DUMMYFUNCTION("""COMPUTED_VALUE"""),500000.0)</f>
        <v>500000</v>
      </c>
      <c r="I854" s="24">
        <f>IFERROR(__xludf.DUMMYFUNCTION("""COMPUTED_VALUE"""),0.0)</f>
        <v>0</v>
      </c>
    </row>
    <row r="855">
      <c r="A855" s="5" t="str">
        <f>IFERROR(__xludf.DUMMYFUNCTION("""COMPUTED_VALUE"""),"36196")</f>
        <v>36196</v>
      </c>
      <c r="B855" s="64">
        <f>IFERROR(__xludf.DUMMYFUNCTION("""COMPUTED_VALUE"""),44643.0)</f>
        <v>44643</v>
      </c>
      <c r="C855" s="5"/>
      <c r="D855" s="5"/>
      <c r="E855" s="5"/>
      <c r="F855" s="22">
        <f>IFERROR(__xludf.DUMMYFUNCTION("""COMPUTED_VALUE"""),500000.0)</f>
        <v>500000</v>
      </c>
      <c r="G855" s="22">
        <f>IFERROR(__xludf.DUMMYFUNCTION("""COMPUTED_VALUE"""),0.0)</f>
        <v>0</v>
      </c>
      <c r="H855" s="22">
        <f>IFERROR(__xludf.DUMMYFUNCTION("""COMPUTED_VALUE"""),500000.0)</f>
        <v>500000</v>
      </c>
      <c r="I855" s="24">
        <f>IFERROR(__xludf.DUMMYFUNCTION("""COMPUTED_VALUE"""),0.0)</f>
        <v>0</v>
      </c>
    </row>
    <row r="856">
      <c r="A856" s="5" t="str">
        <f>IFERROR(__xludf.DUMMYFUNCTION("""COMPUTED_VALUE"""),"36196")</f>
        <v>36196</v>
      </c>
      <c r="B856" s="64">
        <f>IFERROR(__xludf.DUMMYFUNCTION("""COMPUTED_VALUE"""),44644.0)</f>
        <v>44644</v>
      </c>
      <c r="C856" s="5"/>
      <c r="D856" s="5"/>
      <c r="E856" s="5"/>
      <c r="F856" s="22">
        <f>IFERROR(__xludf.DUMMYFUNCTION("""COMPUTED_VALUE"""),500000.0)</f>
        <v>500000</v>
      </c>
      <c r="G856" s="22">
        <f>IFERROR(__xludf.DUMMYFUNCTION("""COMPUTED_VALUE"""),0.0)</f>
        <v>0</v>
      </c>
      <c r="H856" s="22">
        <f>IFERROR(__xludf.DUMMYFUNCTION("""COMPUTED_VALUE"""),500000.0)</f>
        <v>500000</v>
      </c>
      <c r="I856" s="24">
        <f>IFERROR(__xludf.DUMMYFUNCTION("""COMPUTED_VALUE"""),0.0)</f>
        <v>0</v>
      </c>
    </row>
    <row r="857">
      <c r="A857" s="5" t="str">
        <f>IFERROR(__xludf.DUMMYFUNCTION("""COMPUTED_VALUE"""),"36196")</f>
        <v>36196</v>
      </c>
      <c r="B857" s="64">
        <f>IFERROR(__xludf.DUMMYFUNCTION("""COMPUTED_VALUE"""),44645.0)</f>
        <v>44645</v>
      </c>
      <c r="C857" s="5"/>
      <c r="D857" s="5"/>
      <c r="E857" s="5"/>
      <c r="F857" s="22">
        <f>IFERROR(__xludf.DUMMYFUNCTION("""COMPUTED_VALUE"""),500000.0)</f>
        <v>500000</v>
      </c>
      <c r="G857" s="22">
        <f>IFERROR(__xludf.DUMMYFUNCTION("""COMPUTED_VALUE"""),0.0)</f>
        <v>0</v>
      </c>
      <c r="H857" s="22">
        <f>IFERROR(__xludf.DUMMYFUNCTION("""COMPUTED_VALUE"""),500000.0)</f>
        <v>500000</v>
      </c>
      <c r="I857" s="24">
        <f>IFERROR(__xludf.DUMMYFUNCTION("""COMPUTED_VALUE"""),0.0)</f>
        <v>0</v>
      </c>
    </row>
    <row r="858">
      <c r="A858" s="5" t="str">
        <f>IFERROR(__xludf.DUMMYFUNCTION("""COMPUTED_VALUE"""),"36196")</f>
        <v>36196</v>
      </c>
      <c r="B858" s="64">
        <f>IFERROR(__xludf.DUMMYFUNCTION("""COMPUTED_VALUE"""),44646.0)</f>
        <v>44646</v>
      </c>
      <c r="C858" s="5"/>
      <c r="D858" s="5"/>
      <c r="E858" s="5"/>
      <c r="F858" s="22">
        <f>IFERROR(__xludf.DUMMYFUNCTION("""COMPUTED_VALUE"""),500000.0)</f>
        <v>500000</v>
      </c>
      <c r="G858" s="22">
        <f>IFERROR(__xludf.DUMMYFUNCTION("""COMPUTED_VALUE"""),0.0)</f>
        <v>0</v>
      </c>
      <c r="H858" s="22">
        <f>IFERROR(__xludf.DUMMYFUNCTION("""COMPUTED_VALUE"""),500000.0)</f>
        <v>500000</v>
      </c>
      <c r="I858" s="24">
        <f>IFERROR(__xludf.DUMMYFUNCTION("""COMPUTED_VALUE"""),0.0)</f>
        <v>0</v>
      </c>
    </row>
    <row r="859">
      <c r="A859" s="5" t="str">
        <f>IFERROR(__xludf.DUMMYFUNCTION("""COMPUTED_VALUE"""),"36196")</f>
        <v>36196</v>
      </c>
      <c r="B859" s="64">
        <f>IFERROR(__xludf.DUMMYFUNCTION("""COMPUTED_VALUE"""),44647.0)</f>
        <v>44647</v>
      </c>
      <c r="C859" s="5"/>
      <c r="D859" s="5"/>
      <c r="E859" s="5"/>
      <c r="F859" s="22">
        <f>IFERROR(__xludf.DUMMYFUNCTION("""COMPUTED_VALUE"""),500000.0)</f>
        <v>500000</v>
      </c>
      <c r="G859" s="22">
        <f>IFERROR(__xludf.DUMMYFUNCTION("""COMPUTED_VALUE"""),0.0)</f>
        <v>0</v>
      </c>
      <c r="H859" s="22">
        <f>IFERROR(__xludf.DUMMYFUNCTION("""COMPUTED_VALUE"""),500000.0)</f>
        <v>500000</v>
      </c>
      <c r="I859" s="24">
        <f>IFERROR(__xludf.DUMMYFUNCTION("""COMPUTED_VALUE"""),0.0)</f>
        <v>0</v>
      </c>
    </row>
    <row r="860">
      <c r="A860" s="5" t="str">
        <f>IFERROR(__xludf.DUMMYFUNCTION("""COMPUTED_VALUE"""),"36196")</f>
        <v>36196</v>
      </c>
      <c r="B860" s="64">
        <f>IFERROR(__xludf.DUMMYFUNCTION("""COMPUTED_VALUE"""),44648.0)</f>
        <v>44648</v>
      </c>
      <c r="C860" s="5"/>
      <c r="D860" s="5"/>
      <c r="E860" s="5"/>
      <c r="F860" s="22">
        <f>IFERROR(__xludf.DUMMYFUNCTION("""COMPUTED_VALUE"""),500000.0)</f>
        <v>500000</v>
      </c>
      <c r="G860" s="22">
        <f>IFERROR(__xludf.DUMMYFUNCTION("""COMPUTED_VALUE"""),0.0)</f>
        <v>0</v>
      </c>
      <c r="H860" s="22">
        <f>IFERROR(__xludf.DUMMYFUNCTION("""COMPUTED_VALUE"""),500000.0)</f>
        <v>500000</v>
      </c>
      <c r="I860" s="24">
        <f>IFERROR(__xludf.DUMMYFUNCTION("""COMPUTED_VALUE"""),0.0)</f>
        <v>0</v>
      </c>
    </row>
    <row r="861">
      <c r="A861" s="5" t="str">
        <f>IFERROR(__xludf.DUMMYFUNCTION("""COMPUTED_VALUE"""),"36196")</f>
        <v>36196</v>
      </c>
      <c r="B861" s="64">
        <f>IFERROR(__xludf.DUMMYFUNCTION("""COMPUTED_VALUE"""),44649.0)</f>
        <v>44649</v>
      </c>
      <c r="C861" s="5"/>
      <c r="D861" s="5"/>
      <c r="E861" s="5"/>
      <c r="F861" s="22">
        <f>IFERROR(__xludf.DUMMYFUNCTION("""COMPUTED_VALUE"""),500000.0)</f>
        <v>500000</v>
      </c>
      <c r="G861" s="22">
        <f>IFERROR(__xludf.DUMMYFUNCTION("""COMPUTED_VALUE"""),0.0)</f>
        <v>0</v>
      </c>
      <c r="H861" s="22">
        <f>IFERROR(__xludf.DUMMYFUNCTION("""COMPUTED_VALUE"""),500000.0)</f>
        <v>500000</v>
      </c>
      <c r="I861" s="24">
        <f>IFERROR(__xludf.DUMMYFUNCTION("""COMPUTED_VALUE"""),0.0)</f>
        <v>0</v>
      </c>
    </row>
    <row r="862">
      <c r="A862" s="5" t="str">
        <f>IFERROR(__xludf.DUMMYFUNCTION("""COMPUTED_VALUE"""),"36196")</f>
        <v>36196</v>
      </c>
      <c r="B862" s="64">
        <f>IFERROR(__xludf.DUMMYFUNCTION("""COMPUTED_VALUE"""),44650.0)</f>
        <v>44650</v>
      </c>
      <c r="C862" s="5"/>
      <c r="D862" s="5"/>
      <c r="E862" s="5"/>
      <c r="F862" s="22">
        <f>IFERROR(__xludf.DUMMYFUNCTION("""COMPUTED_VALUE"""),500000.0)</f>
        <v>500000</v>
      </c>
      <c r="G862" s="22">
        <f>IFERROR(__xludf.DUMMYFUNCTION("""COMPUTED_VALUE"""),0.0)</f>
        <v>0</v>
      </c>
      <c r="H862" s="22">
        <f>IFERROR(__xludf.DUMMYFUNCTION("""COMPUTED_VALUE"""),500000.0)</f>
        <v>500000</v>
      </c>
      <c r="I862" s="24">
        <f>IFERROR(__xludf.DUMMYFUNCTION("""COMPUTED_VALUE"""),0.0)</f>
        <v>0</v>
      </c>
    </row>
    <row r="863">
      <c r="A863" s="5" t="str">
        <f>IFERROR(__xludf.DUMMYFUNCTION("""COMPUTED_VALUE"""),"36196")</f>
        <v>36196</v>
      </c>
      <c r="B863" s="64">
        <f>IFERROR(__xludf.DUMMYFUNCTION("""COMPUTED_VALUE"""),44651.0)</f>
        <v>44651</v>
      </c>
      <c r="C863" s="5"/>
      <c r="D863" s="5"/>
      <c r="E863" s="5"/>
      <c r="F863" s="22">
        <f>IFERROR(__xludf.DUMMYFUNCTION("""COMPUTED_VALUE"""),500000.0)</f>
        <v>500000</v>
      </c>
      <c r="G863" s="22">
        <f>IFERROR(__xludf.DUMMYFUNCTION("""COMPUTED_VALUE"""),0.0)</f>
        <v>0</v>
      </c>
      <c r="H863" s="22">
        <f>IFERROR(__xludf.DUMMYFUNCTION("""COMPUTED_VALUE"""),500000.0)</f>
        <v>500000</v>
      </c>
      <c r="I863" s="24">
        <f>IFERROR(__xludf.DUMMYFUNCTION("""COMPUTED_VALUE"""),0.0)</f>
        <v>0</v>
      </c>
    </row>
    <row r="864">
      <c r="A864" s="5" t="str">
        <f>IFERROR(__xludf.DUMMYFUNCTION("""COMPUTED_VALUE"""),"36196")</f>
        <v>36196</v>
      </c>
      <c r="B864" s="64">
        <f>IFERROR(__xludf.DUMMYFUNCTION("""COMPUTED_VALUE"""),44652.0)</f>
        <v>44652</v>
      </c>
      <c r="C864" s="5"/>
      <c r="D864" s="5"/>
      <c r="E864" s="5"/>
      <c r="F864" s="22">
        <f>IFERROR(__xludf.DUMMYFUNCTION("""COMPUTED_VALUE"""),500000.0)</f>
        <v>500000</v>
      </c>
      <c r="G864" s="22">
        <f>IFERROR(__xludf.DUMMYFUNCTION("""COMPUTED_VALUE"""),0.0)</f>
        <v>0</v>
      </c>
      <c r="H864" s="22">
        <f>IFERROR(__xludf.DUMMYFUNCTION("""COMPUTED_VALUE"""),500000.0)</f>
        <v>500000</v>
      </c>
      <c r="I864" s="24">
        <f>IFERROR(__xludf.DUMMYFUNCTION("""COMPUTED_VALUE"""),0.0)</f>
        <v>0</v>
      </c>
    </row>
    <row r="865">
      <c r="A865" s="5" t="str">
        <f>IFERROR(__xludf.DUMMYFUNCTION("""COMPUTED_VALUE"""),"36196")</f>
        <v>36196</v>
      </c>
      <c r="B865" s="64">
        <f>IFERROR(__xludf.DUMMYFUNCTION("""COMPUTED_VALUE"""),44653.0)</f>
        <v>44653</v>
      </c>
      <c r="C865" s="5"/>
      <c r="D865" s="5"/>
      <c r="E865" s="5"/>
      <c r="F865" s="22">
        <f>IFERROR(__xludf.DUMMYFUNCTION("""COMPUTED_VALUE"""),500000.0)</f>
        <v>500000</v>
      </c>
      <c r="G865" s="22">
        <f>IFERROR(__xludf.DUMMYFUNCTION("""COMPUTED_VALUE"""),0.0)</f>
        <v>0</v>
      </c>
      <c r="H865" s="22">
        <f>IFERROR(__xludf.DUMMYFUNCTION("""COMPUTED_VALUE"""),500000.0)</f>
        <v>500000</v>
      </c>
      <c r="I865" s="24">
        <f>IFERROR(__xludf.DUMMYFUNCTION("""COMPUTED_VALUE"""),0.0)</f>
        <v>0</v>
      </c>
    </row>
    <row r="866">
      <c r="A866" s="5" t="str">
        <f>IFERROR(__xludf.DUMMYFUNCTION("""COMPUTED_VALUE"""),"36196")</f>
        <v>36196</v>
      </c>
      <c r="B866" s="64">
        <f>IFERROR(__xludf.DUMMYFUNCTION("""COMPUTED_VALUE"""),44654.0)</f>
        <v>44654</v>
      </c>
      <c r="C866" s="5"/>
      <c r="D866" s="5"/>
      <c r="E866" s="5"/>
      <c r="F866" s="22">
        <f>IFERROR(__xludf.DUMMYFUNCTION("""COMPUTED_VALUE"""),500000.0)</f>
        <v>500000</v>
      </c>
      <c r="G866" s="22">
        <f>IFERROR(__xludf.DUMMYFUNCTION("""COMPUTED_VALUE"""),0.0)</f>
        <v>0</v>
      </c>
      <c r="H866" s="22">
        <f>IFERROR(__xludf.DUMMYFUNCTION("""COMPUTED_VALUE"""),500000.0)</f>
        <v>500000</v>
      </c>
      <c r="I866" s="24">
        <f>IFERROR(__xludf.DUMMYFUNCTION("""COMPUTED_VALUE"""),0.0)</f>
        <v>0</v>
      </c>
    </row>
    <row r="867">
      <c r="A867" s="5" t="str">
        <f>IFERROR(__xludf.DUMMYFUNCTION("""COMPUTED_VALUE"""),"36196")</f>
        <v>36196</v>
      </c>
      <c r="B867" s="64">
        <f>IFERROR(__xludf.DUMMYFUNCTION("""COMPUTED_VALUE"""),44655.0)</f>
        <v>44655</v>
      </c>
      <c r="C867" s="5"/>
      <c r="D867" s="5"/>
      <c r="E867" s="5"/>
      <c r="F867" s="22">
        <f>IFERROR(__xludf.DUMMYFUNCTION("""COMPUTED_VALUE"""),500000.0)</f>
        <v>500000</v>
      </c>
      <c r="G867" s="22">
        <f>IFERROR(__xludf.DUMMYFUNCTION("""COMPUTED_VALUE"""),0.0)</f>
        <v>0</v>
      </c>
      <c r="H867" s="22">
        <f>IFERROR(__xludf.DUMMYFUNCTION("""COMPUTED_VALUE"""),500000.0)</f>
        <v>500000</v>
      </c>
      <c r="I867" s="24">
        <f>IFERROR(__xludf.DUMMYFUNCTION("""COMPUTED_VALUE"""),0.0)</f>
        <v>0</v>
      </c>
    </row>
    <row r="868">
      <c r="A868" s="5" t="str">
        <f>IFERROR(__xludf.DUMMYFUNCTION("""COMPUTED_VALUE"""),"36196")</f>
        <v>36196</v>
      </c>
      <c r="B868" s="64">
        <f>IFERROR(__xludf.DUMMYFUNCTION("""COMPUTED_VALUE"""),44656.0)</f>
        <v>44656</v>
      </c>
      <c r="C868" s="5"/>
      <c r="D868" s="5"/>
      <c r="E868" s="5"/>
      <c r="F868" s="22">
        <f>IFERROR(__xludf.DUMMYFUNCTION("""COMPUTED_VALUE"""),500000.0)</f>
        <v>500000</v>
      </c>
      <c r="G868" s="22">
        <f>IFERROR(__xludf.DUMMYFUNCTION("""COMPUTED_VALUE"""),0.0)</f>
        <v>0</v>
      </c>
      <c r="H868" s="22">
        <f>IFERROR(__xludf.DUMMYFUNCTION("""COMPUTED_VALUE"""),500000.0)</f>
        <v>500000</v>
      </c>
      <c r="I868" s="24">
        <f>IFERROR(__xludf.DUMMYFUNCTION("""COMPUTED_VALUE"""),0.0)</f>
        <v>0</v>
      </c>
    </row>
    <row r="869">
      <c r="A869" s="5" t="str">
        <f>IFERROR(__xludf.DUMMYFUNCTION("""COMPUTED_VALUE"""),"36196")</f>
        <v>36196</v>
      </c>
      <c r="B869" s="64">
        <f>IFERROR(__xludf.DUMMYFUNCTION("""COMPUTED_VALUE"""),44657.0)</f>
        <v>44657</v>
      </c>
      <c r="C869" s="5"/>
      <c r="D869" s="5"/>
      <c r="E869" s="5"/>
      <c r="F869" s="22">
        <f>IFERROR(__xludf.DUMMYFUNCTION("""COMPUTED_VALUE"""),500000.0)</f>
        <v>500000</v>
      </c>
      <c r="G869" s="22">
        <f>IFERROR(__xludf.DUMMYFUNCTION("""COMPUTED_VALUE"""),0.0)</f>
        <v>0</v>
      </c>
      <c r="H869" s="22">
        <f>IFERROR(__xludf.DUMMYFUNCTION("""COMPUTED_VALUE"""),500000.0)</f>
        <v>500000</v>
      </c>
      <c r="I869" s="24">
        <f>IFERROR(__xludf.DUMMYFUNCTION("""COMPUTED_VALUE"""),0.0)</f>
        <v>0</v>
      </c>
    </row>
    <row r="870">
      <c r="A870" s="5" t="str">
        <f>IFERROR(__xludf.DUMMYFUNCTION("""COMPUTED_VALUE"""),"36196")</f>
        <v>36196</v>
      </c>
      <c r="B870" s="64">
        <f>IFERROR(__xludf.DUMMYFUNCTION("""COMPUTED_VALUE"""),44658.0)</f>
        <v>44658</v>
      </c>
      <c r="C870" s="5"/>
      <c r="D870" s="5"/>
      <c r="E870" s="5"/>
      <c r="F870" s="22">
        <f>IFERROR(__xludf.DUMMYFUNCTION("""COMPUTED_VALUE"""),500000.0)</f>
        <v>500000</v>
      </c>
      <c r="G870" s="22">
        <f>IFERROR(__xludf.DUMMYFUNCTION("""COMPUTED_VALUE"""),0.0)</f>
        <v>0</v>
      </c>
      <c r="H870" s="22">
        <f>IFERROR(__xludf.DUMMYFUNCTION("""COMPUTED_VALUE"""),500000.0)</f>
        <v>500000</v>
      </c>
      <c r="I870" s="24">
        <f>IFERROR(__xludf.DUMMYFUNCTION("""COMPUTED_VALUE"""),0.0)</f>
        <v>0</v>
      </c>
    </row>
    <row r="871">
      <c r="A871" s="5" t="str">
        <f>IFERROR(__xludf.DUMMYFUNCTION("""COMPUTED_VALUE"""),"36196")</f>
        <v>36196</v>
      </c>
      <c r="B871" s="64">
        <f>IFERROR(__xludf.DUMMYFUNCTION("""COMPUTED_VALUE"""),44659.0)</f>
        <v>44659</v>
      </c>
      <c r="C871" s="5"/>
      <c r="D871" s="5"/>
      <c r="E871" s="5"/>
      <c r="F871" s="22">
        <f>IFERROR(__xludf.DUMMYFUNCTION("""COMPUTED_VALUE"""),500000.0)</f>
        <v>500000</v>
      </c>
      <c r="G871" s="22">
        <f>IFERROR(__xludf.DUMMYFUNCTION("""COMPUTED_VALUE"""),0.0)</f>
        <v>0</v>
      </c>
      <c r="H871" s="22">
        <f>IFERROR(__xludf.DUMMYFUNCTION("""COMPUTED_VALUE"""),500000.0)</f>
        <v>500000</v>
      </c>
      <c r="I871" s="24">
        <f>IFERROR(__xludf.DUMMYFUNCTION("""COMPUTED_VALUE"""),0.0)</f>
        <v>0</v>
      </c>
    </row>
    <row r="872">
      <c r="A872" s="5" t="str">
        <f>IFERROR(__xludf.DUMMYFUNCTION("""COMPUTED_VALUE"""),"36196")</f>
        <v>36196</v>
      </c>
      <c r="B872" s="64">
        <f>IFERROR(__xludf.DUMMYFUNCTION("""COMPUTED_VALUE"""),44660.0)</f>
        <v>44660</v>
      </c>
      <c r="C872" s="5"/>
      <c r="D872" s="5"/>
      <c r="E872" s="5"/>
      <c r="F872" s="22">
        <f>IFERROR(__xludf.DUMMYFUNCTION("""COMPUTED_VALUE"""),500000.0)</f>
        <v>500000</v>
      </c>
      <c r="G872" s="22">
        <f>IFERROR(__xludf.DUMMYFUNCTION("""COMPUTED_VALUE"""),0.0)</f>
        <v>0</v>
      </c>
      <c r="H872" s="22">
        <f>IFERROR(__xludf.DUMMYFUNCTION("""COMPUTED_VALUE"""),500000.0)</f>
        <v>500000</v>
      </c>
      <c r="I872" s="24">
        <f>IFERROR(__xludf.DUMMYFUNCTION("""COMPUTED_VALUE"""),0.0)</f>
        <v>0</v>
      </c>
    </row>
    <row r="873">
      <c r="A873" s="5" t="str">
        <f>IFERROR(__xludf.DUMMYFUNCTION("""COMPUTED_VALUE"""),"36196")</f>
        <v>36196</v>
      </c>
      <c r="B873" s="64">
        <f>IFERROR(__xludf.DUMMYFUNCTION("""COMPUTED_VALUE"""),44661.0)</f>
        <v>44661</v>
      </c>
      <c r="C873" s="5"/>
      <c r="D873" s="5"/>
      <c r="E873" s="5"/>
      <c r="F873" s="22">
        <f>IFERROR(__xludf.DUMMYFUNCTION("""COMPUTED_VALUE"""),500000.0)</f>
        <v>500000</v>
      </c>
      <c r="G873" s="22">
        <f>IFERROR(__xludf.DUMMYFUNCTION("""COMPUTED_VALUE"""),0.0)</f>
        <v>0</v>
      </c>
      <c r="H873" s="22">
        <f>IFERROR(__xludf.DUMMYFUNCTION("""COMPUTED_VALUE"""),500000.0)</f>
        <v>500000</v>
      </c>
      <c r="I873" s="24">
        <f>IFERROR(__xludf.DUMMYFUNCTION("""COMPUTED_VALUE"""),0.0)</f>
        <v>0</v>
      </c>
    </row>
    <row r="874">
      <c r="A874" s="5" t="str">
        <f>IFERROR(__xludf.DUMMYFUNCTION("""COMPUTED_VALUE"""),"36196")</f>
        <v>36196</v>
      </c>
      <c r="B874" s="64">
        <f>IFERROR(__xludf.DUMMYFUNCTION("""COMPUTED_VALUE"""),44662.0)</f>
        <v>44662</v>
      </c>
      <c r="C874" s="5"/>
      <c r="D874" s="5"/>
      <c r="E874" s="5"/>
      <c r="F874" s="22">
        <f>IFERROR(__xludf.DUMMYFUNCTION("""COMPUTED_VALUE"""),500000.0)</f>
        <v>500000</v>
      </c>
      <c r="G874" s="22">
        <f>IFERROR(__xludf.DUMMYFUNCTION("""COMPUTED_VALUE"""),0.0)</f>
        <v>0</v>
      </c>
      <c r="H874" s="22">
        <f>IFERROR(__xludf.DUMMYFUNCTION("""COMPUTED_VALUE"""),500000.0)</f>
        <v>500000</v>
      </c>
      <c r="I874" s="24">
        <f>IFERROR(__xludf.DUMMYFUNCTION("""COMPUTED_VALUE"""),0.0)</f>
        <v>0</v>
      </c>
    </row>
    <row r="875">
      <c r="A875" s="5" t="str">
        <f>IFERROR(__xludf.DUMMYFUNCTION("""COMPUTED_VALUE"""),"36196")</f>
        <v>36196</v>
      </c>
      <c r="B875" s="64">
        <f>IFERROR(__xludf.DUMMYFUNCTION("""COMPUTED_VALUE"""),44663.0)</f>
        <v>44663</v>
      </c>
      <c r="C875" s="5"/>
      <c r="D875" s="5"/>
      <c r="E875" s="5"/>
      <c r="F875" s="22">
        <f>IFERROR(__xludf.DUMMYFUNCTION("""COMPUTED_VALUE"""),500000.0)</f>
        <v>500000</v>
      </c>
      <c r="G875" s="22">
        <f>IFERROR(__xludf.DUMMYFUNCTION("""COMPUTED_VALUE"""),0.0)</f>
        <v>0</v>
      </c>
      <c r="H875" s="22">
        <f>IFERROR(__xludf.DUMMYFUNCTION("""COMPUTED_VALUE"""),500000.0)</f>
        <v>500000</v>
      </c>
      <c r="I875" s="24">
        <f>IFERROR(__xludf.DUMMYFUNCTION("""COMPUTED_VALUE"""),0.0)</f>
        <v>0</v>
      </c>
    </row>
    <row r="876">
      <c r="A876" s="5" t="str">
        <f>IFERROR(__xludf.DUMMYFUNCTION("""COMPUTED_VALUE"""),"36221")</f>
        <v>36221</v>
      </c>
      <c r="B876" s="64">
        <f>IFERROR(__xludf.DUMMYFUNCTION("""COMPUTED_VALUE"""),44597.0)</f>
        <v>44597</v>
      </c>
      <c r="C876" s="5"/>
      <c r="D876" s="5"/>
      <c r="E876" s="5"/>
      <c r="F876" s="22">
        <f>IFERROR(__xludf.DUMMYFUNCTION("""COMPUTED_VALUE"""),500000.0)</f>
        <v>500000</v>
      </c>
      <c r="G876" s="22">
        <f>IFERROR(__xludf.DUMMYFUNCTION("""COMPUTED_VALUE"""),0.0)</f>
        <v>0</v>
      </c>
      <c r="H876" s="22">
        <f>IFERROR(__xludf.DUMMYFUNCTION("""COMPUTED_VALUE"""),500000.0)</f>
        <v>500000</v>
      </c>
      <c r="I876" s="24">
        <f>IFERROR(__xludf.DUMMYFUNCTION("""COMPUTED_VALUE"""),0.0)</f>
        <v>0</v>
      </c>
    </row>
    <row r="877">
      <c r="A877" s="5" t="str">
        <f>IFERROR(__xludf.DUMMYFUNCTION("""COMPUTED_VALUE"""),"36221")</f>
        <v>36221</v>
      </c>
      <c r="B877" s="64">
        <f>IFERROR(__xludf.DUMMYFUNCTION("""COMPUTED_VALUE"""),44598.0)</f>
        <v>44598</v>
      </c>
      <c r="C877" s="5"/>
      <c r="D877" s="5"/>
      <c r="E877" s="5"/>
      <c r="F877" s="22">
        <f>IFERROR(__xludf.DUMMYFUNCTION("""COMPUTED_VALUE"""),500000.0)</f>
        <v>500000</v>
      </c>
      <c r="G877" s="22">
        <f>IFERROR(__xludf.DUMMYFUNCTION("""COMPUTED_VALUE"""),0.0)</f>
        <v>0</v>
      </c>
      <c r="H877" s="22">
        <f>IFERROR(__xludf.DUMMYFUNCTION("""COMPUTED_VALUE"""),500000.0)</f>
        <v>500000</v>
      </c>
      <c r="I877" s="24">
        <f>IFERROR(__xludf.DUMMYFUNCTION("""COMPUTED_VALUE"""),0.0)</f>
        <v>0</v>
      </c>
    </row>
    <row r="878">
      <c r="A878" s="5" t="str">
        <f>IFERROR(__xludf.DUMMYFUNCTION("""COMPUTED_VALUE"""),"36221")</f>
        <v>36221</v>
      </c>
      <c r="B878" s="64">
        <f>IFERROR(__xludf.DUMMYFUNCTION("""COMPUTED_VALUE"""),44599.0)</f>
        <v>44599</v>
      </c>
      <c r="C878" s="5"/>
      <c r="D878" s="5"/>
      <c r="E878" s="5"/>
      <c r="F878" s="22">
        <f>IFERROR(__xludf.DUMMYFUNCTION("""COMPUTED_VALUE"""),500000.0)</f>
        <v>500000</v>
      </c>
      <c r="G878" s="22">
        <f>IFERROR(__xludf.DUMMYFUNCTION("""COMPUTED_VALUE"""),0.0)</f>
        <v>0</v>
      </c>
      <c r="H878" s="22">
        <f>IFERROR(__xludf.DUMMYFUNCTION("""COMPUTED_VALUE"""),500000.0)</f>
        <v>500000</v>
      </c>
      <c r="I878" s="24">
        <f>IFERROR(__xludf.DUMMYFUNCTION("""COMPUTED_VALUE"""),0.0)</f>
        <v>0</v>
      </c>
    </row>
    <row r="879">
      <c r="A879" s="5" t="str">
        <f>IFERROR(__xludf.DUMMYFUNCTION("""COMPUTED_VALUE"""),"36221")</f>
        <v>36221</v>
      </c>
      <c r="B879" s="64">
        <f>IFERROR(__xludf.DUMMYFUNCTION("""COMPUTED_VALUE"""),44600.0)</f>
        <v>44600</v>
      </c>
      <c r="C879" s="5"/>
      <c r="D879" s="5"/>
      <c r="E879" s="5"/>
      <c r="F879" s="22">
        <f>IFERROR(__xludf.DUMMYFUNCTION("""COMPUTED_VALUE"""),500000.0)</f>
        <v>500000</v>
      </c>
      <c r="G879" s="22">
        <f>IFERROR(__xludf.DUMMYFUNCTION("""COMPUTED_VALUE"""),0.0)</f>
        <v>0</v>
      </c>
      <c r="H879" s="22">
        <f>IFERROR(__xludf.DUMMYFUNCTION("""COMPUTED_VALUE"""),500000.0)</f>
        <v>500000</v>
      </c>
      <c r="I879" s="24">
        <f>IFERROR(__xludf.DUMMYFUNCTION("""COMPUTED_VALUE"""),0.0)</f>
        <v>0</v>
      </c>
    </row>
    <row r="880">
      <c r="A880" s="5" t="str">
        <f>IFERROR(__xludf.DUMMYFUNCTION("""COMPUTED_VALUE"""),"36221")</f>
        <v>36221</v>
      </c>
      <c r="B880" s="64">
        <f>IFERROR(__xludf.DUMMYFUNCTION("""COMPUTED_VALUE"""),44601.0)</f>
        <v>44601</v>
      </c>
      <c r="C880" s="5"/>
      <c r="D880" s="5"/>
      <c r="E880" s="5"/>
      <c r="F880" s="22">
        <f>IFERROR(__xludf.DUMMYFUNCTION("""COMPUTED_VALUE"""),500000.0)</f>
        <v>500000</v>
      </c>
      <c r="G880" s="22">
        <f>IFERROR(__xludf.DUMMYFUNCTION("""COMPUTED_VALUE"""),0.0)</f>
        <v>0</v>
      </c>
      <c r="H880" s="22">
        <f>IFERROR(__xludf.DUMMYFUNCTION("""COMPUTED_VALUE"""),500000.0)</f>
        <v>500000</v>
      </c>
      <c r="I880" s="24">
        <f>IFERROR(__xludf.DUMMYFUNCTION("""COMPUTED_VALUE"""),0.0)</f>
        <v>0</v>
      </c>
    </row>
    <row r="881">
      <c r="A881" s="5" t="str">
        <f>IFERROR(__xludf.DUMMYFUNCTION("""COMPUTED_VALUE"""),"36221")</f>
        <v>36221</v>
      </c>
      <c r="B881" s="64">
        <f>IFERROR(__xludf.DUMMYFUNCTION("""COMPUTED_VALUE"""),44602.0)</f>
        <v>44602</v>
      </c>
      <c r="C881" s="5"/>
      <c r="D881" s="5"/>
      <c r="E881" s="5"/>
      <c r="F881" s="22">
        <f>IFERROR(__xludf.DUMMYFUNCTION("""COMPUTED_VALUE"""),500000.0)</f>
        <v>500000</v>
      </c>
      <c r="G881" s="22">
        <f>IFERROR(__xludf.DUMMYFUNCTION("""COMPUTED_VALUE"""),0.0)</f>
        <v>0</v>
      </c>
      <c r="H881" s="22">
        <f>IFERROR(__xludf.DUMMYFUNCTION("""COMPUTED_VALUE"""),500000.0)</f>
        <v>500000</v>
      </c>
      <c r="I881" s="24">
        <f>IFERROR(__xludf.DUMMYFUNCTION("""COMPUTED_VALUE"""),0.0)</f>
        <v>0</v>
      </c>
    </row>
    <row r="882">
      <c r="A882" s="5" t="str">
        <f>IFERROR(__xludf.DUMMYFUNCTION("""COMPUTED_VALUE"""),"36221")</f>
        <v>36221</v>
      </c>
      <c r="B882" s="64">
        <f>IFERROR(__xludf.DUMMYFUNCTION("""COMPUTED_VALUE"""),44603.0)</f>
        <v>44603</v>
      </c>
      <c r="C882" s="5"/>
      <c r="D882" s="5"/>
      <c r="E882" s="5"/>
      <c r="F882" s="22">
        <f>IFERROR(__xludf.DUMMYFUNCTION("""COMPUTED_VALUE"""),500000.0)</f>
        <v>500000</v>
      </c>
      <c r="G882" s="22">
        <f>IFERROR(__xludf.DUMMYFUNCTION("""COMPUTED_VALUE"""),0.0)</f>
        <v>0</v>
      </c>
      <c r="H882" s="22">
        <f>IFERROR(__xludf.DUMMYFUNCTION("""COMPUTED_VALUE"""),500000.0)</f>
        <v>500000</v>
      </c>
      <c r="I882" s="24">
        <f>IFERROR(__xludf.DUMMYFUNCTION("""COMPUTED_VALUE"""),0.0)</f>
        <v>0</v>
      </c>
    </row>
    <row r="883">
      <c r="A883" s="5" t="str">
        <f>IFERROR(__xludf.DUMMYFUNCTION("""COMPUTED_VALUE"""),"36221")</f>
        <v>36221</v>
      </c>
      <c r="B883" s="64">
        <f>IFERROR(__xludf.DUMMYFUNCTION("""COMPUTED_VALUE"""),44604.0)</f>
        <v>44604</v>
      </c>
      <c r="C883" s="5"/>
      <c r="D883" s="5"/>
      <c r="E883" s="5"/>
      <c r="F883" s="22">
        <f>IFERROR(__xludf.DUMMYFUNCTION("""COMPUTED_VALUE"""),500000.0)</f>
        <v>500000</v>
      </c>
      <c r="G883" s="22">
        <f>IFERROR(__xludf.DUMMYFUNCTION("""COMPUTED_VALUE"""),0.0)</f>
        <v>0</v>
      </c>
      <c r="H883" s="22">
        <f>IFERROR(__xludf.DUMMYFUNCTION("""COMPUTED_VALUE"""),500000.0)</f>
        <v>500000</v>
      </c>
      <c r="I883" s="24">
        <f>IFERROR(__xludf.DUMMYFUNCTION("""COMPUTED_VALUE"""),0.0)</f>
        <v>0</v>
      </c>
    </row>
    <row r="884">
      <c r="A884" s="5" t="str">
        <f>IFERROR(__xludf.DUMMYFUNCTION("""COMPUTED_VALUE"""),"36221")</f>
        <v>36221</v>
      </c>
      <c r="B884" s="64">
        <f>IFERROR(__xludf.DUMMYFUNCTION("""COMPUTED_VALUE"""),44605.0)</f>
        <v>44605</v>
      </c>
      <c r="C884" s="5"/>
      <c r="D884" s="5"/>
      <c r="E884" s="5"/>
      <c r="F884" s="22">
        <f>IFERROR(__xludf.DUMMYFUNCTION("""COMPUTED_VALUE"""),500000.0)</f>
        <v>500000</v>
      </c>
      <c r="G884" s="22">
        <f>IFERROR(__xludf.DUMMYFUNCTION("""COMPUTED_VALUE"""),0.0)</f>
        <v>0</v>
      </c>
      <c r="H884" s="22">
        <f>IFERROR(__xludf.DUMMYFUNCTION("""COMPUTED_VALUE"""),500000.0)</f>
        <v>500000</v>
      </c>
      <c r="I884" s="24">
        <f>IFERROR(__xludf.DUMMYFUNCTION("""COMPUTED_VALUE"""),0.0)</f>
        <v>0</v>
      </c>
    </row>
    <row r="885">
      <c r="A885" s="5" t="str">
        <f>IFERROR(__xludf.DUMMYFUNCTION("""COMPUTED_VALUE"""),"36221")</f>
        <v>36221</v>
      </c>
      <c r="B885" s="64">
        <f>IFERROR(__xludf.DUMMYFUNCTION("""COMPUTED_VALUE"""),44606.0)</f>
        <v>44606</v>
      </c>
      <c r="C885" s="5"/>
      <c r="D885" s="5"/>
      <c r="E885" s="5"/>
      <c r="F885" s="22">
        <f>IFERROR(__xludf.DUMMYFUNCTION("""COMPUTED_VALUE"""),500000.0)</f>
        <v>500000</v>
      </c>
      <c r="G885" s="22">
        <f>IFERROR(__xludf.DUMMYFUNCTION("""COMPUTED_VALUE"""),0.0)</f>
        <v>0</v>
      </c>
      <c r="H885" s="22">
        <f>IFERROR(__xludf.DUMMYFUNCTION("""COMPUTED_VALUE"""),500000.0)</f>
        <v>500000</v>
      </c>
      <c r="I885" s="24">
        <f>IFERROR(__xludf.DUMMYFUNCTION("""COMPUTED_VALUE"""),0.0)</f>
        <v>0</v>
      </c>
    </row>
    <row r="886">
      <c r="A886" s="5" t="str">
        <f>IFERROR(__xludf.DUMMYFUNCTION("""COMPUTED_VALUE"""),"36221")</f>
        <v>36221</v>
      </c>
      <c r="B886" s="64">
        <f>IFERROR(__xludf.DUMMYFUNCTION("""COMPUTED_VALUE"""),44607.0)</f>
        <v>44607</v>
      </c>
      <c r="C886" s="5"/>
      <c r="D886" s="5"/>
      <c r="E886" s="5"/>
      <c r="F886" s="22">
        <f>IFERROR(__xludf.DUMMYFUNCTION("""COMPUTED_VALUE"""),-172344.17796499998)</f>
        <v>-172344.178</v>
      </c>
      <c r="G886" s="22">
        <f>IFERROR(__xludf.DUMMYFUNCTION("""COMPUTED_VALUE"""),172344.17796499998)</f>
        <v>172344.178</v>
      </c>
      <c r="H886" s="22">
        <f>IFERROR(__xludf.DUMMYFUNCTION("""COMPUTED_VALUE"""),500000.0)</f>
        <v>500000</v>
      </c>
      <c r="I886" s="24">
        <f>IFERROR(__xludf.DUMMYFUNCTION("""COMPUTED_VALUE"""),0.0)</f>
        <v>0</v>
      </c>
    </row>
    <row r="887">
      <c r="A887" s="5" t="str">
        <f>IFERROR(__xludf.DUMMYFUNCTION("""COMPUTED_VALUE"""),"36221")</f>
        <v>36221</v>
      </c>
      <c r="B887" s="64">
        <f>IFERROR(__xludf.DUMMYFUNCTION("""COMPUTED_VALUE"""),44608.0)</f>
        <v>44608</v>
      </c>
      <c r="C887" s="5"/>
      <c r="D887" s="5"/>
      <c r="E887" s="5"/>
      <c r="F887" s="22">
        <f>IFERROR(__xludf.DUMMYFUNCTION("""COMPUTED_VALUE"""),-172344.17796499998)</f>
        <v>-172344.178</v>
      </c>
      <c r="G887" s="22">
        <f>IFERROR(__xludf.DUMMYFUNCTION("""COMPUTED_VALUE"""),172344.17796499998)</f>
        <v>172344.178</v>
      </c>
      <c r="H887" s="22">
        <f>IFERROR(__xludf.DUMMYFUNCTION("""COMPUTED_VALUE"""),493977.35394)</f>
        <v>493977.3539</v>
      </c>
      <c r="I887" s="24">
        <f>IFERROR(__xludf.DUMMYFUNCTION("""COMPUTED_VALUE"""),-0.01204529212000005)</f>
        <v>-0.01204529212</v>
      </c>
    </row>
    <row r="888">
      <c r="A888" s="5" t="str">
        <f>IFERROR(__xludf.DUMMYFUNCTION("""COMPUTED_VALUE"""),"36221")</f>
        <v>36221</v>
      </c>
      <c r="B888" s="64">
        <f>IFERROR(__xludf.DUMMYFUNCTION("""COMPUTED_VALUE"""),44609.0)</f>
        <v>44609</v>
      </c>
      <c r="C888" s="5"/>
      <c r="D888" s="5"/>
      <c r="E888" s="5"/>
      <c r="F888" s="22">
        <f>IFERROR(__xludf.DUMMYFUNCTION("""COMPUTED_VALUE"""),-172344.17796499998)</f>
        <v>-172344.178</v>
      </c>
      <c r="G888" s="22">
        <f>IFERROR(__xludf.DUMMYFUNCTION("""COMPUTED_VALUE"""),172344.17796499998)</f>
        <v>172344.178</v>
      </c>
      <c r="H888" s="22">
        <f>IFERROR(__xludf.DUMMYFUNCTION("""COMPUTED_VALUE"""),472242.77891000005)</f>
        <v>472242.7789</v>
      </c>
      <c r="I888" s="24">
        <f>IFERROR(__xludf.DUMMYFUNCTION("""COMPUTED_VALUE"""),-0.0555144421799999)</f>
        <v>-0.05551444218</v>
      </c>
    </row>
    <row r="889">
      <c r="A889" s="5" t="str">
        <f>IFERROR(__xludf.DUMMYFUNCTION("""COMPUTED_VALUE"""),"36221")</f>
        <v>36221</v>
      </c>
      <c r="B889" s="64">
        <f>IFERROR(__xludf.DUMMYFUNCTION("""COMPUTED_VALUE"""),44610.0)</f>
        <v>44610</v>
      </c>
      <c r="C889" s="5"/>
      <c r="D889" s="5"/>
      <c r="E889" s="5"/>
      <c r="F889" s="22">
        <f>IFERROR(__xludf.DUMMYFUNCTION("""COMPUTED_VALUE"""),-172344.17796499998)</f>
        <v>-172344.178</v>
      </c>
      <c r="G889" s="22">
        <f>IFERROR(__xludf.DUMMYFUNCTION("""COMPUTED_VALUE"""),172344.17796499998)</f>
        <v>172344.178</v>
      </c>
      <c r="H889" s="22">
        <f>IFERROR(__xludf.DUMMYFUNCTION("""COMPUTED_VALUE"""),463809.51415500004)</f>
        <v>463809.5142</v>
      </c>
      <c r="I889" s="24">
        <f>IFERROR(__xludf.DUMMYFUNCTION("""COMPUTED_VALUE"""),-0.0723809716899999)</f>
        <v>-0.07238097169</v>
      </c>
    </row>
    <row r="890">
      <c r="A890" s="5" t="str">
        <f>IFERROR(__xludf.DUMMYFUNCTION("""COMPUTED_VALUE"""),"36221")</f>
        <v>36221</v>
      </c>
      <c r="B890" s="64">
        <f>IFERROR(__xludf.DUMMYFUNCTION("""COMPUTED_VALUE"""),44611.0)</f>
        <v>44611</v>
      </c>
      <c r="C890" s="5"/>
      <c r="D890" s="5"/>
      <c r="E890" s="5"/>
      <c r="F890" s="22">
        <f>IFERROR(__xludf.DUMMYFUNCTION("""COMPUTED_VALUE"""),-172344.17796499998)</f>
        <v>-172344.178</v>
      </c>
      <c r="G890" s="22">
        <f>IFERROR(__xludf.DUMMYFUNCTION("""COMPUTED_VALUE"""),172344.17796499998)</f>
        <v>172344.178</v>
      </c>
      <c r="H890" s="22">
        <f>IFERROR(__xludf.DUMMYFUNCTION("""COMPUTED_VALUE"""),463809.51415500004)</f>
        <v>463809.5142</v>
      </c>
      <c r="I890" s="24">
        <f>IFERROR(__xludf.DUMMYFUNCTION("""COMPUTED_VALUE"""),-0.0723809716899999)</f>
        <v>-0.07238097169</v>
      </c>
    </row>
    <row r="891">
      <c r="A891" s="5" t="str">
        <f>IFERROR(__xludf.DUMMYFUNCTION("""COMPUTED_VALUE"""),"36221")</f>
        <v>36221</v>
      </c>
      <c r="B891" s="64">
        <f>IFERROR(__xludf.DUMMYFUNCTION("""COMPUTED_VALUE"""),44612.0)</f>
        <v>44612</v>
      </c>
      <c r="C891" s="5"/>
      <c r="D891" s="5"/>
      <c r="E891" s="5"/>
      <c r="F891" s="22">
        <f>IFERROR(__xludf.DUMMYFUNCTION("""COMPUTED_VALUE"""),-172344.17796499998)</f>
        <v>-172344.178</v>
      </c>
      <c r="G891" s="22">
        <f>IFERROR(__xludf.DUMMYFUNCTION("""COMPUTED_VALUE"""),172344.17796499998)</f>
        <v>172344.178</v>
      </c>
      <c r="H891" s="22">
        <f>IFERROR(__xludf.DUMMYFUNCTION("""COMPUTED_VALUE"""),463809.51415500004)</f>
        <v>463809.5142</v>
      </c>
      <c r="I891" s="24">
        <f>IFERROR(__xludf.DUMMYFUNCTION("""COMPUTED_VALUE"""),-0.0723809716899999)</f>
        <v>-0.07238097169</v>
      </c>
    </row>
    <row r="892">
      <c r="A892" s="5" t="str">
        <f>IFERROR(__xludf.DUMMYFUNCTION("""COMPUTED_VALUE"""),"36221")</f>
        <v>36221</v>
      </c>
      <c r="B892" s="64">
        <f>IFERROR(__xludf.DUMMYFUNCTION("""COMPUTED_VALUE"""),44613.0)</f>
        <v>44613</v>
      </c>
      <c r="C892" s="5"/>
      <c r="D892" s="5"/>
      <c r="E892" s="5"/>
      <c r="F892" s="22">
        <f>IFERROR(__xludf.DUMMYFUNCTION("""COMPUTED_VALUE"""),-172344.17796499998)</f>
        <v>-172344.178</v>
      </c>
      <c r="G892" s="22">
        <f>IFERROR(__xludf.DUMMYFUNCTION("""COMPUTED_VALUE"""),172344.17796499998)</f>
        <v>172344.178</v>
      </c>
      <c r="H892" s="22">
        <f>IFERROR(__xludf.DUMMYFUNCTION("""COMPUTED_VALUE"""),463809.51415500004)</f>
        <v>463809.5142</v>
      </c>
      <c r="I892" s="24">
        <f>IFERROR(__xludf.DUMMYFUNCTION("""COMPUTED_VALUE"""),-0.0723809716899999)</f>
        <v>-0.07238097169</v>
      </c>
    </row>
    <row r="893">
      <c r="A893" s="5" t="str">
        <f>IFERROR(__xludf.DUMMYFUNCTION("""COMPUTED_VALUE"""),"36221")</f>
        <v>36221</v>
      </c>
      <c r="B893" s="64">
        <f>IFERROR(__xludf.DUMMYFUNCTION("""COMPUTED_VALUE"""),44614.0)</f>
        <v>44614</v>
      </c>
      <c r="C893" s="5"/>
      <c r="D893" s="5"/>
      <c r="E893" s="5"/>
      <c r="F893" s="22">
        <f>IFERROR(__xludf.DUMMYFUNCTION("""COMPUTED_VALUE"""),-172344.17796499998)</f>
        <v>-172344.178</v>
      </c>
      <c r="G893" s="22">
        <f>IFERROR(__xludf.DUMMYFUNCTION("""COMPUTED_VALUE"""),172344.17796499998)</f>
        <v>172344.178</v>
      </c>
      <c r="H893" s="22">
        <f>IFERROR(__xludf.DUMMYFUNCTION("""COMPUTED_VALUE"""),457287.58137500007)</f>
        <v>457287.5814</v>
      </c>
      <c r="I893" s="24">
        <f>IFERROR(__xludf.DUMMYFUNCTION("""COMPUTED_VALUE"""),-0.08542483724999983)</f>
        <v>-0.08542483725</v>
      </c>
    </row>
    <row r="894">
      <c r="A894" s="5" t="str">
        <f>IFERROR(__xludf.DUMMYFUNCTION("""COMPUTED_VALUE"""),"36221")</f>
        <v>36221</v>
      </c>
      <c r="B894" s="64">
        <f>IFERROR(__xludf.DUMMYFUNCTION("""COMPUTED_VALUE"""),44615.0)</f>
        <v>44615</v>
      </c>
      <c r="C894" s="5"/>
      <c r="D894" s="5"/>
      <c r="E894" s="5"/>
      <c r="F894" s="22">
        <f>IFERROR(__xludf.DUMMYFUNCTION("""COMPUTED_VALUE"""),-172344.17796499998)</f>
        <v>-172344.178</v>
      </c>
      <c r="G894" s="22">
        <f>IFERROR(__xludf.DUMMYFUNCTION("""COMPUTED_VALUE"""),172344.17796499998)</f>
        <v>172344.178</v>
      </c>
      <c r="H894" s="22">
        <f>IFERROR(__xludf.DUMMYFUNCTION("""COMPUTED_VALUE"""),444376.33885000006)</f>
        <v>444376.3389</v>
      </c>
      <c r="I894" s="24">
        <f>IFERROR(__xludf.DUMMYFUNCTION("""COMPUTED_VALUE"""),-0.1112473222999999)</f>
        <v>-0.1112473223</v>
      </c>
    </row>
    <row r="895">
      <c r="A895" s="5" t="str">
        <f>IFERROR(__xludf.DUMMYFUNCTION("""COMPUTED_VALUE"""),"36221")</f>
        <v>36221</v>
      </c>
      <c r="B895" s="64">
        <f>IFERROR(__xludf.DUMMYFUNCTION("""COMPUTED_VALUE"""),44616.0)</f>
        <v>44616</v>
      </c>
      <c r="C895" s="5"/>
      <c r="D895" s="5"/>
      <c r="E895" s="5"/>
      <c r="F895" s="22">
        <f>IFERROR(__xludf.DUMMYFUNCTION("""COMPUTED_VALUE"""),-172344.17796499998)</f>
        <v>-172344.178</v>
      </c>
      <c r="G895" s="22">
        <f>IFERROR(__xludf.DUMMYFUNCTION("""COMPUTED_VALUE"""),172344.17796499998)</f>
        <v>172344.178</v>
      </c>
      <c r="H895" s="22">
        <f>IFERROR(__xludf.DUMMYFUNCTION("""COMPUTED_VALUE"""),457584.032865)</f>
        <v>457584.0329</v>
      </c>
      <c r="I895" s="24">
        <f>IFERROR(__xludf.DUMMYFUNCTION("""COMPUTED_VALUE"""),-0.08483193427000002)</f>
        <v>-0.08483193427</v>
      </c>
    </row>
    <row r="896">
      <c r="A896" s="5" t="str">
        <f>IFERROR(__xludf.DUMMYFUNCTION("""COMPUTED_VALUE"""),"36221")</f>
        <v>36221</v>
      </c>
      <c r="B896" s="64">
        <f>IFERROR(__xludf.DUMMYFUNCTION("""COMPUTED_VALUE"""),44617.0)</f>
        <v>44617</v>
      </c>
      <c r="C896" s="5"/>
      <c r="D896" s="5"/>
      <c r="E896" s="5"/>
      <c r="F896" s="22">
        <f>IFERROR(__xludf.DUMMYFUNCTION("""COMPUTED_VALUE"""),-172344.17796499998)</f>
        <v>-172344.178</v>
      </c>
      <c r="G896" s="22">
        <f>IFERROR(__xludf.DUMMYFUNCTION("""COMPUTED_VALUE"""),172344.17796499998)</f>
        <v>172344.178</v>
      </c>
      <c r="H896" s="22">
        <f>IFERROR(__xludf.DUMMYFUNCTION("""COMPUTED_VALUE"""),467998.8417900001)</f>
        <v>467998.8418</v>
      </c>
      <c r="I896" s="24">
        <f>IFERROR(__xludf.DUMMYFUNCTION("""COMPUTED_VALUE"""),-0.06400231641999976)</f>
        <v>-0.06400231642</v>
      </c>
    </row>
    <row r="897">
      <c r="A897" s="5" t="str">
        <f>IFERROR(__xludf.DUMMYFUNCTION("""COMPUTED_VALUE"""),"36221")</f>
        <v>36221</v>
      </c>
      <c r="B897" s="64">
        <f>IFERROR(__xludf.DUMMYFUNCTION("""COMPUTED_VALUE"""),44618.0)</f>
        <v>44618</v>
      </c>
      <c r="C897" s="5"/>
      <c r="D897" s="5"/>
      <c r="E897" s="5"/>
      <c r="F897" s="22">
        <f>IFERROR(__xludf.DUMMYFUNCTION("""COMPUTED_VALUE"""),-172344.17796499998)</f>
        <v>-172344.178</v>
      </c>
      <c r="G897" s="22">
        <f>IFERROR(__xludf.DUMMYFUNCTION("""COMPUTED_VALUE"""),172344.17796499998)</f>
        <v>172344.178</v>
      </c>
      <c r="H897" s="22">
        <f>IFERROR(__xludf.DUMMYFUNCTION("""COMPUTED_VALUE"""),467998.8417900001)</f>
        <v>467998.8418</v>
      </c>
      <c r="I897" s="24">
        <f>IFERROR(__xludf.DUMMYFUNCTION("""COMPUTED_VALUE"""),-0.06400231641999976)</f>
        <v>-0.06400231642</v>
      </c>
    </row>
    <row r="898">
      <c r="A898" s="5" t="str">
        <f>IFERROR(__xludf.DUMMYFUNCTION("""COMPUTED_VALUE"""),"36221")</f>
        <v>36221</v>
      </c>
      <c r="B898" s="64">
        <f>IFERROR(__xludf.DUMMYFUNCTION("""COMPUTED_VALUE"""),44619.0)</f>
        <v>44619</v>
      </c>
      <c r="C898" s="5"/>
      <c r="D898" s="5"/>
      <c r="E898" s="5"/>
      <c r="F898" s="22">
        <f>IFERROR(__xludf.DUMMYFUNCTION("""COMPUTED_VALUE"""),-172344.17796499998)</f>
        <v>-172344.178</v>
      </c>
      <c r="G898" s="22">
        <f>IFERROR(__xludf.DUMMYFUNCTION("""COMPUTED_VALUE"""),172344.17796499998)</f>
        <v>172344.178</v>
      </c>
      <c r="H898" s="22">
        <f>IFERROR(__xludf.DUMMYFUNCTION("""COMPUTED_VALUE"""),467998.8417900001)</f>
        <v>467998.8418</v>
      </c>
      <c r="I898" s="24">
        <f>IFERROR(__xludf.DUMMYFUNCTION("""COMPUTED_VALUE"""),-0.06400231641999976)</f>
        <v>-0.06400231642</v>
      </c>
    </row>
    <row r="899">
      <c r="A899" s="5" t="str">
        <f>IFERROR(__xludf.DUMMYFUNCTION("""COMPUTED_VALUE"""),"36221")</f>
        <v>36221</v>
      </c>
      <c r="B899" s="64">
        <f>IFERROR(__xludf.DUMMYFUNCTION("""COMPUTED_VALUE"""),44620.0)</f>
        <v>44620</v>
      </c>
      <c r="C899" s="5"/>
      <c r="D899" s="5"/>
      <c r="E899" s="5"/>
      <c r="F899" s="22">
        <f>IFERROR(__xludf.DUMMYFUNCTION("""COMPUTED_VALUE"""),-172344.17796499998)</f>
        <v>-172344.178</v>
      </c>
      <c r="G899" s="22">
        <f>IFERROR(__xludf.DUMMYFUNCTION("""COMPUTED_VALUE"""),172344.17796499998)</f>
        <v>172344.178</v>
      </c>
      <c r="H899" s="22">
        <f>IFERROR(__xludf.DUMMYFUNCTION("""COMPUTED_VALUE"""),465003.12147)</f>
        <v>465003.1215</v>
      </c>
      <c r="I899" s="24">
        <f>IFERROR(__xludf.DUMMYFUNCTION("""COMPUTED_VALUE"""),-0.06999375706)</f>
        <v>-0.06999375706</v>
      </c>
    </row>
    <row r="900">
      <c r="A900" s="5" t="str">
        <f>IFERROR(__xludf.DUMMYFUNCTION("""COMPUTED_VALUE"""),"36221")</f>
        <v>36221</v>
      </c>
      <c r="B900" s="64">
        <f>IFERROR(__xludf.DUMMYFUNCTION("""COMPUTED_VALUE"""),44621.0)</f>
        <v>44621</v>
      </c>
      <c r="C900" s="5"/>
      <c r="D900" s="5"/>
      <c r="E900" s="5"/>
      <c r="F900" s="22">
        <f>IFERROR(__xludf.DUMMYFUNCTION("""COMPUTED_VALUE"""),-172344.17796499998)</f>
        <v>-172344.178</v>
      </c>
      <c r="G900" s="22">
        <f>IFERROR(__xludf.DUMMYFUNCTION("""COMPUTED_VALUE"""),172344.17796499998)</f>
        <v>172344.178</v>
      </c>
      <c r="H900" s="22">
        <f>IFERROR(__xludf.DUMMYFUNCTION("""COMPUTED_VALUE"""),451740.81797000003)</f>
        <v>451740.818</v>
      </c>
      <c r="I900" s="24">
        <f>IFERROR(__xludf.DUMMYFUNCTION("""COMPUTED_VALUE"""),-0.09651836405999992)</f>
        <v>-0.09651836406</v>
      </c>
    </row>
    <row r="901">
      <c r="A901" s="5" t="str">
        <f>IFERROR(__xludf.DUMMYFUNCTION("""COMPUTED_VALUE"""),"36221")</f>
        <v>36221</v>
      </c>
      <c r="B901" s="64">
        <f>IFERROR(__xludf.DUMMYFUNCTION("""COMPUTED_VALUE"""),44622.0)</f>
        <v>44622</v>
      </c>
      <c r="C901" s="5"/>
      <c r="D901" s="5"/>
      <c r="E901" s="5"/>
      <c r="F901" s="22">
        <f>IFERROR(__xludf.DUMMYFUNCTION("""COMPUTED_VALUE"""),-172344.17796499998)</f>
        <v>-172344.178</v>
      </c>
      <c r="G901" s="22">
        <f>IFERROR(__xludf.DUMMYFUNCTION("""COMPUTED_VALUE"""),172344.17796499998)</f>
        <v>172344.178</v>
      </c>
      <c r="H901" s="22">
        <f>IFERROR(__xludf.DUMMYFUNCTION("""COMPUTED_VALUE"""),461219.46429500007)</f>
        <v>461219.4643</v>
      </c>
      <c r="I901" s="24">
        <f>IFERROR(__xludf.DUMMYFUNCTION("""COMPUTED_VALUE"""),-0.0775610714099999)</f>
        <v>-0.07756107141</v>
      </c>
    </row>
    <row r="902">
      <c r="A902" s="5" t="str">
        <f>IFERROR(__xludf.DUMMYFUNCTION("""COMPUTED_VALUE"""),"36221")</f>
        <v>36221</v>
      </c>
      <c r="B902" s="64">
        <f>IFERROR(__xludf.DUMMYFUNCTION("""COMPUTED_VALUE"""),44623.0)</f>
        <v>44623</v>
      </c>
      <c r="C902" s="5"/>
      <c r="D902" s="5"/>
      <c r="E902" s="5"/>
      <c r="F902" s="22">
        <f>IFERROR(__xludf.DUMMYFUNCTION("""COMPUTED_VALUE"""),-172344.17796499998)</f>
        <v>-172344.178</v>
      </c>
      <c r="G902" s="22">
        <f>IFERROR(__xludf.DUMMYFUNCTION("""COMPUTED_VALUE"""),172344.17796499998)</f>
        <v>172344.178</v>
      </c>
      <c r="H902" s="22">
        <f>IFERROR(__xludf.DUMMYFUNCTION("""COMPUTED_VALUE"""),452591.16566500004)</f>
        <v>452591.1657</v>
      </c>
      <c r="I902" s="24">
        <f>IFERROR(__xludf.DUMMYFUNCTION("""COMPUTED_VALUE"""),-0.09481766866999997)</f>
        <v>-0.09481766867</v>
      </c>
    </row>
    <row r="903">
      <c r="A903" s="5" t="str">
        <f>IFERROR(__xludf.DUMMYFUNCTION("""COMPUTED_VALUE"""),"36221")</f>
        <v>36221</v>
      </c>
      <c r="B903" s="64">
        <f>IFERROR(__xludf.DUMMYFUNCTION("""COMPUTED_VALUE"""),44624.0)</f>
        <v>44624</v>
      </c>
      <c r="C903" s="5"/>
      <c r="D903" s="5"/>
      <c r="E903" s="5"/>
      <c r="F903" s="22">
        <f>IFERROR(__xludf.DUMMYFUNCTION("""COMPUTED_VALUE"""),-172344.17796499998)</f>
        <v>-172344.178</v>
      </c>
      <c r="G903" s="22">
        <f>IFERROR(__xludf.DUMMYFUNCTION("""COMPUTED_VALUE"""),172344.17796499998)</f>
        <v>172344.178</v>
      </c>
      <c r="H903" s="22">
        <f>IFERROR(__xludf.DUMMYFUNCTION("""COMPUTED_VALUE"""),440920.3385850001)</f>
        <v>440920.3386</v>
      </c>
      <c r="I903" s="24">
        <f>IFERROR(__xludf.DUMMYFUNCTION("""COMPUTED_VALUE"""),-0.11815932282999986)</f>
        <v>-0.1181593228</v>
      </c>
    </row>
    <row r="904">
      <c r="A904" s="5" t="str">
        <f>IFERROR(__xludf.DUMMYFUNCTION("""COMPUTED_VALUE"""),"36221")</f>
        <v>36221</v>
      </c>
      <c r="B904" s="64">
        <f>IFERROR(__xludf.DUMMYFUNCTION("""COMPUTED_VALUE"""),44625.0)</f>
        <v>44625</v>
      </c>
      <c r="C904" s="5"/>
      <c r="D904" s="5"/>
      <c r="E904" s="5"/>
      <c r="F904" s="22">
        <f>IFERROR(__xludf.DUMMYFUNCTION("""COMPUTED_VALUE"""),-172344.17796499998)</f>
        <v>-172344.178</v>
      </c>
      <c r="G904" s="22">
        <f>IFERROR(__xludf.DUMMYFUNCTION("""COMPUTED_VALUE"""),172344.17796499998)</f>
        <v>172344.178</v>
      </c>
      <c r="H904" s="22">
        <f>IFERROR(__xludf.DUMMYFUNCTION("""COMPUTED_VALUE"""),440920.3385850001)</f>
        <v>440920.3386</v>
      </c>
      <c r="I904" s="24">
        <f>IFERROR(__xludf.DUMMYFUNCTION("""COMPUTED_VALUE"""),-0.11815932282999986)</f>
        <v>-0.1181593228</v>
      </c>
    </row>
    <row r="905">
      <c r="A905" s="5" t="str">
        <f>IFERROR(__xludf.DUMMYFUNCTION("""COMPUTED_VALUE"""),"36221")</f>
        <v>36221</v>
      </c>
      <c r="B905" s="64">
        <f>IFERROR(__xludf.DUMMYFUNCTION("""COMPUTED_VALUE"""),44626.0)</f>
        <v>44626</v>
      </c>
      <c r="C905" s="5"/>
      <c r="D905" s="5"/>
      <c r="E905" s="5"/>
      <c r="F905" s="22">
        <f>IFERROR(__xludf.DUMMYFUNCTION("""COMPUTED_VALUE"""),-172344.17796499998)</f>
        <v>-172344.178</v>
      </c>
      <c r="G905" s="22">
        <f>IFERROR(__xludf.DUMMYFUNCTION("""COMPUTED_VALUE"""),172344.17796499998)</f>
        <v>172344.178</v>
      </c>
      <c r="H905" s="22">
        <f>IFERROR(__xludf.DUMMYFUNCTION("""COMPUTED_VALUE"""),440920.3385850001)</f>
        <v>440920.3386</v>
      </c>
      <c r="I905" s="24">
        <f>IFERROR(__xludf.DUMMYFUNCTION("""COMPUTED_VALUE"""),-0.11815932282999986)</f>
        <v>-0.1181593228</v>
      </c>
    </row>
    <row r="906">
      <c r="A906" s="5" t="str">
        <f>IFERROR(__xludf.DUMMYFUNCTION("""COMPUTED_VALUE"""),"36221")</f>
        <v>36221</v>
      </c>
      <c r="B906" s="64">
        <f>IFERROR(__xludf.DUMMYFUNCTION("""COMPUTED_VALUE"""),44627.0)</f>
        <v>44627</v>
      </c>
      <c r="C906" s="5"/>
      <c r="D906" s="5"/>
      <c r="E906" s="5"/>
      <c r="F906" s="22">
        <f>IFERROR(__xludf.DUMMYFUNCTION("""COMPUTED_VALUE"""),-172344.17796499998)</f>
        <v>-172344.178</v>
      </c>
      <c r="G906" s="22">
        <f>IFERROR(__xludf.DUMMYFUNCTION("""COMPUTED_VALUE"""),172344.17796499998)</f>
        <v>172344.178</v>
      </c>
      <c r="H906" s="22">
        <f>IFERROR(__xludf.DUMMYFUNCTION("""COMPUTED_VALUE"""),418920.517485)</f>
        <v>418920.5175</v>
      </c>
      <c r="I906" s="24">
        <f>IFERROR(__xludf.DUMMYFUNCTION("""COMPUTED_VALUE"""),-0.16215896502999994)</f>
        <v>-0.162158965</v>
      </c>
    </row>
    <row r="907">
      <c r="A907" s="5" t="str">
        <f>IFERROR(__xludf.DUMMYFUNCTION("""COMPUTED_VALUE"""),"36221")</f>
        <v>36221</v>
      </c>
      <c r="B907" s="64">
        <f>IFERROR(__xludf.DUMMYFUNCTION("""COMPUTED_VALUE"""),44628.0)</f>
        <v>44628</v>
      </c>
      <c r="C907" s="5"/>
      <c r="D907" s="5"/>
      <c r="E907" s="5"/>
      <c r="F907" s="22">
        <f>IFERROR(__xludf.DUMMYFUNCTION("""COMPUTED_VALUE"""),-172344.17796499998)</f>
        <v>-172344.178</v>
      </c>
      <c r="G907" s="22">
        <f>IFERROR(__xludf.DUMMYFUNCTION("""COMPUTED_VALUE"""),172344.17796499998)</f>
        <v>172344.178</v>
      </c>
      <c r="H907" s="22">
        <f>IFERROR(__xludf.DUMMYFUNCTION("""COMPUTED_VALUE"""),425926.1342750001)</f>
        <v>425926.1343</v>
      </c>
      <c r="I907" s="24">
        <f>IFERROR(__xludf.DUMMYFUNCTION("""COMPUTED_VALUE"""),-0.14814773144999982)</f>
        <v>-0.1481477315</v>
      </c>
    </row>
    <row r="908">
      <c r="A908" s="5" t="str">
        <f>IFERROR(__xludf.DUMMYFUNCTION("""COMPUTED_VALUE"""),"36221")</f>
        <v>36221</v>
      </c>
      <c r="B908" s="64">
        <f>IFERROR(__xludf.DUMMYFUNCTION("""COMPUTED_VALUE"""),44629.0)</f>
        <v>44629</v>
      </c>
      <c r="C908" s="5"/>
      <c r="D908" s="5"/>
      <c r="E908" s="5"/>
      <c r="F908" s="22">
        <f>IFERROR(__xludf.DUMMYFUNCTION("""COMPUTED_VALUE"""),-172344.17796499998)</f>
        <v>-172344.178</v>
      </c>
      <c r="G908" s="22">
        <f>IFERROR(__xludf.DUMMYFUNCTION("""COMPUTED_VALUE"""),172344.17796499998)</f>
        <v>172344.178</v>
      </c>
      <c r="H908" s="22">
        <f>IFERROR(__xludf.DUMMYFUNCTION("""COMPUTED_VALUE"""),440093.394955)</f>
        <v>440093.395</v>
      </c>
      <c r="I908" s="24">
        <f>IFERROR(__xludf.DUMMYFUNCTION("""COMPUTED_VALUE"""),-0.1198132100899999)</f>
        <v>-0.1198132101</v>
      </c>
    </row>
    <row r="909">
      <c r="A909" s="5" t="str">
        <f>IFERROR(__xludf.DUMMYFUNCTION("""COMPUTED_VALUE"""),"36221")</f>
        <v>36221</v>
      </c>
      <c r="B909" s="64">
        <f>IFERROR(__xludf.DUMMYFUNCTION("""COMPUTED_VALUE"""),44630.0)</f>
        <v>44630</v>
      </c>
      <c r="C909" s="5"/>
      <c r="D909" s="5"/>
      <c r="E909" s="5"/>
      <c r="F909" s="22">
        <f>IFERROR(__xludf.DUMMYFUNCTION("""COMPUTED_VALUE"""),-172344.17796499998)</f>
        <v>-172344.178</v>
      </c>
      <c r="G909" s="22">
        <f>IFERROR(__xludf.DUMMYFUNCTION("""COMPUTED_VALUE"""),172344.17796499998)</f>
        <v>172344.178</v>
      </c>
      <c r="H909" s="22">
        <f>IFERROR(__xludf.DUMMYFUNCTION("""COMPUTED_VALUE"""),440187.01121500006)</f>
        <v>440187.0112</v>
      </c>
      <c r="I909" s="24">
        <f>IFERROR(__xludf.DUMMYFUNCTION("""COMPUTED_VALUE"""),-0.11962597756999982)</f>
        <v>-0.1196259776</v>
      </c>
    </row>
    <row r="910">
      <c r="A910" s="5" t="str">
        <f>IFERROR(__xludf.DUMMYFUNCTION("""COMPUTED_VALUE"""),"36221")</f>
        <v>36221</v>
      </c>
      <c r="B910" s="64">
        <f>IFERROR(__xludf.DUMMYFUNCTION("""COMPUTED_VALUE"""),44631.0)</f>
        <v>44631</v>
      </c>
      <c r="C910" s="5"/>
      <c r="D910" s="5"/>
      <c r="E910" s="5"/>
      <c r="F910" s="22">
        <f>IFERROR(__xludf.DUMMYFUNCTION("""COMPUTED_VALUE"""),-172344.17796499998)</f>
        <v>-172344.178</v>
      </c>
      <c r="G910" s="22">
        <f>IFERROR(__xludf.DUMMYFUNCTION("""COMPUTED_VALUE"""),172344.17796499998)</f>
        <v>172344.178</v>
      </c>
      <c r="H910" s="22">
        <f>IFERROR(__xludf.DUMMYFUNCTION("""COMPUTED_VALUE"""),429031.0735650001)</f>
        <v>429031.0736</v>
      </c>
      <c r="I910" s="24">
        <f>IFERROR(__xludf.DUMMYFUNCTION("""COMPUTED_VALUE"""),-0.14193785286999983)</f>
        <v>-0.1419378529</v>
      </c>
    </row>
    <row r="911">
      <c r="A911" s="5" t="str">
        <f>IFERROR(__xludf.DUMMYFUNCTION("""COMPUTED_VALUE"""),"36221")</f>
        <v>36221</v>
      </c>
      <c r="B911" s="64">
        <f>IFERROR(__xludf.DUMMYFUNCTION("""COMPUTED_VALUE"""),44632.0)</f>
        <v>44632</v>
      </c>
      <c r="C911" s="5"/>
      <c r="D911" s="5"/>
      <c r="E911" s="5"/>
      <c r="F911" s="22">
        <f>IFERROR(__xludf.DUMMYFUNCTION("""COMPUTED_VALUE"""),-172344.17796499998)</f>
        <v>-172344.178</v>
      </c>
      <c r="G911" s="22">
        <f>IFERROR(__xludf.DUMMYFUNCTION("""COMPUTED_VALUE"""),172344.17796499998)</f>
        <v>172344.178</v>
      </c>
      <c r="H911" s="22">
        <f>IFERROR(__xludf.DUMMYFUNCTION("""COMPUTED_VALUE"""),429031.0735650001)</f>
        <v>429031.0736</v>
      </c>
      <c r="I911" s="24">
        <f>IFERROR(__xludf.DUMMYFUNCTION("""COMPUTED_VALUE"""),-0.14193785286999983)</f>
        <v>-0.1419378529</v>
      </c>
    </row>
    <row r="912">
      <c r="A912" s="5" t="str">
        <f>IFERROR(__xludf.DUMMYFUNCTION("""COMPUTED_VALUE"""),"36221")</f>
        <v>36221</v>
      </c>
      <c r="B912" s="64">
        <f>IFERROR(__xludf.DUMMYFUNCTION("""COMPUTED_VALUE"""),44633.0)</f>
        <v>44633</v>
      </c>
      <c r="C912" s="5"/>
      <c r="D912" s="5"/>
      <c r="E912" s="5"/>
      <c r="F912" s="22">
        <f>IFERROR(__xludf.DUMMYFUNCTION("""COMPUTED_VALUE"""),-172344.17796499998)</f>
        <v>-172344.178</v>
      </c>
      <c r="G912" s="22">
        <f>IFERROR(__xludf.DUMMYFUNCTION("""COMPUTED_VALUE"""),172344.17796499998)</f>
        <v>172344.178</v>
      </c>
      <c r="H912" s="22">
        <f>IFERROR(__xludf.DUMMYFUNCTION("""COMPUTED_VALUE"""),429031.0735650001)</f>
        <v>429031.0736</v>
      </c>
      <c r="I912" s="24">
        <f>IFERROR(__xludf.DUMMYFUNCTION("""COMPUTED_VALUE"""),-0.14193785286999983)</f>
        <v>-0.1419378529</v>
      </c>
    </row>
    <row r="913">
      <c r="A913" s="5" t="str">
        <f>IFERROR(__xludf.DUMMYFUNCTION("""COMPUTED_VALUE"""),"36221")</f>
        <v>36221</v>
      </c>
      <c r="B913" s="64">
        <f>IFERROR(__xludf.DUMMYFUNCTION("""COMPUTED_VALUE"""),44634.0)</f>
        <v>44634</v>
      </c>
      <c r="C913" s="5"/>
      <c r="D913" s="5"/>
      <c r="E913" s="5"/>
      <c r="F913" s="22">
        <f>IFERROR(__xludf.DUMMYFUNCTION("""COMPUTED_VALUE"""),-172344.17796499998)</f>
        <v>-172344.178</v>
      </c>
      <c r="G913" s="22">
        <f>IFERROR(__xludf.DUMMYFUNCTION("""COMPUTED_VALUE"""),172344.17796499998)</f>
        <v>172344.178</v>
      </c>
      <c r="H913" s="22">
        <f>IFERROR(__xludf.DUMMYFUNCTION("""COMPUTED_VALUE"""),413974.45841500006)</f>
        <v>413974.4584</v>
      </c>
      <c r="I913" s="24">
        <f>IFERROR(__xludf.DUMMYFUNCTION("""COMPUTED_VALUE"""),-0.17205108316999984)</f>
        <v>-0.1720510832</v>
      </c>
    </row>
    <row r="914">
      <c r="A914" s="5" t="str">
        <f>IFERROR(__xludf.DUMMYFUNCTION("""COMPUTED_VALUE"""),"36221")</f>
        <v>36221</v>
      </c>
      <c r="B914" s="64">
        <f>IFERROR(__xludf.DUMMYFUNCTION("""COMPUTED_VALUE"""),44635.0)</f>
        <v>44635</v>
      </c>
      <c r="C914" s="5"/>
      <c r="D914" s="5"/>
      <c r="E914" s="5"/>
      <c r="F914" s="22">
        <f>IFERROR(__xludf.DUMMYFUNCTION("""COMPUTED_VALUE"""),-172344.17796499998)</f>
        <v>-172344.178</v>
      </c>
      <c r="G914" s="22">
        <f>IFERROR(__xludf.DUMMYFUNCTION("""COMPUTED_VALUE"""),172344.17796499998)</f>
        <v>172344.178</v>
      </c>
      <c r="H914" s="22">
        <f>IFERROR(__xludf.DUMMYFUNCTION("""COMPUTED_VALUE"""),437058.66786000005)</f>
        <v>437058.6679</v>
      </c>
      <c r="I914" s="24">
        <f>IFERROR(__xludf.DUMMYFUNCTION("""COMPUTED_VALUE"""),-0.12588266427999995)</f>
        <v>-0.1258826643</v>
      </c>
    </row>
    <row r="915">
      <c r="A915" s="5" t="str">
        <f>IFERROR(__xludf.DUMMYFUNCTION("""COMPUTED_VALUE"""),"36221")</f>
        <v>36221</v>
      </c>
      <c r="B915" s="64">
        <f>IFERROR(__xludf.DUMMYFUNCTION("""COMPUTED_VALUE"""),44636.0)</f>
        <v>44636</v>
      </c>
      <c r="C915" s="5"/>
      <c r="D915" s="5"/>
      <c r="E915" s="5"/>
      <c r="F915" s="22">
        <f>IFERROR(__xludf.DUMMYFUNCTION("""COMPUTED_VALUE"""),-172344.17796499998)</f>
        <v>-172344.178</v>
      </c>
      <c r="G915" s="22">
        <f>IFERROR(__xludf.DUMMYFUNCTION("""COMPUTED_VALUE"""),172344.17796499998)</f>
        <v>172344.178</v>
      </c>
      <c r="H915" s="22">
        <f>IFERROR(__xludf.DUMMYFUNCTION("""COMPUTED_VALUE"""),462842.146135)</f>
        <v>462842.1461</v>
      </c>
      <c r="I915" s="24">
        <f>IFERROR(__xludf.DUMMYFUNCTION("""COMPUTED_VALUE"""),-0.07431570773000007)</f>
        <v>-0.07431570773</v>
      </c>
    </row>
    <row r="916">
      <c r="A916" s="5" t="str">
        <f>IFERROR(__xludf.DUMMYFUNCTION("""COMPUTED_VALUE"""),"36221")</f>
        <v>36221</v>
      </c>
      <c r="B916" s="64">
        <f>IFERROR(__xludf.DUMMYFUNCTION("""COMPUTED_VALUE"""),44637.0)</f>
        <v>44637</v>
      </c>
      <c r="C916" s="5"/>
      <c r="D916" s="5"/>
      <c r="E916" s="5"/>
      <c r="F916" s="22">
        <f>IFERROR(__xludf.DUMMYFUNCTION("""COMPUTED_VALUE"""),-172344.17796499998)</f>
        <v>-172344.178</v>
      </c>
      <c r="G916" s="22">
        <f>IFERROR(__xludf.DUMMYFUNCTION("""COMPUTED_VALUE"""),172344.17796499998)</f>
        <v>172344.178</v>
      </c>
      <c r="H916" s="22">
        <f>IFERROR(__xludf.DUMMYFUNCTION("""COMPUTED_VALUE"""),470425.06319500005)</f>
        <v>470425.0632</v>
      </c>
      <c r="I916" s="24">
        <f>IFERROR(__xludf.DUMMYFUNCTION("""COMPUTED_VALUE"""),-0.0591498736099999)</f>
        <v>-0.05914987361</v>
      </c>
    </row>
    <row r="917">
      <c r="A917" s="5" t="str">
        <f>IFERROR(__xludf.DUMMYFUNCTION("""COMPUTED_VALUE"""),"36221")</f>
        <v>36221</v>
      </c>
      <c r="B917" s="64">
        <f>IFERROR(__xludf.DUMMYFUNCTION("""COMPUTED_VALUE"""),44638.0)</f>
        <v>44638</v>
      </c>
      <c r="C917" s="5"/>
      <c r="D917" s="5"/>
      <c r="E917" s="5"/>
      <c r="F917" s="22">
        <f>IFERROR(__xludf.DUMMYFUNCTION("""COMPUTED_VALUE"""),-172344.17796499998)</f>
        <v>-172344.178</v>
      </c>
      <c r="G917" s="22">
        <f>IFERROR(__xludf.DUMMYFUNCTION("""COMPUTED_VALUE"""),172344.17796499998)</f>
        <v>172344.178</v>
      </c>
      <c r="H917" s="22">
        <f>IFERROR(__xludf.DUMMYFUNCTION("""COMPUTED_VALUE"""),488063.92685000005)</f>
        <v>488063.9269</v>
      </c>
      <c r="I917" s="24">
        <f>IFERROR(__xludf.DUMMYFUNCTION("""COMPUTED_VALUE"""),-0.023872146299999897)</f>
        <v>-0.0238721463</v>
      </c>
    </row>
    <row r="918">
      <c r="A918" s="5" t="str">
        <f>IFERROR(__xludf.DUMMYFUNCTION("""COMPUTED_VALUE"""),"36221")</f>
        <v>36221</v>
      </c>
      <c r="B918" s="64">
        <f>IFERROR(__xludf.DUMMYFUNCTION("""COMPUTED_VALUE"""),44639.0)</f>
        <v>44639</v>
      </c>
      <c r="C918" s="5"/>
      <c r="D918" s="5"/>
      <c r="E918" s="5"/>
      <c r="F918" s="22">
        <f>IFERROR(__xludf.DUMMYFUNCTION("""COMPUTED_VALUE"""),-172344.17796499998)</f>
        <v>-172344.178</v>
      </c>
      <c r="G918" s="22">
        <f>IFERROR(__xludf.DUMMYFUNCTION("""COMPUTED_VALUE"""),172344.17796499998)</f>
        <v>172344.178</v>
      </c>
      <c r="H918" s="22">
        <f>IFERROR(__xludf.DUMMYFUNCTION("""COMPUTED_VALUE"""),488063.92685000005)</f>
        <v>488063.9269</v>
      </c>
      <c r="I918" s="24">
        <f>IFERROR(__xludf.DUMMYFUNCTION("""COMPUTED_VALUE"""),-0.023872146299999897)</f>
        <v>-0.0238721463</v>
      </c>
    </row>
    <row r="919">
      <c r="A919" s="5" t="str">
        <f>IFERROR(__xludf.DUMMYFUNCTION("""COMPUTED_VALUE"""),"36221")</f>
        <v>36221</v>
      </c>
      <c r="B919" s="64">
        <f>IFERROR(__xludf.DUMMYFUNCTION("""COMPUTED_VALUE"""),44640.0)</f>
        <v>44640</v>
      </c>
      <c r="C919" s="5"/>
      <c r="D919" s="5"/>
      <c r="E919" s="5"/>
      <c r="F919" s="22">
        <f>IFERROR(__xludf.DUMMYFUNCTION("""COMPUTED_VALUE"""),-172344.17796499998)</f>
        <v>-172344.178</v>
      </c>
      <c r="G919" s="22">
        <f>IFERROR(__xludf.DUMMYFUNCTION("""COMPUTED_VALUE"""),172344.17796499998)</f>
        <v>172344.178</v>
      </c>
      <c r="H919" s="22">
        <f>IFERROR(__xludf.DUMMYFUNCTION("""COMPUTED_VALUE"""),488063.92685000005)</f>
        <v>488063.9269</v>
      </c>
      <c r="I919" s="24">
        <f>IFERROR(__xludf.DUMMYFUNCTION("""COMPUTED_VALUE"""),-0.023872146299999897)</f>
        <v>-0.0238721463</v>
      </c>
    </row>
    <row r="920">
      <c r="A920" s="5" t="str">
        <f>IFERROR(__xludf.DUMMYFUNCTION("""COMPUTED_VALUE"""),"36221")</f>
        <v>36221</v>
      </c>
      <c r="B920" s="64">
        <f>IFERROR(__xludf.DUMMYFUNCTION("""COMPUTED_VALUE"""),44641.0)</f>
        <v>44641</v>
      </c>
      <c r="C920" s="5"/>
      <c r="D920" s="5"/>
      <c r="E920" s="5"/>
      <c r="F920" s="22">
        <f>IFERROR(__xludf.DUMMYFUNCTION("""COMPUTED_VALUE"""),-172344.17796499998)</f>
        <v>-172344.178</v>
      </c>
      <c r="G920" s="22">
        <f>IFERROR(__xludf.DUMMYFUNCTION("""COMPUTED_VALUE"""),172344.17796499998)</f>
        <v>172344.178</v>
      </c>
      <c r="H920" s="22">
        <f>IFERROR(__xludf.DUMMYFUNCTION("""COMPUTED_VALUE"""),485169.624145)</f>
        <v>485169.6241</v>
      </c>
      <c r="I920" s="24">
        <f>IFERROR(__xludf.DUMMYFUNCTION("""COMPUTED_VALUE"""),-0.029660751709999933)</f>
        <v>-0.02966075171</v>
      </c>
    </row>
    <row r="921">
      <c r="A921" s="5" t="str">
        <f>IFERROR(__xludf.DUMMYFUNCTION("""COMPUTED_VALUE"""),"36221")</f>
        <v>36221</v>
      </c>
      <c r="B921" s="64">
        <f>IFERROR(__xludf.DUMMYFUNCTION("""COMPUTED_VALUE"""),44642.0)</f>
        <v>44642</v>
      </c>
      <c r="C921" s="5"/>
      <c r="D921" s="5"/>
      <c r="E921" s="5"/>
      <c r="F921" s="22">
        <f>IFERROR(__xludf.DUMMYFUNCTION("""COMPUTED_VALUE"""),-172344.17796499998)</f>
        <v>-172344.178</v>
      </c>
      <c r="G921" s="22">
        <f>IFERROR(__xludf.DUMMYFUNCTION("""COMPUTED_VALUE"""),172344.17796499998)</f>
        <v>172344.178</v>
      </c>
      <c r="H921" s="22">
        <f>IFERROR(__xludf.DUMMYFUNCTION("""COMPUTED_VALUE"""),488243.35801500006)</f>
        <v>488243.358</v>
      </c>
      <c r="I921" s="24">
        <f>IFERROR(__xludf.DUMMYFUNCTION("""COMPUTED_VALUE"""),-0.023513283969999854)</f>
        <v>-0.02351328397</v>
      </c>
    </row>
    <row r="922">
      <c r="A922" s="5" t="str">
        <f>IFERROR(__xludf.DUMMYFUNCTION("""COMPUTED_VALUE"""),"36221")</f>
        <v>36221</v>
      </c>
      <c r="B922" s="64">
        <f>IFERROR(__xludf.DUMMYFUNCTION("""COMPUTED_VALUE"""),44643.0)</f>
        <v>44643</v>
      </c>
      <c r="C922" s="5"/>
      <c r="D922" s="5"/>
      <c r="E922" s="5"/>
      <c r="F922" s="22">
        <f>IFERROR(__xludf.DUMMYFUNCTION("""COMPUTED_VALUE"""),-172344.17796499998)</f>
        <v>-172344.178</v>
      </c>
      <c r="G922" s="22">
        <f>IFERROR(__xludf.DUMMYFUNCTION("""COMPUTED_VALUE"""),172344.17796499998)</f>
        <v>172344.178</v>
      </c>
      <c r="H922" s="22">
        <f>IFERROR(__xludf.DUMMYFUNCTION("""COMPUTED_VALUE"""),476010.83337500005)</f>
        <v>476010.8334</v>
      </c>
      <c r="I922" s="24">
        <f>IFERROR(__xludf.DUMMYFUNCTION("""COMPUTED_VALUE"""),-0.047978333249999894)</f>
        <v>-0.04797833325</v>
      </c>
    </row>
    <row r="923">
      <c r="A923" s="5" t="str">
        <f>IFERROR(__xludf.DUMMYFUNCTION("""COMPUTED_VALUE"""),"36221")</f>
        <v>36221</v>
      </c>
      <c r="B923" s="64">
        <f>IFERROR(__xludf.DUMMYFUNCTION("""COMPUTED_VALUE"""),44644.0)</f>
        <v>44644</v>
      </c>
      <c r="C923" s="5"/>
      <c r="D923" s="5"/>
      <c r="E923" s="5"/>
      <c r="F923" s="22">
        <f>IFERROR(__xludf.DUMMYFUNCTION("""COMPUTED_VALUE"""),-172344.17796499998)</f>
        <v>-172344.178</v>
      </c>
      <c r="G923" s="22">
        <f>IFERROR(__xludf.DUMMYFUNCTION("""COMPUTED_VALUE"""),172344.17796499998)</f>
        <v>172344.178</v>
      </c>
      <c r="H923" s="22">
        <f>IFERROR(__xludf.DUMMYFUNCTION("""COMPUTED_VALUE"""),506545.3368450001)</f>
        <v>506545.3368</v>
      </c>
      <c r="I923" s="24">
        <f>IFERROR(__xludf.DUMMYFUNCTION("""COMPUTED_VALUE"""),0.013090673690000276)</f>
        <v>0.01309067369</v>
      </c>
    </row>
    <row r="924">
      <c r="A924" s="5" t="str">
        <f>IFERROR(__xludf.DUMMYFUNCTION("""COMPUTED_VALUE"""),"36221")</f>
        <v>36221</v>
      </c>
      <c r="B924" s="64">
        <f>IFERROR(__xludf.DUMMYFUNCTION("""COMPUTED_VALUE"""),44645.0)</f>
        <v>44645</v>
      </c>
      <c r="C924" s="5"/>
      <c r="D924" s="5"/>
      <c r="E924" s="5"/>
      <c r="F924" s="22">
        <f>IFERROR(__xludf.DUMMYFUNCTION("""COMPUTED_VALUE"""),-172344.17796499998)</f>
        <v>-172344.178</v>
      </c>
      <c r="G924" s="22">
        <f>IFERROR(__xludf.DUMMYFUNCTION("""COMPUTED_VALUE"""),172344.17796499998)</f>
        <v>172344.178</v>
      </c>
      <c r="H924" s="22">
        <f>IFERROR(__xludf.DUMMYFUNCTION("""COMPUTED_VALUE"""),499570.925475)</f>
        <v>499570.9255</v>
      </c>
      <c r="I924" s="24">
        <f>IFERROR(__xludf.DUMMYFUNCTION("""COMPUTED_VALUE"""),-8.581490500000344E-4)</f>
        <v>-0.00085814905</v>
      </c>
    </row>
    <row r="925">
      <c r="A925" s="5" t="str">
        <f>IFERROR(__xludf.DUMMYFUNCTION("""COMPUTED_VALUE"""),"36221")</f>
        <v>36221</v>
      </c>
      <c r="B925" s="64">
        <f>IFERROR(__xludf.DUMMYFUNCTION("""COMPUTED_VALUE"""),44646.0)</f>
        <v>44646</v>
      </c>
      <c r="C925" s="5"/>
      <c r="D925" s="5"/>
      <c r="E925" s="5"/>
      <c r="F925" s="22">
        <f>IFERROR(__xludf.DUMMYFUNCTION("""COMPUTED_VALUE"""),-172344.17796499998)</f>
        <v>-172344.178</v>
      </c>
      <c r="G925" s="22">
        <f>IFERROR(__xludf.DUMMYFUNCTION("""COMPUTED_VALUE"""),172344.17796499998)</f>
        <v>172344.178</v>
      </c>
      <c r="H925" s="22">
        <f>IFERROR(__xludf.DUMMYFUNCTION("""COMPUTED_VALUE"""),499570.925475)</f>
        <v>499570.9255</v>
      </c>
      <c r="I925" s="24">
        <f>IFERROR(__xludf.DUMMYFUNCTION("""COMPUTED_VALUE"""),-8.581490500000344E-4)</f>
        <v>-0.00085814905</v>
      </c>
    </row>
    <row r="926">
      <c r="A926" s="5" t="str">
        <f>IFERROR(__xludf.DUMMYFUNCTION("""COMPUTED_VALUE"""),"36221")</f>
        <v>36221</v>
      </c>
      <c r="B926" s="64">
        <f>IFERROR(__xludf.DUMMYFUNCTION("""COMPUTED_VALUE"""),44647.0)</f>
        <v>44647</v>
      </c>
      <c r="C926" s="5"/>
      <c r="D926" s="5"/>
      <c r="E926" s="5"/>
      <c r="F926" s="22">
        <f>IFERROR(__xludf.DUMMYFUNCTION("""COMPUTED_VALUE"""),-172344.17796499998)</f>
        <v>-172344.178</v>
      </c>
      <c r="G926" s="22">
        <f>IFERROR(__xludf.DUMMYFUNCTION("""COMPUTED_VALUE"""),172344.17796499998)</f>
        <v>172344.178</v>
      </c>
      <c r="H926" s="22">
        <f>IFERROR(__xludf.DUMMYFUNCTION("""COMPUTED_VALUE"""),499570.925475)</f>
        <v>499570.9255</v>
      </c>
      <c r="I926" s="24">
        <f>IFERROR(__xludf.DUMMYFUNCTION("""COMPUTED_VALUE"""),-8.581490500000344E-4)</f>
        <v>-0.00085814905</v>
      </c>
    </row>
    <row r="927">
      <c r="A927" s="5" t="str">
        <f>IFERROR(__xludf.DUMMYFUNCTION("""COMPUTED_VALUE"""),"36221")</f>
        <v>36221</v>
      </c>
      <c r="B927" s="64">
        <f>IFERROR(__xludf.DUMMYFUNCTION("""COMPUTED_VALUE"""),44648.0)</f>
        <v>44648</v>
      </c>
      <c r="C927" s="5"/>
      <c r="D927" s="5"/>
      <c r="E927" s="5"/>
      <c r="F927" s="22">
        <f>IFERROR(__xludf.DUMMYFUNCTION("""COMPUTED_VALUE"""),-172344.17796499998)</f>
        <v>-172344.178</v>
      </c>
      <c r="G927" s="22">
        <f>IFERROR(__xludf.DUMMYFUNCTION("""COMPUTED_VALUE"""),172344.17796499998)</f>
        <v>172344.178</v>
      </c>
      <c r="H927" s="22">
        <f>IFERROR(__xludf.DUMMYFUNCTION("""COMPUTED_VALUE"""),500390.06775000005)</f>
        <v>500390.0678</v>
      </c>
      <c r="I927" s="24">
        <f>IFERROR(__xludf.DUMMYFUNCTION("""COMPUTED_VALUE"""),7.80135500000112E-4)</f>
        <v>0.0007801355</v>
      </c>
    </row>
    <row r="928">
      <c r="A928" s="5" t="str">
        <f>IFERROR(__xludf.DUMMYFUNCTION("""COMPUTED_VALUE"""),"36221")</f>
        <v>36221</v>
      </c>
      <c r="B928" s="64">
        <f>IFERROR(__xludf.DUMMYFUNCTION("""COMPUTED_VALUE"""),44649.0)</f>
        <v>44649</v>
      </c>
      <c r="C928" s="5"/>
      <c r="D928" s="5"/>
      <c r="E928" s="5"/>
      <c r="F928" s="22">
        <f>IFERROR(__xludf.DUMMYFUNCTION("""COMPUTED_VALUE"""),-172344.17796499998)</f>
        <v>-172344.178</v>
      </c>
      <c r="G928" s="22">
        <f>IFERROR(__xludf.DUMMYFUNCTION("""COMPUTED_VALUE"""),172344.17796499998)</f>
        <v>172344.178</v>
      </c>
      <c r="H928" s="22">
        <f>IFERROR(__xludf.DUMMYFUNCTION("""COMPUTED_VALUE"""),507356.67776500003)</f>
        <v>507356.6778</v>
      </c>
      <c r="I928" s="24">
        <f>IFERROR(__xludf.DUMMYFUNCTION("""COMPUTED_VALUE"""),0.014713355530000083)</f>
        <v>0.01471335553</v>
      </c>
    </row>
    <row r="929">
      <c r="A929" s="5" t="str">
        <f>IFERROR(__xludf.DUMMYFUNCTION("""COMPUTED_VALUE"""),"36221")</f>
        <v>36221</v>
      </c>
      <c r="B929" s="64">
        <f>IFERROR(__xludf.DUMMYFUNCTION("""COMPUTED_VALUE"""),44650.0)</f>
        <v>44650</v>
      </c>
      <c r="C929" s="5"/>
      <c r="D929" s="5"/>
      <c r="E929" s="5"/>
      <c r="F929" s="22">
        <f>IFERROR(__xludf.DUMMYFUNCTION("""COMPUTED_VALUE"""),-172344.17796499998)</f>
        <v>-172344.178</v>
      </c>
      <c r="G929" s="22">
        <f>IFERROR(__xludf.DUMMYFUNCTION("""COMPUTED_VALUE"""),172344.17796499998)</f>
        <v>172344.178</v>
      </c>
      <c r="H929" s="22">
        <f>IFERROR(__xludf.DUMMYFUNCTION("""COMPUTED_VALUE"""),497308.532525)</f>
        <v>497308.5325</v>
      </c>
      <c r="I929" s="24">
        <f>IFERROR(__xludf.DUMMYFUNCTION("""COMPUTED_VALUE"""),-0.0053829349499999735)</f>
        <v>-0.00538293495</v>
      </c>
    </row>
    <row r="930">
      <c r="A930" s="5" t="str">
        <f>IFERROR(__xludf.DUMMYFUNCTION("""COMPUTED_VALUE"""),"36221")</f>
        <v>36221</v>
      </c>
      <c r="B930" s="64">
        <f>IFERROR(__xludf.DUMMYFUNCTION("""COMPUTED_VALUE"""),44651.0)</f>
        <v>44651</v>
      </c>
      <c r="C930" s="5"/>
      <c r="D930" s="5"/>
      <c r="E930" s="5"/>
      <c r="F930" s="22">
        <f>IFERROR(__xludf.DUMMYFUNCTION("""COMPUTED_VALUE"""),-172344.17796499998)</f>
        <v>-172344.178</v>
      </c>
      <c r="G930" s="22">
        <f>IFERROR(__xludf.DUMMYFUNCTION("""COMPUTED_VALUE"""),172344.17796499998)</f>
        <v>172344.178</v>
      </c>
      <c r="H930" s="22">
        <f>IFERROR(__xludf.DUMMYFUNCTION("""COMPUTED_VALUE"""),486027.773195)</f>
        <v>486027.7732</v>
      </c>
      <c r="I930" s="24">
        <f>IFERROR(__xludf.DUMMYFUNCTION("""COMPUTED_VALUE"""),-0.027944453609999975)</f>
        <v>-0.02794445361</v>
      </c>
    </row>
    <row r="931">
      <c r="A931" s="5" t="str">
        <f>IFERROR(__xludf.DUMMYFUNCTION("""COMPUTED_VALUE"""),"36221")</f>
        <v>36221</v>
      </c>
      <c r="B931" s="64">
        <f>IFERROR(__xludf.DUMMYFUNCTION("""COMPUTED_VALUE"""),44652.0)</f>
        <v>44652</v>
      </c>
      <c r="C931" s="5"/>
      <c r="D931" s="5"/>
      <c r="E931" s="5"/>
      <c r="F931" s="22">
        <f>IFERROR(__xludf.DUMMYFUNCTION("""COMPUTED_VALUE"""),-172344.17796499998)</f>
        <v>-172344.178</v>
      </c>
      <c r="G931" s="22">
        <f>IFERROR(__xludf.DUMMYFUNCTION("""COMPUTED_VALUE"""),172344.17796499998)</f>
        <v>172344.178</v>
      </c>
      <c r="H931" s="22">
        <f>IFERROR(__xludf.DUMMYFUNCTION("""COMPUTED_VALUE"""),483312.90165500005)</f>
        <v>483312.9017</v>
      </c>
      <c r="I931" s="24">
        <f>IFERROR(__xludf.DUMMYFUNCTION("""COMPUTED_VALUE"""),-0.03337419668999986)</f>
        <v>-0.03337419669</v>
      </c>
    </row>
    <row r="932">
      <c r="A932" s="5" t="str">
        <f>IFERROR(__xludf.DUMMYFUNCTION("""COMPUTED_VALUE"""),"36221")</f>
        <v>36221</v>
      </c>
      <c r="B932" s="64">
        <f>IFERROR(__xludf.DUMMYFUNCTION("""COMPUTED_VALUE"""),44653.0)</f>
        <v>44653</v>
      </c>
      <c r="C932" s="5"/>
      <c r="D932" s="5"/>
      <c r="E932" s="5"/>
      <c r="F932" s="22">
        <f>IFERROR(__xludf.DUMMYFUNCTION("""COMPUTED_VALUE"""),-172344.17796499998)</f>
        <v>-172344.178</v>
      </c>
      <c r="G932" s="22">
        <f>IFERROR(__xludf.DUMMYFUNCTION("""COMPUTED_VALUE"""),172344.17796499998)</f>
        <v>172344.178</v>
      </c>
      <c r="H932" s="22">
        <f>IFERROR(__xludf.DUMMYFUNCTION("""COMPUTED_VALUE"""),483312.90165500005)</f>
        <v>483312.9017</v>
      </c>
      <c r="I932" s="24">
        <f>IFERROR(__xludf.DUMMYFUNCTION("""COMPUTED_VALUE"""),-0.03337419668999986)</f>
        <v>-0.03337419669</v>
      </c>
    </row>
    <row r="933">
      <c r="A933" s="5" t="str">
        <f>IFERROR(__xludf.DUMMYFUNCTION("""COMPUTED_VALUE"""),"36221")</f>
        <v>36221</v>
      </c>
      <c r="B933" s="64">
        <f>IFERROR(__xludf.DUMMYFUNCTION("""COMPUTED_VALUE"""),44654.0)</f>
        <v>44654</v>
      </c>
      <c r="C933" s="5"/>
      <c r="D933" s="5"/>
      <c r="E933" s="5"/>
      <c r="F933" s="22">
        <f>IFERROR(__xludf.DUMMYFUNCTION("""COMPUTED_VALUE"""),-172344.17796499998)</f>
        <v>-172344.178</v>
      </c>
      <c r="G933" s="22">
        <f>IFERROR(__xludf.DUMMYFUNCTION("""COMPUTED_VALUE"""),172344.17796499998)</f>
        <v>172344.178</v>
      </c>
      <c r="H933" s="22">
        <f>IFERROR(__xludf.DUMMYFUNCTION("""COMPUTED_VALUE"""),483312.90165500005)</f>
        <v>483312.9017</v>
      </c>
      <c r="I933" s="24">
        <f>IFERROR(__xludf.DUMMYFUNCTION("""COMPUTED_VALUE"""),-0.03337419668999986)</f>
        <v>-0.03337419669</v>
      </c>
    </row>
    <row r="934">
      <c r="A934" s="5" t="str">
        <f>IFERROR(__xludf.DUMMYFUNCTION("""COMPUTED_VALUE"""),"36221")</f>
        <v>36221</v>
      </c>
      <c r="B934" s="64">
        <f>IFERROR(__xludf.DUMMYFUNCTION("""COMPUTED_VALUE"""),44655.0)</f>
        <v>44655</v>
      </c>
      <c r="C934" s="5"/>
      <c r="D934" s="5"/>
      <c r="E934" s="5"/>
      <c r="F934" s="22">
        <f>IFERROR(__xludf.DUMMYFUNCTION("""COMPUTED_VALUE"""),-172344.17796499998)</f>
        <v>-172344.178</v>
      </c>
      <c r="G934" s="22">
        <f>IFERROR(__xludf.DUMMYFUNCTION("""COMPUTED_VALUE"""),172344.17796499998)</f>
        <v>172344.178</v>
      </c>
      <c r="H934" s="22">
        <f>IFERROR(__xludf.DUMMYFUNCTION("""COMPUTED_VALUE"""),494843.3043450001)</f>
        <v>494843.3043</v>
      </c>
      <c r="I934" s="24">
        <f>IFERROR(__xludf.DUMMYFUNCTION("""COMPUTED_VALUE"""),-0.010313391309999753)</f>
        <v>-0.01031339131</v>
      </c>
    </row>
    <row r="935">
      <c r="A935" s="5" t="str">
        <f>IFERROR(__xludf.DUMMYFUNCTION("""COMPUTED_VALUE"""),"36221")</f>
        <v>36221</v>
      </c>
      <c r="B935" s="64">
        <f>IFERROR(__xludf.DUMMYFUNCTION("""COMPUTED_VALUE"""),44656.0)</f>
        <v>44656</v>
      </c>
      <c r="C935" s="5"/>
      <c r="D935" s="5"/>
      <c r="E935" s="5"/>
      <c r="F935" s="22">
        <f>IFERROR(__xludf.DUMMYFUNCTION("""COMPUTED_VALUE"""),-172344.17796499998)</f>
        <v>-172344.178</v>
      </c>
      <c r="G935" s="22">
        <f>IFERROR(__xludf.DUMMYFUNCTION("""COMPUTED_VALUE"""),172344.17796499998)</f>
        <v>172344.178</v>
      </c>
      <c r="H935" s="22">
        <f>IFERROR(__xludf.DUMMYFUNCTION("""COMPUTED_VALUE"""),470854.13772)</f>
        <v>470854.1377</v>
      </c>
      <c r="I935" s="24">
        <f>IFERROR(__xludf.DUMMYFUNCTION("""COMPUTED_VALUE"""),-0.05829172455999998)</f>
        <v>-0.05829172456</v>
      </c>
    </row>
    <row r="936">
      <c r="A936" s="5" t="str">
        <f>IFERROR(__xludf.DUMMYFUNCTION("""COMPUTED_VALUE"""),"36221")</f>
        <v>36221</v>
      </c>
      <c r="B936" s="64">
        <f>IFERROR(__xludf.DUMMYFUNCTION("""COMPUTED_VALUE"""),44657.0)</f>
        <v>44657</v>
      </c>
      <c r="C936" s="5"/>
      <c r="D936" s="5"/>
      <c r="E936" s="5"/>
      <c r="F936" s="22">
        <f>IFERROR(__xludf.DUMMYFUNCTION("""COMPUTED_VALUE"""),-172344.17796499998)</f>
        <v>-172344.178</v>
      </c>
      <c r="G936" s="22">
        <f>IFERROR(__xludf.DUMMYFUNCTION("""COMPUTED_VALUE"""),172344.17796499998)</f>
        <v>172344.178</v>
      </c>
      <c r="H936" s="22">
        <f>IFERROR(__xludf.DUMMYFUNCTION("""COMPUTED_VALUE"""),453145.06187000003)</f>
        <v>453145.0619</v>
      </c>
      <c r="I936" s="24">
        <f>IFERROR(__xludf.DUMMYFUNCTION("""COMPUTED_VALUE"""),-0.09370987625999994)</f>
        <v>-0.09370987626</v>
      </c>
    </row>
    <row r="937">
      <c r="A937" s="5" t="str">
        <f>IFERROR(__xludf.DUMMYFUNCTION("""COMPUTED_VALUE"""),"36221")</f>
        <v>36221</v>
      </c>
      <c r="B937" s="64">
        <f>IFERROR(__xludf.DUMMYFUNCTION("""COMPUTED_VALUE"""),44658.0)</f>
        <v>44658</v>
      </c>
      <c r="C937" s="5"/>
      <c r="D937" s="5"/>
      <c r="E937" s="5"/>
      <c r="F937" s="22">
        <f>IFERROR(__xludf.DUMMYFUNCTION("""COMPUTED_VALUE"""),-172344.17796499998)</f>
        <v>-172344.178</v>
      </c>
      <c r="G937" s="22">
        <f>IFERROR(__xludf.DUMMYFUNCTION("""COMPUTED_VALUE"""),172344.17796499998)</f>
        <v>172344.178</v>
      </c>
      <c r="H937" s="22">
        <f>IFERROR(__xludf.DUMMYFUNCTION("""COMPUTED_VALUE"""),448128.7906050001)</f>
        <v>448128.7906</v>
      </c>
      <c r="I937" s="24">
        <f>IFERROR(__xludf.DUMMYFUNCTION("""COMPUTED_VALUE"""),-0.10374241878999979)</f>
        <v>-0.1037424188</v>
      </c>
    </row>
    <row r="938">
      <c r="A938" s="5" t="str">
        <f>IFERROR(__xludf.DUMMYFUNCTION("""COMPUTED_VALUE"""),"36221")</f>
        <v>36221</v>
      </c>
      <c r="B938" s="64">
        <f>IFERROR(__xludf.DUMMYFUNCTION("""COMPUTED_VALUE"""),44659.0)</f>
        <v>44659</v>
      </c>
      <c r="C938" s="5"/>
      <c r="D938" s="5"/>
      <c r="E938" s="5"/>
      <c r="F938" s="22">
        <f>IFERROR(__xludf.DUMMYFUNCTION("""COMPUTED_VALUE"""),-172344.17796499998)</f>
        <v>-172344.178</v>
      </c>
      <c r="G938" s="22">
        <f>IFERROR(__xludf.DUMMYFUNCTION("""COMPUTED_VALUE"""),172344.17796499998)</f>
        <v>172344.178</v>
      </c>
      <c r="H938" s="22">
        <f>IFERROR(__xludf.DUMMYFUNCTION("""COMPUTED_VALUE"""),439633.11501)</f>
        <v>439633.115</v>
      </c>
      <c r="I938" s="24">
        <f>IFERROR(__xludf.DUMMYFUNCTION("""COMPUTED_VALUE"""),-0.12073376997999996)</f>
        <v>-0.12073377</v>
      </c>
    </row>
    <row r="939">
      <c r="A939" s="5" t="str">
        <f>IFERROR(__xludf.DUMMYFUNCTION("""COMPUTED_VALUE"""),"36221")</f>
        <v>36221</v>
      </c>
      <c r="B939" s="64">
        <f>IFERROR(__xludf.DUMMYFUNCTION("""COMPUTED_VALUE"""),44660.0)</f>
        <v>44660</v>
      </c>
      <c r="C939" s="5"/>
      <c r="D939" s="5"/>
      <c r="E939" s="5"/>
      <c r="F939" s="22">
        <f>IFERROR(__xludf.DUMMYFUNCTION("""COMPUTED_VALUE"""),-172344.17796499998)</f>
        <v>-172344.178</v>
      </c>
      <c r="G939" s="22">
        <f>IFERROR(__xludf.DUMMYFUNCTION("""COMPUTED_VALUE"""),172344.17796499998)</f>
        <v>172344.178</v>
      </c>
      <c r="H939" s="22">
        <f>IFERROR(__xludf.DUMMYFUNCTION("""COMPUTED_VALUE"""),439633.11501)</f>
        <v>439633.115</v>
      </c>
      <c r="I939" s="24">
        <f>IFERROR(__xludf.DUMMYFUNCTION("""COMPUTED_VALUE"""),-0.12073376997999996)</f>
        <v>-0.12073377</v>
      </c>
    </row>
    <row r="940">
      <c r="A940" s="5" t="str">
        <f>IFERROR(__xludf.DUMMYFUNCTION("""COMPUTED_VALUE"""),"36221")</f>
        <v>36221</v>
      </c>
      <c r="B940" s="64">
        <f>IFERROR(__xludf.DUMMYFUNCTION("""COMPUTED_VALUE"""),44661.0)</f>
        <v>44661</v>
      </c>
      <c r="C940" s="5"/>
      <c r="D940" s="5"/>
      <c r="E940" s="5"/>
      <c r="F940" s="22">
        <f>IFERROR(__xludf.DUMMYFUNCTION("""COMPUTED_VALUE"""),-172344.17796499998)</f>
        <v>-172344.178</v>
      </c>
      <c r="G940" s="22">
        <f>IFERROR(__xludf.DUMMYFUNCTION("""COMPUTED_VALUE"""),172344.17796499998)</f>
        <v>172344.178</v>
      </c>
      <c r="H940" s="22">
        <f>IFERROR(__xludf.DUMMYFUNCTION("""COMPUTED_VALUE"""),439633.11501)</f>
        <v>439633.115</v>
      </c>
      <c r="I940" s="24">
        <f>IFERROR(__xludf.DUMMYFUNCTION("""COMPUTED_VALUE"""),-0.12073376997999996)</f>
        <v>-0.12073377</v>
      </c>
    </row>
    <row r="941">
      <c r="A941" s="5" t="str">
        <f>IFERROR(__xludf.DUMMYFUNCTION("""COMPUTED_VALUE"""),"36221")</f>
        <v>36221</v>
      </c>
      <c r="B941" s="64">
        <f>IFERROR(__xludf.DUMMYFUNCTION("""COMPUTED_VALUE"""),44662.0)</f>
        <v>44662</v>
      </c>
      <c r="C941" s="5"/>
      <c r="D941" s="5"/>
      <c r="E941" s="5"/>
      <c r="F941" s="22">
        <f>IFERROR(__xludf.DUMMYFUNCTION("""COMPUTED_VALUE"""),-172344.17796499998)</f>
        <v>-172344.178</v>
      </c>
      <c r="G941" s="22">
        <f>IFERROR(__xludf.DUMMYFUNCTION("""COMPUTED_VALUE"""),172344.17796499998)</f>
        <v>172344.178</v>
      </c>
      <c r="H941" s="22">
        <f>IFERROR(__xludf.DUMMYFUNCTION("""COMPUTED_VALUE"""),412328.37251)</f>
        <v>412328.3725</v>
      </c>
      <c r="I941" s="24">
        <f>IFERROR(__xludf.DUMMYFUNCTION("""COMPUTED_VALUE"""),-0.17534325497999992)</f>
        <v>-0.175343255</v>
      </c>
    </row>
    <row r="942">
      <c r="A942" s="5" t="str">
        <f>IFERROR(__xludf.DUMMYFUNCTION("""COMPUTED_VALUE"""),"36221")</f>
        <v>36221</v>
      </c>
      <c r="B942" s="64">
        <f>IFERROR(__xludf.DUMMYFUNCTION("""COMPUTED_VALUE"""),44663.0)</f>
        <v>44663</v>
      </c>
      <c r="C942" s="5"/>
      <c r="D942" s="5"/>
      <c r="E942" s="5"/>
      <c r="F942" s="22">
        <f>IFERROR(__xludf.DUMMYFUNCTION("""COMPUTED_VALUE"""),-172344.17796499998)</f>
        <v>-172344.178</v>
      </c>
      <c r="G942" s="22">
        <f>IFERROR(__xludf.DUMMYFUNCTION("""COMPUTED_VALUE"""),172344.17796499998)</f>
        <v>172344.178</v>
      </c>
      <c r="H942" s="22">
        <f>IFERROR(__xludf.DUMMYFUNCTION("""COMPUTED_VALUE"""),402958.945155)</f>
        <v>402958.9452</v>
      </c>
      <c r="I942" s="24">
        <f>IFERROR(__xludf.DUMMYFUNCTION("""COMPUTED_VALUE"""),-0.19408210968999995)</f>
        <v>-0.1940821097</v>
      </c>
    </row>
    <row r="943">
      <c r="A943" s="5" t="str">
        <f>IFERROR(__xludf.DUMMYFUNCTION("""COMPUTED_VALUE"""),"36242")</f>
        <v>36242</v>
      </c>
      <c r="B943" s="64">
        <f>IFERROR(__xludf.DUMMYFUNCTION("""COMPUTED_VALUE"""),44597.0)</f>
        <v>44597</v>
      </c>
      <c r="C943" s="5"/>
      <c r="D943" s="5"/>
      <c r="E943" s="5"/>
      <c r="F943" s="22">
        <f>IFERROR(__xludf.DUMMYFUNCTION("""COMPUTED_VALUE"""),500000.0)</f>
        <v>500000</v>
      </c>
      <c r="G943" s="22">
        <f>IFERROR(__xludf.DUMMYFUNCTION("""COMPUTED_VALUE"""),0.0)</f>
        <v>0</v>
      </c>
      <c r="H943" s="22">
        <f>IFERROR(__xludf.DUMMYFUNCTION("""COMPUTED_VALUE"""),500000.0)</f>
        <v>500000</v>
      </c>
      <c r="I943" s="24">
        <f>IFERROR(__xludf.DUMMYFUNCTION("""COMPUTED_VALUE"""),0.0)</f>
        <v>0</v>
      </c>
    </row>
    <row r="944">
      <c r="A944" s="5" t="str">
        <f>IFERROR(__xludf.DUMMYFUNCTION("""COMPUTED_VALUE"""),"36242")</f>
        <v>36242</v>
      </c>
      <c r="B944" s="64">
        <f>IFERROR(__xludf.DUMMYFUNCTION("""COMPUTED_VALUE"""),44598.0)</f>
        <v>44598</v>
      </c>
      <c r="C944" s="5"/>
      <c r="D944" s="5"/>
      <c r="E944" s="5"/>
      <c r="F944" s="22">
        <f>IFERROR(__xludf.DUMMYFUNCTION("""COMPUTED_VALUE"""),500000.0)</f>
        <v>500000</v>
      </c>
      <c r="G944" s="22">
        <f>IFERROR(__xludf.DUMMYFUNCTION("""COMPUTED_VALUE"""),0.0)</f>
        <v>0</v>
      </c>
      <c r="H944" s="22">
        <f>IFERROR(__xludf.DUMMYFUNCTION("""COMPUTED_VALUE"""),500000.0)</f>
        <v>500000</v>
      </c>
      <c r="I944" s="24">
        <f>IFERROR(__xludf.DUMMYFUNCTION("""COMPUTED_VALUE"""),0.0)</f>
        <v>0</v>
      </c>
    </row>
    <row r="945">
      <c r="A945" s="5" t="str">
        <f>IFERROR(__xludf.DUMMYFUNCTION("""COMPUTED_VALUE"""),"36242")</f>
        <v>36242</v>
      </c>
      <c r="B945" s="64">
        <f>IFERROR(__xludf.DUMMYFUNCTION("""COMPUTED_VALUE"""),44599.0)</f>
        <v>44599</v>
      </c>
      <c r="C945" s="5"/>
      <c r="D945" s="5"/>
      <c r="E945" s="5"/>
      <c r="F945" s="22">
        <f>IFERROR(__xludf.DUMMYFUNCTION("""COMPUTED_VALUE"""),500000.0)</f>
        <v>500000</v>
      </c>
      <c r="G945" s="22">
        <f>IFERROR(__xludf.DUMMYFUNCTION("""COMPUTED_VALUE"""),0.0)</f>
        <v>0</v>
      </c>
      <c r="H945" s="22">
        <f>IFERROR(__xludf.DUMMYFUNCTION("""COMPUTED_VALUE"""),500000.0)</f>
        <v>500000</v>
      </c>
      <c r="I945" s="24">
        <f>IFERROR(__xludf.DUMMYFUNCTION("""COMPUTED_VALUE"""),0.0)</f>
        <v>0</v>
      </c>
    </row>
    <row r="946">
      <c r="A946" s="5" t="str">
        <f>IFERROR(__xludf.DUMMYFUNCTION("""COMPUTED_VALUE"""),"36242")</f>
        <v>36242</v>
      </c>
      <c r="B946" s="64">
        <f>IFERROR(__xludf.DUMMYFUNCTION("""COMPUTED_VALUE"""),44600.0)</f>
        <v>44600</v>
      </c>
      <c r="C946" s="5"/>
      <c r="D946" s="5"/>
      <c r="E946" s="5"/>
      <c r="F946" s="22">
        <f>IFERROR(__xludf.DUMMYFUNCTION("""COMPUTED_VALUE"""),500000.0)</f>
        <v>500000</v>
      </c>
      <c r="G946" s="22">
        <f>IFERROR(__xludf.DUMMYFUNCTION("""COMPUTED_VALUE"""),0.0)</f>
        <v>0</v>
      </c>
      <c r="H946" s="22">
        <f>IFERROR(__xludf.DUMMYFUNCTION("""COMPUTED_VALUE"""),500000.0)</f>
        <v>500000</v>
      </c>
      <c r="I946" s="24">
        <f>IFERROR(__xludf.DUMMYFUNCTION("""COMPUTED_VALUE"""),0.0)</f>
        <v>0</v>
      </c>
    </row>
    <row r="947">
      <c r="A947" s="5" t="str">
        <f>IFERROR(__xludf.DUMMYFUNCTION("""COMPUTED_VALUE"""),"36242")</f>
        <v>36242</v>
      </c>
      <c r="B947" s="64">
        <f>IFERROR(__xludf.DUMMYFUNCTION("""COMPUTED_VALUE"""),44601.0)</f>
        <v>44601</v>
      </c>
      <c r="C947" s="5"/>
      <c r="D947" s="5"/>
      <c r="E947" s="5"/>
      <c r="F947" s="22">
        <f>IFERROR(__xludf.DUMMYFUNCTION("""COMPUTED_VALUE"""),500000.0)</f>
        <v>500000</v>
      </c>
      <c r="G947" s="22">
        <f>IFERROR(__xludf.DUMMYFUNCTION("""COMPUTED_VALUE"""),0.0)</f>
        <v>0</v>
      </c>
      <c r="H947" s="22">
        <f>IFERROR(__xludf.DUMMYFUNCTION("""COMPUTED_VALUE"""),500000.0)</f>
        <v>500000</v>
      </c>
      <c r="I947" s="24">
        <f>IFERROR(__xludf.DUMMYFUNCTION("""COMPUTED_VALUE"""),0.0)</f>
        <v>0</v>
      </c>
    </row>
    <row r="948">
      <c r="A948" s="5" t="str">
        <f>IFERROR(__xludf.DUMMYFUNCTION("""COMPUTED_VALUE"""),"36242")</f>
        <v>36242</v>
      </c>
      <c r="B948" s="64">
        <f>IFERROR(__xludf.DUMMYFUNCTION("""COMPUTED_VALUE"""),44602.0)</f>
        <v>44602</v>
      </c>
      <c r="C948" s="5"/>
      <c r="D948" s="5"/>
      <c r="E948" s="5"/>
      <c r="F948" s="22">
        <f>IFERROR(__xludf.DUMMYFUNCTION("""COMPUTED_VALUE"""),500000.0)</f>
        <v>500000</v>
      </c>
      <c r="G948" s="22">
        <f>IFERROR(__xludf.DUMMYFUNCTION("""COMPUTED_VALUE"""),0.0)</f>
        <v>0</v>
      </c>
      <c r="H948" s="22">
        <f>IFERROR(__xludf.DUMMYFUNCTION("""COMPUTED_VALUE"""),500000.0)</f>
        <v>500000</v>
      </c>
      <c r="I948" s="24">
        <f>IFERROR(__xludf.DUMMYFUNCTION("""COMPUTED_VALUE"""),0.0)</f>
        <v>0</v>
      </c>
    </row>
    <row r="949">
      <c r="A949" s="5" t="str">
        <f>IFERROR(__xludf.DUMMYFUNCTION("""COMPUTED_VALUE"""),"36242")</f>
        <v>36242</v>
      </c>
      <c r="B949" s="64">
        <f>IFERROR(__xludf.DUMMYFUNCTION("""COMPUTED_VALUE"""),44603.0)</f>
        <v>44603</v>
      </c>
      <c r="C949" s="5"/>
      <c r="D949" s="5"/>
      <c r="E949" s="5"/>
      <c r="F949" s="22">
        <f>IFERROR(__xludf.DUMMYFUNCTION("""COMPUTED_VALUE"""),500000.0)</f>
        <v>500000</v>
      </c>
      <c r="G949" s="22">
        <f>IFERROR(__xludf.DUMMYFUNCTION("""COMPUTED_VALUE"""),0.0)</f>
        <v>0</v>
      </c>
      <c r="H949" s="22">
        <f>IFERROR(__xludf.DUMMYFUNCTION("""COMPUTED_VALUE"""),500000.0)</f>
        <v>500000</v>
      </c>
      <c r="I949" s="24">
        <f>IFERROR(__xludf.DUMMYFUNCTION("""COMPUTED_VALUE"""),0.0)</f>
        <v>0</v>
      </c>
    </row>
    <row r="950">
      <c r="A950" s="5" t="str">
        <f>IFERROR(__xludf.DUMMYFUNCTION("""COMPUTED_VALUE"""),"36242")</f>
        <v>36242</v>
      </c>
      <c r="B950" s="64">
        <f>IFERROR(__xludf.DUMMYFUNCTION("""COMPUTED_VALUE"""),44604.0)</f>
        <v>44604</v>
      </c>
      <c r="C950" s="5"/>
      <c r="D950" s="5"/>
      <c r="E950" s="5"/>
      <c r="F950" s="22">
        <f>IFERROR(__xludf.DUMMYFUNCTION("""COMPUTED_VALUE"""),500000.0)</f>
        <v>500000</v>
      </c>
      <c r="G950" s="22">
        <f>IFERROR(__xludf.DUMMYFUNCTION("""COMPUTED_VALUE"""),0.0)</f>
        <v>0</v>
      </c>
      <c r="H950" s="22">
        <f>IFERROR(__xludf.DUMMYFUNCTION("""COMPUTED_VALUE"""),500000.0)</f>
        <v>500000</v>
      </c>
      <c r="I950" s="24">
        <f>IFERROR(__xludf.DUMMYFUNCTION("""COMPUTED_VALUE"""),0.0)</f>
        <v>0</v>
      </c>
    </row>
    <row r="951">
      <c r="A951" s="5" t="str">
        <f>IFERROR(__xludf.DUMMYFUNCTION("""COMPUTED_VALUE"""),"36242")</f>
        <v>36242</v>
      </c>
      <c r="B951" s="64">
        <f>IFERROR(__xludf.DUMMYFUNCTION("""COMPUTED_VALUE"""),44605.0)</f>
        <v>44605</v>
      </c>
      <c r="C951" s="5"/>
      <c r="D951" s="5"/>
      <c r="E951" s="5"/>
      <c r="F951" s="22">
        <f>IFERROR(__xludf.DUMMYFUNCTION("""COMPUTED_VALUE"""),500000.0)</f>
        <v>500000</v>
      </c>
      <c r="G951" s="22">
        <f>IFERROR(__xludf.DUMMYFUNCTION("""COMPUTED_VALUE"""),0.0)</f>
        <v>0</v>
      </c>
      <c r="H951" s="22">
        <f>IFERROR(__xludf.DUMMYFUNCTION("""COMPUTED_VALUE"""),500000.0)</f>
        <v>500000</v>
      </c>
      <c r="I951" s="24">
        <f>IFERROR(__xludf.DUMMYFUNCTION("""COMPUTED_VALUE"""),0.0)</f>
        <v>0</v>
      </c>
    </row>
    <row r="952">
      <c r="A952" s="5" t="str">
        <f>IFERROR(__xludf.DUMMYFUNCTION("""COMPUTED_VALUE"""),"36242")</f>
        <v>36242</v>
      </c>
      <c r="B952" s="64">
        <f>IFERROR(__xludf.DUMMYFUNCTION("""COMPUTED_VALUE"""),44606.0)</f>
        <v>44606</v>
      </c>
      <c r="C952" s="5"/>
      <c r="D952" s="5"/>
      <c r="E952" s="5"/>
      <c r="F952" s="22">
        <f>IFERROR(__xludf.DUMMYFUNCTION("""COMPUTED_VALUE"""),500000.0)</f>
        <v>500000</v>
      </c>
      <c r="G952" s="22">
        <f>IFERROR(__xludf.DUMMYFUNCTION("""COMPUTED_VALUE"""),0.0)</f>
        <v>0</v>
      </c>
      <c r="H952" s="22">
        <f>IFERROR(__xludf.DUMMYFUNCTION("""COMPUTED_VALUE"""),500000.0)</f>
        <v>500000</v>
      </c>
      <c r="I952" s="24">
        <f>IFERROR(__xludf.DUMMYFUNCTION("""COMPUTED_VALUE"""),0.0)</f>
        <v>0</v>
      </c>
    </row>
    <row r="953">
      <c r="A953" s="5" t="str">
        <f>IFERROR(__xludf.DUMMYFUNCTION("""COMPUTED_VALUE"""),"36242")</f>
        <v>36242</v>
      </c>
      <c r="B953" s="64">
        <f>IFERROR(__xludf.DUMMYFUNCTION("""COMPUTED_VALUE"""),44607.0)</f>
        <v>44607</v>
      </c>
      <c r="C953" s="5"/>
      <c r="D953" s="5"/>
      <c r="E953" s="5"/>
      <c r="F953" s="22">
        <f>IFERROR(__xludf.DUMMYFUNCTION("""COMPUTED_VALUE"""),500000.0)</f>
        <v>500000</v>
      </c>
      <c r="G953" s="22">
        <f>IFERROR(__xludf.DUMMYFUNCTION("""COMPUTED_VALUE"""),0.0)</f>
        <v>0</v>
      </c>
      <c r="H953" s="22">
        <f>IFERROR(__xludf.DUMMYFUNCTION("""COMPUTED_VALUE"""),500000.0)</f>
        <v>500000</v>
      </c>
      <c r="I953" s="24">
        <f>IFERROR(__xludf.DUMMYFUNCTION("""COMPUTED_VALUE"""),0.0)</f>
        <v>0</v>
      </c>
    </row>
    <row r="954">
      <c r="A954" s="5" t="str">
        <f>IFERROR(__xludf.DUMMYFUNCTION("""COMPUTED_VALUE"""),"36242")</f>
        <v>36242</v>
      </c>
      <c r="B954" s="64">
        <f>IFERROR(__xludf.DUMMYFUNCTION("""COMPUTED_VALUE"""),44608.0)</f>
        <v>44608</v>
      </c>
      <c r="C954" s="5"/>
      <c r="D954" s="5"/>
      <c r="E954" s="5"/>
      <c r="F954" s="22">
        <f>IFERROR(__xludf.DUMMYFUNCTION("""COMPUTED_VALUE"""),500000.0)</f>
        <v>500000</v>
      </c>
      <c r="G954" s="22">
        <f>IFERROR(__xludf.DUMMYFUNCTION("""COMPUTED_VALUE"""),0.0)</f>
        <v>0</v>
      </c>
      <c r="H954" s="22">
        <f>IFERROR(__xludf.DUMMYFUNCTION("""COMPUTED_VALUE"""),500000.0)</f>
        <v>500000</v>
      </c>
      <c r="I954" s="24">
        <f>IFERROR(__xludf.DUMMYFUNCTION("""COMPUTED_VALUE"""),0.0)</f>
        <v>0</v>
      </c>
    </row>
    <row r="955">
      <c r="A955" s="5" t="str">
        <f>IFERROR(__xludf.DUMMYFUNCTION("""COMPUTED_VALUE"""),"36242")</f>
        <v>36242</v>
      </c>
      <c r="B955" s="64">
        <f>IFERROR(__xludf.DUMMYFUNCTION("""COMPUTED_VALUE"""),44609.0)</f>
        <v>44609</v>
      </c>
      <c r="C955" s="5"/>
      <c r="D955" s="5"/>
      <c r="E955" s="5"/>
      <c r="F955" s="22">
        <f>IFERROR(__xludf.DUMMYFUNCTION("""COMPUTED_VALUE"""),500000.0)</f>
        <v>500000</v>
      </c>
      <c r="G955" s="22">
        <f>IFERROR(__xludf.DUMMYFUNCTION("""COMPUTED_VALUE"""),0.0)</f>
        <v>0</v>
      </c>
      <c r="H955" s="22">
        <f>IFERROR(__xludf.DUMMYFUNCTION("""COMPUTED_VALUE"""),500000.0)</f>
        <v>500000</v>
      </c>
      <c r="I955" s="24">
        <f>IFERROR(__xludf.DUMMYFUNCTION("""COMPUTED_VALUE"""),0.0)</f>
        <v>0</v>
      </c>
    </row>
    <row r="956">
      <c r="A956" s="5" t="str">
        <f>IFERROR(__xludf.DUMMYFUNCTION("""COMPUTED_VALUE"""),"36242")</f>
        <v>36242</v>
      </c>
      <c r="B956" s="64">
        <f>IFERROR(__xludf.DUMMYFUNCTION("""COMPUTED_VALUE"""),44610.0)</f>
        <v>44610</v>
      </c>
      <c r="C956" s="5"/>
      <c r="D956" s="5"/>
      <c r="E956" s="5"/>
      <c r="F956" s="22">
        <f>IFERROR(__xludf.DUMMYFUNCTION("""COMPUTED_VALUE"""),500000.0)</f>
        <v>500000</v>
      </c>
      <c r="G956" s="22">
        <f>IFERROR(__xludf.DUMMYFUNCTION("""COMPUTED_VALUE"""),0.0)</f>
        <v>0</v>
      </c>
      <c r="H956" s="22">
        <f>IFERROR(__xludf.DUMMYFUNCTION("""COMPUTED_VALUE"""),500000.0)</f>
        <v>500000</v>
      </c>
      <c r="I956" s="24">
        <f>IFERROR(__xludf.DUMMYFUNCTION("""COMPUTED_VALUE"""),0.0)</f>
        <v>0</v>
      </c>
    </row>
    <row r="957">
      <c r="A957" s="5" t="str">
        <f>IFERROR(__xludf.DUMMYFUNCTION("""COMPUTED_VALUE"""),"36242")</f>
        <v>36242</v>
      </c>
      <c r="B957" s="64">
        <f>IFERROR(__xludf.DUMMYFUNCTION("""COMPUTED_VALUE"""),44611.0)</f>
        <v>44611</v>
      </c>
      <c r="C957" s="5"/>
      <c r="D957" s="5"/>
      <c r="E957" s="5"/>
      <c r="F957" s="22">
        <f>IFERROR(__xludf.DUMMYFUNCTION("""COMPUTED_VALUE"""),500000.0)</f>
        <v>500000</v>
      </c>
      <c r="G957" s="22">
        <f>IFERROR(__xludf.DUMMYFUNCTION("""COMPUTED_VALUE"""),0.0)</f>
        <v>0</v>
      </c>
      <c r="H957" s="22">
        <f>IFERROR(__xludf.DUMMYFUNCTION("""COMPUTED_VALUE"""),500000.0)</f>
        <v>500000</v>
      </c>
      <c r="I957" s="24">
        <f>IFERROR(__xludf.DUMMYFUNCTION("""COMPUTED_VALUE"""),0.0)</f>
        <v>0</v>
      </c>
    </row>
    <row r="958">
      <c r="A958" s="5" t="str">
        <f>IFERROR(__xludf.DUMMYFUNCTION("""COMPUTED_VALUE"""),"36242")</f>
        <v>36242</v>
      </c>
      <c r="B958" s="64">
        <f>IFERROR(__xludf.DUMMYFUNCTION("""COMPUTED_VALUE"""),44612.0)</f>
        <v>44612</v>
      </c>
      <c r="C958" s="5"/>
      <c r="D958" s="5"/>
      <c r="E958" s="5"/>
      <c r="F958" s="22">
        <f>IFERROR(__xludf.DUMMYFUNCTION("""COMPUTED_VALUE"""),500000.0)</f>
        <v>500000</v>
      </c>
      <c r="G958" s="22">
        <f>IFERROR(__xludf.DUMMYFUNCTION("""COMPUTED_VALUE"""),0.0)</f>
        <v>0</v>
      </c>
      <c r="H958" s="22">
        <f>IFERROR(__xludf.DUMMYFUNCTION("""COMPUTED_VALUE"""),500000.0)</f>
        <v>500000</v>
      </c>
      <c r="I958" s="24">
        <f>IFERROR(__xludf.DUMMYFUNCTION("""COMPUTED_VALUE"""),0.0)</f>
        <v>0</v>
      </c>
    </row>
    <row r="959">
      <c r="A959" s="5" t="str">
        <f>IFERROR(__xludf.DUMMYFUNCTION("""COMPUTED_VALUE"""),"36242")</f>
        <v>36242</v>
      </c>
      <c r="B959" s="64">
        <f>IFERROR(__xludf.DUMMYFUNCTION("""COMPUTED_VALUE"""),44613.0)</f>
        <v>44613</v>
      </c>
      <c r="C959" s="5"/>
      <c r="D959" s="5"/>
      <c r="E959" s="5"/>
      <c r="F959" s="22">
        <f>IFERROR(__xludf.DUMMYFUNCTION("""COMPUTED_VALUE"""),500000.0)</f>
        <v>500000</v>
      </c>
      <c r="G959" s="22">
        <f>IFERROR(__xludf.DUMMYFUNCTION("""COMPUTED_VALUE"""),0.0)</f>
        <v>0</v>
      </c>
      <c r="H959" s="22">
        <f>IFERROR(__xludf.DUMMYFUNCTION("""COMPUTED_VALUE"""),500000.0)</f>
        <v>500000</v>
      </c>
      <c r="I959" s="24">
        <f>IFERROR(__xludf.DUMMYFUNCTION("""COMPUTED_VALUE"""),0.0)</f>
        <v>0</v>
      </c>
    </row>
    <row r="960">
      <c r="A960" s="5" t="str">
        <f>IFERROR(__xludf.DUMMYFUNCTION("""COMPUTED_VALUE"""),"36242")</f>
        <v>36242</v>
      </c>
      <c r="B960" s="64">
        <f>IFERROR(__xludf.DUMMYFUNCTION("""COMPUTED_VALUE"""),44614.0)</f>
        <v>44614</v>
      </c>
      <c r="C960" s="5"/>
      <c r="D960" s="5"/>
      <c r="E960" s="5"/>
      <c r="F960" s="22">
        <f>IFERROR(__xludf.DUMMYFUNCTION("""COMPUTED_VALUE"""),500000.0)</f>
        <v>500000</v>
      </c>
      <c r="G960" s="22">
        <f>IFERROR(__xludf.DUMMYFUNCTION("""COMPUTED_VALUE"""),0.0)</f>
        <v>0</v>
      </c>
      <c r="H960" s="22">
        <f>IFERROR(__xludf.DUMMYFUNCTION("""COMPUTED_VALUE"""),500000.0)</f>
        <v>500000</v>
      </c>
      <c r="I960" s="24">
        <f>IFERROR(__xludf.DUMMYFUNCTION("""COMPUTED_VALUE"""),0.0)</f>
        <v>0</v>
      </c>
    </row>
    <row r="961">
      <c r="A961" s="5" t="str">
        <f>IFERROR(__xludf.DUMMYFUNCTION("""COMPUTED_VALUE"""),"36242")</f>
        <v>36242</v>
      </c>
      <c r="B961" s="64">
        <f>IFERROR(__xludf.DUMMYFUNCTION("""COMPUTED_VALUE"""),44615.0)</f>
        <v>44615</v>
      </c>
      <c r="C961" s="5"/>
      <c r="D961" s="5"/>
      <c r="E961" s="5"/>
      <c r="F961" s="22">
        <f>IFERROR(__xludf.DUMMYFUNCTION("""COMPUTED_VALUE"""),500000.0)</f>
        <v>500000</v>
      </c>
      <c r="G961" s="22">
        <f>IFERROR(__xludf.DUMMYFUNCTION("""COMPUTED_VALUE"""),0.0)</f>
        <v>0</v>
      </c>
      <c r="H961" s="22">
        <f>IFERROR(__xludf.DUMMYFUNCTION("""COMPUTED_VALUE"""),500000.0)</f>
        <v>500000</v>
      </c>
      <c r="I961" s="24">
        <f>IFERROR(__xludf.DUMMYFUNCTION("""COMPUTED_VALUE"""),0.0)</f>
        <v>0</v>
      </c>
    </row>
    <row r="962">
      <c r="A962" s="5" t="str">
        <f>IFERROR(__xludf.DUMMYFUNCTION("""COMPUTED_VALUE"""),"36242")</f>
        <v>36242</v>
      </c>
      <c r="B962" s="64">
        <f>IFERROR(__xludf.DUMMYFUNCTION("""COMPUTED_VALUE"""),44616.0)</f>
        <v>44616</v>
      </c>
      <c r="C962" s="5"/>
      <c r="D962" s="5"/>
      <c r="E962" s="5"/>
      <c r="F962" s="22">
        <f>IFERROR(__xludf.DUMMYFUNCTION("""COMPUTED_VALUE"""),500000.0)</f>
        <v>500000</v>
      </c>
      <c r="G962" s="22">
        <f>IFERROR(__xludf.DUMMYFUNCTION("""COMPUTED_VALUE"""),0.0)</f>
        <v>0</v>
      </c>
      <c r="H962" s="22">
        <f>IFERROR(__xludf.DUMMYFUNCTION("""COMPUTED_VALUE"""),500000.0)</f>
        <v>500000</v>
      </c>
      <c r="I962" s="24">
        <f>IFERROR(__xludf.DUMMYFUNCTION("""COMPUTED_VALUE"""),0.0)</f>
        <v>0</v>
      </c>
    </row>
    <row r="963">
      <c r="A963" s="5" t="str">
        <f>IFERROR(__xludf.DUMMYFUNCTION("""COMPUTED_VALUE"""),"36242")</f>
        <v>36242</v>
      </c>
      <c r="B963" s="64">
        <f>IFERROR(__xludf.DUMMYFUNCTION("""COMPUTED_VALUE"""),44617.0)</f>
        <v>44617</v>
      </c>
      <c r="C963" s="5"/>
      <c r="D963" s="5"/>
      <c r="E963" s="5"/>
      <c r="F963" s="22">
        <f>IFERROR(__xludf.DUMMYFUNCTION("""COMPUTED_VALUE"""),500000.0)</f>
        <v>500000</v>
      </c>
      <c r="G963" s="22">
        <f>IFERROR(__xludf.DUMMYFUNCTION("""COMPUTED_VALUE"""),0.0)</f>
        <v>0</v>
      </c>
      <c r="H963" s="22">
        <f>IFERROR(__xludf.DUMMYFUNCTION("""COMPUTED_VALUE"""),500000.0)</f>
        <v>500000</v>
      </c>
      <c r="I963" s="24">
        <f>IFERROR(__xludf.DUMMYFUNCTION("""COMPUTED_VALUE"""),0.0)</f>
        <v>0</v>
      </c>
    </row>
    <row r="964">
      <c r="A964" s="5" t="str">
        <f>IFERROR(__xludf.DUMMYFUNCTION("""COMPUTED_VALUE"""),"36242")</f>
        <v>36242</v>
      </c>
      <c r="B964" s="64">
        <f>IFERROR(__xludf.DUMMYFUNCTION("""COMPUTED_VALUE"""),44618.0)</f>
        <v>44618</v>
      </c>
      <c r="C964" s="5"/>
      <c r="D964" s="5"/>
      <c r="E964" s="5"/>
      <c r="F964" s="22">
        <f>IFERROR(__xludf.DUMMYFUNCTION("""COMPUTED_VALUE"""),500000.0)</f>
        <v>500000</v>
      </c>
      <c r="G964" s="22">
        <f>IFERROR(__xludf.DUMMYFUNCTION("""COMPUTED_VALUE"""),0.0)</f>
        <v>0</v>
      </c>
      <c r="H964" s="22">
        <f>IFERROR(__xludf.DUMMYFUNCTION("""COMPUTED_VALUE"""),500000.0)</f>
        <v>500000</v>
      </c>
      <c r="I964" s="24">
        <f>IFERROR(__xludf.DUMMYFUNCTION("""COMPUTED_VALUE"""),0.0)</f>
        <v>0</v>
      </c>
    </row>
    <row r="965">
      <c r="A965" s="5" t="str">
        <f>IFERROR(__xludf.DUMMYFUNCTION("""COMPUTED_VALUE"""),"36242")</f>
        <v>36242</v>
      </c>
      <c r="B965" s="64">
        <f>IFERROR(__xludf.DUMMYFUNCTION("""COMPUTED_VALUE"""),44619.0)</f>
        <v>44619</v>
      </c>
      <c r="C965" s="5"/>
      <c r="D965" s="5"/>
      <c r="E965" s="5"/>
      <c r="F965" s="22">
        <f>IFERROR(__xludf.DUMMYFUNCTION("""COMPUTED_VALUE"""),500000.0)</f>
        <v>500000</v>
      </c>
      <c r="G965" s="22">
        <f>IFERROR(__xludf.DUMMYFUNCTION("""COMPUTED_VALUE"""),0.0)</f>
        <v>0</v>
      </c>
      <c r="H965" s="22">
        <f>IFERROR(__xludf.DUMMYFUNCTION("""COMPUTED_VALUE"""),500000.0)</f>
        <v>500000</v>
      </c>
      <c r="I965" s="24">
        <f>IFERROR(__xludf.DUMMYFUNCTION("""COMPUTED_VALUE"""),0.0)</f>
        <v>0</v>
      </c>
    </row>
    <row r="966">
      <c r="A966" s="5" t="str">
        <f>IFERROR(__xludf.DUMMYFUNCTION("""COMPUTED_VALUE"""),"36242")</f>
        <v>36242</v>
      </c>
      <c r="B966" s="64">
        <f>IFERROR(__xludf.DUMMYFUNCTION("""COMPUTED_VALUE"""),44620.0)</f>
        <v>44620</v>
      </c>
      <c r="C966" s="5"/>
      <c r="D966" s="5"/>
      <c r="E966" s="5"/>
      <c r="F966" s="22">
        <f>IFERROR(__xludf.DUMMYFUNCTION("""COMPUTED_VALUE"""),500000.0)</f>
        <v>500000</v>
      </c>
      <c r="G966" s="22">
        <f>IFERROR(__xludf.DUMMYFUNCTION("""COMPUTED_VALUE"""),0.0)</f>
        <v>0</v>
      </c>
      <c r="H966" s="22">
        <f>IFERROR(__xludf.DUMMYFUNCTION("""COMPUTED_VALUE"""),500000.0)</f>
        <v>500000</v>
      </c>
      <c r="I966" s="24">
        <f>IFERROR(__xludf.DUMMYFUNCTION("""COMPUTED_VALUE"""),0.0)</f>
        <v>0</v>
      </c>
    </row>
    <row r="967">
      <c r="A967" s="5" t="str">
        <f>IFERROR(__xludf.DUMMYFUNCTION("""COMPUTED_VALUE"""),"36242")</f>
        <v>36242</v>
      </c>
      <c r="B967" s="64">
        <f>IFERROR(__xludf.DUMMYFUNCTION("""COMPUTED_VALUE"""),44621.0)</f>
        <v>44621</v>
      </c>
      <c r="C967" s="5"/>
      <c r="D967" s="5"/>
      <c r="E967" s="5"/>
      <c r="F967" s="22">
        <f>IFERROR(__xludf.DUMMYFUNCTION("""COMPUTED_VALUE"""),500000.0)</f>
        <v>500000</v>
      </c>
      <c r="G967" s="22">
        <f>IFERROR(__xludf.DUMMYFUNCTION("""COMPUTED_VALUE"""),0.0)</f>
        <v>0</v>
      </c>
      <c r="H967" s="22">
        <f>IFERROR(__xludf.DUMMYFUNCTION("""COMPUTED_VALUE"""),500000.0)</f>
        <v>500000</v>
      </c>
      <c r="I967" s="24">
        <f>IFERROR(__xludf.DUMMYFUNCTION("""COMPUTED_VALUE"""),0.0)</f>
        <v>0</v>
      </c>
    </row>
    <row r="968">
      <c r="A968" s="5" t="str">
        <f>IFERROR(__xludf.DUMMYFUNCTION("""COMPUTED_VALUE"""),"36242")</f>
        <v>36242</v>
      </c>
      <c r="B968" s="64">
        <f>IFERROR(__xludf.DUMMYFUNCTION("""COMPUTED_VALUE"""),44622.0)</f>
        <v>44622</v>
      </c>
      <c r="C968" s="5"/>
      <c r="D968" s="5"/>
      <c r="E968" s="5"/>
      <c r="F968" s="22">
        <f>IFERROR(__xludf.DUMMYFUNCTION("""COMPUTED_VALUE"""),500000.0)</f>
        <v>500000</v>
      </c>
      <c r="G968" s="22">
        <f>IFERROR(__xludf.DUMMYFUNCTION("""COMPUTED_VALUE"""),0.0)</f>
        <v>0</v>
      </c>
      <c r="H968" s="22">
        <f>IFERROR(__xludf.DUMMYFUNCTION("""COMPUTED_VALUE"""),500000.0)</f>
        <v>500000</v>
      </c>
      <c r="I968" s="24">
        <f>IFERROR(__xludf.DUMMYFUNCTION("""COMPUTED_VALUE"""),0.0)</f>
        <v>0</v>
      </c>
    </row>
    <row r="969">
      <c r="A969" s="5" t="str">
        <f>IFERROR(__xludf.DUMMYFUNCTION("""COMPUTED_VALUE"""),"36242")</f>
        <v>36242</v>
      </c>
      <c r="B969" s="64">
        <f>IFERROR(__xludf.DUMMYFUNCTION("""COMPUTED_VALUE"""),44623.0)</f>
        <v>44623</v>
      </c>
      <c r="C969" s="5"/>
      <c r="D969" s="5"/>
      <c r="E969" s="5"/>
      <c r="F969" s="22">
        <f>IFERROR(__xludf.DUMMYFUNCTION("""COMPUTED_VALUE"""),500000.0)</f>
        <v>500000</v>
      </c>
      <c r="G969" s="22">
        <f>IFERROR(__xludf.DUMMYFUNCTION("""COMPUTED_VALUE"""),0.0)</f>
        <v>0</v>
      </c>
      <c r="H969" s="22">
        <f>IFERROR(__xludf.DUMMYFUNCTION("""COMPUTED_VALUE"""),500000.0)</f>
        <v>500000</v>
      </c>
      <c r="I969" s="24">
        <f>IFERROR(__xludf.DUMMYFUNCTION("""COMPUTED_VALUE"""),0.0)</f>
        <v>0</v>
      </c>
    </row>
    <row r="970">
      <c r="A970" s="5" t="str">
        <f>IFERROR(__xludf.DUMMYFUNCTION("""COMPUTED_VALUE"""),"36242")</f>
        <v>36242</v>
      </c>
      <c r="B970" s="64">
        <f>IFERROR(__xludf.DUMMYFUNCTION("""COMPUTED_VALUE"""),44624.0)</f>
        <v>44624</v>
      </c>
      <c r="C970" s="5"/>
      <c r="D970" s="5"/>
      <c r="E970" s="5"/>
      <c r="F970" s="22">
        <f>IFERROR(__xludf.DUMMYFUNCTION("""COMPUTED_VALUE"""),500000.0)</f>
        <v>500000</v>
      </c>
      <c r="G970" s="22">
        <f>IFERROR(__xludf.DUMMYFUNCTION("""COMPUTED_VALUE"""),0.0)</f>
        <v>0</v>
      </c>
      <c r="H970" s="22">
        <f>IFERROR(__xludf.DUMMYFUNCTION("""COMPUTED_VALUE"""),500000.0)</f>
        <v>500000</v>
      </c>
      <c r="I970" s="24">
        <f>IFERROR(__xludf.DUMMYFUNCTION("""COMPUTED_VALUE"""),0.0)</f>
        <v>0</v>
      </c>
    </row>
    <row r="971">
      <c r="A971" s="5" t="str">
        <f>IFERROR(__xludf.DUMMYFUNCTION("""COMPUTED_VALUE"""),"36242")</f>
        <v>36242</v>
      </c>
      <c r="B971" s="64">
        <f>IFERROR(__xludf.DUMMYFUNCTION("""COMPUTED_VALUE"""),44625.0)</f>
        <v>44625</v>
      </c>
      <c r="C971" s="5"/>
      <c r="D971" s="5"/>
      <c r="E971" s="5"/>
      <c r="F971" s="22">
        <f>IFERROR(__xludf.DUMMYFUNCTION("""COMPUTED_VALUE"""),500000.0)</f>
        <v>500000</v>
      </c>
      <c r="G971" s="22">
        <f>IFERROR(__xludf.DUMMYFUNCTION("""COMPUTED_VALUE"""),0.0)</f>
        <v>0</v>
      </c>
      <c r="H971" s="22">
        <f>IFERROR(__xludf.DUMMYFUNCTION("""COMPUTED_VALUE"""),500000.0)</f>
        <v>500000</v>
      </c>
      <c r="I971" s="24">
        <f>IFERROR(__xludf.DUMMYFUNCTION("""COMPUTED_VALUE"""),0.0)</f>
        <v>0</v>
      </c>
    </row>
    <row r="972">
      <c r="A972" s="5" t="str">
        <f>IFERROR(__xludf.DUMMYFUNCTION("""COMPUTED_VALUE"""),"36242")</f>
        <v>36242</v>
      </c>
      <c r="B972" s="64">
        <f>IFERROR(__xludf.DUMMYFUNCTION("""COMPUTED_VALUE"""),44626.0)</f>
        <v>44626</v>
      </c>
      <c r="C972" s="5"/>
      <c r="D972" s="5"/>
      <c r="E972" s="5"/>
      <c r="F972" s="22">
        <f>IFERROR(__xludf.DUMMYFUNCTION("""COMPUTED_VALUE"""),500000.0)</f>
        <v>500000</v>
      </c>
      <c r="G972" s="22">
        <f>IFERROR(__xludf.DUMMYFUNCTION("""COMPUTED_VALUE"""),0.0)</f>
        <v>0</v>
      </c>
      <c r="H972" s="22">
        <f>IFERROR(__xludf.DUMMYFUNCTION("""COMPUTED_VALUE"""),500000.0)</f>
        <v>500000</v>
      </c>
      <c r="I972" s="24">
        <f>IFERROR(__xludf.DUMMYFUNCTION("""COMPUTED_VALUE"""),0.0)</f>
        <v>0</v>
      </c>
    </row>
    <row r="973">
      <c r="A973" s="5" t="str">
        <f>IFERROR(__xludf.DUMMYFUNCTION("""COMPUTED_VALUE"""),"36242")</f>
        <v>36242</v>
      </c>
      <c r="B973" s="64">
        <f>IFERROR(__xludf.DUMMYFUNCTION("""COMPUTED_VALUE"""),44627.0)</f>
        <v>44627</v>
      </c>
      <c r="C973" s="5"/>
      <c r="D973" s="5"/>
      <c r="E973" s="5"/>
      <c r="F973" s="22">
        <f>IFERROR(__xludf.DUMMYFUNCTION("""COMPUTED_VALUE"""),500000.0)</f>
        <v>500000</v>
      </c>
      <c r="G973" s="22">
        <f>IFERROR(__xludf.DUMMYFUNCTION("""COMPUTED_VALUE"""),0.0)</f>
        <v>0</v>
      </c>
      <c r="H973" s="22">
        <f>IFERROR(__xludf.DUMMYFUNCTION("""COMPUTED_VALUE"""),500000.0)</f>
        <v>500000</v>
      </c>
      <c r="I973" s="24">
        <f>IFERROR(__xludf.DUMMYFUNCTION("""COMPUTED_VALUE"""),0.0)</f>
        <v>0</v>
      </c>
    </row>
    <row r="974">
      <c r="A974" s="5" t="str">
        <f>IFERROR(__xludf.DUMMYFUNCTION("""COMPUTED_VALUE"""),"36242")</f>
        <v>36242</v>
      </c>
      <c r="B974" s="64">
        <f>IFERROR(__xludf.DUMMYFUNCTION("""COMPUTED_VALUE"""),44628.0)</f>
        <v>44628</v>
      </c>
      <c r="C974" s="5"/>
      <c r="D974" s="5"/>
      <c r="E974" s="5"/>
      <c r="F974" s="22">
        <f>IFERROR(__xludf.DUMMYFUNCTION("""COMPUTED_VALUE"""),500000.0)</f>
        <v>500000</v>
      </c>
      <c r="G974" s="22">
        <f>IFERROR(__xludf.DUMMYFUNCTION("""COMPUTED_VALUE"""),0.0)</f>
        <v>0</v>
      </c>
      <c r="H974" s="22">
        <f>IFERROR(__xludf.DUMMYFUNCTION("""COMPUTED_VALUE"""),500000.0)</f>
        <v>500000</v>
      </c>
      <c r="I974" s="24">
        <f>IFERROR(__xludf.DUMMYFUNCTION("""COMPUTED_VALUE"""),0.0)</f>
        <v>0</v>
      </c>
    </row>
    <row r="975">
      <c r="A975" s="5" t="str">
        <f>IFERROR(__xludf.DUMMYFUNCTION("""COMPUTED_VALUE"""),"36242")</f>
        <v>36242</v>
      </c>
      <c r="B975" s="64">
        <f>IFERROR(__xludf.DUMMYFUNCTION("""COMPUTED_VALUE"""),44629.0)</f>
        <v>44629</v>
      </c>
      <c r="C975" s="5"/>
      <c r="D975" s="5"/>
      <c r="E975" s="5"/>
      <c r="F975" s="22">
        <f>IFERROR(__xludf.DUMMYFUNCTION("""COMPUTED_VALUE"""),500000.0)</f>
        <v>500000</v>
      </c>
      <c r="G975" s="22">
        <f>IFERROR(__xludf.DUMMYFUNCTION("""COMPUTED_VALUE"""),0.0)</f>
        <v>0</v>
      </c>
      <c r="H975" s="22">
        <f>IFERROR(__xludf.DUMMYFUNCTION("""COMPUTED_VALUE"""),500000.0)</f>
        <v>500000</v>
      </c>
      <c r="I975" s="24">
        <f>IFERROR(__xludf.DUMMYFUNCTION("""COMPUTED_VALUE"""),0.0)</f>
        <v>0</v>
      </c>
    </row>
    <row r="976">
      <c r="A976" s="5" t="str">
        <f>IFERROR(__xludf.DUMMYFUNCTION("""COMPUTED_VALUE"""),"36242")</f>
        <v>36242</v>
      </c>
      <c r="B976" s="64">
        <f>IFERROR(__xludf.DUMMYFUNCTION("""COMPUTED_VALUE"""),44630.0)</f>
        <v>44630</v>
      </c>
      <c r="C976" s="5"/>
      <c r="D976" s="5"/>
      <c r="E976" s="5"/>
      <c r="F976" s="22">
        <f>IFERROR(__xludf.DUMMYFUNCTION("""COMPUTED_VALUE"""),500000.0)</f>
        <v>500000</v>
      </c>
      <c r="G976" s="22">
        <f>IFERROR(__xludf.DUMMYFUNCTION("""COMPUTED_VALUE"""),0.0)</f>
        <v>0</v>
      </c>
      <c r="H976" s="22">
        <f>IFERROR(__xludf.DUMMYFUNCTION("""COMPUTED_VALUE"""),500000.0)</f>
        <v>500000</v>
      </c>
      <c r="I976" s="24">
        <f>IFERROR(__xludf.DUMMYFUNCTION("""COMPUTED_VALUE"""),0.0)</f>
        <v>0</v>
      </c>
    </row>
    <row r="977">
      <c r="A977" s="5" t="str">
        <f>IFERROR(__xludf.DUMMYFUNCTION("""COMPUTED_VALUE"""),"36242")</f>
        <v>36242</v>
      </c>
      <c r="B977" s="64">
        <f>IFERROR(__xludf.DUMMYFUNCTION("""COMPUTED_VALUE"""),44631.0)</f>
        <v>44631</v>
      </c>
      <c r="C977" s="5"/>
      <c r="D977" s="5"/>
      <c r="E977" s="5"/>
      <c r="F977" s="22">
        <f>IFERROR(__xludf.DUMMYFUNCTION("""COMPUTED_VALUE"""),500000.0)</f>
        <v>500000</v>
      </c>
      <c r="G977" s="22">
        <f>IFERROR(__xludf.DUMMYFUNCTION("""COMPUTED_VALUE"""),0.0)</f>
        <v>0</v>
      </c>
      <c r="H977" s="22">
        <f>IFERROR(__xludf.DUMMYFUNCTION("""COMPUTED_VALUE"""),500000.0)</f>
        <v>500000</v>
      </c>
      <c r="I977" s="24">
        <f>IFERROR(__xludf.DUMMYFUNCTION("""COMPUTED_VALUE"""),0.0)</f>
        <v>0</v>
      </c>
    </row>
    <row r="978">
      <c r="A978" s="5" t="str">
        <f>IFERROR(__xludf.DUMMYFUNCTION("""COMPUTED_VALUE"""),"36242")</f>
        <v>36242</v>
      </c>
      <c r="B978" s="64">
        <f>IFERROR(__xludf.DUMMYFUNCTION("""COMPUTED_VALUE"""),44632.0)</f>
        <v>44632</v>
      </c>
      <c r="C978" s="5"/>
      <c r="D978" s="5"/>
      <c r="E978" s="5"/>
      <c r="F978" s="22">
        <f>IFERROR(__xludf.DUMMYFUNCTION("""COMPUTED_VALUE"""),500000.0)</f>
        <v>500000</v>
      </c>
      <c r="G978" s="22">
        <f>IFERROR(__xludf.DUMMYFUNCTION("""COMPUTED_VALUE"""),0.0)</f>
        <v>0</v>
      </c>
      <c r="H978" s="22">
        <f>IFERROR(__xludf.DUMMYFUNCTION("""COMPUTED_VALUE"""),500000.0)</f>
        <v>500000</v>
      </c>
      <c r="I978" s="24">
        <f>IFERROR(__xludf.DUMMYFUNCTION("""COMPUTED_VALUE"""),0.0)</f>
        <v>0</v>
      </c>
    </row>
    <row r="979">
      <c r="A979" s="5" t="str">
        <f>IFERROR(__xludf.DUMMYFUNCTION("""COMPUTED_VALUE"""),"36242")</f>
        <v>36242</v>
      </c>
      <c r="B979" s="64">
        <f>IFERROR(__xludf.DUMMYFUNCTION("""COMPUTED_VALUE"""),44633.0)</f>
        <v>44633</v>
      </c>
      <c r="C979" s="5"/>
      <c r="D979" s="5"/>
      <c r="E979" s="5"/>
      <c r="F979" s="22">
        <f>IFERROR(__xludf.DUMMYFUNCTION("""COMPUTED_VALUE"""),500000.0)</f>
        <v>500000</v>
      </c>
      <c r="G979" s="22">
        <f>IFERROR(__xludf.DUMMYFUNCTION("""COMPUTED_VALUE"""),0.0)</f>
        <v>0</v>
      </c>
      <c r="H979" s="22">
        <f>IFERROR(__xludf.DUMMYFUNCTION("""COMPUTED_VALUE"""),500000.0)</f>
        <v>500000</v>
      </c>
      <c r="I979" s="24">
        <f>IFERROR(__xludf.DUMMYFUNCTION("""COMPUTED_VALUE"""),0.0)</f>
        <v>0</v>
      </c>
    </row>
    <row r="980">
      <c r="A980" s="5" t="str">
        <f>IFERROR(__xludf.DUMMYFUNCTION("""COMPUTED_VALUE"""),"36242")</f>
        <v>36242</v>
      </c>
      <c r="B980" s="64">
        <f>IFERROR(__xludf.DUMMYFUNCTION("""COMPUTED_VALUE"""),44634.0)</f>
        <v>44634</v>
      </c>
      <c r="C980" s="5"/>
      <c r="D980" s="5"/>
      <c r="E980" s="5"/>
      <c r="F980" s="22">
        <f>IFERROR(__xludf.DUMMYFUNCTION("""COMPUTED_VALUE"""),500000.0)</f>
        <v>500000</v>
      </c>
      <c r="G980" s="22">
        <f>IFERROR(__xludf.DUMMYFUNCTION("""COMPUTED_VALUE"""),0.0)</f>
        <v>0</v>
      </c>
      <c r="H980" s="22">
        <f>IFERROR(__xludf.DUMMYFUNCTION("""COMPUTED_VALUE"""),500000.0)</f>
        <v>500000</v>
      </c>
      <c r="I980" s="24">
        <f>IFERROR(__xludf.DUMMYFUNCTION("""COMPUTED_VALUE"""),0.0)</f>
        <v>0</v>
      </c>
    </row>
    <row r="981">
      <c r="A981" s="5" t="str">
        <f>IFERROR(__xludf.DUMMYFUNCTION("""COMPUTED_VALUE"""),"36242")</f>
        <v>36242</v>
      </c>
      <c r="B981" s="64">
        <f>IFERROR(__xludf.DUMMYFUNCTION("""COMPUTED_VALUE"""),44635.0)</f>
        <v>44635</v>
      </c>
      <c r="C981" s="5"/>
      <c r="D981" s="5"/>
      <c r="E981" s="5"/>
      <c r="F981" s="22">
        <f>IFERROR(__xludf.DUMMYFUNCTION("""COMPUTED_VALUE"""),500000.0)</f>
        <v>500000</v>
      </c>
      <c r="G981" s="22">
        <f>IFERROR(__xludf.DUMMYFUNCTION("""COMPUTED_VALUE"""),0.0)</f>
        <v>0</v>
      </c>
      <c r="H981" s="22">
        <f>IFERROR(__xludf.DUMMYFUNCTION("""COMPUTED_VALUE"""),500000.0)</f>
        <v>500000</v>
      </c>
      <c r="I981" s="24">
        <f>IFERROR(__xludf.DUMMYFUNCTION("""COMPUTED_VALUE"""),0.0)</f>
        <v>0</v>
      </c>
    </row>
    <row r="982">
      <c r="A982" s="5" t="str">
        <f>IFERROR(__xludf.DUMMYFUNCTION("""COMPUTED_VALUE"""),"36242")</f>
        <v>36242</v>
      </c>
      <c r="B982" s="64">
        <f>IFERROR(__xludf.DUMMYFUNCTION("""COMPUTED_VALUE"""),44636.0)</f>
        <v>44636</v>
      </c>
      <c r="C982" s="5"/>
      <c r="D982" s="5"/>
      <c r="E982" s="5"/>
      <c r="F982" s="22">
        <f>IFERROR(__xludf.DUMMYFUNCTION("""COMPUTED_VALUE"""),500000.0)</f>
        <v>500000</v>
      </c>
      <c r="G982" s="22">
        <f>IFERROR(__xludf.DUMMYFUNCTION("""COMPUTED_VALUE"""),0.0)</f>
        <v>0</v>
      </c>
      <c r="H982" s="22">
        <f>IFERROR(__xludf.DUMMYFUNCTION("""COMPUTED_VALUE"""),500000.0)</f>
        <v>500000</v>
      </c>
      <c r="I982" s="24">
        <f>IFERROR(__xludf.DUMMYFUNCTION("""COMPUTED_VALUE"""),0.0)</f>
        <v>0</v>
      </c>
    </row>
    <row r="983">
      <c r="A983" s="5" t="str">
        <f>IFERROR(__xludf.DUMMYFUNCTION("""COMPUTED_VALUE"""),"36242")</f>
        <v>36242</v>
      </c>
      <c r="B983" s="64">
        <f>IFERROR(__xludf.DUMMYFUNCTION("""COMPUTED_VALUE"""),44637.0)</f>
        <v>44637</v>
      </c>
      <c r="C983" s="5"/>
      <c r="D983" s="5"/>
      <c r="E983" s="5"/>
      <c r="F983" s="22">
        <f>IFERROR(__xludf.DUMMYFUNCTION("""COMPUTED_VALUE"""),500000.0)</f>
        <v>500000</v>
      </c>
      <c r="G983" s="22">
        <f>IFERROR(__xludf.DUMMYFUNCTION("""COMPUTED_VALUE"""),0.0)</f>
        <v>0</v>
      </c>
      <c r="H983" s="22">
        <f>IFERROR(__xludf.DUMMYFUNCTION("""COMPUTED_VALUE"""),500000.0)</f>
        <v>500000</v>
      </c>
      <c r="I983" s="24">
        <f>IFERROR(__xludf.DUMMYFUNCTION("""COMPUTED_VALUE"""),0.0)</f>
        <v>0</v>
      </c>
    </row>
    <row r="984">
      <c r="A984" s="5" t="str">
        <f>IFERROR(__xludf.DUMMYFUNCTION("""COMPUTED_VALUE"""),"36242")</f>
        <v>36242</v>
      </c>
      <c r="B984" s="64">
        <f>IFERROR(__xludf.DUMMYFUNCTION("""COMPUTED_VALUE"""),44638.0)</f>
        <v>44638</v>
      </c>
      <c r="C984" s="5"/>
      <c r="D984" s="5"/>
      <c r="E984" s="5"/>
      <c r="F984" s="22">
        <f>IFERROR(__xludf.DUMMYFUNCTION("""COMPUTED_VALUE"""),500000.0)</f>
        <v>500000</v>
      </c>
      <c r="G984" s="22">
        <f>IFERROR(__xludf.DUMMYFUNCTION("""COMPUTED_VALUE"""),0.0)</f>
        <v>0</v>
      </c>
      <c r="H984" s="22">
        <f>IFERROR(__xludf.DUMMYFUNCTION("""COMPUTED_VALUE"""),500000.0)</f>
        <v>500000</v>
      </c>
      <c r="I984" s="24">
        <f>IFERROR(__xludf.DUMMYFUNCTION("""COMPUTED_VALUE"""),0.0)</f>
        <v>0</v>
      </c>
    </row>
    <row r="985">
      <c r="A985" s="5" t="str">
        <f>IFERROR(__xludf.DUMMYFUNCTION("""COMPUTED_VALUE"""),"36242")</f>
        <v>36242</v>
      </c>
      <c r="B985" s="64">
        <f>IFERROR(__xludf.DUMMYFUNCTION("""COMPUTED_VALUE"""),44639.0)</f>
        <v>44639</v>
      </c>
      <c r="C985" s="5"/>
      <c r="D985" s="5"/>
      <c r="E985" s="5"/>
      <c r="F985" s="22">
        <f>IFERROR(__xludf.DUMMYFUNCTION("""COMPUTED_VALUE"""),500000.0)</f>
        <v>500000</v>
      </c>
      <c r="G985" s="22">
        <f>IFERROR(__xludf.DUMMYFUNCTION("""COMPUTED_VALUE"""),0.0)</f>
        <v>0</v>
      </c>
      <c r="H985" s="22">
        <f>IFERROR(__xludf.DUMMYFUNCTION("""COMPUTED_VALUE"""),500000.0)</f>
        <v>500000</v>
      </c>
      <c r="I985" s="24">
        <f>IFERROR(__xludf.DUMMYFUNCTION("""COMPUTED_VALUE"""),0.0)</f>
        <v>0</v>
      </c>
    </row>
    <row r="986">
      <c r="A986" s="5" t="str">
        <f>IFERROR(__xludf.DUMMYFUNCTION("""COMPUTED_VALUE"""),"36242")</f>
        <v>36242</v>
      </c>
      <c r="B986" s="64">
        <f>IFERROR(__xludf.DUMMYFUNCTION("""COMPUTED_VALUE"""),44640.0)</f>
        <v>44640</v>
      </c>
      <c r="C986" s="5"/>
      <c r="D986" s="5"/>
      <c r="E986" s="5"/>
      <c r="F986" s="22">
        <f>IFERROR(__xludf.DUMMYFUNCTION("""COMPUTED_VALUE"""),500000.0)</f>
        <v>500000</v>
      </c>
      <c r="G986" s="22">
        <f>IFERROR(__xludf.DUMMYFUNCTION("""COMPUTED_VALUE"""),0.0)</f>
        <v>0</v>
      </c>
      <c r="H986" s="22">
        <f>IFERROR(__xludf.DUMMYFUNCTION("""COMPUTED_VALUE"""),500000.0)</f>
        <v>500000</v>
      </c>
      <c r="I986" s="24">
        <f>IFERROR(__xludf.DUMMYFUNCTION("""COMPUTED_VALUE"""),0.0)</f>
        <v>0</v>
      </c>
    </row>
    <row r="987">
      <c r="A987" s="5" t="str">
        <f>IFERROR(__xludf.DUMMYFUNCTION("""COMPUTED_VALUE"""),"36242")</f>
        <v>36242</v>
      </c>
      <c r="B987" s="64">
        <f>IFERROR(__xludf.DUMMYFUNCTION("""COMPUTED_VALUE"""),44641.0)</f>
        <v>44641</v>
      </c>
      <c r="C987" s="5"/>
      <c r="D987" s="5"/>
      <c r="E987" s="5"/>
      <c r="F987" s="22">
        <f>IFERROR(__xludf.DUMMYFUNCTION("""COMPUTED_VALUE"""),500000.0)</f>
        <v>500000</v>
      </c>
      <c r="G987" s="22">
        <f>IFERROR(__xludf.DUMMYFUNCTION("""COMPUTED_VALUE"""),0.0)</f>
        <v>0</v>
      </c>
      <c r="H987" s="22">
        <f>IFERROR(__xludf.DUMMYFUNCTION("""COMPUTED_VALUE"""),500000.0)</f>
        <v>500000</v>
      </c>
      <c r="I987" s="24">
        <f>IFERROR(__xludf.DUMMYFUNCTION("""COMPUTED_VALUE"""),0.0)</f>
        <v>0</v>
      </c>
    </row>
    <row r="988">
      <c r="A988" s="5" t="str">
        <f>IFERROR(__xludf.DUMMYFUNCTION("""COMPUTED_VALUE"""),"36242")</f>
        <v>36242</v>
      </c>
      <c r="B988" s="64">
        <f>IFERROR(__xludf.DUMMYFUNCTION("""COMPUTED_VALUE"""),44642.0)</f>
        <v>44642</v>
      </c>
      <c r="C988" s="5"/>
      <c r="D988" s="5"/>
      <c r="E988" s="5"/>
      <c r="F988" s="22">
        <f>IFERROR(__xludf.DUMMYFUNCTION("""COMPUTED_VALUE"""),500000.0)</f>
        <v>500000</v>
      </c>
      <c r="G988" s="22">
        <f>IFERROR(__xludf.DUMMYFUNCTION("""COMPUTED_VALUE"""),0.0)</f>
        <v>0</v>
      </c>
      <c r="H988" s="22">
        <f>IFERROR(__xludf.DUMMYFUNCTION("""COMPUTED_VALUE"""),500000.0)</f>
        <v>500000</v>
      </c>
      <c r="I988" s="24">
        <f>IFERROR(__xludf.DUMMYFUNCTION("""COMPUTED_VALUE"""),0.0)</f>
        <v>0</v>
      </c>
    </row>
    <row r="989">
      <c r="A989" s="5" t="str">
        <f>IFERROR(__xludf.DUMMYFUNCTION("""COMPUTED_VALUE"""),"36242")</f>
        <v>36242</v>
      </c>
      <c r="B989" s="64">
        <f>IFERROR(__xludf.DUMMYFUNCTION("""COMPUTED_VALUE"""),44643.0)</f>
        <v>44643</v>
      </c>
      <c r="C989" s="5"/>
      <c r="D989" s="5"/>
      <c r="E989" s="5"/>
      <c r="F989" s="22">
        <f>IFERROR(__xludf.DUMMYFUNCTION("""COMPUTED_VALUE"""),500000.0)</f>
        <v>500000</v>
      </c>
      <c r="G989" s="22">
        <f>IFERROR(__xludf.DUMMYFUNCTION("""COMPUTED_VALUE"""),0.0)</f>
        <v>0</v>
      </c>
      <c r="H989" s="22">
        <f>IFERROR(__xludf.DUMMYFUNCTION("""COMPUTED_VALUE"""),500000.0)</f>
        <v>500000</v>
      </c>
      <c r="I989" s="24">
        <f>IFERROR(__xludf.DUMMYFUNCTION("""COMPUTED_VALUE"""),0.0)</f>
        <v>0</v>
      </c>
    </row>
    <row r="990">
      <c r="A990" s="5" t="str">
        <f>IFERROR(__xludf.DUMMYFUNCTION("""COMPUTED_VALUE"""),"36242")</f>
        <v>36242</v>
      </c>
      <c r="B990" s="64">
        <f>IFERROR(__xludf.DUMMYFUNCTION("""COMPUTED_VALUE"""),44644.0)</f>
        <v>44644</v>
      </c>
      <c r="C990" s="5"/>
      <c r="D990" s="5"/>
      <c r="E990" s="5"/>
      <c r="F990" s="22">
        <f>IFERROR(__xludf.DUMMYFUNCTION("""COMPUTED_VALUE"""),500000.0)</f>
        <v>500000</v>
      </c>
      <c r="G990" s="22">
        <f>IFERROR(__xludf.DUMMYFUNCTION("""COMPUTED_VALUE"""),0.0)</f>
        <v>0</v>
      </c>
      <c r="H990" s="22">
        <f>IFERROR(__xludf.DUMMYFUNCTION("""COMPUTED_VALUE"""),500000.0)</f>
        <v>500000</v>
      </c>
      <c r="I990" s="24">
        <f>IFERROR(__xludf.DUMMYFUNCTION("""COMPUTED_VALUE"""),0.0)</f>
        <v>0</v>
      </c>
    </row>
    <row r="991">
      <c r="A991" s="5" t="str">
        <f>IFERROR(__xludf.DUMMYFUNCTION("""COMPUTED_VALUE"""),"36242")</f>
        <v>36242</v>
      </c>
      <c r="B991" s="64">
        <f>IFERROR(__xludf.DUMMYFUNCTION("""COMPUTED_VALUE"""),44645.0)</f>
        <v>44645</v>
      </c>
      <c r="C991" s="5"/>
      <c r="D991" s="5"/>
      <c r="E991" s="5"/>
      <c r="F991" s="22">
        <f>IFERROR(__xludf.DUMMYFUNCTION("""COMPUTED_VALUE"""),500000.0)</f>
        <v>500000</v>
      </c>
      <c r="G991" s="22">
        <f>IFERROR(__xludf.DUMMYFUNCTION("""COMPUTED_VALUE"""),0.0)</f>
        <v>0</v>
      </c>
      <c r="H991" s="22">
        <f>IFERROR(__xludf.DUMMYFUNCTION("""COMPUTED_VALUE"""),500000.0)</f>
        <v>500000</v>
      </c>
      <c r="I991" s="24">
        <f>IFERROR(__xludf.DUMMYFUNCTION("""COMPUTED_VALUE"""),0.0)</f>
        <v>0</v>
      </c>
    </row>
    <row r="992">
      <c r="A992" s="5" t="str">
        <f>IFERROR(__xludf.DUMMYFUNCTION("""COMPUTED_VALUE"""),"36242")</f>
        <v>36242</v>
      </c>
      <c r="B992" s="64">
        <f>IFERROR(__xludf.DUMMYFUNCTION("""COMPUTED_VALUE"""),44646.0)</f>
        <v>44646</v>
      </c>
      <c r="C992" s="5"/>
      <c r="D992" s="5"/>
      <c r="E992" s="5"/>
      <c r="F992" s="22">
        <f>IFERROR(__xludf.DUMMYFUNCTION("""COMPUTED_VALUE"""),500000.0)</f>
        <v>500000</v>
      </c>
      <c r="G992" s="22">
        <f>IFERROR(__xludf.DUMMYFUNCTION("""COMPUTED_VALUE"""),0.0)</f>
        <v>0</v>
      </c>
      <c r="H992" s="22">
        <f>IFERROR(__xludf.DUMMYFUNCTION("""COMPUTED_VALUE"""),500000.0)</f>
        <v>500000</v>
      </c>
      <c r="I992" s="24">
        <f>IFERROR(__xludf.DUMMYFUNCTION("""COMPUTED_VALUE"""),0.0)</f>
        <v>0</v>
      </c>
    </row>
    <row r="993">
      <c r="A993" s="5" t="str">
        <f>IFERROR(__xludf.DUMMYFUNCTION("""COMPUTED_VALUE"""),"36242")</f>
        <v>36242</v>
      </c>
      <c r="B993" s="64">
        <f>IFERROR(__xludf.DUMMYFUNCTION("""COMPUTED_VALUE"""),44647.0)</f>
        <v>44647</v>
      </c>
      <c r="C993" s="5"/>
      <c r="D993" s="5"/>
      <c r="E993" s="5"/>
      <c r="F993" s="22">
        <f>IFERROR(__xludf.DUMMYFUNCTION("""COMPUTED_VALUE"""),500000.0)</f>
        <v>500000</v>
      </c>
      <c r="G993" s="22">
        <f>IFERROR(__xludf.DUMMYFUNCTION("""COMPUTED_VALUE"""),0.0)</f>
        <v>0</v>
      </c>
      <c r="H993" s="22">
        <f>IFERROR(__xludf.DUMMYFUNCTION("""COMPUTED_VALUE"""),500000.0)</f>
        <v>500000</v>
      </c>
      <c r="I993" s="24">
        <f>IFERROR(__xludf.DUMMYFUNCTION("""COMPUTED_VALUE"""),0.0)</f>
        <v>0</v>
      </c>
    </row>
    <row r="994">
      <c r="A994" s="5" t="str">
        <f>IFERROR(__xludf.DUMMYFUNCTION("""COMPUTED_VALUE"""),"36242")</f>
        <v>36242</v>
      </c>
      <c r="B994" s="64">
        <f>IFERROR(__xludf.DUMMYFUNCTION("""COMPUTED_VALUE"""),44648.0)</f>
        <v>44648</v>
      </c>
      <c r="C994" s="5"/>
      <c r="D994" s="5"/>
      <c r="E994" s="5"/>
      <c r="F994" s="22">
        <f>IFERROR(__xludf.DUMMYFUNCTION("""COMPUTED_VALUE"""),500000.0)</f>
        <v>500000</v>
      </c>
      <c r="G994" s="22">
        <f>IFERROR(__xludf.DUMMYFUNCTION("""COMPUTED_VALUE"""),0.0)</f>
        <v>0</v>
      </c>
      <c r="H994" s="22">
        <f>IFERROR(__xludf.DUMMYFUNCTION("""COMPUTED_VALUE"""),500000.0)</f>
        <v>500000</v>
      </c>
      <c r="I994" s="24">
        <f>IFERROR(__xludf.DUMMYFUNCTION("""COMPUTED_VALUE"""),0.0)</f>
        <v>0</v>
      </c>
    </row>
    <row r="995">
      <c r="A995" s="5" t="str">
        <f>IFERROR(__xludf.DUMMYFUNCTION("""COMPUTED_VALUE"""),"36242")</f>
        <v>36242</v>
      </c>
      <c r="B995" s="64">
        <f>IFERROR(__xludf.DUMMYFUNCTION("""COMPUTED_VALUE"""),44649.0)</f>
        <v>44649</v>
      </c>
      <c r="C995" s="5"/>
      <c r="D995" s="5"/>
      <c r="E995" s="5"/>
      <c r="F995" s="22">
        <f>IFERROR(__xludf.DUMMYFUNCTION("""COMPUTED_VALUE"""),69665.96227250004)</f>
        <v>69665.96227</v>
      </c>
      <c r="G995" s="22">
        <f>IFERROR(__xludf.DUMMYFUNCTION("""COMPUTED_VALUE"""),0.0)</f>
        <v>0</v>
      </c>
      <c r="H995" s="22">
        <f>IFERROR(__xludf.DUMMYFUNCTION("""COMPUTED_VALUE"""),500000.0)</f>
        <v>500000</v>
      </c>
      <c r="I995" s="24">
        <f>IFERROR(__xludf.DUMMYFUNCTION("""COMPUTED_VALUE"""),0.0)</f>
        <v>0</v>
      </c>
    </row>
    <row r="996">
      <c r="A996" s="5" t="str">
        <f>IFERROR(__xludf.DUMMYFUNCTION("""COMPUTED_VALUE"""),"36242")</f>
        <v>36242</v>
      </c>
      <c r="B996" s="64">
        <f>IFERROR(__xludf.DUMMYFUNCTION("""COMPUTED_VALUE"""),44650.0)</f>
        <v>44650</v>
      </c>
      <c r="C996" s="5"/>
      <c r="D996" s="5"/>
      <c r="E996" s="5"/>
      <c r="F996" s="22">
        <f>IFERROR(__xludf.DUMMYFUNCTION("""COMPUTED_VALUE"""),69665.96227250004)</f>
        <v>69665.96227</v>
      </c>
      <c r="G996" s="22">
        <f>IFERROR(__xludf.DUMMYFUNCTION("""COMPUTED_VALUE"""),0.0)</f>
        <v>0</v>
      </c>
      <c r="H996" s="22">
        <f>IFERROR(__xludf.DUMMYFUNCTION("""COMPUTED_VALUE"""),502183.820885)</f>
        <v>502183.8209</v>
      </c>
      <c r="I996" s="24">
        <f>IFERROR(__xludf.DUMMYFUNCTION("""COMPUTED_VALUE"""),0.004367641770000041)</f>
        <v>0.00436764177</v>
      </c>
    </row>
    <row r="997">
      <c r="A997" s="5" t="str">
        <f>IFERROR(__xludf.DUMMYFUNCTION("""COMPUTED_VALUE"""),"36242")</f>
        <v>36242</v>
      </c>
      <c r="B997" s="64">
        <f>IFERROR(__xludf.DUMMYFUNCTION("""COMPUTED_VALUE"""),44651.0)</f>
        <v>44651</v>
      </c>
      <c r="C997" s="5"/>
      <c r="D997" s="5"/>
      <c r="E997" s="5"/>
      <c r="F997" s="22">
        <f>IFERROR(__xludf.DUMMYFUNCTION("""COMPUTED_VALUE"""),69665.96227250004)</f>
        <v>69665.96227</v>
      </c>
      <c r="G997" s="22">
        <f>IFERROR(__xludf.DUMMYFUNCTION("""COMPUTED_VALUE"""),0.0)</f>
        <v>0</v>
      </c>
      <c r="H997" s="22">
        <f>IFERROR(__xludf.DUMMYFUNCTION("""COMPUTED_VALUE"""),508598.3055275)</f>
        <v>508598.3055</v>
      </c>
      <c r="I997" s="24">
        <f>IFERROR(__xludf.DUMMYFUNCTION("""COMPUTED_VALUE"""),0.017196611054999922)</f>
        <v>0.01719661105</v>
      </c>
    </row>
    <row r="998">
      <c r="A998" s="5" t="str">
        <f>IFERROR(__xludf.DUMMYFUNCTION("""COMPUTED_VALUE"""),"36242")</f>
        <v>36242</v>
      </c>
      <c r="B998" s="64">
        <f>IFERROR(__xludf.DUMMYFUNCTION("""COMPUTED_VALUE"""),44652.0)</f>
        <v>44652</v>
      </c>
      <c r="C998" s="5"/>
      <c r="D998" s="5"/>
      <c r="E998" s="5"/>
      <c r="F998" s="22">
        <f>IFERROR(__xludf.DUMMYFUNCTION("""COMPUTED_VALUE"""),69665.96227250004)</f>
        <v>69665.96227</v>
      </c>
      <c r="G998" s="22">
        <f>IFERROR(__xludf.DUMMYFUNCTION("""COMPUTED_VALUE"""),0.0)</f>
        <v>0</v>
      </c>
      <c r="H998" s="22">
        <f>IFERROR(__xludf.DUMMYFUNCTION("""COMPUTED_VALUE"""),505862.658935)</f>
        <v>505862.6589</v>
      </c>
      <c r="I998" s="24">
        <f>IFERROR(__xludf.DUMMYFUNCTION("""COMPUTED_VALUE"""),0.011725317870000085)</f>
        <v>0.01172531787</v>
      </c>
    </row>
    <row r="999">
      <c r="A999" s="5" t="str">
        <f>IFERROR(__xludf.DUMMYFUNCTION("""COMPUTED_VALUE"""),"36242")</f>
        <v>36242</v>
      </c>
      <c r="B999" s="64">
        <f>IFERROR(__xludf.DUMMYFUNCTION("""COMPUTED_VALUE"""),44653.0)</f>
        <v>44653</v>
      </c>
      <c r="C999" s="5"/>
      <c r="D999" s="5"/>
      <c r="E999" s="5"/>
      <c r="F999" s="22">
        <f>IFERROR(__xludf.DUMMYFUNCTION("""COMPUTED_VALUE"""),69665.96227250004)</f>
        <v>69665.96227</v>
      </c>
      <c r="G999" s="22">
        <f>IFERROR(__xludf.DUMMYFUNCTION("""COMPUTED_VALUE"""),0.0)</f>
        <v>0</v>
      </c>
      <c r="H999" s="22">
        <f>IFERROR(__xludf.DUMMYFUNCTION("""COMPUTED_VALUE"""),505862.658935)</f>
        <v>505862.6589</v>
      </c>
      <c r="I999" s="24">
        <f>IFERROR(__xludf.DUMMYFUNCTION("""COMPUTED_VALUE"""),0.011725317870000085)</f>
        <v>0.01172531787</v>
      </c>
    </row>
    <row r="1000">
      <c r="A1000" s="5" t="str">
        <f>IFERROR(__xludf.DUMMYFUNCTION("""COMPUTED_VALUE"""),"36242")</f>
        <v>36242</v>
      </c>
      <c r="B1000" s="64">
        <f>IFERROR(__xludf.DUMMYFUNCTION("""COMPUTED_VALUE"""),44654.0)</f>
        <v>44654</v>
      </c>
      <c r="C1000" s="5"/>
      <c r="D1000" s="5"/>
      <c r="E1000" s="5"/>
      <c r="F1000" s="22">
        <f>IFERROR(__xludf.DUMMYFUNCTION("""COMPUTED_VALUE"""),69665.96227250004)</f>
        <v>69665.96227</v>
      </c>
      <c r="G1000" s="22">
        <f>IFERROR(__xludf.DUMMYFUNCTION("""COMPUTED_VALUE"""),0.0)</f>
        <v>0</v>
      </c>
      <c r="H1000" s="22">
        <f>IFERROR(__xludf.DUMMYFUNCTION("""COMPUTED_VALUE"""),505862.658935)</f>
        <v>505862.6589</v>
      </c>
      <c r="I1000" s="24">
        <f>IFERROR(__xludf.DUMMYFUNCTION("""COMPUTED_VALUE"""),0.011725317870000085)</f>
        <v>0.01172531787</v>
      </c>
    </row>
    <row r="1001">
      <c r="A1001" s="5" t="str">
        <f>IFERROR(__xludf.DUMMYFUNCTION("""COMPUTED_VALUE"""),"36242")</f>
        <v>36242</v>
      </c>
      <c r="B1001" s="64">
        <f>IFERROR(__xludf.DUMMYFUNCTION("""COMPUTED_VALUE"""),44655.0)</f>
        <v>44655</v>
      </c>
      <c r="C1001" s="5"/>
      <c r="D1001" s="5"/>
      <c r="E1001" s="5"/>
      <c r="F1001" s="22">
        <f>IFERROR(__xludf.DUMMYFUNCTION("""COMPUTED_VALUE"""),69665.96227250004)</f>
        <v>69665.96227</v>
      </c>
      <c r="G1001" s="22">
        <f>IFERROR(__xludf.DUMMYFUNCTION("""COMPUTED_VALUE"""),0.0)</f>
        <v>0</v>
      </c>
      <c r="H1001" s="22">
        <f>IFERROR(__xludf.DUMMYFUNCTION("""COMPUTED_VALUE"""),482044.13938999997)</f>
        <v>482044.1394</v>
      </c>
      <c r="I1001" s="24">
        <f>IFERROR(__xludf.DUMMYFUNCTION("""COMPUTED_VALUE"""),-0.03591172122000008)</f>
        <v>-0.03591172122</v>
      </c>
    </row>
    <row r="1002">
      <c r="A1002" s="5" t="str">
        <f>IFERROR(__xludf.DUMMYFUNCTION("""COMPUTED_VALUE"""),"36242")</f>
        <v>36242</v>
      </c>
      <c r="B1002" s="64">
        <f>IFERROR(__xludf.DUMMYFUNCTION("""COMPUTED_VALUE"""),44656.0)</f>
        <v>44656</v>
      </c>
      <c r="C1002" s="5"/>
      <c r="D1002" s="5"/>
      <c r="E1002" s="5"/>
      <c r="F1002" s="22">
        <f>IFERROR(__xludf.DUMMYFUNCTION("""COMPUTED_VALUE"""),69665.96227250004)</f>
        <v>69665.96227</v>
      </c>
      <c r="G1002" s="22">
        <f>IFERROR(__xludf.DUMMYFUNCTION("""COMPUTED_VALUE"""),0.0)</f>
        <v>0</v>
      </c>
      <c r="H1002" s="22">
        <f>IFERROR(__xludf.DUMMYFUNCTION("""COMPUTED_VALUE"""),503252.24938249995)</f>
        <v>503252.2494</v>
      </c>
      <c r="I1002" s="24">
        <f>IFERROR(__xludf.DUMMYFUNCTION("""COMPUTED_VALUE"""),0.006504498764999811)</f>
        <v>0.006504498765</v>
      </c>
    </row>
    <row r="1003">
      <c r="A1003" s="5" t="str">
        <f>IFERROR(__xludf.DUMMYFUNCTION("""COMPUTED_VALUE"""),"36242")</f>
        <v>36242</v>
      </c>
      <c r="B1003" s="64">
        <f>IFERROR(__xludf.DUMMYFUNCTION("""COMPUTED_VALUE"""),44657.0)</f>
        <v>44657</v>
      </c>
      <c r="C1003" s="5"/>
      <c r="D1003" s="5"/>
      <c r="E1003" s="5"/>
      <c r="F1003" s="22">
        <f>IFERROR(__xludf.DUMMYFUNCTION("""COMPUTED_VALUE"""),69665.96227250004)</f>
        <v>69665.96227</v>
      </c>
      <c r="G1003" s="22">
        <f>IFERROR(__xludf.DUMMYFUNCTION("""COMPUTED_VALUE"""),0.0)</f>
        <v>0</v>
      </c>
      <c r="H1003" s="22">
        <f>IFERROR(__xludf.DUMMYFUNCTION("""COMPUTED_VALUE"""),521059.3910075)</f>
        <v>521059.391</v>
      </c>
      <c r="I1003" s="24">
        <f>IFERROR(__xludf.DUMMYFUNCTION("""COMPUTED_VALUE"""),0.04211878201499997)</f>
        <v>0.04211878202</v>
      </c>
    </row>
    <row r="1004">
      <c r="A1004" s="5" t="str">
        <f>IFERROR(__xludf.DUMMYFUNCTION("""COMPUTED_VALUE"""),"36242")</f>
        <v>36242</v>
      </c>
      <c r="B1004" s="64">
        <f>IFERROR(__xludf.DUMMYFUNCTION("""COMPUTED_VALUE"""),44658.0)</f>
        <v>44658</v>
      </c>
      <c r="C1004" s="5"/>
      <c r="D1004" s="5"/>
      <c r="E1004" s="5"/>
      <c r="F1004" s="22">
        <f>IFERROR(__xludf.DUMMYFUNCTION("""COMPUTED_VALUE"""),69665.96227250004)</f>
        <v>69665.96227</v>
      </c>
      <c r="G1004" s="22">
        <f>IFERROR(__xludf.DUMMYFUNCTION("""COMPUTED_VALUE"""),0.0)</f>
        <v>0</v>
      </c>
      <c r="H1004" s="22">
        <f>IFERROR(__xludf.DUMMYFUNCTION("""COMPUTED_VALUE"""),516558.6848825)</f>
        <v>516558.6849</v>
      </c>
      <c r="I1004" s="24">
        <f>IFERROR(__xludf.DUMMYFUNCTION("""COMPUTED_VALUE"""),0.033117369765000015)</f>
        <v>0.03311736977</v>
      </c>
    </row>
    <row r="1005">
      <c r="A1005" s="5" t="str">
        <f>IFERROR(__xludf.DUMMYFUNCTION("""COMPUTED_VALUE"""),"36242")</f>
        <v>36242</v>
      </c>
      <c r="B1005" s="64">
        <f>IFERROR(__xludf.DUMMYFUNCTION("""COMPUTED_VALUE"""),44659.0)</f>
        <v>44659</v>
      </c>
      <c r="C1005" s="5"/>
      <c r="D1005" s="5"/>
      <c r="E1005" s="5"/>
      <c r="F1005" s="22">
        <f>IFERROR(__xludf.DUMMYFUNCTION("""COMPUTED_VALUE"""),69665.96227250004)</f>
        <v>69665.96227</v>
      </c>
      <c r="G1005" s="22">
        <f>IFERROR(__xludf.DUMMYFUNCTION("""COMPUTED_VALUE"""),0.0)</f>
        <v>0</v>
      </c>
      <c r="H1005" s="22">
        <f>IFERROR(__xludf.DUMMYFUNCTION("""COMPUTED_VALUE"""),528992.37476)</f>
        <v>528992.3748</v>
      </c>
      <c r="I1005" s="24">
        <f>IFERROR(__xludf.DUMMYFUNCTION("""COMPUTED_VALUE"""),0.0579847495200001)</f>
        <v>0.05798474952</v>
      </c>
    </row>
    <row r="1006">
      <c r="A1006" s="5" t="str">
        <f>IFERROR(__xludf.DUMMYFUNCTION("""COMPUTED_VALUE"""),"36242")</f>
        <v>36242</v>
      </c>
      <c r="B1006" s="64">
        <f>IFERROR(__xludf.DUMMYFUNCTION("""COMPUTED_VALUE"""),44660.0)</f>
        <v>44660</v>
      </c>
      <c r="C1006" s="5"/>
      <c r="D1006" s="5"/>
      <c r="E1006" s="5"/>
      <c r="F1006" s="22">
        <f>IFERROR(__xludf.DUMMYFUNCTION("""COMPUTED_VALUE"""),426865.99163000006)</f>
        <v>426865.9916</v>
      </c>
      <c r="G1006" s="22">
        <f>IFERROR(__xludf.DUMMYFUNCTION("""COMPUTED_VALUE"""),0.0)</f>
        <v>0</v>
      </c>
      <c r="H1006" s="22">
        <f>IFERROR(__xludf.DUMMYFUNCTION("""COMPUTED_VALUE"""),528992.37476)</f>
        <v>528992.3748</v>
      </c>
      <c r="I1006" s="24">
        <f>IFERROR(__xludf.DUMMYFUNCTION("""COMPUTED_VALUE"""),0.0579847495200001)</f>
        <v>0.05798474952</v>
      </c>
    </row>
    <row r="1007">
      <c r="A1007" s="5" t="str">
        <f>IFERROR(__xludf.DUMMYFUNCTION("""COMPUTED_VALUE"""),"36242")</f>
        <v>36242</v>
      </c>
      <c r="B1007" s="64">
        <f>IFERROR(__xludf.DUMMYFUNCTION("""COMPUTED_VALUE"""),44661.0)</f>
        <v>44661</v>
      </c>
      <c r="C1007" s="5"/>
      <c r="D1007" s="5"/>
      <c r="E1007" s="5"/>
      <c r="F1007" s="22">
        <f>IFERROR(__xludf.DUMMYFUNCTION("""COMPUTED_VALUE"""),426865.99163000006)</f>
        <v>426865.9916</v>
      </c>
      <c r="G1007" s="22">
        <f>IFERROR(__xludf.DUMMYFUNCTION("""COMPUTED_VALUE"""),0.0)</f>
        <v>0</v>
      </c>
      <c r="H1007" s="22">
        <f>IFERROR(__xludf.DUMMYFUNCTION("""COMPUTED_VALUE"""),528992.37476)</f>
        <v>528992.3748</v>
      </c>
      <c r="I1007" s="24">
        <f>IFERROR(__xludf.DUMMYFUNCTION("""COMPUTED_VALUE"""),0.0579847495200001)</f>
        <v>0.05798474952</v>
      </c>
    </row>
    <row r="1008">
      <c r="A1008" s="5" t="str">
        <f>IFERROR(__xludf.DUMMYFUNCTION("""COMPUTED_VALUE"""),"36242")</f>
        <v>36242</v>
      </c>
      <c r="B1008" s="64">
        <f>IFERROR(__xludf.DUMMYFUNCTION("""COMPUTED_VALUE"""),44662.0)</f>
        <v>44662</v>
      </c>
      <c r="C1008" s="5"/>
      <c r="D1008" s="5"/>
      <c r="E1008" s="5"/>
      <c r="F1008" s="22">
        <f>IFERROR(__xludf.DUMMYFUNCTION("""COMPUTED_VALUE"""),426865.99163000006)</f>
        <v>426865.9916</v>
      </c>
      <c r="G1008" s="22">
        <f>IFERROR(__xludf.DUMMYFUNCTION("""COMPUTED_VALUE"""),0.0)</f>
        <v>0</v>
      </c>
      <c r="H1008" s="22">
        <f>IFERROR(__xludf.DUMMYFUNCTION("""COMPUTED_VALUE"""),529221.4584049999)</f>
        <v>529221.4584</v>
      </c>
      <c r="I1008" s="24">
        <f>IFERROR(__xludf.DUMMYFUNCTION("""COMPUTED_VALUE"""),0.0584429168099998)</f>
        <v>0.05844291681</v>
      </c>
    </row>
    <row r="1009">
      <c r="A1009" s="5" t="str">
        <f>IFERROR(__xludf.DUMMYFUNCTION("""COMPUTED_VALUE"""),"36242")</f>
        <v>36242</v>
      </c>
      <c r="B1009" s="64">
        <f>IFERROR(__xludf.DUMMYFUNCTION("""COMPUTED_VALUE"""),44663.0)</f>
        <v>44663</v>
      </c>
      <c r="C1009" s="5"/>
      <c r="D1009" s="5"/>
      <c r="E1009" s="5"/>
      <c r="F1009" s="22">
        <f>IFERROR(__xludf.DUMMYFUNCTION("""COMPUTED_VALUE"""),426865.99163000006)</f>
        <v>426865.9916</v>
      </c>
      <c r="G1009" s="22">
        <f>IFERROR(__xludf.DUMMYFUNCTION("""COMPUTED_VALUE"""),0.0)</f>
        <v>0</v>
      </c>
      <c r="H1009" s="22">
        <f>IFERROR(__xludf.DUMMYFUNCTION("""COMPUTED_VALUE"""),528922.31152)</f>
        <v>528922.3115</v>
      </c>
      <c r="I1009" s="24">
        <f>IFERROR(__xludf.DUMMYFUNCTION("""COMPUTED_VALUE"""),0.05784462304000004)</f>
        <v>0.05784462304</v>
      </c>
    </row>
    <row r="1010">
      <c r="A1010" s="5" t="str">
        <f>IFERROR(__xludf.DUMMYFUNCTION("""COMPUTED_VALUE"""),"36252")</f>
        <v>36252</v>
      </c>
      <c r="B1010" s="64">
        <f>IFERROR(__xludf.DUMMYFUNCTION("""COMPUTED_VALUE"""),44597.0)</f>
        <v>44597</v>
      </c>
      <c r="C1010" s="5"/>
      <c r="D1010" s="5"/>
      <c r="E1010" s="5"/>
      <c r="F1010" s="22">
        <f>IFERROR(__xludf.DUMMYFUNCTION("""COMPUTED_VALUE"""),500000.0)</f>
        <v>500000</v>
      </c>
      <c r="G1010" s="22">
        <f>IFERROR(__xludf.DUMMYFUNCTION("""COMPUTED_VALUE"""),0.0)</f>
        <v>0</v>
      </c>
      <c r="H1010" s="22">
        <f>IFERROR(__xludf.DUMMYFUNCTION("""COMPUTED_VALUE"""),500000.0)</f>
        <v>500000</v>
      </c>
      <c r="I1010" s="24">
        <f>IFERROR(__xludf.DUMMYFUNCTION("""COMPUTED_VALUE"""),0.0)</f>
        <v>0</v>
      </c>
    </row>
    <row r="1011">
      <c r="A1011" s="5" t="str">
        <f>IFERROR(__xludf.DUMMYFUNCTION("""COMPUTED_VALUE"""),"36252")</f>
        <v>36252</v>
      </c>
      <c r="B1011" s="64">
        <f>IFERROR(__xludf.DUMMYFUNCTION("""COMPUTED_VALUE"""),44598.0)</f>
        <v>44598</v>
      </c>
      <c r="C1011" s="5"/>
      <c r="D1011" s="5"/>
      <c r="E1011" s="5"/>
      <c r="F1011" s="22">
        <f>IFERROR(__xludf.DUMMYFUNCTION("""COMPUTED_VALUE"""),500000.0)</f>
        <v>500000</v>
      </c>
      <c r="G1011" s="22">
        <f>IFERROR(__xludf.DUMMYFUNCTION("""COMPUTED_VALUE"""),0.0)</f>
        <v>0</v>
      </c>
      <c r="H1011" s="22">
        <f>IFERROR(__xludf.DUMMYFUNCTION("""COMPUTED_VALUE"""),500000.0)</f>
        <v>500000</v>
      </c>
      <c r="I1011" s="24">
        <f>IFERROR(__xludf.DUMMYFUNCTION("""COMPUTED_VALUE"""),0.0)</f>
        <v>0</v>
      </c>
    </row>
    <row r="1012">
      <c r="A1012" s="5" t="str">
        <f>IFERROR(__xludf.DUMMYFUNCTION("""COMPUTED_VALUE"""),"36252")</f>
        <v>36252</v>
      </c>
      <c r="B1012" s="64">
        <f>IFERROR(__xludf.DUMMYFUNCTION("""COMPUTED_VALUE"""),44599.0)</f>
        <v>44599</v>
      </c>
      <c r="C1012" s="5"/>
      <c r="D1012" s="5"/>
      <c r="E1012" s="5"/>
      <c r="F1012" s="22">
        <f>IFERROR(__xludf.DUMMYFUNCTION("""COMPUTED_VALUE"""),500000.0)</f>
        <v>500000</v>
      </c>
      <c r="G1012" s="22">
        <f>IFERROR(__xludf.DUMMYFUNCTION("""COMPUTED_VALUE"""),0.0)</f>
        <v>0</v>
      </c>
      <c r="H1012" s="22">
        <f>IFERROR(__xludf.DUMMYFUNCTION("""COMPUTED_VALUE"""),500000.0)</f>
        <v>500000</v>
      </c>
      <c r="I1012" s="24">
        <f>IFERROR(__xludf.DUMMYFUNCTION("""COMPUTED_VALUE"""),0.0)</f>
        <v>0</v>
      </c>
    </row>
    <row r="1013">
      <c r="A1013" s="5" t="str">
        <f>IFERROR(__xludf.DUMMYFUNCTION("""COMPUTED_VALUE"""),"36252")</f>
        <v>36252</v>
      </c>
      <c r="B1013" s="64">
        <f>IFERROR(__xludf.DUMMYFUNCTION("""COMPUTED_VALUE"""),44600.0)</f>
        <v>44600</v>
      </c>
      <c r="C1013" s="5"/>
      <c r="D1013" s="5"/>
      <c r="E1013" s="5"/>
      <c r="F1013" s="22">
        <f>IFERROR(__xludf.DUMMYFUNCTION("""COMPUTED_VALUE"""),500000.0)</f>
        <v>500000</v>
      </c>
      <c r="G1013" s="22">
        <f>IFERROR(__xludf.DUMMYFUNCTION("""COMPUTED_VALUE"""),0.0)</f>
        <v>0</v>
      </c>
      <c r="H1013" s="22">
        <f>IFERROR(__xludf.DUMMYFUNCTION("""COMPUTED_VALUE"""),500000.0)</f>
        <v>500000</v>
      </c>
      <c r="I1013" s="24">
        <f>IFERROR(__xludf.DUMMYFUNCTION("""COMPUTED_VALUE"""),0.0)</f>
        <v>0</v>
      </c>
    </row>
    <row r="1014">
      <c r="A1014" s="5" t="str">
        <f>IFERROR(__xludf.DUMMYFUNCTION("""COMPUTED_VALUE"""),"36252")</f>
        <v>36252</v>
      </c>
      <c r="B1014" s="64">
        <f>IFERROR(__xludf.DUMMYFUNCTION("""COMPUTED_VALUE"""),44601.0)</f>
        <v>44601</v>
      </c>
      <c r="C1014" s="5"/>
      <c r="D1014" s="5"/>
      <c r="E1014" s="5"/>
      <c r="F1014" s="22">
        <f>IFERROR(__xludf.DUMMYFUNCTION("""COMPUTED_VALUE"""),500000.0)</f>
        <v>500000</v>
      </c>
      <c r="G1014" s="22">
        <f>IFERROR(__xludf.DUMMYFUNCTION("""COMPUTED_VALUE"""),0.0)</f>
        <v>0</v>
      </c>
      <c r="H1014" s="22">
        <f>IFERROR(__xludf.DUMMYFUNCTION("""COMPUTED_VALUE"""),500000.0)</f>
        <v>500000</v>
      </c>
      <c r="I1014" s="24">
        <f>IFERROR(__xludf.DUMMYFUNCTION("""COMPUTED_VALUE"""),0.0)</f>
        <v>0</v>
      </c>
    </row>
    <row r="1015">
      <c r="A1015" s="5" t="str">
        <f>IFERROR(__xludf.DUMMYFUNCTION("""COMPUTED_VALUE"""),"36252")</f>
        <v>36252</v>
      </c>
      <c r="B1015" s="64">
        <f>IFERROR(__xludf.DUMMYFUNCTION("""COMPUTED_VALUE"""),44602.0)</f>
        <v>44602</v>
      </c>
      <c r="C1015" s="5"/>
      <c r="D1015" s="5"/>
      <c r="E1015" s="5"/>
      <c r="F1015" s="22">
        <f>IFERROR(__xludf.DUMMYFUNCTION("""COMPUTED_VALUE"""),500000.0)</f>
        <v>500000</v>
      </c>
      <c r="G1015" s="22">
        <f>IFERROR(__xludf.DUMMYFUNCTION("""COMPUTED_VALUE"""),0.0)</f>
        <v>0</v>
      </c>
      <c r="H1015" s="22">
        <f>IFERROR(__xludf.DUMMYFUNCTION("""COMPUTED_VALUE"""),500000.0)</f>
        <v>500000</v>
      </c>
      <c r="I1015" s="24">
        <f>IFERROR(__xludf.DUMMYFUNCTION("""COMPUTED_VALUE"""),0.0)</f>
        <v>0</v>
      </c>
    </row>
    <row r="1016">
      <c r="A1016" s="5" t="str">
        <f>IFERROR(__xludf.DUMMYFUNCTION("""COMPUTED_VALUE"""),"36252")</f>
        <v>36252</v>
      </c>
      <c r="B1016" s="64">
        <f>IFERROR(__xludf.DUMMYFUNCTION("""COMPUTED_VALUE"""),44603.0)</f>
        <v>44603</v>
      </c>
      <c r="C1016" s="5"/>
      <c r="D1016" s="5"/>
      <c r="E1016" s="5"/>
      <c r="F1016" s="22">
        <f>IFERROR(__xludf.DUMMYFUNCTION("""COMPUTED_VALUE"""),500000.0)</f>
        <v>500000</v>
      </c>
      <c r="G1016" s="22">
        <f>IFERROR(__xludf.DUMMYFUNCTION("""COMPUTED_VALUE"""),0.0)</f>
        <v>0</v>
      </c>
      <c r="H1016" s="22">
        <f>IFERROR(__xludf.DUMMYFUNCTION("""COMPUTED_VALUE"""),500000.0)</f>
        <v>500000</v>
      </c>
      <c r="I1016" s="24">
        <f>IFERROR(__xludf.DUMMYFUNCTION("""COMPUTED_VALUE"""),0.0)</f>
        <v>0</v>
      </c>
    </row>
    <row r="1017">
      <c r="A1017" s="5" t="str">
        <f>IFERROR(__xludf.DUMMYFUNCTION("""COMPUTED_VALUE"""),"36252")</f>
        <v>36252</v>
      </c>
      <c r="B1017" s="64">
        <f>IFERROR(__xludf.DUMMYFUNCTION("""COMPUTED_VALUE"""),44604.0)</f>
        <v>44604</v>
      </c>
      <c r="C1017" s="5"/>
      <c r="D1017" s="5"/>
      <c r="E1017" s="5"/>
      <c r="F1017" s="22">
        <f>IFERROR(__xludf.DUMMYFUNCTION("""COMPUTED_VALUE"""),500000.0)</f>
        <v>500000</v>
      </c>
      <c r="G1017" s="22">
        <f>IFERROR(__xludf.DUMMYFUNCTION("""COMPUTED_VALUE"""),0.0)</f>
        <v>0</v>
      </c>
      <c r="H1017" s="22">
        <f>IFERROR(__xludf.DUMMYFUNCTION("""COMPUTED_VALUE"""),500000.0)</f>
        <v>500000</v>
      </c>
      <c r="I1017" s="24">
        <f>IFERROR(__xludf.DUMMYFUNCTION("""COMPUTED_VALUE"""),0.0)</f>
        <v>0</v>
      </c>
    </row>
    <row r="1018">
      <c r="A1018" s="5" t="str">
        <f>IFERROR(__xludf.DUMMYFUNCTION("""COMPUTED_VALUE"""),"36252")</f>
        <v>36252</v>
      </c>
      <c r="B1018" s="64">
        <f>IFERROR(__xludf.DUMMYFUNCTION("""COMPUTED_VALUE"""),44605.0)</f>
        <v>44605</v>
      </c>
      <c r="C1018" s="5"/>
      <c r="D1018" s="5"/>
      <c r="E1018" s="5"/>
      <c r="F1018" s="22">
        <f>IFERROR(__xludf.DUMMYFUNCTION("""COMPUTED_VALUE"""),500000.0)</f>
        <v>500000</v>
      </c>
      <c r="G1018" s="22">
        <f>IFERROR(__xludf.DUMMYFUNCTION("""COMPUTED_VALUE"""),0.0)</f>
        <v>0</v>
      </c>
      <c r="H1018" s="22">
        <f>IFERROR(__xludf.DUMMYFUNCTION("""COMPUTED_VALUE"""),500000.0)</f>
        <v>500000</v>
      </c>
      <c r="I1018" s="24">
        <f>IFERROR(__xludf.DUMMYFUNCTION("""COMPUTED_VALUE"""),0.0)</f>
        <v>0</v>
      </c>
    </row>
    <row r="1019">
      <c r="A1019" s="5" t="str">
        <f>IFERROR(__xludf.DUMMYFUNCTION("""COMPUTED_VALUE"""),"36252")</f>
        <v>36252</v>
      </c>
      <c r="B1019" s="64">
        <f>IFERROR(__xludf.DUMMYFUNCTION("""COMPUTED_VALUE"""),44606.0)</f>
        <v>44606</v>
      </c>
      <c r="C1019" s="5"/>
      <c r="D1019" s="5"/>
      <c r="E1019" s="5"/>
      <c r="F1019" s="22">
        <f>IFERROR(__xludf.DUMMYFUNCTION("""COMPUTED_VALUE"""),500000.0)</f>
        <v>500000</v>
      </c>
      <c r="G1019" s="22">
        <f>IFERROR(__xludf.DUMMYFUNCTION("""COMPUTED_VALUE"""),0.0)</f>
        <v>0</v>
      </c>
      <c r="H1019" s="22">
        <f>IFERROR(__xludf.DUMMYFUNCTION("""COMPUTED_VALUE"""),500000.0)</f>
        <v>500000</v>
      </c>
      <c r="I1019" s="24">
        <f>IFERROR(__xludf.DUMMYFUNCTION("""COMPUTED_VALUE"""),0.0)</f>
        <v>0</v>
      </c>
    </row>
    <row r="1020">
      <c r="A1020" s="5" t="str">
        <f>IFERROR(__xludf.DUMMYFUNCTION("""COMPUTED_VALUE"""),"36252")</f>
        <v>36252</v>
      </c>
      <c r="B1020" s="64">
        <f>IFERROR(__xludf.DUMMYFUNCTION("""COMPUTED_VALUE"""),44607.0)</f>
        <v>44607</v>
      </c>
      <c r="C1020" s="5"/>
      <c r="D1020" s="5"/>
      <c r="E1020" s="5"/>
      <c r="F1020" s="22">
        <f>IFERROR(__xludf.DUMMYFUNCTION("""COMPUTED_VALUE"""),500000.0)</f>
        <v>500000</v>
      </c>
      <c r="G1020" s="22">
        <f>IFERROR(__xludf.DUMMYFUNCTION("""COMPUTED_VALUE"""),0.0)</f>
        <v>0</v>
      </c>
      <c r="H1020" s="22">
        <f>IFERROR(__xludf.DUMMYFUNCTION("""COMPUTED_VALUE"""),500000.0)</f>
        <v>500000</v>
      </c>
      <c r="I1020" s="24">
        <f>IFERROR(__xludf.DUMMYFUNCTION("""COMPUTED_VALUE"""),0.0)</f>
        <v>0</v>
      </c>
    </row>
    <row r="1021">
      <c r="A1021" s="5" t="str">
        <f>IFERROR(__xludf.DUMMYFUNCTION("""COMPUTED_VALUE"""),"36252")</f>
        <v>36252</v>
      </c>
      <c r="B1021" s="64">
        <f>IFERROR(__xludf.DUMMYFUNCTION("""COMPUTED_VALUE"""),44608.0)</f>
        <v>44608</v>
      </c>
      <c r="C1021" s="5"/>
      <c r="D1021" s="5"/>
      <c r="E1021" s="5"/>
      <c r="F1021" s="22">
        <f>IFERROR(__xludf.DUMMYFUNCTION("""COMPUTED_VALUE"""),500000.0)</f>
        <v>500000</v>
      </c>
      <c r="G1021" s="22">
        <f>IFERROR(__xludf.DUMMYFUNCTION("""COMPUTED_VALUE"""),0.0)</f>
        <v>0</v>
      </c>
      <c r="H1021" s="22">
        <f>IFERROR(__xludf.DUMMYFUNCTION("""COMPUTED_VALUE"""),500000.0)</f>
        <v>500000</v>
      </c>
      <c r="I1021" s="24">
        <f>IFERROR(__xludf.DUMMYFUNCTION("""COMPUTED_VALUE"""),0.0)</f>
        <v>0</v>
      </c>
    </row>
    <row r="1022">
      <c r="A1022" s="5" t="str">
        <f>IFERROR(__xludf.DUMMYFUNCTION("""COMPUTED_VALUE"""),"36252")</f>
        <v>36252</v>
      </c>
      <c r="B1022" s="64">
        <f>IFERROR(__xludf.DUMMYFUNCTION("""COMPUTED_VALUE"""),44609.0)</f>
        <v>44609</v>
      </c>
      <c r="C1022" s="5"/>
      <c r="D1022" s="5"/>
      <c r="E1022" s="5"/>
      <c r="F1022" s="22">
        <f>IFERROR(__xludf.DUMMYFUNCTION("""COMPUTED_VALUE"""),500000.0)</f>
        <v>500000</v>
      </c>
      <c r="G1022" s="22">
        <f>IFERROR(__xludf.DUMMYFUNCTION("""COMPUTED_VALUE"""),0.0)</f>
        <v>0</v>
      </c>
      <c r="H1022" s="22">
        <f>IFERROR(__xludf.DUMMYFUNCTION("""COMPUTED_VALUE"""),500000.0)</f>
        <v>500000</v>
      </c>
      <c r="I1022" s="24">
        <f>IFERROR(__xludf.DUMMYFUNCTION("""COMPUTED_VALUE"""),0.0)</f>
        <v>0</v>
      </c>
    </row>
    <row r="1023">
      <c r="A1023" s="5" t="str">
        <f>IFERROR(__xludf.DUMMYFUNCTION("""COMPUTED_VALUE"""),"36252")</f>
        <v>36252</v>
      </c>
      <c r="B1023" s="64">
        <f>IFERROR(__xludf.DUMMYFUNCTION("""COMPUTED_VALUE"""),44610.0)</f>
        <v>44610</v>
      </c>
      <c r="C1023" s="5"/>
      <c r="D1023" s="5"/>
      <c r="E1023" s="5"/>
      <c r="F1023" s="22">
        <f>IFERROR(__xludf.DUMMYFUNCTION("""COMPUTED_VALUE"""),500000.0)</f>
        <v>500000</v>
      </c>
      <c r="G1023" s="22">
        <f>IFERROR(__xludf.DUMMYFUNCTION("""COMPUTED_VALUE"""),0.0)</f>
        <v>0</v>
      </c>
      <c r="H1023" s="22">
        <f>IFERROR(__xludf.DUMMYFUNCTION("""COMPUTED_VALUE"""),500000.0)</f>
        <v>500000</v>
      </c>
      <c r="I1023" s="24">
        <f>IFERROR(__xludf.DUMMYFUNCTION("""COMPUTED_VALUE"""),0.0)</f>
        <v>0</v>
      </c>
    </row>
    <row r="1024">
      <c r="A1024" s="5" t="str">
        <f>IFERROR(__xludf.DUMMYFUNCTION("""COMPUTED_VALUE"""),"36252")</f>
        <v>36252</v>
      </c>
      <c r="B1024" s="64">
        <f>IFERROR(__xludf.DUMMYFUNCTION("""COMPUTED_VALUE"""),44611.0)</f>
        <v>44611</v>
      </c>
      <c r="C1024" s="5"/>
      <c r="D1024" s="5"/>
      <c r="E1024" s="5"/>
      <c r="F1024" s="22">
        <f>IFERROR(__xludf.DUMMYFUNCTION("""COMPUTED_VALUE"""),500000.0)</f>
        <v>500000</v>
      </c>
      <c r="G1024" s="22">
        <f>IFERROR(__xludf.DUMMYFUNCTION("""COMPUTED_VALUE"""),0.0)</f>
        <v>0</v>
      </c>
      <c r="H1024" s="22">
        <f>IFERROR(__xludf.DUMMYFUNCTION("""COMPUTED_VALUE"""),500000.0)</f>
        <v>500000</v>
      </c>
      <c r="I1024" s="24">
        <f>IFERROR(__xludf.DUMMYFUNCTION("""COMPUTED_VALUE"""),0.0)</f>
        <v>0</v>
      </c>
    </row>
    <row r="1025">
      <c r="A1025" s="5" t="str">
        <f>IFERROR(__xludf.DUMMYFUNCTION("""COMPUTED_VALUE"""),"36252")</f>
        <v>36252</v>
      </c>
      <c r="B1025" s="64">
        <f>IFERROR(__xludf.DUMMYFUNCTION("""COMPUTED_VALUE"""),44612.0)</f>
        <v>44612</v>
      </c>
      <c r="C1025" s="5"/>
      <c r="D1025" s="5"/>
      <c r="E1025" s="5"/>
      <c r="F1025" s="22">
        <f>IFERROR(__xludf.DUMMYFUNCTION("""COMPUTED_VALUE"""),500000.0)</f>
        <v>500000</v>
      </c>
      <c r="G1025" s="22">
        <f>IFERROR(__xludf.DUMMYFUNCTION("""COMPUTED_VALUE"""),0.0)</f>
        <v>0</v>
      </c>
      <c r="H1025" s="22">
        <f>IFERROR(__xludf.DUMMYFUNCTION("""COMPUTED_VALUE"""),500000.0)</f>
        <v>500000</v>
      </c>
      <c r="I1025" s="24">
        <f>IFERROR(__xludf.DUMMYFUNCTION("""COMPUTED_VALUE"""),0.0)</f>
        <v>0</v>
      </c>
    </row>
    <row r="1026">
      <c r="A1026" s="5" t="str">
        <f>IFERROR(__xludf.DUMMYFUNCTION("""COMPUTED_VALUE"""),"36252")</f>
        <v>36252</v>
      </c>
      <c r="B1026" s="64">
        <f>IFERROR(__xludf.DUMMYFUNCTION("""COMPUTED_VALUE"""),44613.0)</f>
        <v>44613</v>
      </c>
      <c r="C1026" s="5"/>
      <c r="D1026" s="5"/>
      <c r="E1026" s="5"/>
      <c r="F1026" s="22">
        <f>IFERROR(__xludf.DUMMYFUNCTION("""COMPUTED_VALUE"""),500000.0)</f>
        <v>500000</v>
      </c>
      <c r="G1026" s="22">
        <f>IFERROR(__xludf.DUMMYFUNCTION("""COMPUTED_VALUE"""),0.0)</f>
        <v>0</v>
      </c>
      <c r="H1026" s="22">
        <f>IFERROR(__xludf.DUMMYFUNCTION("""COMPUTED_VALUE"""),500000.0)</f>
        <v>500000</v>
      </c>
      <c r="I1026" s="24">
        <f>IFERROR(__xludf.DUMMYFUNCTION("""COMPUTED_VALUE"""),0.0)</f>
        <v>0</v>
      </c>
    </row>
    <row r="1027">
      <c r="A1027" s="5" t="str">
        <f>IFERROR(__xludf.DUMMYFUNCTION("""COMPUTED_VALUE"""),"36252")</f>
        <v>36252</v>
      </c>
      <c r="B1027" s="64">
        <f>IFERROR(__xludf.DUMMYFUNCTION("""COMPUTED_VALUE"""),44614.0)</f>
        <v>44614</v>
      </c>
      <c r="C1027" s="5"/>
      <c r="D1027" s="5"/>
      <c r="E1027" s="5"/>
      <c r="F1027" s="22">
        <f>IFERROR(__xludf.DUMMYFUNCTION("""COMPUTED_VALUE"""),500000.0)</f>
        <v>500000</v>
      </c>
      <c r="G1027" s="22">
        <f>IFERROR(__xludf.DUMMYFUNCTION("""COMPUTED_VALUE"""),0.0)</f>
        <v>0</v>
      </c>
      <c r="H1027" s="22">
        <f>IFERROR(__xludf.DUMMYFUNCTION("""COMPUTED_VALUE"""),500000.0)</f>
        <v>500000</v>
      </c>
      <c r="I1027" s="24">
        <f>IFERROR(__xludf.DUMMYFUNCTION("""COMPUTED_VALUE"""),0.0)</f>
        <v>0</v>
      </c>
    </row>
    <row r="1028">
      <c r="A1028" s="5" t="str">
        <f>IFERROR(__xludf.DUMMYFUNCTION("""COMPUTED_VALUE"""),"36252")</f>
        <v>36252</v>
      </c>
      <c r="B1028" s="64">
        <f>IFERROR(__xludf.DUMMYFUNCTION("""COMPUTED_VALUE"""),44615.0)</f>
        <v>44615</v>
      </c>
      <c r="C1028" s="5"/>
      <c r="D1028" s="5"/>
      <c r="E1028" s="5"/>
      <c r="F1028" s="22">
        <f>IFERROR(__xludf.DUMMYFUNCTION("""COMPUTED_VALUE"""),500000.0)</f>
        <v>500000</v>
      </c>
      <c r="G1028" s="22">
        <f>IFERROR(__xludf.DUMMYFUNCTION("""COMPUTED_VALUE"""),0.0)</f>
        <v>0</v>
      </c>
      <c r="H1028" s="22">
        <f>IFERROR(__xludf.DUMMYFUNCTION("""COMPUTED_VALUE"""),500000.0)</f>
        <v>500000</v>
      </c>
      <c r="I1028" s="24">
        <f>IFERROR(__xludf.DUMMYFUNCTION("""COMPUTED_VALUE"""),0.0)</f>
        <v>0</v>
      </c>
    </row>
    <row r="1029">
      <c r="A1029" s="5" t="str">
        <f>IFERROR(__xludf.DUMMYFUNCTION("""COMPUTED_VALUE"""),"36252")</f>
        <v>36252</v>
      </c>
      <c r="B1029" s="64">
        <f>IFERROR(__xludf.DUMMYFUNCTION("""COMPUTED_VALUE"""),44616.0)</f>
        <v>44616</v>
      </c>
      <c r="C1029" s="5"/>
      <c r="D1029" s="5"/>
      <c r="E1029" s="5"/>
      <c r="F1029" s="22">
        <f>IFERROR(__xludf.DUMMYFUNCTION("""COMPUTED_VALUE"""),500000.0)</f>
        <v>500000</v>
      </c>
      <c r="G1029" s="22">
        <f>IFERROR(__xludf.DUMMYFUNCTION("""COMPUTED_VALUE"""),0.0)</f>
        <v>0</v>
      </c>
      <c r="H1029" s="22">
        <f>IFERROR(__xludf.DUMMYFUNCTION("""COMPUTED_VALUE"""),500000.0)</f>
        <v>500000</v>
      </c>
      <c r="I1029" s="24">
        <f>IFERROR(__xludf.DUMMYFUNCTION("""COMPUTED_VALUE"""),0.0)</f>
        <v>0</v>
      </c>
    </row>
    <row r="1030">
      <c r="A1030" s="5" t="str">
        <f>IFERROR(__xludf.DUMMYFUNCTION("""COMPUTED_VALUE"""),"36252")</f>
        <v>36252</v>
      </c>
      <c r="B1030" s="64">
        <f>IFERROR(__xludf.DUMMYFUNCTION("""COMPUTED_VALUE"""),44617.0)</f>
        <v>44617</v>
      </c>
      <c r="C1030" s="5"/>
      <c r="D1030" s="5"/>
      <c r="E1030" s="5"/>
      <c r="F1030" s="22">
        <f>IFERROR(__xludf.DUMMYFUNCTION("""COMPUTED_VALUE"""),500000.0)</f>
        <v>500000</v>
      </c>
      <c r="G1030" s="22">
        <f>IFERROR(__xludf.DUMMYFUNCTION("""COMPUTED_VALUE"""),0.0)</f>
        <v>0</v>
      </c>
      <c r="H1030" s="22">
        <f>IFERROR(__xludf.DUMMYFUNCTION("""COMPUTED_VALUE"""),500000.0)</f>
        <v>500000</v>
      </c>
      <c r="I1030" s="24">
        <f>IFERROR(__xludf.DUMMYFUNCTION("""COMPUTED_VALUE"""),0.0)</f>
        <v>0</v>
      </c>
    </row>
    <row r="1031">
      <c r="A1031" s="5" t="str">
        <f>IFERROR(__xludf.DUMMYFUNCTION("""COMPUTED_VALUE"""),"36252")</f>
        <v>36252</v>
      </c>
      <c r="B1031" s="64">
        <f>IFERROR(__xludf.DUMMYFUNCTION("""COMPUTED_VALUE"""),44618.0)</f>
        <v>44618</v>
      </c>
      <c r="C1031" s="5"/>
      <c r="D1031" s="5"/>
      <c r="E1031" s="5"/>
      <c r="F1031" s="22">
        <f>IFERROR(__xludf.DUMMYFUNCTION("""COMPUTED_VALUE"""),500000.0)</f>
        <v>500000</v>
      </c>
      <c r="G1031" s="22">
        <f>IFERROR(__xludf.DUMMYFUNCTION("""COMPUTED_VALUE"""),0.0)</f>
        <v>0</v>
      </c>
      <c r="H1031" s="22">
        <f>IFERROR(__xludf.DUMMYFUNCTION("""COMPUTED_VALUE"""),500000.0)</f>
        <v>500000</v>
      </c>
      <c r="I1031" s="24">
        <f>IFERROR(__xludf.DUMMYFUNCTION("""COMPUTED_VALUE"""),0.0)</f>
        <v>0</v>
      </c>
    </row>
    <row r="1032">
      <c r="A1032" s="5" t="str">
        <f>IFERROR(__xludf.DUMMYFUNCTION("""COMPUTED_VALUE"""),"36252")</f>
        <v>36252</v>
      </c>
      <c r="B1032" s="64">
        <f>IFERROR(__xludf.DUMMYFUNCTION("""COMPUTED_VALUE"""),44619.0)</f>
        <v>44619</v>
      </c>
      <c r="C1032" s="5"/>
      <c r="D1032" s="5"/>
      <c r="E1032" s="5"/>
      <c r="F1032" s="22">
        <f>IFERROR(__xludf.DUMMYFUNCTION("""COMPUTED_VALUE"""),500000.0)</f>
        <v>500000</v>
      </c>
      <c r="G1032" s="22">
        <f>IFERROR(__xludf.DUMMYFUNCTION("""COMPUTED_VALUE"""),0.0)</f>
        <v>0</v>
      </c>
      <c r="H1032" s="22">
        <f>IFERROR(__xludf.DUMMYFUNCTION("""COMPUTED_VALUE"""),500000.0)</f>
        <v>500000</v>
      </c>
      <c r="I1032" s="24">
        <f>IFERROR(__xludf.DUMMYFUNCTION("""COMPUTED_VALUE"""),0.0)</f>
        <v>0</v>
      </c>
    </row>
    <row r="1033">
      <c r="A1033" s="5" t="str">
        <f>IFERROR(__xludf.DUMMYFUNCTION("""COMPUTED_VALUE"""),"36252")</f>
        <v>36252</v>
      </c>
      <c r="B1033" s="64">
        <f>IFERROR(__xludf.DUMMYFUNCTION("""COMPUTED_VALUE"""),44620.0)</f>
        <v>44620</v>
      </c>
      <c r="C1033" s="5"/>
      <c r="D1033" s="5"/>
      <c r="E1033" s="5"/>
      <c r="F1033" s="22">
        <f>IFERROR(__xludf.DUMMYFUNCTION("""COMPUTED_VALUE"""),500000.0)</f>
        <v>500000</v>
      </c>
      <c r="G1033" s="22">
        <f>IFERROR(__xludf.DUMMYFUNCTION("""COMPUTED_VALUE"""),0.0)</f>
        <v>0</v>
      </c>
      <c r="H1033" s="22">
        <f>IFERROR(__xludf.DUMMYFUNCTION("""COMPUTED_VALUE"""),500000.0)</f>
        <v>500000</v>
      </c>
      <c r="I1033" s="24">
        <f>IFERROR(__xludf.DUMMYFUNCTION("""COMPUTED_VALUE"""),0.0)</f>
        <v>0</v>
      </c>
    </row>
    <row r="1034">
      <c r="A1034" s="5" t="str">
        <f>IFERROR(__xludf.DUMMYFUNCTION("""COMPUTED_VALUE"""),"36252")</f>
        <v>36252</v>
      </c>
      <c r="B1034" s="64">
        <f>IFERROR(__xludf.DUMMYFUNCTION("""COMPUTED_VALUE"""),44621.0)</f>
        <v>44621</v>
      </c>
      <c r="C1034" s="5"/>
      <c r="D1034" s="5"/>
      <c r="E1034" s="5"/>
      <c r="F1034" s="22">
        <f>IFERROR(__xludf.DUMMYFUNCTION("""COMPUTED_VALUE"""),500000.0)</f>
        <v>500000</v>
      </c>
      <c r="G1034" s="22">
        <f>IFERROR(__xludf.DUMMYFUNCTION("""COMPUTED_VALUE"""),0.0)</f>
        <v>0</v>
      </c>
      <c r="H1034" s="22">
        <f>IFERROR(__xludf.DUMMYFUNCTION("""COMPUTED_VALUE"""),500000.0)</f>
        <v>500000</v>
      </c>
      <c r="I1034" s="24">
        <f>IFERROR(__xludf.DUMMYFUNCTION("""COMPUTED_VALUE"""),0.0)</f>
        <v>0</v>
      </c>
    </row>
    <row r="1035">
      <c r="A1035" s="5" t="str">
        <f>IFERROR(__xludf.DUMMYFUNCTION("""COMPUTED_VALUE"""),"36252")</f>
        <v>36252</v>
      </c>
      <c r="B1035" s="64">
        <f>IFERROR(__xludf.DUMMYFUNCTION("""COMPUTED_VALUE"""),44622.0)</f>
        <v>44622</v>
      </c>
      <c r="C1035" s="5"/>
      <c r="D1035" s="5"/>
      <c r="E1035" s="5"/>
      <c r="F1035" s="22">
        <f>IFERROR(__xludf.DUMMYFUNCTION("""COMPUTED_VALUE"""),500000.0)</f>
        <v>500000</v>
      </c>
      <c r="G1035" s="22">
        <f>IFERROR(__xludf.DUMMYFUNCTION("""COMPUTED_VALUE"""),0.0)</f>
        <v>0</v>
      </c>
      <c r="H1035" s="22">
        <f>IFERROR(__xludf.DUMMYFUNCTION("""COMPUTED_VALUE"""),500000.0)</f>
        <v>500000</v>
      </c>
      <c r="I1035" s="24">
        <f>IFERROR(__xludf.DUMMYFUNCTION("""COMPUTED_VALUE"""),0.0)</f>
        <v>0</v>
      </c>
    </row>
    <row r="1036">
      <c r="A1036" s="5" t="str">
        <f>IFERROR(__xludf.DUMMYFUNCTION("""COMPUTED_VALUE"""),"36252")</f>
        <v>36252</v>
      </c>
      <c r="B1036" s="64">
        <f>IFERROR(__xludf.DUMMYFUNCTION("""COMPUTED_VALUE"""),44623.0)</f>
        <v>44623</v>
      </c>
      <c r="C1036" s="5"/>
      <c r="D1036" s="5"/>
      <c r="E1036" s="5"/>
      <c r="F1036" s="22">
        <f>IFERROR(__xludf.DUMMYFUNCTION("""COMPUTED_VALUE"""),500000.0)</f>
        <v>500000</v>
      </c>
      <c r="G1036" s="22">
        <f>IFERROR(__xludf.DUMMYFUNCTION("""COMPUTED_VALUE"""),0.0)</f>
        <v>0</v>
      </c>
      <c r="H1036" s="22">
        <f>IFERROR(__xludf.DUMMYFUNCTION("""COMPUTED_VALUE"""),500000.0)</f>
        <v>500000</v>
      </c>
      <c r="I1036" s="24">
        <f>IFERROR(__xludf.DUMMYFUNCTION("""COMPUTED_VALUE"""),0.0)</f>
        <v>0</v>
      </c>
    </row>
    <row r="1037">
      <c r="A1037" s="5" t="str">
        <f>IFERROR(__xludf.DUMMYFUNCTION("""COMPUTED_VALUE"""),"36252")</f>
        <v>36252</v>
      </c>
      <c r="B1037" s="64">
        <f>IFERROR(__xludf.DUMMYFUNCTION("""COMPUTED_VALUE"""),44624.0)</f>
        <v>44624</v>
      </c>
      <c r="C1037" s="5"/>
      <c r="D1037" s="5"/>
      <c r="E1037" s="5"/>
      <c r="F1037" s="22">
        <f>IFERROR(__xludf.DUMMYFUNCTION("""COMPUTED_VALUE"""),500000.0)</f>
        <v>500000</v>
      </c>
      <c r="G1037" s="22">
        <f>IFERROR(__xludf.DUMMYFUNCTION("""COMPUTED_VALUE"""),0.0)</f>
        <v>0</v>
      </c>
      <c r="H1037" s="22">
        <f>IFERROR(__xludf.DUMMYFUNCTION("""COMPUTED_VALUE"""),500000.0)</f>
        <v>500000</v>
      </c>
      <c r="I1037" s="24">
        <f>IFERROR(__xludf.DUMMYFUNCTION("""COMPUTED_VALUE"""),0.0)</f>
        <v>0</v>
      </c>
    </row>
    <row r="1038">
      <c r="A1038" s="5" t="str">
        <f>IFERROR(__xludf.DUMMYFUNCTION("""COMPUTED_VALUE"""),"36252")</f>
        <v>36252</v>
      </c>
      <c r="B1038" s="64">
        <f>IFERROR(__xludf.DUMMYFUNCTION("""COMPUTED_VALUE"""),44625.0)</f>
        <v>44625</v>
      </c>
      <c r="C1038" s="5"/>
      <c r="D1038" s="5"/>
      <c r="E1038" s="5"/>
      <c r="F1038" s="22">
        <f>IFERROR(__xludf.DUMMYFUNCTION("""COMPUTED_VALUE"""),500000.0)</f>
        <v>500000</v>
      </c>
      <c r="G1038" s="22">
        <f>IFERROR(__xludf.DUMMYFUNCTION("""COMPUTED_VALUE"""),0.0)</f>
        <v>0</v>
      </c>
      <c r="H1038" s="22">
        <f>IFERROR(__xludf.DUMMYFUNCTION("""COMPUTED_VALUE"""),500000.0)</f>
        <v>500000</v>
      </c>
      <c r="I1038" s="24">
        <f>IFERROR(__xludf.DUMMYFUNCTION("""COMPUTED_VALUE"""),0.0)</f>
        <v>0</v>
      </c>
    </row>
    <row r="1039">
      <c r="A1039" s="5" t="str">
        <f>IFERROR(__xludf.DUMMYFUNCTION("""COMPUTED_VALUE"""),"36252")</f>
        <v>36252</v>
      </c>
      <c r="B1039" s="64">
        <f>IFERROR(__xludf.DUMMYFUNCTION("""COMPUTED_VALUE"""),44626.0)</f>
        <v>44626</v>
      </c>
      <c r="C1039" s="5"/>
      <c r="D1039" s="5"/>
      <c r="E1039" s="5"/>
      <c r="F1039" s="22">
        <f>IFERROR(__xludf.DUMMYFUNCTION("""COMPUTED_VALUE"""),500000.0)</f>
        <v>500000</v>
      </c>
      <c r="G1039" s="22">
        <f>IFERROR(__xludf.DUMMYFUNCTION("""COMPUTED_VALUE"""),0.0)</f>
        <v>0</v>
      </c>
      <c r="H1039" s="22">
        <f>IFERROR(__xludf.DUMMYFUNCTION("""COMPUTED_VALUE"""),500000.0)</f>
        <v>500000</v>
      </c>
      <c r="I1039" s="24">
        <f>IFERROR(__xludf.DUMMYFUNCTION("""COMPUTED_VALUE"""),0.0)</f>
        <v>0</v>
      </c>
    </row>
    <row r="1040">
      <c r="A1040" s="5" t="str">
        <f>IFERROR(__xludf.DUMMYFUNCTION("""COMPUTED_VALUE"""),"36252")</f>
        <v>36252</v>
      </c>
      <c r="B1040" s="64">
        <f>IFERROR(__xludf.DUMMYFUNCTION("""COMPUTED_VALUE"""),44627.0)</f>
        <v>44627</v>
      </c>
      <c r="C1040" s="5"/>
      <c r="D1040" s="5"/>
      <c r="E1040" s="5"/>
      <c r="F1040" s="22">
        <f>IFERROR(__xludf.DUMMYFUNCTION("""COMPUTED_VALUE"""),500000.0)</f>
        <v>500000</v>
      </c>
      <c r="G1040" s="22">
        <f>IFERROR(__xludf.DUMMYFUNCTION("""COMPUTED_VALUE"""),0.0)</f>
        <v>0</v>
      </c>
      <c r="H1040" s="22">
        <f>IFERROR(__xludf.DUMMYFUNCTION("""COMPUTED_VALUE"""),500000.0)</f>
        <v>500000</v>
      </c>
      <c r="I1040" s="24">
        <f>IFERROR(__xludf.DUMMYFUNCTION("""COMPUTED_VALUE"""),0.0)</f>
        <v>0</v>
      </c>
    </row>
    <row r="1041">
      <c r="A1041" s="5" t="str">
        <f>IFERROR(__xludf.DUMMYFUNCTION("""COMPUTED_VALUE"""),"36252")</f>
        <v>36252</v>
      </c>
      <c r="B1041" s="64">
        <f>IFERROR(__xludf.DUMMYFUNCTION("""COMPUTED_VALUE"""),44628.0)</f>
        <v>44628</v>
      </c>
      <c r="C1041" s="5"/>
      <c r="D1041" s="5"/>
      <c r="E1041" s="5"/>
      <c r="F1041" s="22">
        <f>IFERROR(__xludf.DUMMYFUNCTION("""COMPUTED_VALUE"""),500000.0)</f>
        <v>500000</v>
      </c>
      <c r="G1041" s="22">
        <f>IFERROR(__xludf.DUMMYFUNCTION("""COMPUTED_VALUE"""),0.0)</f>
        <v>0</v>
      </c>
      <c r="H1041" s="22">
        <f>IFERROR(__xludf.DUMMYFUNCTION("""COMPUTED_VALUE"""),500000.0)</f>
        <v>500000</v>
      </c>
      <c r="I1041" s="24">
        <f>IFERROR(__xludf.DUMMYFUNCTION("""COMPUTED_VALUE"""),0.0)</f>
        <v>0</v>
      </c>
    </row>
    <row r="1042">
      <c r="A1042" s="5" t="str">
        <f>IFERROR(__xludf.DUMMYFUNCTION("""COMPUTED_VALUE"""),"36252")</f>
        <v>36252</v>
      </c>
      <c r="B1042" s="64">
        <f>IFERROR(__xludf.DUMMYFUNCTION("""COMPUTED_VALUE"""),44629.0)</f>
        <v>44629</v>
      </c>
      <c r="C1042" s="5"/>
      <c r="D1042" s="5"/>
      <c r="E1042" s="5"/>
      <c r="F1042" s="22">
        <f>IFERROR(__xludf.DUMMYFUNCTION("""COMPUTED_VALUE"""),500000.0)</f>
        <v>500000</v>
      </c>
      <c r="G1042" s="22">
        <f>IFERROR(__xludf.DUMMYFUNCTION("""COMPUTED_VALUE"""),0.0)</f>
        <v>0</v>
      </c>
      <c r="H1042" s="22">
        <f>IFERROR(__xludf.DUMMYFUNCTION("""COMPUTED_VALUE"""),500000.0)</f>
        <v>500000</v>
      </c>
      <c r="I1042" s="24">
        <f>IFERROR(__xludf.DUMMYFUNCTION("""COMPUTED_VALUE"""),0.0)</f>
        <v>0</v>
      </c>
    </row>
    <row r="1043">
      <c r="A1043" s="5" t="str">
        <f>IFERROR(__xludf.DUMMYFUNCTION("""COMPUTED_VALUE"""),"36252")</f>
        <v>36252</v>
      </c>
      <c r="B1043" s="64">
        <f>IFERROR(__xludf.DUMMYFUNCTION("""COMPUTED_VALUE"""),44630.0)</f>
        <v>44630</v>
      </c>
      <c r="C1043" s="5"/>
      <c r="D1043" s="5"/>
      <c r="E1043" s="5"/>
      <c r="F1043" s="22">
        <f>IFERROR(__xludf.DUMMYFUNCTION("""COMPUTED_VALUE"""),500000.0)</f>
        <v>500000</v>
      </c>
      <c r="G1043" s="22">
        <f>IFERROR(__xludf.DUMMYFUNCTION("""COMPUTED_VALUE"""),0.0)</f>
        <v>0</v>
      </c>
      <c r="H1043" s="22">
        <f>IFERROR(__xludf.DUMMYFUNCTION("""COMPUTED_VALUE"""),500000.0)</f>
        <v>500000</v>
      </c>
      <c r="I1043" s="24">
        <f>IFERROR(__xludf.DUMMYFUNCTION("""COMPUTED_VALUE"""),0.0)</f>
        <v>0</v>
      </c>
    </row>
    <row r="1044">
      <c r="A1044" s="5" t="str">
        <f>IFERROR(__xludf.DUMMYFUNCTION("""COMPUTED_VALUE"""),"36252")</f>
        <v>36252</v>
      </c>
      <c r="B1044" s="64">
        <f>IFERROR(__xludf.DUMMYFUNCTION("""COMPUTED_VALUE"""),44631.0)</f>
        <v>44631</v>
      </c>
      <c r="C1044" s="5"/>
      <c r="D1044" s="5"/>
      <c r="E1044" s="5"/>
      <c r="F1044" s="22">
        <f>IFERROR(__xludf.DUMMYFUNCTION("""COMPUTED_VALUE"""),500000.0)</f>
        <v>500000</v>
      </c>
      <c r="G1044" s="22">
        <f>IFERROR(__xludf.DUMMYFUNCTION("""COMPUTED_VALUE"""),0.0)</f>
        <v>0</v>
      </c>
      <c r="H1044" s="22">
        <f>IFERROR(__xludf.DUMMYFUNCTION("""COMPUTED_VALUE"""),500000.0)</f>
        <v>500000</v>
      </c>
      <c r="I1044" s="24">
        <f>IFERROR(__xludf.DUMMYFUNCTION("""COMPUTED_VALUE"""),0.0)</f>
        <v>0</v>
      </c>
    </row>
    <row r="1045">
      <c r="A1045" s="5" t="str">
        <f>IFERROR(__xludf.DUMMYFUNCTION("""COMPUTED_VALUE"""),"36252")</f>
        <v>36252</v>
      </c>
      <c r="B1045" s="64">
        <f>IFERROR(__xludf.DUMMYFUNCTION("""COMPUTED_VALUE"""),44632.0)</f>
        <v>44632</v>
      </c>
      <c r="C1045" s="5"/>
      <c r="D1045" s="5"/>
      <c r="E1045" s="5"/>
      <c r="F1045" s="22">
        <f>IFERROR(__xludf.DUMMYFUNCTION("""COMPUTED_VALUE"""),500000.0)</f>
        <v>500000</v>
      </c>
      <c r="G1045" s="22">
        <f>IFERROR(__xludf.DUMMYFUNCTION("""COMPUTED_VALUE"""),0.0)</f>
        <v>0</v>
      </c>
      <c r="H1045" s="22">
        <f>IFERROR(__xludf.DUMMYFUNCTION("""COMPUTED_VALUE"""),500000.0)</f>
        <v>500000</v>
      </c>
      <c r="I1045" s="24">
        <f>IFERROR(__xludf.DUMMYFUNCTION("""COMPUTED_VALUE"""),0.0)</f>
        <v>0</v>
      </c>
    </row>
    <row r="1046">
      <c r="A1046" s="5" t="str">
        <f>IFERROR(__xludf.DUMMYFUNCTION("""COMPUTED_VALUE"""),"36252")</f>
        <v>36252</v>
      </c>
      <c r="B1046" s="64">
        <f>IFERROR(__xludf.DUMMYFUNCTION("""COMPUTED_VALUE"""),44633.0)</f>
        <v>44633</v>
      </c>
      <c r="C1046" s="5"/>
      <c r="D1046" s="5"/>
      <c r="E1046" s="5"/>
      <c r="F1046" s="22">
        <f>IFERROR(__xludf.DUMMYFUNCTION("""COMPUTED_VALUE"""),500000.0)</f>
        <v>500000</v>
      </c>
      <c r="G1046" s="22">
        <f>IFERROR(__xludf.DUMMYFUNCTION("""COMPUTED_VALUE"""),0.0)</f>
        <v>0</v>
      </c>
      <c r="H1046" s="22">
        <f>IFERROR(__xludf.DUMMYFUNCTION("""COMPUTED_VALUE"""),500000.0)</f>
        <v>500000</v>
      </c>
      <c r="I1046" s="24">
        <f>IFERROR(__xludf.DUMMYFUNCTION("""COMPUTED_VALUE"""),0.0)</f>
        <v>0</v>
      </c>
    </row>
    <row r="1047">
      <c r="A1047" s="5" t="str">
        <f>IFERROR(__xludf.DUMMYFUNCTION("""COMPUTED_VALUE"""),"36252")</f>
        <v>36252</v>
      </c>
      <c r="B1047" s="64">
        <f>IFERROR(__xludf.DUMMYFUNCTION("""COMPUTED_VALUE"""),44634.0)</f>
        <v>44634</v>
      </c>
      <c r="C1047" s="5"/>
      <c r="D1047" s="5"/>
      <c r="E1047" s="5"/>
      <c r="F1047" s="22">
        <f>IFERROR(__xludf.DUMMYFUNCTION("""COMPUTED_VALUE"""),500000.0)</f>
        <v>500000</v>
      </c>
      <c r="G1047" s="22">
        <f>IFERROR(__xludf.DUMMYFUNCTION("""COMPUTED_VALUE"""),0.0)</f>
        <v>0</v>
      </c>
      <c r="H1047" s="22">
        <f>IFERROR(__xludf.DUMMYFUNCTION("""COMPUTED_VALUE"""),500000.0)</f>
        <v>500000</v>
      </c>
      <c r="I1047" s="24">
        <f>IFERROR(__xludf.DUMMYFUNCTION("""COMPUTED_VALUE"""),0.0)</f>
        <v>0</v>
      </c>
    </row>
    <row r="1048">
      <c r="A1048" s="5" t="str">
        <f>IFERROR(__xludf.DUMMYFUNCTION("""COMPUTED_VALUE"""),"36252")</f>
        <v>36252</v>
      </c>
      <c r="B1048" s="64">
        <f>IFERROR(__xludf.DUMMYFUNCTION("""COMPUTED_VALUE"""),44635.0)</f>
        <v>44635</v>
      </c>
      <c r="C1048" s="5"/>
      <c r="D1048" s="5"/>
      <c r="E1048" s="5"/>
      <c r="F1048" s="22">
        <f>IFERROR(__xludf.DUMMYFUNCTION("""COMPUTED_VALUE"""),500000.0)</f>
        <v>500000</v>
      </c>
      <c r="G1048" s="22">
        <f>IFERROR(__xludf.DUMMYFUNCTION("""COMPUTED_VALUE"""),0.0)</f>
        <v>0</v>
      </c>
      <c r="H1048" s="22">
        <f>IFERROR(__xludf.DUMMYFUNCTION("""COMPUTED_VALUE"""),500000.0)</f>
        <v>500000</v>
      </c>
      <c r="I1048" s="24">
        <f>IFERROR(__xludf.DUMMYFUNCTION("""COMPUTED_VALUE"""),0.0)</f>
        <v>0</v>
      </c>
    </row>
    <row r="1049">
      <c r="A1049" s="5" t="str">
        <f>IFERROR(__xludf.DUMMYFUNCTION("""COMPUTED_VALUE"""),"36252")</f>
        <v>36252</v>
      </c>
      <c r="B1049" s="64">
        <f>IFERROR(__xludf.DUMMYFUNCTION("""COMPUTED_VALUE"""),44636.0)</f>
        <v>44636</v>
      </c>
      <c r="C1049" s="5"/>
      <c r="D1049" s="5"/>
      <c r="E1049" s="5"/>
      <c r="F1049" s="22">
        <f>IFERROR(__xludf.DUMMYFUNCTION("""COMPUTED_VALUE"""),500000.0)</f>
        <v>500000</v>
      </c>
      <c r="G1049" s="22">
        <f>IFERROR(__xludf.DUMMYFUNCTION("""COMPUTED_VALUE"""),0.0)</f>
        <v>0</v>
      </c>
      <c r="H1049" s="22">
        <f>IFERROR(__xludf.DUMMYFUNCTION("""COMPUTED_VALUE"""),500000.0)</f>
        <v>500000</v>
      </c>
      <c r="I1049" s="24">
        <f>IFERROR(__xludf.DUMMYFUNCTION("""COMPUTED_VALUE"""),0.0)</f>
        <v>0</v>
      </c>
    </row>
    <row r="1050">
      <c r="A1050" s="5" t="str">
        <f>IFERROR(__xludf.DUMMYFUNCTION("""COMPUTED_VALUE"""),"36252")</f>
        <v>36252</v>
      </c>
      <c r="B1050" s="64">
        <f>IFERROR(__xludf.DUMMYFUNCTION("""COMPUTED_VALUE"""),44637.0)</f>
        <v>44637</v>
      </c>
      <c r="C1050" s="5"/>
      <c r="D1050" s="5"/>
      <c r="E1050" s="5"/>
      <c r="F1050" s="22">
        <f>IFERROR(__xludf.DUMMYFUNCTION("""COMPUTED_VALUE"""),500000.0)</f>
        <v>500000</v>
      </c>
      <c r="G1050" s="22">
        <f>IFERROR(__xludf.DUMMYFUNCTION("""COMPUTED_VALUE"""),0.0)</f>
        <v>0</v>
      </c>
      <c r="H1050" s="22">
        <f>IFERROR(__xludf.DUMMYFUNCTION("""COMPUTED_VALUE"""),500000.0)</f>
        <v>500000</v>
      </c>
      <c r="I1050" s="24">
        <f>IFERROR(__xludf.DUMMYFUNCTION("""COMPUTED_VALUE"""),0.0)</f>
        <v>0</v>
      </c>
    </row>
    <row r="1051">
      <c r="A1051" s="5" t="str">
        <f>IFERROR(__xludf.DUMMYFUNCTION("""COMPUTED_VALUE"""),"36252")</f>
        <v>36252</v>
      </c>
      <c r="B1051" s="64">
        <f>IFERROR(__xludf.DUMMYFUNCTION("""COMPUTED_VALUE"""),44638.0)</f>
        <v>44638</v>
      </c>
      <c r="C1051" s="5"/>
      <c r="D1051" s="5"/>
      <c r="E1051" s="5"/>
      <c r="F1051" s="22">
        <f>IFERROR(__xludf.DUMMYFUNCTION("""COMPUTED_VALUE"""),500000.0)</f>
        <v>500000</v>
      </c>
      <c r="G1051" s="22">
        <f>IFERROR(__xludf.DUMMYFUNCTION("""COMPUTED_VALUE"""),0.0)</f>
        <v>0</v>
      </c>
      <c r="H1051" s="22">
        <f>IFERROR(__xludf.DUMMYFUNCTION("""COMPUTED_VALUE"""),500000.0)</f>
        <v>500000</v>
      </c>
      <c r="I1051" s="24">
        <f>IFERROR(__xludf.DUMMYFUNCTION("""COMPUTED_VALUE"""),0.0)</f>
        <v>0</v>
      </c>
    </row>
    <row r="1052">
      <c r="A1052" s="5" t="str">
        <f>IFERROR(__xludf.DUMMYFUNCTION("""COMPUTED_VALUE"""),"36252")</f>
        <v>36252</v>
      </c>
      <c r="B1052" s="64">
        <f>IFERROR(__xludf.DUMMYFUNCTION("""COMPUTED_VALUE"""),44639.0)</f>
        <v>44639</v>
      </c>
      <c r="C1052" s="5"/>
      <c r="D1052" s="5"/>
      <c r="E1052" s="5"/>
      <c r="F1052" s="22">
        <f>IFERROR(__xludf.DUMMYFUNCTION("""COMPUTED_VALUE"""),500000.0)</f>
        <v>500000</v>
      </c>
      <c r="G1052" s="22">
        <f>IFERROR(__xludf.DUMMYFUNCTION("""COMPUTED_VALUE"""),0.0)</f>
        <v>0</v>
      </c>
      <c r="H1052" s="22">
        <f>IFERROR(__xludf.DUMMYFUNCTION("""COMPUTED_VALUE"""),505200.0)</f>
        <v>505200</v>
      </c>
      <c r="I1052" s="24">
        <f>IFERROR(__xludf.DUMMYFUNCTION("""COMPUTED_VALUE"""),0.010399999999999965)</f>
        <v>0.0104</v>
      </c>
    </row>
    <row r="1053">
      <c r="A1053" s="5" t="str">
        <f>IFERROR(__xludf.DUMMYFUNCTION("""COMPUTED_VALUE"""),"36252")</f>
        <v>36252</v>
      </c>
      <c r="B1053" s="64">
        <f>IFERROR(__xludf.DUMMYFUNCTION("""COMPUTED_VALUE"""),44640.0)</f>
        <v>44640</v>
      </c>
      <c r="C1053" s="5"/>
      <c r="D1053" s="5"/>
      <c r="E1053" s="5"/>
      <c r="F1053" s="22">
        <f>IFERROR(__xludf.DUMMYFUNCTION("""COMPUTED_VALUE"""),500000.0)</f>
        <v>500000</v>
      </c>
      <c r="G1053" s="22">
        <f>IFERROR(__xludf.DUMMYFUNCTION("""COMPUTED_VALUE"""),0.0)</f>
        <v>0</v>
      </c>
      <c r="H1053" s="22">
        <f>IFERROR(__xludf.DUMMYFUNCTION("""COMPUTED_VALUE"""),505200.0)</f>
        <v>505200</v>
      </c>
      <c r="I1053" s="24">
        <f>IFERROR(__xludf.DUMMYFUNCTION("""COMPUTED_VALUE"""),0.010399999999999965)</f>
        <v>0.0104</v>
      </c>
    </row>
    <row r="1054">
      <c r="A1054" s="5" t="str">
        <f>IFERROR(__xludf.DUMMYFUNCTION("""COMPUTED_VALUE"""),"36252")</f>
        <v>36252</v>
      </c>
      <c r="B1054" s="64">
        <f>IFERROR(__xludf.DUMMYFUNCTION("""COMPUTED_VALUE"""),44641.0)</f>
        <v>44641</v>
      </c>
      <c r="C1054" s="5"/>
      <c r="D1054" s="5"/>
      <c r="E1054" s="5"/>
      <c r="F1054" s="22">
        <f>IFERROR(__xludf.DUMMYFUNCTION("""COMPUTED_VALUE"""),500000.0)</f>
        <v>500000</v>
      </c>
      <c r="G1054" s="22">
        <f>IFERROR(__xludf.DUMMYFUNCTION("""COMPUTED_VALUE"""),0.0)</f>
        <v>0</v>
      </c>
      <c r="H1054" s="22">
        <f>IFERROR(__xludf.DUMMYFUNCTION("""COMPUTED_VALUE"""),500000.0)</f>
        <v>500000</v>
      </c>
      <c r="I1054" s="24">
        <f>IFERROR(__xludf.DUMMYFUNCTION("""COMPUTED_VALUE"""),0.0)</f>
        <v>0</v>
      </c>
    </row>
    <row r="1055">
      <c r="A1055" s="5" t="str">
        <f>IFERROR(__xludf.DUMMYFUNCTION("""COMPUTED_VALUE"""),"36252")</f>
        <v>36252</v>
      </c>
      <c r="B1055" s="64">
        <f>IFERROR(__xludf.DUMMYFUNCTION("""COMPUTED_VALUE"""),44642.0)</f>
        <v>44642</v>
      </c>
      <c r="C1055" s="5"/>
      <c r="D1055" s="5"/>
      <c r="E1055" s="5"/>
      <c r="F1055" s="22">
        <f>IFERROR(__xludf.DUMMYFUNCTION("""COMPUTED_VALUE"""),500000.0)</f>
        <v>500000</v>
      </c>
      <c r="G1055" s="22">
        <f>IFERROR(__xludf.DUMMYFUNCTION("""COMPUTED_VALUE"""),0.0)</f>
        <v>0</v>
      </c>
      <c r="H1055" s="22">
        <f>IFERROR(__xludf.DUMMYFUNCTION("""COMPUTED_VALUE"""),490760.0)</f>
        <v>490760</v>
      </c>
      <c r="I1055" s="24">
        <f>IFERROR(__xludf.DUMMYFUNCTION("""COMPUTED_VALUE"""),-0.018480000000000052)</f>
        <v>-0.01848</v>
      </c>
    </row>
    <row r="1056">
      <c r="A1056" s="5" t="str">
        <f>IFERROR(__xludf.DUMMYFUNCTION("""COMPUTED_VALUE"""),"36252")</f>
        <v>36252</v>
      </c>
      <c r="B1056" s="64">
        <f>IFERROR(__xludf.DUMMYFUNCTION("""COMPUTED_VALUE"""),44643.0)</f>
        <v>44643</v>
      </c>
      <c r="C1056" s="5"/>
      <c r="D1056" s="5"/>
      <c r="E1056" s="5"/>
      <c r="F1056" s="22">
        <f>IFERROR(__xludf.DUMMYFUNCTION("""COMPUTED_VALUE"""),500000.0)</f>
        <v>500000</v>
      </c>
      <c r="G1056" s="22">
        <f>IFERROR(__xludf.DUMMYFUNCTION("""COMPUTED_VALUE"""),0.0)</f>
        <v>0</v>
      </c>
      <c r="H1056" s="22">
        <f>IFERROR(__xludf.DUMMYFUNCTION("""COMPUTED_VALUE"""),490500.0)</f>
        <v>490500</v>
      </c>
      <c r="I1056" s="24">
        <f>IFERROR(__xludf.DUMMYFUNCTION("""COMPUTED_VALUE"""),-0.019000000000000017)</f>
        <v>-0.019</v>
      </c>
    </row>
    <row r="1057">
      <c r="A1057" s="5" t="str">
        <f>IFERROR(__xludf.DUMMYFUNCTION("""COMPUTED_VALUE"""),"36252")</f>
        <v>36252</v>
      </c>
      <c r="B1057" s="64">
        <f>IFERROR(__xludf.DUMMYFUNCTION("""COMPUTED_VALUE"""),44644.0)</f>
        <v>44644</v>
      </c>
      <c r="C1057" s="5"/>
      <c r="D1057" s="5"/>
      <c r="E1057" s="5"/>
      <c r="F1057" s="22">
        <f>IFERROR(__xludf.DUMMYFUNCTION("""COMPUTED_VALUE"""),500000.0)</f>
        <v>500000</v>
      </c>
      <c r="G1057" s="22">
        <f>IFERROR(__xludf.DUMMYFUNCTION("""COMPUTED_VALUE"""),0.0)</f>
        <v>0</v>
      </c>
      <c r="H1057" s="22">
        <f>IFERROR(__xludf.DUMMYFUNCTION("""COMPUTED_VALUE"""),500660.00000000006)</f>
        <v>500660</v>
      </c>
      <c r="I1057" s="24">
        <f>IFERROR(__xludf.DUMMYFUNCTION("""COMPUTED_VALUE"""),0.00132000000000021)</f>
        <v>0.00132</v>
      </c>
    </row>
    <row r="1058">
      <c r="A1058" s="5" t="str">
        <f>IFERROR(__xludf.DUMMYFUNCTION("""COMPUTED_VALUE"""),"36252")</f>
        <v>36252</v>
      </c>
      <c r="B1058" s="64">
        <f>IFERROR(__xludf.DUMMYFUNCTION("""COMPUTED_VALUE"""),44645.0)</f>
        <v>44645</v>
      </c>
      <c r="C1058" s="5"/>
      <c r="D1058" s="5"/>
      <c r="E1058" s="5"/>
      <c r="F1058" s="22">
        <f>IFERROR(__xludf.DUMMYFUNCTION("""COMPUTED_VALUE"""),500000.0)</f>
        <v>500000</v>
      </c>
      <c r="G1058" s="22">
        <f>IFERROR(__xludf.DUMMYFUNCTION("""COMPUTED_VALUE"""),0.0)</f>
        <v>0</v>
      </c>
      <c r="H1058" s="22">
        <f>IFERROR(__xludf.DUMMYFUNCTION("""COMPUTED_VALUE"""),510002.77262000006)</f>
        <v>510002.7726</v>
      </c>
      <c r="I1058" s="24">
        <f>IFERROR(__xludf.DUMMYFUNCTION("""COMPUTED_VALUE"""),0.02000554524000009)</f>
        <v>0.02000554524</v>
      </c>
    </row>
    <row r="1059">
      <c r="A1059" s="5" t="str">
        <f>IFERROR(__xludf.DUMMYFUNCTION("""COMPUTED_VALUE"""),"36252")</f>
        <v>36252</v>
      </c>
      <c r="B1059" s="64">
        <f>IFERROR(__xludf.DUMMYFUNCTION("""COMPUTED_VALUE"""),44646.0)</f>
        <v>44646</v>
      </c>
      <c r="C1059" s="5"/>
      <c r="D1059" s="5"/>
      <c r="E1059" s="5"/>
      <c r="F1059" s="22">
        <f>IFERROR(__xludf.DUMMYFUNCTION("""COMPUTED_VALUE"""),500000.0)</f>
        <v>500000</v>
      </c>
      <c r="G1059" s="22">
        <f>IFERROR(__xludf.DUMMYFUNCTION("""COMPUTED_VALUE"""),0.0)</f>
        <v>0</v>
      </c>
      <c r="H1059" s="22">
        <f>IFERROR(__xludf.DUMMYFUNCTION("""COMPUTED_VALUE"""),510002.77262000006)</f>
        <v>510002.7726</v>
      </c>
      <c r="I1059" s="24">
        <f>IFERROR(__xludf.DUMMYFUNCTION("""COMPUTED_VALUE"""),0.02000554524000009)</f>
        <v>0.02000554524</v>
      </c>
    </row>
    <row r="1060">
      <c r="A1060" s="5" t="str">
        <f>IFERROR(__xludf.DUMMYFUNCTION("""COMPUTED_VALUE"""),"36252")</f>
        <v>36252</v>
      </c>
      <c r="B1060" s="64">
        <f>IFERROR(__xludf.DUMMYFUNCTION("""COMPUTED_VALUE"""),44647.0)</f>
        <v>44647</v>
      </c>
      <c r="C1060" s="5"/>
      <c r="D1060" s="5"/>
      <c r="E1060" s="5"/>
      <c r="F1060" s="22">
        <f>IFERROR(__xludf.DUMMYFUNCTION("""COMPUTED_VALUE"""),500000.0)</f>
        <v>500000</v>
      </c>
      <c r="G1060" s="22">
        <f>IFERROR(__xludf.DUMMYFUNCTION("""COMPUTED_VALUE"""),0.0)</f>
        <v>0</v>
      </c>
      <c r="H1060" s="22">
        <f>IFERROR(__xludf.DUMMYFUNCTION("""COMPUTED_VALUE"""),510002.77262000006)</f>
        <v>510002.7726</v>
      </c>
      <c r="I1060" s="24">
        <f>IFERROR(__xludf.DUMMYFUNCTION("""COMPUTED_VALUE"""),0.02000554524000009)</f>
        <v>0.02000554524</v>
      </c>
    </row>
    <row r="1061">
      <c r="A1061" s="5" t="str">
        <f>IFERROR(__xludf.DUMMYFUNCTION("""COMPUTED_VALUE"""),"36252")</f>
        <v>36252</v>
      </c>
      <c r="B1061" s="64">
        <f>IFERROR(__xludf.DUMMYFUNCTION("""COMPUTED_VALUE"""),44648.0)</f>
        <v>44648</v>
      </c>
      <c r="C1061" s="5"/>
      <c r="D1061" s="5"/>
      <c r="E1061" s="5"/>
      <c r="F1061" s="22">
        <f>IFERROR(__xludf.DUMMYFUNCTION("""COMPUTED_VALUE"""),500000.0)</f>
        <v>500000</v>
      </c>
      <c r="G1061" s="22">
        <f>IFERROR(__xludf.DUMMYFUNCTION("""COMPUTED_VALUE"""),0.0)</f>
        <v>0</v>
      </c>
      <c r="H1061" s="22">
        <f>IFERROR(__xludf.DUMMYFUNCTION("""COMPUTED_VALUE"""),536149.611656)</f>
        <v>536149.6117</v>
      </c>
      <c r="I1061" s="24">
        <f>IFERROR(__xludf.DUMMYFUNCTION("""COMPUTED_VALUE"""),0.07229922331200012)</f>
        <v>0.07229922331</v>
      </c>
    </row>
    <row r="1062">
      <c r="A1062" s="5" t="str">
        <f>IFERROR(__xludf.DUMMYFUNCTION("""COMPUTED_VALUE"""),"36252")</f>
        <v>36252</v>
      </c>
      <c r="B1062" s="64">
        <f>IFERROR(__xludf.DUMMYFUNCTION("""COMPUTED_VALUE"""),44649.0)</f>
        <v>44649</v>
      </c>
      <c r="C1062" s="5"/>
      <c r="D1062" s="5"/>
      <c r="E1062" s="5"/>
      <c r="F1062" s="22">
        <f>IFERROR(__xludf.DUMMYFUNCTION("""COMPUTED_VALUE"""),500000.0)</f>
        <v>500000</v>
      </c>
      <c r="G1062" s="22">
        <f>IFERROR(__xludf.DUMMYFUNCTION("""COMPUTED_VALUE"""),0.0)</f>
        <v>0</v>
      </c>
      <c r="H1062" s="22">
        <f>IFERROR(__xludf.DUMMYFUNCTION("""COMPUTED_VALUE"""),560805.3533180001)</f>
        <v>560805.3533</v>
      </c>
      <c r="I1062" s="24">
        <f>IFERROR(__xludf.DUMMYFUNCTION("""COMPUTED_VALUE"""),0.12161070663600015)</f>
        <v>0.1216107066</v>
      </c>
    </row>
    <row r="1063">
      <c r="A1063" s="5" t="str">
        <f>IFERROR(__xludf.DUMMYFUNCTION("""COMPUTED_VALUE"""),"36252")</f>
        <v>36252</v>
      </c>
      <c r="B1063" s="64">
        <f>IFERROR(__xludf.DUMMYFUNCTION("""COMPUTED_VALUE"""),44650.0)</f>
        <v>44650</v>
      </c>
      <c r="C1063" s="5"/>
      <c r="D1063" s="5"/>
      <c r="E1063" s="5"/>
      <c r="F1063" s="22">
        <f>IFERROR(__xludf.DUMMYFUNCTION("""COMPUTED_VALUE"""),500000.0)</f>
        <v>500000</v>
      </c>
      <c r="G1063" s="22">
        <f>IFERROR(__xludf.DUMMYFUNCTION("""COMPUTED_VALUE"""),0.0)</f>
        <v>0</v>
      </c>
      <c r="H1063" s="22">
        <f>IFERROR(__xludf.DUMMYFUNCTION("""COMPUTED_VALUE"""),533684.1578480001)</f>
        <v>533684.1578</v>
      </c>
      <c r="I1063" s="24">
        <f>IFERROR(__xludf.DUMMYFUNCTION("""COMPUTED_VALUE"""),0.0673683156960001)</f>
        <v>0.0673683157</v>
      </c>
    </row>
    <row r="1064">
      <c r="A1064" s="5" t="str">
        <f>IFERROR(__xludf.DUMMYFUNCTION("""COMPUTED_VALUE"""),"36252")</f>
        <v>36252</v>
      </c>
      <c r="B1064" s="64">
        <f>IFERROR(__xludf.DUMMYFUNCTION("""COMPUTED_VALUE"""),44651.0)</f>
        <v>44651</v>
      </c>
      <c r="C1064" s="5"/>
      <c r="D1064" s="5"/>
      <c r="E1064" s="5"/>
      <c r="F1064" s="22">
        <f>IFERROR(__xludf.DUMMYFUNCTION("""COMPUTED_VALUE"""),500000.0)</f>
        <v>500000</v>
      </c>
      <c r="G1064" s="22">
        <f>IFERROR(__xludf.DUMMYFUNCTION("""COMPUTED_VALUE"""),0.0)</f>
        <v>0</v>
      </c>
      <c r="H1064" s="22">
        <f>IFERROR(__xludf.DUMMYFUNCTION("""COMPUTED_VALUE"""),539438.51199)</f>
        <v>539438.512</v>
      </c>
      <c r="I1064" s="24">
        <f>IFERROR(__xludf.DUMMYFUNCTION("""COMPUTED_VALUE"""),0.07887702398000007)</f>
        <v>0.07887702398</v>
      </c>
    </row>
    <row r="1065">
      <c r="A1065" s="5" t="str">
        <f>IFERROR(__xludf.DUMMYFUNCTION("""COMPUTED_VALUE"""),"36252")</f>
        <v>36252</v>
      </c>
      <c r="B1065" s="64">
        <f>IFERROR(__xludf.DUMMYFUNCTION("""COMPUTED_VALUE"""),44652.0)</f>
        <v>44652</v>
      </c>
      <c r="C1065" s="5"/>
      <c r="D1065" s="5"/>
      <c r="E1065" s="5"/>
      <c r="F1065" s="22">
        <f>IFERROR(__xludf.DUMMYFUNCTION("""COMPUTED_VALUE"""),500000.0)</f>
        <v>500000</v>
      </c>
      <c r="G1065" s="22">
        <f>IFERROR(__xludf.DUMMYFUNCTION("""COMPUTED_VALUE"""),0.0)</f>
        <v>0</v>
      </c>
      <c r="H1065" s="22">
        <f>IFERROR(__xludf.DUMMYFUNCTION("""COMPUTED_VALUE"""),552943.3448300001)</f>
        <v>552943.3448</v>
      </c>
      <c r="I1065" s="24">
        <f>IFERROR(__xludf.DUMMYFUNCTION("""COMPUTED_VALUE"""),0.10588668966000014)</f>
        <v>0.1058866897</v>
      </c>
    </row>
    <row r="1066">
      <c r="A1066" s="5" t="str">
        <f>IFERROR(__xludf.DUMMYFUNCTION("""COMPUTED_VALUE"""),"36252")</f>
        <v>36252</v>
      </c>
      <c r="B1066" s="64">
        <f>IFERROR(__xludf.DUMMYFUNCTION("""COMPUTED_VALUE"""),44653.0)</f>
        <v>44653</v>
      </c>
      <c r="C1066" s="5"/>
      <c r="D1066" s="5"/>
      <c r="E1066" s="5"/>
      <c r="F1066" s="22">
        <f>IFERROR(__xludf.DUMMYFUNCTION("""COMPUTED_VALUE"""),500000.0)</f>
        <v>500000</v>
      </c>
      <c r="G1066" s="22">
        <f>IFERROR(__xludf.DUMMYFUNCTION("""COMPUTED_VALUE"""),0.0)</f>
        <v>0</v>
      </c>
      <c r="H1066" s="22">
        <f>IFERROR(__xludf.DUMMYFUNCTION("""COMPUTED_VALUE"""),552943.3448300001)</f>
        <v>552943.3448</v>
      </c>
      <c r="I1066" s="24">
        <f>IFERROR(__xludf.DUMMYFUNCTION("""COMPUTED_VALUE"""),0.10588668966000014)</f>
        <v>0.1058866897</v>
      </c>
    </row>
    <row r="1067">
      <c r="A1067" s="5" t="str">
        <f>IFERROR(__xludf.DUMMYFUNCTION("""COMPUTED_VALUE"""),"36252")</f>
        <v>36252</v>
      </c>
      <c r="B1067" s="64">
        <f>IFERROR(__xludf.DUMMYFUNCTION("""COMPUTED_VALUE"""),44654.0)</f>
        <v>44654</v>
      </c>
      <c r="C1067" s="5"/>
      <c r="D1067" s="5"/>
      <c r="E1067" s="5"/>
      <c r="F1067" s="22">
        <f>IFERROR(__xludf.DUMMYFUNCTION("""COMPUTED_VALUE"""),500000.0)</f>
        <v>500000</v>
      </c>
      <c r="G1067" s="22">
        <f>IFERROR(__xludf.DUMMYFUNCTION("""COMPUTED_VALUE"""),0.0)</f>
        <v>0</v>
      </c>
      <c r="H1067" s="22">
        <f>IFERROR(__xludf.DUMMYFUNCTION("""COMPUTED_VALUE"""),552943.3448300001)</f>
        <v>552943.3448</v>
      </c>
      <c r="I1067" s="24">
        <f>IFERROR(__xludf.DUMMYFUNCTION("""COMPUTED_VALUE"""),0.10588668966000014)</f>
        <v>0.1058866897</v>
      </c>
    </row>
    <row r="1068">
      <c r="A1068" s="5" t="str">
        <f>IFERROR(__xludf.DUMMYFUNCTION("""COMPUTED_VALUE"""),"36252")</f>
        <v>36252</v>
      </c>
      <c r="B1068" s="64">
        <f>IFERROR(__xludf.DUMMYFUNCTION("""COMPUTED_VALUE"""),44655.0)</f>
        <v>44655</v>
      </c>
      <c r="C1068" s="5"/>
      <c r="D1068" s="5"/>
      <c r="E1068" s="5"/>
      <c r="F1068" s="22">
        <f>IFERROR(__xludf.DUMMYFUNCTION("""COMPUTED_VALUE"""),500000.0)</f>
        <v>500000</v>
      </c>
      <c r="G1068" s="22">
        <f>IFERROR(__xludf.DUMMYFUNCTION("""COMPUTED_VALUE"""),0.0)</f>
        <v>0</v>
      </c>
      <c r="H1068" s="22">
        <f>IFERROR(__xludf.DUMMYFUNCTION("""COMPUTED_VALUE"""),552943.3448300001)</f>
        <v>552943.3448</v>
      </c>
      <c r="I1068" s="24">
        <f>IFERROR(__xludf.DUMMYFUNCTION("""COMPUTED_VALUE"""),0.10588668966000014)</f>
        <v>0.1058866897</v>
      </c>
    </row>
    <row r="1069">
      <c r="A1069" s="5" t="str">
        <f>IFERROR(__xludf.DUMMYFUNCTION("""COMPUTED_VALUE"""),"36252")</f>
        <v>36252</v>
      </c>
      <c r="B1069" s="64">
        <f>IFERROR(__xludf.DUMMYFUNCTION("""COMPUTED_VALUE"""),44656.0)</f>
        <v>44656</v>
      </c>
      <c r="C1069" s="5"/>
      <c r="D1069" s="5"/>
      <c r="E1069" s="5"/>
      <c r="F1069" s="22">
        <f>IFERROR(__xludf.DUMMYFUNCTION("""COMPUTED_VALUE"""),500000.0)</f>
        <v>500000</v>
      </c>
      <c r="G1069" s="22">
        <f>IFERROR(__xludf.DUMMYFUNCTION("""COMPUTED_VALUE"""),0.0)</f>
        <v>0</v>
      </c>
      <c r="H1069" s="22">
        <f>IFERROR(__xludf.DUMMYFUNCTION("""COMPUTED_VALUE"""),552943.3448300001)</f>
        <v>552943.3448</v>
      </c>
      <c r="I1069" s="24">
        <f>IFERROR(__xludf.DUMMYFUNCTION("""COMPUTED_VALUE"""),0.10588668966000014)</f>
        <v>0.1058866897</v>
      </c>
    </row>
    <row r="1070">
      <c r="A1070" s="5" t="str">
        <f>IFERROR(__xludf.DUMMYFUNCTION("""COMPUTED_VALUE"""),"36252")</f>
        <v>36252</v>
      </c>
      <c r="B1070" s="64">
        <f>IFERROR(__xludf.DUMMYFUNCTION("""COMPUTED_VALUE"""),44657.0)</f>
        <v>44657</v>
      </c>
      <c r="C1070" s="5"/>
      <c r="D1070" s="5"/>
      <c r="E1070" s="5"/>
      <c r="F1070" s="22">
        <f>IFERROR(__xludf.DUMMYFUNCTION("""COMPUTED_VALUE"""),500000.0)</f>
        <v>500000</v>
      </c>
      <c r="G1070" s="22">
        <f>IFERROR(__xludf.DUMMYFUNCTION("""COMPUTED_VALUE"""),0.0)</f>
        <v>0</v>
      </c>
      <c r="H1070" s="22">
        <f>IFERROR(__xludf.DUMMYFUNCTION("""COMPUTED_VALUE"""),553083.606626)</f>
        <v>553083.6066</v>
      </c>
      <c r="I1070" s="24">
        <f>IFERROR(__xludf.DUMMYFUNCTION("""COMPUTED_VALUE"""),0.10616721325199996)</f>
        <v>0.1061672133</v>
      </c>
    </row>
    <row r="1071">
      <c r="A1071" s="5" t="str">
        <f>IFERROR(__xludf.DUMMYFUNCTION("""COMPUTED_VALUE"""),"36252")</f>
        <v>36252</v>
      </c>
      <c r="B1071" s="64">
        <f>IFERROR(__xludf.DUMMYFUNCTION("""COMPUTED_VALUE"""),44658.0)</f>
        <v>44658</v>
      </c>
      <c r="C1071" s="5"/>
      <c r="D1071" s="5"/>
      <c r="E1071" s="5"/>
      <c r="F1071" s="22">
        <f>IFERROR(__xludf.DUMMYFUNCTION("""COMPUTED_VALUE"""),500000.0)</f>
        <v>500000</v>
      </c>
      <c r="G1071" s="22">
        <f>IFERROR(__xludf.DUMMYFUNCTION("""COMPUTED_VALUE"""),0.0)</f>
        <v>0</v>
      </c>
      <c r="H1071" s="22">
        <f>IFERROR(__xludf.DUMMYFUNCTION("""COMPUTED_VALUE"""),553104.461248)</f>
        <v>553104.4612</v>
      </c>
      <c r="I1071" s="24">
        <f>IFERROR(__xludf.DUMMYFUNCTION("""COMPUTED_VALUE"""),0.10620892249600011)</f>
        <v>0.1062089225</v>
      </c>
    </row>
    <row r="1072">
      <c r="A1072" s="5" t="str">
        <f>IFERROR(__xludf.DUMMYFUNCTION("""COMPUTED_VALUE"""),"36252")</f>
        <v>36252</v>
      </c>
      <c r="B1072" s="64">
        <f>IFERROR(__xludf.DUMMYFUNCTION("""COMPUTED_VALUE"""),44659.0)</f>
        <v>44659</v>
      </c>
      <c r="C1072" s="5"/>
      <c r="D1072" s="5"/>
      <c r="E1072" s="5"/>
      <c r="F1072" s="22">
        <f>IFERROR(__xludf.DUMMYFUNCTION("""COMPUTED_VALUE"""),500000.0)</f>
        <v>500000</v>
      </c>
      <c r="G1072" s="22">
        <f>IFERROR(__xludf.DUMMYFUNCTION("""COMPUTED_VALUE"""),0.0)</f>
        <v>0</v>
      </c>
      <c r="H1072" s="22">
        <f>IFERROR(__xludf.DUMMYFUNCTION("""COMPUTED_VALUE"""),553113.940578)</f>
        <v>553113.9406</v>
      </c>
      <c r="I1072" s="24">
        <f>IFERROR(__xludf.DUMMYFUNCTION("""COMPUTED_VALUE"""),0.10622788115600001)</f>
        <v>0.1062278812</v>
      </c>
    </row>
    <row r="1073">
      <c r="A1073" s="5" t="str">
        <f>IFERROR(__xludf.DUMMYFUNCTION("""COMPUTED_VALUE"""),"36252")</f>
        <v>36252</v>
      </c>
      <c r="B1073" s="64">
        <f>IFERROR(__xludf.DUMMYFUNCTION("""COMPUTED_VALUE"""),44660.0)</f>
        <v>44660</v>
      </c>
      <c r="C1073" s="5"/>
      <c r="D1073" s="5"/>
      <c r="E1073" s="5"/>
      <c r="F1073" s="22">
        <f>IFERROR(__xludf.DUMMYFUNCTION("""COMPUTED_VALUE"""),500000.0)</f>
        <v>500000</v>
      </c>
      <c r="G1073" s="22">
        <f>IFERROR(__xludf.DUMMYFUNCTION("""COMPUTED_VALUE"""),0.0)</f>
        <v>0</v>
      </c>
      <c r="H1073" s="22">
        <f>IFERROR(__xludf.DUMMYFUNCTION("""COMPUTED_VALUE"""),553113.940578)</f>
        <v>553113.9406</v>
      </c>
      <c r="I1073" s="24">
        <f>IFERROR(__xludf.DUMMYFUNCTION("""COMPUTED_VALUE"""),0.10622788115600001)</f>
        <v>0.1062278812</v>
      </c>
    </row>
    <row r="1074">
      <c r="A1074" s="5" t="str">
        <f>IFERROR(__xludf.DUMMYFUNCTION("""COMPUTED_VALUE"""),"36252")</f>
        <v>36252</v>
      </c>
      <c r="B1074" s="64">
        <f>IFERROR(__xludf.DUMMYFUNCTION("""COMPUTED_VALUE"""),44661.0)</f>
        <v>44661</v>
      </c>
      <c r="C1074" s="5"/>
      <c r="D1074" s="5"/>
      <c r="E1074" s="5"/>
      <c r="F1074" s="22">
        <f>IFERROR(__xludf.DUMMYFUNCTION("""COMPUTED_VALUE"""),500000.0)</f>
        <v>500000</v>
      </c>
      <c r="G1074" s="22">
        <f>IFERROR(__xludf.DUMMYFUNCTION("""COMPUTED_VALUE"""),0.0)</f>
        <v>0</v>
      </c>
      <c r="H1074" s="22">
        <f>IFERROR(__xludf.DUMMYFUNCTION("""COMPUTED_VALUE"""),553113.940578)</f>
        <v>553113.9406</v>
      </c>
      <c r="I1074" s="24">
        <f>IFERROR(__xludf.DUMMYFUNCTION("""COMPUTED_VALUE"""),0.10622788115600001)</f>
        <v>0.1062278812</v>
      </c>
    </row>
    <row r="1075">
      <c r="A1075" s="5" t="str">
        <f>IFERROR(__xludf.DUMMYFUNCTION("""COMPUTED_VALUE"""),"36252")</f>
        <v>36252</v>
      </c>
      <c r="B1075" s="64">
        <f>IFERROR(__xludf.DUMMYFUNCTION("""COMPUTED_VALUE"""),44662.0)</f>
        <v>44662</v>
      </c>
      <c r="C1075" s="5"/>
      <c r="D1075" s="5"/>
      <c r="E1075" s="5"/>
      <c r="F1075" s="22">
        <f>IFERROR(__xludf.DUMMYFUNCTION("""COMPUTED_VALUE"""),500000.0)</f>
        <v>500000</v>
      </c>
      <c r="G1075" s="22">
        <f>IFERROR(__xludf.DUMMYFUNCTION("""COMPUTED_VALUE"""),0.0)</f>
        <v>0</v>
      </c>
      <c r="H1075" s="22">
        <f>IFERROR(__xludf.DUMMYFUNCTION("""COMPUTED_VALUE"""),553119.5016940001)</f>
        <v>553119.5017</v>
      </c>
      <c r="I1075" s="24">
        <f>IFERROR(__xludf.DUMMYFUNCTION("""COMPUTED_VALUE"""),0.1062390033880003)</f>
        <v>0.1062390034</v>
      </c>
    </row>
    <row r="1076">
      <c r="A1076" s="5" t="str">
        <f>IFERROR(__xludf.DUMMYFUNCTION("""COMPUTED_VALUE"""),"36252")</f>
        <v>36252</v>
      </c>
      <c r="B1076" s="64">
        <f>IFERROR(__xludf.DUMMYFUNCTION("""COMPUTED_VALUE"""),44663.0)</f>
        <v>44663</v>
      </c>
      <c r="C1076" s="5"/>
      <c r="D1076" s="5"/>
      <c r="E1076" s="5"/>
      <c r="F1076" s="22">
        <f>IFERROR(__xludf.DUMMYFUNCTION("""COMPUTED_VALUE"""),500000.0)</f>
        <v>500000</v>
      </c>
      <c r="G1076" s="22">
        <f>IFERROR(__xludf.DUMMYFUNCTION("""COMPUTED_VALUE"""),0.0)</f>
        <v>0</v>
      </c>
      <c r="H1076" s="22">
        <f>IFERROR(__xludf.DUMMYFUNCTION("""COMPUTED_VALUE"""),553135.4381580001)</f>
        <v>553135.4382</v>
      </c>
      <c r="I1076" s="24">
        <f>IFERROR(__xludf.DUMMYFUNCTION("""COMPUTED_VALUE"""),0.1062708763160003)</f>
        <v>0.1062708763</v>
      </c>
    </row>
    <row r="1077">
      <c r="A1077" s="5" t="str">
        <f>IFERROR(__xludf.DUMMYFUNCTION("""COMPUTED_VALUE"""),"36460")</f>
        <v>36460</v>
      </c>
      <c r="B1077" s="64">
        <f>IFERROR(__xludf.DUMMYFUNCTION("""COMPUTED_VALUE"""),44597.0)</f>
        <v>44597</v>
      </c>
      <c r="C1077" s="5"/>
      <c r="D1077" s="5"/>
      <c r="E1077" s="5"/>
      <c r="F1077" s="22">
        <f>IFERROR(__xludf.DUMMYFUNCTION("""COMPUTED_VALUE"""),500000.0)</f>
        <v>500000</v>
      </c>
      <c r="G1077" s="22">
        <f>IFERROR(__xludf.DUMMYFUNCTION("""COMPUTED_VALUE"""),0.0)</f>
        <v>0</v>
      </c>
      <c r="H1077" s="22">
        <f>IFERROR(__xludf.DUMMYFUNCTION("""COMPUTED_VALUE"""),500000.0)</f>
        <v>500000</v>
      </c>
      <c r="I1077" s="24">
        <f>IFERROR(__xludf.DUMMYFUNCTION("""COMPUTED_VALUE"""),0.0)</f>
        <v>0</v>
      </c>
    </row>
    <row r="1078">
      <c r="A1078" s="5" t="str">
        <f>IFERROR(__xludf.DUMMYFUNCTION("""COMPUTED_VALUE"""),"36460")</f>
        <v>36460</v>
      </c>
      <c r="B1078" s="64">
        <f>IFERROR(__xludf.DUMMYFUNCTION("""COMPUTED_VALUE"""),44598.0)</f>
        <v>44598</v>
      </c>
      <c r="C1078" s="5"/>
      <c r="D1078" s="5"/>
      <c r="E1078" s="5"/>
      <c r="F1078" s="22">
        <f>IFERROR(__xludf.DUMMYFUNCTION("""COMPUTED_VALUE"""),500000.0)</f>
        <v>500000</v>
      </c>
      <c r="G1078" s="22">
        <f>IFERROR(__xludf.DUMMYFUNCTION("""COMPUTED_VALUE"""),0.0)</f>
        <v>0</v>
      </c>
      <c r="H1078" s="22">
        <f>IFERROR(__xludf.DUMMYFUNCTION("""COMPUTED_VALUE"""),500000.0)</f>
        <v>500000</v>
      </c>
      <c r="I1078" s="24">
        <f>IFERROR(__xludf.DUMMYFUNCTION("""COMPUTED_VALUE"""),0.0)</f>
        <v>0</v>
      </c>
    </row>
    <row r="1079">
      <c r="A1079" s="5" t="str">
        <f>IFERROR(__xludf.DUMMYFUNCTION("""COMPUTED_VALUE"""),"36460")</f>
        <v>36460</v>
      </c>
      <c r="B1079" s="64">
        <f>IFERROR(__xludf.DUMMYFUNCTION("""COMPUTED_VALUE"""),44599.0)</f>
        <v>44599</v>
      </c>
      <c r="C1079" s="5"/>
      <c r="D1079" s="5"/>
      <c r="E1079" s="5"/>
      <c r="F1079" s="22">
        <f>IFERROR(__xludf.DUMMYFUNCTION("""COMPUTED_VALUE"""),500000.0)</f>
        <v>500000</v>
      </c>
      <c r="G1079" s="22">
        <f>IFERROR(__xludf.DUMMYFUNCTION("""COMPUTED_VALUE"""),0.0)</f>
        <v>0</v>
      </c>
      <c r="H1079" s="22">
        <f>IFERROR(__xludf.DUMMYFUNCTION("""COMPUTED_VALUE"""),500000.0)</f>
        <v>500000</v>
      </c>
      <c r="I1079" s="24">
        <f>IFERROR(__xludf.DUMMYFUNCTION("""COMPUTED_VALUE"""),0.0)</f>
        <v>0</v>
      </c>
    </row>
    <row r="1080">
      <c r="A1080" s="5" t="str">
        <f>IFERROR(__xludf.DUMMYFUNCTION("""COMPUTED_VALUE"""),"36460")</f>
        <v>36460</v>
      </c>
      <c r="B1080" s="64">
        <f>IFERROR(__xludf.DUMMYFUNCTION("""COMPUTED_VALUE"""),44600.0)</f>
        <v>44600</v>
      </c>
      <c r="C1080" s="5"/>
      <c r="D1080" s="5"/>
      <c r="E1080" s="5"/>
      <c r="F1080" s="22">
        <f>IFERROR(__xludf.DUMMYFUNCTION("""COMPUTED_VALUE"""),500000.0)</f>
        <v>500000</v>
      </c>
      <c r="G1080" s="22">
        <f>IFERROR(__xludf.DUMMYFUNCTION("""COMPUTED_VALUE"""),0.0)</f>
        <v>0</v>
      </c>
      <c r="H1080" s="22">
        <f>IFERROR(__xludf.DUMMYFUNCTION("""COMPUTED_VALUE"""),500000.0)</f>
        <v>500000</v>
      </c>
      <c r="I1080" s="24">
        <f>IFERROR(__xludf.DUMMYFUNCTION("""COMPUTED_VALUE"""),0.0)</f>
        <v>0</v>
      </c>
    </row>
    <row r="1081">
      <c r="A1081" s="5" t="str">
        <f>IFERROR(__xludf.DUMMYFUNCTION("""COMPUTED_VALUE"""),"36460")</f>
        <v>36460</v>
      </c>
      <c r="B1081" s="64">
        <f>IFERROR(__xludf.DUMMYFUNCTION("""COMPUTED_VALUE"""),44601.0)</f>
        <v>44601</v>
      </c>
      <c r="C1081" s="5"/>
      <c r="D1081" s="5"/>
      <c r="E1081" s="5"/>
      <c r="F1081" s="22">
        <f>IFERROR(__xludf.DUMMYFUNCTION("""COMPUTED_VALUE"""),500000.0)</f>
        <v>500000</v>
      </c>
      <c r="G1081" s="22">
        <f>IFERROR(__xludf.DUMMYFUNCTION("""COMPUTED_VALUE"""),0.0)</f>
        <v>0</v>
      </c>
      <c r="H1081" s="22">
        <f>IFERROR(__xludf.DUMMYFUNCTION("""COMPUTED_VALUE"""),500000.0)</f>
        <v>500000</v>
      </c>
      <c r="I1081" s="24">
        <f>IFERROR(__xludf.DUMMYFUNCTION("""COMPUTED_VALUE"""),0.0)</f>
        <v>0</v>
      </c>
    </row>
    <row r="1082">
      <c r="A1082" s="5" t="str">
        <f>IFERROR(__xludf.DUMMYFUNCTION("""COMPUTED_VALUE"""),"36460")</f>
        <v>36460</v>
      </c>
      <c r="B1082" s="64">
        <f>IFERROR(__xludf.DUMMYFUNCTION("""COMPUTED_VALUE"""),44602.0)</f>
        <v>44602</v>
      </c>
      <c r="C1082" s="5"/>
      <c r="D1082" s="5"/>
      <c r="E1082" s="5"/>
      <c r="F1082" s="22">
        <f>IFERROR(__xludf.DUMMYFUNCTION("""COMPUTED_VALUE"""),500000.0)</f>
        <v>500000</v>
      </c>
      <c r="G1082" s="22">
        <f>IFERROR(__xludf.DUMMYFUNCTION("""COMPUTED_VALUE"""),0.0)</f>
        <v>0</v>
      </c>
      <c r="H1082" s="22">
        <f>IFERROR(__xludf.DUMMYFUNCTION("""COMPUTED_VALUE"""),500000.0)</f>
        <v>500000</v>
      </c>
      <c r="I1082" s="24">
        <f>IFERROR(__xludf.DUMMYFUNCTION("""COMPUTED_VALUE"""),0.0)</f>
        <v>0</v>
      </c>
    </row>
    <row r="1083">
      <c r="A1083" s="5" t="str">
        <f>IFERROR(__xludf.DUMMYFUNCTION("""COMPUTED_VALUE"""),"36460")</f>
        <v>36460</v>
      </c>
      <c r="B1083" s="64">
        <f>IFERROR(__xludf.DUMMYFUNCTION("""COMPUTED_VALUE"""),44603.0)</f>
        <v>44603</v>
      </c>
      <c r="C1083" s="5"/>
      <c r="D1083" s="5"/>
      <c r="E1083" s="5"/>
      <c r="F1083" s="22">
        <f>IFERROR(__xludf.DUMMYFUNCTION("""COMPUTED_VALUE"""),500000.0)</f>
        <v>500000</v>
      </c>
      <c r="G1083" s="22">
        <f>IFERROR(__xludf.DUMMYFUNCTION("""COMPUTED_VALUE"""),0.0)</f>
        <v>0</v>
      </c>
      <c r="H1083" s="22">
        <f>IFERROR(__xludf.DUMMYFUNCTION("""COMPUTED_VALUE"""),500000.0)</f>
        <v>500000</v>
      </c>
      <c r="I1083" s="24">
        <f>IFERROR(__xludf.DUMMYFUNCTION("""COMPUTED_VALUE"""),0.0)</f>
        <v>0</v>
      </c>
    </row>
    <row r="1084">
      <c r="A1084" s="5" t="str">
        <f>IFERROR(__xludf.DUMMYFUNCTION("""COMPUTED_VALUE"""),"36460")</f>
        <v>36460</v>
      </c>
      <c r="B1084" s="64">
        <f>IFERROR(__xludf.DUMMYFUNCTION("""COMPUTED_VALUE"""),44604.0)</f>
        <v>44604</v>
      </c>
      <c r="C1084" s="5"/>
      <c r="D1084" s="5"/>
      <c r="E1084" s="5"/>
      <c r="F1084" s="22">
        <f>IFERROR(__xludf.DUMMYFUNCTION("""COMPUTED_VALUE"""),500000.0)</f>
        <v>500000</v>
      </c>
      <c r="G1084" s="22">
        <f>IFERROR(__xludf.DUMMYFUNCTION("""COMPUTED_VALUE"""),0.0)</f>
        <v>0</v>
      </c>
      <c r="H1084" s="22">
        <f>IFERROR(__xludf.DUMMYFUNCTION("""COMPUTED_VALUE"""),500000.0)</f>
        <v>500000</v>
      </c>
      <c r="I1084" s="24">
        <f>IFERROR(__xludf.DUMMYFUNCTION("""COMPUTED_VALUE"""),0.0)</f>
        <v>0</v>
      </c>
    </row>
    <row r="1085">
      <c r="A1085" s="5" t="str">
        <f>IFERROR(__xludf.DUMMYFUNCTION("""COMPUTED_VALUE"""),"36460")</f>
        <v>36460</v>
      </c>
      <c r="B1085" s="64">
        <f>IFERROR(__xludf.DUMMYFUNCTION("""COMPUTED_VALUE"""),44605.0)</f>
        <v>44605</v>
      </c>
      <c r="C1085" s="5"/>
      <c r="D1085" s="5"/>
      <c r="E1085" s="5"/>
      <c r="F1085" s="22">
        <f>IFERROR(__xludf.DUMMYFUNCTION("""COMPUTED_VALUE"""),500000.0)</f>
        <v>500000</v>
      </c>
      <c r="G1085" s="22">
        <f>IFERROR(__xludf.DUMMYFUNCTION("""COMPUTED_VALUE"""),0.0)</f>
        <v>0</v>
      </c>
      <c r="H1085" s="22">
        <f>IFERROR(__xludf.DUMMYFUNCTION("""COMPUTED_VALUE"""),500000.0)</f>
        <v>500000</v>
      </c>
      <c r="I1085" s="24">
        <f>IFERROR(__xludf.DUMMYFUNCTION("""COMPUTED_VALUE"""),0.0)</f>
        <v>0</v>
      </c>
    </row>
    <row r="1086">
      <c r="A1086" s="5" t="str">
        <f>IFERROR(__xludf.DUMMYFUNCTION("""COMPUTED_VALUE"""),"36460")</f>
        <v>36460</v>
      </c>
      <c r="B1086" s="64">
        <f>IFERROR(__xludf.DUMMYFUNCTION("""COMPUTED_VALUE"""),44606.0)</f>
        <v>44606</v>
      </c>
      <c r="C1086" s="5"/>
      <c r="D1086" s="5"/>
      <c r="E1086" s="5"/>
      <c r="F1086" s="22">
        <f>IFERROR(__xludf.DUMMYFUNCTION("""COMPUTED_VALUE"""),500000.0)</f>
        <v>500000</v>
      </c>
      <c r="G1086" s="22">
        <f>IFERROR(__xludf.DUMMYFUNCTION("""COMPUTED_VALUE"""),0.0)</f>
        <v>0</v>
      </c>
      <c r="H1086" s="22">
        <f>IFERROR(__xludf.DUMMYFUNCTION("""COMPUTED_VALUE"""),500000.0)</f>
        <v>500000</v>
      </c>
      <c r="I1086" s="24">
        <f>IFERROR(__xludf.DUMMYFUNCTION("""COMPUTED_VALUE"""),0.0)</f>
        <v>0</v>
      </c>
    </row>
    <row r="1087">
      <c r="A1087" s="5" t="str">
        <f>IFERROR(__xludf.DUMMYFUNCTION("""COMPUTED_VALUE"""),"36460")</f>
        <v>36460</v>
      </c>
      <c r="B1087" s="64">
        <f>IFERROR(__xludf.DUMMYFUNCTION("""COMPUTED_VALUE"""),44607.0)</f>
        <v>44607</v>
      </c>
      <c r="C1087" s="5"/>
      <c r="D1087" s="5"/>
      <c r="E1087" s="5"/>
      <c r="F1087" s="22">
        <f>IFERROR(__xludf.DUMMYFUNCTION("""COMPUTED_VALUE"""),500000.0)</f>
        <v>500000</v>
      </c>
      <c r="G1087" s="22">
        <f>IFERROR(__xludf.DUMMYFUNCTION("""COMPUTED_VALUE"""),0.0)</f>
        <v>0</v>
      </c>
      <c r="H1087" s="22">
        <f>IFERROR(__xludf.DUMMYFUNCTION("""COMPUTED_VALUE"""),500000.0)</f>
        <v>500000</v>
      </c>
      <c r="I1087" s="24">
        <f>IFERROR(__xludf.DUMMYFUNCTION("""COMPUTED_VALUE"""),0.0)</f>
        <v>0</v>
      </c>
    </row>
    <row r="1088">
      <c r="A1088" s="5" t="str">
        <f>IFERROR(__xludf.DUMMYFUNCTION("""COMPUTED_VALUE"""),"36460")</f>
        <v>36460</v>
      </c>
      <c r="B1088" s="64">
        <f>IFERROR(__xludf.DUMMYFUNCTION("""COMPUTED_VALUE"""),44608.0)</f>
        <v>44608</v>
      </c>
      <c r="C1088" s="5"/>
      <c r="D1088" s="5"/>
      <c r="E1088" s="5"/>
      <c r="F1088" s="22">
        <f>IFERROR(__xludf.DUMMYFUNCTION("""COMPUTED_VALUE"""),500000.0)</f>
        <v>500000</v>
      </c>
      <c r="G1088" s="22">
        <f>IFERROR(__xludf.DUMMYFUNCTION("""COMPUTED_VALUE"""),0.0)</f>
        <v>0</v>
      </c>
      <c r="H1088" s="22">
        <f>IFERROR(__xludf.DUMMYFUNCTION("""COMPUTED_VALUE"""),500000.0)</f>
        <v>500000</v>
      </c>
      <c r="I1088" s="24">
        <f>IFERROR(__xludf.DUMMYFUNCTION("""COMPUTED_VALUE"""),0.0)</f>
        <v>0</v>
      </c>
    </row>
    <row r="1089">
      <c r="A1089" s="5" t="str">
        <f>IFERROR(__xludf.DUMMYFUNCTION("""COMPUTED_VALUE"""),"36460")</f>
        <v>36460</v>
      </c>
      <c r="B1089" s="64">
        <f>IFERROR(__xludf.DUMMYFUNCTION("""COMPUTED_VALUE"""),44609.0)</f>
        <v>44609</v>
      </c>
      <c r="C1089" s="5"/>
      <c r="D1089" s="5"/>
      <c r="E1089" s="5"/>
      <c r="F1089" s="22">
        <f>IFERROR(__xludf.DUMMYFUNCTION("""COMPUTED_VALUE"""),500000.0)</f>
        <v>500000</v>
      </c>
      <c r="G1089" s="22">
        <f>IFERROR(__xludf.DUMMYFUNCTION("""COMPUTED_VALUE"""),0.0)</f>
        <v>0</v>
      </c>
      <c r="H1089" s="22">
        <f>IFERROR(__xludf.DUMMYFUNCTION("""COMPUTED_VALUE"""),500000.0)</f>
        <v>500000</v>
      </c>
      <c r="I1089" s="24">
        <f>IFERROR(__xludf.DUMMYFUNCTION("""COMPUTED_VALUE"""),0.0)</f>
        <v>0</v>
      </c>
    </row>
    <row r="1090">
      <c r="A1090" s="5" t="str">
        <f>IFERROR(__xludf.DUMMYFUNCTION("""COMPUTED_VALUE"""),"36460")</f>
        <v>36460</v>
      </c>
      <c r="B1090" s="64">
        <f>IFERROR(__xludf.DUMMYFUNCTION("""COMPUTED_VALUE"""),44610.0)</f>
        <v>44610</v>
      </c>
      <c r="C1090" s="5"/>
      <c r="D1090" s="5"/>
      <c r="E1090" s="5"/>
      <c r="F1090" s="22">
        <f>IFERROR(__xludf.DUMMYFUNCTION("""COMPUTED_VALUE"""),500000.0)</f>
        <v>500000</v>
      </c>
      <c r="G1090" s="22">
        <f>IFERROR(__xludf.DUMMYFUNCTION("""COMPUTED_VALUE"""),0.0)</f>
        <v>0</v>
      </c>
      <c r="H1090" s="22">
        <f>IFERROR(__xludf.DUMMYFUNCTION("""COMPUTED_VALUE"""),500000.0)</f>
        <v>500000</v>
      </c>
      <c r="I1090" s="24">
        <f>IFERROR(__xludf.DUMMYFUNCTION("""COMPUTED_VALUE"""),0.0)</f>
        <v>0</v>
      </c>
    </row>
    <row r="1091">
      <c r="A1091" s="5" t="str">
        <f>IFERROR(__xludf.DUMMYFUNCTION("""COMPUTED_VALUE"""),"36460")</f>
        <v>36460</v>
      </c>
      <c r="B1091" s="64">
        <f>IFERROR(__xludf.DUMMYFUNCTION("""COMPUTED_VALUE"""),44611.0)</f>
        <v>44611</v>
      </c>
      <c r="C1091" s="5"/>
      <c r="D1091" s="5"/>
      <c r="E1091" s="5"/>
      <c r="F1091" s="22">
        <f>IFERROR(__xludf.DUMMYFUNCTION("""COMPUTED_VALUE"""),500000.0)</f>
        <v>500000</v>
      </c>
      <c r="G1091" s="22">
        <f>IFERROR(__xludf.DUMMYFUNCTION("""COMPUTED_VALUE"""),0.0)</f>
        <v>0</v>
      </c>
      <c r="H1091" s="22">
        <f>IFERROR(__xludf.DUMMYFUNCTION("""COMPUTED_VALUE"""),500000.0)</f>
        <v>500000</v>
      </c>
      <c r="I1091" s="24">
        <f>IFERROR(__xludf.DUMMYFUNCTION("""COMPUTED_VALUE"""),0.0)</f>
        <v>0</v>
      </c>
    </row>
    <row r="1092">
      <c r="A1092" s="5" t="str">
        <f>IFERROR(__xludf.DUMMYFUNCTION("""COMPUTED_VALUE"""),"36460")</f>
        <v>36460</v>
      </c>
      <c r="B1092" s="64">
        <f>IFERROR(__xludf.DUMMYFUNCTION("""COMPUTED_VALUE"""),44612.0)</f>
        <v>44612</v>
      </c>
      <c r="C1092" s="5"/>
      <c r="D1092" s="5"/>
      <c r="E1092" s="5"/>
      <c r="F1092" s="22">
        <f>IFERROR(__xludf.DUMMYFUNCTION("""COMPUTED_VALUE"""),500000.0)</f>
        <v>500000</v>
      </c>
      <c r="G1092" s="22">
        <f>IFERROR(__xludf.DUMMYFUNCTION("""COMPUTED_VALUE"""),0.0)</f>
        <v>0</v>
      </c>
      <c r="H1092" s="22">
        <f>IFERROR(__xludf.DUMMYFUNCTION("""COMPUTED_VALUE"""),500000.0)</f>
        <v>500000</v>
      </c>
      <c r="I1092" s="24">
        <f>IFERROR(__xludf.DUMMYFUNCTION("""COMPUTED_VALUE"""),0.0)</f>
        <v>0</v>
      </c>
    </row>
    <row r="1093">
      <c r="A1093" s="5" t="str">
        <f>IFERROR(__xludf.DUMMYFUNCTION("""COMPUTED_VALUE"""),"36460")</f>
        <v>36460</v>
      </c>
      <c r="B1093" s="64">
        <f>IFERROR(__xludf.DUMMYFUNCTION("""COMPUTED_VALUE"""),44613.0)</f>
        <v>44613</v>
      </c>
      <c r="C1093" s="5"/>
      <c r="D1093" s="5"/>
      <c r="E1093" s="5"/>
      <c r="F1093" s="22">
        <f>IFERROR(__xludf.DUMMYFUNCTION("""COMPUTED_VALUE"""),500000.0)</f>
        <v>500000</v>
      </c>
      <c r="G1093" s="22">
        <f>IFERROR(__xludf.DUMMYFUNCTION("""COMPUTED_VALUE"""),0.0)</f>
        <v>0</v>
      </c>
      <c r="H1093" s="22">
        <f>IFERROR(__xludf.DUMMYFUNCTION("""COMPUTED_VALUE"""),495080.0)</f>
        <v>495080</v>
      </c>
      <c r="I1093" s="24">
        <f>IFERROR(__xludf.DUMMYFUNCTION("""COMPUTED_VALUE"""),-0.00983999999999996)</f>
        <v>-0.00984</v>
      </c>
    </row>
    <row r="1094">
      <c r="A1094" s="5" t="str">
        <f>IFERROR(__xludf.DUMMYFUNCTION("""COMPUTED_VALUE"""),"36460")</f>
        <v>36460</v>
      </c>
      <c r="B1094" s="64">
        <f>IFERROR(__xludf.DUMMYFUNCTION("""COMPUTED_VALUE"""),44614.0)</f>
        <v>44614</v>
      </c>
      <c r="C1094" s="5"/>
      <c r="D1094" s="5"/>
      <c r="E1094" s="5"/>
      <c r="F1094" s="22">
        <f>IFERROR(__xludf.DUMMYFUNCTION("""COMPUTED_VALUE"""),500000.0)</f>
        <v>500000</v>
      </c>
      <c r="G1094" s="22">
        <f>IFERROR(__xludf.DUMMYFUNCTION("""COMPUTED_VALUE"""),0.0)</f>
        <v>0</v>
      </c>
      <c r="H1094" s="22">
        <f>IFERROR(__xludf.DUMMYFUNCTION("""COMPUTED_VALUE"""),494960.0)</f>
        <v>494960</v>
      </c>
      <c r="I1094" s="24">
        <f>IFERROR(__xludf.DUMMYFUNCTION("""COMPUTED_VALUE"""),-0.010079999999999978)</f>
        <v>-0.01008</v>
      </c>
    </row>
    <row r="1095">
      <c r="A1095" s="5" t="str">
        <f>IFERROR(__xludf.DUMMYFUNCTION("""COMPUTED_VALUE"""),"36460")</f>
        <v>36460</v>
      </c>
      <c r="B1095" s="64">
        <f>IFERROR(__xludf.DUMMYFUNCTION("""COMPUTED_VALUE"""),44615.0)</f>
        <v>44615</v>
      </c>
      <c r="C1095" s="5"/>
      <c r="D1095" s="5"/>
      <c r="E1095" s="5"/>
      <c r="F1095" s="22">
        <f>IFERROR(__xludf.DUMMYFUNCTION("""COMPUTED_VALUE"""),500000.0)</f>
        <v>500000</v>
      </c>
      <c r="G1095" s="22">
        <f>IFERROR(__xludf.DUMMYFUNCTION("""COMPUTED_VALUE"""),0.0)</f>
        <v>0</v>
      </c>
      <c r="H1095" s="22">
        <f>IFERROR(__xludf.DUMMYFUNCTION("""COMPUTED_VALUE"""),495000.0)</f>
        <v>495000</v>
      </c>
      <c r="I1095" s="24">
        <f>IFERROR(__xludf.DUMMYFUNCTION("""COMPUTED_VALUE"""),-0.010000000000000009)</f>
        <v>-0.01</v>
      </c>
    </row>
    <row r="1096">
      <c r="A1096" s="5" t="str">
        <f>IFERROR(__xludf.DUMMYFUNCTION("""COMPUTED_VALUE"""),"36460")</f>
        <v>36460</v>
      </c>
      <c r="B1096" s="64">
        <f>IFERROR(__xludf.DUMMYFUNCTION("""COMPUTED_VALUE"""),44616.0)</f>
        <v>44616</v>
      </c>
      <c r="C1096" s="5"/>
      <c r="D1096" s="5"/>
      <c r="E1096" s="5"/>
      <c r="F1096" s="22">
        <f>IFERROR(__xludf.DUMMYFUNCTION("""COMPUTED_VALUE"""),-219221.19675)</f>
        <v>-219221.1968</v>
      </c>
      <c r="G1096" s="22">
        <f>IFERROR(__xludf.DUMMYFUNCTION("""COMPUTED_VALUE"""),219221.19675)</f>
        <v>219221.1968</v>
      </c>
      <c r="H1096" s="22">
        <f>IFERROR(__xludf.DUMMYFUNCTION("""COMPUTED_VALUE"""),491560.0)</f>
        <v>491560</v>
      </c>
      <c r="I1096" s="24">
        <f>IFERROR(__xludf.DUMMYFUNCTION("""COMPUTED_VALUE"""),-0.016880000000000006)</f>
        <v>-0.01688</v>
      </c>
    </row>
    <row r="1097">
      <c r="A1097" s="5" t="str">
        <f>IFERROR(__xludf.DUMMYFUNCTION("""COMPUTED_VALUE"""),"36460")</f>
        <v>36460</v>
      </c>
      <c r="B1097" s="64">
        <f>IFERROR(__xludf.DUMMYFUNCTION("""COMPUTED_VALUE"""),44617.0)</f>
        <v>44617</v>
      </c>
      <c r="C1097" s="5"/>
      <c r="D1097" s="5"/>
      <c r="E1097" s="5"/>
      <c r="F1097" s="22">
        <f>IFERROR(__xludf.DUMMYFUNCTION("""COMPUTED_VALUE"""),-219221.19675)</f>
        <v>-219221.1968</v>
      </c>
      <c r="G1097" s="22">
        <f>IFERROR(__xludf.DUMMYFUNCTION("""COMPUTED_VALUE"""),219221.19675)</f>
        <v>219221.1968</v>
      </c>
      <c r="H1097" s="22">
        <f>IFERROR(__xludf.DUMMYFUNCTION("""COMPUTED_VALUE"""),497905.0525000001)</f>
        <v>497905.0525</v>
      </c>
      <c r="I1097" s="24">
        <f>IFERROR(__xludf.DUMMYFUNCTION("""COMPUTED_VALUE"""),-0.004189894999999777)</f>
        <v>-0.004189895</v>
      </c>
    </row>
    <row r="1098">
      <c r="A1098" s="5" t="str">
        <f>IFERROR(__xludf.DUMMYFUNCTION("""COMPUTED_VALUE"""),"36460")</f>
        <v>36460</v>
      </c>
      <c r="B1098" s="64">
        <f>IFERROR(__xludf.DUMMYFUNCTION("""COMPUTED_VALUE"""),44618.0)</f>
        <v>44618</v>
      </c>
      <c r="C1098" s="5"/>
      <c r="D1098" s="5"/>
      <c r="E1098" s="5"/>
      <c r="F1098" s="22">
        <f>IFERROR(__xludf.DUMMYFUNCTION("""COMPUTED_VALUE"""),-219221.19675)</f>
        <v>-219221.1968</v>
      </c>
      <c r="G1098" s="22">
        <f>IFERROR(__xludf.DUMMYFUNCTION("""COMPUTED_VALUE"""),219221.19675)</f>
        <v>219221.1968</v>
      </c>
      <c r="H1098" s="22">
        <f>IFERROR(__xludf.DUMMYFUNCTION("""COMPUTED_VALUE"""),497905.0525000001)</f>
        <v>497905.0525</v>
      </c>
      <c r="I1098" s="24">
        <f>IFERROR(__xludf.DUMMYFUNCTION("""COMPUTED_VALUE"""),-0.004189894999999777)</f>
        <v>-0.004189895</v>
      </c>
    </row>
    <row r="1099">
      <c r="A1099" s="5" t="str">
        <f>IFERROR(__xludf.DUMMYFUNCTION("""COMPUTED_VALUE"""),"36460")</f>
        <v>36460</v>
      </c>
      <c r="B1099" s="64">
        <f>IFERROR(__xludf.DUMMYFUNCTION("""COMPUTED_VALUE"""),44619.0)</f>
        <v>44619</v>
      </c>
      <c r="C1099" s="5"/>
      <c r="D1099" s="5"/>
      <c r="E1099" s="5"/>
      <c r="F1099" s="22">
        <f>IFERROR(__xludf.DUMMYFUNCTION("""COMPUTED_VALUE"""),-219221.19675)</f>
        <v>-219221.1968</v>
      </c>
      <c r="G1099" s="22">
        <f>IFERROR(__xludf.DUMMYFUNCTION("""COMPUTED_VALUE"""),219221.19675)</f>
        <v>219221.1968</v>
      </c>
      <c r="H1099" s="22">
        <f>IFERROR(__xludf.DUMMYFUNCTION("""COMPUTED_VALUE"""),497905.0525000001)</f>
        <v>497905.0525</v>
      </c>
      <c r="I1099" s="24">
        <f>IFERROR(__xludf.DUMMYFUNCTION("""COMPUTED_VALUE"""),-0.004189894999999777)</f>
        <v>-0.004189895</v>
      </c>
    </row>
    <row r="1100">
      <c r="A1100" s="5" t="str">
        <f>IFERROR(__xludf.DUMMYFUNCTION("""COMPUTED_VALUE"""),"36460")</f>
        <v>36460</v>
      </c>
      <c r="B1100" s="64">
        <f>IFERROR(__xludf.DUMMYFUNCTION("""COMPUTED_VALUE"""),44620.0)</f>
        <v>44620</v>
      </c>
      <c r="C1100" s="5"/>
      <c r="D1100" s="5"/>
      <c r="E1100" s="5"/>
      <c r="F1100" s="22">
        <f>IFERROR(__xludf.DUMMYFUNCTION("""COMPUTED_VALUE"""),324863.70592999994)</f>
        <v>324863.7059</v>
      </c>
      <c r="G1100" s="22">
        <f>IFERROR(__xludf.DUMMYFUNCTION("""COMPUTED_VALUE"""),0.0)</f>
        <v>0</v>
      </c>
      <c r="H1100" s="22">
        <f>IFERROR(__xludf.DUMMYFUNCTION("""COMPUTED_VALUE"""),544628.7865)</f>
        <v>544628.7865</v>
      </c>
      <c r="I1100" s="24">
        <f>IFERROR(__xludf.DUMMYFUNCTION("""COMPUTED_VALUE"""),0.08925757300000003)</f>
        <v>0.089257573</v>
      </c>
    </row>
    <row r="1101">
      <c r="A1101" s="5" t="str">
        <f>IFERROR(__xludf.DUMMYFUNCTION("""COMPUTED_VALUE"""),"36460")</f>
        <v>36460</v>
      </c>
      <c r="B1101" s="64">
        <f>IFERROR(__xludf.DUMMYFUNCTION("""COMPUTED_VALUE"""),44621.0)</f>
        <v>44621</v>
      </c>
      <c r="C1101" s="5"/>
      <c r="D1101" s="5"/>
      <c r="E1101" s="5"/>
      <c r="F1101" s="22">
        <f>IFERROR(__xludf.DUMMYFUNCTION("""COMPUTED_VALUE"""),324863.70592999994)</f>
        <v>324863.7059</v>
      </c>
      <c r="G1101" s="22">
        <f>IFERROR(__xludf.DUMMYFUNCTION("""COMPUTED_VALUE"""),0.0)</f>
        <v>0</v>
      </c>
      <c r="H1101" s="22">
        <f>IFERROR(__xludf.DUMMYFUNCTION("""COMPUTED_VALUE"""),545645.25056)</f>
        <v>545645.2506</v>
      </c>
      <c r="I1101" s="24">
        <f>IFERROR(__xludf.DUMMYFUNCTION("""COMPUTED_VALUE"""),0.09129050111999981)</f>
        <v>0.09129050112</v>
      </c>
    </row>
    <row r="1102">
      <c r="A1102" s="5" t="str">
        <f>IFERROR(__xludf.DUMMYFUNCTION("""COMPUTED_VALUE"""),"36460")</f>
        <v>36460</v>
      </c>
      <c r="B1102" s="64">
        <f>IFERROR(__xludf.DUMMYFUNCTION("""COMPUTED_VALUE"""),44622.0)</f>
        <v>44622</v>
      </c>
      <c r="C1102" s="5"/>
      <c r="D1102" s="5"/>
      <c r="E1102" s="5"/>
      <c r="F1102" s="22">
        <f>IFERROR(__xludf.DUMMYFUNCTION("""COMPUTED_VALUE"""),324863.70592999994)</f>
        <v>324863.7059</v>
      </c>
      <c r="G1102" s="22">
        <f>IFERROR(__xludf.DUMMYFUNCTION("""COMPUTED_VALUE"""),0.0)</f>
        <v>0</v>
      </c>
      <c r="H1102" s="22">
        <f>IFERROR(__xludf.DUMMYFUNCTION("""COMPUTED_VALUE"""),546541.69904)</f>
        <v>546541.699</v>
      </c>
      <c r="I1102" s="24">
        <f>IFERROR(__xludf.DUMMYFUNCTION("""COMPUTED_VALUE"""),0.09308339807999988)</f>
        <v>0.09308339808</v>
      </c>
    </row>
    <row r="1103">
      <c r="A1103" s="5" t="str">
        <f>IFERROR(__xludf.DUMMYFUNCTION("""COMPUTED_VALUE"""),"36460")</f>
        <v>36460</v>
      </c>
      <c r="B1103" s="64">
        <f>IFERROR(__xludf.DUMMYFUNCTION("""COMPUTED_VALUE"""),44623.0)</f>
        <v>44623</v>
      </c>
      <c r="C1103" s="5"/>
      <c r="D1103" s="5"/>
      <c r="E1103" s="5"/>
      <c r="F1103" s="22">
        <f>IFERROR(__xludf.DUMMYFUNCTION("""COMPUTED_VALUE"""),324863.70592999994)</f>
        <v>324863.7059</v>
      </c>
      <c r="G1103" s="22">
        <f>IFERROR(__xludf.DUMMYFUNCTION("""COMPUTED_VALUE"""),0.0)</f>
        <v>0</v>
      </c>
      <c r="H1103" s="22">
        <f>IFERROR(__xludf.DUMMYFUNCTION("""COMPUTED_VALUE"""),539300.31964)</f>
        <v>539300.3196</v>
      </c>
      <c r="I1103" s="24">
        <f>IFERROR(__xludf.DUMMYFUNCTION("""COMPUTED_VALUE"""),0.07860063928000005)</f>
        <v>0.07860063928</v>
      </c>
    </row>
    <row r="1104">
      <c r="A1104" s="5" t="str">
        <f>IFERROR(__xludf.DUMMYFUNCTION("""COMPUTED_VALUE"""),"36460")</f>
        <v>36460</v>
      </c>
      <c r="B1104" s="64">
        <f>IFERROR(__xludf.DUMMYFUNCTION("""COMPUTED_VALUE"""),44624.0)</f>
        <v>44624</v>
      </c>
      <c r="C1104" s="5"/>
      <c r="D1104" s="5"/>
      <c r="E1104" s="5"/>
      <c r="F1104" s="22">
        <f>IFERROR(__xludf.DUMMYFUNCTION("""COMPUTED_VALUE"""),324863.70592999994)</f>
        <v>324863.7059</v>
      </c>
      <c r="G1104" s="22">
        <f>IFERROR(__xludf.DUMMYFUNCTION("""COMPUTED_VALUE"""),0.0)</f>
        <v>0</v>
      </c>
      <c r="H1104" s="22">
        <f>IFERROR(__xludf.DUMMYFUNCTION("""COMPUTED_VALUE"""),536024.6206400001)</f>
        <v>536024.6206</v>
      </c>
      <c r="I1104" s="24">
        <f>IFERROR(__xludf.DUMMYFUNCTION("""COMPUTED_VALUE"""),0.07204924128000023)</f>
        <v>0.07204924128</v>
      </c>
    </row>
    <row r="1105">
      <c r="A1105" s="5" t="str">
        <f>IFERROR(__xludf.DUMMYFUNCTION("""COMPUTED_VALUE"""),"36460")</f>
        <v>36460</v>
      </c>
      <c r="B1105" s="64">
        <f>IFERROR(__xludf.DUMMYFUNCTION("""COMPUTED_VALUE"""),44625.0)</f>
        <v>44625</v>
      </c>
      <c r="C1105" s="5"/>
      <c r="D1105" s="5"/>
      <c r="E1105" s="5"/>
      <c r="F1105" s="22">
        <f>IFERROR(__xludf.DUMMYFUNCTION("""COMPUTED_VALUE"""),324863.70592999994)</f>
        <v>324863.7059</v>
      </c>
      <c r="G1105" s="22">
        <f>IFERROR(__xludf.DUMMYFUNCTION("""COMPUTED_VALUE"""),0.0)</f>
        <v>0</v>
      </c>
      <c r="H1105" s="22">
        <f>IFERROR(__xludf.DUMMYFUNCTION("""COMPUTED_VALUE"""),536024.6206400001)</f>
        <v>536024.6206</v>
      </c>
      <c r="I1105" s="24">
        <f>IFERROR(__xludf.DUMMYFUNCTION("""COMPUTED_VALUE"""),0.07204924128000023)</f>
        <v>0.07204924128</v>
      </c>
    </row>
    <row r="1106">
      <c r="A1106" s="5" t="str">
        <f>IFERROR(__xludf.DUMMYFUNCTION("""COMPUTED_VALUE"""),"36460")</f>
        <v>36460</v>
      </c>
      <c r="B1106" s="64">
        <f>IFERROR(__xludf.DUMMYFUNCTION("""COMPUTED_VALUE"""),44626.0)</f>
        <v>44626</v>
      </c>
      <c r="C1106" s="5"/>
      <c r="D1106" s="5"/>
      <c r="E1106" s="5"/>
      <c r="F1106" s="22">
        <f>IFERROR(__xludf.DUMMYFUNCTION("""COMPUTED_VALUE"""),324863.70592999994)</f>
        <v>324863.7059</v>
      </c>
      <c r="G1106" s="22">
        <f>IFERROR(__xludf.DUMMYFUNCTION("""COMPUTED_VALUE"""),0.0)</f>
        <v>0</v>
      </c>
      <c r="H1106" s="22">
        <f>IFERROR(__xludf.DUMMYFUNCTION("""COMPUTED_VALUE"""),536024.6206400001)</f>
        <v>536024.6206</v>
      </c>
      <c r="I1106" s="24">
        <f>IFERROR(__xludf.DUMMYFUNCTION("""COMPUTED_VALUE"""),0.07204924128000023)</f>
        <v>0.07204924128</v>
      </c>
    </row>
    <row r="1107">
      <c r="A1107" s="5" t="str">
        <f>IFERROR(__xludf.DUMMYFUNCTION("""COMPUTED_VALUE"""),"36460")</f>
        <v>36460</v>
      </c>
      <c r="B1107" s="64">
        <f>IFERROR(__xludf.DUMMYFUNCTION("""COMPUTED_VALUE"""),44627.0)</f>
        <v>44627</v>
      </c>
      <c r="C1107" s="5"/>
      <c r="D1107" s="5"/>
      <c r="E1107" s="5"/>
      <c r="F1107" s="22">
        <f>IFERROR(__xludf.DUMMYFUNCTION("""COMPUTED_VALUE"""),324863.70592999994)</f>
        <v>324863.7059</v>
      </c>
      <c r="G1107" s="22">
        <f>IFERROR(__xludf.DUMMYFUNCTION("""COMPUTED_VALUE"""),0.0)</f>
        <v>0</v>
      </c>
      <c r="H1107" s="22">
        <f>IFERROR(__xludf.DUMMYFUNCTION("""COMPUTED_VALUE"""),527736.00735)</f>
        <v>527736.0074</v>
      </c>
      <c r="I1107" s="24">
        <f>IFERROR(__xludf.DUMMYFUNCTION("""COMPUTED_VALUE"""),0.05547201469999985)</f>
        <v>0.0554720147</v>
      </c>
    </row>
    <row r="1108">
      <c r="A1108" s="5" t="str">
        <f>IFERROR(__xludf.DUMMYFUNCTION("""COMPUTED_VALUE"""),"36460")</f>
        <v>36460</v>
      </c>
      <c r="B1108" s="64">
        <f>IFERROR(__xludf.DUMMYFUNCTION("""COMPUTED_VALUE"""),44628.0)</f>
        <v>44628</v>
      </c>
      <c r="C1108" s="5"/>
      <c r="D1108" s="5"/>
      <c r="E1108" s="5"/>
      <c r="F1108" s="22">
        <f>IFERROR(__xludf.DUMMYFUNCTION("""COMPUTED_VALUE"""),324863.70592999994)</f>
        <v>324863.7059</v>
      </c>
      <c r="G1108" s="22">
        <f>IFERROR(__xludf.DUMMYFUNCTION("""COMPUTED_VALUE"""),0.0)</f>
        <v>0</v>
      </c>
      <c r="H1108" s="22">
        <f>IFERROR(__xludf.DUMMYFUNCTION("""COMPUTED_VALUE"""),529861.96153)</f>
        <v>529861.9615</v>
      </c>
      <c r="I1108" s="24">
        <f>IFERROR(__xludf.DUMMYFUNCTION("""COMPUTED_VALUE"""),0.05972392305999996)</f>
        <v>0.05972392306</v>
      </c>
    </row>
    <row r="1109">
      <c r="A1109" s="5" t="str">
        <f>IFERROR(__xludf.DUMMYFUNCTION("""COMPUTED_VALUE"""),"36460")</f>
        <v>36460</v>
      </c>
      <c r="B1109" s="64">
        <f>IFERROR(__xludf.DUMMYFUNCTION("""COMPUTED_VALUE"""),44629.0)</f>
        <v>44629</v>
      </c>
      <c r="C1109" s="5"/>
      <c r="D1109" s="5"/>
      <c r="E1109" s="5"/>
      <c r="F1109" s="22">
        <f>IFERROR(__xludf.DUMMYFUNCTION("""COMPUTED_VALUE"""),324863.70592999994)</f>
        <v>324863.7059</v>
      </c>
      <c r="G1109" s="22">
        <f>IFERROR(__xludf.DUMMYFUNCTION("""COMPUTED_VALUE"""),0.0)</f>
        <v>0</v>
      </c>
      <c r="H1109" s="22">
        <f>IFERROR(__xludf.DUMMYFUNCTION("""COMPUTED_VALUE"""),535564.47596)</f>
        <v>535564.476</v>
      </c>
      <c r="I1109" s="24">
        <f>IFERROR(__xludf.DUMMYFUNCTION("""COMPUTED_VALUE"""),0.0711289519199998)</f>
        <v>0.07112895192</v>
      </c>
    </row>
    <row r="1110">
      <c r="A1110" s="5" t="str">
        <f>IFERROR(__xludf.DUMMYFUNCTION("""COMPUTED_VALUE"""),"36460")</f>
        <v>36460</v>
      </c>
      <c r="B1110" s="64">
        <f>IFERROR(__xludf.DUMMYFUNCTION("""COMPUTED_VALUE"""),44630.0)</f>
        <v>44630</v>
      </c>
      <c r="C1110" s="5"/>
      <c r="D1110" s="5"/>
      <c r="E1110" s="5"/>
      <c r="F1110" s="22">
        <f>IFERROR(__xludf.DUMMYFUNCTION("""COMPUTED_VALUE"""),324863.70592999994)</f>
        <v>324863.7059</v>
      </c>
      <c r="G1110" s="22">
        <f>IFERROR(__xludf.DUMMYFUNCTION("""COMPUTED_VALUE"""),0.0)</f>
        <v>0</v>
      </c>
      <c r="H1110" s="22">
        <f>IFERROR(__xludf.DUMMYFUNCTION("""COMPUTED_VALUE"""),535604.47596)</f>
        <v>535604.476</v>
      </c>
      <c r="I1110" s="24">
        <f>IFERROR(__xludf.DUMMYFUNCTION("""COMPUTED_VALUE"""),0.07120895191999987)</f>
        <v>0.07120895192</v>
      </c>
    </row>
    <row r="1111">
      <c r="A1111" s="5" t="str">
        <f>IFERROR(__xludf.DUMMYFUNCTION("""COMPUTED_VALUE"""),"36460")</f>
        <v>36460</v>
      </c>
      <c r="B1111" s="64">
        <f>IFERROR(__xludf.DUMMYFUNCTION("""COMPUTED_VALUE"""),44631.0)</f>
        <v>44631</v>
      </c>
      <c r="C1111" s="5"/>
      <c r="D1111" s="5"/>
      <c r="E1111" s="5"/>
      <c r="F1111" s="22">
        <f>IFERROR(__xludf.DUMMYFUNCTION("""COMPUTED_VALUE"""),324863.70592999994)</f>
        <v>324863.7059</v>
      </c>
      <c r="G1111" s="22">
        <f>IFERROR(__xludf.DUMMYFUNCTION("""COMPUTED_VALUE"""),0.0)</f>
        <v>0</v>
      </c>
      <c r="H1111" s="22">
        <f>IFERROR(__xludf.DUMMYFUNCTION("""COMPUTED_VALUE"""),522258.90558)</f>
        <v>522258.9056</v>
      </c>
      <c r="I1111" s="24">
        <f>IFERROR(__xludf.DUMMYFUNCTION("""COMPUTED_VALUE"""),0.044517811159999976)</f>
        <v>0.04451781116</v>
      </c>
    </row>
    <row r="1112">
      <c r="A1112" s="5" t="str">
        <f>IFERROR(__xludf.DUMMYFUNCTION("""COMPUTED_VALUE"""),"36460")</f>
        <v>36460</v>
      </c>
      <c r="B1112" s="64">
        <f>IFERROR(__xludf.DUMMYFUNCTION("""COMPUTED_VALUE"""),44632.0)</f>
        <v>44632</v>
      </c>
      <c r="C1112" s="5"/>
      <c r="D1112" s="5"/>
      <c r="E1112" s="5"/>
      <c r="F1112" s="22">
        <f>IFERROR(__xludf.DUMMYFUNCTION("""COMPUTED_VALUE"""),324863.70592999994)</f>
        <v>324863.7059</v>
      </c>
      <c r="G1112" s="22">
        <f>IFERROR(__xludf.DUMMYFUNCTION("""COMPUTED_VALUE"""),0.0)</f>
        <v>0</v>
      </c>
      <c r="H1112" s="22">
        <f>IFERROR(__xludf.DUMMYFUNCTION("""COMPUTED_VALUE"""),522258.90558)</f>
        <v>522258.9056</v>
      </c>
      <c r="I1112" s="24">
        <f>IFERROR(__xludf.DUMMYFUNCTION("""COMPUTED_VALUE"""),0.044517811159999976)</f>
        <v>0.04451781116</v>
      </c>
    </row>
    <row r="1113">
      <c r="A1113" s="5" t="str">
        <f>IFERROR(__xludf.DUMMYFUNCTION("""COMPUTED_VALUE"""),"36460")</f>
        <v>36460</v>
      </c>
      <c r="B1113" s="64">
        <f>IFERROR(__xludf.DUMMYFUNCTION("""COMPUTED_VALUE"""),44633.0)</f>
        <v>44633</v>
      </c>
      <c r="C1113" s="5"/>
      <c r="D1113" s="5"/>
      <c r="E1113" s="5"/>
      <c r="F1113" s="22">
        <f>IFERROR(__xludf.DUMMYFUNCTION("""COMPUTED_VALUE"""),324863.70592999994)</f>
        <v>324863.7059</v>
      </c>
      <c r="G1113" s="22">
        <f>IFERROR(__xludf.DUMMYFUNCTION("""COMPUTED_VALUE"""),0.0)</f>
        <v>0</v>
      </c>
      <c r="H1113" s="22">
        <f>IFERROR(__xludf.DUMMYFUNCTION("""COMPUTED_VALUE"""),522258.90558)</f>
        <v>522258.9056</v>
      </c>
      <c r="I1113" s="24">
        <f>IFERROR(__xludf.DUMMYFUNCTION("""COMPUTED_VALUE"""),0.044517811159999976)</f>
        <v>0.04451781116</v>
      </c>
    </row>
    <row r="1114">
      <c r="A1114" s="5" t="str">
        <f>IFERROR(__xludf.DUMMYFUNCTION("""COMPUTED_VALUE"""),"36460")</f>
        <v>36460</v>
      </c>
      <c r="B1114" s="64">
        <f>IFERROR(__xludf.DUMMYFUNCTION("""COMPUTED_VALUE"""),44634.0)</f>
        <v>44634</v>
      </c>
      <c r="C1114" s="5"/>
      <c r="D1114" s="5"/>
      <c r="E1114" s="5"/>
      <c r="F1114" s="22">
        <f>IFERROR(__xludf.DUMMYFUNCTION("""COMPUTED_VALUE"""),324863.70592999994)</f>
        <v>324863.7059</v>
      </c>
      <c r="G1114" s="22">
        <f>IFERROR(__xludf.DUMMYFUNCTION("""COMPUTED_VALUE"""),0.0)</f>
        <v>0</v>
      </c>
      <c r="H1114" s="22">
        <f>IFERROR(__xludf.DUMMYFUNCTION("""COMPUTED_VALUE"""),510546.74856)</f>
        <v>510546.7486</v>
      </c>
      <c r="I1114" s="24">
        <f>IFERROR(__xludf.DUMMYFUNCTION("""COMPUTED_VALUE"""),0.02109349711999986)</f>
        <v>0.02109349712</v>
      </c>
    </row>
    <row r="1115">
      <c r="A1115" s="5" t="str">
        <f>IFERROR(__xludf.DUMMYFUNCTION("""COMPUTED_VALUE"""),"36460")</f>
        <v>36460</v>
      </c>
      <c r="B1115" s="64">
        <f>IFERROR(__xludf.DUMMYFUNCTION("""COMPUTED_VALUE"""),44635.0)</f>
        <v>44635</v>
      </c>
      <c r="C1115" s="5"/>
      <c r="D1115" s="5"/>
      <c r="E1115" s="5"/>
      <c r="F1115" s="22">
        <f>IFERROR(__xludf.DUMMYFUNCTION("""COMPUTED_VALUE"""),324863.70592999994)</f>
        <v>324863.7059</v>
      </c>
      <c r="G1115" s="22">
        <f>IFERROR(__xludf.DUMMYFUNCTION("""COMPUTED_VALUE"""),0.0)</f>
        <v>0</v>
      </c>
      <c r="H1115" s="22">
        <f>IFERROR(__xludf.DUMMYFUNCTION("""COMPUTED_VALUE"""),509317.17704000004)</f>
        <v>509317.177</v>
      </c>
      <c r="I1115" s="24">
        <f>IFERROR(__xludf.DUMMYFUNCTION("""COMPUTED_VALUE"""),0.018634354080000026)</f>
        <v>0.01863435408</v>
      </c>
    </row>
    <row r="1116">
      <c r="A1116" s="5" t="str">
        <f>IFERROR(__xludf.DUMMYFUNCTION("""COMPUTED_VALUE"""),"36460")</f>
        <v>36460</v>
      </c>
      <c r="B1116" s="64">
        <f>IFERROR(__xludf.DUMMYFUNCTION("""COMPUTED_VALUE"""),44636.0)</f>
        <v>44636</v>
      </c>
      <c r="C1116" s="5"/>
      <c r="D1116" s="5"/>
      <c r="E1116" s="5"/>
      <c r="F1116" s="22">
        <f>IFERROR(__xludf.DUMMYFUNCTION("""COMPUTED_VALUE"""),324863.70592999994)</f>
        <v>324863.7059</v>
      </c>
      <c r="G1116" s="22">
        <f>IFERROR(__xludf.DUMMYFUNCTION("""COMPUTED_VALUE"""),0.0)</f>
        <v>0</v>
      </c>
      <c r="H1116" s="22">
        <f>IFERROR(__xludf.DUMMYFUNCTION("""COMPUTED_VALUE"""),529086.6767000001)</f>
        <v>529086.6767</v>
      </c>
      <c r="I1116" s="24">
        <f>IFERROR(__xludf.DUMMYFUNCTION("""COMPUTED_VALUE"""),0.05817335340000018)</f>
        <v>0.0581733534</v>
      </c>
    </row>
    <row r="1117">
      <c r="A1117" s="5" t="str">
        <f>IFERROR(__xludf.DUMMYFUNCTION("""COMPUTED_VALUE"""),"36460")</f>
        <v>36460</v>
      </c>
      <c r="B1117" s="64">
        <f>IFERROR(__xludf.DUMMYFUNCTION("""COMPUTED_VALUE"""),44637.0)</f>
        <v>44637</v>
      </c>
      <c r="C1117" s="5"/>
      <c r="D1117" s="5"/>
      <c r="E1117" s="5"/>
      <c r="F1117" s="22">
        <f>IFERROR(__xludf.DUMMYFUNCTION("""COMPUTED_VALUE"""),324863.70592999994)</f>
        <v>324863.7059</v>
      </c>
      <c r="G1117" s="22">
        <f>IFERROR(__xludf.DUMMYFUNCTION("""COMPUTED_VALUE"""),0.0)</f>
        <v>0</v>
      </c>
      <c r="H1117" s="22">
        <f>IFERROR(__xludf.DUMMYFUNCTION("""COMPUTED_VALUE"""),538570.95433)</f>
        <v>538570.9543</v>
      </c>
      <c r="I1117" s="24">
        <f>IFERROR(__xludf.DUMMYFUNCTION("""COMPUTED_VALUE"""),0.07714190866000004)</f>
        <v>0.07714190866</v>
      </c>
    </row>
    <row r="1118">
      <c r="A1118" s="5" t="str">
        <f>IFERROR(__xludf.DUMMYFUNCTION("""COMPUTED_VALUE"""),"36460")</f>
        <v>36460</v>
      </c>
      <c r="B1118" s="64">
        <f>IFERROR(__xludf.DUMMYFUNCTION("""COMPUTED_VALUE"""),44638.0)</f>
        <v>44638</v>
      </c>
      <c r="C1118" s="5"/>
      <c r="D1118" s="5"/>
      <c r="E1118" s="5"/>
      <c r="F1118" s="22">
        <f>IFERROR(__xludf.DUMMYFUNCTION("""COMPUTED_VALUE"""),324863.70592999994)</f>
        <v>324863.7059</v>
      </c>
      <c r="G1118" s="22">
        <f>IFERROR(__xludf.DUMMYFUNCTION("""COMPUTED_VALUE"""),0.0)</f>
        <v>0</v>
      </c>
      <c r="H1118" s="22">
        <f>IFERROR(__xludf.DUMMYFUNCTION("""COMPUTED_VALUE"""),542032.02354)</f>
        <v>542032.0235</v>
      </c>
      <c r="I1118" s="24">
        <f>IFERROR(__xludf.DUMMYFUNCTION("""COMPUTED_VALUE"""),0.08406404708000004)</f>
        <v>0.08406404708</v>
      </c>
    </row>
    <row r="1119">
      <c r="A1119" s="5" t="str">
        <f>IFERROR(__xludf.DUMMYFUNCTION("""COMPUTED_VALUE"""),"36460")</f>
        <v>36460</v>
      </c>
      <c r="B1119" s="64">
        <f>IFERROR(__xludf.DUMMYFUNCTION("""COMPUTED_VALUE"""),44639.0)</f>
        <v>44639</v>
      </c>
      <c r="C1119" s="5"/>
      <c r="D1119" s="5"/>
      <c r="E1119" s="5"/>
      <c r="F1119" s="22">
        <f>IFERROR(__xludf.DUMMYFUNCTION("""COMPUTED_VALUE"""),324863.70592999994)</f>
        <v>324863.7059</v>
      </c>
      <c r="G1119" s="22">
        <f>IFERROR(__xludf.DUMMYFUNCTION("""COMPUTED_VALUE"""),0.0)</f>
        <v>0</v>
      </c>
      <c r="H1119" s="22">
        <f>IFERROR(__xludf.DUMMYFUNCTION("""COMPUTED_VALUE"""),542032.02354)</f>
        <v>542032.0235</v>
      </c>
      <c r="I1119" s="24">
        <f>IFERROR(__xludf.DUMMYFUNCTION("""COMPUTED_VALUE"""),0.08406404708000004)</f>
        <v>0.08406404708</v>
      </c>
    </row>
    <row r="1120">
      <c r="A1120" s="5" t="str">
        <f>IFERROR(__xludf.DUMMYFUNCTION("""COMPUTED_VALUE"""),"36460")</f>
        <v>36460</v>
      </c>
      <c r="B1120" s="64">
        <f>IFERROR(__xludf.DUMMYFUNCTION("""COMPUTED_VALUE"""),44640.0)</f>
        <v>44640</v>
      </c>
      <c r="C1120" s="5"/>
      <c r="D1120" s="5"/>
      <c r="E1120" s="5"/>
      <c r="F1120" s="22">
        <f>IFERROR(__xludf.DUMMYFUNCTION("""COMPUTED_VALUE"""),324863.70592999994)</f>
        <v>324863.7059</v>
      </c>
      <c r="G1120" s="22">
        <f>IFERROR(__xludf.DUMMYFUNCTION("""COMPUTED_VALUE"""),0.0)</f>
        <v>0</v>
      </c>
      <c r="H1120" s="22">
        <f>IFERROR(__xludf.DUMMYFUNCTION("""COMPUTED_VALUE"""),542032.02354)</f>
        <v>542032.0235</v>
      </c>
      <c r="I1120" s="24">
        <f>IFERROR(__xludf.DUMMYFUNCTION("""COMPUTED_VALUE"""),0.08406404708000004)</f>
        <v>0.08406404708</v>
      </c>
    </row>
    <row r="1121">
      <c r="A1121" s="5" t="str">
        <f>IFERROR(__xludf.DUMMYFUNCTION("""COMPUTED_VALUE"""),"36460")</f>
        <v>36460</v>
      </c>
      <c r="B1121" s="64">
        <f>IFERROR(__xludf.DUMMYFUNCTION("""COMPUTED_VALUE"""),44641.0)</f>
        <v>44641</v>
      </c>
      <c r="C1121" s="5"/>
      <c r="D1121" s="5"/>
      <c r="E1121" s="5"/>
      <c r="F1121" s="22">
        <f>IFERROR(__xludf.DUMMYFUNCTION("""COMPUTED_VALUE"""),324863.70592999994)</f>
        <v>324863.7059</v>
      </c>
      <c r="G1121" s="22">
        <f>IFERROR(__xludf.DUMMYFUNCTION("""COMPUTED_VALUE"""),0.0)</f>
        <v>0</v>
      </c>
      <c r="H1121" s="22">
        <f>IFERROR(__xludf.DUMMYFUNCTION("""COMPUTED_VALUE"""),542767.39677)</f>
        <v>542767.3968</v>
      </c>
      <c r="I1121" s="24">
        <f>IFERROR(__xludf.DUMMYFUNCTION("""COMPUTED_VALUE"""),0.08553479353999993)</f>
        <v>0.08553479354</v>
      </c>
    </row>
    <row r="1122">
      <c r="A1122" s="5" t="str">
        <f>IFERROR(__xludf.DUMMYFUNCTION("""COMPUTED_VALUE"""),"36460")</f>
        <v>36460</v>
      </c>
      <c r="B1122" s="64">
        <f>IFERROR(__xludf.DUMMYFUNCTION("""COMPUTED_VALUE"""),44642.0)</f>
        <v>44642</v>
      </c>
      <c r="C1122" s="5"/>
      <c r="D1122" s="5"/>
      <c r="E1122" s="5"/>
      <c r="F1122" s="22">
        <f>IFERROR(__xludf.DUMMYFUNCTION("""COMPUTED_VALUE"""),324863.70592999994)</f>
        <v>324863.7059</v>
      </c>
      <c r="G1122" s="22">
        <f>IFERROR(__xludf.DUMMYFUNCTION("""COMPUTED_VALUE"""),0.0)</f>
        <v>0</v>
      </c>
      <c r="H1122" s="22">
        <f>IFERROR(__xludf.DUMMYFUNCTION("""COMPUTED_VALUE"""),557225.39795)</f>
        <v>557225.398</v>
      </c>
      <c r="I1122" s="24">
        <f>IFERROR(__xludf.DUMMYFUNCTION("""COMPUTED_VALUE"""),0.11445079590000007)</f>
        <v>0.1144507959</v>
      </c>
    </row>
    <row r="1123">
      <c r="A1123" s="5" t="str">
        <f>IFERROR(__xludf.DUMMYFUNCTION("""COMPUTED_VALUE"""),"36460")</f>
        <v>36460</v>
      </c>
      <c r="B1123" s="64">
        <f>IFERROR(__xludf.DUMMYFUNCTION("""COMPUTED_VALUE"""),44643.0)</f>
        <v>44643</v>
      </c>
      <c r="C1123" s="5"/>
      <c r="D1123" s="5"/>
      <c r="E1123" s="5"/>
      <c r="F1123" s="22">
        <f>IFERROR(__xludf.DUMMYFUNCTION("""COMPUTED_VALUE"""),324863.70592999994)</f>
        <v>324863.7059</v>
      </c>
      <c r="G1123" s="22">
        <f>IFERROR(__xludf.DUMMYFUNCTION("""COMPUTED_VALUE"""),0.0)</f>
        <v>0</v>
      </c>
      <c r="H1123" s="22">
        <f>IFERROR(__xludf.DUMMYFUNCTION("""COMPUTED_VALUE"""),558224.1338200001)</f>
        <v>558224.1338</v>
      </c>
      <c r="I1123" s="24">
        <f>IFERROR(__xludf.DUMMYFUNCTION("""COMPUTED_VALUE"""),0.11644826764000027)</f>
        <v>0.1164482676</v>
      </c>
    </row>
    <row r="1124">
      <c r="A1124" s="5" t="str">
        <f>IFERROR(__xludf.DUMMYFUNCTION("""COMPUTED_VALUE"""),"36460")</f>
        <v>36460</v>
      </c>
      <c r="B1124" s="64">
        <f>IFERROR(__xludf.DUMMYFUNCTION("""COMPUTED_VALUE"""),44644.0)</f>
        <v>44644</v>
      </c>
      <c r="C1124" s="5"/>
      <c r="D1124" s="5"/>
      <c r="E1124" s="5"/>
      <c r="F1124" s="22">
        <f>IFERROR(__xludf.DUMMYFUNCTION("""COMPUTED_VALUE"""),324863.70592999994)</f>
        <v>324863.7059</v>
      </c>
      <c r="G1124" s="22">
        <f>IFERROR(__xludf.DUMMYFUNCTION("""COMPUTED_VALUE"""),0.0)</f>
        <v>0</v>
      </c>
      <c r="H1124" s="22">
        <f>IFERROR(__xludf.DUMMYFUNCTION("""COMPUTED_VALUE"""),559513.037975)</f>
        <v>559513.038</v>
      </c>
      <c r="I1124" s="24">
        <f>IFERROR(__xludf.DUMMYFUNCTION("""COMPUTED_VALUE"""),0.11902607594999992)</f>
        <v>0.119026076</v>
      </c>
    </row>
    <row r="1125">
      <c r="A1125" s="5" t="str">
        <f>IFERROR(__xludf.DUMMYFUNCTION("""COMPUTED_VALUE"""),"36460")</f>
        <v>36460</v>
      </c>
      <c r="B1125" s="64">
        <f>IFERROR(__xludf.DUMMYFUNCTION("""COMPUTED_VALUE"""),44645.0)</f>
        <v>44645</v>
      </c>
      <c r="C1125" s="5"/>
      <c r="D1125" s="5"/>
      <c r="E1125" s="5"/>
      <c r="F1125" s="22">
        <f>IFERROR(__xludf.DUMMYFUNCTION("""COMPUTED_VALUE"""),324863.70592999994)</f>
        <v>324863.7059</v>
      </c>
      <c r="G1125" s="22">
        <f>IFERROR(__xludf.DUMMYFUNCTION("""COMPUTED_VALUE"""),0.0)</f>
        <v>0</v>
      </c>
      <c r="H1125" s="22">
        <f>IFERROR(__xludf.DUMMYFUNCTION("""COMPUTED_VALUE"""),558170.28123)</f>
        <v>558170.2812</v>
      </c>
      <c r="I1125" s="24">
        <f>IFERROR(__xludf.DUMMYFUNCTION("""COMPUTED_VALUE"""),0.11634056246000002)</f>
        <v>0.1163405625</v>
      </c>
    </row>
    <row r="1126">
      <c r="A1126" s="5" t="str">
        <f>IFERROR(__xludf.DUMMYFUNCTION("""COMPUTED_VALUE"""),"36460")</f>
        <v>36460</v>
      </c>
      <c r="B1126" s="64">
        <f>IFERROR(__xludf.DUMMYFUNCTION("""COMPUTED_VALUE"""),44646.0)</f>
        <v>44646</v>
      </c>
      <c r="C1126" s="5"/>
      <c r="D1126" s="5"/>
      <c r="E1126" s="5"/>
      <c r="F1126" s="22">
        <f>IFERROR(__xludf.DUMMYFUNCTION("""COMPUTED_VALUE"""),324863.70592999994)</f>
        <v>324863.7059</v>
      </c>
      <c r="G1126" s="22">
        <f>IFERROR(__xludf.DUMMYFUNCTION("""COMPUTED_VALUE"""),0.0)</f>
        <v>0</v>
      </c>
      <c r="H1126" s="22">
        <f>IFERROR(__xludf.DUMMYFUNCTION("""COMPUTED_VALUE"""),558170.28123)</f>
        <v>558170.2812</v>
      </c>
      <c r="I1126" s="24">
        <f>IFERROR(__xludf.DUMMYFUNCTION("""COMPUTED_VALUE"""),0.11634056246000002)</f>
        <v>0.1163405625</v>
      </c>
    </row>
    <row r="1127">
      <c r="A1127" s="5" t="str">
        <f>IFERROR(__xludf.DUMMYFUNCTION("""COMPUTED_VALUE"""),"36460")</f>
        <v>36460</v>
      </c>
      <c r="B1127" s="64">
        <f>IFERROR(__xludf.DUMMYFUNCTION("""COMPUTED_VALUE"""),44647.0)</f>
        <v>44647</v>
      </c>
      <c r="C1127" s="5"/>
      <c r="D1127" s="5"/>
      <c r="E1127" s="5"/>
      <c r="F1127" s="22">
        <f>IFERROR(__xludf.DUMMYFUNCTION("""COMPUTED_VALUE"""),324863.70592999994)</f>
        <v>324863.7059</v>
      </c>
      <c r="G1127" s="22">
        <f>IFERROR(__xludf.DUMMYFUNCTION("""COMPUTED_VALUE"""),0.0)</f>
        <v>0</v>
      </c>
      <c r="H1127" s="22">
        <f>IFERROR(__xludf.DUMMYFUNCTION("""COMPUTED_VALUE"""),558170.28123)</f>
        <v>558170.2812</v>
      </c>
      <c r="I1127" s="24">
        <f>IFERROR(__xludf.DUMMYFUNCTION("""COMPUTED_VALUE"""),0.11634056246000002)</f>
        <v>0.1163405625</v>
      </c>
    </row>
    <row r="1128">
      <c r="A1128" s="5" t="str">
        <f>IFERROR(__xludf.DUMMYFUNCTION("""COMPUTED_VALUE"""),"36460")</f>
        <v>36460</v>
      </c>
      <c r="B1128" s="64">
        <f>IFERROR(__xludf.DUMMYFUNCTION("""COMPUTED_VALUE"""),44648.0)</f>
        <v>44648</v>
      </c>
      <c r="C1128" s="5"/>
      <c r="D1128" s="5"/>
      <c r="E1128" s="5"/>
      <c r="F1128" s="22">
        <f>IFERROR(__xludf.DUMMYFUNCTION("""COMPUTED_VALUE"""),324863.70592999994)</f>
        <v>324863.7059</v>
      </c>
      <c r="G1128" s="22">
        <f>IFERROR(__xludf.DUMMYFUNCTION("""COMPUTED_VALUE"""),0.0)</f>
        <v>0</v>
      </c>
      <c r="H1128" s="22">
        <f>IFERROR(__xludf.DUMMYFUNCTION("""COMPUTED_VALUE"""),571313.04003)</f>
        <v>571313.04</v>
      </c>
      <c r="I1128" s="24">
        <f>IFERROR(__xludf.DUMMYFUNCTION("""COMPUTED_VALUE"""),0.1426260800600001)</f>
        <v>0.1426260801</v>
      </c>
    </row>
    <row r="1129">
      <c r="A1129" s="5" t="str">
        <f>IFERROR(__xludf.DUMMYFUNCTION("""COMPUTED_VALUE"""),"36460")</f>
        <v>36460</v>
      </c>
      <c r="B1129" s="64">
        <f>IFERROR(__xludf.DUMMYFUNCTION("""COMPUTED_VALUE"""),44649.0)</f>
        <v>44649</v>
      </c>
      <c r="C1129" s="5"/>
      <c r="D1129" s="5"/>
      <c r="E1129" s="5"/>
      <c r="F1129" s="22">
        <f>IFERROR(__xludf.DUMMYFUNCTION("""COMPUTED_VALUE"""),324863.70592999994)</f>
        <v>324863.7059</v>
      </c>
      <c r="G1129" s="22">
        <f>IFERROR(__xludf.DUMMYFUNCTION("""COMPUTED_VALUE"""),0.0)</f>
        <v>0</v>
      </c>
      <c r="H1129" s="22">
        <f>IFERROR(__xludf.DUMMYFUNCTION("""COMPUTED_VALUE"""),573056.5933)</f>
        <v>573056.5933</v>
      </c>
      <c r="I1129" s="24">
        <f>IFERROR(__xludf.DUMMYFUNCTION("""COMPUTED_VALUE"""),0.14611318659999983)</f>
        <v>0.1461131866</v>
      </c>
    </row>
    <row r="1130">
      <c r="A1130" s="5" t="str">
        <f>IFERROR(__xludf.DUMMYFUNCTION("""COMPUTED_VALUE"""),"36460")</f>
        <v>36460</v>
      </c>
      <c r="B1130" s="64">
        <f>IFERROR(__xludf.DUMMYFUNCTION("""COMPUTED_VALUE"""),44650.0)</f>
        <v>44650</v>
      </c>
      <c r="C1130" s="5"/>
      <c r="D1130" s="5"/>
      <c r="E1130" s="5"/>
      <c r="F1130" s="22">
        <f>IFERROR(__xludf.DUMMYFUNCTION("""COMPUTED_VALUE"""),324863.70592999994)</f>
        <v>324863.7059</v>
      </c>
      <c r="G1130" s="22">
        <f>IFERROR(__xludf.DUMMYFUNCTION("""COMPUTED_VALUE"""),0.0)</f>
        <v>0</v>
      </c>
      <c r="H1130" s="22">
        <f>IFERROR(__xludf.DUMMYFUNCTION("""COMPUTED_VALUE"""),572357.79288)</f>
        <v>572357.7929</v>
      </c>
      <c r="I1130" s="24">
        <f>IFERROR(__xludf.DUMMYFUNCTION("""COMPUTED_VALUE"""),0.14471558576)</f>
        <v>0.1447155858</v>
      </c>
    </row>
    <row r="1131">
      <c r="A1131" s="5" t="str">
        <f>IFERROR(__xludf.DUMMYFUNCTION("""COMPUTED_VALUE"""),"36460")</f>
        <v>36460</v>
      </c>
      <c r="B1131" s="64">
        <f>IFERROR(__xludf.DUMMYFUNCTION("""COMPUTED_VALUE"""),44651.0)</f>
        <v>44651</v>
      </c>
      <c r="C1131" s="5"/>
      <c r="D1131" s="5"/>
      <c r="E1131" s="5"/>
      <c r="F1131" s="22">
        <f>IFERROR(__xludf.DUMMYFUNCTION("""COMPUTED_VALUE"""),324863.70592999994)</f>
        <v>324863.7059</v>
      </c>
      <c r="G1131" s="22">
        <f>IFERROR(__xludf.DUMMYFUNCTION("""COMPUTED_VALUE"""),0.0)</f>
        <v>0</v>
      </c>
      <c r="H1131" s="22">
        <f>IFERROR(__xludf.DUMMYFUNCTION("""COMPUTED_VALUE"""),574477.3259050001)</f>
        <v>574477.3259</v>
      </c>
      <c r="I1131" s="24">
        <f>IFERROR(__xludf.DUMMYFUNCTION("""COMPUTED_VALUE"""),0.14895465181000023)</f>
        <v>0.1489546518</v>
      </c>
    </row>
    <row r="1132">
      <c r="A1132" s="5" t="str">
        <f>IFERROR(__xludf.DUMMYFUNCTION("""COMPUTED_VALUE"""),"36460")</f>
        <v>36460</v>
      </c>
      <c r="B1132" s="64">
        <f>IFERROR(__xludf.DUMMYFUNCTION("""COMPUTED_VALUE"""),44652.0)</f>
        <v>44652</v>
      </c>
      <c r="C1132" s="5"/>
      <c r="D1132" s="5"/>
      <c r="E1132" s="5"/>
      <c r="F1132" s="22">
        <f>IFERROR(__xludf.DUMMYFUNCTION("""COMPUTED_VALUE"""),557913.6794599999)</f>
        <v>557913.6795</v>
      </c>
      <c r="G1132" s="22">
        <f>IFERROR(__xludf.DUMMYFUNCTION("""COMPUTED_VALUE"""),0.0)</f>
        <v>0</v>
      </c>
      <c r="H1132" s="22">
        <f>IFERROR(__xludf.DUMMYFUNCTION("""COMPUTED_VALUE"""),575795.6619150001)</f>
        <v>575795.6619</v>
      </c>
      <c r="I1132" s="24">
        <f>IFERROR(__xludf.DUMMYFUNCTION("""COMPUTED_VALUE"""),0.15159132383000018)</f>
        <v>0.1515913238</v>
      </c>
    </row>
    <row r="1133">
      <c r="A1133" s="5" t="str">
        <f>IFERROR(__xludf.DUMMYFUNCTION("""COMPUTED_VALUE"""),"36460")</f>
        <v>36460</v>
      </c>
      <c r="B1133" s="64">
        <f>IFERROR(__xludf.DUMMYFUNCTION("""COMPUTED_VALUE"""),44653.0)</f>
        <v>44653</v>
      </c>
      <c r="C1133" s="5"/>
      <c r="D1133" s="5"/>
      <c r="E1133" s="5"/>
      <c r="F1133" s="22">
        <f>IFERROR(__xludf.DUMMYFUNCTION("""COMPUTED_VALUE"""),557913.6794599999)</f>
        <v>557913.6795</v>
      </c>
      <c r="G1133" s="22">
        <f>IFERROR(__xludf.DUMMYFUNCTION("""COMPUTED_VALUE"""),0.0)</f>
        <v>0</v>
      </c>
      <c r="H1133" s="22">
        <f>IFERROR(__xludf.DUMMYFUNCTION("""COMPUTED_VALUE"""),575795.6619150001)</f>
        <v>575795.6619</v>
      </c>
      <c r="I1133" s="24">
        <f>IFERROR(__xludf.DUMMYFUNCTION("""COMPUTED_VALUE"""),0.15159132383000018)</f>
        <v>0.1515913238</v>
      </c>
    </row>
    <row r="1134">
      <c r="A1134" s="5" t="str">
        <f>IFERROR(__xludf.DUMMYFUNCTION("""COMPUTED_VALUE"""),"36460")</f>
        <v>36460</v>
      </c>
      <c r="B1134" s="64">
        <f>IFERROR(__xludf.DUMMYFUNCTION("""COMPUTED_VALUE"""),44654.0)</f>
        <v>44654</v>
      </c>
      <c r="C1134" s="5"/>
      <c r="D1134" s="5"/>
      <c r="E1134" s="5"/>
      <c r="F1134" s="22">
        <f>IFERROR(__xludf.DUMMYFUNCTION("""COMPUTED_VALUE"""),557913.6794599999)</f>
        <v>557913.6795</v>
      </c>
      <c r="G1134" s="22">
        <f>IFERROR(__xludf.DUMMYFUNCTION("""COMPUTED_VALUE"""),0.0)</f>
        <v>0</v>
      </c>
      <c r="H1134" s="22">
        <f>IFERROR(__xludf.DUMMYFUNCTION("""COMPUTED_VALUE"""),575795.6619150001)</f>
        <v>575795.6619</v>
      </c>
      <c r="I1134" s="24">
        <f>IFERROR(__xludf.DUMMYFUNCTION("""COMPUTED_VALUE"""),0.15159132383000018)</f>
        <v>0.1515913238</v>
      </c>
    </row>
    <row r="1135">
      <c r="A1135" s="5" t="str">
        <f>IFERROR(__xludf.DUMMYFUNCTION("""COMPUTED_VALUE"""),"36460")</f>
        <v>36460</v>
      </c>
      <c r="B1135" s="64">
        <f>IFERROR(__xludf.DUMMYFUNCTION("""COMPUTED_VALUE"""),44655.0)</f>
        <v>44655</v>
      </c>
      <c r="C1135" s="5"/>
      <c r="D1135" s="5"/>
      <c r="E1135" s="5"/>
      <c r="F1135" s="22">
        <f>IFERROR(__xludf.DUMMYFUNCTION("""COMPUTED_VALUE"""),557913.6794599999)</f>
        <v>557913.6795</v>
      </c>
      <c r="G1135" s="22">
        <f>IFERROR(__xludf.DUMMYFUNCTION("""COMPUTED_VALUE"""),0.0)</f>
        <v>0</v>
      </c>
      <c r="H1135" s="22">
        <f>IFERROR(__xludf.DUMMYFUNCTION("""COMPUTED_VALUE"""),576296.292985)</f>
        <v>576296.293</v>
      </c>
      <c r="I1135" s="24">
        <f>IFERROR(__xludf.DUMMYFUNCTION("""COMPUTED_VALUE"""),0.15259258596999992)</f>
        <v>0.152592586</v>
      </c>
    </row>
    <row r="1136">
      <c r="A1136" s="5" t="str">
        <f>IFERROR(__xludf.DUMMYFUNCTION("""COMPUTED_VALUE"""),"36460")</f>
        <v>36460</v>
      </c>
      <c r="B1136" s="64">
        <f>IFERROR(__xludf.DUMMYFUNCTION("""COMPUTED_VALUE"""),44656.0)</f>
        <v>44656</v>
      </c>
      <c r="C1136" s="5"/>
      <c r="D1136" s="5"/>
      <c r="E1136" s="5"/>
      <c r="F1136" s="22">
        <f>IFERROR(__xludf.DUMMYFUNCTION("""COMPUTED_VALUE"""),557913.6794599999)</f>
        <v>557913.6795</v>
      </c>
      <c r="G1136" s="22">
        <f>IFERROR(__xludf.DUMMYFUNCTION("""COMPUTED_VALUE"""),0.0)</f>
        <v>0</v>
      </c>
      <c r="H1136" s="22">
        <f>IFERROR(__xludf.DUMMYFUNCTION("""COMPUTED_VALUE"""),576349.15533)</f>
        <v>576349.1553</v>
      </c>
      <c r="I1136" s="24">
        <f>IFERROR(__xludf.DUMMYFUNCTION("""COMPUTED_VALUE"""),0.15269831065999995)</f>
        <v>0.1526983107</v>
      </c>
    </row>
    <row r="1137">
      <c r="A1137" s="5" t="str">
        <f>IFERROR(__xludf.DUMMYFUNCTION("""COMPUTED_VALUE"""),"36460")</f>
        <v>36460</v>
      </c>
      <c r="B1137" s="64">
        <f>IFERROR(__xludf.DUMMYFUNCTION("""COMPUTED_VALUE"""),44657.0)</f>
        <v>44657</v>
      </c>
      <c r="C1137" s="5"/>
      <c r="D1137" s="5"/>
      <c r="E1137" s="5"/>
      <c r="F1137" s="22">
        <f>IFERROR(__xludf.DUMMYFUNCTION("""COMPUTED_VALUE"""),542424.2766162499)</f>
        <v>542424.2766</v>
      </c>
      <c r="G1137" s="22">
        <f>IFERROR(__xludf.DUMMYFUNCTION("""COMPUTED_VALUE"""),0.0)</f>
        <v>0</v>
      </c>
      <c r="H1137" s="22">
        <f>IFERROR(__xludf.DUMMYFUNCTION("""COMPUTED_VALUE"""),575923.9461424999)</f>
        <v>575923.9461</v>
      </c>
      <c r="I1137" s="24">
        <f>IFERROR(__xludf.DUMMYFUNCTION("""COMPUTED_VALUE"""),0.15184789228499973)</f>
        <v>0.1518478923</v>
      </c>
    </row>
    <row r="1138">
      <c r="A1138" s="5" t="str">
        <f>IFERROR(__xludf.DUMMYFUNCTION("""COMPUTED_VALUE"""),"36460")</f>
        <v>36460</v>
      </c>
      <c r="B1138" s="64">
        <f>IFERROR(__xludf.DUMMYFUNCTION("""COMPUTED_VALUE"""),44658.0)</f>
        <v>44658</v>
      </c>
      <c r="C1138" s="5"/>
      <c r="D1138" s="5"/>
      <c r="E1138" s="5"/>
      <c r="F1138" s="22">
        <f>IFERROR(__xludf.DUMMYFUNCTION("""COMPUTED_VALUE"""),542424.2766162499)</f>
        <v>542424.2766</v>
      </c>
      <c r="G1138" s="22">
        <f>IFERROR(__xludf.DUMMYFUNCTION("""COMPUTED_VALUE"""),0.0)</f>
        <v>0</v>
      </c>
      <c r="H1138" s="22">
        <f>IFERROR(__xludf.DUMMYFUNCTION("""COMPUTED_VALUE"""),575582.7278925)</f>
        <v>575582.7279</v>
      </c>
      <c r="I1138" s="24">
        <f>IFERROR(__xludf.DUMMYFUNCTION("""COMPUTED_VALUE"""),0.15116545578499996)</f>
        <v>0.1511654558</v>
      </c>
    </row>
    <row r="1139">
      <c r="A1139" s="5" t="str">
        <f>IFERROR(__xludf.DUMMYFUNCTION("""COMPUTED_VALUE"""),"36460")</f>
        <v>36460</v>
      </c>
      <c r="B1139" s="64">
        <f>IFERROR(__xludf.DUMMYFUNCTION("""COMPUTED_VALUE"""),44659.0)</f>
        <v>44659</v>
      </c>
      <c r="C1139" s="5"/>
      <c r="D1139" s="5"/>
      <c r="E1139" s="5"/>
      <c r="F1139" s="22">
        <f>IFERROR(__xludf.DUMMYFUNCTION("""COMPUTED_VALUE"""),542424.2766162499)</f>
        <v>542424.2766</v>
      </c>
      <c r="G1139" s="22">
        <f>IFERROR(__xludf.DUMMYFUNCTION("""COMPUTED_VALUE"""),0.0)</f>
        <v>0</v>
      </c>
      <c r="H1139" s="22">
        <f>IFERROR(__xludf.DUMMYFUNCTION("""COMPUTED_VALUE"""),575467.302561)</f>
        <v>575467.3026</v>
      </c>
      <c r="I1139" s="24">
        <f>IFERROR(__xludf.DUMMYFUNCTION("""COMPUTED_VALUE"""),0.15093460512199997)</f>
        <v>0.1509346051</v>
      </c>
    </row>
    <row r="1140">
      <c r="A1140" s="5" t="str">
        <f>IFERROR(__xludf.DUMMYFUNCTION("""COMPUTED_VALUE"""),"36460")</f>
        <v>36460</v>
      </c>
      <c r="B1140" s="64">
        <f>IFERROR(__xludf.DUMMYFUNCTION("""COMPUTED_VALUE"""),44660.0)</f>
        <v>44660</v>
      </c>
      <c r="C1140" s="5"/>
      <c r="D1140" s="5"/>
      <c r="E1140" s="5"/>
      <c r="F1140" s="22">
        <f>IFERROR(__xludf.DUMMYFUNCTION("""COMPUTED_VALUE"""),542424.2766162499)</f>
        <v>542424.2766</v>
      </c>
      <c r="G1140" s="22">
        <f>IFERROR(__xludf.DUMMYFUNCTION("""COMPUTED_VALUE"""),0.0)</f>
        <v>0</v>
      </c>
      <c r="H1140" s="22">
        <f>IFERROR(__xludf.DUMMYFUNCTION("""COMPUTED_VALUE"""),575467.302561)</f>
        <v>575467.3026</v>
      </c>
      <c r="I1140" s="24">
        <f>IFERROR(__xludf.DUMMYFUNCTION("""COMPUTED_VALUE"""),0.15093460512199997)</f>
        <v>0.1509346051</v>
      </c>
    </row>
    <row r="1141">
      <c r="A1141" s="5" t="str">
        <f>IFERROR(__xludf.DUMMYFUNCTION("""COMPUTED_VALUE"""),"36460")</f>
        <v>36460</v>
      </c>
      <c r="B1141" s="64">
        <f>IFERROR(__xludf.DUMMYFUNCTION("""COMPUTED_VALUE"""),44661.0)</f>
        <v>44661</v>
      </c>
      <c r="C1141" s="5"/>
      <c r="D1141" s="5"/>
      <c r="E1141" s="5"/>
      <c r="F1141" s="22">
        <f>IFERROR(__xludf.DUMMYFUNCTION("""COMPUTED_VALUE"""),542424.2766162499)</f>
        <v>542424.2766</v>
      </c>
      <c r="G1141" s="22">
        <f>IFERROR(__xludf.DUMMYFUNCTION("""COMPUTED_VALUE"""),0.0)</f>
        <v>0</v>
      </c>
      <c r="H1141" s="22">
        <f>IFERROR(__xludf.DUMMYFUNCTION("""COMPUTED_VALUE"""),575467.302561)</f>
        <v>575467.3026</v>
      </c>
      <c r="I1141" s="24">
        <f>IFERROR(__xludf.DUMMYFUNCTION("""COMPUTED_VALUE"""),0.15093460512199997)</f>
        <v>0.1509346051</v>
      </c>
    </row>
    <row r="1142">
      <c r="A1142" s="5" t="str">
        <f>IFERROR(__xludf.DUMMYFUNCTION("""COMPUTED_VALUE"""),"36460")</f>
        <v>36460</v>
      </c>
      <c r="B1142" s="64">
        <f>IFERROR(__xludf.DUMMYFUNCTION("""COMPUTED_VALUE"""),44662.0)</f>
        <v>44662</v>
      </c>
      <c r="C1142" s="5"/>
      <c r="D1142" s="5"/>
      <c r="E1142" s="5"/>
      <c r="F1142" s="22">
        <f>IFERROR(__xludf.DUMMYFUNCTION("""COMPUTED_VALUE"""),542424.2766162499)</f>
        <v>542424.2766</v>
      </c>
      <c r="G1142" s="22">
        <f>IFERROR(__xludf.DUMMYFUNCTION("""COMPUTED_VALUE"""),0.0)</f>
        <v>0</v>
      </c>
      <c r="H1142" s="22">
        <f>IFERROR(__xludf.DUMMYFUNCTION("""COMPUTED_VALUE"""),574676.459466)</f>
        <v>574676.4595</v>
      </c>
      <c r="I1142" s="24">
        <f>IFERROR(__xludf.DUMMYFUNCTION("""COMPUTED_VALUE"""),0.14935291893199998)</f>
        <v>0.1493529189</v>
      </c>
    </row>
    <row r="1143">
      <c r="A1143" s="5" t="str">
        <f>IFERROR(__xludf.DUMMYFUNCTION("""COMPUTED_VALUE"""),"36460")</f>
        <v>36460</v>
      </c>
      <c r="B1143" s="64">
        <f>IFERROR(__xludf.DUMMYFUNCTION("""COMPUTED_VALUE"""),44663.0)</f>
        <v>44663</v>
      </c>
      <c r="C1143" s="5"/>
      <c r="D1143" s="5"/>
      <c r="E1143" s="5"/>
      <c r="F1143" s="22">
        <f>IFERROR(__xludf.DUMMYFUNCTION("""COMPUTED_VALUE"""),542424.2766162499)</f>
        <v>542424.2766</v>
      </c>
      <c r="G1143" s="22">
        <f>IFERROR(__xludf.DUMMYFUNCTION("""COMPUTED_VALUE"""),0.0)</f>
        <v>0</v>
      </c>
      <c r="H1143" s="22">
        <f>IFERROR(__xludf.DUMMYFUNCTION("""COMPUTED_VALUE"""),575305.709456)</f>
        <v>575305.7095</v>
      </c>
      <c r="I1143" s="24">
        <f>IFERROR(__xludf.DUMMYFUNCTION("""COMPUTED_VALUE"""),0.15061141891200003)</f>
        <v>0.1506114189</v>
      </c>
    </row>
    <row r="1144">
      <c r="A1144" s="5" t="str">
        <f>IFERROR(__xludf.DUMMYFUNCTION("""COMPUTED_VALUE"""),"36560")</f>
        <v>36560</v>
      </c>
      <c r="B1144" s="64">
        <f>IFERROR(__xludf.DUMMYFUNCTION("""COMPUTED_VALUE"""),44597.0)</f>
        <v>44597</v>
      </c>
      <c r="C1144" s="5"/>
      <c r="D1144" s="5"/>
      <c r="E1144" s="5"/>
      <c r="F1144" s="22">
        <f>IFERROR(__xludf.DUMMYFUNCTION("""COMPUTED_VALUE"""),500000.0)</f>
        <v>500000</v>
      </c>
      <c r="G1144" s="22">
        <f>IFERROR(__xludf.DUMMYFUNCTION("""COMPUTED_VALUE"""),0.0)</f>
        <v>0</v>
      </c>
      <c r="H1144" s="22">
        <f>IFERROR(__xludf.DUMMYFUNCTION("""COMPUTED_VALUE"""),500000.0)</f>
        <v>500000</v>
      </c>
      <c r="I1144" s="24">
        <f>IFERROR(__xludf.DUMMYFUNCTION("""COMPUTED_VALUE"""),0.0)</f>
        <v>0</v>
      </c>
    </row>
    <row r="1145">
      <c r="A1145" s="5" t="str">
        <f>IFERROR(__xludf.DUMMYFUNCTION("""COMPUTED_VALUE"""),"36560")</f>
        <v>36560</v>
      </c>
      <c r="B1145" s="64">
        <f>IFERROR(__xludf.DUMMYFUNCTION("""COMPUTED_VALUE"""),44598.0)</f>
        <v>44598</v>
      </c>
      <c r="C1145" s="5"/>
      <c r="D1145" s="5"/>
      <c r="E1145" s="5"/>
      <c r="F1145" s="22">
        <f>IFERROR(__xludf.DUMMYFUNCTION("""COMPUTED_VALUE"""),500000.0)</f>
        <v>500000</v>
      </c>
      <c r="G1145" s="22">
        <f>IFERROR(__xludf.DUMMYFUNCTION("""COMPUTED_VALUE"""),0.0)</f>
        <v>0</v>
      </c>
      <c r="H1145" s="22">
        <f>IFERROR(__xludf.DUMMYFUNCTION("""COMPUTED_VALUE"""),500000.0)</f>
        <v>500000</v>
      </c>
      <c r="I1145" s="24">
        <f>IFERROR(__xludf.DUMMYFUNCTION("""COMPUTED_VALUE"""),0.0)</f>
        <v>0</v>
      </c>
    </row>
    <row r="1146">
      <c r="A1146" s="5" t="str">
        <f>IFERROR(__xludf.DUMMYFUNCTION("""COMPUTED_VALUE"""),"36560")</f>
        <v>36560</v>
      </c>
      <c r="B1146" s="64">
        <f>IFERROR(__xludf.DUMMYFUNCTION("""COMPUTED_VALUE"""),44599.0)</f>
        <v>44599</v>
      </c>
      <c r="C1146" s="5"/>
      <c r="D1146" s="5"/>
      <c r="E1146" s="5"/>
      <c r="F1146" s="22">
        <f>IFERROR(__xludf.DUMMYFUNCTION("""COMPUTED_VALUE"""),500000.0)</f>
        <v>500000</v>
      </c>
      <c r="G1146" s="22">
        <f>IFERROR(__xludf.DUMMYFUNCTION("""COMPUTED_VALUE"""),0.0)</f>
        <v>0</v>
      </c>
      <c r="H1146" s="22">
        <f>IFERROR(__xludf.DUMMYFUNCTION("""COMPUTED_VALUE"""),500000.0)</f>
        <v>500000</v>
      </c>
      <c r="I1146" s="24">
        <f>IFERROR(__xludf.DUMMYFUNCTION("""COMPUTED_VALUE"""),0.0)</f>
        <v>0</v>
      </c>
    </row>
    <row r="1147">
      <c r="A1147" s="5" t="str">
        <f>IFERROR(__xludf.DUMMYFUNCTION("""COMPUTED_VALUE"""),"36560")</f>
        <v>36560</v>
      </c>
      <c r="B1147" s="64">
        <f>IFERROR(__xludf.DUMMYFUNCTION("""COMPUTED_VALUE"""),44600.0)</f>
        <v>44600</v>
      </c>
      <c r="C1147" s="5"/>
      <c r="D1147" s="5"/>
      <c r="E1147" s="5"/>
      <c r="F1147" s="22">
        <f>IFERROR(__xludf.DUMMYFUNCTION("""COMPUTED_VALUE"""),500000.0)</f>
        <v>500000</v>
      </c>
      <c r="G1147" s="22">
        <f>IFERROR(__xludf.DUMMYFUNCTION("""COMPUTED_VALUE"""),0.0)</f>
        <v>0</v>
      </c>
      <c r="H1147" s="22">
        <f>IFERROR(__xludf.DUMMYFUNCTION("""COMPUTED_VALUE"""),500000.0)</f>
        <v>500000</v>
      </c>
      <c r="I1147" s="24">
        <f>IFERROR(__xludf.DUMMYFUNCTION("""COMPUTED_VALUE"""),0.0)</f>
        <v>0</v>
      </c>
    </row>
    <row r="1148">
      <c r="A1148" s="5" t="str">
        <f>IFERROR(__xludf.DUMMYFUNCTION("""COMPUTED_VALUE"""),"36560")</f>
        <v>36560</v>
      </c>
      <c r="B1148" s="64">
        <f>IFERROR(__xludf.DUMMYFUNCTION("""COMPUTED_VALUE"""),44601.0)</f>
        <v>44601</v>
      </c>
      <c r="C1148" s="5"/>
      <c r="D1148" s="5"/>
      <c r="E1148" s="5"/>
      <c r="F1148" s="22">
        <f>IFERROR(__xludf.DUMMYFUNCTION("""COMPUTED_VALUE"""),500000.0)</f>
        <v>500000</v>
      </c>
      <c r="G1148" s="22">
        <f>IFERROR(__xludf.DUMMYFUNCTION("""COMPUTED_VALUE"""),0.0)</f>
        <v>0</v>
      </c>
      <c r="H1148" s="22">
        <f>IFERROR(__xludf.DUMMYFUNCTION("""COMPUTED_VALUE"""),500000.0)</f>
        <v>500000</v>
      </c>
      <c r="I1148" s="24">
        <f>IFERROR(__xludf.DUMMYFUNCTION("""COMPUTED_VALUE"""),0.0)</f>
        <v>0</v>
      </c>
    </row>
    <row r="1149">
      <c r="A1149" s="5" t="str">
        <f>IFERROR(__xludf.DUMMYFUNCTION("""COMPUTED_VALUE"""),"36560")</f>
        <v>36560</v>
      </c>
      <c r="B1149" s="64">
        <f>IFERROR(__xludf.DUMMYFUNCTION("""COMPUTED_VALUE"""),44602.0)</f>
        <v>44602</v>
      </c>
      <c r="C1149" s="5"/>
      <c r="D1149" s="5"/>
      <c r="E1149" s="5"/>
      <c r="F1149" s="22">
        <f>IFERROR(__xludf.DUMMYFUNCTION("""COMPUTED_VALUE"""),500000.0)</f>
        <v>500000</v>
      </c>
      <c r="G1149" s="22">
        <f>IFERROR(__xludf.DUMMYFUNCTION("""COMPUTED_VALUE"""),0.0)</f>
        <v>0</v>
      </c>
      <c r="H1149" s="22">
        <f>IFERROR(__xludf.DUMMYFUNCTION("""COMPUTED_VALUE"""),500000.0)</f>
        <v>500000</v>
      </c>
      <c r="I1149" s="24">
        <f>IFERROR(__xludf.DUMMYFUNCTION("""COMPUTED_VALUE"""),0.0)</f>
        <v>0</v>
      </c>
    </row>
    <row r="1150">
      <c r="A1150" s="5" t="str">
        <f>IFERROR(__xludf.DUMMYFUNCTION("""COMPUTED_VALUE"""),"36560")</f>
        <v>36560</v>
      </c>
      <c r="B1150" s="64">
        <f>IFERROR(__xludf.DUMMYFUNCTION("""COMPUTED_VALUE"""),44603.0)</f>
        <v>44603</v>
      </c>
      <c r="C1150" s="5"/>
      <c r="D1150" s="5"/>
      <c r="E1150" s="5"/>
      <c r="F1150" s="22">
        <f>IFERROR(__xludf.DUMMYFUNCTION("""COMPUTED_VALUE"""),500000.0)</f>
        <v>500000</v>
      </c>
      <c r="G1150" s="22">
        <f>IFERROR(__xludf.DUMMYFUNCTION("""COMPUTED_VALUE"""),0.0)</f>
        <v>0</v>
      </c>
      <c r="H1150" s="22">
        <f>IFERROR(__xludf.DUMMYFUNCTION("""COMPUTED_VALUE"""),500000.0)</f>
        <v>500000</v>
      </c>
      <c r="I1150" s="24">
        <f>IFERROR(__xludf.DUMMYFUNCTION("""COMPUTED_VALUE"""),0.0)</f>
        <v>0</v>
      </c>
    </row>
    <row r="1151">
      <c r="A1151" s="5" t="str">
        <f>IFERROR(__xludf.DUMMYFUNCTION("""COMPUTED_VALUE"""),"36560")</f>
        <v>36560</v>
      </c>
      <c r="B1151" s="64">
        <f>IFERROR(__xludf.DUMMYFUNCTION("""COMPUTED_VALUE"""),44604.0)</f>
        <v>44604</v>
      </c>
      <c r="C1151" s="5"/>
      <c r="D1151" s="5"/>
      <c r="E1151" s="5"/>
      <c r="F1151" s="22">
        <f>IFERROR(__xludf.DUMMYFUNCTION("""COMPUTED_VALUE"""),500000.0)</f>
        <v>500000</v>
      </c>
      <c r="G1151" s="22">
        <f>IFERROR(__xludf.DUMMYFUNCTION("""COMPUTED_VALUE"""),0.0)</f>
        <v>0</v>
      </c>
      <c r="H1151" s="22">
        <f>IFERROR(__xludf.DUMMYFUNCTION("""COMPUTED_VALUE"""),500000.0)</f>
        <v>500000</v>
      </c>
      <c r="I1151" s="24">
        <f>IFERROR(__xludf.DUMMYFUNCTION("""COMPUTED_VALUE"""),0.0)</f>
        <v>0</v>
      </c>
    </row>
    <row r="1152">
      <c r="A1152" s="5" t="str">
        <f>IFERROR(__xludf.DUMMYFUNCTION("""COMPUTED_VALUE"""),"36560")</f>
        <v>36560</v>
      </c>
      <c r="B1152" s="64">
        <f>IFERROR(__xludf.DUMMYFUNCTION("""COMPUTED_VALUE"""),44605.0)</f>
        <v>44605</v>
      </c>
      <c r="C1152" s="5"/>
      <c r="D1152" s="5"/>
      <c r="E1152" s="5"/>
      <c r="F1152" s="22">
        <f>IFERROR(__xludf.DUMMYFUNCTION("""COMPUTED_VALUE"""),500000.0)</f>
        <v>500000</v>
      </c>
      <c r="G1152" s="22">
        <f>IFERROR(__xludf.DUMMYFUNCTION("""COMPUTED_VALUE"""),0.0)</f>
        <v>0</v>
      </c>
      <c r="H1152" s="22">
        <f>IFERROR(__xludf.DUMMYFUNCTION("""COMPUTED_VALUE"""),500000.0)</f>
        <v>500000</v>
      </c>
      <c r="I1152" s="24">
        <f>IFERROR(__xludf.DUMMYFUNCTION("""COMPUTED_VALUE"""),0.0)</f>
        <v>0</v>
      </c>
    </row>
    <row r="1153">
      <c r="A1153" s="5" t="str">
        <f>IFERROR(__xludf.DUMMYFUNCTION("""COMPUTED_VALUE"""),"36560")</f>
        <v>36560</v>
      </c>
      <c r="B1153" s="64">
        <f>IFERROR(__xludf.DUMMYFUNCTION("""COMPUTED_VALUE"""),44606.0)</f>
        <v>44606</v>
      </c>
      <c r="C1153" s="5"/>
      <c r="D1153" s="5"/>
      <c r="E1153" s="5"/>
      <c r="F1153" s="22">
        <f>IFERROR(__xludf.DUMMYFUNCTION("""COMPUTED_VALUE"""),500000.0)</f>
        <v>500000</v>
      </c>
      <c r="G1153" s="22">
        <f>IFERROR(__xludf.DUMMYFUNCTION("""COMPUTED_VALUE"""),0.0)</f>
        <v>0</v>
      </c>
      <c r="H1153" s="22">
        <f>IFERROR(__xludf.DUMMYFUNCTION("""COMPUTED_VALUE"""),500000.0)</f>
        <v>500000</v>
      </c>
      <c r="I1153" s="24">
        <f>IFERROR(__xludf.DUMMYFUNCTION("""COMPUTED_VALUE"""),0.0)</f>
        <v>0</v>
      </c>
    </row>
    <row r="1154">
      <c r="A1154" s="5" t="str">
        <f>IFERROR(__xludf.DUMMYFUNCTION("""COMPUTED_VALUE"""),"36560")</f>
        <v>36560</v>
      </c>
      <c r="B1154" s="64">
        <f>IFERROR(__xludf.DUMMYFUNCTION("""COMPUTED_VALUE"""),44607.0)</f>
        <v>44607</v>
      </c>
      <c r="C1154" s="5"/>
      <c r="D1154" s="5"/>
      <c r="E1154" s="5"/>
      <c r="F1154" s="22">
        <f>IFERROR(__xludf.DUMMYFUNCTION("""COMPUTED_VALUE"""),500000.0)</f>
        <v>500000</v>
      </c>
      <c r="G1154" s="22">
        <f>IFERROR(__xludf.DUMMYFUNCTION("""COMPUTED_VALUE"""),0.0)</f>
        <v>0</v>
      </c>
      <c r="H1154" s="22">
        <f>IFERROR(__xludf.DUMMYFUNCTION("""COMPUTED_VALUE"""),500000.0)</f>
        <v>500000</v>
      </c>
      <c r="I1154" s="24">
        <f>IFERROR(__xludf.DUMMYFUNCTION("""COMPUTED_VALUE"""),0.0)</f>
        <v>0</v>
      </c>
    </row>
    <row r="1155">
      <c r="A1155" s="5" t="str">
        <f>IFERROR(__xludf.DUMMYFUNCTION("""COMPUTED_VALUE"""),"36560")</f>
        <v>36560</v>
      </c>
      <c r="B1155" s="64">
        <f>IFERROR(__xludf.DUMMYFUNCTION("""COMPUTED_VALUE"""),44608.0)</f>
        <v>44608</v>
      </c>
      <c r="C1155" s="5"/>
      <c r="D1155" s="5"/>
      <c r="E1155" s="5"/>
      <c r="F1155" s="22">
        <f>IFERROR(__xludf.DUMMYFUNCTION("""COMPUTED_VALUE"""),500000.0)</f>
        <v>500000</v>
      </c>
      <c r="G1155" s="22">
        <f>IFERROR(__xludf.DUMMYFUNCTION("""COMPUTED_VALUE"""),0.0)</f>
        <v>0</v>
      </c>
      <c r="H1155" s="22">
        <f>IFERROR(__xludf.DUMMYFUNCTION("""COMPUTED_VALUE"""),500000.0)</f>
        <v>500000</v>
      </c>
      <c r="I1155" s="24">
        <f>IFERROR(__xludf.DUMMYFUNCTION("""COMPUTED_VALUE"""),0.0)</f>
        <v>0</v>
      </c>
    </row>
    <row r="1156">
      <c r="A1156" s="5" t="str">
        <f>IFERROR(__xludf.DUMMYFUNCTION("""COMPUTED_VALUE"""),"36560")</f>
        <v>36560</v>
      </c>
      <c r="B1156" s="64">
        <f>IFERROR(__xludf.DUMMYFUNCTION("""COMPUTED_VALUE"""),44609.0)</f>
        <v>44609</v>
      </c>
      <c r="C1156" s="5"/>
      <c r="D1156" s="5"/>
      <c r="E1156" s="5"/>
      <c r="F1156" s="22">
        <f>IFERROR(__xludf.DUMMYFUNCTION("""COMPUTED_VALUE"""),500000.0)</f>
        <v>500000</v>
      </c>
      <c r="G1156" s="22">
        <f>IFERROR(__xludf.DUMMYFUNCTION("""COMPUTED_VALUE"""),0.0)</f>
        <v>0</v>
      </c>
      <c r="H1156" s="22">
        <f>IFERROR(__xludf.DUMMYFUNCTION("""COMPUTED_VALUE"""),500000.0)</f>
        <v>500000</v>
      </c>
      <c r="I1156" s="24">
        <f>IFERROR(__xludf.DUMMYFUNCTION("""COMPUTED_VALUE"""),0.0)</f>
        <v>0</v>
      </c>
    </row>
    <row r="1157">
      <c r="A1157" s="5" t="str">
        <f>IFERROR(__xludf.DUMMYFUNCTION("""COMPUTED_VALUE"""),"36560")</f>
        <v>36560</v>
      </c>
      <c r="B1157" s="64">
        <f>IFERROR(__xludf.DUMMYFUNCTION("""COMPUTED_VALUE"""),44610.0)</f>
        <v>44610</v>
      </c>
      <c r="C1157" s="5"/>
      <c r="D1157" s="5"/>
      <c r="E1157" s="5"/>
      <c r="F1157" s="22">
        <f>IFERROR(__xludf.DUMMYFUNCTION("""COMPUTED_VALUE"""),500000.0)</f>
        <v>500000</v>
      </c>
      <c r="G1157" s="22">
        <f>IFERROR(__xludf.DUMMYFUNCTION("""COMPUTED_VALUE"""),0.0)</f>
        <v>0</v>
      </c>
      <c r="H1157" s="22">
        <f>IFERROR(__xludf.DUMMYFUNCTION("""COMPUTED_VALUE"""),500000.0)</f>
        <v>500000</v>
      </c>
      <c r="I1157" s="24">
        <f>IFERROR(__xludf.DUMMYFUNCTION("""COMPUTED_VALUE"""),0.0)</f>
        <v>0</v>
      </c>
    </row>
    <row r="1158">
      <c r="A1158" s="5" t="str">
        <f>IFERROR(__xludf.DUMMYFUNCTION("""COMPUTED_VALUE"""),"36560")</f>
        <v>36560</v>
      </c>
      <c r="B1158" s="64">
        <f>IFERROR(__xludf.DUMMYFUNCTION("""COMPUTED_VALUE"""),44611.0)</f>
        <v>44611</v>
      </c>
      <c r="C1158" s="5"/>
      <c r="D1158" s="5"/>
      <c r="E1158" s="5"/>
      <c r="F1158" s="22">
        <f>IFERROR(__xludf.DUMMYFUNCTION("""COMPUTED_VALUE"""),500000.0)</f>
        <v>500000</v>
      </c>
      <c r="G1158" s="22">
        <f>IFERROR(__xludf.DUMMYFUNCTION("""COMPUTED_VALUE"""),0.0)</f>
        <v>0</v>
      </c>
      <c r="H1158" s="22">
        <f>IFERROR(__xludf.DUMMYFUNCTION("""COMPUTED_VALUE"""),500000.0)</f>
        <v>500000</v>
      </c>
      <c r="I1158" s="24">
        <f>IFERROR(__xludf.DUMMYFUNCTION("""COMPUTED_VALUE"""),0.0)</f>
        <v>0</v>
      </c>
    </row>
    <row r="1159">
      <c r="A1159" s="5" t="str">
        <f>IFERROR(__xludf.DUMMYFUNCTION("""COMPUTED_VALUE"""),"36560")</f>
        <v>36560</v>
      </c>
      <c r="B1159" s="64">
        <f>IFERROR(__xludf.DUMMYFUNCTION("""COMPUTED_VALUE"""),44612.0)</f>
        <v>44612</v>
      </c>
      <c r="C1159" s="5"/>
      <c r="D1159" s="5"/>
      <c r="E1159" s="5"/>
      <c r="F1159" s="22">
        <f>IFERROR(__xludf.DUMMYFUNCTION("""COMPUTED_VALUE"""),500000.0)</f>
        <v>500000</v>
      </c>
      <c r="G1159" s="22">
        <f>IFERROR(__xludf.DUMMYFUNCTION("""COMPUTED_VALUE"""),0.0)</f>
        <v>0</v>
      </c>
      <c r="H1159" s="22">
        <f>IFERROR(__xludf.DUMMYFUNCTION("""COMPUTED_VALUE"""),500000.0)</f>
        <v>500000</v>
      </c>
      <c r="I1159" s="24">
        <f>IFERROR(__xludf.DUMMYFUNCTION("""COMPUTED_VALUE"""),0.0)</f>
        <v>0</v>
      </c>
    </row>
    <row r="1160">
      <c r="A1160" s="5" t="str">
        <f>IFERROR(__xludf.DUMMYFUNCTION("""COMPUTED_VALUE"""),"36560")</f>
        <v>36560</v>
      </c>
      <c r="B1160" s="64">
        <f>IFERROR(__xludf.DUMMYFUNCTION("""COMPUTED_VALUE"""),44613.0)</f>
        <v>44613</v>
      </c>
      <c r="C1160" s="5"/>
      <c r="D1160" s="5"/>
      <c r="E1160" s="5"/>
      <c r="F1160" s="22">
        <f>IFERROR(__xludf.DUMMYFUNCTION("""COMPUTED_VALUE"""),500000.0)</f>
        <v>500000</v>
      </c>
      <c r="G1160" s="22">
        <f>IFERROR(__xludf.DUMMYFUNCTION("""COMPUTED_VALUE"""),0.0)</f>
        <v>0</v>
      </c>
      <c r="H1160" s="22">
        <f>IFERROR(__xludf.DUMMYFUNCTION("""COMPUTED_VALUE"""),500000.0)</f>
        <v>500000</v>
      </c>
      <c r="I1160" s="24">
        <f>IFERROR(__xludf.DUMMYFUNCTION("""COMPUTED_VALUE"""),0.0)</f>
        <v>0</v>
      </c>
    </row>
    <row r="1161">
      <c r="A1161" s="5" t="str">
        <f>IFERROR(__xludf.DUMMYFUNCTION("""COMPUTED_VALUE"""),"36560")</f>
        <v>36560</v>
      </c>
      <c r="B1161" s="64">
        <f>IFERROR(__xludf.DUMMYFUNCTION("""COMPUTED_VALUE"""),44614.0)</f>
        <v>44614</v>
      </c>
      <c r="C1161" s="5"/>
      <c r="D1161" s="5"/>
      <c r="E1161" s="5"/>
      <c r="F1161" s="22">
        <f>IFERROR(__xludf.DUMMYFUNCTION("""COMPUTED_VALUE"""),500000.0)</f>
        <v>500000</v>
      </c>
      <c r="G1161" s="22">
        <f>IFERROR(__xludf.DUMMYFUNCTION("""COMPUTED_VALUE"""),0.0)</f>
        <v>0</v>
      </c>
      <c r="H1161" s="22">
        <f>IFERROR(__xludf.DUMMYFUNCTION("""COMPUTED_VALUE"""),500000.0)</f>
        <v>500000</v>
      </c>
      <c r="I1161" s="24">
        <f>IFERROR(__xludf.DUMMYFUNCTION("""COMPUTED_VALUE"""),0.0)</f>
        <v>0</v>
      </c>
    </row>
    <row r="1162">
      <c r="A1162" s="5" t="str">
        <f>IFERROR(__xludf.DUMMYFUNCTION("""COMPUTED_VALUE"""),"36560")</f>
        <v>36560</v>
      </c>
      <c r="B1162" s="64">
        <f>IFERROR(__xludf.DUMMYFUNCTION("""COMPUTED_VALUE"""),44615.0)</f>
        <v>44615</v>
      </c>
      <c r="C1162" s="5"/>
      <c r="D1162" s="5"/>
      <c r="E1162" s="5"/>
      <c r="F1162" s="22">
        <f>IFERROR(__xludf.DUMMYFUNCTION("""COMPUTED_VALUE"""),500000.0)</f>
        <v>500000</v>
      </c>
      <c r="G1162" s="22">
        <f>IFERROR(__xludf.DUMMYFUNCTION("""COMPUTED_VALUE"""),0.0)</f>
        <v>0</v>
      </c>
      <c r="H1162" s="22">
        <f>IFERROR(__xludf.DUMMYFUNCTION("""COMPUTED_VALUE"""),500000.0)</f>
        <v>500000</v>
      </c>
      <c r="I1162" s="24">
        <f>IFERROR(__xludf.DUMMYFUNCTION("""COMPUTED_VALUE"""),0.0)</f>
        <v>0</v>
      </c>
    </row>
    <row r="1163">
      <c r="A1163" s="5" t="str">
        <f>IFERROR(__xludf.DUMMYFUNCTION("""COMPUTED_VALUE"""),"36560")</f>
        <v>36560</v>
      </c>
      <c r="B1163" s="64">
        <f>IFERROR(__xludf.DUMMYFUNCTION("""COMPUTED_VALUE"""),44616.0)</f>
        <v>44616</v>
      </c>
      <c r="C1163" s="5"/>
      <c r="D1163" s="5"/>
      <c r="E1163" s="5"/>
      <c r="F1163" s="22">
        <f>IFERROR(__xludf.DUMMYFUNCTION("""COMPUTED_VALUE"""),500000.0)</f>
        <v>500000</v>
      </c>
      <c r="G1163" s="22">
        <f>IFERROR(__xludf.DUMMYFUNCTION("""COMPUTED_VALUE"""),0.0)</f>
        <v>0</v>
      </c>
      <c r="H1163" s="22">
        <f>IFERROR(__xludf.DUMMYFUNCTION("""COMPUTED_VALUE"""),500000.0)</f>
        <v>500000</v>
      </c>
      <c r="I1163" s="24">
        <f>IFERROR(__xludf.DUMMYFUNCTION("""COMPUTED_VALUE"""),0.0)</f>
        <v>0</v>
      </c>
    </row>
    <row r="1164">
      <c r="A1164" s="5" t="str">
        <f>IFERROR(__xludf.DUMMYFUNCTION("""COMPUTED_VALUE"""),"36560")</f>
        <v>36560</v>
      </c>
      <c r="B1164" s="64">
        <f>IFERROR(__xludf.DUMMYFUNCTION("""COMPUTED_VALUE"""),44617.0)</f>
        <v>44617</v>
      </c>
      <c r="C1164" s="5"/>
      <c r="D1164" s="5"/>
      <c r="E1164" s="5"/>
      <c r="F1164" s="22">
        <f>IFERROR(__xludf.DUMMYFUNCTION("""COMPUTED_VALUE"""),500000.0)</f>
        <v>500000</v>
      </c>
      <c r="G1164" s="22">
        <f>IFERROR(__xludf.DUMMYFUNCTION("""COMPUTED_VALUE"""),0.0)</f>
        <v>0</v>
      </c>
      <c r="H1164" s="22">
        <f>IFERROR(__xludf.DUMMYFUNCTION("""COMPUTED_VALUE"""),500000.0)</f>
        <v>500000</v>
      </c>
      <c r="I1164" s="24">
        <f>IFERROR(__xludf.DUMMYFUNCTION("""COMPUTED_VALUE"""),0.0)</f>
        <v>0</v>
      </c>
    </row>
    <row r="1165">
      <c r="A1165" s="5" t="str">
        <f>IFERROR(__xludf.DUMMYFUNCTION("""COMPUTED_VALUE"""),"36560")</f>
        <v>36560</v>
      </c>
      <c r="B1165" s="64">
        <f>IFERROR(__xludf.DUMMYFUNCTION("""COMPUTED_VALUE"""),44618.0)</f>
        <v>44618</v>
      </c>
      <c r="C1165" s="5"/>
      <c r="D1165" s="5"/>
      <c r="E1165" s="5"/>
      <c r="F1165" s="22">
        <f>IFERROR(__xludf.DUMMYFUNCTION("""COMPUTED_VALUE"""),500000.0)</f>
        <v>500000</v>
      </c>
      <c r="G1165" s="22">
        <f>IFERROR(__xludf.DUMMYFUNCTION("""COMPUTED_VALUE"""),0.0)</f>
        <v>0</v>
      </c>
      <c r="H1165" s="22">
        <f>IFERROR(__xludf.DUMMYFUNCTION("""COMPUTED_VALUE"""),500000.0)</f>
        <v>500000</v>
      </c>
      <c r="I1165" s="24">
        <f>IFERROR(__xludf.DUMMYFUNCTION("""COMPUTED_VALUE"""),0.0)</f>
        <v>0</v>
      </c>
    </row>
    <row r="1166">
      <c r="A1166" s="5" t="str">
        <f>IFERROR(__xludf.DUMMYFUNCTION("""COMPUTED_VALUE"""),"36560")</f>
        <v>36560</v>
      </c>
      <c r="B1166" s="64">
        <f>IFERROR(__xludf.DUMMYFUNCTION("""COMPUTED_VALUE"""),44619.0)</f>
        <v>44619</v>
      </c>
      <c r="C1166" s="5"/>
      <c r="D1166" s="5"/>
      <c r="E1166" s="5"/>
      <c r="F1166" s="22">
        <f>IFERROR(__xludf.DUMMYFUNCTION("""COMPUTED_VALUE"""),500000.0)</f>
        <v>500000</v>
      </c>
      <c r="G1166" s="22">
        <f>IFERROR(__xludf.DUMMYFUNCTION("""COMPUTED_VALUE"""),0.0)</f>
        <v>0</v>
      </c>
      <c r="H1166" s="22">
        <f>IFERROR(__xludf.DUMMYFUNCTION("""COMPUTED_VALUE"""),500000.0)</f>
        <v>500000</v>
      </c>
      <c r="I1166" s="24">
        <f>IFERROR(__xludf.DUMMYFUNCTION("""COMPUTED_VALUE"""),0.0)</f>
        <v>0</v>
      </c>
    </row>
    <row r="1167">
      <c r="A1167" s="5" t="str">
        <f>IFERROR(__xludf.DUMMYFUNCTION("""COMPUTED_VALUE"""),"36560")</f>
        <v>36560</v>
      </c>
      <c r="B1167" s="64">
        <f>IFERROR(__xludf.DUMMYFUNCTION("""COMPUTED_VALUE"""),44620.0)</f>
        <v>44620</v>
      </c>
      <c r="C1167" s="5"/>
      <c r="D1167" s="5"/>
      <c r="E1167" s="5"/>
      <c r="F1167" s="22">
        <f>IFERROR(__xludf.DUMMYFUNCTION("""COMPUTED_VALUE"""),500000.0)</f>
        <v>500000</v>
      </c>
      <c r="G1167" s="22">
        <f>IFERROR(__xludf.DUMMYFUNCTION("""COMPUTED_VALUE"""),0.0)</f>
        <v>0</v>
      </c>
      <c r="H1167" s="22">
        <f>IFERROR(__xludf.DUMMYFUNCTION("""COMPUTED_VALUE"""),500000.0)</f>
        <v>500000</v>
      </c>
      <c r="I1167" s="24">
        <f>IFERROR(__xludf.DUMMYFUNCTION("""COMPUTED_VALUE"""),0.0)</f>
        <v>0</v>
      </c>
    </row>
    <row r="1168">
      <c r="A1168" s="5" t="str">
        <f>IFERROR(__xludf.DUMMYFUNCTION("""COMPUTED_VALUE"""),"36560")</f>
        <v>36560</v>
      </c>
      <c r="B1168" s="64">
        <f>IFERROR(__xludf.DUMMYFUNCTION("""COMPUTED_VALUE"""),44621.0)</f>
        <v>44621</v>
      </c>
      <c r="C1168" s="5"/>
      <c r="D1168" s="5"/>
      <c r="E1168" s="5"/>
      <c r="F1168" s="22">
        <f>IFERROR(__xludf.DUMMYFUNCTION("""COMPUTED_VALUE"""),500000.0)</f>
        <v>500000</v>
      </c>
      <c r="G1168" s="22">
        <f>IFERROR(__xludf.DUMMYFUNCTION("""COMPUTED_VALUE"""),0.0)</f>
        <v>0</v>
      </c>
      <c r="H1168" s="22">
        <f>IFERROR(__xludf.DUMMYFUNCTION("""COMPUTED_VALUE"""),500000.0)</f>
        <v>500000</v>
      </c>
      <c r="I1168" s="24">
        <f>IFERROR(__xludf.DUMMYFUNCTION("""COMPUTED_VALUE"""),0.0)</f>
        <v>0</v>
      </c>
    </row>
    <row r="1169">
      <c r="A1169" s="5" t="str">
        <f>IFERROR(__xludf.DUMMYFUNCTION("""COMPUTED_VALUE"""),"36560")</f>
        <v>36560</v>
      </c>
      <c r="B1169" s="64">
        <f>IFERROR(__xludf.DUMMYFUNCTION("""COMPUTED_VALUE"""),44622.0)</f>
        <v>44622</v>
      </c>
      <c r="C1169" s="5"/>
      <c r="D1169" s="5"/>
      <c r="E1169" s="5"/>
      <c r="F1169" s="22">
        <f>IFERROR(__xludf.DUMMYFUNCTION("""COMPUTED_VALUE"""),500000.0)</f>
        <v>500000</v>
      </c>
      <c r="G1169" s="22">
        <f>IFERROR(__xludf.DUMMYFUNCTION("""COMPUTED_VALUE"""),0.0)</f>
        <v>0</v>
      </c>
      <c r="H1169" s="22">
        <f>IFERROR(__xludf.DUMMYFUNCTION("""COMPUTED_VALUE"""),500000.0)</f>
        <v>500000</v>
      </c>
      <c r="I1169" s="24">
        <f>IFERROR(__xludf.DUMMYFUNCTION("""COMPUTED_VALUE"""),0.0)</f>
        <v>0</v>
      </c>
    </row>
    <row r="1170">
      <c r="A1170" s="5" t="str">
        <f>IFERROR(__xludf.DUMMYFUNCTION("""COMPUTED_VALUE"""),"36560")</f>
        <v>36560</v>
      </c>
      <c r="B1170" s="64">
        <f>IFERROR(__xludf.DUMMYFUNCTION("""COMPUTED_VALUE"""),44623.0)</f>
        <v>44623</v>
      </c>
      <c r="C1170" s="5"/>
      <c r="D1170" s="5"/>
      <c r="E1170" s="5"/>
      <c r="F1170" s="22">
        <f>IFERROR(__xludf.DUMMYFUNCTION("""COMPUTED_VALUE"""),500000.0)</f>
        <v>500000</v>
      </c>
      <c r="G1170" s="22">
        <f>IFERROR(__xludf.DUMMYFUNCTION("""COMPUTED_VALUE"""),0.0)</f>
        <v>0</v>
      </c>
      <c r="H1170" s="22">
        <f>IFERROR(__xludf.DUMMYFUNCTION("""COMPUTED_VALUE"""),500000.0)</f>
        <v>500000</v>
      </c>
      <c r="I1170" s="24">
        <f>IFERROR(__xludf.DUMMYFUNCTION("""COMPUTED_VALUE"""),0.0)</f>
        <v>0</v>
      </c>
    </row>
    <row r="1171">
      <c r="A1171" s="5" t="str">
        <f>IFERROR(__xludf.DUMMYFUNCTION("""COMPUTED_VALUE"""),"36560")</f>
        <v>36560</v>
      </c>
      <c r="B1171" s="64">
        <f>IFERROR(__xludf.DUMMYFUNCTION("""COMPUTED_VALUE"""),44624.0)</f>
        <v>44624</v>
      </c>
      <c r="C1171" s="5"/>
      <c r="D1171" s="5"/>
      <c r="E1171" s="5"/>
      <c r="F1171" s="22">
        <f>IFERROR(__xludf.DUMMYFUNCTION("""COMPUTED_VALUE"""),500000.0)</f>
        <v>500000</v>
      </c>
      <c r="G1171" s="22">
        <f>IFERROR(__xludf.DUMMYFUNCTION("""COMPUTED_VALUE"""),0.0)</f>
        <v>0</v>
      </c>
      <c r="H1171" s="22">
        <f>IFERROR(__xludf.DUMMYFUNCTION("""COMPUTED_VALUE"""),500000.0)</f>
        <v>500000</v>
      </c>
      <c r="I1171" s="24">
        <f>IFERROR(__xludf.DUMMYFUNCTION("""COMPUTED_VALUE"""),0.0)</f>
        <v>0</v>
      </c>
    </row>
    <row r="1172">
      <c r="A1172" s="5" t="str">
        <f>IFERROR(__xludf.DUMMYFUNCTION("""COMPUTED_VALUE"""),"36560")</f>
        <v>36560</v>
      </c>
      <c r="B1172" s="64">
        <f>IFERROR(__xludf.DUMMYFUNCTION("""COMPUTED_VALUE"""),44625.0)</f>
        <v>44625</v>
      </c>
      <c r="C1172" s="5"/>
      <c r="D1172" s="5"/>
      <c r="E1172" s="5"/>
      <c r="F1172" s="22">
        <f>IFERROR(__xludf.DUMMYFUNCTION("""COMPUTED_VALUE"""),500000.0)</f>
        <v>500000</v>
      </c>
      <c r="G1172" s="22">
        <f>IFERROR(__xludf.DUMMYFUNCTION("""COMPUTED_VALUE"""),0.0)</f>
        <v>0</v>
      </c>
      <c r="H1172" s="22">
        <f>IFERROR(__xludf.DUMMYFUNCTION("""COMPUTED_VALUE"""),500000.0)</f>
        <v>500000</v>
      </c>
      <c r="I1172" s="24">
        <f>IFERROR(__xludf.DUMMYFUNCTION("""COMPUTED_VALUE"""),0.0)</f>
        <v>0</v>
      </c>
    </row>
    <row r="1173">
      <c r="A1173" s="5" t="str">
        <f>IFERROR(__xludf.DUMMYFUNCTION("""COMPUTED_VALUE"""),"36560")</f>
        <v>36560</v>
      </c>
      <c r="B1173" s="64">
        <f>IFERROR(__xludf.DUMMYFUNCTION("""COMPUTED_VALUE"""),44626.0)</f>
        <v>44626</v>
      </c>
      <c r="C1173" s="5"/>
      <c r="D1173" s="5"/>
      <c r="E1173" s="5"/>
      <c r="F1173" s="22">
        <f>IFERROR(__xludf.DUMMYFUNCTION("""COMPUTED_VALUE"""),500000.0)</f>
        <v>500000</v>
      </c>
      <c r="G1173" s="22">
        <f>IFERROR(__xludf.DUMMYFUNCTION("""COMPUTED_VALUE"""),0.0)</f>
        <v>0</v>
      </c>
      <c r="H1173" s="22">
        <f>IFERROR(__xludf.DUMMYFUNCTION("""COMPUTED_VALUE"""),500000.0)</f>
        <v>500000</v>
      </c>
      <c r="I1173" s="24">
        <f>IFERROR(__xludf.DUMMYFUNCTION("""COMPUTED_VALUE"""),0.0)</f>
        <v>0</v>
      </c>
    </row>
    <row r="1174">
      <c r="A1174" s="5" t="str">
        <f>IFERROR(__xludf.DUMMYFUNCTION("""COMPUTED_VALUE"""),"36560")</f>
        <v>36560</v>
      </c>
      <c r="B1174" s="64">
        <f>IFERROR(__xludf.DUMMYFUNCTION("""COMPUTED_VALUE"""),44627.0)</f>
        <v>44627</v>
      </c>
      <c r="C1174" s="5"/>
      <c r="D1174" s="5"/>
      <c r="E1174" s="5"/>
      <c r="F1174" s="22">
        <f>IFERROR(__xludf.DUMMYFUNCTION("""COMPUTED_VALUE"""),500000.0)</f>
        <v>500000</v>
      </c>
      <c r="G1174" s="22">
        <f>IFERROR(__xludf.DUMMYFUNCTION("""COMPUTED_VALUE"""),0.0)</f>
        <v>0</v>
      </c>
      <c r="H1174" s="22">
        <f>IFERROR(__xludf.DUMMYFUNCTION("""COMPUTED_VALUE"""),500000.0)</f>
        <v>500000</v>
      </c>
      <c r="I1174" s="24">
        <f>IFERROR(__xludf.DUMMYFUNCTION("""COMPUTED_VALUE"""),0.0)</f>
        <v>0</v>
      </c>
    </row>
    <row r="1175">
      <c r="A1175" s="5" t="str">
        <f>IFERROR(__xludf.DUMMYFUNCTION("""COMPUTED_VALUE"""),"36560")</f>
        <v>36560</v>
      </c>
      <c r="B1175" s="64">
        <f>IFERROR(__xludf.DUMMYFUNCTION("""COMPUTED_VALUE"""),44628.0)</f>
        <v>44628</v>
      </c>
      <c r="C1175" s="5"/>
      <c r="D1175" s="5"/>
      <c r="E1175" s="5"/>
      <c r="F1175" s="22">
        <f>IFERROR(__xludf.DUMMYFUNCTION("""COMPUTED_VALUE"""),500000.0)</f>
        <v>500000</v>
      </c>
      <c r="G1175" s="22">
        <f>IFERROR(__xludf.DUMMYFUNCTION("""COMPUTED_VALUE"""),0.0)</f>
        <v>0</v>
      </c>
      <c r="H1175" s="22">
        <f>IFERROR(__xludf.DUMMYFUNCTION("""COMPUTED_VALUE"""),500000.0)</f>
        <v>500000</v>
      </c>
      <c r="I1175" s="24">
        <f>IFERROR(__xludf.DUMMYFUNCTION("""COMPUTED_VALUE"""),0.0)</f>
        <v>0</v>
      </c>
    </row>
    <row r="1176">
      <c r="A1176" s="5" t="str">
        <f>IFERROR(__xludf.DUMMYFUNCTION("""COMPUTED_VALUE"""),"36560")</f>
        <v>36560</v>
      </c>
      <c r="B1176" s="64">
        <f>IFERROR(__xludf.DUMMYFUNCTION("""COMPUTED_VALUE"""),44629.0)</f>
        <v>44629</v>
      </c>
      <c r="C1176" s="5"/>
      <c r="D1176" s="5"/>
      <c r="E1176" s="5"/>
      <c r="F1176" s="22">
        <f>IFERROR(__xludf.DUMMYFUNCTION("""COMPUTED_VALUE"""),500000.0)</f>
        <v>500000</v>
      </c>
      <c r="G1176" s="22">
        <f>IFERROR(__xludf.DUMMYFUNCTION("""COMPUTED_VALUE"""),0.0)</f>
        <v>0</v>
      </c>
      <c r="H1176" s="22">
        <f>IFERROR(__xludf.DUMMYFUNCTION("""COMPUTED_VALUE"""),500000.0)</f>
        <v>500000</v>
      </c>
      <c r="I1176" s="24">
        <f>IFERROR(__xludf.DUMMYFUNCTION("""COMPUTED_VALUE"""),0.0)</f>
        <v>0</v>
      </c>
    </row>
    <row r="1177">
      <c r="A1177" s="5" t="str">
        <f>IFERROR(__xludf.DUMMYFUNCTION("""COMPUTED_VALUE"""),"36560")</f>
        <v>36560</v>
      </c>
      <c r="B1177" s="64">
        <f>IFERROR(__xludf.DUMMYFUNCTION("""COMPUTED_VALUE"""),44630.0)</f>
        <v>44630</v>
      </c>
      <c r="C1177" s="5"/>
      <c r="D1177" s="5"/>
      <c r="E1177" s="5"/>
      <c r="F1177" s="22">
        <f>IFERROR(__xludf.DUMMYFUNCTION("""COMPUTED_VALUE"""),500000.0)</f>
        <v>500000</v>
      </c>
      <c r="G1177" s="22">
        <f>IFERROR(__xludf.DUMMYFUNCTION("""COMPUTED_VALUE"""),0.0)</f>
        <v>0</v>
      </c>
      <c r="H1177" s="22">
        <f>IFERROR(__xludf.DUMMYFUNCTION("""COMPUTED_VALUE"""),500000.0)</f>
        <v>500000</v>
      </c>
      <c r="I1177" s="24">
        <f>IFERROR(__xludf.DUMMYFUNCTION("""COMPUTED_VALUE"""),0.0)</f>
        <v>0</v>
      </c>
    </row>
    <row r="1178">
      <c r="A1178" s="5" t="str">
        <f>IFERROR(__xludf.DUMMYFUNCTION("""COMPUTED_VALUE"""),"36560")</f>
        <v>36560</v>
      </c>
      <c r="B1178" s="64">
        <f>IFERROR(__xludf.DUMMYFUNCTION("""COMPUTED_VALUE"""),44631.0)</f>
        <v>44631</v>
      </c>
      <c r="C1178" s="5"/>
      <c r="D1178" s="5"/>
      <c r="E1178" s="5"/>
      <c r="F1178" s="22">
        <f>IFERROR(__xludf.DUMMYFUNCTION("""COMPUTED_VALUE"""),500000.0)</f>
        <v>500000</v>
      </c>
      <c r="G1178" s="22">
        <f>IFERROR(__xludf.DUMMYFUNCTION("""COMPUTED_VALUE"""),0.0)</f>
        <v>0</v>
      </c>
      <c r="H1178" s="22">
        <f>IFERROR(__xludf.DUMMYFUNCTION("""COMPUTED_VALUE"""),500000.0)</f>
        <v>500000</v>
      </c>
      <c r="I1178" s="24">
        <f>IFERROR(__xludf.DUMMYFUNCTION("""COMPUTED_VALUE"""),0.0)</f>
        <v>0</v>
      </c>
    </row>
    <row r="1179">
      <c r="A1179" s="5" t="str">
        <f>IFERROR(__xludf.DUMMYFUNCTION("""COMPUTED_VALUE"""),"36560")</f>
        <v>36560</v>
      </c>
      <c r="B1179" s="64">
        <f>IFERROR(__xludf.DUMMYFUNCTION("""COMPUTED_VALUE"""),44632.0)</f>
        <v>44632</v>
      </c>
      <c r="C1179" s="5"/>
      <c r="D1179" s="5"/>
      <c r="E1179" s="5"/>
      <c r="F1179" s="22">
        <f>IFERROR(__xludf.DUMMYFUNCTION("""COMPUTED_VALUE"""),500000.0)</f>
        <v>500000</v>
      </c>
      <c r="G1179" s="22">
        <f>IFERROR(__xludf.DUMMYFUNCTION("""COMPUTED_VALUE"""),0.0)</f>
        <v>0</v>
      </c>
      <c r="H1179" s="22">
        <f>IFERROR(__xludf.DUMMYFUNCTION("""COMPUTED_VALUE"""),500000.0)</f>
        <v>500000</v>
      </c>
      <c r="I1179" s="24">
        <f>IFERROR(__xludf.DUMMYFUNCTION("""COMPUTED_VALUE"""),0.0)</f>
        <v>0</v>
      </c>
    </row>
    <row r="1180">
      <c r="A1180" s="5" t="str">
        <f>IFERROR(__xludf.DUMMYFUNCTION("""COMPUTED_VALUE"""),"36560")</f>
        <v>36560</v>
      </c>
      <c r="B1180" s="64">
        <f>IFERROR(__xludf.DUMMYFUNCTION("""COMPUTED_VALUE"""),44633.0)</f>
        <v>44633</v>
      </c>
      <c r="C1180" s="5"/>
      <c r="D1180" s="5"/>
      <c r="E1180" s="5"/>
      <c r="F1180" s="22">
        <f>IFERROR(__xludf.DUMMYFUNCTION("""COMPUTED_VALUE"""),500000.0)</f>
        <v>500000</v>
      </c>
      <c r="G1180" s="22">
        <f>IFERROR(__xludf.DUMMYFUNCTION("""COMPUTED_VALUE"""),0.0)</f>
        <v>0</v>
      </c>
      <c r="H1180" s="22">
        <f>IFERROR(__xludf.DUMMYFUNCTION("""COMPUTED_VALUE"""),500000.0)</f>
        <v>500000</v>
      </c>
      <c r="I1180" s="24">
        <f>IFERROR(__xludf.DUMMYFUNCTION("""COMPUTED_VALUE"""),0.0)</f>
        <v>0</v>
      </c>
    </row>
    <row r="1181">
      <c r="A1181" s="5" t="str">
        <f>IFERROR(__xludf.DUMMYFUNCTION("""COMPUTED_VALUE"""),"36560")</f>
        <v>36560</v>
      </c>
      <c r="B1181" s="64">
        <f>IFERROR(__xludf.DUMMYFUNCTION("""COMPUTED_VALUE"""),44634.0)</f>
        <v>44634</v>
      </c>
      <c r="C1181" s="5"/>
      <c r="D1181" s="5"/>
      <c r="E1181" s="5"/>
      <c r="F1181" s="22">
        <f>IFERROR(__xludf.DUMMYFUNCTION("""COMPUTED_VALUE"""),500000.0)</f>
        <v>500000</v>
      </c>
      <c r="G1181" s="22">
        <f>IFERROR(__xludf.DUMMYFUNCTION("""COMPUTED_VALUE"""),0.0)</f>
        <v>0</v>
      </c>
      <c r="H1181" s="22">
        <f>IFERROR(__xludf.DUMMYFUNCTION("""COMPUTED_VALUE"""),500000.0)</f>
        <v>500000</v>
      </c>
      <c r="I1181" s="24">
        <f>IFERROR(__xludf.DUMMYFUNCTION("""COMPUTED_VALUE"""),0.0)</f>
        <v>0</v>
      </c>
    </row>
    <row r="1182">
      <c r="A1182" s="5" t="str">
        <f>IFERROR(__xludf.DUMMYFUNCTION("""COMPUTED_VALUE"""),"36560")</f>
        <v>36560</v>
      </c>
      <c r="B1182" s="64">
        <f>IFERROR(__xludf.DUMMYFUNCTION("""COMPUTED_VALUE"""),44635.0)</f>
        <v>44635</v>
      </c>
      <c r="C1182" s="5"/>
      <c r="D1182" s="5"/>
      <c r="E1182" s="5"/>
      <c r="F1182" s="22">
        <f>IFERROR(__xludf.DUMMYFUNCTION("""COMPUTED_VALUE"""),500000.0)</f>
        <v>500000</v>
      </c>
      <c r="G1182" s="22">
        <f>IFERROR(__xludf.DUMMYFUNCTION("""COMPUTED_VALUE"""),0.0)</f>
        <v>0</v>
      </c>
      <c r="H1182" s="22">
        <f>IFERROR(__xludf.DUMMYFUNCTION("""COMPUTED_VALUE"""),500000.0)</f>
        <v>500000</v>
      </c>
      <c r="I1182" s="24">
        <f>IFERROR(__xludf.DUMMYFUNCTION("""COMPUTED_VALUE"""),0.0)</f>
        <v>0</v>
      </c>
    </row>
    <row r="1183">
      <c r="A1183" s="5" t="str">
        <f>IFERROR(__xludf.DUMMYFUNCTION("""COMPUTED_VALUE"""),"36560")</f>
        <v>36560</v>
      </c>
      <c r="B1183" s="64">
        <f>IFERROR(__xludf.DUMMYFUNCTION("""COMPUTED_VALUE"""),44636.0)</f>
        <v>44636</v>
      </c>
      <c r="C1183" s="5"/>
      <c r="D1183" s="5"/>
      <c r="E1183" s="5"/>
      <c r="F1183" s="22">
        <f>IFERROR(__xludf.DUMMYFUNCTION("""COMPUTED_VALUE"""),500000.0)</f>
        <v>500000</v>
      </c>
      <c r="G1183" s="22">
        <f>IFERROR(__xludf.DUMMYFUNCTION("""COMPUTED_VALUE"""),0.0)</f>
        <v>0</v>
      </c>
      <c r="H1183" s="22">
        <f>IFERROR(__xludf.DUMMYFUNCTION("""COMPUTED_VALUE"""),500000.0)</f>
        <v>500000</v>
      </c>
      <c r="I1183" s="24">
        <f>IFERROR(__xludf.DUMMYFUNCTION("""COMPUTED_VALUE"""),0.0)</f>
        <v>0</v>
      </c>
    </row>
    <row r="1184">
      <c r="A1184" s="5" t="str">
        <f>IFERROR(__xludf.DUMMYFUNCTION("""COMPUTED_VALUE"""),"36560")</f>
        <v>36560</v>
      </c>
      <c r="B1184" s="64">
        <f>IFERROR(__xludf.DUMMYFUNCTION("""COMPUTED_VALUE"""),44637.0)</f>
        <v>44637</v>
      </c>
      <c r="C1184" s="5"/>
      <c r="D1184" s="5"/>
      <c r="E1184" s="5"/>
      <c r="F1184" s="22">
        <f>IFERROR(__xludf.DUMMYFUNCTION("""COMPUTED_VALUE"""),500000.0)</f>
        <v>500000</v>
      </c>
      <c r="G1184" s="22">
        <f>IFERROR(__xludf.DUMMYFUNCTION("""COMPUTED_VALUE"""),0.0)</f>
        <v>0</v>
      </c>
      <c r="H1184" s="22">
        <f>IFERROR(__xludf.DUMMYFUNCTION("""COMPUTED_VALUE"""),500000.0)</f>
        <v>500000</v>
      </c>
      <c r="I1184" s="24">
        <f>IFERROR(__xludf.DUMMYFUNCTION("""COMPUTED_VALUE"""),0.0)</f>
        <v>0</v>
      </c>
    </row>
    <row r="1185">
      <c r="A1185" s="5" t="str">
        <f>IFERROR(__xludf.DUMMYFUNCTION("""COMPUTED_VALUE"""),"36560")</f>
        <v>36560</v>
      </c>
      <c r="B1185" s="64">
        <f>IFERROR(__xludf.DUMMYFUNCTION("""COMPUTED_VALUE"""),44638.0)</f>
        <v>44638</v>
      </c>
      <c r="C1185" s="5"/>
      <c r="D1185" s="5"/>
      <c r="E1185" s="5"/>
      <c r="F1185" s="22">
        <f>IFERROR(__xludf.DUMMYFUNCTION("""COMPUTED_VALUE"""),500000.0)</f>
        <v>500000</v>
      </c>
      <c r="G1185" s="22">
        <f>IFERROR(__xludf.DUMMYFUNCTION("""COMPUTED_VALUE"""),0.0)</f>
        <v>0</v>
      </c>
      <c r="H1185" s="22">
        <f>IFERROR(__xludf.DUMMYFUNCTION("""COMPUTED_VALUE"""),500000.0)</f>
        <v>500000</v>
      </c>
      <c r="I1185" s="24">
        <f>IFERROR(__xludf.DUMMYFUNCTION("""COMPUTED_VALUE"""),0.0)</f>
        <v>0</v>
      </c>
    </row>
    <row r="1186">
      <c r="A1186" s="5" t="str">
        <f>IFERROR(__xludf.DUMMYFUNCTION("""COMPUTED_VALUE"""),"36560")</f>
        <v>36560</v>
      </c>
      <c r="B1186" s="64">
        <f>IFERROR(__xludf.DUMMYFUNCTION("""COMPUTED_VALUE"""),44639.0)</f>
        <v>44639</v>
      </c>
      <c r="C1186" s="5"/>
      <c r="D1186" s="5"/>
      <c r="E1186" s="5"/>
      <c r="F1186" s="22">
        <f>IFERROR(__xludf.DUMMYFUNCTION("""COMPUTED_VALUE"""),500000.0)</f>
        <v>500000</v>
      </c>
      <c r="G1186" s="22">
        <f>IFERROR(__xludf.DUMMYFUNCTION("""COMPUTED_VALUE"""),0.0)</f>
        <v>0</v>
      </c>
      <c r="H1186" s="22">
        <f>IFERROR(__xludf.DUMMYFUNCTION("""COMPUTED_VALUE"""),500000.0)</f>
        <v>500000</v>
      </c>
      <c r="I1186" s="24">
        <f>IFERROR(__xludf.DUMMYFUNCTION("""COMPUTED_VALUE"""),0.0)</f>
        <v>0</v>
      </c>
    </row>
    <row r="1187">
      <c r="A1187" s="5" t="str">
        <f>IFERROR(__xludf.DUMMYFUNCTION("""COMPUTED_VALUE"""),"36560")</f>
        <v>36560</v>
      </c>
      <c r="B1187" s="64">
        <f>IFERROR(__xludf.DUMMYFUNCTION("""COMPUTED_VALUE"""),44640.0)</f>
        <v>44640</v>
      </c>
      <c r="C1187" s="5"/>
      <c r="D1187" s="5"/>
      <c r="E1187" s="5"/>
      <c r="F1187" s="22">
        <f>IFERROR(__xludf.DUMMYFUNCTION("""COMPUTED_VALUE"""),500000.0)</f>
        <v>500000</v>
      </c>
      <c r="G1187" s="22">
        <f>IFERROR(__xludf.DUMMYFUNCTION("""COMPUTED_VALUE"""),0.0)</f>
        <v>0</v>
      </c>
      <c r="H1187" s="22">
        <f>IFERROR(__xludf.DUMMYFUNCTION("""COMPUTED_VALUE"""),500000.0)</f>
        <v>500000</v>
      </c>
      <c r="I1187" s="24">
        <f>IFERROR(__xludf.DUMMYFUNCTION("""COMPUTED_VALUE"""),0.0)</f>
        <v>0</v>
      </c>
    </row>
    <row r="1188">
      <c r="A1188" s="5" t="str">
        <f>IFERROR(__xludf.DUMMYFUNCTION("""COMPUTED_VALUE"""),"36560")</f>
        <v>36560</v>
      </c>
      <c r="B1188" s="64">
        <f>IFERROR(__xludf.DUMMYFUNCTION("""COMPUTED_VALUE"""),44641.0)</f>
        <v>44641</v>
      </c>
      <c r="C1188" s="5"/>
      <c r="D1188" s="5"/>
      <c r="E1188" s="5"/>
      <c r="F1188" s="22">
        <f>IFERROR(__xludf.DUMMYFUNCTION("""COMPUTED_VALUE"""),500000.0)</f>
        <v>500000</v>
      </c>
      <c r="G1188" s="22">
        <f>IFERROR(__xludf.DUMMYFUNCTION("""COMPUTED_VALUE"""),0.0)</f>
        <v>0</v>
      </c>
      <c r="H1188" s="22">
        <f>IFERROR(__xludf.DUMMYFUNCTION("""COMPUTED_VALUE"""),500000.0)</f>
        <v>500000</v>
      </c>
      <c r="I1188" s="24">
        <f>IFERROR(__xludf.DUMMYFUNCTION("""COMPUTED_VALUE"""),0.0)</f>
        <v>0</v>
      </c>
    </row>
    <row r="1189">
      <c r="A1189" s="5" t="str">
        <f>IFERROR(__xludf.DUMMYFUNCTION("""COMPUTED_VALUE"""),"36560")</f>
        <v>36560</v>
      </c>
      <c r="B1189" s="64">
        <f>IFERROR(__xludf.DUMMYFUNCTION("""COMPUTED_VALUE"""),44642.0)</f>
        <v>44642</v>
      </c>
      <c r="C1189" s="5"/>
      <c r="D1189" s="5"/>
      <c r="E1189" s="5"/>
      <c r="F1189" s="22">
        <f>IFERROR(__xludf.DUMMYFUNCTION("""COMPUTED_VALUE"""),500000.0)</f>
        <v>500000</v>
      </c>
      <c r="G1189" s="22">
        <f>IFERROR(__xludf.DUMMYFUNCTION("""COMPUTED_VALUE"""),0.0)</f>
        <v>0</v>
      </c>
      <c r="H1189" s="22">
        <f>IFERROR(__xludf.DUMMYFUNCTION("""COMPUTED_VALUE"""),500000.0)</f>
        <v>500000</v>
      </c>
      <c r="I1189" s="24">
        <f>IFERROR(__xludf.DUMMYFUNCTION("""COMPUTED_VALUE"""),0.0)</f>
        <v>0</v>
      </c>
    </row>
    <row r="1190">
      <c r="A1190" s="5" t="str">
        <f>IFERROR(__xludf.DUMMYFUNCTION("""COMPUTED_VALUE"""),"36560")</f>
        <v>36560</v>
      </c>
      <c r="B1190" s="64">
        <f>IFERROR(__xludf.DUMMYFUNCTION("""COMPUTED_VALUE"""),44643.0)</f>
        <v>44643</v>
      </c>
      <c r="C1190" s="5"/>
      <c r="D1190" s="5"/>
      <c r="E1190" s="5"/>
      <c r="F1190" s="22">
        <f>IFERROR(__xludf.DUMMYFUNCTION("""COMPUTED_VALUE"""),500000.0)</f>
        <v>500000</v>
      </c>
      <c r="G1190" s="22">
        <f>IFERROR(__xludf.DUMMYFUNCTION("""COMPUTED_VALUE"""),0.0)</f>
        <v>0</v>
      </c>
      <c r="H1190" s="22">
        <f>IFERROR(__xludf.DUMMYFUNCTION("""COMPUTED_VALUE"""),500000.0)</f>
        <v>500000</v>
      </c>
      <c r="I1190" s="24">
        <f>IFERROR(__xludf.DUMMYFUNCTION("""COMPUTED_VALUE"""),0.0)</f>
        <v>0</v>
      </c>
    </row>
    <row r="1191">
      <c r="A1191" s="5" t="str">
        <f>IFERROR(__xludf.DUMMYFUNCTION("""COMPUTED_VALUE"""),"36560")</f>
        <v>36560</v>
      </c>
      <c r="B1191" s="64">
        <f>IFERROR(__xludf.DUMMYFUNCTION("""COMPUTED_VALUE"""),44644.0)</f>
        <v>44644</v>
      </c>
      <c r="C1191" s="5"/>
      <c r="D1191" s="5"/>
      <c r="E1191" s="5"/>
      <c r="F1191" s="22">
        <f>IFERROR(__xludf.DUMMYFUNCTION("""COMPUTED_VALUE"""),500000.0)</f>
        <v>500000</v>
      </c>
      <c r="G1191" s="22">
        <f>IFERROR(__xludf.DUMMYFUNCTION("""COMPUTED_VALUE"""),0.0)</f>
        <v>0</v>
      </c>
      <c r="H1191" s="22">
        <f>IFERROR(__xludf.DUMMYFUNCTION("""COMPUTED_VALUE"""),500000.0)</f>
        <v>500000</v>
      </c>
      <c r="I1191" s="24">
        <f>IFERROR(__xludf.DUMMYFUNCTION("""COMPUTED_VALUE"""),0.0)</f>
        <v>0</v>
      </c>
    </row>
    <row r="1192">
      <c r="A1192" s="5" t="str">
        <f>IFERROR(__xludf.DUMMYFUNCTION("""COMPUTED_VALUE"""),"36560")</f>
        <v>36560</v>
      </c>
      <c r="B1192" s="64">
        <f>IFERROR(__xludf.DUMMYFUNCTION("""COMPUTED_VALUE"""),44645.0)</f>
        <v>44645</v>
      </c>
      <c r="C1192" s="5"/>
      <c r="D1192" s="5"/>
      <c r="E1192" s="5"/>
      <c r="F1192" s="22">
        <f>IFERROR(__xludf.DUMMYFUNCTION("""COMPUTED_VALUE"""),500000.0)</f>
        <v>500000</v>
      </c>
      <c r="G1192" s="22">
        <f>IFERROR(__xludf.DUMMYFUNCTION("""COMPUTED_VALUE"""),0.0)</f>
        <v>0</v>
      </c>
      <c r="H1192" s="22">
        <f>IFERROR(__xludf.DUMMYFUNCTION("""COMPUTED_VALUE"""),500000.0)</f>
        <v>500000</v>
      </c>
      <c r="I1192" s="24">
        <f>IFERROR(__xludf.DUMMYFUNCTION("""COMPUTED_VALUE"""),0.0)</f>
        <v>0</v>
      </c>
    </row>
    <row r="1193">
      <c r="A1193" s="5" t="str">
        <f>IFERROR(__xludf.DUMMYFUNCTION("""COMPUTED_VALUE"""),"36560")</f>
        <v>36560</v>
      </c>
      <c r="B1193" s="64">
        <f>IFERROR(__xludf.DUMMYFUNCTION("""COMPUTED_VALUE"""),44646.0)</f>
        <v>44646</v>
      </c>
      <c r="C1193" s="5"/>
      <c r="D1193" s="5"/>
      <c r="E1193" s="5"/>
      <c r="F1193" s="22">
        <f>IFERROR(__xludf.DUMMYFUNCTION("""COMPUTED_VALUE"""),500000.0)</f>
        <v>500000</v>
      </c>
      <c r="G1193" s="22">
        <f>IFERROR(__xludf.DUMMYFUNCTION("""COMPUTED_VALUE"""),0.0)</f>
        <v>0</v>
      </c>
      <c r="H1193" s="22">
        <f>IFERROR(__xludf.DUMMYFUNCTION("""COMPUTED_VALUE"""),500000.0)</f>
        <v>500000</v>
      </c>
      <c r="I1193" s="24">
        <f>IFERROR(__xludf.DUMMYFUNCTION("""COMPUTED_VALUE"""),0.0)</f>
        <v>0</v>
      </c>
    </row>
    <row r="1194">
      <c r="A1194" s="5" t="str">
        <f>IFERROR(__xludf.DUMMYFUNCTION("""COMPUTED_VALUE"""),"36560")</f>
        <v>36560</v>
      </c>
      <c r="B1194" s="64">
        <f>IFERROR(__xludf.DUMMYFUNCTION("""COMPUTED_VALUE"""),44647.0)</f>
        <v>44647</v>
      </c>
      <c r="C1194" s="5"/>
      <c r="D1194" s="5"/>
      <c r="E1194" s="5"/>
      <c r="F1194" s="22">
        <f>IFERROR(__xludf.DUMMYFUNCTION("""COMPUTED_VALUE"""),500000.0)</f>
        <v>500000</v>
      </c>
      <c r="G1194" s="22">
        <f>IFERROR(__xludf.DUMMYFUNCTION("""COMPUTED_VALUE"""),0.0)</f>
        <v>0</v>
      </c>
      <c r="H1194" s="22">
        <f>IFERROR(__xludf.DUMMYFUNCTION("""COMPUTED_VALUE"""),500000.0)</f>
        <v>500000</v>
      </c>
      <c r="I1194" s="24">
        <f>IFERROR(__xludf.DUMMYFUNCTION("""COMPUTED_VALUE"""),0.0)</f>
        <v>0</v>
      </c>
    </row>
    <row r="1195">
      <c r="A1195" s="5" t="str">
        <f>IFERROR(__xludf.DUMMYFUNCTION("""COMPUTED_VALUE"""),"36560")</f>
        <v>36560</v>
      </c>
      <c r="B1195" s="64">
        <f>IFERROR(__xludf.DUMMYFUNCTION("""COMPUTED_VALUE"""),44648.0)</f>
        <v>44648</v>
      </c>
      <c r="C1195" s="5"/>
      <c r="D1195" s="5"/>
      <c r="E1195" s="5"/>
      <c r="F1195" s="22">
        <f>IFERROR(__xludf.DUMMYFUNCTION("""COMPUTED_VALUE"""),500000.0)</f>
        <v>500000</v>
      </c>
      <c r="G1195" s="22">
        <f>IFERROR(__xludf.DUMMYFUNCTION("""COMPUTED_VALUE"""),0.0)</f>
        <v>0</v>
      </c>
      <c r="H1195" s="22">
        <f>IFERROR(__xludf.DUMMYFUNCTION("""COMPUTED_VALUE"""),500000.0)</f>
        <v>500000</v>
      </c>
      <c r="I1195" s="24">
        <f>IFERROR(__xludf.DUMMYFUNCTION("""COMPUTED_VALUE"""),0.0)</f>
        <v>0</v>
      </c>
    </row>
    <row r="1196">
      <c r="A1196" s="5" t="str">
        <f>IFERROR(__xludf.DUMMYFUNCTION("""COMPUTED_VALUE"""),"36560")</f>
        <v>36560</v>
      </c>
      <c r="B1196" s="64">
        <f>IFERROR(__xludf.DUMMYFUNCTION("""COMPUTED_VALUE"""),44649.0)</f>
        <v>44649</v>
      </c>
      <c r="C1196" s="5"/>
      <c r="D1196" s="5"/>
      <c r="E1196" s="5"/>
      <c r="F1196" s="22">
        <f>IFERROR(__xludf.DUMMYFUNCTION("""COMPUTED_VALUE"""),500000.0)</f>
        <v>500000</v>
      </c>
      <c r="G1196" s="22">
        <f>IFERROR(__xludf.DUMMYFUNCTION("""COMPUTED_VALUE"""),0.0)</f>
        <v>0</v>
      </c>
      <c r="H1196" s="22">
        <f>IFERROR(__xludf.DUMMYFUNCTION("""COMPUTED_VALUE"""),500000.0)</f>
        <v>500000</v>
      </c>
      <c r="I1196" s="24">
        <f>IFERROR(__xludf.DUMMYFUNCTION("""COMPUTED_VALUE"""),0.0)</f>
        <v>0</v>
      </c>
    </row>
    <row r="1197">
      <c r="A1197" s="5" t="str">
        <f>IFERROR(__xludf.DUMMYFUNCTION("""COMPUTED_VALUE"""),"36560")</f>
        <v>36560</v>
      </c>
      <c r="B1197" s="64">
        <f>IFERROR(__xludf.DUMMYFUNCTION("""COMPUTED_VALUE"""),44650.0)</f>
        <v>44650</v>
      </c>
      <c r="C1197" s="5"/>
      <c r="D1197" s="5"/>
      <c r="E1197" s="5"/>
      <c r="F1197" s="22">
        <f>IFERROR(__xludf.DUMMYFUNCTION("""COMPUTED_VALUE"""),500000.0)</f>
        <v>500000</v>
      </c>
      <c r="G1197" s="22">
        <f>IFERROR(__xludf.DUMMYFUNCTION("""COMPUTED_VALUE"""),0.0)</f>
        <v>0</v>
      </c>
      <c r="H1197" s="22">
        <f>IFERROR(__xludf.DUMMYFUNCTION("""COMPUTED_VALUE"""),500000.0)</f>
        <v>500000</v>
      </c>
      <c r="I1197" s="24">
        <f>IFERROR(__xludf.DUMMYFUNCTION("""COMPUTED_VALUE"""),0.0)</f>
        <v>0</v>
      </c>
    </row>
    <row r="1198">
      <c r="A1198" s="5" t="str">
        <f>IFERROR(__xludf.DUMMYFUNCTION("""COMPUTED_VALUE"""),"36560")</f>
        <v>36560</v>
      </c>
      <c r="B1198" s="64">
        <f>IFERROR(__xludf.DUMMYFUNCTION("""COMPUTED_VALUE"""),44651.0)</f>
        <v>44651</v>
      </c>
      <c r="C1198" s="5"/>
      <c r="D1198" s="5"/>
      <c r="E1198" s="5"/>
      <c r="F1198" s="22">
        <f>IFERROR(__xludf.DUMMYFUNCTION("""COMPUTED_VALUE"""),500000.0)</f>
        <v>500000</v>
      </c>
      <c r="G1198" s="22">
        <f>IFERROR(__xludf.DUMMYFUNCTION("""COMPUTED_VALUE"""),0.0)</f>
        <v>0</v>
      </c>
      <c r="H1198" s="22">
        <f>IFERROR(__xludf.DUMMYFUNCTION("""COMPUTED_VALUE"""),500000.0)</f>
        <v>500000</v>
      </c>
      <c r="I1198" s="24">
        <f>IFERROR(__xludf.DUMMYFUNCTION("""COMPUTED_VALUE"""),0.0)</f>
        <v>0</v>
      </c>
    </row>
    <row r="1199">
      <c r="A1199" s="5" t="str">
        <f>IFERROR(__xludf.DUMMYFUNCTION("""COMPUTED_VALUE"""),"36560")</f>
        <v>36560</v>
      </c>
      <c r="B1199" s="64">
        <f>IFERROR(__xludf.DUMMYFUNCTION("""COMPUTED_VALUE"""),44652.0)</f>
        <v>44652</v>
      </c>
      <c r="C1199" s="5"/>
      <c r="D1199" s="5"/>
      <c r="E1199" s="5"/>
      <c r="F1199" s="22">
        <f>IFERROR(__xludf.DUMMYFUNCTION("""COMPUTED_VALUE"""),500000.0)</f>
        <v>500000</v>
      </c>
      <c r="G1199" s="22">
        <f>IFERROR(__xludf.DUMMYFUNCTION("""COMPUTED_VALUE"""),0.0)</f>
        <v>0</v>
      </c>
      <c r="H1199" s="22">
        <f>IFERROR(__xludf.DUMMYFUNCTION("""COMPUTED_VALUE"""),500000.0)</f>
        <v>500000</v>
      </c>
      <c r="I1199" s="24">
        <f>IFERROR(__xludf.DUMMYFUNCTION("""COMPUTED_VALUE"""),0.0)</f>
        <v>0</v>
      </c>
    </row>
    <row r="1200">
      <c r="A1200" s="5" t="str">
        <f>IFERROR(__xludf.DUMMYFUNCTION("""COMPUTED_VALUE"""),"36560")</f>
        <v>36560</v>
      </c>
      <c r="B1200" s="64">
        <f>IFERROR(__xludf.DUMMYFUNCTION("""COMPUTED_VALUE"""),44653.0)</f>
        <v>44653</v>
      </c>
      <c r="C1200" s="5"/>
      <c r="D1200" s="5"/>
      <c r="E1200" s="5"/>
      <c r="F1200" s="22">
        <f>IFERROR(__xludf.DUMMYFUNCTION("""COMPUTED_VALUE"""),500000.0)</f>
        <v>500000</v>
      </c>
      <c r="G1200" s="22">
        <f>IFERROR(__xludf.DUMMYFUNCTION("""COMPUTED_VALUE"""),0.0)</f>
        <v>0</v>
      </c>
      <c r="H1200" s="22">
        <f>IFERROR(__xludf.DUMMYFUNCTION("""COMPUTED_VALUE"""),500000.0)</f>
        <v>500000</v>
      </c>
      <c r="I1200" s="24">
        <f>IFERROR(__xludf.DUMMYFUNCTION("""COMPUTED_VALUE"""),0.0)</f>
        <v>0</v>
      </c>
    </row>
    <row r="1201">
      <c r="A1201" s="5" t="str">
        <f>IFERROR(__xludf.DUMMYFUNCTION("""COMPUTED_VALUE"""),"36560")</f>
        <v>36560</v>
      </c>
      <c r="B1201" s="64">
        <f>IFERROR(__xludf.DUMMYFUNCTION("""COMPUTED_VALUE"""),44654.0)</f>
        <v>44654</v>
      </c>
      <c r="C1201" s="5"/>
      <c r="D1201" s="5"/>
      <c r="E1201" s="5"/>
      <c r="F1201" s="22">
        <f>IFERROR(__xludf.DUMMYFUNCTION("""COMPUTED_VALUE"""),500000.0)</f>
        <v>500000</v>
      </c>
      <c r="G1201" s="22">
        <f>IFERROR(__xludf.DUMMYFUNCTION("""COMPUTED_VALUE"""),0.0)</f>
        <v>0</v>
      </c>
      <c r="H1201" s="22">
        <f>IFERROR(__xludf.DUMMYFUNCTION("""COMPUTED_VALUE"""),500000.0)</f>
        <v>500000</v>
      </c>
      <c r="I1201" s="24">
        <f>IFERROR(__xludf.DUMMYFUNCTION("""COMPUTED_VALUE"""),0.0)</f>
        <v>0</v>
      </c>
    </row>
    <row r="1202">
      <c r="A1202" s="5" t="str">
        <f>IFERROR(__xludf.DUMMYFUNCTION("""COMPUTED_VALUE"""),"36560")</f>
        <v>36560</v>
      </c>
      <c r="B1202" s="64">
        <f>IFERROR(__xludf.DUMMYFUNCTION("""COMPUTED_VALUE"""),44655.0)</f>
        <v>44655</v>
      </c>
      <c r="C1202" s="5"/>
      <c r="D1202" s="5"/>
      <c r="E1202" s="5"/>
      <c r="F1202" s="22">
        <f>IFERROR(__xludf.DUMMYFUNCTION("""COMPUTED_VALUE"""),500000.0)</f>
        <v>500000</v>
      </c>
      <c r="G1202" s="22">
        <f>IFERROR(__xludf.DUMMYFUNCTION("""COMPUTED_VALUE"""),0.0)</f>
        <v>0</v>
      </c>
      <c r="H1202" s="22">
        <f>IFERROR(__xludf.DUMMYFUNCTION("""COMPUTED_VALUE"""),500000.0)</f>
        <v>500000</v>
      </c>
      <c r="I1202" s="24">
        <f>IFERROR(__xludf.DUMMYFUNCTION("""COMPUTED_VALUE"""),0.0)</f>
        <v>0</v>
      </c>
    </row>
    <row r="1203">
      <c r="A1203" s="5" t="str">
        <f>IFERROR(__xludf.DUMMYFUNCTION("""COMPUTED_VALUE"""),"36560")</f>
        <v>36560</v>
      </c>
      <c r="B1203" s="64">
        <f>IFERROR(__xludf.DUMMYFUNCTION("""COMPUTED_VALUE"""),44656.0)</f>
        <v>44656</v>
      </c>
      <c r="C1203" s="5"/>
      <c r="D1203" s="5"/>
      <c r="E1203" s="5"/>
      <c r="F1203" s="22">
        <f>IFERROR(__xludf.DUMMYFUNCTION("""COMPUTED_VALUE"""),500000.0)</f>
        <v>500000</v>
      </c>
      <c r="G1203" s="22">
        <f>IFERROR(__xludf.DUMMYFUNCTION("""COMPUTED_VALUE"""),0.0)</f>
        <v>0</v>
      </c>
      <c r="H1203" s="22">
        <f>IFERROR(__xludf.DUMMYFUNCTION("""COMPUTED_VALUE"""),500000.0)</f>
        <v>500000</v>
      </c>
      <c r="I1203" s="24">
        <f>IFERROR(__xludf.DUMMYFUNCTION("""COMPUTED_VALUE"""),0.0)</f>
        <v>0</v>
      </c>
    </row>
    <row r="1204">
      <c r="A1204" s="5" t="str">
        <f>IFERROR(__xludf.DUMMYFUNCTION("""COMPUTED_VALUE"""),"36560")</f>
        <v>36560</v>
      </c>
      <c r="B1204" s="64">
        <f>IFERROR(__xludf.DUMMYFUNCTION("""COMPUTED_VALUE"""),44657.0)</f>
        <v>44657</v>
      </c>
      <c r="C1204" s="5"/>
      <c r="D1204" s="5"/>
      <c r="E1204" s="5"/>
      <c r="F1204" s="22">
        <f>IFERROR(__xludf.DUMMYFUNCTION("""COMPUTED_VALUE"""),500000.0)</f>
        <v>500000</v>
      </c>
      <c r="G1204" s="22">
        <f>IFERROR(__xludf.DUMMYFUNCTION("""COMPUTED_VALUE"""),0.0)</f>
        <v>0</v>
      </c>
      <c r="H1204" s="22">
        <f>IFERROR(__xludf.DUMMYFUNCTION("""COMPUTED_VALUE"""),500000.0)</f>
        <v>500000</v>
      </c>
      <c r="I1204" s="24">
        <f>IFERROR(__xludf.DUMMYFUNCTION("""COMPUTED_VALUE"""),0.0)</f>
        <v>0</v>
      </c>
    </row>
    <row r="1205">
      <c r="A1205" s="5" t="str">
        <f>IFERROR(__xludf.DUMMYFUNCTION("""COMPUTED_VALUE"""),"36560")</f>
        <v>36560</v>
      </c>
      <c r="B1205" s="64">
        <f>IFERROR(__xludf.DUMMYFUNCTION("""COMPUTED_VALUE"""),44658.0)</f>
        <v>44658</v>
      </c>
      <c r="C1205" s="5"/>
      <c r="D1205" s="5"/>
      <c r="E1205" s="5"/>
      <c r="F1205" s="22">
        <f>IFERROR(__xludf.DUMMYFUNCTION("""COMPUTED_VALUE"""),500000.0)</f>
        <v>500000</v>
      </c>
      <c r="G1205" s="22">
        <f>IFERROR(__xludf.DUMMYFUNCTION("""COMPUTED_VALUE"""),0.0)</f>
        <v>0</v>
      </c>
      <c r="H1205" s="22">
        <f>IFERROR(__xludf.DUMMYFUNCTION("""COMPUTED_VALUE"""),500000.0)</f>
        <v>500000</v>
      </c>
      <c r="I1205" s="24">
        <f>IFERROR(__xludf.DUMMYFUNCTION("""COMPUTED_VALUE"""),0.0)</f>
        <v>0</v>
      </c>
    </row>
    <row r="1206">
      <c r="A1206" s="5" t="str">
        <f>IFERROR(__xludf.DUMMYFUNCTION("""COMPUTED_VALUE"""),"36560")</f>
        <v>36560</v>
      </c>
      <c r="B1206" s="64">
        <f>IFERROR(__xludf.DUMMYFUNCTION("""COMPUTED_VALUE"""),44659.0)</f>
        <v>44659</v>
      </c>
      <c r="C1206" s="5"/>
      <c r="D1206" s="5"/>
      <c r="E1206" s="5"/>
      <c r="F1206" s="22">
        <f>IFERROR(__xludf.DUMMYFUNCTION("""COMPUTED_VALUE"""),500000.0)</f>
        <v>500000</v>
      </c>
      <c r="G1206" s="22">
        <f>IFERROR(__xludf.DUMMYFUNCTION("""COMPUTED_VALUE"""),0.0)</f>
        <v>0</v>
      </c>
      <c r="H1206" s="22">
        <f>IFERROR(__xludf.DUMMYFUNCTION("""COMPUTED_VALUE"""),500000.0)</f>
        <v>500000</v>
      </c>
      <c r="I1206" s="24">
        <f>IFERROR(__xludf.DUMMYFUNCTION("""COMPUTED_VALUE"""),0.0)</f>
        <v>0</v>
      </c>
    </row>
    <row r="1207">
      <c r="A1207" s="5" t="str">
        <f>IFERROR(__xludf.DUMMYFUNCTION("""COMPUTED_VALUE"""),"36560")</f>
        <v>36560</v>
      </c>
      <c r="B1207" s="64">
        <f>IFERROR(__xludf.DUMMYFUNCTION("""COMPUTED_VALUE"""),44660.0)</f>
        <v>44660</v>
      </c>
      <c r="C1207" s="5"/>
      <c r="D1207" s="5"/>
      <c r="E1207" s="5"/>
      <c r="F1207" s="22">
        <f>IFERROR(__xludf.DUMMYFUNCTION("""COMPUTED_VALUE"""),500000.0)</f>
        <v>500000</v>
      </c>
      <c r="G1207" s="22">
        <f>IFERROR(__xludf.DUMMYFUNCTION("""COMPUTED_VALUE"""),0.0)</f>
        <v>0</v>
      </c>
      <c r="H1207" s="22">
        <f>IFERROR(__xludf.DUMMYFUNCTION("""COMPUTED_VALUE"""),500000.0)</f>
        <v>500000</v>
      </c>
      <c r="I1207" s="24">
        <f>IFERROR(__xludf.DUMMYFUNCTION("""COMPUTED_VALUE"""),0.0)</f>
        <v>0</v>
      </c>
    </row>
    <row r="1208">
      <c r="A1208" s="5" t="str">
        <f>IFERROR(__xludf.DUMMYFUNCTION("""COMPUTED_VALUE"""),"36560")</f>
        <v>36560</v>
      </c>
      <c r="B1208" s="64">
        <f>IFERROR(__xludf.DUMMYFUNCTION("""COMPUTED_VALUE"""),44661.0)</f>
        <v>44661</v>
      </c>
      <c r="C1208" s="5"/>
      <c r="D1208" s="5"/>
      <c r="E1208" s="5"/>
      <c r="F1208" s="22">
        <f>IFERROR(__xludf.DUMMYFUNCTION("""COMPUTED_VALUE"""),500000.0)</f>
        <v>500000</v>
      </c>
      <c r="G1208" s="22">
        <f>IFERROR(__xludf.DUMMYFUNCTION("""COMPUTED_VALUE"""),0.0)</f>
        <v>0</v>
      </c>
      <c r="H1208" s="22">
        <f>IFERROR(__xludf.DUMMYFUNCTION("""COMPUTED_VALUE"""),500000.0)</f>
        <v>500000</v>
      </c>
      <c r="I1208" s="24">
        <f>IFERROR(__xludf.DUMMYFUNCTION("""COMPUTED_VALUE"""),0.0)</f>
        <v>0</v>
      </c>
    </row>
    <row r="1209">
      <c r="A1209" s="5" t="str">
        <f>IFERROR(__xludf.DUMMYFUNCTION("""COMPUTED_VALUE"""),"36560")</f>
        <v>36560</v>
      </c>
      <c r="B1209" s="64">
        <f>IFERROR(__xludf.DUMMYFUNCTION("""COMPUTED_VALUE"""),44662.0)</f>
        <v>44662</v>
      </c>
      <c r="C1209" s="5"/>
      <c r="D1209" s="5"/>
      <c r="E1209" s="5"/>
      <c r="F1209" s="22">
        <f>IFERROR(__xludf.DUMMYFUNCTION("""COMPUTED_VALUE"""),500000.0)</f>
        <v>500000</v>
      </c>
      <c r="G1209" s="22">
        <f>IFERROR(__xludf.DUMMYFUNCTION("""COMPUTED_VALUE"""),0.0)</f>
        <v>0</v>
      </c>
      <c r="H1209" s="22">
        <f>IFERROR(__xludf.DUMMYFUNCTION("""COMPUTED_VALUE"""),500000.0)</f>
        <v>500000</v>
      </c>
      <c r="I1209" s="24">
        <f>IFERROR(__xludf.DUMMYFUNCTION("""COMPUTED_VALUE"""),0.0)</f>
        <v>0</v>
      </c>
    </row>
    <row r="1210">
      <c r="A1210" s="5" t="str">
        <f>IFERROR(__xludf.DUMMYFUNCTION("""COMPUTED_VALUE"""),"36560")</f>
        <v>36560</v>
      </c>
      <c r="B1210" s="64">
        <f>IFERROR(__xludf.DUMMYFUNCTION("""COMPUTED_VALUE"""),44663.0)</f>
        <v>44663</v>
      </c>
      <c r="C1210" s="5"/>
      <c r="D1210" s="5"/>
      <c r="E1210" s="5"/>
      <c r="F1210" s="22">
        <f>IFERROR(__xludf.DUMMYFUNCTION("""COMPUTED_VALUE"""),500000.0)</f>
        <v>500000</v>
      </c>
      <c r="G1210" s="22">
        <f>IFERROR(__xludf.DUMMYFUNCTION("""COMPUTED_VALUE"""),0.0)</f>
        <v>0</v>
      </c>
      <c r="H1210" s="22">
        <f>IFERROR(__xludf.DUMMYFUNCTION("""COMPUTED_VALUE"""),500000.0)</f>
        <v>500000</v>
      </c>
      <c r="I1210" s="24">
        <f>IFERROR(__xludf.DUMMYFUNCTION("""COMPUTED_VALUE"""),0.0)</f>
        <v>0</v>
      </c>
    </row>
    <row r="1211">
      <c r="A1211" s="5" t="str">
        <f>IFERROR(__xludf.DUMMYFUNCTION("""COMPUTED_VALUE"""),"36903")</f>
        <v>36903</v>
      </c>
      <c r="B1211" s="64">
        <f>IFERROR(__xludf.DUMMYFUNCTION("""COMPUTED_VALUE"""),44597.0)</f>
        <v>44597</v>
      </c>
      <c r="C1211" s="5"/>
      <c r="D1211" s="5"/>
      <c r="E1211" s="5"/>
      <c r="F1211" s="22">
        <f>IFERROR(__xludf.DUMMYFUNCTION("""COMPUTED_VALUE"""),500000.0)</f>
        <v>500000</v>
      </c>
      <c r="G1211" s="22">
        <f>IFERROR(__xludf.DUMMYFUNCTION("""COMPUTED_VALUE"""),0.0)</f>
        <v>0</v>
      </c>
      <c r="H1211" s="22">
        <f>IFERROR(__xludf.DUMMYFUNCTION("""COMPUTED_VALUE"""),500000.0)</f>
        <v>500000</v>
      </c>
      <c r="I1211" s="24">
        <f>IFERROR(__xludf.DUMMYFUNCTION("""COMPUTED_VALUE"""),0.0)</f>
        <v>0</v>
      </c>
    </row>
    <row r="1212">
      <c r="A1212" s="5" t="str">
        <f>IFERROR(__xludf.DUMMYFUNCTION("""COMPUTED_VALUE"""),"36903")</f>
        <v>36903</v>
      </c>
      <c r="B1212" s="64">
        <f>IFERROR(__xludf.DUMMYFUNCTION("""COMPUTED_VALUE"""),44598.0)</f>
        <v>44598</v>
      </c>
      <c r="C1212" s="5"/>
      <c r="D1212" s="5"/>
      <c r="E1212" s="5"/>
      <c r="F1212" s="22">
        <f>IFERROR(__xludf.DUMMYFUNCTION("""COMPUTED_VALUE"""),500000.0)</f>
        <v>500000</v>
      </c>
      <c r="G1212" s="22">
        <f>IFERROR(__xludf.DUMMYFUNCTION("""COMPUTED_VALUE"""),0.0)</f>
        <v>0</v>
      </c>
      <c r="H1212" s="22">
        <f>IFERROR(__xludf.DUMMYFUNCTION("""COMPUTED_VALUE"""),500000.0)</f>
        <v>500000</v>
      </c>
      <c r="I1212" s="24">
        <f>IFERROR(__xludf.DUMMYFUNCTION("""COMPUTED_VALUE"""),0.0)</f>
        <v>0</v>
      </c>
    </row>
    <row r="1213">
      <c r="A1213" s="5" t="str">
        <f>IFERROR(__xludf.DUMMYFUNCTION("""COMPUTED_VALUE"""),"36903")</f>
        <v>36903</v>
      </c>
      <c r="B1213" s="64">
        <f>IFERROR(__xludf.DUMMYFUNCTION("""COMPUTED_VALUE"""),44599.0)</f>
        <v>44599</v>
      </c>
      <c r="C1213" s="5"/>
      <c r="D1213" s="5"/>
      <c r="E1213" s="5"/>
      <c r="F1213" s="22">
        <f>IFERROR(__xludf.DUMMYFUNCTION("""COMPUTED_VALUE"""),412374.501725)</f>
        <v>412374.5017</v>
      </c>
      <c r="G1213" s="22">
        <f>IFERROR(__xludf.DUMMYFUNCTION("""COMPUTED_VALUE"""),0.0)</f>
        <v>0</v>
      </c>
      <c r="H1213" s="22">
        <f>IFERROR(__xludf.DUMMYFUNCTION("""COMPUTED_VALUE"""),500000.0)</f>
        <v>500000</v>
      </c>
      <c r="I1213" s="24">
        <f>IFERROR(__xludf.DUMMYFUNCTION("""COMPUTED_VALUE"""),0.0)</f>
        <v>0</v>
      </c>
    </row>
    <row r="1214">
      <c r="A1214" s="5" t="str">
        <f>IFERROR(__xludf.DUMMYFUNCTION("""COMPUTED_VALUE"""),"36903")</f>
        <v>36903</v>
      </c>
      <c r="B1214" s="64">
        <f>IFERROR(__xludf.DUMMYFUNCTION("""COMPUTED_VALUE"""),44600.0)</f>
        <v>44600</v>
      </c>
      <c r="C1214" s="5"/>
      <c r="D1214" s="5"/>
      <c r="E1214" s="5"/>
      <c r="F1214" s="22">
        <f>IFERROR(__xludf.DUMMYFUNCTION("""COMPUTED_VALUE"""),412374.501725)</f>
        <v>412374.5017</v>
      </c>
      <c r="G1214" s="22">
        <f>IFERROR(__xludf.DUMMYFUNCTION("""COMPUTED_VALUE"""),0.0)</f>
        <v>0</v>
      </c>
      <c r="H1214" s="22">
        <f>IFERROR(__xludf.DUMMYFUNCTION("""COMPUTED_VALUE"""),498157.180175)</f>
        <v>498157.1802</v>
      </c>
      <c r="I1214" s="24">
        <f>IFERROR(__xludf.DUMMYFUNCTION("""COMPUTED_VALUE"""),-0.0036856396500000166)</f>
        <v>-0.00368563965</v>
      </c>
    </row>
    <row r="1215">
      <c r="A1215" s="5" t="str">
        <f>IFERROR(__xludf.DUMMYFUNCTION("""COMPUTED_VALUE"""),"36903")</f>
        <v>36903</v>
      </c>
      <c r="B1215" s="64">
        <f>IFERROR(__xludf.DUMMYFUNCTION("""COMPUTED_VALUE"""),44601.0)</f>
        <v>44601</v>
      </c>
      <c r="C1215" s="5"/>
      <c r="D1215" s="5"/>
      <c r="E1215" s="5"/>
      <c r="F1215" s="22">
        <f>IFERROR(__xludf.DUMMYFUNCTION("""COMPUTED_VALUE"""),72211.95207499994)</f>
        <v>72211.95207</v>
      </c>
      <c r="G1215" s="22">
        <f>IFERROR(__xludf.DUMMYFUNCTION("""COMPUTED_VALUE"""),0.0)</f>
        <v>0</v>
      </c>
      <c r="H1215" s="22">
        <f>IFERROR(__xludf.DUMMYFUNCTION("""COMPUTED_VALUE"""),502762.281725)</f>
        <v>502762.2817</v>
      </c>
      <c r="I1215" s="24">
        <f>IFERROR(__xludf.DUMMYFUNCTION("""COMPUTED_VALUE"""),0.005524563450000075)</f>
        <v>0.00552456345</v>
      </c>
    </row>
    <row r="1216">
      <c r="A1216" s="5" t="str">
        <f>IFERROR(__xludf.DUMMYFUNCTION("""COMPUTED_VALUE"""),"36903")</f>
        <v>36903</v>
      </c>
      <c r="B1216" s="64">
        <f>IFERROR(__xludf.DUMMYFUNCTION("""COMPUTED_VALUE"""),44602.0)</f>
        <v>44602</v>
      </c>
      <c r="C1216" s="5"/>
      <c r="D1216" s="5"/>
      <c r="E1216" s="5"/>
      <c r="F1216" s="22">
        <f>IFERROR(__xludf.DUMMYFUNCTION("""COMPUTED_VALUE"""),72211.95207499994)</f>
        <v>72211.95207</v>
      </c>
      <c r="G1216" s="22">
        <f>IFERROR(__xludf.DUMMYFUNCTION("""COMPUTED_VALUE"""),0.0)</f>
        <v>0</v>
      </c>
      <c r="H1216" s="22">
        <f>IFERROR(__xludf.DUMMYFUNCTION("""COMPUTED_VALUE"""),497542.71880999993)</f>
        <v>497542.7188</v>
      </c>
      <c r="I1216" s="24">
        <f>IFERROR(__xludf.DUMMYFUNCTION("""COMPUTED_VALUE"""),-0.004914562380000098)</f>
        <v>-0.00491456238</v>
      </c>
    </row>
    <row r="1217">
      <c r="A1217" s="5" t="str">
        <f>IFERROR(__xludf.DUMMYFUNCTION("""COMPUTED_VALUE"""),"36903")</f>
        <v>36903</v>
      </c>
      <c r="B1217" s="64">
        <f>IFERROR(__xludf.DUMMYFUNCTION("""COMPUTED_VALUE"""),44603.0)</f>
        <v>44603</v>
      </c>
      <c r="C1217" s="5"/>
      <c r="D1217" s="5"/>
      <c r="E1217" s="5"/>
      <c r="F1217" s="22">
        <f>IFERROR(__xludf.DUMMYFUNCTION("""COMPUTED_VALUE"""),72211.95207499994)</f>
        <v>72211.95207</v>
      </c>
      <c r="G1217" s="22">
        <f>IFERROR(__xludf.DUMMYFUNCTION("""COMPUTED_VALUE"""),0.0)</f>
        <v>0</v>
      </c>
      <c r="H1217" s="22">
        <f>IFERROR(__xludf.DUMMYFUNCTION("""COMPUTED_VALUE"""),482290.07385000004)</f>
        <v>482290.0739</v>
      </c>
      <c r="I1217" s="24">
        <f>IFERROR(__xludf.DUMMYFUNCTION("""COMPUTED_VALUE"""),-0.03541985229999989)</f>
        <v>-0.0354198523</v>
      </c>
    </row>
    <row r="1218">
      <c r="A1218" s="5" t="str">
        <f>IFERROR(__xludf.DUMMYFUNCTION("""COMPUTED_VALUE"""),"36903")</f>
        <v>36903</v>
      </c>
      <c r="B1218" s="64">
        <f>IFERROR(__xludf.DUMMYFUNCTION("""COMPUTED_VALUE"""),44604.0)</f>
        <v>44604</v>
      </c>
      <c r="C1218" s="5"/>
      <c r="D1218" s="5"/>
      <c r="E1218" s="5"/>
      <c r="F1218" s="22">
        <f>IFERROR(__xludf.DUMMYFUNCTION("""COMPUTED_VALUE"""),72211.95207499994)</f>
        <v>72211.95207</v>
      </c>
      <c r="G1218" s="22">
        <f>IFERROR(__xludf.DUMMYFUNCTION("""COMPUTED_VALUE"""),0.0)</f>
        <v>0</v>
      </c>
      <c r="H1218" s="22">
        <f>IFERROR(__xludf.DUMMYFUNCTION("""COMPUTED_VALUE"""),482290.07385000004)</f>
        <v>482290.0739</v>
      </c>
      <c r="I1218" s="24">
        <f>IFERROR(__xludf.DUMMYFUNCTION("""COMPUTED_VALUE"""),-0.03541985229999989)</f>
        <v>-0.0354198523</v>
      </c>
    </row>
    <row r="1219">
      <c r="A1219" s="5" t="str">
        <f>IFERROR(__xludf.DUMMYFUNCTION("""COMPUTED_VALUE"""),"36903")</f>
        <v>36903</v>
      </c>
      <c r="B1219" s="64">
        <f>IFERROR(__xludf.DUMMYFUNCTION("""COMPUTED_VALUE"""),44605.0)</f>
        <v>44605</v>
      </c>
      <c r="C1219" s="5"/>
      <c r="D1219" s="5"/>
      <c r="E1219" s="5"/>
      <c r="F1219" s="22">
        <f>IFERROR(__xludf.DUMMYFUNCTION("""COMPUTED_VALUE"""),72211.95207499994)</f>
        <v>72211.95207</v>
      </c>
      <c r="G1219" s="22">
        <f>IFERROR(__xludf.DUMMYFUNCTION("""COMPUTED_VALUE"""),0.0)</f>
        <v>0</v>
      </c>
      <c r="H1219" s="22">
        <f>IFERROR(__xludf.DUMMYFUNCTION("""COMPUTED_VALUE"""),482290.07385000004)</f>
        <v>482290.0739</v>
      </c>
      <c r="I1219" s="24">
        <f>IFERROR(__xludf.DUMMYFUNCTION("""COMPUTED_VALUE"""),-0.03541985229999989)</f>
        <v>-0.0354198523</v>
      </c>
    </row>
    <row r="1220">
      <c r="A1220" s="5" t="str">
        <f>IFERROR(__xludf.DUMMYFUNCTION("""COMPUTED_VALUE"""),"36903")</f>
        <v>36903</v>
      </c>
      <c r="B1220" s="64">
        <f>IFERROR(__xludf.DUMMYFUNCTION("""COMPUTED_VALUE"""),44606.0)</f>
        <v>44606</v>
      </c>
      <c r="C1220" s="5"/>
      <c r="D1220" s="5"/>
      <c r="E1220" s="5"/>
      <c r="F1220" s="22">
        <f>IFERROR(__xludf.DUMMYFUNCTION("""COMPUTED_VALUE"""),72211.95207499994)</f>
        <v>72211.95207</v>
      </c>
      <c r="G1220" s="22">
        <f>IFERROR(__xludf.DUMMYFUNCTION("""COMPUTED_VALUE"""),0.0)</f>
        <v>0</v>
      </c>
      <c r="H1220" s="22">
        <f>IFERROR(__xludf.DUMMYFUNCTION("""COMPUTED_VALUE"""),479956.499775)</f>
        <v>479956.4998</v>
      </c>
      <c r="I1220" s="24">
        <f>IFERROR(__xludf.DUMMYFUNCTION("""COMPUTED_VALUE"""),-0.04008700045000002)</f>
        <v>-0.04008700045</v>
      </c>
    </row>
    <row r="1221">
      <c r="A1221" s="5" t="str">
        <f>IFERROR(__xludf.DUMMYFUNCTION("""COMPUTED_VALUE"""),"36903")</f>
        <v>36903</v>
      </c>
      <c r="B1221" s="64">
        <f>IFERROR(__xludf.DUMMYFUNCTION("""COMPUTED_VALUE"""),44607.0)</f>
        <v>44607</v>
      </c>
      <c r="C1221" s="5"/>
      <c r="D1221" s="5"/>
      <c r="E1221" s="5"/>
      <c r="F1221" s="22">
        <f>IFERROR(__xludf.DUMMYFUNCTION("""COMPUTED_VALUE"""),72211.95207499994)</f>
        <v>72211.95207</v>
      </c>
      <c r="G1221" s="22">
        <f>IFERROR(__xludf.DUMMYFUNCTION("""COMPUTED_VALUE"""),0.0)</f>
        <v>0</v>
      </c>
      <c r="H1221" s="22">
        <f>IFERROR(__xludf.DUMMYFUNCTION("""COMPUTED_VALUE"""),487942.749025)</f>
        <v>487942.749</v>
      </c>
      <c r="I1221" s="24">
        <f>IFERROR(__xludf.DUMMYFUNCTION("""COMPUTED_VALUE"""),-0.024114501949999978)</f>
        <v>-0.02411450195</v>
      </c>
    </row>
    <row r="1222">
      <c r="A1222" s="5" t="str">
        <f>IFERROR(__xludf.DUMMYFUNCTION("""COMPUTED_VALUE"""),"36903")</f>
        <v>36903</v>
      </c>
      <c r="B1222" s="64">
        <f>IFERROR(__xludf.DUMMYFUNCTION("""COMPUTED_VALUE"""),44608.0)</f>
        <v>44608</v>
      </c>
      <c r="C1222" s="5"/>
      <c r="D1222" s="5"/>
      <c r="E1222" s="5"/>
      <c r="F1222" s="22">
        <f>IFERROR(__xludf.DUMMYFUNCTION("""COMPUTED_VALUE"""),72211.95207499994)</f>
        <v>72211.95207</v>
      </c>
      <c r="G1222" s="22">
        <f>IFERROR(__xludf.DUMMYFUNCTION("""COMPUTED_VALUE"""),0.0)</f>
        <v>0</v>
      </c>
      <c r="H1222" s="22">
        <f>IFERROR(__xludf.DUMMYFUNCTION("""COMPUTED_VALUE"""),482404.501345)</f>
        <v>482404.5013</v>
      </c>
      <c r="I1222" s="24">
        <f>IFERROR(__xludf.DUMMYFUNCTION("""COMPUTED_VALUE"""),-0.03519099730999997)</f>
        <v>-0.03519099731</v>
      </c>
    </row>
    <row r="1223">
      <c r="A1223" s="5" t="str">
        <f>IFERROR(__xludf.DUMMYFUNCTION("""COMPUTED_VALUE"""),"36903")</f>
        <v>36903</v>
      </c>
      <c r="B1223" s="64">
        <f>IFERROR(__xludf.DUMMYFUNCTION("""COMPUTED_VALUE"""),44609.0)</f>
        <v>44609</v>
      </c>
      <c r="C1223" s="5"/>
      <c r="D1223" s="5"/>
      <c r="E1223" s="5"/>
      <c r="F1223" s="22">
        <f>IFERROR(__xludf.DUMMYFUNCTION("""COMPUTED_VALUE"""),72211.95207499994)</f>
        <v>72211.95207</v>
      </c>
      <c r="G1223" s="22">
        <f>IFERROR(__xludf.DUMMYFUNCTION("""COMPUTED_VALUE"""),0.0)</f>
        <v>0</v>
      </c>
      <c r="H1223" s="22">
        <f>IFERROR(__xludf.DUMMYFUNCTION("""COMPUTED_VALUE"""),463425.24283)</f>
        <v>463425.2428</v>
      </c>
      <c r="I1223" s="24">
        <f>IFERROR(__xludf.DUMMYFUNCTION("""COMPUTED_VALUE"""),-0.07314951433999994)</f>
        <v>-0.07314951434</v>
      </c>
    </row>
    <row r="1224">
      <c r="A1224" s="5" t="str">
        <f>IFERROR(__xludf.DUMMYFUNCTION("""COMPUTED_VALUE"""),"36903")</f>
        <v>36903</v>
      </c>
      <c r="B1224" s="64">
        <f>IFERROR(__xludf.DUMMYFUNCTION("""COMPUTED_VALUE"""),44610.0)</f>
        <v>44610</v>
      </c>
      <c r="C1224" s="5"/>
      <c r="D1224" s="5"/>
      <c r="E1224" s="5"/>
      <c r="F1224" s="22">
        <f>IFERROR(__xludf.DUMMYFUNCTION("""COMPUTED_VALUE"""),72211.95207499994)</f>
        <v>72211.95207</v>
      </c>
      <c r="G1224" s="22">
        <f>IFERROR(__xludf.DUMMYFUNCTION("""COMPUTED_VALUE"""),0.0)</f>
        <v>0</v>
      </c>
      <c r="H1224" s="22">
        <f>IFERROR(__xludf.DUMMYFUNCTION("""COMPUTED_VALUE"""),455832.518005)</f>
        <v>455832.518</v>
      </c>
      <c r="I1224" s="24">
        <f>IFERROR(__xludf.DUMMYFUNCTION("""COMPUTED_VALUE"""),-0.08833496398999996)</f>
        <v>-0.08833496399</v>
      </c>
    </row>
    <row r="1225">
      <c r="A1225" s="5" t="str">
        <f>IFERROR(__xludf.DUMMYFUNCTION("""COMPUTED_VALUE"""),"36903")</f>
        <v>36903</v>
      </c>
      <c r="B1225" s="64">
        <f>IFERROR(__xludf.DUMMYFUNCTION("""COMPUTED_VALUE"""),44611.0)</f>
        <v>44611</v>
      </c>
      <c r="C1225" s="5"/>
      <c r="D1225" s="5"/>
      <c r="E1225" s="5"/>
      <c r="F1225" s="22">
        <f>IFERROR(__xludf.DUMMYFUNCTION("""COMPUTED_VALUE"""),72211.95207499994)</f>
        <v>72211.95207</v>
      </c>
      <c r="G1225" s="22">
        <f>IFERROR(__xludf.DUMMYFUNCTION("""COMPUTED_VALUE"""),0.0)</f>
        <v>0</v>
      </c>
      <c r="H1225" s="22">
        <f>IFERROR(__xludf.DUMMYFUNCTION("""COMPUTED_VALUE"""),455832.518005)</f>
        <v>455832.518</v>
      </c>
      <c r="I1225" s="24">
        <f>IFERROR(__xludf.DUMMYFUNCTION("""COMPUTED_VALUE"""),-0.08833496398999996)</f>
        <v>-0.08833496399</v>
      </c>
    </row>
    <row r="1226">
      <c r="A1226" s="5" t="str">
        <f>IFERROR(__xludf.DUMMYFUNCTION("""COMPUTED_VALUE"""),"36903")</f>
        <v>36903</v>
      </c>
      <c r="B1226" s="64">
        <f>IFERROR(__xludf.DUMMYFUNCTION("""COMPUTED_VALUE"""),44612.0)</f>
        <v>44612</v>
      </c>
      <c r="C1226" s="5"/>
      <c r="D1226" s="5"/>
      <c r="E1226" s="5"/>
      <c r="F1226" s="22">
        <f>IFERROR(__xludf.DUMMYFUNCTION("""COMPUTED_VALUE"""),72211.95207499994)</f>
        <v>72211.95207</v>
      </c>
      <c r="G1226" s="22">
        <f>IFERROR(__xludf.DUMMYFUNCTION("""COMPUTED_VALUE"""),0.0)</f>
        <v>0</v>
      </c>
      <c r="H1226" s="22">
        <f>IFERROR(__xludf.DUMMYFUNCTION("""COMPUTED_VALUE"""),455832.518005)</f>
        <v>455832.518</v>
      </c>
      <c r="I1226" s="24">
        <f>IFERROR(__xludf.DUMMYFUNCTION("""COMPUTED_VALUE"""),-0.08833496398999996)</f>
        <v>-0.08833496399</v>
      </c>
    </row>
    <row r="1227">
      <c r="A1227" s="5" t="str">
        <f>IFERROR(__xludf.DUMMYFUNCTION("""COMPUTED_VALUE"""),"36903")</f>
        <v>36903</v>
      </c>
      <c r="B1227" s="64">
        <f>IFERROR(__xludf.DUMMYFUNCTION("""COMPUTED_VALUE"""),44613.0)</f>
        <v>44613</v>
      </c>
      <c r="C1227" s="5"/>
      <c r="D1227" s="5"/>
      <c r="E1227" s="5"/>
      <c r="F1227" s="22">
        <f>IFERROR(__xludf.DUMMYFUNCTION("""COMPUTED_VALUE"""),72211.95207499994)</f>
        <v>72211.95207</v>
      </c>
      <c r="G1227" s="22">
        <f>IFERROR(__xludf.DUMMYFUNCTION("""COMPUTED_VALUE"""),0.0)</f>
        <v>0</v>
      </c>
      <c r="H1227" s="22">
        <f>IFERROR(__xludf.DUMMYFUNCTION("""COMPUTED_VALUE"""),455832.518005)</f>
        <v>455832.518</v>
      </c>
      <c r="I1227" s="24">
        <f>IFERROR(__xludf.DUMMYFUNCTION("""COMPUTED_VALUE"""),-0.08833496398999996)</f>
        <v>-0.08833496399</v>
      </c>
    </row>
    <row r="1228">
      <c r="A1228" s="5" t="str">
        <f>IFERROR(__xludf.DUMMYFUNCTION("""COMPUTED_VALUE"""),"36903")</f>
        <v>36903</v>
      </c>
      <c r="B1228" s="64">
        <f>IFERROR(__xludf.DUMMYFUNCTION("""COMPUTED_VALUE"""),44614.0)</f>
        <v>44614</v>
      </c>
      <c r="C1228" s="5"/>
      <c r="D1228" s="5"/>
      <c r="E1228" s="5"/>
      <c r="F1228" s="22">
        <f>IFERROR(__xludf.DUMMYFUNCTION("""COMPUTED_VALUE"""),72211.95207499994)</f>
        <v>72211.95207</v>
      </c>
      <c r="G1228" s="22">
        <f>IFERROR(__xludf.DUMMYFUNCTION("""COMPUTED_VALUE"""),0.0)</f>
        <v>0</v>
      </c>
      <c r="H1228" s="22">
        <f>IFERROR(__xludf.DUMMYFUNCTION("""COMPUTED_VALUE"""),448902.74851500004)</f>
        <v>448902.7485</v>
      </c>
      <c r="I1228" s="24">
        <f>IFERROR(__xludf.DUMMYFUNCTION("""COMPUTED_VALUE"""),-0.10219450296999988)</f>
        <v>-0.102194503</v>
      </c>
    </row>
    <row r="1229">
      <c r="A1229" s="5" t="str">
        <f>IFERROR(__xludf.DUMMYFUNCTION("""COMPUTED_VALUE"""),"36903")</f>
        <v>36903</v>
      </c>
      <c r="B1229" s="64">
        <f>IFERROR(__xludf.DUMMYFUNCTION("""COMPUTED_VALUE"""),44615.0)</f>
        <v>44615</v>
      </c>
      <c r="C1229" s="5"/>
      <c r="D1229" s="5"/>
      <c r="E1229" s="5"/>
      <c r="F1229" s="22">
        <f>IFERROR(__xludf.DUMMYFUNCTION("""COMPUTED_VALUE"""),72211.95207499994)</f>
        <v>72211.95207</v>
      </c>
      <c r="G1229" s="22">
        <f>IFERROR(__xludf.DUMMYFUNCTION("""COMPUTED_VALUE"""),0.0)</f>
        <v>0</v>
      </c>
      <c r="H1229" s="22">
        <f>IFERROR(__xludf.DUMMYFUNCTION("""COMPUTED_VALUE"""),443309.2113)</f>
        <v>443309.2113</v>
      </c>
      <c r="I1229" s="24">
        <f>IFERROR(__xludf.DUMMYFUNCTION("""COMPUTED_VALUE"""),-0.11338157739999999)</f>
        <v>-0.1133815774</v>
      </c>
    </row>
    <row r="1230">
      <c r="A1230" s="5" t="str">
        <f>IFERROR(__xludf.DUMMYFUNCTION("""COMPUTED_VALUE"""),"36903")</f>
        <v>36903</v>
      </c>
      <c r="B1230" s="64">
        <f>IFERROR(__xludf.DUMMYFUNCTION("""COMPUTED_VALUE"""),44616.0)</f>
        <v>44616</v>
      </c>
      <c r="C1230" s="5"/>
      <c r="D1230" s="5"/>
      <c r="E1230" s="5"/>
      <c r="F1230" s="22">
        <f>IFERROR(__xludf.DUMMYFUNCTION("""COMPUTED_VALUE"""),72211.95207499994)</f>
        <v>72211.95207</v>
      </c>
      <c r="G1230" s="22">
        <f>IFERROR(__xludf.DUMMYFUNCTION("""COMPUTED_VALUE"""),0.0)</f>
        <v>0</v>
      </c>
      <c r="H1230" s="22">
        <f>IFERROR(__xludf.DUMMYFUNCTION("""COMPUTED_VALUE"""),457828.712275)</f>
        <v>457828.7123</v>
      </c>
      <c r="I1230" s="24">
        <f>IFERROR(__xludf.DUMMYFUNCTION("""COMPUTED_VALUE"""),-0.08434257545000001)</f>
        <v>-0.08434257545</v>
      </c>
    </row>
    <row r="1231">
      <c r="A1231" s="5" t="str">
        <f>IFERROR(__xludf.DUMMYFUNCTION("""COMPUTED_VALUE"""),"36903")</f>
        <v>36903</v>
      </c>
      <c r="B1231" s="64">
        <f>IFERROR(__xludf.DUMMYFUNCTION("""COMPUTED_VALUE"""),44617.0)</f>
        <v>44617</v>
      </c>
      <c r="C1231" s="5"/>
      <c r="D1231" s="5"/>
      <c r="E1231" s="5"/>
      <c r="F1231" s="22">
        <f>IFERROR(__xludf.DUMMYFUNCTION("""COMPUTED_VALUE"""),72211.95207499994)</f>
        <v>72211.95207</v>
      </c>
      <c r="G1231" s="22">
        <f>IFERROR(__xludf.DUMMYFUNCTION("""COMPUTED_VALUE"""),0.0)</f>
        <v>0</v>
      </c>
      <c r="H1231" s="22">
        <f>IFERROR(__xludf.DUMMYFUNCTION("""COMPUTED_VALUE"""),464532.490615)</f>
        <v>464532.4906</v>
      </c>
      <c r="I1231" s="24">
        <f>IFERROR(__xludf.DUMMYFUNCTION("""COMPUTED_VALUE"""),-0.07093501876999997)</f>
        <v>-0.07093501877</v>
      </c>
    </row>
    <row r="1232">
      <c r="A1232" s="5" t="str">
        <f>IFERROR(__xludf.DUMMYFUNCTION("""COMPUTED_VALUE"""),"36903")</f>
        <v>36903</v>
      </c>
      <c r="B1232" s="64">
        <f>IFERROR(__xludf.DUMMYFUNCTION("""COMPUTED_VALUE"""),44618.0)</f>
        <v>44618</v>
      </c>
      <c r="C1232" s="5"/>
      <c r="D1232" s="5"/>
      <c r="E1232" s="5"/>
      <c r="F1232" s="22">
        <f>IFERROR(__xludf.DUMMYFUNCTION("""COMPUTED_VALUE"""),72211.95207499994)</f>
        <v>72211.95207</v>
      </c>
      <c r="G1232" s="22">
        <f>IFERROR(__xludf.DUMMYFUNCTION("""COMPUTED_VALUE"""),0.0)</f>
        <v>0</v>
      </c>
      <c r="H1232" s="22">
        <f>IFERROR(__xludf.DUMMYFUNCTION("""COMPUTED_VALUE"""),464532.490615)</f>
        <v>464532.4906</v>
      </c>
      <c r="I1232" s="24">
        <f>IFERROR(__xludf.DUMMYFUNCTION("""COMPUTED_VALUE"""),-0.07093501876999997)</f>
        <v>-0.07093501877</v>
      </c>
    </row>
    <row r="1233">
      <c r="A1233" s="5" t="str">
        <f>IFERROR(__xludf.DUMMYFUNCTION("""COMPUTED_VALUE"""),"36903")</f>
        <v>36903</v>
      </c>
      <c r="B1233" s="64">
        <f>IFERROR(__xludf.DUMMYFUNCTION("""COMPUTED_VALUE"""),44619.0)</f>
        <v>44619</v>
      </c>
      <c r="C1233" s="5"/>
      <c r="D1233" s="5"/>
      <c r="E1233" s="5"/>
      <c r="F1233" s="22">
        <f>IFERROR(__xludf.DUMMYFUNCTION("""COMPUTED_VALUE"""),72211.95207499994)</f>
        <v>72211.95207</v>
      </c>
      <c r="G1233" s="22">
        <f>IFERROR(__xludf.DUMMYFUNCTION("""COMPUTED_VALUE"""),0.0)</f>
        <v>0</v>
      </c>
      <c r="H1233" s="22">
        <f>IFERROR(__xludf.DUMMYFUNCTION("""COMPUTED_VALUE"""),464532.490615)</f>
        <v>464532.4906</v>
      </c>
      <c r="I1233" s="24">
        <f>IFERROR(__xludf.DUMMYFUNCTION("""COMPUTED_VALUE"""),-0.07093501876999997)</f>
        <v>-0.07093501877</v>
      </c>
    </row>
    <row r="1234">
      <c r="A1234" s="5" t="str">
        <f>IFERROR(__xludf.DUMMYFUNCTION("""COMPUTED_VALUE"""),"36903")</f>
        <v>36903</v>
      </c>
      <c r="B1234" s="64">
        <f>IFERROR(__xludf.DUMMYFUNCTION("""COMPUTED_VALUE"""),44620.0)</f>
        <v>44620</v>
      </c>
      <c r="C1234" s="5"/>
      <c r="D1234" s="5"/>
      <c r="E1234" s="5"/>
      <c r="F1234" s="22">
        <f>IFERROR(__xludf.DUMMYFUNCTION("""COMPUTED_VALUE"""),72211.95207499994)</f>
        <v>72211.95207</v>
      </c>
      <c r="G1234" s="22">
        <f>IFERROR(__xludf.DUMMYFUNCTION("""COMPUTED_VALUE"""),0.0)</f>
        <v>0</v>
      </c>
      <c r="H1234" s="22">
        <f>IFERROR(__xludf.DUMMYFUNCTION("""COMPUTED_VALUE"""),462230.16594)</f>
        <v>462230.1659</v>
      </c>
      <c r="I1234" s="24">
        <f>IFERROR(__xludf.DUMMYFUNCTION("""COMPUTED_VALUE"""),-0.07553966812000001)</f>
        <v>-0.07553966812</v>
      </c>
    </row>
    <row r="1235">
      <c r="A1235" s="5" t="str">
        <f>IFERROR(__xludf.DUMMYFUNCTION("""COMPUTED_VALUE"""),"36903")</f>
        <v>36903</v>
      </c>
      <c r="B1235" s="64">
        <f>IFERROR(__xludf.DUMMYFUNCTION("""COMPUTED_VALUE"""),44621.0)</f>
        <v>44621</v>
      </c>
      <c r="C1235" s="5"/>
      <c r="D1235" s="5"/>
      <c r="E1235" s="5"/>
      <c r="F1235" s="22">
        <f>IFERROR(__xludf.DUMMYFUNCTION("""COMPUTED_VALUE"""),72211.95207499994)</f>
        <v>72211.95207</v>
      </c>
      <c r="G1235" s="22">
        <f>IFERROR(__xludf.DUMMYFUNCTION("""COMPUTED_VALUE"""),0.0)</f>
        <v>0</v>
      </c>
      <c r="H1235" s="22">
        <f>IFERROR(__xludf.DUMMYFUNCTION("""COMPUTED_VALUE"""),445305.53157)</f>
        <v>445305.5316</v>
      </c>
      <c r="I1235" s="24">
        <f>IFERROR(__xludf.DUMMYFUNCTION("""COMPUTED_VALUE"""),-0.10938893686000006)</f>
        <v>-0.1093889369</v>
      </c>
    </row>
    <row r="1236">
      <c r="A1236" s="5" t="str">
        <f>IFERROR(__xludf.DUMMYFUNCTION("""COMPUTED_VALUE"""),"36903")</f>
        <v>36903</v>
      </c>
      <c r="B1236" s="64">
        <f>IFERROR(__xludf.DUMMYFUNCTION("""COMPUTED_VALUE"""),44622.0)</f>
        <v>44622</v>
      </c>
      <c r="C1236" s="5"/>
      <c r="D1236" s="5"/>
      <c r="E1236" s="5"/>
      <c r="F1236" s="22">
        <f>IFERROR(__xludf.DUMMYFUNCTION("""COMPUTED_VALUE"""),72211.95207499994)</f>
        <v>72211.95207</v>
      </c>
      <c r="G1236" s="22">
        <f>IFERROR(__xludf.DUMMYFUNCTION("""COMPUTED_VALUE"""),0.0)</f>
        <v>0</v>
      </c>
      <c r="H1236" s="22">
        <f>IFERROR(__xludf.DUMMYFUNCTION("""COMPUTED_VALUE"""),449681.31543)</f>
        <v>449681.3154</v>
      </c>
      <c r="I1236" s="24">
        <f>IFERROR(__xludf.DUMMYFUNCTION("""COMPUTED_VALUE"""),-0.10063736913999999)</f>
        <v>-0.1006373691</v>
      </c>
    </row>
    <row r="1237">
      <c r="A1237" s="5" t="str">
        <f>IFERROR(__xludf.DUMMYFUNCTION("""COMPUTED_VALUE"""),"36903")</f>
        <v>36903</v>
      </c>
      <c r="B1237" s="64">
        <f>IFERROR(__xludf.DUMMYFUNCTION("""COMPUTED_VALUE"""),44623.0)</f>
        <v>44623</v>
      </c>
      <c r="C1237" s="5"/>
      <c r="D1237" s="5"/>
      <c r="E1237" s="5"/>
      <c r="F1237" s="22">
        <f>IFERROR(__xludf.DUMMYFUNCTION("""COMPUTED_VALUE"""),72211.95207499994)</f>
        <v>72211.95207</v>
      </c>
      <c r="G1237" s="22">
        <f>IFERROR(__xludf.DUMMYFUNCTION("""COMPUTED_VALUE"""),0.0)</f>
        <v>0</v>
      </c>
      <c r="H1237" s="22">
        <f>IFERROR(__xludf.DUMMYFUNCTION("""COMPUTED_VALUE"""),429920.71366)</f>
        <v>429920.7137</v>
      </c>
      <c r="I1237" s="24">
        <f>IFERROR(__xludf.DUMMYFUNCTION("""COMPUTED_VALUE"""),-0.14015857267999998)</f>
        <v>-0.1401585727</v>
      </c>
    </row>
    <row r="1238">
      <c r="A1238" s="5" t="str">
        <f>IFERROR(__xludf.DUMMYFUNCTION("""COMPUTED_VALUE"""),"36903")</f>
        <v>36903</v>
      </c>
      <c r="B1238" s="64">
        <f>IFERROR(__xludf.DUMMYFUNCTION("""COMPUTED_VALUE"""),44624.0)</f>
        <v>44624</v>
      </c>
      <c r="C1238" s="5"/>
      <c r="D1238" s="5"/>
      <c r="E1238" s="5"/>
      <c r="F1238" s="22">
        <f>IFERROR(__xludf.DUMMYFUNCTION("""COMPUTED_VALUE"""),72211.95207499994)</f>
        <v>72211.95207</v>
      </c>
      <c r="G1238" s="22">
        <f>IFERROR(__xludf.DUMMYFUNCTION("""COMPUTED_VALUE"""),0.0)</f>
        <v>0</v>
      </c>
      <c r="H1238" s="22">
        <f>IFERROR(__xludf.DUMMYFUNCTION("""COMPUTED_VALUE"""),421176.37970499997)</f>
        <v>421176.3797</v>
      </c>
      <c r="I1238" s="24">
        <f>IFERROR(__xludf.DUMMYFUNCTION("""COMPUTED_VALUE"""),-0.15764724059000002)</f>
        <v>-0.1576472406</v>
      </c>
    </row>
    <row r="1239">
      <c r="A1239" s="5" t="str">
        <f>IFERROR(__xludf.DUMMYFUNCTION("""COMPUTED_VALUE"""),"36903")</f>
        <v>36903</v>
      </c>
      <c r="B1239" s="64">
        <f>IFERROR(__xludf.DUMMYFUNCTION("""COMPUTED_VALUE"""),44625.0)</f>
        <v>44625</v>
      </c>
      <c r="C1239" s="5"/>
      <c r="D1239" s="5"/>
      <c r="E1239" s="5"/>
      <c r="F1239" s="22">
        <f>IFERROR(__xludf.DUMMYFUNCTION("""COMPUTED_VALUE"""),72211.95207499994)</f>
        <v>72211.95207</v>
      </c>
      <c r="G1239" s="22">
        <f>IFERROR(__xludf.DUMMYFUNCTION("""COMPUTED_VALUE"""),0.0)</f>
        <v>0</v>
      </c>
      <c r="H1239" s="22">
        <f>IFERROR(__xludf.DUMMYFUNCTION("""COMPUTED_VALUE"""),421176.37970499997)</f>
        <v>421176.3797</v>
      </c>
      <c r="I1239" s="24">
        <f>IFERROR(__xludf.DUMMYFUNCTION("""COMPUTED_VALUE"""),-0.15764724059000002)</f>
        <v>-0.1576472406</v>
      </c>
    </row>
    <row r="1240">
      <c r="A1240" s="5" t="str">
        <f>IFERROR(__xludf.DUMMYFUNCTION("""COMPUTED_VALUE"""),"36903")</f>
        <v>36903</v>
      </c>
      <c r="B1240" s="64">
        <f>IFERROR(__xludf.DUMMYFUNCTION("""COMPUTED_VALUE"""),44626.0)</f>
        <v>44626</v>
      </c>
      <c r="C1240" s="5"/>
      <c r="D1240" s="5"/>
      <c r="E1240" s="5"/>
      <c r="F1240" s="22">
        <f>IFERROR(__xludf.DUMMYFUNCTION("""COMPUTED_VALUE"""),72211.95207499994)</f>
        <v>72211.95207</v>
      </c>
      <c r="G1240" s="22">
        <f>IFERROR(__xludf.DUMMYFUNCTION("""COMPUTED_VALUE"""),0.0)</f>
        <v>0</v>
      </c>
      <c r="H1240" s="22">
        <f>IFERROR(__xludf.DUMMYFUNCTION("""COMPUTED_VALUE"""),421176.37970499997)</f>
        <v>421176.3797</v>
      </c>
      <c r="I1240" s="24">
        <f>IFERROR(__xludf.DUMMYFUNCTION("""COMPUTED_VALUE"""),-0.15764724059000002)</f>
        <v>-0.1576472406</v>
      </c>
    </row>
    <row r="1241">
      <c r="A1241" s="5" t="str">
        <f>IFERROR(__xludf.DUMMYFUNCTION("""COMPUTED_VALUE"""),"36903")</f>
        <v>36903</v>
      </c>
      <c r="B1241" s="64">
        <f>IFERROR(__xludf.DUMMYFUNCTION("""COMPUTED_VALUE"""),44627.0)</f>
        <v>44627</v>
      </c>
      <c r="C1241" s="5"/>
      <c r="D1241" s="5"/>
      <c r="E1241" s="5"/>
      <c r="F1241" s="22">
        <f>IFERROR(__xludf.DUMMYFUNCTION("""COMPUTED_VALUE"""),72211.95207499994)</f>
        <v>72211.95207</v>
      </c>
      <c r="G1241" s="22">
        <f>IFERROR(__xludf.DUMMYFUNCTION("""COMPUTED_VALUE"""),0.0)</f>
        <v>0</v>
      </c>
      <c r="H1241" s="22">
        <f>IFERROR(__xludf.DUMMYFUNCTION("""COMPUTED_VALUE"""),400094.88336000004)</f>
        <v>400094.8834</v>
      </c>
      <c r="I1241" s="24">
        <f>IFERROR(__xludf.DUMMYFUNCTION("""COMPUTED_VALUE"""),-0.19981023327999992)</f>
        <v>-0.1998102333</v>
      </c>
    </row>
    <row r="1242">
      <c r="A1242" s="5" t="str">
        <f>IFERROR(__xludf.DUMMYFUNCTION("""COMPUTED_VALUE"""),"36903")</f>
        <v>36903</v>
      </c>
      <c r="B1242" s="64">
        <f>IFERROR(__xludf.DUMMYFUNCTION("""COMPUTED_VALUE"""),44628.0)</f>
        <v>44628</v>
      </c>
      <c r="C1242" s="5"/>
      <c r="D1242" s="5"/>
      <c r="E1242" s="5"/>
      <c r="F1242" s="22">
        <f>IFERROR(__xludf.DUMMYFUNCTION("""COMPUTED_VALUE"""),72211.95207499994)</f>
        <v>72211.95207</v>
      </c>
      <c r="G1242" s="22">
        <f>IFERROR(__xludf.DUMMYFUNCTION("""COMPUTED_VALUE"""),0.0)</f>
        <v>0</v>
      </c>
      <c r="H1242" s="22">
        <f>IFERROR(__xludf.DUMMYFUNCTION("""COMPUTED_VALUE"""),404190.11562)</f>
        <v>404190.1156</v>
      </c>
      <c r="I1242" s="24">
        <f>IFERROR(__xludf.DUMMYFUNCTION("""COMPUTED_VALUE"""),-0.19161976875999998)</f>
        <v>-0.1916197688</v>
      </c>
    </row>
    <row r="1243">
      <c r="A1243" s="5" t="str">
        <f>IFERROR(__xludf.DUMMYFUNCTION("""COMPUTED_VALUE"""),"36903")</f>
        <v>36903</v>
      </c>
      <c r="B1243" s="64">
        <f>IFERROR(__xludf.DUMMYFUNCTION("""COMPUTED_VALUE"""),44629.0)</f>
        <v>44629</v>
      </c>
      <c r="C1243" s="5"/>
      <c r="D1243" s="5"/>
      <c r="E1243" s="5"/>
      <c r="F1243" s="22">
        <f>IFERROR(__xludf.DUMMYFUNCTION("""COMPUTED_VALUE"""),72211.95207499994)</f>
        <v>72211.95207</v>
      </c>
      <c r="G1243" s="22">
        <f>IFERROR(__xludf.DUMMYFUNCTION("""COMPUTED_VALUE"""),0.0)</f>
        <v>0</v>
      </c>
      <c r="H1243" s="22">
        <f>IFERROR(__xludf.DUMMYFUNCTION("""COMPUTED_VALUE"""),440913.372925)</f>
        <v>440913.3729</v>
      </c>
      <c r="I1243" s="24">
        <f>IFERROR(__xludf.DUMMYFUNCTION("""COMPUTED_VALUE"""),-0.11817325415000002)</f>
        <v>-0.1181732542</v>
      </c>
    </row>
    <row r="1244">
      <c r="A1244" s="5" t="str">
        <f>IFERROR(__xludf.DUMMYFUNCTION("""COMPUTED_VALUE"""),"36903")</f>
        <v>36903</v>
      </c>
      <c r="B1244" s="64">
        <f>IFERROR(__xludf.DUMMYFUNCTION("""COMPUTED_VALUE"""),44630.0)</f>
        <v>44630</v>
      </c>
      <c r="C1244" s="5"/>
      <c r="D1244" s="5"/>
      <c r="E1244" s="5"/>
      <c r="F1244" s="22">
        <f>IFERROR(__xludf.DUMMYFUNCTION("""COMPUTED_VALUE"""),72211.95207499994)</f>
        <v>72211.95207</v>
      </c>
      <c r="G1244" s="22">
        <f>IFERROR(__xludf.DUMMYFUNCTION("""COMPUTED_VALUE"""),0.0)</f>
        <v>0</v>
      </c>
      <c r="H1244" s="22">
        <f>IFERROR(__xludf.DUMMYFUNCTION("""COMPUTED_VALUE"""),437549.73198000004)</f>
        <v>437549.732</v>
      </c>
      <c r="I1244" s="24">
        <f>IFERROR(__xludf.DUMMYFUNCTION("""COMPUTED_VALUE"""),-0.12490053603999995)</f>
        <v>-0.124900536</v>
      </c>
    </row>
    <row r="1245">
      <c r="A1245" s="5" t="str">
        <f>IFERROR(__xludf.DUMMYFUNCTION("""COMPUTED_VALUE"""),"36903")</f>
        <v>36903</v>
      </c>
      <c r="B1245" s="64">
        <f>IFERROR(__xludf.DUMMYFUNCTION("""COMPUTED_VALUE"""),44631.0)</f>
        <v>44631</v>
      </c>
      <c r="C1245" s="5"/>
      <c r="D1245" s="5"/>
      <c r="E1245" s="5"/>
      <c r="F1245" s="22">
        <f>IFERROR(__xludf.DUMMYFUNCTION("""COMPUTED_VALUE"""),72211.95207499994)</f>
        <v>72211.95207</v>
      </c>
      <c r="G1245" s="22">
        <f>IFERROR(__xludf.DUMMYFUNCTION("""COMPUTED_VALUE"""),0.0)</f>
        <v>0</v>
      </c>
      <c r="H1245" s="22">
        <f>IFERROR(__xludf.DUMMYFUNCTION("""COMPUTED_VALUE"""),420681.1932300001)</f>
        <v>420681.1932</v>
      </c>
      <c r="I1245" s="24">
        <f>IFERROR(__xludf.DUMMYFUNCTION("""COMPUTED_VALUE"""),-0.15863761353999983)</f>
        <v>-0.1586376135</v>
      </c>
    </row>
    <row r="1246">
      <c r="A1246" s="5" t="str">
        <f>IFERROR(__xludf.DUMMYFUNCTION("""COMPUTED_VALUE"""),"36903")</f>
        <v>36903</v>
      </c>
      <c r="B1246" s="64">
        <f>IFERROR(__xludf.DUMMYFUNCTION("""COMPUTED_VALUE"""),44632.0)</f>
        <v>44632</v>
      </c>
      <c r="C1246" s="5"/>
      <c r="D1246" s="5"/>
      <c r="E1246" s="5"/>
      <c r="F1246" s="22">
        <f>IFERROR(__xludf.DUMMYFUNCTION("""COMPUTED_VALUE"""),72211.95207499994)</f>
        <v>72211.95207</v>
      </c>
      <c r="G1246" s="22">
        <f>IFERROR(__xludf.DUMMYFUNCTION("""COMPUTED_VALUE"""),0.0)</f>
        <v>0</v>
      </c>
      <c r="H1246" s="22">
        <f>IFERROR(__xludf.DUMMYFUNCTION("""COMPUTED_VALUE"""),420681.1932300001)</f>
        <v>420681.1932</v>
      </c>
      <c r="I1246" s="24">
        <f>IFERROR(__xludf.DUMMYFUNCTION("""COMPUTED_VALUE"""),-0.15863761353999983)</f>
        <v>-0.1586376135</v>
      </c>
    </row>
    <row r="1247">
      <c r="A1247" s="5" t="str">
        <f>IFERROR(__xludf.DUMMYFUNCTION("""COMPUTED_VALUE"""),"36903")</f>
        <v>36903</v>
      </c>
      <c r="B1247" s="64">
        <f>IFERROR(__xludf.DUMMYFUNCTION("""COMPUTED_VALUE"""),44633.0)</f>
        <v>44633</v>
      </c>
      <c r="C1247" s="5"/>
      <c r="D1247" s="5"/>
      <c r="E1247" s="5"/>
      <c r="F1247" s="22">
        <f>IFERROR(__xludf.DUMMYFUNCTION("""COMPUTED_VALUE"""),72211.95207499994)</f>
        <v>72211.95207</v>
      </c>
      <c r="G1247" s="22">
        <f>IFERROR(__xludf.DUMMYFUNCTION("""COMPUTED_VALUE"""),0.0)</f>
        <v>0</v>
      </c>
      <c r="H1247" s="22">
        <f>IFERROR(__xludf.DUMMYFUNCTION("""COMPUTED_VALUE"""),420681.1932300001)</f>
        <v>420681.1932</v>
      </c>
      <c r="I1247" s="24">
        <f>IFERROR(__xludf.DUMMYFUNCTION("""COMPUTED_VALUE"""),-0.15863761353999983)</f>
        <v>-0.1586376135</v>
      </c>
    </row>
    <row r="1248">
      <c r="A1248" s="5" t="str">
        <f>IFERROR(__xludf.DUMMYFUNCTION("""COMPUTED_VALUE"""),"36903")</f>
        <v>36903</v>
      </c>
      <c r="B1248" s="64">
        <f>IFERROR(__xludf.DUMMYFUNCTION("""COMPUTED_VALUE"""),44634.0)</f>
        <v>44634</v>
      </c>
      <c r="C1248" s="5"/>
      <c r="D1248" s="5"/>
      <c r="E1248" s="5"/>
      <c r="F1248" s="22">
        <f>IFERROR(__xludf.DUMMYFUNCTION("""COMPUTED_VALUE"""),72211.95207499994)</f>
        <v>72211.95207</v>
      </c>
      <c r="G1248" s="22">
        <f>IFERROR(__xludf.DUMMYFUNCTION("""COMPUTED_VALUE"""),0.0)</f>
        <v>0</v>
      </c>
      <c r="H1248" s="22">
        <f>IFERROR(__xludf.DUMMYFUNCTION("""COMPUTED_VALUE"""),416665.49714)</f>
        <v>416665.4971</v>
      </c>
      <c r="I1248" s="24">
        <f>IFERROR(__xludf.DUMMYFUNCTION("""COMPUTED_VALUE"""),-0.16666900571999999)</f>
        <v>-0.1666690057</v>
      </c>
    </row>
    <row r="1249">
      <c r="A1249" s="5" t="str">
        <f>IFERROR(__xludf.DUMMYFUNCTION("""COMPUTED_VALUE"""),"36903")</f>
        <v>36903</v>
      </c>
      <c r="B1249" s="64">
        <f>IFERROR(__xludf.DUMMYFUNCTION("""COMPUTED_VALUE"""),44635.0)</f>
        <v>44635</v>
      </c>
      <c r="C1249" s="5"/>
      <c r="D1249" s="5"/>
      <c r="E1249" s="5"/>
      <c r="F1249" s="22">
        <f>IFERROR(__xludf.DUMMYFUNCTION("""COMPUTED_VALUE"""),72211.95207499994)</f>
        <v>72211.95207</v>
      </c>
      <c r="G1249" s="22">
        <f>IFERROR(__xludf.DUMMYFUNCTION("""COMPUTED_VALUE"""),0.0)</f>
        <v>0</v>
      </c>
      <c r="H1249" s="22">
        <f>IFERROR(__xludf.DUMMYFUNCTION("""COMPUTED_VALUE"""),428187.67313999997)</f>
        <v>428187.6731</v>
      </c>
      <c r="I1249" s="24">
        <f>IFERROR(__xludf.DUMMYFUNCTION("""COMPUTED_VALUE"""),-0.1436246537200001)</f>
        <v>-0.1436246537</v>
      </c>
    </row>
    <row r="1250">
      <c r="A1250" s="5" t="str">
        <f>IFERROR(__xludf.DUMMYFUNCTION("""COMPUTED_VALUE"""),"36903")</f>
        <v>36903</v>
      </c>
      <c r="B1250" s="64">
        <f>IFERROR(__xludf.DUMMYFUNCTION("""COMPUTED_VALUE"""),44636.0)</f>
        <v>44636</v>
      </c>
      <c r="C1250" s="5"/>
      <c r="D1250" s="5"/>
      <c r="E1250" s="5"/>
      <c r="F1250" s="22">
        <f>IFERROR(__xludf.DUMMYFUNCTION("""COMPUTED_VALUE"""),72211.95207499994)</f>
        <v>72211.95207</v>
      </c>
      <c r="G1250" s="22">
        <f>IFERROR(__xludf.DUMMYFUNCTION("""COMPUTED_VALUE"""),0.0)</f>
        <v>0</v>
      </c>
      <c r="H1250" s="22">
        <f>IFERROR(__xludf.DUMMYFUNCTION("""COMPUTED_VALUE"""),456320.46519)</f>
        <v>456320.4652</v>
      </c>
      <c r="I1250" s="24">
        <f>IFERROR(__xludf.DUMMYFUNCTION("""COMPUTED_VALUE"""),-0.08735906961999995)</f>
        <v>-0.08735906962</v>
      </c>
    </row>
    <row r="1251">
      <c r="A1251" s="5" t="str">
        <f>IFERROR(__xludf.DUMMYFUNCTION("""COMPUTED_VALUE"""),"36903")</f>
        <v>36903</v>
      </c>
      <c r="B1251" s="64">
        <f>IFERROR(__xludf.DUMMYFUNCTION("""COMPUTED_VALUE"""),44637.0)</f>
        <v>44637</v>
      </c>
      <c r="C1251" s="5"/>
      <c r="D1251" s="5"/>
      <c r="E1251" s="5"/>
      <c r="F1251" s="22">
        <f>IFERROR(__xludf.DUMMYFUNCTION("""COMPUTED_VALUE"""),72211.95207499994)</f>
        <v>72211.95207</v>
      </c>
      <c r="G1251" s="22">
        <f>IFERROR(__xludf.DUMMYFUNCTION("""COMPUTED_VALUE"""),0.0)</f>
        <v>0</v>
      </c>
      <c r="H1251" s="22">
        <f>IFERROR(__xludf.DUMMYFUNCTION("""COMPUTED_VALUE"""),477109.736995)</f>
        <v>477109.737</v>
      </c>
      <c r="I1251" s="24">
        <f>IFERROR(__xludf.DUMMYFUNCTION("""COMPUTED_VALUE"""),-0.045780526010000044)</f>
        <v>-0.04578052601</v>
      </c>
    </row>
    <row r="1252">
      <c r="A1252" s="5" t="str">
        <f>IFERROR(__xludf.DUMMYFUNCTION("""COMPUTED_VALUE"""),"36903")</f>
        <v>36903</v>
      </c>
      <c r="B1252" s="64">
        <f>IFERROR(__xludf.DUMMYFUNCTION("""COMPUTED_VALUE"""),44638.0)</f>
        <v>44638</v>
      </c>
      <c r="C1252" s="5"/>
      <c r="D1252" s="5"/>
      <c r="E1252" s="5"/>
      <c r="F1252" s="22">
        <f>IFERROR(__xludf.DUMMYFUNCTION("""COMPUTED_VALUE"""),72211.95207499994)</f>
        <v>72211.95207</v>
      </c>
      <c r="G1252" s="22">
        <f>IFERROR(__xludf.DUMMYFUNCTION("""COMPUTED_VALUE"""),0.0)</f>
        <v>0</v>
      </c>
      <c r="H1252" s="22">
        <f>IFERROR(__xludf.DUMMYFUNCTION("""COMPUTED_VALUE"""),485806.44087000005)</f>
        <v>485806.4409</v>
      </c>
      <c r="I1252" s="24">
        <f>IFERROR(__xludf.DUMMYFUNCTION("""COMPUTED_VALUE"""),-0.028387118259999955)</f>
        <v>-0.02838711826</v>
      </c>
    </row>
    <row r="1253">
      <c r="A1253" s="5" t="str">
        <f>IFERROR(__xludf.DUMMYFUNCTION("""COMPUTED_VALUE"""),"36903")</f>
        <v>36903</v>
      </c>
      <c r="B1253" s="64">
        <f>IFERROR(__xludf.DUMMYFUNCTION("""COMPUTED_VALUE"""),44639.0)</f>
        <v>44639</v>
      </c>
      <c r="C1253" s="5"/>
      <c r="D1253" s="5"/>
      <c r="E1253" s="5"/>
      <c r="F1253" s="22">
        <f>IFERROR(__xludf.DUMMYFUNCTION("""COMPUTED_VALUE"""),72211.95207499994)</f>
        <v>72211.95207</v>
      </c>
      <c r="G1253" s="22">
        <f>IFERROR(__xludf.DUMMYFUNCTION("""COMPUTED_VALUE"""),0.0)</f>
        <v>0</v>
      </c>
      <c r="H1253" s="22">
        <f>IFERROR(__xludf.DUMMYFUNCTION("""COMPUTED_VALUE"""),485806.44087000005)</f>
        <v>485806.4409</v>
      </c>
      <c r="I1253" s="24">
        <f>IFERROR(__xludf.DUMMYFUNCTION("""COMPUTED_VALUE"""),-0.028387118259999955)</f>
        <v>-0.02838711826</v>
      </c>
    </row>
    <row r="1254">
      <c r="A1254" s="5" t="str">
        <f>IFERROR(__xludf.DUMMYFUNCTION("""COMPUTED_VALUE"""),"36903")</f>
        <v>36903</v>
      </c>
      <c r="B1254" s="64">
        <f>IFERROR(__xludf.DUMMYFUNCTION("""COMPUTED_VALUE"""),44640.0)</f>
        <v>44640</v>
      </c>
      <c r="C1254" s="5"/>
      <c r="D1254" s="5"/>
      <c r="E1254" s="5"/>
      <c r="F1254" s="22">
        <f>IFERROR(__xludf.DUMMYFUNCTION("""COMPUTED_VALUE"""),72211.95207499994)</f>
        <v>72211.95207</v>
      </c>
      <c r="G1254" s="22">
        <f>IFERROR(__xludf.DUMMYFUNCTION("""COMPUTED_VALUE"""),0.0)</f>
        <v>0</v>
      </c>
      <c r="H1254" s="22">
        <f>IFERROR(__xludf.DUMMYFUNCTION("""COMPUTED_VALUE"""),485806.44087000005)</f>
        <v>485806.4409</v>
      </c>
      <c r="I1254" s="24">
        <f>IFERROR(__xludf.DUMMYFUNCTION("""COMPUTED_VALUE"""),-0.028387118259999955)</f>
        <v>-0.02838711826</v>
      </c>
    </row>
    <row r="1255">
      <c r="A1255" s="5" t="str">
        <f>IFERROR(__xludf.DUMMYFUNCTION("""COMPUTED_VALUE"""),"36903")</f>
        <v>36903</v>
      </c>
      <c r="B1255" s="64">
        <f>IFERROR(__xludf.DUMMYFUNCTION("""COMPUTED_VALUE"""),44641.0)</f>
        <v>44641</v>
      </c>
      <c r="C1255" s="5"/>
      <c r="D1255" s="5"/>
      <c r="E1255" s="5"/>
      <c r="F1255" s="22">
        <f>IFERROR(__xludf.DUMMYFUNCTION("""COMPUTED_VALUE"""),72211.95207499994)</f>
        <v>72211.95207</v>
      </c>
      <c r="G1255" s="22">
        <f>IFERROR(__xludf.DUMMYFUNCTION("""COMPUTED_VALUE"""),0.0)</f>
        <v>0</v>
      </c>
      <c r="H1255" s="22">
        <f>IFERROR(__xludf.DUMMYFUNCTION("""COMPUTED_VALUE"""),480231.76622)</f>
        <v>480231.7662</v>
      </c>
      <c r="I1255" s="24">
        <f>IFERROR(__xludf.DUMMYFUNCTION("""COMPUTED_VALUE"""),-0.039536467560000066)</f>
        <v>-0.03953646756</v>
      </c>
    </row>
    <row r="1256">
      <c r="A1256" s="5" t="str">
        <f>IFERROR(__xludf.DUMMYFUNCTION("""COMPUTED_VALUE"""),"36903")</f>
        <v>36903</v>
      </c>
      <c r="B1256" s="64">
        <f>IFERROR(__xludf.DUMMYFUNCTION("""COMPUTED_VALUE"""),44642.0)</f>
        <v>44642</v>
      </c>
      <c r="C1256" s="5"/>
      <c r="D1256" s="5"/>
      <c r="E1256" s="5"/>
      <c r="F1256" s="22">
        <f>IFERROR(__xludf.DUMMYFUNCTION("""COMPUTED_VALUE"""),72211.95207499994)</f>
        <v>72211.95207</v>
      </c>
      <c r="G1256" s="22">
        <f>IFERROR(__xludf.DUMMYFUNCTION("""COMPUTED_VALUE"""),0.0)</f>
        <v>0</v>
      </c>
      <c r="H1256" s="22">
        <f>IFERROR(__xludf.DUMMYFUNCTION("""COMPUTED_VALUE"""),484822.93380000006)</f>
        <v>484822.9338</v>
      </c>
      <c r="I1256" s="24">
        <f>IFERROR(__xludf.DUMMYFUNCTION("""COMPUTED_VALUE"""),-0.030354132399999845)</f>
        <v>-0.0303541324</v>
      </c>
    </row>
    <row r="1257">
      <c r="A1257" s="5" t="str">
        <f>IFERROR(__xludf.DUMMYFUNCTION("""COMPUTED_VALUE"""),"36903")</f>
        <v>36903</v>
      </c>
      <c r="B1257" s="64">
        <f>IFERROR(__xludf.DUMMYFUNCTION("""COMPUTED_VALUE"""),44643.0)</f>
        <v>44643</v>
      </c>
      <c r="C1257" s="5"/>
      <c r="D1257" s="5"/>
      <c r="E1257" s="5"/>
      <c r="F1257" s="22">
        <f>IFERROR(__xludf.DUMMYFUNCTION("""COMPUTED_VALUE"""),72211.95207499994)</f>
        <v>72211.95207</v>
      </c>
      <c r="G1257" s="22">
        <f>IFERROR(__xludf.DUMMYFUNCTION("""COMPUTED_VALUE"""),0.0)</f>
        <v>0</v>
      </c>
      <c r="H1257" s="22">
        <f>IFERROR(__xludf.DUMMYFUNCTION("""COMPUTED_VALUE"""),480134.278255)</f>
        <v>480134.2783</v>
      </c>
      <c r="I1257" s="24">
        <f>IFERROR(__xludf.DUMMYFUNCTION("""COMPUTED_VALUE"""),-0.03973144349000002)</f>
        <v>-0.03973144349</v>
      </c>
    </row>
    <row r="1258">
      <c r="A1258" s="5" t="str">
        <f>IFERROR(__xludf.DUMMYFUNCTION("""COMPUTED_VALUE"""),"36903")</f>
        <v>36903</v>
      </c>
      <c r="B1258" s="64">
        <f>IFERROR(__xludf.DUMMYFUNCTION("""COMPUTED_VALUE"""),44644.0)</f>
        <v>44644</v>
      </c>
      <c r="C1258" s="5"/>
      <c r="D1258" s="5"/>
      <c r="E1258" s="5"/>
      <c r="F1258" s="22">
        <f>IFERROR(__xludf.DUMMYFUNCTION("""COMPUTED_VALUE"""),72211.95207499994)</f>
        <v>72211.95207</v>
      </c>
      <c r="G1258" s="22">
        <f>IFERROR(__xludf.DUMMYFUNCTION("""COMPUTED_VALUE"""),0.0)</f>
        <v>0</v>
      </c>
      <c r="H1258" s="22">
        <f>IFERROR(__xludf.DUMMYFUNCTION("""COMPUTED_VALUE"""),488803.94045999995)</f>
        <v>488803.9405</v>
      </c>
      <c r="I1258" s="24">
        <f>IFERROR(__xludf.DUMMYFUNCTION("""COMPUTED_VALUE"""),-0.02239211908000005)</f>
        <v>-0.02239211908</v>
      </c>
    </row>
    <row r="1259">
      <c r="A1259" s="5" t="str">
        <f>IFERROR(__xludf.DUMMYFUNCTION("""COMPUTED_VALUE"""),"36903")</f>
        <v>36903</v>
      </c>
      <c r="B1259" s="64">
        <f>IFERROR(__xludf.DUMMYFUNCTION("""COMPUTED_VALUE"""),44645.0)</f>
        <v>44645</v>
      </c>
      <c r="C1259" s="5"/>
      <c r="D1259" s="5"/>
      <c r="E1259" s="5"/>
      <c r="F1259" s="22">
        <f>IFERROR(__xludf.DUMMYFUNCTION("""COMPUTED_VALUE"""),72211.95207499994)</f>
        <v>72211.95207</v>
      </c>
      <c r="G1259" s="22">
        <f>IFERROR(__xludf.DUMMYFUNCTION("""COMPUTED_VALUE"""),0.0)</f>
        <v>0</v>
      </c>
      <c r="H1259" s="22">
        <f>IFERROR(__xludf.DUMMYFUNCTION("""COMPUTED_VALUE"""),487323.80793500005)</f>
        <v>487323.8079</v>
      </c>
      <c r="I1259" s="24">
        <f>IFERROR(__xludf.DUMMYFUNCTION("""COMPUTED_VALUE"""),-0.02535238412999985)</f>
        <v>-0.02535238413</v>
      </c>
    </row>
    <row r="1260">
      <c r="A1260" s="5" t="str">
        <f>IFERROR(__xludf.DUMMYFUNCTION("""COMPUTED_VALUE"""),"36903")</f>
        <v>36903</v>
      </c>
      <c r="B1260" s="64">
        <f>IFERROR(__xludf.DUMMYFUNCTION("""COMPUTED_VALUE"""),44646.0)</f>
        <v>44646</v>
      </c>
      <c r="C1260" s="5"/>
      <c r="D1260" s="5"/>
      <c r="E1260" s="5"/>
      <c r="F1260" s="22">
        <f>IFERROR(__xludf.DUMMYFUNCTION("""COMPUTED_VALUE"""),72211.95207499994)</f>
        <v>72211.95207</v>
      </c>
      <c r="G1260" s="22">
        <f>IFERROR(__xludf.DUMMYFUNCTION("""COMPUTED_VALUE"""),0.0)</f>
        <v>0</v>
      </c>
      <c r="H1260" s="22">
        <f>IFERROR(__xludf.DUMMYFUNCTION("""COMPUTED_VALUE"""),487323.80793500005)</f>
        <v>487323.8079</v>
      </c>
      <c r="I1260" s="24">
        <f>IFERROR(__xludf.DUMMYFUNCTION("""COMPUTED_VALUE"""),-0.02535238412999985)</f>
        <v>-0.02535238413</v>
      </c>
    </row>
    <row r="1261">
      <c r="A1261" s="5" t="str">
        <f>IFERROR(__xludf.DUMMYFUNCTION("""COMPUTED_VALUE"""),"36903")</f>
        <v>36903</v>
      </c>
      <c r="B1261" s="64">
        <f>IFERROR(__xludf.DUMMYFUNCTION("""COMPUTED_VALUE"""),44647.0)</f>
        <v>44647</v>
      </c>
      <c r="C1261" s="5"/>
      <c r="D1261" s="5"/>
      <c r="E1261" s="5"/>
      <c r="F1261" s="22">
        <f>IFERROR(__xludf.DUMMYFUNCTION("""COMPUTED_VALUE"""),72211.95207499994)</f>
        <v>72211.95207</v>
      </c>
      <c r="G1261" s="22">
        <f>IFERROR(__xludf.DUMMYFUNCTION("""COMPUTED_VALUE"""),0.0)</f>
        <v>0</v>
      </c>
      <c r="H1261" s="22">
        <f>IFERROR(__xludf.DUMMYFUNCTION("""COMPUTED_VALUE"""),487323.80793500005)</f>
        <v>487323.8079</v>
      </c>
      <c r="I1261" s="24">
        <f>IFERROR(__xludf.DUMMYFUNCTION("""COMPUTED_VALUE"""),-0.02535238412999985)</f>
        <v>-0.02535238413</v>
      </c>
    </row>
    <row r="1262">
      <c r="A1262" s="5" t="str">
        <f>IFERROR(__xludf.DUMMYFUNCTION("""COMPUTED_VALUE"""),"36903")</f>
        <v>36903</v>
      </c>
      <c r="B1262" s="64">
        <f>IFERROR(__xludf.DUMMYFUNCTION("""COMPUTED_VALUE"""),44648.0)</f>
        <v>44648</v>
      </c>
      <c r="C1262" s="5"/>
      <c r="D1262" s="5"/>
      <c r="E1262" s="5"/>
      <c r="F1262" s="22">
        <f>IFERROR(__xludf.DUMMYFUNCTION("""COMPUTED_VALUE"""),72211.95207499994)</f>
        <v>72211.95207</v>
      </c>
      <c r="G1262" s="22">
        <f>IFERROR(__xludf.DUMMYFUNCTION("""COMPUTED_VALUE"""),0.0)</f>
        <v>0</v>
      </c>
      <c r="H1262" s="22">
        <f>IFERROR(__xludf.DUMMYFUNCTION("""COMPUTED_VALUE"""),492346.9400199999)</f>
        <v>492346.94</v>
      </c>
      <c r="I1262" s="24">
        <f>IFERROR(__xludf.DUMMYFUNCTION("""COMPUTED_VALUE"""),-0.015306119960000197)</f>
        <v>-0.01530611996</v>
      </c>
    </row>
    <row r="1263">
      <c r="A1263" s="5" t="str">
        <f>IFERROR(__xludf.DUMMYFUNCTION("""COMPUTED_VALUE"""),"36903")</f>
        <v>36903</v>
      </c>
      <c r="B1263" s="64">
        <f>IFERROR(__xludf.DUMMYFUNCTION("""COMPUTED_VALUE"""),44649.0)</f>
        <v>44649</v>
      </c>
      <c r="C1263" s="5"/>
      <c r="D1263" s="5"/>
      <c r="E1263" s="5"/>
      <c r="F1263" s="22">
        <f>IFERROR(__xludf.DUMMYFUNCTION("""COMPUTED_VALUE"""),72211.95207499994)</f>
        <v>72211.95207</v>
      </c>
      <c r="G1263" s="22">
        <f>IFERROR(__xludf.DUMMYFUNCTION("""COMPUTED_VALUE"""),0.0)</f>
        <v>0</v>
      </c>
      <c r="H1263" s="22">
        <f>IFERROR(__xludf.DUMMYFUNCTION("""COMPUTED_VALUE"""),500317.446405)</f>
        <v>500317.4464</v>
      </c>
      <c r="I1263" s="24">
        <f>IFERROR(__xludf.DUMMYFUNCTION("""COMPUTED_VALUE"""),6.34892809999954E-4)</f>
        <v>0.00063489281</v>
      </c>
    </row>
    <row r="1264">
      <c r="A1264" s="5" t="str">
        <f>IFERROR(__xludf.DUMMYFUNCTION("""COMPUTED_VALUE"""),"36903")</f>
        <v>36903</v>
      </c>
      <c r="B1264" s="64">
        <f>IFERROR(__xludf.DUMMYFUNCTION("""COMPUTED_VALUE"""),44650.0)</f>
        <v>44650</v>
      </c>
      <c r="C1264" s="5"/>
      <c r="D1264" s="5"/>
      <c r="E1264" s="5"/>
      <c r="F1264" s="22">
        <f>IFERROR(__xludf.DUMMYFUNCTION("""COMPUTED_VALUE"""),72211.95207499994)</f>
        <v>72211.95207</v>
      </c>
      <c r="G1264" s="22">
        <f>IFERROR(__xludf.DUMMYFUNCTION("""COMPUTED_VALUE"""),0.0)</f>
        <v>0</v>
      </c>
      <c r="H1264" s="22">
        <f>IFERROR(__xludf.DUMMYFUNCTION("""COMPUTED_VALUE"""),498576.83469999995)</f>
        <v>498576.8347</v>
      </c>
      <c r="I1264" s="24">
        <f>IFERROR(__xludf.DUMMYFUNCTION("""COMPUTED_VALUE"""),-0.0028463306000000577)</f>
        <v>-0.0028463306</v>
      </c>
    </row>
    <row r="1265">
      <c r="A1265" s="5" t="str">
        <f>IFERROR(__xludf.DUMMYFUNCTION("""COMPUTED_VALUE"""),"36903")</f>
        <v>36903</v>
      </c>
      <c r="B1265" s="64">
        <f>IFERROR(__xludf.DUMMYFUNCTION("""COMPUTED_VALUE"""),44651.0)</f>
        <v>44651</v>
      </c>
      <c r="C1265" s="5"/>
      <c r="D1265" s="5"/>
      <c r="E1265" s="5"/>
      <c r="F1265" s="22">
        <f>IFERROR(__xludf.DUMMYFUNCTION("""COMPUTED_VALUE"""),72211.95207499994)</f>
        <v>72211.95207</v>
      </c>
      <c r="G1265" s="22">
        <f>IFERROR(__xludf.DUMMYFUNCTION("""COMPUTED_VALUE"""),0.0)</f>
        <v>0</v>
      </c>
      <c r="H1265" s="22">
        <f>IFERROR(__xludf.DUMMYFUNCTION("""COMPUTED_VALUE"""),490650.449355)</f>
        <v>490650.4494</v>
      </c>
      <c r="I1265" s="24">
        <f>IFERROR(__xludf.DUMMYFUNCTION("""COMPUTED_VALUE"""),-0.018699101290000075)</f>
        <v>-0.01869910129</v>
      </c>
    </row>
    <row r="1266">
      <c r="A1266" s="5" t="str">
        <f>IFERROR(__xludf.DUMMYFUNCTION("""COMPUTED_VALUE"""),"36903")</f>
        <v>36903</v>
      </c>
      <c r="B1266" s="64">
        <f>IFERROR(__xludf.DUMMYFUNCTION("""COMPUTED_VALUE"""),44652.0)</f>
        <v>44652</v>
      </c>
      <c r="C1266" s="5"/>
      <c r="D1266" s="5"/>
      <c r="E1266" s="5"/>
      <c r="F1266" s="22">
        <f>IFERROR(__xludf.DUMMYFUNCTION("""COMPUTED_VALUE"""),72211.95207499994)</f>
        <v>72211.95207</v>
      </c>
      <c r="G1266" s="22">
        <f>IFERROR(__xludf.DUMMYFUNCTION("""COMPUTED_VALUE"""),0.0)</f>
        <v>0</v>
      </c>
      <c r="H1266" s="22">
        <f>IFERROR(__xludf.DUMMYFUNCTION("""COMPUTED_VALUE"""),488526.55504999997)</f>
        <v>488526.5551</v>
      </c>
      <c r="I1266" s="24">
        <f>IFERROR(__xludf.DUMMYFUNCTION("""COMPUTED_VALUE"""),-0.022946889900000045)</f>
        <v>-0.0229468899</v>
      </c>
    </row>
    <row r="1267">
      <c r="A1267" s="5" t="str">
        <f>IFERROR(__xludf.DUMMYFUNCTION("""COMPUTED_VALUE"""),"36903")</f>
        <v>36903</v>
      </c>
      <c r="B1267" s="64">
        <f>IFERROR(__xludf.DUMMYFUNCTION("""COMPUTED_VALUE"""),44653.0)</f>
        <v>44653</v>
      </c>
      <c r="C1267" s="5"/>
      <c r="D1267" s="5"/>
      <c r="E1267" s="5"/>
      <c r="F1267" s="22">
        <f>IFERROR(__xludf.DUMMYFUNCTION("""COMPUTED_VALUE"""),72211.95207499994)</f>
        <v>72211.95207</v>
      </c>
      <c r="G1267" s="22">
        <f>IFERROR(__xludf.DUMMYFUNCTION("""COMPUTED_VALUE"""),0.0)</f>
        <v>0</v>
      </c>
      <c r="H1267" s="22">
        <f>IFERROR(__xludf.DUMMYFUNCTION("""COMPUTED_VALUE"""),488526.55504999997)</f>
        <v>488526.5551</v>
      </c>
      <c r="I1267" s="24">
        <f>IFERROR(__xludf.DUMMYFUNCTION("""COMPUTED_VALUE"""),-0.022946889900000045)</f>
        <v>-0.0229468899</v>
      </c>
    </row>
    <row r="1268">
      <c r="A1268" s="5" t="str">
        <f>IFERROR(__xludf.DUMMYFUNCTION("""COMPUTED_VALUE"""),"36903")</f>
        <v>36903</v>
      </c>
      <c r="B1268" s="64">
        <f>IFERROR(__xludf.DUMMYFUNCTION("""COMPUTED_VALUE"""),44654.0)</f>
        <v>44654</v>
      </c>
      <c r="C1268" s="5"/>
      <c r="D1268" s="5"/>
      <c r="E1268" s="5"/>
      <c r="F1268" s="22">
        <f>IFERROR(__xludf.DUMMYFUNCTION("""COMPUTED_VALUE"""),72211.95207499994)</f>
        <v>72211.95207</v>
      </c>
      <c r="G1268" s="22">
        <f>IFERROR(__xludf.DUMMYFUNCTION("""COMPUTED_VALUE"""),0.0)</f>
        <v>0</v>
      </c>
      <c r="H1268" s="22">
        <f>IFERROR(__xludf.DUMMYFUNCTION("""COMPUTED_VALUE"""),488526.55504999997)</f>
        <v>488526.5551</v>
      </c>
      <c r="I1268" s="24">
        <f>IFERROR(__xludf.DUMMYFUNCTION("""COMPUTED_VALUE"""),-0.022946889900000045)</f>
        <v>-0.0229468899</v>
      </c>
    </row>
    <row r="1269">
      <c r="A1269" s="5" t="str">
        <f>IFERROR(__xludf.DUMMYFUNCTION("""COMPUTED_VALUE"""),"36903")</f>
        <v>36903</v>
      </c>
      <c r="B1269" s="64">
        <f>IFERROR(__xludf.DUMMYFUNCTION("""COMPUTED_VALUE"""),44655.0)</f>
        <v>44655</v>
      </c>
      <c r="C1269" s="5"/>
      <c r="D1269" s="5"/>
      <c r="E1269" s="5"/>
      <c r="F1269" s="22">
        <f>IFERROR(__xludf.DUMMYFUNCTION("""COMPUTED_VALUE"""),72211.95207499994)</f>
        <v>72211.95207</v>
      </c>
      <c r="G1269" s="22">
        <f>IFERROR(__xludf.DUMMYFUNCTION("""COMPUTED_VALUE"""),0.0)</f>
        <v>0</v>
      </c>
      <c r="H1269" s="22">
        <f>IFERROR(__xludf.DUMMYFUNCTION("""COMPUTED_VALUE"""),505627.37927)</f>
        <v>505627.3793</v>
      </c>
      <c r="I1269" s="24">
        <f>IFERROR(__xludf.DUMMYFUNCTION("""COMPUTED_VALUE"""),0.01125475854000002)</f>
        <v>0.01125475854</v>
      </c>
    </row>
    <row r="1270">
      <c r="A1270" s="5" t="str">
        <f>IFERROR(__xludf.DUMMYFUNCTION("""COMPUTED_VALUE"""),"36903")</f>
        <v>36903</v>
      </c>
      <c r="B1270" s="64">
        <f>IFERROR(__xludf.DUMMYFUNCTION("""COMPUTED_VALUE"""),44656.0)</f>
        <v>44656</v>
      </c>
      <c r="C1270" s="5"/>
      <c r="D1270" s="5"/>
      <c r="E1270" s="5"/>
      <c r="F1270" s="22">
        <f>IFERROR(__xludf.DUMMYFUNCTION("""COMPUTED_VALUE"""),72211.95207499994)</f>
        <v>72211.95207</v>
      </c>
      <c r="G1270" s="22">
        <f>IFERROR(__xludf.DUMMYFUNCTION("""COMPUTED_VALUE"""),0.0)</f>
        <v>0</v>
      </c>
      <c r="H1270" s="22">
        <f>IFERROR(__xludf.DUMMYFUNCTION("""COMPUTED_VALUE"""),496351.705345)</f>
        <v>496351.7053</v>
      </c>
      <c r="I1270" s="24">
        <f>IFERROR(__xludf.DUMMYFUNCTION("""COMPUTED_VALUE"""),-0.00729658930999999)</f>
        <v>-0.00729658931</v>
      </c>
    </row>
    <row r="1271">
      <c r="A1271" s="5" t="str">
        <f>IFERROR(__xludf.DUMMYFUNCTION("""COMPUTED_VALUE"""),"36903")</f>
        <v>36903</v>
      </c>
      <c r="B1271" s="64">
        <f>IFERROR(__xludf.DUMMYFUNCTION("""COMPUTED_VALUE"""),44657.0)</f>
        <v>44657</v>
      </c>
      <c r="C1271" s="5"/>
      <c r="D1271" s="5"/>
      <c r="E1271" s="5"/>
      <c r="F1271" s="22">
        <f>IFERROR(__xludf.DUMMYFUNCTION("""COMPUTED_VALUE"""),72211.95207499994)</f>
        <v>72211.95207</v>
      </c>
      <c r="G1271" s="22">
        <f>IFERROR(__xludf.DUMMYFUNCTION("""COMPUTED_VALUE"""),0.0)</f>
        <v>0</v>
      </c>
      <c r="H1271" s="22">
        <f>IFERROR(__xludf.DUMMYFUNCTION("""COMPUTED_VALUE"""),481443.820275)</f>
        <v>481443.8203</v>
      </c>
      <c r="I1271" s="24">
        <f>IFERROR(__xludf.DUMMYFUNCTION("""COMPUTED_VALUE"""),-0.03711235945000002)</f>
        <v>-0.03711235945</v>
      </c>
    </row>
    <row r="1272">
      <c r="A1272" s="5" t="str">
        <f>IFERROR(__xludf.DUMMYFUNCTION("""COMPUTED_VALUE"""),"36903")</f>
        <v>36903</v>
      </c>
      <c r="B1272" s="64">
        <f>IFERROR(__xludf.DUMMYFUNCTION("""COMPUTED_VALUE"""),44658.0)</f>
        <v>44658</v>
      </c>
      <c r="C1272" s="5"/>
      <c r="D1272" s="5"/>
      <c r="E1272" s="5"/>
      <c r="F1272" s="22">
        <f>IFERROR(__xludf.DUMMYFUNCTION("""COMPUTED_VALUE"""),72211.95207499994)</f>
        <v>72211.95207</v>
      </c>
      <c r="G1272" s="22">
        <f>IFERROR(__xludf.DUMMYFUNCTION("""COMPUTED_VALUE"""),0.0)</f>
        <v>0</v>
      </c>
      <c r="H1272" s="22">
        <f>IFERROR(__xludf.DUMMYFUNCTION("""COMPUTED_VALUE"""),478433.18760500004)</f>
        <v>478433.1876</v>
      </c>
      <c r="I1272" s="24">
        <f>IFERROR(__xludf.DUMMYFUNCTION("""COMPUTED_VALUE"""),-0.043133624789999936)</f>
        <v>-0.04313362479</v>
      </c>
    </row>
    <row r="1273">
      <c r="A1273" s="5" t="str">
        <f>IFERROR(__xludf.DUMMYFUNCTION("""COMPUTED_VALUE"""),"36903")</f>
        <v>36903</v>
      </c>
      <c r="B1273" s="64">
        <f>IFERROR(__xludf.DUMMYFUNCTION("""COMPUTED_VALUE"""),44659.0)</f>
        <v>44659</v>
      </c>
      <c r="C1273" s="5"/>
      <c r="D1273" s="5"/>
      <c r="E1273" s="5"/>
      <c r="F1273" s="22">
        <f>IFERROR(__xludf.DUMMYFUNCTION("""COMPUTED_VALUE"""),72211.95207499994)</f>
        <v>72211.95207</v>
      </c>
      <c r="G1273" s="22">
        <f>IFERROR(__xludf.DUMMYFUNCTION("""COMPUTED_VALUE"""),0.0)</f>
        <v>0</v>
      </c>
      <c r="H1273" s="22">
        <f>IFERROR(__xludf.DUMMYFUNCTION("""COMPUTED_VALUE"""),473749.01604)</f>
        <v>473749.016</v>
      </c>
      <c r="I1273" s="24">
        <f>IFERROR(__xludf.DUMMYFUNCTION("""COMPUTED_VALUE"""),-0.05250196791999995)</f>
        <v>-0.05250196792</v>
      </c>
    </row>
    <row r="1274">
      <c r="A1274" s="5" t="str">
        <f>IFERROR(__xludf.DUMMYFUNCTION("""COMPUTED_VALUE"""),"36903")</f>
        <v>36903</v>
      </c>
      <c r="B1274" s="64">
        <f>IFERROR(__xludf.DUMMYFUNCTION("""COMPUTED_VALUE"""),44660.0)</f>
        <v>44660</v>
      </c>
      <c r="C1274" s="5"/>
      <c r="D1274" s="5"/>
      <c r="E1274" s="5"/>
      <c r="F1274" s="22">
        <f>IFERROR(__xludf.DUMMYFUNCTION("""COMPUTED_VALUE"""),72211.95207499994)</f>
        <v>72211.95207</v>
      </c>
      <c r="G1274" s="22">
        <f>IFERROR(__xludf.DUMMYFUNCTION("""COMPUTED_VALUE"""),0.0)</f>
        <v>0</v>
      </c>
      <c r="H1274" s="22">
        <f>IFERROR(__xludf.DUMMYFUNCTION("""COMPUTED_VALUE"""),473749.01604)</f>
        <v>473749.016</v>
      </c>
      <c r="I1274" s="24">
        <f>IFERROR(__xludf.DUMMYFUNCTION("""COMPUTED_VALUE"""),-0.05250196791999995)</f>
        <v>-0.05250196792</v>
      </c>
    </row>
    <row r="1275">
      <c r="A1275" s="5" t="str">
        <f>IFERROR(__xludf.DUMMYFUNCTION("""COMPUTED_VALUE"""),"36903")</f>
        <v>36903</v>
      </c>
      <c r="B1275" s="64">
        <f>IFERROR(__xludf.DUMMYFUNCTION("""COMPUTED_VALUE"""),44661.0)</f>
        <v>44661</v>
      </c>
      <c r="C1275" s="5"/>
      <c r="D1275" s="5"/>
      <c r="E1275" s="5"/>
      <c r="F1275" s="22">
        <f>IFERROR(__xludf.DUMMYFUNCTION("""COMPUTED_VALUE"""),72211.95207499994)</f>
        <v>72211.95207</v>
      </c>
      <c r="G1275" s="22">
        <f>IFERROR(__xludf.DUMMYFUNCTION("""COMPUTED_VALUE"""),0.0)</f>
        <v>0</v>
      </c>
      <c r="H1275" s="22">
        <f>IFERROR(__xludf.DUMMYFUNCTION("""COMPUTED_VALUE"""),473749.01604)</f>
        <v>473749.016</v>
      </c>
      <c r="I1275" s="24">
        <f>IFERROR(__xludf.DUMMYFUNCTION("""COMPUTED_VALUE"""),-0.05250196791999995)</f>
        <v>-0.05250196792</v>
      </c>
    </row>
    <row r="1276">
      <c r="A1276" s="5" t="str">
        <f>IFERROR(__xludf.DUMMYFUNCTION("""COMPUTED_VALUE"""),"36903")</f>
        <v>36903</v>
      </c>
      <c r="B1276" s="64">
        <f>IFERROR(__xludf.DUMMYFUNCTION("""COMPUTED_VALUE"""),44662.0)</f>
        <v>44662</v>
      </c>
      <c r="C1276" s="5"/>
      <c r="D1276" s="5"/>
      <c r="E1276" s="5"/>
      <c r="F1276" s="22">
        <f>IFERROR(__xludf.DUMMYFUNCTION("""COMPUTED_VALUE"""),72211.95207499994)</f>
        <v>72211.95207</v>
      </c>
      <c r="G1276" s="22">
        <f>IFERROR(__xludf.DUMMYFUNCTION("""COMPUTED_VALUE"""),0.0)</f>
        <v>0</v>
      </c>
      <c r="H1276" s="22">
        <f>IFERROR(__xludf.DUMMYFUNCTION("""COMPUTED_VALUE"""),463934.172405)</f>
        <v>463934.1724</v>
      </c>
      <c r="I1276" s="24">
        <f>IFERROR(__xludf.DUMMYFUNCTION("""COMPUTED_VALUE"""),-0.07213165518999998)</f>
        <v>-0.07213165519</v>
      </c>
    </row>
    <row r="1277">
      <c r="A1277" s="5" t="str">
        <f>IFERROR(__xludf.DUMMYFUNCTION("""COMPUTED_VALUE"""),"36903")</f>
        <v>36903</v>
      </c>
      <c r="B1277" s="64">
        <f>IFERROR(__xludf.DUMMYFUNCTION("""COMPUTED_VALUE"""),44663.0)</f>
        <v>44663</v>
      </c>
      <c r="C1277" s="5"/>
      <c r="D1277" s="5"/>
      <c r="E1277" s="5"/>
      <c r="F1277" s="22">
        <f>IFERROR(__xludf.DUMMYFUNCTION("""COMPUTED_VALUE"""),72211.95207499994)</f>
        <v>72211.95207</v>
      </c>
      <c r="G1277" s="22">
        <f>IFERROR(__xludf.DUMMYFUNCTION("""COMPUTED_VALUE"""),0.0)</f>
        <v>0</v>
      </c>
      <c r="H1277" s="22">
        <f>IFERROR(__xludf.DUMMYFUNCTION("""COMPUTED_VALUE"""),460770.5455950001)</f>
        <v>460770.5456</v>
      </c>
      <c r="I1277" s="24">
        <f>IFERROR(__xludf.DUMMYFUNCTION("""COMPUTED_VALUE"""),-0.07845890880999984)</f>
        <v>-0.07845890881</v>
      </c>
    </row>
    <row r="1278">
      <c r="A1278" s="5" t="str">
        <f>IFERROR(__xludf.DUMMYFUNCTION("""COMPUTED_VALUE"""),"37198")</f>
        <v>37198</v>
      </c>
      <c r="B1278" s="64">
        <f>IFERROR(__xludf.DUMMYFUNCTION("""COMPUTED_VALUE"""),44597.0)</f>
        <v>44597</v>
      </c>
      <c r="C1278" s="5"/>
      <c r="D1278" s="5"/>
      <c r="E1278" s="5"/>
      <c r="F1278" s="22">
        <f>IFERROR(__xludf.DUMMYFUNCTION("""COMPUTED_VALUE"""),500000.0)</f>
        <v>500000</v>
      </c>
      <c r="G1278" s="22">
        <f>IFERROR(__xludf.DUMMYFUNCTION("""COMPUTED_VALUE"""),0.0)</f>
        <v>0</v>
      </c>
      <c r="H1278" s="22">
        <f>IFERROR(__xludf.DUMMYFUNCTION("""COMPUTED_VALUE"""),500000.0)</f>
        <v>500000</v>
      </c>
      <c r="I1278" s="24">
        <f>IFERROR(__xludf.DUMMYFUNCTION("""COMPUTED_VALUE"""),0.0)</f>
        <v>0</v>
      </c>
    </row>
    <row r="1279">
      <c r="A1279" s="5" t="str">
        <f>IFERROR(__xludf.DUMMYFUNCTION("""COMPUTED_VALUE"""),"37198")</f>
        <v>37198</v>
      </c>
      <c r="B1279" s="64">
        <f>IFERROR(__xludf.DUMMYFUNCTION("""COMPUTED_VALUE"""),44598.0)</f>
        <v>44598</v>
      </c>
      <c r="C1279" s="5"/>
      <c r="D1279" s="5"/>
      <c r="E1279" s="5"/>
      <c r="F1279" s="22">
        <f>IFERROR(__xludf.DUMMYFUNCTION("""COMPUTED_VALUE"""),500000.0)</f>
        <v>500000</v>
      </c>
      <c r="G1279" s="22">
        <f>IFERROR(__xludf.DUMMYFUNCTION("""COMPUTED_VALUE"""),0.0)</f>
        <v>0</v>
      </c>
      <c r="H1279" s="22">
        <f>IFERROR(__xludf.DUMMYFUNCTION("""COMPUTED_VALUE"""),500000.0)</f>
        <v>500000</v>
      </c>
      <c r="I1279" s="24">
        <f>IFERROR(__xludf.DUMMYFUNCTION("""COMPUTED_VALUE"""),0.0)</f>
        <v>0</v>
      </c>
    </row>
    <row r="1280">
      <c r="A1280" s="5" t="str">
        <f>IFERROR(__xludf.DUMMYFUNCTION("""COMPUTED_VALUE"""),"37198")</f>
        <v>37198</v>
      </c>
      <c r="B1280" s="64">
        <f>IFERROR(__xludf.DUMMYFUNCTION("""COMPUTED_VALUE"""),44599.0)</f>
        <v>44599</v>
      </c>
      <c r="C1280" s="5"/>
      <c r="D1280" s="5"/>
      <c r="E1280" s="5"/>
      <c r="F1280" s="22">
        <f>IFERROR(__xludf.DUMMYFUNCTION("""COMPUTED_VALUE"""),500000.0)</f>
        <v>500000</v>
      </c>
      <c r="G1280" s="22">
        <f>IFERROR(__xludf.DUMMYFUNCTION("""COMPUTED_VALUE"""),0.0)</f>
        <v>0</v>
      </c>
      <c r="H1280" s="22">
        <f>IFERROR(__xludf.DUMMYFUNCTION("""COMPUTED_VALUE"""),500000.0)</f>
        <v>500000</v>
      </c>
      <c r="I1280" s="24">
        <f>IFERROR(__xludf.DUMMYFUNCTION("""COMPUTED_VALUE"""),0.0)</f>
        <v>0</v>
      </c>
    </row>
    <row r="1281">
      <c r="A1281" s="5" t="str">
        <f>IFERROR(__xludf.DUMMYFUNCTION("""COMPUTED_VALUE"""),"37198")</f>
        <v>37198</v>
      </c>
      <c r="B1281" s="64">
        <f>IFERROR(__xludf.DUMMYFUNCTION("""COMPUTED_VALUE"""),44600.0)</f>
        <v>44600</v>
      </c>
      <c r="C1281" s="5"/>
      <c r="D1281" s="5"/>
      <c r="E1281" s="5"/>
      <c r="F1281" s="22">
        <f>IFERROR(__xludf.DUMMYFUNCTION("""COMPUTED_VALUE"""),500000.0)</f>
        <v>500000</v>
      </c>
      <c r="G1281" s="22">
        <f>IFERROR(__xludf.DUMMYFUNCTION("""COMPUTED_VALUE"""),0.0)</f>
        <v>0</v>
      </c>
      <c r="H1281" s="22">
        <f>IFERROR(__xludf.DUMMYFUNCTION("""COMPUTED_VALUE"""),500000.0)</f>
        <v>500000</v>
      </c>
      <c r="I1281" s="24">
        <f>IFERROR(__xludf.DUMMYFUNCTION("""COMPUTED_VALUE"""),0.0)</f>
        <v>0</v>
      </c>
    </row>
    <row r="1282">
      <c r="A1282" s="5" t="str">
        <f>IFERROR(__xludf.DUMMYFUNCTION("""COMPUTED_VALUE"""),"37198")</f>
        <v>37198</v>
      </c>
      <c r="B1282" s="64">
        <f>IFERROR(__xludf.DUMMYFUNCTION("""COMPUTED_VALUE"""),44601.0)</f>
        <v>44601</v>
      </c>
      <c r="C1282" s="5"/>
      <c r="D1282" s="5"/>
      <c r="E1282" s="5"/>
      <c r="F1282" s="22">
        <f>IFERROR(__xludf.DUMMYFUNCTION("""COMPUTED_VALUE"""),500000.0)</f>
        <v>500000</v>
      </c>
      <c r="G1282" s="22">
        <f>IFERROR(__xludf.DUMMYFUNCTION("""COMPUTED_VALUE"""),0.0)</f>
        <v>0</v>
      </c>
      <c r="H1282" s="22">
        <f>IFERROR(__xludf.DUMMYFUNCTION("""COMPUTED_VALUE"""),500000.0)</f>
        <v>500000</v>
      </c>
      <c r="I1282" s="24">
        <f>IFERROR(__xludf.DUMMYFUNCTION("""COMPUTED_VALUE"""),0.0)</f>
        <v>0</v>
      </c>
    </row>
    <row r="1283">
      <c r="A1283" s="5" t="str">
        <f>IFERROR(__xludf.DUMMYFUNCTION("""COMPUTED_VALUE"""),"37198")</f>
        <v>37198</v>
      </c>
      <c r="B1283" s="64">
        <f>IFERROR(__xludf.DUMMYFUNCTION("""COMPUTED_VALUE"""),44602.0)</f>
        <v>44602</v>
      </c>
      <c r="C1283" s="5"/>
      <c r="D1283" s="5"/>
      <c r="E1283" s="5"/>
      <c r="F1283" s="22">
        <f>IFERROR(__xludf.DUMMYFUNCTION("""COMPUTED_VALUE"""),500000.0)</f>
        <v>500000</v>
      </c>
      <c r="G1283" s="22">
        <f>IFERROR(__xludf.DUMMYFUNCTION("""COMPUTED_VALUE"""),0.0)</f>
        <v>0</v>
      </c>
      <c r="H1283" s="22">
        <f>IFERROR(__xludf.DUMMYFUNCTION("""COMPUTED_VALUE"""),500000.0)</f>
        <v>500000</v>
      </c>
      <c r="I1283" s="24">
        <f>IFERROR(__xludf.DUMMYFUNCTION("""COMPUTED_VALUE"""),0.0)</f>
        <v>0</v>
      </c>
    </row>
    <row r="1284">
      <c r="A1284" s="5" t="str">
        <f>IFERROR(__xludf.DUMMYFUNCTION("""COMPUTED_VALUE"""),"37198")</f>
        <v>37198</v>
      </c>
      <c r="B1284" s="64">
        <f>IFERROR(__xludf.DUMMYFUNCTION("""COMPUTED_VALUE"""),44603.0)</f>
        <v>44603</v>
      </c>
      <c r="C1284" s="5"/>
      <c r="D1284" s="5"/>
      <c r="E1284" s="5"/>
      <c r="F1284" s="22">
        <f>IFERROR(__xludf.DUMMYFUNCTION("""COMPUTED_VALUE"""),500000.0)</f>
        <v>500000</v>
      </c>
      <c r="G1284" s="22">
        <f>IFERROR(__xludf.DUMMYFUNCTION("""COMPUTED_VALUE"""),0.0)</f>
        <v>0</v>
      </c>
      <c r="H1284" s="22">
        <f>IFERROR(__xludf.DUMMYFUNCTION("""COMPUTED_VALUE"""),500000.0)</f>
        <v>500000</v>
      </c>
      <c r="I1284" s="24">
        <f>IFERROR(__xludf.DUMMYFUNCTION("""COMPUTED_VALUE"""),0.0)</f>
        <v>0</v>
      </c>
    </row>
    <row r="1285">
      <c r="A1285" s="5" t="str">
        <f>IFERROR(__xludf.DUMMYFUNCTION("""COMPUTED_VALUE"""),"37198")</f>
        <v>37198</v>
      </c>
      <c r="B1285" s="64">
        <f>IFERROR(__xludf.DUMMYFUNCTION("""COMPUTED_VALUE"""),44604.0)</f>
        <v>44604</v>
      </c>
      <c r="C1285" s="5"/>
      <c r="D1285" s="5"/>
      <c r="E1285" s="5"/>
      <c r="F1285" s="22">
        <f>IFERROR(__xludf.DUMMYFUNCTION("""COMPUTED_VALUE"""),500000.0)</f>
        <v>500000</v>
      </c>
      <c r="G1285" s="22">
        <f>IFERROR(__xludf.DUMMYFUNCTION("""COMPUTED_VALUE"""),0.0)</f>
        <v>0</v>
      </c>
      <c r="H1285" s="22">
        <f>IFERROR(__xludf.DUMMYFUNCTION("""COMPUTED_VALUE"""),500000.0)</f>
        <v>500000</v>
      </c>
      <c r="I1285" s="24">
        <f>IFERROR(__xludf.DUMMYFUNCTION("""COMPUTED_VALUE"""),0.0)</f>
        <v>0</v>
      </c>
    </row>
    <row r="1286">
      <c r="A1286" s="5" t="str">
        <f>IFERROR(__xludf.DUMMYFUNCTION("""COMPUTED_VALUE"""),"37198")</f>
        <v>37198</v>
      </c>
      <c r="B1286" s="64">
        <f>IFERROR(__xludf.DUMMYFUNCTION("""COMPUTED_VALUE"""),44605.0)</f>
        <v>44605</v>
      </c>
      <c r="C1286" s="5"/>
      <c r="D1286" s="5"/>
      <c r="E1286" s="5"/>
      <c r="F1286" s="22">
        <f>IFERROR(__xludf.DUMMYFUNCTION("""COMPUTED_VALUE"""),500000.0)</f>
        <v>500000</v>
      </c>
      <c r="G1286" s="22">
        <f>IFERROR(__xludf.DUMMYFUNCTION("""COMPUTED_VALUE"""),0.0)</f>
        <v>0</v>
      </c>
      <c r="H1286" s="22">
        <f>IFERROR(__xludf.DUMMYFUNCTION("""COMPUTED_VALUE"""),500000.0)</f>
        <v>500000</v>
      </c>
      <c r="I1286" s="24">
        <f>IFERROR(__xludf.DUMMYFUNCTION("""COMPUTED_VALUE"""),0.0)</f>
        <v>0</v>
      </c>
    </row>
    <row r="1287">
      <c r="A1287" s="5" t="str">
        <f>IFERROR(__xludf.DUMMYFUNCTION("""COMPUTED_VALUE"""),"37198")</f>
        <v>37198</v>
      </c>
      <c r="B1287" s="64">
        <f>IFERROR(__xludf.DUMMYFUNCTION("""COMPUTED_VALUE"""),44606.0)</f>
        <v>44606</v>
      </c>
      <c r="C1287" s="5"/>
      <c r="D1287" s="5"/>
      <c r="E1287" s="5"/>
      <c r="F1287" s="22">
        <f>IFERROR(__xludf.DUMMYFUNCTION("""COMPUTED_VALUE"""),500000.0)</f>
        <v>500000</v>
      </c>
      <c r="G1287" s="22">
        <f>IFERROR(__xludf.DUMMYFUNCTION("""COMPUTED_VALUE"""),0.0)</f>
        <v>0</v>
      </c>
      <c r="H1287" s="22">
        <f>IFERROR(__xludf.DUMMYFUNCTION("""COMPUTED_VALUE"""),500000.0)</f>
        <v>500000</v>
      </c>
      <c r="I1287" s="24">
        <f>IFERROR(__xludf.DUMMYFUNCTION("""COMPUTED_VALUE"""),0.0)</f>
        <v>0</v>
      </c>
    </row>
    <row r="1288">
      <c r="A1288" s="5" t="str">
        <f>IFERROR(__xludf.DUMMYFUNCTION("""COMPUTED_VALUE"""),"37198")</f>
        <v>37198</v>
      </c>
      <c r="B1288" s="64">
        <f>IFERROR(__xludf.DUMMYFUNCTION("""COMPUTED_VALUE"""),44607.0)</f>
        <v>44607</v>
      </c>
      <c r="C1288" s="5"/>
      <c r="D1288" s="5"/>
      <c r="E1288" s="5"/>
      <c r="F1288" s="22">
        <f>IFERROR(__xludf.DUMMYFUNCTION("""COMPUTED_VALUE"""),500000.0)</f>
        <v>500000</v>
      </c>
      <c r="G1288" s="22">
        <f>IFERROR(__xludf.DUMMYFUNCTION("""COMPUTED_VALUE"""),0.0)</f>
        <v>0</v>
      </c>
      <c r="H1288" s="22">
        <f>IFERROR(__xludf.DUMMYFUNCTION("""COMPUTED_VALUE"""),500000.0)</f>
        <v>500000</v>
      </c>
      <c r="I1288" s="24">
        <f>IFERROR(__xludf.DUMMYFUNCTION("""COMPUTED_VALUE"""),0.0)</f>
        <v>0</v>
      </c>
    </row>
    <row r="1289">
      <c r="A1289" s="5" t="str">
        <f>IFERROR(__xludf.DUMMYFUNCTION("""COMPUTED_VALUE"""),"37198")</f>
        <v>37198</v>
      </c>
      <c r="B1289" s="64">
        <f>IFERROR(__xludf.DUMMYFUNCTION("""COMPUTED_VALUE"""),44608.0)</f>
        <v>44608</v>
      </c>
      <c r="C1289" s="5"/>
      <c r="D1289" s="5"/>
      <c r="E1289" s="5"/>
      <c r="F1289" s="22">
        <f>IFERROR(__xludf.DUMMYFUNCTION("""COMPUTED_VALUE"""),500000.0)</f>
        <v>500000</v>
      </c>
      <c r="G1289" s="22">
        <f>IFERROR(__xludf.DUMMYFUNCTION("""COMPUTED_VALUE"""),0.0)</f>
        <v>0</v>
      </c>
      <c r="H1289" s="22">
        <f>IFERROR(__xludf.DUMMYFUNCTION("""COMPUTED_VALUE"""),500000.0)</f>
        <v>500000</v>
      </c>
      <c r="I1289" s="24">
        <f>IFERROR(__xludf.DUMMYFUNCTION("""COMPUTED_VALUE"""),0.0)</f>
        <v>0</v>
      </c>
    </row>
    <row r="1290">
      <c r="A1290" s="5" t="str">
        <f>IFERROR(__xludf.DUMMYFUNCTION("""COMPUTED_VALUE"""),"37198")</f>
        <v>37198</v>
      </c>
      <c r="B1290" s="64">
        <f>IFERROR(__xludf.DUMMYFUNCTION("""COMPUTED_VALUE"""),44609.0)</f>
        <v>44609</v>
      </c>
      <c r="C1290" s="5"/>
      <c r="D1290" s="5"/>
      <c r="E1290" s="5"/>
      <c r="F1290" s="22">
        <f>IFERROR(__xludf.DUMMYFUNCTION("""COMPUTED_VALUE"""),500000.0)</f>
        <v>500000</v>
      </c>
      <c r="G1290" s="22">
        <f>IFERROR(__xludf.DUMMYFUNCTION("""COMPUTED_VALUE"""),0.0)</f>
        <v>0</v>
      </c>
      <c r="H1290" s="22">
        <f>IFERROR(__xludf.DUMMYFUNCTION("""COMPUTED_VALUE"""),500000.0)</f>
        <v>500000</v>
      </c>
      <c r="I1290" s="24">
        <f>IFERROR(__xludf.DUMMYFUNCTION("""COMPUTED_VALUE"""),0.0)</f>
        <v>0</v>
      </c>
    </row>
    <row r="1291">
      <c r="A1291" s="5" t="str">
        <f>IFERROR(__xludf.DUMMYFUNCTION("""COMPUTED_VALUE"""),"37198")</f>
        <v>37198</v>
      </c>
      <c r="B1291" s="64">
        <f>IFERROR(__xludf.DUMMYFUNCTION("""COMPUTED_VALUE"""),44610.0)</f>
        <v>44610</v>
      </c>
      <c r="C1291" s="5"/>
      <c r="D1291" s="5"/>
      <c r="E1291" s="5"/>
      <c r="F1291" s="22">
        <f>IFERROR(__xludf.DUMMYFUNCTION("""COMPUTED_VALUE"""),500000.0)</f>
        <v>500000</v>
      </c>
      <c r="G1291" s="22">
        <f>IFERROR(__xludf.DUMMYFUNCTION("""COMPUTED_VALUE"""),0.0)</f>
        <v>0</v>
      </c>
      <c r="H1291" s="22">
        <f>IFERROR(__xludf.DUMMYFUNCTION("""COMPUTED_VALUE"""),500000.0)</f>
        <v>500000</v>
      </c>
      <c r="I1291" s="24">
        <f>IFERROR(__xludf.DUMMYFUNCTION("""COMPUTED_VALUE"""),0.0)</f>
        <v>0</v>
      </c>
    </row>
    <row r="1292">
      <c r="A1292" s="5" t="str">
        <f>IFERROR(__xludf.DUMMYFUNCTION("""COMPUTED_VALUE"""),"37198")</f>
        <v>37198</v>
      </c>
      <c r="B1292" s="64">
        <f>IFERROR(__xludf.DUMMYFUNCTION("""COMPUTED_VALUE"""),44611.0)</f>
        <v>44611</v>
      </c>
      <c r="C1292" s="5"/>
      <c r="D1292" s="5"/>
      <c r="E1292" s="5"/>
      <c r="F1292" s="22">
        <f>IFERROR(__xludf.DUMMYFUNCTION("""COMPUTED_VALUE"""),500000.0)</f>
        <v>500000</v>
      </c>
      <c r="G1292" s="22">
        <f>IFERROR(__xludf.DUMMYFUNCTION("""COMPUTED_VALUE"""),0.0)</f>
        <v>0</v>
      </c>
      <c r="H1292" s="22">
        <f>IFERROR(__xludf.DUMMYFUNCTION("""COMPUTED_VALUE"""),500000.0)</f>
        <v>500000</v>
      </c>
      <c r="I1292" s="24">
        <f>IFERROR(__xludf.DUMMYFUNCTION("""COMPUTED_VALUE"""),0.0)</f>
        <v>0</v>
      </c>
    </row>
    <row r="1293">
      <c r="A1293" s="5" t="str">
        <f>IFERROR(__xludf.DUMMYFUNCTION("""COMPUTED_VALUE"""),"37198")</f>
        <v>37198</v>
      </c>
      <c r="B1293" s="64">
        <f>IFERROR(__xludf.DUMMYFUNCTION("""COMPUTED_VALUE"""),44612.0)</f>
        <v>44612</v>
      </c>
      <c r="C1293" s="5"/>
      <c r="D1293" s="5"/>
      <c r="E1293" s="5"/>
      <c r="F1293" s="22">
        <f>IFERROR(__xludf.DUMMYFUNCTION("""COMPUTED_VALUE"""),500000.0)</f>
        <v>500000</v>
      </c>
      <c r="G1293" s="22">
        <f>IFERROR(__xludf.DUMMYFUNCTION("""COMPUTED_VALUE"""),0.0)</f>
        <v>0</v>
      </c>
      <c r="H1293" s="22">
        <f>IFERROR(__xludf.DUMMYFUNCTION("""COMPUTED_VALUE"""),500000.0)</f>
        <v>500000</v>
      </c>
      <c r="I1293" s="24">
        <f>IFERROR(__xludf.DUMMYFUNCTION("""COMPUTED_VALUE"""),0.0)</f>
        <v>0</v>
      </c>
    </row>
    <row r="1294">
      <c r="A1294" s="5" t="str">
        <f>IFERROR(__xludf.DUMMYFUNCTION("""COMPUTED_VALUE"""),"37198")</f>
        <v>37198</v>
      </c>
      <c r="B1294" s="64">
        <f>IFERROR(__xludf.DUMMYFUNCTION("""COMPUTED_VALUE"""),44613.0)</f>
        <v>44613</v>
      </c>
      <c r="C1294" s="5"/>
      <c r="D1294" s="5"/>
      <c r="E1294" s="5"/>
      <c r="F1294" s="22">
        <f>IFERROR(__xludf.DUMMYFUNCTION("""COMPUTED_VALUE"""),500000.0)</f>
        <v>500000</v>
      </c>
      <c r="G1294" s="22">
        <f>IFERROR(__xludf.DUMMYFUNCTION("""COMPUTED_VALUE"""),0.0)</f>
        <v>0</v>
      </c>
      <c r="H1294" s="22">
        <f>IFERROR(__xludf.DUMMYFUNCTION("""COMPUTED_VALUE"""),500000.0)</f>
        <v>500000</v>
      </c>
      <c r="I1294" s="24">
        <f>IFERROR(__xludf.DUMMYFUNCTION("""COMPUTED_VALUE"""),0.0)</f>
        <v>0</v>
      </c>
    </row>
    <row r="1295">
      <c r="A1295" s="5" t="str">
        <f>IFERROR(__xludf.DUMMYFUNCTION("""COMPUTED_VALUE"""),"37198")</f>
        <v>37198</v>
      </c>
      <c r="B1295" s="64">
        <f>IFERROR(__xludf.DUMMYFUNCTION("""COMPUTED_VALUE"""),44614.0)</f>
        <v>44614</v>
      </c>
      <c r="C1295" s="5"/>
      <c r="D1295" s="5"/>
      <c r="E1295" s="5"/>
      <c r="F1295" s="22">
        <f>IFERROR(__xludf.DUMMYFUNCTION("""COMPUTED_VALUE"""),500000.0)</f>
        <v>500000</v>
      </c>
      <c r="G1295" s="22">
        <f>IFERROR(__xludf.DUMMYFUNCTION("""COMPUTED_VALUE"""),0.0)</f>
        <v>0</v>
      </c>
      <c r="H1295" s="22">
        <f>IFERROR(__xludf.DUMMYFUNCTION("""COMPUTED_VALUE"""),500000.0)</f>
        <v>500000</v>
      </c>
      <c r="I1295" s="24">
        <f>IFERROR(__xludf.DUMMYFUNCTION("""COMPUTED_VALUE"""),0.0)</f>
        <v>0</v>
      </c>
    </row>
    <row r="1296">
      <c r="A1296" s="5" t="str">
        <f>IFERROR(__xludf.DUMMYFUNCTION("""COMPUTED_VALUE"""),"37198")</f>
        <v>37198</v>
      </c>
      <c r="B1296" s="64">
        <f>IFERROR(__xludf.DUMMYFUNCTION("""COMPUTED_VALUE"""),44615.0)</f>
        <v>44615</v>
      </c>
      <c r="C1296" s="5"/>
      <c r="D1296" s="5"/>
      <c r="E1296" s="5"/>
      <c r="F1296" s="22">
        <f>IFERROR(__xludf.DUMMYFUNCTION("""COMPUTED_VALUE"""),500000.0)</f>
        <v>500000</v>
      </c>
      <c r="G1296" s="22">
        <f>IFERROR(__xludf.DUMMYFUNCTION("""COMPUTED_VALUE"""),0.0)</f>
        <v>0</v>
      </c>
      <c r="H1296" s="22">
        <f>IFERROR(__xludf.DUMMYFUNCTION("""COMPUTED_VALUE"""),500000.0)</f>
        <v>500000</v>
      </c>
      <c r="I1296" s="24">
        <f>IFERROR(__xludf.DUMMYFUNCTION("""COMPUTED_VALUE"""),0.0)</f>
        <v>0</v>
      </c>
    </row>
    <row r="1297">
      <c r="A1297" s="5" t="str">
        <f>IFERROR(__xludf.DUMMYFUNCTION("""COMPUTED_VALUE"""),"37198")</f>
        <v>37198</v>
      </c>
      <c r="B1297" s="64">
        <f>IFERROR(__xludf.DUMMYFUNCTION("""COMPUTED_VALUE"""),44616.0)</f>
        <v>44616</v>
      </c>
      <c r="C1297" s="5"/>
      <c r="D1297" s="5"/>
      <c r="E1297" s="5"/>
      <c r="F1297" s="22">
        <f>IFERROR(__xludf.DUMMYFUNCTION("""COMPUTED_VALUE"""),500000.0)</f>
        <v>500000</v>
      </c>
      <c r="G1297" s="22">
        <f>IFERROR(__xludf.DUMMYFUNCTION("""COMPUTED_VALUE"""),0.0)</f>
        <v>0</v>
      </c>
      <c r="H1297" s="22">
        <f>IFERROR(__xludf.DUMMYFUNCTION("""COMPUTED_VALUE"""),500000.0)</f>
        <v>500000</v>
      </c>
      <c r="I1297" s="24">
        <f>IFERROR(__xludf.DUMMYFUNCTION("""COMPUTED_VALUE"""),0.0)</f>
        <v>0</v>
      </c>
    </row>
    <row r="1298">
      <c r="A1298" s="5" t="str">
        <f>IFERROR(__xludf.DUMMYFUNCTION("""COMPUTED_VALUE"""),"37198")</f>
        <v>37198</v>
      </c>
      <c r="B1298" s="64">
        <f>IFERROR(__xludf.DUMMYFUNCTION("""COMPUTED_VALUE"""),44617.0)</f>
        <v>44617</v>
      </c>
      <c r="C1298" s="5"/>
      <c r="D1298" s="5"/>
      <c r="E1298" s="5"/>
      <c r="F1298" s="22">
        <f>IFERROR(__xludf.DUMMYFUNCTION("""COMPUTED_VALUE"""),500000.0)</f>
        <v>500000</v>
      </c>
      <c r="G1298" s="22">
        <f>IFERROR(__xludf.DUMMYFUNCTION("""COMPUTED_VALUE"""),0.0)</f>
        <v>0</v>
      </c>
      <c r="H1298" s="22">
        <f>IFERROR(__xludf.DUMMYFUNCTION("""COMPUTED_VALUE"""),500000.0)</f>
        <v>500000</v>
      </c>
      <c r="I1298" s="24">
        <f>IFERROR(__xludf.DUMMYFUNCTION("""COMPUTED_VALUE"""),0.0)</f>
        <v>0</v>
      </c>
    </row>
    <row r="1299">
      <c r="A1299" s="5" t="str">
        <f>IFERROR(__xludf.DUMMYFUNCTION("""COMPUTED_VALUE"""),"37198")</f>
        <v>37198</v>
      </c>
      <c r="B1299" s="64">
        <f>IFERROR(__xludf.DUMMYFUNCTION("""COMPUTED_VALUE"""),44618.0)</f>
        <v>44618</v>
      </c>
      <c r="C1299" s="5"/>
      <c r="D1299" s="5"/>
      <c r="E1299" s="5"/>
      <c r="F1299" s="22">
        <f>IFERROR(__xludf.DUMMYFUNCTION("""COMPUTED_VALUE"""),500000.0)</f>
        <v>500000</v>
      </c>
      <c r="G1299" s="22">
        <f>IFERROR(__xludf.DUMMYFUNCTION("""COMPUTED_VALUE"""),0.0)</f>
        <v>0</v>
      </c>
      <c r="H1299" s="22">
        <f>IFERROR(__xludf.DUMMYFUNCTION("""COMPUTED_VALUE"""),500000.0)</f>
        <v>500000</v>
      </c>
      <c r="I1299" s="24">
        <f>IFERROR(__xludf.DUMMYFUNCTION("""COMPUTED_VALUE"""),0.0)</f>
        <v>0</v>
      </c>
    </row>
    <row r="1300">
      <c r="A1300" s="5" t="str">
        <f>IFERROR(__xludf.DUMMYFUNCTION("""COMPUTED_VALUE"""),"37198")</f>
        <v>37198</v>
      </c>
      <c r="B1300" s="64">
        <f>IFERROR(__xludf.DUMMYFUNCTION("""COMPUTED_VALUE"""),44619.0)</f>
        <v>44619</v>
      </c>
      <c r="C1300" s="5"/>
      <c r="D1300" s="5"/>
      <c r="E1300" s="5"/>
      <c r="F1300" s="22">
        <f>IFERROR(__xludf.DUMMYFUNCTION("""COMPUTED_VALUE"""),500000.0)</f>
        <v>500000</v>
      </c>
      <c r="G1300" s="22">
        <f>IFERROR(__xludf.DUMMYFUNCTION("""COMPUTED_VALUE"""),0.0)</f>
        <v>0</v>
      </c>
      <c r="H1300" s="22">
        <f>IFERROR(__xludf.DUMMYFUNCTION("""COMPUTED_VALUE"""),500000.0)</f>
        <v>500000</v>
      </c>
      <c r="I1300" s="24">
        <f>IFERROR(__xludf.DUMMYFUNCTION("""COMPUTED_VALUE"""),0.0)</f>
        <v>0</v>
      </c>
    </row>
    <row r="1301">
      <c r="A1301" s="5" t="str">
        <f>IFERROR(__xludf.DUMMYFUNCTION("""COMPUTED_VALUE"""),"37198")</f>
        <v>37198</v>
      </c>
      <c r="B1301" s="64">
        <f>IFERROR(__xludf.DUMMYFUNCTION("""COMPUTED_VALUE"""),44620.0)</f>
        <v>44620</v>
      </c>
      <c r="C1301" s="5"/>
      <c r="D1301" s="5"/>
      <c r="E1301" s="5"/>
      <c r="F1301" s="22">
        <f>IFERROR(__xludf.DUMMYFUNCTION("""COMPUTED_VALUE"""),500000.0)</f>
        <v>500000</v>
      </c>
      <c r="G1301" s="22">
        <f>IFERROR(__xludf.DUMMYFUNCTION("""COMPUTED_VALUE"""),0.0)</f>
        <v>0</v>
      </c>
      <c r="H1301" s="22">
        <f>IFERROR(__xludf.DUMMYFUNCTION("""COMPUTED_VALUE"""),500000.0)</f>
        <v>500000</v>
      </c>
      <c r="I1301" s="24">
        <f>IFERROR(__xludf.DUMMYFUNCTION("""COMPUTED_VALUE"""),0.0)</f>
        <v>0</v>
      </c>
    </row>
    <row r="1302">
      <c r="A1302" s="5" t="str">
        <f>IFERROR(__xludf.DUMMYFUNCTION("""COMPUTED_VALUE"""),"37198")</f>
        <v>37198</v>
      </c>
      <c r="B1302" s="64">
        <f>IFERROR(__xludf.DUMMYFUNCTION("""COMPUTED_VALUE"""),44621.0)</f>
        <v>44621</v>
      </c>
      <c r="C1302" s="5"/>
      <c r="D1302" s="5"/>
      <c r="E1302" s="5"/>
      <c r="F1302" s="22">
        <f>IFERROR(__xludf.DUMMYFUNCTION("""COMPUTED_VALUE"""),500000.0)</f>
        <v>500000</v>
      </c>
      <c r="G1302" s="22">
        <f>IFERROR(__xludf.DUMMYFUNCTION("""COMPUTED_VALUE"""),0.0)</f>
        <v>0</v>
      </c>
      <c r="H1302" s="22">
        <f>IFERROR(__xludf.DUMMYFUNCTION("""COMPUTED_VALUE"""),500000.0)</f>
        <v>500000</v>
      </c>
      <c r="I1302" s="24">
        <f>IFERROR(__xludf.DUMMYFUNCTION("""COMPUTED_VALUE"""),0.0)</f>
        <v>0</v>
      </c>
    </row>
    <row r="1303">
      <c r="A1303" s="5" t="str">
        <f>IFERROR(__xludf.DUMMYFUNCTION("""COMPUTED_VALUE"""),"37198")</f>
        <v>37198</v>
      </c>
      <c r="B1303" s="64">
        <f>IFERROR(__xludf.DUMMYFUNCTION("""COMPUTED_VALUE"""),44622.0)</f>
        <v>44622</v>
      </c>
      <c r="C1303" s="5"/>
      <c r="D1303" s="5"/>
      <c r="E1303" s="5"/>
      <c r="F1303" s="22">
        <f>IFERROR(__xludf.DUMMYFUNCTION("""COMPUTED_VALUE"""),500000.0)</f>
        <v>500000</v>
      </c>
      <c r="G1303" s="22">
        <f>IFERROR(__xludf.DUMMYFUNCTION("""COMPUTED_VALUE"""),0.0)</f>
        <v>0</v>
      </c>
      <c r="H1303" s="22">
        <f>IFERROR(__xludf.DUMMYFUNCTION("""COMPUTED_VALUE"""),500000.0)</f>
        <v>500000</v>
      </c>
      <c r="I1303" s="24">
        <f>IFERROR(__xludf.DUMMYFUNCTION("""COMPUTED_VALUE"""),0.0)</f>
        <v>0</v>
      </c>
    </row>
    <row r="1304">
      <c r="A1304" s="5" t="str">
        <f>IFERROR(__xludf.DUMMYFUNCTION("""COMPUTED_VALUE"""),"37198")</f>
        <v>37198</v>
      </c>
      <c r="B1304" s="64">
        <f>IFERROR(__xludf.DUMMYFUNCTION("""COMPUTED_VALUE"""),44623.0)</f>
        <v>44623</v>
      </c>
      <c r="C1304" s="5"/>
      <c r="D1304" s="5"/>
      <c r="E1304" s="5"/>
      <c r="F1304" s="22">
        <f>IFERROR(__xludf.DUMMYFUNCTION("""COMPUTED_VALUE"""),500000.0)</f>
        <v>500000</v>
      </c>
      <c r="G1304" s="22">
        <f>IFERROR(__xludf.DUMMYFUNCTION("""COMPUTED_VALUE"""),0.0)</f>
        <v>0</v>
      </c>
      <c r="H1304" s="22">
        <f>IFERROR(__xludf.DUMMYFUNCTION("""COMPUTED_VALUE"""),500000.0)</f>
        <v>500000</v>
      </c>
      <c r="I1304" s="24">
        <f>IFERROR(__xludf.DUMMYFUNCTION("""COMPUTED_VALUE"""),0.0)</f>
        <v>0</v>
      </c>
    </row>
    <row r="1305">
      <c r="A1305" s="5" t="str">
        <f>IFERROR(__xludf.DUMMYFUNCTION("""COMPUTED_VALUE"""),"37198")</f>
        <v>37198</v>
      </c>
      <c r="B1305" s="64">
        <f>IFERROR(__xludf.DUMMYFUNCTION("""COMPUTED_VALUE"""),44624.0)</f>
        <v>44624</v>
      </c>
      <c r="C1305" s="5"/>
      <c r="D1305" s="5"/>
      <c r="E1305" s="5"/>
      <c r="F1305" s="22">
        <f>IFERROR(__xludf.DUMMYFUNCTION("""COMPUTED_VALUE"""),500000.0)</f>
        <v>500000</v>
      </c>
      <c r="G1305" s="22">
        <f>IFERROR(__xludf.DUMMYFUNCTION("""COMPUTED_VALUE"""),0.0)</f>
        <v>0</v>
      </c>
      <c r="H1305" s="22">
        <f>IFERROR(__xludf.DUMMYFUNCTION("""COMPUTED_VALUE"""),500000.0)</f>
        <v>500000</v>
      </c>
      <c r="I1305" s="24">
        <f>IFERROR(__xludf.DUMMYFUNCTION("""COMPUTED_VALUE"""),0.0)</f>
        <v>0</v>
      </c>
    </row>
    <row r="1306">
      <c r="A1306" s="5" t="str">
        <f>IFERROR(__xludf.DUMMYFUNCTION("""COMPUTED_VALUE"""),"37198")</f>
        <v>37198</v>
      </c>
      <c r="B1306" s="64">
        <f>IFERROR(__xludf.DUMMYFUNCTION("""COMPUTED_VALUE"""),44625.0)</f>
        <v>44625</v>
      </c>
      <c r="C1306" s="5"/>
      <c r="D1306" s="5"/>
      <c r="E1306" s="5"/>
      <c r="F1306" s="22">
        <f>IFERROR(__xludf.DUMMYFUNCTION("""COMPUTED_VALUE"""),500000.0)</f>
        <v>500000</v>
      </c>
      <c r="G1306" s="22">
        <f>IFERROR(__xludf.DUMMYFUNCTION("""COMPUTED_VALUE"""),0.0)</f>
        <v>0</v>
      </c>
      <c r="H1306" s="22">
        <f>IFERROR(__xludf.DUMMYFUNCTION("""COMPUTED_VALUE"""),500000.0)</f>
        <v>500000</v>
      </c>
      <c r="I1306" s="24">
        <f>IFERROR(__xludf.DUMMYFUNCTION("""COMPUTED_VALUE"""),0.0)</f>
        <v>0</v>
      </c>
    </row>
    <row r="1307">
      <c r="A1307" s="5" t="str">
        <f>IFERROR(__xludf.DUMMYFUNCTION("""COMPUTED_VALUE"""),"37198")</f>
        <v>37198</v>
      </c>
      <c r="B1307" s="64">
        <f>IFERROR(__xludf.DUMMYFUNCTION("""COMPUTED_VALUE"""),44626.0)</f>
        <v>44626</v>
      </c>
      <c r="C1307" s="5"/>
      <c r="D1307" s="5"/>
      <c r="E1307" s="5"/>
      <c r="F1307" s="22">
        <f>IFERROR(__xludf.DUMMYFUNCTION("""COMPUTED_VALUE"""),500000.0)</f>
        <v>500000</v>
      </c>
      <c r="G1307" s="22">
        <f>IFERROR(__xludf.DUMMYFUNCTION("""COMPUTED_VALUE"""),0.0)</f>
        <v>0</v>
      </c>
      <c r="H1307" s="22">
        <f>IFERROR(__xludf.DUMMYFUNCTION("""COMPUTED_VALUE"""),500000.0)</f>
        <v>500000</v>
      </c>
      <c r="I1307" s="24">
        <f>IFERROR(__xludf.DUMMYFUNCTION("""COMPUTED_VALUE"""),0.0)</f>
        <v>0</v>
      </c>
    </row>
    <row r="1308">
      <c r="A1308" s="5" t="str">
        <f>IFERROR(__xludf.DUMMYFUNCTION("""COMPUTED_VALUE"""),"37198")</f>
        <v>37198</v>
      </c>
      <c r="B1308" s="64">
        <f>IFERROR(__xludf.DUMMYFUNCTION("""COMPUTED_VALUE"""),44627.0)</f>
        <v>44627</v>
      </c>
      <c r="C1308" s="5"/>
      <c r="D1308" s="5"/>
      <c r="E1308" s="5"/>
      <c r="F1308" s="22">
        <f>IFERROR(__xludf.DUMMYFUNCTION("""COMPUTED_VALUE"""),500000.0)</f>
        <v>500000</v>
      </c>
      <c r="G1308" s="22">
        <f>IFERROR(__xludf.DUMMYFUNCTION("""COMPUTED_VALUE"""),0.0)</f>
        <v>0</v>
      </c>
      <c r="H1308" s="22">
        <f>IFERROR(__xludf.DUMMYFUNCTION("""COMPUTED_VALUE"""),500000.0)</f>
        <v>500000</v>
      </c>
      <c r="I1308" s="24">
        <f>IFERROR(__xludf.DUMMYFUNCTION("""COMPUTED_VALUE"""),0.0)</f>
        <v>0</v>
      </c>
    </row>
    <row r="1309">
      <c r="A1309" s="5" t="str">
        <f>IFERROR(__xludf.DUMMYFUNCTION("""COMPUTED_VALUE"""),"37198")</f>
        <v>37198</v>
      </c>
      <c r="B1309" s="64">
        <f>IFERROR(__xludf.DUMMYFUNCTION("""COMPUTED_VALUE"""),44628.0)</f>
        <v>44628</v>
      </c>
      <c r="C1309" s="5"/>
      <c r="D1309" s="5"/>
      <c r="E1309" s="5"/>
      <c r="F1309" s="22">
        <f>IFERROR(__xludf.DUMMYFUNCTION("""COMPUTED_VALUE"""),500000.0)</f>
        <v>500000</v>
      </c>
      <c r="G1309" s="22">
        <f>IFERROR(__xludf.DUMMYFUNCTION("""COMPUTED_VALUE"""),0.0)</f>
        <v>0</v>
      </c>
      <c r="H1309" s="22">
        <f>IFERROR(__xludf.DUMMYFUNCTION("""COMPUTED_VALUE"""),500000.0)</f>
        <v>500000</v>
      </c>
      <c r="I1309" s="24">
        <f>IFERROR(__xludf.DUMMYFUNCTION("""COMPUTED_VALUE"""),0.0)</f>
        <v>0</v>
      </c>
    </row>
    <row r="1310">
      <c r="A1310" s="5" t="str">
        <f>IFERROR(__xludf.DUMMYFUNCTION("""COMPUTED_VALUE"""),"37198")</f>
        <v>37198</v>
      </c>
      <c r="B1310" s="64">
        <f>IFERROR(__xludf.DUMMYFUNCTION("""COMPUTED_VALUE"""),44629.0)</f>
        <v>44629</v>
      </c>
      <c r="C1310" s="5"/>
      <c r="D1310" s="5"/>
      <c r="E1310" s="5"/>
      <c r="F1310" s="22">
        <f>IFERROR(__xludf.DUMMYFUNCTION("""COMPUTED_VALUE"""),500000.0)</f>
        <v>500000</v>
      </c>
      <c r="G1310" s="22">
        <f>IFERROR(__xludf.DUMMYFUNCTION("""COMPUTED_VALUE"""),0.0)</f>
        <v>0</v>
      </c>
      <c r="H1310" s="22">
        <f>IFERROR(__xludf.DUMMYFUNCTION("""COMPUTED_VALUE"""),500000.0)</f>
        <v>500000</v>
      </c>
      <c r="I1310" s="24">
        <f>IFERROR(__xludf.DUMMYFUNCTION("""COMPUTED_VALUE"""),0.0)</f>
        <v>0</v>
      </c>
    </row>
    <row r="1311">
      <c r="A1311" s="5" t="str">
        <f>IFERROR(__xludf.DUMMYFUNCTION("""COMPUTED_VALUE"""),"37198")</f>
        <v>37198</v>
      </c>
      <c r="B1311" s="64">
        <f>IFERROR(__xludf.DUMMYFUNCTION("""COMPUTED_VALUE"""),44630.0)</f>
        <v>44630</v>
      </c>
      <c r="C1311" s="5"/>
      <c r="D1311" s="5"/>
      <c r="E1311" s="5"/>
      <c r="F1311" s="22">
        <f>IFERROR(__xludf.DUMMYFUNCTION("""COMPUTED_VALUE"""),500000.0)</f>
        <v>500000</v>
      </c>
      <c r="G1311" s="22">
        <f>IFERROR(__xludf.DUMMYFUNCTION("""COMPUTED_VALUE"""),0.0)</f>
        <v>0</v>
      </c>
      <c r="H1311" s="22">
        <f>IFERROR(__xludf.DUMMYFUNCTION("""COMPUTED_VALUE"""),500000.0)</f>
        <v>500000</v>
      </c>
      <c r="I1311" s="24">
        <f>IFERROR(__xludf.DUMMYFUNCTION("""COMPUTED_VALUE"""),0.0)</f>
        <v>0</v>
      </c>
    </row>
    <row r="1312">
      <c r="A1312" s="5" t="str">
        <f>IFERROR(__xludf.DUMMYFUNCTION("""COMPUTED_VALUE"""),"37198")</f>
        <v>37198</v>
      </c>
      <c r="B1312" s="64">
        <f>IFERROR(__xludf.DUMMYFUNCTION("""COMPUTED_VALUE"""),44631.0)</f>
        <v>44631</v>
      </c>
      <c r="C1312" s="5"/>
      <c r="D1312" s="5"/>
      <c r="E1312" s="5"/>
      <c r="F1312" s="22">
        <f>IFERROR(__xludf.DUMMYFUNCTION("""COMPUTED_VALUE"""),500000.0)</f>
        <v>500000</v>
      </c>
      <c r="G1312" s="22">
        <f>IFERROR(__xludf.DUMMYFUNCTION("""COMPUTED_VALUE"""),0.0)</f>
        <v>0</v>
      </c>
      <c r="H1312" s="22">
        <f>IFERROR(__xludf.DUMMYFUNCTION("""COMPUTED_VALUE"""),500000.0)</f>
        <v>500000</v>
      </c>
      <c r="I1312" s="24">
        <f>IFERROR(__xludf.DUMMYFUNCTION("""COMPUTED_VALUE"""),0.0)</f>
        <v>0</v>
      </c>
    </row>
    <row r="1313">
      <c r="A1313" s="5" t="str">
        <f>IFERROR(__xludf.DUMMYFUNCTION("""COMPUTED_VALUE"""),"37198")</f>
        <v>37198</v>
      </c>
      <c r="B1313" s="64">
        <f>IFERROR(__xludf.DUMMYFUNCTION("""COMPUTED_VALUE"""),44632.0)</f>
        <v>44632</v>
      </c>
      <c r="C1313" s="5"/>
      <c r="D1313" s="5"/>
      <c r="E1313" s="5"/>
      <c r="F1313" s="22">
        <f>IFERROR(__xludf.DUMMYFUNCTION("""COMPUTED_VALUE"""),500000.0)</f>
        <v>500000</v>
      </c>
      <c r="G1313" s="22">
        <f>IFERROR(__xludf.DUMMYFUNCTION("""COMPUTED_VALUE"""),0.0)</f>
        <v>0</v>
      </c>
      <c r="H1313" s="22">
        <f>IFERROR(__xludf.DUMMYFUNCTION("""COMPUTED_VALUE"""),500000.0)</f>
        <v>500000</v>
      </c>
      <c r="I1313" s="24">
        <f>IFERROR(__xludf.DUMMYFUNCTION("""COMPUTED_VALUE"""),0.0)</f>
        <v>0</v>
      </c>
    </row>
    <row r="1314">
      <c r="A1314" s="5" t="str">
        <f>IFERROR(__xludf.DUMMYFUNCTION("""COMPUTED_VALUE"""),"37198")</f>
        <v>37198</v>
      </c>
      <c r="B1314" s="64">
        <f>IFERROR(__xludf.DUMMYFUNCTION("""COMPUTED_VALUE"""),44633.0)</f>
        <v>44633</v>
      </c>
      <c r="C1314" s="5"/>
      <c r="D1314" s="5"/>
      <c r="E1314" s="5"/>
      <c r="F1314" s="22">
        <f>IFERROR(__xludf.DUMMYFUNCTION("""COMPUTED_VALUE"""),500000.0)</f>
        <v>500000</v>
      </c>
      <c r="G1314" s="22">
        <f>IFERROR(__xludf.DUMMYFUNCTION("""COMPUTED_VALUE"""),0.0)</f>
        <v>0</v>
      </c>
      <c r="H1314" s="22">
        <f>IFERROR(__xludf.DUMMYFUNCTION("""COMPUTED_VALUE"""),500000.0)</f>
        <v>500000</v>
      </c>
      <c r="I1314" s="24">
        <f>IFERROR(__xludf.DUMMYFUNCTION("""COMPUTED_VALUE"""),0.0)</f>
        <v>0</v>
      </c>
    </row>
    <row r="1315">
      <c r="A1315" s="5" t="str">
        <f>IFERROR(__xludf.DUMMYFUNCTION("""COMPUTED_VALUE"""),"37198")</f>
        <v>37198</v>
      </c>
      <c r="B1315" s="64">
        <f>IFERROR(__xludf.DUMMYFUNCTION("""COMPUTED_VALUE"""),44634.0)</f>
        <v>44634</v>
      </c>
      <c r="C1315" s="5"/>
      <c r="D1315" s="5"/>
      <c r="E1315" s="5"/>
      <c r="F1315" s="22">
        <f>IFERROR(__xludf.DUMMYFUNCTION("""COMPUTED_VALUE"""),500000.0)</f>
        <v>500000</v>
      </c>
      <c r="G1315" s="22">
        <f>IFERROR(__xludf.DUMMYFUNCTION("""COMPUTED_VALUE"""),0.0)</f>
        <v>0</v>
      </c>
      <c r="H1315" s="22">
        <f>IFERROR(__xludf.DUMMYFUNCTION("""COMPUTED_VALUE"""),500000.0)</f>
        <v>500000</v>
      </c>
      <c r="I1315" s="24">
        <f>IFERROR(__xludf.DUMMYFUNCTION("""COMPUTED_VALUE"""),0.0)</f>
        <v>0</v>
      </c>
    </row>
    <row r="1316">
      <c r="A1316" s="5" t="str">
        <f>IFERROR(__xludf.DUMMYFUNCTION("""COMPUTED_VALUE"""),"37198")</f>
        <v>37198</v>
      </c>
      <c r="B1316" s="64">
        <f>IFERROR(__xludf.DUMMYFUNCTION("""COMPUTED_VALUE"""),44635.0)</f>
        <v>44635</v>
      </c>
      <c r="C1316" s="5"/>
      <c r="D1316" s="5"/>
      <c r="E1316" s="5"/>
      <c r="F1316" s="22">
        <f>IFERROR(__xludf.DUMMYFUNCTION("""COMPUTED_VALUE"""),500000.0)</f>
        <v>500000</v>
      </c>
      <c r="G1316" s="22">
        <f>IFERROR(__xludf.DUMMYFUNCTION("""COMPUTED_VALUE"""),0.0)</f>
        <v>0</v>
      </c>
      <c r="H1316" s="22">
        <f>IFERROR(__xludf.DUMMYFUNCTION("""COMPUTED_VALUE"""),500000.0)</f>
        <v>500000</v>
      </c>
      <c r="I1316" s="24">
        <f>IFERROR(__xludf.DUMMYFUNCTION("""COMPUTED_VALUE"""),0.0)</f>
        <v>0</v>
      </c>
    </row>
    <row r="1317">
      <c r="A1317" s="5" t="str">
        <f>IFERROR(__xludf.DUMMYFUNCTION("""COMPUTED_VALUE"""),"37198")</f>
        <v>37198</v>
      </c>
      <c r="B1317" s="64">
        <f>IFERROR(__xludf.DUMMYFUNCTION("""COMPUTED_VALUE"""),44636.0)</f>
        <v>44636</v>
      </c>
      <c r="C1317" s="5"/>
      <c r="D1317" s="5"/>
      <c r="E1317" s="5"/>
      <c r="F1317" s="22">
        <f>IFERROR(__xludf.DUMMYFUNCTION("""COMPUTED_VALUE"""),500000.0)</f>
        <v>500000</v>
      </c>
      <c r="G1317" s="22">
        <f>IFERROR(__xludf.DUMMYFUNCTION("""COMPUTED_VALUE"""),0.0)</f>
        <v>0</v>
      </c>
      <c r="H1317" s="22">
        <f>IFERROR(__xludf.DUMMYFUNCTION("""COMPUTED_VALUE"""),500000.0)</f>
        <v>500000</v>
      </c>
      <c r="I1317" s="24">
        <f>IFERROR(__xludf.DUMMYFUNCTION("""COMPUTED_VALUE"""),0.0)</f>
        <v>0</v>
      </c>
    </row>
    <row r="1318">
      <c r="A1318" s="5" t="str">
        <f>IFERROR(__xludf.DUMMYFUNCTION("""COMPUTED_VALUE"""),"37198")</f>
        <v>37198</v>
      </c>
      <c r="B1318" s="64">
        <f>IFERROR(__xludf.DUMMYFUNCTION("""COMPUTED_VALUE"""),44637.0)</f>
        <v>44637</v>
      </c>
      <c r="C1318" s="5"/>
      <c r="D1318" s="5"/>
      <c r="E1318" s="5"/>
      <c r="F1318" s="22">
        <f>IFERROR(__xludf.DUMMYFUNCTION("""COMPUTED_VALUE"""),493448.06348)</f>
        <v>493448.0635</v>
      </c>
      <c r="G1318" s="22">
        <f>IFERROR(__xludf.DUMMYFUNCTION("""COMPUTED_VALUE"""),0.0)</f>
        <v>0</v>
      </c>
      <c r="H1318" s="22">
        <f>IFERROR(__xludf.DUMMYFUNCTION("""COMPUTED_VALUE"""),500000.0)</f>
        <v>500000</v>
      </c>
      <c r="I1318" s="24">
        <f>IFERROR(__xludf.DUMMYFUNCTION("""COMPUTED_VALUE"""),0.0)</f>
        <v>0</v>
      </c>
    </row>
    <row r="1319">
      <c r="A1319" s="5" t="str">
        <f>IFERROR(__xludf.DUMMYFUNCTION("""COMPUTED_VALUE"""),"37198")</f>
        <v>37198</v>
      </c>
      <c r="B1319" s="64">
        <f>IFERROR(__xludf.DUMMYFUNCTION("""COMPUTED_VALUE"""),44638.0)</f>
        <v>44638</v>
      </c>
      <c r="C1319" s="5"/>
      <c r="D1319" s="5"/>
      <c r="E1319" s="5"/>
      <c r="F1319" s="22">
        <f>IFERROR(__xludf.DUMMYFUNCTION("""COMPUTED_VALUE"""),493448.06348)</f>
        <v>493448.0635</v>
      </c>
      <c r="G1319" s="22">
        <f>IFERROR(__xludf.DUMMYFUNCTION("""COMPUTED_VALUE"""),0.0)</f>
        <v>0</v>
      </c>
      <c r="H1319" s="22">
        <f>IFERROR(__xludf.DUMMYFUNCTION("""COMPUTED_VALUE"""),501360.42596)</f>
        <v>501360.426</v>
      </c>
      <c r="I1319" s="24">
        <f>IFERROR(__xludf.DUMMYFUNCTION("""COMPUTED_VALUE"""),0.0027208519199999337)</f>
        <v>0.00272085192</v>
      </c>
    </row>
    <row r="1320">
      <c r="A1320" s="5" t="str">
        <f>IFERROR(__xludf.DUMMYFUNCTION("""COMPUTED_VALUE"""),"37198")</f>
        <v>37198</v>
      </c>
      <c r="B1320" s="64">
        <f>IFERROR(__xludf.DUMMYFUNCTION("""COMPUTED_VALUE"""),44639.0)</f>
        <v>44639</v>
      </c>
      <c r="C1320" s="5"/>
      <c r="D1320" s="5"/>
      <c r="E1320" s="5"/>
      <c r="F1320" s="22">
        <f>IFERROR(__xludf.DUMMYFUNCTION("""COMPUTED_VALUE"""),493448.06348)</f>
        <v>493448.0635</v>
      </c>
      <c r="G1320" s="22">
        <f>IFERROR(__xludf.DUMMYFUNCTION("""COMPUTED_VALUE"""),0.0)</f>
        <v>0</v>
      </c>
      <c r="H1320" s="22">
        <f>IFERROR(__xludf.DUMMYFUNCTION("""COMPUTED_VALUE"""),501360.42596)</f>
        <v>501360.426</v>
      </c>
      <c r="I1320" s="24">
        <f>IFERROR(__xludf.DUMMYFUNCTION("""COMPUTED_VALUE"""),0.0027208519199999337)</f>
        <v>0.00272085192</v>
      </c>
    </row>
    <row r="1321">
      <c r="A1321" s="5" t="str">
        <f>IFERROR(__xludf.DUMMYFUNCTION("""COMPUTED_VALUE"""),"37198")</f>
        <v>37198</v>
      </c>
      <c r="B1321" s="64">
        <f>IFERROR(__xludf.DUMMYFUNCTION("""COMPUTED_VALUE"""),44640.0)</f>
        <v>44640</v>
      </c>
      <c r="C1321" s="5"/>
      <c r="D1321" s="5"/>
      <c r="E1321" s="5"/>
      <c r="F1321" s="22">
        <f>IFERROR(__xludf.DUMMYFUNCTION("""COMPUTED_VALUE"""),493448.06348)</f>
        <v>493448.0635</v>
      </c>
      <c r="G1321" s="22">
        <f>IFERROR(__xludf.DUMMYFUNCTION("""COMPUTED_VALUE"""),0.0)</f>
        <v>0</v>
      </c>
      <c r="H1321" s="22">
        <f>IFERROR(__xludf.DUMMYFUNCTION("""COMPUTED_VALUE"""),501360.42596)</f>
        <v>501360.426</v>
      </c>
      <c r="I1321" s="24">
        <f>IFERROR(__xludf.DUMMYFUNCTION("""COMPUTED_VALUE"""),0.0027208519199999337)</f>
        <v>0.00272085192</v>
      </c>
    </row>
    <row r="1322">
      <c r="A1322" s="5" t="str">
        <f>IFERROR(__xludf.DUMMYFUNCTION("""COMPUTED_VALUE"""),"37198")</f>
        <v>37198</v>
      </c>
      <c r="B1322" s="64">
        <f>IFERROR(__xludf.DUMMYFUNCTION("""COMPUTED_VALUE"""),44641.0)</f>
        <v>44641</v>
      </c>
      <c r="C1322" s="5"/>
      <c r="D1322" s="5"/>
      <c r="E1322" s="5"/>
      <c r="F1322" s="22">
        <f>IFERROR(__xludf.DUMMYFUNCTION("""COMPUTED_VALUE"""),493448.06348)</f>
        <v>493448.0635</v>
      </c>
      <c r="G1322" s="22">
        <f>IFERROR(__xludf.DUMMYFUNCTION("""COMPUTED_VALUE"""),0.0)</f>
        <v>0</v>
      </c>
      <c r="H1322" s="22">
        <f>IFERROR(__xludf.DUMMYFUNCTION("""COMPUTED_VALUE"""),504048.821905)</f>
        <v>504048.8219</v>
      </c>
      <c r="I1322" s="24">
        <f>IFERROR(__xludf.DUMMYFUNCTION("""COMPUTED_VALUE"""),0.00809764381)</f>
        <v>0.00809764381</v>
      </c>
    </row>
    <row r="1323">
      <c r="A1323" s="5" t="str">
        <f>IFERROR(__xludf.DUMMYFUNCTION("""COMPUTED_VALUE"""),"37198")</f>
        <v>37198</v>
      </c>
      <c r="B1323" s="64">
        <f>IFERROR(__xludf.DUMMYFUNCTION("""COMPUTED_VALUE"""),44642.0)</f>
        <v>44642</v>
      </c>
      <c r="C1323" s="5"/>
      <c r="D1323" s="5"/>
      <c r="E1323" s="5"/>
      <c r="F1323" s="22">
        <f>IFERROR(__xludf.DUMMYFUNCTION("""COMPUTED_VALUE"""),493448.06348)</f>
        <v>493448.0635</v>
      </c>
      <c r="G1323" s="22">
        <f>IFERROR(__xludf.DUMMYFUNCTION("""COMPUTED_VALUE"""),0.0)</f>
        <v>0</v>
      </c>
      <c r="H1323" s="22">
        <f>IFERROR(__xludf.DUMMYFUNCTION("""COMPUTED_VALUE"""),503848.70878000004)</f>
        <v>503848.7088</v>
      </c>
      <c r="I1323" s="24">
        <f>IFERROR(__xludf.DUMMYFUNCTION("""COMPUTED_VALUE"""),0.007697417560000197)</f>
        <v>0.00769741756</v>
      </c>
    </row>
    <row r="1324">
      <c r="A1324" s="5" t="str">
        <f>IFERROR(__xludf.DUMMYFUNCTION("""COMPUTED_VALUE"""),"37198")</f>
        <v>37198</v>
      </c>
      <c r="B1324" s="64">
        <f>IFERROR(__xludf.DUMMYFUNCTION("""COMPUTED_VALUE"""),44643.0)</f>
        <v>44643</v>
      </c>
      <c r="C1324" s="5"/>
      <c r="D1324" s="5"/>
      <c r="E1324" s="5"/>
      <c r="F1324" s="22">
        <f>IFERROR(__xludf.DUMMYFUNCTION("""COMPUTED_VALUE"""),493448.06348)</f>
        <v>493448.0635</v>
      </c>
      <c r="G1324" s="22">
        <f>IFERROR(__xludf.DUMMYFUNCTION("""COMPUTED_VALUE"""),0.0)</f>
        <v>0</v>
      </c>
      <c r="H1324" s="22">
        <f>IFERROR(__xludf.DUMMYFUNCTION("""COMPUTED_VALUE"""),506043.261115)</f>
        <v>506043.2611</v>
      </c>
      <c r="I1324" s="24">
        <f>IFERROR(__xludf.DUMMYFUNCTION("""COMPUTED_VALUE"""),0.012086522229999952)</f>
        <v>0.01208652223</v>
      </c>
    </row>
    <row r="1325">
      <c r="A1325" s="5" t="str">
        <f>IFERROR(__xludf.DUMMYFUNCTION("""COMPUTED_VALUE"""),"37198")</f>
        <v>37198</v>
      </c>
      <c r="B1325" s="64">
        <f>IFERROR(__xludf.DUMMYFUNCTION("""COMPUTED_VALUE"""),44644.0)</f>
        <v>44644</v>
      </c>
      <c r="C1325" s="5"/>
      <c r="D1325" s="5"/>
      <c r="E1325" s="5"/>
      <c r="F1325" s="22">
        <f>IFERROR(__xludf.DUMMYFUNCTION("""COMPUTED_VALUE"""),493448.06348)</f>
        <v>493448.0635</v>
      </c>
      <c r="G1325" s="22">
        <f>IFERROR(__xludf.DUMMYFUNCTION("""COMPUTED_VALUE"""),0.0)</f>
        <v>0</v>
      </c>
      <c r="H1325" s="22">
        <f>IFERROR(__xludf.DUMMYFUNCTION("""COMPUTED_VALUE"""),504110.69076499995)</f>
        <v>504110.6908</v>
      </c>
      <c r="I1325" s="24">
        <f>IFERROR(__xludf.DUMMYFUNCTION("""COMPUTED_VALUE"""),0.00822138152999985)</f>
        <v>0.00822138153</v>
      </c>
    </row>
    <row r="1326">
      <c r="A1326" s="5" t="str">
        <f>IFERROR(__xludf.DUMMYFUNCTION("""COMPUTED_VALUE"""),"37198")</f>
        <v>37198</v>
      </c>
      <c r="B1326" s="64">
        <f>IFERROR(__xludf.DUMMYFUNCTION("""COMPUTED_VALUE"""),44645.0)</f>
        <v>44645</v>
      </c>
      <c r="C1326" s="5"/>
      <c r="D1326" s="5"/>
      <c r="E1326" s="5"/>
      <c r="F1326" s="22">
        <f>IFERROR(__xludf.DUMMYFUNCTION("""COMPUTED_VALUE"""),493448.06348)</f>
        <v>493448.0635</v>
      </c>
      <c r="G1326" s="22">
        <f>IFERROR(__xludf.DUMMYFUNCTION("""COMPUTED_VALUE"""),0.0)</f>
        <v>0</v>
      </c>
      <c r="H1326" s="22">
        <f>IFERROR(__xludf.DUMMYFUNCTION("""COMPUTED_VALUE"""),504150.148835)</f>
        <v>504150.1488</v>
      </c>
      <c r="I1326" s="24">
        <f>IFERROR(__xludf.DUMMYFUNCTION("""COMPUTED_VALUE"""),0.008300297669999956)</f>
        <v>0.00830029767</v>
      </c>
    </row>
    <row r="1327">
      <c r="A1327" s="5" t="str">
        <f>IFERROR(__xludf.DUMMYFUNCTION("""COMPUTED_VALUE"""),"37198")</f>
        <v>37198</v>
      </c>
      <c r="B1327" s="64">
        <f>IFERROR(__xludf.DUMMYFUNCTION("""COMPUTED_VALUE"""),44646.0)</f>
        <v>44646</v>
      </c>
      <c r="C1327" s="5"/>
      <c r="D1327" s="5"/>
      <c r="E1327" s="5"/>
      <c r="F1327" s="22">
        <f>IFERROR(__xludf.DUMMYFUNCTION("""COMPUTED_VALUE"""),493448.06348)</f>
        <v>493448.0635</v>
      </c>
      <c r="G1327" s="22">
        <f>IFERROR(__xludf.DUMMYFUNCTION("""COMPUTED_VALUE"""),0.0)</f>
        <v>0</v>
      </c>
      <c r="H1327" s="22">
        <f>IFERROR(__xludf.DUMMYFUNCTION("""COMPUTED_VALUE"""),504150.148835)</f>
        <v>504150.1488</v>
      </c>
      <c r="I1327" s="24">
        <f>IFERROR(__xludf.DUMMYFUNCTION("""COMPUTED_VALUE"""),0.008300297669999956)</f>
        <v>0.00830029767</v>
      </c>
    </row>
    <row r="1328">
      <c r="A1328" s="5" t="str">
        <f>IFERROR(__xludf.DUMMYFUNCTION("""COMPUTED_VALUE"""),"37198")</f>
        <v>37198</v>
      </c>
      <c r="B1328" s="64">
        <f>IFERROR(__xludf.DUMMYFUNCTION("""COMPUTED_VALUE"""),44647.0)</f>
        <v>44647</v>
      </c>
      <c r="C1328" s="5"/>
      <c r="D1328" s="5"/>
      <c r="E1328" s="5"/>
      <c r="F1328" s="22">
        <f>IFERROR(__xludf.DUMMYFUNCTION("""COMPUTED_VALUE"""),493448.06348)</f>
        <v>493448.0635</v>
      </c>
      <c r="G1328" s="22">
        <f>IFERROR(__xludf.DUMMYFUNCTION("""COMPUTED_VALUE"""),0.0)</f>
        <v>0</v>
      </c>
      <c r="H1328" s="22">
        <f>IFERROR(__xludf.DUMMYFUNCTION("""COMPUTED_VALUE"""),504150.148835)</f>
        <v>504150.1488</v>
      </c>
      <c r="I1328" s="24">
        <f>IFERROR(__xludf.DUMMYFUNCTION("""COMPUTED_VALUE"""),0.008300297669999956)</f>
        <v>0.00830029767</v>
      </c>
    </row>
    <row r="1329">
      <c r="A1329" s="5" t="str">
        <f>IFERROR(__xludf.DUMMYFUNCTION("""COMPUTED_VALUE"""),"37198")</f>
        <v>37198</v>
      </c>
      <c r="B1329" s="64">
        <f>IFERROR(__xludf.DUMMYFUNCTION("""COMPUTED_VALUE"""),44648.0)</f>
        <v>44648</v>
      </c>
      <c r="C1329" s="5"/>
      <c r="D1329" s="5"/>
      <c r="E1329" s="5"/>
      <c r="F1329" s="22">
        <f>IFERROR(__xludf.DUMMYFUNCTION("""COMPUTED_VALUE"""),493448.06348)</f>
        <v>493448.0635</v>
      </c>
      <c r="G1329" s="22">
        <f>IFERROR(__xludf.DUMMYFUNCTION("""COMPUTED_VALUE"""),0.0)</f>
        <v>0</v>
      </c>
      <c r="H1329" s="22">
        <f>IFERROR(__xludf.DUMMYFUNCTION("""COMPUTED_VALUE"""),500968.97333999997)</f>
        <v>500968.9733</v>
      </c>
      <c r="I1329" s="24">
        <f>IFERROR(__xludf.DUMMYFUNCTION("""COMPUTED_VALUE"""),0.0019379466800000245)</f>
        <v>0.00193794668</v>
      </c>
    </row>
    <row r="1330">
      <c r="A1330" s="5" t="str">
        <f>IFERROR(__xludf.DUMMYFUNCTION("""COMPUTED_VALUE"""),"37198")</f>
        <v>37198</v>
      </c>
      <c r="B1330" s="64">
        <f>IFERROR(__xludf.DUMMYFUNCTION("""COMPUTED_VALUE"""),44649.0)</f>
        <v>44649</v>
      </c>
      <c r="C1330" s="5"/>
      <c r="D1330" s="5"/>
      <c r="E1330" s="5"/>
      <c r="F1330" s="22">
        <f>IFERROR(__xludf.DUMMYFUNCTION("""COMPUTED_VALUE"""),493448.06348)</f>
        <v>493448.0635</v>
      </c>
      <c r="G1330" s="22">
        <f>IFERROR(__xludf.DUMMYFUNCTION("""COMPUTED_VALUE"""),0.0)</f>
        <v>0</v>
      </c>
      <c r="H1330" s="22">
        <f>IFERROR(__xludf.DUMMYFUNCTION("""COMPUTED_VALUE"""),501618.45701)</f>
        <v>501618.457</v>
      </c>
      <c r="I1330" s="24">
        <f>IFERROR(__xludf.DUMMYFUNCTION("""COMPUTED_VALUE"""),0.003236914019999926)</f>
        <v>0.00323691402</v>
      </c>
    </row>
    <row r="1331">
      <c r="A1331" s="5" t="str">
        <f>IFERROR(__xludf.DUMMYFUNCTION("""COMPUTED_VALUE"""),"37198")</f>
        <v>37198</v>
      </c>
      <c r="B1331" s="64">
        <f>IFERROR(__xludf.DUMMYFUNCTION("""COMPUTED_VALUE"""),44650.0)</f>
        <v>44650</v>
      </c>
      <c r="C1331" s="5"/>
      <c r="D1331" s="5"/>
      <c r="E1331" s="5"/>
      <c r="F1331" s="22">
        <f>IFERROR(__xludf.DUMMYFUNCTION("""COMPUTED_VALUE"""),493448.06348)</f>
        <v>493448.0635</v>
      </c>
      <c r="G1331" s="22">
        <f>IFERROR(__xludf.DUMMYFUNCTION("""COMPUTED_VALUE"""),0.0)</f>
        <v>0</v>
      </c>
      <c r="H1331" s="22">
        <f>IFERROR(__xludf.DUMMYFUNCTION("""COMPUTED_VALUE"""),502189.97322000004)</f>
        <v>502189.9732</v>
      </c>
      <c r="I1331" s="24">
        <f>IFERROR(__xludf.DUMMYFUNCTION("""COMPUTED_VALUE"""),0.00437994644000006)</f>
        <v>0.00437994644</v>
      </c>
    </row>
    <row r="1332">
      <c r="A1332" s="5" t="str">
        <f>IFERROR(__xludf.DUMMYFUNCTION("""COMPUTED_VALUE"""),"37198")</f>
        <v>37198</v>
      </c>
      <c r="B1332" s="64">
        <f>IFERROR(__xludf.DUMMYFUNCTION("""COMPUTED_VALUE"""),44651.0)</f>
        <v>44651</v>
      </c>
      <c r="C1332" s="5"/>
      <c r="D1332" s="5"/>
      <c r="E1332" s="5"/>
      <c r="F1332" s="22">
        <f>IFERROR(__xludf.DUMMYFUNCTION("""COMPUTED_VALUE"""),493448.06348)</f>
        <v>493448.0635</v>
      </c>
      <c r="G1332" s="22">
        <f>IFERROR(__xludf.DUMMYFUNCTION("""COMPUTED_VALUE"""),0.0)</f>
        <v>0</v>
      </c>
      <c r="H1332" s="22">
        <f>IFERROR(__xludf.DUMMYFUNCTION("""COMPUTED_VALUE"""),499337.919965)</f>
        <v>499337.92</v>
      </c>
      <c r="I1332" s="24">
        <f>IFERROR(__xludf.DUMMYFUNCTION("""COMPUTED_VALUE"""),-0.0013241600700000244)</f>
        <v>-0.00132416007</v>
      </c>
    </row>
    <row r="1333">
      <c r="A1333" s="5" t="str">
        <f>IFERROR(__xludf.DUMMYFUNCTION("""COMPUTED_VALUE"""),"37198")</f>
        <v>37198</v>
      </c>
      <c r="B1333" s="64">
        <f>IFERROR(__xludf.DUMMYFUNCTION("""COMPUTED_VALUE"""),44652.0)</f>
        <v>44652</v>
      </c>
      <c r="C1333" s="5"/>
      <c r="D1333" s="5"/>
      <c r="E1333" s="5"/>
      <c r="F1333" s="22">
        <f>IFERROR(__xludf.DUMMYFUNCTION("""COMPUTED_VALUE"""),493448.06348)</f>
        <v>493448.0635</v>
      </c>
      <c r="G1333" s="22">
        <f>IFERROR(__xludf.DUMMYFUNCTION("""COMPUTED_VALUE"""),0.0)</f>
        <v>0</v>
      </c>
      <c r="H1333" s="22">
        <f>IFERROR(__xludf.DUMMYFUNCTION("""COMPUTED_VALUE"""),499044.31768)</f>
        <v>499044.3177</v>
      </c>
      <c r="I1333" s="24">
        <f>IFERROR(__xludf.DUMMYFUNCTION("""COMPUTED_VALUE"""),-0.0019113646400000794)</f>
        <v>-0.00191136464</v>
      </c>
    </row>
    <row r="1334">
      <c r="A1334" s="5" t="str">
        <f>IFERROR(__xludf.DUMMYFUNCTION("""COMPUTED_VALUE"""),"37198")</f>
        <v>37198</v>
      </c>
      <c r="B1334" s="64">
        <f>IFERROR(__xludf.DUMMYFUNCTION("""COMPUTED_VALUE"""),44653.0)</f>
        <v>44653</v>
      </c>
      <c r="C1334" s="5"/>
      <c r="D1334" s="5"/>
      <c r="E1334" s="5"/>
      <c r="F1334" s="22">
        <f>IFERROR(__xludf.DUMMYFUNCTION("""COMPUTED_VALUE"""),493448.06348)</f>
        <v>493448.0635</v>
      </c>
      <c r="G1334" s="22">
        <f>IFERROR(__xludf.DUMMYFUNCTION("""COMPUTED_VALUE"""),0.0)</f>
        <v>0</v>
      </c>
      <c r="H1334" s="22">
        <f>IFERROR(__xludf.DUMMYFUNCTION("""COMPUTED_VALUE"""),499044.31768)</f>
        <v>499044.3177</v>
      </c>
      <c r="I1334" s="24">
        <f>IFERROR(__xludf.DUMMYFUNCTION("""COMPUTED_VALUE"""),-0.0019113646400000794)</f>
        <v>-0.00191136464</v>
      </c>
    </row>
    <row r="1335">
      <c r="A1335" s="5" t="str">
        <f>IFERROR(__xludf.DUMMYFUNCTION("""COMPUTED_VALUE"""),"37198")</f>
        <v>37198</v>
      </c>
      <c r="B1335" s="64">
        <f>IFERROR(__xludf.DUMMYFUNCTION("""COMPUTED_VALUE"""),44654.0)</f>
        <v>44654</v>
      </c>
      <c r="C1335" s="5"/>
      <c r="D1335" s="5"/>
      <c r="E1335" s="5"/>
      <c r="F1335" s="22">
        <f>IFERROR(__xludf.DUMMYFUNCTION("""COMPUTED_VALUE"""),493448.06348)</f>
        <v>493448.0635</v>
      </c>
      <c r="G1335" s="22">
        <f>IFERROR(__xludf.DUMMYFUNCTION("""COMPUTED_VALUE"""),0.0)</f>
        <v>0</v>
      </c>
      <c r="H1335" s="22">
        <f>IFERROR(__xludf.DUMMYFUNCTION("""COMPUTED_VALUE"""),499044.31768)</f>
        <v>499044.3177</v>
      </c>
      <c r="I1335" s="24">
        <f>IFERROR(__xludf.DUMMYFUNCTION("""COMPUTED_VALUE"""),-0.0019113646400000794)</f>
        <v>-0.00191136464</v>
      </c>
    </row>
    <row r="1336">
      <c r="A1336" s="5" t="str">
        <f>IFERROR(__xludf.DUMMYFUNCTION("""COMPUTED_VALUE"""),"37198")</f>
        <v>37198</v>
      </c>
      <c r="B1336" s="64">
        <f>IFERROR(__xludf.DUMMYFUNCTION("""COMPUTED_VALUE"""),44655.0)</f>
        <v>44655</v>
      </c>
      <c r="C1336" s="5"/>
      <c r="D1336" s="5"/>
      <c r="E1336" s="5"/>
      <c r="F1336" s="22">
        <f>IFERROR(__xludf.DUMMYFUNCTION("""COMPUTED_VALUE"""),493448.06348)</f>
        <v>493448.0635</v>
      </c>
      <c r="G1336" s="22">
        <f>IFERROR(__xludf.DUMMYFUNCTION("""COMPUTED_VALUE"""),0.0)</f>
        <v>0</v>
      </c>
      <c r="H1336" s="22">
        <f>IFERROR(__xludf.DUMMYFUNCTION("""COMPUTED_VALUE"""),501798.23856)</f>
        <v>501798.2386</v>
      </c>
      <c r="I1336" s="24">
        <f>IFERROR(__xludf.DUMMYFUNCTION("""COMPUTED_VALUE"""),0.0035964771200001078)</f>
        <v>0.00359647712</v>
      </c>
    </row>
    <row r="1337">
      <c r="A1337" s="5" t="str">
        <f>IFERROR(__xludf.DUMMYFUNCTION("""COMPUTED_VALUE"""),"37198")</f>
        <v>37198</v>
      </c>
      <c r="B1337" s="64">
        <f>IFERROR(__xludf.DUMMYFUNCTION("""COMPUTED_VALUE"""),44656.0)</f>
        <v>44656</v>
      </c>
      <c r="C1337" s="5"/>
      <c r="D1337" s="5"/>
      <c r="E1337" s="5"/>
      <c r="F1337" s="22">
        <f>IFERROR(__xludf.DUMMYFUNCTION("""COMPUTED_VALUE"""),493448.06348)</f>
        <v>493448.0635</v>
      </c>
      <c r="G1337" s="22">
        <f>IFERROR(__xludf.DUMMYFUNCTION("""COMPUTED_VALUE"""),0.0)</f>
        <v>0</v>
      </c>
      <c r="H1337" s="22">
        <f>IFERROR(__xludf.DUMMYFUNCTION("""COMPUTED_VALUE"""),499920.46849999996)</f>
        <v>499920.4685</v>
      </c>
      <c r="I1337" s="24">
        <f>IFERROR(__xludf.DUMMYFUNCTION("""COMPUTED_VALUE"""),-1.5906300000012585E-4)</f>
        <v>-0.000159063</v>
      </c>
    </row>
    <row r="1338">
      <c r="A1338" s="5" t="str">
        <f>IFERROR(__xludf.DUMMYFUNCTION("""COMPUTED_VALUE"""),"37198")</f>
        <v>37198</v>
      </c>
      <c r="B1338" s="64">
        <f>IFERROR(__xludf.DUMMYFUNCTION("""COMPUTED_VALUE"""),44657.0)</f>
        <v>44657</v>
      </c>
      <c r="C1338" s="5"/>
      <c r="D1338" s="5"/>
      <c r="E1338" s="5"/>
      <c r="F1338" s="22">
        <f>IFERROR(__xludf.DUMMYFUNCTION("""COMPUTED_VALUE"""),493448.06348)</f>
        <v>493448.0635</v>
      </c>
      <c r="G1338" s="22">
        <f>IFERROR(__xludf.DUMMYFUNCTION("""COMPUTED_VALUE"""),0.0)</f>
        <v>0</v>
      </c>
      <c r="H1338" s="22">
        <f>IFERROR(__xludf.DUMMYFUNCTION("""COMPUTED_VALUE"""),498414.332285)</f>
        <v>498414.3323</v>
      </c>
      <c r="I1338" s="24">
        <f>IFERROR(__xludf.DUMMYFUNCTION("""COMPUTED_VALUE"""),-0.003171335429999922)</f>
        <v>-0.00317133543</v>
      </c>
    </row>
    <row r="1339">
      <c r="A1339" s="5" t="str">
        <f>IFERROR(__xludf.DUMMYFUNCTION("""COMPUTED_VALUE"""),"37198")</f>
        <v>37198</v>
      </c>
      <c r="B1339" s="64">
        <f>IFERROR(__xludf.DUMMYFUNCTION("""COMPUTED_VALUE"""),44658.0)</f>
        <v>44658</v>
      </c>
      <c r="C1339" s="5"/>
      <c r="D1339" s="5"/>
      <c r="E1339" s="5"/>
      <c r="F1339" s="22">
        <f>IFERROR(__xludf.DUMMYFUNCTION("""COMPUTED_VALUE"""),493448.06348)</f>
        <v>493448.0635</v>
      </c>
      <c r="G1339" s="22">
        <f>IFERROR(__xludf.DUMMYFUNCTION("""COMPUTED_VALUE"""),0.0)</f>
        <v>0</v>
      </c>
      <c r="H1339" s="22">
        <f>IFERROR(__xludf.DUMMYFUNCTION("""COMPUTED_VALUE"""),497765.201165)</f>
        <v>497765.2012</v>
      </c>
      <c r="I1339" s="24">
        <f>IFERROR(__xludf.DUMMYFUNCTION("""COMPUTED_VALUE"""),-0.004469597669999992)</f>
        <v>-0.00446959767</v>
      </c>
    </row>
    <row r="1340">
      <c r="A1340" s="5" t="str">
        <f>IFERROR(__xludf.DUMMYFUNCTION("""COMPUTED_VALUE"""),"37198")</f>
        <v>37198</v>
      </c>
      <c r="B1340" s="64">
        <f>IFERROR(__xludf.DUMMYFUNCTION("""COMPUTED_VALUE"""),44659.0)</f>
        <v>44659</v>
      </c>
      <c r="C1340" s="5"/>
      <c r="D1340" s="5"/>
      <c r="E1340" s="5"/>
      <c r="F1340" s="22">
        <f>IFERROR(__xludf.DUMMYFUNCTION("""COMPUTED_VALUE"""),493448.06348)</f>
        <v>493448.0635</v>
      </c>
      <c r="G1340" s="22">
        <f>IFERROR(__xludf.DUMMYFUNCTION("""COMPUTED_VALUE"""),0.0)</f>
        <v>0</v>
      </c>
      <c r="H1340" s="22">
        <f>IFERROR(__xludf.DUMMYFUNCTION("""COMPUTED_VALUE"""),494519.79388499993)</f>
        <v>494519.7939</v>
      </c>
      <c r="I1340" s="24">
        <f>IFERROR(__xludf.DUMMYFUNCTION("""COMPUTED_VALUE"""),-0.010960412230000105)</f>
        <v>-0.01096041223</v>
      </c>
    </row>
    <row r="1341">
      <c r="A1341" s="5" t="str">
        <f>IFERROR(__xludf.DUMMYFUNCTION("""COMPUTED_VALUE"""),"37198")</f>
        <v>37198</v>
      </c>
      <c r="B1341" s="64">
        <f>IFERROR(__xludf.DUMMYFUNCTION("""COMPUTED_VALUE"""),44660.0)</f>
        <v>44660</v>
      </c>
      <c r="C1341" s="5"/>
      <c r="D1341" s="5"/>
      <c r="E1341" s="5"/>
      <c r="F1341" s="22">
        <f>IFERROR(__xludf.DUMMYFUNCTION("""COMPUTED_VALUE"""),364144.72951499996)</f>
        <v>364144.7295</v>
      </c>
      <c r="G1341" s="22">
        <f>IFERROR(__xludf.DUMMYFUNCTION("""COMPUTED_VALUE"""),0.0)</f>
        <v>0</v>
      </c>
      <c r="H1341" s="22">
        <f>IFERROR(__xludf.DUMMYFUNCTION("""COMPUTED_VALUE"""),496432.574545)</f>
        <v>496432.5745</v>
      </c>
      <c r="I1341" s="24">
        <f>IFERROR(__xludf.DUMMYFUNCTION("""COMPUTED_VALUE"""),-0.00713485090999999)</f>
        <v>-0.00713485091</v>
      </c>
    </row>
    <row r="1342">
      <c r="A1342" s="5" t="str">
        <f>IFERROR(__xludf.DUMMYFUNCTION("""COMPUTED_VALUE"""),"37198")</f>
        <v>37198</v>
      </c>
      <c r="B1342" s="64">
        <f>IFERROR(__xludf.DUMMYFUNCTION("""COMPUTED_VALUE"""),44661.0)</f>
        <v>44661</v>
      </c>
      <c r="C1342" s="5"/>
      <c r="D1342" s="5"/>
      <c r="E1342" s="5"/>
      <c r="F1342" s="22">
        <f>IFERROR(__xludf.DUMMYFUNCTION("""COMPUTED_VALUE"""),364144.72951499996)</f>
        <v>364144.7295</v>
      </c>
      <c r="G1342" s="22">
        <f>IFERROR(__xludf.DUMMYFUNCTION("""COMPUTED_VALUE"""),0.0)</f>
        <v>0</v>
      </c>
      <c r="H1342" s="22">
        <f>IFERROR(__xludf.DUMMYFUNCTION("""COMPUTED_VALUE"""),496432.574545)</f>
        <v>496432.5745</v>
      </c>
      <c r="I1342" s="24">
        <f>IFERROR(__xludf.DUMMYFUNCTION("""COMPUTED_VALUE"""),-0.00713485090999999)</f>
        <v>-0.00713485091</v>
      </c>
    </row>
    <row r="1343">
      <c r="A1343" s="5" t="str">
        <f>IFERROR(__xludf.DUMMYFUNCTION("""COMPUTED_VALUE"""),"37198")</f>
        <v>37198</v>
      </c>
      <c r="B1343" s="64">
        <f>IFERROR(__xludf.DUMMYFUNCTION("""COMPUTED_VALUE"""),44662.0)</f>
        <v>44662</v>
      </c>
      <c r="C1343" s="5"/>
      <c r="D1343" s="5"/>
      <c r="E1343" s="5"/>
      <c r="F1343" s="22">
        <f>IFERROR(__xludf.DUMMYFUNCTION("""COMPUTED_VALUE"""),364144.72951499996)</f>
        <v>364144.7295</v>
      </c>
      <c r="G1343" s="22">
        <f>IFERROR(__xludf.DUMMYFUNCTION("""COMPUTED_VALUE"""),0.0)</f>
        <v>0</v>
      </c>
      <c r="H1343" s="22">
        <f>IFERROR(__xludf.DUMMYFUNCTION("""COMPUTED_VALUE"""),489870.41768500005)</f>
        <v>489870.4177</v>
      </c>
      <c r="I1343" s="24">
        <f>IFERROR(__xludf.DUMMYFUNCTION("""COMPUTED_VALUE"""),-0.020259164629999882)</f>
        <v>-0.02025916463</v>
      </c>
    </row>
    <row r="1344">
      <c r="A1344" s="5" t="str">
        <f>IFERROR(__xludf.DUMMYFUNCTION("""COMPUTED_VALUE"""),"37198")</f>
        <v>37198</v>
      </c>
      <c r="B1344" s="64">
        <f>IFERROR(__xludf.DUMMYFUNCTION("""COMPUTED_VALUE"""),44663.0)</f>
        <v>44663</v>
      </c>
      <c r="C1344" s="5"/>
      <c r="D1344" s="5"/>
      <c r="E1344" s="5"/>
      <c r="F1344" s="22">
        <f>IFERROR(__xludf.DUMMYFUNCTION("""COMPUTED_VALUE"""),364144.72951499996)</f>
        <v>364144.7295</v>
      </c>
      <c r="G1344" s="22">
        <f>IFERROR(__xludf.DUMMYFUNCTION("""COMPUTED_VALUE"""),0.0)</f>
        <v>0</v>
      </c>
      <c r="H1344" s="22">
        <f>IFERROR(__xludf.DUMMYFUNCTION("""COMPUTED_VALUE"""),490208.77173000004)</f>
        <v>490208.7717</v>
      </c>
      <c r="I1344" s="24">
        <f>IFERROR(__xludf.DUMMYFUNCTION("""COMPUTED_VALUE"""),-0.019582456539999904)</f>
        <v>-0.01958245654</v>
      </c>
    </row>
    <row r="1345">
      <c r="A1345" s="5" t="str">
        <f>IFERROR(__xludf.DUMMYFUNCTION("""COMPUTED_VALUE"""),"37400")</f>
        <v>37400</v>
      </c>
      <c r="B1345" s="64">
        <f>IFERROR(__xludf.DUMMYFUNCTION("""COMPUTED_VALUE"""),44597.0)</f>
        <v>44597</v>
      </c>
      <c r="C1345" s="5"/>
      <c r="D1345" s="5"/>
      <c r="E1345" s="5"/>
      <c r="F1345" s="22">
        <f>IFERROR(__xludf.DUMMYFUNCTION("""COMPUTED_VALUE"""),500000.0)</f>
        <v>500000</v>
      </c>
      <c r="G1345" s="22">
        <f>IFERROR(__xludf.DUMMYFUNCTION("""COMPUTED_VALUE"""),0.0)</f>
        <v>0</v>
      </c>
      <c r="H1345" s="22">
        <f>IFERROR(__xludf.DUMMYFUNCTION("""COMPUTED_VALUE"""),500000.0)</f>
        <v>500000</v>
      </c>
      <c r="I1345" s="24">
        <f>IFERROR(__xludf.DUMMYFUNCTION("""COMPUTED_VALUE"""),0.0)</f>
        <v>0</v>
      </c>
    </row>
    <row r="1346">
      <c r="A1346" s="5" t="str">
        <f>IFERROR(__xludf.DUMMYFUNCTION("""COMPUTED_VALUE"""),"37400")</f>
        <v>37400</v>
      </c>
      <c r="B1346" s="64">
        <f>IFERROR(__xludf.DUMMYFUNCTION("""COMPUTED_VALUE"""),44598.0)</f>
        <v>44598</v>
      </c>
      <c r="C1346" s="5"/>
      <c r="D1346" s="5"/>
      <c r="E1346" s="5"/>
      <c r="F1346" s="22">
        <f>IFERROR(__xludf.DUMMYFUNCTION("""COMPUTED_VALUE"""),500000.0)</f>
        <v>500000</v>
      </c>
      <c r="G1346" s="22">
        <f>IFERROR(__xludf.DUMMYFUNCTION("""COMPUTED_VALUE"""),0.0)</f>
        <v>0</v>
      </c>
      <c r="H1346" s="22">
        <f>IFERROR(__xludf.DUMMYFUNCTION("""COMPUTED_VALUE"""),500000.0)</f>
        <v>500000</v>
      </c>
      <c r="I1346" s="24">
        <f>IFERROR(__xludf.DUMMYFUNCTION("""COMPUTED_VALUE"""),0.0)</f>
        <v>0</v>
      </c>
    </row>
    <row r="1347">
      <c r="A1347" s="5" t="str">
        <f>IFERROR(__xludf.DUMMYFUNCTION("""COMPUTED_VALUE"""),"37400")</f>
        <v>37400</v>
      </c>
      <c r="B1347" s="64">
        <f>IFERROR(__xludf.DUMMYFUNCTION("""COMPUTED_VALUE"""),44599.0)</f>
        <v>44599</v>
      </c>
      <c r="C1347" s="5"/>
      <c r="D1347" s="5"/>
      <c r="E1347" s="5"/>
      <c r="F1347" s="22">
        <f>IFERROR(__xludf.DUMMYFUNCTION("""COMPUTED_VALUE"""),500000.0)</f>
        <v>500000</v>
      </c>
      <c r="G1347" s="22">
        <f>IFERROR(__xludf.DUMMYFUNCTION("""COMPUTED_VALUE"""),0.0)</f>
        <v>0</v>
      </c>
      <c r="H1347" s="22">
        <f>IFERROR(__xludf.DUMMYFUNCTION("""COMPUTED_VALUE"""),500000.0)</f>
        <v>500000</v>
      </c>
      <c r="I1347" s="24">
        <f>IFERROR(__xludf.DUMMYFUNCTION("""COMPUTED_VALUE"""),0.0)</f>
        <v>0</v>
      </c>
    </row>
    <row r="1348">
      <c r="A1348" s="5" t="str">
        <f>IFERROR(__xludf.DUMMYFUNCTION("""COMPUTED_VALUE"""),"37400")</f>
        <v>37400</v>
      </c>
      <c r="B1348" s="64">
        <f>IFERROR(__xludf.DUMMYFUNCTION("""COMPUTED_VALUE"""),44600.0)</f>
        <v>44600</v>
      </c>
      <c r="C1348" s="5"/>
      <c r="D1348" s="5"/>
      <c r="E1348" s="5"/>
      <c r="F1348" s="22">
        <f>IFERROR(__xludf.DUMMYFUNCTION("""COMPUTED_VALUE"""),500000.0)</f>
        <v>500000</v>
      </c>
      <c r="G1348" s="22">
        <f>IFERROR(__xludf.DUMMYFUNCTION("""COMPUTED_VALUE"""),0.0)</f>
        <v>0</v>
      </c>
      <c r="H1348" s="22">
        <f>IFERROR(__xludf.DUMMYFUNCTION("""COMPUTED_VALUE"""),500000.0)</f>
        <v>500000</v>
      </c>
      <c r="I1348" s="24">
        <f>IFERROR(__xludf.DUMMYFUNCTION("""COMPUTED_VALUE"""),0.0)</f>
        <v>0</v>
      </c>
    </row>
    <row r="1349">
      <c r="A1349" s="5" t="str">
        <f>IFERROR(__xludf.DUMMYFUNCTION("""COMPUTED_VALUE"""),"37400")</f>
        <v>37400</v>
      </c>
      <c r="B1349" s="64">
        <f>IFERROR(__xludf.DUMMYFUNCTION("""COMPUTED_VALUE"""),44601.0)</f>
        <v>44601</v>
      </c>
      <c r="C1349" s="5"/>
      <c r="D1349" s="5"/>
      <c r="E1349" s="5"/>
      <c r="F1349" s="22">
        <f>IFERROR(__xludf.DUMMYFUNCTION("""COMPUTED_VALUE"""),500000.0)</f>
        <v>500000</v>
      </c>
      <c r="G1349" s="22">
        <f>IFERROR(__xludf.DUMMYFUNCTION("""COMPUTED_VALUE"""),0.0)</f>
        <v>0</v>
      </c>
      <c r="H1349" s="22">
        <f>IFERROR(__xludf.DUMMYFUNCTION("""COMPUTED_VALUE"""),500000.0)</f>
        <v>500000</v>
      </c>
      <c r="I1349" s="24">
        <f>IFERROR(__xludf.DUMMYFUNCTION("""COMPUTED_VALUE"""),0.0)</f>
        <v>0</v>
      </c>
    </row>
    <row r="1350">
      <c r="A1350" s="5" t="str">
        <f>IFERROR(__xludf.DUMMYFUNCTION("""COMPUTED_VALUE"""),"37400")</f>
        <v>37400</v>
      </c>
      <c r="B1350" s="64">
        <f>IFERROR(__xludf.DUMMYFUNCTION("""COMPUTED_VALUE"""),44602.0)</f>
        <v>44602</v>
      </c>
      <c r="C1350" s="5"/>
      <c r="D1350" s="5"/>
      <c r="E1350" s="5"/>
      <c r="F1350" s="22">
        <f>IFERROR(__xludf.DUMMYFUNCTION("""COMPUTED_VALUE"""),500000.0)</f>
        <v>500000</v>
      </c>
      <c r="G1350" s="22">
        <f>IFERROR(__xludf.DUMMYFUNCTION("""COMPUTED_VALUE"""),0.0)</f>
        <v>0</v>
      </c>
      <c r="H1350" s="22">
        <f>IFERROR(__xludf.DUMMYFUNCTION("""COMPUTED_VALUE"""),500000.0)</f>
        <v>500000</v>
      </c>
      <c r="I1350" s="24">
        <f>IFERROR(__xludf.DUMMYFUNCTION("""COMPUTED_VALUE"""),0.0)</f>
        <v>0</v>
      </c>
    </row>
    <row r="1351">
      <c r="A1351" s="5" t="str">
        <f>IFERROR(__xludf.DUMMYFUNCTION("""COMPUTED_VALUE"""),"37400")</f>
        <v>37400</v>
      </c>
      <c r="B1351" s="64">
        <f>IFERROR(__xludf.DUMMYFUNCTION("""COMPUTED_VALUE"""),44603.0)</f>
        <v>44603</v>
      </c>
      <c r="C1351" s="5"/>
      <c r="D1351" s="5"/>
      <c r="E1351" s="5"/>
      <c r="F1351" s="22">
        <f>IFERROR(__xludf.DUMMYFUNCTION("""COMPUTED_VALUE"""),500000.0)</f>
        <v>500000</v>
      </c>
      <c r="G1351" s="22">
        <f>IFERROR(__xludf.DUMMYFUNCTION("""COMPUTED_VALUE"""),0.0)</f>
        <v>0</v>
      </c>
      <c r="H1351" s="22">
        <f>IFERROR(__xludf.DUMMYFUNCTION("""COMPUTED_VALUE"""),500000.0)</f>
        <v>500000</v>
      </c>
      <c r="I1351" s="24">
        <f>IFERROR(__xludf.DUMMYFUNCTION("""COMPUTED_VALUE"""),0.0)</f>
        <v>0</v>
      </c>
    </row>
    <row r="1352">
      <c r="A1352" s="5" t="str">
        <f>IFERROR(__xludf.DUMMYFUNCTION("""COMPUTED_VALUE"""),"37400")</f>
        <v>37400</v>
      </c>
      <c r="B1352" s="64">
        <f>IFERROR(__xludf.DUMMYFUNCTION("""COMPUTED_VALUE"""),44604.0)</f>
        <v>44604</v>
      </c>
      <c r="C1352" s="5"/>
      <c r="D1352" s="5"/>
      <c r="E1352" s="5"/>
      <c r="F1352" s="22">
        <f>IFERROR(__xludf.DUMMYFUNCTION("""COMPUTED_VALUE"""),500000.0)</f>
        <v>500000</v>
      </c>
      <c r="G1352" s="22">
        <f>IFERROR(__xludf.DUMMYFUNCTION("""COMPUTED_VALUE"""),0.0)</f>
        <v>0</v>
      </c>
      <c r="H1352" s="22">
        <f>IFERROR(__xludf.DUMMYFUNCTION("""COMPUTED_VALUE"""),500000.0)</f>
        <v>500000</v>
      </c>
      <c r="I1352" s="24">
        <f>IFERROR(__xludf.DUMMYFUNCTION("""COMPUTED_VALUE"""),0.0)</f>
        <v>0</v>
      </c>
    </row>
    <row r="1353">
      <c r="A1353" s="5" t="str">
        <f>IFERROR(__xludf.DUMMYFUNCTION("""COMPUTED_VALUE"""),"37400")</f>
        <v>37400</v>
      </c>
      <c r="B1353" s="64">
        <f>IFERROR(__xludf.DUMMYFUNCTION("""COMPUTED_VALUE"""),44605.0)</f>
        <v>44605</v>
      </c>
      <c r="C1353" s="5"/>
      <c r="D1353" s="5"/>
      <c r="E1353" s="5"/>
      <c r="F1353" s="22">
        <f>IFERROR(__xludf.DUMMYFUNCTION("""COMPUTED_VALUE"""),500000.0)</f>
        <v>500000</v>
      </c>
      <c r="G1353" s="22">
        <f>IFERROR(__xludf.DUMMYFUNCTION("""COMPUTED_VALUE"""),0.0)</f>
        <v>0</v>
      </c>
      <c r="H1353" s="22">
        <f>IFERROR(__xludf.DUMMYFUNCTION("""COMPUTED_VALUE"""),500000.0)</f>
        <v>500000</v>
      </c>
      <c r="I1353" s="24">
        <f>IFERROR(__xludf.DUMMYFUNCTION("""COMPUTED_VALUE"""),0.0)</f>
        <v>0</v>
      </c>
    </row>
    <row r="1354">
      <c r="A1354" s="5" t="str">
        <f>IFERROR(__xludf.DUMMYFUNCTION("""COMPUTED_VALUE"""),"37400")</f>
        <v>37400</v>
      </c>
      <c r="B1354" s="64">
        <f>IFERROR(__xludf.DUMMYFUNCTION("""COMPUTED_VALUE"""),44606.0)</f>
        <v>44606</v>
      </c>
      <c r="C1354" s="5"/>
      <c r="D1354" s="5"/>
      <c r="E1354" s="5"/>
      <c r="F1354" s="22">
        <f>IFERROR(__xludf.DUMMYFUNCTION("""COMPUTED_VALUE"""),500000.0)</f>
        <v>500000</v>
      </c>
      <c r="G1354" s="22">
        <f>IFERROR(__xludf.DUMMYFUNCTION("""COMPUTED_VALUE"""),0.0)</f>
        <v>0</v>
      </c>
      <c r="H1354" s="22">
        <f>IFERROR(__xludf.DUMMYFUNCTION("""COMPUTED_VALUE"""),500000.0)</f>
        <v>500000</v>
      </c>
      <c r="I1354" s="24">
        <f>IFERROR(__xludf.DUMMYFUNCTION("""COMPUTED_VALUE"""),0.0)</f>
        <v>0</v>
      </c>
    </row>
    <row r="1355">
      <c r="A1355" s="5" t="str">
        <f>IFERROR(__xludf.DUMMYFUNCTION("""COMPUTED_VALUE"""),"37400")</f>
        <v>37400</v>
      </c>
      <c r="B1355" s="64">
        <f>IFERROR(__xludf.DUMMYFUNCTION("""COMPUTED_VALUE"""),44607.0)</f>
        <v>44607</v>
      </c>
      <c r="C1355" s="5"/>
      <c r="D1355" s="5"/>
      <c r="E1355" s="5"/>
      <c r="F1355" s="22">
        <f>IFERROR(__xludf.DUMMYFUNCTION("""COMPUTED_VALUE"""),500000.0)</f>
        <v>500000</v>
      </c>
      <c r="G1355" s="22">
        <f>IFERROR(__xludf.DUMMYFUNCTION("""COMPUTED_VALUE"""),0.0)</f>
        <v>0</v>
      </c>
      <c r="H1355" s="22">
        <f>IFERROR(__xludf.DUMMYFUNCTION("""COMPUTED_VALUE"""),500000.0)</f>
        <v>500000</v>
      </c>
      <c r="I1355" s="24">
        <f>IFERROR(__xludf.DUMMYFUNCTION("""COMPUTED_VALUE"""),0.0)</f>
        <v>0</v>
      </c>
    </row>
    <row r="1356">
      <c r="A1356" s="5" t="str">
        <f>IFERROR(__xludf.DUMMYFUNCTION("""COMPUTED_VALUE"""),"37400")</f>
        <v>37400</v>
      </c>
      <c r="B1356" s="64">
        <f>IFERROR(__xludf.DUMMYFUNCTION("""COMPUTED_VALUE"""),44608.0)</f>
        <v>44608</v>
      </c>
      <c r="C1356" s="5"/>
      <c r="D1356" s="5"/>
      <c r="E1356" s="5"/>
      <c r="F1356" s="22">
        <f>IFERROR(__xludf.DUMMYFUNCTION("""COMPUTED_VALUE"""),500000.0)</f>
        <v>500000</v>
      </c>
      <c r="G1356" s="22">
        <f>IFERROR(__xludf.DUMMYFUNCTION("""COMPUTED_VALUE"""),0.0)</f>
        <v>0</v>
      </c>
      <c r="H1356" s="22">
        <f>IFERROR(__xludf.DUMMYFUNCTION("""COMPUTED_VALUE"""),500000.0)</f>
        <v>500000</v>
      </c>
      <c r="I1356" s="24">
        <f>IFERROR(__xludf.DUMMYFUNCTION("""COMPUTED_VALUE"""),0.0)</f>
        <v>0</v>
      </c>
    </row>
    <row r="1357">
      <c r="A1357" s="5" t="str">
        <f>IFERROR(__xludf.DUMMYFUNCTION("""COMPUTED_VALUE"""),"37400")</f>
        <v>37400</v>
      </c>
      <c r="B1357" s="64">
        <f>IFERROR(__xludf.DUMMYFUNCTION("""COMPUTED_VALUE"""),44609.0)</f>
        <v>44609</v>
      </c>
      <c r="C1357" s="5"/>
      <c r="D1357" s="5"/>
      <c r="E1357" s="5"/>
      <c r="F1357" s="22">
        <f>IFERROR(__xludf.DUMMYFUNCTION("""COMPUTED_VALUE"""),376974.4202555)</f>
        <v>376974.4203</v>
      </c>
      <c r="G1357" s="22">
        <f>IFERROR(__xludf.DUMMYFUNCTION("""COMPUTED_VALUE"""),0.0)</f>
        <v>0</v>
      </c>
      <c r="H1357" s="22">
        <f>IFERROR(__xludf.DUMMYFUNCTION("""COMPUTED_VALUE"""),500000.0)</f>
        <v>500000</v>
      </c>
      <c r="I1357" s="24">
        <f>IFERROR(__xludf.DUMMYFUNCTION("""COMPUTED_VALUE"""),0.0)</f>
        <v>0</v>
      </c>
    </row>
    <row r="1358">
      <c r="A1358" s="5" t="str">
        <f>IFERROR(__xludf.DUMMYFUNCTION("""COMPUTED_VALUE"""),"37400")</f>
        <v>37400</v>
      </c>
      <c r="B1358" s="64">
        <f>IFERROR(__xludf.DUMMYFUNCTION("""COMPUTED_VALUE"""),44610.0)</f>
        <v>44610</v>
      </c>
      <c r="C1358" s="5"/>
      <c r="D1358" s="5"/>
      <c r="E1358" s="5"/>
      <c r="F1358" s="22">
        <f>IFERROR(__xludf.DUMMYFUNCTION("""COMPUTED_VALUE"""),376974.4202555)</f>
        <v>376974.4203</v>
      </c>
      <c r="G1358" s="22">
        <f>IFERROR(__xludf.DUMMYFUNCTION("""COMPUTED_VALUE"""),0.0)</f>
        <v>0</v>
      </c>
      <c r="H1358" s="22">
        <f>IFERROR(__xludf.DUMMYFUNCTION("""COMPUTED_VALUE"""),497280.7605641)</f>
        <v>497280.7606</v>
      </c>
      <c r="I1358" s="24">
        <f>IFERROR(__xludf.DUMMYFUNCTION("""COMPUTED_VALUE"""),-0.005438478871800045)</f>
        <v>-0.005438478872</v>
      </c>
    </row>
    <row r="1359">
      <c r="A1359" s="5" t="str">
        <f>IFERROR(__xludf.DUMMYFUNCTION("""COMPUTED_VALUE"""),"37400")</f>
        <v>37400</v>
      </c>
      <c r="B1359" s="64">
        <f>IFERROR(__xludf.DUMMYFUNCTION("""COMPUTED_VALUE"""),44611.0)</f>
        <v>44611</v>
      </c>
      <c r="C1359" s="5"/>
      <c r="D1359" s="5"/>
      <c r="E1359" s="5"/>
      <c r="F1359" s="22">
        <f>IFERROR(__xludf.DUMMYFUNCTION("""COMPUTED_VALUE"""),376974.4202555)</f>
        <v>376974.4203</v>
      </c>
      <c r="G1359" s="22">
        <f>IFERROR(__xludf.DUMMYFUNCTION("""COMPUTED_VALUE"""),0.0)</f>
        <v>0</v>
      </c>
      <c r="H1359" s="22">
        <f>IFERROR(__xludf.DUMMYFUNCTION("""COMPUTED_VALUE"""),497280.7605641)</f>
        <v>497280.7606</v>
      </c>
      <c r="I1359" s="24">
        <f>IFERROR(__xludf.DUMMYFUNCTION("""COMPUTED_VALUE"""),-0.005438478871800045)</f>
        <v>-0.005438478872</v>
      </c>
    </row>
    <row r="1360">
      <c r="A1360" s="5" t="str">
        <f>IFERROR(__xludf.DUMMYFUNCTION("""COMPUTED_VALUE"""),"37400")</f>
        <v>37400</v>
      </c>
      <c r="B1360" s="64">
        <f>IFERROR(__xludf.DUMMYFUNCTION("""COMPUTED_VALUE"""),44612.0)</f>
        <v>44612</v>
      </c>
      <c r="C1360" s="5"/>
      <c r="D1360" s="5"/>
      <c r="E1360" s="5"/>
      <c r="F1360" s="22">
        <f>IFERROR(__xludf.DUMMYFUNCTION("""COMPUTED_VALUE"""),376974.4202555)</f>
        <v>376974.4203</v>
      </c>
      <c r="G1360" s="22">
        <f>IFERROR(__xludf.DUMMYFUNCTION("""COMPUTED_VALUE"""),0.0)</f>
        <v>0</v>
      </c>
      <c r="H1360" s="22">
        <f>IFERROR(__xludf.DUMMYFUNCTION("""COMPUTED_VALUE"""),497280.7605641)</f>
        <v>497280.7606</v>
      </c>
      <c r="I1360" s="24">
        <f>IFERROR(__xludf.DUMMYFUNCTION("""COMPUTED_VALUE"""),-0.005438478871800045)</f>
        <v>-0.005438478872</v>
      </c>
    </row>
    <row r="1361">
      <c r="A1361" s="5" t="str">
        <f>IFERROR(__xludf.DUMMYFUNCTION("""COMPUTED_VALUE"""),"37400")</f>
        <v>37400</v>
      </c>
      <c r="B1361" s="64">
        <f>IFERROR(__xludf.DUMMYFUNCTION("""COMPUTED_VALUE"""),44613.0)</f>
        <v>44613</v>
      </c>
      <c r="C1361" s="5"/>
      <c r="D1361" s="5"/>
      <c r="E1361" s="5"/>
      <c r="F1361" s="22">
        <f>IFERROR(__xludf.DUMMYFUNCTION("""COMPUTED_VALUE"""),376974.4202555)</f>
        <v>376974.4203</v>
      </c>
      <c r="G1361" s="22">
        <f>IFERROR(__xludf.DUMMYFUNCTION("""COMPUTED_VALUE"""),0.0)</f>
        <v>0</v>
      </c>
      <c r="H1361" s="22">
        <f>IFERROR(__xludf.DUMMYFUNCTION("""COMPUTED_VALUE"""),497280.7605641)</f>
        <v>497280.7606</v>
      </c>
      <c r="I1361" s="24">
        <f>IFERROR(__xludf.DUMMYFUNCTION("""COMPUTED_VALUE"""),-0.005438478871800045)</f>
        <v>-0.005438478872</v>
      </c>
    </row>
    <row r="1362">
      <c r="A1362" s="5" t="str">
        <f>IFERROR(__xludf.DUMMYFUNCTION("""COMPUTED_VALUE"""),"37400")</f>
        <v>37400</v>
      </c>
      <c r="B1362" s="64">
        <f>IFERROR(__xludf.DUMMYFUNCTION("""COMPUTED_VALUE"""),44614.0)</f>
        <v>44614</v>
      </c>
      <c r="C1362" s="5"/>
      <c r="D1362" s="5"/>
      <c r="E1362" s="5"/>
      <c r="F1362" s="22">
        <f>IFERROR(__xludf.DUMMYFUNCTION("""COMPUTED_VALUE"""),376974.4202555)</f>
        <v>376974.4203</v>
      </c>
      <c r="G1362" s="22">
        <f>IFERROR(__xludf.DUMMYFUNCTION("""COMPUTED_VALUE"""),0.0)</f>
        <v>0</v>
      </c>
      <c r="H1362" s="22">
        <f>IFERROR(__xludf.DUMMYFUNCTION("""COMPUTED_VALUE"""),491812.7131526)</f>
        <v>491812.7132</v>
      </c>
      <c r="I1362" s="24">
        <f>IFERROR(__xludf.DUMMYFUNCTION("""COMPUTED_VALUE"""),-0.0163745736948)</f>
        <v>-0.01637457369</v>
      </c>
    </row>
    <row r="1363">
      <c r="A1363" s="5" t="str">
        <f>IFERROR(__xludf.DUMMYFUNCTION("""COMPUTED_VALUE"""),"37400")</f>
        <v>37400</v>
      </c>
      <c r="B1363" s="64">
        <f>IFERROR(__xludf.DUMMYFUNCTION("""COMPUTED_VALUE"""),44615.0)</f>
        <v>44615</v>
      </c>
      <c r="C1363" s="5"/>
      <c r="D1363" s="5"/>
      <c r="E1363" s="5"/>
      <c r="F1363" s="22">
        <f>IFERROR(__xludf.DUMMYFUNCTION("""COMPUTED_VALUE"""),376974.4202555)</f>
        <v>376974.4203</v>
      </c>
      <c r="G1363" s="22">
        <f>IFERROR(__xludf.DUMMYFUNCTION("""COMPUTED_VALUE"""),0.0)</f>
        <v>0</v>
      </c>
      <c r="H1363" s="22">
        <f>IFERROR(__xludf.DUMMYFUNCTION("""COMPUTED_VALUE"""),481848.8491913)</f>
        <v>481848.8492</v>
      </c>
      <c r="I1363" s="24">
        <f>IFERROR(__xludf.DUMMYFUNCTION("""COMPUTED_VALUE"""),-0.0363023016174)</f>
        <v>-0.03630230162</v>
      </c>
    </row>
    <row r="1364">
      <c r="A1364" s="5" t="str">
        <f>IFERROR(__xludf.DUMMYFUNCTION("""COMPUTED_VALUE"""),"37400")</f>
        <v>37400</v>
      </c>
      <c r="B1364" s="64">
        <f>IFERROR(__xludf.DUMMYFUNCTION("""COMPUTED_VALUE"""),44616.0)</f>
        <v>44616</v>
      </c>
      <c r="C1364" s="5"/>
      <c r="D1364" s="5"/>
      <c r="E1364" s="5"/>
      <c r="F1364" s="22">
        <f>IFERROR(__xludf.DUMMYFUNCTION("""COMPUTED_VALUE"""),376974.4202555)</f>
        <v>376974.4203</v>
      </c>
      <c r="G1364" s="22">
        <f>IFERROR(__xludf.DUMMYFUNCTION("""COMPUTED_VALUE"""),0.0)</f>
        <v>0</v>
      </c>
      <c r="H1364" s="22">
        <f>IFERROR(__xludf.DUMMYFUNCTION("""COMPUTED_VALUE"""),484990.98639529996)</f>
        <v>484990.9864</v>
      </c>
      <c r="I1364" s="24">
        <f>IFERROR(__xludf.DUMMYFUNCTION("""COMPUTED_VALUE"""),-0.030018027209400056)</f>
        <v>-0.03001802721</v>
      </c>
    </row>
    <row r="1365">
      <c r="A1365" s="5" t="str">
        <f>IFERROR(__xludf.DUMMYFUNCTION("""COMPUTED_VALUE"""),"37400")</f>
        <v>37400</v>
      </c>
      <c r="B1365" s="64">
        <f>IFERROR(__xludf.DUMMYFUNCTION("""COMPUTED_VALUE"""),44617.0)</f>
        <v>44617</v>
      </c>
      <c r="C1365" s="5"/>
      <c r="D1365" s="5"/>
      <c r="E1365" s="5"/>
      <c r="F1365" s="22">
        <f>IFERROR(__xludf.DUMMYFUNCTION("""COMPUTED_VALUE"""),376974.4202555)</f>
        <v>376974.4203</v>
      </c>
      <c r="G1365" s="22">
        <f>IFERROR(__xludf.DUMMYFUNCTION("""COMPUTED_VALUE"""),0.0)</f>
        <v>0</v>
      </c>
      <c r="H1365" s="22">
        <f>IFERROR(__xludf.DUMMYFUNCTION("""COMPUTED_VALUE"""),488690.43435440003)</f>
        <v>488690.4344</v>
      </c>
      <c r="I1365" s="24">
        <f>IFERROR(__xludf.DUMMYFUNCTION("""COMPUTED_VALUE"""),-0.022619131291199968)</f>
        <v>-0.02261913129</v>
      </c>
    </row>
    <row r="1366">
      <c r="A1366" s="5" t="str">
        <f>IFERROR(__xludf.DUMMYFUNCTION("""COMPUTED_VALUE"""),"37400")</f>
        <v>37400</v>
      </c>
      <c r="B1366" s="64">
        <f>IFERROR(__xludf.DUMMYFUNCTION("""COMPUTED_VALUE"""),44618.0)</f>
        <v>44618</v>
      </c>
      <c r="C1366" s="5"/>
      <c r="D1366" s="5"/>
      <c r="E1366" s="5"/>
      <c r="F1366" s="22">
        <f>IFERROR(__xludf.DUMMYFUNCTION("""COMPUTED_VALUE"""),376974.4202555)</f>
        <v>376974.4203</v>
      </c>
      <c r="G1366" s="22">
        <f>IFERROR(__xludf.DUMMYFUNCTION("""COMPUTED_VALUE"""),0.0)</f>
        <v>0</v>
      </c>
      <c r="H1366" s="22">
        <f>IFERROR(__xludf.DUMMYFUNCTION("""COMPUTED_VALUE"""),488690.43435440003)</f>
        <v>488690.4344</v>
      </c>
      <c r="I1366" s="24">
        <f>IFERROR(__xludf.DUMMYFUNCTION("""COMPUTED_VALUE"""),-0.022619131291199968)</f>
        <v>-0.02261913129</v>
      </c>
    </row>
    <row r="1367">
      <c r="A1367" s="5" t="str">
        <f>IFERROR(__xludf.DUMMYFUNCTION("""COMPUTED_VALUE"""),"37400")</f>
        <v>37400</v>
      </c>
      <c r="B1367" s="64">
        <f>IFERROR(__xludf.DUMMYFUNCTION("""COMPUTED_VALUE"""),44619.0)</f>
        <v>44619</v>
      </c>
      <c r="C1367" s="5"/>
      <c r="D1367" s="5"/>
      <c r="E1367" s="5"/>
      <c r="F1367" s="22">
        <f>IFERROR(__xludf.DUMMYFUNCTION("""COMPUTED_VALUE"""),376974.4202555)</f>
        <v>376974.4203</v>
      </c>
      <c r="G1367" s="22">
        <f>IFERROR(__xludf.DUMMYFUNCTION("""COMPUTED_VALUE"""),0.0)</f>
        <v>0</v>
      </c>
      <c r="H1367" s="22">
        <f>IFERROR(__xludf.DUMMYFUNCTION("""COMPUTED_VALUE"""),488690.43435440003)</f>
        <v>488690.4344</v>
      </c>
      <c r="I1367" s="24">
        <f>IFERROR(__xludf.DUMMYFUNCTION("""COMPUTED_VALUE"""),-0.022619131291199968)</f>
        <v>-0.02261913129</v>
      </c>
    </row>
    <row r="1368">
      <c r="A1368" s="5" t="str">
        <f>IFERROR(__xludf.DUMMYFUNCTION("""COMPUTED_VALUE"""),"37400")</f>
        <v>37400</v>
      </c>
      <c r="B1368" s="64">
        <f>IFERROR(__xludf.DUMMYFUNCTION("""COMPUTED_VALUE"""),44620.0)</f>
        <v>44620</v>
      </c>
      <c r="C1368" s="5"/>
      <c r="D1368" s="5"/>
      <c r="E1368" s="5"/>
      <c r="F1368" s="22">
        <f>IFERROR(__xludf.DUMMYFUNCTION("""COMPUTED_VALUE"""),376974.4202555)</f>
        <v>376974.4203</v>
      </c>
      <c r="G1368" s="22">
        <f>IFERROR(__xludf.DUMMYFUNCTION("""COMPUTED_VALUE"""),0.0)</f>
        <v>0</v>
      </c>
      <c r="H1368" s="22">
        <f>IFERROR(__xludf.DUMMYFUNCTION("""COMPUTED_VALUE"""),496145.1734726)</f>
        <v>496145.1735</v>
      </c>
      <c r="I1368" s="24">
        <f>IFERROR(__xludf.DUMMYFUNCTION("""COMPUTED_VALUE"""),-0.007709653054799981)</f>
        <v>-0.007709653055</v>
      </c>
    </row>
    <row r="1369">
      <c r="A1369" s="5" t="str">
        <f>IFERROR(__xludf.DUMMYFUNCTION("""COMPUTED_VALUE"""),"37400")</f>
        <v>37400</v>
      </c>
      <c r="B1369" s="64">
        <f>IFERROR(__xludf.DUMMYFUNCTION("""COMPUTED_VALUE"""),44621.0)</f>
        <v>44621</v>
      </c>
      <c r="C1369" s="5"/>
      <c r="D1369" s="5"/>
      <c r="E1369" s="5"/>
      <c r="F1369" s="22">
        <f>IFERROR(__xludf.DUMMYFUNCTION("""COMPUTED_VALUE"""),376974.4202555)</f>
        <v>376974.4203</v>
      </c>
      <c r="G1369" s="22">
        <f>IFERROR(__xludf.DUMMYFUNCTION("""COMPUTED_VALUE"""),0.0)</f>
        <v>0</v>
      </c>
      <c r="H1369" s="22">
        <f>IFERROR(__xludf.DUMMYFUNCTION("""COMPUTED_VALUE"""),500498.5837994)</f>
        <v>500498.5838</v>
      </c>
      <c r="I1369" s="24">
        <f>IFERROR(__xludf.DUMMYFUNCTION("""COMPUTED_VALUE"""),9.97167598800086E-4)</f>
        <v>0.0009971675988</v>
      </c>
    </row>
    <row r="1370">
      <c r="A1370" s="5" t="str">
        <f>IFERROR(__xludf.DUMMYFUNCTION("""COMPUTED_VALUE"""),"37400")</f>
        <v>37400</v>
      </c>
      <c r="B1370" s="64">
        <f>IFERROR(__xludf.DUMMYFUNCTION("""COMPUTED_VALUE"""),44622.0)</f>
        <v>44622</v>
      </c>
      <c r="C1370" s="5"/>
      <c r="D1370" s="5"/>
      <c r="E1370" s="5"/>
      <c r="F1370" s="22">
        <f>IFERROR(__xludf.DUMMYFUNCTION("""COMPUTED_VALUE"""),376974.4202555)</f>
        <v>376974.4203</v>
      </c>
      <c r="G1370" s="22">
        <f>IFERROR(__xludf.DUMMYFUNCTION("""COMPUTED_VALUE"""),0.0)</f>
        <v>0</v>
      </c>
      <c r="H1370" s="22">
        <f>IFERROR(__xludf.DUMMYFUNCTION("""COMPUTED_VALUE"""),499393.05294080003)</f>
        <v>499393.0529</v>
      </c>
      <c r="I1370" s="24">
        <f>IFERROR(__xludf.DUMMYFUNCTION("""COMPUTED_VALUE"""),-0.0012138941183998941)</f>
        <v>-0.001213894118</v>
      </c>
    </row>
    <row r="1371">
      <c r="A1371" s="5" t="str">
        <f>IFERROR(__xludf.DUMMYFUNCTION("""COMPUTED_VALUE"""),"37400")</f>
        <v>37400</v>
      </c>
      <c r="B1371" s="64">
        <f>IFERROR(__xludf.DUMMYFUNCTION("""COMPUTED_VALUE"""),44623.0)</f>
        <v>44623</v>
      </c>
      <c r="C1371" s="5"/>
      <c r="D1371" s="5"/>
      <c r="E1371" s="5"/>
      <c r="F1371" s="22">
        <f>IFERROR(__xludf.DUMMYFUNCTION("""COMPUTED_VALUE"""),376974.4202555)</f>
        <v>376974.4203</v>
      </c>
      <c r="G1371" s="22">
        <f>IFERROR(__xludf.DUMMYFUNCTION("""COMPUTED_VALUE"""),0.0)</f>
        <v>0</v>
      </c>
      <c r="H1371" s="22">
        <f>IFERROR(__xludf.DUMMYFUNCTION("""COMPUTED_VALUE"""),495030.51516979997)</f>
        <v>495030.5152</v>
      </c>
      <c r="I1371" s="24">
        <f>IFERROR(__xludf.DUMMYFUNCTION("""COMPUTED_VALUE"""),-0.009938969660400088)</f>
        <v>-0.00993896966</v>
      </c>
    </row>
    <row r="1372">
      <c r="A1372" s="5" t="str">
        <f>IFERROR(__xludf.DUMMYFUNCTION("""COMPUTED_VALUE"""),"37400")</f>
        <v>37400</v>
      </c>
      <c r="B1372" s="64">
        <f>IFERROR(__xludf.DUMMYFUNCTION("""COMPUTED_VALUE"""),44624.0)</f>
        <v>44624</v>
      </c>
      <c r="C1372" s="5"/>
      <c r="D1372" s="5"/>
      <c r="E1372" s="5"/>
      <c r="F1372" s="22">
        <f>IFERROR(__xludf.DUMMYFUNCTION("""COMPUTED_VALUE"""),81242.97094989997)</f>
        <v>81242.97095</v>
      </c>
      <c r="G1372" s="22">
        <f>IFERROR(__xludf.DUMMYFUNCTION("""COMPUTED_VALUE"""),0.0)</f>
        <v>0</v>
      </c>
      <c r="H1372" s="22">
        <f>IFERROR(__xludf.DUMMYFUNCTION("""COMPUTED_VALUE"""),495379.5237128)</f>
        <v>495379.5237</v>
      </c>
      <c r="I1372" s="24">
        <f>IFERROR(__xludf.DUMMYFUNCTION("""COMPUTED_VALUE"""),-0.009240952574400052)</f>
        <v>-0.009240952574</v>
      </c>
    </row>
    <row r="1373">
      <c r="A1373" s="5" t="str">
        <f>IFERROR(__xludf.DUMMYFUNCTION("""COMPUTED_VALUE"""),"37400")</f>
        <v>37400</v>
      </c>
      <c r="B1373" s="64">
        <f>IFERROR(__xludf.DUMMYFUNCTION("""COMPUTED_VALUE"""),44625.0)</f>
        <v>44625</v>
      </c>
      <c r="C1373" s="5"/>
      <c r="D1373" s="5"/>
      <c r="E1373" s="5"/>
      <c r="F1373" s="22">
        <f>IFERROR(__xludf.DUMMYFUNCTION("""COMPUTED_VALUE"""),81242.97094989997)</f>
        <v>81242.97095</v>
      </c>
      <c r="G1373" s="22">
        <f>IFERROR(__xludf.DUMMYFUNCTION("""COMPUTED_VALUE"""),0.0)</f>
        <v>0</v>
      </c>
      <c r="H1373" s="22">
        <f>IFERROR(__xludf.DUMMYFUNCTION("""COMPUTED_VALUE"""),495379.5237128)</f>
        <v>495379.5237</v>
      </c>
      <c r="I1373" s="24">
        <f>IFERROR(__xludf.DUMMYFUNCTION("""COMPUTED_VALUE"""),-0.009240952574400052)</f>
        <v>-0.009240952574</v>
      </c>
    </row>
    <row r="1374">
      <c r="A1374" s="5" t="str">
        <f>IFERROR(__xludf.DUMMYFUNCTION("""COMPUTED_VALUE"""),"37400")</f>
        <v>37400</v>
      </c>
      <c r="B1374" s="64">
        <f>IFERROR(__xludf.DUMMYFUNCTION("""COMPUTED_VALUE"""),44626.0)</f>
        <v>44626</v>
      </c>
      <c r="C1374" s="5"/>
      <c r="D1374" s="5"/>
      <c r="E1374" s="5"/>
      <c r="F1374" s="22">
        <f>IFERROR(__xludf.DUMMYFUNCTION("""COMPUTED_VALUE"""),81242.97094989997)</f>
        <v>81242.97095</v>
      </c>
      <c r="G1374" s="22">
        <f>IFERROR(__xludf.DUMMYFUNCTION("""COMPUTED_VALUE"""),0.0)</f>
        <v>0</v>
      </c>
      <c r="H1374" s="22">
        <f>IFERROR(__xludf.DUMMYFUNCTION("""COMPUTED_VALUE"""),495379.5237128)</f>
        <v>495379.5237</v>
      </c>
      <c r="I1374" s="24">
        <f>IFERROR(__xludf.DUMMYFUNCTION("""COMPUTED_VALUE"""),-0.009240952574400052)</f>
        <v>-0.009240952574</v>
      </c>
    </row>
    <row r="1375">
      <c r="A1375" s="5" t="str">
        <f>IFERROR(__xludf.DUMMYFUNCTION("""COMPUTED_VALUE"""),"37400")</f>
        <v>37400</v>
      </c>
      <c r="B1375" s="64">
        <f>IFERROR(__xludf.DUMMYFUNCTION("""COMPUTED_VALUE"""),44627.0)</f>
        <v>44627</v>
      </c>
      <c r="C1375" s="5"/>
      <c r="D1375" s="5"/>
      <c r="E1375" s="5"/>
      <c r="F1375" s="22">
        <f>IFERROR(__xludf.DUMMYFUNCTION("""COMPUTED_VALUE"""),81242.97094989997)</f>
        <v>81242.97095</v>
      </c>
      <c r="G1375" s="22">
        <f>IFERROR(__xludf.DUMMYFUNCTION("""COMPUTED_VALUE"""),0.0)</f>
        <v>0</v>
      </c>
      <c r="H1375" s="22">
        <f>IFERROR(__xludf.DUMMYFUNCTION("""COMPUTED_VALUE"""),485325.58490270004)</f>
        <v>485325.5849</v>
      </c>
      <c r="I1375" s="24">
        <f>IFERROR(__xludf.DUMMYFUNCTION("""COMPUTED_VALUE"""),-0.029348830194599884)</f>
        <v>-0.02934883019</v>
      </c>
    </row>
    <row r="1376">
      <c r="A1376" s="5" t="str">
        <f>IFERROR(__xludf.DUMMYFUNCTION("""COMPUTED_VALUE"""),"37400")</f>
        <v>37400</v>
      </c>
      <c r="B1376" s="64">
        <f>IFERROR(__xludf.DUMMYFUNCTION("""COMPUTED_VALUE"""),44628.0)</f>
        <v>44628</v>
      </c>
      <c r="C1376" s="5"/>
      <c r="D1376" s="5"/>
      <c r="E1376" s="5"/>
      <c r="F1376" s="22">
        <f>IFERROR(__xludf.DUMMYFUNCTION("""COMPUTED_VALUE"""),81242.97094989997)</f>
        <v>81242.97095</v>
      </c>
      <c r="G1376" s="22">
        <f>IFERROR(__xludf.DUMMYFUNCTION("""COMPUTED_VALUE"""),0.0)</f>
        <v>0</v>
      </c>
      <c r="H1376" s="22">
        <f>IFERROR(__xludf.DUMMYFUNCTION("""COMPUTED_VALUE"""),490953.00202589994)</f>
        <v>490953.002</v>
      </c>
      <c r="I1376" s="24">
        <f>IFERROR(__xludf.DUMMYFUNCTION("""COMPUTED_VALUE"""),-0.01809399594820016)</f>
        <v>-0.01809399595</v>
      </c>
    </row>
    <row r="1377">
      <c r="A1377" s="5" t="str">
        <f>IFERROR(__xludf.DUMMYFUNCTION("""COMPUTED_VALUE"""),"37400")</f>
        <v>37400</v>
      </c>
      <c r="B1377" s="64">
        <f>IFERROR(__xludf.DUMMYFUNCTION("""COMPUTED_VALUE"""),44629.0)</f>
        <v>44629</v>
      </c>
      <c r="C1377" s="5"/>
      <c r="D1377" s="5"/>
      <c r="E1377" s="5"/>
      <c r="F1377" s="22">
        <f>IFERROR(__xludf.DUMMYFUNCTION("""COMPUTED_VALUE"""),81242.97094989997)</f>
        <v>81242.97095</v>
      </c>
      <c r="G1377" s="22">
        <f>IFERROR(__xludf.DUMMYFUNCTION("""COMPUTED_VALUE"""),0.0)</f>
        <v>0</v>
      </c>
      <c r="H1377" s="22">
        <f>IFERROR(__xludf.DUMMYFUNCTION("""COMPUTED_VALUE"""),490968.15795360005)</f>
        <v>490968.158</v>
      </c>
      <c r="I1377" s="24">
        <f>IFERROR(__xludf.DUMMYFUNCTION("""COMPUTED_VALUE"""),-0.018063684092799903)</f>
        <v>-0.01806368409</v>
      </c>
    </row>
    <row r="1378">
      <c r="A1378" s="5" t="str">
        <f>IFERROR(__xludf.DUMMYFUNCTION("""COMPUTED_VALUE"""),"37400")</f>
        <v>37400</v>
      </c>
      <c r="B1378" s="64">
        <f>IFERROR(__xludf.DUMMYFUNCTION("""COMPUTED_VALUE"""),44630.0)</f>
        <v>44630</v>
      </c>
      <c r="C1378" s="5"/>
      <c r="D1378" s="5"/>
      <c r="E1378" s="5"/>
      <c r="F1378" s="22">
        <f>IFERROR(__xludf.DUMMYFUNCTION("""COMPUTED_VALUE"""),81242.97094989997)</f>
        <v>81242.97095</v>
      </c>
      <c r="G1378" s="22">
        <f>IFERROR(__xludf.DUMMYFUNCTION("""COMPUTED_VALUE"""),0.0)</f>
        <v>0</v>
      </c>
      <c r="H1378" s="22">
        <f>IFERROR(__xludf.DUMMYFUNCTION("""COMPUTED_VALUE"""),491046.31389760005)</f>
        <v>491046.3139</v>
      </c>
      <c r="I1378" s="24">
        <f>IFERROR(__xludf.DUMMYFUNCTION("""COMPUTED_VALUE"""),-0.017907372204799876)</f>
        <v>-0.0179073722</v>
      </c>
    </row>
    <row r="1379">
      <c r="A1379" s="5" t="str">
        <f>IFERROR(__xludf.DUMMYFUNCTION("""COMPUTED_VALUE"""),"37400")</f>
        <v>37400</v>
      </c>
      <c r="B1379" s="64">
        <f>IFERROR(__xludf.DUMMYFUNCTION("""COMPUTED_VALUE"""),44631.0)</f>
        <v>44631</v>
      </c>
      <c r="C1379" s="5"/>
      <c r="D1379" s="5"/>
      <c r="E1379" s="5"/>
      <c r="F1379" s="22">
        <f>IFERROR(__xludf.DUMMYFUNCTION("""COMPUTED_VALUE"""),81242.97094989997)</f>
        <v>81242.97095</v>
      </c>
      <c r="G1379" s="22">
        <f>IFERROR(__xludf.DUMMYFUNCTION("""COMPUTED_VALUE"""),0.0)</f>
        <v>0</v>
      </c>
      <c r="H1379" s="22">
        <f>IFERROR(__xludf.DUMMYFUNCTION("""COMPUTED_VALUE"""),473251.4337794)</f>
        <v>473251.4338</v>
      </c>
      <c r="I1379" s="24">
        <f>IFERROR(__xludf.DUMMYFUNCTION("""COMPUTED_VALUE"""),-0.05349713244119991)</f>
        <v>-0.05349713244</v>
      </c>
    </row>
    <row r="1380">
      <c r="A1380" s="5" t="str">
        <f>IFERROR(__xludf.DUMMYFUNCTION("""COMPUTED_VALUE"""),"37400")</f>
        <v>37400</v>
      </c>
      <c r="B1380" s="64">
        <f>IFERROR(__xludf.DUMMYFUNCTION("""COMPUTED_VALUE"""),44632.0)</f>
        <v>44632</v>
      </c>
      <c r="C1380" s="5"/>
      <c r="D1380" s="5"/>
      <c r="E1380" s="5"/>
      <c r="F1380" s="22">
        <f>IFERROR(__xludf.DUMMYFUNCTION("""COMPUTED_VALUE"""),81242.97094989997)</f>
        <v>81242.97095</v>
      </c>
      <c r="G1380" s="22">
        <f>IFERROR(__xludf.DUMMYFUNCTION("""COMPUTED_VALUE"""),0.0)</f>
        <v>0</v>
      </c>
      <c r="H1380" s="22">
        <f>IFERROR(__xludf.DUMMYFUNCTION("""COMPUTED_VALUE"""),473251.4337794)</f>
        <v>473251.4338</v>
      </c>
      <c r="I1380" s="24">
        <f>IFERROR(__xludf.DUMMYFUNCTION("""COMPUTED_VALUE"""),-0.05349713244119991)</f>
        <v>-0.05349713244</v>
      </c>
    </row>
    <row r="1381">
      <c r="A1381" s="5" t="str">
        <f>IFERROR(__xludf.DUMMYFUNCTION("""COMPUTED_VALUE"""),"37400")</f>
        <v>37400</v>
      </c>
      <c r="B1381" s="64">
        <f>IFERROR(__xludf.DUMMYFUNCTION("""COMPUTED_VALUE"""),44633.0)</f>
        <v>44633</v>
      </c>
      <c r="C1381" s="5"/>
      <c r="D1381" s="5"/>
      <c r="E1381" s="5"/>
      <c r="F1381" s="22">
        <f>IFERROR(__xludf.DUMMYFUNCTION("""COMPUTED_VALUE"""),81242.97094989997)</f>
        <v>81242.97095</v>
      </c>
      <c r="G1381" s="22">
        <f>IFERROR(__xludf.DUMMYFUNCTION("""COMPUTED_VALUE"""),0.0)</f>
        <v>0</v>
      </c>
      <c r="H1381" s="22">
        <f>IFERROR(__xludf.DUMMYFUNCTION("""COMPUTED_VALUE"""),473251.4337794)</f>
        <v>473251.4338</v>
      </c>
      <c r="I1381" s="24">
        <f>IFERROR(__xludf.DUMMYFUNCTION("""COMPUTED_VALUE"""),-0.05349713244119991)</f>
        <v>-0.05349713244</v>
      </c>
    </row>
    <row r="1382">
      <c r="A1382" s="5" t="str">
        <f>IFERROR(__xludf.DUMMYFUNCTION("""COMPUTED_VALUE"""),"37400")</f>
        <v>37400</v>
      </c>
      <c r="B1382" s="64">
        <f>IFERROR(__xludf.DUMMYFUNCTION("""COMPUTED_VALUE"""),44634.0)</f>
        <v>44634</v>
      </c>
      <c r="C1382" s="5"/>
      <c r="D1382" s="5"/>
      <c r="E1382" s="5"/>
      <c r="F1382" s="22">
        <f>IFERROR(__xludf.DUMMYFUNCTION("""COMPUTED_VALUE"""),81242.97094989997)</f>
        <v>81242.97095</v>
      </c>
      <c r="G1382" s="22">
        <f>IFERROR(__xludf.DUMMYFUNCTION("""COMPUTED_VALUE"""),0.0)</f>
        <v>0</v>
      </c>
      <c r="H1382" s="22">
        <f>IFERROR(__xludf.DUMMYFUNCTION("""COMPUTED_VALUE"""),462359.18187760003)</f>
        <v>462359.1819</v>
      </c>
      <c r="I1382" s="24">
        <f>IFERROR(__xludf.DUMMYFUNCTION("""COMPUTED_VALUE"""),-0.07528163624479989)</f>
        <v>-0.07528163624</v>
      </c>
    </row>
    <row r="1383">
      <c r="A1383" s="5" t="str">
        <f>IFERROR(__xludf.DUMMYFUNCTION("""COMPUTED_VALUE"""),"37400")</f>
        <v>37400</v>
      </c>
      <c r="B1383" s="64">
        <f>IFERROR(__xludf.DUMMYFUNCTION("""COMPUTED_VALUE"""),44635.0)</f>
        <v>44635</v>
      </c>
      <c r="C1383" s="5"/>
      <c r="D1383" s="5"/>
      <c r="E1383" s="5"/>
      <c r="F1383" s="22">
        <f>IFERROR(__xludf.DUMMYFUNCTION("""COMPUTED_VALUE"""),81242.97094989997)</f>
        <v>81242.97095</v>
      </c>
      <c r="G1383" s="22">
        <f>IFERROR(__xludf.DUMMYFUNCTION("""COMPUTED_VALUE"""),0.0)</f>
        <v>0</v>
      </c>
      <c r="H1383" s="22">
        <f>IFERROR(__xludf.DUMMYFUNCTION("""COMPUTED_VALUE"""),472833.77775480004)</f>
        <v>472833.7778</v>
      </c>
      <c r="I1383" s="24">
        <f>IFERROR(__xludf.DUMMYFUNCTION("""COMPUTED_VALUE"""),-0.05433244449039987)</f>
        <v>-0.05433244449</v>
      </c>
    </row>
    <row r="1384">
      <c r="A1384" s="5" t="str">
        <f>IFERROR(__xludf.DUMMYFUNCTION("""COMPUTED_VALUE"""),"37400")</f>
        <v>37400</v>
      </c>
      <c r="B1384" s="64">
        <f>IFERROR(__xludf.DUMMYFUNCTION("""COMPUTED_VALUE"""),44636.0)</f>
        <v>44636</v>
      </c>
      <c r="C1384" s="5"/>
      <c r="D1384" s="5"/>
      <c r="E1384" s="5"/>
      <c r="F1384" s="22">
        <f>IFERROR(__xludf.DUMMYFUNCTION("""COMPUTED_VALUE"""),81242.97094989997)</f>
        <v>81242.97095</v>
      </c>
      <c r="G1384" s="22">
        <f>IFERROR(__xludf.DUMMYFUNCTION("""COMPUTED_VALUE"""),0.0)</f>
        <v>0</v>
      </c>
      <c r="H1384" s="22">
        <f>IFERROR(__xludf.DUMMYFUNCTION("""COMPUTED_VALUE"""),482953.24990419997)</f>
        <v>482953.2499</v>
      </c>
      <c r="I1384" s="24">
        <f>IFERROR(__xludf.DUMMYFUNCTION("""COMPUTED_VALUE"""),-0.03409350019160007)</f>
        <v>-0.03409350019</v>
      </c>
    </row>
    <row r="1385">
      <c r="A1385" s="5" t="str">
        <f>IFERROR(__xludf.DUMMYFUNCTION("""COMPUTED_VALUE"""),"37400")</f>
        <v>37400</v>
      </c>
      <c r="B1385" s="64">
        <f>IFERROR(__xludf.DUMMYFUNCTION("""COMPUTED_VALUE"""),44637.0)</f>
        <v>44637</v>
      </c>
      <c r="C1385" s="5"/>
      <c r="D1385" s="5"/>
      <c r="E1385" s="5"/>
      <c r="F1385" s="22">
        <f>IFERROR(__xludf.DUMMYFUNCTION("""COMPUTED_VALUE"""),81242.97094989997)</f>
        <v>81242.97095</v>
      </c>
      <c r="G1385" s="22">
        <f>IFERROR(__xludf.DUMMYFUNCTION("""COMPUTED_VALUE"""),0.0)</f>
        <v>0</v>
      </c>
      <c r="H1385" s="22">
        <f>IFERROR(__xludf.DUMMYFUNCTION("""COMPUTED_VALUE"""),493607.87263490004)</f>
        <v>493607.8726</v>
      </c>
      <c r="I1385" s="24">
        <f>IFERROR(__xludf.DUMMYFUNCTION("""COMPUTED_VALUE"""),-0.012784254730199951)</f>
        <v>-0.01278425473</v>
      </c>
    </row>
    <row r="1386">
      <c r="A1386" s="5" t="str">
        <f>IFERROR(__xludf.DUMMYFUNCTION("""COMPUTED_VALUE"""),"37400")</f>
        <v>37400</v>
      </c>
      <c r="B1386" s="64">
        <f>IFERROR(__xludf.DUMMYFUNCTION("""COMPUTED_VALUE"""),44638.0)</f>
        <v>44638</v>
      </c>
      <c r="C1386" s="5"/>
      <c r="D1386" s="5"/>
      <c r="E1386" s="5"/>
      <c r="F1386" s="22">
        <f>IFERROR(__xludf.DUMMYFUNCTION("""COMPUTED_VALUE"""),81242.97094989997)</f>
        <v>81242.97095</v>
      </c>
      <c r="G1386" s="22">
        <f>IFERROR(__xludf.DUMMYFUNCTION("""COMPUTED_VALUE"""),0.0)</f>
        <v>0</v>
      </c>
      <c r="H1386" s="22">
        <f>IFERROR(__xludf.DUMMYFUNCTION("""COMPUTED_VALUE"""),502286.4488078001)</f>
        <v>502286.4488</v>
      </c>
      <c r="I1386" s="24">
        <f>IFERROR(__xludf.DUMMYFUNCTION("""COMPUTED_VALUE"""),0.004572897615600091)</f>
        <v>0.004572897616</v>
      </c>
    </row>
    <row r="1387">
      <c r="A1387" s="5" t="str">
        <f>IFERROR(__xludf.DUMMYFUNCTION("""COMPUTED_VALUE"""),"37400")</f>
        <v>37400</v>
      </c>
      <c r="B1387" s="64">
        <f>IFERROR(__xludf.DUMMYFUNCTION("""COMPUTED_VALUE"""),44639.0)</f>
        <v>44639</v>
      </c>
      <c r="C1387" s="5"/>
      <c r="D1387" s="5"/>
      <c r="E1387" s="5"/>
      <c r="F1387" s="22">
        <f>IFERROR(__xludf.DUMMYFUNCTION("""COMPUTED_VALUE"""),81242.97094989997)</f>
        <v>81242.97095</v>
      </c>
      <c r="G1387" s="22">
        <f>IFERROR(__xludf.DUMMYFUNCTION("""COMPUTED_VALUE"""),0.0)</f>
        <v>0</v>
      </c>
      <c r="H1387" s="22">
        <f>IFERROR(__xludf.DUMMYFUNCTION("""COMPUTED_VALUE"""),502286.4488078001)</f>
        <v>502286.4488</v>
      </c>
      <c r="I1387" s="24">
        <f>IFERROR(__xludf.DUMMYFUNCTION("""COMPUTED_VALUE"""),0.004572897615600091)</f>
        <v>0.004572897616</v>
      </c>
    </row>
    <row r="1388">
      <c r="A1388" s="5" t="str">
        <f>IFERROR(__xludf.DUMMYFUNCTION("""COMPUTED_VALUE"""),"37400")</f>
        <v>37400</v>
      </c>
      <c r="B1388" s="64">
        <f>IFERROR(__xludf.DUMMYFUNCTION("""COMPUTED_VALUE"""),44640.0)</f>
        <v>44640</v>
      </c>
      <c r="C1388" s="5"/>
      <c r="D1388" s="5"/>
      <c r="E1388" s="5"/>
      <c r="F1388" s="22">
        <f>IFERROR(__xludf.DUMMYFUNCTION("""COMPUTED_VALUE"""),81242.97094989997)</f>
        <v>81242.97095</v>
      </c>
      <c r="G1388" s="22">
        <f>IFERROR(__xludf.DUMMYFUNCTION("""COMPUTED_VALUE"""),0.0)</f>
        <v>0</v>
      </c>
      <c r="H1388" s="22">
        <f>IFERROR(__xludf.DUMMYFUNCTION("""COMPUTED_VALUE"""),502286.4488078001)</f>
        <v>502286.4488</v>
      </c>
      <c r="I1388" s="24">
        <f>IFERROR(__xludf.DUMMYFUNCTION("""COMPUTED_VALUE"""),0.004572897615600091)</f>
        <v>0.004572897616</v>
      </c>
    </row>
    <row r="1389">
      <c r="A1389" s="5" t="str">
        <f>IFERROR(__xludf.DUMMYFUNCTION("""COMPUTED_VALUE"""),"37400")</f>
        <v>37400</v>
      </c>
      <c r="B1389" s="64">
        <f>IFERROR(__xludf.DUMMYFUNCTION("""COMPUTED_VALUE"""),44641.0)</f>
        <v>44641</v>
      </c>
      <c r="C1389" s="5"/>
      <c r="D1389" s="5"/>
      <c r="E1389" s="5"/>
      <c r="F1389" s="22">
        <f>IFERROR(__xludf.DUMMYFUNCTION("""COMPUTED_VALUE"""),414418.6717669)</f>
        <v>414418.6718</v>
      </c>
      <c r="G1389" s="22">
        <f>IFERROR(__xludf.DUMMYFUNCTION("""COMPUTED_VALUE"""),0.0)</f>
        <v>0</v>
      </c>
      <c r="H1389" s="22">
        <f>IFERROR(__xludf.DUMMYFUNCTION("""COMPUTED_VALUE"""),508402.42305850005)</f>
        <v>508402.4231</v>
      </c>
      <c r="I1389" s="24">
        <f>IFERROR(__xludf.DUMMYFUNCTION("""COMPUTED_VALUE"""),0.01680484611700006)</f>
        <v>0.01680484612</v>
      </c>
    </row>
    <row r="1390">
      <c r="A1390" s="5" t="str">
        <f>IFERROR(__xludf.DUMMYFUNCTION("""COMPUTED_VALUE"""),"37400")</f>
        <v>37400</v>
      </c>
      <c r="B1390" s="64">
        <f>IFERROR(__xludf.DUMMYFUNCTION("""COMPUTED_VALUE"""),44642.0)</f>
        <v>44642</v>
      </c>
      <c r="C1390" s="5"/>
      <c r="D1390" s="5"/>
      <c r="E1390" s="5"/>
      <c r="F1390" s="22">
        <f>IFERROR(__xludf.DUMMYFUNCTION("""COMPUTED_VALUE"""),414418.6717669)</f>
        <v>414418.6718</v>
      </c>
      <c r="G1390" s="22">
        <f>IFERROR(__xludf.DUMMYFUNCTION("""COMPUTED_VALUE"""),0.0)</f>
        <v>0</v>
      </c>
      <c r="H1390" s="22">
        <f>IFERROR(__xludf.DUMMYFUNCTION("""COMPUTED_VALUE"""),508070.24727469997)</f>
        <v>508070.2473</v>
      </c>
      <c r="I1390" s="24">
        <f>IFERROR(__xludf.DUMMYFUNCTION("""COMPUTED_VALUE"""),0.01614049454939992)</f>
        <v>0.01614049455</v>
      </c>
    </row>
    <row r="1391">
      <c r="A1391" s="5" t="str">
        <f>IFERROR(__xludf.DUMMYFUNCTION("""COMPUTED_VALUE"""),"37400")</f>
        <v>37400</v>
      </c>
      <c r="B1391" s="64">
        <f>IFERROR(__xludf.DUMMYFUNCTION("""COMPUTED_VALUE"""),44643.0)</f>
        <v>44643</v>
      </c>
      <c r="C1391" s="5"/>
      <c r="D1391" s="5"/>
      <c r="E1391" s="5"/>
      <c r="F1391" s="22">
        <f>IFERROR(__xludf.DUMMYFUNCTION("""COMPUTED_VALUE"""),414418.6717669)</f>
        <v>414418.6718</v>
      </c>
      <c r="G1391" s="22">
        <f>IFERROR(__xludf.DUMMYFUNCTION("""COMPUTED_VALUE"""),0.0)</f>
        <v>0</v>
      </c>
      <c r="H1391" s="22">
        <f>IFERROR(__xludf.DUMMYFUNCTION("""COMPUTED_VALUE"""),509410.622035)</f>
        <v>509410.622</v>
      </c>
      <c r="I1391" s="24">
        <f>IFERROR(__xludf.DUMMYFUNCTION("""COMPUTED_VALUE"""),0.018821244069999965)</f>
        <v>0.01882124407</v>
      </c>
    </row>
    <row r="1392">
      <c r="A1392" s="5" t="str">
        <f>IFERROR(__xludf.DUMMYFUNCTION("""COMPUTED_VALUE"""),"37400")</f>
        <v>37400</v>
      </c>
      <c r="B1392" s="64">
        <f>IFERROR(__xludf.DUMMYFUNCTION("""COMPUTED_VALUE"""),44644.0)</f>
        <v>44644</v>
      </c>
      <c r="C1392" s="5"/>
      <c r="D1392" s="5"/>
      <c r="E1392" s="5"/>
      <c r="F1392" s="22">
        <f>IFERROR(__xludf.DUMMYFUNCTION("""COMPUTED_VALUE"""),414418.6717669)</f>
        <v>414418.6718</v>
      </c>
      <c r="G1392" s="22">
        <f>IFERROR(__xludf.DUMMYFUNCTION("""COMPUTED_VALUE"""),0.0)</f>
        <v>0</v>
      </c>
      <c r="H1392" s="22">
        <f>IFERROR(__xludf.DUMMYFUNCTION("""COMPUTED_VALUE"""),509119.51859810005)</f>
        <v>509119.5186</v>
      </c>
      <c r="I1392" s="24">
        <f>IFERROR(__xludf.DUMMYFUNCTION("""COMPUTED_VALUE"""),0.018239037196200014)</f>
        <v>0.0182390372</v>
      </c>
    </row>
    <row r="1393">
      <c r="A1393" s="5" t="str">
        <f>IFERROR(__xludf.DUMMYFUNCTION("""COMPUTED_VALUE"""),"37400")</f>
        <v>37400</v>
      </c>
      <c r="B1393" s="64">
        <f>IFERROR(__xludf.DUMMYFUNCTION("""COMPUTED_VALUE"""),44645.0)</f>
        <v>44645</v>
      </c>
      <c r="C1393" s="5"/>
      <c r="D1393" s="5"/>
      <c r="E1393" s="5"/>
      <c r="F1393" s="22">
        <f>IFERROR(__xludf.DUMMYFUNCTION("""COMPUTED_VALUE"""),414418.6717669)</f>
        <v>414418.6718</v>
      </c>
      <c r="G1393" s="22">
        <f>IFERROR(__xludf.DUMMYFUNCTION("""COMPUTED_VALUE"""),0.0)</f>
        <v>0</v>
      </c>
      <c r="H1393" s="22">
        <f>IFERROR(__xludf.DUMMYFUNCTION("""COMPUTED_VALUE"""),509282.61159730004)</f>
        <v>509282.6116</v>
      </c>
      <c r="I1393" s="24">
        <f>IFERROR(__xludf.DUMMYFUNCTION("""COMPUTED_VALUE"""),0.018565223194600078)</f>
        <v>0.01856522319</v>
      </c>
    </row>
    <row r="1394">
      <c r="A1394" s="5" t="str">
        <f>IFERROR(__xludf.DUMMYFUNCTION("""COMPUTED_VALUE"""),"37400")</f>
        <v>37400</v>
      </c>
      <c r="B1394" s="64">
        <f>IFERROR(__xludf.DUMMYFUNCTION("""COMPUTED_VALUE"""),44646.0)</f>
        <v>44646</v>
      </c>
      <c r="C1394" s="5"/>
      <c r="D1394" s="5"/>
      <c r="E1394" s="5"/>
      <c r="F1394" s="22">
        <f>IFERROR(__xludf.DUMMYFUNCTION("""COMPUTED_VALUE"""),414418.6717669)</f>
        <v>414418.6718</v>
      </c>
      <c r="G1394" s="22">
        <f>IFERROR(__xludf.DUMMYFUNCTION("""COMPUTED_VALUE"""),0.0)</f>
        <v>0</v>
      </c>
      <c r="H1394" s="22">
        <f>IFERROR(__xludf.DUMMYFUNCTION("""COMPUTED_VALUE"""),509282.61159730004)</f>
        <v>509282.6116</v>
      </c>
      <c r="I1394" s="24">
        <f>IFERROR(__xludf.DUMMYFUNCTION("""COMPUTED_VALUE"""),0.018565223194600078)</f>
        <v>0.01856522319</v>
      </c>
    </row>
    <row r="1395">
      <c r="A1395" s="5" t="str">
        <f>IFERROR(__xludf.DUMMYFUNCTION("""COMPUTED_VALUE"""),"37400")</f>
        <v>37400</v>
      </c>
      <c r="B1395" s="64">
        <f>IFERROR(__xludf.DUMMYFUNCTION("""COMPUTED_VALUE"""),44647.0)</f>
        <v>44647</v>
      </c>
      <c r="C1395" s="5"/>
      <c r="D1395" s="5"/>
      <c r="E1395" s="5"/>
      <c r="F1395" s="22">
        <f>IFERROR(__xludf.DUMMYFUNCTION("""COMPUTED_VALUE"""),414418.6717669)</f>
        <v>414418.6718</v>
      </c>
      <c r="G1395" s="22">
        <f>IFERROR(__xludf.DUMMYFUNCTION("""COMPUTED_VALUE"""),0.0)</f>
        <v>0</v>
      </c>
      <c r="H1395" s="22">
        <f>IFERROR(__xludf.DUMMYFUNCTION("""COMPUTED_VALUE"""),509282.61159730004)</f>
        <v>509282.6116</v>
      </c>
      <c r="I1395" s="24">
        <f>IFERROR(__xludf.DUMMYFUNCTION("""COMPUTED_VALUE"""),0.018565223194600078)</f>
        <v>0.01856522319</v>
      </c>
    </row>
    <row r="1396">
      <c r="A1396" s="5" t="str">
        <f>IFERROR(__xludf.DUMMYFUNCTION("""COMPUTED_VALUE"""),"37400")</f>
        <v>37400</v>
      </c>
      <c r="B1396" s="64">
        <f>IFERROR(__xludf.DUMMYFUNCTION("""COMPUTED_VALUE"""),44648.0)</f>
        <v>44648</v>
      </c>
      <c r="C1396" s="5"/>
      <c r="D1396" s="5"/>
      <c r="E1396" s="5"/>
      <c r="F1396" s="22">
        <f>IFERROR(__xludf.DUMMYFUNCTION("""COMPUTED_VALUE"""),414418.6717669)</f>
        <v>414418.6718</v>
      </c>
      <c r="G1396" s="22">
        <f>IFERROR(__xludf.DUMMYFUNCTION("""COMPUTED_VALUE"""),0.0)</f>
        <v>0</v>
      </c>
      <c r="H1396" s="22">
        <f>IFERROR(__xludf.DUMMYFUNCTION("""COMPUTED_VALUE"""),509235.4397613001)</f>
        <v>509235.4398</v>
      </c>
      <c r="I1396" s="24">
        <f>IFERROR(__xludf.DUMMYFUNCTION("""COMPUTED_VALUE"""),0.018470879522600292)</f>
        <v>0.01847087952</v>
      </c>
    </row>
    <row r="1397">
      <c r="A1397" s="5" t="str">
        <f>IFERROR(__xludf.DUMMYFUNCTION("""COMPUTED_VALUE"""),"37400")</f>
        <v>37400</v>
      </c>
      <c r="B1397" s="64">
        <f>IFERROR(__xludf.DUMMYFUNCTION("""COMPUTED_VALUE"""),44649.0)</f>
        <v>44649</v>
      </c>
      <c r="C1397" s="5"/>
      <c r="D1397" s="5"/>
      <c r="E1397" s="5"/>
      <c r="F1397" s="22">
        <f>IFERROR(__xludf.DUMMYFUNCTION("""COMPUTED_VALUE"""),414418.6717669)</f>
        <v>414418.6718</v>
      </c>
      <c r="G1397" s="22">
        <f>IFERROR(__xludf.DUMMYFUNCTION("""COMPUTED_VALUE"""),0.0)</f>
        <v>0</v>
      </c>
      <c r="H1397" s="22">
        <f>IFERROR(__xludf.DUMMYFUNCTION("""COMPUTED_VALUE"""),509221.5360036)</f>
        <v>509221.536</v>
      </c>
      <c r="I1397" s="24">
        <f>IFERROR(__xludf.DUMMYFUNCTION("""COMPUTED_VALUE"""),0.018443072007199968)</f>
        <v>0.01844307201</v>
      </c>
    </row>
    <row r="1398">
      <c r="A1398" s="5" t="str">
        <f>IFERROR(__xludf.DUMMYFUNCTION("""COMPUTED_VALUE"""),"37400")</f>
        <v>37400</v>
      </c>
      <c r="B1398" s="64">
        <f>IFERROR(__xludf.DUMMYFUNCTION("""COMPUTED_VALUE"""),44650.0)</f>
        <v>44650</v>
      </c>
      <c r="C1398" s="5"/>
      <c r="D1398" s="5"/>
      <c r="E1398" s="5"/>
      <c r="F1398" s="22">
        <f>IFERROR(__xludf.DUMMYFUNCTION("""COMPUTED_VALUE"""),414418.6717669)</f>
        <v>414418.6718</v>
      </c>
      <c r="G1398" s="22">
        <f>IFERROR(__xludf.DUMMYFUNCTION("""COMPUTED_VALUE"""),0.0)</f>
        <v>0</v>
      </c>
      <c r="H1398" s="22">
        <f>IFERROR(__xludf.DUMMYFUNCTION("""COMPUTED_VALUE"""),509220.8168738)</f>
        <v>509220.8169</v>
      </c>
      <c r="I1398" s="24">
        <f>IFERROR(__xludf.DUMMYFUNCTION("""COMPUTED_VALUE"""),0.018441633747600106)</f>
        <v>0.01844163375</v>
      </c>
    </row>
    <row r="1399">
      <c r="A1399" s="5" t="str">
        <f>IFERROR(__xludf.DUMMYFUNCTION("""COMPUTED_VALUE"""),"37400")</f>
        <v>37400</v>
      </c>
      <c r="B1399" s="64">
        <f>IFERROR(__xludf.DUMMYFUNCTION("""COMPUTED_VALUE"""),44651.0)</f>
        <v>44651</v>
      </c>
      <c r="C1399" s="5"/>
      <c r="D1399" s="5"/>
      <c r="E1399" s="5"/>
      <c r="F1399" s="22">
        <f>IFERROR(__xludf.DUMMYFUNCTION("""COMPUTED_VALUE"""),414418.6717669)</f>
        <v>414418.6718</v>
      </c>
      <c r="G1399" s="22">
        <f>IFERROR(__xludf.DUMMYFUNCTION("""COMPUTED_VALUE"""),0.0)</f>
        <v>0</v>
      </c>
      <c r="H1399" s="22">
        <f>IFERROR(__xludf.DUMMYFUNCTION("""COMPUTED_VALUE"""),509240.50499489997)</f>
        <v>509240.505</v>
      </c>
      <c r="I1399" s="24">
        <f>IFERROR(__xludf.DUMMYFUNCTION("""COMPUTED_VALUE"""),0.018481009989799846)</f>
        <v>0.01848100999</v>
      </c>
    </row>
    <row r="1400">
      <c r="A1400" s="5" t="str">
        <f>IFERROR(__xludf.DUMMYFUNCTION("""COMPUTED_VALUE"""),"37400")</f>
        <v>37400</v>
      </c>
      <c r="B1400" s="64">
        <f>IFERROR(__xludf.DUMMYFUNCTION("""COMPUTED_VALUE"""),44652.0)</f>
        <v>44652</v>
      </c>
      <c r="C1400" s="5"/>
      <c r="D1400" s="5"/>
      <c r="E1400" s="5"/>
      <c r="F1400" s="22">
        <f>IFERROR(__xludf.DUMMYFUNCTION("""COMPUTED_VALUE"""),414418.6717669)</f>
        <v>414418.6718</v>
      </c>
      <c r="G1400" s="22">
        <f>IFERROR(__xludf.DUMMYFUNCTION("""COMPUTED_VALUE"""),0.0)</f>
        <v>0</v>
      </c>
      <c r="H1400" s="22">
        <f>IFERROR(__xludf.DUMMYFUNCTION("""COMPUTED_VALUE"""),509229.39975980006)</f>
        <v>509229.3998</v>
      </c>
      <c r="I1400" s="24">
        <f>IFERROR(__xludf.DUMMYFUNCTION("""COMPUTED_VALUE"""),0.018458799519600166)</f>
        <v>0.01845879952</v>
      </c>
    </row>
    <row r="1401">
      <c r="A1401" s="5" t="str">
        <f>IFERROR(__xludf.DUMMYFUNCTION("""COMPUTED_VALUE"""),"37400")</f>
        <v>37400</v>
      </c>
      <c r="B1401" s="64">
        <f>IFERROR(__xludf.DUMMYFUNCTION("""COMPUTED_VALUE"""),44653.0)</f>
        <v>44653</v>
      </c>
      <c r="C1401" s="5"/>
      <c r="D1401" s="5"/>
      <c r="E1401" s="5"/>
      <c r="F1401" s="22">
        <f>IFERROR(__xludf.DUMMYFUNCTION("""COMPUTED_VALUE"""),414418.6717669)</f>
        <v>414418.6718</v>
      </c>
      <c r="G1401" s="22">
        <f>IFERROR(__xludf.DUMMYFUNCTION("""COMPUTED_VALUE"""),0.0)</f>
        <v>0</v>
      </c>
      <c r="H1401" s="22">
        <f>IFERROR(__xludf.DUMMYFUNCTION("""COMPUTED_VALUE"""),509229.39975980006)</f>
        <v>509229.3998</v>
      </c>
      <c r="I1401" s="24">
        <f>IFERROR(__xludf.DUMMYFUNCTION("""COMPUTED_VALUE"""),0.018458799519600166)</f>
        <v>0.01845879952</v>
      </c>
    </row>
    <row r="1402">
      <c r="A1402" s="5" t="str">
        <f>IFERROR(__xludf.DUMMYFUNCTION("""COMPUTED_VALUE"""),"37400")</f>
        <v>37400</v>
      </c>
      <c r="B1402" s="64">
        <f>IFERROR(__xludf.DUMMYFUNCTION("""COMPUTED_VALUE"""),44654.0)</f>
        <v>44654</v>
      </c>
      <c r="C1402" s="5"/>
      <c r="D1402" s="5"/>
      <c r="E1402" s="5"/>
      <c r="F1402" s="22">
        <f>IFERROR(__xludf.DUMMYFUNCTION("""COMPUTED_VALUE"""),414418.6717669)</f>
        <v>414418.6718</v>
      </c>
      <c r="G1402" s="22">
        <f>IFERROR(__xludf.DUMMYFUNCTION("""COMPUTED_VALUE"""),0.0)</f>
        <v>0</v>
      </c>
      <c r="H1402" s="22">
        <f>IFERROR(__xludf.DUMMYFUNCTION("""COMPUTED_VALUE"""),509229.39975980006)</f>
        <v>509229.3998</v>
      </c>
      <c r="I1402" s="24">
        <f>IFERROR(__xludf.DUMMYFUNCTION("""COMPUTED_VALUE"""),0.018458799519600166)</f>
        <v>0.01845879952</v>
      </c>
    </row>
    <row r="1403">
      <c r="A1403" s="5" t="str">
        <f>IFERROR(__xludf.DUMMYFUNCTION("""COMPUTED_VALUE"""),"37400")</f>
        <v>37400</v>
      </c>
      <c r="B1403" s="64">
        <f>IFERROR(__xludf.DUMMYFUNCTION("""COMPUTED_VALUE"""),44655.0)</f>
        <v>44655</v>
      </c>
      <c r="C1403" s="5"/>
      <c r="D1403" s="5"/>
      <c r="E1403" s="5"/>
      <c r="F1403" s="22">
        <f>IFERROR(__xludf.DUMMYFUNCTION("""COMPUTED_VALUE"""),414418.6717669)</f>
        <v>414418.6718</v>
      </c>
      <c r="G1403" s="22">
        <f>IFERROR(__xludf.DUMMYFUNCTION("""COMPUTED_VALUE"""),0.0)</f>
        <v>0</v>
      </c>
      <c r="H1403" s="22">
        <f>IFERROR(__xludf.DUMMYFUNCTION("""COMPUTED_VALUE"""),509186.79441840004)</f>
        <v>509186.7944</v>
      </c>
      <c r="I1403" s="24">
        <f>IFERROR(__xludf.DUMMYFUNCTION("""COMPUTED_VALUE"""),0.01837358883680018)</f>
        <v>0.01837358884</v>
      </c>
    </row>
    <row r="1404">
      <c r="A1404" s="5" t="str">
        <f>IFERROR(__xludf.DUMMYFUNCTION("""COMPUTED_VALUE"""),"37400")</f>
        <v>37400</v>
      </c>
      <c r="B1404" s="64">
        <f>IFERROR(__xludf.DUMMYFUNCTION("""COMPUTED_VALUE"""),44656.0)</f>
        <v>44656</v>
      </c>
      <c r="C1404" s="5"/>
      <c r="D1404" s="5"/>
      <c r="E1404" s="5"/>
      <c r="F1404" s="22">
        <f>IFERROR(__xludf.DUMMYFUNCTION("""COMPUTED_VALUE"""),414418.6717669)</f>
        <v>414418.6718</v>
      </c>
      <c r="G1404" s="22">
        <f>IFERROR(__xludf.DUMMYFUNCTION("""COMPUTED_VALUE"""),0.0)</f>
        <v>0</v>
      </c>
      <c r="H1404" s="22">
        <f>IFERROR(__xludf.DUMMYFUNCTION("""COMPUTED_VALUE"""),509231.89457749994)</f>
        <v>509231.8946</v>
      </c>
      <c r="I1404" s="24">
        <f>IFERROR(__xludf.DUMMYFUNCTION("""COMPUTED_VALUE"""),0.01846378915499991)</f>
        <v>0.01846378915</v>
      </c>
    </row>
    <row r="1405">
      <c r="A1405" s="5" t="str">
        <f>IFERROR(__xludf.DUMMYFUNCTION("""COMPUTED_VALUE"""),"37400")</f>
        <v>37400</v>
      </c>
      <c r="B1405" s="64">
        <f>IFERROR(__xludf.DUMMYFUNCTION("""COMPUTED_VALUE"""),44657.0)</f>
        <v>44657</v>
      </c>
      <c r="C1405" s="5"/>
      <c r="D1405" s="5"/>
      <c r="E1405" s="5"/>
      <c r="F1405" s="22">
        <f>IFERROR(__xludf.DUMMYFUNCTION("""COMPUTED_VALUE"""),414418.6717669)</f>
        <v>414418.6718</v>
      </c>
      <c r="G1405" s="22">
        <f>IFERROR(__xludf.DUMMYFUNCTION("""COMPUTED_VALUE"""),0.0)</f>
        <v>0</v>
      </c>
      <c r="H1405" s="22">
        <f>IFERROR(__xludf.DUMMYFUNCTION("""COMPUTED_VALUE"""),509267.87691650004)</f>
        <v>509267.8769</v>
      </c>
      <c r="I1405" s="24">
        <f>IFERROR(__xludf.DUMMYFUNCTION("""COMPUTED_VALUE"""),0.01853575383299999)</f>
        <v>0.01853575383</v>
      </c>
    </row>
    <row r="1406">
      <c r="A1406" s="5" t="str">
        <f>IFERROR(__xludf.DUMMYFUNCTION("""COMPUTED_VALUE"""),"37400")</f>
        <v>37400</v>
      </c>
      <c r="B1406" s="64">
        <f>IFERROR(__xludf.DUMMYFUNCTION("""COMPUTED_VALUE"""),44658.0)</f>
        <v>44658</v>
      </c>
      <c r="C1406" s="5"/>
      <c r="D1406" s="5"/>
      <c r="E1406" s="5"/>
      <c r="F1406" s="22">
        <f>IFERROR(__xludf.DUMMYFUNCTION("""COMPUTED_VALUE"""),414418.6717669)</f>
        <v>414418.6718</v>
      </c>
      <c r="G1406" s="22">
        <f>IFERROR(__xludf.DUMMYFUNCTION("""COMPUTED_VALUE"""),0.0)</f>
        <v>0</v>
      </c>
      <c r="H1406" s="22">
        <f>IFERROR(__xludf.DUMMYFUNCTION("""COMPUTED_VALUE"""),509256.48699350003)</f>
        <v>509256.487</v>
      </c>
      <c r="I1406" s="24">
        <f>IFERROR(__xludf.DUMMYFUNCTION("""COMPUTED_VALUE"""),0.018512973987000025)</f>
        <v>0.01851297399</v>
      </c>
    </row>
    <row r="1407">
      <c r="A1407" s="5" t="str">
        <f>IFERROR(__xludf.DUMMYFUNCTION("""COMPUTED_VALUE"""),"37400")</f>
        <v>37400</v>
      </c>
      <c r="B1407" s="64">
        <f>IFERROR(__xludf.DUMMYFUNCTION("""COMPUTED_VALUE"""),44659.0)</f>
        <v>44659</v>
      </c>
      <c r="C1407" s="5"/>
      <c r="D1407" s="5"/>
      <c r="E1407" s="5"/>
      <c r="F1407" s="22">
        <f>IFERROR(__xludf.DUMMYFUNCTION("""COMPUTED_VALUE"""),414418.6717669)</f>
        <v>414418.6718</v>
      </c>
      <c r="G1407" s="22">
        <f>IFERROR(__xludf.DUMMYFUNCTION("""COMPUTED_VALUE"""),0.0)</f>
        <v>0</v>
      </c>
      <c r="H1407" s="22">
        <f>IFERROR(__xludf.DUMMYFUNCTION("""COMPUTED_VALUE"""),509277.7469548001)</f>
        <v>509277.747</v>
      </c>
      <c r="I1407" s="24">
        <f>IFERROR(__xludf.DUMMYFUNCTION("""COMPUTED_VALUE"""),0.018555493909600207)</f>
        <v>0.01855549391</v>
      </c>
    </row>
    <row r="1408">
      <c r="A1408" s="5" t="str">
        <f>IFERROR(__xludf.DUMMYFUNCTION("""COMPUTED_VALUE"""),"37400")</f>
        <v>37400</v>
      </c>
      <c r="B1408" s="64">
        <f>IFERROR(__xludf.DUMMYFUNCTION("""COMPUTED_VALUE"""),44660.0)</f>
        <v>44660</v>
      </c>
      <c r="C1408" s="5"/>
      <c r="D1408" s="5"/>
      <c r="E1408" s="5"/>
      <c r="F1408" s="22">
        <f>IFERROR(__xludf.DUMMYFUNCTION("""COMPUTED_VALUE"""),414418.6717669)</f>
        <v>414418.6718</v>
      </c>
      <c r="G1408" s="22">
        <f>IFERROR(__xludf.DUMMYFUNCTION("""COMPUTED_VALUE"""),0.0)</f>
        <v>0</v>
      </c>
      <c r="H1408" s="22">
        <f>IFERROR(__xludf.DUMMYFUNCTION("""COMPUTED_VALUE"""),509277.7469548001)</f>
        <v>509277.747</v>
      </c>
      <c r="I1408" s="24">
        <f>IFERROR(__xludf.DUMMYFUNCTION("""COMPUTED_VALUE"""),0.018555493909600207)</f>
        <v>0.01855549391</v>
      </c>
    </row>
    <row r="1409">
      <c r="A1409" s="5" t="str">
        <f>IFERROR(__xludf.DUMMYFUNCTION("""COMPUTED_VALUE"""),"37400")</f>
        <v>37400</v>
      </c>
      <c r="B1409" s="64">
        <f>IFERROR(__xludf.DUMMYFUNCTION("""COMPUTED_VALUE"""),44661.0)</f>
        <v>44661</v>
      </c>
      <c r="C1409" s="5"/>
      <c r="D1409" s="5"/>
      <c r="E1409" s="5"/>
      <c r="F1409" s="22">
        <f>IFERROR(__xludf.DUMMYFUNCTION("""COMPUTED_VALUE"""),414418.6717669)</f>
        <v>414418.6718</v>
      </c>
      <c r="G1409" s="22">
        <f>IFERROR(__xludf.DUMMYFUNCTION("""COMPUTED_VALUE"""),0.0)</f>
        <v>0</v>
      </c>
      <c r="H1409" s="22">
        <f>IFERROR(__xludf.DUMMYFUNCTION("""COMPUTED_VALUE"""),509277.7469548001)</f>
        <v>509277.747</v>
      </c>
      <c r="I1409" s="24">
        <f>IFERROR(__xludf.DUMMYFUNCTION("""COMPUTED_VALUE"""),0.018555493909600207)</f>
        <v>0.01855549391</v>
      </c>
    </row>
    <row r="1410">
      <c r="A1410" s="5" t="str">
        <f>IFERROR(__xludf.DUMMYFUNCTION("""COMPUTED_VALUE"""),"37400")</f>
        <v>37400</v>
      </c>
      <c r="B1410" s="64">
        <f>IFERROR(__xludf.DUMMYFUNCTION("""COMPUTED_VALUE"""),44662.0)</f>
        <v>44662</v>
      </c>
      <c r="C1410" s="5"/>
      <c r="D1410" s="5"/>
      <c r="E1410" s="5"/>
      <c r="F1410" s="22">
        <f>IFERROR(__xludf.DUMMYFUNCTION("""COMPUTED_VALUE"""),414418.6717669)</f>
        <v>414418.6718</v>
      </c>
      <c r="G1410" s="22">
        <f>IFERROR(__xludf.DUMMYFUNCTION("""COMPUTED_VALUE"""),0.0)</f>
        <v>0</v>
      </c>
      <c r="H1410" s="22">
        <f>IFERROR(__xludf.DUMMYFUNCTION("""COMPUTED_VALUE"""),509317.36522320006)</f>
        <v>509317.3652</v>
      </c>
      <c r="I1410" s="24">
        <f>IFERROR(__xludf.DUMMYFUNCTION("""COMPUTED_VALUE"""),0.018634730446400072)</f>
        <v>0.01863473045</v>
      </c>
    </row>
    <row r="1411">
      <c r="A1411" s="5" t="str">
        <f>IFERROR(__xludf.DUMMYFUNCTION("""COMPUTED_VALUE"""),"37400")</f>
        <v>37400</v>
      </c>
      <c r="B1411" s="64">
        <f>IFERROR(__xludf.DUMMYFUNCTION("""COMPUTED_VALUE"""),44663.0)</f>
        <v>44663</v>
      </c>
      <c r="C1411" s="5"/>
      <c r="D1411" s="5"/>
      <c r="E1411" s="5"/>
      <c r="F1411" s="22">
        <f>IFERROR(__xludf.DUMMYFUNCTION("""COMPUTED_VALUE"""),414418.6717669)</f>
        <v>414418.6718</v>
      </c>
      <c r="G1411" s="22">
        <f>IFERROR(__xludf.DUMMYFUNCTION("""COMPUTED_VALUE"""),0.0)</f>
        <v>0</v>
      </c>
      <c r="H1411" s="22">
        <f>IFERROR(__xludf.DUMMYFUNCTION("""COMPUTED_VALUE"""),509300.57115940005)</f>
        <v>509300.5712</v>
      </c>
      <c r="I1411" s="24">
        <f>IFERROR(__xludf.DUMMYFUNCTION("""COMPUTED_VALUE"""),0.018601142318800168)</f>
        <v>0.01860114232</v>
      </c>
    </row>
    <row r="1412">
      <c r="A1412" s="5" t="str">
        <f>IFERROR(__xludf.DUMMYFUNCTION("""COMPUTED_VALUE"""),"37568")</f>
        <v>37568</v>
      </c>
      <c r="B1412" s="64">
        <f>IFERROR(__xludf.DUMMYFUNCTION("""COMPUTED_VALUE"""),44597.0)</f>
        <v>44597</v>
      </c>
      <c r="C1412" s="5"/>
      <c r="D1412" s="5"/>
      <c r="E1412" s="5"/>
      <c r="F1412" s="22">
        <f>IFERROR(__xludf.DUMMYFUNCTION("""COMPUTED_VALUE"""),500000.0)</f>
        <v>500000</v>
      </c>
      <c r="G1412" s="22">
        <f>IFERROR(__xludf.DUMMYFUNCTION("""COMPUTED_VALUE"""),0.0)</f>
        <v>0</v>
      </c>
      <c r="H1412" s="22">
        <f>IFERROR(__xludf.DUMMYFUNCTION("""COMPUTED_VALUE"""),500000.0)</f>
        <v>500000</v>
      </c>
      <c r="I1412" s="24">
        <f>IFERROR(__xludf.DUMMYFUNCTION("""COMPUTED_VALUE"""),0.0)</f>
        <v>0</v>
      </c>
    </row>
    <row r="1413">
      <c r="A1413" s="5" t="str">
        <f>IFERROR(__xludf.DUMMYFUNCTION("""COMPUTED_VALUE"""),"37568")</f>
        <v>37568</v>
      </c>
      <c r="B1413" s="64">
        <f>IFERROR(__xludf.DUMMYFUNCTION("""COMPUTED_VALUE"""),44598.0)</f>
        <v>44598</v>
      </c>
      <c r="C1413" s="5"/>
      <c r="D1413" s="5"/>
      <c r="E1413" s="5"/>
      <c r="F1413" s="22">
        <f>IFERROR(__xludf.DUMMYFUNCTION("""COMPUTED_VALUE"""),500000.0)</f>
        <v>500000</v>
      </c>
      <c r="G1413" s="22">
        <f>IFERROR(__xludf.DUMMYFUNCTION("""COMPUTED_VALUE"""),0.0)</f>
        <v>0</v>
      </c>
      <c r="H1413" s="22">
        <f>IFERROR(__xludf.DUMMYFUNCTION("""COMPUTED_VALUE"""),500000.0)</f>
        <v>500000</v>
      </c>
      <c r="I1413" s="24">
        <f>IFERROR(__xludf.DUMMYFUNCTION("""COMPUTED_VALUE"""),0.0)</f>
        <v>0</v>
      </c>
    </row>
    <row r="1414">
      <c r="A1414" s="5" t="str">
        <f>IFERROR(__xludf.DUMMYFUNCTION("""COMPUTED_VALUE"""),"37568")</f>
        <v>37568</v>
      </c>
      <c r="B1414" s="64">
        <f>IFERROR(__xludf.DUMMYFUNCTION("""COMPUTED_VALUE"""),44599.0)</f>
        <v>44599</v>
      </c>
      <c r="C1414" s="5"/>
      <c r="D1414" s="5"/>
      <c r="E1414" s="5"/>
      <c r="F1414" s="22">
        <f>IFERROR(__xludf.DUMMYFUNCTION("""COMPUTED_VALUE"""),500000.0)</f>
        <v>500000</v>
      </c>
      <c r="G1414" s="22">
        <f>IFERROR(__xludf.DUMMYFUNCTION("""COMPUTED_VALUE"""),0.0)</f>
        <v>0</v>
      </c>
      <c r="H1414" s="22">
        <f>IFERROR(__xludf.DUMMYFUNCTION("""COMPUTED_VALUE"""),500000.0)</f>
        <v>500000</v>
      </c>
      <c r="I1414" s="24">
        <f>IFERROR(__xludf.DUMMYFUNCTION("""COMPUTED_VALUE"""),0.0)</f>
        <v>0</v>
      </c>
    </row>
    <row r="1415">
      <c r="A1415" s="5" t="str">
        <f>IFERROR(__xludf.DUMMYFUNCTION("""COMPUTED_VALUE"""),"37568")</f>
        <v>37568</v>
      </c>
      <c r="B1415" s="64">
        <f>IFERROR(__xludf.DUMMYFUNCTION("""COMPUTED_VALUE"""),44600.0)</f>
        <v>44600</v>
      </c>
      <c r="C1415" s="5"/>
      <c r="D1415" s="5"/>
      <c r="E1415" s="5"/>
      <c r="F1415" s="22">
        <f>IFERROR(__xludf.DUMMYFUNCTION("""COMPUTED_VALUE"""),500000.0)</f>
        <v>500000</v>
      </c>
      <c r="G1415" s="22">
        <f>IFERROR(__xludf.DUMMYFUNCTION("""COMPUTED_VALUE"""),0.0)</f>
        <v>0</v>
      </c>
      <c r="H1415" s="22">
        <f>IFERROR(__xludf.DUMMYFUNCTION("""COMPUTED_VALUE"""),500000.0)</f>
        <v>500000</v>
      </c>
      <c r="I1415" s="24">
        <f>IFERROR(__xludf.DUMMYFUNCTION("""COMPUTED_VALUE"""),0.0)</f>
        <v>0</v>
      </c>
    </row>
    <row r="1416">
      <c r="A1416" s="5" t="str">
        <f>IFERROR(__xludf.DUMMYFUNCTION("""COMPUTED_VALUE"""),"37568")</f>
        <v>37568</v>
      </c>
      <c r="B1416" s="64">
        <f>IFERROR(__xludf.DUMMYFUNCTION("""COMPUTED_VALUE"""),44601.0)</f>
        <v>44601</v>
      </c>
      <c r="C1416" s="5"/>
      <c r="D1416" s="5"/>
      <c r="E1416" s="5"/>
      <c r="F1416" s="22">
        <f>IFERROR(__xludf.DUMMYFUNCTION("""COMPUTED_VALUE"""),500000.0)</f>
        <v>500000</v>
      </c>
      <c r="G1416" s="22">
        <f>IFERROR(__xludf.DUMMYFUNCTION("""COMPUTED_VALUE"""),0.0)</f>
        <v>0</v>
      </c>
      <c r="H1416" s="22">
        <f>IFERROR(__xludf.DUMMYFUNCTION("""COMPUTED_VALUE"""),500000.0)</f>
        <v>500000</v>
      </c>
      <c r="I1416" s="24">
        <f>IFERROR(__xludf.DUMMYFUNCTION("""COMPUTED_VALUE"""),0.0)</f>
        <v>0</v>
      </c>
    </row>
    <row r="1417">
      <c r="A1417" s="5" t="str">
        <f>IFERROR(__xludf.DUMMYFUNCTION("""COMPUTED_VALUE"""),"37568")</f>
        <v>37568</v>
      </c>
      <c r="B1417" s="64">
        <f>IFERROR(__xludf.DUMMYFUNCTION("""COMPUTED_VALUE"""),44602.0)</f>
        <v>44602</v>
      </c>
      <c r="C1417" s="5"/>
      <c r="D1417" s="5"/>
      <c r="E1417" s="5"/>
      <c r="F1417" s="22">
        <f>IFERROR(__xludf.DUMMYFUNCTION("""COMPUTED_VALUE"""),500000.0)</f>
        <v>500000</v>
      </c>
      <c r="G1417" s="22">
        <f>IFERROR(__xludf.DUMMYFUNCTION("""COMPUTED_VALUE"""),0.0)</f>
        <v>0</v>
      </c>
      <c r="H1417" s="22">
        <f>IFERROR(__xludf.DUMMYFUNCTION("""COMPUTED_VALUE"""),500000.0)</f>
        <v>500000</v>
      </c>
      <c r="I1417" s="24">
        <f>IFERROR(__xludf.DUMMYFUNCTION("""COMPUTED_VALUE"""),0.0)</f>
        <v>0</v>
      </c>
    </row>
    <row r="1418">
      <c r="A1418" s="5" t="str">
        <f>IFERROR(__xludf.DUMMYFUNCTION("""COMPUTED_VALUE"""),"37568")</f>
        <v>37568</v>
      </c>
      <c r="B1418" s="64">
        <f>IFERROR(__xludf.DUMMYFUNCTION("""COMPUTED_VALUE"""),44603.0)</f>
        <v>44603</v>
      </c>
      <c r="C1418" s="5"/>
      <c r="D1418" s="5"/>
      <c r="E1418" s="5"/>
      <c r="F1418" s="22">
        <f>IFERROR(__xludf.DUMMYFUNCTION("""COMPUTED_VALUE"""),500000.0)</f>
        <v>500000</v>
      </c>
      <c r="G1418" s="22">
        <f>IFERROR(__xludf.DUMMYFUNCTION("""COMPUTED_VALUE"""),0.0)</f>
        <v>0</v>
      </c>
      <c r="H1418" s="22">
        <f>IFERROR(__xludf.DUMMYFUNCTION("""COMPUTED_VALUE"""),500000.0)</f>
        <v>500000</v>
      </c>
      <c r="I1418" s="24">
        <f>IFERROR(__xludf.DUMMYFUNCTION("""COMPUTED_VALUE"""),0.0)</f>
        <v>0</v>
      </c>
    </row>
    <row r="1419">
      <c r="A1419" s="5" t="str">
        <f>IFERROR(__xludf.DUMMYFUNCTION("""COMPUTED_VALUE"""),"37568")</f>
        <v>37568</v>
      </c>
      <c r="B1419" s="64">
        <f>IFERROR(__xludf.DUMMYFUNCTION("""COMPUTED_VALUE"""),44604.0)</f>
        <v>44604</v>
      </c>
      <c r="C1419" s="5"/>
      <c r="D1419" s="5"/>
      <c r="E1419" s="5"/>
      <c r="F1419" s="22">
        <f>IFERROR(__xludf.DUMMYFUNCTION("""COMPUTED_VALUE"""),500000.0)</f>
        <v>500000</v>
      </c>
      <c r="G1419" s="22">
        <f>IFERROR(__xludf.DUMMYFUNCTION("""COMPUTED_VALUE"""),0.0)</f>
        <v>0</v>
      </c>
      <c r="H1419" s="22">
        <f>IFERROR(__xludf.DUMMYFUNCTION("""COMPUTED_VALUE"""),500000.0)</f>
        <v>500000</v>
      </c>
      <c r="I1419" s="24">
        <f>IFERROR(__xludf.DUMMYFUNCTION("""COMPUTED_VALUE"""),0.0)</f>
        <v>0</v>
      </c>
    </row>
    <row r="1420">
      <c r="A1420" s="5" t="str">
        <f>IFERROR(__xludf.DUMMYFUNCTION("""COMPUTED_VALUE"""),"37568")</f>
        <v>37568</v>
      </c>
      <c r="B1420" s="64">
        <f>IFERROR(__xludf.DUMMYFUNCTION("""COMPUTED_VALUE"""),44605.0)</f>
        <v>44605</v>
      </c>
      <c r="C1420" s="5"/>
      <c r="D1420" s="5"/>
      <c r="E1420" s="5"/>
      <c r="F1420" s="22">
        <f>IFERROR(__xludf.DUMMYFUNCTION("""COMPUTED_VALUE"""),500000.0)</f>
        <v>500000</v>
      </c>
      <c r="G1420" s="22">
        <f>IFERROR(__xludf.DUMMYFUNCTION("""COMPUTED_VALUE"""),0.0)</f>
        <v>0</v>
      </c>
      <c r="H1420" s="22">
        <f>IFERROR(__xludf.DUMMYFUNCTION("""COMPUTED_VALUE"""),500000.0)</f>
        <v>500000</v>
      </c>
      <c r="I1420" s="24">
        <f>IFERROR(__xludf.DUMMYFUNCTION("""COMPUTED_VALUE"""),0.0)</f>
        <v>0</v>
      </c>
    </row>
    <row r="1421">
      <c r="A1421" s="5" t="str">
        <f>IFERROR(__xludf.DUMMYFUNCTION("""COMPUTED_VALUE"""),"37568")</f>
        <v>37568</v>
      </c>
      <c r="B1421" s="64">
        <f>IFERROR(__xludf.DUMMYFUNCTION("""COMPUTED_VALUE"""),44606.0)</f>
        <v>44606</v>
      </c>
      <c r="C1421" s="5"/>
      <c r="D1421" s="5"/>
      <c r="E1421" s="5"/>
      <c r="F1421" s="22">
        <f>IFERROR(__xludf.DUMMYFUNCTION("""COMPUTED_VALUE"""),500000.0)</f>
        <v>500000</v>
      </c>
      <c r="G1421" s="22">
        <f>IFERROR(__xludf.DUMMYFUNCTION("""COMPUTED_VALUE"""),0.0)</f>
        <v>0</v>
      </c>
      <c r="H1421" s="22">
        <f>IFERROR(__xludf.DUMMYFUNCTION("""COMPUTED_VALUE"""),500000.0)</f>
        <v>500000</v>
      </c>
      <c r="I1421" s="24">
        <f>IFERROR(__xludf.DUMMYFUNCTION("""COMPUTED_VALUE"""),0.0)</f>
        <v>0</v>
      </c>
    </row>
    <row r="1422">
      <c r="A1422" s="5" t="str">
        <f>IFERROR(__xludf.DUMMYFUNCTION("""COMPUTED_VALUE"""),"37568")</f>
        <v>37568</v>
      </c>
      <c r="B1422" s="64">
        <f>IFERROR(__xludf.DUMMYFUNCTION("""COMPUTED_VALUE"""),44607.0)</f>
        <v>44607</v>
      </c>
      <c r="C1422" s="5"/>
      <c r="D1422" s="5"/>
      <c r="E1422" s="5"/>
      <c r="F1422" s="22">
        <f>IFERROR(__xludf.DUMMYFUNCTION("""COMPUTED_VALUE"""),500000.0)</f>
        <v>500000</v>
      </c>
      <c r="G1422" s="22">
        <f>IFERROR(__xludf.DUMMYFUNCTION("""COMPUTED_VALUE"""),0.0)</f>
        <v>0</v>
      </c>
      <c r="H1422" s="22">
        <f>IFERROR(__xludf.DUMMYFUNCTION("""COMPUTED_VALUE"""),500000.0)</f>
        <v>500000</v>
      </c>
      <c r="I1422" s="24">
        <f>IFERROR(__xludf.DUMMYFUNCTION("""COMPUTED_VALUE"""),0.0)</f>
        <v>0</v>
      </c>
    </row>
    <row r="1423">
      <c r="A1423" s="5" t="str">
        <f>IFERROR(__xludf.DUMMYFUNCTION("""COMPUTED_VALUE"""),"37568")</f>
        <v>37568</v>
      </c>
      <c r="B1423" s="64">
        <f>IFERROR(__xludf.DUMMYFUNCTION("""COMPUTED_VALUE"""),44608.0)</f>
        <v>44608</v>
      </c>
      <c r="C1423" s="5"/>
      <c r="D1423" s="5"/>
      <c r="E1423" s="5"/>
      <c r="F1423" s="22">
        <f>IFERROR(__xludf.DUMMYFUNCTION("""COMPUTED_VALUE"""),500000.0)</f>
        <v>500000</v>
      </c>
      <c r="G1423" s="22">
        <f>IFERROR(__xludf.DUMMYFUNCTION("""COMPUTED_VALUE"""),0.0)</f>
        <v>0</v>
      </c>
      <c r="H1423" s="22">
        <f>IFERROR(__xludf.DUMMYFUNCTION("""COMPUTED_VALUE"""),500000.0)</f>
        <v>500000</v>
      </c>
      <c r="I1423" s="24">
        <f>IFERROR(__xludf.DUMMYFUNCTION("""COMPUTED_VALUE"""),0.0)</f>
        <v>0</v>
      </c>
    </row>
    <row r="1424">
      <c r="A1424" s="5" t="str">
        <f>IFERROR(__xludf.DUMMYFUNCTION("""COMPUTED_VALUE"""),"37568")</f>
        <v>37568</v>
      </c>
      <c r="B1424" s="64">
        <f>IFERROR(__xludf.DUMMYFUNCTION("""COMPUTED_VALUE"""),44609.0)</f>
        <v>44609</v>
      </c>
      <c r="C1424" s="5"/>
      <c r="D1424" s="5"/>
      <c r="E1424" s="5"/>
      <c r="F1424" s="22">
        <f>IFERROR(__xludf.DUMMYFUNCTION("""COMPUTED_VALUE"""),500000.0)</f>
        <v>500000</v>
      </c>
      <c r="G1424" s="22">
        <f>IFERROR(__xludf.DUMMYFUNCTION("""COMPUTED_VALUE"""),0.0)</f>
        <v>0</v>
      </c>
      <c r="H1424" s="22">
        <f>IFERROR(__xludf.DUMMYFUNCTION("""COMPUTED_VALUE"""),500000.0)</f>
        <v>500000</v>
      </c>
      <c r="I1424" s="24">
        <f>IFERROR(__xludf.DUMMYFUNCTION("""COMPUTED_VALUE"""),0.0)</f>
        <v>0</v>
      </c>
    </row>
    <row r="1425">
      <c r="A1425" s="5" t="str">
        <f>IFERROR(__xludf.DUMMYFUNCTION("""COMPUTED_VALUE"""),"37568")</f>
        <v>37568</v>
      </c>
      <c r="B1425" s="64">
        <f>IFERROR(__xludf.DUMMYFUNCTION("""COMPUTED_VALUE"""),44610.0)</f>
        <v>44610</v>
      </c>
      <c r="C1425" s="5"/>
      <c r="D1425" s="5"/>
      <c r="E1425" s="5"/>
      <c r="F1425" s="22">
        <f>IFERROR(__xludf.DUMMYFUNCTION("""COMPUTED_VALUE"""),500000.0)</f>
        <v>500000</v>
      </c>
      <c r="G1425" s="22">
        <f>IFERROR(__xludf.DUMMYFUNCTION("""COMPUTED_VALUE"""),0.0)</f>
        <v>0</v>
      </c>
      <c r="H1425" s="22">
        <f>IFERROR(__xludf.DUMMYFUNCTION("""COMPUTED_VALUE"""),500000.0)</f>
        <v>500000</v>
      </c>
      <c r="I1425" s="24">
        <f>IFERROR(__xludf.DUMMYFUNCTION("""COMPUTED_VALUE"""),0.0)</f>
        <v>0</v>
      </c>
    </row>
    <row r="1426">
      <c r="A1426" s="5" t="str">
        <f>IFERROR(__xludf.DUMMYFUNCTION("""COMPUTED_VALUE"""),"37568")</f>
        <v>37568</v>
      </c>
      <c r="B1426" s="64">
        <f>IFERROR(__xludf.DUMMYFUNCTION("""COMPUTED_VALUE"""),44611.0)</f>
        <v>44611</v>
      </c>
      <c r="C1426" s="5"/>
      <c r="D1426" s="5"/>
      <c r="E1426" s="5"/>
      <c r="F1426" s="22">
        <f>IFERROR(__xludf.DUMMYFUNCTION("""COMPUTED_VALUE"""),500000.0)</f>
        <v>500000</v>
      </c>
      <c r="G1426" s="22">
        <f>IFERROR(__xludf.DUMMYFUNCTION("""COMPUTED_VALUE"""),0.0)</f>
        <v>0</v>
      </c>
      <c r="H1426" s="22">
        <f>IFERROR(__xludf.DUMMYFUNCTION("""COMPUTED_VALUE"""),500000.0)</f>
        <v>500000</v>
      </c>
      <c r="I1426" s="24">
        <f>IFERROR(__xludf.DUMMYFUNCTION("""COMPUTED_VALUE"""),0.0)</f>
        <v>0</v>
      </c>
    </row>
    <row r="1427">
      <c r="A1427" s="5" t="str">
        <f>IFERROR(__xludf.DUMMYFUNCTION("""COMPUTED_VALUE"""),"37568")</f>
        <v>37568</v>
      </c>
      <c r="B1427" s="64">
        <f>IFERROR(__xludf.DUMMYFUNCTION("""COMPUTED_VALUE"""),44612.0)</f>
        <v>44612</v>
      </c>
      <c r="C1427" s="5"/>
      <c r="D1427" s="5"/>
      <c r="E1427" s="5"/>
      <c r="F1427" s="22">
        <f>IFERROR(__xludf.DUMMYFUNCTION("""COMPUTED_VALUE"""),500000.0)</f>
        <v>500000</v>
      </c>
      <c r="G1427" s="22">
        <f>IFERROR(__xludf.DUMMYFUNCTION("""COMPUTED_VALUE"""),0.0)</f>
        <v>0</v>
      </c>
      <c r="H1427" s="22">
        <f>IFERROR(__xludf.DUMMYFUNCTION("""COMPUTED_VALUE"""),500000.0)</f>
        <v>500000</v>
      </c>
      <c r="I1427" s="24">
        <f>IFERROR(__xludf.DUMMYFUNCTION("""COMPUTED_VALUE"""),0.0)</f>
        <v>0</v>
      </c>
    </row>
    <row r="1428">
      <c r="A1428" s="5" t="str">
        <f>IFERROR(__xludf.DUMMYFUNCTION("""COMPUTED_VALUE"""),"37568")</f>
        <v>37568</v>
      </c>
      <c r="B1428" s="64">
        <f>IFERROR(__xludf.DUMMYFUNCTION("""COMPUTED_VALUE"""),44613.0)</f>
        <v>44613</v>
      </c>
      <c r="C1428" s="5"/>
      <c r="D1428" s="5"/>
      <c r="E1428" s="5"/>
      <c r="F1428" s="22">
        <f>IFERROR(__xludf.DUMMYFUNCTION("""COMPUTED_VALUE"""),500000.0)</f>
        <v>500000</v>
      </c>
      <c r="G1428" s="22">
        <f>IFERROR(__xludf.DUMMYFUNCTION("""COMPUTED_VALUE"""),0.0)</f>
        <v>0</v>
      </c>
      <c r="H1428" s="22">
        <f>IFERROR(__xludf.DUMMYFUNCTION("""COMPUTED_VALUE"""),500000.0)</f>
        <v>500000</v>
      </c>
      <c r="I1428" s="24">
        <f>IFERROR(__xludf.DUMMYFUNCTION("""COMPUTED_VALUE"""),0.0)</f>
        <v>0</v>
      </c>
    </row>
    <row r="1429">
      <c r="A1429" s="5" t="str">
        <f>IFERROR(__xludf.DUMMYFUNCTION("""COMPUTED_VALUE"""),"37568")</f>
        <v>37568</v>
      </c>
      <c r="B1429" s="64">
        <f>IFERROR(__xludf.DUMMYFUNCTION("""COMPUTED_VALUE"""),44614.0)</f>
        <v>44614</v>
      </c>
      <c r="C1429" s="5"/>
      <c r="D1429" s="5"/>
      <c r="E1429" s="5"/>
      <c r="F1429" s="22">
        <f>IFERROR(__xludf.DUMMYFUNCTION("""COMPUTED_VALUE"""),500000.0)</f>
        <v>500000</v>
      </c>
      <c r="G1429" s="22">
        <f>IFERROR(__xludf.DUMMYFUNCTION("""COMPUTED_VALUE"""),0.0)</f>
        <v>0</v>
      </c>
      <c r="H1429" s="22">
        <f>IFERROR(__xludf.DUMMYFUNCTION("""COMPUTED_VALUE"""),500000.0)</f>
        <v>500000</v>
      </c>
      <c r="I1429" s="24">
        <f>IFERROR(__xludf.DUMMYFUNCTION("""COMPUTED_VALUE"""),0.0)</f>
        <v>0</v>
      </c>
    </row>
    <row r="1430">
      <c r="A1430" s="5" t="str">
        <f>IFERROR(__xludf.DUMMYFUNCTION("""COMPUTED_VALUE"""),"37568")</f>
        <v>37568</v>
      </c>
      <c r="B1430" s="64">
        <f>IFERROR(__xludf.DUMMYFUNCTION("""COMPUTED_VALUE"""),44615.0)</f>
        <v>44615</v>
      </c>
      <c r="C1430" s="5"/>
      <c r="D1430" s="5"/>
      <c r="E1430" s="5"/>
      <c r="F1430" s="22">
        <f>IFERROR(__xludf.DUMMYFUNCTION("""COMPUTED_VALUE"""),500000.0)</f>
        <v>500000</v>
      </c>
      <c r="G1430" s="22">
        <f>IFERROR(__xludf.DUMMYFUNCTION("""COMPUTED_VALUE"""),0.0)</f>
        <v>0</v>
      </c>
      <c r="H1430" s="22">
        <f>IFERROR(__xludf.DUMMYFUNCTION("""COMPUTED_VALUE"""),500000.0)</f>
        <v>500000</v>
      </c>
      <c r="I1430" s="24">
        <f>IFERROR(__xludf.DUMMYFUNCTION("""COMPUTED_VALUE"""),0.0)</f>
        <v>0</v>
      </c>
    </row>
    <row r="1431">
      <c r="A1431" s="5" t="str">
        <f>IFERROR(__xludf.DUMMYFUNCTION("""COMPUTED_VALUE"""),"37568")</f>
        <v>37568</v>
      </c>
      <c r="B1431" s="64">
        <f>IFERROR(__xludf.DUMMYFUNCTION("""COMPUTED_VALUE"""),44616.0)</f>
        <v>44616</v>
      </c>
      <c r="C1431" s="5"/>
      <c r="D1431" s="5"/>
      <c r="E1431" s="5"/>
      <c r="F1431" s="22">
        <f>IFERROR(__xludf.DUMMYFUNCTION("""COMPUTED_VALUE"""),500000.0)</f>
        <v>500000</v>
      </c>
      <c r="G1431" s="22">
        <f>IFERROR(__xludf.DUMMYFUNCTION("""COMPUTED_VALUE"""),0.0)</f>
        <v>0</v>
      </c>
      <c r="H1431" s="22">
        <f>IFERROR(__xludf.DUMMYFUNCTION("""COMPUTED_VALUE"""),500000.0)</f>
        <v>500000</v>
      </c>
      <c r="I1431" s="24">
        <f>IFERROR(__xludf.DUMMYFUNCTION("""COMPUTED_VALUE"""),0.0)</f>
        <v>0</v>
      </c>
    </row>
    <row r="1432">
      <c r="A1432" s="5" t="str">
        <f>IFERROR(__xludf.DUMMYFUNCTION("""COMPUTED_VALUE"""),"37568")</f>
        <v>37568</v>
      </c>
      <c r="B1432" s="64">
        <f>IFERROR(__xludf.DUMMYFUNCTION("""COMPUTED_VALUE"""),44617.0)</f>
        <v>44617</v>
      </c>
      <c r="C1432" s="5"/>
      <c r="D1432" s="5"/>
      <c r="E1432" s="5"/>
      <c r="F1432" s="22">
        <f>IFERROR(__xludf.DUMMYFUNCTION("""COMPUTED_VALUE"""),500000.0)</f>
        <v>500000</v>
      </c>
      <c r="G1432" s="22">
        <f>IFERROR(__xludf.DUMMYFUNCTION("""COMPUTED_VALUE"""),0.0)</f>
        <v>0</v>
      </c>
      <c r="H1432" s="22">
        <f>IFERROR(__xludf.DUMMYFUNCTION("""COMPUTED_VALUE"""),500000.0)</f>
        <v>500000</v>
      </c>
      <c r="I1432" s="24">
        <f>IFERROR(__xludf.DUMMYFUNCTION("""COMPUTED_VALUE"""),0.0)</f>
        <v>0</v>
      </c>
    </row>
    <row r="1433">
      <c r="A1433" s="5" t="str">
        <f>IFERROR(__xludf.DUMMYFUNCTION("""COMPUTED_VALUE"""),"37568")</f>
        <v>37568</v>
      </c>
      <c r="B1433" s="64">
        <f>IFERROR(__xludf.DUMMYFUNCTION("""COMPUTED_VALUE"""),44618.0)</f>
        <v>44618</v>
      </c>
      <c r="C1433" s="5"/>
      <c r="D1433" s="5"/>
      <c r="E1433" s="5"/>
      <c r="F1433" s="22">
        <f>IFERROR(__xludf.DUMMYFUNCTION("""COMPUTED_VALUE"""),500000.0)</f>
        <v>500000</v>
      </c>
      <c r="G1433" s="22">
        <f>IFERROR(__xludf.DUMMYFUNCTION("""COMPUTED_VALUE"""),0.0)</f>
        <v>0</v>
      </c>
      <c r="H1433" s="22">
        <f>IFERROR(__xludf.DUMMYFUNCTION("""COMPUTED_VALUE"""),500000.0)</f>
        <v>500000</v>
      </c>
      <c r="I1433" s="24">
        <f>IFERROR(__xludf.DUMMYFUNCTION("""COMPUTED_VALUE"""),0.0)</f>
        <v>0</v>
      </c>
    </row>
    <row r="1434">
      <c r="A1434" s="5" t="str">
        <f>IFERROR(__xludf.DUMMYFUNCTION("""COMPUTED_VALUE"""),"37568")</f>
        <v>37568</v>
      </c>
      <c r="B1434" s="64">
        <f>IFERROR(__xludf.DUMMYFUNCTION("""COMPUTED_VALUE"""),44619.0)</f>
        <v>44619</v>
      </c>
      <c r="C1434" s="5"/>
      <c r="D1434" s="5"/>
      <c r="E1434" s="5"/>
      <c r="F1434" s="22">
        <f>IFERROR(__xludf.DUMMYFUNCTION("""COMPUTED_VALUE"""),500000.0)</f>
        <v>500000</v>
      </c>
      <c r="G1434" s="22">
        <f>IFERROR(__xludf.DUMMYFUNCTION("""COMPUTED_VALUE"""),0.0)</f>
        <v>0</v>
      </c>
      <c r="H1434" s="22">
        <f>IFERROR(__xludf.DUMMYFUNCTION("""COMPUTED_VALUE"""),500000.0)</f>
        <v>500000</v>
      </c>
      <c r="I1434" s="24">
        <f>IFERROR(__xludf.DUMMYFUNCTION("""COMPUTED_VALUE"""),0.0)</f>
        <v>0</v>
      </c>
    </row>
    <row r="1435">
      <c r="A1435" s="5" t="str">
        <f>IFERROR(__xludf.DUMMYFUNCTION("""COMPUTED_VALUE"""),"37568")</f>
        <v>37568</v>
      </c>
      <c r="B1435" s="64">
        <f>IFERROR(__xludf.DUMMYFUNCTION("""COMPUTED_VALUE"""),44620.0)</f>
        <v>44620</v>
      </c>
      <c r="C1435" s="5"/>
      <c r="D1435" s="5"/>
      <c r="E1435" s="5"/>
      <c r="F1435" s="22">
        <f>IFERROR(__xludf.DUMMYFUNCTION("""COMPUTED_VALUE"""),500000.0)</f>
        <v>500000</v>
      </c>
      <c r="G1435" s="22">
        <f>IFERROR(__xludf.DUMMYFUNCTION("""COMPUTED_VALUE"""),0.0)</f>
        <v>0</v>
      </c>
      <c r="H1435" s="22">
        <f>IFERROR(__xludf.DUMMYFUNCTION("""COMPUTED_VALUE"""),500000.0)</f>
        <v>500000</v>
      </c>
      <c r="I1435" s="24">
        <f>IFERROR(__xludf.DUMMYFUNCTION("""COMPUTED_VALUE"""),0.0)</f>
        <v>0</v>
      </c>
    </row>
    <row r="1436">
      <c r="A1436" s="5" t="str">
        <f>IFERROR(__xludf.DUMMYFUNCTION("""COMPUTED_VALUE"""),"37568")</f>
        <v>37568</v>
      </c>
      <c r="B1436" s="64">
        <f>IFERROR(__xludf.DUMMYFUNCTION("""COMPUTED_VALUE"""),44621.0)</f>
        <v>44621</v>
      </c>
      <c r="C1436" s="5"/>
      <c r="D1436" s="5"/>
      <c r="E1436" s="5"/>
      <c r="F1436" s="22">
        <f>IFERROR(__xludf.DUMMYFUNCTION("""COMPUTED_VALUE"""),500000.0)</f>
        <v>500000</v>
      </c>
      <c r="G1436" s="22">
        <f>IFERROR(__xludf.DUMMYFUNCTION("""COMPUTED_VALUE"""),0.0)</f>
        <v>0</v>
      </c>
      <c r="H1436" s="22">
        <f>IFERROR(__xludf.DUMMYFUNCTION("""COMPUTED_VALUE"""),500000.0)</f>
        <v>500000</v>
      </c>
      <c r="I1436" s="24">
        <f>IFERROR(__xludf.DUMMYFUNCTION("""COMPUTED_VALUE"""),0.0)</f>
        <v>0</v>
      </c>
    </row>
    <row r="1437">
      <c r="A1437" s="5" t="str">
        <f>IFERROR(__xludf.DUMMYFUNCTION("""COMPUTED_VALUE"""),"37568")</f>
        <v>37568</v>
      </c>
      <c r="B1437" s="64">
        <f>IFERROR(__xludf.DUMMYFUNCTION("""COMPUTED_VALUE"""),44622.0)</f>
        <v>44622</v>
      </c>
      <c r="C1437" s="5"/>
      <c r="D1437" s="5"/>
      <c r="E1437" s="5"/>
      <c r="F1437" s="22">
        <f>IFERROR(__xludf.DUMMYFUNCTION("""COMPUTED_VALUE"""),500000.0)</f>
        <v>500000</v>
      </c>
      <c r="G1437" s="22">
        <f>IFERROR(__xludf.DUMMYFUNCTION("""COMPUTED_VALUE"""),0.0)</f>
        <v>0</v>
      </c>
      <c r="H1437" s="22">
        <f>IFERROR(__xludf.DUMMYFUNCTION("""COMPUTED_VALUE"""),500000.0)</f>
        <v>500000</v>
      </c>
      <c r="I1437" s="24">
        <f>IFERROR(__xludf.DUMMYFUNCTION("""COMPUTED_VALUE"""),0.0)</f>
        <v>0</v>
      </c>
    </row>
    <row r="1438">
      <c r="A1438" s="5" t="str">
        <f>IFERROR(__xludf.DUMMYFUNCTION("""COMPUTED_VALUE"""),"37568")</f>
        <v>37568</v>
      </c>
      <c r="B1438" s="64">
        <f>IFERROR(__xludf.DUMMYFUNCTION("""COMPUTED_VALUE"""),44623.0)</f>
        <v>44623</v>
      </c>
      <c r="C1438" s="5"/>
      <c r="D1438" s="5"/>
      <c r="E1438" s="5"/>
      <c r="F1438" s="22">
        <f>IFERROR(__xludf.DUMMYFUNCTION("""COMPUTED_VALUE"""),500000.0)</f>
        <v>500000</v>
      </c>
      <c r="G1438" s="22">
        <f>IFERROR(__xludf.DUMMYFUNCTION("""COMPUTED_VALUE"""),0.0)</f>
        <v>0</v>
      </c>
      <c r="H1438" s="22">
        <f>IFERROR(__xludf.DUMMYFUNCTION("""COMPUTED_VALUE"""),500000.0)</f>
        <v>500000</v>
      </c>
      <c r="I1438" s="24">
        <f>IFERROR(__xludf.DUMMYFUNCTION("""COMPUTED_VALUE"""),0.0)</f>
        <v>0</v>
      </c>
    </row>
    <row r="1439">
      <c r="A1439" s="5" t="str">
        <f>IFERROR(__xludf.DUMMYFUNCTION("""COMPUTED_VALUE"""),"37568")</f>
        <v>37568</v>
      </c>
      <c r="B1439" s="64">
        <f>IFERROR(__xludf.DUMMYFUNCTION("""COMPUTED_VALUE"""),44624.0)</f>
        <v>44624</v>
      </c>
      <c r="C1439" s="5"/>
      <c r="D1439" s="5"/>
      <c r="E1439" s="5"/>
      <c r="F1439" s="22">
        <f>IFERROR(__xludf.DUMMYFUNCTION("""COMPUTED_VALUE"""),500000.0)</f>
        <v>500000</v>
      </c>
      <c r="G1439" s="22">
        <f>IFERROR(__xludf.DUMMYFUNCTION("""COMPUTED_VALUE"""),0.0)</f>
        <v>0</v>
      </c>
      <c r="H1439" s="22">
        <f>IFERROR(__xludf.DUMMYFUNCTION("""COMPUTED_VALUE"""),500000.0)</f>
        <v>500000</v>
      </c>
      <c r="I1439" s="24">
        <f>IFERROR(__xludf.DUMMYFUNCTION("""COMPUTED_VALUE"""),0.0)</f>
        <v>0</v>
      </c>
    </row>
    <row r="1440">
      <c r="A1440" s="5" t="str">
        <f>IFERROR(__xludf.DUMMYFUNCTION("""COMPUTED_VALUE"""),"37568")</f>
        <v>37568</v>
      </c>
      <c r="B1440" s="64">
        <f>IFERROR(__xludf.DUMMYFUNCTION("""COMPUTED_VALUE"""),44625.0)</f>
        <v>44625</v>
      </c>
      <c r="C1440" s="5"/>
      <c r="D1440" s="5"/>
      <c r="E1440" s="5"/>
      <c r="F1440" s="22">
        <f>IFERROR(__xludf.DUMMYFUNCTION("""COMPUTED_VALUE"""),500000.0)</f>
        <v>500000</v>
      </c>
      <c r="G1440" s="22">
        <f>IFERROR(__xludf.DUMMYFUNCTION("""COMPUTED_VALUE"""),0.0)</f>
        <v>0</v>
      </c>
      <c r="H1440" s="22">
        <f>IFERROR(__xludf.DUMMYFUNCTION("""COMPUTED_VALUE"""),500000.0)</f>
        <v>500000</v>
      </c>
      <c r="I1440" s="24">
        <f>IFERROR(__xludf.DUMMYFUNCTION("""COMPUTED_VALUE"""),0.0)</f>
        <v>0</v>
      </c>
    </row>
    <row r="1441">
      <c r="A1441" s="5" t="str">
        <f>IFERROR(__xludf.DUMMYFUNCTION("""COMPUTED_VALUE"""),"37568")</f>
        <v>37568</v>
      </c>
      <c r="B1441" s="64">
        <f>IFERROR(__xludf.DUMMYFUNCTION("""COMPUTED_VALUE"""),44626.0)</f>
        <v>44626</v>
      </c>
      <c r="C1441" s="5"/>
      <c r="D1441" s="5"/>
      <c r="E1441" s="5"/>
      <c r="F1441" s="22">
        <f>IFERROR(__xludf.DUMMYFUNCTION("""COMPUTED_VALUE"""),500000.0)</f>
        <v>500000</v>
      </c>
      <c r="G1441" s="22">
        <f>IFERROR(__xludf.DUMMYFUNCTION("""COMPUTED_VALUE"""),0.0)</f>
        <v>0</v>
      </c>
      <c r="H1441" s="22">
        <f>IFERROR(__xludf.DUMMYFUNCTION("""COMPUTED_VALUE"""),500000.0)</f>
        <v>500000</v>
      </c>
      <c r="I1441" s="24">
        <f>IFERROR(__xludf.DUMMYFUNCTION("""COMPUTED_VALUE"""),0.0)</f>
        <v>0</v>
      </c>
    </row>
    <row r="1442">
      <c r="A1442" s="5" t="str">
        <f>IFERROR(__xludf.DUMMYFUNCTION("""COMPUTED_VALUE"""),"37568")</f>
        <v>37568</v>
      </c>
      <c r="B1442" s="64">
        <f>IFERROR(__xludf.DUMMYFUNCTION("""COMPUTED_VALUE"""),44627.0)</f>
        <v>44627</v>
      </c>
      <c r="C1442" s="5"/>
      <c r="D1442" s="5"/>
      <c r="E1442" s="5"/>
      <c r="F1442" s="22">
        <f>IFERROR(__xludf.DUMMYFUNCTION("""COMPUTED_VALUE"""),500000.0)</f>
        <v>500000</v>
      </c>
      <c r="G1442" s="22">
        <f>IFERROR(__xludf.DUMMYFUNCTION("""COMPUTED_VALUE"""),0.0)</f>
        <v>0</v>
      </c>
      <c r="H1442" s="22">
        <f>IFERROR(__xludf.DUMMYFUNCTION("""COMPUTED_VALUE"""),500000.0)</f>
        <v>500000</v>
      </c>
      <c r="I1442" s="24">
        <f>IFERROR(__xludf.DUMMYFUNCTION("""COMPUTED_VALUE"""),0.0)</f>
        <v>0</v>
      </c>
    </row>
    <row r="1443">
      <c r="A1443" s="5" t="str">
        <f>IFERROR(__xludf.DUMMYFUNCTION("""COMPUTED_VALUE"""),"37568")</f>
        <v>37568</v>
      </c>
      <c r="B1443" s="64">
        <f>IFERROR(__xludf.DUMMYFUNCTION("""COMPUTED_VALUE"""),44628.0)</f>
        <v>44628</v>
      </c>
      <c r="C1443" s="5"/>
      <c r="D1443" s="5"/>
      <c r="E1443" s="5"/>
      <c r="F1443" s="22">
        <f>IFERROR(__xludf.DUMMYFUNCTION("""COMPUTED_VALUE"""),500000.0)</f>
        <v>500000</v>
      </c>
      <c r="G1443" s="22">
        <f>IFERROR(__xludf.DUMMYFUNCTION("""COMPUTED_VALUE"""),0.0)</f>
        <v>0</v>
      </c>
      <c r="H1443" s="22">
        <f>IFERROR(__xludf.DUMMYFUNCTION("""COMPUTED_VALUE"""),500000.0)</f>
        <v>500000</v>
      </c>
      <c r="I1443" s="24">
        <f>IFERROR(__xludf.DUMMYFUNCTION("""COMPUTED_VALUE"""),0.0)</f>
        <v>0</v>
      </c>
    </row>
    <row r="1444">
      <c r="A1444" s="5" t="str">
        <f>IFERROR(__xludf.DUMMYFUNCTION("""COMPUTED_VALUE"""),"37568")</f>
        <v>37568</v>
      </c>
      <c r="B1444" s="64">
        <f>IFERROR(__xludf.DUMMYFUNCTION("""COMPUTED_VALUE"""),44629.0)</f>
        <v>44629</v>
      </c>
      <c r="C1444" s="5"/>
      <c r="D1444" s="5"/>
      <c r="E1444" s="5"/>
      <c r="F1444" s="22">
        <f>IFERROR(__xludf.DUMMYFUNCTION("""COMPUTED_VALUE"""),500000.0)</f>
        <v>500000</v>
      </c>
      <c r="G1444" s="22">
        <f>IFERROR(__xludf.DUMMYFUNCTION("""COMPUTED_VALUE"""),0.0)</f>
        <v>0</v>
      </c>
      <c r="H1444" s="22">
        <f>IFERROR(__xludf.DUMMYFUNCTION("""COMPUTED_VALUE"""),500000.0)</f>
        <v>500000</v>
      </c>
      <c r="I1444" s="24">
        <f>IFERROR(__xludf.DUMMYFUNCTION("""COMPUTED_VALUE"""),0.0)</f>
        <v>0</v>
      </c>
    </row>
    <row r="1445">
      <c r="A1445" s="5" t="str">
        <f>IFERROR(__xludf.DUMMYFUNCTION("""COMPUTED_VALUE"""),"37568")</f>
        <v>37568</v>
      </c>
      <c r="B1445" s="64">
        <f>IFERROR(__xludf.DUMMYFUNCTION("""COMPUTED_VALUE"""),44630.0)</f>
        <v>44630</v>
      </c>
      <c r="C1445" s="5"/>
      <c r="D1445" s="5"/>
      <c r="E1445" s="5"/>
      <c r="F1445" s="22">
        <f>IFERROR(__xludf.DUMMYFUNCTION("""COMPUTED_VALUE"""),500000.0)</f>
        <v>500000</v>
      </c>
      <c r="G1445" s="22">
        <f>IFERROR(__xludf.DUMMYFUNCTION("""COMPUTED_VALUE"""),0.0)</f>
        <v>0</v>
      </c>
      <c r="H1445" s="22">
        <f>IFERROR(__xludf.DUMMYFUNCTION("""COMPUTED_VALUE"""),500000.0)</f>
        <v>500000</v>
      </c>
      <c r="I1445" s="24">
        <f>IFERROR(__xludf.DUMMYFUNCTION("""COMPUTED_VALUE"""),0.0)</f>
        <v>0</v>
      </c>
    </row>
    <row r="1446">
      <c r="A1446" s="5" t="str">
        <f>IFERROR(__xludf.DUMMYFUNCTION("""COMPUTED_VALUE"""),"37568")</f>
        <v>37568</v>
      </c>
      <c r="B1446" s="64">
        <f>IFERROR(__xludf.DUMMYFUNCTION("""COMPUTED_VALUE"""),44631.0)</f>
        <v>44631</v>
      </c>
      <c r="C1446" s="5"/>
      <c r="D1446" s="5"/>
      <c r="E1446" s="5"/>
      <c r="F1446" s="22">
        <f>IFERROR(__xludf.DUMMYFUNCTION("""COMPUTED_VALUE"""),500000.0)</f>
        <v>500000</v>
      </c>
      <c r="G1446" s="22">
        <f>IFERROR(__xludf.DUMMYFUNCTION("""COMPUTED_VALUE"""),0.0)</f>
        <v>0</v>
      </c>
      <c r="H1446" s="22">
        <f>IFERROR(__xludf.DUMMYFUNCTION("""COMPUTED_VALUE"""),500000.0)</f>
        <v>500000</v>
      </c>
      <c r="I1446" s="24">
        <f>IFERROR(__xludf.DUMMYFUNCTION("""COMPUTED_VALUE"""),0.0)</f>
        <v>0</v>
      </c>
    </row>
    <row r="1447">
      <c r="A1447" s="5" t="str">
        <f>IFERROR(__xludf.DUMMYFUNCTION("""COMPUTED_VALUE"""),"37568")</f>
        <v>37568</v>
      </c>
      <c r="B1447" s="64">
        <f>IFERROR(__xludf.DUMMYFUNCTION("""COMPUTED_VALUE"""),44632.0)</f>
        <v>44632</v>
      </c>
      <c r="C1447" s="5"/>
      <c r="D1447" s="5"/>
      <c r="E1447" s="5"/>
      <c r="F1447" s="22">
        <f>IFERROR(__xludf.DUMMYFUNCTION("""COMPUTED_VALUE"""),500000.0)</f>
        <v>500000</v>
      </c>
      <c r="G1447" s="22">
        <f>IFERROR(__xludf.DUMMYFUNCTION("""COMPUTED_VALUE"""),0.0)</f>
        <v>0</v>
      </c>
      <c r="H1447" s="22">
        <f>IFERROR(__xludf.DUMMYFUNCTION("""COMPUTED_VALUE"""),500000.0)</f>
        <v>500000</v>
      </c>
      <c r="I1447" s="24">
        <f>IFERROR(__xludf.DUMMYFUNCTION("""COMPUTED_VALUE"""),0.0)</f>
        <v>0</v>
      </c>
    </row>
    <row r="1448">
      <c r="A1448" s="5" t="str">
        <f>IFERROR(__xludf.DUMMYFUNCTION("""COMPUTED_VALUE"""),"37568")</f>
        <v>37568</v>
      </c>
      <c r="B1448" s="64">
        <f>IFERROR(__xludf.DUMMYFUNCTION("""COMPUTED_VALUE"""),44633.0)</f>
        <v>44633</v>
      </c>
      <c r="C1448" s="5"/>
      <c r="D1448" s="5"/>
      <c r="E1448" s="5"/>
      <c r="F1448" s="22">
        <f>IFERROR(__xludf.DUMMYFUNCTION("""COMPUTED_VALUE"""),500000.0)</f>
        <v>500000</v>
      </c>
      <c r="G1448" s="22">
        <f>IFERROR(__xludf.DUMMYFUNCTION("""COMPUTED_VALUE"""),0.0)</f>
        <v>0</v>
      </c>
      <c r="H1448" s="22">
        <f>IFERROR(__xludf.DUMMYFUNCTION("""COMPUTED_VALUE"""),500000.0)</f>
        <v>500000</v>
      </c>
      <c r="I1448" s="24">
        <f>IFERROR(__xludf.DUMMYFUNCTION("""COMPUTED_VALUE"""),0.0)</f>
        <v>0</v>
      </c>
    </row>
    <row r="1449">
      <c r="A1449" s="5" t="str">
        <f>IFERROR(__xludf.DUMMYFUNCTION("""COMPUTED_VALUE"""),"37568")</f>
        <v>37568</v>
      </c>
      <c r="B1449" s="64">
        <f>IFERROR(__xludf.DUMMYFUNCTION("""COMPUTED_VALUE"""),44634.0)</f>
        <v>44634</v>
      </c>
      <c r="C1449" s="5"/>
      <c r="D1449" s="5"/>
      <c r="E1449" s="5"/>
      <c r="F1449" s="22">
        <f>IFERROR(__xludf.DUMMYFUNCTION("""COMPUTED_VALUE"""),500000.0)</f>
        <v>500000</v>
      </c>
      <c r="G1449" s="22">
        <f>IFERROR(__xludf.DUMMYFUNCTION("""COMPUTED_VALUE"""),0.0)</f>
        <v>0</v>
      </c>
      <c r="H1449" s="22">
        <f>IFERROR(__xludf.DUMMYFUNCTION("""COMPUTED_VALUE"""),500000.0)</f>
        <v>500000</v>
      </c>
      <c r="I1449" s="24">
        <f>IFERROR(__xludf.DUMMYFUNCTION("""COMPUTED_VALUE"""),0.0)</f>
        <v>0</v>
      </c>
    </row>
    <row r="1450">
      <c r="A1450" s="5" t="str">
        <f>IFERROR(__xludf.DUMMYFUNCTION("""COMPUTED_VALUE"""),"37568")</f>
        <v>37568</v>
      </c>
      <c r="B1450" s="64">
        <f>IFERROR(__xludf.DUMMYFUNCTION("""COMPUTED_VALUE"""),44635.0)</f>
        <v>44635</v>
      </c>
      <c r="C1450" s="5"/>
      <c r="D1450" s="5"/>
      <c r="E1450" s="5"/>
      <c r="F1450" s="22">
        <f>IFERROR(__xludf.DUMMYFUNCTION("""COMPUTED_VALUE"""),500000.0)</f>
        <v>500000</v>
      </c>
      <c r="G1450" s="22">
        <f>IFERROR(__xludf.DUMMYFUNCTION("""COMPUTED_VALUE"""),0.0)</f>
        <v>0</v>
      </c>
      <c r="H1450" s="22">
        <f>IFERROR(__xludf.DUMMYFUNCTION("""COMPUTED_VALUE"""),500000.0)</f>
        <v>500000</v>
      </c>
      <c r="I1450" s="24">
        <f>IFERROR(__xludf.DUMMYFUNCTION("""COMPUTED_VALUE"""),0.0)</f>
        <v>0</v>
      </c>
    </row>
    <row r="1451">
      <c r="A1451" s="5" t="str">
        <f>IFERROR(__xludf.DUMMYFUNCTION("""COMPUTED_VALUE"""),"37568")</f>
        <v>37568</v>
      </c>
      <c r="B1451" s="64">
        <f>IFERROR(__xludf.DUMMYFUNCTION("""COMPUTED_VALUE"""),44636.0)</f>
        <v>44636</v>
      </c>
      <c r="C1451" s="5"/>
      <c r="D1451" s="5"/>
      <c r="E1451" s="5"/>
      <c r="F1451" s="22">
        <f>IFERROR(__xludf.DUMMYFUNCTION("""COMPUTED_VALUE"""),500000.0)</f>
        <v>500000</v>
      </c>
      <c r="G1451" s="22">
        <f>IFERROR(__xludf.DUMMYFUNCTION("""COMPUTED_VALUE"""),0.0)</f>
        <v>0</v>
      </c>
      <c r="H1451" s="22">
        <f>IFERROR(__xludf.DUMMYFUNCTION("""COMPUTED_VALUE"""),500000.0)</f>
        <v>500000</v>
      </c>
      <c r="I1451" s="24">
        <f>IFERROR(__xludf.DUMMYFUNCTION("""COMPUTED_VALUE"""),0.0)</f>
        <v>0</v>
      </c>
    </row>
    <row r="1452">
      <c r="A1452" s="5" t="str">
        <f>IFERROR(__xludf.DUMMYFUNCTION("""COMPUTED_VALUE"""),"37568")</f>
        <v>37568</v>
      </c>
      <c r="B1452" s="64">
        <f>IFERROR(__xludf.DUMMYFUNCTION("""COMPUTED_VALUE"""),44637.0)</f>
        <v>44637</v>
      </c>
      <c r="C1452" s="5"/>
      <c r="D1452" s="5"/>
      <c r="E1452" s="5"/>
      <c r="F1452" s="22">
        <f>IFERROR(__xludf.DUMMYFUNCTION("""COMPUTED_VALUE"""),500000.0)</f>
        <v>500000</v>
      </c>
      <c r="G1452" s="22">
        <f>IFERROR(__xludf.DUMMYFUNCTION("""COMPUTED_VALUE"""),0.0)</f>
        <v>0</v>
      </c>
      <c r="H1452" s="22">
        <f>IFERROR(__xludf.DUMMYFUNCTION("""COMPUTED_VALUE"""),500000.0)</f>
        <v>500000</v>
      </c>
      <c r="I1452" s="24">
        <f>IFERROR(__xludf.DUMMYFUNCTION("""COMPUTED_VALUE"""),0.0)</f>
        <v>0</v>
      </c>
    </row>
    <row r="1453">
      <c r="A1453" s="5" t="str">
        <f>IFERROR(__xludf.DUMMYFUNCTION("""COMPUTED_VALUE"""),"37568")</f>
        <v>37568</v>
      </c>
      <c r="B1453" s="64">
        <f>IFERROR(__xludf.DUMMYFUNCTION("""COMPUTED_VALUE"""),44638.0)</f>
        <v>44638</v>
      </c>
      <c r="C1453" s="5"/>
      <c r="D1453" s="5"/>
      <c r="E1453" s="5"/>
      <c r="F1453" s="22">
        <f>IFERROR(__xludf.DUMMYFUNCTION("""COMPUTED_VALUE"""),500000.0)</f>
        <v>500000</v>
      </c>
      <c r="G1453" s="22">
        <f>IFERROR(__xludf.DUMMYFUNCTION("""COMPUTED_VALUE"""),0.0)</f>
        <v>0</v>
      </c>
      <c r="H1453" s="22">
        <f>IFERROR(__xludf.DUMMYFUNCTION("""COMPUTED_VALUE"""),500000.0)</f>
        <v>500000</v>
      </c>
      <c r="I1453" s="24">
        <f>IFERROR(__xludf.DUMMYFUNCTION("""COMPUTED_VALUE"""),0.0)</f>
        <v>0</v>
      </c>
    </row>
    <row r="1454">
      <c r="A1454" s="5" t="str">
        <f>IFERROR(__xludf.DUMMYFUNCTION("""COMPUTED_VALUE"""),"37568")</f>
        <v>37568</v>
      </c>
      <c r="B1454" s="64">
        <f>IFERROR(__xludf.DUMMYFUNCTION("""COMPUTED_VALUE"""),44639.0)</f>
        <v>44639</v>
      </c>
      <c r="C1454" s="5"/>
      <c r="D1454" s="5"/>
      <c r="E1454" s="5"/>
      <c r="F1454" s="22">
        <f>IFERROR(__xludf.DUMMYFUNCTION("""COMPUTED_VALUE"""),500000.0)</f>
        <v>500000</v>
      </c>
      <c r="G1454" s="22">
        <f>IFERROR(__xludf.DUMMYFUNCTION("""COMPUTED_VALUE"""),0.0)</f>
        <v>0</v>
      </c>
      <c r="H1454" s="22">
        <f>IFERROR(__xludf.DUMMYFUNCTION("""COMPUTED_VALUE"""),500000.0)</f>
        <v>500000</v>
      </c>
      <c r="I1454" s="24">
        <f>IFERROR(__xludf.DUMMYFUNCTION("""COMPUTED_VALUE"""),0.0)</f>
        <v>0</v>
      </c>
    </row>
    <row r="1455">
      <c r="A1455" s="5" t="str">
        <f>IFERROR(__xludf.DUMMYFUNCTION("""COMPUTED_VALUE"""),"37568")</f>
        <v>37568</v>
      </c>
      <c r="B1455" s="64">
        <f>IFERROR(__xludf.DUMMYFUNCTION("""COMPUTED_VALUE"""),44640.0)</f>
        <v>44640</v>
      </c>
      <c r="C1455" s="5"/>
      <c r="D1455" s="5"/>
      <c r="E1455" s="5"/>
      <c r="F1455" s="22">
        <f>IFERROR(__xludf.DUMMYFUNCTION("""COMPUTED_VALUE"""),500000.0)</f>
        <v>500000</v>
      </c>
      <c r="G1455" s="22">
        <f>IFERROR(__xludf.DUMMYFUNCTION("""COMPUTED_VALUE"""),0.0)</f>
        <v>0</v>
      </c>
      <c r="H1455" s="22">
        <f>IFERROR(__xludf.DUMMYFUNCTION("""COMPUTED_VALUE"""),500000.0)</f>
        <v>500000</v>
      </c>
      <c r="I1455" s="24">
        <f>IFERROR(__xludf.DUMMYFUNCTION("""COMPUTED_VALUE"""),0.0)</f>
        <v>0</v>
      </c>
    </row>
    <row r="1456">
      <c r="A1456" s="5" t="str">
        <f>IFERROR(__xludf.DUMMYFUNCTION("""COMPUTED_VALUE"""),"37568")</f>
        <v>37568</v>
      </c>
      <c r="B1456" s="64">
        <f>IFERROR(__xludf.DUMMYFUNCTION("""COMPUTED_VALUE"""),44641.0)</f>
        <v>44641</v>
      </c>
      <c r="C1456" s="5"/>
      <c r="D1456" s="5"/>
      <c r="E1456" s="5"/>
      <c r="F1456" s="22">
        <f>IFERROR(__xludf.DUMMYFUNCTION("""COMPUTED_VALUE"""),500000.0)</f>
        <v>500000</v>
      </c>
      <c r="G1456" s="22">
        <f>IFERROR(__xludf.DUMMYFUNCTION("""COMPUTED_VALUE"""),0.0)</f>
        <v>0</v>
      </c>
      <c r="H1456" s="22">
        <f>IFERROR(__xludf.DUMMYFUNCTION("""COMPUTED_VALUE"""),500000.0)</f>
        <v>500000</v>
      </c>
      <c r="I1456" s="24">
        <f>IFERROR(__xludf.DUMMYFUNCTION("""COMPUTED_VALUE"""),0.0)</f>
        <v>0</v>
      </c>
    </row>
    <row r="1457">
      <c r="A1457" s="5" t="str">
        <f>IFERROR(__xludf.DUMMYFUNCTION("""COMPUTED_VALUE"""),"37568")</f>
        <v>37568</v>
      </c>
      <c r="B1457" s="64">
        <f>IFERROR(__xludf.DUMMYFUNCTION("""COMPUTED_VALUE"""),44642.0)</f>
        <v>44642</v>
      </c>
      <c r="C1457" s="5"/>
      <c r="D1457" s="5"/>
      <c r="E1457" s="5"/>
      <c r="F1457" s="22">
        <f>IFERROR(__xludf.DUMMYFUNCTION("""COMPUTED_VALUE"""),500000.0)</f>
        <v>500000</v>
      </c>
      <c r="G1457" s="22">
        <f>IFERROR(__xludf.DUMMYFUNCTION("""COMPUTED_VALUE"""),0.0)</f>
        <v>0</v>
      </c>
      <c r="H1457" s="22">
        <f>IFERROR(__xludf.DUMMYFUNCTION("""COMPUTED_VALUE"""),500000.0)</f>
        <v>500000</v>
      </c>
      <c r="I1457" s="24">
        <f>IFERROR(__xludf.DUMMYFUNCTION("""COMPUTED_VALUE"""),0.0)</f>
        <v>0</v>
      </c>
    </row>
    <row r="1458">
      <c r="A1458" s="5" t="str">
        <f>IFERROR(__xludf.DUMMYFUNCTION("""COMPUTED_VALUE"""),"37568")</f>
        <v>37568</v>
      </c>
      <c r="B1458" s="64">
        <f>IFERROR(__xludf.DUMMYFUNCTION("""COMPUTED_VALUE"""),44643.0)</f>
        <v>44643</v>
      </c>
      <c r="C1458" s="5"/>
      <c r="D1458" s="5"/>
      <c r="E1458" s="5"/>
      <c r="F1458" s="22">
        <f>IFERROR(__xludf.DUMMYFUNCTION("""COMPUTED_VALUE"""),500000.0)</f>
        <v>500000</v>
      </c>
      <c r="G1458" s="22">
        <f>IFERROR(__xludf.DUMMYFUNCTION("""COMPUTED_VALUE"""),0.0)</f>
        <v>0</v>
      </c>
      <c r="H1458" s="22">
        <f>IFERROR(__xludf.DUMMYFUNCTION("""COMPUTED_VALUE"""),500000.0)</f>
        <v>500000</v>
      </c>
      <c r="I1458" s="24">
        <f>IFERROR(__xludf.DUMMYFUNCTION("""COMPUTED_VALUE"""),0.0)</f>
        <v>0</v>
      </c>
    </row>
    <row r="1459">
      <c r="A1459" s="5" t="str">
        <f>IFERROR(__xludf.DUMMYFUNCTION("""COMPUTED_VALUE"""),"37568")</f>
        <v>37568</v>
      </c>
      <c r="B1459" s="64">
        <f>IFERROR(__xludf.DUMMYFUNCTION("""COMPUTED_VALUE"""),44644.0)</f>
        <v>44644</v>
      </c>
      <c r="C1459" s="5"/>
      <c r="D1459" s="5"/>
      <c r="E1459" s="5"/>
      <c r="F1459" s="22">
        <f>IFERROR(__xludf.DUMMYFUNCTION("""COMPUTED_VALUE"""),500000.0)</f>
        <v>500000</v>
      </c>
      <c r="G1459" s="22">
        <f>IFERROR(__xludf.DUMMYFUNCTION("""COMPUTED_VALUE"""),0.0)</f>
        <v>0</v>
      </c>
      <c r="H1459" s="22">
        <f>IFERROR(__xludf.DUMMYFUNCTION("""COMPUTED_VALUE"""),500000.0)</f>
        <v>500000</v>
      </c>
      <c r="I1459" s="24">
        <f>IFERROR(__xludf.DUMMYFUNCTION("""COMPUTED_VALUE"""),0.0)</f>
        <v>0</v>
      </c>
    </row>
    <row r="1460">
      <c r="A1460" s="5" t="str">
        <f>IFERROR(__xludf.DUMMYFUNCTION("""COMPUTED_VALUE"""),"37568")</f>
        <v>37568</v>
      </c>
      <c r="B1460" s="64">
        <f>IFERROR(__xludf.DUMMYFUNCTION("""COMPUTED_VALUE"""),44645.0)</f>
        <v>44645</v>
      </c>
      <c r="C1460" s="5"/>
      <c r="D1460" s="5"/>
      <c r="E1460" s="5"/>
      <c r="F1460" s="22">
        <f>IFERROR(__xludf.DUMMYFUNCTION("""COMPUTED_VALUE"""),500000.0)</f>
        <v>500000</v>
      </c>
      <c r="G1460" s="22">
        <f>IFERROR(__xludf.DUMMYFUNCTION("""COMPUTED_VALUE"""),0.0)</f>
        <v>0</v>
      </c>
      <c r="H1460" s="22">
        <f>IFERROR(__xludf.DUMMYFUNCTION("""COMPUTED_VALUE"""),500000.0)</f>
        <v>500000</v>
      </c>
      <c r="I1460" s="24">
        <f>IFERROR(__xludf.DUMMYFUNCTION("""COMPUTED_VALUE"""),0.0)</f>
        <v>0</v>
      </c>
    </row>
    <row r="1461">
      <c r="A1461" s="5" t="str">
        <f>IFERROR(__xludf.DUMMYFUNCTION("""COMPUTED_VALUE"""),"37568")</f>
        <v>37568</v>
      </c>
      <c r="B1461" s="64">
        <f>IFERROR(__xludf.DUMMYFUNCTION("""COMPUTED_VALUE"""),44646.0)</f>
        <v>44646</v>
      </c>
      <c r="C1461" s="5"/>
      <c r="D1461" s="5"/>
      <c r="E1461" s="5"/>
      <c r="F1461" s="22">
        <f>IFERROR(__xludf.DUMMYFUNCTION("""COMPUTED_VALUE"""),500000.0)</f>
        <v>500000</v>
      </c>
      <c r="G1461" s="22">
        <f>IFERROR(__xludf.DUMMYFUNCTION("""COMPUTED_VALUE"""),0.0)</f>
        <v>0</v>
      </c>
      <c r="H1461" s="22">
        <f>IFERROR(__xludf.DUMMYFUNCTION("""COMPUTED_VALUE"""),500000.0)</f>
        <v>500000</v>
      </c>
      <c r="I1461" s="24">
        <f>IFERROR(__xludf.DUMMYFUNCTION("""COMPUTED_VALUE"""),0.0)</f>
        <v>0</v>
      </c>
    </row>
    <row r="1462">
      <c r="A1462" s="5" t="str">
        <f>IFERROR(__xludf.DUMMYFUNCTION("""COMPUTED_VALUE"""),"37568")</f>
        <v>37568</v>
      </c>
      <c r="B1462" s="64">
        <f>IFERROR(__xludf.DUMMYFUNCTION("""COMPUTED_VALUE"""),44647.0)</f>
        <v>44647</v>
      </c>
      <c r="C1462" s="5"/>
      <c r="D1462" s="5"/>
      <c r="E1462" s="5"/>
      <c r="F1462" s="22">
        <f>IFERROR(__xludf.DUMMYFUNCTION("""COMPUTED_VALUE"""),500000.0)</f>
        <v>500000</v>
      </c>
      <c r="G1462" s="22">
        <f>IFERROR(__xludf.DUMMYFUNCTION("""COMPUTED_VALUE"""),0.0)</f>
        <v>0</v>
      </c>
      <c r="H1462" s="22">
        <f>IFERROR(__xludf.DUMMYFUNCTION("""COMPUTED_VALUE"""),500000.0)</f>
        <v>500000</v>
      </c>
      <c r="I1462" s="24">
        <f>IFERROR(__xludf.DUMMYFUNCTION("""COMPUTED_VALUE"""),0.0)</f>
        <v>0</v>
      </c>
    </row>
    <row r="1463">
      <c r="A1463" s="5" t="str">
        <f>IFERROR(__xludf.DUMMYFUNCTION("""COMPUTED_VALUE"""),"37568")</f>
        <v>37568</v>
      </c>
      <c r="B1463" s="64">
        <f>IFERROR(__xludf.DUMMYFUNCTION("""COMPUTED_VALUE"""),44648.0)</f>
        <v>44648</v>
      </c>
      <c r="C1463" s="5"/>
      <c r="D1463" s="5"/>
      <c r="E1463" s="5"/>
      <c r="F1463" s="22">
        <f>IFERROR(__xludf.DUMMYFUNCTION("""COMPUTED_VALUE"""),500000.0)</f>
        <v>500000</v>
      </c>
      <c r="G1463" s="22">
        <f>IFERROR(__xludf.DUMMYFUNCTION("""COMPUTED_VALUE"""),0.0)</f>
        <v>0</v>
      </c>
      <c r="H1463" s="22">
        <f>IFERROR(__xludf.DUMMYFUNCTION("""COMPUTED_VALUE"""),500000.0)</f>
        <v>500000</v>
      </c>
      <c r="I1463" s="24">
        <f>IFERROR(__xludf.DUMMYFUNCTION("""COMPUTED_VALUE"""),0.0)</f>
        <v>0</v>
      </c>
    </row>
    <row r="1464">
      <c r="A1464" s="5" t="str">
        <f>IFERROR(__xludf.DUMMYFUNCTION("""COMPUTED_VALUE"""),"37568")</f>
        <v>37568</v>
      </c>
      <c r="B1464" s="64">
        <f>IFERROR(__xludf.DUMMYFUNCTION("""COMPUTED_VALUE"""),44649.0)</f>
        <v>44649</v>
      </c>
      <c r="C1464" s="5"/>
      <c r="D1464" s="5"/>
      <c r="E1464" s="5"/>
      <c r="F1464" s="22">
        <f>IFERROR(__xludf.DUMMYFUNCTION("""COMPUTED_VALUE"""),500000.0)</f>
        <v>500000</v>
      </c>
      <c r="G1464" s="22">
        <f>IFERROR(__xludf.DUMMYFUNCTION("""COMPUTED_VALUE"""),0.0)</f>
        <v>0</v>
      </c>
      <c r="H1464" s="22">
        <f>IFERROR(__xludf.DUMMYFUNCTION("""COMPUTED_VALUE"""),500000.0)</f>
        <v>500000</v>
      </c>
      <c r="I1464" s="24">
        <f>IFERROR(__xludf.DUMMYFUNCTION("""COMPUTED_VALUE"""),0.0)</f>
        <v>0</v>
      </c>
    </row>
    <row r="1465">
      <c r="A1465" s="5" t="str">
        <f>IFERROR(__xludf.DUMMYFUNCTION("""COMPUTED_VALUE"""),"37568")</f>
        <v>37568</v>
      </c>
      <c r="B1465" s="64">
        <f>IFERROR(__xludf.DUMMYFUNCTION("""COMPUTED_VALUE"""),44650.0)</f>
        <v>44650</v>
      </c>
      <c r="C1465" s="5"/>
      <c r="D1465" s="5"/>
      <c r="E1465" s="5"/>
      <c r="F1465" s="22">
        <f>IFERROR(__xludf.DUMMYFUNCTION("""COMPUTED_VALUE"""),500000.0)</f>
        <v>500000</v>
      </c>
      <c r="G1465" s="22">
        <f>IFERROR(__xludf.DUMMYFUNCTION("""COMPUTED_VALUE"""),0.0)</f>
        <v>0</v>
      </c>
      <c r="H1465" s="22">
        <f>IFERROR(__xludf.DUMMYFUNCTION("""COMPUTED_VALUE"""),500000.0)</f>
        <v>500000</v>
      </c>
      <c r="I1465" s="24">
        <f>IFERROR(__xludf.DUMMYFUNCTION("""COMPUTED_VALUE"""),0.0)</f>
        <v>0</v>
      </c>
    </row>
    <row r="1466">
      <c r="A1466" s="5" t="str">
        <f>IFERROR(__xludf.DUMMYFUNCTION("""COMPUTED_VALUE"""),"37568")</f>
        <v>37568</v>
      </c>
      <c r="B1466" s="64">
        <f>IFERROR(__xludf.DUMMYFUNCTION("""COMPUTED_VALUE"""),44651.0)</f>
        <v>44651</v>
      </c>
      <c r="C1466" s="5"/>
      <c r="D1466" s="5"/>
      <c r="E1466" s="5"/>
      <c r="F1466" s="22">
        <f>IFERROR(__xludf.DUMMYFUNCTION("""COMPUTED_VALUE"""),500000.0)</f>
        <v>500000</v>
      </c>
      <c r="G1466" s="22">
        <f>IFERROR(__xludf.DUMMYFUNCTION("""COMPUTED_VALUE"""),0.0)</f>
        <v>0</v>
      </c>
      <c r="H1466" s="22">
        <f>IFERROR(__xludf.DUMMYFUNCTION("""COMPUTED_VALUE"""),500000.0)</f>
        <v>500000</v>
      </c>
      <c r="I1466" s="24">
        <f>IFERROR(__xludf.DUMMYFUNCTION("""COMPUTED_VALUE"""),0.0)</f>
        <v>0</v>
      </c>
    </row>
    <row r="1467">
      <c r="A1467" s="5" t="str">
        <f>IFERROR(__xludf.DUMMYFUNCTION("""COMPUTED_VALUE"""),"37568")</f>
        <v>37568</v>
      </c>
      <c r="B1467" s="64">
        <f>IFERROR(__xludf.DUMMYFUNCTION("""COMPUTED_VALUE"""),44652.0)</f>
        <v>44652</v>
      </c>
      <c r="C1467" s="5"/>
      <c r="D1467" s="5"/>
      <c r="E1467" s="5"/>
      <c r="F1467" s="22">
        <f>IFERROR(__xludf.DUMMYFUNCTION("""COMPUTED_VALUE"""),500000.0)</f>
        <v>500000</v>
      </c>
      <c r="G1467" s="22">
        <f>IFERROR(__xludf.DUMMYFUNCTION("""COMPUTED_VALUE"""),0.0)</f>
        <v>0</v>
      </c>
      <c r="H1467" s="22">
        <f>IFERROR(__xludf.DUMMYFUNCTION("""COMPUTED_VALUE"""),500000.0)</f>
        <v>500000</v>
      </c>
      <c r="I1467" s="24">
        <f>IFERROR(__xludf.DUMMYFUNCTION("""COMPUTED_VALUE"""),0.0)</f>
        <v>0</v>
      </c>
    </row>
    <row r="1468">
      <c r="A1468" s="5" t="str">
        <f>IFERROR(__xludf.DUMMYFUNCTION("""COMPUTED_VALUE"""),"37568")</f>
        <v>37568</v>
      </c>
      <c r="B1468" s="64">
        <f>IFERROR(__xludf.DUMMYFUNCTION("""COMPUTED_VALUE"""),44653.0)</f>
        <v>44653</v>
      </c>
      <c r="C1468" s="5"/>
      <c r="D1468" s="5"/>
      <c r="E1468" s="5"/>
      <c r="F1468" s="22">
        <f>IFERROR(__xludf.DUMMYFUNCTION("""COMPUTED_VALUE"""),500000.0)</f>
        <v>500000</v>
      </c>
      <c r="G1468" s="22">
        <f>IFERROR(__xludf.DUMMYFUNCTION("""COMPUTED_VALUE"""),0.0)</f>
        <v>0</v>
      </c>
      <c r="H1468" s="22">
        <f>IFERROR(__xludf.DUMMYFUNCTION("""COMPUTED_VALUE"""),500000.0)</f>
        <v>500000</v>
      </c>
      <c r="I1468" s="24">
        <f>IFERROR(__xludf.DUMMYFUNCTION("""COMPUTED_VALUE"""),0.0)</f>
        <v>0</v>
      </c>
    </row>
    <row r="1469">
      <c r="A1469" s="5" t="str">
        <f>IFERROR(__xludf.DUMMYFUNCTION("""COMPUTED_VALUE"""),"37568")</f>
        <v>37568</v>
      </c>
      <c r="B1469" s="64">
        <f>IFERROR(__xludf.DUMMYFUNCTION("""COMPUTED_VALUE"""),44654.0)</f>
        <v>44654</v>
      </c>
      <c r="C1469" s="5"/>
      <c r="D1469" s="5"/>
      <c r="E1469" s="5"/>
      <c r="F1469" s="22">
        <f>IFERROR(__xludf.DUMMYFUNCTION("""COMPUTED_VALUE"""),500000.0)</f>
        <v>500000</v>
      </c>
      <c r="G1469" s="22">
        <f>IFERROR(__xludf.DUMMYFUNCTION("""COMPUTED_VALUE"""),0.0)</f>
        <v>0</v>
      </c>
      <c r="H1469" s="22">
        <f>IFERROR(__xludf.DUMMYFUNCTION("""COMPUTED_VALUE"""),500000.0)</f>
        <v>500000</v>
      </c>
      <c r="I1469" s="24">
        <f>IFERROR(__xludf.DUMMYFUNCTION("""COMPUTED_VALUE"""),0.0)</f>
        <v>0</v>
      </c>
    </row>
    <row r="1470">
      <c r="A1470" s="5" t="str">
        <f>IFERROR(__xludf.DUMMYFUNCTION("""COMPUTED_VALUE"""),"37568")</f>
        <v>37568</v>
      </c>
      <c r="B1470" s="64">
        <f>IFERROR(__xludf.DUMMYFUNCTION("""COMPUTED_VALUE"""),44655.0)</f>
        <v>44655</v>
      </c>
      <c r="C1470" s="5"/>
      <c r="D1470" s="5"/>
      <c r="E1470" s="5"/>
      <c r="F1470" s="22">
        <f>IFERROR(__xludf.DUMMYFUNCTION("""COMPUTED_VALUE"""),500000.0)</f>
        <v>500000</v>
      </c>
      <c r="G1470" s="22">
        <f>IFERROR(__xludf.DUMMYFUNCTION("""COMPUTED_VALUE"""),0.0)</f>
        <v>0</v>
      </c>
      <c r="H1470" s="22">
        <f>IFERROR(__xludf.DUMMYFUNCTION("""COMPUTED_VALUE"""),500000.0)</f>
        <v>500000</v>
      </c>
      <c r="I1470" s="24">
        <f>IFERROR(__xludf.DUMMYFUNCTION("""COMPUTED_VALUE"""),0.0)</f>
        <v>0</v>
      </c>
    </row>
    <row r="1471">
      <c r="A1471" s="5" t="str">
        <f>IFERROR(__xludf.DUMMYFUNCTION("""COMPUTED_VALUE"""),"37568")</f>
        <v>37568</v>
      </c>
      <c r="B1471" s="64">
        <f>IFERROR(__xludf.DUMMYFUNCTION("""COMPUTED_VALUE"""),44656.0)</f>
        <v>44656</v>
      </c>
      <c r="C1471" s="5"/>
      <c r="D1471" s="5"/>
      <c r="E1471" s="5"/>
      <c r="F1471" s="22">
        <f>IFERROR(__xludf.DUMMYFUNCTION("""COMPUTED_VALUE"""),500000.0)</f>
        <v>500000</v>
      </c>
      <c r="G1471" s="22">
        <f>IFERROR(__xludf.DUMMYFUNCTION("""COMPUTED_VALUE"""),0.0)</f>
        <v>0</v>
      </c>
      <c r="H1471" s="22">
        <f>IFERROR(__xludf.DUMMYFUNCTION("""COMPUTED_VALUE"""),500000.0)</f>
        <v>500000</v>
      </c>
      <c r="I1471" s="24">
        <f>IFERROR(__xludf.DUMMYFUNCTION("""COMPUTED_VALUE"""),0.0)</f>
        <v>0</v>
      </c>
    </row>
    <row r="1472">
      <c r="A1472" s="5" t="str">
        <f>IFERROR(__xludf.DUMMYFUNCTION("""COMPUTED_VALUE"""),"37568")</f>
        <v>37568</v>
      </c>
      <c r="B1472" s="64">
        <f>IFERROR(__xludf.DUMMYFUNCTION("""COMPUTED_VALUE"""),44657.0)</f>
        <v>44657</v>
      </c>
      <c r="C1472" s="5"/>
      <c r="D1472" s="5"/>
      <c r="E1472" s="5"/>
      <c r="F1472" s="22">
        <f>IFERROR(__xludf.DUMMYFUNCTION("""COMPUTED_VALUE"""),500000.0)</f>
        <v>500000</v>
      </c>
      <c r="G1472" s="22">
        <f>IFERROR(__xludf.DUMMYFUNCTION("""COMPUTED_VALUE"""),0.0)</f>
        <v>0</v>
      </c>
      <c r="H1472" s="22">
        <f>IFERROR(__xludf.DUMMYFUNCTION("""COMPUTED_VALUE"""),500000.0)</f>
        <v>500000</v>
      </c>
      <c r="I1472" s="24">
        <f>IFERROR(__xludf.DUMMYFUNCTION("""COMPUTED_VALUE"""),0.0)</f>
        <v>0</v>
      </c>
    </row>
    <row r="1473">
      <c r="A1473" s="5" t="str">
        <f>IFERROR(__xludf.DUMMYFUNCTION("""COMPUTED_VALUE"""),"37568")</f>
        <v>37568</v>
      </c>
      <c r="B1473" s="64">
        <f>IFERROR(__xludf.DUMMYFUNCTION("""COMPUTED_VALUE"""),44658.0)</f>
        <v>44658</v>
      </c>
      <c r="C1473" s="5"/>
      <c r="D1473" s="5"/>
      <c r="E1473" s="5"/>
      <c r="F1473" s="22">
        <f>IFERROR(__xludf.DUMMYFUNCTION("""COMPUTED_VALUE"""),500000.0)</f>
        <v>500000</v>
      </c>
      <c r="G1473" s="22">
        <f>IFERROR(__xludf.DUMMYFUNCTION("""COMPUTED_VALUE"""),0.0)</f>
        <v>0</v>
      </c>
      <c r="H1473" s="22">
        <f>IFERROR(__xludf.DUMMYFUNCTION("""COMPUTED_VALUE"""),500000.0)</f>
        <v>500000</v>
      </c>
      <c r="I1473" s="24">
        <f>IFERROR(__xludf.DUMMYFUNCTION("""COMPUTED_VALUE"""),0.0)</f>
        <v>0</v>
      </c>
    </row>
    <row r="1474">
      <c r="A1474" s="5" t="str">
        <f>IFERROR(__xludf.DUMMYFUNCTION("""COMPUTED_VALUE"""),"37568")</f>
        <v>37568</v>
      </c>
      <c r="B1474" s="64">
        <f>IFERROR(__xludf.DUMMYFUNCTION("""COMPUTED_VALUE"""),44659.0)</f>
        <v>44659</v>
      </c>
      <c r="C1474" s="5"/>
      <c r="D1474" s="5"/>
      <c r="E1474" s="5"/>
      <c r="F1474" s="22">
        <f>IFERROR(__xludf.DUMMYFUNCTION("""COMPUTED_VALUE"""),500000.0)</f>
        <v>500000</v>
      </c>
      <c r="G1474" s="22">
        <f>IFERROR(__xludf.DUMMYFUNCTION("""COMPUTED_VALUE"""),0.0)</f>
        <v>0</v>
      </c>
      <c r="H1474" s="22">
        <f>IFERROR(__xludf.DUMMYFUNCTION("""COMPUTED_VALUE"""),500000.0)</f>
        <v>500000</v>
      </c>
      <c r="I1474" s="24">
        <f>IFERROR(__xludf.DUMMYFUNCTION("""COMPUTED_VALUE"""),0.0)</f>
        <v>0</v>
      </c>
    </row>
    <row r="1475">
      <c r="A1475" s="5" t="str">
        <f>IFERROR(__xludf.DUMMYFUNCTION("""COMPUTED_VALUE"""),"37568")</f>
        <v>37568</v>
      </c>
      <c r="B1475" s="64">
        <f>IFERROR(__xludf.DUMMYFUNCTION("""COMPUTED_VALUE"""),44660.0)</f>
        <v>44660</v>
      </c>
      <c r="C1475" s="5"/>
      <c r="D1475" s="5"/>
      <c r="E1475" s="5"/>
      <c r="F1475" s="22">
        <f>IFERROR(__xludf.DUMMYFUNCTION("""COMPUTED_VALUE"""),500000.0)</f>
        <v>500000</v>
      </c>
      <c r="G1475" s="22">
        <f>IFERROR(__xludf.DUMMYFUNCTION("""COMPUTED_VALUE"""),0.0)</f>
        <v>0</v>
      </c>
      <c r="H1475" s="22">
        <f>IFERROR(__xludf.DUMMYFUNCTION("""COMPUTED_VALUE"""),500000.0)</f>
        <v>500000</v>
      </c>
      <c r="I1475" s="24">
        <f>IFERROR(__xludf.DUMMYFUNCTION("""COMPUTED_VALUE"""),0.0)</f>
        <v>0</v>
      </c>
    </row>
    <row r="1476">
      <c r="A1476" s="5" t="str">
        <f>IFERROR(__xludf.DUMMYFUNCTION("""COMPUTED_VALUE"""),"37568")</f>
        <v>37568</v>
      </c>
      <c r="B1476" s="64">
        <f>IFERROR(__xludf.DUMMYFUNCTION("""COMPUTED_VALUE"""),44661.0)</f>
        <v>44661</v>
      </c>
      <c r="C1476" s="5"/>
      <c r="D1476" s="5"/>
      <c r="E1476" s="5"/>
      <c r="F1476" s="22">
        <f>IFERROR(__xludf.DUMMYFUNCTION("""COMPUTED_VALUE"""),477638.511389)</f>
        <v>477638.5114</v>
      </c>
      <c r="G1476" s="22">
        <f>IFERROR(__xludf.DUMMYFUNCTION("""COMPUTED_VALUE"""),0.0)</f>
        <v>0</v>
      </c>
      <c r="H1476" s="22">
        <f>IFERROR(__xludf.DUMMYFUNCTION("""COMPUTED_VALUE"""),500917.9451435)</f>
        <v>500917.9451</v>
      </c>
      <c r="I1476" s="24">
        <f>IFERROR(__xludf.DUMMYFUNCTION("""COMPUTED_VALUE"""),0.0018358902869999305)</f>
        <v>0.001835890287</v>
      </c>
    </row>
    <row r="1477">
      <c r="A1477" s="5" t="str">
        <f>IFERROR(__xludf.DUMMYFUNCTION("""COMPUTED_VALUE"""),"37568")</f>
        <v>37568</v>
      </c>
      <c r="B1477" s="64">
        <f>IFERROR(__xludf.DUMMYFUNCTION("""COMPUTED_VALUE"""),44662.0)</f>
        <v>44662</v>
      </c>
      <c r="C1477" s="5"/>
      <c r="D1477" s="5"/>
      <c r="E1477" s="5"/>
      <c r="F1477" s="22">
        <f>IFERROR(__xludf.DUMMYFUNCTION("""COMPUTED_VALUE"""),477638.511389)</f>
        <v>477638.5114</v>
      </c>
      <c r="G1477" s="22">
        <f>IFERROR(__xludf.DUMMYFUNCTION("""COMPUTED_VALUE"""),0.0)</f>
        <v>0</v>
      </c>
      <c r="H1477" s="22">
        <f>IFERROR(__xludf.DUMMYFUNCTION("""COMPUTED_VALUE"""),500000.0)</f>
        <v>500000</v>
      </c>
      <c r="I1477" s="24">
        <f>IFERROR(__xludf.DUMMYFUNCTION("""COMPUTED_VALUE"""),0.0)</f>
        <v>0</v>
      </c>
    </row>
    <row r="1478">
      <c r="A1478" s="5" t="str">
        <f>IFERROR(__xludf.DUMMYFUNCTION("""COMPUTED_VALUE"""),"37568")</f>
        <v>37568</v>
      </c>
      <c r="B1478" s="64">
        <f>IFERROR(__xludf.DUMMYFUNCTION("""COMPUTED_VALUE"""),44663.0)</f>
        <v>44663</v>
      </c>
      <c r="C1478" s="5"/>
      <c r="D1478" s="5"/>
      <c r="E1478" s="5"/>
      <c r="F1478" s="22">
        <f>IFERROR(__xludf.DUMMYFUNCTION("""COMPUTED_VALUE"""),477638.511389)</f>
        <v>477638.5114</v>
      </c>
      <c r="G1478" s="22">
        <f>IFERROR(__xludf.DUMMYFUNCTION("""COMPUTED_VALUE"""),0.0)</f>
        <v>0</v>
      </c>
      <c r="H1478" s="22">
        <f>IFERROR(__xludf.DUMMYFUNCTION("""COMPUTED_VALUE"""),499749.15248)</f>
        <v>499749.1525</v>
      </c>
      <c r="I1478" s="24">
        <f>IFERROR(__xludf.DUMMYFUNCTION("""COMPUTED_VALUE"""),-5.01695039999972E-4)</f>
        <v>-0.00050169504</v>
      </c>
    </row>
    <row r="1479">
      <c r="A1479" s="5" t="str">
        <f>IFERROR(__xludf.DUMMYFUNCTION("""COMPUTED_VALUE"""),"37649")</f>
        <v>37649</v>
      </c>
      <c r="B1479" s="64">
        <f>IFERROR(__xludf.DUMMYFUNCTION("""COMPUTED_VALUE"""),44597.0)</f>
        <v>44597</v>
      </c>
      <c r="C1479" s="5"/>
      <c r="D1479" s="5"/>
      <c r="E1479" s="5"/>
      <c r="F1479" s="22">
        <f>IFERROR(__xludf.DUMMYFUNCTION("""COMPUTED_VALUE"""),500000.0)</f>
        <v>500000</v>
      </c>
      <c r="G1479" s="22">
        <f>IFERROR(__xludf.DUMMYFUNCTION("""COMPUTED_VALUE"""),0.0)</f>
        <v>0</v>
      </c>
      <c r="H1479" s="22">
        <f>IFERROR(__xludf.DUMMYFUNCTION("""COMPUTED_VALUE"""),500000.0)</f>
        <v>500000</v>
      </c>
      <c r="I1479" s="24">
        <f>IFERROR(__xludf.DUMMYFUNCTION("""COMPUTED_VALUE"""),0.0)</f>
        <v>0</v>
      </c>
    </row>
    <row r="1480">
      <c r="A1480" s="5" t="str">
        <f>IFERROR(__xludf.DUMMYFUNCTION("""COMPUTED_VALUE"""),"37649")</f>
        <v>37649</v>
      </c>
      <c r="B1480" s="64">
        <f>IFERROR(__xludf.DUMMYFUNCTION("""COMPUTED_VALUE"""),44598.0)</f>
        <v>44598</v>
      </c>
      <c r="C1480" s="5"/>
      <c r="D1480" s="5"/>
      <c r="E1480" s="5"/>
      <c r="F1480" s="22">
        <f>IFERROR(__xludf.DUMMYFUNCTION("""COMPUTED_VALUE"""),500000.0)</f>
        <v>500000</v>
      </c>
      <c r="G1480" s="22">
        <f>IFERROR(__xludf.DUMMYFUNCTION("""COMPUTED_VALUE"""),0.0)</f>
        <v>0</v>
      </c>
      <c r="H1480" s="22">
        <f>IFERROR(__xludf.DUMMYFUNCTION("""COMPUTED_VALUE"""),500000.0)</f>
        <v>500000</v>
      </c>
      <c r="I1480" s="24">
        <f>IFERROR(__xludf.DUMMYFUNCTION("""COMPUTED_VALUE"""),0.0)</f>
        <v>0</v>
      </c>
    </row>
    <row r="1481">
      <c r="A1481" s="5" t="str">
        <f>IFERROR(__xludf.DUMMYFUNCTION("""COMPUTED_VALUE"""),"37649")</f>
        <v>37649</v>
      </c>
      <c r="B1481" s="64">
        <f>IFERROR(__xludf.DUMMYFUNCTION("""COMPUTED_VALUE"""),44599.0)</f>
        <v>44599</v>
      </c>
      <c r="C1481" s="5"/>
      <c r="D1481" s="5"/>
      <c r="E1481" s="5"/>
      <c r="F1481" s="22">
        <f>IFERROR(__xludf.DUMMYFUNCTION("""COMPUTED_VALUE"""),500000.0)</f>
        <v>500000</v>
      </c>
      <c r="G1481" s="22">
        <f>IFERROR(__xludf.DUMMYFUNCTION("""COMPUTED_VALUE"""),0.0)</f>
        <v>0</v>
      </c>
      <c r="H1481" s="22">
        <f>IFERROR(__xludf.DUMMYFUNCTION("""COMPUTED_VALUE"""),500000.0)</f>
        <v>500000</v>
      </c>
      <c r="I1481" s="24">
        <f>IFERROR(__xludf.DUMMYFUNCTION("""COMPUTED_VALUE"""),0.0)</f>
        <v>0</v>
      </c>
    </row>
    <row r="1482">
      <c r="A1482" s="5" t="str">
        <f>IFERROR(__xludf.DUMMYFUNCTION("""COMPUTED_VALUE"""),"37649")</f>
        <v>37649</v>
      </c>
      <c r="B1482" s="64">
        <f>IFERROR(__xludf.DUMMYFUNCTION("""COMPUTED_VALUE"""),44600.0)</f>
        <v>44600</v>
      </c>
      <c r="C1482" s="5"/>
      <c r="D1482" s="5"/>
      <c r="E1482" s="5"/>
      <c r="F1482" s="22">
        <f>IFERROR(__xludf.DUMMYFUNCTION("""COMPUTED_VALUE"""),500000.0)</f>
        <v>500000</v>
      </c>
      <c r="G1482" s="22">
        <f>IFERROR(__xludf.DUMMYFUNCTION("""COMPUTED_VALUE"""),0.0)</f>
        <v>0</v>
      </c>
      <c r="H1482" s="22">
        <f>IFERROR(__xludf.DUMMYFUNCTION("""COMPUTED_VALUE"""),500000.0)</f>
        <v>500000</v>
      </c>
      <c r="I1482" s="24">
        <f>IFERROR(__xludf.DUMMYFUNCTION("""COMPUTED_VALUE"""),0.0)</f>
        <v>0</v>
      </c>
    </row>
    <row r="1483">
      <c r="A1483" s="5" t="str">
        <f>IFERROR(__xludf.DUMMYFUNCTION("""COMPUTED_VALUE"""),"37649")</f>
        <v>37649</v>
      </c>
      <c r="B1483" s="64">
        <f>IFERROR(__xludf.DUMMYFUNCTION("""COMPUTED_VALUE"""),44601.0)</f>
        <v>44601</v>
      </c>
      <c r="C1483" s="5"/>
      <c r="D1483" s="5"/>
      <c r="E1483" s="5"/>
      <c r="F1483" s="22">
        <f>IFERROR(__xludf.DUMMYFUNCTION("""COMPUTED_VALUE"""),500000.0)</f>
        <v>500000</v>
      </c>
      <c r="G1483" s="22">
        <f>IFERROR(__xludf.DUMMYFUNCTION("""COMPUTED_VALUE"""),0.0)</f>
        <v>0</v>
      </c>
      <c r="H1483" s="22">
        <f>IFERROR(__xludf.DUMMYFUNCTION("""COMPUTED_VALUE"""),500000.0)</f>
        <v>500000</v>
      </c>
      <c r="I1483" s="24">
        <f>IFERROR(__xludf.DUMMYFUNCTION("""COMPUTED_VALUE"""),0.0)</f>
        <v>0</v>
      </c>
    </row>
    <row r="1484">
      <c r="A1484" s="5" t="str">
        <f>IFERROR(__xludf.DUMMYFUNCTION("""COMPUTED_VALUE"""),"37649")</f>
        <v>37649</v>
      </c>
      <c r="B1484" s="64">
        <f>IFERROR(__xludf.DUMMYFUNCTION("""COMPUTED_VALUE"""),44602.0)</f>
        <v>44602</v>
      </c>
      <c r="C1484" s="5"/>
      <c r="D1484" s="5"/>
      <c r="E1484" s="5"/>
      <c r="F1484" s="22">
        <f>IFERROR(__xludf.DUMMYFUNCTION("""COMPUTED_VALUE"""),500000.0)</f>
        <v>500000</v>
      </c>
      <c r="G1484" s="22">
        <f>IFERROR(__xludf.DUMMYFUNCTION("""COMPUTED_VALUE"""),0.0)</f>
        <v>0</v>
      </c>
      <c r="H1484" s="22">
        <f>IFERROR(__xludf.DUMMYFUNCTION("""COMPUTED_VALUE"""),500000.0)</f>
        <v>500000</v>
      </c>
      <c r="I1484" s="24">
        <f>IFERROR(__xludf.DUMMYFUNCTION("""COMPUTED_VALUE"""),0.0)</f>
        <v>0</v>
      </c>
    </row>
    <row r="1485">
      <c r="A1485" s="5" t="str">
        <f>IFERROR(__xludf.DUMMYFUNCTION("""COMPUTED_VALUE"""),"37649")</f>
        <v>37649</v>
      </c>
      <c r="B1485" s="64">
        <f>IFERROR(__xludf.DUMMYFUNCTION("""COMPUTED_VALUE"""),44603.0)</f>
        <v>44603</v>
      </c>
      <c r="C1485" s="5"/>
      <c r="D1485" s="5"/>
      <c r="E1485" s="5"/>
      <c r="F1485" s="22">
        <f>IFERROR(__xludf.DUMMYFUNCTION("""COMPUTED_VALUE"""),500000.0)</f>
        <v>500000</v>
      </c>
      <c r="G1485" s="22">
        <f>IFERROR(__xludf.DUMMYFUNCTION("""COMPUTED_VALUE"""),0.0)</f>
        <v>0</v>
      </c>
      <c r="H1485" s="22">
        <f>IFERROR(__xludf.DUMMYFUNCTION("""COMPUTED_VALUE"""),500000.0)</f>
        <v>500000</v>
      </c>
      <c r="I1485" s="24">
        <f>IFERROR(__xludf.DUMMYFUNCTION("""COMPUTED_VALUE"""),0.0)</f>
        <v>0</v>
      </c>
    </row>
    <row r="1486">
      <c r="A1486" s="5" t="str">
        <f>IFERROR(__xludf.DUMMYFUNCTION("""COMPUTED_VALUE"""),"37649")</f>
        <v>37649</v>
      </c>
      <c r="B1486" s="64">
        <f>IFERROR(__xludf.DUMMYFUNCTION("""COMPUTED_VALUE"""),44604.0)</f>
        <v>44604</v>
      </c>
      <c r="C1486" s="5"/>
      <c r="D1486" s="5"/>
      <c r="E1486" s="5"/>
      <c r="F1486" s="22">
        <f>IFERROR(__xludf.DUMMYFUNCTION("""COMPUTED_VALUE"""),500000.0)</f>
        <v>500000</v>
      </c>
      <c r="G1486" s="22">
        <f>IFERROR(__xludf.DUMMYFUNCTION("""COMPUTED_VALUE"""),0.0)</f>
        <v>0</v>
      </c>
      <c r="H1486" s="22">
        <f>IFERROR(__xludf.DUMMYFUNCTION("""COMPUTED_VALUE"""),500000.0)</f>
        <v>500000</v>
      </c>
      <c r="I1486" s="24">
        <f>IFERROR(__xludf.DUMMYFUNCTION("""COMPUTED_VALUE"""),0.0)</f>
        <v>0</v>
      </c>
    </row>
    <row r="1487">
      <c r="A1487" s="5" t="str">
        <f>IFERROR(__xludf.DUMMYFUNCTION("""COMPUTED_VALUE"""),"37649")</f>
        <v>37649</v>
      </c>
      <c r="B1487" s="64">
        <f>IFERROR(__xludf.DUMMYFUNCTION("""COMPUTED_VALUE"""),44605.0)</f>
        <v>44605</v>
      </c>
      <c r="C1487" s="5"/>
      <c r="D1487" s="5"/>
      <c r="E1487" s="5"/>
      <c r="F1487" s="22">
        <f>IFERROR(__xludf.DUMMYFUNCTION("""COMPUTED_VALUE"""),500000.0)</f>
        <v>500000</v>
      </c>
      <c r="G1487" s="22">
        <f>IFERROR(__xludf.DUMMYFUNCTION("""COMPUTED_VALUE"""),0.0)</f>
        <v>0</v>
      </c>
      <c r="H1487" s="22">
        <f>IFERROR(__xludf.DUMMYFUNCTION("""COMPUTED_VALUE"""),500000.0)</f>
        <v>500000</v>
      </c>
      <c r="I1487" s="24">
        <f>IFERROR(__xludf.DUMMYFUNCTION("""COMPUTED_VALUE"""),0.0)</f>
        <v>0</v>
      </c>
    </row>
    <row r="1488">
      <c r="A1488" s="5" t="str">
        <f>IFERROR(__xludf.DUMMYFUNCTION("""COMPUTED_VALUE"""),"37649")</f>
        <v>37649</v>
      </c>
      <c r="B1488" s="64">
        <f>IFERROR(__xludf.DUMMYFUNCTION("""COMPUTED_VALUE"""),44606.0)</f>
        <v>44606</v>
      </c>
      <c r="C1488" s="5"/>
      <c r="D1488" s="5"/>
      <c r="E1488" s="5"/>
      <c r="F1488" s="22">
        <f>IFERROR(__xludf.DUMMYFUNCTION("""COMPUTED_VALUE"""),500000.0)</f>
        <v>500000</v>
      </c>
      <c r="G1488" s="22">
        <f>IFERROR(__xludf.DUMMYFUNCTION("""COMPUTED_VALUE"""),0.0)</f>
        <v>0</v>
      </c>
      <c r="H1488" s="22">
        <f>IFERROR(__xludf.DUMMYFUNCTION("""COMPUTED_VALUE"""),500000.0)</f>
        <v>500000</v>
      </c>
      <c r="I1488" s="24">
        <f>IFERROR(__xludf.DUMMYFUNCTION("""COMPUTED_VALUE"""),0.0)</f>
        <v>0</v>
      </c>
    </row>
    <row r="1489">
      <c r="A1489" s="5" t="str">
        <f>IFERROR(__xludf.DUMMYFUNCTION("""COMPUTED_VALUE"""),"37649")</f>
        <v>37649</v>
      </c>
      <c r="B1489" s="64">
        <f>IFERROR(__xludf.DUMMYFUNCTION("""COMPUTED_VALUE"""),44607.0)</f>
        <v>44607</v>
      </c>
      <c r="C1489" s="5"/>
      <c r="D1489" s="5"/>
      <c r="E1489" s="5"/>
      <c r="F1489" s="22">
        <f>IFERROR(__xludf.DUMMYFUNCTION("""COMPUTED_VALUE"""),500000.0)</f>
        <v>500000</v>
      </c>
      <c r="G1489" s="22">
        <f>IFERROR(__xludf.DUMMYFUNCTION("""COMPUTED_VALUE"""),0.0)</f>
        <v>0</v>
      </c>
      <c r="H1489" s="22">
        <f>IFERROR(__xludf.DUMMYFUNCTION("""COMPUTED_VALUE"""),500000.0)</f>
        <v>500000</v>
      </c>
      <c r="I1489" s="24">
        <f>IFERROR(__xludf.DUMMYFUNCTION("""COMPUTED_VALUE"""),0.0)</f>
        <v>0</v>
      </c>
    </row>
    <row r="1490">
      <c r="A1490" s="5" t="str">
        <f>IFERROR(__xludf.DUMMYFUNCTION("""COMPUTED_VALUE"""),"37649")</f>
        <v>37649</v>
      </c>
      <c r="B1490" s="64">
        <f>IFERROR(__xludf.DUMMYFUNCTION("""COMPUTED_VALUE"""),44608.0)</f>
        <v>44608</v>
      </c>
      <c r="C1490" s="5"/>
      <c r="D1490" s="5"/>
      <c r="E1490" s="5"/>
      <c r="F1490" s="22">
        <f>IFERROR(__xludf.DUMMYFUNCTION("""COMPUTED_VALUE"""),500000.0)</f>
        <v>500000</v>
      </c>
      <c r="G1490" s="22">
        <f>IFERROR(__xludf.DUMMYFUNCTION("""COMPUTED_VALUE"""),0.0)</f>
        <v>0</v>
      </c>
      <c r="H1490" s="22">
        <f>IFERROR(__xludf.DUMMYFUNCTION("""COMPUTED_VALUE"""),500000.0)</f>
        <v>500000</v>
      </c>
      <c r="I1490" s="24">
        <f>IFERROR(__xludf.DUMMYFUNCTION("""COMPUTED_VALUE"""),0.0)</f>
        <v>0</v>
      </c>
    </row>
    <row r="1491">
      <c r="A1491" s="5" t="str">
        <f>IFERROR(__xludf.DUMMYFUNCTION("""COMPUTED_VALUE"""),"37649")</f>
        <v>37649</v>
      </c>
      <c r="B1491" s="64">
        <f>IFERROR(__xludf.DUMMYFUNCTION("""COMPUTED_VALUE"""),44609.0)</f>
        <v>44609</v>
      </c>
      <c r="C1491" s="5"/>
      <c r="D1491" s="5"/>
      <c r="E1491" s="5"/>
      <c r="F1491" s="22">
        <f>IFERROR(__xludf.DUMMYFUNCTION("""COMPUTED_VALUE"""),500000.0)</f>
        <v>500000</v>
      </c>
      <c r="G1491" s="22">
        <f>IFERROR(__xludf.DUMMYFUNCTION("""COMPUTED_VALUE"""),0.0)</f>
        <v>0</v>
      </c>
      <c r="H1491" s="22">
        <f>IFERROR(__xludf.DUMMYFUNCTION("""COMPUTED_VALUE"""),500000.0)</f>
        <v>500000</v>
      </c>
      <c r="I1491" s="24">
        <f>IFERROR(__xludf.DUMMYFUNCTION("""COMPUTED_VALUE"""),0.0)</f>
        <v>0</v>
      </c>
    </row>
    <row r="1492">
      <c r="A1492" s="5" t="str">
        <f>IFERROR(__xludf.DUMMYFUNCTION("""COMPUTED_VALUE"""),"37649")</f>
        <v>37649</v>
      </c>
      <c r="B1492" s="64">
        <f>IFERROR(__xludf.DUMMYFUNCTION("""COMPUTED_VALUE"""),44610.0)</f>
        <v>44610</v>
      </c>
      <c r="C1492" s="5"/>
      <c r="D1492" s="5"/>
      <c r="E1492" s="5"/>
      <c r="F1492" s="22">
        <f>IFERROR(__xludf.DUMMYFUNCTION("""COMPUTED_VALUE"""),500000.0)</f>
        <v>500000</v>
      </c>
      <c r="G1492" s="22">
        <f>IFERROR(__xludf.DUMMYFUNCTION("""COMPUTED_VALUE"""),0.0)</f>
        <v>0</v>
      </c>
      <c r="H1492" s="22">
        <f>IFERROR(__xludf.DUMMYFUNCTION("""COMPUTED_VALUE"""),500000.0)</f>
        <v>500000</v>
      </c>
      <c r="I1492" s="24">
        <f>IFERROR(__xludf.DUMMYFUNCTION("""COMPUTED_VALUE"""),0.0)</f>
        <v>0</v>
      </c>
    </row>
    <row r="1493">
      <c r="A1493" s="5" t="str">
        <f>IFERROR(__xludf.DUMMYFUNCTION("""COMPUTED_VALUE"""),"37649")</f>
        <v>37649</v>
      </c>
      <c r="B1493" s="64">
        <f>IFERROR(__xludf.DUMMYFUNCTION("""COMPUTED_VALUE"""),44611.0)</f>
        <v>44611</v>
      </c>
      <c r="C1493" s="5"/>
      <c r="D1493" s="5"/>
      <c r="E1493" s="5"/>
      <c r="F1493" s="22">
        <f>IFERROR(__xludf.DUMMYFUNCTION("""COMPUTED_VALUE"""),500000.0)</f>
        <v>500000</v>
      </c>
      <c r="G1493" s="22">
        <f>IFERROR(__xludf.DUMMYFUNCTION("""COMPUTED_VALUE"""),0.0)</f>
        <v>0</v>
      </c>
      <c r="H1493" s="22">
        <f>IFERROR(__xludf.DUMMYFUNCTION("""COMPUTED_VALUE"""),500000.0)</f>
        <v>500000</v>
      </c>
      <c r="I1493" s="24">
        <f>IFERROR(__xludf.DUMMYFUNCTION("""COMPUTED_VALUE"""),0.0)</f>
        <v>0</v>
      </c>
    </row>
    <row r="1494">
      <c r="A1494" s="5" t="str">
        <f>IFERROR(__xludf.DUMMYFUNCTION("""COMPUTED_VALUE"""),"37649")</f>
        <v>37649</v>
      </c>
      <c r="B1494" s="64">
        <f>IFERROR(__xludf.DUMMYFUNCTION("""COMPUTED_VALUE"""),44612.0)</f>
        <v>44612</v>
      </c>
      <c r="C1494" s="5"/>
      <c r="D1494" s="5"/>
      <c r="E1494" s="5"/>
      <c r="F1494" s="22">
        <f>IFERROR(__xludf.DUMMYFUNCTION("""COMPUTED_VALUE"""),500000.0)</f>
        <v>500000</v>
      </c>
      <c r="G1494" s="22">
        <f>IFERROR(__xludf.DUMMYFUNCTION("""COMPUTED_VALUE"""),0.0)</f>
        <v>0</v>
      </c>
      <c r="H1494" s="22">
        <f>IFERROR(__xludf.DUMMYFUNCTION("""COMPUTED_VALUE"""),500000.0)</f>
        <v>500000</v>
      </c>
      <c r="I1494" s="24">
        <f>IFERROR(__xludf.DUMMYFUNCTION("""COMPUTED_VALUE"""),0.0)</f>
        <v>0</v>
      </c>
    </row>
    <row r="1495">
      <c r="A1495" s="5" t="str">
        <f>IFERROR(__xludf.DUMMYFUNCTION("""COMPUTED_VALUE"""),"37649")</f>
        <v>37649</v>
      </c>
      <c r="B1495" s="64">
        <f>IFERROR(__xludf.DUMMYFUNCTION("""COMPUTED_VALUE"""),44613.0)</f>
        <v>44613</v>
      </c>
      <c r="C1495" s="5"/>
      <c r="D1495" s="5"/>
      <c r="E1495" s="5"/>
      <c r="F1495" s="22">
        <f>IFERROR(__xludf.DUMMYFUNCTION("""COMPUTED_VALUE"""),500000.0)</f>
        <v>500000</v>
      </c>
      <c r="G1495" s="22">
        <f>IFERROR(__xludf.DUMMYFUNCTION("""COMPUTED_VALUE"""),0.0)</f>
        <v>0</v>
      </c>
      <c r="H1495" s="22">
        <f>IFERROR(__xludf.DUMMYFUNCTION("""COMPUTED_VALUE"""),500000.0)</f>
        <v>500000</v>
      </c>
      <c r="I1495" s="24">
        <f>IFERROR(__xludf.DUMMYFUNCTION("""COMPUTED_VALUE"""),0.0)</f>
        <v>0</v>
      </c>
    </row>
    <row r="1496">
      <c r="A1496" s="5" t="str">
        <f>IFERROR(__xludf.DUMMYFUNCTION("""COMPUTED_VALUE"""),"37649")</f>
        <v>37649</v>
      </c>
      <c r="B1496" s="64">
        <f>IFERROR(__xludf.DUMMYFUNCTION("""COMPUTED_VALUE"""),44614.0)</f>
        <v>44614</v>
      </c>
      <c r="C1496" s="5"/>
      <c r="D1496" s="5"/>
      <c r="E1496" s="5"/>
      <c r="F1496" s="22">
        <f>IFERROR(__xludf.DUMMYFUNCTION("""COMPUTED_VALUE"""),500000.0)</f>
        <v>500000</v>
      </c>
      <c r="G1496" s="22">
        <f>IFERROR(__xludf.DUMMYFUNCTION("""COMPUTED_VALUE"""),0.0)</f>
        <v>0</v>
      </c>
      <c r="H1496" s="22">
        <f>IFERROR(__xludf.DUMMYFUNCTION("""COMPUTED_VALUE"""),500200.0)</f>
        <v>500200</v>
      </c>
      <c r="I1496" s="24">
        <f>IFERROR(__xludf.DUMMYFUNCTION("""COMPUTED_VALUE"""),3.9999999999995595E-4)</f>
        <v>0.0004</v>
      </c>
    </row>
    <row r="1497">
      <c r="A1497" s="5" t="str">
        <f>IFERROR(__xludf.DUMMYFUNCTION("""COMPUTED_VALUE"""),"37649")</f>
        <v>37649</v>
      </c>
      <c r="B1497" s="64">
        <f>IFERROR(__xludf.DUMMYFUNCTION("""COMPUTED_VALUE"""),44615.0)</f>
        <v>44615</v>
      </c>
      <c r="C1497" s="5"/>
      <c r="D1497" s="5"/>
      <c r="E1497" s="5"/>
      <c r="F1497" s="22">
        <f>IFERROR(__xludf.DUMMYFUNCTION("""COMPUTED_VALUE"""),500000.0)</f>
        <v>500000</v>
      </c>
      <c r="G1497" s="22">
        <f>IFERROR(__xludf.DUMMYFUNCTION("""COMPUTED_VALUE"""),0.0)</f>
        <v>0</v>
      </c>
      <c r="H1497" s="22">
        <f>IFERROR(__xludf.DUMMYFUNCTION("""COMPUTED_VALUE"""),498400.0)</f>
        <v>498400</v>
      </c>
      <c r="I1497" s="24">
        <f>IFERROR(__xludf.DUMMYFUNCTION("""COMPUTED_VALUE"""),-0.0031999999999999806)</f>
        <v>-0.0032</v>
      </c>
    </row>
    <row r="1498">
      <c r="A1498" s="5" t="str">
        <f>IFERROR(__xludf.DUMMYFUNCTION("""COMPUTED_VALUE"""),"37649")</f>
        <v>37649</v>
      </c>
      <c r="B1498" s="64">
        <f>IFERROR(__xludf.DUMMYFUNCTION("""COMPUTED_VALUE"""),44616.0)</f>
        <v>44616</v>
      </c>
      <c r="C1498" s="5"/>
      <c r="D1498" s="5"/>
      <c r="E1498" s="5"/>
      <c r="F1498" s="22">
        <f>IFERROR(__xludf.DUMMYFUNCTION("""COMPUTED_VALUE"""),500000.0)</f>
        <v>500000</v>
      </c>
      <c r="G1498" s="22">
        <f>IFERROR(__xludf.DUMMYFUNCTION("""COMPUTED_VALUE"""),0.0)</f>
        <v>0</v>
      </c>
      <c r="H1498" s="22">
        <f>IFERROR(__xludf.DUMMYFUNCTION("""COMPUTED_VALUE"""),493400.0)</f>
        <v>493400</v>
      </c>
      <c r="I1498" s="24">
        <f>IFERROR(__xludf.DUMMYFUNCTION("""COMPUTED_VALUE"""),-0.01319999999999999)</f>
        <v>-0.0132</v>
      </c>
    </row>
    <row r="1499">
      <c r="A1499" s="5" t="str">
        <f>IFERROR(__xludf.DUMMYFUNCTION("""COMPUTED_VALUE"""),"37649")</f>
        <v>37649</v>
      </c>
      <c r="B1499" s="64">
        <f>IFERROR(__xludf.DUMMYFUNCTION("""COMPUTED_VALUE"""),44617.0)</f>
        <v>44617</v>
      </c>
      <c r="C1499" s="5"/>
      <c r="D1499" s="5"/>
      <c r="E1499" s="5"/>
      <c r="F1499" s="22">
        <f>IFERROR(__xludf.DUMMYFUNCTION("""COMPUTED_VALUE"""),500000.0)</f>
        <v>500000</v>
      </c>
      <c r="G1499" s="22">
        <f>IFERROR(__xludf.DUMMYFUNCTION("""COMPUTED_VALUE"""),0.0)</f>
        <v>0</v>
      </c>
      <c r="H1499" s="22">
        <f>IFERROR(__xludf.DUMMYFUNCTION("""COMPUTED_VALUE"""),488400.0)</f>
        <v>488400</v>
      </c>
      <c r="I1499" s="24">
        <f>IFERROR(__xludf.DUMMYFUNCTION("""COMPUTED_VALUE"""),-0.0232)</f>
        <v>-0.0232</v>
      </c>
    </row>
    <row r="1500">
      <c r="A1500" s="5" t="str">
        <f>IFERROR(__xludf.DUMMYFUNCTION("""COMPUTED_VALUE"""),"37649")</f>
        <v>37649</v>
      </c>
      <c r="B1500" s="64">
        <f>IFERROR(__xludf.DUMMYFUNCTION("""COMPUTED_VALUE"""),44618.0)</f>
        <v>44618</v>
      </c>
      <c r="C1500" s="5"/>
      <c r="D1500" s="5"/>
      <c r="E1500" s="5"/>
      <c r="F1500" s="22">
        <f>IFERROR(__xludf.DUMMYFUNCTION("""COMPUTED_VALUE"""),500000.0)</f>
        <v>500000</v>
      </c>
      <c r="G1500" s="22">
        <f>IFERROR(__xludf.DUMMYFUNCTION("""COMPUTED_VALUE"""),0.0)</f>
        <v>0</v>
      </c>
      <c r="H1500" s="22">
        <f>IFERROR(__xludf.DUMMYFUNCTION("""COMPUTED_VALUE"""),488400.0)</f>
        <v>488400</v>
      </c>
      <c r="I1500" s="24">
        <f>IFERROR(__xludf.DUMMYFUNCTION("""COMPUTED_VALUE"""),-0.0232)</f>
        <v>-0.0232</v>
      </c>
    </row>
    <row r="1501">
      <c r="A1501" s="5" t="str">
        <f>IFERROR(__xludf.DUMMYFUNCTION("""COMPUTED_VALUE"""),"37649")</f>
        <v>37649</v>
      </c>
      <c r="B1501" s="64">
        <f>IFERROR(__xludf.DUMMYFUNCTION("""COMPUTED_VALUE"""),44619.0)</f>
        <v>44619</v>
      </c>
      <c r="C1501" s="5"/>
      <c r="D1501" s="5"/>
      <c r="E1501" s="5"/>
      <c r="F1501" s="22">
        <f>IFERROR(__xludf.DUMMYFUNCTION("""COMPUTED_VALUE"""),500000.0)</f>
        <v>500000</v>
      </c>
      <c r="G1501" s="22">
        <f>IFERROR(__xludf.DUMMYFUNCTION("""COMPUTED_VALUE"""),0.0)</f>
        <v>0</v>
      </c>
      <c r="H1501" s="22">
        <f>IFERROR(__xludf.DUMMYFUNCTION("""COMPUTED_VALUE"""),488400.0)</f>
        <v>488400</v>
      </c>
      <c r="I1501" s="24">
        <f>IFERROR(__xludf.DUMMYFUNCTION("""COMPUTED_VALUE"""),-0.0232)</f>
        <v>-0.0232</v>
      </c>
    </row>
    <row r="1502">
      <c r="A1502" s="5" t="str">
        <f>IFERROR(__xludf.DUMMYFUNCTION("""COMPUTED_VALUE"""),"37649")</f>
        <v>37649</v>
      </c>
      <c r="B1502" s="64">
        <f>IFERROR(__xludf.DUMMYFUNCTION("""COMPUTED_VALUE"""),44620.0)</f>
        <v>44620</v>
      </c>
      <c r="C1502" s="5"/>
      <c r="D1502" s="5"/>
      <c r="E1502" s="5"/>
      <c r="F1502" s="22">
        <f>IFERROR(__xludf.DUMMYFUNCTION("""COMPUTED_VALUE"""),500000.0)</f>
        <v>500000</v>
      </c>
      <c r="G1502" s="22">
        <f>IFERROR(__xludf.DUMMYFUNCTION("""COMPUTED_VALUE"""),0.0)</f>
        <v>0</v>
      </c>
      <c r="H1502" s="22">
        <f>IFERROR(__xludf.DUMMYFUNCTION("""COMPUTED_VALUE"""),493200.0)</f>
        <v>493200</v>
      </c>
      <c r="I1502" s="24">
        <f>IFERROR(__xludf.DUMMYFUNCTION("""COMPUTED_VALUE"""),-0.013599999999999945)</f>
        <v>-0.0136</v>
      </c>
    </row>
    <row r="1503">
      <c r="A1503" s="5" t="str">
        <f>IFERROR(__xludf.DUMMYFUNCTION("""COMPUTED_VALUE"""),"37649")</f>
        <v>37649</v>
      </c>
      <c r="B1503" s="64">
        <f>IFERROR(__xludf.DUMMYFUNCTION("""COMPUTED_VALUE"""),44621.0)</f>
        <v>44621</v>
      </c>
      <c r="C1503" s="5"/>
      <c r="D1503" s="5"/>
      <c r="E1503" s="5"/>
      <c r="F1503" s="22">
        <f>IFERROR(__xludf.DUMMYFUNCTION("""COMPUTED_VALUE"""),500000.0)</f>
        <v>500000</v>
      </c>
      <c r="G1503" s="22">
        <f>IFERROR(__xludf.DUMMYFUNCTION("""COMPUTED_VALUE"""),0.0)</f>
        <v>0</v>
      </c>
      <c r="H1503" s="22">
        <f>IFERROR(__xludf.DUMMYFUNCTION("""COMPUTED_VALUE"""),491600.0)</f>
        <v>491600</v>
      </c>
      <c r="I1503" s="24">
        <f>IFERROR(__xludf.DUMMYFUNCTION("""COMPUTED_VALUE"""),-0.016800000000000037)</f>
        <v>-0.0168</v>
      </c>
    </row>
    <row r="1504">
      <c r="A1504" s="5" t="str">
        <f>IFERROR(__xludf.DUMMYFUNCTION("""COMPUTED_VALUE"""),"37649")</f>
        <v>37649</v>
      </c>
      <c r="B1504" s="64">
        <f>IFERROR(__xludf.DUMMYFUNCTION("""COMPUTED_VALUE"""),44622.0)</f>
        <v>44622</v>
      </c>
      <c r="C1504" s="5"/>
      <c r="D1504" s="5"/>
      <c r="E1504" s="5"/>
      <c r="F1504" s="22">
        <f>IFERROR(__xludf.DUMMYFUNCTION("""COMPUTED_VALUE"""),500000.0)</f>
        <v>500000</v>
      </c>
      <c r="G1504" s="22">
        <f>IFERROR(__xludf.DUMMYFUNCTION("""COMPUTED_VALUE"""),0.0)</f>
        <v>0</v>
      </c>
      <c r="H1504" s="22">
        <f>IFERROR(__xludf.DUMMYFUNCTION("""COMPUTED_VALUE"""),489000.0)</f>
        <v>489000</v>
      </c>
      <c r="I1504" s="24">
        <f>IFERROR(__xludf.DUMMYFUNCTION("""COMPUTED_VALUE"""),-0.02200000000000002)</f>
        <v>-0.022</v>
      </c>
    </row>
    <row r="1505">
      <c r="A1505" s="5" t="str">
        <f>IFERROR(__xludf.DUMMYFUNCTION("""COMPUTED_VALUE"""),"37649")</f>
        <v>37649</v>
      </c>
      <c r="B1505" s="64">
        <f>IFERROR(__xludf.DUMMYFUNCTION("""COMPUTED_VALUE"""),44623.0)</f>
        <v>44623</v>
      </c>
      <c r="C1505" s="5"/>
      <c r="D1505" s="5"/>
      <c r="E1505" s="5"/>
      <c r="F1505" s="22">
        <f>IFERROR(__xludf.DUMMYFUNCTION("""COMPUTED_VALUE"""),500000.0)</f>
        <v>500000</v>
      </c>
      <c r="G1505" s="22">
        <f>IFERROR(__xludf.DUMMYFUNCTION("""COMPUTED_VALUE"""),0.0)</f>
        <v>0</v>
      </c>
      <c r="H1505" s="22">
        <f>IFERROR(__xludf.DUMMYFUNCTION("""COMPUTED_VALUE"""),493200.0)</f>
        <v>493200</v>
      </c>
      <c r="I1505" s="24">
        <f>IFERROR(__xludf.DUMMYFUNCTION("""COMPUTED_VALUE"""),-0.013599999999999945)</f>
        <v>-0.0136</v>
      </c>
    </row>
    <row r="1506">
      <c r="A1506" s="5" t="str">
        <f>IFERROR(__xludf.DUMMYFUNCTION("""COMPUTED_VALUE"""),"37649")</f>
        <v>37649</v>
      </c>
      <c r="B1506" s="64">
        <f>IFERROR(__xludf.DUMMYFUNCTION("""COMPUTED_VALUE"""),44624.0)</f>
        <v>44624</v>
      </c>
      <c r="C1506" s="5"/>
      <c r="D1506" s="5"/>
      <c r="E1506" s="5"/>
      <c r="F1506" s="22">
        <f>IFERROR(__xludf.DUMMYFUNCTION("""COMPUTED_VALUE"""),500000.0)</f>
        <v>500000</v>
      </c>
      <c r="G1506" s="22">
        <f>IFERROR(__xludf.DUMMYFUNCTION("""COMPUTED_VALUE"""),0.0)</f>
        <v>0</v>
      </c>
      <c r="H1506" s="22">
        <f>IFERROR(__xludf.DUMMYFUNCTION("""COMPUTED_VALUE"""),494200.0)</f>
        <v>494200</v>
      </c>
      <c r="I1506" s="24">
        <f>IFERROR(__xludf.DUMMYFUNCTION("""COMPUTED_VALUE"""),-0.011600000000000055)</f>
        <v>-0.0116</v>
      </c>
    </row>
    <row r="1507">
      <c r="A1507" s="5" t="str">
        <f>IFERROR(__xludf.DUMMYFUNCTION("""COMPUTED_VALUE"""),"37649")</f>
        <v>37649</v>
      </c>
      <c r="B1507" s="64">
        <f>IFERROR(__xludf.DUMMYFUNCTION("""COMPUTED_VALUE"""),44625.0)</f>
        <v>44625</v>
      </c>
      <c r="C1507" s="5"/>
      <c r="D1507" s="5"/>
      <c r="E1507" s="5"/>
      <c r="F1507" s="22">
        <f>IFERROR(__xludf.DUMMYFUNCTION("""COMPUTED_VALUE"""),500000.0)</f>
        <v>500000</v>
      </c>
      <c r="G1507" s="22">
        <f>IFERROR(__xludf.DUMMYFUNCTION("""COMPUTED_VALUE"""),0.0)</f>
        <v>0</v>
      </c>
      <c r="H1507" s="22">
        <f>IFERROR(__xludf.DUMMYFUNCTION("""COMPUTED_VALUE"""),494200.0)</f>
        <v>494200</v>
      </c>
      <c r="I1507" s="24">
        <f>IFERROR(__xludf.DUMMYFUNCTION("""COMPUTED_VALUE"""),-0.011600000000000055)</f>
        <v>-0.0116</v>
      </c>
    </row>
    <row r="1508">
      <c r="A1508" s="5" t="str">
        <f>IFERROR(__xludf.DUMMYFUNCTION("""COMPUTED_VALUE"""),"37649")</f>
        <v>37649</v>
      </c>
      <c r="B1508" s="64">
        <f>IFERROR(__xludf.DUMMYFUNCTION("""COMPUTED_VALUE"""),44626.0)</f>
        <v>44626</v>
      </c>
      <c r="C1508" s="5"/>
      <c r="D1508" s="5"/>
      <c r="E1508" s="5"/>
      <c r="F1508" s="22">
        <f>IFERROR(__xludf.DUMMYFUNCTION("""COMPUTED_VALUE"""),500000.0)</f>
        <v>500000</v>
      </c>
      <c r="G1508" s="22">
        <f>IFERROR(__xludf.DUMMYFUNCTION("""COMPUTED_VALUE"""),0.0)</f>
        <v>0</v>
      </c>
      <c r="H1508" s="22">
        <f>IFERROR(__xludf.DUMMYFUNCTION("""COMPUTED_VALUE"""),494200.0)</f>
        <v>494200</v>
      </c>
      <c r="I1508" s="24">
        <f>IFERROR(__xludf.DUMMYFUNCTION("""COMPUTED_VALUE"""),-0.011600000000000055)</f>
        <v>-0.0116</v>
      </c>
    </row>
    <row r="1509">
      <c r="A1509" s="5" t="str">
        <f>IFERROR(__xludf.DUMMYFUNCTION("""COMPUTED_VALUE"""),"37649")</f>
        <v>37649</v>
      </c>
      <c r="B1509" s="64">
        <f>IFERROR(__xludf.DUMMYFUNCTION("""COMPUTED_VALUE"""),44627.0)</f>
        <v>44627</v>
      </c>
      <c r="C1509" s="5"/>
      <c r="D1509" s="5"/>
      <c r="E1509" s="5"/>
      <c r="F1509" s="22">
        <f>IFERROR(__xludf.DUMMYFUNCTION("""COMPUTED_VALUE"""),500000.0)</f>
        <v>500000</v>
      </c>
      <c r="G1509" s="22">
        <f>IFERROR(__xludf.DUMMYFUNCTION("""COMPUTED_VALUE"""),0.0)</f>
        <v>0</v>
      </c>
      <c r="H1509" s="22">
        <f>IFERROR(__xludf.DUMMYFUNCTION("""COMPUTED_VALUE"""),492400.0)</f>
        <v>492400</v>
      </c>
      <c r="I1509" s="24">
        <f>IFERROR(__xludf.DUMMYFUNCTION("""COMPUTED_VALUE"""),-0.015199999999999991)</f>
        <v>-0.0152</v>
      </c>
    </row>
    <row r="1510">
      <c r="A1510" s="5" t="str">
        <f>IFERROR(__xludf.DUMMYFUNCTION("""COMPUTED_VALUE"""),"37649")</f>
        <v>37649</v>
      </c>
      <c r="B1510" s="64">
        <f>IFERROR(__xludf.DUMMYFUNCTION("""COMPUTED_VALUE"""),44628.0)</f>
        <v>44628</v>
      </c>
      <c r="C1510" s="5"/>
      <c r="D1510" s="5"/>
      <c r="E1510" s="5"/>
      <c r="F1510" s="22">
        <f>IFERROR(__xludf.DUMMYFUNCTION("""COMPUTED_VALUE"""),500000.0)</f>
        <v>500000</v>
      </c>
      <c r="G1510" s="22">
        <f>IFERROR(__xludf.DUMMYFUNCTION("""COMPUTED_VALUE"""),0.0)</f>
        <v>0</v>
      </c>
      <c r="H1510" s="22">
        <f>IFERROR(__xludf.DUMMYFUNCTION("""COMPUTED_VALUE"""),488800.0)</f>
        <v>488800</v>
      </c>
      <c r="I1510" s="24">
        <f>IFERROR(__xludf.DUMMYFUNCTION("""COMPUTED_VALUE"""),-0.022399999999999975)</f>
        <v>-0.0224</v>
      </c>
    </row>
    <row r="1511">
      <c r="A1511" s="5" t="str">
        <f>IFERROR(__xludf.DUMMYFUNCTION("""COMPUTED_VALUE"""),"37649")</f>
        <v>37649</v>
      </c>
      <c r="B1511" s="64">
        <f>IFERROR(__xludf.DUMMYFUNCTION("""COMPUTED_VALUE"""),44629.0)</f>
        <v>44629</v>
      </c>
      <c r="C1511" s="5"/>
      <c r="D1511" s="5"/>
      <c r="E1511" s="5"/>
      <c r="F1511" s="22">
        <f>IFERROR(__xludf.DUMMYFUNCTION("""COMPUTED_VALUE"""),500000.0)</f>
        <v>500000</v>
      </c>
      <c r="G1511" s="22">
        <f>IFERROR(__xludf.DUMMYFUNCTION("""COMPUTED_VALUE"""),0.0)</f>
        <v>0</v>
      </c>
      <c r="H1511" s="22">
        <f>IFERROR(__xludf.DUMMYFUNCTION("""COMPUTED_VALUE"""),484000.0)</f>
        <v>484000</v>
      </c>
      <c r="I1511" s="24">
        <f>IFERROR(__xludf.DUMMYFUNCTION("""COMPUTED_VALUE"""),-0.03200000000000003)</f>
        <v>-0.032</v>
      </c>
    </row>
    <row r="1512">
      <c r="A1512" s="5" t="str">
        <f>IFERROR(__xludf.DUMMYFUNCTION("""COMPUTED_VALUE"""),"37649")</f>
        <v>37649</v>
      </c>
      <c r="B1512" s="64">
        <f>IFERROR(__xludf.DUMMYFUNCTION("""COMPUTED_VALUE"""),44630.0)</f>
        <v>44630</v>
      </c>
      <c r="C1512" s="5"/>
      <c r="D1512" s="5"/>
      <c r="E1512" s="5"/>
      <c r="F1512" s="22">
        <f>IFERROR(__xludf.DUMMYFUNCTION("""COMPUTED_VALUE"""),500000.0)</f>
        <v>500000</v>
      </c>
      <c r="G1512" s="22">
        <f>IFERROR(__xludf.DUMMYFUNCTION("""COMPUTED_VALUE"""),0.0)</f>
        <v>0</v>
      </c>
      <c r="H1512" s="22">
        <f>IFERROR(__xludf.DUMMYFUNCTION("""COMPUTED_VALUE"""),488600.0)</f>
        <v>488600</v>
      </c>
      <c r="I1512" s="24">
        <f>IFERROR(__xludf.DUMMYFUNCTION("""COMPUTED_VALUE"""),-0.022800000000000042)</f>
        <v>-0.0228</v>
      </c>
    </row>
    <row r="1513">
      <c r="A1513" s="5" t="str">
        <f>IFERROR(__xludf.DUMMYFUNCTION("""COMPUTED_VALUE"""),"37649")</f>
        <v>37649</v>
      </c>
      <c r="B1513" s="64">
        <f>IFERROR(__xludf.DUMMYFUNCTION("""COMPUTED_VALUE"""),44631.0)</f>
        <v>44631</v>
      </c>
      <c r="C1513" s="5"/>
      <c r="D1513" s="5"/>
      <c r="E1513" s="5"/>
      <c r="F1513" s="22">
        <f>IFERROR(__xludf.DUMMYFUNCTION("""COMPUTED_VALUE"""),500000.0)</f>
        <v>500000</v>
      </c>
      <c r="G1513" s="22">
        <f>IFERROR(__xludf.DUMMYFUNCTION("""COMPUTED_VALUE"""),0.0)</f>
        <v>0</v>
      </c>
      <c r="H1513" s="22">
        <f>IFERROR(__xludf.DUMMYFUNCTION("""COMPUTED_VALUE"""),483800.0)</f>
        <v>483800</v>
      </c>
      <c r="I1513" s="24">
        <f>IFERROR(__xludf.DUMMYFUNCTION("""COMPUTED_VALUE"""),-0.032399999999999984)</f>
        <v>-0.0324</v>
      </c>
    </row>
    <row r="1514">
      <c r="A1514" s="5" t="str">
        <f>IFERROR(__xludf.DUMMYFUNCTION("""COMPUTED_VALUE"""),"37649")</f>
        <v>37649</v>
      </c>
      <c r="B1514" s="64">
        <f>IFERROR(__xludf.DUMMYFUNCTION("""COMPUTED_VALUE"""),44632.0)</f>
        <v>44632</v>
      </c>
      <c r="C1514" s="5"/>
      <c r="D1514" s="5"/>
      <c r="E1514" s="5"/>
      <c r="F1514" s="22">
        <f>IFERROR(__xludf.DUMMYFUNCTION("""COMPUTED_VALUE"""),500000.0)</f>
        <v>500000</v>
      </c>
      <c r="G1514" s="22">
        <f>IFERROR(__xludf.DUMMYFUNCTION("""COMPUTED_VALUE"""),0.0)</f>
        <v>0</v>
      </c>
      <c r="H1514" s="22">
        <f>IFERROR(__xludf.DUMMYFUNCTION("""COMPUTED_VALUE"""),483800.0)</f>
        <v>483800</v>
      </c>
      <c r="I1514" s="24">
        <f>IFERROR(__xludf.DUMMYFUNCTION("""COMPUTED_VALUE"""),-0.032399999999999984)</f>
        <v>-0.0324</v>
      </c>
    </row>
    <row r="1515">
      <c r="A1515" s="5" t="str">
        <f>IFERROR(__xludf.DUMMYFUNCTION("""COMPUTED_VALUE"""),"37649")</f>
        <v>37649</v>
      </c>
      <c r="B1515" s="64">
        <f>IFERROR(__xludf.DUMMYFUNCTION("""COMPUTED_VALUE"""),44633.0)</f>
        <v>44633</v>
      </c>
      <c r="C1515" s="5"/>
      <c r="D1515" s="5"/>
      <c r="E1515" s="5"/>
      <c r="F1515" s="22">
        <f>IFERROR(__xludf.DUMMYFUNCTION("""COMPUTED_VALUE"""),500000.0)</f>
        <v>500000</v>
      </c>
      <c r="G1515" s="22">
        <f>IFERROR(__xludf.DUMMYFUNCTION("""COMPUTED_VALUE"""),0.0)</f>
        <v>0</v>
      </c>
      <c r="H1515" s="22">
        <f>IFERROR(__xludf.DUMMYFUNCTION("""COMPUTED_VALUE"""),483800.0)</f>
        <v>483800</v>
      </c>
      <c r="I1515" s="24">
        <f>IFERROR(__xludf.DUMMYFUNCTION("""COMPUTED_VALUE"""),-0.032399999999999984)</f>
        <v>-0.0324</v>
      </c>
    </row>
    <row r="1516">
      <c r="A1516" s="5" t="str">
        <f>IFERROR(__xludf.DUMMYFUNCTION("""COMPUTED_VALUE"""),"37649")</f>
        <v>37649</v>
      </c>
      <c r="B1516" s="64">
        <f>IFERROR(__xludf.DUMMYFUNCTION("""COMPUTED_VALUE"""),44634.0)</f>
        <v>44634</v>
      </c>
      <c r="C1516" s="5"/>
      <c r="D1516" s="5"/>
      <c r="E1516" s="5"/>
      <c r="F1516" s="22">
        <f>IFERROR(__xludf.DUMMYFUNCTION("""COMPUTED_VALUE"""),500000.0)</f>
        <v>500000</v>
      </c>
      <c r="G1516" s="22">
        <f>IFERROR(__xludf.DUMMYFUNCTION("""COMPUTED_VALUE"""),0.0)</f>
        <v>0</v>
      </c>
      <c r="H1516" s="22">
        <f>IFERROR(__xludf.DUMMYFUNCTION("""COMPUTED_VALUE"""),475400.0)</f>
        <v>475400</v>
      </c>
      <c r="I1516" s="24">
        <f>IFERROR(__xludf.DUMMYFUNCTION("""COMPUTED_VALUE"""),-0.04920000000000002)</f>
        <v>-0.0492</v>
      </c>
    </row>
    <row r="1517">
      <c r="A1517" s="5" t="str">
        <f>IFERROR(__xludf.DUMMYFUNCTION("""COMPUTED_VALUE"""),"37649")</f>
        <v>37649</v>
      </c>
      <c r="B1517" s="64">
        <f>IFERROR(__xludf.DUMMYFUNCTION("""COMPUTED_VALUE"""),44635.0)</f>
        <v>44635</v>
      </c>
      <c r="C1517" s="5"/>
      <c r="D1517" s="5"/>
      <c r="E1517" s="5"/>
      <c r="F1517" s="22">
        <f>IFERROR(__xludf.DUMMYFUNCTION("""COMPUTED_VALUE"""),500000.0)</f>
        <v>500000</v>
      </c>
      <c r="G1517" s="22">
        <f>IFERROR(__xludf.DUMMYFUNCTION("""COMPUTED_VALUE"""),0.0)</f>
        <v>0</v>
      </c>
      <c r="H1517" s="22">
        <f>IFERROR(__xludf.DUMMYFUNCTION("""COMPUTED_VALUE"""),465200.0)</f>
        <v>465200</v>
      </c>
      <c r="I1517" s="24">
        <f>IFERROR(__xludf.DUMMYFUNCTION("""COMPUTED_VALUE"""),-0.0696)</f>
        <v>-0.0696</v>
      </c>
    </row>
    <row r="1518">
      <c r="A1518" s="5" t="str">
        <f>IFERROR(__xludf.DUMMYFUNCTION("""COMPUTED_VALUE"""),"37649")</f>
        <v>37649</v>
      </c>
      <c r="B1518" s="64">
        <f>IFERROR(__xludf.DUMMYFUNCTION("""COMPUTED_VALUE"""),44636.0)</f>
        <v>44636</v>
      </c>
      <c r="C1518" s="5"/>
      <c r="D1518" s="5"/>
      <c r="E1518" s="5"/>
      <c r="F1518" s="22">
        <f>IFERROR(__xludf.DUMMYFUNCTION("""COMPUTED_VALUE"""),500000.0)</f>
        <v>500000</v>
      </c>
      <c r="G1518" s="22">
        <f>IFERROR(__xludf.DUMMYFUNCTION("""COMPUTED_VALUE"""),0.0)</f>
        <v>0</v>
      </c>
      <c r="H1518" s="22">
        <f>IFERROR(__xludf.DUMMYFUNCTION("""COMPUTED_VALUE"""),480000.0)</f>
        <v>480000</v>
      </c>
      <c r="I1518" s="24">
        <f>IFERROR(__xludf.DUMMYFUNCTION("""COMPUTED_VALUE"""),-0.040000000000000036)</f>
        <v>-0.04</v>
      </c>
    </row>
    <row r="1519">
      <c r="A1519" s="5" t="str">
        <f>IFERROR(__xludf.DUMMYFUNCTION("""COMPUTED_VALUE"""),"37649")</f>
        <v>37649</v>
      </c>
      <c r="B1519" s="64">
        <f>IFERROR(__xludf.DUMMYFUNCTION("""COMPUTED_VALUE"""),44637.0)</f>
        <v>44637</v>
      </c>
      <c r="C1519" s="5"/>
      <c r="D1519" s="5"/>
      <c r="E1519" s="5"/>
      <c r="F1519" s="22">
        <f>IFERROR(__xludf.DUMMYFUNCTION("""COMPUTED_VALUE"""),500000.0)</f>
        <v>500000</v>
      </c>
      <c r="G1519" s="22">
        <f>IFERROR(__xludf.DUMMYFUNCTION("""COMPUTED_VALUE"""),0.0)</f>
        <v>0</v>
      </c>
      <c r="H1519" s="22">
        <f>IFERROR(__xludf.DUMMYFUNCTION("""COMPUTED_VALUE"""),491600.0)</f>
        <v>491600</v>
      </c>
      <c r="I1519" s="24">
        <f>IFERROR(__xludf.DUMMYFUNCTION("""COMPUTED_VALUE"""),-0.016800000000000037)</f>
        <v>-0.0168</v>
      </c>
    </row>
    <row r="1520">
      <c r="A1520" s="5" t="str">
        <f>IFERROR(__xludf.DUMMYFUNCTION("""COMPUTED_VALUE"""),"37649")</f>
        <v>37649</v>
      </c>
      <c r="B1520" s="64">
        <f>IFERROR(__xludf.DUMMYFUNCTION("""COMPUTED_VALUE"""),44638.0)</f>
        <v>44638</v>
      </c>
      <c r="C1520" s="5"/>
      <c r="D1520" s="5"/>
      <c r="E1520" s="5"/>
      <c r="F1520" s="22">
        <f>IFERROR(__xludf.DUMMYFUNCTION("""COMPUTED_VALUE"""),500000.0)</f>
        <v>500000</v>
      </c>
      <c r="G1520" s="22">
        <f>IFERROR(__xludf.DUMMYFUNCTION("""COMPUTED_VALUE"""),0.0)</f>
        <v>0</v>
      </c>
      <c r="H1520" s="22">
        <f>IFERROR(__xludf.DUMMYFUNCTION("""COMPUTED_VALUE"""),490000.0)</f>
        <v>490000</v>
      </c>
      <c r="I1520" s="24">
        <f>IFERROR(__xludf.DUMMYFUNCTION("""COMPUTED_VALUE"""),-0.020000000000000018)</f>
        <v>-0.02</v>
      </c>
    </row>
    <row r="1521">
      <c r="A1521" s="5" t="str">
        <f>IFERROR(__xludf.DUMMYFUNCTION("""COMPUTED_VALUE"""),"37649")</f>
        <v>37649</v>
      </c>
      <c r="B1521" s="64">
        <f>IFERROR(__xludf.DUMMYFUNCTION("""COMPUTED_VALUE"""),44639.0)</f>
        <v>44639</v>
      </c>
      <c r="C1521" s="5"/>
      <c r="D1521" s="5"/>
      <c r="E1521" s="5"/>
      <c r="F1521" s="22">
        <f>IFERROR(__xludf.DUMMYFUNCTION("""COMPUTED_VALUE"""),500000.0)</f>
        <v>500000</v>
      </c>
      <c r="G1521" s="22">
        <f>IFERROR(__xludf.DUMMYFUNCTION("""COMPUTED_VALUE"""),0.0)</f>
        <v>0</v>
      </c>
      <c r="H1521" s="22">
        <f>IFERROR(__xludf.DUMMYFUNCTION("""COMPUTED_VALUE"""),490000.0)</f>
        <v>490000</v>
      </c>
      <c r="I1521" s="24">
        <f>IFERROR(__xludf.DUMMYFUNCTION("""COMPUTED_VALUE"""),-0.020000000000000018)</f>
        <v>-0.02</v>
      </c>
    </row>
    <row r="1522">
      <c r="A1522" s="5" t="str">
        <f>IFERROR(__xludf.DUMMYFUNCTION("""COMPUTED_VALUE"""),"37649")</f>
        <v>37649</v>
      </c>
      <c r="B1522" s="64">
        <f>IFERROR(__xludf.DUMMYFUNCTION("""COMPUTED_VALUE"""),44640.0)</f>
        <v>44640</v>
      </c>
      <c r="C1522" s="5"/>
      <c r="D1522" s="5"/>
      <c r="E1522" s="5"/>
      <c r="F1522" s="22">
        <f>IFERROR(__xludf.DUMMYFUNCTION("""COMPUTED_VALUE"""),500000.0)</f>
        <v>500000</v>
      </c>
      <c r="G1522" s="22">
        <f>IFERROR(__xludf.DUMMYFUNCTION("""COMPUTED_VALUE"""),0.0)</f>
        <v>0</v>
      </c>
      <c r="H1522" s="22">
        <f>IFERROR(__xludf.DUMMYFUNCTION("""COMPUTED_VALUE"""),490000.0)</f>
        <v>490000</v>
      </c>
      <c r="I1522" s="24">
        <f>IFERROR(__xludf.DUMMYFUNCTION("""COMPUTED_VALUE"""),-0.020000000000000018)</f>
        <v>-0.02</v>
      </c>
    </row>
    <row r="1523">
      <c r="A1523" s="5" t="str">
        <f>IFERROR(__xludf.DUMMYFUNCTION("""COMPUTED_VALUE"""),"37649")</f>
        <v>37649</v>
      </c>
      <c r="B1523" s="64">
        <f>IFERROR(__xludf.DUMMYFUNCTION("""COMPUTED_VALUE"""),44641.0)</f>
        <v>44641</v>
      </c>
      <c r="C1523" s="5"/>
      <c r="D1523" s="5"/>
      <c r="E1523" s="5"/>
      <c r="F1523" s="22">
        <f>IFERROR(__xludf.DUMMYFUNCTION("""COMPUTED_VALUE"""),500000.0)</f>
        <v>500000</v>
      </c>
      <c r="G1523" s="22">
        <f>IFERROR(__xludf.DUMMYFUNCTION("""COMPUTED_VALUE"""),0.0)</f>
        <v>0</v>
      </c>
      <c r="H1523" s="22">
        <f>IFERROR(__xludf.DUMMYFUNCTION("""COMPUTED_VALUE"""),490000.0)</f>
        <v>490000</v>
      </c>
      <c r="I1523" s="24">
        <f>IFERROR(__xludf.DUMMYFUNCTION("""COMPUTED_VALUE"""),-0.020000000000000018)</f>
        <v>-0.02</v>
      </c>
    </row>
    <row r="1524">
      <c r="A1524" s="5" t="str">
        <f>IFERROR(__xludf.DUMMYFUNCTION("""COMPUTED_VALUE"""),"37649")</f>
        <v>37649</v>
      </c>
      <c r="B1524" s="64">
        <f>IFERROR(__xludf.DUMMYFUNCTION("""COMPUTED_VALUE"""),44642.0)</f>
        <v>44642</v>
      </c>
      <c r="C1524" s="5"/>
      <c r="D1524" s="5"/>
      <c r="E1524" s="5"/>
      <c r="F1524" s="22">
        <f>IFERROR(__xludf.DUMMYFUNCTION("""COMPUTED_VALUE"""),500000.0)</f>
        <v>500000</v>
      </c>
      <c r="G1524" s="22">
        <f>IFERROR(__xludf.DUMMYFUNCTION("""COMPUTED_VALUE"""),0.0)</f>
        <v>0</v>
      </c>
      <c r="H1524" s="22">
        <f>IFERROR(__xludf.DUMMYFUNCTION("""COMPUTED_VALUE"""),490000.0)</f>
        <v>490000</v>
      </c>
      <c r="I1524" s="24">
        <f>IFERROR(__xludf.DUMMYFUNCTION("""COMPUTED_VALUE"""),-0.020000000000000018)</f>
        <v>-0.02</v>
      </c>
    </row>
    <row r="1525">
      <c r="A1525" s="5" t="str">
        <f>IFERROR(__xludf.DUMMYFUNCTION("""COMPUTED_VALUE"""),"37649")</f>
        <v>37649</v>
      </c>
      <c r="B1525" s="64">
        <f>IFERROR(__xludf.DUMMYFUNCTION("""COMPUTED_VALUE"""),44643.0)</f>
        <v>44643</v>
      </c>
      <c r="C1525" s="5"/>
      <c r="D1525" s="5"/>
      <c r="E1525" s="5"/>
      <c r="F1525" s="22">
        <f>IFERROR(__xludf.DUMMYFUNCTION("""COMPUTED_VALUE"""),500000.0)</f>
        <v>500000</v>
      </c>
      <c r="G1525" s="22">
        <f>IFERROR(__xludf.DUMMYFUNCTION("""COMPUTED_VALUE"""),0.0)</f>
        <v>0</v>
      </c>
      <c r="H1525" s="22">
        <f>IFERROR(__xludf.DUMMYFUNCTION("""COMPUTED_VALUE"""),490000.0)</f>
        <v>490000</v>
      </c>
      <c r="I1525" s="24">
        <f>IFERROR(__xludf.DUMMYFUNCTION("""COMPUTED_VALUE"""),-0.020000000000000018)</f>
        <v>-0.02</v>
      </c>
    </row>
    <row r="1526">
      <c r="A1526" s="5" t="str">
        <f>IFERROR(__xludf.DUMMYFUNCTION("""COMPUTED_VALUE"""),"37649")</f>
        <v>37649</v>
      </c>
      <c r="B1526" s="64">
        <f>IFERROR(__xludf.DUMMYFUNCTION("""COMPUTED_VALUE"""),44644.0)</f>
        <v>44644</v>
      </c>
      <c r="C1526" s="5"/>
      <c r="D1526" s="5"/>
      <c r="E1526" s="5"/>
      <c r="F1526" s="22">
        <f>IFERROR(__xludf.DUMMYFUNCTION("""COMPUTED_VALUE"""),500000.0)</f>
        <v>500000</v>
      </c>
      <c r="G1526" s="22">
        <f>IFERROR(__xludf.DUMMYFUNCTION("""COMPUTED_VALUE"""),0.0)</f>
        <v>0</v>
      </c>
      <c r="H1526" s="22">
        <f>IFERROR(__xludf.DUMMYFUNCTION("""COMPUTED_VALUE"""),490000.0)</f>
        <v>490000</v>
      </c>
      <c r="I1526" s="24">
        <f>IFERROR(__xludf.DUMMYFUNCTION("""COMPUTED_VALUE"""),-0.020000000000000018)</f>
        <v>-0.02</v>
      </c>
    </row>
    <row r="1527">
      <c r="A1527" s="5" t="str">
        <f>IFERROR(__xludf.DUMMYFUNCTION("""COMPUTED_VALUE"""),"37649")</f>
        <v>37649</v>
      </c>
      <c r="B1527" s="64">
        <f>IFERROR(__xludf.DUMMYFUNCTION("""COMPUTED_VALUE"""),44645.0)</f>
        <v>44645</v>
      </c>
      <c r="C1527" s="5"/>
      <c r="D1527" s="5"/>
      <c r="E1527" s="5"/>
      <c r="F1527" s="22">
        <f>IFERROR(__xludf.DUMMYFUNCTION("""COMPUTED_VALUE"""),500000.0)</f>
        <v>500000</v>
      </c>
      <c r="G1527" s="22">
        <f>IFERROR(__xludf.DUMMYFUNCTION("""COMPUTED_VALUE"""),0.0)</f>
        <v>0</v>
      </c>
      <c r="H1527" s="22">
        <f>IFERROR(__xludf.DUMMYFUNCTION("""COMPUTED_VALUE"""),490000.0)</f>
        <v>490000</v>
      </c>
      <c r="I1527" s="24">
        <f>IFERROR(__xludf.DUMMYFUNCTION("""COMPUTED_VALUE"""),-0.020000000000000018)</f>
        <v>-0.02</v>
      </c>
    </row>
    <row r="1528">
      <c r="A1528" s="5" t="str">
        <f>IFERROR(__xludf.DUMMYFUNCTION("""COMPUTED_VALUE"""),"37649")</f>
        <v>37649</v>
      </c>
      <c r="B1528" s="64">
        <f>IFERROR(__xludf.DUMMYFUNCTION("""COMPUTED_VALUE"""),44646.0)</f>
        <v>44646</v>
      </c>
      <c r="C1528" s="5"/>
      <c r="D1528" s="5"/>
      <c r="E1528" s="5"/>
      <c r="F1528" s="22">
        <f>IFERROR(__xludf.DUMMYFUNCTION("""COMPUTED_VALUE"""),500000.0)</f>
        <v>500000</v>
      </c>
      <c r="G1528" s="22">
        <f>IFERROR(__xludf.DUMMYFUNCTION("""COMPUTED_VALUE"""),0.0)</f>
        <v>0</v>
      </c>
      <c r="H1528" s="22">
        <f>IFERROR(__xludf.DUMMYFUNCTION("""COMPUTED_VALUE"""),490000.0)</f>
        <v>490000</v>
      </c>
      <c r="I1528" s="24">
        <f>IFERROR(__xludf.DUMMYFUNCTION("""COMPUTED_VALUE"""),-0.020000000000000018)</f>
        <v>-0.02</v>
      </c>
    </row>
    <row r="1529">
      <c r="A1529" s="5" t="str">
        <f>IFERROR(__xludf.DUMMYFUNCTION("""COMPUTED_VALUE"""),"37649")</f>
        <v>37649</v>
      </c>
      <c r="B1529" s="64">
        <f>IFERROR(__xludf.DUMMYFUNCTION("""COMPUTED_VALUE"""),44647.0)</f>
        <v>44647</v>
      </c>
      <c r="C1529" s="5"/>
      <c r="D1529" s="5"/>
      <c r="E1529" s="5"/>
      <c r="F1529" s="22">
        <f>IFERROR(__xludf.DUMMYFUNCTION("""COMPUTED_VALUE"""),500000.0)</f>
        <v>500000</v>
      </c>
      <c r="G1529" s="22">
        <f>IFERROR(__xludf.DUMMYFUNCTION("""COMPUTED_VALUE"""),0.0)</f>
        <v>0</v>
      </c>
      <c r="H1529" s="22">
        <f>IFERROR(__xludf.DUMMYFUNCTION("""COMPUTED_VALUE"""),490000.0)</f>
        <v>490000</v>
      </c>
      <c r="I1529" s="24">
        <f>IFERROR(__xludf.DUMMYFUNCTION("""COMPUTED_VALUE"""),-0.020000000000000018)</f>
        <v>-0.02</v>
      </c>
    </row>
    <row r="1530">
      <c r="A1530" s="5" t="str">
        <f>IFERROR(__xludf.DUMMYFUNCTION("""COMPUTED_VALUE"""),"37649")</f>
        <v>37649</v>
      </c>
      <c r="B1530" s="64">
        <f>IFERROR(__xludf.DUMMYFUNCTION("""COMPUTED_VALUE"""),44648.0)</f>
        <v>44648</v>
      </c>
      <c r="C1530" s="5"/>
      <c r="D1530" s="5"/>
      <c r="E1530" s="5"/>
      <c r="F1530" s="22">
        <f>IFERROR(__xludf.DUMMYFUNCTION("""COMPUTED_VALUE"""),420501.52315)</f>
        <v>420501.5232</v>
      </c>
      <c r="G1530" s="22">
        <f>IFERROR(__xludf.DUMMYFUNCTION("""COMPUTED_VALUE"""),0.0)</f>
        <v>0</v>
      </c>
      <c r="H1530" s="22">
        <f>IFERROR(__xludf.DUMMYFUNCTION("""COMPUTED_VALUE"""),490000.0)</f>
        <v>490000</v>
      </c>
      <c r="I1530" s="24">
        <f>IFERROR(__xludf.DUMMYFUNCTION("""COMPUTED_VALUE"""),-0.020000000000000018)</f>
        <v>-0.02</v>
      </c>
    </row>
    <row r="1531">
      <c r="A1531" s="5" t="str">
        <f>IFERROR(__xludf.DUMMYFUNCTION("""COMPUTED_VALUE"""),"37649")</f>
        <v>37649</v>
      </c>
      <c r="B1531" s="64">
        <f>IFERROR(__xludf.DUMMYFUNCTION("""COMPUTED_VALUE"""),44649.0)</f>
        <v>44649</v>
      </c>
      <c r="C1531" s="5"/>
      <c r="D1531" s="5"/>
      <c r="E1531" s="5"/>
      <c r="F1531" s="22">
        <f>IFERROR(__xludf.DUMMYFUNCTION("""COMPUTED_VALUE"""),420501.52315)</f>
        <v>420501.5232</v>
      </c>
      <c r="G1531" s="22">
        <f>IFERROR(__xludf.DUMMYFUNCTION("""COMPUTED_VALUE"""),0.0)</f>
        <v>0</v>
      </c>
      <c r="H1531" s="22">
        <f>IFERROR(__xludf.DUMMYFUNCTION("""COMPUTED_VALUE"""),492794.97085)</f>
        <v>492794.9709</v>
      </c>
      <c r="I1531" s="24">
        <f>IFERROR(__xludf.DUMMYFUNCTION("""COMPUTED_VALUE"""),-0.014410058300000084)</f>
        <v>-0.0144100583</v>
      </c>
    </row>
    <row r="1532">
      <c r="A1532" s="5" t="str">
        <f>IFERROR(__xludf.DUMMYFUNCTION("""COMPUTED_VALUE"""),"37649")</f>
        <v>37649</v>
      </c>
      <c r="B1532" s="64">
        <f>IFERROR(__xludf.DUMMYFUNCTION("""COMPUTED_VALUE"""),44650.0)</f>
        <v>44650</v>
      </c>
      <c r="C1532" s="5"/>
      <c r="D1532" s="5"/>
      <c r="E1532" s="5"/>
      <c r="F1532" s="22">
        <f>IFERROR(__xludf.DUMMYFUNCTION("""COMPUTED_VALUE"""),420501.52315)</f>
        <v>420501.5232</v>
      </c>
      <c r="G1532" s="22">
        <f>IFERROR(__xludf.DUMMYFUNCTION("""COMPUTED_VALUE"""),0.0)</f>
        <v>0</v>
      </c>
      <c r="H1532" s="22">
        <f>IFERROR(__xludf.DUMMYFUNCTION("""COMPUTED_VALUE"""),492548.355775)</f>
        <v>492548.3558</v>
      </c>
      <c r="I1532" s="24">
        <f>IFERROR(__xludf.DUMMYFUNCTION("""COMPUTED_VALUE"""),-0.014903288449999996)</f>
        <v>-0.01490328845</v>
      </c>
    </row>
    <row r="1533">
      <c r="A1533" s="5" t="str">
        <f>IFERROR(__xludf.DUMMYFUNCTION("""COMPUTED_VALUE"""),"37649")</f>
        <v>37649</v>
      </c>
      <c r="B1533" s="64">
        <f>IFERROR(__xludf.DUMMYFUNCTION("""COMPUTED_VALUE"""),44651.0)</f>
        <v>44651</v>
      </c>
      <c r="C1533" s="5"/>
      <c r="D1533" s="5"/>
      <c r="E1533" s="5"/>
      <c r="F1533" s="22">
        <f>IFERROR(__xludf.DUMMYFUNCTION("""COMPUTED_VALUE"""),420501.52315)</f>
        <v>420501.5232</v>
      </c>
      <c r="G1533" s="22">
        <f>IFERROR(__xludf.DUMMYFUNCTION("""COMPUTED_VALUE"""),0.0)</f>
        <v>0</v>
      </c>
      <c r="H1533" s="22">
        <f>IFERROR(__xludf.DUMMYFUNCTION("""COMPUTED_VALUE"""),489870.820675)</f>
        <v>489870.8207</v>
      </c>
      <c r="I1533" s="24">
        <f>IFERROR(__xludf.DUMMYFUNCTION("""COMPUTED_VALUE"""),-0.02025835864999992)</f>
        <v>-0.02025835865</v>
      </c>
    </row>
    <row r="1534">
      <c r="A1534" s="5" t="str">
        <f>IFERROR(__xludf.DUMMYFUNCTION("""COMPUTED_VALUE"""),"37649")</f>
        <v>37649</v>
      </c>
      <c r="B1534" s="64">
        <f>IFERROR(__xludf.DUMMYFUNCTION("""COMPUTED_VALUE"""),44652.0)</f>
        <v>44652</v>
      </c>
      <c r="C1534" s="5"/>
      <c r="D1534" s="5"/>
      <c r="E1534" s="5"/>
      <c r="F1534" s="22">
        <f>IFERROR(__xludf.DUMMYFUNCTION("""COMPUTED_VALUE"""),420501.52315)</f>
        <v>420501.5232</v>
      </c>
      <c r="G1534" s="22">
        <f>IFERROR(__xludf.DUMMYFUNCTION("""COMPUTED_VALUE"""),0.0)</f>
        <v>0</v>
      </c>
      <c r="H1534" s="22">
        <f>IFERROR(__xludf.DUMMYFUNCTION("""COMPUTED_VALUE"""),491209.588225)</f>
        <v>491209.5882</v>
      </c>
      <c r="I1534" s="24">
        <f>IFERROR(__xludf.DUMMYFUNCTION("""COMPUTED_VALUE"""),-0.017580823550000013)</f>
        <v>-0.01758082355</v>
      </c>
    </row>
    <row r="1535">
      <c r="A1535" s="5" t="str">
        <f>IFERROR(__xludf.DUMMYFUNCTION("""COMPUTED_VALUE"""),"37649")</f>
        <v>37649</v>
      </c>
      <c r="B1535" s="64">
        <f>IFERROR(__xludf.DUMMYFUNCTION("""COMPUTED_VALUE"""),44653.0)</f>
        <v>44653</v>
      </c>
      <c r="C1535" s="5"/>
      <c r="D1535" s="5"/>
      <c r="E1535" s="5"/>
      <c r="F1535" s="22">
        <f>IFERROR(__xludf.DUMMYFUNCTION("""COMPUTED_VALUE"""),420501.52315)</f>
        <v>420501.5232</v>
      </c>
      <c r="G1535" s="22">
        <f>IFERROR(__xludf.DUMMYFUNCTION("""COMPUTED_VALUE"""),0.0)</f>
        <v>0</v>
      </c>
      <c r="H1535" s="22">
        <f>IFERROR(__xludf.DUMMYFUNCTION("""COMPUTED_VALUE"""),491209.588225)</f>
        <v>491209.5882</v>
      </c>
      <c r="I1535" s="24">
        <f>IFERROR(__xludf.DUMMYFUNCTION("""COMPUTED_VALUE"""),-0.017580823550000013)</f>
        <v>-0.01758082355</v>
      </c>
    </row>
    <row r="1536">
      <c r="A1536" s="5" t="str">
        <f>IFERROR(__xludf.DUMMYFUNCTION("""COMPUTED_VALUE"""),"37649")</f>
        <v>37649</v>
      </c>
      <c r="B1536" s="64">
        <f>IFERROR(__xludf.DUMMYFUNCTION("""COMPUTED_VALUE"""),44654.0)</f>
        <v>44654</v>
      </c>
      <c r="C1536" s="5"/>
      <c r="D1536" s="5"/>
      <c r="E1536" s="5"/>
      <c r="F1536" s="22">
        <f>IFERROR(__xludf.DUMMYFUNCTION("""COMPUTED_VALUE"""),420501.52315)</f>
        <v>420501.5232</v>
      </c>
      <c r="G1536" s="22">
        <f>IFERROR(__xludf.DUMMYFUNCTION("""COMPUTED_VALUE"""),0.0)</f>
        <v>0</v>
      </c>
      <c r="H1536" s="22">
        <f>IFERROR(__xludf.DUMMYFUNCTION("""COMPUTED_VALUE"""),491209.588225)</f>
        <v>491209.5882</v>
      </c>
      <c r="I1536" s="24">
        <f>IFERROR(__xludf.DUMMYFUNCTION("""COMPUTED_VALUE"""),-0.017580823550000013)</f>
        <v>-0.01758082355</v>
      </c>
    </row>
    <row r="1537">
      <c r="A1537" s="5" t="str">
        <f>IFERROR(__xludf.DUMMYFUNCTION("""COMPUTED_VALUE"""),"37649")</f>
        <v>37649</v>
      </c>
      <c r="B1537" s="64">
        <f>IFERROR(__xludf.DUMMYFUNCTION("""COMPUTED_VALUE"""),44655.0)</f>
        <v>44655</v>
      </c>
      <c r="C1537" s="5"/>
      <c r="D1537" s="5"/>
      <c r="E1537" s="5"/>
      <c r="F1537" s="22">
        <f>IFERROR(__xludf.DUMMYFUNCTION("""COMPUTED_VALUE"""),420501.52315)</f>
        <v>420501.5232</v>
      </c>
      <c r="G1537" s="22">
        <f>IFERROR(__xludf.DUMMYFUNCTION("""COMPUTED_VALUE"""),0.0)</f>
        <v>0</v>
      </c>
      <c r="H1537" s="22">
        <f>IFERROR(__xludf.DUMMYFUNCTION("""COMPUTED_VALUE"""),498998.52615)</f>
        <v>498998.5262</v>
      </c>
      <c r="I1537" s="24">
        <f>IFERROR(__xludf.DUMMYFUNCTION("""COMPUTED_VALUE"""),-0.0020029476999999796)</f>
        <v>-0.0020029477</v>
      </c>
    </row>
    <row r="1538">
      <c r="A1538" s="5" t="str">
        <f>IFERROR(__xludf.DUMMYFUNCTION("""COMPUTED_VALUE"""),"37649")</f>
        <v>37649</v>
      </c>
      <c r="B1538" s="64">
        <f>IFERROR(__xludf.DUMMYFUNCTION("""COMPUTED_VALUE"""),44656.0)</f>
        <v>44656</v>
      </c>
      <c r="C1538" s="5"/>
      <c r="D1538" s="5"/>
      <c r="E1538" s="5"/>
      <c r="F1538" s="22">
        <f>IFERROR(__xludf.DUMMYFUNCTION("""COMPUTED_VALUE"""),420501.52315)</f>
        <v>420501.5232</v>
      </c>
      <c r="G1538" s="22">
        <f>IFERROR(__xludf.DUMMYFUNCTION("""COMPUTED_VALUE"""),0.0)</f>
        <v>0</v>
      </c>
      <c r="H1538" s="22">
        <f>IFERROR(__xludf.DUMMYFUNCTION("""COMPUTED_VALUE"""),497550.1519)</f>
        <v>497550.1519</v>
      </c>
      <c r="I1538" s="24">
        <f>IFERROR(__xludf.DUMMYFUNCTION("""COMPUTED_VALUE"""),-0.00489969619999997)</f>
        <v>-0.0048996962</v>
      </c>
    </row>
    <row r="1539">
      <c r="A1539" s="5" t="str">
        <f>IFERROR(__xludf.DUMMYFUNCTION("""COMPUTED_VALUE"""),"37649")</f>
        <v>37649</v>
      </c>
      <c r="B1539" s="64">
        <f>IFERROR(__xludf.DUMMYFUNCTION("""COMPUTED_VALUE"""),44657.0)</f>
        <v>44657</v>
      </c>
      <c r="C1539" s="5"/>
      <c r="D1539" s="5"/>
      <c r="E1539" s="5"/>
      <c r="F1539" s="22">
        <f>IFERROR(__xludf.DUMMYFUNCTION("""COMPUTED_VALUE"""),420501.52315)</f>
        <v>420501.5232</v>
      </c>
      <c r="G1539" s="22">
        <f>IFERROR(__xludf.DUMMYFUNCTION("""COMPUTED_VALUE"""),0.0)</f>
        <v>0</v>
      </c>
      <c r="H1539" s="22">
        <f>IFERROR(__xludf.DUMMYFUNCTION("""COMPUTED_VALUE"""),487738.59717500006)</f>
        <v>487738.5972</v>
      </c>
      <c r="I1539" s="24">
        <f>IFERROR(__xludf.DUMMYFUNCTION("""COMPUTED_VALUE"""),-0.024522805649999868)</f>
        <v>-0.02452280565</v>
      </c>
    </row>
    <row r="1540">
      <c r="A1540" s="5" t="str">
        <f>IFERROR(__xludf.DUMMYFUNCTION("""COMPUTED_VALUE"""),"37649")</f>
        <v>37649</v>
      </c>
      <c r="B1540" s="64">
        <f>IFERROR(__xludf.DUMMYFUNCTION("""COMPUTED_VALUE"""),44658.0)</f>
        <v>44658</v>
      </c>
      <c r="C1540" s="5"/>
      <c r="D1540" s="5"/>
      <c r="E1540" s="5"/>
      <c r="F1540" s="22">
        <f>IFERROR(__xludf.DUMMYFUNCTION("""COMPUTED_VALUE"""),420501.52315)</f>
        <v>420501.5232</v>
      </c>
      <c r="G1540" s="22">
        <f>IFERROR(__xludf.DUMMYFUNCTION("""COMPUTED_VALUE"""),0.0)</f>
        <v>0</v>
      </c>
      <c r="H1540" s="22">
        <f>IFERROR(__xludf.DUMMYFUNCTION("""COMPUTED_VALUE"""),483923.29829999997)</f>
        <v>483923.2983</v>
      </c>
      <c r="I1540" s="24">
        <f>IFERROR(__xludf.DUMMYFUNCTION("""COMPUTED_VALUE"""),-0.03215340340000006)</f>
        <v>-0.0321534034</v>
      </c>
    </row>
    <row r="1541">
      <c r="A1541" s="5" t="str">
        <f>IFERROR(__xludf.DUMMYFUNCTION("""COMPUTED_VALUE"""),"37649")</f>
        <v>37649</v>
      </c>
      <c r="B1541" s="64">
        <f>IFERROR(__xludf.DUMMYFUNCTION("""COMPUTED_VALUE"""),44659.0)</f>
        <v>44659</v>
      </c>
      <c r="C1541" s="5"/>
      <c r="D1541" s="5"/>
      <c r="E1541" s="5"/>
      <c r="F1541" s="22">
        <f>IFERROR(__xludf.DUMMYFUNCTION("""COMPUTED_VALUE"""),420501.52315)</f>
        <v>420501.5232</v>
      </c>
      <c r="G1541" s="22">
        <f>IFERROR(__xludf.DUMMYFUNCTION("""COMPUTED_VALUE"""),0.0)</f>
        <v>0</v>
      </c>
      <c r="H1541" s="22">
        <f>IFERROR(__xludf.DUMMYFUNCTION("""COMPUTED_VALUE"""),481294.83742500003)</f>
        <v>481294.8374</v>
      </c>
      <c r="I1541" s="24">
        <f>IFERROR(__xludf.DUMMYFUNCTION("""COMPUTED_VALUE"""),-0.03741032514999998)</f>
        <v>-0.03741032515</v>
      </c>
    </row>
    <row r="1542">
      <c r="A1542" s="5" t="str">
        <f>IFERROR(__xludf.DUMMYFUNCTION("""COMPUTED_VALUE"""),"37649")</f>
        <v>37649</v>
      </c>
      <c r="B1542" s="64">
        <f>IFERROR(__xludf.DUMMYFUNCTION("""COMPUTED_VALUE"""),44660.0)</f>
        <v>44660</v>
      </c>
      <c r="C1542" s="5"/>
      <c r="D1542" s="5"/>
      <c r="E1542" s="5"/>
      <c r="F1542" s="22">
        <f>IFERROR(__xludf.DUMMYFUNCTION("""COMPUTED_VALUE"""),420501.52315)</f>
        <v>420501.5232</v>
      </c>
      <c r="G1542" s="22">
        <f>IFERROR(__xludf.DUMMYFUNCTION("""COMPUTED_VALUE"""),0.0)</f>
        <v>0</v>
      </c>
      <c r="H1542" s="22">
        <f>IFERROR(__xludf.DUMMYFUNCTION("""COMPUTED_VALUE"""),481294.83742500003)</f>
        <v>481294.8374</v>
      </c>
      <c r="I1542" s="24">
        <f>IFERROR(__xludf.DUMMYFUNCTION("""COMPUTED_VALUE"""),-0.03741032514999998)</f>
        <v>-0.03741032515</v>
      </c>
    </row>
    <row r="1543">
      <c r="A1543" s="5" t="str">
        <f>IFERROR(__xludf.DUMMYFUNCTION("""COMPUTED_VALUE"""),"37649")</f>
        <v>37649</v>
      </c>
      <c r="B1543" s="64">
        <f>IFERROR(__xludf.DUMMYFUNCTION("""COMPUTED_VALUE"""),44661.0)</f>
        <v>44661</v>
      </c>
      <c r="C1543" s="5"/>
      <c r="D1543" s="5"/>
      <c r="E1543" s="5"/>
      <c r="F1543" s="22">
        <f>IFERROR(__xludf.DUMMYFUNCTION("""COMPUTED_VALUE"""),420501.52315)</f>
        <v>420501.5232</v>
      </c>
      <c r="G1543" s="22">
        <f>IFERROR(__xludf.DUMMYFUNCTION("""COMPUTED_VALUE"""),0.0)</f>
        <v>0</v>
      </c>
      <c r="H1543" s="22">
        <f>IFERROR(__xludf.DUMMYFUNCTION("""COMPUTED_VALUE"""),481294.83742500003)</f>
        <v>481294.8374</v>
      </c>
      <c r="I1543" s="24">
        <f>IFERROR(__xludf.DUMMYFUNCTION("""COMPUTED_VALUE"""),-0.03741032514999998)</f>
        <v>-0.03741032515</v>
      </c>
    </row>
    <row r="1544">
      <c r="A1544" s="5" t="str">
        <f>IFERROR(__xludf.DUMMYFUNCTION("""COMPUTED_VALUE"""),"37649")</f>
        <v>37649</v>
      </c>
      <c r="B1544" s="64">
        <f>IFERROR(__xludf.DUMMYFUNCTION("""COMPUTED_VALUE"""),44662.0)</f>
        <v>44662</v>
      </c>
      <c r="C1544" s="5"/>
      <c r="D1544" s="5"/>
      <c r="E1544" s="5"/>
      <c r="F1544" s="22">
        <f>IFERROR(__xludf.DUMMYFUNCTION("""COMPUTED_VALUE"""),420501.52315)</f>
        <v>420501.5232</v>
      </c>
      <c r="G1544" s="22">
        <f>IFERROR(__xludf.DUMMYFUNCTION("""COMPUTED_VALUE"""),0.0)</f>
        <v>0</v>
      </c>
      <c r="H1544" s="22">
        <f>IFERROR(__xludf.DUMMYFUNCTION("""COMPUTED_VALUE"""),471219.25035)</f>
        <v>471219.2504</v>
      </c>
      <c r="I1544" s="24">
        <f>IFERROR(__xludf.DUMMYFUNCTION("""COMPUTED_VALUE"""),-0.057561499299999985)</f>
        <v>-0.0575614993</v>
      </c>
    </row>
    <row r="1545">
      <c r="A1545" s="5" t="str">
        <f>IFERROR(__xludf.DUMMYFUNCTION("""COMPUTED_VALUE"""),"37649")</f>
        <v>37649</v>
      </c>
      <c r="B1545" s="64">
        <f>IFERROR(__xludf.DUMMYFUNCTION("""COMPUTED_VALUE"""),44663.0)</f>
        <v>44663</v>
      </c>
      <c r="C1545" s="5"/>
      <c r="D1545" s="5"/>
      <c r="E1545" s="5"/>
      <c r="F1545" s="22">
        <f>IFERROR(__xludf.DUMMYFUNCTION("""COMPUTED_VALUE"""),420501.52315)</f>
        <v>420501.5232</v>
      </c>
      <c r="G1545" s="22">
        <f>IFERROR(__xludf.DUMMYFUNCTION("""COMPUTED_VALUE"""),0.0)</f>
        <v>0</v>
      </c>
      <c r="H1545" s="22">
        <f>IFERROR(__xludf.DUMMYFUNCTION("""COMPUTED_VALUE"""),471828.32745)</f>
        <v>471828.3275</v>
      </c>
      <c r="I1545" s="24">
        <f>IFERROR(__xludf.DUMMYFUNCTION("""COMPUTED_VALUE"""),-0.05634334510000005)</f>
        <v>-0.0563433451</v>
      </c>
    </row>
    <row r="1546">
      <c r="A1546" s="5" t="str">
        <f>IFERROR(__xludf.DUMMYFUNCTION("""COMPUTED_VALUE"""),"37922")</f>
        <v>37922</v>
      </c>
      <c r="B1546" s="64">
        <f>IFERROR(__xludf.DUMMYFUNCTION("""COMPUTED_VALUE"""),44597.0)</f>
        <v>44597</v>
      </c>
      <c r="C1546" s="5"/>
      <c r="D1546" s="5"/>
      <c r="E1546" s="5"/>
      <c r="F1546" s="22">
        <f>IFERROR(__xludf.DUMMYFUNCTION("""COMPUTED_VALUE"""),500000.0)</f>
        <v>500000</v>
      </c>
      <c r="G1546" s="22">
        <f>IFERROR(__xludf.DUMMYFUNCTION("""COMPUTED_VALUE"""),0.0)</f>
        <v>0</v>
      </c>
      <c r="H1546" s="22">
        <f>IFERROR(__xludf.DUMMYFUNCTION("""COMPUTED_VALUE"""),500000.0)</f>
        <v>500000</v>
      </c>
      <c r="I1546" s="24">
        <f>IFERROR(__xludf.DUMMYFUNCTION("""COMPUTED_VALUE"""),0.0)</f>
        <v>0</v>
      </c>
    </row>
    <row r="1547">
      <c r="A1547" s="5" t="str">
        <f>IFERROR(__xludf.DUMMYFUNCTION("""COMPUTED_VALUE"""),"37922")</f>
        <v>37922</v>
      </c>
      <c r="B1547" s="64">
        <f>IFERROR(__xludf.DUMMYFUNCTION("""COMPUTED_VALUE"""),44598.0)</f>
        <v>44598</v>
      </c>
      <c r="C1547" s="5"/>
      <c r="D1547" s="5"/>
      <c r="E1547" s="5"/>
      <c r="F1547" s="22">
        <f>IFERROR(__xludf.DUMMYFUNCTION("""COMPUTED_VALUE"""),500000.0)</f>
        <v>500000</v>
      </c>
      <c r="G1547" s="22">
        <f>IFERROR(__xludf.DUMMYFUNCTION("""COMPUTED_VALUE"""),0.0)</f>
        <v>0</v>
      </c>
      <c r="H1547" s="22">
        <f>IFERROR(__xludf.DUMMYFUNCTION("""COMPUTED_VALUE"""),500000.0)</f>
        <v>500000</v>
      </c>
      <c r="I1547" s="24">
        <f>IFERROR(__xludf.DUMMYFUNCTION("""COMPUTED_VALUE"""),0.0)</f>
        <v>0</v>
      </c>
    </row>
    <row r="1548">
      <c r="A1548" s="5" t="str">
        <f>IFERROR(__xludf.DUMMYFUNCTION("""COMPUTED_VALUE"""),"37922")</f>
        <v>37922</v>
      </c>
      <c r="B1548" s="64">
        <f>IFERROR(__xludf.DUMMYFUNCTION("""COMPUTED_VALUE"""),44599.0)</f>
        <v>44599</v>
      </c>
      <c r="C1548" s="5"/>
      <c r="D1548" s="5"/>
      <c r="E1548" s="5"/>
      <c r="F1548" s="22">
        <f>IFERROR(__xludf.DUMMYFUNCTION("""COMPUTED_VALUE"""),500000.0)</f>
        <v>500000</v>
      </c>
      <c r="G1548" s="22">
        <f>IFERROR(__xludf.DUMMYFUNCTION("""COMPUTED_VALUE"""),0.0)</f>
        <v>0</v>
      </c>
      <c r="H1548" s="22">
        <f>IFERROR(__xludf.DUMMYFUNCTION("""COMPUTED_VALUE"""),500000.0)</f>
        <v>500000</v>
      </c>
      <c r="I1548" s="24">
        <f>IFERROR(__xludf.DUMMYFUNCTION("""COMPUTED_VALUE"""),0.0)</f>
        <v>0</v>
      </c>
    </row>
    <row r="1549">
      <c r="A1549" s="5" t="str">
        <f>IFERROR(__xludf.DUMMYFUNCTION("""COMPUTED_VALUE"""),"37922")</f>
        <v>37922</v>
      </c>
      <c r="B1549" s="64">
        <f>IFERROR(__xludf.DUMMYFUNCTION("""COMPUTED_VALUE"""),44600.0)</f>
        <v>44600</v>
      </c>
      <c r="C1549" s="5"/>
      <c r="D1549" s="5"/>
      <c r="E1549" s="5"/>
      <c r="F1549" s="22">
        <f>IFERROR(__xludf.DUMMYFUNCTION("""COMPUTED_VALUE"""),500000.0)</f>
        <v>500000</v>
      </c>
      <c r="G1549" s="22">
        <f>IFERROR(__xludf.DUMMYFUNCTION("""COMPUTED_VALUE"""),0.0)</f>
        <v>0</v>
      </c>
      <c r="H1549" s="22">
        <f>IFERROR(__xludf.DUMMYFUNCTION("""COMPUTED_VALUE"""),500000.0)</f>
        <v>500000</v>
      </c>
      <c r="I1549" s="24">
        <f>IFERROR(__xludf.DUMMYFUNCTION("""COMPUTED_VALUE"""),0.0)</f>
        <v>0</v>
      </c>
    </row>
    <row r="1550">
      <c r="A1550" s="5" t="str">
        <f>IFERROR(__xludf.DUMMYFUNCTION("""COMPUTED_VALUE"""),"37922")</f>
        <v>37922</v>
      </c>
      <c r="B1550" s="64">
        <f>IFERROR(__xludf.DUMMYFUNCTION("""COMPUTED_VALUE"""),44601.0)</f>
        <v>44601</v>
      </c>
      <c r="C1550" s="5"/>
      <c r="D1550" s="5"/>
      <c r="E1550" s="5"/>
      <c r="F1550" s="22">
        <f>IFERROR(__xludf.DUMMYFUNCTION("""COMPUTED_VALUE"""),500000.0)</f>
        <v>500000</v>
      </c>
      <c r="G1550" s="22">
        <f>IFERROR(__xludf.DUMMYFUNCTION("""COMPUTED_VALUE"""),0.0)</f>
        <v>0</v>
      </c>
      <c r="H1550" s="22">
        <f>IFERROR(__xludf.DUMMYFUNCTION("""COMPUTED_VALUE"""),500000.0)</f>
        <v>500000</v>
      </c>
      <c r="I1550" s="24">
        <f>IFERROR(__xludf.DUMMYFUNCTION("""COMPUTED_VALUE"""),0.0)</f>
        <v>0</v>
      </c>
    </row>
    <row r="1551">
      <c r="A1551" s="5" t="str">
        <f>IFERROR(__xludf.DUMMYFUNCTION("""COMPUTED_VALUE"""),"37922")</f>
        <v>37922</v>
      </c>
      <c r="B1551" s="64">
        <f>IFERROR(__xludf.DUMMYFUNCTION("""COMPUTED_VALUE"""),44602.0)</f>
        <v>44602</v>
      </c>
      <c r="C1551" s="5"/>
      <c r="D1551" s="5"/>
      <c r="E1551" s="5"/>
      <c r="F1551" s="22">
        <f>IFERROR(__xludf.DUMMYFUNCTION("""COMPUTED_VALUE"""),500000.0)</f>
        <v>500000</v>
      </c>
      <c r="G1551" s="22">
        <f>IFERROR(__xludf.DUMMYFUNCTION("""COMPUTED_VALUE"""),0.0)</f>
        <v>0</v>
      </c>
      <c r="H1551" s="22">
        <f>IFERROR(__xludf.DUMMYFUNCTION("""COMPUTED_VALUE"""),500000.0)</f>
        <v>500000</v>
      </c>
      <c r="I1551" s="24">
        <f>IFERROR(__xludf.DUMMYFUNCTION("""COMPUTED_VALUE"""),0.0)</f>
        <v>0</v>
      </c>
    </row>
    <row r="1552">
      <c r="A1552" s="5" t="str">
        <f>IFERROR(__xludf.DUMMYFUNCTION("""COMPUTED_VALUE"""),"37922")</f>
        <v>37922</v>
      </c>
      <c r="B1552" s="64">
        <f>IFERROR(__xludf.DUMMYFUNCTION("""COMPUTED_VALUE"""),44603.0)</f>
        <v>44603</v>
      </c>
      <c r="C1552" s="5"/>
      <c r="D1552" s="5"/>
      <c r="E1552" s="5"/>
      <c r="F1552" s="22">
        <f>IFERROR(__xludf.DUMMYFUNCTION("""COMPUTED_VALUE"""),500000.0)</f>
        <v>500000</v>
      </c>
      <c r="G1552" s="22">
        <f>IFERROR(__xludf.DUMMYFUNCTION("""COMPUTED_VALUE"""),0.0)</f>
        <v>0</v>
      </c>
      <c r="H1552" s="22">
        <f>IFERROR(__xludf.DUMMYFUNCTION("""COMPUTED_VALUE"""),500000.0)</f>
        <v>500000</v>
      </c>
      <c r="I1552" s="24">
        <f>IFERROR(__xludf.DUMMYFUNCTION("""COMPUTED_VALUE"""),0.0)</f>
        <v>0</v>
      </c>
    </row>
    <row r="1553">
      <c r="A1553" s="5" t="str">
        <f>IFERROR(__xludf.DUMMYFUNCTION("""COMPUTED_VALUE"""),"37922")</f>
        <v>37922</v>
      </c>
      <c r="B1553" s="64">
        <f>IFERROR(__xludf.DUMMYFUNCTION("""COMPUTED_VALUE"""),44604.0)</f>
        <v>44604</v>
      </c>
      <c r="C1553" s="5"/>
      <c r="D1553" s="5"/>
      <c r="E1553" s="5"/>
      <c r="F1553" s="22">
        <f>IFERROR(__xludf.DUMMYFUNCTION("""COMPUTED_VALUE"""),500000.0)</f>
        <v>500000</v>
      </c>
      <c r="G1553" s="22">
        <f>IFERROR(__xludf.DUMMYFUNCTION("""COMPUTED_VALUE"""),0.0)</f>
        <v>0</v>
      </c>
      <c r="H1553" s="22">
        <f>IFERROR(__xludf.DUMMYFUNCTION("""COMPUTED_VALUE"""),500000.0)</f>
        <v>500000</v>
      </c>
      <c r="I1553" s="24">
        <f>IFERROR(__xludf.DUMMYFUNCTION("""COMPUTED_VALUE"""),0.0)</f>
        <v>0</v>
      </c>
    </row>
    <row r="1554">
      <c r="A1554" s="5" t="str">
        <f>IFERROR(__xludf.DUMMYFUNCTION("""COMPUTED_VALUE"""),"37922")</f>
        <v>37922</v>
      </c>
      <c r="B1554" s="64">
        <f>IFERROR(__xludf.DUMMYFUNCTION("""COMPUTED_VALUE"""),44605.0)</f>
        <v>44605</v>
      </c>
      <c r="C1554" s="5"/>
      <c r="D1554" s="5"/>
      <c r="E1554" s="5"/>
      <c r="F1554" s="22">
        <f>IFERROR(__xludf.DUMMYFUNCTION("""COMPUTED_VALUE"""),500000.0)</f>
        <v>500000</v>
      </c>
      <c r="G1554" s="22">
        <f>IFERROR(__xludf.DUMMYFUNCTION("""COMPUTED_VALUE"""),0.0)</f>
        <v>0</v>
      </c>
      <c r="H1554" s="22">
        <f>IFERROR(__xludf.DUMMYFUNCTION("""COMPUTED_VALUE"""),500000.0)</f>
        <v>500000</v>
      </c>
      <c r="I1554" s="24">
        <f>IFERROR(__xludf.DUMMYFUNCTION("""COMPUTED_VALUE"""),0.0)</f>
        <v>0</v>
      </c>
    </row>
    <row r="1555">
      <c r="A1555" s="5" t="str">
        <f>IFERROR(__xludf.DUMMYFUNCTION("""COMPUTED_VALUE"""),"37922")</f>
        <v>37922</v>
      </c>
      <c r="B1555" s="64">
        <f>IFERROR(__xludf.DUMMYFUNCTION("""COMPUTED_VALUE"""),44606.0)</f>
        <v>44606</v>
      </c>
      <c r="C1555" s="5"/>
      <c r="D1555" s="5"/>
      <c r="E1555" s="5"/>
      <c r="F1555" s="22">
        <f>IFERROR(__xludf.DUMMYFUNCTION("""COMPUTED_VALUE"""),500000.0)</f>
        <v>500000</v>
      </c>
      <c r="G1555" s="22">
        <f>IFERROR(__xludf.DUMMYFUNCTION("""COMPUTED_VALUE"""),0.0)</f>
        <v>0</v>
      </c>
      <c r="H1555" s="22">
        <f>IFERROR(__xludf.DUMMYFUNCTION("""COMPUTED_VALUE"""),500000.0)</f>
        <v>500000</v>
      </c>
      <c r="I1555" s="24">
        <f>IFERROR(__xludf.DUMMYFUNCTION("""COMPUTED_VALUE"""),0.0)</f>
        <v>0</v>
      </c>
    </row>
    <row r="1556">
      <c r="A1556" s="5" t="str">
        <f>IFERROR(__xludf.DUMMYFUNCTION("""COMPUTED_VALUE"""),"37922")</f>
        <v>37922</v>
      </c>
      <c r="B1556" s="64">
        <f>IFERROR(__xludf.DUMMYFUNCTION("""COMPUTED_VALUE"""),44607.0)</f>
        <v>44607</v>
      </c>
      <c r="C1556" s="5"/>
      <c r="D1556" s="5"/>
      <c r="E1556" s="5"/>
      <c r="F1556" s="22">
        <f>IFERROR(__xludf.DUMMYFUNCTION("""COMPUTED_VALUE"""),500000.0)</f>
        <v>500000</v>
      </c>
      <c r="G1556" s="22">
        <f>IFERROR(__xludf.DUMMYFUNCTION("""COMPUTED_VALUE"""),0.0)</f>
        <v>0</v>
      </c>
      <c r="H1556" s="22">
        <f>IFERROR(__xludf.DUMMYFUNCTION("""COMPUTED_VALUE"""),500000.0)</f>
        <v>500000</v>
      </c>
      <c r="I1556" s="24">
        <f>IFERROR(__xludf.DUMMYFUNCTION("""COMPUTED_VALUE"""),0.0)</f>
        <v>0</v>
      </c>
    </row>
    <row r="1557">
      <c r="A1557" s="5" t="str">
        <f>IFERROR(__xludf.DUMMYFUNCTION("""COMPUTED_VALUE"""),"37922")</f>
        <v>37922</v>
      </c>
      <c r="B1557" s="64">
        <f>IFERROR(__xludf.DUMMYFUNCTION("""COMPUTED_VALUE"""),44608.0)</f>
        <v>44608</v>
      </c>
      <c r="C1557" s="5"/>
      <c r="D1557" s="5"/>
      <c r="E1557" s="5"/>
      <c r="F1557" s="22">
        <f>IFERROR(__xludf.DUMMYFUNCTION("""COMPUTED_VALUE"""),500000.0)</f>
        <v>500000</v>
      </c>
      <c r="G1557" s="22">
        <f>IFERROR(__xludf.DUMMYFUNCTION("""COMPUTED_VALUE"""),0.0)</f>
        <v>0</v>
      </c>
      <c r="H1557" s="22">
        <f>IFERROR(__xludf.DUMMYFUNCTION("""COMPUTED_VALUE"""),500000.0)</f>
        <v>500000</v>
      </c>
      <c r="I1557" s="24">
        <f>IFERROR(__xludf.DUMMYFUNCTION("""COMPUTED_VALUE"""),0.0)</f>
        <v>0</v>
      </c>
    </row>
    <row r="1558">
      <c r="A1558" s="5" t="str">
        <f>IFERROR(__xludf.DUMMYFUNCTION("""COMPUTED_VALUE"""),"37922")</f>
        <v>37922</v>
      </c>
      <c r="B1558" s="64">
        <f>IFERROR(__xludf.DUMMYFUNCTION("""COMPUTED_VALUE"""),44609.0)</f>
        <v>44609</v>
      </c>
      <c r="C1558" s="5"/>
      <c r="D1558" s="5"/>
      <c r="E1558" s="5"/>
      <c r="F1558" s="22">
        <f>IFERROR(__xludf.DUMMYFUNCTION("""COMPUTED_VALUE"""),500000.0)</f>
        <v>500000</v>
      </c>
      <c r="G1558" s="22">
        <f>IFERROR(__xludf.DUMMYFUNCTION("""COMPUTED_VALUE"""),0.0)</f>
        <v>0</v>
      </c>
      <c r="H1558" s="22">
        <f>IFERROR(__xludf.DUMMYFUNCTION("""COMPUTED_VALUE"""),500000.0)</f>
        <v>500000</v>
      </c>
      <c r="I1558" s="24">
        <f>IFERROR(__xludf.DUMMYFUNCTION("""COMPUTED_VALUE"""),0.0)</f>
        <v>0</v>
      </c>
    </row>
    <row r="1559">
      <c r="A1559" s="5" t="str">
        <f>IFERROR(__xludf.DUMMYFUNCTION("""COMPUTED_VALUE"""),"37922")</f>
        <v>37922</v>
      </c>
      <c r="B1559" s="64">
        <f>IFERROR(__xludf.DUMMYFUNCTION("""COMPUTED_VALUE"""),44610.0)</f>
        <v>44610</v>
      </c>
      <c r="C1559" s="5"/>
      <c r="D1559" s="5"/>
      <c r="E1559" s="5"/>
      <c r="F1559" s="22">
        <f>IFERROR(__xludf.DUMMYFUNCTION("""COMPUTED_VALUE"""),500000.0)</f>
        <v>500000</v>
      </c>
      <c r="G1559" s="22">
        <f>IFERROR(__xludf.DUMMYFUNCTION("""COMPUTED_VALUE"""),0.0)</f>
        <v>0</v>
      </c>
      <c r="H1559" s="22">
        <f>IFERROR(__xludf.DUMMYFUNCTION("""COMPUTED_VALUE"""),500000.0)</f>
        <v>500000</v>
      </c>
      <c r="I1559" s="24">
        <f>IFERROR(__xludf.DUMMYFUNCTION("""COMPUTED_VALUE"""),0.0)</f>
        <v>0</v>
      </c>
    </row>
    <row r="1560">
      <c r="A1560" s="5" t="str">
        <f>IFERROR(__xludf.DUMMYFUNCTION("""COMPUTED_VALUE"""),"37922")</f>
        <v>37922</v>
      </c>
      <c r="B1560" s="64">
        <f>IFERROR(__xludf.DUMMYFUNCTION("""COMPUTED_VALUE"""),44611.0)</f>
        <v>44611</v>
      </c>
      <c r="C1560" s="5"/>
      <c r="D1560" s="5"/>
      <c r="E1560" s="5"/>
      <c r="F1560" s="22">
        <f>IFERROR(__xludf.DUMMYFUNCTION("""COMPUTED_VALUE"""),500000.0)</f>
        <v>500000</v>
      </c>
      <c r="G1560" s="22">
        <f>IFERROR(__xludf.DUMMYFUNCTION("""COMPUTED_VALUE"""),0.0)</f>
        <v>0</v>
      </c>
      <c r="H1560" s="22">
        <f>IFERROR(__xludf.DUMMYFUNCTION("""COMPUTED_VALUE"""),500000.0)</f>
        <v>500000</v>
      </c>
      <c r="I1560" s="24">
        <f>IFERROR(__xludf.DUMMYFUNCTION("""COMPUTED_VALUE"""),0.0)</f>
        <v>0</v>
      </c>
    </row>
    <row r="1561">
      <c r="A1561" s="5" t="str">
        <f>IFERROR(__xludf.DUMMYFUNCTION("""COMPUTED_VALUE"""),"37922")</f>
        <v>37922</v>
      </c>
      <c r="B1561" s="64">
        <f>IFERROR(__xludf.DUMMYFUNCTION("""COMPUTED_VALUE"""),44612.0)</f>
        <v>44612</v>
      </c>
      <c r="C1561" s="5"/>
      <c r="D1561" s="5"/>
      <c r="E1561" s="5"/>
      <c r="F1561" s="22">
        <f>IFERROR(__xludf.DUMMYFUNCTION("""COMPUTED_VALUE"""),500000.0)</f>
        <v>500000</v>
      </c>
      <c r="G1561" s="22">
        <f>IFERROR(__xludf.DUMMYFUNCTION("""COMPUTED_VALUE"""),0.0)</f>
        <v>0</v>
      </c>
      <c r="H1561" s="22">
        <f>IFERROR(__xludf.DUMMYFUNCTION("""COMPUTED_VALUE"""),500000.0)</f>
        <v>500000</v>
      </c>
      <c r="I1561" s="24">
        <f>IFERROR(__xludf.DUMMYFUNCTION("""COMPUTED_VALUE"""),0.0)</f>
        <v>0</v>
      </c>
    </row>
    <row r="1562">
      <c r="A1562" s="5" t="str">
        <f>IFERROR(__xludf.DUMMYFUNCTION("""COMPUTED_VALUE"""),"37922")</f>
        <v>37922</v>
      </c>
      <c r="B1562" s="64">
        <f>IFERROR(__xludf.DUMMYFUNCTION("""COMPUTED_VALUE"""),44613.0)</f>
        <v>44613</v>
      </c>
      <c r="C1562" s="5"/>
      <c r="D1562" s="5"/>
      <c r="E1562" s="5"/>
      <c r="F1562" s="22">
        <f>IFERROR(__xludf.DUMMYFUNCTION("""COMPUTED_VALUE"""),500000.0)</f>
        <v>500000</v>
      </c>
      <c r="G1562" s="22">
        <f>IFERROR(__xludf.DUMMYFUNCTION("""COMPUTED_VALUE"""),0.0)</f>
        <v>0</v>
      </c>
      <c r="H1562" s="22">
        <f>IFERROR(__xludf.DUMMYFUNCTION("""COMPUTED_VALUE"""),500000.0)</f>
        <v>500000</v>
      </c>
      <c r="I1562" s="24">
        <f>IFERROR(__xludf.DUMMYFUNCTION("""COMPUTED_VALUE"""),0.0)</f>
        <v>0</v>
      </c>
    </row>
    <row r="1563">
      <c r="A1563" s="5" t="str">
        <f>IFERROR(__xludf.DUMMYFUNCTION("""COMPUTED_VALUE"""),"37922")</f>
        <v>37922</v>
      </c>
      <c r="B1563" s="64">
        <f>IFERROR(__xludf.DUMMYFUNCTION("""COMPUTED_VALUE"""),44614.0)</f>
        <v>44614</v>
      </c>
      <c r="C1563" s="5"/>
      <c r="D1563" s="5"/>
      <c r="E1563" s="5"/>
      <c r="F1563" s="22">
        <f>IFERROR(__xludf.DUMMYFUNCTION("""COMPUTED_VALUE"""),500000.0)</f>
        <v>500000</v>
      </c>
      <c r="G1563" s="22">
        <f>IFERROR(__xludf.DUMMYFUNCTION("""COMPUTED_VALUE"""),0.0)</f>
        <v>0</v>
      </c>
      <c r="H1563" s="22">
        <f>IFERROR(__xludf.DUMMYFUNCTION("""COMPUTED_VALUE"""),500000.0)</f>
        <v>500000</v>
      </c>
      <c r="I1563" s="24">
        <f>IFERROR(__xludf.DUMMYFUNCTION("""COMPUTED_VALUE"""),0.0)</f>
        <v>0</v>
      </c>
    </row>
    <row r="1564">
      <c r="A1564" s="5" t="str">
        <f>IFERROR(__xludf.DUMMYFUNCTION("""COMPUTED_VALUE"""),"37922")</f>
        <v>37922</v>
      </c>
      <c r="B1564" s="64">
        <f>IFERROR(__xludf.DUMMYFUNCTION("""COMPUTED_VALUE"""),44615.0)</f>
        <v>44615</v>
      </c>
      <c r="C1564" s="5"/>
      <c r="D1564" s="5"/>
      <c r="E1564" s="5"/>
      <c r="F1564" s="22">
        <f>IFERROR(__xludf.DUMMYFUNCTION("""COMPUTED_VALUE"""),500000.0)</f>
        <v>500000</v>
      </c>
      <c r="G1564" s="22">
        <f>IFERROR(__xludf.DUMMYFUNCTION("""COMPUTED_VALUE"""),0.0)</f>
        <v>0</v>
      </c>
      <c r="H1564" s="22">
        <f>IFERROR(__xludf.DUMMYFUNCTION("""COMPUTED_VALUE"""),500000.0)</f>
        <v>500000</v>
      </c>
      <c r="I1564" s="24">
        <f>IFERROR(__xludf.DUMMYFUNCTION("""COMPUTED_VALUE"""),0.0)</f>
        <v>0</v>
      </c>
    </row>
    <row r="1565">
      <c r="A1565" s="5" t="str">
        <f>IFERROR(__xludf.DUMMYFUNCTION("""COMPUTED_VALUE"""),"37922")</f>
        <v>37922</v>
      </c>
      <c r="B1565" s="64">
        <f>IFERROR(__xludf.DUMMYFUNCTION("""COMPUTED_VALUE"""),44616.0)</f>
        <v>44616</v>
      </c>
      <c r="C1565" s="5"/>
      <c r="D1565" s="5"/>
      <c r="E1565" s="5"/>
      <c r="F1565" s="22">
        <f>IFERROR(__xludf.DUMMYFUNCTION("""COMPUTED_VALUE"""),500000.0)</f>
        <v>500000</v>
      </c>
      <c r="G1565" s="22">
        <f>IFERROR(__xludf.DUMMYFUNCTION("""COMPUTED_VALUE"""),0.0)</f>
        <v>0</v>
      </c>
      <c r="H1565" s="22">
        <f>IFERROR(__xludf.DUMMYFUNCTION("""COMPUTED_VALUE"""),500000.0)</f>
        <v>500000</v>
      </c>
      <c r="I1565" s="24">
        <f>IFERROR(__xludf.DUMMYFUNCTION("""COMPUTED_VALUE"""),0.0)</f>
        <v>0</v>
      </c>
    </row>
    <row r="1566">
      <c r="A1566" s="5" t="str">
        <f>IFERROR(__xludf.DUMMYFUNCTION("""COMPUTED_VALUE"""),"37922")</f>
        <v>37922</v>
      </c>
      <c r="B1566" s="64">
        <f>IFERROR(__xludf.DUMMYFUNCTION("""COMPUTED_VALUE"""),44617.0)</f>
        <v>44617</v>
      </c>
      <c r="C1566" s="5"/>
      <c r="D1566" s="5"/>
      <c r="E1566" s="5"/>
      <c r="F1566" s="22">
        <f>IFERROR(__xludf.DUMMYFUNCTION("""COMPUTED_VALUE"""),500000.0)</f>
        <v>500000</v>
      </c>
      <c r="G1566" s="22">
        <f>IFERROR(__xludf.DUMMYFUNCTION("""COMPUTED_VALUE"""),0.0)</f>
        <v>0</v>
      </c>
      <c r="H1566" s="22">
        <f>IFERROR(__xludf.DUMMYFUNCTION("""COMPUTED_VALUE"""),500000.0)</f>
        <v>500000</v>
      </c>
      <c r="I1566" s="24">
        <f>IFERROR(__xludf.DUMMYFUNCTION("""COMPUTED_VALUE"""),0.0)</f>
        <v>0</v>
      </c>
    </row>
    <row r="1567">
      <c r="A1567" s="5" t="str">
        <f>IFERROR(__xludf.DUMMYFUNCTION("""COMPUTED_VALUE"""),"37922")</f>
        <v>37922</v>
      </c>
      <c r="B1567" s="64">
        <f>IFERROR(__xludf.DUMMYFUNCTION("""COMPUTED_VALUE"""),44618.0)</f>
        <v>44618</v>
      </c>
      <c r="C1567" s="5"/>
      <c r="D1567" s="5"/>
      <c r="E1567" s="5"/>
      <c r="F1567" s="22">
        <f>IFERROR(__xludf.DUMMYFUNCTION("""COMPUTED_VALUE"""),500000.0)</f>
        <v>500000</v>
      </c>
      <c r="G1567" s="22">
        <f>IFERROR(__xludf.DUMMYFUNCTION("""COMPUTED_VALUE"""),0.0)</f>
        <v>0</v>
      </c>
      <c r="H1567" s="22">
        <f>IFERROR(__xludf.DUMMYFUNCTION("""COMPUTED_VALUE"""),500000.0)</f>
        <v>500000</v>
      </c>
      <c r="I1567" s="24">
        <f>IFERROR(__xludf.DUMMYFUNCTION("""COMPUTED_VALUE"""),0.0)</f>
        <v>0</v>
      </c>
    </row>
    <row r="1568">
      <c r="A1568" s="5" t="str">
        <f>IFERROR(__xludf.DUMMYFUNCTION("""COMPUTED_VALUE"""),"37922")</f>
        <v>37922</v>
      </c>
      <c r="B1568" s="64">
        <f>IFERROR(__xludf.DUMMYFUNCTION("""COMPUTED_VALUE"""),44619.0)</f>
        <v>44619</v>
      </c>
      <c r="C1568" s="5"/>
      <c r="D1568" s="5"/>
      <c r="E1568" s="5"/>
      <c r="F1568" s="22">
        <f>IFERROR(__xludf.DUMMYFUNCTION("""COMPUTED_VALUE"""),500000.0)</f>
        <v>500000</v>
      </c>
      <c r="G1568" s="22">
        <f>IFERROR(__xludf.DUMMYFUNCTION("""COMPUTED_VALUE"""),0.0)</f>
        <v>0</v>
      </c>
      <c r="H1568" s="22">
        <f>IFERROR(__xludf.DUMMYFUNCTION("""COMPUTED_VALUE"""),500000.0)</f>
        <v>500000</v>
      </c>
      <c r="I1568" s="24">
        <f>IFERROR(__xludf.DUMMYFUNCTION("""COMPUTED_VALUE"""),0.0)</f>
        <v>0</v>
      </c>
    </row>
    <row r="1569">
      <c r="A1569" s="5" t="str">
        <f>IFERROR(__xludf.DUMMYFUNCTION("""COMPUTED_VALUE"""),"37922")</f>
        <v>37922</v>
      </c>
      <c r="B1569" s="64">
        <f>IFERROR(__xludf.DUMMYFUNCTION("""COMPUTED_VALUE"""),44620.0)</f>
        <v>44620</v>
      </c>
      <c r="C1569" s="5"/>
      <c r="D1569" s="5"/>
      <c r="E1569" s="5"/>
      <c r="F1569" s="22">
        <f>IFERROR(__xludf.DUMMYFUNCTION("""COMPUTED_VALUE"""),500000.0)</f>
        <v>500000</v>
      </c>
      <c r="G1569" s="22">
        <f>IFERROR(__xludf.DUMMYFUNCTION("""COMPUTED_VALUE"""),0.0)</f>
        <v>0</v>
      </c>
      <c r="H1569" s="22">
        <f>IFERROR(__xludf.DUMMYFUNCTION("""COMPUTED_VALUE"""),500000.0)</f>
        <v>500000</v>
      </c>
      <c r="I1569" s="24">
        <f>IFERROR(__xludf.DUMMYFUNCTION("""COMPUTED_VALUE"""),0.0)</f>
        <v>0</v>
      </c>
    </row>
    <row r="1570">
      <c r="A1570" s="5" t="str">
        <f>IFERROR(__xludf.DUMMYFUNCTION("""COMPUTED_VALUE"""),"37922")</f>
        <v>37922</v>
      </c>
      <c r="B1570" s="64">
        <f>IFERROR(__xludf.DUMMYFUNCTION("""COMPUTED_VALUE"""),44621.0)</f>
        <v>44621</v>
      </c>
      <c r="C1570" s="5"/>
      <c r="D1570" s="5"/>
      <c r="E1570" s="5"/>
      <c r="F1570" s="22">
        <f>IFERROR(__xludf.DUMMYFUNCTION("""COMPUTED_VALUE"""),500000.0)</f>
        <v>500000</v>
      </c>
      <c r="G1570" s="22">
        <f>IFERROR(__xludf.DUMMYFUNCTION("""COMPUTED_VALUE"""),0.0)</f>
        <v>0</v>
      </c>
      <c r="H1570" s="22">
        <f>IFERROR(__xludf.DUMMYFUNCTION("""COMPUTED_VALUE"""),500000.0)</f>
        <v>500000</v>
      </c>
      <c r="I1570" s="24">
        <f>IFERROR(__xludf.DUMMYFUNCTION("""COMPUTED_VALUE"""),0.0)</f>
        <v>0</v>
      </c>
    </row>
    <row r="1571">
      <c r="A1571" s="5" t="str">
        <f>IFERROR(__xludf.DUMMYFUNCTION("""COMPUTED_VALUE"""),"37922")</f>
        <v>37922</v>
      </c>
      <c r="B1571" s="64">
        <f>IFERROR(__xludf.DUMMYFUNCTION("""COMPUTED_VALUE"""),44622.0)</f>
        <v>44622</v>
      </c>
      <c r="C1571" s="5"/>
      <c r="D1571" s="5"/>
      <c r="E1571" s="5"/>
      <c r="F1571" s="22">
        <f>IFERROR(__xludf.DUMMYFUNCTION("""COMPUTED_VALUE"""),500000.0)</f>
        <v>500000</v>
      </c>
      <c r="G1571" s="22">
        <f>IFERROR(__xludf.DUMMYFUNCTION("""COMPUTED_VALUE"""),0.0)</f>
        <v>0</v>
      </c>
      <c r="H1571" s="22">
        <f>IFERROR(__xludf.DUMMYFUNCTION("""COMPUTED_VALUE"""),500000.0)</f>
        <v>500000</v>
      </c>
      <c r="I1571" s="24">
        <f>IFERROR(__xludf.DUMMYFUNCTION("""COMPUTED_VALUE"""),0.0)</f>
        <v>0</v>
      </c>
    </row>
    <row r="1572">
      <c r="A1572" s="5" t="str">
        <f>IFERROR(__xludf.DUMMYFUNCTION("""COMPUTED_VALUE"""),"37922")</f>
        <v>37922</v>
      </c>
      <c r="B1572" s="64">
        <f>IFERROR(__xludf.DUMMYFUNCTION("""COMPUTED_VALUE"""),44623.0)</f>
        <v>44623</v>
      </c>
      <c r="C1572" s="5"/>
      <c r="D1572" s="5"/>
      <c r="E1572" s="5"/>
      <c r="F1572" s="22">
        <f>IFERROR(__xludf.DUMMYFUNCTION("""COMPUTED_VALUE"""),500000.0)</f>
        <v>500000</v>
      </c>
      <c r="G1572" s="22">
        <f>IFERROR(__xludf.DUMMYFUNCTION("""COMPUTED_VALUE"""),0.0)</f>
        <v>0</v>
      </c>
      <c r="H1572" s="22">
        <f>IFERROR(__xludf.DUMMYFUNCTION("""COMPUTED_VALUE"""),500000.0)</f>
        <v>500000</v>
      </c>
      <c r="I1572" s="24">
        <f>IFERROR(__xludf.DUMMYFUNCTION("""COMPUTED_VALUE"""),0.0)</f>
        <v>0</v>
      </c>
    </row>
    <row r="1573">
      <c r="A1573" s="5" t="str">
        <f>IFERROR(__xludf.DUMMYFUNCTION("""COMPUTED_VALUE"""),"37922")</f>
        <v>37922</v>
      </c>
      <c r="B1573" s="64">
        <f>IFERROR(__xludf.DUMMYFUNCTION("""COMPUTED_VALUE"""),44624.0)</f>
        <v>44624</v>
      </c>
      <c r="C1573" s="5"/>
      <c r="D1573" s="5"/>
      <c r="E1573" s="5"/>
      <c r="F1573" s="22">
        <f>IFERROR(__xludf.DUMMYFUNCTION("""COMPUTED_VALUE"""),500000.0)</f>
        <v>500000</v>
      </c>
      <c r="G1573" s="22">
        <f>IFERROR(__xludf.DUMMYFUNCTION("""COMPUTED_VALUE"""),0.0)</f>
        <v>0</v>
      </c>
      <c r="H1573" s="22">
        <f>IFERROR(__xludf.DUMMYFUNCTION("""COMPUTED_VALUE"""),500000.0)</f>
        <v>500000</v>
      </c>
      <c r="I1573" s="24">
        <f>IFERROR(__xludf.DUMMYFUNCTION("""COMPUTED_VALUE"""),0.0)</f>
        <v>0</v>
      </c>
    </row>
    <row r="1574">
      <c r="A1574" s="5" t="str">
        <f>IFERROR(__xludf.DUMMYFUNCTION("""COMPUTED_VALUE"""),"37922")</f>
        <v>37922</v>
      </c>
      <c r="B1574" s="64">
        <f>IFERROR(__xludf.DUMMYFUNCTION("""COMPUTED_VALUE"""),44625.0)</f>
        <v>44625</v>
      </c>
      <c r="C1574" s="5"/>
      <c r="D1574" s="5"/>
      <c r="E1574" s="5"/>
      <c r="F1574" s="22">
        <f>IFERROR(__xludf.DUMMYFUNCTION("""COMPUTED_VALUE"""),500000.0)</f>
        <v>500000</v>
      </c>
      <c r="G1574" s="22">
        <f>IFERROR(__xludf.DUMMYFUNCTION("""COMPUTED_VALUE"""),0.0)</f>
        <v>0</v>
      </c>
      <c r="H1574" s="22">
        <f>IFERROR(__xludf.DUMMYFUNCTION("""COMPUTED_VALUE"""),500000.0)</f>
        <v>500000</v>
      </c>
      <c r="I1574" s="24">
        <f>IFERROR(__xludf.DUMMYFUNCTION("""COMPUTED_VALUE"""),0.0)</f>
        <v>0</v>
      </c>
    </row>
    <row r="1575">
      <c r="A1575" s="5" t="str">
        <f>IFERROR(__xludf.DUMMYFUNCTION("""COMPUTED_VALUE"""),"37922")</f>
        <v>37922</v>
      </c>
      <c r="B1575" s="64">
        <f>IFERROR(__xludf.DUMMYFUNCTION("""COMPUTED_VALUE"""),44626.0)</f>
        <v>44626</v>
      </c>
      <c r="C1575" s="5"/>
      <c r="D1575" s="5"/>
      <c r="E1575" s="5"/>
      <c r="F1575" s="22">
        <f>IFERROR(__xludf.DUMMYFUNCTION("""COMPUTED_VALUE"""),500000.0)</f>
        <v>500000</v>
      </c>
      <c r="G1575" s="22">
        <f>IFERROR(__xludf.DUMMYFUNCTION("""COMPUTED_VALUE"""),0.0)</f>
        <v>0</v>
      </c>
      <c r="H1575" s="22">
        <f>IFERROR(__xludf.DUMMYFUNCTION("""COMPUTED_VALUE"""),500000.0)</f>
        <v>500000</v>
      </c>
      <c r="I1575" s="24">
        <f>IFERROR(__xludf.DUMMYFUNCTION("""COMPUTED_VALUE"""),0.0)</f>
        <v>0</v>
      </c>
    </row>
    <row r="1576">
      <c r="A1576" s="5" t="str">
        <f>IFERROR(__xludf.DUMMYFUNCTION("""COMPUTED_VALUE"""),"37922")</f>
        <v>37922</v>
      </c>
      <c r="B1576" s="64">
        <f>IFERROR(__xludf.DUMMYFUNCTION("""COMPUTED_VALUE"""),44627.0)</f>
        <v>44627</v>
      </c>
      <c r="C1576" s="5"/>
      <c r="D1576" s="5"/>
      <c r="E1576" s="5"/>
      <c r="F1576" s="22">
        <f>IFERROR(__xludf.DUMMYFUNCTION("""COMPUTED_VALUE"""),500000.0)</f>
        <v>500000</v>
      </c>
      <c r="G1576" s="22">
        <f>IFERROR(__xludf.DUMMYFUNCTION("""COMPUTED_VALUE"""),0.0)</f>
        <v>0</v>
      </c>
      <c r="H1576" s="22">
        <f>IFERROR(__xludf.DUMMYFUNCTION("""COMPUTED_VALUE"""),500000.0)</f>
        <v>500000</v>
      </c>
      <c r="I1576" s="24">
        <f>IFERROR(__xludf.DUMMYFUNCTION("""COMPUTED_VALUE"""),0.0)</f>
        <v>0</v>
      </c>
    </row>
    <row r="1577">
      <c r="A1577" s="5" t="str">
        <f>IFERROR(__xludf.DUMMYFUNCTION("""COMPUTED_VALUE"""),"37922")</f>
        <v>37922</v>
      </c>
      <c r="B1577" s="64">
        <f>IFERROR(__xludf.DUMMYFUNCTION("""COMPUTED_VALUE"""),44628.0)</f>
        <v>44628</v>
      </c>
      <c r="C1577" s="5"/>
      <c r="D1577" s="5"/>
      <c r="E1577" s="5"/>
      <c r="F1577" s="22">
        <f>IFERROR(__xludf.DUMMYFUNCTION("""COMPUTED_VALUE"""),500000.0)</f>
        <v>500000</v>
      </c>
      <c r="G1577" s="22">
        <f>IFERROR(__xludf.DUMMYFUNCTION("""COMPUTED_VALUE"""),0.0)</f>
        <v>0</v>
      </c>
      <c r="H1577" s="22">
        <f>IFERROR(__xludf.DUMMYFUNCTION("""COMPUTED_VALUE"""),500000.0)</f>
        <v>500000</v>
      </c>
      <c r="I1577" s="24">
        <f>IFERROR(__xludf.DUMMYFUNCTION("""COMPUTED_VALUE"""),0.0)</f>
        <v>0</v>
      </c>
    </row>
    <row r="1578">
      <c r="A1578" s="5" t="str">
        <f>IFERROR(__xludf.DUMMYFUNCTION("""COMPUTED_VALUE"""),"37922")</f>
        <v>37922</v>
      </c>
      <c r="B1578" s="64">
        <f>IFERROR(__xludf.DUMMYFUNCTION("""COMPUTED_VALUE"""),44629.0)</f>
        <v>44629</v>
      </c>
      <c r="C1578" s="5"/>
      <c r="D1578" s="5"/>
      <c r="E1578" s="5"/>
      <c r="F1578" s="22">
        <f>IFERROR(__xludf.DUMMYFUNCTION("""COMPUTED_VALUE"""),500000.0)</f>
        <v>500000</v>
      </c>
      <c r="G1578" s="22">
        <f>IFERROR(__xludf.DUMMYFUNCTION("""COMPUTED_VALUE"""),0.0)</f>
        <v>0</v>
      </c>
      <c r="H1578" s="22">
        <f>IFERROR(__xludf.DUMMYFUNCTION("""COMPUTED_VALUE"""),500000.0)</f>
        <v>500000</v>
      </c>
      <c r="I1578" s="24">
        <f>IFERROR(__xludf.DUMMYFUNCTION("""COMPUTED_VALUE"""),0.0)</f>
        <v>0</v>
      </c>
    </row>
    <row r="1579">
      <c r="A1579" s="5" t="str">
        <f>IFERROR(__xludf.DUMMYFUNCTION("""COMPUTED_VALUE"""),"37922")</f>
        <v>37922</v>
      </c>
      <c r="B1579" s="64">
        <f>IFERROR(__xludf.DUMMYFUNCTION("""COMPUTED_VALUE"""),44630.0)</f>
        <v>44630</v>
      </c>
      <c r="C1579" s="5"/>
      <c r="D1579" s="5"/>
      <c r="E1579" s="5"/>
      <c r="F1579" s="22">
        <f>IFERROR(__xludf.DUMMYFUNCTION("""COMPUTED_VALUE"""),500000.0)</f>
        <v>500000</v>
      </c>
      <c r="G1579" s="22">
        <f>IFERROR(__xludf.DUMMYFUNCTION("""COMPUTED_VALUE"""),0.0)</f>
        <v>0</v>
      </c>
      <c r="H1579" s="22">
        <f>IFERROR(__xludf.DUMMYFUNCTION("""COMPUTED_VALUE"""),500000.0)</f>
        <v>500000</v>
      </c>
      <c r="I1579" s="24">
        <f>IFERROR(__xludf.DUMMYFUNCTION("""COMPUTED_VALUE"""),0.0)</f>
        <v>0</v>
      </c>
    </row>
    <row r="1580">
      <c r="A1580" s="5" t="str">
        <f>IFERROR(__xludf.DUMMYFUNCTION("""COMPUTED_VALUE"""),"37922")</f>
        <v>37922</v>
      </c>
      <c r="B1580" s="64">
        <f>IFERROR(__xludf.DUMMYFUNCTION("""COMPUTED_VALUE"""),44631.0)</f>
        <v>44631</v>
      </c>
      <c r="C1580" s="5"/>
      <c r="D1580" s="5"/>
      <c r="E1580" s="5"/>
      <c r="F1580" s="22">
        <f>IFERROR(__xludf.DUMMYFUNCTION("""COMPUTED_VALUE"""),500000.0)</f>
        <v>500000</v>
      </c>
      <c r="G1580" s="22">
        <f>IFERROR(__xludf.DUMMYFUNCTION("""COMPUTED_VALUE"""),0.0)</f>
        <v>0</v>
      </c>
      <c r="H1580" s="22">
        <f>IFERROR(__xludf.DUMMYFUNCTION("""COMPUTED_VALUE"""),500000.0)</f>
        <v>500000</v>
      </c>
      <c r="I1580" s="24">
        <f>IFERROR(__xludf.DUMMYFUNCTION("""COMPUTED_VALUE"""),0.0)</f>
        <v>0</v>
      </c>
    </row>
    <row r="1581">
      <c r="A1581" s="5" t="str">
        <f>IFERROR(__xludf.DUMMYFUNCTION("""COMPUTED_VALUE"""),"37922")</f>
        <v>37922</v>
      </c>
      <c r="B1581" s="64">
        <f>IFERROR(__xludf.DUMMYFUNCTION("""COMPUTED_VALUE"""),44632.0)</f>
        <v>44632</v>
      </c>
      <c r="C1581" s="5"/>
      <c r="D1581" s="5"/>
      <c r="E1581" s="5"/>
      <c r="F1581" s="22">
        <f>IFERROR(__xludf.DUMMYFUNCTION("""COMPUTED_VALUE"""),500000.0)</f>
        <v>500000</v>
      </c>
      <c r="G1581" s="22">
        <f>IFERROR(__xludf.DUMMYFUNCTION("""COMPUTED_VALUE"""),0.0)</f>
        <v>0</v>
      </c>
      <c r="H1581" s="22">
        <f>IFERROR(__xludf.DUMMYFUNCTION("""COMPUTED_VALUE"""),500000.0)</f>
        <v>500000</v>
      </c>
      <c r="I1581" s="24">
        <f>IFERROR(__xludf.DUMMYFUNCTION("""COMPUTED_VALUE"""),0.0)</f>
        <v>0</v>
      </c>
    </row>
    <row r="1582">
      <c r="A1582" s="5" t="str">
        <f>IFERROR(__xludf.DUMMYFUNCTION("""COMPUTED_VALUE"""),"37922")</f>
        <v>37922</v>
      </c>
      <c r="B1582" s="64">
        <f>IFERROR(__xludf.DUMMYFUNCTION("""COMPUTED_VALUE"""),44633.0)</f>
        <v>44633</v>
      </c>
      <c r="C1582" s="5"/>
      <c r="D1582" s="5"/>
      <c r="E1582" s="5"/>
      <c r="F1582" s="22">
        <f>IFERROR(__xludf.DUMMYFUNCTION("""COMPUTED_VALUE"""),500000.0)</f>
        <v>500000</v>
      </c>
      <c r="G1582" s="22">
        <f>IFERROR(__xludf.DUMMYFUNCTION("""COMPUTED_VALUE"""),0.0)</f>
        <v>0</v>
      </c>
      <c r="H1582" s="22">
        <f>IFERROR(__xludf.DUMMYFUNCTION("""COMPUTED_VALUE"""),500000.0)</f>
        <v>500000</v>
      </c>
      <c r="I1582" s="24">
        <f>IFERROR(__xludf.DUMMYFUNCTION("""COMPUTED_VALUE"""),0.0)</f>
        <v>0</v>
      </c>
    </row>
    <row r="1583">
      <c r="A1583" s="5" t="str">
        <f>IFERROR(__xludf.DUMMYFUNCTION("""COMPUTED_VALUE"""),"37922")</f>
        <v>37922</v>
      </c>
      <c r="B1583" s="64">
        <f>IFERROR(__xludf.DUMMYFUNCTION("""COMPUTED_VALUE"""),44634.0)</f>
        <v>44634</v>
      </c>
      <c r="C1583" s="5"/>
      <c r="D1583" s="5"/>
      <c r="E1583" s="5"/>
      <c r="F1583" s="22">
        <f>IFERROR(__xludf.DUMMYFUNCTION("""COMPUTED_VALUE"""),500000.0)</f>
        <v>500000</v>
      </c>
      <c r="G1583" s="22">
        <f>IFERROR(__xludf.DUMMYFUNCTION("""COMPUTED_VALUE"""),0.0)</f>
        <v>0</v>
      </c>
      <c r="H1583" s="22">
        <f>IFERROR(__xludf.DUMMYFUNCTION("""COMPUTED_VALUE"""),500000.0)</f>
        <v>500000</v>
      </c>
      <c r="I1583" s="24">
        <f>IFERROR(__xludf.DUMMYFUNCTION("""COMPUTED_VALUE"""),0.0)</f>
        <v>0</v>
      </c>
    </row>
    <row r="1584">
      <c r="A1584" s="5" t="str">
        <f>IFERROR(__xludf.DUMMYFUNCTION("""COMPUTED_VALUE"""),"37922")</f>
        <v>37922</v>
      </c>
      <c r="B1584" s="64">
        <f>IFERROR(__xludf.DUMMYFUNCTION("""COMPUTED_VALUE"""),44635.0)</f>
        <v>44635</v>
      </c>
      <c r="C1584" s="5"/>
      <c r="D1584" s="5"/>
      <c r="E1584" s="5"/>
      <c r="F1584" s="22">
        <f>IFERROR(__xludf.DUMMYFUNCTION("""COMPUTED_VALUE"""),500000.0)</f>
        <v>500000</v>
      </c>
      <c r="G1584" s="22">
        <f>IFERROR(__xludf.DUMMYFUNCTION("""COMPUTED_VALUE"""),0.0)</f>
        <v>0</v>
      </c>
      <c r="H1584" s="22">
        <f>IFERROR(__xludf.DUMMYFUNCTION("""COMPUTED_VALUE"""),500000.0)</f>
        <v>500000</v>
      </c>
      <c r="I1584" s="24">
        <f>IFERROR(__xludf.DUMMYFUNCTION("""COMPUTED_VALUE"""),0.0)</f>
        <v>0</v>
      </c>
    </row>
    <row r="1585">
      <c r="A1585" s="5" t="str">
        <f>IFERROR(__xludf.DUMMYFUNCTION("""COMPUTED_VALUE"""),"37922")</f>
        <v>37922</v>
      </c>
      <c r="B1585" s="64">
        <f>IFERROR(__xludf.DUMMYFUNCTION("""COMPUTED_VALUE"""),44636.0)</f>
        <v>44636</v>
      </c>
      <c r="C1585" s="5"/>
      <c r="D1585" s="5"/>
      <c r="E1585" s="5"/>
      <c r="F1585" s="22">
        <f>IFERROR(__xludf.DUMMYFUNCTION("""COMPUTED_VALUE"""),500000.0)</f>
        <v>500000</v>
      </c>
      <c r="G1585" s="22">
        <f>IFERROR(__xludf.DUMMYFUNCTION("""COMPUTED_VALUE"""),0.0)</f>
        <v>0</v>
      </c>
      <c r="H1585" s="22">
        <f>IFERROR(__xludf.DUMMYFUNCTION("""COMPUTED_VALUE"""),500069.0)</f>
        <v>500069</v>
      </c>
      <c r="I1585" s="24">
        <f>IFERROR(__xludf.DUMMYFUNCTION("""COMPUTED_VALUE"""),1.3799999999997148E-4)</f>
        <v>0.000138</v>
      </c>
    </row>
    <row r="1586">
      <c r="A1586" s="5" t="str">
        <f>IFERROR(__xludf.DUMMYFUNCTION("""COMPUTED_VALUE"""),"37922")</f>
        <v>37922</v>
      </c>
      <c r="B1586" s="64">
        <f>IFERROR(__xludf.DUMMYFUNCTION("""COMPUTED_VALUE"""),44637.0)</f>
        <v>44637</v>
      </c>
      <c r="C1586" s="5"/>
      <c r="D1586" s="5"/>
      <c r="E1586" s="5"/>
      <c r="F1586" s="22">
        <f>IFERROR(__xludf.DUMMYFUNCTION("""COMPUTED_VALUE"""),500000.0)</f>
        <v>500000</v>
      </c>
      <c r="G1586" s="22">
        <f>IFERROR(__xludf.DUMMYFUNCTION("""COMPUTED_VALUE"""),0.0)</f>
        <v>0</v>
      </c>
      <c r="H1586" s="22">
        <f>IFERROR(__xludf.DUMMYFUNCTION("""COMPUTED_VALUE"""),500092.0)</f>
        <v>500092</v>
      </c>
      <c r="I1586" s="24">
        <f>IFERROR(__xludf.DUMMYFUNCTION("""COMPUTED_VALUE"""),1.8399999999996197E-4)</f>
        <v>0.000184</v>
      </c>
    </row>
    <row r="1587">
      <c r="A1587" s="5" t="str">
        <f>IFERROR(__xludf.DUMMYFUNCTION("""COMPUTED_VALUE"""),"37922")</f>
        <v>37922</v>
      </c>
      <c r="B1587" s="64">
        <f>IFERROR(__xludf.DUMMYFUNCTION("""COMPUTED_VALUE"""),44638.0)</f>
        <v>44638</v>
      </c>
      <c r="C1587" s="5"/>
      <c r="D1587" s="5"/>
      <c r="E1587" s="5"/>
      <c r="F1587" s="22">
        <f>IFERROR(__xludf.DUMMYFUNCTION("""COMPUTED_VALUE"""),500000.0)</f>
        <v>500000</v>
      </c>
      <c r="G1587" s="22">
        <f>IFERROR(__xludf.DUMMYFUNCTION("""COMPUTED_VALUE"""),0.0)</f>
        <v>0</v>
      </c>
      <c r="H1587" s="22">
        <f>IFERROR(__xludf.DUMMYFUNCTION("""COMPUTED_VALUE"""),500083.0)</f>
        <v>500083</v>
      </c>
      <c r="I1587" s="24">
        <f>IFERROR(__xludf.DUMMYFUNCTION("""COMPUTED_VALUE"""),1.660000000001105E-4)</f>
        <v>0.000166</v>
      </c>
    </row>
    <row r="1588">
      <c r="A1588" s="5" t="str">
        <f>IFERROR(__xludf.DUMMYFUNCTION("""COMPUTED_VALUE"""),"37922")</f>
        <v>37922</v>
      </c>
      <c r="B1588" s="64">
        <f>IFERROR(__xludf.DUMMYFUNCTION("""COMPUTED_VALUE"""),44639.0)</f>
        <v>44639</v>
      </c>
      <c r="C1588" s="5"/>
      <c r="D1588" s="5"/>
      <c r="E1588" s="5"/>
      <c r="F1588" s="22">
        <f>IFERROR(__xludf.DUMMYFUNCTION("""COMPUTED_VALUE"""),500000.0)</f>
        <v>500000</v>
      </c>
      <c r="G1588" s="22">
        <f>IFERROR(__xludf.DUMMYFUNCTION("""COMPUTED_VALUE"""),0.0)</f>
        <v>0</v>
      </c>
      <c r="H1588" s="22">
        <f>IFERROR(__xludf.DUMMYFUNCTION("""COMPUTED_VALUE"""),500083.0)</f>
        <v>500083</v>
      </c>
      <c r="I1588" s="24">
        <f>IFERROR(__xludf.DUMMYFUNCTION("""COMPUTED_VALUE"""),1.660000000001105E-4)</f>
        <v>0.000166</v>
      </c>
    </row>
    <row r="1589">
      <c r="A1589" s="5" t="str">
        <f>IFERROR(__xludf.DUMMYFUNCTION("""COMPUTED_VALUE"""),"37922")</f>
        <v>37922</v>
      </c>
      <c r="B1589" s="64">
        <f>IFERROR(__xludf.DUMMYFUNCTION("""COMPUTED_VALUE"""),44640.0)</f>
        <v>44640</v>
      </c>
      <c r="C1589" s="5"/>
      <c r="D1589" s="5"/>
      <c r="E1589" s="5"/>
      <c r="F1589" s="22">
        <f>IFERROR(__xludf.DUMMYFUNCTION("""COMPUTED_VALUE"""),500000.0)</f>
        <v>500000</v>
      </c>
      <c r="G1589" s="22">
        <f>IFERROR(__xludf.DUMMYFUNCTION("""COMPUTED_VALUE"""),0.0)</f>
        <v>0</v>
      </c>
      <c r="H1589" s="22">
        <f>IFERROR(__xludf.DUMMYFUNCTION("""COMPUTED_VALUE"""),500083.0)</f>
        <v>500083</v>
      </c>
      <c r="I1589" s="24">
        <f>IFERROR(__xludf.DUMMYFUNCTION("""COMPUTED_VALUE"""),1.660000000001105E-4)</f>
        <v>0.000166</v>
      </c>
    </row>
    <row r="1590">
      <c r="A1590" s="5" t="str">
        <f>IFERROR(__xludf.DUMMYFUNCTION("""COMPUTED_VALUE"""),"37922")</f>
        <v>37922</v>
      </c>
      <c r="B1590" s="64">
        <f>IFERROR(__xludf.DUMMYFUNCTION("""COMPUTED_VALUE"""),44641.0)</f>
        <v>44641</v>
      </c>
      <c r="C1590" s="5"/>
      <c r="D1590" s="5"/>
      <c r="E1590" s="5"/>
      <c r="F1590" s="22">
        <f>IFERROR(__xludf.DUMMYFUNCTION("""COMPUTED_VALUE"""),500000.0)</f>
        <v>500000</v>
      </c>
      <c r="G1590" s="22">
        <f>IFERROR(__xludf.DUMMYFUNCTION("""COMPUTED_VALUE"""),0.0)</f>
        <v>0</v>
      </c>
      <c r="H1590" s="22">
        <f>IFERROR(__xludf.DUMMYFUNCTION("""COMPUTED_VALUE"""),500074.4)</f>
        <v>500074.4</v>
      </c>
      <c r="I1590" s="24">
        <f>IFERROR(__xludf.DUMMYFUNCTION("""COMPUTED_VALUE"""),1.4880000000006E-4)</f>
        <v>0.0001488</v>
      </c>
    </row>
    <row r="1591">
      <c r="A1591" s="5" t="str">
        <f>IFERROR(__xludf.DUMMYFUNCTION("""COMPUTED_VALUE"""),"37922")</f>
        <v>37922</v>
      </c>
      <c r="B1591" s="64">
        <f>IFERROR(__xludf.DUMMYFUNCTION("""COMPUTED_VALUE"""),44642.0)</f>
        <v>44642</v>
      </c>
      <c r="C1591" s="5"/>
      <c r="D1591" s="5"/>
      <c r="E1591" s="5"/>
      <c r="F1591" s="22">
        <f>IFERROR(__xludf.DUMMYFUNCTION("""COMPUTED_VALUE"""),500000.0)</f>
        <v>500000</v>
      </c>
      <c r="G1591" s="22">
        <f>IFERROR(__xludf.DUMMYFUNCTION("""COMPUTED_VALUE"""),0.0)</f>
        <v>0</v>
      </c>
      <c r="H1591" s="22">
        <f>IFERROR(__xludf.DUMMYFUNCTION("""COMPUTED_VALUE"""),500090.0)</f>
        <v>500090</v>
      </c>
      <c r="I1591" s="24">
        <f>IFERROR(__xludf.DUMMYFUNCTION("""COMPUTED_VALUE"""),1.80000000000069E-4)</f>
        <v>0.00018</v>
      </c>
    </row>
    <row r="1592">
      <c r="A1592" s="5" t="str">
        <f>IFERROR(__xludf.DUMMYFUNCTION("""COMPUTED_VALUE"""),"37922")</f>
        <v>37922</v>
      </c>
      <c r="B1592" s="64">
        <f>IFERROR(__xludf.DUMMYFUNCTION("""COMPUTED_VALUE"""),44643.0)</f>
        <v>44643</v>
      </c>
      <c r="C1592" s="5"/>
      <c r="D1592" s="5"/>
      <c r="E1592" s="5"/>
      <c r="F1592" s="22">
        <f>IFERROR(__xludf.DUMMYFUNCTION("""COMPUTED_VALUE"""),500000.0)</f>
        <v>500000</v>
      </c>
      <c r="G1592" s="22">
        <f>IFERROR(__xludf.DUMMYFUNCTION("""COMPUTED_VALUE"""),0.0)</f>
        <v>0</v>
      </c>
      <c r="H1592" s="22">
        <f>IFERROR(__xludf.DUMMYFUNCTION("""COMPUTED_VALUE"""),500091.0)</f>
        <v>500091</v>
      </c>
      <c r="I1592" s="24">
        <f>IFERROR(__xludf.DUMMYFUNCTION("""COMPUTED_VALUE"""),1.8199999999990446E-4)</f>
        <v>0.000182</v>
      </c>
    </row>
    <row r="1593">
      <c r="A1593" s="5" t="str">
        <f>IFERROR(__xludf.DUMMYFUNCTION("""COMPUTED_VALUE"""),"37922")</f>
        <v>37922</v>
      </c>
      <c r="B1593" s="64">
        <f>IFERROR(__xludf.DUMMYFUNCTION("""COMPUTED_VALUE"""),44644.0)</f>
        <v>44644</v>
      </c>
      <c r="C1593" s="5"/>
      <c r="D1593" s="5"/>
      <c r="E1593" s="5"/>
      <c r="F1593" s="22">
        <f>IFERROR(__xludf.DUMMYFUNCTION("""COMPUTED_VALUE"""),500000.0)</f>
        <v>500000</v>
      </c>
      <c r="G1593" s="22">
        <f>IFERROR(__xludf.DUMMYFUNCTION("""COMPUTED_VALUE"""),0.0)</f>
        <v>0</v>
      </c>
      <c r="H1593" s="22">
        <f>IFERROR(__xludf.DUMMYFUNCTION("""COMPUTED_VALUE"""),500091.0)</f>
        <v>500091</v>
      </c>
      <c r="I1593" s="24">
        <f>IFERROR(__xludf.DUMMYFUNCTION("""COMPUTED_VALUE"""),1.8199999999990446E-4)</f>
        <v>0.000182</v>
      </c>
    </row>
    <row r="1594">
      <c r="A1594" s="5" t="str">
        <f>IFERROR(__xludf.DUMMYFUNCTION("""COMPUTED_VALUE"""),"37922")</f>
        <v>37922</v>
      </c>
      <c r="B1594" s="64">
        <f>IFERROR(__xludf.DUMMYFUNCTION("""COMPUTED_VALUE"""),44645.0)</f>
        <v>44645</v>
      </c>
      <c r="C1594" s="5"/>
      <c r="D1594" s="5"/>
      <c r="E1594" s="5"/>
      <c r="F1594" s="22">
        <f>IFERROR(__xludf.DUMMYFUNCTION("""COMPUTED_VALUE"""),500000.0)</f>
        <v>500000</v>
      </c>
      <c r="G1594" s="22">
        <f>IFERROR(__xludf.DUMMYFUNCTION("""COMPUTED_VALUE"""),0.0)</f>
        <v>0</v>
      </c>
      <c r="H1594" s="22">
        <f>IFERROR(__xludf.DUMMYFUNCTION("""COMPUTED_VALUE"""),500091.0)</f>
        <v>500091</v>
      </c>
      <c r="I1594" s="24">
        <f>IFERROR(__xludf.DUMMYFUNCTION("""COMPUTED_VALUE"""),1.8199999999990446E-4)</f>
        <v>0.000182</v>
      </c>
    </row>
    <row r="1595">
      <c r="A1595" s="5" t="str">
        <f>IFERROR(__xludf.DUMMYFUNCTION("""COMPUTED_VALUE"""),"37922")</f>
        <v>37922</v>
      </c>
      <c r="B1595" s="64">
        <f>IFERROR(__xludf.DUMMYFUNCTION("""COMPUTED_VALUE"""),44646.0)</f>
        <v>44646</v>
      </c>
      <c r="C1595" s="5"/>
      <c r="D1595" s="5"/>
      <c r="E1595" s="5"/>
      <c r="F1595" s="22">
        <f>IFERROR(__xludf.DUMMYFUNCTION("""COMPUTED_VALUE"""),500000.0)</f>
        <v>500000</v>
      </c>
      <c r="G1595" s="22">
        <f>IFERROR(__xludf.DUMMYFUNCTION("""COMPUTED_VALUE"""),0.0)</f>
        <v>0</v>
      </c>
      <c r="H1595" s="22">
        <f>IFERROR(__xludf.DUMMYFUNCTION("""COMPUTED_VALUE"""),500091.0)</f>
        <v>500091</v>
      </c>
      <c r="I1595" s="24">
        <f>IFERROR(__xludf.DUMMYFUNCTION("""COMPUTED_VALUE"""),1.8199999999990446E-4)</f>
        <v>0.000182</v>
      </c>
    </row>
    <row r="1596">
      <c r="A1596" s="5" t="str">
        <f>IFERROR(__xludf.DUMMYFUNCTION("""COMPUTED_VALUE"""),"37922")</f>
        <v>37922</v>
      </c>
      <c r="B1596" s="64">
        <f>IFERROR(__xludf.DUMMYFUNCTION("""COMPUTED_VALUE"""),44647.0)</f>
        <v>44647</v>
      </c>
      <c r="C1596" s="5"/>
      <c r="D1596" s="5"/>
      <c r="E1596" s="5"/>
      <c r="F1596" s="22">
        <f>IFERROR(__xludf.DUMMYFUNCTION("""COMPUTED_VALUE"""),500000.0)</f>
        <v>500000</v>
      </c>
      <c r="G1596" s="22">
        <f>IFERROR(__xludf.DUMMYFUNCTION("""COMPUTED_VALUE"""),0.0)</f>
        <v>0</v>
      </c>
      <c r="H1596" s="22">
        <f>IFERROR(__xludf.DUMMYFUNCTION("""COMPUTED_VALUE"""),500091.0)</f>
        <v>500091</v>
      </c>
      <c r="I1596" s="24">
        <f>IFERROR(__xludf.DUMMYFUNCTION("""COMPUTED_VALUE"""),1.8199999999990446E-4)</f>
        <v>0.000182</v>
      </c>
    </row>
    <row r="1597">
      <c r="A1597" s="5" t="str">
        <f>IFERROR(__xludf.DUMMYFUNCTION("""COMPUTED_VALUE"""),"37922")</f>
        <v>37922</v>
      </c>
      <c r="B1597" s="64">
        <f>IFERROR(__xludf.DUMMYFUNCTION("""COMPUTED_VALUE"""),44648.0)</f>
        <v>44648</v>
      </c>
      <c r="C1597" s="5"/>
      <c r="D1597" s="5"/>
      <c r="E1597" s="5"/>
      <c r="F1597" s="22">
        <f>IFERROR(__xludf.DUMMYFUNCTION("""COMPUTED_VALUE"""),500000.0)</f>
        <v>500000</v>
      </c>
      <c r="G1597" s="22">
        <f>IFERROR(__xludf.DUMMYFUNCTION("""COMPUTED_VALUE"""),0.0)</f>
        <v>0</v>
      </c>
      <c r="H1597" s="22">
        <f>IFERROR(__xludf.DUMMYFUNCTION("""COMPUTED_VALUE"""),500091.0)</f>
        <v>500091</v>
      </c>
      <c r="I1597" s="24">
        <f>IFERROR(__xludf.DUMMYFUNCTION("""COMPUTED_VALUE"""),1.8199999999990446E-4)</f>
        <v>0.000182</v>
      </c>
    </row>
    <row r="1598">
      <c r="A1598" s="5" t="str">
        <f>IFERROR(__xludf.DUMMYFUNCTION("""COMPUTED_VALUE"""),"37922")</f>
        <v>37922</v>
      </c>
      <c r="B1598" s="64">
        <f>IFERROR(__xludf.DUMMYFUNCTION("""COMPUTED_VALUE"""),44649.0)</f>
        <v>44649</v>
      </c>
      <c r="C1598" s="5"/>
      <c r="D1598" s="5"/>
      <c r="E1598" s="5"/>
      <c r="F1598" s="22">
        <f>IFERROR(__xludf.DUMMYFUNCTION("""COMPUTED_VALUE"""),500000.0)</f>
        <v>500000</v>
      </c>
      <c r="G1598" s="22">
        <f>IFERROR(__xludf.DUMMYFUNCTION("""COMPUTED_VALUE"""),0.0)</f>
        <v>0</v>
      </c>
      <c r="H1598" s="22">
        <f>IFERROR(__xludf.DUMMYFUNCTION("""COMPUTED_VALUE"""),500136.0099114)</f>
        <v>500136.0099</v>
      </c>
      <c r="I1598" s="24">
        <f>IFERROR(__xludf.DUMMYFUNCTION("""COMPUTED_VALUE"""),2.72019822799896E-4)</f>
        <v>0.0002720198228</v>
      </c>
    </row>
    <row r="1599">
      <c r="A1599" s="5" t="str">
        <f>IFERROR(__xludf.DUMMYFUNCTION("""COMPUTED_VALUE"""),"37922")</f>
        <v>37922</v>
      </c>
      <c r="B1599" s="64">
        <f>IFERROR(__xludf.DUMMYFUNCTION("""COMPUTED_VALUE"""),44650.0)</f>
        <v>44650</v>
      </c>
      <c r="C1599" s="5"/>
      <c r="D1599" s="5"/>
      <c r="E1599" s="5"/>
      <c r="F1599" s="22">
        <f>IFERROR(__xludf.DUMMYFUNCTION("""COMPUTED_VALUE"""),398348.90211039997)</f>
        <v>398348.9021</v>
      </c>
      <c r="G1599" s="22">
        <f>IFERROR(__xludf.DUMMYFUNCTION("""COMPUTED_VALUE"""),0.0)</f>
        <v>0</v>
      </c>
      <c r="H1599" s="22">
        <f>IFERROR(__xludf.DUMMYFUNCTION("""COMPUTED_VALUE"""),500183.51936214)</f>
        <v>500183.5194</v>
      </c>
      <c r="I1599" s="24">
        <f>IFERROR(__xludf.DUMMYFUNCTION("""COMPUTED_VALUE"""),3.6703872428001105E-4)</f>
        <v>0.0003670387243</v>
      </c>
    </row>
    <row r="1600">
      <c r="A1600" s="5" t="str">
        <f>IFERROR(__xludf.DUMMYFUNCTION("""COMPUTED_VALUE"""),"37922")</f>
        <v>37922</v>
      </c>
      <c r="B1600" s="64">
        <f>IFERROR(__xludf.DUMMYFUNCTION("""COMPUTED_VALUE"""),44651.0)</f>
        <v>44651</v>
      </c>
      <c r="C1600" s="5"/>
      <c r="D1600" s="5"/>
      <c r="E1600" s="5"/>
      <c r="F1600" s="22">
        <f>IFERROR(__xludf.DUMMYFUNCTION("""COMPUTED_VALUE"""),398348.90211039997)</f>
        <v>398348.9021</v>
      </c>
      <c r="G1600" s="22">
        <f>IFERROR(__xludf.DUMMYFUNCTION("""COMPUTED_VALUE"""),0.0)</f>
        <v>0</v>
      </c>
      <c r="H1600" s="22">
        <f>IFERROR(__xludf.DUMMYFUNCTION("""COMPUTED_VALUE"""),500146.64880966995)</f>
        <v>500146.6488</v>
      </c>
      <c r="I1600" s="24">
        <f>IFERROR(__xludf.DUMMYFUNCTION("""COMPUTED_VALUE"""),2.9329761933993836E-4)</f>
        <v>0.0002932976193</v>
      </c>
    </row>
    <row r="1601">
      <c r="A1601" s="5" t="str">
        <f>IFERROR(__xludf.DUMMYFUNCTION("""COMPUTED_VALUE"""),"37922")</f>
        <v>37922</v>
      </c>
      <c r="B1601" s="64">
        <f>IFERROR(__xludf.DUMMYFUNCTION("""COMPUTED_VALUE"""),44652.0)</f>
        <v>44652</v>
      </c>
      <c r="C1601" s="5"/>
      <c r="D1601" s="5"/>
      <c r="E1601" s="5"/>
      <c r="F1601" s="22">
        <f>IFERROR(__xludf.DUMMYFUNCTION("""COMPUTED_VALUE"""),398348.90211039997)</f>
        <v>398348.9021</v>
      </c>
      <c r="G1601" s="22">
        <f>IFERROR(__xludf.DUMMYFUNCTION("""COMPUTED_VALUE"""),0.0)</f>
        <v>0</v>
      </c>
      <c r="H1601" s="22">
        <f>IFERROR(__xludf.DUMMYFUNCTION("""COMPUTED_VALUE"""),500094.6392816)</f>
        <v>500094.6393</v>
      </c>
      <c r="I1601" s="24">
        <f>IFERROR(__xludf.DUMMYFUNCTION("""COMPUTED_VALUE"""),1.892785632000571E-4)</f>
        <v>0.0001892785632</v>
      </c>
    </row>
    <row r="1602">
      <c r="A1602" s="5" t="str">
        <f>IFERROR(__xludf.DUMMYFUNCTION("""COMPUTED_VALUE"""),"37922")</f>
        <v>37922</v>
      </c>
      <c r="B1602" s="64">
        <f>IFERROR(__xludf.DUMMYFUNCTION("""COMPUTED_VALUE"""),44653.0)</f>
        <v>44653</v>
      </c>
      <c r="C1602" s="5"/>
      <c r="D1602" s="5"/>
      <c r="E1602" s="5"/>
      <c r="F1602" s="22">
        <f>IFERROR(__xludf.DUMMYFUNCTION("""COMPUTED_VALUE"""),398348.90211039997)</f>
        <v>398348.9021</v>
      </c>
      <c r="G1602" s="22">
        <f>IFERROR(__xludf.DUMMYFUNCTION("""COMPUTED_VALUE"""),0.0)</f>
        <v>0</v>
      </c>
      <c r="H1602" s="22">
        <f>IFERROR(__xludf.DUMMYFUNCTION("""COMPUTED_VALUE"""),500094.6392816)</f>
        <v>500094.6393</v>
      </c>
      <c r="I1602" s="24">
        <f>IFERROR(__xludf.DUMMYFUNCTION("""COMPUTED_VALUE"""),1.892785632000571E-4)</f>
        <v>0.0001892785632</v>
      </c>
    </row>
    <row r="1603">
      <c r="A1603" s="5" t="str">
        <f>IFERROR(__xludf.DUMMYFUNCTION("""COMPUTED_VALUE"""),"37922")</f>
        <v>37922</v>
      </c>
      <c r="B1603" s="64">
        <f>IFERROR(__xludf.DUMMYFUNCTION("""COMPUTED_VALUE"""),44654.0)</f>
        <v>44654</v>
      </c>
      <c r="C1603" s="5"/>
      <c r="D1603" s="5"/>
      <c r="E1603" s="5"/>
      <c r="F1603" s="22">
        <f>IFERROR(__xludf.DUMMYFUNCTION("""COMPUTED_VALUE"""),398348.90211039997)</f>
        <v>398348.9021</v>
      </c>
      <c r="G1603" s="22">
        <f>IFERROR(__xludf.DUMMYFUNCTION("""COMPUTED_VALUE"""),0.0)</f>
        <v>0</v>
      </c>
      <c r="H1603" s="22">
        <f>IFERROR(__xludf.DUMMYFUNCTION("""COMPUTED_VALUE"""),500094.6392816)</f>
        <v>500094.6393</v>
      </c>
      <c r="I1603" s="24">
        <f>IFERROR(__xludf.DUMMYFUNCTION("""COMPUTED_VALUE"""),1.892785632000571E-4)</f>
        <v>0.0001892785632</v>
      </c>
    </row>
    <row r="1604">
      <c r="A1604" s="5" t="str">
        <f>IFERROR(__xludf.DUMMYFUNCTION("""COMPUTED_VALUE"""),"37922")</f>
        <v>37922</v>
      </c>
      <c r="B1604" s="64">
        <f>IFERROR(__xludf.DUMMYFUNCTION("""COMPUTED_VALUE"""),44655.0)</f>
        <v>44655</v>
      </c>
      <c r="C1604" s="5"/>
      <c r="D1604" s="5"/>
      <c r="E1604" s="5"/>
      <c r="F1604" s="22">
        <f>IFERROR(__xludf.DUMMYFUNCTION("""COMPUTED_VALUE"""),398348.90211039997)</f>
        <v>398348.9021</v>
      </c>
      <c r="G1604" s="22">
        <f>IFERROR(__xludf.DUMMYFUNCTION("""COMPUTED_VALUE"""),0.0)</f>
        <v>0</v>
      </c>
      <c r="H1604" s="22">
        <f>IFERROR(__xludf.DUMMYFUNCTION("""COMPUTED_VALUE"""),500094.71883461)</f>
        <v>500094.7188</v>
      </c>
      <c r="I1604" s="24">
        <f>IFERROR(__xludf.DUMMYFUNCTION("""COMPUTED_VALUE"""),1.8943766921997174E-4)</f>
        <v>0.0001894376692</v>
      </c>
    </row>
    <row r="1605">
      <c r="A1605" s="5" t="str">
        <f>IFERROR(__xludf.DUMMYFUNCTION("""COMPUTED_VALUE"""),"37922")</f>
        <v>37922</v>
      </c>
      <c r="B1605" s="64">
        <f>IFERROR(__xludf.DUMMYFUNCTION("""COMPUTED_VALUE"""),44656.0)</f>
        <v>44656</v>
      </c>
      <c r="C1605" s="5"/>
      <c r="D1605" s="5"/>
      <c r="E1605" s="5"/>
      <c r="F1605" s="22">
        <f>IFERROR(__xludf.DUMMYFUNCTION("""COMPUTED_VALUE"""),398348.90211039997)</f>
        <v>398348.9021</v>
      </c>
      <c r="G1605" s="22">
        <f>IFERROR(__xludf.DUMMYFUNCTION("""COMPUTED_VALUE"""),0.0)</f>
        <v>0</v>
      </c>
      <c r="H1605" s="22">
        <f>IFERROR(__xludf.DUMMYFUNCTION("""COMPUTED_VALUE"""),500094.71883461)</f>
        <v>500094.7188</v>
      </c>
      <c r="I1605" s="24">
        <f>IFERROR(__xludf.DUMMYFUNCTION("""COMPUTED_VALUE"""),1.8943766921997174E-4)</f>
        <v>0.0001894376692</v>
      </c>
    </row>
    <row r="1606">
      <c r="A1606" s="5" t="str">
        <f>IFERROR(__xludf.DUMMYFUNCTION("""COMPUTED_VALUE"""),"37922")</f>
        <v>37922</v>
      </c>
      <c r="B1606" s="64">
        <f>IFERROR(__xludf.DUMMYFUNCTION("""COMPUTED_VALUE"""),44657.0)</f>
        <v>44657</v>
      </c>
      <c r="C1606" s="5"/>
      <c r="D1606" s="5"/>
      <c r="E1606" s="5"/>
      <c r="F1606" s="22">
        <f>IFERROR(__xludf.DUMMYFUNCTION("""COMPUTED_VALUE"""),398348.90211039997)</f>
        <v>398348.9021</v>
      </c>
      <c r="G1606" s="22">
        <f>IFERROR(__xludf.DUMMYFUNCTION("""COMPUTED_VALUE"""),0.0)</f>
        <v>0</v>
      </c>
      <c r="H1606" s="22">
        <f>IFERROR(__xludf.DUMMYFUNCTION("""COMPUTED_VALUE"""),500101.52887086006)</f>
        <v>500101.5289</v>
      </c>
      <c r="I1606" s="24">
        <f>IFERROR(__xludf.DUMMYFUNCTION("""COMPUTED_VALUE"""),2.0305774172002522E-4)</f>
        <v>0.0002030577417</v>
      </c>
    </row>
    <row r="1607">
      <c r="A1607" s="5" t="str">
        <f>IFERROR(__xludf.DUMMYFUNCTION("""COMPUTED_VALUE"""),"37922")</f>
        <v>37922</v>
      </c>
      <c r="B1607" s="64">
        <f>IFERROR(__xludf.DUMMYFUNCTION("""COMPUTED_VALUE"""),44658.0)</f>
        <v>44658</v>
      </c>
      <c r="C1607" s="5"/>
      <c r="D1607" s="5"/>
      <c r="E1607" s="5"/>
      <c r="F1607" s="22">
        <f>IFERROR(__xludf.DUMMYFUNCTION("""COMPUTED_VALUE"""),398348.90211039997)</f>
        <v>398348.9021</v>
      </c>
      <c r="G1607" s="22">
        <f>IFERROR(__xludf.DUMMYFUNCTION("""COMPUTED_VALUE"""),0.0)</f>
        <v>0</v>
      </c>
      <c r="H1607" s="22">
        <f>IFERROR(__xludf.DUMMYFUNCTION("""COMPUTED_VALUE"""),500061.30276376)</f>
        <v>500061.3028</v>
      </c>
      <c r="I1607" s="24">
        <f>IFERROR(__xludf.DUMMYFUNCTION("""COMPUTED_VALUE"""),1.2260552751985898E-4)</f>
        <v>0.0001226055275</v>
      </c>
    </row>
    <row r="1608">
      <c r="A1608" s="5" t="str">
        <f>IFERROR(__xludf.DUMMYFUNCTION("""COMPUTED_VALUE"""),"37922")</f>
        <v>37922</v>
      </c>
      <c r="B1608" s="64">
        <f>IFERROR(__xludf.DUMMYFUNCTION("""COMPUTED_VALUE"""),44659.0)</f>
        <v>44659</v>
      </c>
      <c r="C1608" s="5"/>
      <c r="D1608" s="5"/>
      <c r="E1608" s="5"/>
      <c r="F1608" s="22">
        <f>IFERROR(__xludf.DUMMYFUNCTION("""COMPUTED_VALUE"""),398348.90211039997)</f>
        <v>398348.9021</v>
      </c>
      <c r="G1608" s="22">
        <f>IFERROR(__xludf.DUMMYFUNCTION("""COMPUTED_VALUE"""),0.0)</f>
        <v>0</v>
      </c>
      <c r="H1608" s="22">
        <f>IFERROR(__xludf.DUMMYFUNCTION("""COMPUTED_VALUE"""),500024.4435683)</f>
        <v>500024.4436</v>
      </c>
      <c r="I1608" s="24">
        <f>IFERROR(__xludf.DUMMYFUNCTION("""COMPUTED_VALUE"""),4.888713660000654E-5)</f>
        <v>0.0000488871366</v>
      </c>
    </row>
    <row r="1609">
      <c r="A1609" s="5" t="str">
        <f>IFERROR(__xludf.DUMMYFUNCTION("""COMPUTED_VALUE"""),"37922")</f>
        <v>37922</v>
      </c>
      <c r="B1609" s="64">
        <f>IFERROR(__xludf.DUMMYFUNCTION("""COMPUTED_VALUE"""),44660.0)</f>
        <v>44660</v>
      </c>
      <c r="C1609" s="5"/>
      <c r="D1609" s="5"/>
      <c r="E1609" s="5"/>
      <c r="F1609" s="22">
        <f>IFERROR(__xludf.DUMMYFUNCTION("""COMPUTED_VALUE"""),398348.90211039997)</f>
        <v>398348.9021</v>
      </c>
      <c r="G1609" s="22">
        <f>IFERROR(__xludf.DUMMYFUNCTION("""COMPUTED_VALUE"""),0.0)</f>
        <v>0</v>
      </c>
      <c r="H1609" s="22">
        <f>IFERROR(__xludf.DUMMYFUNCTION("""COMPUTED_VALUE"""),500024.4435683)</f>
        <v>500024.4436</v>
      </c>
      <c r="I1609" s="24">
        <f>IFERROR(__xludf.DUMMYFUNCTION("""COMPUTED_VALUE"""),4.888713660000654E-5)</f>
        <v>0.0000488871366</v>
      </c>
    </row>
    <row r="1610">
      <c r="A1610" s="5" t="str">
        <f>IFERROR(__xludf.DUMMYFUNCTION("""COMPUTED_VALUE"""),"37922")</f>
        <v>37922</v>
      </c>
      <c r="B1610" s="64">
        <f>IFERROR(__xludf.DUMMYFUNCTION("""COMPUTED_VALUE"""),44661.0)</f>
        <v>44661</v>
      </c>
      <c r="C1610" s="5"/>
      <c r="D1610" s="5"/>
      <c r="E1610" s="5"/>
      <c r="F1610" s="22">
        <f>IFERROR(__xludf.DUMMYFUNCTION("""COMPUTED_VALUE"""),398348.90211039997)</f>
        <v>398348.9021</v>
      </c>
      <c r="G1610" s="22">
        <f>IFERROR(__xludf.DUMMYFUNCTION("""COMPUTED_VALUE"""),0.0)</f>
        <v>0</v>
      </c>
      <c r="H1610" s="22">
        <f>IFERROR(__xludf.DUMMYFUNCTION("""COMPUTED_VALUE"""),500024.4435683)</f>
        <v>500024.4436</v>
      </c>
      <c r="I1610" s="24">
        <f>IFERROR(__xludf.DUMMYFUNCTION("""COMPUTED_VALUE"""),4.888713660000654E-5)</f>
        <v>0.0000488871366</v>
      </c>
    </row>
    <row r="1611">
      <c r="A1611" s="5" t="str">
        <f>IFERROR(__xludf.DUMMYFUNCTION("""COMPUTED_VALUE"""),"37922")</f>
        <v>37922</v>
      </c>
      <c r="B1611" s="64">
        <f>IFERROR(__xludf.DUMMYFUNCTION("""COMPUTED_VALUE"""),44662.0)</f>
        <v>44662</v>
      </c>
      <c r="C1611" s="5"/>
      <c r="D1611" s="5"/>
      <c r="E1611" s="5"/>
      <c r="F1611" s="22">
        <f>IFERROR(__xludf.DUMMYFUNCTION("""COMPUTED_VALUE"""),398348.90211039997)</f>
        <v>398348.9021</v>
      </c>
      <c r="G1611" s="22">
        <f>IFERROR(__xludf.DUMMYFUNCTION("""COMPUTED_VALUE"""),0.0)</f>
        <v>0</v>
      </c>
      <c r="H1611" s="22">
        <f>IFERROR(__xludf.DUMMYFUNCTION("""COMPUTED_VALUE"""),500023.18208152)</f>
        <v>500023.1821</v>
      </c>
      <c r="I1611" s="24">
        <f>IFERROR(__xludf.DUMMYFUNCTION("""COMPUTED_VALUE"""),4.6364163039935846E-5)</f>
        <v>0.00004636416304</v>
      </c>
    </row>
    <row r="1612">
      <c r="A1612" s="5" t="str">
        <f>IFERROR(__xludf.DUMMYFUNCTION("""COMPUTED_VALUE"""),"37922")</f>
        <v>37922</v>
      </c>
      <c r="B1612" s="64">
        <f>IFERROR(__xludf.DUMMYFUNCTION("""COMPUTED_VALUE"""),44663.0)</f>
        <v>44663</v>
      </c>
      <c r="C1612" s="5"/>
      <c r="D1612" s="5"/>
      <c r="E1612" s="5"/>
      <c r="F1612" s="22">
        <f>IFERROR(__xludf.DUMMYFUNCTION("""COMPUTED_VALUE"""),398348.90211039997)</f>
        <v>398348.9021</v>
      </c>
      <c r="G1612" s="22">
        <f>IFERROR(__xludf.DUMMYFUNCTION("""COMPUTED_VALUE"""),0.0)</f>
        <v>0</v>
      </c>
      <c r="H1612" s="22">
        <f>IFERROR(__xludf.DUMMYFUNCTION("""COMPUTED_VALUE"""),500024.41802742)</f>
        <v>500024.418</v>
      </c>
      <c r="I1612" s="24">
        <f>IFERROR(__xludf.DUMMYFUNCTION("""COMPUTED_VALUE"""),4.883605484007347E-5)</f>
        <v>0.00004883605484</v>
      </c>
    </row>
    <row r="1613">
      <c r="A1613" s="5" t="str">
        <f>IFERROR(__xludf.DUMMYFUNCTION("""COMPUTED_VALUE"""),"37934")</f>
        <v>37934</v>
      </c>
      <c r="B1613" s="64">
        <f>IFERROR(__xludf.DUMMYFUNCTION("""COMPUTED_VALUE"""),44597.0)</f>
        <v>44597</v>
      </c>
      <c r="C1613" s="5"/>
      <c r="D1613" s="5"/>
      <c r="E1613" s="5"/>
      <c r="F1613" s="22">
        <f>IFERROR(__xludf.DUMMYFUNCTION("""COMPUTED_VALUE"""),500000.0)</f>
        <v>500000</v>
      </c>
      <c r="G1613" s="22">
        <f>IFERROR(__xludf.DUMMYFUNCTION("""COMPUTED_VALUE"""),0.0)</f>
        <v>0</v>
      </c>
      <c r="H1613" s="22">
        <f>IFERROR(__xludf.DUMMYFUNCTION("""COMPUTED_VALUE"""),500000.0)</f>
        <v>500000</v>
      </c>
      <c r="I1613" s="24">
        <f>IFERROR(__xludf.DUMMYFUNCTION("""COMPUTED_VALUE"""),0.0)</f>
        <v>0</v>
      </c>
    </row>
    <row r="1614">
      <c r="A1614" s="5" t="str">
        <f>IFERROR(__xludf.DUMMYFUNCTION("""COMPUTED_VALUE"""),"37934")</f>
        <v>37934</v>
      </c>
      <c r="B1614" s="64">
        <f>IFERROR(__xludf.DUMMYFUNCTION("""COMPUTED_VALUE"""),44598.0)</f>
        <v>44598</v>
      </c>
      <c r="C1614" s="5"/>
      <c r="D1614" s="5"/>
      <c r="E1614" s="5"/>
      <c r="F1614" s="22">
        <f>IFERROR(__xludf.DUMMYFUNCTION("""COMPUTED_VALUE"""),500000.0)</f>
        <v>500000</v>
      </c>
      <c r="G1614" s="22">
        <f>IFERROR(__xludf.DUMMYFUNCTION("""COMPUTED_VALUE"""),0.0)</f>
        <v>0</v>
      </c>
      <c r="H1614" s="22">
        <f>IFERROR(__xludf.DUMMYFUNCTION("""COMPUTED_VALUE"""),500000.0)</f>
        <v>500000</v>
      </c>
      <c r="I1614" s="24">
        <f>IFERROR(__xludf.DUMMYFUNCTION("""COMPUTED_VALUE"""),0.0)</f>
        <v>0</v>
      </c>
    </row>
    <row r="1615">
      <c r="A1615" s="5" t="str">
        <f>IFERROR(__xludf.DUMMYFUNCTION("""COMPUTED_VALUE"""),"37934")</f>
        <v>37934</v>
      </c>
      <c r="B1615" s="64">
        <f>IFERROR(__xludf.DUMMYFUNCTION("""COMPUTED_VALUE"""),44599.0)</f>
        <v>44599</v>
      </c>
      <c r="C1615" s="5"/>
      <c r="D1615" s="5"/>
      <c r="E1615" s="5"/>
      <c r="F1615" s="22">
        <f>IFERROR(__xludf.DUMMYFUNCTION("""COMPUTED_VALUE"""),500000.0)</f>
        <v>500000</v>
      </c>
      <c r="G1615" s="22">
        <f>IFERROR(__xludf.DUMMYFUNCTION("""COMPUTED_VALUE"""),0.0)</f>
        <v>0</v>
      </c>
      <c r="H1615" s="22">
        <f>IFERROR(__xludf.DUMMYFUNCTION("""COMPUTED_VALUE"""),500000.0)</f>
        <v>500000</v>
      </c>
      <c r="I1615" s="24">
        <f>IFERROR(__xludf.DUMMYFUNCTION("""COMPUTED_VALUE"""),0.0)</f>
        <v>0</v>
      </c>
    </row>
    <row r="1616">
      <c r="A1616" s="5" t="str">
        <f>IFERROR(__xludf.DUMMYFUNCTION("""COMPUTED_VALUE"""),"37934")</f>
        <v>37934</v>
      </c>
      <c r="B1616" s="64">
        <f>IFERROR(__xludf.DUMMYFUNCTION("""COMPUTED_VALUE"""),44600.0)</f>
        <v>44600</v>
      </c>
      <c r="C1616" s="5"/>
      <c r="D1616" s="5"/>
      <c r="E1616" s="5"/>
      <c r="F1616" s="22">
        <f>IFERROR(__xludf.DUMMYFUNCTION("""COMPUTED_VALUE"""),500000.0)</f>
        <v>500000</v>
      </c>
      <c r="G1616" s="22">
        <f>IFERROR(__xludf.DUMMYFUNCTION("""COMPUTED_VALUE"""),0.0)</f>
        <v>0</v>
      </c>
      <c r="H1616" s="22">
        <f>IFERROR(__xludf.DUMMYFUNCTION("""COMPUTED_VALUE"""),500000.0)</f>
        <v>500000</v>
      </c>
      <c r="I1616" s="24">
        <f>IFERROR(__xludf.DUMMYFUNCTION("""COMPUTED_VALUE"""),0.0)</f>
        <v>0</v>
      </c>
    </row>
    <row r="1617">
      <c r="A1617" s="5" t="str">
        <f>IFERROR(__xludf.DUMMYFUNCTION("""COMPUTED_VALUE"""),"37934")</f>
        <v>37934</v>
      </c>
      <c r="B1617" s="64">
        <f>IFERROR(__xludf.DUMMYFUNCTION("""COMPUTED_VALUE"""),44601.0)</f>
        <v>44601</v>
      </c>
      <c r="C1617" s="5"/>
      <c r="D1617" s="5"/>
      <c r="E1617" s="5"/>
      <c r="F1617" s="22">
        <f>IFERROR(__xludf.DUMMYFUNCTION("""COMPUTED_VALUE"""),500000.0)</f>
        <v>500000</v>
      </c>
      <c r="G1617" s="22">
        <f>IFERROR(__xludf.DUMMYFUNCTION("""COMPUTED_VALUE"""),0.0)</f>
        <v>0</v>
      </c>
      <c r="H1617" s="22">
        <f>IFERROR(__xludf.DUMMYFUNCTION("""COMPUTED_VALUE"""),500000.0)</f>
        <v>500000</v>
      </c>
      <c r="I1617" s="24">
        <f>IFERROR(__xludf.DUMMYFUNCTION("""COMPUTED_VALUE"""),0.0)</f>
        <v>0</v>
      </c>
    </row>
    <row r="1618">
      <c r="A1618" s="5" t="str">
        <f>IFERROR(__xludf.DUMMYFUNCTION("""COMPUTED_VALUE"""),"37934")</f>
        <v>37934</v>
      </c>
      <c r="B1618" s="64">
        <f>IFERROR(__xludf.DUMMYFUNCTION("""COMPUTED_VALUE"""),44602.0)</f>
        <v>44602</v>
      </c>
      <c r="C1618" s="5"/>
      <c r="D1618" s="5"/>
      <c r="E1618" s="5"/>
      <c r="F1618" s="22">
        <f>IFERROR(__xludf.DUMMYFUNCTION("""COMPUTED_VALUE"""),500000.0)</f>
        <v>500000</v>
      </c>
      <c r="G1618" s="22">
        <f>IFERROR(__xludf.DUMMYFUNCTION("""COMPUTED_VALUE"""),0.0)</f>
        <v>0</v>
      </c>
      <c r="H1618" s="22">
        <f>IFERROR(__xludf.DUMMYFUNCTION("""COMPUTED_VALUE"""),500000.0)</f>
        <v>500000</v>
      </c>
      <c r="I1618" s="24">
        <f>IFERROR(__xludf.DUMMYFUNCTION("""COMPUTED_VALUE"""),0.0)</f>
        <v>0</v>
      </c>
    </row>
    <row r="1619">
      <c r="A1619" s="5" t="str">
        <f>IFERROR(__xludf.DUMMYFUNCTION("""COMPUTED_VALUE"""),"37934")</f>
        <v>37934</v>
      </c>
      <c r="B1619" s="64">
        <f>IFERROR(__xludf.DUMMYFUNCTION("""COMPUTED_VALUE"""),44603.0)</f>
        <v>44603</v>
      </c>
      <c r="C1619" s="5"/>
      <c r="D1619" s="5"/>
      <c r="E1619" s="5"/>
      <c r="F1619" s="22">
        <f>IFERROR(__xludf.DUMMYFUNCTION("""COMPUTED_VALUE"""),500000.0)</f>
        <v>500000</v>
      </c>
      <c r="G1619" s="22">
        <f>IFERROR(__xludf.DUMMYFUNCTION("""COMPUTED_VALUE"""),0.0)</f>
        <v>0</v>
      </c>
      <c r="H1619" s="22">
        <f>IFERROR(__xludf.DUMMYFUNCTION("""COMPUTED_VALUE"""),500000.0)</f>
        <v>500000</v>
      </c>
      <c r="I1619" s="24">
        <f>IFERROR(__xludf.DUMMYFUNCTION("""COMPUTED_VALUE"""),0.0)</f>
        <v>0</v>
      </c>
    </row>
    <row r="1620">
      <c r="A1620" s="5" t="str">
        <f>IFERROR(__xludf.DUMMYFUNCTION("""COMPUTED_VALUE"""),"37934")</f>
        <v>37934</v>
      </c>
      <c r="B1620" s="64">
        <f>IFERROR(__xludf.DUMMYFUNCTION("""COMPUTED_VALUE"""),44604.0)</f>
        <v>44604</v>
      </c>
      <c r="C1620" s="5"/>
      <c r="D1620" s="5"/>
      <c r="E1620" s="5"/>
      <c r="F1620" s="22">
        <f>IFERROR(__xludf.DUMMYFUNCTION("""COMPUTED_VALUE"""),500000.0)</f>
        <v>500000</v>
      </c>
      <c r="G1620" s="22">
        <f>IFERROR(__xludf.DUMMYFUNCTION("""COMPUTED_VALUE"""),0.0)</f>
        <v>0</v>
      </c>
      <c r="H1620" s="22">
        <f>IFERROR(__xludf.DUMMYFUNCTION("""COMPUTED_VALUE"""),500000.0)</f>
        <v>500000</v>
      </c>
      <c r="I1620" s="24">
        <f>IFERROR(__xludf.DUMMYFUNCTION("""COMPUTED_VALUE"""),0.0)</f>
        <v>0</v>
      </c>
    </row>
    <row r="1621">
      <c r="A1621" s="5" t="str">
        <f>IFERROR(__xludf.DUMMYFUNCTION("""COMPUTED_VALUE"""),"37934")</f>
        <v>37934</v>
      </c>
      <c r="B1621" s="64">
        <f>IFERROR(__xludf.DUMMYFUNCTION("""COMPUTED_VALUE"""),44605.0)</f>
        <v>44605</v>
      </c>
      <c r="C1621" s="5"/>
      <c r="D1621" s="5"/>
      <c r="E1621" s="5"/>
      <c r="F1621" s="22">
        <f>IFERROR(__xludf.DUMMYFUNCTION("""COMPUTED_VALUE"""),500000.0)</f>
        <v>500000</v>
      </c>
      <c r="G1621" s="22">
        <f>IFERROR(__xludf.DUMMYFUNCTION("""COMPUTED_VALUE"""),0.0)</f>
        <v>0</v>
      </c>
      <c r="H1621" s="22">
        <f>IFERROR(__xludf.DUMMYFUNCTION("""COMPUTED_VALUE"""),500000.0)</f>
        <v>500000</v>
      </c>
      <c r="I1621" s="24">
        <f>IFERROR(__xludf.DUMMYFUNCTION("""COMPUTED_VALUE"""),0.0)</f>
        <v>0</v>
      </c>
    </row>
    <row r="1622">
      <c r="A1622" s="5" t="str">
        <f>IFERROR(__xludf.DUMMYFUNCTION("""COMPUTED_VALUE"""),"37934")</f>
        <v>37934</v>
      </c>
      <c r="B1622" s="64">
        <f>IFERROR(__xludf.DUMMYFUNCTION("""COMPUTED_VALUE"""),44606.0)</f>
        <v>44606</v>
      </c>
      <c r="C1622" s="5"/>
      <c r="D1622" s="5"/>
      <c r="E1622" s="5"/>
      <c r="F1622" s="22">
        <f>IFERROR(__xludf.DUMMYFUNCTION("""COMPUTED_VALUE"""),500000.0)</f>
        <v>500000</v>
      </c>
      <c r="G1622" s="22">
        <f>IFERROR(__xludf.DUMMYFUNCTION("""COMPUTED_VALUE"""),0.0)</f>
        <v>0</v>
      </c>
      <c r="H1622" s="22">
        <f>IFERROR(__xludf.DUMMYFUNCTION("""COMPUTED_VALUE"""),500000.0)</f>
        <v>500000</v>
      </c>
      <c r="I1622" s="24">
        <f>IFERROR(__xludf.DUMMYFUNCTION("""COMPUTED_VALUE"""),0.0)</f>
        <v>0</v>
      </c>
    </row>
    <row r="1623">
      <c r="A1623" s="5" t="str">
        <f>IFERROR(__xludf.DUMMYFUNCTION("""COMPUTED_VALUE"""),"37934")</f>
        <v>37934</v>
      </c>
      <c r="B1623" s="64">
        <f>IFERROR(__xludf.DUMMYFUNCTION("""COMPUTED_VALUE"""),44607.0)</f>
        <v>44607</v>
      </c>
      <c r="C1623" s="5"/>
      <c r="D1623" s="5"/>
      <c r="E1623" s="5"/>
      <c r="F1623" s="22">
        <f>IFERROR(__xludf.DUMMYFUNCTION("""COMPUTED_VALUE"""),500000.0)</f>
        <v>500000</v>
      </c>
      <c r="G1623" s="22">
        <f>IFERROR(__xludf.DUMMYFUNCTION("""COMPUTED_VALUE"""),0.0)</f>
        <v>0</v>
      </c>
      <c r="H1623" s="22">
        <f>IFERROR(__xludf.DUMMYFUNCTION("""COMPUTED_VALUE"""),500000.0)</f>
        <v>500000</v>
      </c>
      <c r="I1623" s="24">
        <f>IFERROR(__xludf.DUMMYFUNCTION("""COMPUTED_VALUE"""),0.0)</f>
        <v>0</v>
      </c>
    </row>
    <row r="1624">
      <c r="A1624" s="5" t="str">
        <f>IFERROR(__xludf.DUMMYFUNCTION("""COMPUTED_VALUE"""),"37934")</f>
        <v>37934</v>
      </c>
      <c r="B1624" s="64">
        <f>IFERROR(__xludf.DUMMYFUNCTION("""COMPUTED_VALUE"""),44608.0)</f>
        <v>44608</v>
      </c>
      <c r="C1624" s="5"/>
      <c r="D1624" s="5"/>
      <c r="E1624" s="5"/>
      <c r="F1624" s="22">
        <f>IFERROR(__xludf.DUMMYFUNCTION("""COMPUTED_VALUE"""),500000.0)</f>
        <v>500000</v>
      </c>
      <c r="G1624" s="22">
        <f>IFERROR(__xludf.DUMMYFUNCTION("""COMPUTED_VALUE"""),0.0)</f>
        <v>0</v>
      </c>
      <c r="H1624" s="22">
        <f>IFERROR(__xludf.DUMMYFUNCTION("""COMPUTED_VALUE"""),500000.0)</f>
        <v>500000</v>
      </c>
      <c r="I1624" s="24">
        <f>IFERROR(__xludf.DUMMYFUNCTION("""COMPUTED_VALUE"""),0.0)</f>
        <v>0</v>
      </c>
    </row>
    <row r="1625">
      <c r="A1625" s="5" t="str">
        <f>IFERROR(__xludf.DUMMYFUNCTION("""COMPUTED_VALUE"""),"37934")</f>
        <v>37934</v>
      </c>
      <c r="B1625" s="64">
        <f>IFERROR(__xludf.DUMMYFUNCTION("""COMPUTED_VALUE"""),44609.0)</f>
        <v>44609</v>
      </c>
      <c r="C1625" s="5"/>
      <c r="D1625" s="5"/>
      <c r="E1625" s="5"/>
      <c r="F1625" s="22">
        <f>IFERROR(__xludf.DUMMYFUNCTION("""COMPUTED_VALUE"""),500000.0)</f>
        <v>500000</v>
      </c>
      <c r="G1625" s="22">
        <f>IFERROR(__xludf.DUMMYFUNCTION("""COMPUTED_VALUE"""),0.0)</f>
        <v>0</v>
      </c>
      <c r="H1625" s="22">
        <f>IFERROR(__xludf.DUMMYFUNCTION("""COMPUTED_VALUE"""),500000.0)</f>
        <v>500000</v>
      </c>
      <c r="I1625" s="24">
        <f>IFERROR(__xludf.DUMMYFUNCTION("""COMPUTED_VALUE"""),0.0)</f>
        <v>0</v>
      </c>
    </row>
    <row r="1626">
      <c r="A1626" s="5" t="str">
        <f>IFERROR(__xludf.DUMMYFUNCTION("""COMPUTED_VALUE"""),"37934")</f>
        <v>37934</v>
      </c>
      <c r="B1626" s="64">
        <f>IFERROR(__xludf.DUMMYFUNCTION("""COMPUTED_VALUE"""),44610.0)</f>
        <v>44610</v>
      </c>
      <c r="C1626" s="5"/>
      <c r="D1626" s="5"/>
      <c r="E1626" s="5"/>
      <c r="F1626" s="22">
        <f>IFERROR(__xludf.DUMMYFUNCTION("""COMPUTED_VALUE"""),500000.0)</f>
        <v>500000</v>
      </c>
      <c r="G1626" s="22">
        <f>IFERROR(__xludf.DUMMYFUNCTION("""COMPUTED_VALUE"""),0.0)</f>
        <v>0</v>
      </c>
      <c r="H1626" s="22">
        <f>IFERROR(__xludf.DUMMYFUNCTION("""COMPUTED_VALUE"""),500000.0)</f>
        <v>500000</v>
      </c>
      <c r="I1626" s="24">
        <f>IFERROR(__xludf.DUMMYFUNCTION("""COMPUTED_VALUE"""),0.0)</f>
        <v>0</v>
      </c>
    </row>
    <row r="1627">
      <c r="A1627" s="5" t="str">
        <f>IFERROR(__xludf.DUMMYFUNCTION("""COMPUTED_VALUE"""),"37934")</f>
        <v>37934</v>
      </c>
      <c r="B1627" s="64">
        <f>IFERROR(__xludf.DUMMYFUNCTION("""COMPUTED_VALUE"""),44611.0)</f>
        <v>44611</v>
      </c>
      <c r="C1627" s="5"/>
      <c r="D1627" s="5"/>
      <c r="E1627" s="5"/>
      <c r="F1627" s="22">
        <f>IFERROR(__xludf.DUMMYFUNCTION("""COMPUTED_VALUE"""),500000.0)</f>
        <v>500000</v>
      </c>
      <c r="G1627" s="22">
        <f>IFERROR(__xludf.DUMMYFUNCTION("""COMPUTED_VALUE"""),0.0)</f>
        <v>0</v>
      </c>
      <c r="H1627" s="22">
        <f>IFERROR(__xludf.DUMMYFUNCTION("""COMPUTED_VALUE"""),500000.0)</f>
        <v>500000</v>
      </c>
      <c r="I1627" s="24">
        <f>IFERROR(__xludf.DUMMYFUNCTION("""COMPUTED_VALUE"""),0.0)</f>
        <v>0</v>
      </c>
    </row>
    <row r="1628">
      <c r="A1628" s="5" t="str">
        <f>IFERROR(__xludf.DUMMYFUNCTION("""COMPUTED_VALUE"""),"37934")</f>
        <v>37934</v>
      </c>
      <c r="B1628" s="64">
        <f>IFERROR(__xludf.DUMMYFUNCTION("""COMPUTED_VALUE"""),44612.0)</f>
        <v>44612</v>
      </c>
      <c r="C1628" s="5"/>
      <c r="D1628" s="5"/>
      <c r="E1628" s="5"/>
      <c r="F1628" s="22">
        <f>IFERROR(__xludf.DUMMYFUNCTION("""COMPUTED_VALUE"""),500000.0)</f>
        <v>500000</v>
      </c>
      <c r="G1628" s="22">
        <f>IFERROR(__xludf.DUMMYFUNCTION("""COMPUTED_VALUE"""),0.0)</f>
        <v>0</v>
      </c>
      <c r="H1628" s="22">
        <f>IFERROR(__xludf.DUMMYFUNCTION("""COMPUTED_VALUE"""),500000.0)</f>
        <v>500000</v>
      </c>
      <c r="I1628" s="24">
        <f>IFERROR(__xludf.DUMMYFUNCTION("""COMPUTED_VALUE"""),0.0)</f>
        <v>0</v>
      </c>
    </row>
    <row r="1629">
      <c r="A1629" s="5" t="str">
        <f>IFERROR(__xludf.DUMMYFUNCTION("""COMPUTED_VALUE"""),"37934")</f>
        <v>37934</v>
      </c>
      <c r="B1629" s="64">
        <f>IFERROR(__xludf.DUMMYFUNCTION("""COMPUTED_VALUE"""),44613.0)</f>
        <v>44613</v>
      </c>
      <c r="C1629" s="5"/>
      <c r="D1629" s="5"/>
      <c r="E1629" s="5"/>
      <c r="F1629" s="22">
        <f>IFERROR(__xludf.DUMMYFUNCTION("""COMPUTED_VALUE"""),500000.0)</f>
        <v>500000</v>
      </c>
      <c r="G1629" s="22">
        <f>IFERROR(__xludf.DUMMYFUNCTION("""COMPUTED_VALUE"""),0.0)</f>
        <v>0</v>
      </c>
      <c r="H1629" s="22">
        <f>IFERROR(__xludf.DUMMYFUNCTION("""COMPUTED_VALUE"""),500000.0)</f>
        <v>500000</v>
      </c>
      <c r="I1629" s="24">
        <f>IFERROR(__xludf.DUMMYFUNCTION("""COMPUTED_VALUE"""),0.0)</f>
        <v>0</v>
      </c>
    </row>
    <row r="1630">
      <c r="A1630" s="5" t="str">
        <f>IFERROR(__xludf.DUMMYFUNCTION("""COMPUTED_VALUE"""),"37934")</f>
        <v>37934</v>
      </c>
      <c r="B1630" s="64">
        <f>IFERROR(__xludf.DUMMYFUNCTION("""COMPUTED_VALUE"""),44614.0)</f>
        <v>44614</v>
      </c>
      <c r="C1630" s="5"/>
      <c r="D1630" s="5"/>
      <c r="E1630" s="5"/>
      <c r="F1630" s="22">
        <f>IFERROR(__xludf.DUMMYFUNCTION("""COMPUTED_VALUE"""),483990.809)</f>
        <v>483990.809</v>
      </c>
      <c r="G1630" s="22">
        <f>IFERROR(__xludf.DUMMYFUNCTION("""COMPUTED_VALUE"""),0.0)</f>
        <v>0</v>
      </c>
      <c r="H1630" s="22">
        <f>IFERROR(__xludf.DUMMYFUNCTION("""COMPUTED_VALUE"""),500000.0)</f>
        <v>500000</v>
      </c>
      <c r="I1630" s="24">
        <f>IFERROR(__xludf.DUMMYFUNCTION("""COMPUTED_VALUE"""),0.0)</f>
        <v>0</v>
      </c>
    </row>
    <row r="1631">
      <c r="A1631" s="5" t="str">
        <f>IFERROR(__xludf.DUMMYFUNCTION("""COMPUTED_VALUE"""),"37934")</f>
        <v>37934</v>
      </c>
      <c r="B1631" s="64">
        <f>IFERROR(__xludf.DUMMYFUNCTION("""COMPUTED_VALUE"""),44615.0)</f>
        <v>44615</v>
      </c>
      <c r="C1631" s="5"/>
      <c r="D1631" s="5"/>
      <c r="E1631" s="5"/>
      <c r="F1631" s="22">
        <f>IFERROR(__xludf.DUMMYFUNCTION("""COMPUTED_VALUE"""),483990.809)</f>
        <v>483990.809</v>
      </c>
      <c r="G1631" s="22">
        <f>IFERROR(__xludf.DUMMYFUNCTION("""COMPUTED_VALUE"""),0.0)</f>
        <v>0</v>
      </c>
      <c r="H1631" s="22">
        <f>IFERROR(__xludf.DUMMYFUNCTION("""COMPUTED_VALUE"""),499313.446)</f>
        <v>499313.446</v>
      </c>
      <c r="I1631" s="24">
        <f>IFERROR(__xludf.DUMMYFUNCTION("""COMPUTED_VALUE"""),-0.0013731080000000118)</f>
        <v>-0.001373108</v>
      </c>
    </row>
    <row r="1632">
      <c r="A1632" s="5" t="str">
        <f>IFERROR(__xludf.DUMMYFUNCTION("""COMPUTED_VALUE"""),"37934")</f>
        <v>37934</v>
      </c>
      <c r="B1632" s="64">
        <f>IFERROR(__xludf.DUMMYFUNCTION("""COMPUTED_VALUE"""),44616.0)</f>
        <v>44616</v>
      </c>
      <c r="C1632" s="5"/>
      <c r="D1632" s="5"/>
      <c r="E1632" s="5"/>
      <c r="F1632" s="22">
        <f>IFERROR(__xludf.DUMMYFUNCTION("""COMPUTED_VALUE"""),483990.809)</f>
        <v>483990.809</v>
      </c>
      <c r="G1632" s="22">
        <f>IFERROR(__xludf.DUMMYFUNCTION("""COMPUTED_VALUE"""),0.0)</f>
        <v>0</v>
      </c>
      <c r="H1632" s="22">
        <f>IFERROR(__xludf.DUMMYFUNCTION("""COMPUTED_VALUE"""),500109.2245)</f>
        <v>500109.2245</v>
      </c>
      <c r="I1632" s="24">
        <f>IFERROR(__xludf.DUMMYFUNCTION("""COMPUTED_VALUE"""),2.1844900000012046E-4)</f>
        <v>0.000218449</v>
      </c>
    </row>
    <row r="1633">
      <c r="A1633" s="5" t="str">
        <f>IFERROR(__xludf.DUMMYFUNCTION("""COMPUTED_VALUE"""),"37934")</f>
        <v>37934</v>
      </c>
      <c r="B1633" s="64">
        <f>IFERROR(__xludf.DUMMYFUNCTION("""COMPUTED_VALUE"""),44617.0)</f>
        <v>44617</v>
      </c>
      <c r="C1633" s="5"/>
      <c r="D1633" s="5"/>
      <c r="E1633" s="5"/>
      <c r="F1633" s="22">
        <f>IFERROR(__xludf.DUMMYFUNCTION("""COMPUTED_VALUE"""),483990.809)</f>
        <v>483990.809</v>
      </c>
      <c r="G1633" s="22">
        <f>IFERROR(__xludf.DUMMYFUNCTION("""COMPUTED_VALUE"""),0.0)</f>
        <v>0</v>
      </c>
      <c r="H1633" s="22">
        <f>IFERROR(__xludf.DUMMYFUNCTION("""COMPUTED_VALUE"""),500639.7435)</f>
        <v>500639.7435</v>
      </c>
      <c r="I1633" s="24">
        <f>IFERROR(__xludf.DUMMYFUNCTION("""COMPUTED_VALUE"""),0.0012794869999999126)</f>
        <v>0.001279487</v>
      </c>
    </row>
    <row r="1634">
      <c r="A1634" s="5" t="str">
        <f>IFERROR(__xludf.DUMMYFUNCTION("""COMPUTED_VALUE"""),"37934")</f>
        <v>37934</v>
      </c>
      <c r="B1634" s="64">
        <f>IFERROR(__xludf.DUMMYFUNCTION("""COMPUTED_VALUE"""),44618.0)</f>
        <v>44618</v>
      </c>
      <c r="C1634" s="5"/>
      <c r="D1634" s="5"/>
      <c r="E1634" s="5"/>
      <c r="F1634" s="22">
        <f>IFERROR(__xludf.DUMMYFUNCTION("""COMPUTED_VALUE"""),483990.809)</f>
        <v>483990.809</v>
      </c>
      <c r="G1634" s="22">
        <f>IFERROR(__xludf.DUMMYFUNCTION("""COMPUTED_VALUE"""),0.0)</f>
        <v>0</v>
      </c>
      <c r="H1634" s="22">
        <f>IFERROR(__xludf.DUMMYFUNCTION("""COMPUTED_VALUE"""),500639.7435)</f>
        <v>500639.7435</v>
      </c>
      <c r="I1634" s="24">
        <f>IFERROR(__xludf.DUMMYFUNCTION("""COMPUTED_VALUE"""),0.0012794869999999126)</f>
        <v>0.001279487</v>
      </c>
    </row>
    <row r="1635">
      <c r="A1635" s="5" t="str">
        <f>IFERROR(__xludf.DUMMYFUNCTION("""COMPUTED_VALUE"""),"37934")</f>
        <v>37934</v>
      </c>
      <c r="B1635" s="64">
        <f>IFERROR(__xludf.DUMMYFUNCTION("""COMPUTED_VALUE"""),44619.0)</f>
        <v>44619</v>
      </c>
      <c r="C1635" s="5"/>
      <c r="D1635" s="5"/>
      <c r="E1635" s="5"/>
      <c r="F1635" s="22">
        <f>IFERROR(__xludf.DUMMYFUNCTION("""COMPUTED_VALUE"""),483990.809)</f>
        <v>483990.809</v>
      </c>
      <c r="G1635" s="22">
        <f>IFERROR(__xludf.DUMMYFUNCTION("""COMPUTED_VALUE"""),0.0)</f>
        <v>0</v>
      </c>
      <c r="H1635" s="22">
        <f>IFERROR(__xludf.DUMMYFUNCTION("""COMPUTED_VALUE"""),383129.7435)</f>
        <v>383129.7435</v>
      </c>
      <c r="I1635" s="24">
        <f>IFERROR(__xludf.DUMMYFUNCTION("""COMPUTED_VALUE"""),-0.23374051299999998)</f>
        <v>-0.233740513</v>
      </c>
    </row>
    <row r="1636">
      <c r="A1636" s="5" t="str">
        <f>IFERROR(__xludf.DUMMYFUNCTION("""COMPUTED_VALUE"""),"37934")</f>
        <v>37934</v>
      </c>
      <c r="B1636" s="64">
        <f>IFERROR(__xludf.DUMMYFUNCTION("""COMPUTED_VALUE"""),44620.0)</f>
        <v>44620</v>
      </c>
      <c r="C1636" s="5"/>
      <c r="D1636" s="5"/>
      <c r="E1636" s="5"/>
      <c r="F1636" s="22">
        <f>IFERROR(__xludf.DUMMYFUNCTION("""COMPUTED_VALUE"""),483990.809)</f>
        <v>483990.809</v>
      </c>
      <c r="G1636" s="22">
        <f>IFERROR(__xludf.DUMMYFUNCTION("""COMPUTED_VALUE"""),0.0)</f>
        <v>0</v>
      </c>
      <c r="H1636" s="22">
        <f>IFERROR(__xludf.DUMMYFUNCTION("""COMPUTED_VALUE"""),501856.8165)</f>
        <v>501856.8165</v>
      </c>
      <c r="I1636" s="24">
        <f>IFERROR(__xludf.DUMMYFUNCTION("""COMPUTED_VALUE"""),0.0037136330000000495)</f>
        <v>0.003713633</v>
      </c>
    </row>
    <row r="1637">
      <c r="A1637" s="5" t="str">
        <f>IFERROR(__xludf.DUMMYFUNCTION("""COMPUTED_VALUE"""),"37934")</f>
        <v>37934</v>
      </c>
      <c r="B1637" s="64">
        <f>IFERROR(__xludf.DUMMYFUNCTION("""COMPUTED_VALUE"""),44621.0)</f>
        <v>44621</v>
      </c>
      <c r="C1637" s="5"/>
      <c r="D1637" s="5"/>
      <c r="E1637" s="5"/>
      <c r="F1637" s="22">
        <f>IFERROR(__xludf.DUMMYFUNCTION("""COMPUTED_VALUE"""),483990.809)</f>
        <v>483990.809</v>
      </c>
      <c r="G1637" s="22">
        <f>IFERROR(__xludf.DUMMYFUNCTION("""COMPUTED_VALUE"""),0.0)</f>
        <v>0</v>
      </c>
      <c r="H1637" s="22">
        <f>IFERROR(__xludf.DUMMYFUNCTION("""COMPUTED_VALUE"""),507706.729)</f>
        <v>507706.729</v>
      </c>
      <c r="I1637" s="24">
        <f>IFERROR(__xludf.DUMMYFUNCTION("""COMPUTED_VALUE"""),0.015413458000000047)</f>
        <v>0.015413458</v>
      </c>
    </row>
    <row r="1638">
      <c r="A1638" s="5" t="str">
        <f>IFERROR(__xludf.DUMMYFUNCTION("""COMPUTED_VALUE"""),"37934")</f>
        <v>37934</v>
      </c>
      <c r="B1638" s="64">
        <f>IFERROR(__xludf.DUMMYFUNCTION("""COMPUTED_VALUE"""),44622.0)</f>
        <v>44622</v>
      </c>
      <c r="C1638" s="5"/>
      <c r="D1638" s="5"/>
      <c r="E1638" s="5"/>
      <c r="F1638" s="22">
        <f>IFERROR(__xludf.DUMMYFUNCTION("""COMPUTED_VALUE"""),483990.809)</f>
        <v>483990.809</v>
      </c>
      <c r="G1638" s="22">
        <f>IFERROR(__xludf.DUMMYFUNCTION("""COMPUTED_VALUE"""),0.0)</f>
        <v>0</v>
      </c>
      <c r="H1638" s="22">
        <f>IFERROR(__xludf.DUMMYFUNCTION("""COMPUTED_VALUE"""),502589.662)</f>
        <v>502589.662</v>
      </c>
      <c r="I1638" s="24">
        <f>IFERROR(__xludf.DUMMYFUNCTION("""COMPUTED_VALUE"""),0.005179323999999985)</f>
        <v>0.005179324</v>
      </c>
    </row>
    <row r="1639">
      <c r="A1639" s="5" t="str">
        <f>IFERROR(__xludf.DUMMYFUNCTION("""COMPUTED_VALUE"""),"37934")</f>
        <v>37934</v>
      </c>
      <c r="B1639" s="64">
        <f>IFERROR(__xludf.DUMMYFUNCTION("""COMPUTED_VALUE"""),44623.0)</f>
        <v>44623</v>
      </c>
      <c r="C1639" s="5"/>
      <c r="D1639" s="5"/>
      <c r="E1639" s="5"/>
      <c r="F1639" s="22">
        <f>IFERROR(__xludf.DUMMYFUNCTION("""COMPUTED_VALUE"""),483990.809)</f>
        <v>483990.809</v>
      </c>
      <c r="G1639" s="22">
        <f>IFERROR(__xludf.DUMMYFUNCTION("""COMPUTED_VALUE"""),0.0)</f>
        <v>0</v>
      </c>
      <c r="H1639" s="22">
        <f>IFERROR(__xludf.DUMMYFUNCTION("""COMPUTED_VALUE"""),501350.9505)</f>
        <v>501350.9505</v>
      </c>
      <c r="I1639" s="24">
        <f>IFERROR(__xludf.DUMMYFUNCTION("""COMPUTED_VALUE"""),0.0027019010000000065)</f>
        <v>0.002701901</v>
      </c>
    </row>
    <row r="1640">
      <c r="A1640" s="5" t="str">
        <f>IFERROR(__xludf.DUMMYFUNCTION("""COMPUTED_VALUE"""),"37934")</f>
        <v>37934</v>
      </c>
      <c r="B1640" s="64">
        <f>IFERROR(__xludf.DUMMYFUNCTION("""COMPUTED_VALUE"""),44624.0)</f>
        <v>44624</v>
      </c>
      <c r="C1640" s="5"/>
      <c r="D1640" s="5"/>
      <c r="E1640" s="5"/>
      <c r="F1640" s="22">
        <f>IFERROR(__xludf.DUMMYFUNCTION("""COMPUTED_VALUE"""),483990.809)</f>
        <v>483990.809</v>
      </c>
      <c r="G1640" s="22">
        <f>IFERROR(__xludf.DUMMYFUNCTION("""COMPUTED_VALUE"""),0.0)</f>
        <v>0</v>
      </c>
      <c r="H1640" s="22">
        <f>IFERROR(__xludf.DUMMYFUNCTION("""COMPUTED_VALUE"""),480114.309)</f>
        <v>480114.309</v>
      </c>
      <c r="I1640" s="24">
        <f>IFERROR(__xludf.DUMMYFUNCTION("""COMPUTED_VALUE"""),-0.039771381999999966)</f>
        <v>-0.039771382</v>
      </c>
    </row>
    <row r="1641">
      <c r="A1641" s="5" t="str">
        <f>IFERROR(__xludf.DUMMYFUNCTION("""COMPUTED_VALUE"""),"37934")</f>
        <v>37934</v>
      </c>
      <c r="B1641" s="64">
        <f>IFERROR(__xludf.DUMMYFUNCTION("""COMPUTED_VALUE"""),44625.0)</f>
        <v>44625</v>
      </c>
      <c r="C1641" s="5"/>
      <c r="D1641" s="5"/>
      <c r="E1641" s="5"/>
      <c r="F1641" s="22">
        <f>IFERROR(__xludf.DUMMYFUNCTION("""COMPUTED_VALUE"""),483990.809)</f>
        <v>483990.809</v>
      </c>
      <c r="G1641" s="22">
        <f>IFERROR(__xludf.DUMMYFUNCTION("""COMPUTED_VALUE"""),0.0)</f>
        <v>0</v>
      </c>
      <c r="H1641" s="22">
        <f>IFERROR(__xludf.DUMMYFUNCTION("""COMPUTED_VALUE"""),480114.309)</f>
        <v>480114.309</v>
      </c>
      <c r="I1641" s="24">
        <f>IFERROR(__xludf.DUMMYFUNCTION("""COMPUTED_VALUE"""),-0.039771381999999966)</f>
        <v>-0.039771382</v>
      </c>
    </row>
    <row r="1642">
      <c r="A1642" s="5" t="str">
        <f>IFERROR(__xludf.DUMMYFUNCTION("""COMPUTED_VALUE"""),"37934")</f>
        <v>37934</v>
      </c>
      <c r="B1642" s="64">
        <f>IFERROR(__xludf.DUMMYFUNCTION("""COMPUTED_VALUE"""),44626.0)</f>
        <v>44626</v>
      </c>
      <c r="C1642" s="5"/>
      <c r="D1642" s="5"/>
      <c r="E1642" s="5"/>
      <c r="F1642" s="22">
        <f>IFERROR(__xludf.DUMMYFUNCTION("""COMPUTED_VALUE"""),483990.809)</f>
        <v>483990.809</v>
      </c>
      <c r="G1642" s="22">
        <f>IFERROR(__xludf.DUMMYFUNCTION("""COMPUTED_VALUE"""),0.0)</f>
        <v>0</v>
      </c>
      <c r="H1642" s="22">
        <f>IFERROR(__xludf.DUMMYFUNCTION("""COMPUTED_VALUE"""),480114.309)</f>
        <v>480114.309</v>
      </c>
      <c r="I1642" s="24">
        <f>IFERROR(__xludf.DUMMYFUNCTION("""COMPUTED_VALUE"""),-0.039771381999999966)</f>
        <v>-0.039771382</v>
      </c>
    </row>
    <row r="1643">
      <c r="A1643" s="5" t="str">
        <f>IFERROR(__xludf.DUMMYFUNCTION("""COMPUTED_VALUE"""),"37934")</f>
        <v>37934</v>
      </c>
      <c r="B1643" s="64">
        <f>IFERROR(__xludf.DUMMYFUNCTION("""COMPUTED_VALUE"""),44627.0)</f>
        <v>44627</v>
      </c>
      <c r="C1643" s="5"/>
      <c r="D1643" s="5"/>
      <c r="E1643" s="5"/>
      <c r="F1643" s="22">
        <f>IFERROR(__xludf.DUMMYFUNCTION("""COMPUTED_VALUE"""),483990.809)</f>
        <v>483990.809</v>
      </c>
      <c r="G1643" s="22">
        <f>IFERROR(__xludf.DUMMYFUNCTION("""COMPUTED_VALUE"""),0.0)</f>
        <v>0</v>
      </c>
      <c r="H1643" s="22">
        <f>IFERROR(__xludf.DUMMYFUNCTION("""COMPUTED_VALUE"""),466671.376)</f>
        <v>466671.376</v>
      </c>
      <c r="I1643" s="24">
        <f>IFERROR(__xludf.DUMMYFUNCTION("""COMPUTED_VALUE"""),-0.06665724800000006)</f>
        <v>-0.066657248</v>
      </c>
    </row>
    <row r="1644">
      <c r="A1644" s="5" t="str">
        <f>IFERROR(__xludf.DUMMYFUNCTION("""COMPUTED_VALUE"""),"37934")</f>
        <v>37934</v>
      </c>
      <c r="B1644" s="64">
        <f>IFERROR(__xludf.DUMMYFUNCTION("""COMPUTED_VALUE"""),44628.0)</f>
        <v>44628</v>
      </c>
      <c r="C1644" s="5"/>
      <c r="D1644" s="5"/>
      <c r="E1644" s="5"/>
      <c r="F1644" s="22">
        <f>IFERROR(__xludf.DUMMYFUNCTION("""COMPUTED_VALUE"""),483990.809)</f>
        <v>483990.809</v>
      </c>
      <c r="G1644" s="22">
        <f>IFERROR(__xludf.DUMMYFUNCTION("""COMPUTED_VALUE"""),0.0)</f>
        <v>0</v>
      </c>
      <c r="H1644" s="22">
        <f>IFERROR(__xludf.DUMMYFUNCTION("""COMPUTED_VALUE"""),459737.411)</f>
        <v>459737.411</v>
      </c>
      <c r="I1644" s="24">
        <f>IFERROR(__xludf.DUMMYFUNCTION("""COMPUTED_VALUE"""),-0.08052517799999992)</f>
        <v>-0.080525178</v>
      </c>
    </row>
    <row r="1645">
      <c r="A1645" s="5" t="str">
        <f>IFERROR(__xludf.DUMMYFUNCTION("""COMPUTED_VALUE"""),"37934")</f>
        <v>37934</v>
      </c>
      <c r="B1645" s="64">
        <f>IFERROR(__xludf.DUMMYFUNCTION("""COMPUTED_VALUE"""),44629.0)</f>
        <v>44629</v>
      </c>
      <c r="C1645" s="5"/>
      <c r="D1645" s="5"/>
      <c r="E1645" s="5"/>
      <c r="F1645" s="22">
        <f>IFERROR(__xludf.DUMMYFUNCTION("""COMPUTED_VALUE"""),483990.809)</f>
        <v>483990.809</v>
      </c>
      <c r="G1645" s="22">
        <f>IFERROR(__xludf.DUMMYFUNCTION("""COMPUTED_VALUE"""),0.0)</f>
        <v>0</v>
      </c>
      <c r="H1645" s="22">
        <f>IFERROR(__xludf.DUMMYFUNCTION("""COMPUTED_VALUE"""),461636.4635)</f>
        <v>461636.4635</v>
      </c>
      <c r="I1645" s="24">
        <f>IFERROR(__xludf.DUMMYFUNCTION("""COMPUTED_VALUE"""),-0.07672707299999992)</f>
        <v>-0.076727073</v>
      </c>
    </row>
    <row r="1646">
      <c r="A1646" s="5" t="str">
        <f>IFERROR(__xludf.DUMMYFUNCTION("""COMPUTED_VALUE"""),"37934")</f>
        <v>37934</v>
      </c>
      <c r="B1646" s="64">
        <f>IFERROR(__xludf.DUMMYFUNCTION("""COMPUTED_VALUE"""),44630.0)</f>
        <v>44630</v>
      </c>
      <c r="C1646" s="5"/>
      <c r="D1646" s="5"/>
      <c r="E1646" s="5"/>
      <c r="F1646" s="22">
        <f>IFERROR(__xludf.DUMMYFUNCTION("""COMPUTED_VALUE"""),483990.809)</f>
        <v>483990.809</v>
      </c>
      <c r="G1646" s="22">
        <f>IFERROR(__xludf.DUMMYFUNCTION("""COMPUTED_VALUE"""),0.0)</f>
        <v>0</v>
      </c>
      <c r="H1646" s="22">
        <f>IFERROR(__xludf.DUMMYFUNCTION("""COMPUTED_VALUE"""),466201.4635)</f>
        <v>466201.4635</v>
      </c>
      <c r="I1646" s="24">
        <f>IFERROR(__xludf.DUMMYFUNCTION("""COMPUTED_VALUE"""),-0.06759707299999995)</f>
        <v>-0.067597073</v>
      </c>
    </row>
    <row r="1647">
      <c r="A1647" s="5" t="str">
        <f>IFERROR(__xludf.DUMMYFUNCTION("""COMPUTED_VALUE"""),"37934")</f>
        <v>37934</v>
      </c>
      <c r="B1647" s="64">
        <f>IFERROR(__xludf.DUMMYFUNCTION("""COMPUTED_VALUE"""),44631.0)</f>
        <v>44631</v>
      </c>
      <c r="C1647" s="5"/>
      <c r="D1647" s="5"/>
      <c r="E1647" s="5"/>
      <c r="F1647" s="22">
        <f>IFERROR(__xludf.DUMMYFUNCTION("""COMPUTED_VALUE"""),483990.809)</f>
        <v>483990.809</v>
      </c>
      <c r="G1647" s="22">
        <f>IFERROR(__xludf.DUMMYFUNCTION("""COMPUTED_VALUE"""),0.0)</f>
        <v>0</v>
      </c>
      <c r="H1647" s="22">
        <f>IFERROR(__xludf.DUMMYFUNCTION("""COMPUTED_VALUE"""),449871.8015)</f>
        <v>449871.8015</v>
      </c>
      <c r="I1647" s="24">
        <f>IFERROR(__xludf.DUMMYFUNCTION("""COMPUTED_VALUE"""),-0.100256397)</f>
        <v>-0.100256397</v>
      </c>
    </row>
    <row r="1648">
      <c r="A1648" s="5" t="str">
        <f>IFERROR(__xludf.DUMMYFUNCTION("""COMPUTED_VALUE"""),"37934")</f>
        <v>37934</v>
      </c>
      <c r="B1648" s="64">
        <f>IFERROR(__xludf.DUMMYFUNCTION("""COMPUTED_VALUE"""),44632.0)</f>
        <v>44632</v>
      </c>
      <c r="C1648" s="5"/>
      <c r="D1648" s="5"/>
      <c r="E1648" s="5"/>
      <c r="F1648" s="22">
        <f>IFERROR(__xludf.DUMMYFUNCTION("""COMPUTED_VALUE"""),483990.809)</f>
        <v>483990.809</v>
      </c>
      <c r="G1648" s="22">
        <f>IFERROR(__xludf.DUMMYFUNCTION("""COMPUTED_VALUE"""),0.0)</f>
        <v>0</v>
      </c>
      <c r="H1648" s="22">
        <f>IFERROR(__xludf.DUMMYFUNCTION("""COMPUTED_VALUE"""),449871.8015)</f>
        <v>449871.8015</v>
      </c>
      <c r="I1648" s="24">
        <f>IFERROR(__xludf.DUMMYFUNCTION("""COMPUTED_VALUE"""),-0.100256397)</f>
        <v>-0.100256397</v>
      </c>
    </row>
    <row r="1649">
      <c r="A1649" s="5" t="str">
        <f>IFERROR(__xludf.DUMMYFUNCTION("""COMPUTED_VALUE"""),"37934")</f>
        <v>37934</v>
      </c>
      <c r="B1649" s="64">
        <f>IFERROR(__xludf.DUMMYFUNCTION("""COMPUTED_VALUE"""),44633.0)</f>
        <v>44633</v>
      </c>
      <c r="C1649" s="5"/>
      <c r="D1649" s="5"/>
      <c r="E1649" s="5"/>
      <c r="F1649" s="22">
        <f>IFERROR(__xludf.DUMMYFUNCTION("""COMPUTED_VALUE"""),483990.809)</f>
        <v>483990.809</v>
      </c>
      <c r="G1649" s="22">
        <f>IFERROR(__xludf.DUMMYFUNCTION("""COMPUTED_VALUE"""),0.0)</f>
        <v>0</v>
      </c>
      <c r="H1649" s="22">
        <f>IFERROR(__xludf.DUMMYFUNCTION("""COMPUTED_VALUE"""),449871.8015)</f>
        <v>449871.8015</v>
      </c>
      <c r="I1649" s="24">
        <f>IFERROR(__xludf.DUMMYFUNCTION("""COMPUTED_VALUE"""),-0.100256397)</f>
        <v>-0.100256397</v>
      </c>
    </row>
    <row r="1650">
      <c r="A1650" s="5" t="str">
        <f>IFERROR(__xludf.DUMMYFUNCTION("""COMPUTED_VALUE"""),"37934")</f>
        <v>37934</v>
      </c>
      <c r="B1650" s="64">
        <f>IFERROR(__xludf.DUMMYFUNCTION("""COMPUTED_VALUE"""),44634.0)</f>
        <v>44634</v>
      </c>
      <c r="C1650" s="5"/>
      <c r="D1650" s="5"/>
      <c r="E1650" s="5"/>
      <c r="F1650" s="22">
        <f>IFERROR(__xludf.DUMMYFUNCTION("""COMPUTED_VALUE"""),151708.76255)</f>
        <v>151708.7626</v>
      </c>
      <c r="G1650" s="22">
        <f>IFERROR(__xludf.DUMMYFUNCTION("""COMPUTED_VALUE"""),0.0)</f>
        <v>0</v>
      </c>
      <c r="H1650" s="22">
        <f>IFERROR(__xludf.DUMMYFUNCTION("""COMPUTED_VALUE"""),423844.3845)</f>
        <v>423844.3845</v>
      </c>
      <c r="I1650" s="24">
        <f>IFERROR(__xludf.DUMMYFUNCTION("""COMPUTED_VALUE"""),-0.152311231)</f>
        <v>-0.152311231</v>
      </c>
    </row>
    <row r="1651">
      <c r="A1651" s="5" t="str">
        <f>IFERROR(__xludf.DUMMYFUNCTION("""COMPUTED_VALUE"""),"37934")</f>
        <v>37934</v>
      </c>
      <c r="B1651" s="64">
        <f>IFERROR(__xludf.DUMMYFUNCTION("""COMPUTED_VALUE"""),44635.0)</f>
        <v>44635</v>
      </c>
      <c r="C1651" s="5"/>
      <c r="D1651" s="5"/>
      <c r="E1651" s="5"/>
      <c r="F1651" s="22">
        <f>IFERROR(__xludf.DUMMYFUNCTION("""COMPUTED_VALUE"""),151708.76255)</f>
        <v>151708.7626</v>
      </c>
      <c r="G1651" s="22">
        <f>IFERROR(__xludf.DUMMYFUNCTION("""COMPUTED_VALUE"""),0.0)</f>
        <v>0</v>
      </c>
      <c r="H1651" s="22">
        <f>IFERROR(__xludf.DUMMYFUNCTION("""COMPUTED_VALUE"""),417992.5782)</f>
        <v>417992.5782</v>
      </c>
      <c r="I1651" s="24">
        <f>IFERROR(__xludf.DUMMYFUNCTION("""COMPUTED_VALUE"""),-0.16401484360000007)</f>
        <v>-0.1640148436</v>
      </c>
    </row>
    <row r="1652">
      <c r="A1652" s="5" t="str">
        <f>IFERROR(__xludf.DUMMYFUNCTION("""COMPUTED_VALUE"""),"37934")</f>
        <v>37934</v>
      </c>
      <c r="B1652" s="64">
        <f>IFERROR(__xludf.DUMMYFUNCTION("""COMPUTED_VALUE"""),44636.0)</f>
        <v>44636</v>
      </c>
      <c r="C1652" s="5"/>
      <c r="D1652" s="5"/>
      <c r="E1652" s="5"/>
      <c r="F1652" s="22">
        <f>IFERROR(__xludf.DUMMYFUNCTION("""COMPUTED_VALUE"""),151708.76255)</f>
        <v>151708.7626</v>
      </c>
      <c r="G1652" s="22">
        <f>IFERROR(__xludf.DUMMYFUNCTION("""COMPUTED_VALUE"""),0.0)</f>
        <v>0</v>
      </c>
      <c r="H1652" s="22">
        <f>IFERROR(__xludf.DUMMYFUNCTION("""COMPUTED_VALUE"""),468128.3766)</f>
        <v>468128.3766</v>
      </c>
      <c r="I1652" s="24">
        <f>IFERROR(__xludf.DUMMYFUNCTION("""COMPUTED_VALUE"""),-0.06374324679999999)</f>
        <v>-0.0637432468</v>
      </c>
    </row>
    <row r="1653">
      <c r="A1653" s="5" t="str">
        <f>IFERROR(__xludf.DUMMYFUNCTION("""COMPUTED_VALUE"""),"37934")</f>
        <v>37934</v>
      </c>
      <c r="B1653" s="64">
        <f>IFERROR(__xludf.DUMMYFUNCTION("""COMPUTED_VALUE"""),44637.0)</f>
        <v>44637</v>
      </c>
      <c r="C1653" s="5"/>
      <c r="D1653" s="5"/>
      <c r="E1653" s="5"/>
      <c r="F1653" s="22">
        <f>IFERROR(__xludf.DUMMYFUNCTION("""COMPUTED_VALUE"""),151708.76255)</f>
        <v>151708.7626</v>
      </c>
      <c r="G1653" s="22">
        <f>IFERROR(__xludf.DUMMYFUNCTION("""COMPUTED_VALUE"""),0.0)</f>
        <v>0</v>
      </c>
      <c r="H1653" s="22">
        <f>IFERROR(__xludf.DUMMYFUNCTION("""COMPUTED_VALUE"""),498090.96705000004)</f>
        <v>498090.9671</v>
      </c>
      <c r="I1653" s="24">
        <f>IFERROR(__xludf.DUMMYFUNCTION("""COMPUTED_VALUE"""),-0.0038180658999998895)</f>
        <v>-0.0038180659</v>
      </c>
    </row>
    <row r="1654">
      <c r="A1654" s="5" t="str">
        <f>IFERROR(__xludf.DUMMYFUNCTION("""COMPUTED_VALUE"""),"37934")</f>
        <v>37934</v>
      </c>
      <c r="B1654" s="64">
        <f>IFERROR(__xludf.DUMMYFUNCTION("""COMPUTED_VALUE"""),44638.0)</f>
        <v>44638</v>
      </c>
      <c r="C1654" s="5"/>
      <c r="D1654" s="5"/>
      <c r="E1654" s="5"/>
      <c r="F1654" s="22">
        <f>IFERROR(__xludf.DUMMYFUNCTION("""COMPUTED_VALUE"""),151708.76255)</f>
        <v>151708.7626</v>
      </c>
      <c r="G1654" s="22">
        <f>IFERROR(__xludf.DUMMYFUNCTION("""COMPUTED_VALUE"""),0.0)</f>
        <v>0</v>
      </c>
      <c r="H1654" s="22">
        <f>IFERROR(__xludf.DUMMYFUNCTION("""COMPUTED_VALUE"""),492444.9102)</f>
        <v>492444.9102</v>
      </c>
      <c r="I1654" s="24">
        <f>IFERROR(__xludf.DUMMYFUNCTION("""COMPUTED_VALUE"""),-0.015110179600000051)</f>
        <v>-0.0151101796</v>
      </c>
    </row>
    <row r="1655">
      <c r="A1655" s="5" t="str">
        <f>IFERROR(__xludf.DUMMYFUNCTION("""COMPUTED_VALUE"""),"37934")</f>
        <v>37934</v>
      </c>
      <c r="B1655" s="64">
        <f>IFERROR(__xludf.DUMMYFUNCTION("""COMPUTED_VALUE"""),44639.0)</f>
        <v>44639</v>
      </c>
      <c r="C1655" s="5"/>
      <c r="D1655" s="5"/>
      <c r="E1655" s="5"/>
      <c r="F1655" s="22">
        <f>IFERROR(__xludf.DUMMYFUNCTION("""COMPUTED_VALUE"""),151708.76255)</f>
        <v>151708.7626</v>
      </c>
      <c r="G1655" s="22">
        <f>IFERROR(__xludf.DUMMYFUNCTION("""COMPUTED_VALUE"""),0.0)</f>
        <v>0</v>
      </c>
      <c r="H1655" s="22">
        <f>IFERROR(__xludf.DUMMYFUNCTION("""COMPUTED_VALUE"""),492444.9102)</f>
        <v>492444.9102</v>
      </c>
      <c r="I1655" s="24">
        <f>IFERROR(__xludf.DUMMYFUNCTION("""COMPUTED_VALUE"""),-0.015110179600000051)</f>
        <v>-0.0151101796</v>
      </c>
    </row>
    <row r="1656">
      <c r="A1656" s="5" t="str">
        <f>IFERROR(__xludf.DUMMYFUNCTION("""COMPUTED_VALUE"""),"37934")</f>
        <v>37934</v>
      </c>
      <c r="B1656" s="64">
        <f>IFERROR(__xludf.DUMMYFUNCTION("""COMPUTED_VALUE"""),44640.0)</f>
        <v>44640</v>
      </c>
      <c r="C1656" s="5"/>
      <c r="D1656" s="5"/>
      <c r="E1656" s="5"/>
      <c r="F1656" s="22">
        <f>IFERROR(__xludf.DUMMYFUNCTION("""COMPUTED_VALUE"""),151708.76255)</f>
        <v>151708.7626</v>
      </c>
      <c r="G1656" s="22">
        <f>IFERROR(__xludf.DUMMYFUNCTION("""COMPUTED_VALUE"""),0.0)</f>
        <v>0</v>
      </c>
      <c r="H1656" s="22">
        <f>IFERROR(__xludf.DUMMYFUNCTION("""COMPUTED_VALUE"""),492444.9102)</f>
        <v>492444.9102</v>
      </c>
      <c r="I1656" s="24">
        <f>IFERROR(__xludf.DUMMYFUNCTION("""COMPUTED_VALUE"""),-0.015110179600000051)</f>
        <v>-0.0151101796</v>
      </c>
    </row>
    <row r="1657">
      <c r="A1657" s="5" t="str">
        <f>IFERROR(__xludf.DUMMYFUNCTION("""COMPUTED_VALUE"""),"37934")</f>
        <v>37934</v>
      </c>
      <c r="B1657" s="64">
        <f>IFERROR(__xludf.DUMMYFUNCTION("""COMPUTED_VALUE"""),44641.0)</f>
        <v>44641</v>
      </c>
      <c r="C1657" s="5"/>
      <c r="D1657" s="5"/>
      <c r="E1657" s="5"/>
      <c r="F1657" s="22">
        <f>IFERROR(__xludf.DUMMYFUNCTION("""COMPUTED_VALUE"""),151708.76255)</f>
        <v>151708.7626</v>
      </c>
      <c r="G1657" s="22">
        <f>IFERROR(__xludf.DUMMYFUNCTION("""COMPUTED_VALUE"""),0.0)</f>
        <v>0</v>
      </c>
      <c r="H1657" s="22">
        <f>IFERROR(__xludf.DUMMYFUNCTION("""COMPUTED_VALUE"""),497421.15064999997)</f>
        <v>497421.1507</v>
      </c>
      <c r="I1657" s="24">
        <f>IFERROR(__xludf.DUMMYFUNCTION("""COMPUTED_VALUE"""),-0.005157698700000046)</f>
        <v>-0.0051576987</v>
      </c>
    </row>
    <row r="1658">
      <c r="A1658" s="5" t="str">
        <f>IFERROR(__xludf.DUMMYFUNCTION("""COMPUTED_VALUE"""),"37934")</f>
        <v>37934</v>
      </c>
      <c r="B1658" s="64">
        <f>IFERROR(__xludf.DUMMYFUNCTION("""COMPUTED_VALUE"""),44642.0)</f>
        <v>44642</v>
      </c>
      <c r="C1658" s="5"/>
      <c r="D1658" s="5"/>
      <c r="E1658" s="5"/>
      <c r="F1658" s="22">
        <f>IFERROR(__xludf.DUMMYFUNCTION("""COMPUTED_VALUE"""),151708.76255)</f>
        <v>151708.7626</v>
      </c>
      <c r="G1658" s="22">
        <f>IFERROR(__xludf.DUMMYFUNCTION("""COMPUTED_VALUE"""),0.0)</f>
        <v>0</v>
      </c>
      <c r="H1658" s="22">
        <f>IFERROR(__xludf.DUMMYFUNCTION("""COMPUTED_VALUE"""),525697.72285)</f>
        <v>525697.7229</v>
      </c>
      <c r="I1658" s="24">
        <f>IFERROR(__xludf.DUMMYFUNCTION("""COMPUTED_VALUE"""),0.0513954457000001)</f>
        <v>0.0513954457</v>
      </c>
    </row>
    <row r="1659">
      <c r="A1659" s="5" t="str">
        <f>IFERROR(__xludf.DUMMYFUNCTION("""COMPUTED_VALUE"""),"37934")</f>
        <v>37934</v>
      </c>
      <c r="B1659" s="64">
        <f>IFERROR(__xludf.DUMMYFUNCTION("""COMPUTED_VALUE"""),44643.0)</f>
        <v>44643</v>
      </c>
      <c r="C1659" s="5"/>
      <c r="D1659" s="5"/>
      <c r="E1659" s="5"/>
      <c r="F1659" s="22">
        <f>IFERROR(__xludf.DUMMYFUNCTION("""COMPUTED_VALUE"""),151708.76255)</f>
        <v>151708.7626</v>
      </c>
      <c r="G1659" s="22">
        <f>IFERROR(__xludf.DUMMYFUNCTION("""COMPUTED_VALUE"""),0.0)</f>
        <v>0</v>
      </c>
      <c r="H1659" s="22">
        <f>IFERROR(__xludf.DUMMYFUNCTION("""COMPUTED_VALUE"""),543114.8814000001)</f>
        <v>543114.8814</v>
      </c>
      <c r="I1659" s="24">
        <f>IFERROR(__xludf.DUMMYFUNCTION("""COMPUTED_VALUE"""),0.08622976280000016)</f>
        <v>0.0862297628</v>
      </c>
    </row>
    <row r="1660">
      <c r="A1660" s="5" t="str">
        <f>IFERROR(__xludf.DUMMYFUNCTION("""COMPUTED_VALUE"""),"37934")</f>
        <v>37934</v>
      </c>
      <c r="B1660" s="64">
        <f>IFERROR(__xludf.DUMMYFUNCTION("""COMPUTED_VALUE"""),44644.0)</f>
        <v>44644</v>
      </c>
      <c r="C1660" s="5"/>
      <c r="D1660" s="5"/>
      <c r="E1660" s="5"/>
      <c r="F1660" s="22">
        <f>IFERROR(__xludf.DUMMYFUNCTION("""COMPUTED_VALUE"""),151708.76255)</f>
        <v>151708.7626</v>
      </c>
      <c r="G1660" s="22">
        <f>IFERROR(__xludf.DUMMYFUNCTION("""COMPUTED_VALUE"""),0.0)</f>
        <v>0</v>
      </c>
      <c r="H1660" s="22">
        <f>IFERROR(__xludf.DUMMYFUNCTION("""COMPUTED_VALUE"""),549769.94025)</f>
        <v>549769.9403</v>
      </c>
      <c r="I1660" s="24">
        <f>IFERROR(__xludf.DUMMYFUNCTION("""COMPUTED_VALUE"""),0.09953988050000007)</f>
        <v>0.0995398805</v>
      </c>
    </row>
    <row r="1661">
      <c r="A1661" s="5" t="str">
        <f>IFERROR(__xludf.DUMMYFUNCTION("""COMPUTED_VALUE"""),"37934")</f>
        <v>37934</v>
      </c>
      <c r="B1661" s="64">
        <f>IFERROR(__xludf.DUMMYFUNCTION("""COMPUTED_VALUE"""),44645.0)</f>
        <v>44645</v>
      </c>
      <c r="C1661" s="5"/>
      <c r="D1661" s="5"/>
      <c r="E1661" s="5"/>
      <c r="F1661" s="22">
        <f>IFERROR(__xludf.DUMMYFUNCTION("""COMPUTED_VALUE"""),151708.76255)</f>
        <v>151708.7626</v>
      </c>
      <c r="G1661" s="22">
        <f>IFERROR(__xludf.DUMMYFUNCTION("""COMPUTED_VALUE"""),0.0)</f>
        <v>0</v>
      </c>
      <c r="H1661" s="22">
        <f>IFERROR(__xludf.DUMMYFUNCTION("""COMPUTED_VALUE"""),529978.58045)</f>
        <v>529978.5805</v>
      </c>
      <c r="I1661" s="24">
        <f>IFERROR(__xludf.DUMMYFUNCTION("""COMPUTED_VALUE"""),0.05995716090000003)</f>
        <v>0.0599571609</v>
      </c>
    </row>
    <row r="1662">
      <c r="A1662" s="5" t="str">
        <f>IFERROR(__xludf.DUMMYFUNCTION("""COMPUTED_VALUE"""),"37934")</f>
        <v>37934</v>
      </c>
      <c r="B1662" s="64">
        <f>IFERROR(__xludf.DUMMYFUNCTION("""COMPUTED_VALUE"""),44646.0)</f>
        <v>44646</v>
      </c>
      <c r="C1662" s="5"/>
      <c r="D1662" s="5"/>
      <c r="E1662" s="5"/>
      <c r="F1662" s="22">
        <f>IFERROR(__xludf.DUMMYFUNCTION("""COMPUTED_VALUE"""),151708.76255)</f>
        <v>151708.7626</v>
      </c>
      <c r="G1662" s="22">
        <f>IFERROR(__xludf.DUMMYFUNCTION("""COMPUTED_VALUE"""),0.0)</f>
        <v>0</v>
      </c>
      <c r="H1662" s="22">
        <f>IFERROR(__xludf.DUMMYFUNCTION("""COMPUTED_VALUE"""),529978.58045)</f>
        <v>529978.5805</v>
      </c>
      <c r="I1662" s="24">
        <f>IFERROR(__xludf.DUMMYFUNCTION("""COMPUTED_VALUE"""),0.05995716090000003)</f>
        <v>0.0599571609</v>
      </c>
    </row>
    <row r="1663">
      <c r="A1663" s="5" t="str">
        <f>IFERROR(__xludf.DUMMYFUNCTION("""COMPUTED_VALUE"""),"37934")</f>
        <v>37934</v>
      </c>
      <c r="B1663" s="64">
        <f>IFERROR(__xludf.DUMMYFUNCTION("""COMPUTED_VALUE"""),44647.0)</f>
        <v>44647</v>
      </c>
      <c r="C1663" s="5"/>
      <c r="D1663" s="5"/>
      <c r="E1663" s="5"/>
      <c r="F1663" s="22">
        <f>IFERROR(__xludf.DUMMYFUNCTION("""COMPUTED_VALUE"""),151708.76255)</f>
        <v>151708.7626</v>
      </c>
      <c r="G1663" s="22">
        <f>IFERROR(__xludf.DUMMYFUNCTION("""COMPUTED_VALUE"""),0.0)</f>
        <v>0</v>
      </c>
      <c r="H1663" s="22">
        <f>IFERROR(__xludf.DUMMYFUNCTION("""COMPUTED_VALUE"""),529978.58045)</f>
        <v>529978.5805</v>
      </c>
      <c r="I1663" s="24">
        <f>IFERROR(__xludf.DUMMYFUNCTION("""COMPUTED_VALUE"""),0.05995716090000003)</f>
        <v>0.0599571609</v>
      </c>
    </row>
    <row r="1664">
      <c r="A1664" s="5" t="str">
        <f>IFERROR(__xludf.DUMMYFUNCTION("""COMPUTED_VALUE"""),"37934")</f>
        <v>37934</v>
      </c>
      <c r="B1664" s="64">
        <f>IFERROR(__xludf.DUMMYFUNCTION("""COMPUTED_VALUE"""),44648.0)</f>
        <v>44648</v>
      </c>
      <c r="C1664" s="5"/>
      <c r="D1664" s="5"/>
      <c r="E1664" s="5"/>
      <c r="F1664" s="22">
        <f>IFERROR(__xludf.DUMMYFUNCTION("""COMPUTED_VALUE"""),151708.76255)</f>
        <v>151708.7626</v>
      </c>
      <c r="G1664" s="22">
        <f>IFERROR(__xludf.DUMMYFUNCTION("""COMPUTED_VALUE"""),0.0)</f>
        <v>0</v>
      </c>
      <c r="H1664" s="22">
        <f>IFERROR(__xludf.DUMMYFUNCTION("""COMPUTED_VALUE"""),549097.76645)</f>
        <v>549097.7665</v>
      </c>
      <c r="I1664" s="24">
        <f>IFERROR(__xludf.DUMMYFUNCTION("""COMPUTED_VALUE"""),0.09819553289999994)</f>
        <v>0.0981955329</v>
      </c>
    </row>
    <row r="1665">
      <c r="A1665" s="5" t="str">
        <f>IFERROR(__xludf.DUMMYFUNCTION("""COMPUTED_VALUE"""),"37934")</f>
        <v>37934</v>
      </c>
      <c r="B1665" s="64">
        <f>IFERROR(__xludf.DUMMYFUNCTION("""COMPUTED_VALUE"""),44649.0)</f>
        <v>44649</v>
      </c>
      <c r="C1665" s="5"/>
      <c r="D1665" s="5"/>
      <c r="E1665" s="5"/>
      <c r="F1665" s="22">
        <f>IFERROR(__xludf.DUMMYFUNCTION("""COMPUTED_VALUE"""),151708.76255)</f>
        <v>151708.7626</v>
      </c>
      <c r="G1665" s="22">
        <f>IFERROR(__xludf.DUMMYFUNCTION("""COMPUTED_VALUE"""),0.0)</f>
        <v>0</v>
      </c>
      <c r="H1665" s="22">
        <f>IFERROR(__xludf.DUMMYFUNCTION("""COMPUTED_VALUE"""),553676.88)</f>
        <v>553676.88</v>
      </c>
      <c r="I1665" s="24">
        <f>IFERROR(__xludf.DUMMYFUNCTION("""COMPUTED_VALUE"""),0.10735376000000008)</f>
        <v>0.10735376</v>
      </c>
    </row>
    <row r="1666">
      <c r="A1666" s="5" t="str">
        <f>IFERROR(__xludf.DUMMYFUNCTION("""COMPUTED_VALUE"""),"37934")</f>
        <v>37934</v>
      </c>
      <c r="B1666" s="64">
        <f>IFERROR(__xludf.DUMMYFUNCTION("""COMPUTED_VALUE"""),44650.0)</f>
        <v>44650</v>
      </c>
      <c r="C1666" s="5"/>
      <c r="D1666" s="5"/>
      <c r="E1666" s="5"/>
      <c r="F1666" s="22">
        <f>IFERROR(__xludf.DUMMYFUNCTION("""COMPUTED_VALUE"""),151708.76255)</f>
        <v>151708.7626</v>
      </c>
      <c r="G1666" s="22">
        <f>IFERROR(__xludf.DUMMYFUNCTION("""COMPUTED_VALUE"""),0.0)</f>
        <v>0</v>
      </c>
      <c r="H1666" s="22">
        <f>IFERROR(__xludf.DUMMYFUNCTION("""COMPUTED_VALUE"""),549605.8062)</f>
        <v>549605.8062</v>
      </c>
      <c r="I1666" s="24">
        <f>IFERROR(__xludf.DUMMYFUNCTION("""COMPUTED_VALUE"""),0.09921161239999998)</f>
        <v>0.0992116124</v>
      </c>
    </row>
    <row r="1667">
      <c r="A1667" s="5" t="str">
        <f>IFERROR(__xludf.DUMMYFUNCTION("""COMPUTED_VALUE"""),"37934")</f>
        <v>37934</v>
      </c>
      <c r="B1667" s="64">
        <f>IFERROR(__xludf.DUMMYFUNCTION("""COMPUTED_VALUE"""),44651.0)</f>
        <v>44651</v>
      </c>
      <c r="C1667" s="5"/>
      <c r="D1667" s="5"/>
      <c r="E1667" s="5"/>
      <c r="F1667" s="22">
        <f>IFERROR(__xludf.DUMMYFUNCTION("""COMPUTED_VALUE"""),151708.76255)</f>
        <v>151708.7626</v>
      </c>
      <c r="G1667" s="22">
        <f>IFERROR(__xludf.DUMMYFUNCTION("""COMPUTED_VALUE"""),0.0)</f>
        <v>0</v>
      </c>
      <c r="H1667" s="22">
        <f>IFERROR(__xludf.DUMMYFUNCTION("""COMPUTED_VALUE"""),543830.06605)</f>
        <v>543830.0661</v>
      </c>
      <c r="I1667" s="24">
        <f>IFERROR(__xludf.DUMMYFUNCTION("""COMPUTED_VALUE"""),0.08766013210000012)</f>
        <v>0.0876601321</v>
      </c>
    </row>
    <row r="1668">
      <c r="A1668" s="5" t="str">
        <f>IFERROR(__xludf.DUMMYFUNCTION("""COMPUTED_VALUE"""),"37934")</f>
        <v>37934</v>
      </c>
      <c r="B1668" s="64">
        <f>IFERROR(__xludf.DUMMYFUNCTION("""COMPUTED_VALUE"""),44652.0)</f>
        <v>44652</v>
      </c>
      <c r="C1668" s="5"/>
      <c r="D1668" s="5"/>
      <c r="E1668" s="5"/>
      <c r="F1668" s="22">
        <f>IFERROR(__xludf.DUMMYFUNCTION("""COMPUTED_VALUE"""),151708.76255)</f>
        <v>151708.7626</v>
      </c>
      <c r="G1668" s="22">
        <f>IFERROR(__xludf.DUMMYFUNCTION("""COMPUTED_VALUE"""),0.0)</f>
        <v>0</v>
      </c>
      <c r="H1668" s="22">
        <f>IFERROR(__xludf.DUMMYFUNCTION("""COMPUTED_VALUE"""),541957.3532)</f>
        <v>541957.3532</v>
      </c>
      <c r="I1668" s="24">
        <f>IFERROR(__xludf.DUMMYFUNCTION("""COMPUTED_VALUE"""),0.0839147064000001)</f>
        <v>0.0839147064</v>
      </c>
    </row>
    <row r="1669">
      <c r="A1669" s="5" t="str">
        <f>IFERROR(__xludf.DUMMYFUNCTION("""COMPUTED_VALUE"""),"37934")</f>
        <v>37934</v>
      </c>
      <c r="B1669" s="64">
        <f>IFERROR(__xludf.DUMMYFUNCTION("""COMPUTED_VALUE"""),44653.0)</f>
        <v>44653</v>
      </c>
      <c r="C1669" s="5"/>
      <c r="D1669" s="5"/>
      <c r="E1669" s="5"/>
      <c r="F1669" s="22">
        <f>IFERROR(__xludf.DUMMYFUNCTION("""COMPUTED_VALUE"""),151708.76255)</f>
        <v>151708.7626</v>
      </c>
      <c r="G1669" s="22">
        <f>IFERROR(__xludf.DUMMYFUNCTION("""COMPUTED_VALUE"""),0.0)</f>
        <v>0</v>
      </c>
      <c r="H1669" s="22">
        <f>IFERROR(__xludf.DUMMYFUNCTION("""COMPUTED_VALUE"""),541957.3532)</f>
        <v>541957.3532</v>
      </c>
      <c r="I1669" s="24">
        <f>IFERROR(__xludf.DUMMYFUNCTION("""COMPUTED_VALUE"""),0.0839147064000001)</f>
        <v>0.0839147064</v>
      </c>
    </row>
    <row r="1670">
      <c r="A1670" s="5" t="str">
        <f>IFERROR(__xludf.DUMMYFUNCTION("""COMPUTED_VALUE"""),"37934")</f>
        <v>37934</v>
      </c>
      <c r="B1670" s="64">
        <f>IFERROR(__xludf.DUMMYFUNCTION("""COMPUTED_VALUE"""),44654.0)</f>
        <v>44654</v>
      </c>
      <c r="C1670" s="5"/>
      <c r="D1670" s="5"/>
      <c r="E1670" s="5"/>
      <c r="F1670" s="22">
        <f>IFERROR(__xludf.DUMMYFUNCTION("""COMPUTED_VALUE"""),151708.76255)</f>
        <v>151708.7626</v>
      </c>
      <c r="G1670" s="22">
        <f>IFERROR(__xludf.DUMMYFUNCTION("""COMPUTED_VALUE"""),0.0)</f>
        <v>0</v>
      </c>
      <c r="H1670" s="22">
        <f>IFERROR(__xludf.DUMMYFUNCTION("""COMPUTED_VALUE"""),541957.3532)</f>
        <v>541957.3532</v>
      </c>
      <c r="I1670" s="24">
        <f>IFERROR(__xludf.DUMMYFUNCTION("""COMPUTED_VALUE"""),0.0839147064000001)</f>
        <v>0.0839147064</v>
      </c>
    </row>
    <row r="1671">
      <c r="A1671" s="5" t="str">
        <f>IFERROR(__xludf.DUMMYFUNCTION("""COMPUTED_VALUE"""),"37934")</f>
        <v>37934</v>
      </c>
      <c r="B1671" s="64">
        <f>IFERROR(__xludf.DUMMYFUNCTION("""COMPUTED_VALUE"""),44655.0)</f>
        <v>44655</v>
      </c>
      <c r="C1671" s="5"/>
      <c r="D1671" s="5"/>
      <c r="E1671" s="5"/>
      <c r="F1671" s="22">
        <f>IFERROR(__xludf.DUMMYFUNCTION("""COMPUTED_VALUE"""),151708.76255)</f>
        <v>151708.7626</v>
      </c>
      <c r="G1671" s="22">
        <f>IFERROR(__xludf.DUMMYFUNCTION("""COMPUTED_VALUE"""),0.0)</f>
        <v>0</v>
      </c>
      <c r="H1671" s="22">
        <f>IFERROR(__xludf.DUMMYFUNCTION("""COMPUTED_VALUE"""),568173.6703)</f>
        <v>568173.6703</v>
      </c>
      <c r="I1671" s="24">
        <f>IFERROR(__xludf.DUMMYFUNCTION("""COMPUTED_VALUE"""),0.13634734059999998)</f>
        <v>0.1363473406</v>
      </c>
    </row>
    <row r="1672">
      <c r="A1672" s="5" t="str">
        <f>IFERROR(__xludf.DUMMYFUNCTION("""COMPUTED_VALUE"""),"37934")</f>
        <v>37934</v>
      </c>
      <c r="B1672" s="64">
        <f>IFERROR(__xludf.DUMMYFUNCTION("""COMPUTED_VALUE"""),44656.0)</f>
        <v>44656</v>
      </c>
      <c r="C1672" s="5"/>
      <c r="D1672" s="5"/>
      <c r="E1672" s="5"/>
      <c r="F1672" s="22">
        <f>IFERROR(__xludf.DUMMYFUNCTION("""COMPUTED_VALUE"""),151708.76255)</f>
        <v>151708.7626</v>
      </c>
      <c r="G1672" s="22">
        <f>IFERROR(__xludf.DUMMYFUNCTION("""COMPUTED_VALUE"""),0.0)</f>
        <v>0</v>
      </c>
      <c r="H1672" s="22">
        <f>IFERROR(__xludf.DUMMYFUNCTION("""COMPUTED_VALUE"""),558674.10165)</f>
        <v>558674.1017</v>
      </c>
      <c r="I1672" s="24">
        <f>IFERROR(__xludf.DUMMYFUNCTION("""COMPUTED_VALUE"""),0.11734820329999995)</f>
        <v>0.1173482033</v>
      </c>
    </row>
    <row r="1673">
      <c r="A1673" s="5" t="str">
        <f>IFERROR(__xludf.DUMMYFUNCTION("""COMPUTED_VALUE"""),"37934")</f>
        <v>37934</v>
      </c>
      <c r="B1673" s="64">
        <f>IFERROR(__xludf.DUMMYFUNCTION("""COMPUTED_VALUE"""),44657.0)</f>
        <v>44657</v>
      </c>
      <c r="C1673" s="5"/>
      <c r="D1673" s="5"/>
      <c r="E1673" s="5"/>
      <c r="F1673" s="22">
        <f>IFERROR(__xludf.DUMMYFUNCTION("""COMPUTED_VALUE"""),151708.76255)</f>
        <v>151708.7626</v>
      </c>
      <c r="G1673" s="22">
        <f>IFERROR(__xludf.DUMMYFUNCTION("""COMPUTED_VALUE"""),0.0)</f>
        <v>0</v>
      </c>
      <c r="H1673" s="22">
        <f>IFERROR(__xludf.DUMMYFUNCTION("""COMPUTED_VALUE"""),549427.15465)</f>
        <v>549427.1547</v>
      </c>
      <c r="I1673" s="24">
        <f>IFERROR(__xludf.DUMMYFUNCTION("""COMPUTED_VALUE"""),0.09885430930000005)</f>
        <v>0.0988543093</v>
      </c>
    </row>
    <row r="1674">
      <c r="A1674" s="5" t="str">
        <f>IFERROR(__xludf.DUMMYFUNCTION("""COMPUTED_VALUE"""),"37934")</f>
        <v>37934</v>
      </c>
      <c r="B1674" s="64">
        <f>IFERROR(__xludf.DUMMYFUNCTION("""COMPUTED_VALUE"""),44658.0)</f>
        <v>44658</v>
      </c>
      <c r="C1674" s="5"/>
      <c r="D1674" s="5"/>
      <c r="E1674" s="5"/>
      <c r="F1674" s="22">
        <f>IFERROR(__xludf.DUMMYFUNCTION("""COMPUTED_VALUE"""),151708.76255)</f>
        <v>151708.7626</v>
      </c>
      <c r="G1674" s="22">
        <f>IFERROR(__xludf.DUMMYFUNCTION("""COMPUTED_VALUE"""),0.0)</f>
        <v>0</v>
      </c>
      <c r="H1674" s="22">
        <f>IFERROR(__xludf.DUMMYFUNCTION("""COMPUTED_VALUE"""),543549.25815)</f>
        <v>543549.2582</v>
      </c>
      <c r="I1674" s="24">
        <f>IFERROR(__xludf.DUMMYFUNCTION("""COMPUTED_VALUE"""),0.08709851629999998)</f>
        <v>0.0870985163</v>
      </c>
    </row>
    <row r="1675">
      <c r="A1675" s="5" t="str">
        <f>IFERROR(__xludf.DUMMYFUNCTION("""COMPUTED_VALUE"""),"37934")</f>
        <v>37934</v>
      </c>
      <c r="B1675" s="64">
        <f>IFERROR(__xludf.DUMMYFUNCTION("""COMPUTED_VALUE"""),44659.0)</f>
        <v>44659</v>
      </c>
      <c r="C1675" s="5"/>
      <c r="D1675" s="5"/>
      <c r="E1675" s="5"/>
      <c r="F1675" s="22">
        <f>IFERROR(__xludf.DUMMYFUNCTION("""COMPUTED_VALUE"""),151708.76255)</f>
        <v>151708.7626</v>
      </c>
      <c r="G1675" s="22">
        <f>IFERROR(__xludf.DUMMYFUNCTION("""COMPUTED_VALUE"""),0.0)</f>
        <v>0</v>
      </c>
      <c r="H1675" s="22">
        <f>IFERROR(__xludf.DUMMYFUNCTION("""COMPUTED_VALUE"""),528970.0687)</f>
        <v>528970.0687</v>
      </c>
      <c r="I1675" s="24">
        <f>IFERROR(__xludf.DUMMYFUNCTION("""COMPUTED_VALUE"""),0.057940137399999925)</f>
        <v>0.0579401374</v>
      </c>
    </row>
    <row r="1676">
      <c r="A1676" s="5" t="str">
        <f>IFERROR(__xludf.DUMMYFUNCTION("""COMPUTED_VALUE"""),"37934")</f>
        <v>37934</v>
      </c>
      <c r="B1676" s="64">
        <f>IFERROR(__xludf.DUMMYFUNCTION("""COMPUTED_VALUE"""),44660.0)</f>
        <v>44660</v>
      </c>
      <c r="C1676" s="5"/>
      <c r="D1676" s="5"/>
      <c r="E1676" s="5"/>
      <c r="F1676" s="22">
        <f>IFERROR(__xludf.DUMMYFUNCTION("""COMPUTED_VALUE"""),201703.76255)</f>
        <v>201703.7626</v>
      </c>
      <c r="G1676" s="22">
        <f>IFERROR(__xludf.DUMMYFUNCTION("""COMPUTED_VALUE"""),0.0)</f>
        <v>0</v>
      </c>
      <c r="H1676" s="22">
        <f>IFERROR(__xludf.DUMMYFUNCTION("""COMPUTED_VALUE"""),528970.0687)</f>
        <v>528970.0687</v>
      </c>
      <c r="I1676" s="24">
        <f>IFERROR(__xludf.DUMMYFUNCTION("""COMPUTED_VALUE"""),0.057940137399999925)</f>
        <v>0.0579401374</v>
      </c>
    </row>
    <row r="1677">
      <c r="A1677" s="5" t="str">
        <f>IFERROR(__xludf.DUMMYFUNCTION("""COMPUTED_VALUE"""),"37934")</f>
        <v>37934</v>
      </c>
      <c r="B1677" s="64">
        <f>IFERROR(__xludf.DUMMYFUNCTION("""COMPUTED_VALUE"""),44661.0)</f>
        <v>44661</v>
      </c>
      <c r="C1677" s="5"/>
      <c r="D1677" s="5"/>
      <c r="E1677" s="5"/>
      <c r="F1677" s="22">
        <f>IFERROR(__xludf.DUMMYFUNCTION("""COMPUTED_VALUE"""),201703.76255)</f>
        <v>201703.7626</v>
      </c>
      <c r="G1677" s="22">
        <f>IFERROR(__xludf.DUMMYFUNCTION("""COMPUTED_VALUE"""),0.0)</f>
        <v>0</v>
      </c>
      <c r="H1677" s="22">
        <f>IFERROR(__xludf.DUMMYFUNCTION("""COMPUTED_VALUE"""),528970.0687)</f>
        <v>528970.0687</v>
      </c>
      <c r="I1677" s="24">
        <f>IFERROR(__xludf.DUMMYFUNCTION("""COMPUTED_VALUE"""),0.057940137399999925)</f>
        <v>0.0579401374</v>
      </c>
    </row>
    <row r="1678">
      <c r="A1678" s="5" t="str">
        <f>IFERROR(__xludf.DUMMYFUNCTION("""COMPUTED_VALUE"""),"37934")</f>
        <v>37934</v>
      </c>
      <c r="B1678" s="64">
        <f>IFERROR(__xludf.DUMMYFUNCTION("""COMPUTED_VALUE"""),44662.0)</f>
        <v>44662</v>
      </c>
      <c r="C1678" s="5"/>
      <c r="D1678" s="5"/>
      <c r="E1678" s="5"/>
      <c r="F1678" s="22">
        <f>IFERROR(__xludf.DUMMYFUNCTION("""COMPUTED_VALUE"""),201703.76255)</f>
        <v>201703.7626</v>
      </c>
      <c r="G1678" s="22">
        <f>IFERROR(__xludf.DUMMYFUNCTION("""COMPUTED_VALUE"""),0.0)</f>
        <v>0</v>
      </c>
      <c r="H1678" s="22">
        <f>IFERROR(__xludf.DUMMYFUNCTION("""COMPUTED_VALUE"""),504340.6636)</f>
        <v>504340.6636</v>
      </c>
      <c r="I1678" s="24">
        <f>IFERROR(__xludf.DUMMYFUNCTION("""COMPUTED_VALUE"""),0.008681327200000144)</f>
        <v>0.0086813272</v>
      </c>
    </row>
    <row r="1679">
      <c r="A1679" s="5" t="str">
        <f>IFERROR(__xludf.DUMMYFUNCTION("""COMPUTED_VALUE"""),"37934")</f>
        <v>37934</v>
      </c>
      <c r="B1679" s="64">
        <f>IFERROR(__xludf.DUMMYFUNCTION("""COMPUTED_VALUE"""),44663.0)</f>
        <v>44663</v>
      </c>
      <c r="C1679" s="5"/>
      <c r="D1679" s="5"/>
      <c r="E1679" s="5"/>
      <c r="F1679" s="22">
        <f>IFERROR(__xludf.DUMMYFUNCTION("""COMPUTED_VALUE"""),201703.76255)</f>
        <v>201703.7626</v>
      </c>
      <c r="G1679" s="22">
        <f>IFERROR(__xludf.DUMMYFUNCTION("""COMPUTED_VALUE"""),0.0)</f>
        <v>0</v>
      </c>
      <c r="H1679" s="22">
        <f>IFERROR(__xludf.DUMMYFUNCTION("""COMPUTED_VALUE"""),517866.7463)</f>
        <v>517866.7463</v>
      </c>
      <c r="I1679" s="24">
        <f>IFERROR(__xludf.DUMMYFUNCTION("""COMPUTED_VALUE"""),0.035733492599999916)</f>
        <v>0.0357334926</v>
      </c>
    </row>
    <row r="1680">
      <c r="A1680" s="5" t="str">
        <f>IFERROR(__xludf.DUMMYFUNCTION("""COMPUTED_VALUE"""),"38063")</f>
        <v>38063</v>
      </c>
      <c r="B1680" s="64">
        <f>IFERROR(__xludf.DUMMYFUNCTION("""COMPUTED_VALUE"""),44597.0)</f>
        <v>44597</v>
      </c>
      <c r="C1680" s="5"/>
      <c r="D1680" s="5"/>
      <c r="E1680" s="5"/>
      <c r="F1680" s="22">
        <f>IFERROR(__xludf.DUMMYFUNCTION("""COMPUTED_VALUE"""),500000.0)</f>
        <v>500000</v>
      </c>
      <c r="G1680" s="22">
        <f>IFERROR(__xludf.DUMMYFUNCTION("""COMPUTED_VALUE"""),0.0)</f>
        <v>0</v>
      </c>
      <c r="H1680" s="22">
        <f>IFERROR(__xludf.DUMMYFUNCTION("""COMPUTED_VALUE"""),500000.0)</f>
        <v>500000</v>
      </c>
      <c r="I1680" s="24">
        <f>IFERROR(__xludf.DUMMYFUNCTION("""COMPUTED_VALUE"""),0.0)</f>
        <v>0</v>
      </c>
    </row>
    <row r="1681">
      <c r="A1681" s="5" t="str">
        <f>IFERROR(__xludf.DUMMYFUNCTION("""COMPUTED_VALUE"""),"38063")</f>
        <v>38063</v>
      </c>
      <c r="B1681" s="64">
        <f>IFERROR(__xludf.DUMMYFUNCTION("""COMPUTED_VALUE"""),44598.0)</f>
        <v>44598</v>
      </c>
      <c r="C1681" s="5"/>
      <c r="D1681" s="5"/>
      <c r="E1681" s="5"/>
      <c r="F1681" s="22">
        <f>IFERROR(__xludf.DUMMYFUNCTION("""COMPUTED_VALUE"""),500000.0)</f>
        <v>500000</v>
      </c>
      <c r="G1681" s="22">
        <f>IFERROR(__xludf.DUMMYFUNCTION("""COMPUTED_VALUE"""),0.0)</f>
        <v>0</v>
      </c>
      <c r="H1681" s="22">
        <f>IFERROR(__xludf.DUMMYFUNCTION("""COMPUTED_VALUE"""),500000.0)</f>
        <v>500000</v>
      </c>
      <c r="I1681" s="24">
        <f>IFERROR(__xludf.DUMMYFUNCTION("""COMPUTED_VALUE"""),0.0)</f>
        <v>0</v>
      </c>
    </row>
    <row r="1682">
      <c r="A1682" s="5" t="str">
        <f>IFERROR(__xludf.DUMMYFUNCTION("""COMPUTED_VALUE"""),"38063")</f>
        <v>38063</v>
      </c>
      <c r="B1682" s="64">
        <f>IFERROR(__xludf.DUMMYFUNCTION("""COMPUTED_VALUE"""),44599.0)</f>
        <v>44599</v>
      </c>
      <c r="C1682" s="5"/>
      <c r="D1682" s="5"/>
      <c r="E1682" s="5"/>
      <c r="F1682" s="22">
        <f>IFERROR(__xludf.DUMMYFUNCTION("""COMPUTED_VALUE"""),500000.0)</f>
        <v>500000</v>
      </c>
      <c r="G1682" s="22">
        <f>IFERROR(__xludf.DUMMYFUNCTION("""COMPUTED_VALUE"""),0.0)</f>
        <v>0</v>
      </c>
      <c r="H1682" s="22">
        <f>IFERROR(__xludf.DUMMYFUNCTION("""COMPUTED_VALUE"""),500000.0)</f>
        <v>500000</v>
      </c>
      <c r="I1682" s="24">
        <f>IFERROR(__xludf.DUMMYFUNCTION("""COMPUTED_VALUE"""),0.0)</f>
        <v>0</v>
      </c>
    </row>
    <row r="1683">
      <c r="A1683" s="5" t="str">
        <f>IFERROR(__xludf.DUMMYFUNCTION("""COMPUTED_VALUE"""),"38063")</f>
        <v>38063</v>
      </c>
      <c r="B1683" s="64">
        <f>IFERROR(__xludf.DUMMYFUNCTION("""COMPUTED_VALUE"""),44600.0)</f>
        <v>44600</v>
      </c>
      <c r="C1683" s="5"/>
      <c r="D1683" s="5"/>
      <c r="E1683" s="5"/>
      <c r="F1683" s="22">
        <f>IFERROR(__xludf.DUMMYFUNCTION("""COMPUTED_VALUE"""),500000.0)</f>
        <v>500000</v>
      </c>
      <c r="G1683" s="22">
        <f>IFERROR(__xludf.DUMMYFUNCTION("""COMPUTED_VALUE"""),0.0)</f>
        <v>0</v>
      </c>
      <c r="H1683" s="22">
        <f>IFERROR(__xludf.DUMMYFUNCTION("""COMPUTED_VALUE"""),500000.0)</f>
        <v>500000</v>
      </c>
      <c r="I1683" s="24">
        <f>IFERROR(__xludf.DUMMYFUNCTION("""COMPUTED_VALUE"""),0.0)</f>
        <v>0</v>
      </c>
    </row>
    <row r="1684">
      <c r="A1684" s="5" t="str">
        <f>IFERROR(__xludf.DUMMYFUNCTION("""COMPUTED_VALUE"""),"38063")</f>
        <v>38063</v>
      </c>
      <c r="B1684" s="64">
        <f>IFERROR(__xludf.DUMMYFUNCTION("""COMPUTED_VALUE"""),44601.0)</f>
        <v>44601</v>
      </c>
      <c r="C1684" s="5"/>
      <c r="D1684" s="5"/>
      <c r="E1684" s="5"/>
      <c r="F1684" s="22">
        <f>IFERROR(__xludf.DUMMYFUNCTION("""COMPUTED_VALUE"""),500000.0)</f>
        <v>500000</v>
      </c>
      <c r="G1684" s="22">
        <f>IFERROR(__xludf.DUMMYFUNCTION("""COMPUTED_VALUE"""),0.0)</f>
        <v>0</v>
      </c>
      <c r="H1684" s="22">
        <f>IFERROR(__xludf.DUMMYFUNCTION("""COMPUTED_VALUE"""),500000.0)</f>
        <v>500000</v>
      </c>
      <c r="I1684" s="24">
        <f>IFERROR(__xludf.DUMMYFUNCTION("""COMPUTED_VALUE"""),0.0)</f>
        <v>0</v>
      </c>
    </row>
    <row r="1685">
      <c r="A1685" s="5" t="str">
        <f>IFERROR(__xludf.DUMMYFUNCTION("""COMPUTED_VALUE"""),"38063")</f>
        <v>38063</v>
      </c>
      <c r="B1685" s="64">
        <f>IFERROR(__xludf.DUMMYFUNCTION("""COMPUTED_VALUE"""),44602.0)</f>
        <v>44602</v>
      </c>
      <c r="C1685" s="5"/>
      <c r="D1685" s="5"/>
      <c r="E1685" s="5"/>
      <c r="F1685" s="22">
        <f>IFERROR(__xludf.DUMMYFUNCTION("""COMPUTED_VALUE"""),500000.0)</f>
        <v>500000</v>
      </c>
      <c r="G1685" s="22">
        <f>IFERROR(__xludf.DUMMYFUNCTION("""COMPUTED_VALUE"""),0.0)</f>
        <v>0</v>
      </c>
      <c r="H1685" s="22">
        <f>IFERROR(__xludf.DUMMYFUNCTION("""COMPUTED_VALUE"""),500000.0)</f>
        <v>500000</v>
      </c>
      <c r="I1685" s="24">
        <f>IFERROR(__xludf.DUMMYFUNCTION("""COMPUTED_VALUE"""),0.0)</f>
        <v>0</v>
      </c>
    </row>
    <row r="1686">
      <c r="A1686" s="5" t="str">
        <f>IFERROR(__xludf.DUMMYFUNCTION("""COMPUTED_VALUE"""),"38063")</f>
        <v>38063</v>
      </c>
      <c r="B1686" s="64">
        <f>IFERROR(__xludf.DUMMYFUNCTION("""COMPUTED_VALUE"""),44603.0)</f>
        <v>44603</v>
      </c>
      <c r="C1686" s="5"/>
      <c r="D1686" s="5"/>
      <c r="E1686" s="5"/>
      <c r="F1686" s="22">
        <f>IFERROR(__xludf.DUMMYFUNCTION("""COMPUTED_VALUE"""),500000.0)</f>
        <v>500000</v>
      </c>
      <c r="G1686" s="22">
        <f>IFERROR(__xludf.DUMMYFUNCTION("""COMPUTED_VALUE"""),0.0)</f>
        <v>0</v>
      </c>
      <c r="H1686" s="22">
        <f>IFERROR(__xludf.DUMMYFUNCTION("""COMPUTED_VALUE"""),500000.0)</f>
        <v>500000</v>
      </c>
      <c r="I1686" s="24">
        <f>IFERROR(__xludf.DUMMYFUNCTION("""COMPUTED_VALUE"""),0.0)</f>
        <v>0</v>
      </c>
    </row>
    <row r="1687">
      <c r="A1687" s="5" t="str">
        <f>IFERROR(__xludf.DUMMYFUNCTION("""COMPUTED_VALUE"""),"38063")</f>
        <v>38063</v>
      </c>
      <c r="B1687" s="64">
        <f>IFERROR(__xludf.DUMMYFUNCTION("""COMPUTED_VALUE"""),44604.0)</f>
        <v>44604</v>
      </c>
      <c r="C1687" s="5"/>
      <c r="D1687" s="5"/>
      <c r="E1687" s="5"/>
      <c r="F1687" s="22">
        <f>IFERROR(__xludf.DUMMYFUNCTION("""COMPUTED_VALUE"""),500000.0)</f>
        <v>500000</v>
      </c>
      <c r="G1687" s="22">
        <f>IFERROR(__xludf.DUMMYFUNCTION("""COMPUTED_VALUE"""),0.0)</f>
        <v>0</v>
      </c>
      <c r="H1687" s="22">
        <f>IFERROR(__xludf.DUMMYFUNCTION("""COMPUTED_VALUE"""),500000.0)</f>
        <v>500000</v>
      </c>
      <c r="I1687" s="24">
        <f>IFERROR(__xludf.DUMMYFUNCTION("""COMPUTED_VALUE"""),0.0)</f>
        <v>0</v>
      </c>
    </row>
    <row r="1688">
      <c r="A1688" s="5" t="str">
        <f>IFERROR(__xludf.DUMMYFUNCTION("""COMPUTED_VALUE"""),"38063")</f>
        <v>38063</v>
      </c>
      <c r="B1688" s="64">
        <f>IFERROR(__xludf.DUMMYFUNCTION("""COMPUTED_VALUE"""),44605.0)</f>
        <v>44605</v>
      </c>
      <c r="C1688" s="5"/>
      <c r="D1688" s="5"/>
      <c r="E1688" s="5"/>
      <c r="F1688" s="22">
        <f>IFERROR(__xludf.DUMMYFUNCTION("""COMPUTED_VALUE"""),500000.0)</f>
        <v>500000</v>
      </c>
      <c r="G1688" s="22">
        <f>IFERROR(__xludf.DUMMYFUNCTION("""COMPUTED_VALUE"""),0.0)</f>
        <v>0</v>
      </c>
      <c r="H1688" s="22">
        <f>IFERROR(__xludf.DUMMYFUNCTION("""COMPUTED_VALUE"""),500000.0)</f>
        <v>500000</v>
      </c>
      <c r="I1688" s="24">
        <f>IFERROR(__xludf.DUMMYFUNCTION("""COMPUTED_VALUE"""),0.0)</f>
        <v>0</v>
      </c>
    </row>
    <row r="1689">
      <c r="A1689" s="5" t="str">
        <f>IFERROR(__xludf.DUMMYFUNCTION("""COMPUTED_VALUE"""),"38063")</f>
        <v>38063</v>
      </c>
      <c r="B1689" s="64">
        <f>IFERROR(__xludf.DUMMYFUNCTION("""COMPUTED_VALUE"""),44606.0)</f>
        <v>44606</v>
      </c>
      <c r="C1689" s="5"/>
      <c r="D1689" s="5"/>
      <c r="E1689" s="5"/>
      <c r="F1689" s="22">
        <f>IFERROR(__xludf.DUMMYFUNCTION("""COMPUTED_VALUE"""),500000.0)</f>
        <v>500000</v>
      </c>
      <c r="G1689" s="22">
        <f>IFERROR(__xludf.DUMMYFUNCTION("""COMPUTED_VALUE"""),0.0)</f>
        <v>0</v>
      </c>
      <c r="H1689" s="22">
        <f>IFERROR(__xludf.DUMMYFUNCTION("""COMPUTED_VALUE"""),500000.0)</f>
        <v>500000</v>
      </c>
      <c r="I1689" s="24">
        <f>IFERROR(__xludf.DUMMYFUNCTION("""COMPUTED_VALUE"""),0.0)</f>
        <v>0</v>
      </c>
    </row>
    <row r="1690">
      <c r="A1690" s="5" t="str">
        <f>IFERROR(__xludf.DUMMYFUNCTION("""COMPUTED_VALUE"""),"38063")</f>
        <v>38063</v>
      </c>
      <c r="B1690" s="64">
        <f>IFERROR(__xludf.DUMMYFUNCTION("""COMPUTED_VALUE"""),44607.0)</f>
        <v>44607</v>
      </c>
      <c r="C1690" s="5"/>
      <c r="D1690" s="5"/>
      <c r="E1690" s="5"/>
      <c r="F1690" s="22">
        <f>IFERROR(__xludf.DUMMYFUNCTION("""COMPUTED_VALUE"""),500000.0)</f>
        <v>500000</v>
      </c>
      <c r="G1690" s="22">
        <f>IFERROR(__xludf.DUMMYFUNCTION("""COMPUTED_VALUE"""),0.0)</f>
        <v>0</v>
      </c>
      <c r="H1690" s="22">
        <f>IFERROR(__xludf.DUMMYFUNCTION("""COMPUTED_VALUE"""),500000.0)</f>
        <v>500000</v>
      </c>
      <c r="I1690" s="24">
        <f>IFERROR(__xludf.DUMMYFUNCTION("""COMPUTED_VALUE"""),0.0)</f>
        <v>0</v>
      </c>
    </row>
    <row r="1691">
      <c r="A1691" s="5" t="str">
        <f>IFERROR(__xludf.DUMMYFUNCTION("""COMPUTED_VALUE"""),"38063")</f>
        <v>38063</v>
      </c>
      <c r="B1691" s="64">
        <f>IFERROR(__xludf.DUMMYFUNCTION("""COMPUTED_VALUE"""),44608.0)</f>
        <v>44608</v>
      </c>
      <c r="C1691" s="5"/>
      <c r="D1691" s="5"/>
      <c r="E1691" s="5"/>
      <c r="F1691" s="22">
        <f>IFERROR(__xludf.DUMMYFUNCTION("""COMPUTED_VALUE"""),500000.0)</f>
        <v>500000</v>
      </c>
      <c r="G1691" s="22">
        <f>IFERROR(__xludf.DUMMYFUNCTION("""COMPUTED_VALUE"""),0.0)</f>
        <v>0</v>
      </c>
      <c r="H1691" s="22">
        <f>IFERROR(__xludf.DUMMYFUNCTION("""COMPUTED_VALUE"""),500000.0)</f>
        <v>500000</v>
      </c>
      <c r="I1691" s="24">
        <f>IFERROR(__xludf.DUMMYFUNCTION("""COMPUTED_VALUE"""),0.0)</f>
        <v>0</v>
      </c>
    </row>
    <row r="1692">
      <c r="A1692" s="5" t="str">
        <f>IFERROR(__xludf.DUMMYFUNCTION("""COMPUTED_VALUE"""),"38063")</f>
        <v>38063</v>
      </c>
      <c r="B1692" s="64">
        <f>IFERROR(__xludf.DUMMYFUNCTION("""COMPUTED_VALUE"""),44609.0)</f>
        <v>44609</v>
      </c>
      <c r="C1692" s="5"/>
      <c r="D1692" s="5"/>
      <c r="E1692" s="5"/>
      <c r="F1692" s="22">
        <f>IFERROR(__xludf.DUMMYFUNCTION("""COMPUTED_VALUE"""),500000.0)</f>
        <v>500000</v>
      </c>
      <c r="G1692" s="22">
        <f>IFERROR(__xludf.DUMMYFUNCTION("""COMPUTED_VALUE"""),0.0)</f>
        <v>0</v>
      </c>
      <c r="H1692" s="22">
        <f>IFERROR(__xludf.DUMMYFUNCTION("""COMPUTED_VALUE"""),500000.0)</f>
        <v>500000</v>
      </c>
      <c r="I1692" s="24">
        <f>IFERROR(__xludf.DUMMYFUNCTION("""COMPUTED_VALUE"""),0.0)</f>
        <v>0</v>
      </c>
    </row>
    <row r="1693">
      <c r="A1693" s="5" t="str">
        <f>IFERROR(__xludf.DUMMYFUNCTION("""COMPUTED_VALUE"""),"38063")</f>
        <v>38063</v>
      </c>
      <c r="B1693" s="64">
        <f>IFERROR(__xludf.DUMMYFUNCTION("""COMPUTED_VALUE"""),44610.0)</f>
        <v>44610</v>
      </c>
      <c r="C1693" s="5"/>
      <c r="D1693" s="5"/>
      <c r="E1693" s="5"/>
      <c r="F1693" s="22">
        <f>IFERROR(__xludf.DUMMYFUNCTION("""COMPUTED_VALUE"""),500000.0)</f>
        <v>500000</v>
      </c>
      <c r="G1693" s="22">
        <f>IFERROR(__xludf.DUMMYFUNCTION("""COMPUTED_VALUE"""),0.0)</f>
        <v>0</v>
      </c>
      <c r="H1693" s="22">
        <f>IFERROR(__xludf.DUMMYFUNCTION("""COMPUTED_VALUE"""),500000.0)</f>
        <v>500000</v>
      </c>
      <c r="I1693" s="24">
        <f>IFERROR(__xludf.DUMMYFUNCTION("""COMPUTED_VALUE"""),0.0)</f>
        <v>0</v>
      </c>
    </row>
    <row r="1694">
      <c r="A1694" s="5" t="str">
        <f>IFERROR(__xludf.DUMMYFUNCTION("""COMPUTED_VALUE"""),"38063")</f>
        <v>38063</v>
      </c>
      <c r="B1694" s="64">
        <f>IFERROR(__xludf.DUMMYFUNCTION("""COMPUTED_VALUE"""),44611.0)</f>
        <v>44611</v>
      </c>
      <c r="C1694" s="5"/>
      <c r="D1694" s="5"/>
      <c r="E1694" s="5"/>
      <c r="F1694" s="22">
        <f>IFERROR(__xludf.DUMMYFUNCTION("""COMPUTED_VALUE"""),500000.0)</f>
        <v>500000</v>
      </c>
      <c r="G1694" s="22">
        <f>IFERROR(__xludf.DUMMYFUNCTION("""COMPUTED_VALUE"""),0.0)</f>
        <v>0</v>
      </c>
      <c r="H1694" s="22">
        <f>IFERROR(__xludf.DUMMYFUNCTION("""COMPUTED_VALUE"""),500000.0)</f>
        <v>500000</v>
      </c>
      <c r="I1694" s="24">
        <f>IFERROR(__xludf.DUMMYFUNCTION("""COMPUTED_VALUE"""),0.0)</f>
        <v>0</v>
      </c>
    </row>
    <row r="1695">
      <c r="A1695" s="5" t="str">
        <f>IFERROR(__xludf.DUMMYFUNCTION("""COMPUTED_VALUE"""),"38063")</f>
        <v>38063</v>
      </c>
      <c r="B1695" s="64">
        <f>IFERROR(__xludf.DUMMYFUNCTION("""COMPUTED_VALUE"""),44612.0)</f>
        <v>44612</v>
      </c>
      <c r="C1695" s="5"/>
      <c r="D1695" s="5"/>
      <c r="E1695" s="5"/>
      <c r="F1695" s="22">
        <f>IFERROR(__xludf.DUMMYFUNCTION("""COMPUTED_VALUE"""),500000.0)</f>
        <v>500000</v>
      </c>
      <c r="G1695" s="22">
        <f>IFERROR(__xludf.DUMMYFUNCTION("""COMPUTED_VALUE"""),0.0)</f>
        <v>0</v>
      </c>
      <c r="H1695" s="22">
        <f>IFERROR(__xludf.DUMMYFUNCTION("""COMPUTED_VALUE"""),500000.0)</f>
        <v>500000</v>
      </c>
      <c r="I1695" s="24">
        <f>IFERROR(__xludf.DUMMYFUNCTION("""COMPUTED_VALUE"""),0.0)</f>
        <v>0</v>
      </c>
    </row>
    <row r="1696">
      <c r="A1696" s="5" t="str">
        <f>IFERROR(__xludf.DUMMYFUNCTION("""COMPUTED_VALUE"""),"38063")</f>
        <v>38063</v>
      </c>
      <c r="B1696" s="64">
        <f>IFERROR(__xludf.DUMMYFUNCTION("""COMPUTED_VALUE"""),44613.0)</f>
        <v>44613</v>
      </c>
      <c r="C1696" s="5"/>
      <c r="D1696" s="5"/>
      <c r="E1696" s="5"/>
      <c r="F1696" s="22">
        <f>IFERROR(__xludf.DUMMYFUNCTION("""COMPUTED_VALUE"""),500000.0)</f>
        <v>500000</v>
      </c>
      <c r="G1696" s="22">
        <f>IFERROR(__xludf.DUMMYFUNCTION("""COMPUTED_VALUE"""),0.0)</f>
        <v>0</v>
      </c>
      <c r="H1696" s="22">
        <f>IFERROR(__xludf.DUMMYFUNCTION("""COMPUTED_VALUE"""),500000.0)</f>
        <v>500000</v>
      </c>
      <c r="I1696" s="24">
        <f>IFERROR(__xludf.DUMMYFUNCTION("""COMPUTED_VALUE"""),0.0)</f>
        <v>0</v>
      </c>
    </row>
    <row r="1697">
      <c r="A1697" s="5" t="str">
        <f>IFERROR(__xludf.DUMMYFUNCTION("""COMPUTED_VALUE"""),"38063")</f>
        <v>38063</v>
      </c>
      <c r="B1697" s="64">
        <f>IFERROR(__xludf.DUMMYFUNCTION("""COMPUTED_VALUE"""),44614.0)</f>
        <v>44614</v>
      </c>
      <c r="C1697" s="5"/>
      <c r="D1697" s="5"/>
      <c r="E1697" s="5"/>
      <c r="F1697" s="22">
        <f>IFERROR(__xludf.DUMMYFUNCTION("""COMPUTED_VALUE"""),500000.0)</f>
        <v>500000</v>
      </c>
      <c r="G1697" s="22">
        <f>IFERROR(__xludf.DUMMYFUNCTION("""COMPUTED_VALUE"""),0.0)</f>
        <v>0</v>
      </c>
      <c r="H1697" s="22">
        <f>IFERROR(__xludf.DUMMYFUNCTION("""COMPUTED_VALUE"""),500000.0)</f>
        <v>500000</v>
      </c>
      <c r="I1697" s="24">
        <f>IFERROR(__xludf.DUMMYFUNCTION("""COMPUTED_VALUE"""),0.0)</f>
        <v>0</v>
      </c>
    </row>
    <row r="1698">
      <c r="A1698" s="5" t="str">
        <f>IFERROR(__xludf.DUMMYFUNCTION("""COMPUTED_VALUE"""),"38063")</f>
        <v>38063</v>
      </c>
      <c r="B1698" s="64">
        <f>IFERROR(__xludf.DUMMYFUNCTION("""COMPUTED_VALUE"""),44615.0)</f>
        <v>44615</v>
      </c>
      <c r="C1698" s="5"/>
      <c r="D1698" s="5"/>
      <c r="E1698" s="5"/>
      <c r="F1698" s="22">
        <f>IFERROR(__xludf.DUMMYFUNCTION("""COMPUTED_VALUE"""),500000.0)</f>
        <v>500000</v>
      </c>
      <c r="G1698" s="22">
        <f>IFERROR(__xludf.DUMMYFUNCTION("""COMPUTED_VALUE"""),0.0)</f>
        <v>0</v>
      </c>
      <c r="H1698" s="22">
        <f>IFERROR(__xludf.DUMMYFUNCTION("""COMPUTED_VALUE"""),500000.0)</f>
        <v>500000</v>
      </c>
      <c r="I1698" s="24">
        <f>IFERROR(__xludf.DUMMYFUNCTION("""COMPUTED_VALUE"""),0.0)</f>
        <v>0</v>
      </c>
    </row>
    <row r="1699">
      <c r="A1699" s="5" t="str">
        <f>IFERROR(__xludf.DUMMYFUNCTION("""COMPUTED_VALUE"""),"38063")</f>
        <v>38063</v>
      </c>
      <c r="B1699" s="64">
        <f>IFERROR(__xludf.DUMMYFUNCTION("""COMPUTED_VALUE"""),44616.0)</f>
        <v>44616</v>
      </c>
      <c r="C1699" s="5"/>
      <c r="D1699" s="5"/>
      <c r="E1699" s="5"/>
      <c r="F1699" s="22">
        <f>IFERROR(__xludf.DUMMYFUNCTION("""COMPUTED_VALUE"""),500000.0)</f>
        <v>500000</v>
      </c>
      <c r="G1699" s="22">
        <f>IFERROR(__xludf.DUMMYFUNCTION("""COMPUTED_VALUE"""),0.0)</f>
        <v>0</v>
      </c>
      <c r="H1699" s="22">
        <f>IFERROR(__xludf.DUMMYFUNCTION("""COMPUTED_VALUE"""),500000.0)</f>
        <v>500000</v>
      </c>
      <c r="I1699" s="24">
        <f>IFERROR(__xludf.DUMMYFUNCTION("""COMPUTED_VALUE"""),0.0)</f>
        <v>0</v>
      </c>
    </row>
    <row r="1700">
      <c r="A1700" s="5" t="str">
        <f>IFERROR(__xludf.DUMMYFUNCTION("""COMPUTED_VALUE"""),"38063")</f>
        <v>38063</v>
      </c>
      <c r="B1700" s="64">
        <f>IFERROR(__xludf.DUMMYFUNCTION("""COMPUTED_VALUE"""),44617.0)</f>
        <v>44617</v>
      </c>
      <c r="C1700" s="5"/>
      <c r="D1700" s="5"/>
      <c r="E1700" s="5"/>
      <c r="F1700" s="22">
        <f>IFERROR(__xludf.DUMMYFUNCTION("""COMPUTED_VALUE"""),500000.0)</f>
        <v>500000</v>
      </c>
      <c r="G1700" s="22">
        <f>IFERROR(__xludf.DUMMYFUNCTION("""COMPUTED_VALUE"""),0.0)</f>
        <v>0</v>
      </c>
      <c r="H1700" s="22">
        <f>IFERROR(__xludf.DUMMYFUNCTION("""COMPUTED_VALUE"""),500000.0)</f>
        <v>500000</v>
      </c>
      <c r="I1700" s="24">
        <f>IFERROR(__xludf.DUMMYFUNCTION("""COMPUTED_VALUE"""),0.0)</f>
        <v>0</v>
      </c>
    </row>
    <row r="1701">
      <c r="A1701" s="5" t="str">
        <f>IFERROR(__xludf.DUMMYFUNCTION("""COMPUTED_VALUE"""),"38063")</f>
        <v>38063</v>
      </c>
      <c r="B1701" s="64">
        <f>IFERROR(__xludf.DUMMYFUNCTION("""COMPUTED_VALUE"""),44618.0)</f>
        <v>44618</v>
      </c>
      <c r="C1701" s="5"/>
      <c r="D1701" s="5"/>
      <c r="E1701" s="5"/>
      <c r="F1701" s="22">
        <f>IFERROR(__xludf.DUMMYFUNCTION("""COMPUTED_VALUE"""),500000.0)</f>
        <v>500000</v>
      </c>
      <c r="G1701" s="22">
        <f>IFERROR(__xludf.DUMMYFUNCTION("""COMPUTED_VALUE"""),0.0)</f>
        <v>0</v>
      </c>
      <c r="H1701" s="22">
        <f>IFERROR(__xludf.DUMMYFUNCTION("""COMPUTED_VALUE"""),500000.0)</f>
        <v>500000</v>
      </c>
      <c r="I1701" s="24">
        <f>IFERROR(__xludf.DUMMYFUNCTION("""COMPUTED_VALUE"""),0.0)</f>
        <v>0</v>
      </c>
    </row>
    <row r="1702">
      <c r="A1702" s="5" t="str">
        <f>IFERROR(__xludf.DUMMYFUNCTION("""COMPUTED_VALUE"""),"38063")</f>
        <v>38063</v>
      </c>
      <c r="B1702" s="64">
        <f>IFERROR(__xludf.DUMMYFUNCTION("""COMPUTED_VALUE"""),44619.0)</f>
        <v>44619</v>
      </c>
      <c r="C1702" s="5"/>
      <c r="D1702" s="5"/>
      <c r="E1702" s="5"/>
      <c r="F1702" s="22">
        <f>IFERROR(__xludf.DUMMYFUNCTION("""COMPUTED_VALUE"""),500000.0)</f>
        <v>500000</v>
      </c>
      <c r="G1702" s="22">
        <f>IFERROR(__xludf.DUMMYFUNCTION("""COMPUTED_VALUE"""),0.0)</f>
        <v>0</v>
      </c>
      <c r="H1702" s="22">
        <f>IFERROR(__xludf.DUMMYFUNCTION("""COMPUTED_VALUE"""),500000.0)</f>
        <v>500000</v>
      </c>
      <c r="I1702" s="24">
        <f>IFERROR(__xludf.DUMMYFUNCTION("""COMPUTED_VALUE"""),0.0)</f>
        <v>0</v>
      </c>
    </row>
    <row r="1703">
      <c r="A1703" s="5" t="str">
        <f>IFERROR(__xludf.DUMMYFUNCTION("""COMPUTED_VALUE"""),"38063")</f>
        <v>38063</v>
      </c>
      <c r="B1703" s="64">
        <f>IFERROR(__xludf.DUMMYFUNCTION("""COMPUTED_VALUE"""),44620.0)</f>
        <v>44620</v>
      </c>
      <c r="C1703" s="5"/>
      <c r="D1703" s="5"/>
      <c r="E1703" s="5"/>
      <c r="F1703" s="22">
        <f>IFERROR(__xludf.DUMMYFUNCTION("""COMPUTED_VALUE"""),500000.0)</f>
        <v>500000</v>
      </c>
      <c r="G1703" s="22">
        <f>IFERROR(__xludf.DUMMYFUNCTION("""COMPUTED_VALUE"""),0.0)</f>
        <v>0</v>
      </c>
      <c r="H1703" s="22">
        <f>IFERROR(__xludf.DUMMYFUNCTION("""COMPUTED_VALUE"""),500000.0)</f>
        <v>500000</v>
      </c>
      <c r="I1703" s="24">
        <f>IFERROR(__xludf.DUMMYFUNCTION("""COMPUTED_VALUE"""),0.0)</f>
        <v>0</v>
      </c>
    </row>
    <row r="1704">
      <c r="A1704" s="5" t="str">
        <f>IFERROR(__xludf.DUMMYFUNCTION("""COMPUTED_VALUE"""),"38063")</f>
        <v>38063</v>
      </c>
      <c r="B1704" s="64">
        <f>IFERROR(__xludf.DUMMYFUNCTION("""COMPUTED_VALUE"""),44621.0)</f>
        <v>44621</v>
      </c>
      <c r="C1704" s="5"/>
      <c r="D1704" s="5"/>
      <c r="E1704" s="5"/>
      <c r="F1704" s="22">
        <f>IFERROR(__xludf.DUMMYFUNCTION("""COMPUTED_VALUE"""),500000.0)</f>
        <v>500000</v>
      </c>
      <c r="G1704" s="22">
        <f>IFERROR(__xludf.DUMMYFUNCTION("""COMPUTED_VALUE"""),0.0)</f>
        <v>0</v>
      </c>
      <c r="H1704" s="22">
        <f>IFERROR(__xludf.DUMMYFUNCTION("""COMPUTED_VALUE"""),500000.0)</f>
        <v>500000</v>
      </c>
      <c r="I1704" s="24">
        <f>IFERROR(__xludf.DUMMYFUNCTION("""COMPUTED_VALUE"""),0.0)</f>
        <v>0</v>
      </c>
    </row>
    <row r="1705">
      <c r="A1705" s="5" t="str">
        <f>IFERROR(__xludf.DUMMYFUNCTION("""COMPUTED_VALUE"""),"38063")</f>
        <v>38063</v>
      </c>
      <c r="B1705" s="64">
        <f>IFERROR(__xludf.DUMMYFUNCTION("""COMPUTED_VALUE"""),44622.0)</f>
        <v>44622</v>
      </c>
      <c r="C1705" s="5"/>
      <c r="D1705" s="5"/>
      <c r="E1705" s="5"/>
      <c r="F1705" s="22">
        <f>IFERROR(__xludf.DUMMYFUNCTION("""COMPUTED_VALUE"""),500000.0)</f>
        <v>500000</v>
      </c>
      <c r="G1705" s="22">
        <f>IFERROR(__xludf.DUMMYFUNCTION("""COMPUTED_VALUE"""),0.0)</f>
        <v>0</v>
      </c>
      <c r="H1705" s="22">
        <f>IFERROR(__xludf.DUMMYFUNCTION("""COMPUTED_VALUE"""),500000.0)</f>
        <v>500000</v>
      </c>
      <c r="I1705" s="24">
        <f>IFERROR(__xludf.DUMMYFUNCTION("""COMPUTED_VALUE"""),0.0)</f>
        <v>0</v>
      </c>
    </row>
    <row r="1706">
      <c r="A1706" s="5" t="str">
        <f>IFERROR(__xludf.DUMMYFUNCTION("""COMPUTED_VALUE"""),"38063")</f>
        <v>38063</v>
      </c>
      <c r="B1706" s="64">
        <f>IFERROR(__xludf.DUMMYFUNCTION("""COMPUTED_VALUE"""),44623.0)</f>
        <v>44623</v>
      </c>
      <c r="C1706" s="5"/>
      <c r="D1706" s="5"/>
      <c r="E1706" s="5"/>
      <c r="F1706" s="22">
        <f>IFERROR(__xludf.DUMMYFUNCTION("""COMPUTED_VALUE"""),500000.0)</f>
        <v>500000</v>
      </c>
      <c r="G1706" s="22">
        <f>IFERROR(__xludf.DUMMYFUNCTION("""COMPUTED_VALUE"""),0.0)</f>
        <v>0</v>
      </c>
      <c r="H1706" s="22">
        <f>IFERROR(__xludf.DUMMYFUNCTION("""COMPUTED_VALUE"""),500000.0)</f>
        <v>500000</v>
      </c>
      <c r="I1706" s="24">
        <f>IFERROR(__xludf.DUMMYFUNCTION("""COMPUTED_VALUE"""),0.0)</f>
        <v>0</v>
      </c>
    </row>
    <row r="1707">
      <c r="A1707" s="5" t="str">
        <f>IFERROR(__xludf.DUMMYFUNCTION("""COMPUTED_VALUE"""),"38063")</f>
        <v>38063</v>
      </c>
      <c r="B1707" s="64">
        <f>IFERROR(__xludf.DUMMYFUNCTION("""COMPUTED_VALUE"""),44624.0)</f>
        <v>44624</v>
      </c>
      <c r="C1707" s="5"/>
      <c r="D1707" s="5"/>
      <c r="E1707" s="5"/>
      <c r="F1707" s="22">
        <f>IFERROR(__xludf.DUMMYFUNCTION("""COMPUTED_VALUE"""),500000.0)</f>
        <v>500000</v>
      </c>
      <c r="G1707" s="22">
        <f>IFERROR(__xludf.DUMMYFUNCTION("""COMPUTED_VALUE"""),0.0)</f>
        <v>0</v>
      </c>
      <c r="H1707" s="22">
        <f>IFERROR(__xludf.DUMMYFUNCTION("""COMPUTED_VALUE"""),500000.0)</f>
        <v>500000</v>
      </c>
      <c r="I1707" s="24">
        <f>IFERROR(__xludf.DUMMYFUNCTION("""COMPUTED_VALUE"""),0.0)</f>
        <v>0</v>
      </c>
    </row>
    <row r="1708">
      <c r="A1708" s="5" t="str">
        <f>IFERROR(__xludf.DUMMYFUNCTION("""COMPUTED_VALUE"""),"38063")</f>
        <v>38063</v>
      </c>
      <c r="B1708" s="64">
        <f>IFERROR(__xludf.DUMMYFUNCTION("""COMPUTED_VALUE"""),44625.0)</f>
        <v>44625</v>
      </c>
      <c r="C1708" s="5"/>
      <c r="D1708" s="5"/>
      <c r="E1708" s="5"/>
      <c r="F1708" s="22">
        <f>IFERROR(__xludf.DUMMYFUNCTION("""COMPUTED_VALUE"""),500000.0)</f>
        <v>500000</v>
      </c>
      <c r="G1708" s="22">
        <f>IFERROR(__xludf.DUMMYFUNCTION("""COMPUTED_VALUE"""),0.0)</f>
        <v>0</v>
      </c>
      <c r="H1708" s="22">
        <f>IFERROR(__xludf.DUMMYFUNCTION("""COMPUTED_VALUE"""),500000.0)</f>
        <v>500000</v>
      </c>
      <c r="I1708" s="24">
        <f>IFERROR(__xludf.DUMMYFUNCTION("""COMPUTED_VALUE"""),0.0)</f>
        <v>0</v>
      </c>
    </row>
    <row r="1709">
      <c r="A1709" s="5" t="str">
        <f>IFERROR(__xludf.DUMMYFUNCTION("""COMPUTED_VALUE"""),"38063")</f>
        <v>38063</v>
      </c>
      <c r="B1709" s="64">
        <f>IFERROR(__xludf.DUMMYFUNCTION("""COMPUTED_VALUE"""),44626.0)</f>
        <v>44626</v>
      </c>
      <c r="C1709" s="5"/>
      <c r="D1709" s="5"/>
      <c r="E1709" s="5"/>
      <c r="F1709" s="22">
        <f>IFERROR(__xludf.DUMMYFUNCTION("""COMPUTED_VALUE"""),500000.0)</f>
        <v>500000</v>
      </c>
      <c r="G1709" s="22">
        <f>IFERROR(__xludf.DUMMYFUNCTION("""COMPUTED_VALUE"""),0.0)</f>
        <v>0</v>
      </c>
      <c r="H1709" s="22">
        <f>IFERROR(__xludf.DUMMYFUNCTION("""COMPUTED_VALUE"""),500000.0)</f>
        <v>500000</v>
      </c>
      <c r="I1709" s="24">
        <f>IFERROR(__xludf.DUMMYFUNCTION("""COMPUTED_VALUE"""),0.0)</f>
        <v>0</v>
      </c>
    </row>
    <row r="1710">
      <c r="A1710" s="5" t="str">
        <f>IFERROR(__xludf.DUMMYFUNCTION("""COMPUTED_VALUE"""),"38063")</f>
        <v>38063</v>
      </c>
      <c r="B1710" s="64">
        <f>IFERROR(__xludf.DUMMYFUNCTION("""COMPUTED_VALUE"""),44627.0)</f>
        <v>44627</v>
      </c>
      <c r="C1710" s="5"/>
      <c r="D1710" s="5"/>
      <c r="E1710" s="5"/>
      <c r="F1710" s="22">
        <f>IFERROR(__xludf.DUMMYFUNCTION("""COMPUTED_VALUE"""),500000.0)</f>
        <v>500000</v>
      </c>
      <c r="G1710" s="22">
        <f>IFERROR(__xludf.DUMMYFUNCTION("""COMPUTED_VALUE"""),0.0)</f>
        <v>0</v>
      </c>
      <c r="H1710" s="22">
        <f>IFERROR(__xludf.DUMMYFUNCTION("""COMPUTED_VALUE"""),500000.0)</f>
        <v>500000</v>
      </c>
      <c r="I1710" s="24">
        <f>IFERROR(__xludf.DUMMYFUNCTION("""COMPUTED_VALUE"""),0.0)</f>
        <v>0</v>
      </c>
    </row>
    <row r="1711">
      <c r="A1711" s="5" t="str">
        <f>IFERROR(__xludf.DUMMYFUNCTION("""COMPUTED_VALUE"""),"38063")</f>
        <v>38063</v>
      </c>
      <c r="B1711" s="64">
        <f>IFERROR(__xludf.DUMMYFUNCTION("""COMPUTED_VALUE"""),44628.0)</f>
        <v>44628</v>
      </c>
      <c r="C1711" s="5"/>
      <c r="D1711" s="5"/>
      <c r="E1711" s="5"/>
      <c r="F1711" s="22">
        <f>IFERROR(__xludf.DUMMYFUNCTION("""COMPUTED_VALUE"""),500000.0)</f>
        <v>500000</v>
      </c>
      <c r="G1711" s="22">
        <f>IFERROR(__xludf.DUMMYFUNCTION("""COMPUTED_VALUE"""),0.0)</f>
        <v>0</v>
      </c>
      <c r="H1711" s="22">
        <f>IFERROR(__xludf.DUMMYFUNCTION("""COMPUTED_VALUE"""),500000.0)</f>
        <v>500000</v>
      </c>
      <c r="I1711" s="24">
        <f>IFERROR(__xludf.DUMMYFUNCTION("""COMPUTED_VALUE"""),0.0)</f>
        <v>0</v>
      </c>
    </row>
    <row r="1712">
      <c r="A1712" s="5" t="str">
        <f>IFERROR(__xludf.DUMMYFUNCTION("""COMPUTED_VALUE"""),"38063")</f>
        <v>38063</v>
      </c>
      <c r="B1712" s="64">
        <f>IFERROR(__xludf.DUMMYFUNCTION("""COMPUTED_VALUE"""),44629.0)</f>
        <v>44629</v>
      </c>
      <c r="C1712" s="5"/>
      <c r="D1712" s="5"/>
      <c r="E1712" s="5"/>
      <c r="F1712" s="22">
        <f>IFERROR(__xludf.DUMMYFUNCTION("""COMPUTED_VALUE"""),500000.0)</f>
        <v>500000</v>
      </c>
      <c r="G1712" s="22">
        <f>IFERROR(__xludf.DUMMYFUNCTION("""COMPUTED_VALUE"""),0.0)</f>
        <v>0</v>
      </c>
      <c r="H1712" s="22">
        <f>IFERROR(__xludf.DUMMYFUNCTION("""COMPUTED_VALUE"""),500000.0)</f>
        <v>500000</v>
      </c>
      <c r="I1712" s="24">
        <f>IFERROR(__xludf.DUMMYFUNCTION("""COMPUTED_VALUE"""),0.0)</f>
        <v>0</v>
      </c>
    </row>
    <row r="1713">
      <c r="A1713" s="5" t="str">
        <f>IFERROR(__xludf.DUMMYFUNCTION("""COMPUTED_VALUE"""),"38063")</f>
        <v>38063</v>
      </c>
      <c r="B1713" s="64">
        <f>IFERROR(__xludf.DUMMYFUNCTION("""COMPUTED_VALUE"""),44630.0)</f>
        <v>44630</v>
      </c>
      <c r="C1713" s="5"/>
      <c r="D1713" s="5"/>
      <c r="E1713" s="5"/>
      <c r="F1713" s="22">
        <f>IFERROR(__xludf.DUMMYFUNCTION("""COMPUTED_VALUE"""),500000.0)</f>
        <v>500000</v>
      </c>
      <c r="G1713" s="22">
        <f>IFERROR(__xludf.DUMMYFUNCTION("""COMPUTED_VALUE"""),0.0)</f>
        <v>0</v>
      </c>
      <c r="H1713" s="22">
        <f>IFERROR(__xludf.DUMMYFUNCTION("""COMPUTED_VALUE"""),500000.0)</f>
        <v>500000</v>
      </c>
      <c r="I1713" s="24">
        <f>IFERROR(__xludf.DUMMYFUNCTION("""COMPUTED_VALUE"""),0.0)</f>
        <v>0</v>
      </c>
    </row>
    <row r="1714">
      <c r="A1714" s="5" t="str">
        <f>IFERROR(__xludf.DUMMYFUNCTION("""COMPUTED_VALUE"""),"38063")</f>
        <v>38063</v>
      </c>
      <c r="B1714" s="64">
        <f>IFERROR(__xludf.DUMMYFUNCTION("""COMPUTED_VALUE"""),44631.0)</f>
        <v>44631</v>
      </c>
      <c r="C1714" s="5"/>
      <c r="D1714" s="5"/>
      <c r="E1714" s="5"/>
      <c r="F1714" s="22">
        <f>IFERROR(__xludf.DUMMYFUNCTION("""COMPUTED_VALUE"""),500000.0)</f>
        <v>500000</v>
      </c>
      <c r="G1714" s="22">
        <f>IFERROR(__xludf.DUMMYFUNCTION("""COMPUTED_VALUE"""),0.0)</f>
        <v>0</v>
      </c>
      <c r="H1714" s="22">
        <f>IFERROR(__xludf.DUMMYFUNCTION("""COMPUTED_VALUE"""),500000.0)</f>
        <v>500000</v>
      </c>
      <c r="I1714" s="24">
        <f>IFERROR(__xludf.DUMMYFUNCTION("""COMPUTED_VALUE"""),0.0)</f>
        <v>0</v>
      </c>
    </row>
    <row r="1715">
      <c r="A1715" s="5" t="str">
        <f>IFERROR(__xludf.DUMMYFUNCTION("""COMPUTED_VALUE"""),"38063")</f>
        <v>38063</v>
      </c>
      <c r="B1715" s="64">
        <f>IFERROR(__xludf.DUMMYFUNCTION("""COMPUTED_VALUE"""),44632.0)</f>
        <v>44632</v>
      </c>
      <c r="C1715" s="5"/>
      <c r="D1715" s="5"/>
      <c r="E1715" s="5"/>
      <c r="F1715" s="22">
        <f>IFERROR(__xludf.DUMMYFUNCTION("""COMPUTED_VALUE"""),500000.0)</f>
        <v>500000</v>
      </c>
      <c r="G1715" s="22">
        <f>IFERROR(__xludf.DUMMYFUNCTION("""COMPUTED_VALUE"""),0.0)</f>
        <v>0</v>
      </c>
      <c r="H1715" s="22">
        <f>IFERROR(__xludf.DUMMYFUNCTION("""COMPUTED_VALUE"""),500000.0)</f>
        <v>500000</v>
      </c>
      <c r="I1715" s="24">
        <f>IFERROR(__xludf.DUMMYFUNCTION("""COMPUTED_VALUE"""),0.0)</f>
        <v>0</v>
      </c>
    </row>
    <row r="1716">
      <c r="A1716" s="5" t="str">
        <f>IFERROR(__xludf.DUMMYFUNCTION("""COMPUTED_VALUE"""),"38063")</f>
        <v>38063</v>
      </c>
      <c r="B1716" s="64">
        <f>IFERROR(__xludf.DUMMYFUNCTION("""COMPUTED_VALUE"""),44633.0)</f>
        <v>44633</v>
      </c>
      <c r="C1716" s="5"/>
      <c r="D1716" s="5"/>
      <c r="E1716" s="5"/>
      <c r="F1716" s="22">
        <f>IFERROR(__xludf.DUMMYFUNCTION("""COMPUTED_VALUE"""),500000.0)</f>
        <v>500000</v>
      </c>
      <c r="G1716" s="22">
        <f>IFERROR(__xludf.DUMMYFUNCTION("""COMPUTED_VALUE"""),0.0)</f>
        <v>0</v>
      </c>
      <c r="H1716" s="22">
        <f>IFERROR(__xludf.DUMMYFUNCTION("""COMPUTED_VALUE"""),500000.0)</f>
        <v>500000</v>
      </c>
      <c r="I1716" s="24">
        <f>IFERROR(__xludf.DUMMYFUNCTION("""COMPUTED_VALUE"""),0.0)</f>
        <v>0</v>
      </c>
    </row>
    <row r="1717">
      <c r="A1717" s="5" t="str">
        <f>IFERROR(__xludf.DUMMYFUNCTION("""COMPUTED_VALUE"""),"38063")</f>
        <v>38063</v>
      </c>
      <c r="B1717" s="64">
        <f>IFERROR(__xludf.DUMMYFUNCTION("""COMPUTED_VALUE"""),44634.0)</f>
        <v>44634</v>
      </c>
      <c r="C1717" s="5"/>
      <c r="D1717" s="5"/>
      <c r="E1717" s="5"/>
      <c r="F1717" s="22">
        <f>IFERROR(__xludf.DUMMYFUNCTION("""COMPUTED_VALUE"""),500000.0)</f>
        <v>500000</v>
      </c>
      <c r="G1717" s="22">
        <f>IFERROR(__xludf.DUMMYFUNCTION("""COMPUTED_VALUE"""),0.0)</f>
        <v>0</v>
      </c>
      <c r="H1717" s="22">
        <f>IFERROR(__xludf.DUMMYFUNCTION("""COMPUTED_VALUE"""),500000.0)</f>
        <v>500000</v>
      </c>
      <c r="I1717" s="24">
        <f>IFERROR(__xludf.DUMMYFUNCTION("""COMPUTED_VALUE"""),0.0)</f>
        <v>0</v>
      </c>
    </row>
    <row r="1718">
      <c r="A1718" s="5" t="str">
        <f>IFERROR(__xludf.DUMMYFUNCTION("""COMPUTED_VALUE"""),"38063")</f>
        <v>38063</v>
      </c>
      <c r="B1718" s="64">
        <f>IFERROR(__xludf.DUMMYFUNCTION("""COMPUTED_VALUE"""),44635.0)</f>
        <v>44635</v>
      </c>
      <c r="C1718" s="5"/>
      <c r="D1718" s="5"/>
      <c r="E1718" s="5"/>
      <c r="F1718" s="22">
        <f>IFERROR(__xludf.DUMMYFUNCTION("""COMPUTED_VALUE"""),500000.0)</f>
        <v>500000</v>
      </c>
      <c r="G1718" s="22">
        <f>IFERROR(__xludf.DUMMYFUNCTION("""COMPUTED_VALUE"""),0.0)</f>
        <v>0</v>
      </c>
      <c r="H1718" s="22">
        <f>IFERROR(__xludf.DUMMYFUNCTION("""COMPUTED_VALUE"""),500000.0)</f>
        <v>500000</v>
      </c>
      <c r="I1718" s="24">
        <f>IFERROR(__xludf.DUMMYFUNCTION("""COMPUTED_VALUE"""),0.0)</f>
        <v>0</v>
      </c>
    </row>
    <row r="1719">
      <c r="A1719" s="5" t="str">
        <f>IFERROR(__xludf.DUMMYFUNCTION("""COMPUTED_VALUE"""),"38063")</f>
        <v>38063</v>
      </c>
      <c r="B1719" s="64">
        <f>IFERROR(__xludf.DUMMYFUNCTION("""COMPUTED_VALUE"""),44636.0)</f>
        <v>44636</v>
      </c>
      <c r="C1719" s="5"/>
      <c r="D1719" s="5"/>
      <c r="E1719" s="5"/>
      <c r="F1719" s="22">
        <f>IFERROR(__xludf.DUMMYFUNCTION("""COMPUTED_VALUE"""),500000.0)</f>
        <v>500000</v>
      </c>
      <c r="G1719" s="22">
        <f>IFERROR(__xludf.DUMMYFUNCTION("""COMPUTED_VALUE"""),0.0)</f>
        <v>0</v>
      </c>
      <c r="H1719" s="22">
        <f>IFERROR(__xludf.DUMMYFUNCTION("""COMPUTED_VALUE"""),500000.0)</f>
        <v>500000</v>
      </c>
      <c r="I1719" s="24">
        <f>IFERROR(__xludf.DUMMYFUNCTION("""COMPUTED_VALUE"""),0.0)</f>
        <v>0</v>
      </c>
    </row>
    <row r="1720">
      <c r="A1720" s="5" t="str">
        <f>IFERROR(__xludf.DUMMYFUNCTION("""COMPUTED_VALUE"""),"38063")</f>
        <v>38063</v>
      </c>
      <c r="B1720" s="64">
        <f>IFERROR(__xludf.DUMMYFUNCTION("""COMPUTED_VALUE"""),44637.0)</f>
        <v>44637</v>
      </c>
      <c r="C1720" s="5"/>
      <c r="D1720" s="5"/>
      <c r="E1720" s="5"/>
      <c r="F1720" s="22">
        <f>IFERROR(__xludf.DUMMYFUNCTION("""COMPUTED_VALUE"""),500000.0)</f>
        <v>500000</v>
      </c>
      <c r="G1720" s="22">
        <f>IFERROR(__xludf.DUMMYFUNCTION("""COMPUTED_VALUE"""),0.0)</f>
        <v>0</v>
      </c>
      <c r="H1720" s="22">
        <f>IFERROR(__xludf.DUMMYFUNCTION("""COMPUTED_VALUE"""),500000.0)</f>
        <v>500000</v>
      </c>
      <c r="I1720" s="24">
        <f>IFERROR(__xludf.DUMMYFUNCTION("""COMPUTED_VALUE"""),0.0)</f>
        <v>0</v>
      </c>
    </row>
    <row r="1721">
      <c r="A1721" s="5" t="str">
        <f>IFERROR(__xludf.DUMMYFUNCTION("""COMPUTED_VALUE"""),"38063")</f>
        <v>38063</v>
      </c>
      <c r="B1721" s="64">
        <f>IFERROR(__xludf.DUMMYFUNCTION("""COMPUTED_VALUE"""),44638.0)</f>
        <v>44638</v>
      </c>
      <c r="C1721" s="5"/>
      <c r="D1721" s="5"/>
      <c r="E1721" s="5"/>
      <c r="F1721" s="22">
        <f>IFERROR(__xludf.DUMMYFUNCTION("""COMPUTED_VALUE"""),500000.0)</f>
        <v>500000</v>
      </c>
      <c r="G1721" s="22">
        <f>IFERROR(__xludf.DUMMYFUNCTION("""COMPUTED_VALUE"""),0.0)</f>
        <v>0</v>
      </c>
      <c r="H1721" s="22">
        <f>IFERROR(__xludf.DUMMYFUNCTION("""COMPUTED_VALUE"""),500000.0)</f>
        <v>500000</v>
      </c>
      <c r="I1721" s="24">
        <f>IFERROR(__xludf.DUMMYFUNCTION("""COMPUTED_VALUE"""),0.0)</f>
        <v>0</v>
      </c>
    </row>
    <row r="1722">
      <c r="A1722" s="5" t="str">
        <f>IFERROR(__xludf.DUMMYFUNCTION("""COMPUTED_VALUE"""),"38063")</f>
        <v>38063</v>
      </c>
      <c r="B1722" s="64">
        <f>IFERROR(__xludf.DUMMYFUNCTION("""COMPUTED_VALUE"""),44639.0)</f>
        <v>44639</v>
      </c>
      <c r="C1722" s="5"/>
      <c r="D1722" s="5"/>
      <c r="E1722" s="5"/>
      <c r="F1722" s="22">
        <f>IFERROR(__xludf.DUMMYFUNCTION("""COMPUTED_VALUE"""),500000.0)</f>
        <v>500000</v>
      </c>
      <c r="G1722" s="22">
        <f>IFERROR(__xludf.DUMMYFUNCTION("""COMPUTED_VALUE"""),0.0)</f>
        <v>0</v>
      </c>
      <c r="H1722" s="22">
        <f>IFERROR(__xludf.DUMMYFUNCTION("""COMPUTED_VALUE"""),500000.0)</f>
        <v>500000</v>
      </c>
      <c r="I1722" s="24">
        <f>IFERROR(__xludf.DUMMYFUNCTION("""COMPUTED_VALUE"""),0.0)</f>
        <v>0</v>
      </c>
    </row>
    <row r="1723">
      <c r="A1723" s="5" t="str">
        <f>IFERROR(__xludf.DUMMYFUNCTION("""COMPUTED_VALUE"""),"38063")</f>
        <v>38063</v>
      </c>
      <c r="B1723" s="64">
        <f>IFERROR(__xludf.DUMMYFUNCTION("""COMPUTED_VALUE"""),44640.0)</f>
        <v>44640</v>
      </c>
      <c r="C1723" s="5"/>
      <c r="D1723" s="5"/>
      <c r="E1723" s="5"/>
      <c r="F1723" s="22">
        <f>IFERROR(__xludf.DUMMYFUNCTION("""COMPUTED_VALUE"""),500000.0)</f>
        <v>500000</v>
      </c>
      <c r="G1723" s="22">
        <f>IFERROR(__xludf.DUMMYFUNCTION("""COMPUTED_VALUE"""),0.0)</f>
        <v>0</v>
      </c>
      <c r="H1723" s="22">
        <f>IFERROR(__xludf.DUMMYFUNCTION("""COMPUTED_VALUE"""),500000.0)</f>
        <v>500000</v>
      </c>
      <c r="I1723" s="24">
        <f>IFERROR(__xludf.DUMMYFUNCTION("""COMPUTED_VALUE"""),0.0)</f>
        <v>0</v>
      </c>
    </row>
    <row r="1724">
      <c r="A1724" s="5" t="str">
        <f>IFERROR(__xludf.DUMMYFUNCTION("""COMPUTED_VALUE"""),"38063")</f>
        <v>38063</v>
      </c>
      <c r="B1724" s="64">
        <f>IFERROR(__xludf.DUMMYFUNCTION("""COMPUTED_VALUE"""),44641.0)</f>
        <v>44641</v>
      </c>
      <c r="C1724" s="5"/>
      <c r="D1724" s="5"/>
      <c r="E1724" s="5"/>
      <c r="F1724" s="22">
        <f>IFERROR(__xludf.DUMMYFUNCTION("""COMPUTED_VALUE"""),500000.0)</f>
        <v>500000</v>
      </c>
      <c r="G1724" s="22">
        <f>IFERROR(__xludf.DUMMYFUNCTION("""COMPUTED_VALUE"""),0.0)</f>
        <v>0</v>
      </c>
      <c r="H1724" s="22">
        <f>IFERROR(__xludf.DUMMYFUNCTION("""COMPUTED_VALUE"""),500000.0)</f>
        <v>500000</v>
      </c>
      <c r="I1724" s="24">
        <f>IFERROR(__xludf.DUMMYFUNCTION("""COMPUTED_VALUE"""),0.0)</f>
        <v>0</v>
      </c>
    </row>
    <row r="1725">
      <c r="A1725" s="5" t="str">
        <f>IFERROR(__xludf.DUMMYFUNCTION("""COMPUTED_VALUE"""),"38063")</f>
        <v>38063</v>
      </c>
      <c r="B1725" s="64">
        <f>IFERROR(__xludf.DUMMYFUNCTION("""COMPUTED_VALUE"""),44642.0)</f>
        <v>44642</v>
      </c>
      <c r="C1725" s="5"/>
      <c r="D1725" s="5"/>
      <c r="E1725" s="5"/>
      <c r="F1725" s="22">
        <f>IFERROR(__xludf.DUMMYFUNCTION("""COMPUTED_VALUE"""),500000.0)</f>
        <v>500000</v>
      </c>
      <c r="G1725" s="22">
        <f>IFERROR(__xludf.DUMMYFUNCTION("""COMPUTED_VALUE"""),0.0)</f>
        <v>0</v>
      </c>
      <c r="H1725" s="22">
        <f>IFERROR(__xludf.DUMMYFUNCTION("""COMPUTED_VALUE"""),500000.0)</f>
        <v>500000</v>
      </c>
      <c r="I1725" s="24">
        <f>IFERROR(__xludf.DUMMYFUNCTION("""COMPUTED_VALUE"""),0.0)</f>
        <v>0</v>
      </c>
    </row>
    <row r="1726">
      <c r="A1726" s="5" t="str">
        <f>IFERROR(__xludf.DUMMYFUNCTION("""COMPUTED_VALUE"""),"38063")</f>
        <v>38063</v>
      </c>
      <c r="B1726" s="64">
        <f>IFERROR(__xludf.DUMMYFUNCTION("""COMPUTED_VALUE"""),44643.0)</f>
        <v>44643</v>
      </c>
      <c r="C1726" s="5"/>
      <c r="D1726" s="5"/>
      <c r="E1726" s="5"/>
      <c r="F1726" s="22">
        <f>IFERROR(__xludf.DUMMYFUNCTION("""COMPUTED_VALUE"""),500000.0)</f>
        <v>500000</v>
      </c>
      <c r="G1726" s="22">
        <f>IFERROR(__xludf.DUMMYFUNCTION("""COMPUTED_VALUE"""),0.0)</f>
        <v>0</v>
      </c>
      <c r="H1726" s="22">
        <f>IFERROR(__xludf.DUMMYFUNCTION("""COMPUTED_VALUE"""),500000.0)</f>
        <v>500000</v>
      </c>
      <c r="I1726" s="24">
        <f>IFERROR(__xludf.DUMMYFUNCTION("""COMPUTED_VALUE"""),0.0)</f>
        <v>0</v>
      </c>
    </row>
    <row r="1727">
      <c r="A1727" s="5" t="str">
        <f>IFERROR(__xludf.DUMMYFUNCTION("""COMPUTED_VALUE"""),"38063")</f>
        <v>38063</v>
      </c>
      <c r="B1727" s="64">
        <f>IFERROR(__xludf.DUMMYFUNCTION("""COMPUTED_VALUE"""),44644.0)</f>
        <v>44644</v>
      </c>
      <c r="C1727" s="5"/>
      <c r="D1727" s="5"/>
      <c r="E1727" s="5"/>
      <c r="F1727" s="22">
        <f>IFERROR(__xludf.DUMMYFUNCTION("""COMPUTED_VALUE"""),500000.0)</f>
        <v>500000</v>
      </c>
      <c r="G1727" s="22">
        <f>IFERROR(__xludf.DUMMYFUNCTION("""COMPUTED_VALUE"""),0.0)</f>
        <v>0</v>
      </c>
      <c r="H1727" s="22">
        <f>IFERROR(__xludf.DUMMYFUNCTION("""COMPUTED_VALUE"""),500000.0)</f>
        <v>500000</v>
      </c>
      <c r="I1727" s="24">
        <f>IFERROR(__xludf.DUMMYFUNCTION("""COMPUTED_VALUE"""),0.0)</f>
        <v>0</v>
      </c>
    </row>
    <row r="1728">
      <c r="A1728" s="5" t="str">
        <f>IFERROR(__xludf.DUMMYFUNCTION("""COMPUTED_VALUE"""),"38063")</f>
        <v>38063</v>
      </c>
      <c r="B1728" s="64">
        <f>IFERROR(__xludf.DUMMYFUNCTION("""COMPUTED_VALUE"""),44645.0)</f>
        <v>44645</v>
      </c>
      <c r="C1728" s="5"/>
      <c r="D1728" s="5"/>
      <c r="E1728" s="5"/>
      <c r="F1728" s="22">
        <f>IFERROR(__xludf.DUMMYFUNCTION("""COMPUTED_VALUE"""),500000.0)</f>
        <v>500000</v>
      </c>
      <c r="G1728" s="22">
        <f>IFERROR(__xludf.DUMMYFUNCTION("""COMPUTED_VALUE"""),0.0)</f>
        <v>0</v>
      </c>
      <c r="H1728" s="22">
        <f>IFERROR(__xludf.DUMMYFUNCTION("""COMPUTED_VALUE"""),500000.0)</f>
        <v>500000</v>
      </c>
      <c r="I1728" s="24">
        <f>IFERROR(__xludf.DUMMYFUNCTION("""COMPUTED_VALUE"""),0.0)</f>
        <v>0</v>
      </c>
    </row>
    <row r="1729">
      <c r="A1729" s="5" t="str">
        <f>IFERROR(__xludf.DUMMYFUNCTION("""COMPUTED_VALUE"""),"38063")</f>
        <v>38063</v>
      </c>
      <c r="B1729" s="64">
        <f>IFERROR(__xludf.DUMMYFUNCTION("""COMPUTED_VALUE"""),44646.0)</f>
        <v>44646</v>
      </c>
      <c r="C1729" s="5"/>
      <c r="D1729" s="5"/>
      <c r="E1729" s="5"/>
      <c r="F1729" s="22">
        <f>IFERROR(__xludf.DUMMYFUNCTION("""COMPUTED_VALUE"""),500000.0)</f>
        <v>500000</v>
      </c>
      <c r="G1729" s="22">
        <f>IFERROR(__xludf.DUMMYFUNCTION("""COMPUTED_VALUE"""),0.0)</f>
        <v>0</v>
      </c>
      <c r="H1729" s="22">
        <f>IFERROR(__xludf.DUMMYFUNCTION("""COMPUTED_VALUE"""),500000.0)</f>
        <v>500000</v>
      </c>
      <c r="I1729" s="24">
        <f>IFERROR(__xludf.DUMMYFUNCTION("""COMPUTED_VALUE"""),0.0)</f>
        <v>0</v>
      </c>
    </row>
    <row r="1730">
      <c r="A1730" s="5" t="str">
        <f>IFERROR(__xludf.DUMMYFUNCTION("""COMPUTED_VALUE"""),"38063")</f>
        <v>38063</v>
      </c>
      <c r="B1730" s="64">
        <f>IFERROR(__xludf.DUMMYFUNCTION("""COMPUTED_VALUE"""),44647.0)</f>
        <v>44647</v>
      </c>
      <c r="C1730" s="5"/>
      <c r="D1730" s="5"/>
      <c r="E1730" s="5"/>
      <c r="F1730" s="22">
        <f>IFERROR(__xludf.DUMMYFUNCTION("""COMPUTED_VALUE"""),500000.0)</f>
        <v>500000</v>
      </c>
      <c r="G1730" s="22">
        <f>IFERROR(__xludf.DUMMYFUNCTION("""COMPUTED_VALUE"""),0.0)</f>
        <v>0</v>
      </c>
      <c r="H1730" s="22">
        <f>IFERROR(__xludf.DUMMYFUNCTION("""COMPUTED_VALUE"""),500000.0)</f>
        <v>500000</v>
      </c>
      <c r="I1730" s="24">
        <f>IFERROR(__xludf.DUMMYFUNCTION("""COMPUTED_VALUE"""),0.0)</f>
        <v>0</v>
      </c>
    </row>
    <row r="1731">
      <c r="A1731" s="5" t="str">
        <f>IFERROR(__xludf.DUMMYFUNCTION("""COMPUTED_VALUE"""),"38063")</f>
        <v>38063</v>
      </c>
      <c r="B1731" s="64">
        <f>IFERROR(__xludf.DUMMYFUNCTION("""COMPUTED_VALUE"""),44648.0)</f>
        <v>44648</v>
      </c>
      <c r="C1731" s="5"/>
      <c r="D1731" s="5"/>
      <c r="E1731" s="5"/>
      <c r="F1731" s="22">
        <f>IFERROR(__xludf.DUMMYFUNCTION("""COMPUTED_VALUE"""),500000.0)</f>
        <v>500000</v>
      </c>
      <c r="G1731" s="22">
        <f>IFERROR(__xludf.DUMMYFUNCTION("""COMPUTED_VALUE"""),0.0)</f>
        <v>0</v>
      </c>
      <c r="H1731" s="22">
        <f>IFERROR(__xludf.DUMMYFUNCTION("""COMPUTED_VALUE"""),500000.0)</f>
        <v>500000</v>
      </c>
      <c r="I1731" s="24">
        <f>IFERROR(__xludf.DUMMYFUNCTION("""COMPUTED_VALUE"""),0.0)</f>
        <v>0</v>
      </c>
    </row>
    <row r="1732">
      <c r="A1732" s="5" t="str">
        <f>IFERROR(__xludf.DUMMYFUNCTION("""COMPUTED_VALUE"""),"38063")</f>
        <v>38063</v>
      </c>
      <c r="B1732" s="64">
        <f>IFERROR(__xludf.DUMMYFUNCTION("""COMPUTED_VALUE"""),44649.0)</f>
        <v>44649</v>
      </c>
      <c r="C1732" s="5"/>
      <c r="D1732" s="5"/>
      <c r="E1732" s="5"/>
      <c r="F1732" s="22">
        <f>IFERROR(__xludf.DUMMYFUNCTION("""COMPUTED_VALUE"""),500000.0)</f>
        <v>500000</v>
      </c>
      <c r="G1732" s="22">
        <f>IFERROR(__xludf.DUMMYFUNCTION("""COMPUTED_VALUE"""),0.0)</f>
        <v>0</v>
      </c>
      <c r="H1732" s="22">
        <f>IFERROR(__xludf.DUMMYFUNCTION("""COMPUTED_VALUE"""),500000.0)</f>
        <v>500000</v>
      </c>
      <c r="I1732" s="24">
        <f>IFERROR(__xludf.DUMMYFUNCTION("""COMPUTED_VALUE"""),0.0)</f>
        <v>0</v>
      </c>
    </row>
    <row r="1733">
      <c r="A1733" s="5" t="str">
        <f>IFERROR(__xludf.DUMMYFUNCTION("""COMPUTED_VALUE"""),"38063")</f>
        <v>38063</v>
      </c>
      <c r="B1733" s="64">
        <f>IFERROR(__xludf.DUMMYFUNCTION("""COMPUTED_VALUE"""),44650.0)</f>
        <v>44650</v>
      </c>
      <c r="C1733" s="5"/>
      <c r="D1733" s="5"/>
      <c r="E1733" s="5"/>
      <c r="F1733" s="22">
        <f>IFERROR(__xludf.DUMMYFUNCTION("""COMPUTED_VALUE"""),500000.0)</f>
        <v>500000</v>
      </c>
      <c r="G1733" s="22">
        <f>IFERROR(__xludf.DUMMYFUNCTION("""COMPUTED_VALUE"""),0.0)</f>
        <v>0</v>
      </c>
      <c r="H1733" s="22">
        <f>IFERROR(__xludf.DUMMYFUNCTION("""COMPUTED_VALUE"""),500000.0)</f>
        <v>500000</v>
      </c>
      <c r="I1733" s="24">
        <f>IFERROR(__xludf.DUMMYFUNCTION("""COMPUTED_VALUE"""),0.0)</f>
        <v>0</v>
      </c>
    </row>
    <row r="1734">
      <c r="A1734" s="5" t="str">
        <f>IFERROR(__xludf.DUMMYFUNCTION("""COMPUTED_VALUE"""),"38063")</f>
        <v>38063</v>
      </c>
      <c r="B1734" s="64">
        <f>IFERROR(__xludf.DUMMYFUNCTION("""COMPUTED_VALUE"""),44651.0)</f>
        <v>44651</v>
      </c>
      <c r="C1734" s="5"/>
      <c r="D1734" s="5"/>
      <c r="E1734" s="5"/>
      <c r="F1734" s="22">
        <f>IFERROR(__xludf.DUMMYFUNCTION("""COMPUTED_VALUE"""),500000.0)</f>
        <v>500000</v>
      </c>
      <c r="G1734" s="22">
        <f>IFERROR(__xludf.DUMMYFUNCTION("""COMPUTED_VALUE"""),0.0)</f>
        <v>0</v>
      </c>
      <c r="H1734" s="22">
        <f>IFERROR(__xludf.DUMMYFUNCTION("""COMPUTED_VALUE"""),499975.0)</f>
        <v>499975</v>
      </c>
      <c r="I1734" s="24">
        <f>IFERROR(__xludf.DUMMYFUNCTION("""COMPUTED_VALUE"""),-4.999999999999449E-5)</f>
        <v>-0.00005</v>
      </c>
    </row>
    <row r="1735">
      <c r="A1735" s="5" t="str">
        <f>IFERROR(__xludf.DUMMYFUNCTION("""COMPUTED_VALUE"""),"38063")</f>
        <v>38063</v>
      </c>
      <c r="B1735" s="64">
        <f>IFERROR(__xludf.DUMMYFUNCTION("""COMPUTED_VALUE"""),44652.0)</f>
        <v>44652</v>
      </c>
      <c r="C1735" s="5"/>
      <c r="D1735" s="5"/>
      <c r="E1735" s="5"/>
      <c r="F1735" s="22">
        <f>IFERROR(__xludf.DUMMYFUNCTION("""COMPUTED_VALUE"""),500000.0)</f>
        <v>500000</v>
      </c>
      <c r="G1735" s="22">
        <f>IFERROR(__xludf.DUMMYFUNCTION("""COMPUTED_VALUE"""),0.0)</f>
        <v>0</v>
      </c>
      <c r="H1735" s="22">
        <f>IFERROR(__xludf.DUMMYFUNCTION("""COMPUTED_VALUE"""),499890.0)</f>
        <v>499890</v>
      </c>
      <c r="I1735" s="24">
        <f>IFERROR(__xludf.DUMMYFUNCTION("""COMPUTED_VALUE"""),-2.1999999999999797E-4)</f>
        <v>-0.00022</v>
      </c>
    </row>
    <row r="1736">
      <c r="A1736" s="5" t="str">
        <f>IFERROR(__xludf.DUMMYFUNCTION("""COMPUTED_VALUE"""),"38063")</f>
        <v>38063</v>
      </c>
      <c r="B1736" s="64">
        <f>IFERROR(__xludf.DUMMYFUNCTION("""COMPUTED_VALUE"""),44653.0)</f>
        <v>44653</v>
      </c>
      <c r="C1736" s="5"/>
      <c r="D1736" s="5"/>
      <c r="E1736" s="5"/>
      <c r="F1736" s="22">
        <f>IFERROR(__xludf.DUMMYFUNCTION("""COMPUTED_VALUE"""),500000.0)</f>
        <v>500000</v>
      </c>
      <c r="G1736" s="22">
        <f>IFERROR(__xludf.DUMMYFUNCTION("""COMPUTED_VALUE"""),0.0)</f>
        <v>0</v>
      </c>
      <c r="H1736" s="22">
        <f>IFERROR(__xludf.DUMMYFUNCTION("""COMPUTED_VALUE"""),499890.0)</f>
        <v>499890</v>
      </c>
      <c r="I1736" s="24">
        <f>IFERROR(__xludf.DUMMYFUNCTION("""COMPUTED_VALUE"""),-2.1999999999999797E-4)</f>
        <v>-0.00022</v>
      </c>
    </row>
    <row r="1737">
      <c r="A1737" s="5" t="str">
        <f>IFERROR(__xludf.DUMMYFUNCTION("""COMPUTED_VALUE"""),"38063")</f>
        <v>38063</v>
      </c>
      <c r="B1737" s="64">
        <f>IFERROR(__xludf.DUMMYFUNCTION("""COMPUTED_VALUE"""),44654.0)</f>
        <v>44654</v>
      </c>
      <c r="C1737" s="5"/>
      <c r="D1737" s="5"/>
      <c r="E1737" s="5"/>
      <c r="F1737" s="22">
        <f>IFERROR(__xludf.DUMMYFUNCTION("""COMPUTED_VALUE"""),500000.0)</f>
        <v>500000</v>
      </c>
      <c r="G1737" s="22">
        <f>IFERROR(__xludf.DUMMYFUNCTION("""COMPUTED_VALUE"""),0.0)</f>
        <v>0</v>
      </c>
      <c r="H1737" s="22">
        <f>IFERROR(__xludf.DUMMYFUNCTION("""COMPUTED_VALUE"""),499890.0)</f>
        <v>499890</v>
      </c>
      <c r="I1737" s="24">
        <f>IFERROR(__xludf.DUMMYFUNCTION("""COMPUTED_VALUE"""),-2.1999999999999797E-4)</f>
        <v>-0.00022</v>
      </c>
    </row>
    <row r="1738">
      <c r="A1738" s="5" t="str">
        <f>IFERROR(__xludf.DUMMYFUNCTION("""COMPUTED_VALUE"""),"38063")</f>
        <v>38063</v>
      </c>
      <c r="B1738" s="64">
        <f>IFERROR(__xludf.DUMMYFUNCTION("""COMPUTED_VALUE"""),44655.0)</f>
        <v>44655</v>
      </c>
      <c r="C1738" s="5"/>
      <c r="D1738" s="5"/>
      <c r="E1738" s="5"/>
      <c r="F1738" s="22">
        <f>IFERROR(__xludf.DUMMYFUNCTION("""COMPUTED_VALUE"""),500000.0)</f>
        <v>500000</v>
      </c>
      <c r="G1738" s="22">
        <f>IFERROR(__xludf.DUMMYFUNCTION("""COMPUTED_VALUE"""),0.0)</f>
        <v>0</v>
      </c>
      <c r="H1738" s="22">
        <f>IFERROR(__xludf.DUMMYFUNCTION("""COMPUTED_VALUE"""),501435.0)</f>
        <v>501435</v>
      </c>
      <c r="I1738" s="24">
        <f>IFERROR(__xludf.DUMMYFUNCTION("""COMPUTED_VALUE"""),0.002869999999999928)</f>
        <v>0.00287</v>
      </c>
    </row>
    <row r="1739">
      <c r="A1739" s="5" t="str">
        <f>IFERROR(__xludf.DUMMYFUNCTION("""COMPUTED_VALUE"""),"38063")</f>
        <v>38063</v>
      </c>
      <c r="B1739" s="64">
        <f>IFERROR(__xludf.DUMMYFUNCTION("""COMPUTED_VALUE"""),44656.0)</f>
        <v>44656</v>
      </c>
      <c r="C1739" s="5"/>
      <c r="D1739" s="5"/>
      <c r="E1739" s="5"/>
      <c r="F1739" s="22">
        <f>IFERROR(__xludf.DUMMYFUNCTION("""COMPUTED_VALUE"""),500000.0)</f>
        <v>500000</v>
      </c>
      <c r="G1739" s="22">
        <f>IFERROR(__xludf.DUMMYFUNCTION("""COMPUTED_VALUE"""),0.0)</f>
        <v>0</v>
      </c>
      <c r="H1739" s="22">
        <f>IFERROR(__xludf.DUMMYFUNCTION("""COMPUTED_VALUE"""),501435.0)</f>
        <v>501435</v>
      </c>
      <c r="I1739" s="24">
        <f>IFERROR(__xludf.DUMMYFUNCTION("""COMPUTED_VALUE"""),0.002869999999999928)</f>
        <v>0.00287</v>
      </c>
    </row>
    <row r="1740">
      <c r="A1740" s="5" t="str">
        <f>IFERROR(__xludf.DUMMYFUNCTION("""COMPUTED_VALUE"""),"38063")</f>
        <v>38063</v>
      </c>
      <c r="B1740" s="64">
        <f>IFERROR(__xludf.DUMMYFUNCTION("""COMPUTED_VALUE"""),44657.0)</f>
        <v>44657</v>
      </c>
      <c r="C1740" s="5"/>
      <c r="D1740" s="5"/>
      <c r="E1740" s="5"/>
      <c r="F1740" s="22">
        <f>IFERROR(__xludf.DUMMYFUNCTION("""COMPUTED_VALUE"""),500000.0)</f>
        <v>500000</v>
      </c>
      <c r="G1740" s="22">
        <f>IFERROR(__xludf.DUMMYFUNCTION("""COMPUTED_VALUE"""),0.0)</f>
        <v>0</v>
      </c>
      <c r="H1740" s="22">
        <f>IFERROR(__xludf.DUMMYFUNCTION("""COMPUTED_VALUE"""),503110.0)</f>
        <v>503110</v>
      </c>
      <c r="I1740" s="24">
        <f>IFERROR(__xludf.DUMMYFUNCTION("""COMPUTED_VALUE"""),0.006219999999999892)</f>
        <v>0.00622</v>
      </c>
    </row>
    <row r="1741">
      <c r="A1741" s="5" t="str">
        <f>IFERROR(__xludf.DUMMYFUNCTION("""COMPUTED_VALUE"""),"38063")</f>
        <v>38063</v>
      </c>
      <c r="B1741" s="64">
        <f>IFERROR(__xludf.DUMMYFUNCTION("""COMPUTED_VALUE"""),44658.0)</f>
        <v>44658</v>
      </c>
      <c r="C1741" s="5"/>
      <c r="D1741" s="5"/>
      <c r="E1741" s="5"/>
      <c r="F1741" s="22">
        <f>IFERROR(__xludf.DUMMYFUNCTION("""COMPUTED_VALUE"""),500000.0)</f>
        <v>500000</v>
      </c>
      <c r="G1741" s="22">
        <f>IFERROR(__xludf.DUMMYFUNCTION("""COMPUTED_VALUE"""),0.0)</f>
        <v>0</v>
      </c>
      <c r="H1741" s="22">
        <f>IFERROR(__xludf.DUMMYFUNCTION("""COMPUTED_VALUE"""),499675.0)</f>
        <v>499675</v>
      </c>
      <c r="I1741" s="24">
        <f>IFERROR(__xludf.DUMMYFUNCTION("""COMPUTED_VALUE"""),-6.500000000000394E-4)</f>
        <v>-0.00065</v>
      </c>
    </row>
    <row r="1742">
      <c r="A1742" s="5" t="str">
        <f>IFERROR(__xludf.DUMMYFUNCTION("""COMPUTED_VALUE"""),"38063")</f>
        <v>38063</v>
      </c>
      <c r="B1742" s="64">
        <f>IFERROR(__xludf.DUMMYFUNCTION("""COMPUTED_VALUE"""),44659.0)</f>
        <v>44659</v>
      </c>
      <c r="C1742" s="5"/>
      <c r="D1742" s="5"/>
      <c r="E1742" s="5"/>
      <c r="F1742" s="22">
        <f>IFERROR(__xludf.DUMMYFUNCTION("""COMPUTED_VALUE"""),500000.0)</f>
        <v>500000</v>
      </c>
      <c r="G1742" s="22">
        <f>IFERROR(__xludf.DUMMYFUNCTION("""COMPUTED_VALUE"""),0.0)</f>
        <v>0</v>
      </c>
      <c r="H1742" s="22">
        <f>IFERROR(__xludf.DUMMYFUNCTION("""COMPUTED_VALUE"""),502945.0)</f>
        <v>502945</v>
      </c>
      <c r="I1742" s="24">
        <f>IFERROR(__xludf.DUMMYFUNCTION("""COMPUTED_VALUE"""),0.005889999999999951)</f>
        <v>0.00589</v>
      </c>
    </row>
    <row r="1743">
      <c r="A1743" s="5" t="str">
        <f>IFERROR(__xludf.DUMMYFUNCTION("""COMPUTED_VALUE"""),"38063")</f>
        <v>38063</v>
      </c>
      <c r="B1743" s="64">
        <f>IFERROR(__xludf.DUMMYFUNCTION("""COMPUTED_VALUE"""),44660.0)</f>
        <v>44660</v>
      </c>
      <c r="C1743" s="5"/>
      <c r="D1743" s="5"/>
      <c r="E1743" s="5"/>
      <c r="F1743" s="22">
        <f>IFERROR(__xludf.DUMMYFUNCTION("""COMPUTED_VALUE"""),500000.0)</f>
        <v>500000</v>
      </c>
      <c r="G1743" s="22">
        <f>IFERROR(__xludf.DUMMYFUNCTION("""COMPUTED_VALUE"""),0.0)</f>
        <v>0</v>
      </c>
      <c r="H1743" s="22">
        <f>IFERROR(__xludf.DUMMYFUNCTION("""COMPUTED_VALUE"""),502945.0)</f>
        <v>502945</v>
      </c>
      <c r="I1743" s="24">
        <f>IFERROR(__xludf.DUMMYFUNCTION("""COMPUTED_VALUE"""),0.005889999999999951)</f>
        <v>0.00589</v>
      </c>
    </row>
    <row r="1744">
      <c r="A1744" s="5" t="str">
        <f>IFERROR(__xludf.DUMMYFUNCTION("""COMPUTED_VALUE"""),"38063")</f>
        <v>38063</v>
      </c>
      <c r="B1744" s="64">
        <f>IFERROR(__xludf.DUMMYFUNCTION("""COMPUTED_VALUE"""),44661.0)</f>
        <v>44661</v>
      </c>
      <c r="C1744" s="5"/>
      <c r="D1744" s="5"/>
      <c r="E1744" s="5"/>
      <c r="F1744" s="22">
        <f>IFERROR(__xludf.DUMMYFUNCTION("""COMPUTED_VALUE"""),500000.0)</f>
        <v>500000</v>
      </c>
      <c r="G1744" s="22">
        <f>IFERROR(__xludf.DUMMYFUNCTION("""COMPUTED_VALUE"""),0.0)</f>
        <v>0</v>
      </c>
      <c r="H1744" s="22">
        <f>IFERROR(__xludf.DUMMYFUNCTION("""COMPUTED_VALUE"""),502945.0)</f>
        <v>502945</v>
      </c>
      <c r="I1744" s="24">
        <f>IFERROR(__xludf.DUMMYFUNCTION("""COMPUTED_VALUE"""),0.005889999999999951)</f>
        <v>0.00589</v>
      </c>
    </row>
    <row r="1745">
      <c r="A1745" s="5" t="str">
        <f>IFERROR(__xludf.DUMMYFUNCTION("""COMPUTED_VALUE"""),"38063")</f>
        <v>38063</v>
      </c>
      <c r="B1745" s="64">
        <f>IFERROR(__xludf.DUMMYFUNCTION("""COMPUTED_VALUE"""),44662.0)</f>
        <v>44662</v>
      </c>
      <c r="C1745" s="5"/>
      <c r="D1745" s="5"/>
      <c r="E1745" s="5"/>
      <c r="F1745" s="22">
        <f>IFERROR(__xludf.DUMMYFUNCTION("""COMPUTED_VALUE"""),500000.0)</f>
        <v>500000</v>
      </c>
      <c r="G1745" s="22">
        <f>IFERROR(__xludf.DUMMYFUNCTION("""COMPUTED_VALUE"""),0.0)</f>
        <v>0</v>
      </c>
      <c r="H1745" s="22">
        <f>IFERROR(__xludf.DUMMYFUNCTION("""COMPUTED_VALUE"""),491170.0)</f>
        <v>491170</v>
      </c>
      <c r="I1745" s="24">
        <f>IFERROR(__xludf.DUMMYFUNCTION("""COMPUTED_VALUE"""),-0.01766000000000001)</f>
        <v>-0.01766</v>
      </c>
    </row>
    <row r="1746">
      <c r="A1746" s="5" t="str">
        <f>IFERROR(__xludf.DUMMYFUNCTION("""COMPUTED_VALUE"""),"38063")</f>
        <v>38063</v>
      </c>
      <c r="B1746" s="64">
        <f>IFERROR(__xludf.DUMMYFUNCTION("""COMPUTED_VALUE"""),44663.0)</f>
        <v>44663</v>
      </c>
      <c r="C1746" s="5"/>
      <c r="D1746" s="5"/>
      <c r="E1746" s="5"/>
      <c r="F1746" s="22">
        <f>IFERROR(__xludf.DUMMYFUNCTION("""COMPUTED_VALUE"""),500000.0)</f>
        <v>500000</v>
      </c>
      <c r="G1746" s="22">
        <f>IFERROR(__xludf.DUMMYFUNCTION("""COMPUTED_VALUE"""),0.0)</f>
        <v>0</v>
      </c>
      <c r="H1746" s="22">
        <f>IFERROR(__xludf.DUMMYFUNCTION("""COMPUTED_VALUE"""),488580.0)</f>
        <v>488580</v>
      </c>
      <c r="I1746" s="24">
        <f>IFERROR(__xludf.DUMMYFUNCTION("""COMPUTED_VALUE"""),-0.02283999999999997)</f>
        <v>-0.02284</v>
      </c>
    </row>
    <row r="1747">
      <c r="A1747" s="5" t="str">
        <f>IFERROR(__xludf.DUMMYFUNCTION("""COMPUTED_VALUE"""),"38093")</f>
        <v>38093</v>
      </c>
      <c r="B1747" s="64">
        <f>IFERROR(__xludf.DUMMYFUNCTION("""COMPUTED_VALUE"""),44597.0)</f>
        <v>44597</v>
      </c>
      <c r="C1747" s="5"/>
      <c r="D1747" s="5"/>
      <c r="E1747" s="5"/>
      <c r="F1747" s="22">
        <f>IFERROR(__xludf.DUMMYFUNCTION("""COMPUTED_VALUE"""),500000.0)</f>
        <v>500000</v>
      </c>
      <c r="G1747" s="22">
        <f>IFERROR(__xludf.DUMMYFUNCTION("""COMPUTED_VALUE"""),0.0)</f>
        <v>0</v>
      </c>
      <c r="H1747" s="22">
        <f>IFERROR(__xludf.DUMMYFUNCTION("""COMPUTED_VALUE"""),500000.0)</f>
        <v>500000</v>
      </c>
      <c r="I1747" s="24">
        <f>IFERROR(__xludf.DUMMYFUNCTION("""COMPUTED_VALUE"""),0.0)</f>
        <v>0</v>
      </c>
    </row>
    <row r="1748">
      <c r="A1748" s="5" t="str">
        <f>IFERROR(__xludf.DUMMYFUNCTION("""COMPUTED_VALUE"""),"38093")</f>
        <v>38093</v>
      </c>
      <c r="B1748" s="64">
        <f>IFERROR(__xludf.DUMMYFUNCTION("""COMPUTED_VALUE"""),44598.0)</f>
        <v>44598</v>
      </c>
      <c r="C1748" s="5"/>
      <c r="D1748" s="5"/>
      <c r="E1748" s="5"/>
      <c r="F1748" s="22">
        <f>IFERROR(__xludf.DUMMYFUNCTION("""COMPUTED_VALUE"""),500000.0)</f>
        <v>500000</v>
      </c>
      <c r="G1748" s="22">
        <f>IFERROR(__xludf.DUMMYFUNCTION("""COMPUTED_VALUE"""),0.0)</f>
        <v>0</v>
      </c>
      <c r="H1748" s="22">
        <f>IFERROR(__xludf.DUMMYFUNCTION("""COMPUTED_VALUE"""),500000.0)</f>
        <v>500000</v>
      </c>
      <c r="I1748" s="24">
        <f>IFERROR(__xludf.DUMMYFUNCTION("""COMPUTED_VALUE"""),0.0)</f>
        <v>0</v>
      </c>
    </row>
    <row r="1749">
      <c r="A1749" s="5" t="str">
        <f>IFERROR(__xludf.DUMMYFUNCTION("""COMPUTED_VALUE"""),"38093")</f>
        <v>38093</v>
      </c>
      <c r="B1749" s="64">
        <f>IFERROR(__xludf.DUMMYFUNCTION("""COMPUTED_VALUE"""),44599.0)</f>
        <v>44599</v>
      </c>
      <c r="C1749" s="5"/>
      <c r="D1749" s="5"/>
      <c r="E1749" s="5"/>
      <c r="F1749" s="22">
        <f>IFERROR(__xludf.DUMMYFUNCTION("""COMPUTED_VALUE"""),500000.0)</f>
        <v>500000</v>
      </c>
      <c r="G1749" s="22">
        <f>IFERROR(__xludf.DUMMYFUNCTION("""COMPUTED_VALUE"""),0.0)</f>
        <v>0</v>
      </c>
      <c r="H1749" s="22">
        <f>IFERROR(__xludf.DUMMYFUNCTION("""COMPUTED_VALUE"""),500000.0)</f>
        <v>500000</v>
      </c>
      <c r="I1749" s="24">
        <f>IFERROR(__xludf.DUMMYFUNCTION("""COMPUTED_VALUE"""),0.0)</f>
        <v>0</v>
      </c>
    </row>
    <row r="1750">
      <c r="A1750" s="5" t="str">
        <f>IFERROR(__xludf.DUMMYFUNCTION("""COMPUTED_VALUE"""),"38093")</f>
        <v>38093</v>
      </c>
      <c r="B1750" s="64">
        <f>IFERROR(__xludf.DUMMYFUNCTION("""COMPUTED_VALUE"""),44600.0)</f>
        <v>44600</v>
      </c>
      <c r="C1750" s="5"/>
      <c r="D1750" s="5"/>
      <c r="E1750" s="5"/>
      <c r="F1750" s="22">
        <f>IFERROR(__xludf.DUMMYFUNCTION("""COMPUTED_VALUE"""),500000.0)</f>
        <v>500000</v>
      </c>
      <c r="G1750" s="22">
        <f>IFERROR(__xludf.DUMMYFUNCTION("""COMPUTED_VALUE"""),0.0)</f>
        <v>0</v>
      </c>
      <c r="H1750" s="22">
        <f>IFERROR(__xludf.DUMMYFUNCTION("""COMPUTED_VALUE"""),500000.0)</f>
        <v>500000</v>
      </c>
      <c r="I1750" s="24">
        <f>IFERROR(__xludf.DUMMYFUNCTION("""COMPUTED_VALUE"""),0.0)</f>
        <v>0</v>
      </c>
    </row>
    <row r="1751">
      <c r="A1751" s="5" t="str">
        <f>IFERROR(__xludf.DUMMYFUNCTION("""COMPUTED_VALUE"""),"38093")</f>
        <v>38093</v>
      </c>
      <c r="B1751" s="64">
        <f>IFERROR(__xludf.DUMMYFUNCTION("""COMPUTED_VALUE"""),44601.0)</f>
        <v>44601</v>
      </c>
      <c r="C1751" s="5"/>
      <c r="D1751" s="5"/>
      <c r="E1751" s="5"/>
      <c r="F1751" s="22">
        <f>IFERROR(__xludf.DUMMYFUNCTION("""COMPUTED_VALUE"""),500000.0)</f>
        <v>500000</v>
      </c>
      <c r="G1751" s="22">
        <f>IFERROR(__xludf.DUMMYFUNCTION("""COMPUTED_VALUE"""),0.0)</f>
        <v>0</v>
      </c>
      <c r="H1751" s="22">
        <f>IFERROR(__xludf.DUMMYFUNCTION("""COMPUTED_VALUE"""),500000.0)</f>
        <v>500000</v>
      </c>
      <c r="I1751" s="24">
        <f>IFERROR(__xludf.DUMMYFUNCTION("""COMPUTED_VALUE"""),0.0)</f>
        <v>0</v>
      </c>
    </row>
    <row r="1752">
      <c r="A1752" s="5" t="str">
        <f>IFERROR(__xludf.DUMMYFUNCTION("""COMPUTED_VALUE"""),"38093")</f>
        <v>38093</v>
      </c>
      <c r="B1752" s="64">
        <f>IFERROR(__xludf.DUMMYFUNCTION("""COMPUTED_VALUE"""),44602.0)</f>
        <v>44602</v>
      </c>
      <c r="C1752" s="5"/>
      <c r="D1752" s="5"/>
      <c r="E1752" s="5"/>
      <c r="F1752" s="22">
        <f>IFERROR(__xludf.DUMMYFUNCTION("""COMPUTED_VALUE"""),500000.0)</f>
        <v>500000</v>
      </c>
      <c r="G1752" s="22">
        <f>IFERROR(__xludf.DUMMYFUNCTION("""COMPUTED_VALUE"""),0.0)</f>
        <v>0</v>
      </c>
      <c r="H1752" s="22">
        <f>IFERROR(__xludf.DUMMYFUNCTION("""COMPUTED_VALUE"""),500000.0)</f>
        <v>500000</v>
      </c>
      <c r="I1752" s="24">
        <f>IFERROR(__xludf.DUMMYFUNCTION("""COMPUTED_VALUE"""),0.0)</f>
        <v>0</v>
      </c>
    </row>
    <row r="1753">
      <c r="A1753" s="5" t="str">
        <f>IFERROR(__xludf.DUMMYFUNCTION("""COMPUTED_VALUE"""),"38093")</f>
        <v>38093</v>
      </c>
      <c r="B1753" s="64">
        <f>IFERROR(__xludf.DUMMYFUNCTION("""COMPUTED_VALUE"""),44603.0)</f>
        <v>44603</v>
      </c>
      <c r="C1753" s="5"/>
      <c r="D1753" s="5"/>
      <c r="E1753" s="5"/>
      <c r="F1753" s="22">
        <f>IFERROR(__xludf.DUMMYFUNCTION("""COMPUTED_VALUE"""),500000.0)</f>
        <v>500000</v>
      </c>
      <c r="G1753" s="22">
        <f>IFERROR(__xludf.DUMMYFUNCTION("""COMPUTED_VALUE"""),0.0)</f>
        <v>0</v>
      </c>
      <c r="H1753" s="22">
        <f>IFERROR(__xludf.DUMMYFUNCTION("""COMPUTED_VALUE"""),500000.0)</f>
        <v>500000</v>
      </c>
      <c r="I1753" s="24">
        <f>IFERROR(__xludf.DUMMYFUNCTION("""COMPUTED_VALUE"""),0.0)</f>
        <v>0</v>
      </c>
    </row>
    <row r="1754">
      <c r="A1754" s="5" t="str">
        <f>IFERROR(__xludf.DUMMYFUNCTION("""COMPUTED_VALUE"""),"38093")</f>
        <v>38093</v>
      </c>
      <c r="B1754" s="64">
        <f>IFERROR(__xludf.DUMMYFUNCTION("""COMPUTED_VALUE"""),44604.0)</f>
        <v>44604</v>
      </c>
      <c r="C1754" s="5"/>
      <c r="D1754" s="5"/>
      <c r="E1754" s="5"/>
      <c r="F1754" s="22">
        <f>IFERROR(__xludf.DUMMYFUNCTION("""COMPUTED_VALUE"""),500000.0)</f>
        <v>500000</v>
      </c>
      <c r="G1754" s="22">
        <f>IFERROR(__xludf.DUMMYFUNCTION("""COMPUTED_VALUE"""),0.0)</f>
        <v>0</v>
      </c>
      <c r="H1754" s="22">
        <f>IFERROR(__xludf.DUMMYFUNCTION("""COMPUTED_VALUE"""),500000.0)</f>
        <v>500000</v>
      </c>
      <c r="I1754" s="24">
        <f>IFERROR(__xludf.DUMMYFUNCTION("""COMPUTED_VALUE"""),0.0)</f>
        <v>0</v>
      </c>
    </row>
    <row r="1755">
      <c r="A1755" s="5" t="str">
        <f>IFERROR(__xludf.DUMMYFUNCTION("""COMPUTED_VALUE"""),"38093")</f>
        <v>38093</v>
      </c>
      <c r="B1755" s="64">
        <f>IFERROR(__xludf.DUMMYFUNCTION("""COMPUTED_VALUE"""),44605.0)</f>
        <v>44605</v>
      </c>
      <c r="C1755" s="5"/>
      <c r="D1755" s="5"/>
      <c r="E1755" s="5"/>
      <c r="F1755" s="22">
        <f>IFERROR(__xludf.DUMMYFUNCTION("""COMPUTED_VALUE"""),500000.0)</f>
        <v>500000</v>
      </c>
      <c r="G1755" s="22">
        <f>IFERROR(__xludf.DUMMYFUNCTION("""COMPUTED_VALUE"""),0.0)</f>
        <v>0</v>
      </c>
      <c r="H1755" s="22">
        <f>IFERROR(__xludf.DUMMYFUNCTION("""COMPUTED_VALUE"""),500000.0)</f>
        <v>500000</v>
      </c>
      <c r="I1755" s="24">
        <f>IFERROR(__xludf.DUMMYFUNCTION("""COMPUTED_VALUE"""),0.0)</f>
        <v>0</v>
      </c>
    </row>
    <row r="1756">
      <c r="A1756" s="5" t="str">
        <f>IFERROR(__xludf.DUMMYFUNCTION("""COMPUTED_VALUE"""),"38093")</f>
        <v>38093</v>
      </c>
      <c r="B1756" s="64">
        <f>IFERROR(__xludf.DUMMYFUNCTION("""COMPUTED_VALUE"""),44606.0)</f>
        <v>44606</v>
      </c>
      <c r="C1756" s="5"/>
      <c r="D1756" s="5"/>
      <c r="E1756" s="5"/>
      <c r="F1756" s="22">
        <f>IFERROR(__xludf.DUMMYFUNCTION("""COMPUTED_VALUE"""),500000.0)</f>
        <v>500000</v>
      </c>
      <c r="G1756" s="22">
        <f>IFERROR(__xludf.DUMMYFUNCTION("""COMPUTED_VALUE"""),0.0)</f>
        <v>0</v>
      </c>
      <c r="H1756" s="22">
        <f>IFERROR(__xludf.DUMMYFUNCTION("""COMPUTED_VALUE"""),500000.0)</f>
        <v>500000</v>
      </c>
      <c r="I1756" s="24">
        <f>IFERROR(__xludf.DUMMYFUNCTION("""COMPUTED_VALUE"""),0.0)</f>
        <v>0</v>
      </c>
    </row>
    <row r="1757">
      <c r="A1757" s="5" t="str">
        <f>IFERROR(__xludf.DUMMYFUNCTION("""COMPUTED_VALUE"""),"38093")</f>
        <v>38093</v>
      </c>
      <c r="B1757" s="64">
        <f>IFERROR(__xludf.DUMMYFUNCTION("""COMPUTED_VALUE"""),44607.0)</f>
        <v>44607</v>
      </c>
      <c r="C1757" s="5"/>
      <c r="D1757" s="5"/>
      <c r="E1757" s="5"/>
      <c r="F1757" s="22">
        <f>IFERROR(__xludf.DUMMYFUNCTION("""COMPUTED_VALUE"""),500000.0)</f>
        <v>500000</v>
      </c>
      <c r="G1757" s="22">
        <f>IFERROR(__xludf.DUMMYFUNCTION("""COMPUTED_VALUE"""),0.0)</f>
        <v>0</v>
      </c>
      <c r="H1757" s="22">
        <f>IFERROR(__xludf.DUMMYFUNCTION("""COMPUTED_VALUE"""),500000.0)</f>
        <v>500000</v>
      </c>
      <c r="I1757" s="24">
        <f>IFERROR(__xludf.DUMMYFUNCTION("""COMPUTED_VALUE"""),0.0)</f>
        <v>0</v>
      </c>
    </row>
    <row r="1758">
      <c r="A1758" s="5" t="str">
        <f>IFERROR(__xludf.DUMMYFUNCTION("""COMPUTED_VALUE"""),"38093")</f>
        <v>38093</v>
      </c>
      <c r="B1758" s="64">
        <f>IFERROR(__xludf.DUMMYFUNCTION("""COMPUTED_VALUE"""),44608.0)</f>
        <v>44608</v>
      </c>
      <c r="C1758" s="5"/>
      <c r="D1758" s="5"/>
      <c r="E1758" s="5"/>
      <c r="F1758" s="22">
        <f>IFERROR(__xludf.DUMMYFUNCTION("""COMPUTED_VALUE"""),500000.0)</f>
        <v>500000</v>
      </c>
      <c r="G1758" s="22">
        <f>IFERROR(__xludf.DUMMYFUNCTION("""COMPUTED_VALUE"""),0.0)</f>
        <v>0</v>
      </c>
      <c r="H1758" s="22">
        <f>IFERROR(__xludf.DUMMYFUNCTION("""COMPUTED_VALUE"""),500000.0)</f>
        <v>500000</v>
      </c>
      <c r="I1758" s="24">
        <f>IFERROR(__xludf.DUMMYFUNCTION("""COMPUTED_VALUE"""),0.0)</f>
        <v>0</v>
      </c>
    </row>
    <row r="1759">
      <c r="A1759" s="5" t="str">
        <f>IFERROR(__xludf.DUMMYFUNCTION("""COMPUTED_VALUE"""),"38093")</f>
        <v>38093</v>
      </c>
      <c r="B1759" s="64">
        <f>IFERROR(__xludf.DUMMYFUNCTION("""COMPUTED_VALUE"""),44609.0)</f>
        <v>44609</v>
      </c>
      <c r="C1759" s="5"/>
      <c r="D1759" s="5"/>
      <c r="E1759" s="5"/>
      <c r="F1759" s="22">
        <f>IFERROR(__xludf.DUMMYFUNCTION("""COMPUTED_VALUE"""),500000.0)</f>
        <v>500000</v>
      </c>
      <c r="G1759" s="22">
        <f>IFERROR(__xludf.DUMMYFUNCTION("""COMPUTED_VALUE"""),0.0)</f>
        <v>0</v>
      </c>
      <c r="H1759" s="22">
        <f>IFERROR(__xludf.DUMMYFUNCTION("""COMPUTED_VALUE"""),500000.0)</f>
        <v>500000</v>
      </c>
      <c r="I1759" s="24">
        <f>IFERROR(__xludf.DUMMYFUNCTION("""COMPUTED_VALUE"""),0.0)</f>
        <v>0</v>
      </c>
    </row>
    <row r="1760">
      <c r="A1760" s="5" t="str">
        <f>IFERROR(__xludf.DUMMYFUNCTION("""COMPUTED_VALUE"""),"38093")</f>
        <v>38093</v>
      </c>
      <c r="B1760" s="64">
        <f>IFERROR(__xludf.DUMMYFUNCTION("""COMPUTED_VALUE"""),44610.0)</f>
        <v>44610</v>
      </c>
      <c r="C1760" s="5"/>
      <c r="D1760" s="5"/>
      <c r="E1760" s="5"/>
      <c r="F1760" s="22">
        <f>IFERROR(__xludf.DUMMYFUNCTION("""COMPUTED_VALUE"""),500000.0)</f>
        <v>500000</v>
      </c>
      <c r="G1760" s="22">
        <f>IFERROR(__xludf.DUMMYFUNCTION("""COMPUTED_VALUE"""),0.0)</f>
        <v>0</v>
      </c>
      <c r="H1760" s="22">
        <f>IFERROR(__xludf.DUMMYFUNCTION("""COMPUTED_VALUE"""),500000.0)</f>
        <v>500000</v>
      </c>
      <c r="I1760" s="24">
        <f>IFERROR(__xludf.DUMMYFUNCTION("""COMPUTED_VALUE"""),0.0)</f>
        <v>0</v>
      </c>
    </row>
    <row r="1761">
      <c r="A1761" s="5" t="str">
        <f>IFERROR(__xludf.DUMMYFUNCTION("""COMPUTED_VALUE"""),"38093")</f>
        <v>38093</v>
      </c>
      <c r="B1761" s="64">
        <f>IFERROR(__xludf.DUMMYFUNCTION("""COMPUTED_VALUE"""),44611.0)</f>
        <v>44611</v>
      </c>
      <c r="C1761" s="5"/>
      <c r="D1761" s="5"/>
      <c r="E1761" s="5"/>
      <c r="F1761" s="22">
        <f>IFERROR(__xludf.DUMMYFUNCTION("""COMPUTED_VALUE"""),500000.0)</f>
        <v>500000</v>
      </c>
      <c r="G1761" s="22">
        <f>IFERROR(__xludf.DUMMYFUNCTION("""COMPUTED_VALUE"""),0.0)</f>
        <v>0</v>
      </c>
      <c r="H1761" s="22">
        <f>IFERROR(__xludf.DUMMYFUNCTION("""COMPUTED_VALUE"""),500000.0)</f>
        <v>500000</v>
      </c>
      <c r="I1761" s="24">
        <f>IFERROR(__xludf.DUMMYFUNCTION("""COMPUTED_VALUE"""),0.0)</f>
        <v>0</v>
      </c>
    </row>
    <row r="1762">
      <c r="A1762" s="5" t="str">
        <f>IFERROR(__xludf.DUMMYFUNCTION("""COMPUTED_VALUE"""),"38093")</f>
        <v>38093</v>
      </c>
      <c r="B1762" s="64">
        <f>IFERROR(__xludf.DUMMYFUNCTION("""COMPUTED_VALUE"""),44612.0)</f>
        <v>44612</v>
      </c>
      <c r="C1762" s="5"/>
      <c r="D1762" s="5"/>
      <c r="E1762" s="5"/>
      <c r="F1762" s="22">
        <f>IFERROR(__xludf.DUMMYFUNCTION("""COMPUTED_VALUE"""),500000.0)</f>
        <v>500000</v>
      </c>
      <c r="G1762" s="22">
        <f>IFERROR(__xludf.DUMMYFUNCTION("""COMPUTED_VALUE"""),0.0)</f>
        <v>0</v>
      </c>
      <c r="H1762" s="22">
        <f>IFERROR(__xludf.DUMMYFUNCTION("""COMPUTED_VALUE"""),500000.0)</f>
        <v>500000</v>
      </c>
      <c r="I1762" s="24">
        <f>IFERROR(__xludf.DUMMYFUNCTION("""COMPUTED_VALUE"""),0.0)</f>
        <v>0</v>
      </c>
    </row>
    <row r="1763">
      <c r="A1763" s="5" t="str">
        <f>IFERROR(__xludf.DUMMYFUNCTION("""COMPUTED_VALUE"""),"38093")</f>
        <v>38093</v>
      </c>
      <c r="B1763" s="64">
        <f>IFERROR(__xludf.DUMMYFUNCTION("""COMPUTED_VALUE"""),44613.0)</f>
        <v>44613</v>
      </c>
      <c r="C1763" s="5"/>
      <c r="D1763" s="5"/>
      <c r="E1763" s="5"/>
      <c r="F1763" s="22">
        <f>IFERROR(__xludf.DUMMYFUNCTION("""COMPUTED_VALUE"""),500000.0)</f>
        <v>500000</v>
      </c>
      <c r="G1763" s="22">
        <f>IFERROR(__xludf.DUMMYFUNCTION("""COMPUTED_VALUE"""),0.0)</f>
        <v>0</v>
      </c>
      <c r="H1763" s="22">
        <f>IFERROR(__xludf.DUMMYFUNCTION("""COMPUTED_VALUE"""),500000.0)</f>
        <v>500000</v>
      </c>
      <c r="I1763" s="24">
        <f>IFERROR(__xludf.DUMMYFUNCTION("""COMPUTED_VALUE"""),0.0)</f>
        <v>0</v>
      </c>
    </row>
    <row r="1764">
      <c r="A1764" s="5" t="str">
        <f>IFERROR(__xludf.DUMMYFUNCTION("""COMPUTED_VALUE"""),"38093")</f>
        <v>38093</v>
      </c>
      <c r="B1764" s="64">
        <f>IFERROR(__xludf.DUMMYFUNCTION("""COMPUTED_VALUE"""),44614.0)</f>
        <v>44614</v>
      </c>
      <c r="C1764" s="5"/>
      <c r="D1764" s="5"/>
      <c r="E1764" s="5"/>
      <c r="F1764" s="22">
        <f>IFERROR(__xludf.DUMMYFUNCTION("""COMPUTED_VALUE"""),500000.0)</f>
        <v>500000</v>
      </c>
      <c r="G1764" s="22">
        <f>IFERROR(__xludf.DUMMYFUNCTION("""COMPUTED_VALUE"""),0.0)</f>
        <v>0</v>
      </c>
      <c r="H1764" s="22">
        <f>IFERROR(__xludf.DUMMYFUNCTION("""COMPUTED_VALUE"""),500000.0)</f>
        <v>500000</v>
      </c>
      <c r="I1764" s="24">
        <f>IFERROR(__xludf.DUMMYFUNCTION("""COMPUTED_VALUE"""),0.0)</f>
        <v>0</v>
      </c>
    </row>
    <row r="1765">
      <c r="A1765" s="5" t="str">
        <f>IFERROR(__xludf.DUMMYFUNCTION("""COMPUTED_VALUE"""),"38093")</f>
        <v>38093</v>
      </c>
      <c r="B1765" s="64">
        <f>IFERROR(__xludf.DUMMYFUNCTION("""COMPUTED_VALUE"""),44615.0)</f>
        <v>44615</v>
      </c>
      <c r="C1765" s="5"/>
      <c r="D1765" s="5"/>
      <c r="E1765" s="5"/>
      <c r="F1765" s="22">
        <f>IFERROR(__xludf.DUMMYFUNCTION("""COMPUTED_VALUE"""),500000.0)</f>
        <v>500000</v>
      </c>
      <c r="G1765" s="22">
        <f>IFERROR(__xludf.DUMMYFUNCTION("""COMPUTED_VALUE"""),0.0)</f>
        <v>0</v>
      </c>
      <c r="H1765" s="22">
        <f>IFERROR(__xludf.DUMMYFUNCTION("""COMPUTED_VALUE"""),500000.0)</f>
        <v>500000</v>
      </c>
      <c r="I1765" s="24">
        <f>IFERROR(__xludf.DUMMYFUNCTION("""COMPUTED_VALUE"""),0.0)</f>
        <v>0</v>
      </c>
    </row>
    <row r="1766">
      <c r="A1766" s="5" t="str">
        <f>IFERROR(__xludf.DUMMYFUNCTION("""COMPUTED_VALUE"""),"38093")</f>
        <v>38093</v>
      </c>
      <c r="B1766" s="64">
        <f>IFERROR(__xludf.DUMMYFUNCTION("""COMPUTED_VALUE"""),44616.0)</f>
        <v>44616</v>
      </c>
      <c r="C1766" s="5"/>
      <c r="D1766" s="5"/>
      <c r="E1766" s="5"/>
      <c r="F1766" s="22">
        <f>IFERROR(__xludf.DUMMYFUNCTION("""COMPUTED_VALUE"""),500000.0)</f>
        <v>500000</v>
      </c>
      <c r="G1766" s="22">
        <f>IFERROR(__xludf.DUMMYFUNCTION("""COMPUTED_VALUE"""),0.0)</f>
        <v>0</v>
      </c>
      <c r="H1766" s="22">
        <f>IFERROR(__xludf.DUMMYFUNCTION("""COMPUTED_VALUE"""),500000.0)</f>
        <v>500000</v>
      </c>
      <c r="I1766" s="24">
        <f>IFERROR(__xludf.DUMMYFUNCTION("""COMPUTED_VALUE"""),0.0)</f>
        <v>0</v>
      </c>
    </row>
    <row r="1767">
      <c r="A1767" s="5" t="str">
        <f>IFERROR(__xludf.DUMMYFUNCTION("""COMPUTED_VALUE"""),"38093")</f>
        <v>38093</v>
      </c>
      <c r="B1767" s="64">
        <f>IFERROR(__xludf.DUMMYFUNCTION("""COMPUTED_VALUE"""),44617.0)</f>
        <v>44617</v>
      </c>
      <c r="C1767" s="5"/>
      <c r="D1767" s="5"/>
      <c r="E1767" s="5"/>
      <c r="F1767" s="22">
        <f>IFERROR(__xludf.DUMMYFUNCTION("""COMPUTED_VALUE"""),500000.0)</f>
        <v>500000</v>
      </c>
      <c r="G1767" s="22">
        <f>IFERROR(__xludf.DUMMYFUNCTION("""COMPUTED_VALUE"""),0.0)</f>
        <v>0</v>
      </c>
      <c r="H1767" s="22">
        <f>IFERROR(__xludf.DUMMYFUNCTION("""COMPUTED_VALUE"""),500000.0)</f>
        <v>500000</v>
      </c>
      <c r="I1767" s="24">
        <f>IFERROR(__xludf.DUMMYFUNCTION("""COMPUTED_VALUE"""),0.0)</f>
        <v>0</v>
      </c>
    </row>
    <row r="1768">
      <c r="A1768" s="5" t="str">
        <f>IFERROR(__xludf.DUMMYFUNCTION("""COMPUTED_VALUE"""),"38093")</f>
        <v>38093</v>
      </c>
      <c r="B1768" s="64">
        <f>IFERROR(__xludf.DUMMYFUNCTION("""COMPUTED_VALUE"""),44618.0)</f>
        <v>44618</v>
      </c>
      <c r="C1768" s="5"/>
      <c r="D1768" s="5"/>
      <c r="E1768" s="5"/>
      <c r="F1768" s="22">
        <f>IFERROR(__xludf.DUMMYFUNCTION("""COMPUTED_VALUE"""),500000.0)</f>
        <v>500000</v>
      </c>
      <c r="G1768" s="22">
        <f>IFERROR(__xludf.DUMMYFUNCTION("""COMPUTED_VALUE"""),0.0)</f>
        <v>0</v>
      </c>
      <c r="H1768" s="22">
        <f>IFERROR(__xludf.DUMMYFUNCTION("""COMPUTED_VALUE"""),500000.0)</f>
        <v>500000</v>
      </c>
      <c r="I1768" s="24">
        <f>IFERROR(__xludf.DUMMYFUNCTION("""COMPUTED_VALUE"""),0.0)</f>
        <v>0</v>
      </c>
    </row>
    <row r="1769">
      <c r="A1769" s="5" t="str">
        <f>IFERROR(__xludf.DUMMYFUNCTION("""COMPUTED_VALUE"""),"38093")</f>
        <v>38093</v>
      </c>
      <c r="B1769" s="64">
        <f>IFERROR(__xludf.DUMMYFUNCTION("""COMPUTED_VALUE"""),44619.0)</f>
        <v>44619</v>
      </c>
      <c r="C1769" s="5"/>
      <c r="D1769" s="5"/>
      <c r="E1769" s="5"/>
      <c r="F1769" s="22">
        <f>IFERROR(__xludf.DUMMYFUNCTION("""COMPUTED_VALUE"""),500000.0)</f>
        <v>500000</v>
      </c>
      <c r="G1769" s="22">
        <f>IFERROR(__xludf.DUMMYFUNCTION("""COMPUTED_VALUE"""),0.0)</f>
        <v>0</v>
      </c>
      <c r="H1769" s="22">
        <f>IFERROR(__xludf.DUMMYFUNCTION("""COMPUTED_VALUE"""),500000.0)</f>
        <v>500000</v>
      </c>
      <c r="I1769" s="24">
        <f>IFERROR(__xludf.DUMMYFUNCTION("""COMPUTED_VALUE"""),0.0)</f>
        <v>0</v>
      </c>
    </row>
    <row r="1770">
      <c r="A1770" s="5" t="str">
        <f>IFERROR(__xludf.DUMMYFUNCTION("""COMPUTED_VALUE"""),"38093")</f>
        <v>38093</v>
      </c>
      <c r="B1770" s="64">
        <f>IFERROR(__xludf.DUMMYFUNCTION("""COMPUTED_VALUE"""),44620.0)</f>
        <v>44620</v>
      </c>
      <c r="C1770" s="5"/>
      <c r="D1770" s="5"/>
      <c r="E1770" s="5"/>
      <c r="F1770" s="22">
        <f>IFERROR(__xludf.DUMMYFUNCTION("""COMPUTED_VALUE"""),500000.0)</f>
        <v>500000</v>
      </c>
      <c r="G1770" s="22">
        <f>IFERROR(__xludf.DUMMYFUNCTION("""COMPUTED_VALUE"""),0.0)</f>
        <v>0</v>
      </c>
      <c r="H1770" s="22">
        <f>IFERROR(__xludf.DUMMYFUNCTION("""COMPUTED_VALUE"""),500000.0)</f>
        <v>500000</v>
      </c>
      <c r="I1770" s="24">
        <f>IFERROR(__xludf.DUMMYFUNCTION("""COMPUTED_VALUE"""),0.0)</f>
        <v>0</v>
      </c>
    </row>
    <row r="1771">
      <c r="A1771" s="5" t="str">
        <f>IFERROR(__xludf.DUMMYFUNCTION("""COMPUTED_VALUE"""),"38093")</f>
        <v>38093</v>
      </c>
      <c r="B1771" s="64">
        <f>IFERROR(__xludf.DUMMYFUNCTION("""COMPUTED_VALUE"""),44621.0)</f>
        <v>44621</v>
      </c>
      <c r="C1771" s="5"/>
      <c r="D1771" s="5"/>
      <c r="E1771" s="5"/>
      <c r="F1771" s="22">
        <f>IFERROR(__xludf.DUMMYFUNCTION("""COMPUTED_VALUE"""),500000.0)</f>
        <v>500000</v>
      </c>
      <c r="G1771" s="22">
        <f>IFERROR(__xludf.DUMMYFUNCTION("""COMPUTED_VALUE"""),0.0)</f>
        <v>0</v>
      </c>
      <c r="H1771" s="22">
        <f>IFERROR(__xludf.DUMMYFUNCTION("""COMPUTED_VALUE"""),500000.0)</f>
        <v>500000</v>
      </c>
      <c r="I1771" s="24">
        <f>IFERROR(__xludf.DUMMYFUNCTION("""COMPUTED_VALUE"""),0.0)</f>
        <v>0</v>
      </c>
    </row>
    <row r="1772">
      <c r="A1772" s="5" t="str">
        <f>IFERROR(__xludf.DUMMYFUNCTION("""COMPUTED_VALUE"""),"38093")</f>
        <v>38093</v>
      </c>
      <c r="B1772" s="64">
        <f>IFERROR(__xludf.DUMMYFUNCTION("""COMPUTED_VALUE"""),44622.0)</f>
        <v>44622</v>
      </c>
      <c r="C1772" s="5"/>
      <c r="D1772" s="5"/>
      <c r="E1772" s="5"/>
      <c r="F1772" s="22">
        <f>IFERROR(__xludf.DUMMYFUNCTION("""COMPUTED_VALUE"""),500000.0)</f>
        <v>500000</v>
      </c>
      <c r="G1772" s="22">
        <f>IFERROR(__xludf.DUMMYFUNCTION("""COMPUTED_VALUE"""),0.0)</f>
        <v>0</v>
      </c>
      <c r="H1772" s="22">
        <f>IFERROR(__xludf.DUMMYFUNCTION("""COMPUTED_VALUE"""),500000.0)</f>
        <v>500000</v>
      </c>
      <c r="I1772" s="24">
        <f>IFERROR(__xludf.DUMMYFUNCTION("""COMPUTED_VALUE"""),0.0)</f>
        <v>0</v>
      </c>
    </row>
    <row r="1773">
      <c r="A1773" s="5" t="str">
        <f>IFERROR(__xludf.DUMMYFUNCTION("""COMPUTED_VALUE"""),"38093")</f>
        <v>38093</v>
      </c>
      <c r="B1773" s="64">
        <f>IFERROR(__xludf.DUMMYFUNCTION("""COMPUTED_VALUE"""),44623.0)</f>
        <v>44623</v>
      </c>
      <c r="C1773" s="5"/>
      <c r="D1773" s="5"/>
      <c r="E1773" s="5"/>
      <c r="F1773" s="22">
        <f>IFERROR(__xludf.DUMMYFUNCTION("""COMPUTED_VALUE"""),500000.0)</f>
        <v>500000</v>
      </c>
      <c r="G1773" s="22">
        <f>IFERROR(__xludf.DUMMYFUNCTION("""COMPUTED_VALUE"""),0.0)</f>
        <v>0</v>
      </c>
      <c r="H1773" s="22">
        <f>IFERROR(__xludf.DUMMYFUNCTION("""COMPUTED_VALUE"""),500000.0)</f>
        <v>500000</v>
      </c>
      <c r="I1773" s="24">
        <f>IFERROR(__xludf.DUMMYFUNCTION("""COMPUTED_VALUE"""),0.0)</f>
        <v>0</v>
      </c>
    </row>
    <row r="1774">
      <c r="A1774" s="5" t="str">
        <f>IFERROR(__xludf.DUMMYFUNCTION("""COMPUTED_VALUE"""),"38093")</f>
        <v>38093</v>
      </c>
      <c r="B1774" s="64">
        <f>IFERROR(__xludf.DUMMYFUNCTION("""COMPUTED_VALUE"""),44624.0)</f>
        <v>44624</v>
      </c>
      <c r="C1774" s="5"/>
      <c r="D1774" s="5"/>
      <c r="E1774" s="5"/>
      <c r="F1774" s="22">
        <f>IFERROR(__xludf.DUMMYFUNCTION("""COMPUTED_VALUE"""),500000.0)</f>
        <v>500000</v>
      </c>
      <c r="G1774" s="22">
        <f>IFERROR(__xludf.DUMMYFUNCTION("""COMPUTED_VALUE"""),0.0)</f>
        <v>0</v>
      </c>
      <c r="H1774" s="22">
        <f>IFERROR(__xludf.DUMMYFUNCTION("""COMPUTED_VALUE"""),500000.0)</f>
        <v>500000</v>
      </c>
      <c r="I1774" s="24">
        <f>IFERROR(__xludf.DUMMYFUNCTION("""COMPUTED_VALUE"""),0.0)</f>
        <v>0</v>
      </c>
    </row>
    <row r="1775">
      <c r="A1775" s="5" t="str">
        <f>IFERROR(__xludf.DUMMYFUNCTION("""COMPUTED_VALUE"""),"38093")</f>
        <v>38093</v>
      </c>
      <c r="B1775" s="64">
        <f>IFERROR(__xludf.DUMMYFUNCTION("""COMPUTED_VALUE"""),44625.0)</f>
        <v>44625</v>
      </c>
      <c r="C1775" s="5"/>
      <c r="D1775" s="5"/>
      <c r="E1775" s="5"/>
      <c r="F1775" s="22">
        <f>IFERROR(__xludf.DUMMYFUNCTION("""COMPUTED_VALUE"""),500000.0)</f>
        <v>500000</v>
      </c>
      <c r="G1775" s="22">
        <f>IFERROR(__xludf.DUMMYFUNCTION("""COMPUTED_VALUE"""),0.0)</f>
        <v>0</v>
      </c>
      <c r="H1775" s="22">
        <f>IFERROR(__xludf.DUMMYFUNCTION("""COMPUTED_VALUE"""),500000.0)</f>
        <v>500000</v>
      </c>
      <c r="I1775" s="24">
        <f>IFERROR(__xludf.DUMMYFUNCTION("""COMPUTED_VALUE"""),0.0)</f>
        <v>0</v>
      </c>
    </row>
    <row r="1776">
      <c r="A1776" s="5" t="str">
        <f>IFERROR(__xludf.DUMMYFUNCTION("""COMPUTED_VALUE"""),"38093")</f>
        <v>38093</v>
      </c>
      <c r="B1776" s="64">
        <f>IFERROR(__xludf.DUMMYFUNCTION("""COMPUTED_VALUE"""),44626.0)</f>
        <v>44626</v>
      </c>
      <c r="C1776" s="5"/>
      <c r="D1776" s="5"/>
      <c r="E1776" s="5"/>
      <c r="F1776" s="22">
        <f>IFERROR(__xludf.DUMMYFUNCTION("""COMPUTED_VALUE"""),500000.0)</f>
        <v>500000</v>
      </c>
      <c r="G1776" s="22">
        <f>IFERROR(__xludf.DUMMYFUNCTION("""COMPUTED_VALUE"""),0.0)</f>
        <v>0</v>
      </c>
      <c r="H1776" s="22">
        <f>IFERROR(__xludf.DUMMYFUNCTION("""COMPUTED_VALUE"""),500000.0)</f>
        <v>500000</v>
      </c>
      <c r="I1776" s="24">
        <f>IFERROR(__xludf.DUMMYFUNCTION("""COMPUTED_VALUE"""),0.0)</f>
        <v>0</v>
      </c>
    </row>
    <row r="1777">
      <c r="A1777" s="5" t="str">
        <f>IFERROR(__xludf.DUMMYFUNCTION("""COMPUTED_VALUE"""),"38093")</f>
        <v>38093</v>
      </c>
      <c r="B1777" s="64">
        <f>IFERROR(__xludf.DUMMYFUNCTION("""COMPUTED_VALUE"""),44627.0)</f>
        <v>44627</v>
      </c>
      <c r="C1777" s="5"/>
      <c r="D1777" s="5"/>
      <c r="E1777" s="5"/>
      <c r="F1777" s="22">
        <f>IFERROR(__xludf.DUMMYFUNCTION("""COMPUTED_VALUE"""),500000.0)</f>
        <v>500000</v>
      </c>
      <c r="G1777" s="22">
        <f>IFERROR(__xludf.DUMMYFUNCTION("""COMPUTED_VALUE"""),0.0)</f>
        <v>0</v>
      </c>
      <c r="H1777" s="22">
        <f>IFERROR(__xludf.DUMMYFUNCTION("""COMPUTED_VALUE"""),500000.0)</f>
        <v>500000</v>
      </c>
      <c r="I1777" s="24">
        <f>IFERROR(__xludf.DUMMYFUNCTION("""COMPUTED_VALUE"""),0.0)</f>
        <v>0</v>
      </c>
    </row>
    <row r="1778">
      <c r="A1778" s="5" t="str">
        <f>IFERROR(__xludf.DUMMYFUNCTION("""COMPUTED_VALUE"""),"38093")</f>
        <v>38093</v>
      </c>
      <c r="B1778" s="64">
        <f>IFERROR(__xludf.DUMMYFUNCTION("""COMPUTED_VALUE"""),44628.0)</f>
        <v>44628</v>
      </c>
      <c r="C1778" s="5"/>
      <c r="D1778" s="5"/>
      <c r="E1778" s="5"/>
      <c r="F1778" s="22">
        <f>IFERROR(__xludf.DUMMYFUNCTION("""COMPUTED_VALUE"""),500000.0)</f>
        <v>500000</v>
      </c>
      <c r="G1778" s="22">
        <f>IFERROR(__xludf.DUMMYFUNCTION("""COMPUTED_VALUE"""),0.0)</f>
        <v>0</v>
      </c>
      <c r="H1778" s="22">
        <f>IFERROR(__xludf.DUMMYFUNCTION("""COMPUTED_VALUE"""),500000.0)</f>
        <v>500000</v>
      </c>
      <c r="I1778" s="24">
        <f>IFERROR(__xludf.DUMMYFUNCTION("""COMPUTED_VALUE"""),0.0)</f>
        <v>0</v>
      </c>
    </row>
    <row r="1779">
      <c r="A1779" s="5" t="str">
        <f>IFERROR(__xludf.DUMMYFUNCTION("""COMPUTED_VALUE"""),"38093")</f>
        <v>38093</v>
      </c>
      <c r="B1779" s="64">
        <f>IFERROR(__xludf.DUMMYFUNCTION("""COMPUTED_VALUE"""),44629.0)</f>
        <v>44629</v>
      </c>
      <c r="C1779" s="5"/>
      <c r="D1779" s="5"/>
      <c r="E1779" s="5"/>
      <c r="F1779" s="22">
        <f>IFERROR(__xludf.DUMMYFUNCTION("""COMPUTED_VALUE"""),500000.0)</f>
        <v>500000</v>
      </c>
      <c r="G1779" s="22">
        <f>IFERROR(__xludf.DUMMYFUNCTION("""COMPUTED_VALUE"""),0.0)</f>
        <v>0</v>
      </c>
      <c r="H1779" s="22">
        <f>IFERROR(__xludf.DUMMYFUNCTION("""COMPUTED_VALUE"""),500000.0)</f>
        <v>500000</v>
      </c>
      <c r="I1779" s="24">
        <f>IFERROR(__xludf.DUMMYFUNCTION("""COMPUTED_VALUE"""),0.0)</f>
        <v>0</v>
      </c>
    </row>
    <row r="1780">
      <c r="A1780" s="5" t="str">
        <f>IFERROR(__xludf.DUMMYFUNCTION("""COMPUTED_VALUE"""),"38093")</f>
        <v>38093</v>
      </c>
      <c r="B1780" s="64">
        <f>IFERROR(__xludf.DUMMYFUNCTION("""COMPUTED_VALUE"""),44630.0)</f>
        <v>44630</v>
      </c>
      <c r="C1780" s="5"/>
      <c r="D1780" s="5"/>
      <c r="E1780" s="5"/>
      <c r="F1780" s="22">
        <f>IFERROR(__xludf.DUMMYFUNCTION("""COMPUTED_VALUE"""),500000.0)</f>
        <v>500000</v>
      </c>
      <c r="G1780" s="22">
        <f>IFERROR(__xludf.DUMMYFUNCTION("""COMPUTED_VALUE"""),0.0)</f>
        <v>0</v>
      </c>
      <c r="H1780" s="22">
        <f>IFERROR(__xludf.DUMMYFUNCTION("""COMPUTED_VALUE"""),500000.0)</f>
        <v>500000</v>
      </c>
      <c r="I1780" s="24">
        <f>IFERROR(__xludf.DUMMYFUNCTION("""COMPUTED_VALUE"""),0.0)</f>
        <v>0</v>
      </c>
    </row>
    <row r="1781">
      <c r="A1781" s="5" t="str">
        <f>IFERROR(__xludf.DUMMYFUNCTION("""COMPUTED_VALUE"""),"38093")</f>
        <v>38093</v>
      </c>
      <c r="B1781" s="64">
        <f>IFERROR(__xludf.DUMMYFUNCTION("""COMPUTED_VALUE"""),44631.0)</f>
        <v>44631</v>
      </c>
      <c r="C1781" s="5"/>
      <c r="D1781" s="5"/>
      <c r="E1781" s="5"/>
      <c r="F1781" s="22">
        <f>IFERROR(__xludf.DUMMYFUNCTION("""COMPUTED_VALUE"""),500000.0)</f>
        <v>500000</v>
      </c>
      <c r="G1781" s="22">
        <f>IFERROR(__xludf.DUMMYFUNCTION("""COMPUTED_VALUE"""),0.0)</f>
        <v>0</v>
      </c>
      <c r="H1781" s="22">
        <f>IFERROR(__xludf.DUMMYFUNCTION("""COMPUTED_VALUE"""),500000.0)</f>
        <v>500000</v>
      </c>
      <c r="I1781" s="24">
        <f>IFERROR(__xludf.DUMMYFUNCTION("""COMPUTED_VALUE"""),0.0)</f>
        <v>0</v>
      </c>
    </row>
    <row r="1782">
      <c r="A1782" s="5" t="str">
        <f>IFERROR(__xludf.DUMMYFUNCTION("""COMPUTED_VALUE"""),"38093")</f>
        <v>38093</v>
      </c>
      <c r="B1782" s="64">
        <f>IFERROR(__xludf.DUMMYFUNCTION("""COMPUTED_VALUE"""),44632.0)</f>
        <v>44632</v>
      </c>
      <c r="C1782" s="5"/>
      <c r="D1782" s="5"/>
      <c r="E1782" s="5"/>
      <c r="F1782" s="22">
        <f>IFERROR(__xludf.DUMMYFUNCTION("""COMPUTED_VALUE"""),500000.0)</f>
        <v>500000</v>
      </c>
      <c r="G1782" s="22">
        <f>IFERROR(__xludf.DUMMYFUNCTION("""COMPUTED_VALUE"""),0.0)</f>
        <v>0</v>
      </c>
      <c r="H1782" s="22">
        <f>IFERROR(__xludf.DUMMYFUNCTION("""COMPUTED_VALUE"""),500000.0)</f>
        <v>500000</v>
      </c>
      <c r="I1782" s="24">
        <f>IFERROR(__xludf.DUMMYFUNCTION("""COMPUTED_VALUE"""),0.0)</f>
        <v>0</v>
      </c>
    </row>
    <row r="1783">
      <c r="A1783" s="5" t="str">
        <f>IFERROR(__xludf.DUMMYFUNCTION("""COMPUTED_VALUE"""),"38093")</f>
        <v>38093</v>
      </c>
      <c r="B1783" s="64">
        <f>IFERROR(__xludf.DUMMYFUNCTION("""COMPUTED_VALUE"""),44633.0)</f>
        <v>44633</v>
      </c>
      <c r="C1783" s="5"/>
      <c r="D1783" s="5"/>
      <c r="E1783" s="5"/>
      <c r="F1783" s="22">
        <f>IFERROR(__xludf.DUMMYFUNCTION("""COMPUTED_VALUE"""),500000.0)</f>
        <v>500000</v>
      </c>
      <c r="G1783" s="22">
        <f>IFERROR(__xludf.DUMMYFUNCTION("""COMPUTED_VALUE"""),0.0)</f>
        <v>0</v>
      </c>
      <c r="H1783" s="22">
        <f>IFERROR(__xludf.DUMMYFUNCTION("""COMPUTED_VALUE"""),500000.0)</f>
        <v>500000</v>
      </c>
      <c r="I1783" s="24">
        <f>IFERROR(__xludf.DUMMYFUNCTION("""COMPUTED_VALUE"""),0.0)</f>
        <v>0</v>
      </c>
    </row>
    <row r="1784">
      <c r="A1784" s="5" t="str">
        <f>IFERROR(__xludf.DUMMYFUNCTION("""COMPUTED_VALUE"""),"38093")</f>
        <v>38093</v>
      </c>
      <c r="B1784" s="64">
        <f>IFERROR(__xludf.DUMMYFUNCTION("""COMPUTED_VALUE"""),44634.0)</f>
        <v>44634</v>
      </c>
      <c r="C1784" s="5"/>
      <c r="D1784" s="5"/>
      <c r="E1784" s="5"/>
      <c r="F1784" s="22">
        <f>IFERROR(__xludf.DUMMYFUNCTION("""COMPUTED_VALUE"""),500000.0)</f>
        <v>500000</v>
      </c>
      <c r="G1784" s="22">
        <f>IFERROR(__xludf.DUMMYFUNCTION("""COMPUTED_VALUE"""),0.0)</f>
        <v>0</v>
      </c>
      <c r="H1784" s="22">
        <f>IFERROR(__xludf.DUMMYFUNCTION("""COMPUTED_VALUE"""),500000.0)</f>
        <v>500000</v>
      </c>
      <c r="I1784" s="24">
        <f>IFERROR(__xludf.DUMMYFUNCTION("""COMPUTED_VALUE"""),0.0)</f>
        <v>0</v>
      </c>
    </row>
    <row r="1785">
      <c r="A1785" s="5" t="str">
        <f>IFERROR(__xludf.DUMMYFUNCTION("""COMPUTED_VALUE"""),"38093")</f>
        <v>38093</v>
      </c>
      <c r="B1785" s="64">
        <f>IFERROR(__xludf.DUMMYFUNCTION("""COMPUTED_VALUE"""),44635.0)</f>
        <v>44635</v>
      </c>
      <c r="C1785" s="5"/>
      <c r="D1785" s="5"/>
      <c r="E1785" s="5"/>
      <c r="F1785" s="22">
        <f>IFERROR(__xludf.DUMMYFUNCTION("""COMPUTED_VALUE"""),500000.0)</f>
        <v>500000</v>
      </c>
      <c r="G1785" s="22">
        <f>IFERROR(__xludf.DUMMYFUNCTION("""COMPUTED_VALUE"""),0.0)</f>
        <v>0</v>
      </c>
      <c r="H1785" s="22">
        <f>IFERROR(__xludf.DUMMYFUNCTION("""COMPUTED_VALUE"""),500000.0)</f>
        <v>500000</v>
      </c>
      <c r="I1785" s="24">
        <f>IFERROR(__xludf.DUMMYFUNCTION("""COMPUTED_VALUE"""),0.0)</f>
        <v>0</v>
      </c>
    </row>
    <row r="1786">
      <c r="A1786" s="5" t="str">
        <f>IFERROR(__xludf.DUMMYFUNCTION("""COMPUTED_VALUE"""),"38093")</f>
        <v>38093</v>
      </c>
      <c r="B1786" s="64">
        <f>IFERROR(__xludf.DUMMYFUNCTION("""COMPUTED_VALUE"""),44636.0)</f>
        <v>44636</v>
      </c>
      <c r="C1786" s="5"/>
      <c r="D1786" s="5"/>
      <c r="E1786" s="5"/>
      <c r="F1786" s="22">
        <f>IFERROR(__xludf.DUMMYFUNCTION("""COMPUTED_VALUE"""),500000.0)</f>
        <v>500000</v>
      </c>
      <c r="G1786" s="22">
        <f>IFERROR(__xludf.DUMMYFUNCTION("""COMPUTED_VALUE"""),0.0)</f>
        <v>0</v>
      </c>
      <c r="H1786" s="22">
        <f>IFERROR(__xludf.DUMMYFUNCTION("""COMPUTED_VALUE"""),500000.0)</f>
        <v>500000</v>
      </c>
      <c r="I1786" s="24">
        <f>IFERROR(__xludf.DUMMYFUNCTION("""COMPUTED_VALUE"""),0.0)</f>
        <v>0</v>
      </c>
    </row>
    <row r="1787">
      <c r="A1787" s="5" t="str">
        <f>IFERROR(__xludf.DUMMYFUNCTION("""COMPUTED_VALUE"""),"38093")</f>
        <v>38093</v>
      </c>
      <c r="B1787" s="64">
        <f>IFERROR(__xludf.DUMMYFUNCTION("""COMPUTED_VALUE"""),44637.0)</f>
        <v>44637</v>
      </c>
      <c r="C1787" s="5"/>
      <c r="D1787" s="5"/>
      <c r="E1787" s="5"/>
      <c r="F1787" s="22">
        <f>IFERROR(__xludf.DUMMYFUNCTION("""COMPUTED_VALUE"""),500000.0)</f>
        <v>500000</v>
      </c>
      <c r="G1787" s="22">
        <f>IFERROR(__xludf.DUMMYFUNCTION("""COMPUTED_VALUE"""),0.0)</f>
        <v>0</v>
      </c>
      <c r="H1787" s="22">
        <f>IFERROR(__xludf.DUMMYFUNCTION("""COMPUTED_VALUE"""),500000.0)</f>
        <v>500000</v>
      </c>
      <c r="I1787" s="24">
        <f>IFERROR(__xludf.DUMMYFUNCTION("""COMPUTED_VALUE"""),0.0)</f>
        <v>0</v>
      </c>
    </row>
    <row r="1788">
      <c r="A1788" s="5" t="str">
        <f>IFERROR(__xludf.DUMMYFUNCTION("""COMPUTED_VALUE"""),"38093")</f>
        <v>38093</v>
      </c>
      <c r="B1788" s="64">
        <f>IFERROR(__xludf.DUMMYFUNCTION("""COMPUTED_VALUE"""),44638.0)</f>
        <v>44638</v>
      </c>
      <c r="C1788" s="5"/>
      <c r="D1788" s="5"/>
      <c r="E1788" s="5"/>
      <c r="F1788" s="22">
        <f>IFERROR(__xludf.DUMMYFUNCTION("""COMPUTED_VALUE"""),500000.0)</f>
        <v>500000</v>
      </c>
      <c r="G1788" s="22">
        <f>IFERROR(__xludf.DUMMYFUNCTION("""COMPUTED_VALUE"""),0.0)</f>
        <v>0</v>
      </c>
      <c r="H1788" s="22">
        <f>IFERROR(__xludf.DUMMYFUNCTION("""COMPUTED_VALUE"""),500000.0)</f>
        <v>500000</v>
      </c>
      <c r="I1788" s="24">
        <f>IFERROR(__xludf.DUMMYFUNCTION("""COMPUTED_VALUE"""),0.0)</f>
        <v>0</v>
      </c>
    </row>
    <row r="1789">
      <c r="A1789" s="5" t="str">
        <f>IFERROR(__xludf.DUMMYFUNCTION("""COMPUTED_VALUE"""),"38093")</f>
        <v>38093</v>
      </c>
      <c r="B1789" s="64">
        <f>IFERROR(__xludf.DUMMYFUNCTION("""COMPUTED_VALUE"""),44639.0)</f>
        <v>44639</v>
      </c>
      <c r="C1789" s="5"/>
      <c r="D1789" s="5"/>
      <c r="E1789" s="5"/>
      <c r="F1789" s="22">
        <f>IFERROR(__xludf.DUMMYFUNCTION("""COMPUTED_VALUE"""),500000.0)</f>
        <v>500000</v>
      </c>
      <c r="G1789" s="22">
        <f>IFERROR(__xludf.DUMMYFUNCTION("""COMPUTED_VALUE"""),0.0)</f>
        <v>0</v>
      </c>
      <c r="H1789" s="22">
        <f>IFERROR(__xludf.DUMMYFUNCTION("""COMPUTED_VALUE"""),500000.0)</f>
        <v>500000</v>
      </c>
      <c r="I1789" s="24">
        <f>IFERROR(__xludf.DUMMYFUNCTION("""COMPUTED_VALUE"""),0.0)</f>
        <v>0</v>
      </c>
    </row>
    <row r="1790">
      <c r="A1790" s="5" t="str">
        <f>IFERROR(__xludf.DUMMYFUNCTION("""COMPUTED_VALUE"""),"38093")</f>
        <v>38093</v>
      </c>
      <c r="B1790" s="64">
        <f>IFERROR(__xludf.DUMMYFUNCTION("""COMPUTED_VALUE"""),44640.0)</f>
        <v>44640</v>
      </c>
      <c r="C1790" s="5"/>
      <c r="D1790" s="5"/>
      <c r="E1790" s="5"/>
      <c r="F1790" s="22">
        <f>IFERROR(__xludf.DUMMYFUNCTION("""COMPUTED_VALUE"""),500000.0)</f>
        <v>500000</v>
      </c>
      <c r="G1790" s="22">
        <f>IFERROR(__xludf.DUMMYFUNCTION("""COMPUTED_VALUE"""),0.0)</f>
        <v>0</v>
      </c>
      <c r="H1790" s="22">
        <f>IFERROR(__xludf.DUMMYFUNCTION("""COMPUTED_VALUE"""),500000.0)</f>
        <v>500000</v>
      </c>
      <c r="I1790" s="24">
        <f>IFERROR(__xludf.DUMMYFUNCTION("""COMPUTED_VALUE"""),0.0)</f>
        <v>0</v>
      </c>
    </row>
    <row r="1791">
      <c r="A1791" s="5" t="str">
        <f>IFERROR(__xludf.DUMMYFUNCTION("""COMPUTED_VALUE"""),"38093")</f>
        <v>38093</v>
      </c>
      <c r="B1791" s="64">
        <f>IFERROR(__xludf.DUMMYFUNCTION("""COMPUTED_VALUE"""),44641.0)</f>
        <v>44641</v>
      </c>
      <c r="C1791" s="5"/>
      <c r="D1791" s="5"/>
      <c r="E1791" s="5"/>
      <c r="F1791" s="22">
        <f>IFERROR(__xludf.DUMMYFUNCTION("""COMPUTED_VALUE"""),500000.0)</f>
        <v>500000</v>
      </c>
      <c r="G1791" s="22">
        <f>IFERROR(__xludf.DUMMYFUNCTION("""COMPUTED_VALUE"""),0.0)</f>
        <v>0</v>
      </c>
      <c r="H1791" s="22">
        <f>IFERROR(__xludf.DUMMYFUNCTION("""COMPUTED_VALUE"""),500000.0)</f>
        <v>500000</v>
      </c>
      <c r="I1791" s="24">
        <f>IFERROR(__xludf.DUMMYFUNCTION("""COMPUTED_VALUE"""),0.0)</f>
        <v>0</v>
      </c>
    </row>
    <row r="1792">
      <c r="A1792" s="5" t="str">
        <f>IFERROR(__xludf.DUMMYFUNCTION("""COMPUTED_VALUE"""),"38093")</f>
        <v>38093</v>
      </c>
      <c r="B1792" s="64">
        <f>IFERROR(__xludf.DUMMYFUNCTION("""COMPUTED_VALUE"""),44642.0)</f>
        <v>44642</v>
      </c>
      <c r="C1792" s="5"/>
      <c r="D1792" s="5"/>
      <c r="E1792" s="5"/>
      <c r="F1792" s="22">
        <f>IFERROR(__xludf.DUMMYFUNCTION("""COMPUTED_VALUE"""),500000.0)</f>
        <v>500000</v>
      </c>
      <c r="G1792" s="22">
        <f>IFERROR(__xludf.DUMMYFUNCTION("""COMPUTED_VALUE"""),0.0)</f>
        <v>0</v>
      </c>
      <c r="H1792" s="22">
        <f>IFERROR(__xludf.DUMMYFUNCTION("""COMPUTED_VALUE"""),500000.0)</f>
        <v>500000</v>
      </c>
      <c r="I1792" s="24">
        <f>IFERROR(__xludf.DUMMYFUNCTION("""COMPUTED_VALUE"""),0.0)</f>
        <v>0</v>
      </c>
    </row>
    <row r="1793">
      <c r="A1793" s="5" t="str">
        <f>IFERROR(__xludf.DUMMYFUNCTION("""COMPUTED_VALUE"""),"38093")</f>
        <v>38093</v>
      </c>
      <c r="B1793" s="64">
        <f>IFERROR(__xludf.DUMMYFUNCTION("""COMPUTED_VALUE"""),44643.0)</f>
        <v>44643</v>
      </c>
      <c r="C1793" s="5"/>
      <c r="D1793" s="5"/>
      <c r="E1793" s="5"/>
      <c r="F1793" s="22">
        <f>IFERROR(__xludf.DUMMYFUNCTION("""COMPUTED_VALUE"""),500000.0)</f>
        <v>500000</v>
      </c>
      <c r="G1793" s="22">
        <f>IFERROR(__xludf.DUMMYFUNCTION("""COMPUTED_VALUE"""),0.0)</f>
        <v>0</v>
      </c>
      <c r="H1793" s="22">
        <f>IFERROR(__xludf.DUMMYFUNCTION("""COMPUTED_VALUE"""),500000.0)</f>
        <v>500000</v>
      </c>
      <c r="I1793" s="24">
        <f>IFERROR(__xludf.DUMMYFUNCTION("""COMPUTED_VALUE"""),0.0)</f>
        <v>0</v>
      </c>
    </row>
    <row r="1794">
      <c r="A1794" s="5" t="str">
        <f>IFERROR(__xludf.DUMMYFUNCTION("""COMPUTED_VALUE"""),"38093")</f>
        <v>38093</v>
      </c>
      <c r="B1794" s="64">
        <f>IFERROR(__xludf.DUMMYFUNCTION("""COMPUTED_VALUE"""),44644.0)</f>
        <v>44644</v>
      </c>
      <c r="C1794" s="5"/>
      <c r="D1794" s="5"/>
      <c r="E1794" s="5"/>
      <c r="F1794" s="22">
        <f>IFERROR(__xludf.DUMMYFUNCTION("""COMPUTED_VALUE"""),500000.0)</f>
        <v>500000</v>
      </c>
      <c r="G1794" s="22">
        <f>IFERROR(__xludf.DUMMYFUNCTION("""COMPUTED_VALUE"""),0.0)</f>
        <v>0</v>
      </c>
      <c r="H1794" s="22">
        <f>IFERROR(__xludf.DUMMYFUNCTION("""COMPUTED_VALUE"""),500000.0)</f>
        <v>500000</v>
      </c>
      <c r="I1794" s="24">
        <f>IFERROR(__xludf.DUMMYFUNCTION("""COMPUTED_VALUE"""),0.0)</f>
        <v>0</v>
      </c>
    </row>
    <row r="1795">
      <c r="A1795" s="5" t="str">
        <f>IFERROR(__xludf.DUMMYFUNCTION("""COMPUTED_VALUE"""),"38093")</f>
        <v>38093</v>
      </c>
      <c r="B1795" s="64">
        <f>IFERROR(__xludf.DUMMYFUNCTION("""COMPUTED_VALUE"""),44645.0)</f>
        <v>44645</v>
      </c>
      <c r="C1795" s="5"/>
      <c r="D1795" s="5"/>
      <c r="E1795" s="5"/>
      <c r="F1795" s="22">
        <f>IFERROR(__xludf.DUMMYFUNCTION("""COMPUTED_VALUE"""),-336.6844999999157)</f>
        <v>-336.6845</v>
      </c>
      <c r="G1795" s="22">
        <f>IFERROR(__xludf.DUMMYFUNCTION("""COMPUTED_VALUE"""),336.6844999999157)</f>
        <v>336.6845</v>
      </c>
      <c r="H1795" s="22">
        <f>IFERROR(__xludf.DUMMYFUNCTION("""COMPUTED_VALUE"""),500016.442475)</f>
        <v>500016.4425</v>
      </c>
      <c r="I1795" s="24">
        <f>IFERROR(__xludf.DUMMYFUNCTION("""COMPUTED_VALUE"""),3.2884949999978375E-5)</f>
        <v>0.00003288495</v>
      </c>
    </row>
    <row r="1796">
      <c r="A1796" s="5" t="str">
        <f>IFERROR(__xludf.DUMMYFUNCTION("""COMPUTED_VALUE"""),"38093")</f>
        <v>38093</v>
      </c>
      <c r="B1796" s="64">
        <f>IFERROR(__xludf.DUMMYFUNCTION("""COMPUTED_VALUE"""),44646.0)</f>
        <v>44646</v>
      </c>
      <c r="C1796" s="5"/>
      <c r="D1796" s="5"/>
      <c r="E1796" s="5"/>
      <c r="F1796" s="22">
        <f>IFERROR(__xludf.DUMMYFUNCTION("""COMPUTED_VALUE"""),-336.6844999999157)</f>
        <v>-336.6845</v>
      </c>
      <c r="G1796" s="22">
        <f>IFERROR(__xludf.DUMMYFUNCTION("""COMPUTED_VALUE"""),336.6844999999157)</f>
        <v>336.6845</v>
      </c>
      <c r="H1796" s="22">
        <f>IFERROR(__xludf.DUMMYFUNCTION("""COMPUTED_VALUE"""),500016.442475)</f>
        <v>500016.4425</v>
      </c>
      <c r="I1796" s="24">
        <f>IFERROR(__xludf.DUMMYFUNCTION("""COMPUTED_VALUE"""),3.2884949999978375E-5)</f>
        <v>0.00003288495</v>
      </c>
    </row>
    <row r="1797">
      <c r="A1797" s="5" t="str">
        <f>IFERROR(__xludf.DUMMYFUNCTION("""COMPUTED_VALUE"""),"38093")</f>
        <v>38093</v>
      </c>
      <c r="B1797" s="64">
        <f>IFERROR(__xludf.DUMMYFUNCTION("""COMPUTED_VALUE"""),44647.0)</f>
        <v>44647</v>
      </c>
      <c r="C1797" s="5"/>
      <c r="D1797" s="5"/>
      <c r="E1797" s="5"/>
      <c r="F1797" s="22">
        <f>IFERROR(__xludf.DUMMYFUNCTION("""COMPUTED_VALUE"""),-336.6844999999157)</f>
        <v>-336.6845</v>
      </c>
      <c r="G1797" s="22">
        <f>IFERROR(__xludf.DUMMYFUNCTION("""COMPUTED_VALUE"""),336.6844999999157)</f>
        <v>336.6845</v>
      </c>
      <c r="H1797" s="22">
        <f>IFERROR(__xludf.DUMMYFUNCTION("""COMPUTED_VALUE"""),500016.442475)</f>
        <v>500016.4425</v>
      </c>
      <c r="I1797" s="24">
        <f>IFERROR(__xludf.DUMMYFUNCTION("""COMPUTED_VALUE"""),3.2884949999978375E-5)</f>
        <v>0.00003288495</v>
      </c>
    </row>
    <row r="1798">
      <c r="A1798" s="5" t="str">
        <f>IFERROR(__xludf.DUMMYFUNCTION("""COMPUTED_VALUE"""),"38093")</f>
        <v>38093</v>
      </c>
      <c r="B1798" s="64">
        <f>IFERROR(__xludf.DUMMYFUNCTION("""COMPUTED_VALUE"""),44648.0)</f>
        <v>44648</v>
      </c>
      <c r="C1798" s="5"/>
      <c r="D1798" s="5"/>
      <c r="E1798" s="5"/>
      <c r="F1798" s="22">
        <f>IFERROR(__xludf.DUMMYFUNCTION("""COMPUTED_VALUE"""),-336.6844999999157)</f>
        <v>-336.6845</v>
      </c>
      <c r="G1798" s="22">
        <f>IFERROR(__xludf.DUMMYFUNCTION("""COMPUTED_VALUE"""),336.6844999999157)</f>
        <v>336.6845</v>
      </c>
      <c r="H1798" s="22">
        <f>IFERROR(__xludf.DUMMYFUNCTION("""COMPUTED_VALUE"""),533121.0169625)</f>
        <v>533121.017</v>
      </c>
      <c r="I1798" s="24">
        <f>IFERROR(__xludf.DUMMYFUNCTION("""COMPUTED_VALUE"""),0.06624203392500005)</f>
        <v>0.06624203393</v>
      </c>
    </row>
    <row r="1799">
      <c r="A1799" s="5" t="str">
        <f>IFERROR(__xludf.DUMMYFUNCTION("""COMPUTED_VALUE"""),"38093")</f>
        <v>38093</v>
      </c>
      <c r="B1799" s="64">
        <f>IFERROR(__xludf.DUMMYFUNCTION("""COMPUTED_VALUE"""),44649.0)</f>
        <v>44649</v>
      </c>
      <c r="C1799" s="5"/>
      <c r="D1799" s="5"/>
      <c r="E1799" s="5"/>
      <c r="F1799" s="22">
        <f>IFERROR(__xludf.DUMMYFUNCTION("""COMPUTED_VALUE"""),-336.6844999999157)</f>
        <v>-336.6845</v>
      </c>
      <c r="G1799" s="22">
        <f>IFERROR(__xludf.DUMMYFUNCTION("""COMPUTED_VALUE"""),336.6844999999157)</f>
        <v>336.6845</v>
      </c>
      <c r="H1799" s="22">
        <f>IFERROR(__xludf.DUMMYFUNCTION("""COMPUTED_VALUE"""),540510.2295125)</f>
        <v>540510.2295</v>
      </c>
      <c r="I1799" s="24">
        <f>IFERROR(__xludf.DUMMYFUNCTION("""COMPUTED_VALUE"""),0.08102045902499988)</f>
        <v>0.08102045902</v>
      </c>
    </row>
    <row r="1800">
      <c r="A1800" s="5" t="str">
        <f>IFERROR(__xludf.DUMMYFUNCTION("""COMPUTED_VALUE"""),"38093")</f>
        <v>38093</v>
      </c>
      <c r="B1800" s="64">
        <f>IFERROR(__xludf.DUMMYFUNCTION("""COMPUTED_VALUE"""),44650.0)</f>
        <v>44650</v>
      </c>
      <c r="C1800" s="5"/>
      <c r="D1800" s="5"/>
      <c r="E1800" s="5"/>
      <c r="F1800" s="22">
        <f>IFERROR(__xludf.DUMMYFUNCTION("""COMPUTED_VALUE"""),-336.6844999999157)</f>
        <v>-336.6845</v>
      </c>
      <c r="G1800" s="22">
        <f>IFERROR(__xludf.DUMMYFUNCTION("""COMPUTED_VALUE"""),336.6844999999157)</f>
        <v>336.6845</v>
      </c>
      <c r="H1800" s="22">
        <f>IFERROR(__xludf.DUMMYFUNCTION("""COMPUTED_VALUE"""),538208.86335)</f>
        <v>538208.8634</v>
      </c>
      <c r="I1800" s="24">
        <f>IFERROR(__xludf.DUMMYFUNCTION("""COMPUTED_VALUE"""),0.07641772669999991)</f>
        <v>0.0764177267</v>
      </c>
    </row>
    <row r="1801">
      <c r="A1801" s="5" t="str">
        <f>IFERROR(__xludf.DUMMYFUNCTION("""COMPUTED_VALUE"""),"38093")</f>
        <v>38093</v>
      </c>
      <c r="B1801" s="64">
        <f>IFERROR(__xludf.DUMMYFUNCTION("""COMPUTED_VALUE"""),44651.0)</f>
        <v>44651</v>
      </c>
      <c r="C1801" s="5"/>
      <c r="D1801" s="5"/>
      <c r="E1801" s="5"/>
      <c r="F1801" s="22">
        <f>IFERROR(__xludf.DUMMYFUNCTION("""COMPUTED_VALUE"""),-336.6844999999157)</f>
        <v>-336.6845</v>
      </c>
      <c r="G1801" s="22">
        <f>IFERROR(__xludf.DUMMYFUNCTION("""COMPUTED_VALUE"""),336.6844999999157)</f>
        <v>336.6845</v>
      </c>
      <c r="H1801" s="22">
        <f>IFERROR(__xludf.DUMMYFUNCTION("""COMPUTED_VALUE"""),527856.4499625)</f>
        <v>527856.45</v>
      </c>
      <c r="I1801" s="24">
        <f>IFERROR(__xludf.DUMMYFUNCTION("""COMPUTED_VALUE"""),0.05571289992500006)</f>
        <v>0.05571289993</v>
      </c>
    </row>
    <row r="1802">
      <c r="A1802" s="5" t="str">
        <f>IFERROR(__xludf.DUMMYFUNCTION("""COMPUTED_VALUE"""),"38093")</f>
        <v>38093</v>
      </c>
      <c r="B1802" s="64">
        <f>IFERROR(__xludf.DUMMYFUNCTION("""COMPUTED_VALUE"""),44652.0)</f>
        <v>44652</v>
      </c>
      <c r="C1802" s="5"/>
      <c r="D1802" s="5"/>
      <c r="E1802" s="5"/>
      <c r="F1802" s="22">
        <f>IFERROR(__xludf.DUMMYFUNCTION("""COMPUTED_VALUE"""),-336.6844999999157)</f>
        <v>-336.6845</v>
      </c>
      <c r="G1802" s="22">
        <f>IFERROR(__xludf.DUMMYFUNCTION("""COMPUTED_VALUE"""),336.6844999999157)</f>
        <v>336.6845</v>
      </c>
      <c r="H1802" s="22">
        <f>IFERROR(__xludf.DUMMYFUNCTION("""COMPUTED_VALUE"""),530345.5638125)</f>
        <v>530345.5638</v>
      </c>
      <c r="I1802" s="24">
        <f>IFERROR(__xludf.DUMMYFUNCTION("""COMPUTED_VALUE"""),0.06069112762499995)</f>
        <v>0.06069112763</v>
      </c>
    </row>
    <row r="1803">
      <c r="A1803" s="5" t="str">
        <f>IFERROR(__xludf.DUMMYFUNCTION("""COMPUTED_VALUE"""),"38093")</f>
        <v>38093</v>
      </c>
      <c r="B1803" s="64">
        <f>IFERROR(__xludf.DUMMYFUNCTION("""COMPUTED_VALUE"""),44653.0)</f>
        <v>44653</v>
      </c>
      <c r="C1803" s="5"/>
      <c r="D1803" s="5"/>
      <c r="E1803" s="5"/>
      <c r="F1803" s="22">
        <f>IFERROR(__xludf.DUMMYFUNCTION("""COMPUTED_VALUE"""),-336.6844999999157)</f>
        <v>-336.6845</v>
      </c>
      <c r="G1803" s="22">
        <f>IFERROR(__xludf.DUMMYFUNCTION("""COMPUTED_VALUE"""),336.6844999999157)</f>
        <v>336.6845</v>
      </c>
      <c r="H1803" s="22">
        <f>IFERROR(__xludf.DUMMYFUNCTION("""COMPUTED_VALUE"""),530365.0638125)</f>
        <v>530365.0638</v>
      </c>
      <c r="I1803" s="24">
        <f>IFERROR(__xludf.DUMMYFUNCTION("""COMPUTED_VALUE"""),0.060730127625000074)</f>
        <v>0.06073012763</v>
      </c>
    </row>
    <row r="1804">
      <c r="A1804" s="5" t="str">
        <f>IFERROR(__xludf.DUMMYFUNCTION("""COMPUTED_VALUE"""),"38093")</f>
        <v>38093</v>
      </c>
      <c r="B1804" s="64">
        <f>IFERROR(__xludf.DUMMYFUNCTION("""COMPUTED_VALUE"""),44654.0)</f>
        <v>44654</v>
      </c>
      <c r="C1804" s="5"/>
      <c r="D1804" s="5"/>
      <c r="E1804" s="5"/>
      <c r="F1804" s="22">
        <f>IFERROR(__xludf.DUMMYFUNCTION("""COMPUTED_VALUE"""),-336.6844999999157)</f>
        <v>-336.6845</v>
      </c>
      <c r="G1804" s="22">
        <f>IFERROR(__xludf.DUMMYFUNCTION("""COMPUTED_VALUE"""),336.6844999999157)</f>
        <v>336.6845</v>
      </c>
      <c r="H1804" s="22">
        <f>IFERROR(__xludf.DUMMYFUNCTION("""COMPUTED_VALUE"""),530365.0638125)</f>
        <v>530365.0638</v>
      </c>
      <c r="I1804" s="24">
        <f>IFERROR(__xludf.DUMMYFUNCTION("""COMPUTED_VALUE"""),0.060730127625000074)</f>
        <v>0.06073012763</v>
      </c>
    </row>
    <row r="1805">
      <c r="A1805" s="5" t="str">
        <f>IFERROR(__xludf.DUMMYFUNCTION("""COMPUTED_VALUE"""),"38093")</f>
        <v>38093</v>
      </c>
      <c r="B1805" s="64">
        <f>IFERROR(__xludf.DUMMYFUNCTION("""COMPUTED_VALUE"""),44655.0)</f>
        <v>44655</v>
      </c>
      <c r="C1805" s="5"/>
      <c r="D1805" s="5"/>
      <c r="E1805" s="5"/>
      <c r="F1805" s="22">
        <f>IFERROR(__xludf.DUMMYFUNCTION("""COMPUTED_VALUE"""),-336.6844999999157)</f>
        <v>-336.6845</v>
      </c>
      <c r="G1805" s="22">
        <f>IFERROR(__xludf.DUMMYFUNCTION("""COMPUTED_VALUE"""),336.6844999999157)</f>
        <v>336.6845</v>
      </c>
      <c r="H1805" s="22">
        <f>IFERROR(__xludf.DUMMYFUNCTION("""COMPUTED_VALUE"""),556091.8637625)</f>
        <v>556091.8638</v>
      </c>
      <c r="I1805" s="24">
        <f>IFERROR(__xludf.DUMMYFUNCTION("""COMPUTED_VALUE"""),0.11218372752499994)</f>
        <v>0.1121837275</v>
      </c>
    </row>
    <row r="1806">
      <c r="A1806" s="5" t="str">
        <f>IFERROR(__xludf.DUMMYFUNCTION("""COMPUTED_VALUE"""),"38093")</f>
        <v>38093</v>
      </c>
      <c r="B1806" s="64">
        <f>IFERROR(__xludf.DUMMYFUNCTION("""COMPUTED_VALUE"""),44656.0)</f>
        <v>44656</v>
      </c>
      <c r="C1806" s="5"/>
      <c r="D1806" s="5"/>
      <c r="E1806" s="5"/>
      <c r="F1806" s="22">
        <f>IFERROR(__xludf.DUMMYFUNCTION("""COMPUTED_VALUE"""),-336.6844999999157)</f>
        <v>-336.6845</v>
      </c>
      <c r="G1806" s="22">
        <f>IFERROR(__xludf.DUMMYFUNCTION("""COMPUTED_VALUE"""),336.6844999999157)</f>
        <v>336.6845</v>
      </c>
      <c r="H1806" s="22">
        <f>IFERROR(__xludf.DUMMYFUNCTION("""COMPUTED_VALUE"""),534691.0114525)</f>
        <v>534691.0115</v>
      </c>
      <c r="I1806" s="24">
        <f>IFERROR(__xludf.DUMMYFUNCTION("""COMPUTED_VALUE"""),0.06938202290499995)</f>
        <v>0.06938202291</v>
      </c>
    </row>
    <row r="1807">
      <c r="A1807" s="5" t="str">
        <f>IFERROR(__xludf.DUMMYFUNCTION("""COMPUTED_VALUE"""),"38093")</f>
        <v>38093</v>
      </c>
      <c r="B1807" s="64">
        <f>IFERROR(__xludf.DUMMYFUNCTION("""COMPUTED_VALUE"""),44657.0)</f>
        <v>44657</v>
      </c>
      <c r="C1807" s="5"/>
      <c r="D1807" s="5"/>
      <c r="E1807" s="5"/>
      <c r="F1807" s="22">
        <f>IFERROR(__xludf.DUMMYFUNCTION("""COMPUTED_VALUE"""),-336.6844999999157)</f>
        <v>-336.6845</v>
      </c>
      <c r="G1807" s="22">
        <f>IFERROR(__xludf.DUMMYFUNCTION("""COMPUTED_VALUE"""),336.6844999999157)</f>
        <v>336.6845</v>
      </c>
      <c r="H1807" s="22">
        <f>IFERROR(__xludf.DUMMYFUNCTION("""COMPUTED_VALUE"""),515529.126105)</f>
        <v>515529.1261</v>
      </c>
      <c r="I1807" s="24">
        <f>IFERROR(__xludf.DUMMYFUNCTION("""COMPUTED_VALUE"""),0.031058252210000026)</f>
        <v>0.03105825221</v>
      </c>
    </row>
    <row r="1808">
      <c r="A1808" s="5" t="str">
        <f>IFERROR(__xludf.DUMMYFUNCTION("""COMPUTED_VALUE"""),"38093")</f>
        <v>38093</v>
      </c>
      <c r="B1808" s="64">
        <f>IFERROR(__xludf.DUMMYFUNCTION("""COMPUTED_VALUE"""),44658.0)</f>
        <v>44658</v>
      </c>
      <c r="C1808" s="5"/>
      <c r="D1808" s="5"/>
      <c r="E1808" s="5"/>
      <c r="F1808" s="22">
        <f>IFERROR(__xludf.DUMMYFUNCTION("""COMPUTED_VALUE"""),-336.6844999999157)</f>
        <v>-336.6845</v>
      </c>
      <c r="G1808" s="22">
        <f>IFERROR(__xludf.DUMMYFUNCTION("""COMPUTED_VALUE"""),336.6844999999157)</f>
        <v>336.6845</v>
      </c>
      <c r="H1808" s="22">
        <f>IFERROR(__xludf.DUMMYFUNCTION("""COMPUTED_VALUE"""),519159.9786825)</f>
        <v>519159.9787</v>
      </c>
      <c r="I1808" s="24">
        <f>IFERROR(__xludf.DUMMYFUNCTION("""COMPUTED_VALUE"""),0.038319957364999935)</f>
        <v>0.03831995736</v>
      </c>
    </row>
    <row r="1809">
      <c r="A1809" s="5" t="str">
        <f>IFERROR(__xludf.DUMMYFUNCTION("""COMPUTED_VALUE"""),"38093")</f>
        <v>38093</v>
      </c>
      <c r="B1809" s="64">
        <f>IFERROR(__xludf.DUMMYFUNCTION("""COMPUTED_VALUE"""),44659.0)</f>
        <v>44659</v>
      </c>
      <c r="C1809" s="5"/>
      <c r="D1809" s="5"/>
      <c r="E1809" s="5"/>
      <c r="F1809" s="22">
        <f>IFERROR(__xludf.DUMMYFUNCTION("""COMPUTED_VALUE"""),-336.6844999999157)</f>
        <v>-336.6845</v>
      </c>
      <c r="G1809" s="22">
        <f>IFERROR(__xludf.DUMMYFUNCTION("""COMPUTED_VALUE"""),336.6844999999157)</f>
        <v>336.6845</v>
      </c>
      <c r="H1809" s="22">
        <f>IFERROR(__xludf.DUMMYFUNCTION("""COMPUTED_VALUE"""),505641.61274)</f>
        <v>505641.6127</v>
      </c>
      <c r="I1809" s="24">
        <f>IFERROR(__xludf.DUMMYFUNCTION("""COMPUTED_VALUE"""),0.011283225479999937)</f>
        <v>0.01128322548</v>
      </c>
    </row>
    <row r="1810">
      <c r="A1810" s="5" t="str">
        <f>IFERROR(__xludf.DUMMYFUNCTION("""COMPUTED_VALUE"""),"38093")</f>
        <v>38093</v>
      </c>
      <c r="B1810" s="64">
        <f>IFERROR(__xludf.DUMMYFUNCTION("""COMPUTED_VALUE"""),44660.0)</f>
        <v>44660</v>
      </c>
      <c r="C1810" s="5"/>
      <c r="D1810" s="5"/>
      <c r="E1810" s="5"/>
      <c r="F1810" s="22">
        <f>IFERROR(__xludf.DUMMYFUNCTION("""COMPUTED_VALUE"""),-336.6844999999157)</f>
        <v>-336.6845</v>
      </c>
      <c r="G1810" s="22">
        <f>IFERROR(__xludf.DUMMYFUNCTION("""COMPUTED_VALUE"""),336.6844999999157)</f>
        <v>336.6845</v>
      </c>
      <c r="H1810" s="22">
        <f>IFERROR(__xludf.DUMMYFUNCTION("""COMPUTED_VALUE"""),505641.61274)</f>
        <v>505641.6127</v>
      </c>
      <c r="I1810" s="24">
        <f>IFERROR(__xludf.DUMMYFUNCTION("""COMPUTED_VALUE"""),0.011283225479999937)</f>
        <v>0.01128322548</v>
      </c>
    </row>
    <row r="1811">
      <c r="A1811" s="5" t="str">
        <f>IFERROR(__xludf.DUMMYFUNCTION("""COMPUTED_VALUE"""),"38093")</f>
        <v>38093</v>
      </c>
      <c r="B1811" s="64">
        <f>IFERROR(__xludf.DUMMYFUNCTION("""COMPUTED_VALUE"""),44661.0)</f>
        <v>44661</v>
      </c>
      <c r="C1811" s="5"/>
      <c r="D1811" s="5"/>
      <c r="E1811" s="5"/>
      <c r="F1811" s="22">
        <f>IFERROR(__xludf.DUMMYFUNCTION("""COMPUTED_VALUE"""),-336.6844999999157)</f>
        <v>-336.6845</v>
      </c>
      <c r="G1811" s="22">
        <f>IFERROR(__xludf.DUMMYFUNCTION("""COMPUTED_VALUE"""),336.6844999999157)</f>
        <v>336.6845</v>
      </c>
      <c r="H1811" s="22">
        <f>IFERROR(__xludf.DUMMYFUNCTION("""COMPUTED_VALUE"""),505641.61274)</f>
        <v>505641.6127</v>
      </c>
      <c r="I1811" s="24">
        <f>IFERROR(__xludf.DUMMYFUNCTION("""COMPUTED_VALUE"""),0.011283225479999937)</f>
        <v>0.01128322548</v>
      </c>
    </row>
    <row r="1812">
      <c r="A1812" s="5" t="str">
        <f>IFERROR(__xludf.DUMMYFUNCTION("""COMPUTED_VALUE"""),"38093")</f>
        <v>38093</v>
      </c>
      <c r="B1812" s="64">
        <f>IFERROR(__xludf.DUMMYFUNCTION("""COMPUTED_VALUE"""),44662.0)</f>
        <v>44662</v>
      </c>
      <c r="C1812" s="5"/>
      <c r="D1812" s="5"/>
      <c r="E1812" s="5"/>
      <c r="F1812" s="22">
        <f>IFERROR(__xludf.DUMMYFUNCTION("""COMPUTED_VALUE"""),-336.6844999999157)</f>
        <v>-336.6845</v>
      </c>
      <c r="G1812" s="22">
        <f>IFERROR(__xludf.DUMMYFUNCTION("""COMPUTED_VALUE"""),336.6844999999157)</f>
        <v>336.6845</v>
      </c>
      <c r="H1812" s="22">
        <f>IFERROR(__xludf.DUMMYFUNCTION("""COMPUTED_VALUE"""),483961.42686)</f>
        <v>483961.4269</v>
      </c>
      <c r="I1812" s="24">
        <f>IFERROR(__xludf.DUMMYFUNCTION("""COMPUTED_VALUE"""),-0.032077146280000024)</f>
        <v>-0.03207714628</v>
      </c>
    </row>
    <row r="1813">
      <c r="A1813" s="5" t="str">
        <f>IFERROR(__xludf.DUMMYFUNCTION("""COMPUTED_VALUE"""),"38093")</f>
        <v>38093</v>
      </c>
      <c r="B1813" s="64">
        <f>IFERROR(__xludf.DUMMYFUNCTION("""COMPUTED_VALUE"""),44663.0)</f>
        <v>44663</v>
      </c>
      <c r="C1813" s="5"/>
      <c r="D1813" s="5"/>
      <c r="E1813" s="5"/>
      <c r="F1813" s="22">
        <f>IFERROR(__xludf.DUMMYFUNCTION("""COMPUTED_VALUE"""),-336.6844999999157)</f>
        <v>-336.6845</v>
      </c>
      <c r="G1813" s="22">
        <f>IFERROR(__xludf.DUMMYFUNCTION("""COMPUTED_VALUE"""),336.6844999999157)</f>
        <v>336.6845</v>
      </c>
      <c r="H1813" s="22">
        <f>IFERROR(__xludf.DUMMYFUNCTION("""COMPUTED_VALUE"""),489405.08597499994)</f>
        <v>489405.086</v>
      </c>
      <c r="I1813" s="24">
        <f>IFERROR(__xludf.DUMMYFUNCTION("""COMPUTED_VALUE"""),-0.021189828050000137)</f>
        <v>-0.02118982805</v>
      </c>
    </row>
    <row r="1814">
      <c r="A1814" s="5" t="str">
        <f>IFERROR(__xludf.DUMMYFUNCTION("""COMPUTED_VALUE"""),"38105")</f>
        <v>38105</v>
      </c>
      <c r="B1814" s="64">
        <f>IFERROR(__xludf.DUMMYFUNCTION("""COMPUTED_VALUE"""),44597.0)</f>
        <v>44597</v>
      </c>
      <c r="C1814" s="5"/>
      <c r="D1814" s="5"/>
      <c r="E1814" s="5"/>
      <c r="F1814" s="22">
        <f>IFERROR(__xludf.DUMMYFUNCTION("""COMPUTED_VALUE"""),500000.0)</f>
        <v>500000</v>
      </c>
      <c r="G1814" s="22">
        <f>IFERROR(__xludf.DUMMYFUNCTION("""COMPUTED_VALUE"""),0.0)</f>
        <v>0</v>
      </c>
      <c r="H1814" s="22">
        <f>IFERROR(__xludf.DUMMYFUNCTION("""COMPUTED_VALUE"""),500000.0)</f>
        <v>500000</v>
      </c>
      <c r="I1814" s="24">
        <f>IFERROR(__xludf.DUMMYFUNCTION("""COMPUTED_VALUE"""),0.0)</f>
        <v>0</v>
      </c>
    </row>
    <row r="1815">
      <c r="A1815" s="5" t="str">
        <f>IFERROR(__xludf.DUMMYFUNCTION("""COMPUTED_VALUE"""),"38105")</f>
        <v>38105</v>
      </c>
      <c r="B1815" s="64">
        <f>IFERROR(__xludf.DUMMYFUNCTION("""COMPUTED_VALUE"""),44598.0)</f>
        <v>44598</v>
      </c>
      <c r="C1815" s="5"/>
      <c r="D1815" s="5"/>
      <c r="E1815" s="5"/>
      <c r="F1815" s="22">
        <f>IFERROR(__xludf.DUMMYFUNCTION("""COMPUTED_VALUE"""),500000.0)</f>
        <v>500000</v>
      </c>
      <c r="G1815" s="22">
        <f>IFERROR(__xludf.DUMMYFUNCTION("""COMPUTED_VALUE"""),0.0)</f>
        <v>0</v>
      </c>
      <c r="H1815" s="22">
        <f>IFERROR(__xludf.DUMMYFUNCTION("""COMPUTED_VALUE"""),500000.0)</f>
        <v>500000</v>
      </c>
      <c r="I1815" s="24">
        <f>IFERROR(__xludf.DUMMYFUNCTION("""COMPUTED_VALUE"""),0.0)</f>
        <v>0</v>
      </c>
    </row>
    <row r="1816">
      <c r="A1816" s="5" t="str">
        <f>IFERROR(__xludf.DUMMYFUNCTION("""COMPUTED_VALUE"""),"38105")</f>
        <v>38105</v>
      </c>
      <c r="B1816" s="64">
        <f>IFERROR(__xludf.DUMMYFUNCTION("""COMPUTED_VALUE"""),44599.0)</f>
        <v>44599</v>
      </c>
      <c r="C1816" s="5"/>
      <c r="D1816" s="5"/>
      <c r="E1816" s="5"/>
      <c r="F1816" s="22">
        <f>IFERROR(__xludf.DUMMYFUNCTION("""COMPUTED_VALUE"""),500000.0)</f>
        <v>500000</v>
      </c>
      <c r="G1816" s="22">
        <f>IFERROR(__xludf.DUMMYFUNCTION("""COMPUTED_VALUE"""),0.0)</f>
        <v>0</v>
      </c>
      <c r="H1816" s="22">
        <f>IFERROR(__xludf.DUMMYFUNCTION("""COMPUTED_VALUE"""),500000.0)</f>
        <v>500000</v>
      </c>
      <c r="I1816" s="24">
        <f>IFERROR(__xludf.DUMMYFUNCTION("""COMPUTED_VALUE"""),0.0)</f>
        <v>0</v>
      </c>
    </row>
    <row r="1817">
      <c r="A1817" s="5" t="str">
        <f>IFERROR(__xludf.DUMMYFUNCTION("""COMPUTED_VALUE"""),"38105")</f>
        <v>38105</v>
      </c>
      <c r="B1817" s="64">
        <f>IFERROR(__xludf.DUMMYFUNCTION("""COMPUTED_VALUE"""),44600.0)</f>
        <v>44600</v>
      </c>
      <c r="C1817" s="5"/>
      <c r="D1817" s="5"/>
      <c r="E1817" s="5"/>
      <c r="F1817" s="22">
        <f>IFERROR(__xludf.DUMMYFUNCTION("""COMPUTED_VALUE"""),500000.0)</f>
        <v>500000</v>
      </c>
      <c r="G1817" s="22">
        <f>IFERROR(__xludf.DUMMYFUNCTION("""COMPUTED_VALUE"""),0.0)</f>
        <v>0</v>
      </c>
      <c r="H1817" s="22">
        <f>IFERROR(__xludf.DUMMYFUNCTION("""COMPUTED_VALUE"""),500000.0)</f>
        <v>500000</v>
      </c>
      <c r="I1817" s="24">
        <f>IFERROR(__xludf.DUMMYFUNCTION("""COMPUTED_VALUE"""),0.0)</f>
        <v>0</v>
      </c>
    </row>
    <row r="1818">
      <c r="A1818" s="5" t="str">
        <f>IFERROR(__xludf.DUMMYFUNCTION("""COMPUTED_VALUE"""),"38105")</f>
        <v>38105</v>
      </c>
      <c r="B1818" s="64">
        <f>IFERROR(__xludf.DUMMYFUNCTION("""COMPUTED_VALUE"""),44601.0)</f>
        <v>44601</v>
      </c>
      <c r="C1818" s="5"/>
      <c r="D1818" s="5"/>
      <c r="E1818" s="5"/>
      <c r="F1818" s="22">
        <f>IFERROR(__xludf.DUMMYFUNCTION("""COMPUTED_VALUE"""),500000.0)</f>
        <v>500000</v>
      </c>
      <c r="G1818" s="22">
        <f>IFERROR(__xludf.DUMMYFUNCTION("""COMPUTED_VALUE"""),0.0)</f>
        <v>0</v>
      </c>
      <c r="H1818" s="22">
        <f>IFERROR(__xludf.DUMMYFUNCTION("""COMPUTED_VALUE"""),500000.0)</f>
        <v>500000</v>
      </c>
      <c r="I1818" s="24">
        <f>IFERROR(__xludf.DUMMYFUNCTION("""COMPUTED_VALUE"""),0.0)</f>
        <v>0</v>
      </c>
    </row>
    <row r="1819">
      <c r="A1819" s="5" t="str">
        <f>IFERROR(__xludf.DUMMYFUNCTION("""COMPUTED_VALUE"""),"38105")</f>
        <v>38105</v>
      </c>
      <c r="B1819" s="64">
        <f>IFERROR(__xludf.DUMMYFUNCTION("""COMPUTED_VALUE"""),44602.0)</f>
        <v>44602</v>
      </c>
      <c r="C1819" s="5"/>
      <c r="D1819" s="5"/>
      <c r="E1819" s="5"/>
      <c r="F1819" s="22">
        <f>IFERROR(__xludf.DUMMYFUNCTION("""COMPUTED_VALUE"""),500000.0)</f>
        <v>500000</v>
      </c>
      <c r="G1819" s="22">
        <f>IFERROR(__xludf.DUMMYFUNCTION("""COMPUTED_VALUE"""),0.0)</f>
        <v>0</v>
      </c>
      <c r="H1819" s="22">
        <f>IFERROR(__xludf.DUMMYFUNCTION("""COMPUTED_VALUE"""),500000.0)</f>
        <v>500000</v>
      </c>
      <c r="I1819" s="24">
        <f>IFERROR(__xludf.DUMMYFUNCTION("""COMPUTED_VALUE"""),0.0)</f>
        <v>0</v>
      </c>
    </row>
    <row r="1820">
      <c r="A1820" s="5" t="str">
        <f>IFERROR(__xludf.DUMMYFUNCTION("""COMPUTED_VALUE"""),"38105")</f>
        <v>38105</v>
      </c>
      <c r="B1820" s="64">
        <f>IFERROR(__xludf.DUMMYFUNCTION("""COMPUTED_VALUE"""),44603.0)</f>
        <v>44603</v>
      </c>
      <c r="C1820" s="5"/>
      <c r="D1820" s="5"/>
      <c r="E1820" s="5"/>
      <c r="F1820" s="22">
        <f>IFERROR(__xludf.DUMMYFUNCTION("""COMPUTED_VALUE"""),500000.0)</f>
        <v>500000</v>
      </c>
      <c r="G1820" s="22">
        <f>IFERROR(__xludf.DUMMYFUNCTION("""COMPUTED_VALUE"""),0.0)</f>
        <v>0</v>
      </c>
      <c r="H1820" s="22">
        <f>IFERROR(__xludf.DUMMYFUNCTION("""COMPUTED_VALUE"""),500000.0)</f>
        <v>500000</v>
      </c>
      <c r="I1820" s="24">
        <f>IFERROR(__xludf.DUMMYFUNCTION("""COMPUTED_VALUE"""),0.0)</f>
        <v>0</v>
      </c>
    </row>
    <row r="1821">
      <c r="A1821" s="5" t="str">
        <f>IFERROR(__xludf.DUMMYFUNCTION("""COMPUTED_VALUE"""),"38105")</f>
        <v>38105</v>
      </c>
      <c r="B1821" s="64">
        <f>IFERROR(__xludf.DUMMYFUNCTION("""COMPUTED_VALUE"""),44604.0)</f>
        <v>44604</v>
      </c>
      <c r="C1821" s="5"/>
      <c r="D1821" s="5"/>
      <c r="E1821" s="5"/>
      <c r="F1821" s="22">
        <f>IFERROR(__xludf.DUMMYFUNCTION("""COMPUTED_VALUE"""),500000.0)</f>
        <v>500000</v>
      </c>
      <c r="G1821" s="22">
        <f>IFERROR(__xludf.DUMMYFUNCTION("""COMPUTED_VALUE"""),0.0)</f>
        <v>0</v>
      </c>
      <c r="H1821" s="22">
        <f>IFERROR(__xludf.DUMMYFUNCTION("""COMPUTED_VALUE"""),500000.0)</f>
        <v>500000</v>
      </c>
      <c r="I1821" s="24">
        <f>IFERROR(__xludf.DUMMYFUNCTION("""COMPUTED_VALUE"""),0.0)</f>
        <v>0</v>
      </c>
    </row>
    <row r="1822">
      <c r="A1822" s="5" t="str">
        <f>IFERROR(__xludf.DUMMYFUNCTION("""COMPUTED_VALUE"""),"38105")</f>
        <v>38105</v>
      </c>
      <c r="B1822" s="64">
        <f>IFERROR(__xludf.DUMMYFUNCTION("""COMPUTED_VALUE"""),44605.0)</f>
        <v>44605</v>
      </c>
      <c r="C1822" s="5"/>
      <c r="D1822" s="5"/>
      <c r="E1822" s="5"/>
      <c r="F1822" s="22">
        <f>IFERROR(__xludf.DUMMYFUNCTION("""COMPUTED_VALUE"""),500000.0)</f>
        <v>500000</v>
      </c>
      <c r="G1822" s="22">
        <f>IFERROR(__xludf.DUMMYFUNCTION("""COMPUTED_VALUE"""),0.0)</f>
        <v>0</v>
      </c>
      <c r="H1822" s="22">
        <f>IFERROR(__xludf.DUMMYFUNCTION("""COMPUTED_VALUE"""),500000.0)</f>
        <v>500000</v>
      </c>
      <c r="I1822" s="24">
        <f>IFERROR(__xludf.DUMMYFUNCTION("""COMPUTED_VALUE"""),0.0)</f>
        <v>0</v>
      </c>
    </row>
    <row r="1823">
      <c r="A1823" s="5" t="str">
        <f>IFERROR(__xludf.DUMMYFUNCTION("""COMPUTED_VALUE"""),"38105")</f>
        <v>38105</v>
      </c>
      <c r="B1823" s="64">
        <f>IFERROR(__xludf.DUMMYFUNCTION("""COMPUTED_VALUE"""),44606.0)</f>
        <v>44606</v>
      </c>
      <c r="C1823" s="5"/>
      <c r="D1823" s="5"/>
      <c r="E1823" s="5"/>
      <c r="F1823" s="22">
        <f>IFERROR(__xludf.DUMMYFUNCTION("""COMPUTED_VALUE"""),500000.0)</f>
        <v>500000</v>
      </c>
      <c r="G1823" s="22">
        <f>IFERROR(__xludf.DUMMYFUNCTION("""COMPUTED_VALUE"""),0.0)</f>
        <v>0</v>
      </c>
      <c r="H1823" s="22">
        <f>IFERROR(__xludf.DUMMYFUNCTION("""COMPUTED_VALUE"""),500000.0)</f>
        <v>500000</v>
      </c>
      <c r="I1823" s="24">
        <f>IFERROR(__xludf.DUMMYFUNCTION("""COMPUTED_VALUE"""),0.0)</f>
        <v>0</v>
      </c>
    </row>
    <row r="1824">
      <c r="A1824" s="5" t="str">
        <f>IFERROR(__xludf.DUMMYFUNCTION("""COMPUTED_VALUE"""),"38105")</f>
        <v>38105</v>
      </c>
      <c r="B1824" s="64">
        <f>IFERROR(__xludf.DUMMYFUNCTION("""COMPUTED_VALUE"""),44607.0)</f>
        <v>44607</v>
      </c>
      <c r="C1824" s="5"/>
      <c r="D1824" s="5"/>
      <c r="E1824" s="5"/>
      <c r="F1824" s="22">
        <f>IFERROR(__xludf.DUMMYFUNCTION("""COMPUTED_VALUE"""),500000.0)</f>
        <v>500000</v>
      </c>
      <c r="G1824" s="22">
        <f>IFERROR(__xludf.DUMMYFUNCTION("""COMPUTED_VALUE"""),0.0)</f>
        <v>0</v>
      </c>
      <c r="H1824" s="22">
        <f>IFERROR(__xludf.DUMMYFUNCTION("""COMPUTED_VALUE"""),500000.0)</f>
        <v>500000</v>
      </c>
      <c r="I1824" s="24">
        <f>IFERROR(__xludf.DUMMYFUNCTION("""COMPUTED_VALUE"""),0.0)</f>
        <v>0</v>
      </c>
    </row>
    <row r="1825">
      <c r="A1825" s="5" t="str">
        <f>IFERROR(__xludf.DUMMYFUNCTION("""COMPUTED_VALUE"""),"38105")</f>
        <v>38105</v>
      </c>
      <c r="B1825" s="64">
        <f>IFERROR(__xludf.DUMMYFUNCTION("""COMPUTED_VALUE"""),44608.0)</f>
        <v>44608</v>
      </c>
      <c r="C1825" s="5"/>
      <c r="D1825" s="5"/>
      <c r="E1825" s="5"/>
      <c r="F1825" s="22">
        <f>IFERROR(__xludf.DUMMYFUNCTION("""COMPUTED_VALUE"""),500000.0)</f>
        <v>500000</v>
      </c>
      <c r="G1825" s="22">
        <f>IFERROR(__xludf.DUMMYFUNCTION("""COMPUTED_VALUE"""),0.0)</f>
        <v>0</v>
      </c>
      <c r="H1825" s="22">
        <f>IFERROR(__xludf.DUMMYFUNCTION("""COMPUTED_VALUE"""),500000.0)</f>
        <v>500000</v>
      </c>
      <c r="I1825" s="24">
        <f>IFERROR(__xludf.DUMMYFUNCTION("""COMPUTED_VALUE"""),0.0)</f>
        <v>0</v>
      </c>
    </row>
    <row r="1826">
      <c r="A1826" s="5" t="str">
        <f>IFERROR(__xludf.DUMMYFUNCTION("""COMPUTED_VALUE"""),"38105")</f>
        <v>38105</v>
      </c>
      <c r="B1826" s="64">
        <f>IFERROR(__xludf.DUMMYFUNCTION("""COMPUTED_VALUE"""),44609.0)</f>
        <v>44609</v>
      </c>
      <c r="C1826" s="5"/>
      <c r="D1826" s="5"/>
      <c r="E1826" s="5"/>
      <c r="F1826" s="22">
        <f>IFERROR(__xludf.DUMMYFUNCTION("""COMPUTED_VALUE"""),500000.0)</f>
        <v>500000</v>
      </c>
      <c r="G1826" s="22">
        <f>IFERROR(__xludf.DUMMYFUNCTION("""COMPUTED_VALUE"""),0.0)</f>
        <v>0</v>
      </c>
      <c r="H1826" s="22">
        <f>IFERROR(__xludf.DUMMYFUNCTION("""COMPUTED_VALUE"""),500000.0)</f>
        <v>500000</v>
      </c>
      <c r="I1826" s="24">
        <f>IFERROR(__xludf.DUMMYFUNCTION("""COMPUTED_VALUE"""),0.0)</f>
        <v>0</v>
      </c>
    </row>
    <row r="1827">
      <c r="A1827" s="5" t="str">
        <f>IFERROR(__xludf.DUMMYFUNCTION("""COMPUTED_VALUE"""),"38105")</f>
        <v>38105</v>
      </c>
      <c r="B1827" s="64">
        <f>IFERROR(__xludf.DUMMYFUNCTION("""COMPUTED_VALUE"""),44610.0)</f>
        <v>44610</v>
      </c>
      <c r="C1827" s="5"/>
      <c r="D1827" s="5"/>
      <c r="E1827" s="5"/>
      <c r="F1827" s="22">
        <f>IFERROR(__xludf.DUMMYFUNCTION("""COMPUTED_VALUE"""),500000.0)</f>
        <v>500000</v>
      </c>
      <c r="G1827" s="22">
        <f>IFERROR(__xludf.DUMMYFUNCTION("""COMPUTED_VALUE"""),0.0)</f>
        <v>0</v>
      </c>
      <c r="H1827" s="22">
        <f>IFERROR(__xludf.DUMMYFUNCTION("""COMPUTED_VALUE"""),500000.0)</f>
        <v>500000</v>
      </c>
      <c r="I1827" s="24">
        <f>IFERROR(__xludf.DUMMYFUNCTION("""COMPUTED_VALUE"""),0.0)</f>
        <v>0</v>
      </c>
    </row>
    <row r="1828">
      <c r="A1828" s="5" t="str">
        <f>IFERROR(__xludf.DUMMYFUNCTION("""COMPUTED_VALUE"""),"38105")</f>
        <v>38105</v>
      </c>
      <c r="B1828" s="64">
        <f>IFERROR(__xludf.DUMMYFUNCTION("""COMPUTED_VALUE"""),44611.0)</f>
        <v>44611</v>
      </c>
      <c r="C1828" s="5"/>
      <c r="D1828" s="5"/>
      <c r="E1828" s="5"/>
      <c r="F1828" s="22">
        <f>IFERROR(__xludf.DUMMYFUNCTION("""COMPUTED_VALUE"""),500000.0)</f>
        <v>500000</v>
      </c>
      <c r="G1828" s="22">
        <f>IFERROR(__xludf.DUMMYFUNCTION("""COMPUTED_VALUE"""),0.0)</f>
        <v>0</v>
      </c>
      <c r="H1828" s="22">
        <f>IFERROR(__xludf.DUMMYFUNCTION("""COMPUTED_VALUE"""),500000.0)</f>
        <v>500000</v>
      </c>
      <c r="I1828" s="24">
        <f>IFERROR(__xludf.DUMMYFUNCTION("""COMPUTED_VALUE"""),0.0)</f>
        <v>0</v>
      </c>
    </row>
    <row r="1829">
      <c r="A1829" s="5" t="str">
        <f>IFERROR(__xludf.DUMMYFUNCTION("""COMPUTED_VALUE"""),"38105")</f>
        <v>38105</v>
      </c>
      <c r="B1829" s="64">
        <f>IFERROR(__xludf.DUMMYFUNCTION("""COMPUTED_VALUE"""),44612.0)</f>
        <v>44612</v>
      </c>
      <c r="C1829" s="5"/>
      <c r="D1829" s="5"/>
      <c r="E1829" s="5"/>
      <c r="F1829" s="22">
        <f>IFERROR(__xludf.DUMMYFUNCTION("""COMPUTED_VALUE"""),500000.0)</f>
        <v>500000</v>
      </c>
      <c r="G1829" s="22">
        <f>IFERROR(__xludf.DUMMYFUNCTION("""COMPUTED_VALUE"""),0.0)</f>
        <v>0</v>
      </c>
      <c r="H1829" s="22">
        <f>IFERROR(__xludf.DUMMYFUNCTION("""COMPUTED_VALUE"""),500000.0)</f>
        <v>500000</v>
      </c>
      <c r="I1829" s="24">
        <f>IFERROR(__xludf.DUMMYFUNCTION("""COMPUTED_VALUE"""),0.0)</f>
        <v>0</v>
      </c>
    </row>
    <row r="1830">
      <c r="A1830" s="5" t="str">
        <f>IFERROR(__xludf.DUMMYFUNCTION("""COMPUTED_VALUE"""),"38105")</f>
        <v>38105</v>
      </c>
      <c r="B1830" s="64">
        <f>IFERROR(__xludf.DUMMYFUNCTION("""COMPUTED_VALUE"""),44613.0)</f>
        <v>44613</v>
      </c>
      <c r="C1830" s="5"/>
      <c r="D1830" s="5"/>
      <c r="E1830" s="5"/>
      <c r="F1830" s="22">
        <f>IFERROR(__xludf.DUMMYFUNCTION("""COMPUTED_VALUE"""),500000.0)</f>
        <v>500000</v>
      </c>
      <c r="G1830" s="22">
        <f>IFERROR(__xludf.DUMMYFUNCTION("""COMPUTED_VALUE"""),0.0)</f>
        <v>0</v>
      </c>
      <c r="H1830" s="22">
        <f>IFERROR(__xludf.DUMMYFUNCTION("""COMPUTED_VALUE"""),500000.0)</f>
        <v>500000</v>
      </c>
      <c r="I1830" s="24">
        <f>IFERROR(__xludf.DUMMYFUNCTION("""COMPUTED_VALUE"""),0.0)</f>
        <v>0</v>
      </c>
    </row>
    <row r="1831">
      <c r="A1831" s="5" t="str">
        <f>IFERROR(__xludf.DUMMYFUNCTION("""COMPUTED_VALUE"""),"38105")</f>
        <v>38105</v>
      </c>
      <c r="B1831" s="64">
        <f>IFERROR(__xludf.DUMMYFUNCTION("""COMPUTED_VALUE"""),44614.0)</f>
        <v>44614</v>
      </c>
      <c r="C1831" s="5"/>
      <c r="D1831" s="5"/>
      <c r="E1831" s="5"/>
      <c r="F1831" s="22">
        <f>IFERROR(__xludf.DUMMYFUNCTION("""COMPUTED_VALUE"""),500000.0)</f>
        <v>500000</v>
      </c>
      <c r="G1831" s="22">
        <f>IFERROR(__xludf.DUMMYFUNCTION("""COMPUTED_VALUE"""),0.0)</f>
        <v>0</v>
      </c>
      <c r="H1831" s="22">
        <f>IFERROR(__xludf.DUMMYFUNCTION("""COMPUTED_VALUE"""),500000.0)</f>
        <v>500000</v>
      </c>
      <c r="I1831" s="24">
        <f>IFERROR(__xludf.DUMMYFUNCTION("""COMPUTED_VALUE"""),0.0)</f>
        <v>0</v>
      </c>
    </row>
    <row r="1832">
      <c r="A1832" s="5" t="str">
        <f>IFERROR(__xludf.DUMMYFUNCTION("""COMPUTED_VALUE"""),"38105")</f>
        <v>38105</v>
      </c>
      <c r="B1832" s="64">
        <f>IFERROR(__xludf.DUMMYFUNCTION("""COMPUTED_VALUE"""),44615.0)</f>
        <v>44615</v>
      </c>
      <c r="C1832" s="5"/>
      <c r="D1832" s="5"/>
      <c r="E1832" s="5"/>
      <c r="F1832" s="22">
        <f>IFERROR(__xludf.DUMMYFUNCTION("""COMPUTED_VALUE"""),500000.0)</f>
        <v>500000</v>
      </c>
      <c r="G1832" s="22">
        <f>IFERROR(__xludf.DUMMYFUNCTION("""COMPUTED_VALUE"""),0.0)</f>
        <v>0</v>
      </c>
      <c r="H1832" s="22">
        <f>IFERROR(__xludf.DUMMYFUNCTION("""COMPUTED_VALUE"""),500000.0)</f>
        <v>500000</v>
      </c>
      <c r="I1832" s="24">
        <f>IFERROR(__xludf.DUMMYFUNCTION("""COMPUTED_VALUE"""),0.0)</f>
        <v>0</v>
      </c>
    </row>
    <row r="1833">
      <c r="A1833" s="5" t="str">
        <f>IFERROR(__xludf.DUMMYFUNCTION("""COMPUTED_VALUE"""),"38105")</f>
        <v>38105</v>
      </c>
      <c r="B1833" s="64">
        <f>IFERROR(__xludf.DUMMYFUNCTION("""COMPUTED_VALUE"""),44616.0)</f>
        <v>44616</v>
      </c>
      <c r="C1833" s="5"/>
      <c r="D1833" s="5"/>
      <c r="E1833" s="5"/>
      <c r="F1833" s="22">
        <f>IFERROR(__xludf.DUMMYFUNCTION("""COMPUTED_VALUE"""),500000.0)</f>
        <v>500000</v>
      </c>
      <c r="G1833" s="22">
        <f>IFERROR(__xludf.DUMMYFUNCTION("""COMPUTED_VALUE"""),0.0)</f>
        <v>0</v>
      </c>
      <c r="H1833" s="22">
        <f>IFERROR(__xludf.DUMMYFUNCTION("""COMPUTED_VALUE"""),500000.0)</f>
        <v>500000</v>
      </c>
      <c r="I1833" s="24">
        <f>IFERROR(__xludf.DUMMYFUNCTION("""COMPUTED_VALUE"""),0.0)</f>
        <v>0</v>
      </c>
    </row>
    <row r="1834">
      <c r="A1834" s="5" t="str">
        <f>IFERROR(__xludf.DUMMYFUNCTION("""COMPUTED_VALUE"""),"38105")</f>
        <v>38105</v>
      </c>
      <c r="B1834" s="64">
        <f>IFERROR(__xludf.DUMMYFUNCTION("""COMPUTED_VALUE"""),44617.0)</f>
        <v>44617</v>
      </c>
      <c r="C1834" s="5"/>
      <c r="D1834" s="5"/>
      <c r="E1834" s="5"/>
      <c r="F1834" s="22">
        <f>IFERROR(__xludf.DUMMYFUNCTION("""COMPUTED_VALUE"""),500000.0)</f>
        <v>500000</v>
      </c>
      <c r="G1834" s="22">
        <f>IFERROR(__xludf.DUMMYFUNCTION("""COMPUTED_VALUE"""),0.0)</f>
        <v>0</v>
      </c>
      <c r="H1834" s="22">
        <f>IFERROR(__xludf.DUMMYFUNCTION("""COMPUTED_VALUE"""),500000.0)</f>
        <v>500000</v>
      </c>
      <c r="I1834" s="24">
        <f>IFERROR(__xludf.DUMMYFUNCTION("""COMPUTED_VALUE"""),0.0)</f>
        <v>0</v>
      </c>
    </row>
    <row r="1835">
      <c r="A1835" s="5" t="str">
        <f>IFERROR(__xludf.DUMMYFUNCTION("""COMPUTED_VALUE"""),"38105")</f>
        <v>38105</v>
      </c>
      <c r="B1835" s="64">
        <f>IFERROR(__xludf.DUMMYFUNCTION("""COMPUTED_VALUE"""),44618.0)</f>
        <v>44618</v>
      </c>
      <c r="C1835" s="5"/>
      <c r="D1835" s="5"/>
      <c r="E1835" s="5"/>
      <c r="F1835" s="22">
        <f>IFERROR(__xludf.DUMMYFUNCTION("""COMPUTED_VALUE"""),500000.0)</f>
        <v>500000</v>
      </c>
      <c r="G1835" s="22">
        <f>IFERROR(__xludf.DUMMYFUNCTION("""COMPUTED_VALUE"""),0.0)</f>
        <v>0</v>
      </c>
      <c r="H1835" s="22">
        <f>IFERROR(__xludf.DUMMYFUNCTION("""COMPUTED_VALUE"""),500000.0)</f>
        <v>500000</v>
      </c>
      <c r="I1835" s="24">
        <f>IFERROR(__xludf.DUMMYFUNCTION("""COMPUTED_VALUE"""),0.0)</f>
        <v>0</v>
      </c>
    </row>
    <row r="1836">
      <c r="A1836" s="5" t="str">
        <f>IFERROR(__xludf.DUMMYFUNCTION("""COMPUTED_VALUE"""),"38105")</f>
        <v>38105</v>
      </c>
      <c r="B1836" s="64">
        <f>IFERROR(__xludf.DUMMYFUNCTION("""COMPUTED_VALUE"""),44619.0)</f>
        <v>44619</v>
      </c>
      <c r="C1836" s="5"/>
      <c r="D1836" s="5"/>
      <c r="E1836" s="5"/>
      <c r="F1836" s="22">
        <f>IFERROR(__xludf.DUMMYFUNCTION("""COMPUTED_VALUE"""),500000.0)</f>
        <v>500000</v>
      </c>
      <c r="G1836" s="22">
        <f>IFERROR(__xludf.DUMMYFUNCTION("""COMPUTED_VALUE"""),0.0)</f>
        <v>0</v>
      </c>
      <c r="H1836" s="22">
        <f>IFERROR(__xludf.DUMMYFUNCTION("""COMPUTED_VALUE"""),500000.0)</f>
        <v>500000</v>
      </c>
      <c r="I1836" s="24">
        <f>IFERROR(__xludf.DUMMYFUNCTION("""COMPUTED_VALUE"""),0.0)</f>
        <v>0</v>
      </c>
    </row>
    <row r="1837">
      <c r="A1837" s="5" t="str">
        <f>IFERROR(__xludf.DUMMYFUNCTION("""COMPUTED_VALUE"""),"38105")</f>
        <v>38105</v>
      </c>
      <c r="B1837" s="64">
        <f>IFERROR(__xludf.DUMMYFUNCTION("""COMPUTED_VALUE"""),44620.0)</f>
        <v>44620</v>
      </c>
      <c r="C1837" s="5"/>
      <c r="D1837" s="5"/>
      <c r="E1837" s="5"/>
      <c r="F1837" s="22">
        <f>IFERROR(__xludf.DUMMYFUNCTION("""COMPUTED_VALUE"""),500000.0)</f>
        <v>500000</v>
      </c>
      <c r="G1837" s="22">
        <f>IFERROR(__xludf.DUMMYFUNCTION("""COMPUTED_VALUE"""),0.0)</f>
        <v>0</v>
      </c>
      <c r="H1837" s="22">
        <f>IFERROR(__xludf.DUMMYFUNCTION("""COMPUTED_VALUE"""),500000.0)</f>
        <v>500000</v>
      </c>
      <c r="I1837" s="24">
        <f>IFERROR(__xludf.DUMMYFUNCTION("""COMPUTED_VALUE"""),0.0)</f>
        <v>0</v>
      </c>
    </row>
    <row r="1838">
      <c r="A1838" s="5" t="str">
        <f>IFERROR(__xludf.DUMMYFUNCTION("""COMPUTED_VALUE"""),"38105")</f>
        <v>38105</v>
      </c>
      <c r="B1838" s="64">
        <f>IFERROR(__xludf.DUMMYFUNCTION("""COMPUTED_VALUE"""),44621.0)</f>
        <v>44621</v>
      </c>
      <c r="C1838" s="5"/>
      <c r="D1838" s="5"/>
      <c r="E1838" s="5"/>
      <c r="F1838" s="22">
        <f>IFERROR(__xludf.DUMMYFUNCTION("""COMPUTED_VALUE"""),500000.0)</f>
        <v>500000</v>
      </c>
      <c r="G1838" s="22">
        <f>IFERROR(__xludf.DUMMYFUNCTION("""COMPUTED_VALUE"""),0.0)</f>
        <v>0</v>
      </c>
      <c r="H1838" s="22">
        <f>IFERROR(__xludf.DUMMYFUNCTION("""COMPUTED_VALUE"""),500000.0)</f>
        <v>500000</v>
      </c>
      <c r="I1838" s="24">
        <f>IFERROR(__xludf.DUMMYFUNCTION("""COMPUTED_VALUE"""),0.0)</f>
        <v>0</v>
      </c>
    </row>
    <row r="1839">
      <c r="A1839" s="5" t="str">
        <f>IFERROR(__xludf.DUMMYFUNCTION("""COMPUTED_VALUE"""),"38105")</f>
        <v>38105</v>
      </c>
      <c r="B1839" s="64">
        <f>IFERROR(__xludf.DUMMYFUNCTION("""COMPUTED_VALUE"""),44622.0)</f>
        <v>44622</v>
      </c>
      <c r="C1839" s="5"/>
      <c r="D1839" s="5"/>
      <c r="E1839" s="5"/>
      <c r="F1839" s="22">
        <f>IFERROR(__xludf.DUMMYFUNCTION("""COMPUTED_VALUE"""),500000.0)</f>
        <v>500000</v>
      </c>
      <c r="G1839" s="22">
        <f>IFERROR(__xludf.DUMMYFUNCTION("""COMPUTED_VALUE"""),0.0)</f>
        <v>0</v>
      </c>
      <c r="H1839" s="22">
        <f>IFERROR(__xludf.DUMMYFUNCTION("""COMPUTED_VALUE"""),500000.0)</f>
        <v>500000</v>
      </c>
      <c r="I1839" s="24">
        <f>IFERROR(__xludf.DUMMYFUNCTION("""COMPUTED_VALUE"""),0.0)</f>
        <v>0</v>
      </c>
    </row>
    <row r="1840">
      <c r="A1840" s="5" t="str">
        <f>IFERROR(__xludf.DUMMYFUNCTION("""COMPUTED_VALUE"""),"38105")</f>
        <v>38105</v>
      </c>
      <c r="B1840" s="64">
        <f>IFERROR(__xludf.DUMMYFUNCTION("""COMPUTED_VALUE"""),44623.0)</f>
        <v>44623</v>
      </c>
      <c r="C1840" s="5"/>
      <c r="D1840" s="5"/>
      <c r="E1840" s="5"/>
      <c r="F1840" s="22">
        <f>IFERROR(__xludf.DUMMYFUNCTION("""COMPUTED_VALUE"""),500000.0)</f>
        <v>500000</v>
      </c>
      <c r="G1840" s="22">
        <f>IFERROR(__xludf.DUMMYFUNCTION("""COMPUTED_VALUE"""),0.0)</f>
        <v>0</v>
      </c>
      <c r="H1840" s="22">
        <f>IFERROR(__xludf.DUMMYFUNCTION("""COMPUTED_VALUE"""),500000.0)</f>
        <v>500000</v>
      </c>
      <c r="I1840" s="24">
        <f>IFERROR(__xludf.DUMMYFUNCTION("""COMPUTED_VALUE"""),0.0)</f>
        <v>0</v>
      </c>
    </row>
    <row r="1841">
      <c r="A1841" s="5" t="str">
        <f>IFERROR(__xludf.DUMMYFUNCTION("""COMPUTED_VALUE"""),"38105")</f>
        <v>38105</v>
      </c>
      <c r="B1841" s="64">
        <f>IFERROR(__xludf.DUMMYFUNCTION("""COMPUTED_VALUE"""),44624.0)</f>
        <v>44624</v>
      </c>
      <c r="C1841" s="5"/>
      <c r="D1841" s="5"/>
      <c r="E1841" s="5"/>
      <c r="F1841" s="22">
        <f>IFERROR(__xludf.DUMMYFUNCTION("""COMPUTED_VALUE"""),500000.0)</f>
        <v>500000</v>
      </c>
      <c r="G1841" s="22">
        <f>IFERROR(__xludf.DUMMYFUNCTION("""COMPUTED_VALUE"""),0.0)</f>
        <v>0</v>
      </c>
      <c r="H1841" s="22">
        <f>IFERROR(__xludf.DUMMYFUNCTION("""COMPUTED_VALUE"""),500000.0)</f>
        <v>500000</v>
      </c>
      <c r="I1841" s="24">
        <f>IFERROR(__xludf.DUMMYFUNCTION("""COMPUTED_VALUE"""),0.0)</f>
        <v>0</v>
      </c>
    </row>
    <row r="1842">
      <c r="A1842" s="5" t="str">
        <f>IFERROR(__xludf.DUMMYFUNCTION("""COMPUTED_VALUE"""),"38105")</f>
        <v>38105</v>
      </c>
      <c r="B1842" s="64">
        <f>IFERROR(__xludf.DUMMYFUNCTION("""COMPUTED_VALUE"""),44625.0)</f>
        <v>44625</v>
      </c>
      <c r="C1842" s="5"/>
      <c r="D1842" s="5"/>
      <c r="E1842" s="5"/>
      <c r="F1842" s="22">
        <f>IFERROR(__xludf.DUMMYFUNCTION("""COMPUTED_VALUE"""),500000.0)</f>
        <v>500000</v>
      </c>
      <c r="G1842" s="22">
        <f>IFERROR(__xludf.DUMMYFUNCTION("""COMPUTED_VALUE"""),0.0)</f>
        <v>0</v>
      </c>
      <c r="H1842" s="22">
        <f>IFERROR(__xludf.DUMMYFUNCTION("""COMPUTED_VALUE"""),500000.0)</f>
        <v>500000</v>
      </c>
      <c r="I1842" s="24">
        <f>IFERROR(__xludf.DUMMYFUNCTION("""COMPUTED_VALUE"""),0.0)</f>
        <v>0</v>
      </c>
    </row>
    <row r="1843">
      <c r="A1843" s="5" t="str">
        <f>IFERROR(__xludf.DUMMYFUNCTION("""COMPUTED_VALUE"""),"38105")</f>
        <v>38105</v>
      </c>
      <c r="B1843" s="64">
        <f>IFERROR(__xludf.DUMMYFUNCTION("""COMPUTED_VALUE"""),44626.0)</f>
        <v>44626</v>
      </c>
      <c r="C1843" s="5"/>
      <c r="D1843" s="5"/>
      <c r="E1843" s="5"/>
      <c r="F1843" s="22">
        <f>IFERROR(__xludf.DUMMYFUNCTION("""COMPUTED_VALUE"""),500000.0)</f>
        <v>500000</v>
      </c>
      <c r="G1843" s="22">
        <f>IFERROR(__xludf.DUMMYFUNCTION("""COMPUTED_VALUE"""),0.0)</f>
        <v>0</v>
      </c>
      <c r="H1843" s="22">
        <f>IFERROR(__xludf.DUMMYFUNCTION("""COMPUTED_VALUE"""),500000.0)</f>
        <v>500000</v>
      </c>
      <c r="I1843" s="24">
        <f>IFERROR(__xludf.DUMMYFUNCTION("""COMPUTED_VALUE"""),0.0)</f>
        <v>0</v>
      </c>
    </row>
    <row r="1844">
      <c r="A1844" s="5" t="str">
        <f>IFERROR(__xludf.DUMMYFUNCTION("""COMPUTED_VALUE"""),"38105")</f>
        <v>38105</v>
      </c>
      <c r="B1844" s="64">
        <f>IFERROR(__xludf.DUMMYFUNCTION("""COMPUTED_VALUE"""),44627.0)</f>
        <v>44627</v>
      </c>
      <c r="C1844" s="5"/>
      <c r="D1844" s="5"/>
      <c r="E1844" s="5"/>
      <c r="F1844" s="22">
        <f>IFERROR(__xludf.DUMMYFUNCTION("""COMPUTED_VALUE"""),500000.0)</f>
        <v>500000</v>
      </c>
      <c r="G1844" s="22">
        <f>IFERROR(__xludf.DUMMYFUNCTION("""COMPUTED_VALUE"""),0.0)</f>
        <v>0</v>
      </c>
      <c r="H1844" s="22">
        <f>IFERROR(__xludf.DUMMYFUNCTION("""COMPUTED_VALUE"""),500000.0)</f>
        <v>500000</v>
      </c>
      <c r="I1844" s="24">
        <f>IFERROR(__xludf.DUMMYFUNCTION("""COMPUTED_VALUE"""),0.0)</f>
        <v>0</v>
      </c>
    </row>
    <row r="1845">
      <c r="A1845" s="5" t="str">
        <f>IFERROR(__xludf.DUMMYFUNCTION("""COMPUTED_VALUE"""),"38105")</f>
        <v>38105</v>
      </c>
      <c r="B1845" s="64">
        <f>IFERROR(__xludf.DUMMYFUNCTION("""COMPUTED_VALUE"""),44628.0)</f>
        <v>44628</v>
      </c>
      <c r="C1845" s="5"/>
      <c r="D1845" s="5"/>
      <c r="E1845" s="5"/>
      <c r="F1845" s="22">
        <f>IFERROR(__xludf.DUMMYFUNCTION("""COMPUTED_VALUE"""),500000.0)</f>
        <v>500000</v>
      </c>
      <c r="G1845" s="22">
        <f>IFERROR(__xludf.DUMMYFUNCTION("""COMPUTED_VALUE"""),0.0)</f>
        <v>0</v>
      </c>
      <c r="H1845" s="22">
        <f>IFERROR(__xludf.DUMMYFUNCTION("""COMPUTED_VALUE"""),500000.0)</f>
        <v>500000</v>
      </c>
      <c r="I1845" s="24">
        <f>IFERROR(__xludf.DUMMYFUNCTION("""COMPUTED_VALUE"""),0.0)</f>
        <v>0</v>
      </c>
    </row>
    <row r="1846">
      <c r="A1846" s="5" t="str">
        <f>IFERROR(__xludf.DUMMYFUNCTION("""COMPUTED_VALUE"""),"38105")</f>
        <v>38105</v>
      </c>
      <c r="B1846" s="64">
        <f>IFERROR(__xludf.DUMMYFUNCTION("""COMPUTED_VALUE"""),44629.0)</f>
        <v>44629</v>
      </c>
      <c r="C1846" s="5"/>
      <c r="D1846" s="5"/>
      <c r="E1846" s="5"/>
      <c r="F1846" s="22">
        <f>IFERROR(__xludf.DUMMYFUNCTION("""COMPUTED_VALUE"""),500000.0)</f>
        <v>500000</v>
      </c>
      <c r="G1846" s="22">
        <f>IFERROR(__xludf.DUMMYFUNCTION("""COMPUTED_VALUE"""),0.0)</f>
        <v>0</v>
      </c>
      <c r="H1846" s="22">
        <f>IFERROR(__xludf.DUMMYFUNCTION("""COMPUTED_VALUE"""),500000.0)</f>
        <v>500000</v>
      </c>
      <c r="I1846" s="24">
        <f>IFERROR(__xludf.DUMMYFUNCTION("""COMPUTED_VALUE"""),0.0)</f>
        <v>0</v>
      </c>
    </row>
    <row r="1847">
      <c r="A1847" s="5" t="str">
        <f>IFERROR(__xludf.DUMMYFUNCTION("""COMPUTED_VALUE"""),"38105")</f>
        <v>38105</v>
      </c>
      <c r="B1847" s="64">
        <f>IFERROR(__xludf.DUMMYFUNCTION("""COMPUTED_VALUE"""),44630.0)</f>
        <v>44630</v>
      </c>
      <c r="C1847" s="5"/>
      <c r="D1847" s="5"/>
      <c r="E1847" s="5"/>
      <c r="F1847" s="22">
        <f>IFERROR(__xludf.DUMMYFUNCTION("""COMPUTED_VALUE"""),500000.0)</f>
        <v>500000</v>
      </c>
      <c r="G1847" s="22">
        <f>IFERROR(__xludf.DUMMYFUNCTION("""COMPUTED_VALUE"""),0.0)</f>
        <v>0</v>
      </c>
      <c r="H1847" s="22">
        <f>IFERROR(__xludf.DUMMYFUNCTION("""COMPUTED_VALUE"""),500000.0)</f>
        <v>500000</v>
      </c>
      <c r="I1847" s="24">
        <f>IFERROR(__xludf.DUMMYFUNCTION("""COMPUTED_VALUE"""),0.0)</f>
        <v>0</v>
      </c>
    </row>
    <row r="1848">
      <c r="A1848" s="5" t="str">
        <f>IFERROR(__xludf.DUMMYFUNCTION("""COMPUTED_VALUE"""),"38105")</f>
        <v>38105</v>
      </c>
      <c r="B1848" s="64">
        <f>IFERROR(__xludf.DUMMYFUNCTION("""COMPUTED_VALUE"""),44631.0)</f>
        <v>44631</v>
      </c>
      <c r="C1848" s="5"/>
      <c r="D1848" s="5"/>
      <c r="E1848" s="5"/>
      <c r="F1848" s="22">
        <f>IFERROR(__xludf.DUMMYFUNCTION("""COMPUTED_VALUE"""),500000.0)</f>
        <v>500000</v>
      </c>
      <c r="G1848" s="22">
        <f>IFERROR(__xludf.DUMMYFUNCTION("""COMPUTED_VALUE"""),0.0)</f>
        <v>0</v>
      </c>
      <c r="H1848" s="22">
        <f>IFERROR(__xludf.DUMMYFUNCTION("""COMPUTED_VALUE"""),500000.0)</f>
        <v>500000</v>
      </c>
      <c r="I1848" s="24">
        <f>IFERROR(__xludf.DUMMYFUNCTION("""COMPUTED_VALUE"""),0.0)</f>
        <v>0</v>
      </c>
    </row>
    <row r="1849">
      <c r="A1849" s="5" t="str">
        <f>IFERROR(__xludf.DUMMYFUNCTION("""COMPUTED_VALUE"""),"38105")</f>
        <v>38105</v>
      </c>
      <c r="B1849" s="64">
        <f>IFERROR(__xludf.DUMMYFUNCTION("""COMPUTED_VALUE"""),44632.0)</f>
        <v>44632</v>
      </c>
      <c r="C1849" s="5"/>
      <c r="D1849" s="5"/>
      <c r="E1849" s="5"/>
      <c r="F1849" s="22">
        <f>IFERROR(__xludf.DUMMYFUNCTION("""COMPUTED_VALUE"""),500000.0)</f>
        <v>500000</v>
      </c>
      <c r="G1849" s="22">
        <f>IFERROR(__xludf.DUMMYFUNCTION("""COMPUTED_VALUE"""),0.0)</f>
        <v>0</v>
      </c>
      <c r="H1849" s="22">
        <f>IFERROR(__xludf.DUMMYFUNCTION("""COMPUTED_VALUE"""),500000.0)</f>
        <v>500000</v>
      </c>
      <c r="I1849" s="24">
        <f>IFERROR(__xludf.DUMMYFUNCTION("""COMPUTED_VALUE"""),0.0)</f>
        <v>0</v>
      </c>
    </row>
    <row r="1850">
      <c r="A1850" s="5" t="str">
        <f>IFERROR(__xludf.DUMMYFUNCTION("""COMPUTED_VALUE"""),"38105")</f>
        <v>38105</v>
      </c>
      <c r="B1850" s="64">
        <f>IFERROR(__xludf.DUMMYFUNCTION("""COMPUTED_VALUE"""),44633.0)</f>
        <v>44633</v>
      </c>
      <c r="C1850" s="5"/>
      <c r="D1850" s="5"/>
      <c r="E1850" s="5"/>
      <c r="F1850" s="22">
        <f>IFERROR(__xludf.DUMMYFUNCTION("""COMPUTED_VALUE"""),500000.0)</f>
        <v>500000</v>
      </c>
      <c r="G1850" s="22">
        <f>IFERROR(__xludf.DUMMYFUNCTION("""COMPUTED_VALUE"""),0.0)</f>
        <v>0</v>
      </c>
      <c r="H1850" s="22">
        <f>IFERROR(__xludf.DUMMYFUNCTION("""COMPUTED_VALUE"""),500000.0)</f>
        <v>500000</v>
      </c>
      <c r="I1850" s="24">
        <f>IFERROR(__xludf.DUMMYFUNCTION("""COMPUTED_VALUE"""),0.0)</f>
        <v>0</v>
      </c>
    </row>
    <row r="1851">
      <c r="A1851" s="5" t="str">
        <f>IFERROR(__xludf.DUMMYFUNCTION("""COMPUTED_VALUE"""),"38105")</f>
        <v>38105</v>
      </c>
      <c r="B1851" s="64">
        <f>IFERROR(__xludf.DUMMYFUNCTION("""COMPUTED_VALUE"""),44634.0)</f>
        <v>44634</v>
      </c>
      <c r="C1851" s="5"/>
      <c r="D1851" s="5"/>
      <c r="E1851" s="5"/>
      <c r="F1851" s="22">
        <f>IFERROR(__xludf.DUMMYFUNCTION("""COMPUTED_VALUE"""),500000.0)</f>
        <v>500000</v>
      </c>
      <c r="G1851" s="22">
        <f>IFERROR(__xludf.DUMMYFUNCTION("""COMPUTED_VALUE"""),0.0)</f>
        <v>0</v>
      </c>
      <c r="H1851" s="22">
        <f>IFERROR(__xludf.DUMMYFUNCTION("""COMPUTED_VALUE"""),500000.0)</f>
        <v>500000</v>
      </c>
      <c r="I1851" s="24">
        <f>IFERROR(__xludf.DUMMYFUNCTION("""COMPUTED_VALUE"""),0.0)</f>
        <v>0</v>
      </c>
    </row>
    <row r="1852">
      <c r="A1852" s="5" t="str">
        <f>IFERROR(__xludf.DUMMYFUNCTION("""COMPUTED_VALUE"""),"38105")</f>
        <v>38105</v>
      </c>
      <c r="B1852" s="64">
        <f>IFERROR(__xludf.DUMMYFUNCTION("""COMPUTED_VALUE"""),44635.0)</f>
        <v>44635</v>
      </c>
      <c r="C1852" s="5"/>
      <c r="D1852" s="5"/>
      <c r="E1852" s="5"/>
      <c r="F1852" s="22">
        <f>IFERROR(__xludf.DUMMYFUNCTION("""COMPUTED_VALUE"""),500000.0)</f>
        <v>500000</v>
      </c>
      <c r="G1852" s="22">
        <f>IFERROR(__xludf.DUMMYFUNCTION("""COMPUTED_VALUE"""),0.0)</f>
        <v>0</v>
      </c>
      <c r="H1852" s="22">
        <f>IFERROR(__xludf.DUMMYFUNCTION("""COMPUTED_VALUE"""),500000.0)</f>
        <v>500000</v>
      </c>
      <c r="I1852" s="24">
        <f>IFERROR(__xludf.DUMMYFUNCTION("""COMPUTED_VALUE"""),0.0)</f>
        <v>0</v>
      </c>
    </row>
    <row r="1853">
      <c r="A1853" s="5" t="str">
        <f>IFERROR(__xludf.DUMMYFUNCTION("""COMPUTED_VALUE"""),"38105")</f>
        <v>38105</v>
      </c>
      <c r="B1853" s="64">
        <f>IFERROR(__xludf.DUMMYFUNCTION("""COMPUTED_VALUE"""),44636.0)</f>
        <v>44636</v>
      </c>
      <c r="C1853" s="5"/>
      <c r="D1853" s="5"/>
      <c r="E1853" s="5"/>
      <c r="F1853" s="22">
        <f>IFERROR(__xludf.DUMMYFUNCTION("""COMPUTED_VALUE"""),500000.0)</f>
        <v>500000</v>
      </c>
      <c r="G1853" s="22">
        <f>IFERROR(__xludf.DUMMYFUNCTION("""COMPUTED_VALUE"""),0.0)</f>
        <v>0</v>
      </c>
      <c r="H1853" s="22">
        <f>IFERROR(__xludf.DUMMYFUNCTION("""COMPUTED_VALUE"""),500000.0)</f>
        <v>500000</v>
      </c>
      <c r="I1853" s="24">
        <f>IFERROR(__xludf.DUMMYFUNCTION("""COMPUTED_VALUE"""),0.0)</f>
        <v>0</v>
      </c>
    </row>
    <row r="1854">
      <c r="A1854" s="5" t="str">
        <f>IFERROR(__xludf.DUMMYFUNCTION("""COMPUTED_VALUE"""),"38105")</f>
        <v>38105</v>
      </c>
      <c r="B1854" s="64">
        <f>IFERROR(__xludf.DUMMYFUNCTION("""COMPUTED_VALUE"""),44637.0)</f>
        <v>44637</v>
      </c>
      <c r="C1854" s="5"/>
      <c r="D1854" s="5"/>
      <c r="E1854" s="5"/>
      <c r="F1854" s="22">
        <f>IFERROR(__xludf.DUMMYFUNCTION("""COMPUTED_VALUE"""),500000.0)</f>
        <v>500000</v>
      </c>
      <c r="G1854" s="22">
        <f>IFERROR(__xludf.DUMMYFUNCTION("""COMPUTED_VALUE"""),0.0)</f>
        <v>0</v>
      </c>
      <c r="H1854" s="22">
        <f>IFERROR(__xludf.DUMMYFUNCTION("""COMPUTED_VALUE"""),500000.0)</f>
        <v>500000</v>
      </c>
      <c r="I1854" s="24">
        <f>IFERROR(__xludf.DUMMYFUNCTION("""COMPUTED_VALUE"""),0.0)</f>
        <v>0</v>
      </c>
    </row>
    <row r="1855">
      <c r="A1855" s="5" t="str">
        <f>IFERROR(__xludf.DUMMYFUNCTION("""COMPUTED_VALUE"""),"38105")</f>
        <v>38105</v>
      </c>
      <c r="B1855" s="64">
        <f>IFERROR(__xludf.DUMMYFUNCTION("""COMPUTED_VALUE"""),44638.0)</f>
        <v>44638</v>
      </c>
      <c r="C1855" s="5"/>
      <c r="D1855" s="5"/>
      <c r="E1855" s="5"/>
      <c r="F1855" s="22">
        <f>IFERROR(__xludf.DUMMYFUNCTION("""COMPUTED_VALUE"""),500000.0)</f>
        <v>500000</v>
      </c>
      <c r="G1855" s="22">
        <f>IFERROR(__xludf.DUMMYFUNCTION("""COMPUTED_VALUE"""),0.0)</f>
        <v>0</v>
      </c>
      <c r="H1855" s="22">
        <f>IFERROR(__xludf.DUMMYFUNCTION("""COMPUTED_VALUE"""),500000.0)</f>
        <v>500000</v>
      </c>
      <c r="I1855" s="24">
        <f>IFERROR(__xludf.DUMMYFUNCTION("""COMPUTED_VALUE"""),0.0)</f>
        <v>0</v>
      </c>
    </row>
    <row r="1856">
      <c r="A1856" s="5" t="str">
        <f>IFERROR(__xludf.DUMMYFUNCTION("""COMPUTED_VALUE"""),"38105")</f>
        <v>38105</v>
      </c>
      <c r="B1856" s="64">
        <f>IFERROR(__xludf.DUMMYFUNCTION("""COMPUTED_VALUE"""),44639.0)</f>
        <v>44639</v>
      </c>
      <c r="C1856" s="5"/>
      <c r="D1856" s="5"/>
      <c r="E1856" s="5"/>
      <c r="F1856" s="22">
        <f>IFERROR(__xludf.DUMMYFUNCTION("""COMPUTED_VALUE"""),500000.0)</f>
        <v>500000</v>
      </c>
      <c r="G1856" s="22">
        <f>IFERROR(__xludf.DUMMYFUNCTION("""COMPUTED_VALUE"""),0.0)</f>
        <v>0</v>
      </c>
      <c r="H1856" s="22">
        <f>IFERROR(__xludf.DUMMYFUNCTION("""COMPUTED_VALUE"""),500000.0)</f>
        <v>500000</v>
      </c>
      <c r="I1856" s="24">
        <f>IFERROR(__xludf.DUMMYFUNCTION("""COMPUTED_VALUE"""),0.0)</f>
        <v>0</v>
      </c>
    </row>
    <row r="1857">
      <c r="A1857" s="5" t="str">
        <f>IFERROR(__xludf.DUMMYFUNCTION("""COMPUTED_VALUE"""),"38105")</f>
        <v>38105</v>
      </c>
      <c r="B1857" s="64">
        <f>IFERROR(__xludf.DUMMYFUNCTION("""COMPUTED_VALUE"""),44640.0)</f>
        <v>44640</v>
      </c>
      <c r="C1857" s="5"/>
      <c r="D1857" s="5"/>
      <c r="E1857" s="5"/>
      <c r="F1857" s="22">
        <f>IFERROR(__xludf.DUMMYFUNCTION("""COMPUTED_VALUE"""),500000.0)</f>
        <v>500000</v>
      </c>
      <c r="G1857" s="22">
        <f>IFERROR(__xludf.DUMMYFUNCTION("""COMPUTED_VALUE"""),0.0)</f>
        <v>0</v>
      </c>
      <c r="H1857" s="22">
        <f>IFERROR(__xludf.DUMMYFUNCTION("""COMPUTED_VALUE"""),500000.0)</f>
        <v>500000</v>
      </c>
      <c r="I1857" s="24">
        <f>IFERROR(__xludf.DUMMYFUNCTION("""COMPUTED_VALUE"""),0.0)</f>
        <v>0</v>
      </c>
    </row>
    <row r="1858">
      <c r="A1858" s="5" t="str">
        <f>IFERROR(__xludf.DUMMYFUNCTION("""COMPUTED_VALUE"""),"38105")</f>
        <v>38105</v>
      </c>
      <c r="B1858" s="64">
        <f>IFERROR(__xludf.DUMMYFUNCTION("""COMPUTED_VALUE"""),44641.0)</f>
        <v>44641</v>
      </c>
      <c r="C1858" s="5"/>
      <c r="D1858" s="5"/>
      <c r="E1858" s="5"/>
      <c r="F1858" s="22">
        <f>IFERROR(__xludf.DUMMYFUNCTION("""COMPUTED_VALUE"""),500000.0)</f>
        <v>500000</v>
      </c>
      <c r="G1858" s="22">
        <f>IFERROR(__xludf.DUMMYFUNCTION("""COMPUTED_VALUE"""),0.0)</f>
        <v>0</v>
      </c>
      <c r="H1858" s="22">
        <f>IFERROR(__xludf.DUMMYFUNCTION("""COMPUTED_VALUE"""),500000.0)</f>
        <v>500000</v>
      </c>
      <c r="I1858" s="24">
        <f>IFERROR(__xludf.DUMMYFUNCTION("""COMPUTED_VALUE"""),0.0)</f>
        <v>0</v>
      </c>
    </row>
    <row r="1859">
      <c r="A1859" s="5" t="str">
        <f>IFERROR(__xludf.DUMMYFUNCTION("""COMPUTED_VALUE"""),"38105")</f>
        <v>38105</v>
      </c>
      <c r="B1859" s="64">
        <f>IFERROR(__xludf.DUMMYFUNCTION("""COMPUTED_VALUE"""),44642.0)</f>
        <v>44642</v>
      </c>
      <c r="C1859" s="5"/>
      <c r="D1859" s="5"/>
      <c r="E1859" s="5"/>
      <c r="F1859" s="22">
        <f>IFERROR(__xludf.DUMMYFUNCTION("""COMPUTED_VALUE"""),500000.0)</f>
        <v>500000</v>
      </c>
      <c r="G1859" s="22">
        <f>IFERROR(__xludf.DUMMYFUNCTION("""COMPUTED_VALUE"""),0.0)</f>
        <v>0</v>
      </c>
      <c r="H1859" s="22">
        <f>IFERROR(__xludf.DUMMYFUNCTION("""COMPUTED_VALUE"""),500000.0)</f>
        <v>500000</v>
      </c>
      <c r="I1859" s="24">
        <f>IFERROR(__xludf.DUMMYFUNCTION("""COMPUTED_VALUE"""),0.0)</f>
        <v>0</v>
      </c>
    </row>
    <row r="1860">
      <c r="A1860" s="5" t="str">
        <f>IFERROR(__xludf.DUMMYFUNCTION("""COMPUTED_VALUE"""),"38105")</f>
        <v>38105</v>
      </c>
      <c r="B1860" s="64">
        <f>IFERROR(__xludf.DUMMYFUNCTION("""COMPUTED_VALUE"""),44643.0)</f>
        <v>44643</v>
      </c>
      <c r="C1860" s="5"/>
      <c r="D1860" s="5"/>
      <c r="E1860" s="5"/>
      <c r="F1860" s="22">
        <f>IFERROR(__xludf.DUMMYFUNCTION("""COMPUTED_VALUE"""),500000.0)</f>
        <v>500000</v>
      </c>
      <c r="G1860" s="22">
        <f>IFERROR(__xludf.DUMMYFUNCTION("""COMPUTED_VALUE"""),0.0)</f>
        <v>0</v>
      </c>
      <c r="H1860" s="22">
        <f>IFERROR(__xludf.DUMMYFUNCTION("""COMPUTED_VALUE"""),500000.0)</f>
        <v>500000</v>
      </c>
      <c r="I1860" s="24">
        <f>IFERROR(__xludf.DUMMYFUNCTION("""COMPUTED_VALUE"""),0.0)</f>
        <v>0</v>
      </c>
    </row>
    <row r="1861">
      <c r="A1861" s="5" t="str">
        <f>IFERROR(__xludf.DUMMYFUNCTION("""COMPUTED_VALUE"""),"38105")</f>
        <v>38105</v>
      </c>
      <c r="B1861" s="64">
        <f>IFERROR(__xludf.DUMMYFUNCTION("""COMPUTED_VALUE"""),44644.0)</f>
        <v>44644</v>
      </c>
      <c r="C1861" s="5"/>
      <c r="D1861" s="5"/>
      <c r="E1861" s="5"/>
      <c r="F1861" s="22">
        <f>IFERROR(__xludf.DUMMYFUNCTION("""COMPUTED_VALUE"""),500000.0)</f>
        <v>500000</v>
      </c>
      <c r="G1861" s="22">
        <f>IFERROR(__xludf.DUMMYFUNCTION("""COMPUTED_VALUE"""),0.0)</f>
        <v>0</v>
      </c>
      <c r="H1861" s="22">
        <f>IFERROR(__xludf.DUMMYFUNCTION("""COMPUTED_VALUE"""),500000.0)</f>
        <v>500000</v>
      </c>
      <c r="I1861" s="24">
        <f>IFERROR(__xludf.DUMMYFUNCTION("""COMPUTED_VALUE"""),0.0)</f>
        <v>0</v>
      </c>
    </row>
    <row r="1862">
      <c r="A1862" s="5" t="str">
        <f>IFERROR(__xludf.DUMMYFUNCTION("""COMPUTED_VALUE"""),"38105")</f>
        <v>38105</v>
      </c>
      <c r="B1862" s="64">
        <f>IFERROR(__xludf.DUMMYFUNCTION("""COMPUTED_VALUE"""),44645.0)</f>
        <v>44645</v>
      </c>
      <c r="C1862" s="5"/>
      <c r="D1862" s="5"/>
      <c r="E1862" s="5"/>
      <c r="F1862" s="22">
        <f>IFERROR(__xludf.DUMMYFUNCTION("""COMPUTED_VALUE"""),500000.0)</f>
        <v>500000</v>
      </c>
      <c r="G1862" s="22">
        <f>IFERROR(__xludf.DUMMYFUNCTION("""COMPUTED_VALUE"""),0.0)</f>
        <v>0</v>
      </c>
      <c r="H1862" s="22">
        <f>IFERROR(__xludf.DUMMYFUNCTION("""COMPUTED_VALUE"""),500000.0)</f>
        <v>500000</v>
      </c>
      <c r="I1862" s="24">
        <f>IFERROR(__xludf.DUMMYFUNCTION("""COMPUTED_VALUE"""),0.0)</f>
        <v>0</v>
      </c>
    </row>
    <row r="1863">
      <c r="A1863" s="5" t="str">
        <f>IFERROR(__xludf.DUMMYFUNCTION("""COMPUTED_VALUE"""),"38105")</f>
        <v>38105</v>
      </c>
      <c r="B1863" s="64">
        <f>IFERROR(__xludf.DUMMYFUNCTION("""COMPUTED_VALUE"""),44646.0)</f>
        <v>44646</v>
      </c>
      <c r="C1863" s="5"/>
      <c r="D1863" s="5"/>
      <c r="E1863" s="5"/>
      <c r="F1863" s="22">
        <f>IFERROR(__xludf.DUMMYFUNCTION("""COMPUTED_VALUE"""),500000.0)</f>
        <v>500000</v>
      </c>
      <c r="G1863" s="22">
        <f>IFERROR(__xludf.DUMMYFUNCTION("""COMPUTED_VALUE"""),0.0)</f>
        <v>0</v>
      </c>
      <c r="H1863" s="22">
        <f>IFERROR(__xludf.DUMMYFUNCTION("""COMPUTED_VALUE"""),500000.0)</f>
        <v>500000</v>
      </c>
      <c r="I1863" s="24">
        <f>IFERROR(__xludf.DUMMYFUNCTION("""COMPUTED_VALUE"""),0.0)</f>
        <v>0</v>
      </c>
    </row>
    <row r="1864">
      <c r="A1864" s="5" t="str">
        <f>IFERROR(__xludf.DUMMYFUNCTION("""COMPUTED_VALUE"""),"38105")</f>
        <v>38105</v>
      </c>
      <c r="B1864" s="64">
        <f>IFERROR(__xludf.DUMMYFUNCTION("""COMPUTED_VALUE"""),44647.0)</f>
        <v>44647</v>
      </c>
      <c r="C1864" s="5"/>
      <c r="D1864" s="5"/>
      <c r="E1864" s="5"/>
      <c r="F1864" s="22">
        <f>IFERROR(__xludf.DUMMYFUNCTION("""COMPUTED_VALUE"""),500000.0)</f>
        <v>500000</v>
      </c>
      <c r="G1864" s="22">
        <f>IFERROR(__xludf.DUMMYFUNCTION("""COMPUTED_VALUE"""),0.0)</f>
        <v>0</v>
      </c>
      <c r="H1864" s="22">
        <f>IFERROR(__xludf.DUMMYFUNCTION("""COMPUTED_VALUE"""),500000.0)</f>
        <v>500000</v>
      </c>
      <c r="I1864" s="24">
        <f>IFERROR(__xludf.DUMMYFUNCTION("""COMPUTED_VALUE"""),0.0)</f>
        <v>0</v>
      </c>
    </row>
    <row r="1865">
      <c r="A1865" s="5" t="str">
        <f>IFERROR(__xludf.DUMMYFUNCTION("""COMPUTED_VALUE"""),"38105")</f>
        <v>38105</v>
      </c>
      <c r="B1865" s="64">
        <f>IFERROR(__xludf.DUMMYFUNCTION("""COMPUTED_VALUE"""),44648.0)</f>
        <v>44648</v>
      </c>
      <c r="C1865" s="5"/>
      <c r="D1865" s="5"/>
      <c r="E1865" s="5"/>
      <c r="F1865" s="22">
        <f>IFERROR(__xludf.DUMMYFUNCTION("""COMPUTED_VALUE"""),500000.0)</f>
        <v>500000</v>
      </c>
      <c r="G1865" s="22">
        <f>IFERROR(__xludf.DUMMYFUNCTION("""COMPUTED_VALUE"""),0.0)</f>
        <v>0</v>
      </c>
      <c r="H1865" s="22">
        <f>IFERROR(__xludf.DUMMYFUNCTION("""COMPUTED_VALUE"""),500000.0)</f>
        <v>500000</v>
      </c>
      <c r="I1865" s="24">
        <f>IFERROR(__xludf.DUMMYFUNCTION("""COMPUTED_VALUE"""),0.0)</f>
        <v>0</v>
      </c>
    </row>
    <row r="1866">
      <c r="A1866" s="5" t="str">
        <f>IFERROR(__xludf.DUMMYFUNCTION("""COMPUTED_VALUE"""),"38105")</f>
        <v>38105</v>
      </c>
      <c r="B1866" s="64">
        <f>IFERROR(__xludf.DUMMYFUNCTION("""COMPUTED_VALUE"""),44649.0)</f>
        <v>44649</v>
      </c>
      <c r="C1866" s="5"/>
      <c r="D1866" s="5"/>
      <c r="E1866" s="5"/>
      <c r="F1866" s="22">
        <f>IFERROR(__xludf.DUMMYFUNCTION("""COMPUTED_VALUE"""),480657.9219035)</f>
        <v>480657.9219</v>
      </c>
      <c r="G1866" s="22">
        <f>IFERROR(__xludf.DUMMYFUNCTION("""COMPUTED_VALUE"""),0.0)</f>
        <v>0</v>
      </c>
      <c r="H1866" s="22">
        <f>IFERROR(__xludf.DUMMYFUNCTION("""COMPUTED_VALUE"""),500000.0)</f>
        <v>500000</v>
      </c>
      <c r="I1866" s="24">
        <f>IFERROR(__xludf.DUMMYFUNCTION("""COMPUTED_VALUE"""),0.0)</f>
        <v>0</v>
      </c>
    </row>
    <row r="1867">
      <c r="A1867" s="5" t="str">
        <f>IFERROR(__xludf.DUMMYFUNCTION("""COMPUTED_VALUE"""),"38105")</f>
        <v>38105</v>
      </c>
      <c r="B1867" s="64">
        <f>IFERROR(__xludf.DUMMYFUNCTION("""COMPUTED_VALUE"""),44650.0)</f>
        <v>44650</v>
      </c>
      <c r="C1867" s="5"/>
      <c r="D1867" s="5"/>
      <c r="E1867" s="5"/>
      <c r="F1867" s="22">
        <f>IFERROR(__xludf.DUMMYFUNCTION("""COMPUTED_VALUE"""),480657.9219035)</f>
        <v>480657.9219</v>
      </c>
      <c r="G1867" s="22">
        <f>IFERROR(__xludf.DUMMYFUNCTION("""COMPUTED_VALUE"""),0.0)</f>
        <v>0</v>
      </c>
      <c r="H1867" s="22">
        <f>IFERROR(__xludf.DUMMYFUNCTION("""COMPUTED_VALUE"""),499668.9045755)</f>
        <v>499668.9046</v>
      </c>
      <c r="I1867" s="24">
        <f>IFERROR(__xludf.DUMMYFUNCTION("""COMPUTED_VALUE"""),-6.621908489999884E-4)</f>
        <v>-0.000662190849</v>
      </c>
    </row>
    <row r="1868">
      <c r="A1868" s="5" t="str">
        <f>IFERROR(__xludf.DUMMYFUNCTION("""COMPUTED_VALUE"""),"38105")</f>
        <v>38105</v>
      </c>
      <c r="B1868" s="64">
        <f>IFERROR(__xludf.DUMMYFUNCTION("""COMPUTED_VALUE"""),44651.0)</f>
        <v>44651</v>
      </c>
      <c r="C1868" s="5"/>
      <c r="D1868" s="5"/>
      <c r="E1868" s="5"/>
      <c r="F1868" s="22">
        <f>IFERROR(__xludf.DUMMYFUNCTION("""COMPUTED_VALUE"""),480657.9219035)</f>
        <v>480657.9219</v>
      </c>
      <c r="G1868" s="22">
        <f>IFERROR(__xludf.DUMMYFUNCTION("""COMPUTED_VALUE"""),0.0)</f>
        <v>0</v>
      </c>
      <c r="H1868" s="22">
        <f>IFERROR(__xludf.DUMMYFUNCTION("""COMPUTED_VALUE"""),499948.339721)</f>
        <v>499948.3397</v>
      </c>
      <c r="I1868" s="24">
        <f>IFERROR(__xludf.DUMMYFUNCTION("""COMPUTED_VALUE"""),-1.033205579999974E-4)</f>
        <v>-0.000103320558</v>
      </c>
    </row>
    <row r="1869">
      <c r="A1869" s="5" t="str">
        <f>IFERROR(__xludf.DUMMYFUNCTION("""COMPUTED_VALUE"""),"38105")</f>
        <v>38105</v>
      </c>
      <c r="B1869" s="64">
        <f>IFERROR(__xludf.DUMMYFUNCTION("""COMPUTED_VALUE"""),44652.0)</f>
        <v>44652</v>
      </c>
      <c r="C1869" s="5"/>
      <c r="D1869" s="5"/>
      <c r="E1869" s="5"/>
      <c r="F1869" s="22">
        <f>IFERROR(__xludf.DUMMYFUNCTION("""COMPUTED_VALUE"""),480657.9219035)</f>
        <v>480657.9219</v>
      </c>
      <c r="G1869" s="22">
        <f>IFERROR(__xludf.DUMMYFUNCTION("""COMPUTED_VALUE"""),0.0)</f>
        <v>0</v>
      </c>
      <c r="H1869" s="22">
        <f>IFERROR(__xludf.DUMMYFUNCTION("""COMPUTED_VALUE"""),499823.8854125)</f>
        <v>499823.8854</v>
      </c>
      <c r="I1869" s="24">
        <f>IFERROR(__xludf.DUMMYFUNCTION("""COMPUTED_VALUE"""),-3.522291749999962E-4)</f>
        <v>-0.000352229175</v>
      </c>
    </row>
    <row r="1870">
      <c r="A1870" s="5" t="str">
        <f>IFERROR(__xludf.DUMMYFUNCTION("""COMPUTED_VALUE"""),"38105")</f>
        <v>38105</v>
      </c>
      <c r="B1870" s="64">
        <f>IFERROR(__xludf.DUMMYFUNCTION("""COMPUTED_VALUE"""),44653.0)</f>
        <v>44653</v>
      </c>
      <c r="C1870" s="5"/>
      <c r="D1870" s="5"/>
      <c r="E1870" s="5"/>
      <c r="F1870" s="22">
        <f>IFERROR(__xludf.DUMMYFUNCTION("""COMPUTED_VALUE"""),480657.9219035)</f>
        <v>480657.9219</v>
      </c>
      <c r="G1870" s="22">
        <f>IFERROR(__xludf.DUMMYFUNCTION("""COMPUTED_VALUE"""),0.0)</f>
        <v>0</v>
      </c>
      <c r="H1870" s="22">
        <f>IFERROR(__xludf.DUMMYFUNCTION("""COMPUTED_VALUE"""),499823.8854125)</f>
        <v>499823.8854</v>
      </c>
      <c r="I1870" s="24">
        <f>IFERROR(__xludf.DUMMYFUNCTION("""COMPUTED_VALUE"""),-3.522291749999962E-4)</f>
        <v>-0.000352229175</v>
      </c>
    </row>
    <row r="1871">
      <c r="A1871" s="5" t="str">
        <f>IFERROR(__xludf.DUMMYFUNCTION("""COMPUTED_VALUE"""),"38105")</f>
        <v>38105</v>
      </c>
      <c r="B1871" s="64">
        <f>IFERROR(__xludf.DUMMYFUNCTION("""COMPUTED_VALUE"""),44654.0)</f>
        <v>44654</v>
      </c>
      <c r="C1871" s="5"/>
      <c r="D1871" s="5"/>
      <c r="E1871" s="5"/>
      <c r="F1871" s="22">
        <f>IFERROR(__xludf.DUMMYFUNCTION("""COMPUTED_VALUE"""),480657.9219035)</f>
        <v>480657.9219</v>
      </c>
      <c r="G1871" s="22">
        <f>IFERROR(__xludf.DUMMYFUNCTION("""COMPUTED_VALUE"""),0.0)</f>
        <v>0</v>
      </c>
      <c r="H1871" s="22">
        <f>IFERROR(__xludf.DUMMYFUNCTION("""COMPUTED_VALUE"""),499823.8854125)</f>
        <v>499823.8854</v>
      </c>
      <c r="I1871" s="24">
        <f>IFERROR(__xludf.DUMMYFUNCTION("""COMPUTED_VALUE"""),-3.522291749999962E-4)</f>
        <v>-0.000352229175</v>
      </c>
    </row>
    <row r="1872">
      <c r="A1872" s="5" t="str">
        <f>IFERROR(__xludf.DUMMYFUNCTION("""COMPUTED_VALUE"""),"38105")</f>
        <v>38105</v>
      </c>
      <c r="B1872" s="64">
        <f>IFERROR(__xludf.DUMMYFUNCTION("""COMPUTED_VALUE"""),44655.0)</f>
        <v>44655</v>
      </c>
      <c r="C1872" s="5"/>
      <c r="D1872" s="5"/>
      <c r="E1872" s="5"/>
      <c r="F1872" s="22">
        <f>IFERROR(__xludf.DUMMYFUNCTION("""COMPUTED_VALUE"""),480657.9219035)</f>
        <v>480657.9219</v>
      </c>
      <c r="G1872" s="22">
        <f>IFERROR(__xludf.DUMMYFUNCTION("""COMPUTED_VALUE"""),0.0)</f>
        <v>0</v>
      </c>
      <c r="H1872" s="22">
        <f>IFERROR(__xludf.DUMMYFUNCTION("""COMPUTED_VALUE"""),496728.0049845)</f>
        <v>496728.005</v>
      </c>
      <c r="I1872" s="24">
        <f>IFERROR(__xludf.DUMMYFUNCTION("""COMPUTED_VALUE"""),-0.006543990031000035)</f>
        <v>-0.006543990031</v>
      </c>
    </row>
    <row r="1873">
      <c r="A1873" s="5" t="str">
        <f>IFERROR(__xludf.DUMMYFUNCTION("""COMPUTED_VALUE"""),"38105")</f>
        <v>38105</v>
      </c>
      <c r="B1873" s="64">
        <f>IFERROR(__xludf.DUMMYFUNCTION("""COMPUTED_VALUE"""),44656.0)</f>
        <v>44656</v>
      </c>
      <c r="C1873" s="5"/>
      <c r="D1873" s="5"/>
      <c r="E1873" s="5"/>
      <c r="F1873" s="22">
        <f>IFERROR(__xludf.DUMMYFUNCTION("""COMPUTED_VALUE"""),480657.9219035)</f>
        <v>480657.9219</v>
      </c>
      <c r="G1873" s="22">
        <f>IFERROR(__xludf.DUMMYFUNCTION("""COMPUTED_VALUE"""),0.0)</f>
        <v>0</v>
      </c>
      <c r="H1873" s="22">
        <f>IFERROR(__xludf.DUMMYFUNCTION("""COMPUTED_VALUE"""),501889.563698)</f>
        <v>501889.5637</v>
      </c>
      <c r="I1873" s="24">
        <f>IFERROR(__xludf.DUMMYFUNCTION("""COMPUTED_VALUE"""),0.0037791273959999483)</f>
        <v>0.003779127396</v>
      </c>
    </row>
    <row r="1874">
      <c r="A1874" s="5" t="str">
        <f>IFERROR(__xludf.DUMMYFUNCTION("""COMPUTED_VALUE"""),"38105")</f>
        <v>38105</v>
      </c>
      <c r="B1874" s="64">
        <f>IFERROR(__xludf.DUMMYFUNCTION("""COMPUTED_VALUE"""),44657.0)</f>
        <v>44657</v>
      </c>
      <c r="C1874" s="5"/>
      <c r="D1874" s="5"/>
      <c r="E1874" s="5"/>
      <c r="F1874" s="22">
        <f>IFERROR(__xludf.DUMMYFUNCTION("""COMPUTED_VALUE"""),480657.9219035)</f>
        <v>480657.9219</v>
      </c>
      <c r="G1874" s="22">
        <f>IFERROR(__xludf.DUMMYFUNCTION("""COMPUTED_VALUE"""),0.0)</f>
        <v>0</v>
      </c>
      <c r="H1874" s="22">
        <f>IFERROR(__xludf.DUMMYFUNCTION("""COMPUTED_VALUE"""),513173.4381039999)</f>
        <v>513173.4381</v>
      </c>
      <c r="I1874" s="24">
        <f>IFERROR(__xludf.DUMMYFUNCTION("""COMPUTED_VALUE"""),0.026346876207999692)</f>
        <v>0.02634687621</v>
      </c>
    </row>
    <row r="1875">
      <c r="A1875" s="5" t="str">
        <f>IFERROR(__xludf.DUMMYFUNCTION("""COMPUTED_VALUE"""),"38105")</f>
        <v>38105</v>
      </c>
      <c r="B1875" s="64">
        <f>IFERROR(__xludf.DUMMYFUNCTION("""COMPUTED_VALUE"""),44658.0)</f>
        <v>44658</v>
      </c>
      <c r="C1875" s="5"/>
      <c r="D1875" s="5"/>
      <c r="E1875" s="5"/>
      <c r="F1875" s="22">
        <f>IFERROR(__xludf.DUMMYFUNCTION("""COMPUTED_VALUE"""),480657.9219035)</f>
        <v>480657.9219</v>
      </c>
      <c r="G1875" s="22">
        <f>IFERROR(__xludf.DUMMYFUNCTION("""COMPUTED_VALUE"""),0.0)</f>
        <v>0</v>
      </c>
      <c r="H1875" s="22">
        <f>IFERROR(__xludf.DUMMYFUNCTION("""COMPUTED_VALUE"""),529731.083868)</f>
        <v>529731.0839</v>
      </c>
      <c r="I1875" s="24">
        <f>IFERROR(__xludf.DUMMYFUNCTION("""COMPUTED_VALUE"""),0.05946216773599988)</f>
        <v>0.05946216774</v>
      </c>
    </row>
    <row r="1876">
      <c r="A1876" s="5" t="str">
        <f>IFERROR(__xludf.DUMMYFUNCTION("""COMPUTED_VALUE"""),"38105")</f>
        <v>38105</v>
      </c>
      <c r="B1876" s="64">
        <f>IFERROR(__xludf.DUMMYFUNCTION("""COMPUTED_VALUE"""),44659.0)</f>
        <v>44659</v>
      </c>
      <c r="C1876" s="5"/>
      <c r="D1876" s="5"/>
      <c r="E1876" s="5"/>
      <c r="F1876" s="22">
        <f>IFERROR(__xludf.DUMMYFUNCTION("""COMPUTED_VALUE"""),480657.9219035)</f>
        <v>480657.9219</v>
      </c>
      <c r="G1876" s="22">
        <f>IFERROR(__xludf.DUMMYFUNCTION("""COMPUTED_VALUE"""),0.0)</f>
        <v>0</v>
      </c>
      <c r="H1876" s="22">
        <f>IFERROR(__xludf.DUMMYFUNCTION("""COMPUTED_VALUE"""),523297.5743584999)</f>
        <v>523297.5744</v>
      </c>
      <c r="I1876" s="24">
        <f>IFERROR(__xludf.DUMMYFUNCTION("""COMPUTED_VALUE"""),0.04659514871699977)</f>
        <v>0.04659514872</v>
      </c>
    </row>
    <row r="1877">
      <c r="A1877" s="5" t="str">
        <f>IFERROR(__xludf.DUMMYFUNCTION("""COMPUTED_VALUE"""),"38105")</f>
        <v>38105</v>
      </c>
      <c r="B1877" s="64">
        <f>IFERROR(__xludf.DUMMYFUNCTION("""COMPUTED_VALUE"""),44660.0)</f>
        <v>44660</v>
      </c>
      <c r="C1877" s="5"/>
      <c r="D1877" s="5"/>
      <c r="E1877" s="5"/>
      <c r="F1877" s="22">
        <f>IFERROR(__xludf.DUMMYFUNCTION("""COMPUTED_VALUE"""),480657.9219035)</f>
        <v>480657.9219</v>
      </c>
      <c r="G1877" s="22">
        <f>IFERROR(__xludf.DUMMYFUNCTION("""COMPUTED_VALUE"""),0.0)</f>
        <v>0</v>
      </c>
      <c r="H1877" s="22">
        <f>IFERROR(__xludf.DUMMYFUNCTION("""COMPUTED_VALUE"""),523297.5743584999)</f>
        <v>523297.5744</v>
      </c>
      <c r="I1877" s="24">
        <f>IFERROR(__xludf.DUMMYFUNCTION("""COMPUTED_VALUE"""),0.04659514871699977)</f>
        <v>0.04659514872</v>
      </c>
    </row>
    <row r="1878">
      <c r="A1878" s="5" t="str">
        <f>IFERROR(__xludf.DUMMYFUNCTION("""COMPUTED_VALUE"""),"38105")</f>
        <v>38105</v>
      </c>
      <c r="B1878" s="64">
        <f>IFERROR(__xludf.DUMMYFUNCTION("""COMPUTED_VALUE"""),44661.0)</f>
        <v>44661</v>
      </c>
      <c r="C1878" s="5"/>
      <c r="D1878" s="5"/>
      <c r="E1878" s="5"/>
      <c r="F1878" s="22">
        <f>IFERROR(__xludf.DUMMYFUNCTION("""COMPUTED_VALUE"""),480657.9219035)</f>
        <v>480657.9219</v>
      </c>
      <c r="G1878" s="22">
        <f>IFERROR(__xludf.DUMMYFUNCTION("""COMPUTED_VALUE"""),0.0)</f>
        <v>0</v>
      </c>
      <c r="H1878" s="22">
        <f>IFERROR(__xludf.DUMMYFUNCTION("""COMPUTED_VALUE"""),523297.5743584999)</f>
        <v>523297.5744</v>
      </c>
      <c r="I1878" s="24">
        <f>IFERROR(__xludf.DUMMYFUNCTION("""COMPUTED_VALUE"""),0.04659514871699977)</f>
        <v>0.04659514872</v>
      </c>
    </row>
    <row r="1879">
      <c r="A1879" s="5" t="str">
        <f>IFERROR(__xludf.DUMMYFUNCTION("""COMPUTED_VALUE"""),"38105")</f>
        <v>38105</v>
      </c>
      <c r="B1879" s="64">
        <f>IFERROR(__xludf.DUMMYFUNCTION("""COMPUTED_VALUE"""),44662.0)</f>
        <v>44662</v>
      </c>
      <c r="C1879" s="5"/>
      <c r="D1879" s="5"/>
      <c r="E1879" s="5"/>
      <c r="F1879" s="22">
        <f>IFERROR(__xludf.DUMMYFUNCTION("""COMPUTED_VALUE"""),480657.9219035)</f>
        <v>480657.9219</v>
      </c>
      <c r="G1879" s="22">
        <f>IFERROR(__xludf.DUMMYFUNCTION("""COMPUTED_VALUE"""),0.0)</f>
        <v>0</v>
      </c>
      <c r="H1879" s="22">
        <f>IFERROR(__xludf.DUMMYFUNCTION("""COMPUTED_VALUE"""),528276.898364)</f>
        <v>528276.8984</v>
      </c>
      <c r="I1879" s="24">
        <f>IFERROR(__xludf.DUMMYFUNCTION("""COMPUTED_VALUE"""),0.056553796728000094)</f>
        <v>0.05655379673</v>
      </c>
    </row>
    <row r="1880">
      <c r="A1880" s="5" t="str">
        <f>IFERROR(__xludf.DUMMYFUNCTION("""COMPUTED_VALUE"""),"38105")</f>
        <v>38105</v>
      </c>
      <c r="B1880" s="64">
        <f>IFERROR(__xludf.DUMMYFUNCTION("""COMPUTED_VALUE"""),44663.0)</f>
        <v>44663</v>
      </c>
      <c r="C1880" s="5"/>
      <c r="D1880" s="5"/>
      <c r="E1880" s="5"/>
      <c r="F1880" s="22">
        <f>IFERROR(__xludf.DUMMYFUNCTION("""COMPUTED_VALUE"""),480657.9219035)</f>
        <v>480657.9219</v>
      </c>
      <c r="G1880" s="22">
        <f>IFERROR(__xludf.DUMMYFUNCTION("""COMPUTED_VALUE"""),0.0)</f>
        <v>0</v>
      </c>
      <c r="H1880" s="22">
        <f>IFERROR(__xludf.DUMMYFUNCTION("""COMPUTED_VALUE"""),533036.2228265)</f>
        <v>533036.2228</v>
      </c>
      <c r="I1880" s="24">
        <f>IFERROR(__xludf.DUMMYFUNCTION("""COMPUTED_VALUE"""),0.06607244565299997)</f>
        <v>0.06607244565</v>
      </c>
    </row>
    <row r="1881">
      <c r="A1881" s="5" t="str">
        <f>IFERROR(__xludf.DUMMYFUNCTION("""COMPUTED_VALUE"""),"38109")</f>
        <v>38109</v>
      </c>
      <c r="B1881" s="64">
        <f>IFERROR(__xludf.DUMMYFUNCTION("""COMPUTED_VALUE"""),44597.0)</f>
        <v>44597</v>
      </c>
      <c r="C1881" s="5"/>
      <c r="D1881" s="5"/>
      <c r="E1881" s="5"/>
      <c r="F1881" s="22">
        <f>IFERROR(__xludf.DUMMYFUNCTION("""COMPUTED_VALUE"""),500000.0)</f>
        <v>500000</v>
      </c>
      <c r="G1881" s="22">
        <f>IFERROR(__xludf.DUMMYFUNCTION("""COMPUTED_VALUE"""),0.0)</f>
        <v>0</v>
      </c>
      <c r="H1881" s="22">
        <f>IFERROR(__xludf.DUMMYFUNCTION("""COMPUTED_VALUE"""),500000.0)</f>
        <v>500000</v>
      </c>
      <c r="I1881" s="24">
        <f>IFERROR(__xludf.DUMMYFUNCTION("""COMPUTED_VALUE"""),0.0)</f>
        <v>0</v>
      </c>
    </row>
    <row r="1882">
      <c r="A1882" s="5" t="str">
        <f>IFERROR(__xludf.DUMMYFUNCTION("""COMPUTED_VALUE"""),"38109")</f>
        <v>38109</v>
      </c>
      <c r="B1882" s="64">
        <f>IFERROR(__xludf.DUMMYFUNCTION("""COMPUTED_VALUE"""),44598.0)</f>
        <v>44598</v>
      </c>
      <c r="C1882" s="5"/>
      <c r="D1882" s="5"/>
      <c r="E1882" s="5"/>
      <c r="F1882" s="22">
        <f>IFERROR(__xludf.DUMMYFUNCTION("""COMPUTED_VALUE"""),500000.0)</f>
        <v>500000</v>
      </c>
      <c r="G1882" s="22">
        <f>IFERROR(__xludf.DUMMYFUNCTION("""COMPUTED_VALUE"""),0.0)</f>
        <v>0</v>
      </c>
      <c r="H1882" s="22">
        <f>IFERROR(__xludf.DUMMYFUNCTION("""COMPUTED_VALUE"""),500000.0)</f>
        <v>500000</v>
      </c>
      <c r="I1882" s="24">
        <f>IFERROR(__xludf.DUMMYFUNCTION("""COMPUTED_VALUE"""),0.0)</f>
        <v>0</v>
      </c>
    </row>
    <row r="1883">
      <c r="A1883" s="5" t="str">
        <f>IFERROR(__xludf.DUMMYFUNCTION("""COMPUTED_VALUE"""),"38109")</f>
        <v>38109</v>
      </c>
      <c r="B1883" s="64">
        <f>IFERROR(__xludf.DUMMYFUNCTION("""COMPUTED_VALUE"""),44599.0)</f>
        <v>44599</v>
      </c>
      <c r="C1883" s="5"/>
      <c r="D1883" s="5"/>
      <c r="E1883" s="5"/>
      <c r="F1883" s="22">
        <f>IFERROR(__xludf.DUMMYFUNCTION("""COMPUTED_VALUE"""),500000.0)</f>
        <v>500000</v>
      </c>
      <c r="G1883" s="22">
        <f>IFERROR(__xludf.DUMMYFUNCTION("""COMPUTED_VALUE"""),0.0)</f>
        <v>0</v>
      </c>
      <c r="H1883" s="22">
        <f>IFERROR(__xludf.DUMMYFUNCTION("""COMPUTED_VALUE"""),500000.0)</f>
        <v>500000</v>
      </c>
      <c r="I1883" s="24">
        <f>IFERROR(__xludf.DUMMYFUNCTION("""COMPUTED_VALUE"""),0.0)</f>
        <v>0</v>
      </c>
    </row>
    <row r="1884">
      <c r="A1884" s="5" t="str">
        <f>IFERROR(__xludf.DUMMYFUNCTION("""COMPUTED_VALUE"""),"38109")</f>
        <v>38109</v>
      </c>
      <c r="B1884" s="64">
        <f>IFERROR(__xludf.DUMMYFUNCTION("""COMPUTED_VALUE"""),44600.0)</f>
        <v>44600</v>
      </c>
      <c r="C1884" s="5"/>
      <c r="D1884" s="5"/>
      <c r="E1884" s="5"/>
      <c r="F1884" s="22">
        <f>IFERROR(__xludf.DUMMYFUNCTION("""COMPUTED_VALUE"""),500000.0)</f>
        <v>500000</v>
      </c>
      <c r="G1884" s="22">
        <f>IFERROR(__xludf.DUMMYFUNCTION("""COMPUTED_VALUE"""),0.0)</f>
        <v>0</v>
      </c>
      <c r="H1884" s="22">
        <f>IFERROR(__xludf.DUMMYFUNCTION("""COMPUTED_VALUE"""),500000.0)</f>
        <v>500000</v>
      </c>
      <c r="I1884" s="24">
        <f>IFERROR(__xludf.DUMMYFUNCTION("""COMPUTED_VALUE"""),0.0)</f>
        <v>0</v>
      </c>
    </row>
    <row r="1885">
      <c r="A1885" s="5" t="str">
        <f>IFERROR(__xludf.DUMMYFUNCTION("""COMPUTED_VALUE"""),"38109")</f>
        <v>38109</v>
      </c>
      <c r="B1885" s="64">
        <f>IFERROR(__xludf.DUMMYFUNCTION("""COMPUTED_VALUE"""),44601.0)</f>
        <v>44601</v>
      </c>
      <c r="C1885" s="5"/>
      <c r="D1885" s="5"/>
      <c r="E1885" s="5"/>
      <c r="F1885" s="22">
        <f>IFERROR(__xludf.DUMMYFUNCTION("""COMPUTED_VALUE"""),500000.0)</f>
        <v>500000</v>
      </c>
      <c r="G1885" s="22">
        <f>IFERROR(__xludf.DUMMYFUNCTION("""COMPUTED_VALUE"""),0.0)</f>
        <v>0</v>
      </c>
      <c r="H1885" s="22">
        <f>IFERROR(__xludf.DUMMYFUNCTION("""COMPUTED_VALUE"""),500000.0)</f>
        <v>500000</v>
      </c>
      <c r="I1885" s="24">
        <f>IFERROR(__xludf.DUMMYFUNCTION("""COMPUTED_VALUE"""),0.0)</f>
        <v>0</v>
      </c>
    </row>
    <row r="1886">
      <c r="A1886" s="5" t="str">
        <f>IFERROR(__xludf.DUMMYFUNCTION("""COMPUTED_VALUE"""),"38109")</f>
        <v>38109</v>
      </c>
      <c r="B1886" s="64">
        <f>IFERROR(__xludf.DUMMYFUNCTION("""COMPUTED_VALUE"""),44602.0)</f>
        <v>44602</v>
      </c>
      <c r="C1886" s="5"/>
      <c r="D1886" s="5"/>
      <c r="E1886" s="5"/>
      <c r="F1886" s="22">
        <f>IFERROR(__xludf.DUMMYFUNCTION("""COMPUTED_VALUE"""),500000.0)</f>
        <v>500000</v>
      </c>
      <c r="G1886" s="22">
        <f>IFERROR(__xludf.DUMMYFUNCTION("""COMPUTED_VALUE"""),0.0)</f>
        <v>0</v>
      </c>
      <c r="H1886" s="22">
        <f>IFERROR(__xludf.DUMMYFUNCTION("""COMPUTED_VALUE"""),500000.0)</f>
        <v>500000</v>
      </c>
      <c r="I1886" s="24">
        <f>IFERROR(__xludf.DUMMYFUNCTION("""COMPUTED_VALUE"""),0.0)</f>
        <v>0</v>
      </c>
    </row>
    <row r="1887">
      <c r="A1887" s="5" t="str">
        <f>IFERROR(__xludf.DUMMYFUNCTION("""COMPUTED_VALUE"""),"38109")</f>
        <v>38109</v>
      </c>
      <c r="B1887" s="64">
        <f>IFERROR(__xludf.DUMMYFUNCTION("""COMPUTED_VALUE"""),44603.0)</f>
        <v>44603</v>
      </c>
      <c r="C1887" s="5"/>
      <c r="D1887" s="5"/>
      <c r="E1887" s="5"/>
      <c r="F1887" s="22">
        <f>IFERROR(__xludf.DUMMYFUNCTION("""COMPUTED_VALUE"""),500000.0)</f>
        <v>500000</v>
      </c>
      <c r="G1887" s="22">
        <f>IFERROR(__xludf.DUMMYFUNCTION("""COMPUTED_VALUE"""),0.0)</f>
        <v>0</v>
      </c>
      <c r="H1887" s="22">
        <f>IFERROR(__xludf.DUMMYFUNCTION("""COMPUTED_VALUE"""),500000.0)</f>
        <v>500000</v>
      </c>
      <c r="I1887" s="24">
        <f>IFERROR(__xludf.DUMMYFUNCTION("""COMPUTED_VALUE"""),0.0)</f>
        <v>0</v>
      </c>
    </row>
    <row r="1888">
      <c r="A1888" s="5" t="str">
        <f>IFERROR(__xludf.DUMMYFUNCTION("""COMPUTED_VALUE"""),"38109")</f>
        <v>38109</v>
      </c>
      <c r="B1888" s="64">
        <f>IFERROR(__xludf.DUMMYFUNCTION("""COMPUTED_VALUE"""),44604.0)</f>
        <v>44604</v>
      </c>
      <c r="C1888" s="5"/>
      <c r="D1888" s="5"/>
      <c r="E1888" s="5"/>
      <c r="F1888" s="22">
        <f>IFERROR(__xludf.DUMMYFUNCTION("""COMPUTED_VALUE"""),500000.0)</f>
        <v>500000</v>
      </c>
      <c r="G1888" s="22">
        <f>IFERROR(__xludf.DUMMYFUNCTION("""COMPUTED_VALUE"""),0.0)</f>
        <v>0</v>
      </c>
      <c r="H1888" s="22">
        <f>IFERROR(__xludf.DUMMYFUNCTION("""COMPUTED_VALUE"""),500000.0)</f>
        <v>500000</v>
      </c>
      <c r="I1888" s="24">
        <f>IFERROR(__xludf.DUMMYFUNCTION("""COMPUTED_VALUE"""),0.0)</f>
        <v>0</v>
      </c>
    </row>
    <row r="1889">
      <c r="A1889" s="5" t="str">
        <f>IFERROR(__xludf.DUMMYFUNCTION("""COMPUTED_VALUE"""),"38109")</f>
        <v>38109</v>
      </c>
      <c r="B1889" s="64">
        <f>IFERROR(__xludf.DUMMYFUNCTION("""COMPUTED_VALUE"""),44605.0)</f>
        <v>44605</v>
      </c>
      <c r="C1889" s="5"/>
      <c r="D1889" s="5"/>
      <c r="E1889" s="5"/>
      <c r="F1889" s="22">
        <f>IFERROR(__xludf.DUMMYFUNCTION("""COMPUTED_VALUE"""),500000.0)</f>
        <v>500000</v>
      </c>
      <c r="G1889" s="22">
        <f>IFERROR(__xludf.DUMMYFUNCTION("""COMPUTED_VALUE"""),0.0)</f>
        <v>0</v>
      </c>
      <c r="H1889" s="22">
        <f>IFERROR(__xludf.DUMMYFUNCTION("""COMPUTED_VALUE"""),500000.0)</f>
        <v>500000</v>
      </c>
      <c r="I1889" s="24">
        <f>IFERROR(__xludf.DUMMYFUNCTION("""COMPUTED_VALUE"""),0.0)</f>
        <v>0</v>
      </c>
    </row>
    <row r="1890">
      <c r="A1890" s="5" t="str">
        <f>IFERROR(__xludf.DUMMYFUNCTION("""COMPUTED_VALUE"""),"38109")</f>
        <v>38109</v>
      </c>
      <c r="B1890" s="64">
        <f>IFERROR(__xludf.DUMMYFUNCTION("""COMPUTED_VALUE"""),44606.0)</f>
        <v>44606</v>
      </c>
      <c r="C1890" s="5"/>
      <c r="D1890" s="5"/>
      <c r="E1890" s="5"/>
      <c r="F1890" s="22">
        <f>IFERROR(__xludf.DUMMYFUNCTION("""COMPUTED_VALUE"""),500000.0)</f>
        <v>500000</v>
      </c>
      <c r="G1890" s="22">
        <f>IFERROR(__xludf.DUMMYFUNCTION("""COMPUTED_VALUE"""),0.0)</f>
        <v>0</v>
      </c>
      <c r="H1890" s="22">
        <f>IFERROR(__xludf.DUMMYFUNCTION("""COMPUTED_VALUE"""),500000.0)</f>
        <v>500000</v>
      </c>
      <c r="I1890" s="24">
        <f>IFERROR(__xludf.DUMMYFUNCTION("""COMPUTED_VALUE"""),0.0)</f>
        <v>0</v>
      </c>
    </row>
    <row r="1891">
      <c r="A1891" s="5" t="str">
        <f>IFERROR(__xludf.DUMMYFUNCTION("""COMPUTED_VALUE"""),"38109")</f>
        <v>38109</v>
      </c>
      <c r="B1891" s="64">
        <f>IFERROR(__xludf.DUMMYFUNCTION("""COMPUTED_VALUE"""),44607.0)</f>
        <v>44607</v>
      </c>
      <c r="C1891" s="5"/>
      <c r="D1891" s="5"/>
      <c r="E1891" s="5"/>
      <c r="F1891" s="22">
        <f>IFERROR(__xludf.DUMMYFUNCTION("""COMPUTED_VALUE"""),500000.0)</f>
        <v>500000</v>
      </c>
      <c r="G1891" s="22">
        <f>IFERROR(__xludf.DUMMYFUNCTION("""COMPUTED_VALUE"""),0.0)</f>
        <v>0</v>
      </c>
      <c r="H1891" s="22">
        <f>IFERROR(__xludf.DUMMYFUNCTION("""COMPUTED_VALUE"""),500000.0)</f>
        <v>500000</v>
      </c>
      <c r="I1891" s="24">
        <f>IFERROR(__xludf.DUMMYFUNCTION("""COMPUTED_VALUE"""),0.0)</f>
        <v>0</v>
      </c>
    </row>
    <row r="1892">
      <c r="A1892" s="5" t="str">
        <f>IFERROR(__xludf.DUMMYFUNCTION("""COMPUTED_VALUE"""),"38109")</f>
        <v>38109</v>
      </c>
      <c r="B1892" s="64">
        <f>IFERROR(__xludf.DUMMYFUNCTION("""COMPUTED_VALUE"""),44608.0)</f>
        <v>44608</v>
      </c>
      <c r="C1892" s="5"/>
      <c r="D1892" s="5"/>
      <c r="E1892" s="5"/>
      <c r="F1892" s="22">
        <f>IFERROR(__xludf.DUMMYFUNCTION("""COMPUTED_VALUE"""),500000.0)</f>
        <v>500000</v>
      </c>
      <c r="G1892" s="22">
        <f>IFERROR(__xludf.DUMMYFUNCTION("""COMPUTED_VALUE"""),0.0)</f>
        <v>0</v>
      </c>
      <c r="H1892" s="22">
        <f>IFERROR(__xludf.DUMMYFUNCTION("""COMPUTED_VALUE"""),500000.0)</f>
        <v>500000</v>
      </c>
      <c r="I1892" s="24">
        <f>IFERROR(__xludf.DUMMYFUNCTION("""COMPUTED_VALUE"""),0.0)</f>
        <v>0</v>
      </c>
    </row>
    <row r="1893">
      <c r="A1893" s="5" t="str">
        <f>IFERROR(__xludf.DUMMYFUNCTION("""COMPUTED_VALUE"""),"38109")</f>
        <v>38109</v>
      </c>
      <c r="B1893" s="64">
        <f>IFERROR(__xludf.DUMMYFUNCTION("""COMPUTED_VALUE"""),44609.0)</f>
        <v>44609</v>
      </c>
      <c r="C1893" s="5"/>
      <c r="D1893" s="5"/>
      <c r="E1893" s="5"/>
      <c r="F1893" s="22">
        <f>IFERROR(__xludf.DUMMYFUNCTION("""COMPUTED_VALUE"""),500000.0)</f>
        <v>500000</v>
      </c>
      <c r="G1893" s="22">
        <f>IFERROR(__xludf.DUMMYFUNCTION("""COMPUTED_VALUE"""),0.0)</f>
        <v>0</v>
      </c>
      <c r="H1893" s="22">
        <f>IFERROR(__xludf.DUMMYFUNCTION("""COMPUTED_VALUE"""),500000.0)</f>
        <v>500000</v>
      </c>
      <c r="I1893" s="24">
        <f>IFERROR(__xludf.DUMMYFUNCTION("""COMPUTED_VALUE"""),0.0)</f>
        <v>0</v>
      </c>
    </row>
    <row r="1894">
      <c r="A1894" s="5" t="str">
        <f>IFERROR(__xludf.DUMMYFUNCTION("""COMPUTED_VALUE"""),"38109")</f>
        <v>38109</v>
      </c>
      <c r="B1894" s="64">
        <f>IFERROR(__xludf.DUMMYFUNCTION("""COMPUTED_VALUE"""),44610.0)</f>
        <v>44610</v>
      </c>
      <c r="C1894" s="5"/>
      <c r="D1894" s="5"/>
      <c r="E1894" s="5"/>
      <c r="F1894" s="22">
        <f>IFERROR(__xludf.DUMMYFUNCTION("""COMPUTED_VALUE"""),500000.0)</f>
        <v>500000</v>
      </c>
      <c r="G1894" s="22">
        <f>IFERROR(__xludf.DUMMYFUNCTION("""COMPUTED_VALUE"""),0.0)</f>
        <v>0</v>
      </c>
      <c r="H1894" s="22">
        <f>IFERROR(__xludf.DUMMYFUNCTION("""COMPUTED_VALUE"""),500000.0)</f>
        <v>500000</v>
      </c>
      <c r="I1894" s="24">
        <f>IFERROR(__xludf.DUMMYFUNCTION("""COMPUTED_VALUE"""),0.0)</f>
        <v>0</v>
      </c>
    </row>
    <row r="1895">
      <c r="A1895" s="5" t="str">
        <f>IFERROR(__xludf.DUMMYFUNCTION("""COMPUTED_VALUE"""),"38109")</f>
        <v>38109</v>
      </c>
      <c r="B1895" s="64">
        <f>IFERROR(__xludf.DUMMYFUNCTION("""COMPUTED_VALUE"""),44611.0)</f>
        <v>44611</v>
      </c>
      <c r="C1895" s="5"/>
      <c r="D1895" s="5"/>
      <c r="E1895" s="5"/>
      <c r="F1895" s="22">
        <f>IFERROR(__xludf.DUMMYFUNCTION("""COMPUTED_VALUE"""),500000.0)</f>
        <v>500000</v>
      </c>
      <c r="G1895" s="22">
        <f>IFERROR(__xludf.DUMMYFUNCTION("""COMPUTED_VALUE"""),0.0)</f>
        <v>0</v>
      </c>
      <c r="H1895" s="22">
        <f>IFERROR(__xludf.DUMMYFUNCTION("""COMPUTED_VALUE"""),500000.0)</f>
        <v>500000</v>
      </c>
      <c r="I1895" s="24">
        <f>IFERROR(__xludf.DUMMYFUNCTION("""COMPUTED_VALUE"""),0.0)</f>
        <v>0</v>
      </c>
    </row>
    <row r="1896">
      <c r="A1896" s="5" t="str">
        <f>IFERROR(__xludf.DUMMYFUNCTION("""COMPUTED_VALUE"""),"38109")</f>
        <v>38109</v>
      </c>
      <c r="B1896" s="64">
        <f>IFERROR(__xludf.DUMMYFUNCTION("""COMPUTED_VALUE"""),44612.0)</f>
        <v>44612</v>
      </c>
      <c r="C1896" s="5"/>
      <c r="D1896" s="5"/>
      <c r="E1896" s="5"/>
      <c r="F1896" s="22">
        <f>IFERROR(__xludf.DUMMYFUNCTION("""COMPUTED_VALUE"""),500000.0)</f>
        <v>500000</v>
      </c>
      <c r="G1896" s="22">
        <f>IFERROR(__xludf.DUMMYFUNCTION("""COMPUTED_VALUE"""),0.0)</f>
        <v>0</v>
      </c>
      <c r="H1896" s="22">
        <f>IFERROR(__xludf.DUMMYFUNCTION("""COMPUTED_VALUE"""),500000.0)</f>
        <v>500000</v>
      </c>
      <c r="I1896" s="24">
        <f>IFERROR(__xludf.DUMMYFUNCTION("""COMPUTED_VALUE"""),0.0)</f>
        <v>0</v>
      </c>
    </row>
    <row r="1897">
      <c r="A1897" s="5" t="str">
        <f>IFERROR(__xludf.DUMMYFUNCTION("""COMPUTED_VALUE"""),"38109")</f>
        <v>38109</v>
      </c>
      <c r="B1897" s="64">
        <f>IFERROR(__xludf.DUMMYFUNCTION("""COMPUTED_VALUE"""),44613.0)</f>
        <v>44613</v>
      </c>
      <c r="C1897" s="5"/>
      <c r="D1897" s="5"/>
      <c r="E1897" s="5"/>
      <c r="F1897" s="22">
        <f>IFERROR(__xludf.DUMMYFUNCTION("""COMPUTED_VALUE"""),500000.0)</f>
        <v>500000</v>
      </c>
      <c r="G1897" s="22">
        <f>IFERROR(__xludf.DUMMYFUNCTION("""COMPUTED_VALUE"""),0.0)</f>
        <v>0</v>
      </c>
      <c r="H1897" s="22">
        <f>IFERROR(__xludf.DUMMYFUNCTION("""COMPUTED_VALUE"""),500000.0)</f>
        <v>500000</v>
      </c>
      <c r="I1897" s="24">
        <f>IFERROR(__xludf.DUMMYFUNCTION("""COMPUTED_VALUE"""),0.0)</f>
        <v>0</v>
      </c>
    </row>
    <row r="1898">
      <c r="A1898" s="5" t="str">
        <f>IFERROR(__xludf.DUMMYFUNCTION("""COMPUTED_VALUE"""),"38109")</f>
        <v>38109</v>
      </c>
      <c r="B1898" s="64">
        <f>IFERROR(__xludf.DUMMYFUNCTION("""COMPUTED_VALUE"""),44614.0)</f>
        <v>44614</v>
      </c>
      <c r="C1898" s="5"/>
      <c r="D1898" s="5"/>
      <c r="E1898" s="5"/>
      <c r="F1898" s="22">
        <f>IFERROR(__xludf.DUMMYFUNCTION("""COMPUTED_VALUE"""),500000.0)</f>
        <v>500000</v>
      </c>
      <c r="G1898" s="22">
        <f>IFERROR(__xludf.DUMMYFUNCTION("""COMPUTED_VALUE"""),0.0)</f>
        <v>0</v>
      </c>
      <c r="H1898" s="22">
        <f>IFERROR(__xludf.DUMMYFUNCTION("""COMPUTED_VALUE"""),500000.0)</f>
        <v>500000</v>
      </c>
      <c r="I1898" s="24">
        <f>IFERROR(__xludf.DUMMYFUNCTION("""COMPUTED_VALUE"""),0.0)</f>
        <v>0</v>
      </c>
    </row>
    <row r="1899">
      <c r="A1899" s="5" t="str">
        <f>IFERROR(__xludf.DUMMYFUNCTION("""COMPUTED_VALUE"""),"38109")</f>
        <v>38109</v>
      </c>
      <c r="B1899" s="64">
        <f>IFERROR(__xludf.DUMMYFUNCTION("""COMPUTED_VALUE"""),44615.0)</f>
        <v>44615</v>
      </c>
      <c r="C1899" s="5"/>
      <c r="D1899" s="5"/>
      <c r="E1899" s="5"/>
      <c r="F1899" s="22">
        <f>IFERROR(__xludf.DUMMYFUNCTION("""COMPUTED_VALUE"""),500000.0)</f>
        <v>500000</v>
      </c>
      <c r="G1899" s="22">
        <f>IFERROR(__xludf.DUMMYFUNCTION("""COMPUTED_VALUE"""),0.0)</f>
        <v>0</v>
      </c>
      <c r="H1899" s="22">
        <f>IFERROR(__xludf.DUMMYFUNCTION("""COMPUTED_VALUE"""),500000.0)</f>
        <v>500000</v>
      </c>
      <c r="I1899" s="24">
        <f>IFERROR(__xludf.DUMMYFUNCTION("""COMPUTED_VALUE"""),0.0)</f>
        <v>0</v>
      </c>
    </row>
    <row r="1900">
      <c r="A1900" s="5" t="str">
        <f>IFERROR(__xludf.DUMMYFUNCTION("""COMPUTED_VALUE"""),"38109")</f>
        <v>38109</v>
      </c>
      <c r="B1900" s="64">
        <f>IFERROR(__xludf.DUMMYFUNCTION("""COMPUTED_VALUE"""),44616.0)</f>
        <v>44616</v>
      </c>
      <c r="C1900" s="5"/>
      <c r="D1900" s="5"/>
      <c r="E1900" s="5"/>
      <c r="F1900" s="22">
        <f>IFERROR(__xludf.DUMMYFUNCTION("""COMPUTED_VALUE"""),500000.0)</f>
        <v>500000</v>
      </c>
      <c r="G1900" s="22">
        <f>IFERROR(__xludf.DUMMYFUNCTION("""COMPUTED_VALUE"""),0.0)</f>
        <v>0</v>
      </c>
      <c r="H1900" s="22">
        <f>IFERROR(__xludf.DUMMYFUNCTION("""COMPUTED_VALUE"""),500000.0)</f>
        <v>500000</v>
      </c>
      <c r="I1900" s="24">
        <f>IFERROR(__xludf.DUMMYFUNCTION("""COMPUTED_VALUE"""),0.0)</f>
        <v>0</v>
      </c>
    </row>
    <row r="1901">
      <c r="A1901" s="5" t="str">
        <f>IFERROR(__xludf.DUMMYFUNCTION("""COMPUTED_VALUE"""),"38109")</f>
        <v>38109</v>
      </c>
      <c r="B1901" s="64">
        <f>IFERROR(__xludf.DUMMYFUNCTION("""COMPUTED_VALUE"""),44617.0)</f>
        <v>44617</v>
      </c>
      <c r="C1901" s="5"/>
      <c r="D1901" s="5"/>
      <c r="E1901" s="5"/>
      <c r="F1901" s="22">
        <f>IFERROR(__xludf.DUMMYFUNCTION("""COMPUTED_VALUE"""),500000.0)</f>
        <v>500000</v>
      </c>
      <c r="G1901" s="22">
        <f>IFERROR(__xludf.DUMMYFUNCTION("""COMPUTED_VALUE"""),0.0)</f>
        <v>0</v>
      </c>
      <c r="H1901" s="22">
        <f>IFERROR(__xludf.DUMMYFUNCTION("""COMPUTED_VALUE"""),500000.0)</f>
        <v>500000</v>
      </c>
      <c r="I1901" s="24">
        <f>IFERROR(__xludf.DUMMYFUNCTION("""COMPUTED_VALUE"""),0.0)</f>
        <v>0</v>
      </c>
    </row>
    <row r="1902">
      <c r="A1902" s="5" t="str">
        <f>IFERROR(__xludf.DUMMYFUNCTION("""COMPUTED_VALUE"""),"38109")</f>
        <v>38109</v>
      </c>
      <c r="B1902" s="64">
        <f>IFERROR(__xludf.DUMMYFUNCTION("""COMPUTED_VALUE"""),44618.0)</f>
        <v>44618</v>
      </c>
      <c r="C1902" s="5"/>
      <c r="D1902" s="5"/>
      <c r="E1902" s="5"/>
      <c r="F1902" s="22">
        <f>IFERROR(__xludf.DUMMYFUNCTION("""COMPUTED_VALUE"""),500000.0)</f>
        <v>500000</v>
      </c>
      <c r="G1902" s="22">
        <f>IFERROR(__xludf.DUMMYFUNCTION("""COMPUTED_VALUE"""),0.0)</f>
        <v>0</v>
      </c>
      <c r="H1902" s="22">
        <f>IFERROR(__xludf.DUMMYFUNCTION("""COMPUTED_VALUE"""),500000.0)</f>
        <v>500000</v>
      </c>
      <c r="I1902" s="24">
        <f>IFERROR(__xludf.DUMMYFUNCTION("""COMPUTED_VALUE"""),0.0)</f>
        <v>0</v>
      </c>
    </row>
    <row r="1903">
      <c r="A1903" s="5" t="str">
        <f>IFERROR(__xludf.DUMMYFUNCTION("""COMPUTED_VALUE"""),"38109")</f>
        <v>38109</v>
      </c>
      <c r="B1903" s="64">
        <f>IFERROR(__xludf.DUMMYFUNCTION("""COMPUTED_VALUE"""),44619.0)</f>
        <v>44619</v>
      </c>
      <c r="C1903" s="5"/>
      <c r="D1903" s="5"/>
      <c r="E1903" s="5"/>
      <c r="F1903" s="22">
        <f>IFERROR(__xludf.DUMMYFUNCTION("""COMPUTED_VALUE"""),500000.0)</f>
        <v>500000</v>
      </c>
      <c r="G1903" s="22">
        <f>IFERROR(__xludf.DUMMYFUNCTION("""COMPUTED_VALUE"""),0.0)</f>
        <v>0</v>
      </c>
      <c r="H1903" s="22">
        <f>IFERROR(__xludf.DUMMYFUNCTION("""COMPUTED_VALUE"""),500000.0)</f>
        <v>500000</v>
      </c>
      <c r="I1903" s="24">
        <f>IFERROR(__xludf.DUMMYFUNCTION("""COMPUTED_VALUE"""),0.0)</f>
        <v>0</v>
      </c>
    </row>
    <row r="1904">
      <c r="A1904" s="5" t="str">
        <f>IFERROR(__xludf.DUMMYFUNCTION("""COMPUTED_VALUE"""),"38109")</f>
        <v>38109</v>
      </c>
      <c r="B1904" s="64">
        <f>IFERROR(__xludf.DUMMYFUNCTION("""COMPUTED_VALUE"""),44620.0)</f>
        <v>44620</v>
      </c>
      <c r="C1904" s="5"/>
      <c r="D1904" s="5"/>
      <c r="E1904" s="5"/>
      <c r="F1904" s="22">
        <f>IFERROR(__xludf.DUMMYFUNCTION("""COMPUTED_VALUE"""),500000.0)</f>
        <v>500000</v>
      </c>
      <c r="G1904" s="22">
        <f>IFERROR(__xludf.DUMMYFUNCTION("""COMPUTED_VALUE"""),0.0)</f>
        <v>0</v>
      </c>
      <c r="H1904" s="22">
        <f>IFERROR(__xludf.DUMMYFUNCTION("""COMPUTED_VALUE"""),500000.0)</f>
        <v>500000</v>
      </c>
      <c r="I1904" s="24">
        <f>IFERROR(__xludf.DUMMYFUNCTION("""COMPUTED_VALUE"""),0.0)</f>
        <v>0</v>
      </c>
    </row>
    <row r="1905">
      <c r="A1905" s="5" t="str">
        <f>IFERROR(__xludf.DUMMYFUNCTION("""COMPUTED_VALUE"""),"38109")</f>
        <v>38109</v>
      </c>
      <c r="B1905" s="64">
        <f>IFERROR(__xludf.DUMMYFUNCTION("""COMPUTED_VALUE"""),44621.0)</f>
        <v>44621</v>
      </c>
      <c r="C1905" s="5"/>
      <c r="D1905" s="5"/>
      <c r="E1905" s="5"/>
      <c r="F1905" s="22">
        <f>IFERROR(__xludf.DUMMYFUNCTION("""COMPUTED_VALUE"""),500000.0)</f>
        <v>500000</v>
      </c>
      <c r="G1905" s="22">
        <f>IFERROR(__xludf.DUMMYFUNCTION("""COMPUTED_VALUE"""),0.0)</f>
        <v>0</v>
      </c>
      <c r="H1905" s="22">
        <f>IFERROR(__xludf.DUMMYFUNCTION("""COMPUTED_VALUE"""),500000.0)</f>
        <v>500000</v>
      </c>
      <c r="I1905" s="24">
        <f>IFERROR(__xludf.DUMMYFUNCTION("""COMPUTED_VALUE"""),0.0)</f>
        <v>0</v>
      </c>
    </row>
    <row r="1906">
      <c r="A1906" s="5" t="str">
        <f>IFERROR(__xludf.DUMMYFUNCTION("""COMPUTED_VALUE"""),"38109")</f>
        <v>38109</v>
      </c>
      <c r="B1906" s="64">
        <f>IFERROR(__xludf.DUMMYFUNCTION("""COMPUTED_VALUE"""),44622.0)</f>
        <v>44622</v>
      </c>
      <c r="C1906" s="5"/>
      <c r="D1906" s="5"/>
      <c r="E1906" s="5"/>
      <c r="F1906" s="22">
        <f>IFERROR(__xludf.DUMMYFUNCTION("""COMPUTED_VALUE"""),500000.0)</f>
        <v>500000</v>
      </c>
      <c r="G1906" s="22">
        <f>IFERROR(__xludf.DUMMYFUNCTION("""COMPUTED_VALUE"""),0.0)</f>
        <v>0</v>
      </c>
      <c r="H1906" s="22">
        <f>IFERROR(__xludf.DUMMYFUNCTION("""COMPUTED_VALUE"""),500000.0)</f>
        <v>500000</v>
      </c>
      <c r="I1906" s="24">
        <f>IFERROR(__xludf.DUMMYFUNCTION("""COMPUTED_VALUE"""),0.0)</f>
        <v>0</v>
      </c>
    </row>
    <row r="1907">
      <c r="A1907" s="5" t="str">
        <f>IFERROR(__xludf.DUMMYFUNCTION("""COMPUTED_VALUE"""),"38109")</f>
        <v>38109</v>
      </c>
      <c r="B1907" s="64">
        <f>IFERROR(__xludf.DUMMYFUNCTION("""COMPUTED_VALUE"""),44623.0)</f>
        <v>44623</v>
      </c>
      <c r="C1907" s="5"/>
      <c r="D1907" s="5"/>
      <c r="E1907" s="5"/>
      <c r="F1907" s="22">
        <f>IFERROR(__xludf.DUMMYFUNCTION("""COMPUTED_VALUE"""),500000.0)</f>
        <v>500000</v>
      </c>
      <c r="G1907" s="22">
        <f>IFERROR(__xludf.DUMMYFUNCTION("""COMPUTED_VALUE"""),0.0)</f>
        <v>0</v>
      </c>
      <c r="H1907" s="22">
        <f>IFERROR(__xludf.DUMMYFUNCTION("""COMPUTED_VALUE"""),500000.0)</f>
        <v>500000</v>
      </c>
      <c r="I1907" s="24">
        <f>IFERROR(__xludf.DUMMYFUNCTION("""COMPUTED_VALUE"""),0.0)</f>
        <v>0</v>
      </c>
    </row>
    <row r="1908">
      <c r="A1908" s="5" t="str">
        <f>IFERROR(__xludf.DUMMYFUNCTION("""COMPUTED_VALUE"""),"38109")</f>
        <v>38109</v>
      </c>
      <c r="B1908" s="64">
        <f>IFERROR(__xludf.DUMMYFUNCTION("""COMPUTED_VALUE"""),44624.0)</f>
        <v>44624</v>
      </c>
      <c r="C1908" s="5"/>
      <c r="D1908" s="5"/>
      <c r="E1908" s="5"/>
      <c r="F1908" s="22">
        <f>IFERROR(__xludf.DUMMYFUNCTION("""COMPUTED_VALUE"""),500000.0)</f>
        <v>500000</v>
      </c>
      <c r="G1908" s="22">
        <f>IFERROR(__xludf.DUMMYFUNCTION("""COMPUTED_VALUE"""),0.0)</f>
        <v>0</v>
      </c>
      <c r="H1908" s="22">
        <f>IFERROR(__xludf.DUMMYFUNCTION("""COMPUTED_VALUE"""),500000.0)</f>
        <v>500000</v>
      </c>
      <c r="I1908" s="24">
        <f>IFERROR(__xludf.DUMMYFUNCTION("""COMPUTED_VALUE"""),0.0)</f>
        <v>0</v>
      </c>
    </row>
    <row r="1909">
      <c r="A1909" s="5" t="str">
        <f>IFERROR(__xludf.DUMMYFUNCTION("""COMPUTED_VALUE"""),"38109")</f>
        <v>38109</v>
      </c>
      <c r="B1909" s="64">
        <f>IFERROR(__xludf.DUMMYFUNCTION("""COMPUTED_VALUE"""),44625.0)</f>
        <v>44625</v>
      </c>
      <c r="C1909" s="5"/>
      <c r="D1909" s="5"/>
      <c r="E1909" s="5"/>
      <c r="F1909" s="22">
        <f>IFERROR(__xludf.DUMMYFUNCTION("""COMPUTED_VALUE"""),500000.0)</f>
        <v>500000</v>
      </c>
      <c r="G1909" s="22">
        <f>IFERROR(__xludf.DUMMYFUNCTION("""COMPUTED_VALUE"""),0.0)</f>
        <v>0</v>
      </c>
      <c r="H1909" s="22">
        <f>IFERROR(__xludf.DUMMYFUNCTION("""COMPUTED_VALUE"""),500000.0)</f>
        <v>500000</v>
      </c>
      <c r="I1909" s="24">
        <f>IFERROR(__xludf.DUMMYFUNCTION("""COMPUTED_VALUE"""),0.0)</f>
        <v>0</v>
      </c>
    </row>
    <row r="1910">
      <c r="A1910" s="5" t="str">
        <f>IFERROR(__xludf.DUMMYFUNCTION("""COMPUTED_VALUE"""),"38109")</f>
        <v>38109</v>
      </c>
      <c r="B1910" s="64">
        <f>IFERROR(__xludf.DUMMYFUNCTION("""COMPUTED_VALUE"""),44626.0)</f>
        <v>44626</v>
      </c>
      <c r="C1910" s="5"/>
      <c r="D1910" s="5"/>
      <c r="E1910" s="5"/>
      <c r="F1910" s="22">
        <f>IFERROR(__xludf.DUMMYFUNCTION("""COMPUTED_VALUE"""),500000.0)</f>
        <v>500000</v>
      </c>
      <c r="G1910" s="22">
        <f>IFERROR(__xludf.DUMMYFUNCTION("""COMPUTED_VALUE"""),0.0)</f>
        <v>0</v>
      </c>
      <c r="H1910" s="22">
        <f>IFERROR(__xludf.DUMMYFUNCTION("""COMPUTED_VALUE"""),500000.0)</f>
        <v>500000</v>
      </c>
      <c r="I1910" s="24">
        <f>IFERROR(__xludf.DUMMYFUNCTION("""COMPUTED_VALUE"""),0.0)</f>
        <v>0</v>
      </c>
    </row>
    <row r="1911">
      <c r="A1911" s="5" t="str">
        <f>IFERROR(__xludf.DUMMYFUNCTION("""COMPUTED_VALUE"""),"38109")</f>
        <v>38109</v>
      </c>
      <c r="B1911" s="64">
        <f>IFERROR(__xludf.DUMMYFUNCTION("""COMPUTED_VALUE"""),44627.0)</f>
        <v>44627</v>
      </c>
      <c r="C1911" s="5"/>
      <c r="D1911" s="5"/>
      <c r="E1911" s="5"/>
      <c r="F1911" s="22">
        <f>IFERROR(__xludf.DUMMYFUNCTION("""COMPUTED_VALUE"""),500000.0)</f>
        <v>500000</v>
      </c>
      <c r="G1911" s="22">
        <f>IFERROR(__xludf.DUMMYFUNCTION("""COMPUTED_VALUE"""),0.0)</f>
        <v>0</v>
      </c>
      <c r="H1911" s="22">
        <f>IFERROR(__xludf.DUMMYFUNCTION("""COMPUTED_VALUE"""),500000.0)</f>
        <v>500000</v>
      </c>
      <c r="I1911" s="24">
        <f>IFERROR(__xludf.DUMMYFUNCTION("""COMPUTED_VALUE"""),0.0)</f>
        <v>0</v>
      </c>
    </row>
    <row r="1912">
      <c r="A1912" s="5" t="str">
        <f>IFERROR(__xludf.DUMMYFUNCTION("""COMPUTED_VALUE"""),"38109")</f>
        <v>38109</v>
      </c>
      <c r="B1912" s="64">
        <f>IFERROR(__xludf.DUMMYFUNCTION("""COMPUTED_VALUE"""),44628.0)</f>
        <v>44628</v>
      </c>
      <c r="C1912" s="5"/>
      <c r="D1912" s="5"/>
      <c r="E1912" s="5"/>
      <c r="F1912" s="22">
        <f>IFERROR(__xludf.DUMMYFUNCTION("""COMPUTED_VALUE"""),500000.0)</f>
        <v>500000</v>
      </c>
      <c r="G1912" s="22">
        <f>IFERROR(__xludf.DUMMYFUNCTION("""COMPUTED_VALUE"""),0.0)</f>
        <v>0</v>
      </c>
      <c r="H1912" s="22">
        <f>IFERROR(__xludf.DUMMYFUNCTION("""COMPUTED_VALUE"""),500000.0)</f>
        <v>500000</v>
      </c>
      <c r="I1912" s="24">
        <f>IFERROR(__xludf.DUMMYFUNCTION("""COMPUTED_VALUE"""),0.0)</f>
        <v>0</v>
      </c>
    </row>
    <row r="1913">
      <c r="A1913" s="5" t="str">
        <f>IFERROR(__xludf.DUMMYFUNCTION("""COMPUTED_VALUE"""),"38109")</f>
        <v>38109</v>
      </c>
      <c r="B1913" s="64">
        <f>IFERROR(__xludf.DUMMYFUNCTION("""COMPUTED_VALUE"""),44629.0)</f>
        <v>44629</v>
      </c>
      <c r="C1913" s="5"/>
      <c r="D1913" s="5"/>
      <c r="E1913" s="5"/>
      <c r="F1913" s="22">
        <f>IFERROR(__xludf.DUMMYFUNCTION("""COMPUTED_VALUE"""),500000.0)</f>
        <v>500000</v>
      </c>
      <c r="G1913" s="22">
        <f>IFERROR(__xludf.DUMMYFUNCTION("""COMPUTED_VALUE"""),0.0)</f>
        <v>0</v>
      </c>
      <c r="H1913" s="22">
        <f>IFERROR(__xludf.DUMMYFUNCTION("""COMPUTED_VALUE"""),500000.0)</f>
        <v>500000</v>
      </c>
      <c r="I1913" s="24">
        <f>IFERROR(__xludf.DUMMYFUNCTION("""COMPUTED_VALUE"""),0.0)</f>
        <v>0</v>
      </c>
    </row>
    <row r="1914">
      <c r="A1914" s="5" t="str">
        <f>IFERROR(__xludf.DUMMYFUNCTION("""COMPUTED_VALUE"""),"38109")</f>
        <v>38109</v>
      </c>
      <c r="B1914" s="64">
        <f>IFERROR(__xludf.DUMMYFUNCTION("""COMPUTED_VALUE"""),44630.0)</f>
        <v>44630</v>
      </c>
      <c r="C1914" s="5"/>
      <c r="D1914" s="5"/>
      <c r="E1914" s="5"/>
      <c r="F1914" s="22">
        <f>IFERROR(__xludf.DUMMYFUNCTION("""COMPUTED_VALUE"""),500000.0)</f>
        <v>500000</v>
      </c>
      <c r="G1914" s="22">
        <f>IFERROR(__xludf.DUMMYFUNCTION("""COMPUTED_VALUE"""),0.0)</f>
        <v>0</v>
      </c>
      <c r="H1914" s="22">
        <f>IFERROR(__xludf.DUMMYFUNCTION("""COMPUTED_VALUE"""),500000.0)</f>
        <v>500000</v>
      </c>
      <c r="I1914" s="24">
        <f>IFERROR(__xludf.DUMMYFUNCTION("""COMPUTED_VALUE"""),0.0)</f>
        <v>0</v>
      </c>
    </row>
    <row r="1915">
      <c r="A1915" s="5" t="str">
        <f>IFERROR(__xludf.DUMMYFUNCTION("""COMPUTED_VALUE"""),"38109")</f>
        <v>38109</v>
      </c>
      <c r="B1915" s="64">
        <f>IFERROR(__xludf.DUMMYFUNCTION("""COMPUTED_VALUE"""),44631.0)</f>
        <v>44631</v>
      </c>
      <c r="C1915" s="5"/>
      <c r="D1915" s="5"/>
      <c r="E1915" s="5"/>
      <c r="F1915" s="22">
        <f>IFERROR(__xludf.DUMMYFUNCTION("""COMPUTED_VALUE"""),500000.0)</f>
        <v>500000</v>
      </c>
      <c r="G1915" s="22">
        <f>IFERROR(__xludf.DUMMYFUNCTION("""COMPUTED_VALUE"""),0.0)</f>
        <v>0</v>
      </c>
      <c r="H1915" s="22">
        <f>IFERROR(__xludf.DUMMYFUNCTION("""COMPUTED_VALUE"""),500000.0)</f>
        <v>500000</v>
      </c>
      <c r="I1915" s="24">
        <f>IFERROR(__xludf.DUMMYFUNCTION("""COMPUTED_VALUE"""),0.0)</f>
        <v>0</v>
      </c>
    </row>
    <row r="1916">
      <c r="A1916" s="5" t="str">
        <f>IFERROR(__xludf.DUMMYFUNCTION("""COMPUTED_VALUE"""),"38109")</f>
        <v>38109</v>
      </c>
      <c r="B1916" s="64">
        <f>IFERROR(__xludf.DUMMYFUNCTION("""COMPUTED_VALUE"""),44632.0)</f>
        <v>44632</v>
      </c>
      <c r="C1916" s="5"/>
      <c r="D1916" s="5"/>
      <c r="E1916" s="5"/>
      <c r="F1916" s="22">
        <f>IFERROR(__xludf.DUMMYFUNCTION("""COMPUTED_VALUE"""),500000.0)</f>
        <v>500000</v>
      </c>
      <c r="G1916" s="22">
        <f>IFERROR(__xludf.DUMMYFUNCTION("""COMPUTED_VALUE"""),0.0)</f>
        <v>0</v>
      </c>
      <c r="H1916" s="22">
        <f>IFERROR(__xludf.DUMMYFUNCTION("""COMPUTED_VALUE"""),500000.0)</f>
        <v>500000</v>
      </c>
      <c r="I1916" s="24">
        <f>IFERROR(__xludf.DUMMYFUNCTION("""COMPUTED_VALUE"""),0.0)</f>
        <v>0</v>
      </c>
    </row>
    <row r="1917">
      <c r="A1917" s="5" t="str">
        <f>IFERROR(__xludf.DUMMYFUNCTION("""COMPUTED_VALUE"""),"38109")</f>
        <v>38109</v>
      </c>
      <c r="B1917" s="64">
        <f>IFERROR(__xludf.DUMMYFUNCTION("""COMPUTED_VALUE"""),44633.0)</f>
        <v>44633</v>
      </c>
      <c r="C1917" s="5"/>
      <c r="D1917" s="5"/>
      <c r="E1917" s="5"/>
      <c r="F1917" s="22">
        <f>IFERROR(__xludf.DUMMYFUNCTION("""COMPUTED_VALUE"""),500000.0)</f>
        <v>500000</v>
      </c>
      <c r="G1917" s="22">
        <f>IFERROR(__xludf.DUMMYFUNCTION("""COMPUTED_VALUE"""),0.0)</f>
        <v>0</v>
      </c>
      <c r="H1917" s="22">
        <f>IFERROR(__xludf.DUMMYFUNCTION("""COMPUTED_VALUE"""),500000.0)</f>
        <v>500000</v>
      </c>
      <c r="I1917" s="24">
        <f>IFERROR(__xludf.DUMMYFUNCTION("""COMPUTED_VALUE"""),0.0)</f>
        <v>0</v>
      </c>
    </row>
    <row r="1918">
      <c r="A1918" s="5" t="str">
        <f>IFERROR(__xludf.DUMMYFUNCTION("""COMPUTED_VALUE"""),"38109")</f>
        <v>38109</v>
      </c>
      <c r="B1918" s="64">
        <f>IFERROR(__xludf.DUMMYFUNCTION("""COMPUTED_VALUE"""),44634.0)</f>
        <v>44634</v>
      </c>
      <c r="C1918" s="5"/>
      <c r="D1918" s="5"/>
      <c r="E1918" s="5"/>
      <c r="F1918" s="22">
        <f>IFERROR(__xludf.DUMMYFUNCTION("""COMPUTED_VALUE"""),500000.0)</f>
        <v>500000</v>
      </c>
      <c r="G1918" s="22">
        <f>IFERROR(__xludf.DUMMYFUNCTION("""COMPUTED_VALUE"""),0.0)</f>
        <v>0</v>
      </c>
      <c r="H1918" s="22">
        <f>IFERROR(__xludf.DUMMYFUNCTION("""COMPUTED_VALUE"""),500000.0)</f>
        <v>500000</v>
      </c>
      <c r="I1918" s="24">
        <f>IFERROR(__xludf.DUMMYFUNCTION("""COMPUTED_VALUE"""),0.0)</f>
        <v>0</v>
      </c>
    </row>
    <row r="1919">
      <c r="A1919" s="5" t="str">
        <f>IFERROR(__xludf.DUMMYFUNCTION("""COMPUTED_VALUE"""),"38109")</f>
        <v>38109</v>
      </c>
      <c r="B1919" s="64">
        <f>IFERROR(__xludf.DUMMYFUNCTION("""COMPUTED_VALUE"""),44635.0)</f>
        <v>44635</v>
      </c>
      <c r="C1919" s="5"/>
      <c r="D1919" s="5"/>
      <c r="E1919" s="5"/>
      <c r="F1919" s="22">
        <f>IFERROR(__xludf.DUMMYFUNCTION("""COMPUTED_VALUE"""),500000.0)</f>
        <v>500000</v>
      </c>
      <c r="G1919" s="22">
        <f>IFERROR(__xludf.DUMMYFUNCTION("""COMPUTED_VALUE"""),0.0)</f>
        <v>0</v>
      </c>
      <c r="H1919" s="22">
        <f>IFERROR(__xludf.DUMMYFUNCTION("""COMPUTED_VALUE"""),500000.0)</f>
        <v>500000</v>
      </c>
      <c r="I1919" s="24">
        <f>IFERROR(__xludf.DUMMYFUNCTION("""COMPUTED_VALUE"""),0.0)</f>
        <v>0</v>
      </c>
    </row>
    <row r="1920">
      <c r="A1920" s="5" t="str">
        <f>IFERROR(__xludf.DUMMYFUNCTION("""COMPUTED_VALUE"""),"38109")</f>
        <v>38109</v>
      </c>
      <c r="B1920" s="64">
        <f>IFERROR(__xludf.DUMMYFUNCTION("""COMPUTED_VALUE"""),44636.0)</f>
        <v>44636</v>
      </c>
      <c r="C1920" s="5"/>
      <c r="D1920" s="5"/>
      <c r="E1920" s="5"/>
      <c r="F1920" s="22">
        <f>IFERROR(__xludf.DUMMYFUNCTION("""COMPUTED_VALUE"""),500000.0)</f>
        <v>500000</v>
      </c>
      <c r="G1920" s="22">
        <f>IFERROR(__xludf.DUMMYFUNCTION("""COMPUTED_VALUE"""),0.0)</f>
        <v>0</v>
      </c>
      <c r="H1920" s="22">
        <f>IFERROR(__xludf.DUMMYFUNCTION("""COMPUTED_VALUE"""),500000.0)</f>
        <v>500000</v>
      </c>
      <c r="I1920" s="24">
        <f>IFERROR(__xludf.DUMMYFUNCTION("""COMPUTED_VALUE"""),0.0)</f>
        <v>0</v>
      </c>
    </row>
    <row r="1921">
      <c r="A1921" s="5" t="str">
        <f>IFERROR(__xludf.DUMMYFUNCTION("""COMPUTED_VALUE"""),"38109")</f>
        <v>38109</v>
      </c>
      <c r="B1921" s="64">
        <f>IFERROR(__xludf.DUMMYFUNCTION("""COMPUTED_VALUE"""),44637.0)</f>
        <v>44637</v>
      </c>
      <c r="C1921" s="5"/>
      <c r="D1921" s="5"/>
      <c r="E1921" s="5"/>
      <c r="F1921" s="22">
        <f>IFERROR(__xludf.DUMMYFUNCTION("""COMPUTED_VALUE"""),500000.0)</f>
        <v>500000</v>
      </c>
      <c r="G1921" s="22">
        <f>IFERROR(__xludf.DUMMYFUNCTION("""COMPUTED_VALUE"""),0.0)</f>
        <v>0</v>
      </c>
      <c r="H1921" s="22">
        <f>IFERROR(__xludf.DUMMYFUNCTION("""COMPUTED_VALUE"""),500000.0)</f>
        <v>500000</v>
      </c>
      <c r="I1921" s="24">
        <f>IFERROR(__xludf.DUMMYFUNCTION("""COMPUTED_VALUE"""),0.0)</f>
        <v>0</v>
      </c>
    </row>
    <row r="1922">
      <c r="A1922" s="5" t="str">
        <f>IFERROR(__xludf.DUMMYFUNCTION("""COMPUTED_VALUE"""),"38109")</f>
        <v>38109</v>
      </c>
      <c r="B1922" s="64">
        <f>IFERROR(__xludf.DUMMYFUNCTION("""COMPUTED_VALUE"""),44638.0)</f>
        <v>44638</v>
      </c>
      <c r="C1922" s="5"/>
      <c r="D1922" s="5"/>
      <c r="E1922" s="5"/>
      <c r="F1922" s="22">
        <f>IFERROR(__xludf.DUMMYFUNCTION("""COMPUTED_VALUE"""),500000.0)</f>
        <v>500000</v>
      </c>
      <c r="G1922" s="22">
        <f>IFERROR(__xludf.DUMMYFUNCTION("""COMPUTED_VALUE"""),0.0)</f>
        <v>0</v>
      </c>
      <c r="H1922" s="22">
        <f>IFERROR(__xludf.DUMMYFUNCTION("""COMPUTED_VALUE"""),500000.0)</f>
        <v>500000</v>
      </c>
      <c r="I1922" s="24">
        <f>IFERROR(__xludf.DUMMYFUNCTION("""COMPUTED_VALUE"""),0.0)</f>
        <v>0</v>
      </c>
    </row>
    <row r="1923">
      <c r="A1923" s="5" t="str">
        <f>IFERROR(__xludf.DUMMYFUNCTION("""COMPUTED_VALUE"""),"38109")</f>
        <v>38109</v>
      </c>
      <c r="B1923" s="64">
        <f>IFERROR(__xludf.DUMMYFUNCTION("""COMPUTED_VALUE"""),44639.0)</f>
        <v>44639</v>
      </c>
      <c r="C1923" s="5"/>
      <c r="D1923" s="5"/>
      <c r="E1923" s="5"/>
      <c r="F1923" s="22">
        <f>IFERROR(__xludf.DUMMYFUNCTION("""COMPUTED_VALUE"""),500000.0)</f>
        <v>500000</v>
      </c>
      <c r="G1923" s="22">
        <f>IFERROR(__xludf.DUMMYFUNCTION("""COMPUTED_VALUE"""),0.0)</f>
        <v>0</v>
      </c>
      <c r="H1923" s="22">
        <f>IFERROR(__xludf.DUMMYFUNCTION("""COMPUTED_VALUE"""),500000.0)</f>
        <v>500000</v>
      </c>
      <c r="I1923" s="24">
        <f>IFERROR(__xludf.DUMMYFUNCTION("""COMPUTED_VALUE"""),0.0)</f>
        <v>0</v>
      </c>
    </row>
    <row r="1924">
      <c r="A1924" s="5" t="str">
        <f>IFERROR(__xludf.DUMMYFUNCTION("""COMPUTED_VALUE"""),"38109")</f>
        <v>38109</v>
      </c>
      <c r="B1924" s="64">
        <f>IFERROR(__xludf.DUMMYFUNCTION("""COMPUTED_VALUE"""),44640.0)</f>
        <v>44640</v>
      </c>
      <c r="C1924" s="5"/>
      <c r="D1924" s="5"/>
      <c r="E1924" s="5"/>
      <c r="F1924" s="22">
        <f>IFERROR(__xludf.DUMMYFUNCTION("""COMPUTED_VALUE"""),500000.0)</f>
        <v>500000</v>
      </c>
      <c r="G1924" s="22">
        <f>IFERROR(__xludf.DUMMYFUNCTION("""COMPUTED_VALUE"""),0.0)</f>
        <v>0</v>
      </c>
      <c r="H1924" s="22">
        <f>IFERROR(__xludf.DUMMYFUNCTION("""COMPUTED_VALUE"""),500000.0)</f>
        <v>500000</v>
      </c>
      <c r="I1924" s="24">
        <f>IFERROR(__xludf.DUMMYFUNCTION("""COMPUTED_VALUE"""),0.0)</f>
        <v>0</v>
      </c>
    </row>
    <row r="1925">
      <c r="A1925" s="5" t="str">
        <f>IFERROR(__xludf.DUMMYFUNCTION("""COMPUTED_VALUE"""),"38109")</f>
        <v>38109</v>
      </c>
      <c r="B1925" s="64">
        <f>IFERROR(__xludf.DUMMYFUNCTION("""COMPUTED_VALUE"""),44641.0)</f>
        <v>44641</v>
      </c>
      <c r="C1925" s="5"/>
      <c r="D1925" s="5"/>
      <c r="E1925" s="5"/>
      <c r="F1925" s="22">
        <f>IFERROR(__xludf.DUMMYFUNCTION("""COMPUTED_VALUE"""),500000.0)</f>
        <v>500000</v>
      </c>
      <c r="G1925" s="22">
        <f>IFERROR(__xludf.DUMMYFUNCTION("""COMPUTED_VALUE"""),0.0)</f>
        <v>0</v>
      </c>
      <c r="H1925" s="22">
        <f>IFERROR(__xludf.DUMMYFUNCTION("""COMPUTED_VALUE"""),500000.0)</f>
        <v>500000</v>
      </c>
      <c r="I1925" s="24">
        <f>IFERROR(__xludf.DUMMYFUNCTION("""COMPUTED_VALUE"""),0.0)</f>
        <v>0</v>
      </c>
    </row>
    <row r="1926">
      <c r="A1926" s="5" t="str">
        <f>IFERROR(__xludf.DUMMYFUNCTION("""COMPUTED_VALUE"""),"38109")</f>
        <v>38109</v>
      </c>
      <c r="B1926" s="64">
        <f>IFERROR(__xludf.DUMMYFUNCTION("""COMPUTED_VALUE"""),44642.0)</f>
        <v>44642</v>
      </c>
      <c r="C1926" s="5"/>
      <c r="D1926" s="5"/>
      <c r="E1926" s="5"/>
      <c r="F1926" s="22">
        <f>IFERROR(__xludf.DUMMYFUNCTION("""COMPUTED_VALUE"""),500000.0)</f>
        <v>500000</v>
      </c>
      <c r="G1926" s="22">
        <f>IFERROR(__xludf.DUMMYFUNCTION("""COMPUTED_VALUE"""),0.0)</f>
        <v>0</v>
      </c>
      <c r="H1926" s="22">
        <f>IFERROR(__xludf.DUMMYFUNCTION("""COMPUTED_VALUE"""),500000.0)</f>
        <v>500000</v>
      </c>
      <c r="I1926" s="24">
        <f>IFERROR(__xludf.DUMMYFUNCTION("""COMPUTED_VALUE"""),0.0)</f>
        <v>0</v>
      </c>
    </row>
    <row r="1927">
      <c r="A1927" s="5" t="str">
        <f>IFERROR(__xludf.DUMMYFUNCTION("""COMPUTED_VALUE"""),"38109")</f>
        <v>38109</v>
      </c>
      <c r="B1927" s="64">
        <f>IFERROR(__xludf.DUMMYFUNCTION("""COMPUTED_VALUE"""),44643.0)</f>
        <v>44643</v>
      </c>
      <c r="C1927" s="5"/>
      <c r="D1927" s="5"/>
      <c r="E1927" s="5"/>
      <c r="F1927" s="22">
        <f>IFERROR(__xludf.DUMMYFUNCTION("""COMPUTED_VALUE"""),500000.0)</f>
        <v>500000</v>
      </c>
      <c r="G1927" s="22">
        <f>IFERROR(__xludf.DUMMYFUNCTION("""COMPUTED_VALUE"""),0.0)</f>
        <v>0</v>
      </c>
      <c r="H1927" s="22">
        <f>IFERROR(__xludf.DUMMYFUNCTION("""COMPUTED_VALUE"""),500000.0)</f>
        <v>500000</v>
      </c>
      <c r="I1927" s="24">
        <f>IFERROR(__xludf.DUMMYFUNCTION("""COMPUTED_VALUE"""),0.0)</f>
        <v>0</v>
      </c>
    </row>
    <row r="1928">
      <c r="A1928" s="5" t="str">
        <f>IFERROR(__xludf.DUMMYFUNCTION("""COMPUTED_VALUE"""),"38109")</f>
        <v>38109</v>
      </c>
      <c r="B1928" s="64">
        <f>IFERROR(__xludf.DUMMYFUNCTION("""COMPUTED_VALUE"""),44644.0)</f>
        <v>44644</v>
      </c>
      <c r="C1928" s="5"/>
      <c r="D1928" s="5"/>
      <c r="E1928" s="5"/>
      <c r="F1928" s="22">
        <f>IFERROR(__xludf.DUMMYFUNCTION("""COMPUTED_VALUE"""),500000.0)</f>
        <v>500000</v>
      </c>
      <c r="G1928" s="22">
        <f>IFERROR(__xludf.DUMMYFUNCTION("""COMPUTED_VALUE"""),0.0)</f>
        <v>0</v>
      </c>
      <c r="H1928" s="22">
        <f>IFERROR(__xludf.DUMMYFUNCTION("""COMPUTED_VALUE"""),500000.0)</f>
        <v>500000</v>
      </c>
      <c r="I1928" s="24">
        <f>IFERROR(__xludf.DUMMYFUNCTION("""COMPUTED_VALUE"""),0.0)</f>
        <v>0</v>
      </c>
    </row>
    <row r="1929">
      <c r="A1929" s="5" t="str">
        <f>IFERROR(__xludf.DUMMYFUNCTION("""COMPUTED_VALUE"""),"38109")</f>
        <v>38109</v>
      </c>
      <c r="B1929" s="64">
        <f>IFERROR(__xludf.DUMMYFUNCTION("""COMPUTED_VALUE"""),44645.0)</f>
        <v>44645</v>
      </c>
      <c r="C1929" s="5"/>
      <c r="D1929" s="5"/>
      <c r="E1929" s="5"/>
      <c r="F1929" s="22">
        <f>IFERROR(__xludf.DUMMYFUNCTION("""COMPUTED_VALUE"""),500000.0)</f>
        <v>500000</v>
      </c>
      <c r="G1929" s="22">
        <f>IFERROR(__xludf.DUMMYFUNCTION("""COMPUTED_VALUE"""),0.0)</f>
        <v>0</v>
      </c>
      <c r="H1929" s="22">
        <f>IFERROR(__xludf.DUMMYFUNCTION("""COMPUTED_VALUE"""),500000.0)</f>
        <v>500000</v>
      </c>
      <c r="I1929" s="24">
        <f>IFERROR(__xludf.DUMMYFUNCTION("""COMPUTED_VALUE"""),0.0)</f>
        <v>0</v>
      </c>
    </row>
    <row r="1930">
      <c r="A1930" s="5" t="str">
        <f>IFERROR(__xludf.DUMMYFUNCTION("""COMPUTED_VALUE"""),"38109")</f>
        <v>38109</v>
      </c>
      <c r="B1930" s="64">
        <f>IFERROR(__xludf.DUMMYFUNCTION("""COMPUTED_VALUE"""),44646.0)</f>
        <v>44646</v>
      </c>
      <c r="C1930" s="5"/>
      <c r="D1930" s="5"/>
      <c r="E1930" s="5"/>
      <c r="F1930" s="22">
        <f>IFERROR(__xludf.DUMMYFUNCTION("""COMPUTED_VALUE"""),500000.0)</f>
        <v>500000</v>
      </c>
      <c r="G1930" s="22">
        <f>IFERROR(__xludf.DUMMYFUNCTION("""COMPUTED_VALUE"""),0.0)</f>
        <v>0</v>
      </c>
      <c r="H1930" s="22">
        <f>IFERROR(__xludf.DUMMYFUNCTION("""COMPUTED_VALUE"""),500000.0)</f>
        <v>500000</v>
      </c>
      <c r="I1930" s="24">
        <f>IFERROR(__xludf.DUMMYFUNCTION("""COMPUTED_VALUE"""),0.0)</f>
        <v>0</v>
      </c>
    </row>
    <row r="1931">
      <c r="A1931" s="5" t="str">
        <f>IFERROR(__xludf.DUMMYFUNCTION("""COMPUTED_VALUE"""),"38109")</f>
        <v>38109</v>
      </c>
      <c r="B1931" s="64">
        <f>IFERROR(__xludf.DUMMYFUNCTION("""COMPUTED_VALUE"""),44647.0)</f>
        <v>44647</v>
      </c>
      <c r="C1931" s="5"/>
      <c r="D1931" s="5"/>
      <c r="E1931" s="5"/>
      <c r="F1931" s="22">
        <f>IFERROR(__xludf.DUMMYFUNCTION("""COMPUTED_VALUE"""),500000.0)</f>
        <v>500000</v>
      </c>
      <c r="G1931" s="22">
        <f>IFERROR(__xludf.DUMMYFUNCTION("""COMPUTED_VALUE"""),0.0)</f>
        <v>0</v>
      </c>
      <c r="H1931" s="22">
        <f>IFERROR(__xludf.DUMMYFUNCTION("""COMPUTED_VALUE"""),500000.0)</f>
        <v>500000</v>
      </c>
      <c r="I1931" s="24">
        <f>IFERROR(__xludf.DUMMYFUNCTION("""COMPUTED_VALUE"""),0.0)</f>
        <v>0</v>
      </c>
    </row>
    <row r="1932">
      <c r="A1932" s="5" t="str">
        <f>IFERROR(__xludf.DUMMYFUNCTION("""COMPUTED_VALUE"""),"38109")</f>
        <v>38109</v>
      </c>
      <c r="B1932" s="64">
        <f>IFERROR(__xludf.DUMMYFUNCTION("""COMPUTED_VALUE"""),44648.0)</f>
        <v>44648</v>
      </c>
      <c r="C1932" s="5"/>
      <c r="D1932" s="5"/>
      <c r="E1932" s="5"/>
      <c r="F1932" s="22">
        <f>IFERROR(__xludf.DUMMYFUNCTION("""COMPUTED_VALUE"""),500000.0)</f>
        <v>500000</v>
      </c>
      <c r="G1932" s="22">
        <f>IFERROR(__xludf.DUMMYFUNCTION("""COMPUTED_VALUE"""),0.0)</f>
        <v>0</v>
      </c>
      <c r="H1932" s="22">
        <f>IFERROR(__xludf.DUMMYFUNCTION("""COMPUTED_VALUE"""),500000.0)</f>
        <v>500000</v>
      </c>
      <c r="I1932" s="24">
        <f>IFERROR(__xludf.DUMMYFUNCTION("""COMPUTED_VALUE"""),0.0)</f>
        <v>0</v>
      </c>
    </row>
    <row r="1933">
      <c r="A1933" s="5" t="str">
        <f>IFERROR(__xludf.DUMMYFUNCTION("""COMPUTED_VALUE"""),"38109")</f>
        <v>38109</v>
      </c>
      <c r="B1933" s="64">
        <f>IFERROR(__xludf.DUMMYFUNCTION("""COMPUTED_VALUE"""),44649.0)</f>
        <v>44649</v>
      </c>
      <c r="C1933" s="5"/>
      <c r="D1933" s="5"/>
      <c r="E1933" s="5"/>
      <c r="F1933" s="22">
        <f>IFERROR(__xludf.DUMMYFUNCTION("""COMPUTED_VALUE"""),500000.0)</f>
        <v>500000</v>
      </c>
      <c r="G1933" s="22">
        <f>IFERROR(__xludf.DUMMYFUNCTION("""COMPUTED_VALUE"""),0.0)</f>
        <v>0</v>
      </c>
      <c r="H1933" s="22">
        <f>IFERROR(__xludf.DUMMYFUNCTION("""COMPUTED_VALUE"""),500000.0)</f>
        <v>500000</v>
      </c>
      <c r="I1933" s="24">
        <f>IFERROR(__xludf.DUMMYFUNCTION("""COMPUTED_VALUE"""),0.0)</f>
        <v>0</v>
      </c>
    </row>
    <row r="1934">
      <c r="A1934" s="5" t="str">
        <f>IFERROR(__xludf.DUMMYFUNCTION("""COMPUTED_VALUE"""),"38109")</f>
        <v>38109</v>
      </c>
      <c r="B1934" s="64">
        <f>IFERROR(__xludf.DUMMYFUNCTION("""COMPUTED_VALUE"""),44650.0)</f>
        <v>44650</v>
      </c>
      <c r="C1934" s="5"/>
      <c r="D1934" s="5"/>
      <c r="E1934" s="5"/>
      <c r="F1934" s="22">
        <f>IFERROR(__xludf.DUMMYFUNCTION("""COMPUTED_VALUE"""),500000.0)</f>
        <v>500000</v>
      </c>
      <c r="G1934" s="22">
        <f>IFERROR(__xludf.DUMMYFUNCTION("""COMPUTED_VALUE"""),0.0)</f>
        <v>0</v>
      </c>
      <c r="H1934" s="22">
        <f>IFERROR(__xludf.DUMMYFUNCTION("""COMPUTED_VALUE"""),500000.0)</f>
        <v>500000</v>
      </c>
      <c r="I1934" s="24">
        <f>IFERROR(__xludf.DUMMYFUNCTION("""COMPUTED_VALUE"""),0.0)</f>
        <v>0</v>
      </c>
    </row>
    <row r="1935">
      <c r="A1935" s="5" t="str">
        <f>IFERROR(__xludf.DUMMYFUNCTION("""COMPUTED_VALUE"""),"38109")</f>
        <v>38109</v>
      </c>
      <c r="B1935" s="64">
        <f>IFERROR(__xludf.DUMMYFUNCTION("""COMPUTED_VALUE"""),44651.0)</f>
        <v>44651</v>
      </c>
      <c r="C1935" s="5"/>
      <c r="D1935" s="5"/>
      <c r="E1935" s="5"/>
      <c r="F1935" s="22">
        <f>IFERROR(__xludf.DUMMYFUNCTION("""COMPUTED_VALUE"""),500000.0)</f>
        <v>500000</v>
      </c>
      <c r="G1935" s="22">
        <f>IFERROR(__xludf.DUMMYFUNCTION("""COMPUTED_VALUE"""),0.0)</f>
        <v>0</v>
      </c>
      <c r="H1935" s="22">
        <f>IFERROR(__xludf.DUMMYFUNCTION("""COMPUTED_VALUE"""),500000.0)</f>
        <v>500000</v>
      </c>
      <c r="I1935" s="24">
        <f>IFERROR(__xludf.DUMMYFUNCTION("""COMPUTED_VALUE"""),0.0)</f>
        <v>0</v>
      </c>
    </row>
    <row r="1936">
      <c r="A1936" s="5" t="str">
        <f>IFERROR(__xludf.DUMMYFUNCTION("""COMPUTED_VALUE"""),"38109")</f>
        <v>38109</v>
      </c>
      <c r="B1936" s="64">
        <f>IFERROR(__xludf.DUMMYFUNCTION("""COMPUTED_VALUE"""),44652.0)</f>
        <v>44652</v>
      </c>
      <c r="C1936" s="5"/>
      <c r="D1936" s="5"/>
      <c r="E1936" s="5"/>
      <c r="F1936" s="22">
        <f>IFERROR(__xludf.DUMMYFUNCTION("""COMPUTED_VALUE"""),500000.0)</f>
        <v>500000</v>
      </c>
      <c r="G1936" s="22">
        <f>IFERROR(__xludf.DUMMYFUNCTION("""COMPUTED_VALUE"""),0.0)</f>
        <v>0</v>
      </c>
      <c r="H1936" s="22">
        <f>IFERROR(__xludf.DUMMYFUNCTION("""COMPUTED_VALUE"""),500000.0)</f>
        <v>500000</v>
      </c>
      <c r="I1936" s="24">
        <f>IFERROR(__xludf.DUMMYFUNCTION("""COMPUTED_VALUE"""),0.0)</f>
        <v>0</v>
      </c>
    </row>
    <row r="1937">
      <c r="A1937" s="5" t="str">
        <f>IFERROR(__xludf.DUMMYFUNCTION("""COMPUTED_VALUE"""),"38109")</f>
        <v>38109</v>
      </c>
      <c r="B1937" s="64">
        <f>IFERROR(__xludf.DUMMYFUNCTION("""COMPUTED_VALUE"""),44653.0)</f>
        <v>44653</v>
      </c>
      <c r="C1937" s="5"/>
      <c r="D1937" s="5"/>
      <c r="E1937" s="5"/>
      <c r="F1937" s="22">
        <f>IFERROR(__xludf.DUMMYFUNCTION("""COMPUTED_VALUE"""),500000.0)</f>
        <v>500000</v>
      </c>
      <c r="G1937" s="22">
        <f>IFERROR(__xludf.DUMMYFUNCTION("""COMPUTED_VALUE"""),0.0)</f>
        <v>0</v>
      </c>
      <c r="H1937" s="22">
        <f>IFERROR(__xludf.DUMMYFUNCTION("""COMPUTED_VALUE"""),500000.0)</f>
        <v>500000</v>
      </c>
      <c r="I1937" s="24">
        <f>IFERROR(__xludf.DUMMYFUNCTION("""COMPUTED_VALUE"""),0.0)</f>
        <v>0</v>
      </c>
    </row>
    <row r="1938">
      <c r="A1938" s="5" t="str">
        <f>IFERROR(__xludf.DUMMYFUNCTION("""COMPUTED_VALUE"""),"38109")</f>
        <v>38109</v>
      </c>
      <c r="B1938" s="64">
        <f>IFERROR(__xludf.DUMMYFUNCTION("""COMPUTED_VALUE"""),44654.0)</f>
        <v>44654</v>
      </c>
      <c r="C1938" s="5"/>
      <c r="D1938" s="5"/>
      <c r="E1938" s="5"/>
      <c r="F1938" s="22">
        <f>IFERROR(__xludf.DUMMYFUNCTION("""COMPUTED_VALUE"""),500000.0)</f>
        <v>500000</v>
      </c>
      <c r="G1938" s="22">
        <f>IFERROR(__xludf.DUMMYFUNCTION("""COMPUTED_VALUE"""),0.0)</f>
        <v>0</v>
      </c>
      <c r="H1938" s="22">
        <f>IFERROR(__xludf.DUMMYFUNCTION("""COMPUTED_VALUE"""),500000.0)</f>
        <v>500000</v>
      </c>
      <c r="I1938" s="24">
        <f>IFERROR(__xludf.DUMMYFUNCTION("""COMPUTED_VALUE"""),0.0)</f>
        <v>0</v>
      </c>
    </row>
    <row r="1939">
      <c r="A1939" s="5" t="str">
        <f>IFERROR(__xludf.DUMMYFUNCTION("""COMPUTED_VALUE"""),"38109")</f>
        <v>38109</v>
      </c>
      <c r="B1939" s="64">
        <f>IFERROR(__xludf.DUMMYFUNCTION("""COMPUTED_VALUE"""),44655.0)</f>
        <v>44655</v>
      </c>
      <c r="C1939" s="5"/>
      <c r="D1939" s="5"/>
      <c r="E1939" s="5"/>
      <c r="F1939" s="22">
        <f>IFERROR(__xludf.DUMMYFUNCTION("""COMPUTED_VALUE"""),500000.0)</f>
        <v>500000</v>
      </c>
      <c r="G1939" s="22">
        <f>IFERROR(__xludf.DUMMYFUNCTION("""COMPUTED_VALUE"""),0.0)</f>
        <v>0</v>
      </c>
      <c r="H1939" s="22">
        <f>IFERROR(__xludf.DUMMYFUNCTION("""COMPUTED_VALUE"""),500000.0)</f>
        <v>500000</v>
      </c>
      <c r="I1939" s="24">
        <f>IFERROR(__xludf.DUMMYFUNCTION("""COMPUTED_VALUE"""),0.0)</f>
        <v>0</v>
      </c>
    </row>
    <row r="1940">
      <c r="A1940" s="5" t="str">
        <f>IFERROR(__xludf.DUMMYFUNCTION("""COMPUTED_VALUE"""),"38109")</f>
        <v>38109</v>
      </c>
      <c r="B1940" s="64">
        <f>IFERROR(__xludf.DUMMYFUNCTION("""COMPUTED_VALUE"""),44656.0)</f>
        <v>44656</v>
      </c>
      <c r="C1940" s="5"/>
      <c r="D1940" s="5"/>
      <c r="E1940" s="5"/>
      <c r="F1940" s="22">
        <f>IFERROR(__xludf.DUMMYFUNCTION("""COMPUTED_VALUE"""),500000.0)</f>
        <v>500000</v>
      </c>
      <c r="G1940" s="22">
        <f>IFERROR(__xludf.DUMMYFUNCTION("""COMPUTED_VALUE"""),0.0)</f>
        <v>0</v>
      </c>
      <c r="H1940" s="22">
        <f>IFERROR(__xludf.DUMMYFUNCTION("""COMPUTED_VALUE"""),500000.0)</f>
        <v>500000</v>
      </c>
      <c r="I1940" s="24">
        <f>IFERROR(__xludf.DUMMYFUNCTION("""COMPUTED_VALUE"""),0.0)</f>
        <v>0</v>
      </c>
    </row>
    <row r="1941">
      <c r="A1941" s="5" t="str">
        <f>IFERROR(__xludf.DUMMYFUNCTION("""COMPUTED_VALUE"""),"38109")</f>
        <v>38109</v>
      </c>
      <c r="B1941" s="64">
        <f>IFERROR(__xludf.DUMMYFUNCTION("""COMPUTED_VALUE"""),44657.0)</f>
        <v>44657</v>
      </c>
      <c r="C1941" s="5"/>
      <c r="D1941" s="5"/>
      <c r="E1941" s="5"/>
      <c r="F1941" s="22">
        <f>IFERROR(__xludf.DUMMYFUNCTION("""COMPUTED_VALUE"""),500000.0)</f>
        <v>500000</v>
      </c>
      <c r="G1941" s="22">
        <f>IFERROR(__xludf.DUMMYFUNCTION("""COMPUTED_VALUE"""),0.0)</f>
        <v>0</v>
      </c>
      <c r="H1941" s="22">
        <f>IFERROR(__xludf.DUMMYFUNCTION("""COMPUTED_VALUE"""),500000.0)</f>
        <v>500000</v>
      </c>
      <c r="I1941" s="24">
        <f>IFERROR(__xludf.DUMMYFUNCTION("""COMPUTED_VALUE"""),0.0)</f>
        <v>0</v>
      </c>
    </row>
    <row r="1942">
      <c r="A1942" s="5" t="str">
        <f>IFERROR(__xludf.DUMMYFUNCTION("""COMPUTED_VALUE"""),"38109")</f>
        <v>38109</v>
      </c>
      <c r="B1942" s="64">
        <f>IFERROR(__xludf.DUMMYFUNCTION("""COMPUTED_VALUE"""),44658.0)</f>
        <v>44658</v>
      </c>
      <c r="C1942" s="5"/>
      <c r="D1942" s="5"/>
      <c r="E1942" s="5"/>
      <c r="F1942" s="22">
        <f>IFERROR(__xludf.DUMMYFUNCTION("""COMPUTED_VALUE"""),500000.0)</f>
        <v>500000</v>
      </c>
      <c r="G1942" s="22">
        <f>IFERROR(__xludf.DUMMYFUNCTION("""COMPUTED_VALUE"""),0.0)</f>
        <v>0</v>
      </c>
      <c r="H1942" s="22">
        <f>IFERROR(__xludf.DUMMYFUNCTION("""COMPUTED_VALUE"""),500000.0)</f>
        <v>500000</v>
      </c>
      <c r="I1942" s="24">
        <f>IFERROR(__xludf.DUMMYFUNCTION("""COMPUTED_VALUE"""),0.0)</f>
        <v>0</v>
      </c>
    </row>
    <row r="1943">
      <c r="A1943" s="5" t="str">
        <f>IFERROR(__xludf.DUMMYFUNCTION("""COMPUTED_VALUE"""),"38109")</f>
        <v>38109</v>
      </c>
      <c r="B1943" s="64">
        <f>IFERROR(__xludf.DUMMYFUNCTION("""COMPUTED_VALUE"""),44659.0)</f>
        <v>44659</v>
      </c>
      <c r="C1943" s="5"/>
      <c r="D1943" s="5"/>
      <c r="E1943" s="5"/>
      <c r="F1943" s="22">
        <f>IFERROR(__xludf.DUMMYFUNCTION("""COMPUTED_VALUE"""),500000.0)</f>
        <v>500000</v>
      </c>
      <c r="G1943" s="22">
        <f>IFERROR(__xludf.DUMMYFUNCTION("""COMPUTED_VALUE"""),0.0)</f>
        <v>0</v>
      </c>
      <c r="H1943" s="22">
        <f>IFERROR(__xludf.DUMMYFUNCTION("""COMPUTED_VALUE"""),500000.0)</f>
        <v>500000</v>
      </c>
      <c r="I1943" s="24">
        <f>IFERROR(__xludf.DUMMYFUNCTION("""COMPUTED_VALUE"""),0.0)</f>
        <v>0</v>
      </c>
    </row>
    <row r="1944">
      <c r="A1944" s="5" t="str">
        <f>IFERROR(__xludf.DUMMYFUNCTION("""COMPUTED_VALUE"""),"38109")</f>
        <v>38109</v>
      </c>
      <c r="B1944" s="64">
        <f>IFERROR(__xludf.DUMMYFUNCTION("""COMPUTED_VALUE"""),44660.0)</f>
        <v>44660</v>
      </c>
      <c r="C1944" s="5"/>
      <c r="D1944" s="5"/>
      <c r="E1944" s="5"/>
      <c r="F1944" s="22">
        <f>IFERROR(__xludf.DUMMYFUNCTION("""COMPUTED_VALUE"""),500000.0)</f>
        <v>500000</v>
      </c>
      <c r="G1944" s="22">
        <f>IFERROR(__xludf.DUMMYFUNCTION("""COMPUTED_VALUE"""),0.0)</f>
        <v>0</v>
      </c>
      <c r="H1944" s="22">
        <f>IFERROR(__xludf.DUMMYFUNCTION("""COMPUTED_VALUE"""),500000.0)</f>
        <v>500000</v>
      </c>
      <c r="I1944" s="24">
        <f>IFERROR(__xludf.DUMMYFUNCTION("""COMPUTED_VALUE"""),0.0)</f>
        <v>0</v>
      </c>
    </row>
    <row r="1945">
      <c r="A1945" s="5" t="str">
        <f>IFERROR(__xludf.DUMMYFUNCTION("""COMPUTED_VALUE"""),"38109")</f>
        <v>38109</v>
      </c>
      <c r="B1945" s="64">
        <f>IFERROR(__xludf.DUMMYFUNCTION("""COMPUTED_VALUE"""),44661.0)</f>
        <v>44661</v>
      </c>
      <c r="C1945" s="5"/>
      <c r="D1945" s="5"/>
      <c r="E1945" s="5"/>
      <c r="F1945" s="22">
        <f>IFERROR(__xludf.DUMMYFUNCTION("""COMPUTED_VALUE"""),500000.0)</f>
        <v>500000</v>
      </c>
      <c r="G1945" s="22">
        <f>IFERROR(__xludf.DUMMYFUNCTION("""COMPUTED_VALUE"""),0.0)</f>
        <v>0</v>
      </c>
      <c r="H1945" s="22">
        <f>IFERROR(__xludf.DUMMYFUNCTION("""COMPUTED_VALUE"""),500000.0)</f>
        <v>500000</v>
      </c>
      <c r="I1945" s="24">
        <f>IFERROR(__xludf.DUMMYFUNCTION("""COMPUTED_VALUE"""),0.0)</f>
        <v>0</v>
      </c>
    </row>
    <row r="1946">
      <c r="A1946" s="5" t="str">
        <f>IFERROR(__xludf.DUMMYFUNCTION("""COMPUTED_VALUE"""),"38109")</f>
        <v>38109</v>
      </c>
      <c r="B1946" s="64">
        <f>IFERROR(__xludf.DUMMYFUNCTION("""COMPUTED_VALUE"""),44662.0)</f>
        <v>44662</v>
      </c>
      <c r="C1946" s="5"/>
      <c r="D1946" s="5"/>
      <c r="E1946" s="5"/>
      <c r="F1946" s="22">
        <f>IFERROR(__xludf.DUMMYFUNCTION("""COMPUTED_VALUE"""),500000.0)</f>
        <v>500000</v>
      </c>
      <c r="G1946" s="22">
        <f>IFERROR(__xludf.DUMMYFUNCTION("""COMPUTED_VALUE"""),0.0)</f>
        <v>0</v>
      </c>
      <c r="H1946" s="22">
        <f>IFERROR(__xludf.DUMMYFUNCTION("""COMPUTED_VALUE"""),500000.0)</f>
        <v>500000</v>
      </c>
      <c r="I1946" s="24">
        <f>IFERROR(__xludf.DUMMYFUNCTION("""COMPUTED_VALUE"""),0.0)</f>
        <v>0</v>
      </c>
    </row>
    <row r="1947">
      <c r="A1947" s="5" t="str">
        <f>IFERROR(__xludf.DUMMYFUNCTION("""COMPUTED_VALUE"""),"38109")</f>
        <v>38109</v>
      </c>
      <c r="B1947" s="64">
        <f>IFERROR(__xludf.DUMMYFUNCTION("""COMPUTED_VALUE"""),44663.0)</f>
        <v>44663</v>
      </c>
      <c r="C1947" s="5"/>
      <c r="D1947" s="5"/>
      <c r="E1947" s="5"/>
      <c r="F1947" s="22">
        <f>IFERROR(__xludf.DUMMYFUNCTION("""COMPUTED_VALUE"""),500000.0)</f>
        <v>500000</v>
      </c>
      <c r="G1947" s="22">
        <f>IFERROR(__xludf.DUMMYFUNCTION("""COMPUTED_VALUE"""),0.0)</f>
        <v>0</v>
      </c>
      <c r="H1947" s="22">
        <f>IFERROR(__xludf.DUMMYFUNCTION("""COMPUTED_VALUE"""),500000.0)</f>
        <v>500000</v>
      </c>
      <c r="I1947" s="24">
        <f>IFERROR(__xludf.DUMMYFUNCTION("""COMPUTED_VALUE"""),0.0)</f>
        <v>0</v>
      </c>
    </row>
    <row r="1948">
      <c r="A1948" s="5" t="str">
        <f>IFERROR(__xludf.DUMMYFUNCTION("""COMPUTED_VALUE"""),"38209")</f>
        <v>38209</v>
      </c>
      <c r="B1948" s="64">
        <f>IFERROR(__xludf.DUMMYFUNCTION("""COMPUTED_VALUE"""),44597.0)</f>
        <v>44597</v>
      </c>
      <c r="C1948" s="5"/>
      <c r="D1948" s="5"/>
      <c r="E1948" s="5"/>
      <c r="F1948" s="22">
        <f>IFERROR(__xludf.DUMMYFUNCTION("""COMPUTED_VALUE"""),500000.0)</f>
        <v>500000</v>
      </c>
      <c r="G1948" s="22">
        <f>IFERROR(__xludf.DUMMYFUNCTION("""COMPUTED_VALUE"""),0.0)</f>
        <v>0</v>
      </c>
      <c r="H1948" s="22">
        <f>IFERROR(__xludf.DUMMYFUNCTION("""COMPUTED_VALUE"""),500000.0)</f>
        <v>500000</v>
      </c>
      <c r="I1948" s="24">
        <f>IFERROR(__xludf.DUMMYFUNCTION("""COMPUTED_VALUE"""),0.0)</f>
        <v>0</v>
      </c>
    </row>
    <row r="1949">
      <c r="A1949" s="5" t="str">
        <f>IFERROR(__xludf.DUMMYFUNCTION("""COMPUTED_VALUE"""),"38209")</f>
        <v>38209</v>
      </c>
      <c r="B1949" s="64">
        <f>IFERROR(__xludf.DUMMYFUNCTION("""COMPUTED_VALUE"""),44598.0)</f>
        <v>44598</v>
      </c>
      <c r="C1949" s="5"/>
      <c r="D1949" s="5"/>
      <c r="E1949" s="5"/>
      <c r="F1949" s="22">
        <f>IFERROR(__xludf.DUMMYFUNCTION("""COMPUTED_VALUE"""),500000.0)</f>
        <v>500000</v>
      </c>
      <c r="G1949" s="22">
        <f>IFERROR(__xludf.DUMMYFUNCTION("""COMPUTED_VALUE"""),0.0)</f>
        <v>0</v>
      </c>
      <c r="H1949" s="22">
        <f>IFERROR(__xludf.DUMMYFUNCTION("""COMPUTED_VALUE"""),500000.0)</f>
        <v>500000</v>
      </c>
      <c r="I1949" s="24">
        <f>IFERROR(__xludf.DUMMYFUNCTION("""COMPUTED_VALUE"""),0.0)</f>
        <v>0</v>
      </c>
    </row>
    <row r="1950">
      <c r="A1950" s="5" t="str">
        <f>IFERROR(__xludf.DUMMYFUNCTION("""COMPUTED_VALUE"""),"38209")</f>
        <v>38209</v>
      </c>
      <c r="B1950" s="64">
        <f>IFERROR(__xludf.DUMMYFUNCTION("""COMPUTED_VALUE"""),44599.0)</f>
        <v>44599</v>
      </c>
      <c r="C1950" s="5"/>
      <c r="D1950" s="5"/>
      <c r="E1950" s="5"/>
      <c r="F1950" s="22">
        <f>IFERROR(__xludf.DUMMYFUNCTION("""COMPUTED_VALUE"""),500000.0)</f>
        <v>500000</v>
      </c>
      <c r="G1950" s="22">
        <f>IFERROR(__xludf.DUMMYFUNCTION("""COMPUTED_VALUE"""),0.0)</f>
        <v>0</v>
      </c>
      <c r="H1950" s="22">
        <f>IFERROR(__xludf.DUMMYFUNCTION("""COMPUTED_VALUE"""),500000.0)</f>
        <v>500000</v>
      </c>
      <c r="I1950" s="24">
        <f>IFERROR(__xludf.DUMMYFUNCTION("""COMPUTED_VALUE"""),0.0)</f>
        <v>0</v>
      </c>
    </row>
    <row r="1951">
      <c r="A1951" s="5" t="str">
        <f>IFERROR(__xludf.DUMMYFUNCTION("""COMPUTED_VALUE"""),"38209")</f>
        <v>38209</v>
      </c>
      <c r="B1951" s="64">
        <f>IFERROR(__xludf.DUMMYFUNCTION("""COMPUTED_VALUE"""),44600.0)</f>
        <v>44600</v>
      </c>
      <c r="C1951" s="5"/>
      <c r="D1951" s="5"/>
      <c r="E1951" s="5"/>
      <c r="F1951" s="22">
        <f>IFERROR(__xludf.DUMMYFUNCTION("""COMPUTED_VALUE"""),500000.0)</f>
        <v>500000</v>
      </c>
      <c r="G1951" s="22">
        <f>IFERROR(__xludf.DUMMYFUNCTION("""COMPUTED_VALUE"""),0.0)</f>
        <v>0</v>
      </c>
      <c r="H1951" s="22">
        <f>IFERROR(__xludf.DUMMYFUNCTION("""COMPUTED_VALUE"""),500000.0)</f>
        <v>500000</v>
      </c>
      <c r="I1951" s="24">
        <f>IFERROR(__xludf.DUMMYFUNCTION("""COMPUTED_VALUE"""),0.0)</f>
        <v>0</v>
      </c>
    </row>
    <row r="1952">
      <c r="A1952" s="5" t="str">
        <f>IFERROR(__xludf.DUMMYFUNCTION("""COMPUTED_VALUE"""),"38209")</f>
        <v>38209</v>
      </c>
      <c r="B1952" s="64">
        <f>IFERROR(__xludf.DUMMYFUNCTION("""COMPUTED_VALUE"""),44601.0)</f>
        <v>44601</v>
      </c>
      <c r="C1952" s="5"/>
      <c r="D1952" s="5"/>
      <c r="E1952" s="5"/>
      <c r="F1952" s="22">
        <f>IFERROR(__xludf.DUMMYFUNCTION("""COMPUTED_VALUE"""),500000.0)</f>
        <v>500000</v>
      </c>
      <c r="G1952" s="22">
        <f>IFERROR(__xludf.DUMMYFUNCTION("""COMPUTED_VALUE"""),0.0)</f>
        <v>0</v>
      </c>
      <c r="H1952" s="22">
        <f>IFERROR(__xludf.DUMMYFUNCTION("""COMPUTED_VALUE"""),500000.0)</f>
        <v>500000</v>
      </c>
      <c r="I1952" s="24">
        <f>IFERROR(__xludf.DUMMYFUNCTION("""COMPUTED_VALUE"""),0.0)</f>
        <v>0</v>
      </c>
    </row>
    <row r="1953">
      <c r="A1953" s="5" t="str">
        <f>IFERROR(__xludf.DUMMYFUNCTION("""COMPUTED_VALUE"""),"38209")</f>
        <v>38209</v>
      </c>
      <c r="B1953" s="64">
        <f>IFERROR(__xludf.DUMMYFUNCTION("""COMPUTED_VALUE"""),44602.0)</f>
        <v>44602</v>
      </c>
      <c r="C1953" s="5"/>
      <c r="D1953" s="5"/>
      <c r="E1953" s="5"/>
      <c r="F1953" s="22">
        <f>IFERROR(__xludf.DUMMYFUNCTION("""COMPUTED_VALUE"""),500000.0)</f>
        <v>500000</v>
      </c>
      <c r="G1953" s="22">
        <f>IFERROR(__xludf.DUMMYFUNCTION("""COMPUTED_VALUE"""),0.0)</f>
        <v>0</v>
      </c>
      <c r="H1953" s="22">
        <f>IFERROR(__xludf.DUMMYFUNCTION("""COMPUTED_VALUE"""),500000.0)</f>
        <v>500000</v>
      </c>
      <c r="I1953" s="24">
        <f>IFERROR(__xludf.DUMMYFUNCTION("""COMPUTED_VALUE"""),0.0)</f>
        <v>0</v>
      </c>
    </row>
    <row r="1954">
      <c r="A1954" s="5" t="str">
        <f>IFERROR(__xludf.DUMMYFUNCTION("""COMPUTED_VALUE"""),"38209")</f>
        <v>38209</v>
      </c>
      <c r="B1954" s="64">
        <f>IFERROR(__xludf.DUMMYFUNCTION("""COMPUTED_VALUE"""),44603.0)</f>
        <v>44603</v>
      </c>
      <c r="C1954" s="5"/>
      <c r="D1954" s="5"/>
      <c r="E1954" s="5"/>
      <c r="F1954" s="22">
        <f>IFERROR(__xludf.DUMMYFUNCTION("""COMPUTED_VALUE"""),500000.0)</f>
        <v>500000</v>
      </c>
      <c r="G1954" s="22">
        <f>IFERROR(__xludf.DUMMYFUNCTION("""COMPUTED_VALUE"""),0.0)</f>
        <v>0</v>
      </c>
      <c r="H1954" s="22">
        <f>IFERROR(__xludf.DUMMYFUNCTION("""COMPUTED_VALUE"""),500000.0)</f>
        <v>500000</v>
      </c>
      <c r="I1954" s="24">
        <f>IFERROR(__xludf.DUMMYFUNCTION("""COMPUTED_VALUE"""),0.0)</f>
        <v>0</v>
      </c>
    </row>
    <row r="1955">
      <c r="A1955" s="5" t="str">
        <f>IFERROR(__xludf.DUMMYFUNCTION("""COMPUTED_VALUE"""),"38209")</f>
        <v>38209</v>
      </c>
      <c r="B1955" s="64">
        <f>IFERROR(__xludf.DUMMYFUNCTION("""COMPUTED_VALUE"""),44604.0)</f>
        <v>44604</v>
      </c>
      <c r="C1955" s="5"/>
      <c r="D1955" s="5"/>
      <c r="E1955" s="5"/>
      <c r="F1955" s="22">
        <f>IFERROR(__xludf.DUMMYFUNCTION("""COMPUTED_VALUE"""),500000.0)</f>
        <v>500000</v>
      </c>
      <c r="G1955" s="22">
        <f>IFERROR(__xludf.DUMMYFUNCTION("""COMPUTED_VALUE"""),0.0)</f>
        <v>0</v>
      </c>
      <c r="H1955" s="22">
        <f>IFERROR(__xludf.DUMMYFUNCTION("""COMPUTED_VALUE"""),500000.0)</f>
        <v>500000</v>
      </c>
      <c r="I1955" s="24">
        <f>IFERROR(__xludf.DUMMYFUNCTION("""COMPUTED_VALUE"""),0.0)</f>
        <v>0</v>
      </c>
    </row>
    <row r="1956">
      <c r="A1956" s="5" t="str">
        <f>IFERROR(__xludf.DUMMYFUNCTION("""COMPUTED_VALUE"""),"38209")</f>
        <v>38209</v>
      </c>
      <c r="B1956" s="64">
        <f>IFERROR(__xludf.DUMMYFUNCTION("""COMPUTED_VALUE"""),44605.0)</f>
        <v>44605</v>
      </c>
      <c r="C1956" s="5"/>
      <c r="D1956" s="5"/>
      <c r="E1956" s="5"/>
      <c r="F1956" s="22">
        <f>IFERROR(__xludf.DUMMYFUNCTION("""COMPUTED_VALUE"""),500000.0)</f>
        <v>500000</v>
      </c>
      <c r="G1956" s="22">
        <f>IFERROR(__xludf.DUMMYFUNCTION("""COMPUTED_VALUE"""),0.0)</f>
        <v>0</v>
      </c>
      <c r="H1956" s="22">
        <f>IFERROR(__xludf.DUMMYFUNCTION("""COMPUTED_VALUE"""),500000.0)</f>
        <v>500000</v>
      </c>
      <c r="I1956" s="24">
        <f>IFERROR(__xludf.DUMMYFUNCTION("""COMPUTED_VALUE"""),0.0)</f>
        <v>0</v>
      </c>
    </row>
    <row r="1957">
      <c r="A1957" s="5" t="str">
        <f>IFERROR(__xludf.DUMMYFUNCTION("""COMPUTED_VALUE"""),"38209")</f>
        <v>38209</v>
      </c>
      <c r="B1957" s="64">
        <f>IFERROR(__xludf.DUMMYFUNCTION("""COMPUTED_VALUE"""),44606.0)</f>
        <v>44606</v>
      </c>
      <c r="C1957" s="5"/>
      <c r="D1957" s="5"/>
      <c r="E1957" s="5"/>
      <c r="F1957" s="22">
        <f>IFERROR(__xludf.DUMMYFUNCTION("""COMPUTED_VALUE"""),500000.0)</f>
        <v>500000</v>
      </c>
      <c r="G1957" s="22">
        <f>IFERROR(__xludf.DUMMYFUNCTION("""COMPUTED_VALUE"""),0.0)</f>
        <v>0</v>
      </c>
      <c r="H1957" s="22">
        <f>IFERROR(__xludf.DUMMYFUNCTION("""COMPUTED_VALUE"""),500000.0)</f>
        <v>500000</v>
      </c>
      <c r="I1957" s="24">
        <f>IFERROR(__xludf.DUMMYFUNCTION("""COMPUTED_VALUE"""),0.0)</f>
        <v>0</v>
      </c>
    </row>
    <row r="1958">
      <c r="A1958" s="5" t="str">
        <f>IFERROR(__xludf.DUMMYFUNCTION("""COMPUTED_VALUE"""),"38209")</f>
        <v>38209</v>
      </c>
      <c r="B1958" s="64">
        <f>IFERROR(__xludf.DUMMYFUNCTION("""COMPUTED_VALUE"""),44607.0)</f>
        <v>44607</v>
      </c>
      <c r="C1958" s="5"/>
      <c r="D1958" s="5"/>
      <c r="E1958" s="5"/>
      <c r="F1958" s="22">
        <f>IFERROR(__xludf.DUMMYFUNCTION("""COMPUTED_VALUE"""),500000.0)</f>
        <v>500000</v>
      </c>
      <c r="G1958" s="22">
        <f>IFERROR(__xludf.DUMMYFUNCTION("""COMPUTED_VALUE"""),0.0)</f>
        <v>0</v>
      </c>
      <c r="H1958" s="22">
        <f>IFERROR(__xludf.DUMMYFUNCTION("""COMPUTED_VALUE"""),500000.0)</f>
        <v>500000</v>
      </c>
      <c r="I1958" s="24">
        <f>IFERROR(__xludf.DUMMYFUNCTION("""COMPUTED_VALUE"""),0.0)</f>
        <v>0</v>
      </c>
    </row>
    <row r="1959">
      <c r="A1959" s="5" t="str">
        <f>IFERROR(__xludf.DUMMYFUNCTION("""COMPUTED_VALUE"""),"38209")</f>
        <v>38209</v>
      </c>
      <c r="B1959" s="64">
        <f>IFERROR(__xludf.DUMMYFUNCTION("""COMPUTED_VALUE"""),44608.0)</f>
        <v>44608</v>
      </c>
      <c r="C1959" s="5"/>
      <c r="D1959" s="5"/>
      <c r="E1959" s="5"/>
      <c r="F1959" s="22">
        <f>IFERROR(__xludf.DUMMYFUNCTION("""COMPUTED_VALUE"""),500000.0)</f>
        <v>500000</v>
      </c>
      <c r="G1959" s="22">
        <f>IFERROR(__xludf.DUMMYFUNCTION("""COMPUTED_VALUE"""),0.0)</f>
        <v>0</v>
      </c>
      <c r="H1959" s="22">
        <f>IFERROR(__xludf.DUMMYFUNCTION("""COMPUTED_VALUE"""),500000.0)</f>
        <v>500000</v>
      </c>
      <c r="I1959" s="24">
        <f>IFERROR(__xludf.DUMMYFUNCTION("""COMPUTED_VALUE"""),0.0)</f>
        <v>0</v>
      </c>
    </row>
    <row r="1960">
      <c r="A1960" s="5" t="str">
        <f>IFERROR(__xludf.DUMMYFUNCTION("""COMPUTED_VALUE"""),"38209")</f>
        <v>38209</v>
      </c>
      <c r="B1960" s="64">
        <f>IFERROR(__xludf.DUMMYFUNCTION("""COMPUTED_VALUE"""),44609.0)</f>
        <v>44609</v>
      </c>
      <c r="C1960" s="5"/>
      <c r="D1960" s="5"/>
      <c r="E1960" s="5"/>
      <c r="F1960" s="22">
        <f>IFERROR(__xludf.DUMMYFUNCTION("""COMPUTED_VALUE"""),500000.0)</f>
        <v>500000</v>
      </c>
      <c r="G1960" s="22">
        <f>IFERROR(__xludf.DUMMYFUNCTION("""COMPUTED_VALUE"""),0.0)</f>
        <v>0</v>
      </c>
      <c r="H1960" s="22">
        <f>IFERROR(__xludf.DUMMYFUNCTION("""COMPUTED_VALUE"""),500000.0)</f>
        <v>500000</v>
      </c>
      <c r="I1960" s="24">
        <f>IFERROR(__xludf.DUMMYFUNCTION("""COMPUTED_VALUE"""),0.0)</f>
        <v>0</v>
      </c>
    </row>
    <row r="1961">
      <c r="A1961" s="5" t="str">
        <f>IFERROR(__xludf.DUMMYFUNCTION("""COMPUTED_VALUE"""),"38209")</f>
        <v>38209</v>
      </c>
      <c r="B1961" s="64">
        <f>IFERROR(__xludf.DUMMYFUNCTION("""COMPUTED_VALUE"""),44610.0)</f>
        <v>44610</v>
      </c>
      <c r="C1961" s="5"/>
      <c r="D1961" s="5"/>
      <c r="E1961" s="5"/>
      <c r="F1961" s="22">
        <f>IFERROR(__xludf.DUMMYFUNCTION("""COMPUTED_VALUE"""),500000.0)</f>
        <v>500000</v>
      </c>
      <c r="G1961" s="22">
        <f>IFERROR(__xludf.DUMMYFUNCTION("""COMPUTED_VALUE"""),0.0)</f>
        <v>0</v>
      </c>
      <c r="H1961" s="22">
        <f>IFERROR(__xludf.DUMMYFUNCTION("""COMPUTED_VALUE"""),500000.0)</f>
        <v>500000</v>
      </c>
      <c r="I1961" s="24">
        <f>IFERROR(__xludf.DUMMYFUNCTION("""COMPUTED_VALUE"""),0.0)</f>
        <v>0</v>
      </c>
    </row>
    <row r="1962">
      <c r="A1962" s="5" t="str">
        <f>IFERROR(__xludf.DUMMYFUNCTION("""COMPUTED_VALUE"""),"38209")</f>
        <v>38209</v>
      </c>
      <c r="B1962" s="64">
        <f>IFERROR(__xludf.DUMMYFUNCTION("""COMPUTED_VALUE"""),44611.0)</f>
        <v>44611</v>
      </c>
      <c r="C1962" s="5"/>
      <c r="D1962" s="5"/>
      <c r="E1962" s="5"/>
      <c r="F1962" s="22">
        <f>IFERROR(__xludf.DUMMYFUNCTION("""COMPUTED_VALUE"""),500000.0)</f>
        <v>500000</v>
      </c>
      <c r="G1962" s="22">
        <f>IFERROR(__xludf.DUMMYFUNCTION("""COMPUTED_VALUE"""),0.0)</f>
        <v>0</v>
      </c>
      <c r="H1962" s="22">
        <f>IFERROR(__xludf.DUMMYFUNCTION("""COMPUTED_VALUE"""),500000.0)</f>
        <v>500000</v>
      </c>
      <c r="I1962" s="24">
        <f>IFERROR(__xludf.DUMMYFUNCTION("""COMPUTED_VALUE"""),0.0)</f>
        <v>0</v>
      </c>
    </row>
    <row r="1963">
      <c r="A1963" s="5" t="str">
        <f>IFERROR(__xludf.DUMMYFUNCTION("""COMPUTED_VALUE"""),"38209")</f>
        <v>38209</v>
      </c>
      <c r="B1963" s="64">
        <f>IFERROR(__xludf.DUMMYFUNCTION("""COMPUTED_VALUE"""),44612.0)</f>
        <v>44612</v>
      </c>
      <c r="C1963" s="5"/>
      <c r="D1963" s="5"/>
      <c r="E1963" s="5"/>
      <c r="F1963" s="22">
        <f>IFERROR(__xludf.DUMMYFUNCTION("""COMPUTED_VALUE"""),500000.0)</f>
        <v>500000</v>
      </c>
      <c r="G1963" s="22">
        <f>IFERROR(__xludf.DUMMYFUNCTION("""COMPUTED_VALUE"""),0.0)</f>
        <v>0</v>
      </c>
      <c r="H1963" s="22">
        <f>IFERROR(__xludf.DUMMYFUNCTION("""COMPUTED_VALUE"""),500000.0)</f>
        <v>500000</v>
      </c>
      <c r="I1963" s="24">
        <f>IFERROR(__xludf.DUMMYFUNCTION("""COMPUTED_VALUE"""),0.0)</f>
        <v>0</v>
      </c>
    </row>
    <row r="1964">
      <c r="A1964" s="5" t="str">
        <f>IFERROR(__xludf.DUMMYFUNCTION("""COMPUTED_VALUE"""),"38209")</f>
        <v>38209</v>
      </c>
      <c r="B1964" s="64">
        <f>IFERROR(__xludf.DUMMYFUNCTION("""COMPUTED_VALUE"""),44613.0)</f>
        <v>44613</v>
      </c>
      <c r="C1964" s="5"/>
      <c r="D1964" s="5"/>
      <c r="E1964" s="5"/>
      <c r="F1964" s="22">
        <f>IFERROR(__xludf.DUMMYFUNCTION("""COMPUTED_VALUE"""),500000.0)</f>
        <v>500000</v>
      </c>
      <c r="G1964" s="22">
        <f>IFERROR(__xludf.DUMMYFUNCTION("""COMPUTED_VALUE"""),0.0)</f>
        <v>0</v>
      </c>
      <c r="H1964" s="22">
        <f>IFERROR(__xludf.DUMMYFUNCTION("""COMPUTED_VALUE"""),500000.0)</f>
        <v>500000</v>
      </c>
      <c r="I1964" s="24">
        <f>IFERROR(__xludf.DUMMYFUNCTION("""COMPUTED_VALUE"""),0.0)</f>
        <v>0</v>
      </c>
    </row>
    <row r="1965">
      <c r="A1965" s="5" t="str">
        <f>IFERROR(__xludf.DUMMYFUNCTION("""COMPUTED_VALUE"""),"38209")</f>
        <v>38209</v>
      </c>
      <c r="B1965" s="64">
        <f>IFERROR(__xludf.DUMMYFUNCTION("""COMPUTED_VALUE"""),44614.0)</f>
        <v>44614</v>
      </c>
      <c r="C1965" s="5"/>
      <c r="D1965" s="5"/>
      <c r="E1965" s="5"/>
      <c r="F1965" s="22">
        <f>IFERROR(__xludf.DUMMYFUNCTION("""COMPUTED_VALUE"""),500000.0)</f>
        <v>500000</v>
      </c>
      <c r="G1965" s="22">
        <f>IFERROR(__xludf.DUMMYFUNCTION("""COMPUTED_VALUE"""),0.0)</f>
        <v>0</v>
      </c>
      <c r="H1965" s="22">
        <f>IFERROR(__xludf.DUMMYFUNCTION("""COMPUTED_VALUE"""),500000.0)</f>
        <v>500000</v>
      </c>
      <c r="I1965" s="24">
        <f>IFERROR(__xludf.DUMMYFUNCTION("""COMPUTED_VALUE"""),0.0)</f>
        <v>0</v>
      </c>
    </row>
    <row r="1966">
      <c r="A1966" s="5" t="str">
        <f>IFERROR(__xludf.DUMMYFUNCTION("""COMPUTED_VALUE"""),"38209")</f>
        <v>38209</v>
      </c>
      <c r="B1966" s="64">
        <f>IFERROR(__xludf.DUMMYFUNCTION("""COMPUTED_VALUE"""),44615.0)</f>
        <v>44615</v>
      </c>
      <c r="C1966" s="5"/>
      <c r="D1966" s="5"/>
      <c r="E1966" s="5"/>
      <c r="F1966" s="22">
        <f>IFERROR(__xludf.DUMMYFUNCTION("""COMPUTED_VALUE"""),500000.0)</f>
        <v>500000</v>
      </c>
      <c r="G1966" s="22">
        <f>IFERROR(__xludf.DUMMYFUNCTION("""COMPUTED_VALUE"""),0.0)</f>
        <v>0</v>
      </c>
      <c r="H1966" s="22">
        <f>IFERROR(__xludf.DUMMYFUNCTION("""COMPUTED_VALUE"""),500000.0)</f>
        <v>500000</v>
      </c>
      <c r="I1966" s="24">
        <f>IFERROR(__xludf.DUMMYFUNCTION("""COMPUTED_VALUE"""),0.0)</f>
        <v>0</v>
      </c>
    </row>
    <row r="1967">
      <c r="A1967" s="5" t="str">
        <f>IFERROR(__xludf.DUMMYFUNCTION("""COMPUTED_VALUE"""),"38209")</f>
        <v>38209</v>
      </c>
      <c r="B1967" s="64">
        <f>IFERROR(__xludf.DUMMYFUNCTION("""COMPUTED_VALUE"""),44616.0)</f>
        <v>44616</v>
      </c>
      <c r="C1967" s="5"/>
      <c r="D1967" s="5"/>
      <c r="E1967" s="5"/>
      <c r="F1967" s="22">
        <f>IFERROR(__xludf.DUMMYFUNCTION("""COMPUTED_VALUE"""),500000.0)</f>
        <v>500000</v>
      </c>
      <c r="G1967" s="22">
        <f>IFERROR(__xludf.DUMMYFUNCTION("""COMPUTED_VALUE"""),0.0)</f>
        <v>0</v>
      </c>
      <c r="H1967" s="22">
        <f>IFERROR(__xludf.DUMMYFUNCTION("""COMPUTED_VALUE"""),500000.0)</f>
        <v>500000</v>
      </c>
      <c r="I1967" s="24">
        <f>IFERROR(__xludf.DUMMYFUNCTION("""COMPUTED_VALUE"""),0.0)</f>
        <v>0</v>
      </c>
    </row>
    <row r="1968">
      <c r="A1968" s="5" t="str">
        <f>IFERROR(__xludf.DUMMYFUNCTION("""COMPUTED_VALUE"""),"38209")</f>
        <v>38209</v>
      </c>
      <c r="B1968" s="64">
        <f>IFERROR(__xludf.DUMMYFUNCTION("""COMPUTED_VALUE"""),44617.0)</f>
        <v>44617</v>
      </c>
      <c r="C1968" s="5"/>
      <c r="D1968" s="5"/>
      <c r="E1968" s="5"/>
      <c r="F1968" s="22">
        <f>IFERROR(__xludf.DUMMYFUNCTION("""COMPUTED_VALUE"""),500000.0)</f>
        <v>500000</v>
      </c>
      <c r="G1968" s="22">
        <f>IFERROR(__xludf.DUMMYFUNCTION("""COMPUTED_VALUE"""),0.0)</f>
        <v>0</v>
      </c>
      <c r="H1968" s="22">
        <f>IFERROR(__xludf.DUMMYFUNCTION("""COMPUTED_VALUE"""),500000.0)</f>
        <v>500000</v>
      </c>
      <c r="I1968" s="24">
        <f>IFERROR(__xludf.DUMMYFUNCTION("""COMPUTED_VALUE"""),0.0)</f>
        <v>0</v>
      </c>
    </row>
    <row r="1969">
      <c r="A1969" s="5" t="str">
        <f>IFERROR(__xludf.DUMMYFUNCTION("""COMPUTED_VALUE"""),"38209")</f>
        <v>38209</v>
      </c>
      <c r="B1969" s="64">
        <f>IFERROR(__xludf.DUMMYFUNCTION("""COMPUTED_VALUE"""),44618.0)</f>
        <v>44618</v>
      </c>
      <c r="C1969" s="5"/>
      <c r="D1969" s="5"/>
      <c r="E1969" s="5"/>
      <c r="F1969" s="22">
        <f>IFERROR(__xludf.DUMMYFUNCTION("""COMPUTED_VALUE"""),500000.0)</f>
        <v>500000</v>
      </c>
      <c r="G1969" s="22">
        <f>IFERROR(__xludf.DUMMYFUNCTION("""COMPUTED_VALUE"""),0.0)</f>
        <v>0</v>
      </c>
      <c r="H1969" s="22">
        <f>IFERROR(__xludf.DUMMYFUNCTION("""COMPUTED_VALUE"""),500000.0)</f>
        <v>500000</v>
      </c>
      <c r="I1969" s="24">
        <f>IFERROR(__xludf.DUMMYFUNCTION("""COMPUTED_VALUE"""),0.0)</f>
        <v>0</v>
      </c>
    </row>
    <row r="1970">
      <c r="A1970" s="5" t="str">
        <f>IFERROR(__xludf.DUMMYFUNCTION("""COMPUTED_VALUE"""),"38209")</f>
        <v>38209</v>
      </c>
      <c r="B1970" s="64">
        <f>IFERROR(__xludf.DUMMYFUNCTION("""COMPUTED_VALUE"""),44619.0)</f>
        <v>44619</v>
      </c>
      <c r="C1970" s="5"/>
      <c r="D1970" s="5"/>
      <c r="E1970" s="5"/>
      <c r="F1970" s="22">
        <f>IFERROR(__xludf.DUMMYFUNCTION("""COMPUTED_VALUE"""),500000.0)</f>
        <v>500000</v>
      </c>
      <c r="G1970" s="22">
        <f>IFERROR(__xludf.DUMMYFUNCTION("""COMPUTED_VALUE"""),0.0)</f>
        <v>0</v>
      </c>
      <c r="H1970" s="22">
        <f>IFERROR(__xludf.DUMMYFUNCTION("""COMPUTED_VALUE"""),500000.0)</f>
        <v>500000</v>
      </c>
      <c r="I1970" s="24">
        <f>IFERROR(__xludf.DUMMYFUNCTION("""COMPUTED_VALUE"""),0.0)</f>
        <v>0</v>
      </c>
    </row>
    <row r="1971">
      <c r="A1971" s="5" t="str">
        <f>IFERROR(__xludf.DUMMYFUNCTION("""COMPUTED_VALUE"""),"38209")</f>
        <v>38209</v>
      </c>
      <c r="B1971" s="64">
        <f>IFERROR(__xludf.DUMMYFUNCTION("""COMPUTED_VALUE"""),44620.0)</f>
        <v>44620</v>
      </c>
      <c r="C1971" s="5"/>
      <c r="D1971" s="5"/>
      <c r="E1971" s="5"/>
      <c r="F1971" s="22">
        <f>IFERROR(__xludf.DUMMYFUNCTION("""COMPUTED_VALUE"""),500000.0)</f>
        <v>500000</v>
      </c>
      <c r="G1971" s="22">
        <f>IFERROR(__xludf.DUMMYFUNCTION("""COMPUTED_VALUE"""),0.0)</f>
        <v>0</v>
      </c>
      <c r="H1971" s="22">
        <f>IFERROR(__xludf.DUMMYFUNCTION("""COMPUTED_VALUE"""),500000.0)</f>
        <v>500000</v>
      </c>
      <c r="I1971" s="24">
        <f>IFERROR(__xludf.DUMMYFUNCTION("""COMPUTED_VALUE"""),0.0)</f>
        <v>0</v>
      </c>
    </row>
    <row r="1972">
      <c r="A1972" s="5" t="str">
        <f>IFERROR(__xludf.DUMMYFUNCTION("""COMPUTED_VALUE"""),"38209")</f>
        <v>38209</v>
      </c>
      <c r="B1972" s="64">
        <f>IFERROR(__xludf.DUMMYFUNCTION("""COMPUTED_VALUE"""),44621.0)</f>
        <v>44621</v>
      </c>
      <c r="C1972" s="5"/>
      <c r="D1972" s="5"/>
      <c r="E1972" s="5"/>
      <c r="F1972" s="22">
        <f>IFERROR(__xludf.DUMMYFUNCTION("""COMPUTED_VALUE"""),500000.0)</f>
        <v>500000</v>
      </c>
      <c r="G1972" s="22">
        <f>IFERROR(__xludf.DUMMYFUNCTION("""COMPUTED_VALUE"""),0.0)</f>
        <v>0</v>
      </c>
      <c r="H1972" s="22">
        <f>IFERROR(__xludf.DUMMYFUNCTION("""COMPUTED_VALUE"""),500000.0)</f>
        <v>500000</v>
      </c>
      <c r="I1972" s="24">
        <f>IFERROR(__xludf.DUMMYFUNCTION("""COMPUTED_VALUE"""),0.0)</f>
        <v>0</v>
      </c>
    </row>
    <row r="1973">
      <c r="A1973" s="5" t="str">
        <f>IFERROR(__xludf.DUMMYFUNCTION("""COMPUTED_VALUE"""),"38209")</f>
        <v>38209</v>
      </c>
      <c r="B1973" s="64">
        <f>IFERROR(__xludf.DUMMYFUNCTION("""COMPUTED_VALUE"""),44622.0)</f>
        <v>44622</v>
      </c>
      <c r="C1973" s="5"/>
      <c r="D1973" s="5"/>
      <c r="E1973" s="5"/>
      <c r="F1973" s="22">
        <f>IFERROR(__xludf.DUMMYFUNCTION("""COMPUTED_VALUE"""),500000.0)</f>
        <v>500000</v>
      </c>
      <c r="G1973" s="22">
        <f>IFERROR(__xludf.DUMMYFUNCTION("""COMPUTED_VALUE"""),0.0)</f>
        <v>0</v>
      </c>
      <c r="H1973" s="22">
        <f>IFERROR(__xludf.DUMMYFUNCTION("""COMPUTED_VALUE"""),500000.0)</f>
        <v>500000</v>
      </c>
      <c r="I1973" s="24">
        <f>IFERROR(__xludf.DUMMYFUNCTION("""COMPUTED_VALUE"""),0.0)</f>
        <v>0</v>
      </c>
    </row>
    <row r="1974">
      <c r="A1974" s="5" t="str">
        <f>IFERROR(__xludf.DUMMYFUNCTION("""COMPUTED_VALUE"""),"38209")</f>
        <v>38209</v>
      </c>
      <c r="B1974" s="64">
        <f>IFERROR(__xludf.DUMMYFUNCTION("""COMPUTED_VALUE"""),44623.0)</f>
        <v>44623</v>
      </c>
      <c r="C1974" s="5"/>
      <c r="D1974" s="5"/>
      <c r="E1974" s="5"/>
      <c r="F1974" s="22">
        <f>IFERROR(__xludf.DUMMYFUNCTION("""COMPUTED_VALUE"""),500000.0)</f>
        <v>500000</v>
      </c>
      <c r="G1974" s="22">
        <f>IFERROR(__xludf.DUMMYFUNCTION("""COMPUTED_VALUE"""),0.0)</f>
        <v>0</v>
      </c>
      <c r="H1974" s="22">
        <f>IFERROR(__xludf.DUMMYFUNCTION("""COMPUTED_VALUE"""),500000.0)</f>
        <v>500000</v>
      </c>
      <c r="I1974" s="24">
        <f>IFERROR(__xludf.DUMMYFUNCTION("""COMPUTED_VALUE"""),0.0)</f>
        <v>0</v>
      </c>
    </row>
    <row r="1975">
      <c r="A1975" s="5" t="str">
        <f>IFERROR(__xludf.DUMMYFUNCTION("""COMPUTED_VALUE"""),"38209")</f>
        <v>38209</v>
      </c>
      <c r="B1975" s="64">
        <f>IFERROR(__xludf.DUMMYFUNCTION("""COMPUTED_VALUE"""),44624.0)</f>
        <v>44624</v>
      </c>
      <c r="C1975" s="5"/>
      <c r="D1975" s="5"/>
      <c r="E1975" s="5"/>
      <c r="F1975" s="22">
        <f>IFERROR(__xludf.DUMMYFUNCTION("""COMPUTED_VALUE"""),500000.0)</f>
        <v>500000</v>
      </c>
      <c r="G1975" s="22">
        <f>IFERROR(__xludf.DUMMYFUNCTION("""COMPUTED_VALUE"""),0.0)</f>
        <v>0</v>
      </c>
      <c r="H1975" s="22">
        <f>IFERROR(__xludf.DUMMYFUNCTION("""COMPUTED_VALUE"""),500000.0)</f>
        <v>500000</v>
      </c>
      <c r="I1975" s="24">
        <f>IFERROR(__xludf.DUMMYFUNCTION("""COMPUTED_VALUE"""),0.0)</f>
        <v>0</v>
      </c>
    </row>
    <row r="1976">
      <c r="A1976" s="5" t="str">
        <f>IFERROR(__xludf.DUMMYFUNCTION("""COMPUTED_VALUE"""),"38209")</f>
        <v>38209</v>
      </c>
      <c r="B1976" s="64">
        <f>IFERROR(__xludf.DUMMYFUNCTION("""COMPUTED_VALUE"""),44625.0)</f>
        <v>44625</v>
      </c>
      <c r="C1976" s="5"/>
      <c r="D1976" s="5"/>
      <c r="E1976" s="5"/>
      <c r="F1976" s="22">
        <f>IFERROR(__xludf.DUMMYFUNCTION("""COMPUTED_VALUE"""),500000.0)</f>
        <v>500000</v>
      </c>
      <c r="G1976" s="22">
        <f>IFERROR(__xludf.DUMMYFUNCTION("""COMPUTED_VALUE"""),0.0)</f>
        <v>0</v>
      </c>
      <c r="H1976" s="22">
        <f>IFERROR(__xludf.DUMMYFUNCTION("""COMPUTED_VALUE"""),500000.0)</f>
        <v>500000</v>
      </c>
      <c r="I1976" s="24">
        <f>IFERROR(__xludf.DUMMYFUNCTION("""COMPUTED_VALUE"""),0.0)</f>
        <v>0</v>
      </c>
    </row>
    <row r="1977">
      <c r="A1977" s="5" t="str">
        <f>IFERROR(__xludf.DUMMYFUNCTION("""COMPUTED_VALUE"""),"38209")</f>
        <v>38209</v>
      </c>
      <c r="B1977" s="64">
        <f>IFERROR(__xludf.DUMMYFUNCTION("""COMPUTED_VALUE"""),44626.0)</f>
        <v>44626</v>
      </c>
      <c r="C1977" s="5"/>
      <c r="D1977" s="5"/>
      <c r="E1977" s="5"/>
      <c r="F1977" s="22">
        <f>IFERROR(__xludf.DUMMYFUNCTION("""COMPUTED_VALUE"""),500000.0)</f>
        <v>500000</v>
      </c>
      <c r="G1977" s="22">
        <f>IFERROR(__xludf.DUMMYFUNCTION("""COMPUTED_VALUE"""),0.0)</f>
        <v>0</v>
      </c>
      <c r="H1977" s="22">
        <f>IFERROR(__xludf.DUMMYFUNCTION("""COMPUTED_VALUE"""),500000.0)</f>
        <v>500000</v>
      </c>
      <c r="I1977" s="24">
        <f>IFERROR(__xludf.DUMMYFUNCTION("""COMPUTED_VALUE"""),0.0)</f>
        <v>0</v>
      </c>
    </row>
    <row r="1978">
      <c r="A1978" s="5" t="str">
        <f>IFERROR(__xludf.DUMMYFUNCTION("""COMPUTED_VALUE"""),"38209")</f>
        <v>38209</v>
      </c>
      <c r="B1978" s="64">
        <f>IFERROR(__xludf.DUMMYFUNCTION("""COMPUTED_VALUE"""),44627.0)</f>
        <v>44627</v>
      </c>
      <c r="C1978" s="5"/>
      <c r="D1978" s="5"/>
      <c r="E1978" s="5"/>
      <c r="F1978" s="22">
        <f>IFERROR(__xludf.DUMMYFUNCTION("""COMPUTED_VALUE"""),500000.0)</f>
        <v>500000</v>
      </c>
      <c r="G1978" s="22">
        <f>IFERROR(__xludf.DUMMYFUNCTION("""COMPUTED_VALUE"""),0.0)</f>
        <v>0</v>
      </c>
      <c r="H1978" s="22">
        <f>IFERROR(__xludf.DUMMYFUNCTION("""COMPUTED_VALUE"""),498880.0)</f>
        <v>498880</v>
      </c>
      <c r="I1978" s="24">
        <f>IFERROR(__xludf.DUMMYFUNCTION("""COMPUTED_VALUE"""),-0.0022400000000000198)</f>
        <v>-0.00224</v>
      </c>
    </row>
    <row r="1979">
      <c r="A1979" s="5" t="str">
        <f>IFERROR(__xludf.DUMMYFUNCTION("""COMPUTED_VALUE"""),"38209")</f>
        <v>38209</v>
      </c>
      <c r="B1979" s="64">
        <f>IFERROR(__xludf.DUMMYFUNCTION("""COMPUTED_VALUE"""),44628.0)</f>
        <v>44628</v>
      </c>
      <c r="C1979" s="5"/>
      <c r="D1979" s="5"/>
      <c r="E1979" s="5"/>
      <c r="F1979" s="22">
        <f>IFERROR(__xludf.DUMMYFUNCTION("""COMPUTED_VALUE"""),500000.0)</f>
        <v>500000</v>
      </c>
      <c r="G1979" s="22">
        <f>IFERROR(__xludf.DUMMYFUNCTION("""COMPUTED_VALUE"""),0.0)</f>
        <v>0</v>
      </c>
      <c r="H1979" s="22">
        <f>IFERROR(__xludf.DUMMYFUNCTION("""COMPUTED_VALUE"""),496960.0)</f>
        <v>496960</v>
      </c>
      <c r="I1979" s="24">
        <f>IFERROR(__xludf.DUMMYFUNCTION("""COMPUTED_VALUE"""),-0.006079999999999974)</f>
        <v>-0.00608</v>
      </c>
    </row>
    <row r="1980">
      <c r="A1980" s="5" t="str">
        <f>IFERROR(__xludf.DUMMYFUNCTION("""COMPUTED_VALUE"""),"38209")</f>
        <v>38209</v>
      </c>
      <c r="B1980" s="64">
        <f>IFERROR(__xludf.DUMMYFUNCTION("""COMPUTED_VALUE"""),44629.0)</f>
        <v>44629</v>
      </c>
      <c r="C1980" s="5"/>
      <c r="D1980" s="5"/>
      <c r="E1980" s="5"/>
      <c r="F1980" s="22">
        <f>IFERROR(__xludf.DUMMYFUNCTION("""COMPUTED_VALUE"""),500000.0)</f>
        <v>500000</v>
      </c>
      <c r="G1980" s="22">
        <f>IFERROR(__xludf.DUMMYFUNCTION("""COMPUTED_VALUE"""),0.0)</f>
        <v>0</v>
      </c>
      <c r="H1980" s="22">
        <f>IFERROR(__xludf.DUMMYFUNCTION("""COMPUTED_VALUE"""),497495.0)</f>
        <v>497495</v>
      </c>
      <c r="I1980" s="24">
        <f>IFERROR(__xludf.DUMMYFUNCTION("""COMPUTED_VALUE"""),-0.005009999999999959)</f>
        <v>-0.00501</v>
      </c>
    </row>
    <row r="1981">
      <c r="A1981" s="5" t="str">
        <f>IFERROR(__xludf.DUMMYFUNCTION("""COMPUTED_VALUE"""),"38209")</f>
        <v>38209</v>
      </c>
      <c r="B1981" s="64">
        <f>IFERROR(__xludf.DUMMYFUNCTION("""COMPUTED_VALUE"""),44630.0)</f>
        <v>44630</v>
      </c>
      <c r="C1981" s="5"/>
      <c r="D1981" s="5"/>
      <c r="E1981" s="5"/>
      <c r="F1981" s="22">
        <f>IFERROR(__xludf.DUMMYFUNCTION("""COMPUTED_VALUE"""),500000.0)</f>
        <v>500000</v>
      </c>
      <c r="G1981" s="22">
        <f>IFERROR(__xludf.DUMMYFUNCTION("""COMPUTED_VALUE"""),0.0)</f>
        <v>0</v>
      </c>
      <c r="H1981" s="22">
        <f>IFERROR(__xludf.DUMMYFUNCTION("""COMPUTED_VALUE"""),499435.0)</f>
        <v>499435</v>
      </c>
      <c r="I1981" s="24">
        <f>IFERROR(__xludf.DUMMYFUNCTION("""COMPUTED_VALUE"""),-0.0011299999999999644)</f>
        <v>-0.00113</v>
      </c>
    </row>
    <row r="1982">
      <c r="A1982" s="5" t="str">
        <f>IFERROR(__xludf.DUMMYFUNCTION("""COMPUTED_VALUE"""),"38209")</f>
        <v>38209</v>
      </c>
      <c r="B1982" s="64">
        <f>IFERROR(__xludf.DUMMYFUNCTION("""COMPUTED_VALUE"""),44631.0)</f>
        <v>44631</v>
      </c>
      <c r="C1982" s="5"/>
      <c r="D1982" s="5"/>
      <c r="E1982" s="5"/>
      <c r="F1982" s="22">
        <f>IFERROR(__xludf.DUMMYFUNCTION("""COMPUTED_VALUE"""),500000.0)</f>
        <v>500000</v>
      </c>
      <c r="G1982" s="22">
        <f>IFERROR(__xludf.DUMMYFUNCTION("""COMPUTED_VALUE"""),0.0)</f>
        <v>0</v>
      </c>
      <c r="H1982" s="22">
        <f>IFERROR(__xludf.DUMMYFUNCTION("""COMPUTED_VALUE"""),489865.0)</f>
        <v>489865</v>
      </c>
      <c r="I1982" s="24">
        <f>IFERROR(__xludf.DUMMYFUNCTION("""COMPUTED_VALUE"""),-0.02027000000000001)</f>
        <v>-0.02027</v>
      </c>
    </row>
    <row r="1983">
      <c r="A1983" s="5" t="str">
        <f>IFERROR(__xludf.DUMMYFUNCTION("""COMPUTED_VALUE"""),"38209")</f>
        <v>38209</v>
      </c>
      <c r="B1983" s="64">
        <f>IFERROR(__xludf.DUMMYFUNCTION("""COMPUTED_VALUE"""),44632.0)</f>
        <v>44632</v>
      </c>
      <c r="C1983" s="5"/>
      <c r="D1983" s="5"/>
      <c r="E1983" s="5"/>
      <c r="F1983" s="22">
        <f>IFERROR(__xludf.DUMMYFUNCTION("""COMPUTED_VALUE"""),500000.0)</f>
        <v>500000</v>
      </c>
      <c r="G1983" s="22">
        <f>IFERROR(__xludf.DUMMYFUNCTION("""COMPUTED_VALUE"""),0.0)</f>
        <v>0</v>
      </c>
      <c r="H1983" s="22">
        <f>IFERROR(__xludf.DUMMYFUNCTION("""COMPUTED_VALUE"""),489865.0)</f>
        <v>489865</v>
      </c>
      <c r="I1983" s="24">
        <f>IFERROR(__xludf.DUMMYFUNCTION("""COMPUTED_VALUE"""),-0.02027000000000001)</f>
        <v>-0.02027</v>
      </c>
    </row>
    <row r="1984">
      <c r="A1984" s="5" t="str">
        <f>IFERROR(__xludf.DUMMYFUNCTION("""COMPUTED_VALUE"""),"38209")</f>
        <v>38209</v>
      </c>
      <c r="B1984" s="64">
        <f>IFERROR(__xludf.DUMMYFUNCTION("""COMPUTED_VALUE"""),44633.0)</f>
        <v>44633</v>
      </c>
      <c r="C1984" s="5"/>
      <c r="D1984" s="5"/>
      <c r="E1984" s="5"/>
      <c r="F1984" s="22">
        <f>IFERROR(__xludf.DUMMYFUNCTION("""COMPUTED_VALUE"""),500000.0)</f>
        <v>500000</v>
      </c>
      <c r="G1984" s="22">
        <f>IFERROR(__xludf.DUMMYFUNCTION("""COMPUTED_VALUE"""),0.0)</f>
        <v>0</v>
      </c>
      <c r="H1984" s="22">
        <f>IFERROR(__xludf.DUMMYFUNCTION("""COMPUTED_VALUE"""),489865.0)</f>
        <v>489865</v>
      </c>
      <c r="I1984" s="24">
        <f>IFERROR(__xludf.DUMMYFUNCTION("""COMPUTED_VALUE"""),-0.02027000000000001)</f>
        <v>-0.02027</v>
      </c>
    </row>
    <row r="1985">
      <c r="A1985" s="5" t="str">
        <f>IFERROR(__xludf.DUMMYFUNCTION("""COMPUTED_VALUE"""),"38209")</f>
        <v>38209</v>
      </c>
      <c r="B1985" s="64">
        <f>IFERROR(__xludf.DUMMYFUNCTION("""COMPUTED_VALUE"""),44634.0)</f>
        <v>44634</v>
      </c>
      <c r="C1985" s="5"/>
      <c r="D1985" s="5"/>
      <c r="E1985" s="5"/>
      <c r="F1985" s="22">
        <f>IFERROR(__xludf.DUMMYFUNCTION("""COMPUTED_VALUE"""),500000.0)</f>
        <v>500000</v>
      </c>
      <c r="G1985" s="22">
        <f>IFERROR(__xludf.DUMMYFUNCTION("""COMPUTED_VALUE"""),0.0)</f>
        <v>0</v>
      </c>
      <c r="H1985" s="22">
        <f>IFERROR(__xludf.DUMMYFUNCTION("""COMPUTED_VALUE"""),467185.0)</f>
        <v>467185</v>
      </c>
      <c r="I1985" s="24">
        <f>IFERROR(__xludf.DUMMYFUNCTION("""COMPUTED_VALUE"""),-0.06562999999999997)</f>
        <v>-0.06563</v>
      </c>
    </row>
    <row r="1986">
      <c r="A1986" s="5" t="str">
        <f>IFERROR(__xludf.DUMMYFUNCTION("""COMPUTED_VALUE"""),"38209")</f>
        <v>38209</v>
      </c>
      <c r="B1986" s="64">
        <f>IFERROR(__xludf.DUMMYFUNCTION("""COMPUTED_VALUE"""),44635.0)</f>
        <v>44635</v>
      </c>
      <c r="C1986" s="5"/>
      <c r="D1986" s="5"/>
      <c r="E1986" s="5"/>
      <c r="F1986" s="22">
        <f>IFERROR(__xludf.DUMMYFUNCTION("""COMPUTED_VALUE"""),-95764.45639999997)</f>
        <v>-95764.4564</v>
      </c>
      <c r="G1986" s="22">
        <f>IFERROR(__xludf.DUMMYFUNCTION("""COMPUTED_VALUE"""),95764.45639999997)</f>
        <v>95764.4564</v>
      </c>
      <c r="H1986" s="22">
        <f>IFERROR(__xludf.DUMMYFUNCTION("""COMPUTED_VALUE"""),464585.0)</f>
        <v>464585</v>
      </c>
      <c r="I1986" s="24">
        <f>IFERROR(__xludf.DUMMYFUNCTION("""COMPUTED_VALUE"""),-0.07082999999999995)</f>
        <v>-0.07083</v>
      </c>
    </row>
    <row r="1987">
      <c r="A1987" s="5" t="str">
        <f>IFERROR(__xludf.DUMMYFUNCTION("""COMPUTED_VALUE"""),"38209")</f>
        <v>38209</v>
      </c>
      <c r="B1987" s="64">
        <f>IFERROR(__xludf.DUMMYFUNCTION("""COMPUTED_VALUE"""),44636.0)</f>
        <v>44636</v>
      </c>
      <c r="C1987" s="5"/>
      <c r="D1987" s="5"/>
      <c r="E1987" s="5"/>
      <c r="F1987" s="22">
        <f>IFERROR(__xludf.DUMMYFUNCTION("""COMPUTED_VALUE"""),-95764.45639999997)</f>
        <v>-95764.4564</v>
      </c>
      <c r="G1987" s="22">
        <f>IFERROR(__xludf.DUMMYFUNCTION("""COMPUTED_VALUE"""),95764.45639999997)</f>
        <v>95764.4564</v>
      </c>
      <c r="H1987" s="22">
        <f>IFERROR(__xludf.DUMMYFUNCTION("""COMPUTED_VALUE"""),501625.30122)</f>
        <v>501625.3012</v>
      </c>
      <c r="I1987" s="24">
        <f>IFERROR(__xludf.DUMMYFUNCTION("""COMPUTED_VALUE"""),0.0032506024400000832)</f>
        <v>0.00325060244</v>
      </c>
    </row>
    <row r="1988">
      <c r="A1988" s="5" t="str">
        <f>IFERROR(__xludf.DUMMYFUNCTION("""COMPUTED_VALUE"""),"38209")</f>
        <v>38209</v>
      </c>
      <c r="B1988" s="64">
        <f>IFERROR(__xludf.DUMMYFUNCTION("""COMPUTED_VALUE"""),44637.0)</f>
        <v>44637</v>
      </c>
      <c r="C1988" s="5"/>
      <c r="D1988" s="5"/>
      <c r="E1988" s="5"/>
      <c r="F1988" s="22">
        <f>IFERROR(__xludf.DUMMYFUNCTION("""COMPUTED_VALUE"""),-95764.45639999997)</f>
        <v>-95764.4564</v>
      </c>
      <c r="G1988" s="22">
        <f>IFERROR(__xludf.DUMMYFUNCTION("""COMPUTED_VALUE"""),95764.45639999997)</f>
        <v>95764.4564</v>
      </c>
      <c r="H1988" s="22">
        <f>IFERROR(__xludf.DUMMYFUNCTION("""COMPUTED_VALUE"""),528631.21464)</f>
        <v>528631.2146</v>
      </c>
      <c r="I1988" s="24">
        <f>IFERROR(__xludf.DUMMYFUNCTION("""COMPUTED_VALUE"""),0.05726242928000014)</f>
        <v>0.05726242928</v>
      </c>
    </row>
    <row r="1989">
      <c r="A1989" s="5" t="str">
        <f>IFERROR(__xludf.DUMMYFUNCTION("""COMPUTED_VALUE"""),"38209")</f>
        <v>38209</v>
      </c>
      <c r="B1989" s="64">
        <f>IFERROR(__xludf.DUMMYFUNCTION("""COMPUTED_VALUE"""),44638.0)</f>
        <v>44638</v>
      </c>
      <c r="C1989" s="5"/>
      <c r="D1989" s="5"/>
      <c r="E1989" s="5"/>
      <c r="F1989" s="22">
        <f>IFERROR(__xludf.DUMMYFUNCTION("""COMPUTED_VALUE"""),390777.312149)</f>
        <v>390777.3121</v>
      </c>
      <c r="G1989" s="22">
        <f>IFERROR(__xludf.DUMMYFUNCTION("""COMPUTED_VALUE"""),0.0)</f>
        <v>0</v>
      </c>
      <c r="H1989" s="22">
        <f>IFERROR(__xludf.DUMMYFUNCTION("""COMPUTED_VALUE"""),526684.287364)</f>
        <v>526684.2874</v>
      </c>
      <c r="I1989" s="24">
        <f>IFERROR(__xludf.DUMMYFUNCTION("""COMPUTED_VALUE"""),0.05336857472799994)</f>
        <v>0.05336857473</v>
      </c>
    </row>
    <row r="1990">
      <c r="A1990" s="5" t="str">
        <f>IFERROR(__xludf.DUMMYFUNCTION("""COMPUTED_VALUE"""),"38209")</f>
        <v>38209</v>
      </c>
      <c r="B1990" s="64">
        <f>IFERROR(__xludf.DUMMYFUNCTION("""COMPUTED_VALUE"""),44639.0)</f>
        <v>44639</v>
      </c>
      <c r="C1990" s="5"/>
      <c r="D1990" s="5"/>
      <c r="E1990" s="5"/>
      <c r="F1990" s="22">
        <f>IFERROR(__xludf.DUMMYFUNCTION("""COMPUTED_VALUE"""),390777.312149)</f>
        <v>390777.3121</v>
      </c>
      <c r="G1990" s="22">
        <f>IFERROR(__xludf.DUMMYFUNCTION("""COMPUTED_VALUE"""),0.0)</f>
        <v>0</v>
      </c>
      <c r="H1990" s="22">
        <f>IFERROR(__xludf.DUMMYFUNCTION("""COMPUTED_VALUE"""),526684.287364)</f>
        <v>526684.2874</v>
      </c>
      <c r="I1990" s="24">
        <f>IFERROR(__xludf.DUMMYFUNCTION("""COMPUTED_VALUE"""),0.05336857472799994)</f>
        <v>0.05336857473</v>
      </c>
    </row>
    <row r="1991">
      <c r="A1991" s="5" t="str">
        <f>IFERROR(__xludf.DUMMYFUNCTION("""COMPUTED_VALUE"""),"38209")</f>
        <v>38209</v>
      </c>
      <c r="B1991" s="64">
        <f>IFERROR(__xludf.DUMMYFUNCTION("""COMPUTED_VALUE"""),44640.0)</f>
        <v>44640</v>
      </c>
      <c r="C1991" s="5"/>
      <c r="D1991" s="5"/>
      <c r="E1991" s="5"/>
      <c r="F1991" s="22">
        <f>IFERROR(__xludf.DUMMYFUNCTION("""COMPUTED_VALUE"""),390777.312149)</f>
        <v>390777.3121</v>
      </c>
      <c r="G1991" s="22">
        <f>IFERROR(__xludf.DUMMYFUNCTION("""COMPUTED_VALUE"""),0.0)</f>
        <v>0</v>
      </c>
      <c r="H1991" s="22">
        <f>IFERROR(__xludf.DUMMYFUNCTION("""COMPUTED_VALUE"""),526684.287364)</f>
        <v>526684.2874</v>
      </c>
      <c r="I1991" s="24">
        <f>IFERROR(__xludf.DUMMYFUNCTION("""COMPUTED_VALUE"""),0.05336857472799994)</f>
        <v>0.05336857473</v>
      </c>
    </row>
    <row r="1992">
      <c r="A1992" s="5" t="str">
        <f>IFERROR(__xludf.DUMMYFUNCTION("""COMPUTED_VALUE"""),"38209")</f>
        <v>38209</v>
      </c>
      <c r="B1992" s="64">
        <f>IFERROR(__xludf.DUMMYFUNCTION("""COMPUTED_VALUE"""),44641.0)</f>
        <v>44641</v>
      </c>
      <c r="C1992" s="5"/>
      <c r="D1992" s="5"/>
      <c r="E1992" s="5"/>
      <c r="F1992" s="22">
        <f>IFERROR(__xludf.DUMMYFUNCTION("""COMPUTED_VALUE"""),390777.312149)</f>
        <v>390777.3121</v>
      </c>
      <c r="G1992" s="22">
        <f>IFERROR(__xludf.DUMMYFUNCTION("""COMPUTED_VALUE"""),0.0)</f>
        <v>0</v>
      </c>
      <c r="H1992" s="22">
        <f>IFERROR(__xludf.DUMMYFUNCTION("""COMPUTED_VALUE"""),523455.09269900003)</f>
        <v>523455.0927</v>
      </c>
      <c r="I1992" s="24">
        <f>IFERROR(__xludf.DUMMYFUNCTION("""COMPUTED_VALUE"""),0.04691018539800007)</f>
        <v>0.0469101854</v>
      </c>
    </row>
    <row r="1993">
      <c r="A1993" s="5" t="str">
        <f>IFERROR(__xludf.DUMMYFUNCTION("""COMPUTED_VALUE"""),"38209")</f>
        <v>38209</v>
      </c>
      <c r="B1993" s="64">
        <f>IFERROR(__xludf.DUMMYFUNCTION("""COMPUTED_VALUE"""),44642.0)</f>
        <v>44642</v>
      </c>
      <c r="C1993" s="5"/>
      <c r="D1993" s="5"/>
      <c r="E1993" s="5"/>
      <c r="F1993" s="22">
        <f>IFERROR(__xludf.DUMMYFUNCTION("""COMPUTED_VALUE"""),390777.312149)</f>
        <v>390777.3121</v>
      </c>
      <c r="G1993" s="22">
        <f>IFERROR(__xludf.DUMMYFUNCTION("""COMPUTED_VALUE"""),0.0)</f>
        <v>0</v>
      </c>
      <c r="H1993" s="22">
        <f>IFERROR(__xludf.DUMMYFUNCTION("""COMPUTED_VALUE"""),527427.815649)</f>
        <v>527427.8156</v>
      </c>
      <c r="I1993" s="24">
        <f>IFERROR(__xludf.DUMMYFUNCTION("""COMPUTED_VALUE"""),0.054855631297999974)</f>
        <v>0.0548556313</v>
      </c>
    </row>
    <row r="1994">
      <c r="A1994" s="5" t="str">
        <f>IFERROR(__xludf.DUMMYFUNCTION("""COMPUTED_VALUE"""),"38209")</f>
        <v>38209</v>
      </c>
      <c r="B1994" s="64">
        <f>IFERROR(__xludf.DUMMYFUNCTION("""COMPUTED_VALUE"""),44643.0)</f>
        <v>44643</v>
      </c>
      <c r="C1994" s="5"/>
      <c r="D1994" s="5"/>
      <c r="E1994" s="5"/>
      <c r="F1994" s="22">
        <f>IFERROR(__xludf.DUMMYFUNCTION("""COMPUTED_VALUE"""),390777.312149)</f>
        <v>390777.3121</v>
      </c>
      <c r="G1994" s="22">
        <f>IFERROR(__xludf.DUMMYFUNCTION("""COMPUTED_VALUE"""),0.0)</f>
        <v>0</v>
      </c>
      <c r="H1994" s="22">
        <f>IFERROR(__xludf.DUMMYFUNCTION("""COMPUTED_VALUE"""),530910.164764)</f>
        <v>530910.1648</v>
      </c>
      <c r="I1994" s="24">
        <f>IFERROR(__xludf.DUMMYFUNCTION("""COMPUTED_VALUE"""),0.061820329527999984)</f>
        <v>0.06182032953</v>
      </c>
    </row>
    <row r="1995">
      <c r="A1995" s="5" t="str">
        <f>IFERROR(__xludf.DUMMYFUNCTION("""COMPUTED_VALUE"""),"38209")</f>
        <v>38209</v>
      </c>
      <c r="B1995" s="64">
        <f>IFERROR(__xludf.DUMMYFUNCTION("""COMPUTED_VALUE"""),44644.0)</f>
        <v>44644</v>
      </c>
      <c r="C1995" s="5"/>
      <c r="D1995" s="5"/>
      <c r="E1995" s="5"/>
      <c r="F1995" s="22">
        <f>IFERROR(__xludf.DUMMYFUNCTION("""COMPUTED_VALUE"""),390777.312149)</f>
        <v>390777.3121</v>
      </c>
      <c r="G1995" s="22">
        <f>IFERROR(__xludf.DUMMYFUNCTION("""COMPUTED_VALUE"""),0.0)</f>
        <v>0</v>
      </c>
      <c r="H1995" s="22">
        <f>IFERROR(__xludf.DUMMYFUNCTION("""COMPUTED_VALUE"""),533669.8930540001)</f>
        <v>533669.8931</v>
      </c>
      <c r="I1995" s="24">
        <f>IFERROR(__xludf.DUMMYFUNCTION("""COMPUTED_VALUE"""),0.06733978610800029)</f>
        <v>0.06733978611</v>
      </c>
    </row>
    <row r="1996">
      <c r="A1996" s="5" t="str">
        <f>IFERROR(__xludf.DUMMYFUNCTION("""COMPUTED_VALUE"""),"38209")</f>
        <v>38209</v>
      </c>
      <c r="B1996" s="64">
        <f>IFERROR(__xludf.DUMMYFUNCTION("""COMPUTED_VALUE"""),44645.0)</f>
        <v>44645</v>
      </c>
      <c r="C1996" s="5"/>
      <c r="D1996" s="5"/>
      <c r="E1996" s="5"/>
      <c r="F1996" s="22">
        <f>IFERROR(__xludf.DUMMYFUNCTION("""COMPUTED_VALUE"""),390777.312149)</f>
        <v>390777.3121</v>
      </c>
      <c r="G1996" s="22">
        <f>IFERROR(__xludf.DUMMYFUNCTION("""COMPUTED_VALUE"""),0.0)</f>
        <v>0</v>
      </c>
      <c r="H1996" s="22">
        <f>IFERROR(__xludf.DUMMYFUNCTION("""COMPUTED_VALUE"""),544569.185149)</f>
        <v>544569.1851</v>
      </c>
      <c r="I1996" s="24">
        <f>IFERROR(__xludf.DUMMYFUNCTION("""COMPUTED_VALUE"""),0.08913837029799998)</f>
        <v>0.0891383703</v>
      </c>
    </row>
    <row r="1997">
      <c r="A1997" s="5" t="str">
        <f>IFERROR(__xludf.DUMMYFUNCTION("""COMPUTED_VALUE"""),"38209")</f>
        <v>38209</v>
      </c>
      <c r="B1997" s="64">
        <f>IFERROR(__xludf.DUMMYFUNCTION("""COMPUTED_VALUE"""),44646.0)</f>
        <v>44646</v>
      </c>
      <c r="C1997" s="5"/>
      <c r="D1997" s="5"/>
      <c r="E1997" s="5"/>
      <c r="F1997" s="22">
        <f>IFERROR(__xludf.DUMMYFUNCTION("""COMPUTED_VALUE"""),390777.312149)</f>
        <v>390777.3121</v>
      </c>
      <c r="G1997" s="22">
        <f>IFERROR(__xludf.DUMMYFUNCTION("""COMPUTED_VALUE"""),0.0)</f>
        <v>0</v>
      </c>
      <c r="H1997" s="22">
        <f>IFERROR(__xludf.DUMMYFUNCTION("""COMPUTED_VALUE"""),544569.185149)</f>
        <v>544569.1851</v>
      </c>
      <c r="I1997" s="24">
        <f>IFERROR(__xludf.DUMMYFUNCTION("""COMPUTED_VALUE"""),0.08913837029799998)</f>
        <v>0.0891383703</v>
      </c>
    </row>
    <row r="1998">
      <c r="A1998" s="5" t="str">
        <f>IFERROR(__xludf.DUMMYFUNCTION("""COMPUTED_VALUE"""),"38209")</f>
        <v>38209</v>
      </c>
      <c r="B1998" s="64">
        <f>IFERROR(__xludf.DUMMYFUNCTION("""COMPUTED_VALUE"""),44647.0)</f>
        <v>44647</v>
      </c>
      <c r="C1998" s="5"/>
      <c r="D1998" s="5"/>
      <c r="E1998" s="5"/>
      <c r="F1998" s="22">
        <f>IFERROR(__xludf.DUMMYFUNCTION("""COMPUTED_VALUE"""),390777.312149)</f>
        <v>390777.3121</v>
      </c>
      <c r="G1998" s="22">
        <f>IFERROR(__xludf.DUMMYFUNCTION("""COMPUTED_VALUE"""),0.0)</f>
        <v>0</v>
      </c>
      <c r="H1998" s="22">
        <f>IFERROR(__xludf.DUMMYFUNCTION("""COMPUTED_VALUE"""),544569.185149)</f>
        <v>544569.1851</v>
      </c>
      <c r="I1998" s="24">
        <f>IFERROR(__xludf.DUMMYFUNCTION("""COMPUTED_VALUE"""),0.08913837029799998)</f>
        <v>0.0891383703</v>
      </c>
    </row>
    <row r="1999">
      <c r="A1999" s="5" t="str">
        <f>IFERROR(__xludf.DUMMYFUNCTION("""COMPUTED_VALUE"""),"38209")</f>
        <v>38209</v>
      </c>
      <c r="B1999" s="64">
        <f>IFERROR(__xludf.DUMMYFUNCTION("""COMPUTED_VALUE"""),44648.0)</f>
        <v>44648</v>
      </c>
      <c r="C1999" s="5"/>
      <c r="D1999" s="5"/>
      <c r="E1999" s="5"/>
      <c r="F1999" s="22">
        <f>IFERROR(__xludf.DUMMYFUNCTION("""COMPUTED_VALUE"""),390777.312149)</f>
        <v>390777.3121</v>
      </c>
      <c r="G1999" s="22">
        <f>IFERROR(__xludf.DUMMYFUNCTION("""COMPUTED_VALUE"""),0.0)</f>
        <v>0</v>
      </c>
      <c r="H1999" s="22">
        <f>IFERROR(__xludf.DUMMYFUNCTION("""COMPUTED_VALUE"""),532818.092949)</f>
        <v>532818.0929</v>
      </c>
      <c r="I1999" s="24">
        <f>IFERROR(__xludf.DUMMYFUNCTION("""COMPUTED_VALUE"""),0.06563618589799991)</f>
        <v>0.0656361859</v>
      </c>
    </row>
    <row r="2000">
      <c r="A2000" s="5" t="str">
        <f>IFERROR(__xludf.DUMMYFUNCTION("""COMPUTED_VALUE"""),"38209")</f>
        <v>38209</v>
      </c>
      <c r="B2000" s="64">
        <f>IFERROR(__xludf.DUMMYFUNCTION("""COMPUTED_VALUE"""),44649.0)</f>
        <v>44649</v>
      </c>
      <c r="C2000" s="5"/>
      <c r="D2000" s="5"/>
      <c r="E2000" s="5"/>
      <c r="F2000" s="22">
        <f>IFERROR(__xludf.DUMMYFUNCTION("""COMPUTED_VALUE"""),390777.312149)</f>
        <v>390777.3121</v>
      </c>
      <c r="G2000" s="22">
        <f>IFERROR(__xludf.DUMMYFUNCTION("""COMPUTED_VALUE"""),0.0)</f>
        <v>0</v>
      </c>
      <c r="H2000" s="22">
        <f>IFERROR(__xludf.DUMMYFUNCTION("""COMPUTED_VALUE"""),520564.94398900005)</f>
        <v>520564.944</v>
      </c>
      <c r="I2000" s="24">
        <f>IFERROR(__xludf.DUMMYFUNCTION("""COMPUTED_VALUE"""),0.04112988797799999)</f>
        <v>0.04112988798</v>
      </c>
    </row>
    <row r="2001">
      <c r="A2001" s="5" t="str">
        <f>IFERROR(__xludf.DUMMYFUNCTION("""COMPUTED_VALUE"""),"38209")</f>
        <v>38209</v>
      </c>
      <c r="B2001" s="64">
        <f>IFERROR(__xludf.DUMMYFUNCTION("""COMPUTED_VALUE"""),44650.0)</f>
        <v>44650</v>
      </c>
      <c r="C2001" s="5"/>
      <c r="D2001" s="5"/>
      <c r="E2001" s="5"/>
      <c r="F2001" s="22">
        <f>IFERROR(__xludf.DUMMYFUNCTION("""COMPUTED_VALUE"""),390777.312149)</f>
        <v>390777.3121</v>
      </c>
      <c r="G2001" s="22">
        <f>IFERROR(__xludf.DUMMYFUNCTION("""COMPUTED_VALUE"""),0.0)</f>
        <v>0</v>
      </c>
      <c r="H2001" s="22">
        <f>IFERROR(__xludf.DUMMYFUNCTION("""COMPUTED_VALUE"""),510374.867509)</f>
        <v>510374.8675</v>
      </c>
      <c r="I2001" s="24">
        <f>IFERROR(__xludf.DUMMYFUNCTION("""COMPUTED_VALUE"""),0.020749735017999926)</f>
        <v>0.02074973502</v>
      </c>
    </row>
    <row r="2002">
      <c r="A2002" s="5" t="str">
        <f>IFERROR(__xludf.DUMMYFUNCTION("""COMPUTED_VALUE"""),"38209")</f>
        <v>38209</v>
      </c>
      <c r="B2002" s="64">
        <f>IFERROR(__xludf.DUMMYFUNCTION("""COMPUTED_VALUE"""),44651.0)</f>
        <v>44651</v>
      </c>
      <c r="C2002" s="5"/>
      <c r="D2002" s="5"/>
      <c r="E2002" s="5"/>
      <c r="F2002" s="22">
        <f>IFERROR(__xludf.DUMMYFUNCTION("""COMPUTED_VALUE"""),390777.312149)</f>
        <v>390777.3121</v>
      </c>
      <c r="G2002" s="22">
        <f>IFERROR(__xludf.DUMMYFUNCTION("""COMPUTED_VALUE"""),0.0)</f>
        <v>0</v>
      </c>
      <c r="H2002" s="22">
        <f>IFERROR(__xludf.DUMMYFUNCTION("""COMPUTED_VALUE"""),518021.19038900005)</f>
        <v>518021.1904</v>
      </c>
      <c r="I2002" s="24">
        <f>IFERROR(__xludf.DUMMYFUNCTION("""COMPUTED_VALUE"""),0.03604238077800015)</f>
        <v>0.03604238078</v>
      </c>
    </row>
    <row r="2003">
      <c r="A2003" s="5" t="str">
        <f>IFERROR(__xludf.DUMMYFUNCTION("""COMPUTED_VALUE"""),"38209")</f>
        <v>38209</v>
      </c>
      <c r="B2003" s="64">
        <f>IFERROR(__xludf.DUMMYFUNCTION("""COMPUTED_VALUE"""),44652.0)</f>
        <v>44652</v>
      </c>
      <c r="C2003" s="5"/>
      <c r="D2003" s="5"/>
      <c r="E2003" s="5"/>
      <c r="F2003" s="22">
        <f>IFERROR(__xludf.DUMMYFUNCTION("""COMPUTED_VALUE"""),390777.312149)</f>
        <v>390777.3121</v>
      </c>
      <c r="G2003" s="22">
        <f>IFERROR(__xludf.DUMMYFUNCTION("""COMPUTED_VALUE"""),0.0)</f>
        <v>0</v>
      </c>
      <c r="H2003" s="22">
        <f>IFERROR(__xludf.DUMMYFUNCTION("""COMPUTED_VALUE"""),506128.80218100006)</f>
        <v>506128.8022</v>
      </c>
      <c r="I2003" s="24">
        <f>IFERROR(__xludf.DUMMYFUNCTION("""COMPUTED_VALUE"""),0.012257604362000185)</f>
        <v>0.01225760436</v>
      </c>
    </row>
    <row r="2004">
      <c r="A2004" s="5" t="str">
        <f>IFERROR(__xludf.DUMMYFUNCTION("""COMPUTED_VALUE"""),"38209")</f>
        <v>38209</v>
      </c>
      <c r="B2004" s="64">
        <f>IFERROR(__xludf.DUMMYFUNCTION("""COMPUTED_VALUE"""),44653.0)</f>
        <v>44653</v>
      </c>
      <c r="C2004" s="5"/>
      <c r="D2004" s="5"/>
      <c r="E2004" s="5"/>
      <c r="F2004" s="22">
        <f>IFERROR(__xludf.DUMMYFUNCTION("""COMPUTED_VALUE"""),390777.312149)</f>
        <v>390777.3121</v>
      </c>
      <c r="G2004" s="22">
        <f>IFERROR(__xludf.DUMMYFUNCTION("""COMPUTED_VALUE"""),0.0)</f>
        <v>0</v>
      </c>
      <c r="H2004" s="22">
        <f>IFERROR(__xludf.DUMMYFUNCTION("""COMPUTED_VALUE"""),506128.80218100006)</f>
        <v>506128.8022</v>
      </c>
      <c r="I2004" s="24">
        <f>IFERROR(__xludf.DUMMYFUNCTION("""COMPUTED_VALUE"""),0.012257604362000185)</f>
        <v>0.01225760436</v>
      </c>
    </row>
    <row r="2005">
      <c r="A2005" s="5" t="str">
        <f>IFERROR(__xludf.DUMMYFUNCTION("""COMPUTED_VALUE"""),"38209")</f>
        <v>38209</v>
      </c>
      <c r="B2005" s="64">
        <f>IFERROR(__xludf.DUMMYFUNCTION("""COMPUTED_VALUE"""),44654.0)</f>
        <v>44654</v>
      </c>
      <c r="C2005" s="5"/>
      <c r="D2005" s="5"/>
      <c r="E2005" s="5"/>
      <c r="F2005" s="22">
        <f>IFERROR(__xludf.DUMMYFUNCTION("""COMPUTED_VALUE"""),390777.312149)</f>
        <v>390777.3121</v>
      </c>
      <c r="G2005" s="22">
        <f>IFERROR(__xludf.DUMMYFUNCTION("""COMPUTED_VALUE"""),0.0)</f>
        <v>0</v>
      </c>
      <c r="H2005" s="22">
        <f>IFERROR(__xludf.DUMMYFUNCTION("""COMPUTED_VALUE"""),506128.80218100006)</f>
        <v>506128.8022</v>
      </c>
      <c r="I2005" s="24">
        <f>IFERROR(__xludf.DUMMYFUNCTION("""COMPUTED_VALUE"""),0.012257604362000185)</f>
        <v>0.01225760436</v>
      </c>
    </row>
    <row r="2006">
      <c r="A2006" s="5" t="str">
        <f>IFERROR(__xludf.DUMMYFUNCTION("""COMPUTED_VALUE"""),"38209")</f>
        <v>38209</v>
      </c>
      <c r="B2006" s="64">
        <f>IFERROR(__xludf.DUMMYFUNCTION("""COMPUTED_VALUE"""),44655.0)</f>
        <v>44655</v>
      </c>
      <c r="C2006" s="5"/>
      <c r="D2006" s="5"/>
      <c r="E2006" s="5"/>
      <c r="F2006" s="22">
        <f>IFERROR(__xludf.DUMMYFUNCTION("""COMPUTED_VALUE"""),390777.312149)</f>
        <v>390777.3121</v>
      </c>
      <c r="G2006" s="22">
        <f>IFERROR(__xludf.DUMMYFUNCTION("""COMPUTED_VALUE"""),0.0)</f>
        <v>0</v>
      </c>
      <c r="H2006" s="22">
        <f>IFERROR(__xludf.DUMMYFUNCTION("""COMPUTED_VALUE"""),493648.34218100004)</f>
        <v>493648.3422</v>
      </c>
      <c r="I2006" s="24">
        <f>IFERROR(__xludf.DUMMYFUNCTION("""COMPUTED_VALUE"""),-0.012703315637999868)</f>
        <v>-0.01270331564</v>
      </c>
    </row>
    <row r="2007">
      <c r="A2007" s="5" t="str">
        <f>IFERROR(__xludf.DUMMYFUNCTION("""COMPUTED_VALUE"""),"38209")</f>
        <v>38209</v>
      </c>
      <c r="B2007" s="64">
        <f>IFERROR(__xludf.DUMMYFUNCTION("""COMPUTED_VALUE"""),44656.0)</f>
        <v>44656</v>
      </c>
      <c r="C2007" s="5"/>
      <c r="D2007" s="5"/>
      <c r="E2007" s="5"/>
      <c r="F2007" s="22">
        <f>IFERROR(__xludf.DUMMYFUNCTION("""COMPUTED_VALUE"""),390777.312149)</f>
        <v>390777.3121</v>
      </c>
      <c r="G2007" s="22">
        <f>IFERROR(__xludf.DUMMYFUNCTION("""COMPUTED_VALUE"""),0.0)</f>
        <v>0</v>
      </c>
      <c r="H2007" s="22">
        <f>IFERROR(__xludf.DUMMYFUNCTION("""COMPUTED_VALUE"""),493648.4581810001)</f>
        <v>493648.4582</v>
      </c>
      <c r="I2007" s="24">
        <f>IFERROR(__xludf.DUMMYFUNCTION("""COMPUTED_VALUE"""),-0.012703083637999879)</f>
        <v>-0.01270308364</v>
      </c>
    </row>
    <row r="2008">
      <c r="A2008" s="5" t="str">
        <f>IFERROR(__xludf.DUMMYFUNCTION("""COMPUTED_VALUE"""),"38209")</f>
        <v>38209</v>
      </c>
      <c r="B2008" s="64">
        <f>IFERROR(__xludf.DUMMYFUNCTION("""COMPUTED_VALUE"""),44657.0)</f>
        <v>44657</v>
      </c>
      <c r="C2008" s="5"/>
      <c r="D2008" s="5"/>
      <c r="E2008" s="5"/>
      <c r="F2008" s="22">
        <f>IFERROR(__xludf.DUMMYFUNCTION("""COMPUTED_VALUE"""),390777.312149)</f>
        <v>390777.3121</v>
      </c>
      <c r="G2008" s="22">
        <f>IFERROR(__xludf.DUMMYFUNCTION("""COMPUTED_VALUE"""),0.0)</f>
        <v>0</v>
      </c>
      <c r="H2008" s="22">
        <f>IFERROR(__xludf.DUMMYFUNCTION("""COMPUTED_VALUE"""),505337.637589)</f>
        <v>505337.6376</v>
      </c>
      <c r="I2008" s="24">
        <f>IFERROR(__xludf.DUMMYFUNCTION("""COMPUTED_VALUE"""),0.010675275177999932)</f>
        <v>0.01067527518</v>
      </c>
    </row>
    <row r="2009">
      <c r="A2009" s="5" t="str">
        <f>IFERROR(__xludf.DUMMYFUNCTION("""COMPUTED_VALUE"""),"38209")</f>
        <v>38209</v>
      </c>
      <c r="B2009" s="64">
        <f>IFERROR(__xludf.DUMMYFUNCTION("""COMPUTED_VALUE"""),44658.0)</f>
        <v>44658</v>
      </c>
      <c r="C2009" s="5"/>
      <c r="D2009" s="5"/>
      <c r="E2009" s="5"/>
      <c r="F2009" s="22">
        <f>IFERROR(__xludf.DUMMYFUNCTION("""COMPUTED_VALUE"""),390777.312149)</f>
        <v>390777.3121</v>
      </c>
      <c r="G2009" s="22">
        <f>IFERROR(__xludf.DUMMYFUNCTION("""COMPUTED_VALUE"""),0.0)</f>
        <v>0</v>
      </c>
      <c r="H2009" s="22">
        <f>IFERROR(__xludf.DUMMYFUNCTION("""COMPUTED_VALUE"""),512598.713589)</f>
        <v>512598.7136</v>
      </c>
      <c r="I2009" s="24">
        <f>IFERROR(__xludf.DUMMYFUNCTION("""COMPUTED_VALUE"""),0.025197427177999998)</f>
        <v>0.02519742718</v>
      </c>
    </row>
    <row r="2010">
      <c r="A2010" s="5" t="str">
        <f>IFERROR(__xludf.DUMMYFUNCTION("""COMPUTED_VALUE"""),"38209")</f>
        <v>38209</v>
      </c>
      <c r="B2010" s="64">
        <f>IFERROR(__xludf.DUMMYFUNCTION("""COMPUTED_VALUE"""),44659.0)</f>
        <v>44659</v>
      </c>
      <c r="C2010" s="5"/>
      <c r="D2010" s="5"/>
      <c r="E2010" s="5"/>
      <c r="F2010" s="22">
        <f>IFERROR(__xludf.DUMMYFUNCTION("""COMPUTED_VALUE"""),390777.312149)</f>
        <v>390777.3121</v>
      </c>
      <c r="G2010" s="22">
        <f>IFERROR(__xludf.DUMMYFUNCTION("""COMPUTED_VALUE"""),0.0)</f>
        <v>0</v>
      </c>
      <c r="H2010" s="22">
        <f>IFERROR(__xludf.DUMMYFUNCTION("""COMPUTED_VALUE"""),515409.37438900006)</f>
        <v>515409.3744</v>
      </c>
      <c r="I2010" s="24">
        <f>IFERROR(__xludf.DUMMYFUNCTION("""COMPUTED_VALUE"""),0.03081874877800006)</f>
        <v>0.03081874878</v>
      </c>
    </row>
    <row r="2011">
      <c r="A2011" s="5" t="str">
        <f>IFERROR(__xludf.DUMMYFUNCTION("""COMPUTED_VALUE"""),"38209")</f>
        <v>38209</v>
      </c>
      <c r="B2011" s="64">
        <f>IFERROR(__xludf.DUMMYFUNCTION("""COMPUTED_VALUE"""),44660.0)</f>
        <v>44660</v>
      </c>
      <c r="C2011" s="5"/>
      <c r="D2011" s="5"/>
      <c r="E2011" s="5"/>
      <c r="F2011" s="22">
        <f>IFERROR(__xludf.DUMMYFUNCTION("""COMPUTED_VALUE"""),390777.312149)</f>
        <v>390777.3121</v>
      </c>
      <c r="G2011" s="22">
        <f>IFERROR(__xludf.DUMMYFUNCTION("""COMPUTED_VALUE"""),0.0)</f>
        <v>0</v>
      </c>
      <c r="H2011" s="22">
        <f>IFERROR(__xludf.DUMMYFUNCTION("""COMPUTED_VALUE"""),515409.37438900006)</f>
        <v>515409.3744</v>
      </c>
      <c r="I2011" s="24">
        <f>IFERROR(__xludf.DUMMYFUNCTION("""COMPUTED_VALUE"""),0.03081874877800006)</f>
        <v>0.03081874878</v>
      </c>
    </row>
    <row r="2012">
      <c r="A2012" s="5" t="str">
        <f>IFERROR(__xludf.DUMMYFUNCTION("""COMPUTED_VALUE"""),"38209")</f>
        <v>38209</v>
      </c>
      <c r="B2012" s="64">
        <f>IFERROR(__xludf.DUMMYFUNCTION("""COMPUTED_VALUE"""),44661.0)</f>
        <v>44661</v>
      </c>
      <c r="C2012" s="5"/>
      <c r="D2012" s="5"/>
      <c r="E2012" s="5"/>
      <c r="F2012" s="22">
        <f>IFERROR(__xludf.DUMMYFUNCTION("""COMPUTED_VALUE"""),390777.312149)</f>
        <v>390777.3121</v>
      </c>
      <c r="G2012" s="22">
        <f>IFERROR(__xludf.DUMMYFUNCTION("""COMPUTED_VALUE"""),0.0)</f>
        <v>0</v>
      </c>
      <c r="H2012" s="22">
        <f>IFERROR(__xludf.DUMMYFUNCTION("""COMPUTED_VALUE"""),515409.37438900006)</f>
        <v>515409.3744</v>
      </c>
      <c r="I2012" s="24">
        <f>IFERROR(__xludf.DUMMYFUNCTION("""COMPUTED_VALUE"""),0.03081874877800006)</f>
        <v>0.03081874878</v>
      </c>
    </row>
    <row r="2013">
      <c r="A2013" s="5" t="str">
        <f>IFERROR(__xludf.DUMMYFUNCTION("""COMPUTED_VALUE"""),"38209")</f>
        <v>38209</v>
      </c>
      <c r="B2013" s="64">
        <f>IFERROR(__xludf.DUMMYFUNCTION("""COMPUTED_VALUE"""),44662.0)</f>
        <v>44662</v>
      </c>
      <c r="C2013" s="5"/>
      <c r="D2013" s="5"/>
      <c r="E2013" s="5"/>
      <c r="F2013" s="22">
        <f>IFERROR(__xludf.DUMMYFUNCTION("""COMPUTED_VALUE"""),390777.312149)</f>
        <v>390777.3121</v>
      </c>
      <c r="G2013" s="22">
        <f>IFERROR(__xludf.DUMMYFUNCTION("""COMPUTED_VALUE"""),0.0)</f>
        <v>0</v>
      </c>
      <c r="H2013" s="22">
        <f>IFERROR(__xludf.DUMMYFUNCTION("""COMPUTED_VALUE"""),540259.2775890001)</f>
        <v>540259.2776</v>
      </c>
      <c r="I2013" s="24">
        <f>IFERROR(__xludf.DUMMYFUNCTION("""COMPUTED_VALUE"""),0.0805185551780001)</f>
        <v>0.08051855518</v>
      </c>
    </row>
    <row r="2014">
      <c r="A2014" s="5" t="str">
        <f>IFERROR(__xludf.DUMMYFUNCTION("""COMPUTED_VALUE"""),"38209")</f>
        <v>38209</v>
      </c>
      <c r="B2014" s="64">
        <f>IFERROR(__xludf.DUMMYFUNCTION("""COMPUTED_VALUE"""),44663.0)</f>
        <v>44663</v>
      </c>
      <c r="C2014" s="5"/>
      <c r="D2014" s="5"/>
      <c r="E2014" s="5"/>
      <c r="F2014" s="22">
        <f>IFERROR(__xludf.DUMMYFUNCTION("""COMPUTED_VALUE"""),390777.312149)</f>
        <v>390777.3121</v>
      </c>
      <c r="G2014" s="22">
        <f>IFERROR(__xludf.DUMMYFUNCTION("""COMPUTED_VALUE"""),0.0)</f>
        <v>0</v>
      </c>
      <c r="H2014" s="22">
        <f>IFERROR(__xludf.DUMMYFUNCTION("""COMPUTED_VALUE"""),544278.862389)</f>
        <v>544278.8624</v>
      </c>
      <c r="I2014" s="24">
        <f>IFERROR(__xludf.DUMMYFUNCTION("""COMPUTED_VALUE"""),0.08855772477800006)</f>
        <v>0.08855772478</v>
      </c>
    </row>
    <row r="2015">
      <c r="A2015" s="5" t="str">
        <f>IFERROR(__xludf.DUMMYFUNCTION("""COMPUTED_VALUE"""),"38302")</f>
        <v>38302</v>
      </c>
      <c r="B2015" s="64">
        <f>IFERROR(__xludf.DUMMYFUNCTION("""COMPUTED_VALUE"""),44597.0)</f>
        <v>44597</v>
      </c>
      <c r="C2015" s="5"/>
      <c r="D2015" s="5"/>
      <c r="E2015" s="5"/>
      <c r="F2015" s="22">
        <f>IFERROR(__xludf.DUMMYFUNCTION("""COMPUTED_VALUE"""),500000.0)</f>
        <v>500000</v>
      </c>
      <c r="G2015" s="22">
        <f>IFERROR(__xludf.DUMMYFUNCTION("""COMPUTED_VALUE"""),0.0)</f>
        <v>0</v>
      </c>
      <c r="H2015" s="22">
        <f>IFERROR(__xludf.DUMMYFUNCTION("""COMPUTED_VALUE"""),500000.0)</f>
        <v>500000</v>
      </c>
      <c r="I2015" s="24">
        <f>IFERROR(__xludf.DUMMYFUNCTION("""COMPUTED_VALUE"""),0.0)</f>
        <v>0</v>
      </c>
    </row>
    <row r="2016">
      <c r="A2016" s="5" t="str">
        <f>IFERROR(__xludf.DUMMYFUNCTION("""COMPUTED_VALUE"""),"38302")</f>
        <v>38302</v>
      </c>
      <c r="B2016" s="64">
        <f>IFERROR(__xludf.DUMMYFUNCTION("""COMPUTED_VALUE"""),44598.0)</f>
        <v>44598</v>
      </c>
      <c r="C2016" s="5"/>
      <c r="D2016" s="5"/>
      <c r="E2016" s="5"/>
      <c r="F2016" s="22">
        <f>IFERROR(__xludf.DUMMYFUNCTION("""COMPUTED_VALUE"""),500000.0)</f>
        <v>500000</v>
      </c>
      <c r="G2016" s="22">
        <f>IFERROR(__xludf.DUMMYFUNCTION("""COMPUTED_VALUE"""),0.0)</f>
        <v>0</v>
      </c>
      <c r="H2016" s="22">
        <f>IFERROR(__xludf.DUMMYFUNCTION("""COMPUTED_VALUE"""),500000.0)</f>
        <v>500000</v>
      </c>
      <c r="I2016" s="24">
        <f>IFERROR(__xludf.DUMMYFUNCTION("""COMPUTED_VALUE"""),0.0)</f>
        <v>0</v>
      </c>
    </row>
    <row r="2017">
      <c r="A2017" s="5" t="str">
        <f>IFERROR(__xludf.DUMMYFUNCTION("""COMPUTED_VALUE"""),"38302")</f>
        <v>38302</v>
      </c>
      <c r="B2017" s="64">
        <f>IFERROR(__xludf.DUMMYFUNCTION("""COMPUTED_VALUE"""),44599.0)</f>
        <v>44599</v>
      </c>
      <c r="C2017" s="5"/>
      <c r="D2017" s="5"/>
      <c r="E2017" s="5"/>
      <c r="F2017" s="22">
        <f>IFERROR(__xludf.DUMMYFUNCTION("""COMPUTED_VALUE"""),500000.0)</f>
        <v>500000</v>
      </c>
      <c r="G2017" s="22">
        <f>IFERROR(__xludf.DUMMYFUNCTION("""COMPUTED_VALUE"""),0.0)</f>
        <v>0</v>
      </c>
      <c r="H2017" s="22">
        <f>IFERROR(__xludf.DUMMYFUNCTION("""COMPUTED_VALUE"""),500000.0)</f>
        <v>500000</v>
      </c>
      <c r="I2017" s="24">
        <f>IFERROR(__xludf.DUMMYFUNCTION("""COMPUTED_VALUE"""),0.0)</f>
        <v>0</v>
      </c>
    </row>
    <row r="2018">
      <c r="A2018" s="5" t="str">
        <f>IFERROR(__xludf.DUMMYFUNCTION("""COMPUTED_VALUE"""),"38302")</f>
        <v>38302</v>
      </c>
      <c r="B2018" s="64">
        <f>IFERROR(__xludf.DUMMYFUNCTION("""COMPUTED_VALUE"""),44600.0)</f>
        <v>44600</v>
      </c>
      <c r="C2018" s="5"/>
      <c r="D2018" s="5"/>
      <c r="E2018" s="5"/>
      <c r="F2018" s="22">
        <f>IFERROR(__xludf.DUMMYFUNCTION("""COMPUTED_VALUE"""),500000.0)</f>
        <v>500000</v>
      </c>
      <c r="G2018" s="22">
        <f>IFERROR(__xludf.DUMMYFUNCTION("""COMPUTED_VALUE"""),0.0)</f>
        <v>0</v>
      </c>
      <c r="H2018" s="22">
        <f>IFERROR(__xludf.DUMMYFUNCTION("""COMPUTED_VALUE"""),500000.0)</f>
        <v>500000</v>
      </c>
      <c r="I2018" s="24">
        <f>IFERROR(__xludf.DUMMYFUNCTION("""COMPUTED_VALUE"""),0.0)</f>
        <v>0</v>
      </c>
    </row>
    <row r="2019">
      <c r="A2019" s="5" t="str">
        <f>IFERROR(__xludf.DUMMYFUNCTION("""COMPUTED_VALUE"""),"38302")</f>
        <v>38302</v>
      </c>
      <c r="B2019" s="64">
        <f>IFERROR(__xludf.DUMMYFUNCTION("""COMPUTED_VALUE"""),44601.0)</f>
        <v>44601</v>
      </c>
      <c r="C2019" s="5"/>
      <c r="D2019" s="5"/>
      <c r="E2019" s="5"/>
      <c r="F2019" s="22">
        <f>IFERROR(__xludf.DUMMYFUNCTION("""COMPUTED_VALUE"""),500000.0)</f>
        <v>500000</v>
      </c>
      <c r="G2019" s="22">
        <f>IFERROR(__xludf.DUMMYFUNCTION("""COMPUTED_VALUE"""),0.0)</f>
        <v>0</v>
      </c>
      <c r="H2019" s="22">
        <f>IFERROR(__xludf.DUMMYFUNCTION("""COMPUTED_VALUE"""),500000.0)</f>
        <v>500000</v>
      </c>
      <c r="I2019" s="24">
        <f>IFERROR(__xludf.DUMMYFUNCTION("""COMPUTED_VALUE"""),0.0)</f>
        <v>0</v>
      </c>
    </row>
    <row r="2020">
      <c r="A2020" s="5" t="str">
        <f>IFERROR(__xludf.DUMMYFUNCTION("""COMPUTED_VALUE"""),"38302")</f>
        <v>38302</v>
      </c>
      <c r="B2020" s="64">
        <f>IFERROR(__xludf.DUMMYFUNCTION("""COMPUTED_VALUE"""),44602.0)</f>
        <v>44602</v>
      </c>
      <c r="C2020" s="5"/>
      <c r="D2020" s="5"/>
      <c r="E2020" s="5"/>
      <c r="F2020" s="22">
        <f>IFERROR(__xludf.DUMMYFUNCTION("""COMPUTED_VALUE"""),500000.0)</f>
        <v>500000</v>
      </c>
      <c r="G2020" s="22">
        <f>IFERROR(__xludf.DUMMYFUNCTION("""COMPUTED_VALUE"""),0.0)</f>
        <v>0</v>
      </c>
      <c r="H2020" s="22">
        <f>IFERROR(__xludf.DUMMYFUNCTION("""COMPUTED_VALUE"""),500000.0)</f>
        <v>500000</v>
      </c>
      <c r="I2020" s="24">
        <f>IFERROR(__xludf.DUMMYFUNCTION("""COMPUTED_VALUE"""),0.0)</f>
        <v>0</v>
      </c>
    </row>
    <row r="2021">
      <c r="A2021" s="5" t="str">
        <f>IFERROR(__xludf.DUMMYFUNCTION("""COMPUTED_VALUE"""),"38302")</f>
        <v>38302</v>
      </c>
      <c r="B2021" s="64">
        <f>IFERROR(__xludf.DUMMYFUNCTION("""COMPUTED_VALUE"""),44603.0)</f>
        <v>44603</v>
      </c>
      <c r="C2021" s="5"/>
      <c r="D2021" s="5"/>
      <c r="E2021" s="5"/>
      <c r="F2021" s="22">
        <f>IFERROR(__xludf.DUMMYFUNCTION("""COMPUTED_VALUE"""),500000.0)</f>
        <v>500000</v>
      </c>
      <c r="G2021" s="22">
        <f>IFERROR(__xludf.DUMMYFUNCTION("""COMPUTED_VALUE"""),0.0)</f>
        <v>0</v>
      </c>
      <c r="H2021" s="22">
        <f>IFERROR(__xludf.DUMMYFUNCTION("""COMPUTED_VALUE"""),500000.0)</f>
        <v>500000</v>
      </c>
      <c r="I2021" s="24">
        <f>IFERROR(__xludf.DUMMYFUNCTION("""COMPUTED_VALUE"""),0.0)</f>
        <v>0</v>
      </c>
    </row>
    <row r="2022">
      <c r="A2022" s="5" t="str">
        <f>IFERROR(__xludf.DUMMYFUNCTION("""COMPUTED_VALUE"""),"38302")</f>
        <v>38302</v>
      </c>
      <c r="B2022" s="64">
        <f>IFERROR(__xludf.DUMMYFUNCTION("""COMPUTED_VALUE"""),44604.0)</f>
        <v>44604</v>
      </c>
      <c r="C2022" s="5"/>
      <c r="D2022" s="5"/>
      <c r="E2022" s="5"/>
      <c r="F2022" s="22">
        <f>IFERROR(__xludf.DUMMYFUNCTION("""COMPUTED_VALUE"""),500000.0)</f>
        <v>500000</v>
      </c>
      <c r="G2022" s="22">
        <f>IFERROR(__xludf.DUMMYFUNCTION("""COMPUTED_VALUE"""),0.0)</f>
        <v>0</v>
      </c>
      <c r="H2022" s="22">
        <f>IFERROR(__xludf.DUMMYFUNCTION("""COMPUTED_VALUE"""),500000.0)</f>
        <v>500000</v>
      </c>
      <c r="I2022" s="24">
        <f>IFERROR(__xludf.DUMMYFUNCTION("""COMPUTED_VALUE"""),0.0)</f>
        <v>0</v>
      </c>
    </row>
    <row r="2023">
      <c r="A2023" s="5" t="str">
        <f>IFERROR(__xludf.DUMMYFUNCTION("""COMPUTED_VALUE"""),"38302")</f>
        <v>38302</v>
      </c>
      <c r="B2023" s="64">
        <f>IFERROR(__xludf.DUMMYFUNCTION("""COMPUTED_VALUE"""),44605.0)</f>
        <v>44605</v>
      </c>
      <c r="C2023" s="5"/>
      <c r="D2023" s="5"/>
      <c r="E2023" s="5"/>
      <c r="F2023" s="22">
        <f>IFERROR(__xludf.DUMMYFUNCTION("""COMPUTED_VALUE"""),500000.0)</f>
        <v>500000</v>
      </c>
      <c r="G2023" s="22">
        <f>IFERROR(__xludf.DUMMYFUNCTION("""COMPUTED_VALUE"""),0.0)</f>
        <v>0</v>
      </c>
      <c r="H2023" s="22">
        <f>IFERROR(__xludf.DUMMYFUNCTION("""COMPUTED_VALUE"""),500000.0)</f>
        <v>500000</v>
      </c>
      <c r="I2023" s="24">
        <f>IFERROR(__xludf.DUMMYFUNCTION("""COMPUTED_VALUE"""),0.0)</f>
        <v>0</v>
      </c>
    </row>
    <row r="2024">
      <c r="A2024" s="5" t="str">
        <f>IFERROR(__xludf.DUMMYFUNCTION("""COMPUTED_VALUE"""),"38302")</f>
        <v>38302</v>
      </c>
      <c r="B2024" s="64">
        <f>IFERROR(__xludf.DUMMYFUNCTION("""COMPUTED_VALUE"""),44606.0)</f>
        <v>44606</v>
      </c>
      <c r="C2024" s="5"/>
      <c r="D2024" s="5"/>
      <c r="E2024" s="5"/>
      <c r="F2024" s="22">
        <f>IFERROR(__xludf.DUMMYFUNCTION("""COMPUTED_VALUE"""),500000.0)</f>
        <v>500000</v>
      </c>
      <c r="G2024" s="22">
        <f>IFERROR(__xludf.DUMMYFUNCTION("""COMPUTED_VALUE"""),0.0)</f>
        <v>0</v>
      </c>
      <c r="H2024" s="22">
        <f>IFERROR(__xludf.DUMMYFUNCTION("""COMPUTED_VALUE"""),500000.0)</f>
        <v>500000</v>
      </c>
      <c r="I2024" s="24">
        <f>IFERROR(__xludf.DUMMYFUNCTION("""COMPUTED_VALUE"""),0.0)</f>
        <v>0</v>
      </c>
    </row>
    <row r="2025">
      <c r="A2025" s="5" t="str">
        <f>IFERROR(__xludf.DUMMYFUNCTION("""COMPUTED_VALUE"""),"38302")</f>
        <v>38302</v>
      </c>
      <c r="B2025" s="64">
        <f>IFERROR(__xludf.DUMMYFUNCTION("""COMPUTED_VALUE"""),44607.0)</f>
        <v>44607</v>
      </c>
      <c r="C2025" s="5"/>
      <c r="D2025" s="5"/>
      <c r="E2025" s="5"/>
      <c r="F2025" s="22">
        <f>IFERROR(__xludf.DUMMYFUNCTION("""COMPUTED_VALUE"""),500000.0)</f>
        <v>500000</v>
      </c>
      <c r="G2025" s="22">
        <f>IFERROR(__xludf.DUMMYFUNCTION("""COMPUTED_VALUE"""),0.0)</f>
        <v>0</v>
      </c>
      <c r="H2025" s="22">
        <f>IFERROR(__xludf.DUMMYFUNCTION("""COMPUTED_VALUE"""),500000.0)</f>
        <v>500000</v>
      </c>
      <c r="I2025" s="24">
        <f>IFERROR(__xludf.DUMMYFUNCTION("""COMPUTED_VALUE"""),0.0)</f>
        <v>0</v>
      </c>
    </row>
    <row r="2026">
      <c r="A2026" s="5" t="str">
        <f>IFERROR(__xludf.DUMMYFUNCTION("""COMPUTED_VALUE"""),"38302")</f>
        <v>38302</v>
      </c>
      <c r="B2026" s="64">
        <f>IFERROR(__xludf.DUMMYFUNCTION("""COMPUTED_VALUE"""),44608.0)</f>
        <v>44608</v>
      </c>
      <c r="C2026" s="5"/>
      <c r="D2026" s="5"/>
      <c r="E2026" s="5"/>
      <c r="F2026" s="22">
        <f>IFERROR(__xludf.DUMMYFUNCTION("""COMPUTED_VALUE"""),500000.0)</f>
        <v>500000</v>
      </c>
      <c r="G2026" s="22">
        <f>IFERROR(__xludf.DUMMYFUNCTION("""COMPUTED_VALUE"""),0.0)</f>
        <v>0</v>
      </c>
      <c r="H2026" s="22">
        <f>IFERROR(__xludf.DUMMYFUNCTION("""COMPUTED_VALUE"""),500000.0)</f>
        <v>500000</v>
      </c>
      <c r="I2026" s="24">
        <f>IFERROR(__xludf.DUMMYFUNCTION("""COMPUTED_VALUE"""),0.0)</f>
        <v>0</v>
      </c>
    </row>
    <row r="2027">
      <c r="A2027" s="5" t="str">
        <f>IFERROR(__xludf.DUMMYFUNCTION("""COMPUTED_VALUE"""),"38302")</f>
        <v>38302</v>
      </c>
      <c r="B2027" s="64">
        <f>IFERROR(__xludf.DUMMYFUNCTION("""COMPUTED_VALUE"""),44609.0)</f>
        <v>44609</v>
      </c>
      <c r="C2027" s="5"/>
      <c r="D2027" s="5"/>
      <c r="E2027" s="5"/>
      <c r="F2027" s="22">
        <f>IFERROR(__xludf.DUMMYFUNCTION("""COMPUTED_VALUE"""),500000.0)</f>
        <v>500000</v>
      </c>
      <c r="G2027" s="22">
        <f>IFERROR(__xludf.DUMMYFUNCTION("""COMPUTED_VALUE"""),0.0)</f>
        <v>0</v>
      </c>
      <c r="H2027" s="22">
        <f>IFERROR(__xludf.DUMMYFUNCTION("""COMPUTED_VALUE"""),500000.0)</f>
        <v>500000</v>
      </c>
      <c r="I2027" s="24">
        <f>IFERROR(__xludf.DUMMYFUNCTION("""COMPUTED_VALUE"""),0.0)</f>
        <v>0</v>
      </c>
    </row>
    <row r="2028">
      <c r="A2028" s="5" t="str">
        <f>IFERROR(__xludf.DUMMYFUNCTION("""COMPUTED_VALUE"""),"38302")</f>
        <v>38302</v>
      </c>
      <c r="B2028" s="64">
        <f>IFERROR(__xludf.DUMMYFUNCTION("""COMPUTED_VALUE"""),44610.0)</f>
        <v>44610</v>
      </c>
      <c r="C2028" s="5"/>
      <c r="D2028" s="5"/>
      <c r="E2028" s="5"/>
      <c r="F2028" s="22">
        <f>IFERROR(__xludf.DUMMYFUNCTION("""COMPUTED_VALUE"""),500000.0)</f>
        <v>500000</v>
      </c>
      <c r="G2028" s="22">
        <f>IFERROR(__xludf.DUMMYFUNCTION("""COMPUTED_VALUE"""),0.0)</f>
        <v>0</v>
      </c>
      <c r="H2028" s="22">
        <f>IFERROR(__xludf.DUMMYFUNCTION("""COMPUTED_VALUE"""),500000.0)</f>
        <v>500000</v>
      </c>
      <c r="I2028" s="24">
        <f>IFERROR(__xludf.DUMMYFUNCTION("""COMPUTED_VALUE"""),0.0)</f>
        <v>0</v>
      </c>
    </row>
    <row r="2029">
      <c r="A2029" s="5" t="str">
        <f>IFERROR(__xludf.DUMMYFUNCTION("""COMPUTED_VALUE"""),"38302")</f>
        <v>38302</v>
      </c>
      <c r="B2029" s="64">
        <f>IFERROR(__xludf.DUMMYFUNCTION("""COMPUTED_VALUE"""),44611.0)</f>
        <v>44611</v>
      </c>
      <c r="C2029" s="5"/>
      <c r="D2029" s="5"/>
      <c r="E2029" s="5"/>
      <c r="F2029" s="22">
        <f>IFERROR(__xludf.DUMMYFUNCTION("""COMPUTED_VALUE"""),500000.0)</f>
        <v>500000</v>
      </c>
      <c r="G2029" s="22">
        <f>IFERROR(__xludf.DUMMYFUNCTION("""COMPUTED_VALUE"""),0.0)</f>
        <v>0</v>
      </c>
      <c r="H2029" s="22">
        <f>IFERROR(__xludf.DUMMYFUNCTION("""COMPUTED_VALUE"""),500000.0)</f>
        <v>500000</v>
      </c>
      <c r="I2029" s="24">
        <f>IFERROR(__xludf.DUMMYFUNCTION("""COMPUTED_VALUE"""),0.0)</f>
        <v>0</v>
      </c>
    </row>
    <row r="2030">
      <c r="A2030" s="5" t="str">
        <f>IFERROR(__xludf.DUMMYFUNCTION("""COMPUTED_VALUE"""),"38302")</f>
        <v>38302</v>
      </c>
      <c r="B2030" s="64">
        <f>IFERROR(__xludf.DUMMYFUNCTION("""COMPUTED_VALUE"""),44612.0)</f>
        <v>44612</v>
      </c>
      <c r="C2030" s="5"/>
      <c r="D2030" s="5"/>
      <c r="E2030" s="5"/>
      <c r="F2030" s="22">
        <f>IFERROR(__xludf.DUMMYFUNCTION("""COMPUTED_VALUE"""),500000.0)</f>
        <v>500000</v>
      </c>
      <c r="G2030" s="22">
        <f>IFERROR(__xludf.DUMMYFUNCTION("""COMPUTED_VALUE"""),0.0)</f>
        <v>0</v>
      </c>
      <c r="H2030" s="22">
        <f>IFERROR(__xludf.DUMMYFUNCTION("""COMPUTED_VALUE"""),500000.0)</f>
        <v>500000</v>
      </c>
      <c r="I2030" s="24">
        <f>IFERROR(__xludf.DUMMYFUNCTION("""COMPUTED_VALUE"""),0.0)</f>
        <v>0</v>
      </c>
    </row>
    <row r="2031">
      <c r="A2031" s="5" t="str">
        <f>IFERROR(__xludf.DUMMYFUNCTION("""COMPUTED_VALUE"""),"38302")</f>
        <v>38302</v>
      </c>
      <c r="B2031" s="64">
        <f>IFERROR(__xludf.DUMMYFUNCTION("""COMPUTED_VALUE"""),44613.0)</f>
        <v>44613</v>
      </c>
      <c r="C2031" s="5"/>
      <c r="D2031" s="5"/>
      <c r="E2031" s="5"/>
      <c r="F2031" s="22">
        <f>IFERROR(__xludf.DUMMYFUNCTION("""COMPUTED_VALUE"""),500000.0)</f>
        <v>500000</v>
      </c>
      <c r="G2031" s="22">
        <f>IFERROR(__xludf.DUMMYFUNCTION("""COMPUTED_VALUE"""),0.0)</f>
        <v>0</v>
      </c>
      <c r="H2031" s="22">
        <f>IFERROR(__xludf.DUMMYFUNCTION("""COMPUTED_VALUE"""),500000.0)</f>
        <v>500000</v>
      </c>
      <c r="I2031" s="24">
        <f>IFERROR(__xludf.DUMMYFUNCTION("""COMPUTED_VALUE"""),0.0)</f>
        <v>0</v>
      </c>
    </row>
    <row r="2032">
      <c r="A2032" s="5" t="str">
        <f>IFERROR(__xludf.DUMMYFUNCTION("""COMPUTED_VALUE"""),"38302")</f>
        <v>38302</v>
      </c>
      <c r="B2032" s="64">
        <f>IFERROR(__xludf.DUMMYFUNCTION("""COMPUTED_VALUE"""),44614.0)</f>
        <v>44614</v>
      </c>
      <c r="C2032" s="5"/>
      <c r="D2032" s="5"/>
      <c r="E2032" s="5"/>
      <c r="F2032" s="22">
        <f>IFERROR(__xludf.DUMMYFUNCTION("""COMPUTED_VALUE"""),500000.0)</f>
        <v>500000</v>
      </c>
      <c r="G2032" s="22">
        <f>IFERROR(__xludf.DUMMYFUNCTION("""COMPUTED_VALUE"""),0.0)</f>
        <v>0</v>
      </c>
      <c r="H2032" s="22">
        <f>IFERROR(__xludf.DUMMYFUNCTION("""COMPUTED_VALUE"""),500000.0)</f>
        <v>500000</v>
      </c>
      <c r="I2032" s="24">
        <f>IFERROR(__xludf.DUMMYFUNCTION("""COMPUTED_VALUE"""),0.0)</f>
        <v>0</v>
      </c>
    </row>
    <row r="2033">
      <c r="A2033" s="5" t="str">
        <f>IFERROR(__xludf.DUMMYFUNCTION("""COMPUTED_VALUE"""),"38302")</f>
        <v>38302</v>
      </c>
      <c r="B2033" s="64">
        <f>IFERROR(__xludf.DUMMYFUNCTION("""COMPUTED_VALUE"""),44615.0)</f>
        <v>44615</v>
      </c>
      <c r="C2033" s="5"/>
      <c r="D2033" s="5"/>
      <c r="E2033" s="5"/>
      <c r="F2033" s="22">
        <f>IFERROR(__xludf.DUMMYFUNCTION("""COMPUTED_VALUE"""),500000.0)</f>
        <v>500000</v>
      </c>
      <c r="G2033" s="22">
        <f>IFERROR(__xludf.DUMMYFUNCTION("""COMPUTED_VALUE"""),0.0)</f>
        <v>0</v>
      </c>
      <c r="H2033" s="22">
        <f>IFERROR(__xludf.DUMMYFUNCTION("""COMPUTED_VALUE"""),500000.0)</f>
        <v>500000</v>
      </c>
      <c r="I2033" s="24">
        <f>IFERROR(__xludf.DUMMYFUNCTION("""COMPUTED_VALUE"""),0.0)</f>
        <v>0</v>
      </c>
    </row>
    <row r="2034">
      <c r="A2034" s="5" t="str">
        <f>IFERROR(__xludf.DUMMYFUNCTION("""COMPUTED_VALUE"""),"38302")</f>
        <v>38302</v>
      </c>
      <c r="B2034" s="64">
        <f>IFERROR(__xludf.DUMMYFUNCTION("""COMPUTED_VALUE"""),44616.0)</f>
        <v>44616</v>
      </c>
      <c r="C2034" s="5"/>
      <c r="D2034" s="5"/>
      <c r="E2034" s="5"/>
      <c r="F2034" s="22">
        <f>IFERROR(__xludf.DUMMYFUNCTION("""COMPUTED_VALUE"""),500000.0)</f>
        <v>500000</v>
      </c>
      <c r="G2034" s="22">
        <f>IFERROR(__xludf.DUMMYFUNCTION("""COMPUTED_VALUE"""),0.0)</f>
        <v>0</v>
      </c>
      <c r="H2034" s="22">
        <f>IFERROR(__xludf.DUMMYFUNCTION("""COMPUTED_VALUE"""),500000.0)</f>
        <v>500000</v>
      </c>
      <c r="I2034" s="24">
        <f>IFERROR(__xludf.DUMMYFUNCTION("""COMPUTED_VALUE"""),0.0)</f>
        <v>0</v>
      </c>
    </row>
    <row r="2035">
      <c r="A2035" s="5" t="str">
        <f>IFERROR(__xludf.DUMMYFUNCTION("""COMPUTED_VALUE"""),"38302")</f>
        <v>38302</v>
      </c>
      <c r="B2035" s="64">
        <f>IFERROR(__xludf.DUMMYFUNCTION("""COMPUTED_VALUE"""),44617.0)</f>
        <v>44617</v>
      </c>
      <c r="C2035" s="5"/>
      <c r="D2035" s="5"/>
      <c r="E2035" s="5"/>
      <c r="F2035" s="22">
        <f>IFERROR(__xludf.DUMMYFUNCTION("""COMPUTED_VALUE"""),500000.0)</f>
        <v>500000</v>
      </c>
      <c r="G2035" s="22">
        <f>IFERROR(__xludf.DUMMYFUNCTION("""COMPUTED_VALUE"""),0.0)</f>
        <v>0</v>
      </c>
      <c r="H2035" s="22">
        <f>IFERROR(__xludf.DUMMYFUNCTION("""COMPUTED_VALUE"""),500000.0)</f>
        <v>500000</v>
      </c>
      <c r="I2035" s="24">
        <f>IFERROR(__xludf.DUMMYFUNCTION("""COMPUTED_VALUE"""),0.0)</f>
        <v>0</v>
      </c>
    </row>
    <row r="2036">
      <c r="A2036" s="5" t="str">
        <f>IFERROR(__xludf.DUMMYFUNCTION("""COMPUTED_VALUE"""),"38302")</f>
        <v>38302</v>
      </c>
      <c r="B2036" s="64">
        <f>IFERROR(__xludf.DUMMYFUNCTION("""COMPUTED_VALUE"""),44618.0)</f>
        <v>44618</v>
      </c>
      <c r="C2036" s="5"/>
      <c r="D2036" s="5"/>
      <c r="E2036" s="5"/>
      <c r="F2036" s="22">
        <f>IFERROR(__xludf.DUMMYFUNCTION("""COMPUTED_VALUE"""),500000.0)</f>
        <v>500000</v>
      </c>
      <c r="G2036" s="22">
        <f>IFERROR(__xludf.DUMMYFUNCTION("""COMPUTED_VALUE"""),0.0)</f>
        <v>0</v>
      </c>
      <c r="H2036" s="22">
        <f>IFERROR(__xludf.DUMMYFUNCTION("""COMPUTED_VALUE"""),500000.0)</f>
        <v>500000</v>
      </c>
      <c r="I2036" s="24">
        <f>IFERROR(__xludf.DUMMYFUNCTION("""COMPUTED_VALUE"""),0.0)</f>
        <v>0</v>
      </c>
    </row>
    <row r="2037">
      <c r="A2037" s="5" t="str">
        <f>IFERROR(__xludf.DUMMYFUNCTION("""COMPUTED_VALUE"""),"38302")</f>
        <v>38302</v>
      </c>
      <c r="B2037" s="64">
        <f>IFERROR(__xludf.DUMMYFUNCTION("""COMPUTED_VALUE"""),44619.0)</f>
        <v>44619</v>
      </c>
      <c r="C2037" s="5"/>
      <c r="D2037" s="5"/>
      <c r="E2037" s="5"/>
      <c r="F2037" s="22">
        <f>IFERROR(__xludf.DUMMYFUNCTION("""COMPUTED_VALUE"""),500000.0)</f>
        <v>500000</v>
      </c>
      <c r="G2037" s="22">
        <f>IFERROR(__xludf.DUMMYFUNCTION("""COMPUTED_VALUE"""),0.0)</f>
        <v>0</v>
      </c>
      <c r="H2037" s="22">
        <f>IFERROR(__xludf.DUMMYFUNCTION("""COMPUTED_VALUE"""),500000.0)</f>
        <v>500000</v>
      </c>
      <c r="I2037" s="24">
        <f>IFERROR(__xludf.DUMMYFUNCTION("""COMPUTED_VALUE"""),0.0)</f>
        <v>0</v>
      </c>
    </row>
    <row r="2038">
      <c r="A2038" s="5" t="str">
        <f>IFERROR(__xludf.DUMMYFUNCTION("""COMPUTED_VALUE"""),"38302")</f>
        <v>38302</v>
      </c>
      <c r="B2038" s="64">
        <f>IFERROR(__xludf.DUMMYFUNCTION("""COMPUTED_VALUE"""),44620.0)</f>
        <v>44620</v>
      </c>
      <c r="C2038" s="5"/>
      <c r="D2038" s="5"/>
      <c r="E2038" s="5"/>
      <c r="F2038" s="22">
        <f>IFERROR(__xludf.DUMMYFUNCTION("""COMPUTED_VALUE"""),500000.0)</f>
        <v>500000</v>
      </c>
      <c r="G2038" s="22">
        <f>IFERROR(__xludf.DUMMYFUNCTION("""COMPUTED_VALUE"""),0.0)</f>
        <v>0</v>
      </c>
      <c r="H2038" s="22">
        <f>IFERROR(__xludf.DUMMYFUNCTION("""COMPUTED_VALUE"""),500000.0)</f>
        <v>500000</v>
      </c>
      <c r="I2038" s="24">
        <f>IFERROR(__xludf.DUMMYFUNCTION("""COMPUTED_VALUE"""),0.0)</f>
        <v>0</v>
      </c>
    </row>
    <row r="2039">
      <c r="A2039" s="5" t="str">
        <f>IFERROR(__xludf.DUMMYFUNCTION("""COMPUTED_VALUE"""),"38302")</f>
        <v>38302</v>
      </c>
      <c r="B2039" s="64">
        <f>IFERROR(__xludf.DUMMYFUNCTION("""COMPUTED_VALUE"""),44621.0)</f>
        <v>44621</v>
      </c>
      <c r="C2039" s="5"/>
      <c r="D2039" s="5"/>
      <c r="E2039" s="5"/>
      <c r="F2039" s="22">
        <f>IFERROR(__xludf.DUMMYFUNCTION("""COMPUTED_VALUE"""),500000.0)</f>
        <v>500000</v>
      </c>
      <c r="G2039" s="22">
        <f>IFERROR(__xludf.DUMMYFUNCTION("""COMPUTED_VALUE"""),0.0)</f>
        <v>0</v>
      </c>
      <c r="H2039" s="22">
        <f>IFERROR(__xludf.DUMMYFUNCTION("""COMPUTED_VALUE"""),500000.0)</f>
        <v>500000</v>
      </c>
      <c r="I2039" s="24">
        <f>IFERROR(__xludf.DUMMYFUNCTION("""COMPUTED_VALUE"""),0.0)</f>
        <v>0</v>
      </c>
    </row>
    <row r="2040">
      <c r="A2040" s="5" t="str">
        <f>IFERROR(__xludf.DUMMYFUNCTION("""COMPUTED_VALUE"""),"38302")</f>
        <v>38302</v>
      </c>
      <c r="B2040" s="64">
        <f>IFERROR(__xludf.DUMMYFUNCTION("""COMPUTED_VALUE"""),44622.0)</f>
        <v>44622</v>
      </c>
      <c r="C2040" s="5"/>
      <c r="D2040" s="5"/>
      <c r="E2040" s="5"/>
      <c r="F2040" s="22">
        <f>IFERROR(__xludf.DUMMYFUNCTION("""COMPUTED_VALUE"""),500000.0)</f>
        <v>500000</v>
      </c>
      <c r="G2040" s="22">
        <f>IFERROR(__xludf.DUMMYFUNCTION("""COMPUTED_VALUE"""),0.0)</f>
        <v>0</v>
      </c>
      <c r="H2040" s="22">
        <f>IFERROR(__xludf.DUMMYFUNCTION("""COMPUTED_VALUE"""),500000.0)</f>
        <v>500000</v>
      </c>
      <c r="I2040" s="24">
        <f>IFERROR(__xludf.DUMMYFUNCTION("""COMPUTED_VALUE"""),0.0)</f>
        <v>0</v>
      </c>
    </row>
    <row r="2041">
      <c r="A2041" s="5" t="str">
        <f>IFERROR(__xludf.DUMMYFUNCTION("""COMPUTED_VALUE"""),"38302")</f>
        <v>38302</v>
      </c>
      <c r="B2041" s="64">
        <f>IFERROR(__xludf.DUMMYFUNCTION("""COMPUTED_VALUE"""),44623.0)</f>
        <v>44623</v>
      </c>
      <c r="C2041" s="5"/>
      <c r="D2041" s="5"/>
      <c r="E2041" s="5"/>
      <c r="F2041" s="22">
        <f>IFERROR(__xludf.DUMMYFUNCTION("""COMPUTED_VALUE"""),500000.0)</f>
        <v>500000</v>
      </c>
      <c r="G2041" s="22">
        <f>IFERROR(__xludf.DUMMYFUNCTION("""COMPUTED_VALUE"""),0.0)</f>
        <v>0</v>
      </c>
      <c r="H2041" s="22">
        <f>IFERROR(__xludf.DUMMYFUNCTION("""COMPUTED_VALUE"""),500000.0)</f>
        <v>500000</v>
      </c>
      <c r="I2041" s="24">
        <f>IFERROR(__xludf.DUMMYFUNCTION("""COMPUTED_VALUE"""),0.0)</f>
        <v>0</v>
      </c>
    </row>
    <row r="2042">
      <c r="A2042" s="5" t="str">
        <f>IFERROR(__xludf.DUMMYFUNCTION("""COMPUTED_VALUE"""),"38302")</f>
        <v>38302</v>
      </c>
      <c r="B2042" s="64">
        <f>IFERROR(__xludf.DUMMYFUNCTION("""COMPUTED_VALUE"""),44624.0)</f>
        <v>44624</v>
      </c>
      <c r="C2042" s="5"/>
      <c r="D2042" s="5"/>
      <c r="E2042" s="5"/>
      <c r="F2042" s="22">
        <f>IFERROR(__xludf.DUMMYFUNCTION("""COMPUTED_VALUE"""),500000.0)</f>
        <v>500000</v>
      </c>
      <c r="G2042" s="22">
        <f>IFERROR(__xludf.DUMMYFUNCTION("""COMPUTED_VALUE"""),0.0)</f>
        <v>0</v>
      </c>
      <c r="H2042" s="22">
        <f>IFERROR(__xludf.DUMMYFUNCTION("""COMPUTED_VALUE"""),500000.0)</f>
        <v>500000</v>
      </c>
      <c r="I2042" s="24">
        <f>IFERROR(__xludf.DUMMYFUNCTION("""COMPUTED_VALUE"""),0.0)</f>
        <v>0</v>
      </c>
    </row>
    <row r="2043">
      <c r="A2043" s="5" t="str">
        <f>IFERROR(__xludf.DUMMYFUNCTION("""COMPUTED_VALUE"""),"38302")</f>
        <v>38302</v>
      </c>
      <c r="B2043" s="64">
        <f>IFERROR(__xludf.DUMMYFUNCTION("""COMPUTED_VALUE"""),44625.0)</f>
        <v>44625</v>
      </c>
      <c r="C2043" s="5"/>
      <c r="D2043" s="5"/>
      <c r="E2043" s="5"/>
      <c r="F2043" s="22">
        <f>IFERROR(__xludf.DUMMYFUNCTION("""COMPUTED_VALUE"""),500000.0)</f>
        <v>500000</v>
      </c>
      <c r="G2043" s="22">
        <f>IFERROR(__xludf.DUMMYFUNCTION("""COMPUTED_VALUE"""),0.0)</f>
        <v>0</v>
      </c>
      <c r="H2043" s="22">
        <f>IFERROR(__xludf.DUMMYFUNCTION("""COMPUTED_VALUE"""),500000.0)</f>
        <v>500000</v>
      </c>
      <c r="I2043" s="24">
        <f>IFERROR(__xludf.DUMMYFUNCTION("""COMPUTED_VALUE"""),0.0)</f>
        <v>0</v>
      </c>
    </row>
    <row r="2044">
      <c r="A2044" s="5" t="str">
        <f>IFERROR(__xludf.DUMMYFUNCTION("""COMPUTED_VALUE"""),"38302")</f>
        <v>38302</v>
      </c>
      <c r="B2044" s="64">
        <f>IFERROR(__xludf.DUMMYFUNCTION("""COMPUTED_VALUE"""),44626.0)</f>
        <v>44626</v>
      </c>
      <c r="C2044" s="5"/>
      <c r="D2044" s="5"/>
      <c r="E2044" s="5"/>
      <c r="F2044" s="22">
        <f>IFERROR(__xludf.DUMMYFUNCTION("""COMPUTED_VALUE"""),500000.0)</f>
        <v>500000</v>
      </c>
      <c r="G2044" s="22">
        <f>IFERROR(__xludf.DUMMYFUNCTION("""COMPUTED_VALUE"""),0.0)</f>
        <v>0</v>
      </c>
      <c r="H2044" s="22">
        <f>IFERROR(__xludf.DUMMYFUNCTION("""COMPUTED_VALUE"""),500000.0)</f>
        <v>500000</v>
      </c>
      <c r="I2044" s="24">
        <f>IFERROR(__xludf.DUMMYFUNCTION("""COMPUTED_VALUE"""),0.0)</f>
        <v>0</v>
      </c>
    </row>
    <row r="2045">
      <c r="A2045" s="5" t="str">
        <f>IFERROR(__xludf.DUMMYFUNCTION("""COMPUTED_VALUE"""),"38302")</f>
        <v>38302</v>
      </c>
      <c r="B2045" s="64">
        <f>IFERROR(__xludf.DUMMYFUNCTION("""COMPUTED_VALUE"""),44627.0)</f>
        <v>44627</v>
      </c>
      <c r="C2045" s="5"/>
      <c r="D2045" s="5"/>
      <c r="E2045" s="5"/>
      <c r="F2045" s="22">
        <f>IFERROR(__xludf.DUMMYFUNCTION("""COMPUTED_VALUE"""),500000.0)</f>
        <v>500000</v>
      </c>
      <c r="G2045" s="22">
        <f>IFERROR(__xludf.DUMMYFUNCTION("""COMPUTED_VALUE"""),0.0)</f>
        <v>0</v>
      </c>
      <c r="H2045" s="22">
        <f>IFERROR(__xludf.DUMMYFUNCTION("""COMPUTED_VALUE"""),500000.0)</f>
        <v>500000</v>
      </c>
      <c r="I2045" s="24">
        <f>IFERROR(__xludf.DUMMYFUNCTION("""COMPUTED_VALUE"""),0.0)</f>
        <v>0</v>
      </c>
    </row>
    <row r="2046">
      <c r="A2046" s="5" t="str">
        <f>IFERROR(__xludf.DUMMYFUNCTION("""COMPUTED_VALUE"""),"38302")</f>
        <v>38302</v>
      </c>
      <c r="B2046" s="64">
        <f>IFERROR(__xludf.DUMMYFUNCTION("""COMPUTED_VALUE"""),44628.0)</f>
        <v>44628</v>
      </c>
      <c r="C2046" s="5"/>
      <c r="D2046" s="5"/>
      <c r="E2046" s="5"/>
      <c r="F2046" s="22">
        <f>IFERROR(__xludf.DUMMYFUNCTION("""COMPUTED_VALUE"""),500000.0)</f>
        <v>500000</v>
      </c>
      <c r="G2046" s="22">
        <f>IFERROR(__xludf.DUMMYFUNCTION("""COMPUTED_VALUE"""),0.0)</f>
        <v>0</v>
      </c>
      <c r="H2046" s="22">
        <f>IFERROR(__xludf.DUMMYFUNCTION("""COMPUTED_VALUE"""),500000.0)</f>
        <v>500000</v>
      </c>
      <c r="I2046" s="24">
        <f>IFERROR(__xludf.DUMMYFUNCTION("""COMPUTED_VALUE"""),0.0)</f>
        <v>0</v>
      </c>
    </row>
    <row r="2047">
      <c r="A2047" s="5" t="str">
        <f>IFERROR(__xludf.DUMMYFUNCTION("""COMPUTED_VALUE"""),"38302")</f>
        <v>38302</v>
      </c>
      <c r="B2047" s="64">
        <f>IFERROR(__xludf.DUMMYFUNCTION("""COMPUTED_VALUE"""),44629.0)</f>
        <v>44629</v>
      </c>
      <c r="C2047" s="5"/>
      <c r="D2047" s="5"/>
      <c r="E2047" s="5"/>
      <c r="F2047" s="22">
        <f>IFERROR(__xludf.DUMMYFUNCTION("""COMPUTED_VALUE"""),500000.0)</f>
        <v>500000</v>
      </c>
      <c r="G2047" s="22">
        <f>IFERROR(__xludf.DUMMYFUNCTION("""COMPUTED_VALUE"""),0.0)</f>
        <v>0</v>
      </c>
      <c r="H2047" s="22">
        <f>IFERROR(__xludf.DUMMYFUNCTION("""COMPUTED_VALUE"""),500000.0)</f>
        <v>500000</v>
      </c>
      <c r="I2047" s="24">
        <f>IFERROR(__xludf.DUMMYFUNCTION("""COMPUTED_VALUE"""),0.0)</f>
        <v>0</v>
      </c>
    </row>
    <row r="2048">
      <c r="A2048" s="5" t="str">
        <f>IFERROR(__xludf.DUMMYFUNCTION("""COMPUTED_VALUE"""),"38302")</f>
        <v>38302</v>
      </c>
      <c r="B2048" s="64">
        <f>IFERROR(__xludf.DUMMYFUNCTION("""COMPUTED_VALUE"""),44630.0)</f>
        <v>44630</v>
      </c>
      <c r="C2048" s="5"/>
      <c r="D2048" s="5"/>
      <c r="E2048" s="5"/>
      <c r="F2048" s="22">
        <f>IFERROR(__xludf.DUMMYFUNCTION("""COMPUTED_VALUE"""),500000.0)</f>
        <v>500000</v>
      </c>
      <c r="G2048" s="22">
        <f>IFERROR(__xludf.DUMMYFUNCTION("""COMPUTED_VALUE"""),0.0)</f>
        <v>0</v>
      </c>
      <c r="H2048" s="22">
        <f>IFERROR(__xludf.DUMMYFUNCTION("""COMPUTED_VALUE"""),500000.0)</f>
        <v>500000</v>
      </c>
      <c r="I2048" s="24">
        <f>IFERROR(__xludf.DUMMYFUNCTION("""COMPUTED_VALUE"""),0.0)</f>
        <v>0</v>
      </c>
    </row>
    <row r="2049">
      <c r="A2049" s="5" t="str">
        <f>IFERROR(__xludf.DUMMYFUNCTION("""COMPUTED_VALUE"""),"38302")</f>
        <v>38302</v>
      </c>
      <c r="B2049" s="64">
        <f>IFERROR(__xludf.DUMMYFUNCTION("""COMPUTED_VALUE"""),44631.0)</f>
        <v>44631</v>
      </c>
      <c r="C2049" s="5"/>
      <c r="D2049" s="5"/>
      <c r="E2049" s="5"/>
      <c r="F2049" s="22">
        <f>IFERROR(__xludf.DUMMYFUNCTION("""COMPUTED_VALUE"""),500000.0)</f>
        <v>500000</v>
      </c>
      <c r="G2049" s="22">
        <f>IFERROR(__xludf.DUMMYFUNCTION("""COMPUTED_VALUE"""),0.0)</f>
        <v>0</v>
      </c>
      <c r="H2049" s="22">
        <f>IFERROR(__xludf.DUMMYFUNCTION("""COMPUTED_VALUE"""),500000.0)</f>
        <v>500000</v>
      </c>
      <c r="I2049" s="24">
        <f>IFERROR(__xludf.DUMMYFUNCTION("""COMPUTED_VALUE"""),0.0)</f>
        <v>0</v>
      </c>
    </row>
    <row r="2050">
      <c r="A2050" s="5" t="str">
        <f>IFERROR(__xludf.DUMMYFUNCTION("""COMPUTED_VALUE"""),"38302")</f>
        <v>38302</v>
      </c>
      <c r="B2050" s="64">
        <f>IFERROR(__xludf.DUMMYFUNCTION("""COMPUTED_VALUE"""),44632.0)</f>
        <v>44632</v>
      </c>
      <c r="C2050" s="5"/>
      <c r="D2050" s="5"/>
      <c r="E2050" s="5"/>
      <c r="F2050" s="22">
        <f>IFERROR(__xludf.DUMMYFUNCTION("""COMPUTED_VALUE"""),500000.0)</f>
        <v>500000</v>
      </c>
      <c r="G2050" s="22">
        <f>IFERROR(__xludf.DUMMYFUNCTION("""COMPUTED_VALUE"""),0.0)</f>
        <v>0</v>
      </c>
      <c r="H2050" s="22">
        <f>IFERROR(__xludf.DUMMYFUNCTION("""COMPUTED_VALUE"""),500000.0)</f>
        <v>500000</v>
      </c>
      <c r="I2050" s="24">
        <f>IFERROR(__xludf.DUMMYFUNCTION("""COMPUTED_VALUE"""),0.0)</f>
        <v>0</v>
      </c>
    </row>
    <row r="2051">
      <c r="A2051" s="5" t="str">
        <f>IFERROR(__xludf.DUMMYFUNCTION("""COMPUTED_VALUE"""),"38302")</f>
        <v>38302</v>
      </c>
      <c r="B2051" s="64">
        <f>IFERROR(__xludf.DUMMYFUNCTION("""COMPUTED_VALUE"""),44633.0)</f>
        <v>44633</v>
      </c>
      <c r="C2051" s="5"/>
      <c r="D2051" s="5"/>
      <c r="E2051" s="5"/>
      <c r="F2051" s="22">
        <f>IFERROR(__xludf.DUMMYFUNCTION("""COMPUTED_VALUE"""),500000.0)</f>
        <v>500000</v>
      </c>
      <c r="G2051" s="22">
        <f>IFERROR(__xludf.DUMMYFUNCTION("""COMPUTED_VALUE"""),0.0)</f>
        <v>0</v>
      </c>
      <c r="H2051" s="22">
        <f>IFERROR(__xludf.DUMMYFUNCTION("""COMPUTED_VALUE"""),500000.0)</f>
        <v>500000</v>
      </c>
      <c r="I2051" s="24">
        <f>IFERROR(__xludf.DUMMYFUNCTION("""COMPUTED_VALUE"""),0.0)</f>
        <v>0</v>
      </c>
    </row>
    <row r="2052">
      <c r="A2052" s="5" t="str">
        <f>IFERROR(__xludf.DUMMYFUNCTION("""COMPUTED_VALUE"""),"38302")</f>
        <v>38302</v>
      </c>
      <c r="B2052" s="64">
        <f>IFERROR(__xludf.DUMMYFUNCTION("""COMPUTED_VALUE"""),44634.0)</f>
        <v>44634</v>
      </c>
      <c r="C2052" s="5"/>
      <c r="D2052" s="5"/>
      <c r="E2052" s="5"/>
      <c r="F2052" s="22">
        <f>IFERROR(__xludf.DUMMYFUNCTION("""COMPUTED_VALUE"""),500000.0)</f>
        <v>500000</v>
      </c>
      <c r="G2052" s="22">
        <f>IFERROR(__xludf.DUMMYFUNCTION("""COMPUTED_VALUE"""),0.0)</f>
        <v>0</v>
      </c>
      <c r="H2052" s="22">
        <f>IFERROR(__xludf.DUMMYFUNCTION("""COMPUTED_VALUE"""),500000.0)</f>
        <v>500000</v>
      </c>
      <c r="I2052" s="24">
        <f>IFERROR(__xludf.DUMMYFUNCTION("""COMPUTED_VALUE"""),0.0)</f>
        <v>0</v>
      </c>
    </row>
    <row r="2053">
      <c r="A2053" s="5" t="str">
        <f>IFERROR(__xludf.DUMMYFUNCTION("""COMPUTED_VALUE"""),"38302")</f>
        <v>38302</v>
      </c>
      <c r="B2053" s="64">
        <f>IFERROR(__xludf.DUMMYFUNCTION("""COMPUTED_VALUE"""),44635.0)</f>
        <v>44635</v>
      </c>
      <c r="C2053" s="5"/>
      <c r="D2053" s="5"/>
      <c r="E2053" s="5"/>
      <c r="F2053" s="22">
        <f>IFERROR(__xludf.DUMMYFUNCTION("""COMPUTED_VALUE"""),500000.0)</f>
        <v>500000</v>
      </c>
      <c r="G2053" s="22">
        <f>IFERROR(__xludf.DUMMYFUNCTION("""COMPUTED_VALUE"""),0.0)</f>
        <v>0</v>
      </c>
      <c r="H2053" s="22">
        <f>IFERROR(__xludf.DUMMYFUNCTION("""COMPUTED_VALUE"""),500000.0)</f>
        <v>500000</v>
      </c>
      <c r="I2053" s="24">
        <f>IFERROR(__xludf.DUMMYFUNCTION("""COMPUTED_VALUE"""),0.0)</f>
        <v>0</v>
      </c>
    </row>
    <row r="2054">
      <c r="A2054" s="5" t="str">
        <f>IFERROR(__xludf.DUMMYFUNCTION("""COMPUTED_VALUE"""),"38302")</f>
        <v>38302</v>
      </c>
      <c r="B2054" s="64">
        <f>IFERROR(__xludf.DUMMYFUNCTION("""COMPUTED_VALUE"""),44636.0)</f>
        <v>44636</v>
      </c>
      <c r="C2054" s="5"/>
      <c r="D2054" s="5"/>
      <c r="E2054" s="5"/>
      <c r="F2054" s="22">
        <f>IFERROR(__xludf.DUMMYFUNCTION("""COMPUTED_VALUE"""),500000.0)</f>
        <v>500000</v>
      </c>
      <c r="G2054" s="22">
        <f>IFERROR(__xludf.DUMMYFUNCTION("""COMPUTED_VALUE"""),0.0)</f>
        <v>0</v>
      </c>
      <c r="H2054" s="22">
        <f>IFERROR(__xludf.DUMMYFUNCTION("""COMPUTED_VALUE"""),500000.0)</f>
        <v>500000</v>
      </c>
      <c r="I2054" s="24">
        <f>IFERROR(__xludf.DUMMYFUNCTION("""COMPUTED_VALUE"""),0.0)</f>
        <v>0</v>
      </c>
    </row>
    <row r="2055">
      <c r="A2055" s="5" t="str">
        <f>IFERROR(__xludf.DUMMYFUNCTION("""COMPUTED_VALUE"""),"38302")</f>
        <v>38302</v>
      </c>
      <c r="B2055" s="64">
        <f>IFERROR(__xludf.DUMMYFUNCTION("""COMPUTED_VALUE"""),44637.0)</f>
        <v>44637</v>
      </c>
      <c r="C2055" s="5"/>
      <c r="D2055" s="5"/>
      <c r="E2055" s="5"/>
      <c r="F2055" s="22">
        <f>IFERROR(__xludf.DUMMYFUNCTION("""COMPUTED_VALUE"""),500000.0)</f>
        <v>500000</v>
      </c>
      <c r="G2055" s="22">
        <f>IFERROR(__xludf.DUMMYFUNCTION("""COMPUTED_VALUE"""),0.0)</f>
        <v>0</v>
      </c>
      <c r="H2055" s="22">
        <f>IFERROR(__xludf.DUMMYFUNCTION("""COMPUTED_VALUE"""),500000.0)</f>
        <v>500000</v>
      </c>
      <c r="I2055" s="24">
        <f>IFERROR(__xludf.DUMMYFUNCTION("""COMPUTED_VALUE"""),0.0)</f>
        <v>0</v>
      </c>
    </row>
    <row r="2056">
      <c r="A2056" s="5" t="str">
        <f>IFERROR(__xludf.DUMMYFUNCTION("""COMPUTED_VALUE"""),"38302")</f>
        <v>38302</v>
      </c>
      <c r="B2056" s="64">
        <f>IFERROR(__xludf.DUMMYFUNCTION("""COMPUTED_VALUE"""),44638.0)</f>
        <v>44638</v>
      </c>
      <c r="C2056" s="5"/>
      <c r="D2056" s="5"/>
      <c r="E2056" s="5"/>
      <c r="F2056" s="22">
        <f>IFERROR(__xludf.DUMMYFUNCTION("""COMPUTED_VALUE"""),500000.0)</f>
        <v>500000</v>
      </c>
      <c r="G2056" s="22">
        <f>IFERROR(__xludf.DUMMYFUNCTION("""COMPUTED_VALUE"""),0.0)</f>
        <v>0</v>
      </c>
      <c r="H2056" s="22">
        <f>IFERROR(__xludf.DUMMYFUNCTION("""COMPUTED_VALUE"""),500000.0)</f>
        <v>500000</v>
      </c>
      <c r="I2056" s="24">
        <f>IFERROR(__xludf.DUMMYFUNCTION("""COMPUTED_VALUE"""),0.0)</f>
        <v>0</v>
      </c>
    </row>
    <row r="2057">
      <c r="A2057" s="5" t="str">
        <f>IFERROR(__xludf.DUMMYFUNCTION("""COMPUTED_VALUE"""),"38302")</f>
        <v>38302</v>
      </c>
      <c r="B2057" s="64">
        <f>IFERROR(__xludf.DUMMYFUNCTION("""COMPUTED_VALUE"""),44639.0)</f>
        <v>44639</v>
      </c>
      <c r="C2057" s="5"/>
      <c r="D2057" s="5"/>
      <c r="E2057" s="5"/>
      <c r="F2057" s="22">
        <f>IFERROR(__xludf.DUMMYFUNCTION("""COMPUTED_VALUE"""),500000.0)</f>
        <v>500000</v>
      </c>
      <c r="G2057" s="22">
        <f>IFERROR(__xludf.DUMMYFUNCTION("""COMPUTED_VALUE"""),0.0)</f>
        <v>0</v>
      </c>
      <c r="H2057" s="22">
        <f>IFERROR(__xludf.DUMMYFUNCTION("""COMPUTED_VALUE"""),500000.0)</f>
        <v>500000</v>
      </c>
      <c r="I2057" s="24">
        <f>IFERROR(__xludf.DUMMYFUNCTION("""COMPUTED_VALUE"""),0.0)</f>
        <v>0</v>
      </c>
    </row>
    <row r="2058">
      <c r="A2058" s="5" t="str">
        <f>IFERROR(__xludf.DUMMYFUNCTION("""COMPUTED_VALUE"""),"38302")</f>
        <v>38302</v>
      </c>
      <c r="B2058" s="64">
        <f>IFERROR(__xludf.DUMMYFUNCTION("""COMPUTED_VALUE"""),44640.0)</f>
        <v>44640</v>
      </c>
      <c r="C2058" s="5"/>
      <c r="D2058" s="5"/>
      <c r="E2058" s="5"/>
      <c r="F2058" s="22">
        <f>IFERROR(__xludf.DUMMYFUNCTION("""COMPUTED_VALUE"""),500000.0)</f>
        <v>500000</v>
      </c>
      <c r="G2058" s="22">
        <f>IFERROR(__xludf.DUMMYFUNCTION("""COMPUTED_VALUE"""),0.0)</f>
        <v>0</v>
      </c>
      <c r="H2058" s="22">
        <f>IFERROR(__xludf.DUMMYFUNCTION("""COMPUTED_VALUE"""),500000.0)</f>
        <v>500000</v>
      </c>
      <c r="I2058" s="24">
        <f>IFERROR(__xludf.DUMMYFUNCTION("""COMPUTED_VALUE"""),0.0)</f>
        <v>0</v>
      </c>
    </row>
    <row r="2059">
      <c r="A2059" s="5" t="str">
        <f>IFERROR(__xludf.DUMMYFUNCTION("""COMPUTED_VALUE"""),"38302")</f>
        <v>38302</v>
      </c>
      <c r="B2059" s="64">
        <f>IFERROR(__xludf.DUMMYFUNCTION("""COMPUTED_VALUE"""),44641.0)</f>
        <v>44641</v>
      </c>
      <c r="C2059" s="5"/>
      <c r="D2059" s="5"/>
      <c r="E2059" s="5"/>
      <c r="F2059" s="22">
        <f>IFERROR(__xludf.DUMMYFUNCTION("""COMPUTED_VALUE"""),500000.0)</f>
        <v>500000</v>
      </c>
      <c r="G2059" s="22">
        <f>IFERROR(__xludf.DUMMYFUNCTION("""COMPUTED_VALUE"""),0.0)</f>
        <v>0</v>
      </c>
      <c r="H2059" s="22">
        <f>IFERROR(__xludf.DUMMYFUNCTION("""COMPUTED_VALUE"""),500000.0)</f>
        <v>500000</v>
      </c>
      <c r="I2059" s="24">
        <f>IFERROR(__xludf.DUMMYFUNCTION("""COMPUTED_VALUE"""),0.0)</f>
        <v>0</v>
      </c>
    </row>
    <row r="2060">
      <c r="A2060" s="5" t="str">
        <f>IFERROR(__xludf.DUMMYFUNCTION("""COMPUTED_VALUE"""),"38302")</f>
        <v>38302</v>
      </c>
      <c r="B2060" s="64">
        <f>IFERROR(__xludf.DUMMYFUNCTION("""COMPUTED_VALUE"""),44642.0)</f>
        <v>44642</v>
      </c>
      <c r="C2060" s="5"/>
      <c r="D2060" s="5"/>
      <c r="E2060" s="5"/>
      <c r="F2060" s="22">
        <f>IFERROR(__xludf.DUMMYFUNCTION("""COMPUTED_VALUE"""),500000.0)</f>
        <v>500000</v>
      </c>
      <c r="G2060" s="22">
        <f>IFERROR(__xludf.DUMMYFUNCTION("""COMPUTED_VALUE"""),0.0)</f>
        <v>0</v>
      </c>
      <c r="H2060" s="22">
        <f>IFERROR(__xludf.DUMMYFUNCTION("""COMPUTED_VALUE"""),500000.0)</f>
        <v>500000</v>
      </c>
      <c r="I2060" s="24">
        <f>IFERROR(__xludf.DUMMYFUNCTION("""COMPUTED_VALUE"""),0.0)</f>
        <v>0</v>
      </c>
    </row>
    <row r="2061">
      <c r="A2061" s="5" t="str">
        <f>IFERROR(__xludf.DUMMYFUNCTION("""COMPUTED_VALUE"""),"38302")</f>
        <v>38302</v>
      </c>
      <c r="B2061" s="64">
        <f>IFERROR(__xludf.DUMMYFUNCTION("""COMPUTED_VALUE"""),44643.0)</f>
        <v>44643</v>
      </c>
      <c r="C2061" s="5"/>
      <c r="D2061" s="5"/>
      <c r="E2061" s="5"/>
      <c r="F2061" s="22">
        <f>IFERROR(__xludf.DUMMYFUNCTION("""COMPUTED_VALUE"""),500000.0)</f>
        <v>500000</v>
      </c>
      <c r="G2061" s="22">
        <f>IFERROR(__xludf.DUMMYFUNCTION("""COMPUTED_VALUE"""),0.0)</f>
        <v>0</v>
      </c>
      <c r="H2061" s="22">
        <f>IFERROR(__xludf.DUMMYFUNCTION("""COMPUTED_VALUE"""),500000.0)</f>
        <v>500000</v>
      </c>
      <c r="I2061" s="24">
        <f>IFERROR(__xludf.DUMMYFUNCTION("""COMPUTED_VALUE"""),0.0)</f>
        <v>0</v>
      </c>
    </row>
    <row r="2062">
      <c r="A2062" s="5" t="str">
        <f>IFERROR(__xludf.DUMMYFUNCTION("""COMPUTED_VALUE"""),"38302")</f>
        <v>38302</v>
      </c>
      <c r="B2062" s="64">
        <f>IFERROR(__xludf.DUMMYFUNCTION("""COMPUTED_VALUE"""),44644.0)</f>
        <v>44644</v>
      </c>
      <c r="C2062" s="5"/>
      <c r="D2062" s="5"/>
      <c r="E2062" s="5"/>
      <c r="F2062" s="22">
        <f>IFERROR(__xludf.DUMMYFUNCTION("""COMPUTED_VALUE"""),500000.0)</f>
        <v>500000</v>
      </c>
      <c r="G2062" s="22">
        <f>IFERROR(__xludf.DUMMYFUNCTION("""COMPUTED_VALUE"""),0.0)</f>
        <v>0</v>
      </c>
      <c r="H2062" s="22">
        <f>IFERROR(__xludf.DUMMYFUNCTION("""COMPUTED_VALUE"""),500000.0)</f>
        <v>500000</v>
      </c>
      <c r="I2062" s="24">
        <f>IFERROR(__xludf.DUMMYFUNCTION("""COMPUTED_VALUE"""),0.0)</f>
        <v>0</v>
      </c>
    </row>
    <row r="2063">
      <c r="A2063" s="5" t="str">
        <f>IFERROR(__xludf.DUMMYFUNCTION("""COMPUTED_VALUE"""),"38302")</f>
        <v>38302</v>
      </c>
      <c r="B2063" s="64">
        <f>IFERROR(__xludf.DUMMYFUNCTION("""COMPUTED_VALUE"""),44645.0)</f>
        <v>44645</v>
      </c>
      <c r="C2063" s="5"/>
      <c r="D2063" s="5"/>
      <c r="E2063" s="5"/>
      <c r="F2063" s="22">
        <f>IFERROR(__xludf.DUMMYFUNCTION("""COMPUTED_VALUE"""),500000.0)</f>
        <v>500000</v>
      </c>
      <c r="G2063" s="22">
        <f>IFERROR(__xludf.DUMMYFUNCTION("""COMPUTED_VALUE"""),0.0)</f>
        <v>0</v>
      </c>
      <c r="H2063" s="22">
        <f>IFERROR(__xludf.DUMMYFUNCTION("""COMPUTED_VALUE"""),500000.0)</f>
        <v>500000</v>
      </c>
      <c r="I2063" s="24">
        <f>IFERROR(__xludf.DUMMYFUNCTION("""COMPUTED_VALUE"""),0.0)</f>
        <v>0</v>
      </c>
    </row>
    <row r="2064">
      <c r="A2064" s="5" t="str">
        <f>IFERROR(__xludf.DUMMYFUNCTION("""COMPUTED_VALUE"""),"38302")</f>
        <v>38302</v>
      </c>
      <c r="B2064" s="64">
        <f>IFERROR(__xludf.DUMMYFUNCTION("""COMPUTED_VALUE"""),44646.0)</f>
        <v>44646</v>
      </c>
      <c r="C2064" s="5"/>
      <c r="D2064" s="5"/>
      <c r="E2064" s="5"/>
      <c r="F2064" s="22">
        <f>IFERROR(__xludf.DUMMYFUNCTION("""COMPUTED_VALUE"""),500000.0)</f>
        <v>500000</v>
      </c>
      <c r="G2064" s="22">
        <f>IFERROR(__xludf.DUMMYFUNCTION("""COMPUTED_VALUE"""),0.0)</f>
        <v>0</v>
      </c>
      <c r="H2064" s="22">
        <f>IFERROR(__xludf.DUMMYFUNCTION("""COMPUTED_VALUE"""),500000.0)</f>
        <v>500000</v>
      </c>
      <c r="I2064" s="24">
        <f>IFERROR(__xludf.DUMMYFUNCTION("""COMPUTED_VALUE"""),0.0)</f>
        <v>0</v>
      </c>
    </row>
    <row r="2065">
      <c r="A2065" s="5" t="str">
        <f>IFERROR(__xludf.DUMMYFUNCTION("""COMPUTED_VALUE"""),"38302")</f>
        <v>38302</v>
      </c>
      <c r="B2065" s="64">
        <f>IFERROR(__xludf.DUMMYFUNCTION("""COMPUTED_VALUE"""),44647.0)</f>
        <v>44647</v>
      </c>
      <c r="C2065" s="5"/>
      <c r="D2065" s="5"/>
      <c r="E2065" s="5"/>
      <c r="F2065" s="22">
        <f>IFERROR(__xludf.DUMMYFUNCTION("""COMPUTED_VALUE"""),500000.0)</f>
        <v>500000</v>
      </c>
      <c r="G2065" s="22">
        <f>IFERROR(__xludf.DUMMYFUNCTION("""COMPUTED_VALUE"""),0.0)</f>
        <v>0</v>
      </c>
      <c r="H2065" s="22">
        <f>IFERROR(__xludf.DUMMYFUNCTION("""COMPUTED_VALUE"""),500000.0)</f>
        <v>500000</v>
      </c>
      <c r="I2065" s="24">
        <f>IFERROR(__xludf.DUMMYFUNCTION("""COMPUTED_VALUE"""),0.0)</f>
        <v>0</v>
      </c>
    </row>
    <row r="2066">
      <c r="A2066" s="5" t="str">
        <f>IFERROR(__xludf.DUMMYFUNCTION("""COMPUTED_VALUE"""),"38302")</f>
        <v>38302</v>
      </c>
      <c r="B2066" s="64">
        <f>IFERROR(__xludf.DUMMYFUNCTION("""COMPUTED_VALUE"""),44648.0)</f>
        <v>44648</v>
      </c>
      <c r="C2066" s="5"/>
      <c r="D2066" s="5"/>
      <c r="E2066" s="5"/>
      <c r="F2066" s="22">
        <f>IFERROR(__xludf.DUMMYFUNCTION("""COMPUTED_VALUE"""),500000.0)</f>
        <v>500000</v>
      </c>
      <c r="G2066" s="22">
        <f>IFERROR(__xludf.DUMMYFUNCTION("""COMPUTED_VALUE"""),0.0)</f>
        <v>0</v>
      </c>
      <c r="H2066" s="22">
        <f>IFERROR(__xludf.DUMMYFUNCTION("""COMPUTED_VALUE"""),500000.0)</f>
        <v>500000</v>
      </c>
      <c r="I2066" s="24">
        <f>IFERROR(__xludf.DUMMYFUNCTION("""COMPUTED_VALUE"""),0.0)</f>
        <v>0</v>
      </c>
    </row>
    <row r="2067">
      <c r="A2067" s="5" t="str">
        <f>IFERROR(__xludf.DUMMYFUNCTION("""COMPUTED_VALUE"""),"38302")</f>
        <v>38302</v>
      </c>
      <c r="B2067" s="64">
        <f>IFERROR(__xludf.DUMMYFUNCTION("""COMPUTED_VALUE"""),44649.0)</f>
        <v>44649</v>
      </c>
      <c r="C2067" s="5"/>
      <c r="D2067" s="5"/>
      <c r="E2067" s="5"/>
      <c r="F2067" s="22">
        <f>IFERROR(__xludf.DUMMYFUNCTION("""COMPUTED_VALUE"""),500000.0)</f>
        <v>500000</v>
      </c>
      <c r="G2067" s="22">
        <f>IFERROR(__xludf.DUMMYFUNCTION("""COMPUTED_VALUE"""),0.0)</f>
        <v>0</v>
      </c>
      <c r="H2067" s="22">
        <f>IFERROR(__xludf.DUMMYFUNCTION("""COMPUTED_VALUE"""),500000.0)</f>
        <v>500000</v>
      </c>
      <c r="I2067" s="24">
        <f>IFERROR(__xludf.DUMMYFUNCTION("""COMPUTED_VALUE"""),0.0)</f>
        <v>0</v>
      </c>
    </row>
    <row r="2068">
      <c r="A2068" s="5" t="str">
        <f>IFERROR(__xludf.DUMMYFUNCTION("""COMPUTED_VALUE"""),"38302")</f>
        <v>38302</v>
      </c>
      <c r="B2068" s="64">
        <f>IFERROR(__xludf.DUMMYFUNCTION("""COMPUTED_VALUE"""),44650.0)</f>
        <v>44650</v>
      </c>
      <c r="C2068" s="5"/>
      <c r="D2068" s="5"/>
      <c r="E2068" s="5"/>
      <c r="F2068" s="22">
        <f>IFERROR(__xludf.DUMMYFUNCTION("""COMPUTED_VALUE"""),500000.0)</f>
        <v>500000</v>
      </c>
      <c r="G2068" s="22">
        <f>IFERROR(__xludf.DUMMYFUNCTION("""COMPUTED_VALUE"""),0.0)</f>
        <v>0</v>
      </c>
      <c r="H2068" s="22">
        <f>IFERROR(__xludf.DUMMYFUNCTION("""COMPUTED_VALUE"""),500000.0)</f>
        <v>500000</v>
      </c>
      <c r="I2068" s="24">
        <f>IFERROR(__xludf.DUMMYFUNCTION("""COMPUTED_VALUE"""),0.0)</f>
        <v>0</v>
      </c>
    </row>
    <row r="2069">
      <c r="A2069" s="5" t="str">
        <f>IFERROR(__xludf.DUMMYFUNCTION("""COMPUTED_VALUE"""),"38302")</f>
        <v>38302</v>
      </c>
      <c r="B2069" s="64">
        <f>IFERROR(__xludf.DUMMYFUNCTION("""COMPUTED_VALUE"""),44651.0)</f>
        <v>44651</v>
      </c>
      <c r="C2069" s="5"/>
      <c r="D2069" s="5"/>
      <c r="E2069" s="5"/>
      <c r="F2069" s="22">
        <f>IFERROR(__xludf.DUMMYFUNCTION("""COMPUTED_VALUE"""),500000.0)</f>
        <v>500000</v>
      </c>
      <c r="G2069" s="22">
        <f>IFERROR(__xludf.DUMMYFUNCTION("""COMPUTED_VALUE"""),0.0)</f>
        <v>0</v>
      </c>
      <c r="H2069" s="22">
        <f>IFERROR(__xludf.DUMMYFUNCTION("""COMPUTED_VALUE"""),500000.0)</f>
        <v>500000</v>
      </c>
      <c r="I2069" s="24">
        <f>IFERROR(__xludf.DUMMYFUNCTION("""COMPUTED_VALUE"""),0.0)</f>
        <v>0</v>
      </c>
    </row>
    <row r="2070">
      <c r="A2070" s="5" t="str">
        <f>IFERROR(__xludf.DUMMYFUNCTION("""COMPUTED_VALUE"""),"38302")</f>
        <v>38302</v>
      </c>
      <c r="B2070" s="64">
        <f>IFERROR(__xludf.DUMMYFUNCTION("""COMPUTED_VALUE"""),44652.0)</f>
        <v>44652</v>
      </c>
      <c r="C2070" s="5"/>
      <c r="D2070" s="5"/>
      <c r="E2070" s="5"/>
      <c r="F2070" s="22">
        <f>IFERROR(__xludf.DUMMYFUNCTION("""COMPUTED_VALUE"""),500000.0)</f>
        <v>500000</v>
      </c>
      <c r="G2070" s="22">
        <f>IFERROR(__xludf.DUMMYFUNCTION("""COMPUTED_VALUE"""),0.0)</f>
        <v>0</v>
      </c>
      <c r="H2070" s="22">
        <f>IFERROR(__xludf.DUMMYFUNCTION("""COMPUTED_VALUE"""),500000.0)</f>
        <v>500000</v>
      </c>
      <c r="I2070" s="24">
        <f>IFERROR(__xludf.DUMMYFUNCTION("""COMPUTED_VALUE"""),0.0)</f>
        <v>0</v>
      </c>
    </row>
    <row r="2071">
      <c r="A2071" s="5" t="str">
        <f>IFERROR(__xludf.DUMMYFUNCTION("""COMPUTED_VALUE"""),"38302")</f>
        <v>38302</v>
      </c>
      <c r="B2071" s="64">
        <f>IFERROR(__xludf.DUMMYFUNCTION("""COMPUTED_VALUE"""),44653.0)</f>
        <v>44653</v>
      </c>
      <c r="C2071" s="5"/>
      <c r="D2071" s="5"/>
      <c r="E2071" s="5"/>
      <c r="F2071" s="22">
        <f>IFERROR(__xludf.DUMMYFUNCTION("""COMPUTED_VALUE"""),500000.0)</f>
        <v>500000</v>
      </c>
      <c r="G2071" s="22">
        <f>IFERROR(__xludf.DUMMYFUNCTION("""COMPUTED_VALUE"""),0.0)</f>
        <v>0</v>
      </c>
      <c r="H2071" s="22">
        <f>IFERROR(__xludf.DUMMYFUNCTION("""COMPUTED_VALUE"""),500000.0)</f>
        <v>500000</v>
      </c>
      <c r="I2071" s="24">
        <f>IFERROR(__xludf.DUMMYFUNCTION("""COMPUTED_VALUE"""),0.0)</f>
        <v>0</v>
      </c>
    </row>
    <row r="2072">
      <c r="A2072" s="5" t="str">
        <f>IFERROR(__xludf.DUMMYFUNCTION("""COMPUTED_VALUE"""),"38302")</f>
        <v>38302</v>
      </c>
      <c r="B2072" s="64">
        <f>IFERROR(__xludf.DUMMYFUNCTION("""COMPUTED_VALUE"""),44654.0)</f>
        <v>44654</v>
      </c>
      <c r="C2072" s="5"/>
      <c r="D2072" s="5"/>
      <c r="E2072" s="5"/>
      <c r="F2072" s="22">
        <f>IFERROR(__xludf.DUMMYFUNCTION("""COMPUTED_VALUE"""),-136581.5625)</f>
        <v>-136581.5625</v>
      </c>
      <c r="G2072" s="22">
        <f>IFERROR(__xludf.DUMMYFUNCTION("""COMPUTED_VALUE"""),136581.5625)</f>
        <v>136581.5625</v>
      </c>
      <c r="H2072" s="22">
        <f>IFERROR(__xludf.DUMMYFUNCTION("""COMPUTED_VALUE"""),-136581.5625)</f>
        <v>-136581.5625</v>
      </c>
      <c r="I2072" s="24">
        <f>IFERROR(__xludf.DUMMYFUNCTION("""COMPUTED_VALUE"""),-1.273163125)</f>
        <v>-1.273163125</v>
      </c>
    </row>
    <row r="2073">
      <c r="A2073" s="5" t="str">
        <f>IFERROR(__xludf.DUMMYFUNCTION("""COMPUTED_VALUE"""),"38302")</f>
        <v>38302</v>
      </c>
      <c r="B2073" s="64">
        <f>IFERROR(__xludf.DUMMYFUNCTION("""COMPUTED_VALUE"""),44655.0)</f>
        <v>44655</v>
      </c>
      <c r="C2073" s="5"/>
      <c r="D2073" s="5"/>
      <c r="E2073" s="5"/>
      <c r="F2073" s="22">
        <f>IFERROR(__xludf.DUMMYFUNCTION("""COMPUTED_VALUE"""),-136581.5625)</f>
        <v>-136581.5625</v>
      </c>
      <c r="G2073" s="22">
        <f>IFERROR(__xludf.DUMMYFUNCTION("""COMPUTED_VALUE"""),136581.5625)</f>
        <v>136581.5625</v>
      </c>
      <c r="H2073" s="22">
        <f>IFERROR(__xludf.DUMMYFUNCTION("""COMPUTED_VALUE"""),500000.0)</f>
        <v>500000</v>
      </c>
      <c r="I2073" s="24">
        <f>IFERROR(__xludf.DUMMYFUNCTION("""COMPUTED_VALUE"""),0.0)</f>
        <v>0</v>
      </c>
    </row>
    <row r="2074">
      <c r="A2074" s="5" t="str">
        <f>IFERROR(__xludf.DUMMYFUNCTION("""COMPUTED_VALUE"""),"38302")</f>
        <v>38302</v>
      </c>
      <c r="B2074" s="64">
        <f>IFERROR(__xludf.DUMMYFUNCTION("""COMPUTED_VALUE"""),44656.0)</f>
        <v>44656</v>
      </c>
      <c r="C2074" s="5"/>
      <c r="D2074" s="5"/>
      <c r="E2074" s="5"/>
      <c r="F2074" s="22">
        <f>IFERROR(__xludf.DUMMYFUNCTION("""COMPUTED_VALUE"""),-136581.5625)</f>
        <v>-136581.5625</v>
      </c>
      <c r="G2074" s="22">
        <f>IFERROR(__xludf.DUMMYFUNCTION("""COMPUTED_VALUE"""),136581.5625)</f>
        <v>136581.5625</v>
      </c>
      <c r="H2074" s="22">
        <f>IFERROR(__xludf.DUMMYFUNCTION("""COMPUTED_VALUE"""),489109.55850000004)</f>
        <v>489109.5585</v>
      </c>
      <c r="I2074" s="24">
        <f>IFERROR(__xludf.DUMMYFUNCTION("""COMPUTED_VALUE"""),-0.021780882999999918)</f>
        <v>-0.021780883</v>
      </c>
    </row>
    <row r="2075">
      <c r="A2075" s="5" t="str">
        <f>IFERROR(__xludf.DUMMYFUNCTION("""COMPUTED_VALUE"""),"38302")</f>
        <v>38302</v>
      </c>
      <c r="B2075" s="64">
        <f>IFERROR(__xludf.DUMMYFUNCTION("""COMPUTED_VALUE"""),44657.0)</f>
        <v>44657</v>
      </c>
      <c r="C2075" s="5"/>
      <c r="D2075" s="5"/>
      <c r="E2075" s="5"/>
      <c r="F2075" s="22">
        <f>IFERROR(__xludf.DUMMYFUNCTION("""COMPUTED_VALUE"""),-136581.5625)</f>
        <v>-136581.5625</v>
      </c>
      <c r="G2075" s="22">
        <f>IFERROR(__xludf.DUMMYFUNCTION("""COMPUTED_VALUE"""),136581.5625)</f>
        <v>136581.5625</v>
      </c>
      <c r="H2075" s="22">
        <f>IFERROR(__xludf.DUMMYFUNCTION("""COMPUTED_VALUE"""),486602.40650000004)</f>
        <v>486602.4065</v>
      </c>
      <c r="I2075" s="24">
        <f>IFERROR(__xludf.DUMMYFUNCTION("""COMPUTED_VALUE"""),-0.026795186999999943)</f>
        <v>-0.026795187</v>
      </c>
    </row>
    <row r="2076">
      <c r="A2076" s="5" t="str">
        <f>IFERROR(__xludf.DUMMYFUNCTION("""COMPUTED_VALUE"""),"38302")</f>
        <v>38302</v>
      </c>
      <c r="B2076" s="64">
        <f>IFERROR(__xludf.DUMMYFUNCTION("""COMPUTED_VALUE"""),44658.0)</f>
        <v>44658</v>
      </c>
      <c r="C2076" s="5"/>
      <c r="D2076" s="5"/>
      <c r="E2076" s="5"/>
      <c r="F2076" s="22">
        <f>IFERROR(__xludf.DUMMYFUNCTION("""COMPUTED_VALUE"""),-136581.5625)</f>
        <v>-136581.5625</v>
      </c>
      <c r="G2076" s="22">
        <f>IFERROR(__xludf.DUMMYFUNCTION("""COMPUTED_VALUE"""),136581.5625)</f>
        <v>136581.5625</v>
      </c>
      <c r="H2076" s="22">
        <f>IFERROR(__xludf.DUMMYFUNCTION("""COMPUTED_VALUE"""),498197.9845)</f>
        <v>498197.9845</v>
      </c>
      <c r="I2076" s="24">
        <f>IFERROR(__xludf.DUMMYFUNCTION("""COMPUTED_VALUE"""),-0.003604030999999952)</f>
        <v>-0.003604031</v>
      </c>
    </row>
    <row r="2077">
      <c r="A2077" s="5" t="str">
        <f>IFERROR(__xludf.DUMMYFUNCTION("""COMPUTED_VALUE"""),"38302")</f>
        <v>38302</v>
      </c>
      <c r="B2077" s="64">
        <f>IFERROR(__xludf.DUMMYFUNCTION("""COMPUTED_VALUE"""),44659.0)</f>
        <v>44659</v>
      </c>
      <c r="C2077" s="5"/>
      <c r="D2077" s="5"/>
      <c r="E2077" s="5"/>
      <c r="F2077" s="22">
        <f>IFERROR(__xludf.DUMMYFUNCTION("""COMPUTED_VALUE"""),-136581.5625)</f>
        <v>-136581.5625</v>
      </c>
      <c r="G2077" s="22">
        <f>IFERROR(__xludf.DUMMYFUNCTION("""COMPUTED_VALUE"""),136581.5625)</f>
        <v>136581.5625</v>
      </c>
      <c r="H2077" s="22">
        <f>IFERROR(__xludf.DUMMYFUNCTION("""COMPUTED_VALUE"""),506816.3195000001)</f>
        <v>506816.3195</v>
      </c>
      <c r="I2077" s="24">
        <f>IFERROR(__xludf.DUMMYFUNCTION("""COMPUTED_VALUE"""),0.013632639000000113)</f>
        <v>0.013632639</v>
      </c>
    </row>
    <row r="2078">
      <c r="A2078" s="5" t="str">
        <f>IFERROR(__xludf.DUMMYFUNCTION("""COMPUTED_VALUE"""),"38302")</f>
        <v>38302</v>
      </c>
      <c r="B2078" s="64">
        <f>IFERROR(__xludf.DUMMYFUNCTION("""COMPUTED_VALUE"""),44660.0)</f>
        <v>44660</v>
      </c>
      <c r="C2078" s="5"/>
      <c r="D2078" s="5"/>
      <c r="E2078" s="5"/>
      <c r="F2078" s="22">
        <f>IFERROR(__xludf.DUMMYFUNCTION("""COMPUTED_VALUE"""),-136581.5625)</f>
        <v>-136581.5625</v>
      </c>
      <c r="G2078" s="22">
        <f>IFERROR(__xludf.DUMMYFUNCTION("""COMPUTED_VALUE"""),136581.5625)</f>
        <v>136581.5625</v>
      </c>
      <c r="H2078" s="22">
        <f>IFERROR(__xludf.DUMMYFUNCTION("""COMPUTED_VALUE"""),506816.3195000001)</f>
        <v>506816.3195</v>
      </c>
      <c r="I2078" s="24">
        <f>IFERROR(__xludf.DUMMYFUNCTION("""COMPUTED_VALUE"""),0.013632639000000113)</f>
        <v>0.013632639</v>
      </c>
    </row>
    <row r="2079">
      <c r="A2079" s="5" t="str">
        <f>IFERROR(__xludf.DUMMYFUNCTION("""COMPUTED_VALUE"""),"38302")</f>
        <v>38302</v>
      </c>
      <c r="B2079" s="64">
        <f>IFERROR(__xludf.DUMMYFUNCTION("""COMPUTED_VALUE"""),44661.0)</f>
        <v>44661</v>
      </c>
      <c r="C2079" s="5"/>
      <c r="D2079" s="5"/>
      <c r="E2079" s="5"/>
      <c r="F2079" s="22">
        <f>IFERROR(__xludf.DUMMYFUNCTION("""COMPUTED_VALUE"""),-136581.5625)</f>
        <v>-136581.5625</v>
      </c>
      <c r="G2079" s="22">
        <f>IFERROR(__xludf.DUMMYFUNCTION("""COMPUTED_VALUE"""),136581.5625)</f>
        <v>136581.5625</v>
      </c>
      <c r="H2079" s="22">
        <f>IFERROR(__xludf.DUMMYFUNCTION("""COMPUTED_VALUE"""),506816.3195000001)</f>
        <v>506816.3195</v>
      </c>
      <c r="I2079" s="24">
        <f>IFERROR(__xludf.DUMMYFUNCTION("""COMPUTED_VALUE"""),0.013632639000000113)</f>
        <v>0.013632639</v>
      </c>
    </row>
    <row r="2080">
      <c r="A2080" s="5" t="str">
        <f>IFERROR(__xludf.DUMMYFUNCTION("""COMPUTED_VALUE"""),"38302")</f>
        <v>38302</v>
      </c>
      <c r="B2080" s="64">
        <f>IFERROR(__xludf.DUMMYFUNCTION("""COMPUTED_VALUE"""),44662.0)</f>
        <v>44662</v>
      </c>
      <c r="C2080" s="5"/>
      <c r="D2080" s="5"/>
      <c r="E2080" s="5"/>
      <c r="F2080" s="22">
        <f>IFERROR(__xludf.DUMMYFUNCTION("""COMPUTED_VALUE"""),-136581.5625)</f>
        <v>-136581.5625</v>
      </c>
      <c r="G2080" s="22">
        <f>IFERROR(__xludf.DUMMYFUNCTION("""COMPUTED_VALUE"""),136581.5625)</f>
        <v>136581.5625</v>
      </c>
      <c r="H2080" s="22">
        <f>IFERROR(__xludf.DUMMYFUNCTION("""COMPUTED_VALUE"""),500705.1365)</f>
        <v>500705.1365</v>
      </c>
      <c r="I2080" s="24">
        <f>IFERROR(__xludf.DUMMYFUNCTION("""COMPUTED_VALUE"""),0.001410273000000073)</f>
        <v>0.001410273</v>
      </c>
    </row>
    <row r="2081">
      <c r="A2081" s="5" t="str">
        <f>IFERROR(__xludf.DUMMYFUNCTION("""COMPUTED_VALUE"""),"38302")</f>
        <v>38302</v>
      </c>
      <c r="B2081" s="64">
        <f>IFERROR(__xludf.DUMMYFUNCTION("""COMPUTED_VALUE"""),44663.0)</f>
        <v>44663</v>
      </c>
      <c r="C2081" s="5"/>
      <c r="D2081" s="5"/>
      <c r="E2081" s="5"/>
      <c r="F2081" s="22">
        <f>IFERROR(__xludf.DUMMYFUNCTION("""COMPUTED_VALUE"""),-136581.5625)</f>
        <v>-136581.5625</v>
      </c>
      <c r="G2081" s="22">
        <f>IFERROR(__xludf.DUMMYFUNCTION("""COMPUTED_VALUE"""),136581.5625)</f>
        <v>136581.5625</v>
      </c>
      <c r="H2081" s="22">
        <f>IFERROR(__xludf.DUMMYFUNCTION("""COMPUTED_VALUE"""),509793.5625)</f>
        <v>509793.5625</v>
      </c>
      <c r="I2081" s="24">
        <f>IFERROR(__xludf.DUMMYFUNCTION("""COMPUTED_VALUE"""),0.019587124999999928)</f>
        <v>0.019587125</v>
      </c>
    </row>
    <row r="2082">
      <c r="A2082" s="5" t="str">
        <f>IFERROR(__xludf.DUMMYFUNCTION("""COMPUTED_VALUE"""),"38307")</f>
        <v>38307</v>
      </c>
      <c r="B2082" s="64">
        <f>IFERROR(__xludf.DUMMYFUNCTION("""COMPUTED_VALUE"""),44597.0)</f>
        <v>44597</v>
      </c>
      <c r="C2082" s="5"/>
      <c r="D2082" s="5"/>
      <c r="E2082" s="5"/>
      <c r="F2082" s="22">
        <f>IFERROR(__xludf.DUMMYFUNCTION("""COMPUTED_VALUE"""),500000.0)</f>
        <v>500000</v>
      </c>
      <c r="G2082" s="22">
        <f>IFERROR(__xludf.DUMMYFUNCTION("""COMPUTED_VALUE"""),0.0)</f>
        <v>0</v>
      </c>
      <c r="H2082" s="22">
        <f>IFERROR(__xludf.DUMMYFUNCTION("""COMPUTED_VALUE"""),500000.0)</f>
        <v>500000</v>
      </c>
      <c r="I2082" s="24">
        <f>IFERROR(__xludf.DUMMYFUNCTION("""COMPUTED_VALUE"""),0.0)</f>
        <v>0</v>
      </c>
    </row>
    <row r="2083">
      <c r="A2083" s="5" t="str">
        <f>IFERROR(__xludf.DUMMYFUNCTION("""COMPUTED_VALUE"""),"38307")</f>
        <v>38307</v>
      </c>
      <c r="B2083" s="64">
        <f>IFERROR(__xludf.DUMMYFUNCTION("""COMPUTED_VALUE"""),44598.0)</f>
        <v>44598</v>
      </c>
      <c r="C2083" s="5"/>
      <c r="D2083" s="5"/>
      <c r="E2083" s="5"/>
      <c r="F2083" s="22">
        <f>IFERROR(__xludf.DUMMYFUNCTION("""COMPUTED_VALUE"""),500000.0)</f>
        <v>500000</v>
      </c>
      <c r="G2083" s="22">
        <f>IFERROR(__xludf.DUMMYFUNCTION("""COMPUTED_VALUE"""),0.0)</f>
        <v>0</v>
      </c>
      <c r="H2083" s="22">
        <f>IFERROR(__xludf.DUMMYFUNCTION("""COMPUTED_VALUE"""),500000.0)</f>
        <v>500000</v>
      </c>
      <c r="I2083" s="24">
        <f>IFERROR(__xludf.DUMMYFUNCTION("""COMPUTED_VALUE"""),0.0)</f>
        <v>0</v>
      </c>
    </row>
    <row r="2084">
      <c r="A2084" s="5" t="str">
        <f>IFERROR(__xludf.DUMMYFUNCTION("""COMPUTED_VALUE"""),"38307")</f>
        <v>38307</v>
      </c>
      <c r="B2084" s="64">
        <f>IFERROR(__xludf.DUMMYFUNCTION("""COMPUTED_VALUE"""),44599.0)</f>
        <v>44599</v>
      </c>
      <c r="C2084" s="5"/>
      <c r="D2084" s="5"/>
      <c r="E2084" s="5"/>
      <c r="F2084" s="22">
        <f>IFERROR(__xludf.DUMMYFUNCTION("""COMPUTED_VALUE"""),500000.0)</f>
        <v>500000</v>
      </c>
      <c r="G2084" s="22">
        <f>IFERROR(__xludf.DUMMYFUNCTION("""COMPUTED_VALUE"""),0.0)</f>
        <v>0</v>
      </c>
      <c r="H2084" s="22">
        <f>IFERROR(__xludf.DUMMYFUNCTION("""COMPUTED_VALUE"""),500000.0)</f>
        <v>500000</v>
      </c>
      <c r="I2084" s="24">
        <f>IFERROR(__xludf.DUMMYFUNCTION("""COMPUTED_VALUE"""),0.0)</f>
        <v>0</v>
      </c>
    </row>
    <row r="2085">
      <c r="A2085" s="5" t="str">
        <f>IFERROR(__xludf.DUMMYFUNCTION("""COMPUTED_VALUE"""),"38307")</f>
        <v>38307</v>
      </c>
      <c r="B2085" s="64">
        <f>IFERROR(__xludf.DUMMYFUNCTION("""COMPUTED_VALUE"""),44600.0)</f>
        <v>44600</v>
      </c>
      <c r="C2085" s="5"/>
      <c r="D2085" s="5"/>
      <c r="E2085" s="5"/>
      <c r="F2085" s="22">
        <f>IFERROR(__xludf.DUMMYFUNCTION("""COMPUTED_VALUE"""),500000.0)</f>
        <v>500000</v>
      </c>
      <c r="G2085" s="22">
        <f>IFERROR(__xludf.DUMMYFUNCTION("""COMPUTED_VALUE"""),0.0)</f>
        <v>0</v>
      </c>
      <c r="H2085" s="22">
        <f>IFERROR(__xludf.DUMMYFUNCTION("""COMPUTED_VALUE"""),500000.0)</f>
        <v>500000</v>
      </c>
      <c r="I2085" s="24">
        <f>IFERROR(__xludf.DUMMYFUNCTION("""COMPUTED_VALUE"""),0.0)</f>
        <v>0</v>
      </c>
    </row>
    <row r="2086">
      <c r="A2086" s="5" t="str">
        <f>IFERROR(__xludf.DUMMYFUNCTION("""COMPUTED_VALUE"""),"38307")</f>
        <v>38307</v>
      </c>
      <c r="B2086" s="64">
        <f>IFERROR(__xludf.DUMMYFUNCTION("""COMPUTED_VALUE"""),44601.0)</f>
        <v>44601</v>
      </c>
      <c r="C2086" s="5"/>
      <c r="D2086" s="5"/>
      <c r="E2086" s="5"/>
      <c r="F2086" s="22">
        <f>IFERROR(__xludf.DUMMYFUNCTION("""COMPUTED_VALUE"""),500000.0)</f>
        <v>500000</v>
      </c>
      <c r="G2086" s="22">
        <f>IFERROR(__xludf.DUMMYFUNCTION("""COMPUTED_VALUE"""),0.0)</f>
        <v>0</v>
      </c>
      <c r="H2086" s="22">
        <f>IFERROR(__xludf.DUMMYFUNCTION("""COMPUTED_VALUE"""),500000.0)</f>
        <v>500000</v>
      </c>
      <c r="I2086" s="24">
        <f>IFERROR(__xludf.DUMMYFUNCTION("""COMPUTED_VALUE"""),0.0)</f>
        <v>0</v>
      </c>
    </row>
    <row r="2087">
      <c r="A2087" s="5" t="str">
        <f>IFERROR(__xludf.DUMMYFUNCTION("""COMPUTED_VALUE"""),"38307")</f>
        <v>38307</v>
      </c>
      <c r="B2087" s="64">
        <f>IFERROR(__xludf.DUMMYFUNCTION("""COMPUTED_VALUE"""),44602.0)</f>
        <v>44602</v>
      </c>
      <c r="C2087" s="5"/>
      <c r="D2087" s="5"/>
      <c r="E2087" s="5"/>
      <c r="F2087" s="22">
        <f>IFERROR(__xludf.DUMMYFUNCTION("""COMPUTED_VALUE"""),500000.0)</f>
        <v>500000</v>
      </c>
      <c r="G2087" s="22">
        <f>IFERROR(__xludf.DUMMYFUNCTION("""COMPUTED_VALUE"""),0.0)</f>
        <v>0</v>
      </c>
      <c r="H2087" s="22">
        <f>IFERROR(__xludf.DUMMYFUNCTION("""COMPUTED_VALUE"""),500000.0)</f>
        <v>500000</v>
      </c>
      <c r="I2087" s="24">
        <f>IFERROR(__xludf.DUMMYFUNCTION("""COMPUTED_VALUE"""),0.0)</f>
        <v>0</v>
      </c>
    </row>
    <row r="2088">
      <c r="A2088" s="5" t="str">
        <f>IFERROR(__xludf.DUMMYFUNCTION("""COMPUTED_VALUE"""),"38307")</f>
        <v>38307</v>
      </c>
      <c r="B2088" s="64">
        <f>IFERROR(__xludf.DUMMYFUNCTION("""COMPUTED_VALUE"""),44603.0)</f>
        <v>44603</v>
      </c>
      <c r="C2088" s="5"/>
      <c r="D2088" s="5"/>
      <c r="E2088" s="5"/>
      <c r="F2088" s="22">
        <f>IFERROR(__xludf.DUMMYFUNCTION("""COMPUTED_VALUE"""),500000.0)</f>
        <v>500000</v>
      </c>
      <c r="G2088" s="22">
        <f>IFERROR(__xludf.DUMMYFUNCTION("""COMPUTED_VALUE"""),0.0)</f>
        <v>0</v>
      </c>
      <c r="H2088" s="22">
        <f>IFERROR(__xludf.DUMMYFUNCTION("""COMPUTED_VALUE"""),500000.0)</f>
        <v>500000</v>
      </c>
      <c r="I2088" s="24">
        <f>IFERROR(__xludf.DUMMYFUNCTION("""COMPUTED_VALUE"""),0.0)</f>
        <v>0</v>
      </c>
    </row>
    <row r="2089">
      <c r="A2089" s="5" t="str">
        <f>IFERROR(__xludf.DUMMYFUNCTION("""COMPUTED_VALUE"""),"38307")</f>
        <v>38307</v>
      </c>
      <c r="B2089" s="64">
        <f>IFERROR(__xludf.DUMMYFUNCTION("""COMPUTED_VALUE"""),44604.0)</f>
        <v>44604</v>
      </c>
      <c r="C2089" s="5"/>
      <c r="D2089" s="5"/>
      <c r="E2089" s="5"/>
      <c r="F2089" s="22">
        <f>IFERROR(__xludf.DUMMYFUNCTION("""COMPUTED_VALUE"""),500000.0)</f>
        <v>500000</v>
      </c>
      <c r="G2089" s="22">
        <f>IFERROR(__xludf.DUMMYFUNCTION("""COMPUTED_VALUE"""),0.0)</f>
        <v>0</v>
      </c>
      <c r="H2089" s="22">
        <f>IFERROR(__xludf.DUMMYFUNCTION("""COMPUTED_VALUE"""),500000.0)</f>
        <v>500000</v>
      </c>
      <c r="I2089" s="24">
        <f>IFERROR(__xludf.DUMMYFUNCTION("""COMPUTED_VALUE"""),0.0)</f>
        <v>0</v>
      </c>
    </row>
    <row r="2090">
      <c r="A2090" s="5" t="str">
        <f>IFERROR(__xludf.DUMMYFUNCTION("""COMPUTED_VALUE"""),"38307")</f>
        <v>38307</v>
      </c>
      <c r="B2090" s="64">
        <f>IFERROR(__xludf.DUMMYFUNCTION("""COMPUTED_VALUE"""),44605.0)</f>
        <v>44605</v>
      </c>
      <c r="C2090" s="5"/>
      <c r="D2090" s="5"/>
      <c r="E2090" s="5"/>
      <c r="F2090" s="22">
        <f>IFERROR(__xludf.DUMMYFUNCTION("""COMPUTED_VALUE"""),500000.0)</f>
        <v>500000</v>
      </c>
      <c r="G2090" s="22">
        <f>IFERROR(__xludf.DUMMYFUNCTION("""COMPUTED_VALUE"""),0.0)</f>
        <v>0</v>
      </c>
      <c r="H2090" s="22">
        <f>IFERROR(__xludf.DUMMYFUNCTION("""COMPUTED_VALUE"""),500000.0)</f>
        <v>500000</v>
      </c>
      <c r="I2090" s="24">
        <f>IFERROR(__xludf.DUMMYFUNCTION("""COMPUTED_VALUE"""),0.0)</f>
        <v>0</v>
      </c>
    </row>
    <row r="2091">
      <c r="A2091" s="5" t="str">
        <f>IFERROR(__xludf.DUMMYFUNCTION("""COMPUTED_VALUE"""),"38307")</f>
        <v>38307</v>
      </c>
      <c r="B2091" s="64">
        <f>IFERROR(__xludf.DUMMYFUNCTION("""COMPUTED_VALUE"""),44606.0)</f>
        <v>44606</v>
      </c>
      <c r="C2091" s="5"/>
      <c r="D2091" s="5"/>
      <c r="E2091" s="5"/>
      <c r="F2091" s="22">
        <f>IFERROR(__xludf.DUMMYFUNCTION("""COMPUTED_VALUE"""),500000.0)</f>
        <v>500000</v>
      </c>
      <c r="G2091" s="22">
        <f>IFERROR(__xludf.DUMMYFUNCTION("""COMPUTED_VALUE"""),0.0)</f>
        <v>0</v>
      </c>
      <c r="H2091" s="22">
        <f>IFERROR(__xludf.DUMMYFUNCTION("""COMPUTED_VALUE"""),500000.0)</f>
        <v>500000</v>
      </c>
      <c r="I2091" s="24">
        <f>IFERROR(__xludf.DUMMYFUNCTION("""COMPUTED_VALUE"""),0.0)</f>
        <v>0</v>
      </c>
    </row>
    <row r="2092">
      <c r="A2092" s="5" t="str">
        <f>IFERROR(__xludf.DUMMYFUNCTION("""COMPUTED_VALUE"""),"38307")</f>
        <v>38307</v>
      </c>
      <c r="B2092" s="64">
        <f>IFERROR(__xludf.DUMMYFUNCTION("""COMPUTED_VALUE"""),44607.0)</f>
        <v>44607</v>
      </c>
      <c r="C2092" s="5"/>
      <c r="D2092" s="5"/>
      <c r="E2092" s="5"/>
      <c r="F2092" s="22">
        <f>IFERROR(__xludf.DUMMYFUNCTION("""COMPUTED_VALUE"""),500000.0)</f>
        <v>500000</v>
      </c>
      <c r="G2092" s="22">
        <f>IFERROR(__xludf.DUMMYFUNCTION("""COMPUTED_VALUE"""),0.0)</f>
        <v>0</v>
      </c>
      <c r="H2092" s="22">
        <f>IFERROR(__xludf.DUMMYFUNCTION("""COMPUTED_VALUE"""),500000.0)</f>
        <v>500000</v>
      </c>
      <c r="I2092" s="24">
        <f>IFERROR(__xludf.DUMMYFUNCTION("""COMPUTED_VALUE"""),0.0)</f>
        <v>0</v>
      </c>
    </row>
    <row r="2093">
      <c r="A2093" s="5" t="str">
        <f>IFERROR(__xludf.DUMMYFUNCTION("""COMPUTED_VALUE"""),"38307")</f>
        <v>38307</v>
      </c>
      <c r="B2093" s="64">
        <f>IFERROR(__xludf.DUMMYFUNCTION("""COMPUTED_VALUE"""),44608.0)</f>
        <v>44608</v>
      </c>
      <c r="C2093" s="5"/>
      <c r="D2093" s="5"/>
      <c r="E2093" s="5"/>
      <c r="F2093" s="22">
        <f>IFERROR(__xludf.DUMMYFUNCTION("""COMPUTED_VALUE"""),500000.0)</f>
        <v>500000</v>
      </c>
      <c r="G2093" s="22">
        <f>IFERROR(__xludf.DUMMYFUNCTION("""COMPUTED_VALUE"""),0.0)</f>
        <v>0</v>
      </c>
      <c r="H2093" s="22">
        <f>IFERROR(__xludf.DUMMYFUNCTION("""COMPUTED_VALUE"""),500000.0)</f>
        <v>500000</v>
      </c>
      <c r="I2093" s="24">
        <f>IFERROR(__xludf.DUMMYFUNCTION("""COMPUTED_VALUE"""),0.0)</f>
        <v>0</v>
      </c>
    </row>
    <row r="2094">
      <c r="A2094" s="5" t="str">
        <f>IFERROR(__xludf.DUMMYFUNCTION("""COMPUTED_VALUE"""),"38307")</f>
        <v>38307</v>
      </c>
      <c r="B2094" s="64">
        <f>IFERROR(__xludf.DUMMYFUNCTION("""COMPUTED_VALUE"""),44609.0)</f>
        <v>44609</v>
      </c>
      <c r="C2094" s="5"/>
      <c r="D2094" s="5"/>
      <c r="E2094" s="5"/>
      <c r="F2094" s="22">
        <f>IFERROR(__xludf.DUMMYFUNCTION("""COMPUTED_VALUE"""),500000.0)</f>
        <v>500000</v>
      </c>
      <c r="G2094" s="22">
        <f>IFERROR(__xludf.DUMMYFUNCTION("""COMPUTED_VALUE"""),0.0)</f>
        <v>0</v>
      </c>
      <c r="H2094" s="22">
        <f>IFERROR(__xludf.DUMMYFUNCTION("""COMPUTED_VALUE"""),500000.0)</f>
        <v>500000</v>
      </c>
      <c r="I2094" s="24">
        <f>IFERROR(__xludf.DUMMYFUNCTION("""COMPUTED_VALUE"""),0.0)</f>
        <v>0</v>
      </c>
    </row>
    <row r="2095">
      <c r="A2095" s="5" t="str">
        <f>IFERROR(__xludf.DUMMYFUNCTION("""COMPUTED_VALUE"""),"38307")</f>
        <v>38307</v>
      </c>
      <c r="B2095" s="64">
        <f>IFERROR(__xludf.DUMMYFUNCTION("""COMPUTED_VALUE"""),44610.0)</f>
        <v>44610</v>
      </c>
      <c r="C2095" s="5"/>
      <c r="D2095" s="5"/>
      <c r="E2095" s="5"/>
      <c r="F2095" s="22">
        <f>IFERROR(__xludf.DUMMYFUNCTION("""COMPUTED_VALUE"""),500000.0)</f>
        <v>500000</v>
      </c>
      <c r="G2095" s="22">
        <f>IFERROR(__xludf.DUMMYFUNCTION("""COMPUTED_VALUE"""),0.0)</f>
        <v>0</v>
      </c>
      <c r="H2095" s="22">
        <f>IFERROR(__xludf.DUMMYFUNCTION("""COMPUTED_VALUE"""),500000.0)</f>
        <v>500000</v>
      </c>
      <c r="I2095" s="24">
        <f>IFERROR(__xludf.DUMMYFUNCTION("""COMPUTED_VALUE"""),0.0)</f>
        <v>0</v>
      </c>
    </row>
    <row r="2096">
      <c r="A2096" s="5" t="str">
        <f>IFERROR(__xludf.DUMMYFUNCTION("""COMPUTED_VALUE"""),"38307")</f>
        <v>38307</v>
      </c>
      <c r="B2096" s="64">
        <f>IFERROR(__xludf.DUMMYFUNCTION("""COMPUTED_VALUE"""),44611.0)</f>
        <v>44611</v>
      </c>
      <c r="C2096" s="5"/>
      <c r="D2096" s="5"/>
      <c r="E2096" s="5"/>
      <c r="F2096" s="22">
        <f>IFERROR(__xludf.DUMMYFUNCTION("""COMPUTED_VALUE"""),500000.0)</f>
        <v>500000</v>
      </c>
      <c r="G2096" s="22">
        <f>IFERROR(__xludf.DUMMYFUNCTION("""COMPUTED_VALUE"""),0.0)</f>
        <v>0</v>
      </c>
      <c r="H2096" s="22">
        <f>IFERROR(__xludf.DUMMYFUNCTION("""COMPUTED_VALUE"""),500000.0)</f>
        <v>500000</v>
      </c>
      <c r="I2096" s="24">
        <f>IFERROR(__xludf.DUMMYFUNCTION("""COMPUTED_VALUE"""),0.0)</f>
        <v>0</v>
      </c>
    </row>
    <row r="2097">
      <c r="A2097" s="5" t="str">
        <f>IFERROR(__xludf.DUMMYFUNCTION("""COMPUTED_VALUE"""),"38307")</f>
        <v>38307</v>
      </c>
      <c r="B2097" s="64">
        <f>IFERROR(__xludf.DUMMYFUNCTION("""COMPUTED_VALUE"""),44612.0)</f>
        <v>44612</v>
      </c>
      <c r="C2097" s="5"/>
      <c r="D2097" s="5"/>
      <c r="E2097" s="5"/>
      <c r="F2097" s="22">
        <f>IFERROR(__xludf.DUMMYFUNCTION("""COMPUTED_VALUE"""),500000.0)</f>
        <v>500000</v>
      </c>
      <c r="G2097" s="22">
        <f>IFERROR(__xludf.DUMMYFUNCTION("""COMPUTED_VALUE"""),0.0)</f>
        <v>0</v>
      </c>
      <c r="H2097" s="22">
        <f>IFERROR(__xludf.DUMMYFUNCTION("""COMPUTED_VALUE"""),500000.0)</f>
        <v>500000</v>
      </c>
      <c r="I2097" s="24">
        <f>IFERROR(__xludf.DUMMYFUNCTION("""COMPUTED_VALUE"""),0.0)</f>
        <v>0</v>
      </c>
    </row>
    <row r="2098">
      <c r="A2098" s="5" t="str">
        <f>IFERROR(__xludf.DUMMYFUNCTION("""COMPUTED_VALUE"""),"38307")</f>
        <v>38307</v>
      </c>
      <c r="B2098" s="64">
        <f>IFERROR(__xludf.DUMMYFUNCTION("""COMPUTED_VALUE"""),44613.0)</f>
        <v>44613</v>
      </c>
      <c r="C2098" s="5"/>
      <c r="D2098" s="5"/>
      <c r="E2098" s="5"/>
      <c r="F2098" s="22">
        <f>IFERROR(__xludf.DUMMYFUNCTION("""COMPUTED_VALUE"""),500000.0)</f>
        <v>500000</v>
      </c>
      <c r="G2098" s="22">
        <f>IFERROR(__xludf.DUMMYFUNCTION("""COMPUTED_VALUE"""),0.0)</f>
        <v>0</v>
      </c>
      <c r="H2098" s="22">
        <f>IFERROR(__xludf.DUMMYFUNCTION("""COMPUTED_VALUE"""),500000.0)</f>
        <v>500000</v>
      </c>
      <c r="I2098" s="24">
        <f>IFERROR(__xludf.DUMMYFUNCTION("""COMPUTED_VALUE"""),0.0)</f>
        <v>0</v>
      </c>
    </row>
    <row r="2099">
      <c r="A2099" s="5" t="str">
        <f>IFERROR(__xludf.DUMMYFUNCTION("""COMPUTED_VALUE"""),"38307")</f>
        <v>38307</v>
      </c>
      <c r="B2099" s="64">
        <f>IFERROR(__xludf.DUMMYFUNCTION("""COMPUTED_VALUE"""),44614.0)</f>
        <v>44614</v>
      </c>
      <c r="C2099" s="5"/>
      <c r="D2099" s="5"/>
      <c r="E2099" s="5"/>
      <c r="F2099" s="22">
        <f>IFERROR(__xludf.DUMMYFUNCTION("""COMPUTED_VALUE"""),500000.0)</f>
        <v>500000</v>
      </c>
      <c r="G2099" s="22">
        <f>IFERROR(__xludf.DUMMYFUNCTION("""COMPUTED_VALUE"""),0.0)</f>
        <v>0</v>
      </c>
      <c r="H2099" s="22">
        <f>IFERROR(__xludf.DUMMYFUNCTION("""COMPUTED_VALUE"""),500000.0)</f>
        <v>500000</v>
      </c>
      <c r="I2099" s="24">
        <f>IFERROR(__xludf.DUMMYFUNCTION("""COMPUTED_VALUE"""),0.0)</f>
        <v>0</v>
      </c>
    </row>
    <row r="2100">
      <c r="A2100" s="5" t="str">
        <f>IFERROR(__xludf.DUMMYFUNCTION("""COMPUTED_VALUE"""),"38307")</f>
        <v>38307</v>
      </c>
      <c r="B2100" s="64">
        <f>IFERROR(__xludf.DUMMYFUNCTION("""COMPUTED_VALUE"""),44615.0)</f>
        <v>44615</v>
      </c>
      <c r="C2100" s="5"/>
      <c r="D2100" s="5"/>
      <c r="E2100" s="5"/>
      <c r="F2100" s="22">
        <f>IFERROR(__xludf.DUMMYFUNCTION("""COMPUTED_VALUE"""),500000.0)</f>
        <v>500000</v>
      </c>
      <c r="G2100" s="22">
        <f>IFERROR(__xludf.DUMMYFUNCTION("""COMPUTED_VALUE"""),0.0)</f>
        <v>0</v>
      </c>
      <c r="H2100" s="22">
        <f>IFERROR(__xludf.DUMMYFUNCTION("""COMPUTED_VALUE"""),500000.0)</f>
        <v>500000</v>
      </c>
      <c r="I2100" s="24">
        <f>IFERROR(__xludf.DUMMYFUNCTION("""COMPUTED_VALUE"""),0.0)</f>
        <v>0</v>
      </c>
    </row>
    <row r="2101">
      <c r="A2101" s="5" t="str">
        <f>IFERROR(__xludf.DUMMYFUNCTION("""COMPUTED_VALUE"""),"38307")</f>
        <v>38307</v>
      </c>
      <c r="B2101" s="64">
        <f>IFERROR(__xludf.DUMMYFUNCTION("""COMPUTED_VALUE"""),44616.0)</f>
        <v>44616</v>
      </c>
      <c r="C2101" s="5"/>
      <c r="D2101" s="5"/>
      <c r="E2101" s="5"/>
      <c r="F2101" s="22">
        <f>IFERROR(__xludf.DUMMYFUNCTION("""COMPUTED_VALUE"""),500000.0)</f>
        <v>500000</v>
      </c>
      <c r="G2101" s="22">
        <f>IFERROR(__xludf.DUMMYFUNCTION("""COMPUTED_VALUE"""),0.0)</f>
        <v>0</v>
      </c>
      <c r="H2101" s="22">
        <f>IFERROR(__xludf.DUMMYFUNCTION("""COMPUTED_VALUE"""),500000.0)</f>
        <v>500000</v>
      </c>
      <c r="I2101" s="24">
        <f>IFERROR(__xludf.DUMMYFUNCTION("""COMPUTED_VALUE"""),0.0)</f>
        <v>0</v>
      </c>
    </row>
    <row r="2102">
      <c r="A2102" s="5" t="str">
        <f>IFERROR(__xludf.DUMMYFUNCTION("""COMPUTED_VALUE"""),"38307")</f>
        <v>38307</v>
      </c>
      <c r="B2102" s="64">
        <f>IFERROR(__xludf.DUMMYFUNCTION("""COMPUTED_VALUE"""),44617.0)</f>
        <v>44617</v>
      </c>
      <c r="C2102" s="5"/>
      <c r="D2102" s="5"/>
      <c r="E2102" s="5"/>
      <c r="F2102" s="22">
        <f>IFERROR(__xludf.DUMMYFUNCTION("""COMPUTED_VALUE"""),500000.0)</f>
        <v>500000</v>
      </c>
      <c r="G2102" s="22">
        <f>IFERROR(__xludf.DUMMYFUNCTION("""COMPUTED_VALUE"""),0.0)</f>
        <v>0</v>
      </c>
      <c r="H2102" s="22">
        <f>IFERROR(__xludf.DUMMYFUNCTION("""COMPUTED_VALUE"""),500000.0)</f>
        <v>500000</v>
      </c>
      <c r="I2102" s="24">
        <f>IFERROR(__xludf.DUMMYFUNCTION("""COMPUTED_VALUE"""),0.0)</f>
        <v>0</v>
      </c>
    </row>
    <row r="2103">
      <c r="A2103" s="5" t="str">
        <f>IFERROR(__xludf.DUMMYFUNCTION("""COMPUTED_VALUE"""),"38307")</f>
        <v>38307</v>
      </c>
      <c r="B2103" s="64">
        <f>IFERROR(__xludf.DUMMYFUNCTION("""COMPUTED_VALUE"""),44618.0)</f>
        <v>44618</v>
      </c>
      <c r="C2103" s="5"/>
      <c r="D2103" s="5"/>
      <c r="E2103" s="5"/>
      <c r="F2103" s="22">
        <f>IFERROR(__xludf.DUMMYFUNCTION("""COMPUTED_VALUE"""),500000.0)</f>
        <v>500000</v>
      </c>
      <c r="G2103" s="22">
        <f>IFERROR(__xludf.DUMMYFUNCTION("""COMPUTED_VALUE"""),0.0)</f>
        <v>0</v>
      </c>
      <c r="H2103" s="22">
        <f>IFERROR(__xludf.DUMMYFUNCTION("""COMPUTED_VALUE"""),500000.0)</f>
        <v>500000</v>
      </c>
      <c r="I2103" s="24">
        <f>IFERROR(__xludf.DUMMYFUNCTION("""COMPUTED_VALUE"""),0.0)</f>
        <v>0</v>
      </c>
    </row>
    <row r="2104">
      <c r="A2104" s="5" t="str">
        <f>IFERROR(__xludf.DUMMYFUNCTION("""COMPUTED_VALUE"""),"38307")</f>
        <v>38307</v>
      </c>
      <c r="B2104" s="64">
        <f>IFERROR(__xludf.DUMMYFUNCTION("""COMPUTED_VALUE"""),44619.0)</f>
        <v>44619</v>
      </c>
      <c r="C2104" s="5"/>
      <c r="D2104" s="5"/>
      <c r="E2104" s="5"/>
      <c r="F2104" s="22">
        <f>IFERROR(__xludf.DUMMYFUNCTION("""COMPUTED_VALUE"""),500000.0)</f>
        <v>500000</v>
      </c>
      <c r="G2104" s="22">
        <f>IFERROR(__xludf.DUMMYFUNCTION("""COMPUTED_VALUE"""),0.0)</f>
        <v>0</v>
      </c>
      <c r="H2104" s="22">
        <f>IFERROR(__xludf.DUMMYFUNCTION("""COMPUTED_VALUE"""),500000.0)</f>
        <v>500000</v>
      </c>
      <c r="I2104" s="24">
        <f>IFERROR(__xludf.DUMMYFUNCTION("""COMPUTED_VALUE"""),0.0)</f>
        <v>0</v>
      </c>
    </row>
    <row r="2105">
      <c r="A2105" s="5" t="str">
        <f>IFERROR(__xludf.DUMMYFUNCTION("""COMPUTED_VALUE"""),"38307")</f>
        <v>38307</v>
      </c>
      <c r="B2105" s="64">
        <f>IFERROR(__xludf.DUMMYFUNCTION("""COMPUTED_VALUE"""),44620.0)</f>
        <v>44620</v>
      </c>
      <c r="C2105" s="5"/>
      <c r="D2105" s="5"/>
      <c r="E2105" s="5"/>
      <c r="F2105" s="22">
        <f>IFERROR(__xludf.DUMMYFUNCTION("""COMPUTED_VALUE"""),500000.0)</f>
        <v>500000</v>
      </c>
      <c r="G2105" s="22">
        <f>IFERROR(__xludf.DUMMYFUNCTION("""COMPUTED_VALUE"""),0.0)</f>
        <v>0</v>
      </c>
      <c r="H2105" s="22">
        <f>IFERROR(__xludf.DUMMYFUNCTION("""COMPUTED_VALUE"""),500000.0)</f>
        <v>500000</v>
      </c>
      <c r="I2105" s="24">
        <f>IFERROR(__xludf.DUMMYFUNCTION("""COMPUTED_VALUE"""),0.0)</f>
        <v>0</v>
      </c>
    </row>
    <row r="2106">
      <c r="A2106" s="5" t="str">
        <f>IFERROR(__xludf.DUMMYFUNCTION("""COMPUTED_VALUE"""),"38307")</f>
        <v>38307</v>
      </c>
      <c r="B2106" s="64">
        <f>IFERROR(__xludf.DUMMYFUNCTION("""COMPUTED_VALUE"""),44621.0)</f>
        <v>44621</v>
      </c>
      <c r="C2106" s="5"/>
      <c r="D2106" s="5"/>
      <c r="E2106" s="5"/>
      <c r="F2106" s="22">
        <f>IFERROR(__xludf.DUMMYFUNCTION("""COMPUTED_VALUE"""),500000.0)</f>
        <v>500000</v>
      </c>
      <c r="G2106" s="22">
        <f>IFERROR(__xludf.DUMMYFUNCTION("""COMPUTED_VALUE"""),0.0)</f>
        <v>0</v>
      </c>
      <c r="H2106" s="22">
        <f>IFERROR(__xludf.DUMMYFUNCTION("""COMPUTED_VALUE"""),500000.0)</f>
        <v>500000</v>
      </c>
      <c r="I2106" s="24">
        <f>IFERROR(__xludf.DUMMYFUNCTION("""COMPUTED_VALUE"""),0.0)</f>
        <v>0</v>
      </c>
    </row>
    <row r="2107">
      <c r="A2107" s="5" t="str">
        <f>IFERROR(__xludf.DUMMYFUNCTION("""COMPUTED_VALUE"""),"38307")</f>
        <v>38307</v>
      </c>
      <c r="B2107" s="64">
        <f>IFERROR(__xludf.DUMMYFUNCTION("""COMPUTED_VALUE"""),44622.0)</f>
        <v>44622</v>
      </c>
      <c r="C2107" s="5"/>
      <c r="D2107" s="5"/>
      <c r="E2107" s="5"/>
      <c r="F2107" s="22">
        <f>IFERROR(__xludf.DUMMYFUNCTION("""COMPUTED_VALUE"""),500000.0)</f>
        <v>500000</v>
      </c>
      <c r="G2107" s="22">
        <f>IFERROR(__xludf.DUMMYFUNCTION("""COMPUTED_VALUE"""),0.0)</f>
        <v>0</v>
      </c>
      <c r="H2107" s="22">
        <f>IFERROR(__xludf.DUMMYFUNCTION("""COMPUTED_VALUE"""),500000.0)</f>
        <v>500000</v>
      </c>
      <c r="I2107" s="24">
        <f>IFERROR(__xludf.DUMMYFUNCTION("""COMPUTED_VALUE"""),0.0)</f>
        <v>0</v>
      </c>
    </row>
    <row r="2108">
      <c r="A2108" s="5" t="str">
        <f>IFERROR(__xludf.DUMMYFUNCTION("""COMPUTED_VALUE"""),"38307")</f>
        <v>38307</v>
      </c>
      <c r="B2108" s="64">
        <f>IFERROR(__xludf.DUMMYFUNCTION("""COMPUTED_VALUE"""),44623.0)</f>
        <v>44623</v>
      </c>
      <c r="C2108" s="5"/>
      <c r="D2108" s="5"/>
      <c r="E2108" s="5"/>
      <c r="F2108" s="22">
        <f>IFERROR(__xludf.DUMMYFUNCTION("""COMPUTED_VALUE"""),500000.0)</f>
        <v>500000</v>
      </c>
      <c r="G2108" s="22">
        <f>IFERROR(__xludf.DUMMYFUNCTION("""COMPUTED_VALUE"""),0.0)</f>
        <v>0</v>
      </c>
      <c r="H2108" s="22">
        <f>IFERROR(__xludf.DUMMYFUNCTION("""COMPUTED_VALUE"""),500000.0)</f>
        <v>500000</v>
      </c>
      <c r="I2108" s="24">
        <f>IFERROR(__xludf.DUMMYFUNCTION("""COMPUTED_VALUE"""),0.0)</f>
        <v>0</v>
      </c>
    </row>
    <row r="2109">
      <c r="A2109" s="5" t="str">
        <f>IFERROR(__xludf.DUMMYFUNCTION("""COMPUTED_VALUE"""),"38307")</f>
        <v>38307</v>
      </c>
      <c r="B2109" s="64">
        <f>IFERROR(__xludf.DUMMYFUNCTION("""COMPUTED_VALUE"""),44624.0)</f>
        <v>44624</v>
      </c>
      <c r="C2109" s="5"/>
      <c r="D2109" s="5"/>
      <c r="E2109" s="5"/>
      <c r="F2109" s="22">
        <f>IFERROR(__xludf.DUMMYFUNCTION("""COMPUTED_VALUE"""),500000.0)</f>
        <v>500000</v>
      </c>
      <c r="G2109" s="22">
        <f>IFERROR(__xludf.DUMMYFUNCTION("""COMPUTED_VALUE"""),0.0)</f>
        <v>0</v>
      </c>
      <c r="H2109" s="22">
        <f>IFERROR(__xludf.DUMMYFUNCTION("""COMPUTED_VALUE"""),500000.0)</f>
        <v>500000</v>
      </c>
      <c r="I2109" s="24">
        <f>IFERROR(__xludf.DUMMYFUNCTION("""COMPUTED_VALUE"""),0.0)</f>
        <v>0</v>
      </c>
    </row>
    <row r="2110">
      <c r="A2110" s="5" t="str">
        <f>IFERROR(__xludf.DUMMYFUNCTION("""COMPUTED_VALUE"""),"38307")</f>
        <v>38307</v>
      </c>
      <c r="B2110" s="64">
        <f>IFERROR(__xludf.DUMMYFUNCTION("""COMPUTED_VALUE"""),44625.0)</f>
        <v>44625</v>
      </c>
      <c r="C2110" s="5"/>
      <c r="D2110" s="5"/>
      <c r="E2110" s="5"/>
      <c r="F2110" s="22">
        <f>IFERROR(__xludf.DUMMYFUNCTION("""COMPUTED_VALUE"""),500000.0)</f>
        <v>500000</v>
      </c>
      <c r="G2110" s="22">
        <f>IFERROR(__xludf.DUMMYFUNCTION("""COMPUTED_VALUE"""),0.0)</f>
        <v>0</v>
      </c>
      <c r="H2110" s="22">
        <f>IFERROR(__xludf.DUMMYFUNCTION("""COMPUTED_VALUE"""),500000.0)</f>
        <v>500000</v>
      </c>
      <c r="I2110" s="24">
        <f>IFERROR(__xludf.DUMMYFUNCTION("""COMPUTED_VALUE"""),0.0)</f>
        <v>0</v>
      </c>
    </row>
    <row r="2111">
      <c r="A2111" s="5" t="str">
        <f>IFERROR(__xludf.DUMMYFUNCTION("""COMPUTED_VALUE"""),"38307")</f>
        <v>38307</v>
      </c>
      <c r="B2111" s="64">
        <f>IFERROR(__xludf.DUMMYFUNCTION("""COMPUTED_VALUE"""),44626.0)</f>
        <v>44626</v>
      </c>
      <c r="C2111" s="5"/>
      <c r="D2111" s="5"/>
      <c r="E2111" s="5"/>
      <c r="F2111" s="22">
        <f>IFERROR(__xludf.DUMMYFUNCTION("""COMPUTED_VALUE"""),500000.0)</f>
        <v>500000</v>
      </c>
      <c r="G2111" s="22">
        <f>IFERROR(__xludf.DUMMYFUNCTION("""COMPUTED_VALUE"""),0.0)</f>
        <v>0</v>
      </c>
      <c r="H2111" s="22">
        <f>IFERROR(__xludf.DUMMYFUNCTION("""COMPUTED_VALUE"""),500000.0)</f>
        <v>500000</v>
      </c>
      <c r="I2111" s="24">
        <f>IFERROR(__xludf.DUMMYFUNCTION("""COMPUTED_VALUE"""),0.0)</f>
        <v>0</v>
      </c>
    </row>
    <row r="2112">
      <c r="A2112" s="5" t="str">
        <f>IFERROR(__xludf.DUMMYFUNCTION("""COMPUTED_VALUE"""),"38307")</f>
        <v>38307</v>
      </c>
      <c r="B2112" s="64">
        <f>IFERROR(__xludf.DUMMYFUNCTION("""COMPUTED_VALUE"""),44627.0)</f>
        <v>44627</v>
      </c>
      <c r="C2112" s="5"/>
      <c r="D2112" s="5"/>
      <c r="E2112" s="5"/>
      <c r="F2112" s="22">
        <f>IFERROR(__xludf.DUMMYFUNCTION("""COMPUTED_VALUE"""),500000.0)</f>
        <v>500000</v>
      </c>
      <c r="G2112" s="22">
        <f>IFERROR(__xludf.DUMMYFUNCTION("""COMPUTED_VALUE"""),0.0)</f>
        <v>0</v>
      </c>
      <c r="H2112" s="22">
        <f>IFERROR(__xludf.DUMMYFUNCTION("""COMPUTED_VALUE"""),500000.0)</f>
        <v>500000</v>
      </c>
      <c r="I2112" s="24">
        <f>IFERROR(__xludf.DUMMYFUNCTION("""COMPUTED_VALUE"""),0.0)</f>
        <v>0</v>
      </c>
    </row>
    <row r="2113">
      <c r="A2113" s="5" t="str">
        <f>IFERROR(__xludf.DUMMYFUNCTION("""COMPUTED_VALUE"""),"38307")</f>
        <v>38307</v>
      </c>
      <c r="B2113" s="64">
        <f>IFERROR(__xludf.DUMMYFUNCTION("""COMPUTED_VALUE"""),44628.0)</f>
        <v>44628</v>
      </c>
      <c r="C2113" s="5"/>
      <c r="D2113" s="5"/>
      <c r="E2113" s="5"/>
      <c r="F2113" s="22">
        <f>IFERROR(__xludf.DUMMYFUNCTION("""COMPUTED_VALUE"""),500000.0)</f>
        <v>500000</v>
      </c>
      <c r="G2113" s="22">
        <f>IFERROR(__xludf.DUMMYFUNCTION("""COMPUTED_VALUE"""),0.0)</f>
        <v>0</v>
      </c>
      <c r="H2113" s="22">
        <f>IFERROR(__xludf.DUMMYFUNCTION("""COMPUTED_VALUE"""),500000.0)</f>
        <v>500000</v>
      </c>
      <c r="I2113" s="24">
        <f>IFERROR(__xludf.DUMMYFUNCTION("""COMPUTED_VALUE"""),0.0)</f>
        <v>0</v>
      </c>
    </row>
    <row r="2114">
      <c r="A2114" s="5" t="str">
        <f>IFERROR(__xludf.DUMMYFUNCTION("""COMPUTED_VALUE"""),"38307")</f>
        <v>38307</v>
      </c>
      <c r="B2114" s="64">
        <f>IFERROR(__xludf.DUMMYFUNCTION("""COMPUTED_VALUE"""),44629.0)</f>
        <v>44629</v>
      </c>
      <c r="C2114" s="5"/>
      <c r="D2114" s="5"/>
      <c r="E2114" s="5"/>
      <c r="F2114" s="22">
        <f>IFERROR(__xludf.DUMMYFUNCTION("""COMPUTED_VALUE"""),500000.0)</f>
        <v>500000</v>
      </c>
      <c r="G2114" s="22">
        <f>IFERROR(__xludf.DUMMYFUNCTION("""COMPUTED_VALUE"""),0.0)</f>
        <v>0</v>
      </c>
      <c r="H2114" s="22">
        <f>IFERROR(__xludf.DUMMYFUNCTION("""COMPUTED_VALUE"""),500000.0)</f>
        <v>500000</v>
      </c>
      <c r="I2114" s="24">
        <f>IFERROR(__xludf.DUMMYFUNCTION("""COMPUTED_VALUE"""),0.0)</f>
        <v>0</v>
      </c>
    </row>
    <row r="2115">
      <c r="A2115" s="5" t="str">
        <f>IFERROR(__xludf.DUMMYFUNCTION("""COMPUTED_VALUE"""),"38307")</f>
        <v>38307</v>
      </c>
      <c r="B2115" s="64">
        <f>IFERROR(__xludf.DUMMYFUNCTION("""COMPUTED_VALUE"""),44630.0)</f>
        <v>44630</v>
      </c>
      <c r="C2115" s="5"/>
      <c r="D2115" s="5"/>
      <c r="E2115" s="5"/>
      <c r="F2115" s="22">
        <f>IFERROR(__xludf.DUMMYFUNCTION("""COMPUTED_VALUE"""),500000.0)</f>
        <v>500000</v>
      </c>
      <c r="G2115" s="22">
        <f>IFERROR(__xludf.DUMMYFUNCTION("""COMPUTED_VALUE"""),0.0)</f>
        <v>0</v>
      </c>
      <c r="H2115" s="22">
        <f>IFERROR(__xludf.DUMMYFUNCTION("""COMPUTED_VALUE"""),500000.0)</f>
        <v>500000</v>
      </c>
      <c r="I2115" s="24">
        <f>IFERROR(__xludf.DUMMYFUNCTION("""COMPUTED_VALUE"""),0.0)</f>
        <v>0</v>
      </c>
    </row>
    <row r="2116">
      <c r="A2116" s="5" t="str">
        <f>IFERROR(__xludf.DUMMYFUNCTION("""COMPUTED_VALUE"""),"38307")</f>
        <v>38307</v>
      </c>
      <c r="B2116" s="64">
        <f>IFERROR(__xludf.DUMMYFUNCTION("""COMPUTED_VALUE"""),44631.0)</f>
        <v>44631</v>
      </c>
      <c r="C2116" s="5"/>
      <c r="D2116" s="5"/>
      <c r="E2116" s="5"/>
      <c r="F2116" s="22">
        <f>IFERROR(__xludf.DUMMYFUNCTION("""COMPUTED_VALUE"""),500000.0)</f>
        <v>500000</v>
      </c>
      <c r="G2116" s="22">
        <f>IFERROR(__xludf.DUMMYFUNCTION("""COMPUTED_VALUE"""),0.0)</f>
        <v>0</v>
      </c>
      <c r="H2116" s="22">
        <f>IFERROR(__xludf.DUMMYFUNCTION("""COMPUTED_VALUE"""),500000.0)</f>
        <v>500000</v>
      </c>
      <c r="I2116" s="24">
        <f>IFERROR(__xludf.DUMMYFUNCTION("""COMPUTED_VALUE"""),0.0)</f>
        <v>0</v>
      </c>
    </row>
    <row r="2117">
      <c r="A2117" s="5" t="str">
        <f>IFERROR(__xludf.DUMMYFUNCTION("""COMPUTED_VALUE"""),"38307")</f>
        <v>38307</v>
      </c>
      <c r="B2117" s="64">
        <f>IFERROR(__xludf.DUMMYFUNCTION("""COMPUTED_VALUE"""),44632.0)</f>
        <v>44632</v>
      </c>
      <c r="C2117" s="5"/>
      <c r="D2117" s="5"/>
      <c r="E2117" s="5"/>
      <c r="F2117" s="22">
        <f>IFERROR(__xludf.DUMMYFUNCTION("""COMPUTED_VALUE"""),500000.0)</f>
        <v>500000</v>
      </c>
      <c r="G2117" s="22">
        <f>IFERROR(__xludf.DUMMYFUNCTION("""COMPUTED_VALUE"""),0.0)</f>
        <v>0</v>
      </c>
      <c r="H2117" s="22">
        <f>IFERROR(__xludf.DUMMYFUNCTION("""COMPUTED_VALUE"""),500000.0)</f>
        <v>500000</v>
      </c>
      <c r="I2117" s="24">
        <f>IFERROR(__xludf.DUMMYFUNCTION("""COMPUTED_VALUE"""),0.0)</f>
        <v>0</v>
      </c>
    </row>
    <row r="2118">
      <c r="A2118" s="5" t="str">
        <f>IFERROR(__xludf.DUMMYFUNCTION("""COMPUTED_VALUE"""),"38307")</f>
        <v>38307</v>
      </c>
      <c r="B2118" s="64">
        <f>IFERROR(__xludf.DUMMYFUNCTION("""COMPUTED_VALUE"""),44633.0)</f>
        <v>44633</v>
      </c>
      <c r="C2118" s="5"/>
      <c r="D2118" s="5"/>
      <c r="E2118" s="5"/>
      <c r="F2118" s="22">
        <f>IFERROR(__xludf.DUMMYFUNCTION("""COMPUTED_VALUE"""),500000.0)</f>
        <v>500000</v>
      </c>
      <c r="G2118" s="22">
        <f>IFERROR(__xludf.DUMMYFUNCTION("""COMPUTED_VALUE"""),0.0)</f>
        <v>0</v>
      </c>
      <c r="H2118" s="22">
        <f>IFERROR(__xludf.DUMMYFUNCTION("""COMPUTED_VALUE"""),500000.0)</f>
        <v>500000</v>
      </c>
      <c r="I2118" s="24">
        <f>IFERROR(__xludf.DUMMYFUNCTION("""COMPUTED_VALUE"""),0.0)</f>
        <v>0</v>
      </c>
    </row>
    <row r="2119">
      <c r="A2119" s="5" t="str">
        <f>IFERROR(__xludf.DUMMYFUNCTION("""COMPUTED_VALUE"""),"38307")</f>
        <v>38307</v>
      </c>
      <c r="B2119" s="64">
        <f>IFERROR(__xludf.DUMMYFUNCTION("""COMPUTED_VALUE"""),44634.0)</f>
        <v>44634</v>
      </c>
      <c r="C2119" s="5"/>
      <c r="D2119" s="5"/>
      <c r="E2119" s="5"/>
      <c r="F2119" s="22">
        <f>IFERROR(__xludf.DUMMYFUNCTION("""COMPUTED_VALUE"""),90921.6875)</f>
        <v>90921.6875</v>
      </c>
      <c r="G2119" s="22">
        <f>IFERROR(__xludf.DUMMYFUNCTION("""COMPUTED_VALUE"""),0.0)</f>
        <v>0</v>
      </c>
      <c r="H2119" s="22">
        <f>IFERROR(__xludf.DUMMYFUNCTION("""COMPUTED_VALUE"""),500000.0)</f>
        <v>500000</v>
      </c>
      <c r="I2119" s="24">
        <f>IFERROR(__xludf.DUMMYFUNCTION("""COMPUTED_VALUE"""),0.0)</f>
        <v>0</v>
      </c>
    </row>
    <row r="2120">
      <c r="A2120" s="5" t="str">
        <f>IFERROR(__xludf.DUMMYFUNCTION("""COMPUTED_VALUE"""),"38307")</f>
        <v>38307</v>
      </c>
      <c r="B2120" s="64">
        <f>IFERROR(__xludf.DUMMYFUNCTION("""COMPUTED_VALUE"""),44635.0)</f>
        <v>44635</v>
      </c>
      <c r="C2120" s="5"/>
      <c r="D2120" s="5"/>
      <c r="E2120" s="5"/>
      <c r="F2120" s="22">
        <f>IFERROR(__xludf.DUMMYFUNCTION("""COMPUTED_VALUE"""),90921.6875)</f>
        <v>90921.6875</v>
      </c>
      <c r="G2120" s="22">
        <f>IFERROR(__xludf.DUMMYFUNCTION("""COMPUTED_VALUE"""),0.0)</f>
        <v>0</v>
      </c>
      <c r="H2120" s="22">
        <f>IFERROR(__xludf.DUMMYFUNCTION("""COMPUTED_VALUE"""),504079.03925)</f>
        <v>504079.0393</v>
      </c>
      <c r="I2120" s="24">
        <f>IFERROR(__xludf.DUMMYFUNCTION("""COMPUTED_VALUE"""),0.008158078499999943)</f>
        <v>0.0081580785</v>
      </c>
    </row>
    <row r="2121">
      <c r="A2121" s="5" t="str">
        <f>IFERROR(__xludf.DUMMYFUNCTION("""COMPUTED_VALUE"""),"38307")</f>
        <v>38307</v>
      </c>
      <c r="B2121" s="64">
        <f>IFERROR(__xludf.DUMMYFUNCTION("""COMPUTED_VALUE"""),44636.0)</f>
        <v>44636</v>
      </c>
      <c r="C2121" s="5"/>
      <c r="D2121" s="5"/>
      <c r="E2121" s="5"/>
      <c r="F2121" s="22">
        <f>IFERROR(__xludf.DUMMYFUNCTION("""COMPUTED_VALUE"""),90921.6875)</f>
        <v>90921.6875</v>
      </c>
      <c r="G2121" s="22">
        <f>IFERROR(__xludf.DUMMYFUNCTION("""COMPUTED_VALUE"""),0.0)</f>
        <v>0</v>
      </c>
      <c r="H2121" s="22">
        <f>IFERROR(__xludf.DUMMYFUNCTION("""COMPUTED_VALUE"""),518253.17622799997)</f>
        <v>518253.1762</v>
      </c>
      <c r="I2121" s="24">
        <f>IFERROR(__xludf.DUMMYFUNCTION("""COMPUTED_VALUE"""),0.03650635245599987)</f>
        <v>0.03650635246</v>
      </c>
    </row>
    <row r="2122">
      <c r="A2122" s="5" t="str">
        <f>IFERROR(__xludf.DUMMYFUNCTION("""COMPUTED_VALUE"""),"38307")</f>
        <v>38307</v>
      </c>
      <c r="B2122" s="64">
        <f>IFERROR(__xludf.DUMMYFUNCTION("""COMPUTED_VALUE"""),44637.0)</f>
        <v>44637</v>
      </c>
      <c r="C2122" s="5"/>
      <c r="D2122" s="5"/>
      <c r="E2122" s="5"/>
      <c r="F2122" s="22">
        <f>IFERROR(__xludf.DUMMYFUNCTION("""COMPUTED_VALUE"""),90921.6875)</f>
        <v>90921.6875</v>
      </c>
      <c r="G2122" s="22">
        <f>IFERROR(__xludf.DUMMYFUNCTION("""COMPUTED_VALUE"""),0.0)</f>
        <v>0</v>
      </c>
      <c r="H2122" s="22">
        <f>IFERROR(__xludf.DUMMYFUNCTION("""COMPUTED_VALUE"""),532812.28212)</f>
        <v>532812.2821</v>
      </c>
      <c r="I2122" s="24">
        <f>IFERROR(__xludf.DUMMYFUNCTION("""COMPUTED_VALUE"""),0.06562456423999996)</f>
        <v>0.06562456424</v>
      </c>
    </row>
    <row r="2123">
      <c r="A2123" s="5" t="str">
        <f>IFERROR(__xludf.DUMMYFUNCTION("""COMPUTED_VALUE"""),"38307")</f>
        <v>38307</v>
      </c>
      <c r="B2123" s="64">
        <f>IFERROR(__xludf.DUMMYFUNCTION("""COMPUTED_VALUE"""),44638.0)</f>
        <v>44638</v>
      </c>
      <c r="C2123" s="5"/>
      <c r="D2123" s="5"/>
      <c r="E2123" s="5"/>
      <c r="F2123" s="22">
        <f>IFERROR(__xludf.DUMMYFUNCTION("""COMPUTED_VALUE"""),90921.6875)</f>
        <v>90921.6875</v>
      </c>
      <c r="G2123" s="22">
        <f>IFERROR(__xludf.DUMMYFUNCTION("""COMPUTED_VALUE"""),0.0)</f>
        <v>0</v>
      </c>
      <c r="H2123" s="22">
        <f>IFERROR(__xludf.DUMMYFUNCTION("""COMPUTED_VALUE"""),541913.2743579999)</f>
        <v>541913.2744</v>
      </c>
      <c r="I2123" s="24">
        <f>IFERROR(__xludf.DUMMYFUNCTION("""COMPUTED_VALUE"""),0.0838265487159997)</f>
        <v>0.08382654872</v>
      </c>
    </row>
    <row r="2124">
      <c r="A2124" s="5" t="str">
        <f>IFERROR(__xludf.DUMMYFUNCTION("""COMPUTED_VALUE"""),"38307")</f>
        <v>38307</v>
      </c>
      <c r="B2124" s="64">
        <f>IFERROR(__xludf.DUMMYFUNCTION("""COMPUTED_VALUE"""),44639.0)</f>
        <v>44639</v>
      </c>
      <c r="C2124" s="5"/>
      <c r="D2124" s="5"/>
      <c r="E2124" s="5"/>
      <c r="F2124" s="22">
        <f>IFERROR(__xludf.DUMMYFUNCTION("""COMPUTED_VALUE"""),90921.6875)</f>
        <v>90921.6875</v>
      </c>
      <c r="G2124" s="22">
        <f>IFERROR(__xludf.DUMMYFUNCTION("""COMPUTED_VALUE"""),0.0)</f>
        <v>0</v>
      </c>
      <c r="H2124" s="22">
        <f>IFERROR(__xludf.DUMMYFUNCTION("""COMPUTED_VALUE"""),541913.2743579999)</f>
        <v>541913.2744</v>
      </c>
      <c r="I2124" s="24">
        <f>IFERROR(__xludf.DUMMYFUNCTION("""COMPUTED_VALUE"""),0.0838265487159997)</f>
        <v>0.08382654872</v>
      </c>
    </row>
    <row r="2125">
      <c r="A2125" s="5" t="str">
        <f>IFERROR(__xludf.DUMMYFUNCTION("""COMPUTED_VALUE"""),"38307")</f>
        <v>38307</v>
      </c>
      <c r="B2125" s="64">
        <f>IFERROR(__xludf.DUMMYFUNCTION("""COMPUTED_VALUE"""),44640.0)</f>
        <v>44640</v>
      </c>
      <c r="C2125" s="5"/>
      <c r="D2125" s="5"/>
      <c r="E2125" s="5"/>
      <c r="F2125" s="22">
        <f>IFERROR(__xludf.DUMMYFUNCTION("""COMPUTED_VALUE"""),90921.6875)</f>
        <v>90921.6875</v>
      </c>
      <c r="G2125" s="22">
        <f>IFERROR(__xludf.DUMMYFUNCTION("""COMPUTED_VALUE"""),0.0)</f>
        <v>0</v>
      </c>
      <c r="H2125" s="22">
        <f>IFERROR(__xludf.DUMMYFUNCTION("""COMPUTED_VALUE"""),541913.2743579999)</f>
        <v>541913.2744</v>
      </c>
      <c r="I2125" s="24">
        <f>IFERROR(__xludf.DUMMYFUNCTION("""COMPUTED_VALUE"""),0.0838265487159997)</f>
        <v>0.08382654872</v>
      </c>
    </row>
    <row r="2126">
      <c r="A2126" s="5" t="str">
        <f>IFERROR(__xludf.DUMMYFUNCTION("""COMPUTED_VALUE"""),"38307")</f>
        <v>38307</v>
      </c>
      <c r="B2126" s="64">
        <f>IFERROR(__xludf.DUMMYFUNCTION("""COMPUTED_VALUE"""),44641.0)</f>
        <v>44641</v>
      </c>
      <c r="C2126" s="5"/>
      <c r="D2126" s="5"/>
      <c r="E2126" s="5"/>
      <c r="F2126" s="22">
        <f>IFERROR(__xludf.DUMMYFUNCTION("""COMPUTED_VALUE"""),90921.6875)</f>
        <v>90921.6875</v>
      </c>
      <c r="G2126" s="22">
        <f>IFERROR(__xludf.DUMMYFUNCTION("""COMPUTED_VALUE"""),0.0)</f>
        <v>0</v>
      </c>
      <c r="H2126" s="22">
        <f>IFERROR(__xludf.DUMMYFUNCTION("""COMPUTED_VALUE"""),531001.9711859999)</f>
        <v>531001.9712</v>
      </c>
      <c r="I2126" s="24">
        <f>IFERROR(__xludf.DUMMYFUNCTION("""COMPUTED_VALUE"""),0.0620039423719998)</f>
        <v>0.06200394237</v>
      </c>
    </row>
    <row r="2127">
      <c r="A2127" s="5" t="str">
        <f>IFERROR(__xludf.DUMMYFUNCTION("""COMPUTED_VALUE"""),"38307")</f>
        <v>38307</v>
      </c>
      <c r="B2127" s="64">
        <f>IFERROR(__xludf.DUMMYFUNCTION("""COMPUTED_VALUE"""),44642.0)</f>
        <v>44642</v>
      </c>
      <c r="C2127" s="5"/>
      <c r="D2127" s="5"/>
      <c r="E2127" s="5"/>
      <c r="F2127" s="22">
        <f>IFERROR(__xludf.DUMMYFUNCTION("""COMPUTED_VALUE"""),90921.6875)</f>
        <v>90921.6875</v>
      </c>
      <c r="G2127" s="22">
        <f>IFERROR(__xludf.DUMMYFUNCTION("""COMPUTED_VALUE"""),0.0)</f>
        <v>0</v>
      </c>
      <c r="H2127" s="22">
        <f>IFERROR(__xludf.DUMMYFUNCTION("""COMPUTED_VALUE"""),533196.2938379999)</f>
        <v>533196.2938</v>
      </c>
      <c r="I2127" s="24">
        <f>IFERROR(__xludf.DUMMYFUNCTION("""COMPUTED_VALUE"""),0.06639258767599987)</f>
        <v>0.06639258768</v>
      </c>
    </row>
    <row r="2128">
      <c r="A2128" s="5" t="str">
        <f>IFERROR(__xludf.DUMMYFUNCTION("""COMPUTED_VALUE"""),"38307")</f>
        <v>38307</v>
      </c>
      <c r="B2128" s="64">
        <f>IFERROR(__xludf.DUMMYFUNCTION("""COMPUTED_VALUE"""),44643.0)</f>
        <v>44643</v>
      </c>
      <c r="C2128" s="5"/>
      <c r="D2128" s="5"/>
      <c r="E2128" s="5"/>
      <c r="F2128" s="22">
        <f>IFERROR(__xludf.DUMMYFUNCTION("""COMPUTED_VALUE"""),90921.6875)</f>
        <v>90921.6875</v>
      </c>
      <c r="G2128" s="22">
        <f>IFERROR(__xludf.DUMMYFUNCTION("""COMPUTED_VALUE"""),0.0)</f>
        <v>0</v>
      </c>
      <c r="H2128" s="22">
        <f>IFERROR(__xludf.DUMMYFUNCTION("""COMPUTED_VALUE"""),518038.86583799997)</f>
        <v>518038.8658</v>
      </c>
      <c r="I2128" s="24">
        <f>IFERROR(__xludf.DUMMYFUNCTION("""COMPUTED_VALUE"""),0.036077731675999924)</f>
        <v>0.03607773168</v>
      </c>
    </row>
    <row r="2129">
      <c r="A2129" s="5" t="str">
        <f>IFERROR(__xludf.DUMMYFUNCTION("""COMPUTED_VALUE"""),"38307")</f>
        <v>38307</v>
      </c>
      <c r="B2129" s="64">
        <f>IFERROR(__xludf.DUMMYFUNCTION("""COMPUTED_VALUE"""),44644.0)</f>
        <v>44644</v>
      </c>
      <c r="C2129" s="5"/>
      <c r="D2129" s="5"/>
      <c r="E2129" s="5"/>
      <c r="F2129" s="22">
        <f>IFERROR(__xludf.DUMMYFUNCTION("""COMPUTED_VALUE"""),90921.6875)</f>
        <v>90921.6875</v>
      </c>
      <c r="G2129" s="22">
        <f>IFERROR(__xludf.DUMMYFUNCTION("""COMPUTED_VALUE"""),0.0)</f>
        <v>0</v>
      </c>
      <c r="H2129" s="22">
        <f>IFERROR(__xludf.DUMMYFUNCTION("""COMPUTED_VALUE"""),524635.2059599999)</f>
        <v>524635.206</v>
      </c>
      <c r="I2129" s="24">
        <f>IFERROR(__xludf.DUMMYFUNCTION("""COMPUTED_VALUE"""),0.04927041191999981)</f>
        <v>0.04927041192</v>
      </c>
    </row>
    <row r="2130">
      <c r="A2130" s="5" t="str">
        <f>IFERROR(__xludf.DUMMYFUNCTION("""COMPUTED_VALUE"""),"38307")</f>
        <v>38307</v>
      </c>
      <c r="B2130" s="64">
        <f>IFERROR(__xludf.DUMMYFUNCTION("""COMPUTED_VALUE"""),44645.0)</f>
        <v>44645</v>
      </c>
      <c r="C2130" s="5"/>
      <c r="D2130" s="5"/>
      <c r="E2130" s="5"/>
      <c r="F2130" s="22">
        <f>IFERROR(__xludf.DUMMYFUNCTION("""COMPUTED_VALUE"""),232597.077392)</f>
        <v>232597.0774</v>
      </c>
      <c r="G2130" s="22">
        <f>IFERROR(__xludf.DUMMYFUNCTION("""COMPUTED_VALUE"""),0.0)</f>
        <v>0</v>
      </c>
      <c r="H2130" s="22">
        <f>IFERROR(__xludf.DUMMYFUNCTION("""COMPUTED_VALUE"""),526628.8131840001)</f>
        <v>526628.8132</v>
      </c>
      <c r="I2130" s="24">
        <f>IFERROR(__xludf.DUMMYFUNCTION("""COMPUTED_VALUE"""),0.053257626368000244)</f>
        <v>0.05325762637</v>
      </c>
    </row>
    <row r="2131">
      <c r="A2131" s="5" t="str">
        <f>IFERROR(__xludf.DUMMYFUNCTION("""COMPUTED_VALUE"""),"38307")</f>
        <v>38307</v>
      </c>
      <c r="B2131" s="64">
        <f>IFERROR(__xludf.DUMMYFUNCTION("""COMPUTED_VALUE"""),44646.0)</f>
        <v>44646</v>
      </c>
      <c r="C2131" s="5"/>
      <c r="D2131" s="5"/>
      <c r="E2131" s="5"/>
      <c r="F2131" s="22">
        <f>IFERROR(__xludf.DUMMYFUNCTION("""COMPUTED_VALUE"""),232597.077392)</f>
        <v>232597.0774</v>
      </c>
      <c r="G2131" s="22">
        <f>IFERROR(__xludf.DUMMYFUNCTION("""COMPUTED_VALUE"""),0.0)</f>
        <v>0</v>
      </c>
      <c r="H2131" s="22">
        <f>IFERROR(__xludf.DUMMYFUNCTION("""COMPUTED_VALUE"""),526628.8131840001)</f>
        <v>526628.8132</v>
      </c>
      <c r="I2131" s="24">
        <f>IFERROR(__xludf.DUMMYFUNCTION("""COMPUTED_VALUE"""),0.053257626368000244)</f>
        <v>0.05325762637</v>
      </c>
    </row>
    <row r="2132">
      <c r="A2132" s="5" t="str">
        <f>IFERROR(__xludf.DUMMYFUNCTION("""COMPUTED_VALUE"""),"38307")</f>
        <v>38307</v>
      </c>
      <c r="B2132" s="64">
        <f>IFERROR(__xludf.DUMMYFUNCTION("""COMPUTED_VALUE"""),44647.0)</f>
        <v>44647</v>
      </c>
      <c r="C2132" s="5"/>
      <c r="D2132" s="5"/>
      <c r="E2132" s="5"/>
      <c r="F2132" s="22">
        <f>IFERROR(__xludf.DUMMYFUNCTION("""COMPUTED_VALUE"""),232597.077392)</f>
        <v>232597.0774</v>
      </c>
      <c r="G2132" s="22">
        <f>IFERROR(__xludf.DUMMYFUNCTION("""COMPUTED_VALUE"""),0.0)</f>
        <v>0</v>
      </c>
      <c r="H2132" s="22">
        <f>IFERROR(__xludf.DUMMYFUNCTION("""COMPUTED_VALUE"""),526628.8131840001)</f>
        <v>526628.8132</v>
      </c>
      <c r="I2132" s="24">
        <f>IFERROR(__xludf.DUMMYFUNCTION("""COMPUTED_VALUE"""),0.053257626368000244)</f>
        <v>0.05325762637</v>
      </c>
    </row>
    <row r="2133">
      <c r="A2133" s="5" t="str">
        <f>IFERROR(__xludf.DUMMYFUNCTION("""COMPUTED_VALUE"""),"38307")</f>
        <v>38307</v>
      </c>
      <c r="B2133" s="64">
        <f>IFERROR(__xludf.DUMMYFUNCTION("""COMPUTED_VALUE"""),44648.0)</f>
        <v>44648</v>
      </c>
      <c r="C2133" s="5"/>
      <c r="D2133" s="5"/>
      <c r="E2133" s="5"/>
      <c r="F2133" s="22">
        <f>IFERROR(__xludf.DUMMYFUNCTION("""COMPUTED_VALUE"""),232597.077392)</f>
        <v>232597.0774</v>
      </c>
      <c r="G2133" s="22">
        <f>IFERROR(__xludf.DUMMYFUNCTION("""COMPUTED_VALUE"""),0.0)</f>
        <v>0</v>
      </c>
      <c r="H2133" s="22">
        <f>IFERROR(__xludf.DUMMYFUNCTION("""COMPUTED_VALUE"""),524636.661108)</f>
        <v>524636.6611</v>
      </c>
      <c r="I2133" s="24">
        <f>IFERROR(__xludf.DUMMYFUNCTION("""COMPUTED_VALUE"""),0.049273322216000004)</f>
        <v>0.04927332222</v>
      </c>
    </row>
    <row r="2134">
      <c r="A2134" s="5" t="str">
        <f>IFERROR(__xludf.DUMMYFUNCTION("""COMPUTED_VALUE"""),"38307")</f>
        <v>38307</v>
      </c>
      <c r="B2134" s="64">
        <f>IFERROR(__xludf.DUMMYFUNCTION("""COMPUTED_VALUE"""),44649.0)</f>
        <v>44649</v>
      </c>
      <c r="C2134" s="5"/>
      <c r="D2134" s="5"/>
      <c r="E2134" s="5"/>
      <c r="F2134" s="22">
        <f>IFERROR(__xludf.DUMMYFUNCTION("""COMPUTED_VALUE"""),232597.077392)</f>
        <v>232597.0774</v>
      </c>
      <c r="G2134" s="22">
        <f>IFERROR(__xludf.DUMMYFUNCTION("""COMPUTED_VALUE"""),0.0)</f>
        <v>0</v>
      </c>
      <c r="H2134" s="22">
        <f>IFERROR(__xludf.DUMMYFUNCTION("""COMPUTED_VALUE"""),522372.53224)</f>
        <v>522372.5322</v>
      </c>
      <c r="I2134" s="24">
        <f>IFERROR(__xludf.DUMMYFUNCTION("""COMPUTED_VALUE"""),0.04474506448000004)</f>
        <v>0.04474506448</v>
      </c>
    </row>
    <row r="2135">
      <c r="A2135" s="5" t="str">
        <f>IFERROR(__xludf.DUMMYFUNCTION("""COMPUTED_VALUE"""),"38307")</f>
        <v>38307</v>
      </c>
      <c r="B2135" s="64">
        <f>IFERROR(__xludf.DUMMYFUNCTION("""COMPUTED_VALUE"""),44650.0)</f>
        <v>44650</v>
      </c>
      <c r="C2135" s="5"/>
      <c r="D2135" s="5"/>
      <c r="E2135" s="5"/>
      <c r="F2135" s="22">
        <f>IFERROR(__xludf.DUMMYFUNCTION("""COMPUTED_VALUE"""),232597.077392)</f>
        <v>232597.0774</v>
      </c>
      <c r="G2135" s="22">
        <f>IFERROR(__xludf.DUMMYFUNCTION("""COMPUTED_VALUE"""),0.0)</f>
        <v>0</v>
      </c>
      <c r="H2135" s="22">
        <f>IFERROR(__xludf.DUMMYFUNCTION("""COMPUTED_VALUE"""),524097.2851529999)</f>
        <v>524097.2852</v>
      </c>
      <c r="I2135" s="24">
        <f>IFERROR(__xludf.DUMMYFUNCTION("""COMPUTED_VALUE"""),0.04819457030599983)</f>
        <v>0.04819457031</v>
      </c>
    </row>
    <row r="2136">
      <c r="A2136" s="5" t="str">
        <f>IFERROR(__xludf.DUMMYFUNCTION("""COMPUTED_VALUE"""),"38307")</f>
        <v>38307</v>
      </c>
      <c r="B2136" s="64">
        <f>IFERROR(__xludf.DUMMYFUNCTION("""COMPUTED_VALUE"""),44651.0)</f>
        <v>44651</v>
      </c>
      <c r="C2136" s="5"/>
      <c r="D2136" s="5"/>
      <c r="E2136" s="5"/>
      <c r="F2136" s="22">
        <f>IFERROR(__xludf.DUMMYFUNCTION("""COMPUTED_VALUE"""),232597.077392)</f>
        <v>232597.0774</v>
      </c>
      <c r="G2136" s="22">
        <f>IFERROR(__xludf.DUMMYFUNCTION("""COMPUTED_VALUE"""),0.0)</f>
        <v>0</v>
      </c>
      <c r="H2136" s="22">
        <f>IFERROR(__xludf.DUMMYFUNCTION("""COMPUTED_VALUE"""),523374.688424)</f>
        <v>523374.6884</v>
      </c>
      <c r="I2136" s="24">
        <f>IFERROR(__xludf.DUMMYFUNCTION("""COMPUTED_VALUE"""),0.04674937684800007)</f>
        <v>0.04674937685</v>
      </c>
    </row>
    <row r="2137">
      <c r="A2137" s="5" t="str">
        <f>IFERROR(__xludf.DUMMYFUNCTION("""COMPUTED_VALUE"""),"38307")</f>
        <v>38307</v>
      </c>
      <c r="B2137" s="64">
        <f>IFERROR(__xludf.DUMMYFUNCTION("""COMPUTED_VALUE"""),44652.0)</f>
        <v>44652</v>
      </c>
      <c r="C2137" s="5"/>
      <c r="D2137" s="5"/>
      <c r="E2137" s="5"/>
      <c r="F2137" s="22">
        <f>IFERROR(__xludf.DUMMYFUNCTION("""COMPUTED_VALUE"""),232597.077392)</f>
        <v>232597.0774</v>
      </c>
      <c r="G2137" s="22">
        <f>IFERROR(__xludf.DUMMYFUNCTION("""COMPUTED_VALUE"""),0.0)</f>
        <v>0</v>
      </c>
      <c r="H2137" s="22">
        <f>IFERROR(__xludf.DUMMYFUNCTION("""COMPUTED_VALUE"""),520380.28538999986)</f>
        <v>520380.2854</v>
      </c>
      <c r="I2137" s="24">
        <f>IFERROR(__xludf.DUMMYFUNCTION("""COMPUTED_VALUE"""),0.040760570779999616)</f>
        <v>0.04076057078</v>
      </c>
    </row>
    <row r="2138">
      <c r="A2138" s="5" t="str">
        <f>IFERROR(__xludf.DUMMYFUNCTION("""COMPUTED_VALUE"""),"38307")</f>
        <v>38307</v>
      </c>
      <c r="B2138" s="64">
        <f>IFERROR(__xludf.DUMMYFUNCTION("""COMPUTED_VALUE"""),44653.0)</f>
        <v>44653</v>
      </c>
      <c r="C2138" s="5"/>
      <c r="D2138" s="5"/>
      <c r="E2138" s="5"/>
      <c r="F2138" s="22">
        <f>IFERROR(__xludf.DUMMYFUNCTION("""COMPUTED_VALUE"""),232597.077392)</f>
        <v>232597.0774</v>
      </c>
      <c r="G2138" s="22">
        <f>IFERROR(__xludf.DUMMYFUNCTION("""COMPUTED_VALUE"""),0.0)</f>
        <v>0</v>
      </c>
      <c r="H2138" s="22">
        <f>IFERROR(__xludf.DUMMYFUNCTION("""COMPUTED_VALUE"""),520380.28538999986)</f>
        <v>520380.2854</v>
      </c>
      <c r="I2138" s="24">
        <f>IFERROR(__xludf.DUMMYFUNCTION("""COMPUTED_VALUE"""),0.040760570779999616)</f>
        <v>0.04076057078</v>
      </c>
    </row>
    <row r="2139">
      <c r="A2139" s="5" t="str">
        <f>IFERROR(__xludf.DUMMYFUNCTION("""COMPUTED_VALUE"""),"38307")</f>
        <v>38307</v>
      </c>
      <c r="B2139" s="64">
        <f>IFERROR(__xludf.DUMMYFUNCTION("""COMPUTED_VALUE"""),44654.0)</f>
        <v>44654</v>
      </c>
      <c r="C2139" s="5"/>
      <c r="D2139" s="5"/>
      <c r="E2139" s="5"/>
      <c r="F2139" s="22">
        <f>IFERROR(__xludf.DUMMYFUNCTION("""COMPUTED_VALUE"""),232597.077392)</f>
        <v>232597.0774</v>
      </c>
      <c r="G2139" s="22">
        <f>IFERROR(__xludf.DUMMYFUNCTION("""COMPUTED_VALUE"""),0.0)</f>
        <v>0</v>
      </c>
      <c r="H2139" s="22">
        <f>IFERROR(__xludf.DUMMYFUNCTION("""COMPUTED_VALUE"""),520380.28538999986)</f>
        <v>520380.2854</v>
      </c>
      <c r="I2139" s="24">
        <f>IFERROR(__xludf.DUMMYFUNCTION("""COMPUTED_VALUE"""),0.040760570779999616)</f>
        <v>0.04076057078</v>
      </c>
    </row>
    <row r="2140">
      <c r="A2140" s="5" t="str">
        <f>IFERROR(__xludf.DUMMYFUNCTION("""COMPUTED_VALUE"""),"38307")</f>
        <v>38307</v>
      </c>
      <c r="B2140" s="64">
        <f>IFERROR(__xludf.DUMMYFUNCTION("""COMPUTED_VALUE"""),44655.0)</f>
        <v>44655</v>
      </c>
      <c r="C2140" s="5"/>
      <c r="D2140" s="5"/>
      <c r="E2140" s="5"/>
      <c r="F2140" s="22">
        <f>IFERROR(__xludf.DUMMYFUNCTION("""COMPUTED_VALUE"""),232597.077392)</f>
        <v>232597.0774</v>
      </c>
      <c r="G2140" s="22">
        <f>IFERROR(__xludf.DUMMYFUNCTION("""COMPUTED_VALUE"""),0.0)</f>
        <v>0</v>
      </c>
      <c r="H2140" s="22">
        <f>IFERROR(__xludf.DUMMYFUNCTION("""COMPUTED_VALUE"""),518245.17327)</f>
        <v>518245.1733</v>
      </c>
      <c r="I2140" s="24">
        <f>IFERROR(__xludf.DUMMYFUNCTION("""COMPUTED_VALUE"""),0.03649034654000016)</f>
        <v>0.03649034654</v>
      </c>
    </row>
    <row r="2141">
      <c r="A2141" s="5" t="str">
        <f>IFERROR(__xludf.DUMMYFUNCTION("""COMPUTED_VALUE"""),"38307")</f>
        <v>38307</v>
      </c>
      <c r="B2141" s="64">
        <f>IFERROR(__xludf.DUMMYFUNCTION("""COMPUTED_VALUE"""),44656.0)</f>
        <v>44656</v>
      </c>
      <c r="C2141" s="5"/>
      <c r="D2141" s="5"/>
      <c r="E2141" s="5"/>
      <c r="F2141" s="22">
        <f>IFERROR(__xludf.DUMMYFUNCTION("""COMPUTED_VALUE"""),232597.077392)</f>
        <v>232597.0774</v>
      </c>
      <c r="G2141" s="22">
        <f>IFERROR(__xludf.DUMMYFUNCTION("""COMPUTED_VALUE"""),0.0)</f>
        <v>0</v>
      </c>
      <c r="H2141" s="22">
        <f>IFERROR(__xludf.DUMMYFUNCTION("""COMPUTED_VALUE"""),512726.2878749999)</f>
        <v>512726.2879</v>
      </c>
      <c r="I2141" s="24">
        <f>IFERROR(__xludf.DUMMYFUNCTION("""COMPUTED_VALUE"""),0.02545257574999993)</f>
        <v>0.02545257575</v>
      </c>
    </row>
    <row r="2142">
      <c r="A2142" s="5" t="str">
        <f>IFERROR(__xludf.DUMMYFUNCTION("""COMPUTED_VALUE"""),"38307")</f>
        <v>38307</v>
      </c>
      <c r="B2142" s="64">
        <f>IFERROR(__xludf.DUMMYFUNCTION("""COMPUTED_VALUE"""),44657.0)</f>
        <v>44657</v>
      </c>
      <c r="C2142" s="5"/>
      <c r="D2142" s="5"/>
      <c r="E2142" s="5"/>
      <c r="F2142" s="22">
        <f>IFERROR(__xludf.DUMMYFUNCTION("""COMPUTED_VALUE"""),232597.077392)</f>
        <v>232597.0774</v>
      </c>
      <c r="G2142" s="22">
        <f>IFERROR(__xludf.DUMMYFUNCTION("""COMPUTED_VALUE"""),0.0)</f>
        <v>0</v>
      </c>
      <c r="H2142" s="22">
        <f>IFERROR(__xludf.DUMMYFUNCTION("""COMPUTED_VALUE"""),515845.16276399995)</f>
        <v>515845.1628</v>
      </c>
      <c r="I2142" s="24">
        <f>IFERROR(__xludf.DUMMYFUNCTION("""COMPUTED_VALUE"""),0.031690325527999885)</f>
        <v>0.03169032553</v>
      </c>
    </row>
    <row r="2143">
      <c r="A2143" s="5" t="str">
        <f>IFERROR(__xludf.DUMMYFUNCTION("""COMPUTED_VALUE"""),"38307")</f>
        <v>38307</v>
      </c>
      <c r="B2143" s="64">
        <f>IFERROR(__xludf.DUMMYFUNCTION("""COMPUTED_VALUE"""),44658.0)</f>
        <v>44658</v>
      </c>
      <c r="C2143" s="5"/>
      <c r="D2143" s="5"/>
      <c r="E2143" s="5"/>
      <c r="F2143" s="22">
        <f>IFERROR(__xludf.DUMMYFUNCTION("""COMPUTED_VALUE"""),232597.077392)</f>
        <v>232597.0774</v>
      </c>
      <c r="G2143" s="22">
        <f>IFERROR(__xludf.DUMMYFUNCTION("""COMPUTED_VALUE"""),0.0)</f>
        <v>0</v>
      </c>
      <c r="H2143" s="22">
        <f>IFERROR(__xludf.DUMMYFUNCTION("""COMPUTED_VALUE"""),520772.18038200005)</f>
        <v>520772.1804</v>
      </c>
      <c r="I2143" s="24">
        <f>IFERROR(__xludf.DUMMYFUNCTION("""COMPUTED_VALUE"""),0.04154436076400003)</f>
        <v>0.04154436076</v>
      </c>
    </row>
    <row r="2144">
      <c r="A2144" s="5" t="str">
        <f>IFERROR(__xludf.DUMMYFUNCTION("""COMPUTED_VALUE"""),"38307")</f>
        <v>38307</v>
      </c>
      <c r="B2144" s="64">
        <f>IFERROR(__xludf.DUMMYFUNCTION("""COMPUTED_VALUE"""),44659.0)</f>
        <v>44659</v>
      </c>
      <c r="C2144" s="5"/>
      <c r="D2144" s="5"/>
      <c r="E2144" s="5"/>
      <c r="F2144" s="22">
        <f>IFERROR(__xludf.DUMMYFUNCTION("""COMPUTED_VALUE"""),232597.077392)</f>
        <v>232597.0774</v>
      </c>
      <c r="G2144" s="22">
        <f>IFERROR(__xludf.DUMMYFUNCTION("""COMPUTED_VALUE"""),0.0)</f>
        <v>0</v>
      </c>
      <c r="H2144" s="22">
        <f>IFERROR(__xludf.DUMMYFUNCTION("""COMPUTED_VALUE"""),518769.208457)</f>
        <v>518769.2085</v>
      </c>
      <c r="I2144" s="24">
        <f>IFERROR(__xludf.DUMMYFUNCTION("""COMPUTED_VALUE"""),0.03753841691399984)</f>
        <v>0.03753841691</v>
      </c>
    </row>
    <row r="2145">
      <c r="A2145" s="5" t="str">
        <f>IFERROR(__xludf.DUMMYFUNCTION("""COMPUTED_VALUE"""),"38307")</f>
        <v>38307</v>
      </c>
      <c r="B2145" s="64">
        <f>IFERROR(__xludf.DUMMYFUNCTION("""COMPUTED_VALUE"""),44660.0)</f>
        <v>44660</v>
      </c>
      <c r="C2145" s="5"/>
      <c r="D2145" s="5"/>
      <c r="E2145" s="5"/>
      <c r="F2145" s="22">
        <f>IFERROR(__xludf.DUMMYFUNCTION("""COMPUTED_VALUE"""),232597.077392)</f>
        <v>232597.0774</v>
      </c>
      <c r="G2145" s="22">
        <f>IFERROR(__xludf.DUMMYFUNCTION("""COMPUTED_VALUE"""),0.0)</f>
        <v>0</v>
      </c>
      <c r="H2145" s="22">
        <f>IFERROR(__xludf.DUMMYFUNCTION("""COMPUTED_VALUE"""),518769.208457)</f>
        <v>518769.2085</v>
      </c>
      <c r="I2145" s="24">
        <f>IFERROR(__xludf.DUMMYFUNCTION("""COMPUTED_VALUE"""),0.03753841691399984)</f>
        <v>0.03753841691</v>
      </c>
    </row>
    <row r="2146">
      <c r="A2146" s="5" t="str">
        <f>IFERROR(__xludf.DUMMYFUNCTION("""COMPUTED_VALUE"""),"38307")</f>
        <v>38307</v>
      </c>
      <c r="B2146" s="64">
        <f>IFERROR(__xludf.DUMMYFUNCTION("""COMPUTED_VALUE"""),44661.0)</f>
        <v>44661</v>
      </c>
      <c r="C2146" s="5"/>
      <c r="D2146" s="5"/>
      <c r="E2146" s="5"/>
      <c r="F2146" s="22">
        <f>IFERROR(__xludf.DUMMYFUNCTION("""COMPUTED_VALUE"""),232597.077392)</f>
        <v>232597.0774</v>
      </c>
      <c r="G2146" s="22">
        <f>IFERROR(__xludf.DUMMYFUNCTION("""COMPUTED_VALUE"""),0.0)</f>
        <v>0</v>
      </c>
      <c r="H2146" s="22">
        <f>IFERROR(__xludf.DUMMYFUNCTION("""COMPUTED_VALUE"""),518769.208457)</f>
        <v>518769.2085</v>
      </c>
      <c r="I2146" s="24">
        <f>IFERROR(__xludf.DUMMYFUNCTION("""COMPUTED_VALUE"""),0.03753841691399984)</f>
        <v>0.03753841691</v>
      </c>
    </row>
    <row r="2147">
      <c r="A2147" s="5" t="str">
        <f>IFERROR(__xludf.DUMMYFUNCTION("""COMPUTED_VALUE"""),"38307")</f>
        <v>38307</v>
      </c>
      <c r="B2147" s="64">
        <f>IFERROR(__xludf.DUMMYFUNCTION("""COMPUTED_VALUE"""),44662.0)</f>
        <v>44662</v>
      </c>
      <c r="C2147" s="5"/>
      <c r="D2147" s="5"/>
      <c r="E2147" s="5"/>
      <c r="F2147" s="22">
        <f>IFERROR(__xludf.DUMMYFUNCTION("""COMPUTED_VALUE"""),232597.077392)</f>
        <v>232597.0774</v>
      </c>
      <c r="G2147" s="22">
        <f>IFERROR(__xludf.DUMMYFUNCTION("""COMPUTED_VALUE"""),0.0)</f>
        <v>0</v>
      </c>
      <c r="H2147" s="22">
        <f>IFERROR(__xludf.DUMMYFUNCTION("""COMPUTED_VALUE"""),510079.766035)</f>
        <v>510079.766</v>
      </c>
      <c r="I2147" s="24">
        <f>IFERROR(__xludf.DUMMYFUNCTION("""COMPUTED_VALUE"""),0.020159532069999875)</f>
        <v>0.02015953207</v>
      </c>
    </row>
    <row r="2148">
      <c r="A2148" s="5" t="str">
        <f>IFERROR(__xludf.DUMMYFUNCTION("""COMPUTED_VALUE"""),"38307")</f>
        <v>38307</v>
      </c>
      <c r="B2148" s="64">
        <f>IFERROR(__xludf.DUMMYFUNCTION("""COMPUTED_VALUE"""),44663.0)</f>
        <v>44663</v>
      </c>
      <c r="C2148" s="5"/>
      <c r="D2148" s="5"/>
      <c r="E2148" s="5"/>
      <c r="F2148" s="22">
        <f>IFERROR(__xludf.DUMMYFUNCTION("""COMPUTED_VALUE"""),232597.077392)</f>
        <v>232597.0774</v>
      </c>
      <c r="G2148" s="22">
        <f>IFERROR(__xludf.DUMMYFUNCTION("""COMPUTED_VALUE"""),0.0)</f>
        <v>0</v>
      </c>
      <c r="H2148" s="22">
        <f>IFERROR(__xludf.DUMMYFUNCTION("""COMPUTED_VALUE"""),508029.50179099996)</f>
        <v>508029.5018</v>
      </c>
      <c r="I2148" s="24">
        <f>IFERROR(__xludf.DUMMYFUNCTION("""COMPUTED_VALUE"""),0.016059003581999853)</f>
        <v>0.01605900358</v>
      </c>
    </row>
    <row r="2149">
      <c r="A2149" s="5" t="str">
        <f>IFERROR(__xludf.DUMMYFUNCTION("""COMPUTED_VALUE"""),"38369")</f>
        <v>38369</v>
      </c>
      <c r="B2149" s="64">
        <f>IFERROR(__xludf.DUMMYFUNCTION("""COMPUTED_VALUE"""),44597.0)</f>
        <v>44597</v>
      </c>
      <c r="C2149" s="5"/>
      <c r="D2149" s="5"/>
      <c r="E2149" s="5"/>
      <c r="F2149" s="22">
        <f>IFERROR(__xludf.DUMMYFUNCTION("""COMPUTED_VALUE"""),500000.0)</f>
        <v>500000</v>
      </c>
      <c r="G2149" s="22">
        <f>IFERROR(__xludf.DUMMYFUNCTION("""COMPUTED_VALUE"""),0.0)</f>
        <v>0</v>
      </c>
      <c r="H2149" s="22">
        <f>IFERROR(__xludf.DUMMYFUNCTION("""COMPUTED_VALUE"""),500000.0)</f>
        <v>500000</v>
      </c>
      <c r="I2149" s="24">
        <f>IFERROR(__xludf.DUMMYFUNCTION("""COMPUTED_VALUE"""),0.0)</f>
        <v>0</v>
      </c>
    </row>
    <row r="2150">
      <c r="A2150" s="5" t="str">
        <f>IFERROR(__xludf.DUMMYFUNCTION("""COMPUTED_VALUE"""),"38369")</f>
        <v>38369</v>
      </c>
      <c r="B2150" s="64">
        <f>IFERROR(__xludf.DUMMYFUNCTION("""COMPUTED_VALUE"""),44598.0)</f>
        <v>44598</v>
      </c>
      <c r="C2150" s="5"/>
      <c r="D2150" s="5"/>
      <c r="E2150" s="5"/>
      <c r="F2150" s="22">
        <f>IFERROR(__xludf.DUMMYFUNCTION("""COMPUTED_VALUE"""),500000.0)</f>
        <v>500000</v>
      </c>
      <c r="G2150" s="22">
        <f>IFERROR(__xludf.DUMMYFUNCTION("""COMPUTED_VALUE"""),0.0)</f>
        <v>0</v>
      </c>
      <c r="H2150" s="22">
        <f>IFERROR(__xludf.DUMMYFUNCTION("""COMPUTED_VALUE"""),500000.0)</f>
        <v>500000</v>
      </c>
      <c r="I2150" s="24">
        <f>IFERROR(__xludf.DUMMYFUNCTION("""COMPUTED_VALUE"""),0.0)</f>
        <v>0</v>
      </c>
    </row>
    <row r="2151">
      <c r="A2151" s="5" t="str">
        <f>IFERROR(__xludf.DUMMYFUNCTION("""COMPUTED_VALUE"""),"38369")</f>
        <v>38369</v>
      </c>
      <c r="B2151" s="64">
        <f>IFERROR(__xludf.DUMMYFUNCTION("""COMPUTED_VALUE"""),44599.0)</f>
        <v>44599</v>
      </c>
      <c r="C2151" s="5"/>
      <c r="D2151" s="5"/>
      <c r="E2151" s="5"/>
      <c r="F2151" s="22">
        <f>IFERROR(__xludf.DUMMYFUNCTION("""COMPUTED_VALUE"""),500000.0)</f>
        <v>500000</v>
      </c>
      <c r="G2151" s="22">
        <f>IFERROR(__xludf.DUMMYFUNCTION("""COMPUTED_VALUE"""),0.0)</f>
        <v>0</v>
      </c>
      <c r="H2151" s="22">
        <f>IFERROR(__xludf.DUMMYFUNCTION("""COMPUTED_VALUE"""),500000.0)</f>
        <v>500000</v>
      </c>
      <c r="I2151" s="24">
        <f>IFERROR(__xludf.DUMMYFUNCTION("""COMPUTED_VALUE"""),0.0)</f>
        <v>0</v>
      </c>
    </row>
    <row r="2152">
      <c r="A2152" s="5" t="str">
        <f>IFERROR(__xludf.DUMMYFUNCTION("""COMPUTED_VALUE"""),"38369")</f>
        <v>38369</v>
      </c>
      <c r="B2152" s="64">
        <f>IFERROR(__xludf.DUMMYFUNCTION("""COMPUTED_VALUE"""),44600.0)</f>
        <v>44600</v>
      </c>
      <c r="C2152" s="5"/>
      <c r="D2152" s="5"/>
      <c r="E2152" s="5"/>
      <c r="F2152" s="22">
        <f>IFERROR(__xludf.DUMMYFUNCTION("""COMPUTED_VALUE"""),500000.0)</f>
        <v>500000</v>
      </c>
      <c r="G2152" s="22">
        <f>IFERROR(__xludf.DUMMYFUNCTION("""COMPUTED_VALUE"""),0.0)</f>
        <v>0</v>
      </c>
      <c r="H2152" s="22">
        <f>IFERROR(__xludf.DUMMYFUNCTION("""COMPUTED_VALUE"""),500000.0)</f>
        <v>500000</v>
      </c>
      <c r="I2152" s="24">
        <f>IFERROR(__xludf.DUMMYFUNCTION("""COMPUTED_VALUE"""),0.0)</f>
        <v>0</v>
      </c>
    </row>
    <row r="2153">
      <c r="A2153" s="5" t="str">
        <f>IFERROR(__xludf.DUMMYFUNCTION("""COMPUTED_VALUE"""),"38369")</f>
        <v>38369</v>
      </c>
      <c r="B2153" s="64">
        <f>IFERROR(__xludf.DUMMYFUNCTION("""COMPUTED_VALUE"""),44601.0)</f>
        <v>44601</v>
      </c>
      <c r="C2153" s="5"/>
      <c r="D2153" s="5"/>
      <c r="E2153" s="5"/>
      <c r="F2153" s="22">
        <f>IFERROR(__xludf.DUMMYFUNCTION("""COMPUTED_VALUE"""),500000.0)</f>
        <v>500000</v>
      </c>
      <c r="G2153" s="22">
        <f>IFERROR(__xludf.DUMMYFUNCTION("""COMPUTED_VALUE"""),0.0)</f>
        <v>0</v>
      </c>
      <c r="H2153" s="22">
        <f>IFERROR(__xludf.DUMMYFUNCTION("""COMPUTED_VALUE"""),500000.0)</f>
        <v>500000</v>
      </c>
      <c r="I2153" s="24">
        <f>IFERROR(__xludf.DUMMYFUNCTION("""COMPUTED_VALUE"""),0.0)</f>
        <v>0</v>
      </c>
    </row>
    <row r="2154">
      <c r="A2154" s="5" t="str">
        <f>IFERROR(__xludf.DUMMYFUNCTION("""COMPUTED_VALUE"""),"38369")</f>
        <v>38369</v>
      </c>
      <c r="B2154" s="64">
        <f>IFERROR(__xludf.DUMMYFUNCTION("""COMPUTED_VALUE"""),44602.0)</f>
        <v>44602</v>
      </c>
      <c r="C2154" s="5"/>
      <c r="D2154" s="5"/>
      <c r="E2154" s="5"/>
      <c r="F2154" s="22">
        <f>IFERROR(__xludf.DUMMYFUNCTION("""COMPUTED_VALUE"""),500000.0)</f>
        <v>500000</v>
      </c>
      <c r="G2154" s="22">
        <f>IFERROR(__xludf.DUMMYFUNCTION("""COMPUTED_VALUE"""),0.0)</f>
        <v>0</v>
      </c>
      <c r="H2154" s="22">
        <f>IFERROR(__xludf.DUMMYFUNCTION("""COMPUTED_VALUE"""),500000.0)</f>
        <v>500000</v>
      </c>
      <c r="I2154" s="24">
        <f>IFERROR(__xludf.DUMMYFUNCTION("""COMPUTED_VALUE"""),0.0)</f>
        <v>0</v>
      </c>
    </row>
    <row r="2155">
      <c r="A2155" s="5" t="str">
        <f>IFERROR(__xludf.DUMMYFUNCTION("""COMPUTED_VALUE"""),"38369")</f>
        <v>38369</v>
      </c>
      <c r="B2155" s="64">
        <f>IFERROR(__xludf.DUMMYFUNCTION("""COMPUTED_VALUE"""),44603.0)</f>
        <v>44603</v>
      </c>
      <c r="C2155" s="5"/>
      <c r="D2155" s="5"/>
      <c r="E2155" s="5"/>
      <c r="F2155" s="22">
        <f>IFERROR(__xludf.DUMMYFUNCTION("""COMPUTED_VALUE"""),500000.0)</f>
        <v>500000</v>
      </c>
      <c r="G2155" s="22">
        <f>IFERROR(__xludf.DUMMYFUNCTION("""COMPUTED_VALUE"""),0.0)</f>
        <v>0</v>
      </c>
      <c r="H2155" s="22">
        <f>IFERROR(__xludf.DUMMYFUNCTION("""COMPUTED_VALUE"""),500000.0)</f>
        <v>500000</v>
      </c>
      <c r="I2155" s="24">
        <f>IFERROR(__xludf.DUMMYFUNCTION("""COMPUTED_VALUE"""),0.0)</f>
        <v>0</v>
      </c>
    </row>
    <row r="2156">
      <c r="A2156" s="5" t="str">
        <f>IFERROR(__xludf.DUMMYFUNCTION("""COMPUTED_VALUE"""),"38369")</f>
        <v>38369</v>
      </c>
      <c r="B2156" s="64">
        <f>IFERROR(__xludf.DUMMYFUNCTION("""COMPUTED_VALUE"""),44604.0)</f>
        <v>44604</v>
      </c>
      <c r="C2156" s="5"/>
      <c r="D2156" s="5"/>
      <c r="E2156" s="5"/>
      <c r="F2156" s="22">
        <f>IFERROR(__xludf.DUMMYFUNCTION("""COMPUTED_VALUE"""),500000.0)</f>
        <v>500000</v>
      </c>
      <c r="G2156" s="22">
        <f>IFERROR(__xludf.DUMMYFUNCTION("""COMPUTED_VALUE"""),0.0)</f>
        <v>0</v>
      </c>
      <c r="H2156" s="22">
        <f>IFERROR(__xludf.DUMMYFUNCTION("""COMPUTED_VALUE"""),500000.0)</f>
        <v>500000</v>
      </c>
      <c r="I2156" s="24">
        <f>IFERROR(__xludf.DUMMYFUNCTION("""COMPUTED_VALUE"""),0.0)</f>
        <v>0</v>
      </c>
    </row>
    <row r="2157">
      <c r="A2157" s="5" t="str">
        <f>IFERROR(__xludf.DUMMYFUNCTION("""COMPUTED_VALUE"""),"38369")</f>
        <v>38369</v>
      </c>
      <c r="B2157" s="64">
        <f>IFERROR(__xludf.DUMMYFUNCTION("""COMPUTED_VALUE"""),44605.0)</f>
        <v>44605</v>
      </c>
      <c r="C2157" s="5"/>
      <c r="D2157" s="5"/>
      <c r="E2157" s="5"/>
      <c r="F2157" s="22">
        <f>IFERROR(__xludf.DUMMYFUNCTION("""COMPUTED_VALUE"""),500000.0)</f>
        <v>500000</v>
      </c>
      <c r="G2157" s="22">
        <f>IFERROR(__xludf.DUMMYFUNCTION("""COMPUTED_VALUE"""),0.0)</f>
        <v>0</v>
      </c>
      <c r="H2157" s="22">
        <f>IFERROR(__xludf.DUMMYFUNCTION("""COMPUTED_VALUE"""),500000.0)</f>
        <v>500000</v>
      </c>
      <c r="I2157" s="24">
        <f>IFERROR(__xludf.DUMMYFUNCTION("""COMPUTED_VALUE"""),0.0)</f>
        <v>0</v>
      </c>
    </row>
    <row r="2158">
      <c r="A2158" s="5" t="str">
        <f>IFERROR(__xludf.DUMMYFUNCTION("""COMPUTED_VALUE"""),"38369")</f>
        <v>38369</v>
      </c>
      <c r="B2158" s="64">
        <f>IFERROR(__xludf.DUMMYFUNCTION("""COMPUTED_VALUE"""),44606.0)</f>
        <v>44606</v>
      </c>
      <c r="C2158" s="5"/>
      <c r="D2158" s="5"/>
      <c r="E2158" s="5"/>
      <c r="F2158" s="22">
        <f>IFERROR(__xludf.DUMMYFUNCTION("""COMPUTED_VALUE"""),500000.0)</f>
        <v>500000</v>
      </c>
      <c r="G2158" s="22">
        <f>IFERROR(__xludf.DUMMYFUNCTION("""COMPUTED_VALUE"""),0.0)</f>
        <v>0</v>
      </c>
      <c r="H2158" s="22">
        <f>IFERROR(__xludf.DUMMYFUNCTION("""COMPUTED_VALUE"""),500000.0)</f>
        <v>500000</v>
      </c>
      <c r="I2158" s="24">
        <f>IFERROR(__xludf.DUMMYFUNCTION("""COMPUTED_VALUE"""),0.0)</f>
        <v>0</v>
      </c>
    </row>
    <row r="2159">
      <c r="A2159" s="5" t="str">
        <f>IFERROR(__xludf.DUMMYFUNCTION("""COMPUTED_VALUE"""),"38369")</f>
        <v>38369</v>
      </c>
      <c r="B2159" s="64">
        <f>IFERROR(__xludf.DUMMYFUNCTION("""COMPUTED_VALUE"""),44607.0)</f>
        <v>44607</v>
      </c>
      <c r="C2159" s="5"/>
      <c r="D2159" s="5"/>
      <c r="E2159" s="5"/>
      <c r="F2159" s="22">
        <f>IFERROR(__xludf.DUMMYFUNCTION("""COMPUTED_VALUE"""),500000.0)</f>
        <v>500000</v>
      </c>
      <c r="G2159" s="22">
        <f>IFERROR(__xludf.DUMMYFUNCTION("""COMPUTED_VALUE"""),0.0)</f>
        <v>0</v>
      </c>
      <c r="H2159" s="22">
        <f>IFERROR(__xludf.DUMMYFUNCTION("""COMPUTED_VALUE"""),500000.0)</f>
        <v>500000</v>
      </c>
      <c r="I2159" s="24">
        <f>IFERROR(__xludf.DUMMYFUNCTION("""COMPUTED_VALUE"""),0.0)</f>
        <v>0</v>
      </c>
    </row>
    <row r="2160">
      <c r="A2160" s="5" t="str">
        <f>IFERROR(__xludf.DUMMYFUNCTION("""COMPUTED_VALUE"""),"38369")</f>
        <v>38369</v>
      </c>
      <c r="B2160" s="64">
        <f>IFERROR(__xludf.DUMMYFUNCTION("""COMPUTED_VALUE"""),44608.0)</f>
        <v>44608</v>
      </c>
      <c r="C2160" s="5"/>
      <c r="D2160" s="5"/>
      <c r="E2160" s="5"/>
      <c r="F2160" s="22">
        <f>IFERROR(__xludf.DUMMYFUNCTION("""COMPUTED_VALUE"""),500000.0)</f>
        <v>500000</v>
      </c>
      <c r="G2160" s="22">
        <f>IFERROR(__xludf.DUMMYFUNCTION("""COMPUTED_VALUE"""),0.0)</f>
        <v>0</v>
      </c>
      <c r="H2160" s="22">
        <f>IFERROR(__xludf.DUMMYFUNCTION("""COMPUTED_VALUE"""),500000.0)</f>
        <v>500000</v>
      </c>
      <c r="I2160" s="24">
        <f>IFERROR(__xludf.DUMMYFUNCTION("""COMPUTED_VALUE"""),0.0)</f>
        <v>0</v>
      </c>
    </row>
    <row r="2161">
      <c r="A2161" s="5" t="str">
        <f>IFERROR(__xludf.DUMMYFUNCTION("""COMPUTED_VALUE"""),"38369")</f>
        <v>38369</v>
      </c>
      <c r="B2161" s="64">
        <f>IFERROR(__xludf.DUMMYFUNCTION("""COMPUTED_VALUE"""),44609.0)</f>
        <v>44609</v>
      </c>
      <c r="C2161" s="5"/>
      <c r="D2161" s="5"/>
      <c r="E2161" s="5"/>
      <c r="F2161" s="22">
        <f>IFERROR(__xludf.DUMMYFUNCTION("""COMPUTED_VALUE"""),500000.0)</f>
        <v>500000</v>
      </c>
      <c r="G2161" s="22">
        <f>IFERROR(__xludf.DUMMYFUNCTION("""COMPUTED_VALUE"""),0.0)</f>
        <v>0</v>
      </c>
      <c r="H2161" s="22">
        <f>IFERROR(__xludf.DUMMYFUNCTION("""COMPUTED_VALUE"""),500000.0)</f>
        <v>500000</v>
      </c>
      <c r="I2161" s="24">
        <f>IFERROR(__xludf.DUMMYFUNCTION("""COMPUTED_VALUE"""),0.0)</f>
        <v>0</v>
      </c>
    </row>
    <row r="2162">
      <c r="A2162" s="5" t="str">
        <f>IFERROR(__xludf.DUMMYFUNCTION("""COMPUTED_VALUE"""),"38369")</f>
        <v>38369</v>
      </c>
      <c r="B2162" s="64">
        <f>IFERROR(__xludf.DUMMYFUNCTION("""COMPUTED_VALUE"""),44610.0)</f>
        <v>44610</v>
      </c>
      <c r="C2162" s="5"/>
      <c r="D2162" s="5"/>
      <c r="E2162" s="5"/>
      <c r="F2162" s="22">
        <f>IFERROR(__xludf.DUMMYFUNCTION("""COMPUTED_VALUE"""),500000.0)</f>
        <v>500000</v>
      </c>
      <c r="G2162" s="22">
        <f>IFERROR(__xludf.DUMMYFUNCTION("""COMPUTED_VALUE"""),0.0)</f>
        <v>0</v>
      </c>
      <c r="H2162" s="22">
        <f>IFERROR(__xludf.DUMMYFUNCTION("""COMPUTED_VALUE"""),500000.0)</f>
        <v>500000</v>
      </c>
      <c r="I2162" s="24">
        <f>IFERROR(__xludf.DUMMYFUNCTION("""COMPUTED_VALUE"""),0.0)</f>
        <v>0</v>
      </c>
    </row>
    <row r="2163">
      <c r="A2163" s="5" t="str">
        <f>IFERROR(__xludf.DUMMYFUNCTION("""COMPUTED_VALUE"""),"38369")</f>
        <v>38369</v>
      </c>
      <c r="B2163" s="64">
        <f>IFERROR(__xludf.DUMMYFUNCTION("""COMPUTED_VALUE"""),44611.0)</f>
        <v>44611</v>
      </c>
      <c r="C2163" s="5"/>
      <c r="D2163" s="5"/>
      <c r="E2163" s="5"/>
      <c r="F2163" s="22">
        <f>IFERROR(__xludf.DUMMYFUNCTION("""COMPUTED_VALUE"""),500000.0)</f>
        <v>500000</v>
      </c>
      <c r="G2163" s="22">
        <f>IFERROR(__xludf.DUMMYFUNCTION("""COMPUTED_VALUE"""),0.0)</f>
        <v>0</v>
      </c>
      <c r="H2163" s="22">
        <f>IFERROR(__xludf.DUMMYFUNCTION("""COMPUTED_VALUE"""),500000.0)</f>
        <v>500000</v>
      </c>
      <c r="I2163" s="24">
        <f>IFERROR(__xludf.DUMMYFUNCTION("""COMPUTED_VALUE"""),0.0)</f>
        <v>0</v>
      </c>
    </row>
    <row r="2164">
      <c r="A2164" s="5" t="str">
        <f>IFERROR(__xludf.DUMMYFUNCTION("""COMPUTED_VALUE"""),"38369")</f>
        <v>38369</v>
      </c>
      <c r="B2164" s="64">
        <f>IFERROR(__xludf.DUMMYFUNCTION("""COMPUTED_VALUE"""),44612.0)</f>
        <v>44612</v>
      </c>
      <c r="C2164" s="5"/>
      <c r="D2164" s="5"/>
      <c r="E2164" s="5"/>
      <c r="F2164" s="22">
        <f>IFERROR(__xludf.DUMMYFUNCTION("""COMPUTED_VALUE"""),500000.0)</f>
        <v>500000</v>
      </c>
      <c r="G2164" s="22">
        <f>IFERROR(__xludf.DUMMYFUNCTION("""COMPUTED_VALUE"""),0.0)</f>
        <v>0</v>
      </c>
      <c r="H2164" s="22">
        <f>IFERROR(__xludf.DUMMYFUNCTION("""COMPUTED_VALUE"""),500000.0)</f>
        <v>500000</v>
      </c>
      <c r="I2164" s="24">
        <f>IFERROR(__xludf.DUMMYFUNCTION("""COMPUTED_VALUE"""),0.0)</f>
        <v>0</v>
      </c>
    </row>
    <row r="2165">
      <c r="A2165" s="5" t="str">
        <f>IFERROR(__xludf.DUMMYFUNCTION("""COMPUTED_VALUE"""),"38369")</f>
        <v>38369</v>
      </c>
      <c r="B2165" s="64">
        <f>IFERROR(__xludf.DUMMYFUNCTION("""COMPUTED_VALUE"""),44613.0)</f>
        <v>44613</v>
      </c>
      <c r="C2165" s="5"/>
      <c r="D2165" s="5"/>
      <c r="E2165" s="5"/>
      <c r="F2165" s="22">
        <f>IFERROR(__xludf.DUMMYFUNCTION("""COMPUTED_VALUE"""),500000.0)</f>
        <v>500000</v>
      </c>
      <c r="G2165" s="22">
        <f>IFERROR(__xludf.DUMMYFUNCTION("""COMPUTED_VALUE"""),0.0)</f>
        <v>0</v>
      </c>
      <c r="H2165" s="22">
        <f>IFERROR(__xludf.DUMMYFUNCTION("""COMPUTED_VALUE"""),500000.0)</f>
        <v>500000</v>
      </c>
      <c r="I2165" s="24">
        <f>IFERROR(__xludf.DUMMYFUNCTION("""COMPUTED_VALUE"""),0.0)</f>
        <v>0</v>
      </c>
    </row>
    <row r="2166">
      <c r="A2166" s="5" t="str">
        <f>IFERROR(__xludf.DUMMYFUNCTION("""COMPUTED_VALUE"""),"38369")</f>
        <v>38369</v>
      </c>
      <c r="B2166" s="64">
        <f>IFERROR(__xludf.DUMMYFUNCTION("""COMPUTED_VALUE"""),44614.0)</f>
        <v>44614</v>
      </c>
      <c r="C2166" s="5"/>
      <c r="D2166" s="5"/>
      <c r="E2166" s="5"/>
      <c r="F2166" s="22">
        <f>IFERROR(__xludf.DUMMYFUNCTION("""COMPUTED_VALUE"""),500000.0)</f>
        <v>500000</v>
      </c>
      <c r="G2166" s="22">
        <f>IFERROR(__xludf.DUMMYFUNCTION("""COMPUTED_VALUE"""),0.0)</f>
        <v>0</v>
      </c>
      <c r="H2166" s="22">
        <f>IFERROR(__xludf.DUMMYFUNCTION("""COMPUTED_VALUE"""),500000.0)</f>
        <v>500000</v>
      </c>
      <c r="I2166" s="24">
        <f>IFERROR(__xludf.DUMMYFUNCTION("""COMPUTED_VALUE"""),0.0)</f>
        <v>0</v>
      </c>
    </row>
    <row r="2167">
      <c r="A2167" s="5" t="str">
        <f>IFERROR(__xludf.DUMMYFUNCTION("""COMPUTED_VALUE"""),"38369")</f>
        <v>38369</v>
      </c>
      <c r="B2167" s="64">
        <f>IFERROR(__xludf.DUMMYFUNCTION("""COMPUTED_VALUE"""),44615.0)</f>
        <v>44615</v>
      </c>
      <c r="C2167" s="5"/>
      <c r="D2167" s="5"/>
      <c r="E2167" s="5"/>
      <c r="F2167" s="22">
        <f>IFERROR(__xludf.DUMMYFUNCTION("""COMPUTED_VALUE"""),500000.0)</f>
        <v>500000</v>
      </c>
      <c r="G2167" s="22">
        <f>IFERROR(__xludf.DUMMYFUNCTION("""COMPUTED_VALUE"""),0.0)</f>
        <v>0</v>
      </c>
      <c r="H2167" s="22">
        <f>IFERROR(__xludf.DUMMYFUNCTION("""COMPUTED_VALUE"""),500000.0)</f>
        <v>500000</v>
      </c>
      <c r="I2167" s="24">
        <f>IFERROR(__xludf.DUMMYFUNCTION("""COMPUTED_VALUE"""),0.0)</f>
        <v>0</v>
      </c>
    </row>
    <row r="2168">
      <c r="A2168" s="5" t="str">
        <f>IFERROR(__xludf.DUMMYFUNCTION("""COMPUTED_VALUE"""),"38369")</f>
        <v>38369</v>
      </c>
      <c r="B2168" s="64">
        <f>IFERROR(__xludf.DUMMYFUNCTION("""COMPUTED_VALUE"""),44616.0)</f>
        <v>44616</v>
      </c>
      <c r="C2168" s="5"/>
      <c r="D2168" s="5"/>
      <c r="E2168" s="5"/>
      <c r="F2168" s="22">
        <f>IFERROR(__xludf.DUMMYFUNCTION("""COMPUTED_VALUE"""),500000.0)</f>
        <v>500000</v>
      </c>
      <c r="G2168" s="22">
        <f>IFERROR(__xludf.DUMMYFUNCTION("""COMPUTED_VALUE"""),0.0)</f>
        <v>0</v>
      </c>
      <c r="H2168" s="22">
        <f>IFERROR(__xludf.DUMMYFUNCTION("""COMPUTED_VALUE"""),500000.0)</f>
        <v>500000</v>
      </c>
      <c r="I2168" s="24">
        <f>IFERROR(__xludf.DUMMYFUNCTION("""COMPUTED_VALUE"""),0.0)</f>
        <v>0</v>
      </c>
    </row>
    <row r="2169">
      <c r="A2169" s="5" t="str">
        <f>IFERROR(__xludf.DUMMYFUNCTION("""COMPUTED_VALUE"""),"38369")</f>
        <v>38369</v>
      </c>
      <c r="B2169" s="64">
        <f>IFERROR(__xludf.DUMMYFUNCTION("""COMPUTED_VALUE"""),44617.0)</f>
        <v>44617</v>
      </c>
      <c r="C2169" s="5"/>
      <c r="D2169" s="5"/>
      <c r="E2169" s="5"/>
      <c r="F2169" s="22">
        <f>IFERROR(__xludf.DUMMYFUNCTION("""COMPUTED_VALUE"""),500000.0)</f>
        <v>500000</v>
      </c>
      <c r="G2169" s="22">
        <f>IFERROR(__xludf.DUMMYFUNCTION("""COMPUTED_VALUE"""),0.0)</f>
        <v>0</v>
      </c>
      <c r="H2169" s="22">
        <f>IFERROR(__xludf.DUMMYFUNCTION("""COMPUTED_VALUE"""),500000.0)</f>
        <v>500000</v>
      </c>
      <c r="I2169" s="24">
        <f>IFERROR(__xludf.DUMMYFUNCTION("""COMPUTED_VALUE"""),0.0)</f>
        <v>0</v>
      </c>
    </row>
    <row r="2170">
      <c r="A2170" s="5" t="str">
        <f>IFERROR(__xludf.DUMMYFUNCTION("""COMPUTED_VALUE"""),"38369")</f>
        <v>38369</v>
      </c>
      <c r="B2170" s="64">
        <f>IFERROR(__xludf.DUMMYFUNCTION("""COMPUTED_VALUE"""),44618.0)</f>
        <v>44618</v>
      </c>
      <c r="C2170" s="5"/>
      <c r="D2170" s="5"/>
      <c r="E2170" s="5"/>
      <c r="F2170" s="22">
        <f>IFERROR(__xludf.DUMMYFUNCTION("""COMPUTED_VALUE"""),500000.0)</f>
        <v>500000</v>
      </c>
      <c r="G2170" s="22">
        <f>IFERROR(__xludf.DUMMYFUNCTION("""COMPUTED_VALUE"""),0.0)</f>
        <v>0</v>
      </c>
      <c r="H2170" s="22">
        <f>IFERROR(__xludf.DUMMYFUNCTION("""COMPUTED_VALUE"""),500000.0)</f>
        <v>500000</v>
      </c>
      <c r="I2170" s="24">
        <f>IFERROR(__xludf.DUMMYFUNCTION("""COMPUTED_VALUE"""),0.0)</f>
        <v>0</v>
      </c>
    </row>
    <row r="2171">
      <c r="A2171" s="5" t="str">
        <f>IFERROR(__xludf.DUMMYFUNCTION("""COMPUTED_VALUE"""),"38369")</f>
        <v>38369</v>
      </c>
      <c r="B2171" s="64">
        <f>IFERROR(__xludf.DUMMYFUNCTION("""COMPUTED_VALUE"""),44619.0)</f>
        <v>44619</v>
      </c>
      <c r="C2171" s="5"/>
      <c r="D2171" s="5"/>
      <c r="E2171" s="5"/>
      <c r="F2171" s="22">
        <f>IFERROR(__xludf.DUMMYFUNCTION("""COMPUTED_VALUE"""),500000.0)</f>
        <v>500000</v>
      </c>
      <c r="G2171" s="22">
        <f>IFERROR(__xludf.DUMMYFUNCTION("""COMPUTED_VALUE"""),0.0)</f>
        <v>0</v>
      </c>
      <c r="H2171" s="22">
        <f>IFERROR(__xludf.DUMMYFUNCTION("""COMPUTED_VALUE"""),500000.0)</f>
        <v>500000</v>
      </c>
      <c r="I2171" s="24">
        <f>IFERROR(__xludf.DUMMYFUNCTION("""COMPUTED_VALUE"""),0.0)</f>
        <v>0</v>
      </c>
    </row>
    <row r="2172">
      <c r="A2172" s="5" t="str">
        <f>IFERROR(__xludf.DUMMYFUNCTION("""COMPUTED_VALUE"""),"38369")</f>
        <v>38369</v>
      </c>
      <c r="B2172" s="64">
        <f>IFERROR(__xludf.DUMMYFUNCTION("""COMPUTED_VALUE"""),44620.0)</f>
        <v>44620</v>
      </c>
      <c r="C2172" s="5"/>
      <c r="D2172" s="5"/>
      <c r="E2172" s="5"/>
      <c r="F2172" s="22">
        <f>IFERROR(__xludf.DUMMYFUNCTION("""COMPUTED_VALUE"""),500000.0)</f>
        <v>500000</v>
      </c>
      <c r="G2172" s="22">
        <f>IFERROR(__xludf.DUMMYFUNCTION("""COMPUTED_VALUE"""),0.0)</f>
        <v>0</v>
      </c>
      <c r="H2172" s="22">
        <f>IFERROR(__xludf.DUMMYFUNCTION("""COMPUTED_VALUE"""),500000.0)</f>
        <v>500000</v>
      </c>
      <c r="I2172" s="24">
        <f>IFERROR(__xludf.DUMMYFUNCTION("""COMPUTED_VALUE"""),0.0)</f>
        <v>0</v>
      </c>
    </row>
    <row r="2173">
      <c r="A2173" s="5" t="str">
        <f>IFERROR(__xludf.DUMMYFUNCTION("""COMPUTED_VALUE"""),"38369")</f>
        <v>38369</v>
      </c>
      <c r="B2173" s="64">
        <f>IFERROR(__xludf.DUMMYFUNCTION("""COMPUTED_VALUE"""),44621.0)</f>
        <v>44621</v>
      </c>
      <c r="C2173" s="5"/>
      <c r="D2173" s="5"/>
      <c r="E2173" s="5"/>
      <c r="F2173" s="22">
        <f>IFERROR(__xludf.DUMMYFUNCTION("""COMPUTED_VALUE"""),500000.0)</f>
        <v>500000</v>
      </c>
      <c r="G2173" s="22">
        <f>IFERROR(__xludf.DUMMYFUNCTION("""COMPUTED_VALUE"""),0.0)</f>
        <v>0</v>
      </c>
      <c r="H2173" s="22">
        <f>IFERROR(__xludf.DUMMYFUNCTION("""COMPUTED_VALUE"""),500000.0)</f>
        <v>500000</v>
      </c>
      <c r="I2173" s="24">
        <f>IFERROR(__xludf.DUMMYFUNCTION("""COMPUTED_VALUE"""),0.0)</f>
        <v>0</v>
      </c>
    </row>
    <row r="2174">
      <c r="A2174" s="5" t="str">
        <f>IFERROR(__xludf.DUMMYFUNCTION("""COMPUTED_VALUE"""),"38369")</f>
        <v>38369</v>
      </c>
      <c r="B2174" s="64">
        <f>IFERROR(__xludf.DUMMYFUNCTION("""COMPUTED_VALUE"""),44622.0)</f>
        <v>44622</v>
      </c>
      <c r="C2174" s="5"/>
      <c r="D2174" s="5"/>
      <c r="E2174" s="5"/>
      <c r="F2174" s="22">
        <f>IFERROR(__xludf.DUMMYFUNCTION("""COMPUTED_VALUE"""),500000.0)</f>
        <v>500000</v>
      </c>
      <c r="G2174" s="22">
        <f>IFERROR(__xludf.DUMMYFUNCTION("""COMPUTED_VALUE"""),0.0)</f>
        <v>0</v>
      </c>
      <c r="H2174" s="22">
        <f>IFERROR(__xludf.DUMMYFUNCTION("""COMPUTED_VALUE"""),500000.0)</f>
        <v>500000</v>
      </c>
      <c r="I2174" s="24">
        <f>IFERROR(__xludf.DUMMYFUNCTION("""COMPUTED_VALUE"""),0.0)</f>
        <v>0</v>
      </c>
    </row>
    <row r="2175">
      <c r="A2175" s="5" t="str">
        <f>IFERROR(__xludf.DUMMYFUNCTION("""COMPUTED_VALUE"""),"38369")</f>
        <v>38369</v>
      </c>
      <c r="B2175" s="64">
        <f>IFERROR(__xludf.DUMMYFUNCTION("""COMPUTED_VALUE"""),44623.0)</f>
        <v>44623</v>
      </c>
      <c r="C2175" s="5"/>
      <c r="D2175" s="5"/>
      <c r="E2175" s="5"/>
      <c r="F2175" s="22">
        <f>IFERROR(__xludf.DUMMYFUNCTION("""COMPUTED_VALUE"""),500000.0)</f>
        <v>500000</v>
      </c>
      <c r="G2175" s="22">
        <f>IFERROR(__xludf.DUMMYFUNCTION("""COMPUTED_VALUE"""),0.0)</f>
        <v>0</v>
      </c>
      <c r="H2175" s="22">
        <f>IFERROR(__xludf.DUMMYFUNCTION("""COMPUTED_VALUE"""),500000.0)</f>
        <v>500000</v>
      </c>
      <c r="I2175" s="24">
        <f>IFERROR(__xludf.DUMMYFUNCTION("""COMPUTED_VALUE"""),0.0)</f>
        <v>0</v>
      </c>
    </row>
    <row r="2176">
      <c r="A2176" s="5" t="str">
        <f>IFERROR(__xludf.DUMMYFUNCTION("""COMPUTED_VALUE"""),"38369")</f>
        <v>38369</v>
      </c>
      <c r="B2176" s="64">
        <f>IFERROR(__xludf.DUMMYFUNCTION("""COMPUTED_VALUE"""),44624.0)</f>
        <v>44624</v>
      </c>
      <c r="C2176" s="5"/>
      <c r="D2176" s="5"/>
      <c r="E2176" s="5"/>
      <c r="F2176" s="22">
        <f>IFERROR(__xludf.DUMMYFUNCTION("""COMPUTED_VALUE"""),500000.0)</f>
        <v>500000</v>
      </c>
      <c r="G2176" s="22">
        <f>IFERROR(__xludf.DUMMYFUNCTION("""COMPUTED_VALUE"""),0.0)</f>
        <v>0</v>
      </c>
      <c r="H2176" s="22">
        <f>IFERROR(__xludf.DUMMYFUNCTION("""COMPUTED_VALUE"""),500000.0)</f>
        <v>500000</v>
      </c>
      <c r="I2176" s="24">
        <f>IFERROR(__xludf.DUMMYFUNCTION("""COMPUTED_VALUE"""),0.0)</f>
        <v>0</v>
      </c>
    </row>
    <row r="2177">
      <c r="A2177" s="5" t="str">
        <f>IFERROR(__xludf.DUMMYFUNCTION("""COMPUTED_VALUE"""),"38369")</f>
        <v>38369</v>
      </c>
      <c r="B2177" s="64">
        <f>IFERROR(__xludf.DUMMYFUNCTION("""COMPUTED_VALUE"""),44625.0)</f>
        <v>44625</v>
      </c>
      <c r="C2177" s="5"/>
      <c r="D2177" s="5"/>
      <c r="E2177" s="5"/>
      <c r="F2177" s="22">
        <f>IFERROR(__xludf.DUMMYFUNCTION("""COMPUTED_VALUE"""),500000.0)</f>
        <v>500000</v>
      </c>
      <c r="G2177" s="22">
        <f>IFERROR(__xludf.DUMMYFUNCTION("""COMPUTED_VALUE"""),0.0)</f>
        <v>0</v>
      </c>
      <c r="H2177" s="22">
        <f>IFERROR(__xludf.DUMMYFUNCTION("""COMPUTED_VALUE"""),500000.0)</f>
        <v>500000</v>
      </c>
      <c r="I2177" s="24">
        <f>IFERROR(__xludf.DUMMYFUNCTION("""COMPUTED_VALUE"""),0.0)</f>
        <v>0</v>
      </c>
    </row>
    <row r="2178">
      <c r="A2178" s="5" t="str">
        <f>IFERROR(__xludf.DUMMYFUNCTION("""COMPUTED_VALUE"""),"38369")</f>
        <v>38369</v>
      </c>
      <c r="B2178" s="64">
        <f>IFERROR(__xludf.DUMMYFUNCTION("""COMPUTED_VALUE"""),44626.0)</f>
        <v>44626</v>
      </c>
      <c r="C2178" s="5"/>
      <c r="D2178" s="5"/>
      <c r="E2178" s="5"/>
      <c r="F2178" s="22">
        <f>IFERROR(__xludf.DUMMYFUNCTION("""COMPUTED_VALUE"""),500000.0)</f>
        <v>500000</v>
      </c>
      <c r="G2178" s="22">
        <f>IFERROR(__xludf.DUMMYFUNCTION("""COMPUTED_VALUE"""),0.0)</f>
        <v>0</v>
      </c>
      <c r="H2178" s="22">
        <f>IFERROR(__xludf.DUMMYFUNCTION("""COMPUTED_VALUE"""),500000.0)</f>
        <v>500000</v>
      </c>
      <c r="I2178" s="24">
        <f>IFERROR(__xludf.DUMMYFUNCTION("""COMPUTED_VALUE"""),0.0)</f>
        <v>0</v>
      </c>
    </row>
    <row r="2179">
      <c r="A2179" s="5" t="str">
        <f>IFERROR(__xludf.DUMMYFUNCTION("""COMPUTED_VALUE"""),"38369")</f>
        <v>38369</v>
      </c>
      <c r="B2179" s="64">
        <f>IFERROR(__xludf.DUMMYFUNCTION("""COMPUTED_VALUE"""),44627.0)</f>
        <v>44627</v>
      </c>
      <c r="C2179" s="5"/>
      <c r="D2179" s="5"/>
      <c r="E2179" s="5"/>
      <c r="F2179" s="22">
        <f>IFERROR(__xludf.DUMMYFUNCTION("""COMPUTED_VALUE"""),500000.0)</f>
        <v>500000</v>
      </c>
      <c r="G2179" s="22">
        <f>IFERROR(__xludf.DUMMYFUNCTION("""COMPUTED_VALUE"""),0.0)</f>
        <v>0</v>
      </c>
      <c r="H2179" s="22">
        <f>IFERROR(__xludf.DUMMYFUNCTION("""COMPUTED_VALUE"""),500000.0)</f>
        <v>500000</v>
      </c>
      <c r="I2179" s="24">
        <f>IFERROR(__xludf.DUMMYFUNCTION("""COMPUTED_VALUE"""),0.0)</f>
        <v>0</v>
      </c>
    </row>
    <row r="2180">
      <c r="A2180" s="5" t="str">
        <f>IFERROR(__xludf.DUMMYFUNCTION("""COMPUTED_VALUE"""),"38369")</f>
        <v>38369</v>
      </c>
      <c r="B2180" s="64">
        <f>IFERROR(__xludf.DUMMYFUNCTION("""COMPUTED_VALUE"""),44628.0)</f>
        <v>44628</v>
      </c>
      <c r="C2180" s="5"/>
      <c r="D2180" s="5"/>
      <c r="E2180" s="5"/>
      <c r="F2180" s="22">
        <f>IFERROR(__xludf.DUMMYFUNCTION("""COMPUTED_VALUE"""),500000.0)</f>
        <v>500000</v>
      </c>
      <c r="G2180" s="22">
        <f>IFERROR(__xludf.DUMMYFUNCTION("""COMPUTED_VALUE"""),0.0)</f>
        <v>0</v>
      </c>
      <c r="H2180" s="22">
        <f>IFERROR(__xludf.DUMMYFUNCTION("""COMPUTED_VALUE"""),500000.0)</f>
        <v>500000</v>
      </c>
      <c r="I2180" s="24">
        <f>IFERROR(__xludf.DUMMYFUNCTION("""COMPUTED_VALUE"""),0.0)</f>
        <v>0</v>
      </c>
    </row>
    <row r="2181">
      <c r="A2181" s="5" t="str">
        <f>IFERROR(__xludf.DUMMYFUNCTION("""COMPUTED_VALUE"""),"38369")</f>
        <v>38369</v>
      </c>
      <c r="B2181" s="64">
        <f>IFERROR(__xludf.DUMMYFUNCTION("""COMPUTED_VALUE"""),44629.0)</f>
        <v>44629</v>
      </c>
      <c r="C2181" s="5"/>
      <c r="D2181" s="5"/>
      <c r="E2181" s="5"/>
      <c r="F2181" s="22">
        <f>IFERROR(__xludf.DUMMYFUNCTION("""COMPUTED_VALUE"""),500000.0)</f>
        <v>500000</v>
      </c>
      <c r="G2181" s="22">
        <f>IFERROR(__xludf.DUMMYFUNCTION("""COMPUTED_VALUE"""),0.0)</f>
        <v>0</v>
      </c>
      <c r="H2181" s="22">
        <f>IFERROR(__xludf.DUMMYFUNCTION("""COMPUTED_VALUE"""),500000.0)</f>
        <v>500000</v>
      </c>
      <c r="I2181" s="24">
        <f>IFERROR(__xludf.DUMMYFUNCTION("""COMPUTED_VALUE"""),0.0)</f>
        <v>0</v>
      </c>
    </row>
    <row r="2182">
      <c r="A2182" s="5" t="str">
        <f>IFERROR(__xludf.DUMMYFUNCTION("""COMPUTED_VALUE"""),"38369")</f>
        <v>38369</v>
      </c>
      <c r="B2182" s="64">
        <f>IFERROR(__xludf.DUMMYFUNCTION("""COMPUTED_VALUE"""),44630.0)</f>
        <v>44630</v>
      </c>
      <c r="C2182" s="5"/>
      <c r="D2182" s="5"/>
      <c r="E2182" s="5"/>
      <c r="F2182" s="22">
        <f>IFERROR(__xludf.DUMMYFUNCTION("""COMPUTED_VALUE"""),500000.0)</f>
        <v>500000</v>
      </c>
      <c r="G2182" s="22">
        <f>IFERROR(__xludf.DUMMYFUNCTION("""COMPUTED_VALUE"""),0.0)</f>
        <v>0</v>
      </c>
      <c r="H2182" s="22">
        <f>IFERROR(__xludf.DUMMYFUNCTION("""COMPUTED_VALUE"""),500000.0)</f>
        <v>500000</v>
      </c>
      <c r="I2182" s="24">
        <f>IFERROR(__xludf.DUMMYFUNCTION("""COMPUTED_VALUE"""),0.0)</f>
        <v>0</v>
      </c>
    </row>
    <row r="2183">
      <c r="A2183" s="5" t="str">
        <f>IFERROR(__xludf.DUMMYFUNCTION("""COMPUTED_VALUE"""),"38369")</f>
        <v>38369</v>
      </c>
      <c r="B2183" s="64">
        <f>IFERROR(__xludf.DUMMYFUNCTION("""COMPUTED_VALUE"""),44631.0)</f>
        <v>44631</v>
      </c>
      <c r="C2183" s="5"/>
      <c r="D2183" s="5"/>
      <c r="E2183" s="5"/>
      <c r="F2183" s="22">
        <f>IFERROR(__xludf.DUMMYFUNCTION("""COMPUTED_VALUE"""),500000.0)</f>
        <v>500000</v>
      </c>
      <c r="G2183" s="22">
        <f>IFERROR(__xludf.DUMMYFUNCTION("""COMPUTED_VALUE"""),0.0)</f>
        <v>0</v>
      </c>
      <c r="H2183" s="22">
        <f>IFERROR(__xludf.DUMMYFUNCTION("""COMPUTED_VALUE"""),500000.0)</f>
        <v>500000</v>
      </c>
      <c r="I2183" s="24">
        <f>IFERROR(__xludf.DUMMYFUNCTION("""COMPUTED_VALUE"""),0.0)</f>
        <v>0</v>
      </c>
    </row>
    <row r="2184">
      <c r="A2184" s="5" t="str">
        <f>IFERROR(__xludf.DUMMYFUNCTION("""COMPUTED_VALUE"""),"38369")</f>
        <v>38369</v>
      </c>
      <c r="B2184" s="64">
        <f>IFERROR(__xludf.DUMMYFUNCTION("""COMPUTED_VALUE"""),44632.0)</f>
        <v>44632</v>
      </c>
      <c r="C2184" s="5"/>
      <c r="D2184" s="5"/>
      <c r="E2184" s="5"/>
      <c r="F2184" s="22">
        <f>IFERROR(__xludf.DUMMYFUNCTION("""COMPUTED_VALUE"""),500000.0)</f>
        <v>500000</v>
      </c>
      <c r="G2184" s="22">
        <f>IFERROR(__xludf.DUMMYFUNCTION("""COMPUTED_VALUE"""),0.0)</f>
        <v>0</v>
      </c>
      <c r="H2184" s="22">
        <f>IFERROR(__xludf.DUMMYFUNCTION("""COMPUTED_VALUE"""),500000.0)</f>
        <v>500000</v>
      </c>
      <c r="I2184" s="24">
        <f>IFERROR(__xludf.DUMMYFUNCTION("""COMPUTED_VALUE"""),0.0)</f>
        <v>0</v>
      </c>
    </row>
    <row r="2185">
      <c r="A2185" s="5" t="str">
        <f>IFERROR(__xludf.DUMMYFUNCTION("""COMPUTED_VALUE"""),"38369")</f>
        <v>38369</v>
      </c>
      <c r="B2185" s="64">
        <f>IFERROR(__xludf.DUMMYFUNCTION("""COMPUTED_VALUE"""),44633.0)</f>
        <v>44633</v>
      </c>
      <c r="C2185" s="5"/>
      <c r="D2185" s="5"/>
      <c r="E2185" s="5"/>
      <c r="F2185" s="22">
        <f>IFERROR(__xludf.DUMMYFUNCTION("""COMPUTED_VALUE"""),500000.0)</f>
        <v>500000</v>
      </c>
      <c r="G2185" s="22">
        <f>IFERROR(__xludf.DUMMYFUNCTION("""COMPUTED_VALUE"""),0.0)</f>
        <v>0</v>
      </c>
      <c r="H2185" s="22">
        <f>IFERROR(__xludf.DUMMYFUNCTION("""COMPUTED_VALUE"""),500000.0)</f>
        <v>500000</v>
      </c>
      <c r="I2185" s="24">
        <f>IFERROR(__xludf.DUMMYFUNCTION("""COMPUTED_VALUE"""),0.0)</f>
        <v>0</v>
      </c>
    </row>
    <row r="2186">
      <c r="A2186" s="5" t="str">
        <f>IFERROR(__xludf.DUMMYFUNCTION("""COMPUTED_VALUE"""),"38369")</f>
        <v>38369</v>
      </c>
      <c r="B2186" s="64">
        <f>IFERROR(__xludf.DUMMYFUNCTION("""COMPUTED_VALUE"""),44634.0)</f>
        <v>44634</v>
      </c>
      <c r="C2186" s="5"/>
      <c r="D2186" s="5"/>
      <c r="E2186" s="5"/>
      <c r="F2186" s="22">
        <f>IFERROR(__xludf.DUMMYFUNCTION("""COMPUTED_VALUE"""),500000.0)</f>
        <v>500000</v>
      </c>
      <c r="G2186" s="22">
        <f>IFERROR(__xludf.DUMMYFUNCTION("""COMPUTED_VALUE"""),0.0)</f>
        <v>0</v>
      </c>
      <c r="H2186" s="22">
        <f>IFERROR(__xludf.DUMMYFUNCTION("""COMPUTED_VALUE"""),500000.0)</f>
        <v>500000</v>
      </c>
      <c r="I2186" s="24">
        <f>IFERROR(__xludf.DUMMYFUNCTION("""COMPUTED_VALUE"""),0.0)</f>
        <v>0</v>
      </c>
    </row>
    <row r="2187">
      <c r="A2187" s="5" t="str">
        <f>IFERROR(__xludf.DUMMYFUNCTION("""COMPUTED_VALUE"""),"38369")</f>
        <v>38369</v>
      </c>
      <c r="B2187" s="64">
        <f>IFERROR(__xludf.DUMMYFUNCTION("""COMPUTED_VALUE"""),44635.0)</f>
        <v>44635</v>
      </c>
      <c r="C2187" s="5"/>
      <c r="D2187" s="5"/>
      <c r="E2187" s="5"/>
      <c r="F2187" s="22">
        <f>IFERROR(__xludf.DUMMYFUNCTION("""COMPUTED_VALUE"""),500000.0)</f>
        <v>500000</v>
      </c>
      <c r="G2187" s="22">
        <f>IFERROR(__xludf.DUMMYFUNCTION("""COMPUTED_VALUE"""),0.0)</f>
        <v>0</v>
      </c>
      <c r="H2187" s="22">
        <f>IFERROR(__xludf.DUMMYFUNCTION("""COMPUTED_VALUE"""),500000.0)</f>
        <v>500000</v>
      </c>
      <c r="I2187" s="24">
        <f>IFERROR(__xludf.DUMMYFUNCTION("""COMPUTED_VALUE"""),0.0)</f>
        <v>0</v>
      </c>
    </row>
    <row r="2188">
      <c r="A2188" s="5" t="str">
        <f>IFERROR(__xludf.DUMMYFUNCTION("""COMPUTED_VALUE"""),"38369")</f>
        <v>38369</v>
      </c>
      <c r="B2188" s="64">
        <f>IFERROR(__xludf.DUMMYFUNCTION("""COMPUTED_VALUE"""),44636.0)</f>
        <v>44636</v>
      </c>
      <c r="C2188" s="5"/>
      <c r="D2188" s="5"/>
      <c r="E2188" s="5"/>
      <c r="F2188" s="22">
        <f>IFERROR(__xludf.DUMMYFUNCTION("""COMPUTED_VALUE"""),500000.0)</f>
        <v>500000</v>
      </c>
      <c r="G2188" s="22">
        <f>IFERROR(__xludf.DUMMYFUNCTION("""COMPUTED_VALUE"""),0.0)</f>
        <v>0</v>
      </c>
      <c r="H2188" s="22">
        <f>IFERROR(__xludf.DUMMYFUNCTION("""COMPUTED_VALUE"""),500000.0)</f>
        <v>500000</v>
      </c>
      <c r="I2188" s="24">
        <f>IFERROR(__xludf.DUMMYFUNCTION("""COMPUTED_VALUE"""),0.0)</f>
        <v>0</v>
      </c>
    </row>
    <row r="2189">
      <c r="A2189" s="5" t="str">
        <f>IFERROR(__xludf.DUMMYFUNCTION("""COMPUTED_VALUE"""),"38369")</f>
        <v>38369</v>
      </c>
      <c r="B2189" s="64">
        <f>IFERROR(__xludf.DUMMYFUNCTION("""COMPUTED_VALUE"""),44637.0)</f>
        <v>44637</v>
      </c>
      <c r="C2189" s="5"/>
      <c r="D2189" s="5"/>
      <c r="E2189" s="5"/>
      <c r="F2189" s="22">
        <f>IFERROR(__xludf.DUMMYFUNCTION("""COMPUTED_VALUE"""),500000.0)</f>
        <v>500000</v>
      </c>
      <c r="G2189" s="22">
        <f>IFERROR(__xludf.DUMMYFUNCTION("""COMPUTED_VALUE"""),0.0)</f>
        <v>0</v>
      </c>
      <c r="H2189" s="22">
        <f>IFERROR(__xludf.DUMMYFUNCTION("""COMPUTED_VALUE"""),500000.0)</f>
        <v>500000</v>
      </c>
      <c r="I2189" s="24">
        <f>IFERROR(__xludf.DUMMYFUNCTION("""COMPUTED_VALUE"""),0.0)</f>
        <v>0</v>
      </c>
    </row>
    <row r="2190">
      <c r="A2190" s="5" t="str">
        <f>IFERROR(__xludf.DUMMYFUNCTION("""COMPUTED_VALUE"""),"38369")</f>
        <v>38369</v>
      </c>
      <c r="B2190" s="64">
        <f>IFERROR(__xludf.DUMMYFUNCTION("""COMPUTED_VALUE"""),44638.0)</f>
        <v>44638</v>
      </c>
      <c r="C2190" s="5"/>
      <c r="D2190" s="5"/>
      <c r="E2190" s="5"/>
      <c r="F2190" s="22">
        <f>IFERROR(__xludf.DUMMYFUNCTION("""COMPUTED_VALUE"""),500000.0)</f>
        <v>500000</v>
      </c>
      <c r="G2190" s="22">
        <f>IFERROR(__xludf.DUMMYFUNCTION("""COMPUTED_VALUE"""),0.0)</f>
        <v>0</v>
      </c>
      <c r="H2190" s="22">
        <f>IFERROR(__xludf.DUMMYFUNCTION("""COMPUTED_VALUE"""),500000.0)</f>
        <v>500000</v>
      </c>
      <c r="I2190" s="24">
        <f>IFERROR(__xludf.DUMMYFUNCTION("""COMPUTED_VALUE"""),0.0)</f>
        <v>0</v>
      </c>
    </row>
    <row r="2191">
      <c r="A2191" s="5" t="str">
        <f>IFERROR(__xludf.DUMMYFUNCTION("""COMPUTED_VALUE"""),"38369")</f>
        <v>38369</v>
      </c>
      <c r="B2191" s="64">
        <f>IFERROR(__xludf.DUMMYFUNCTION("""COMPUTED_VALUE"""),44639.0)</f>
        <v>44639</v>
      </c>
      <c r="C2191" s="5"/>
      <c r="D2191" s="5"/>
      <c r="E2191" s="5"/>
      <c r="F2191" s="22">
        <f>IFERROR(__xludf.DUMMYFUNCTION("""COMPUTED_VALUE"""),500000.0)</f>
        <v>500000</v>
      </c>
      <c r="G2191" s="22">
        <f>IFERROR(__xludf.DUMMYFUNCTION("""COMPUTED_VALUE"""),0.0)</f>
        <v>0</v>
      </c>
      <c r="H2191" s="22">
        <f>IFERROR(__xludf.DUMMYFUNCTION("""COMPUTED_VALUE"""),500000.0)</f>
        <v>500000</v>
      </c>
      <c r="I2191" s="24">
        <f>IFERROR(__xludf.DUMMYFUNCTION("""COMPUTED_VALUE"""),0.0)</f>
        <v>0</v>
      </c>
    </row>
    <row r="2192">
      <c r="A2192" s="5" t="str">
        <f>IFERROR(__xludf.DUMMYFUNCTION("""COMPUTED_VALUE"""),"38369")</f>
        <v>38369</v>
      </c>
      <c r="B2192" s="64">
        <f>IFERROR(__xludf.DUMMYFUNCTION("""COMPUTED_VALUE"""),44640.0)</f>
        <v>44640</v>
      </c>
      <c r="C2192" s="5"/>
      <c r="D2192" s="5"/>
      <c r="E2192" s="5"/>
      <c r="F2192" s="22">
        <f>IFERROR(__xludf.DUMMYFUNCTION("""COMPUTED_VALUE"""),500000.0)</f>
        <v>500000</v>
      </c>
      <c r="G2192" s="22">
        <f>IFERROR(__xludf.DUMMYFUNCTION("""COMPUTED_VALUE"""),0.0)</f>
        <v>0</v>
      </c>
      <c r="H2192" s="22">
        <f>IFERROR(__xludf.DUMMYFUNCTION("""COMPUTED_VALUE"""),500000.0)</f>
        <v>500000</v>
      </c>
      <c r="I2192" s="24">
        <f>IFERROR(__xludf.DUMMYFUNCTION("""COMPUTED_VALUE"""),0.0)</f>
        <v>0</v>
      </c>
    </row>
    <row r="2193">
      <c r="A2193" s="5" t="str">
        <f>IFERROR(__xludf.DUMMYFUNCTION("""COMPUTED_VALUE"""),"38369")</f>
        <v>38369</v>
      </c>
      <c r="B2193" s="64">
        <f>IFERROR(__xludf.DUMMYFUNCTION("""COMPUTED_VALUE"""),44641.0)</f>
        <v>44641</v>
      </c>
      <c r="C2193" s="5"/>
      <c r="D2193" s="5"/>
      <c r="E2193" s="5"/>
      <c r="F2193" s="22">
        <f>IFERROR(__xludf.DUMMYFUNCTION("""COMPUTED_VALUE"""),500000.0)</f>
        <v>500000</v>
      </c>
      <c r="G2193" s="22">
        <f>IFERROR(__xludf.DUMMYFUNCTION("""COMPUTED_VALUE"""),0.0)</f>
        <v>0</v>
      </c>
      <c r="H2193" s="22">
        <f>IFERROR(__xludf.DUMMYFUNCTION("""COMPUTED_VALUE"""),500000.0)</f>
        <v>500000</v>
      </c>
      <c r="I2193" s="24">
        <f>IFERROR(__xludf.DUMMYFUNCTION("""COMPUTED_VALUE"""),0.0)</f>
        <v>0</v>
      </c>
    </row>
    <row r="2194">
      <c r="A2194" s="5" t="str">
        <f>IFERROR(__xludf.DUMMYFUNCTION("""COMPUTED_VALUE"""),"38369")</f>
        <v>38369</v>
      </c>
      <c r="B2194" s="64">
        <f>IFERROR(__xludf.DUMMYFUNCTION("""COMPUTED_VALUE"""),44642.0)</f>
        <v>44642</v>
      </c>
      <c r="C2194" s="5"/>
      <c r="D2194" s="5"/>
      <c r="E2194" s="5"/>
      <c r="F2194" s="22">
        <f>IFERROR(__xludf.DUMMYFUNCTION("""COMPUTED_VALUE"""),500000.0)</f>
        <v>500000</v>
      </c>
      <c r="G2194" s="22">
        <f>IFERROR(__xludf.DUMMYFUNCTION("""COMPUTED_VALUE"""),0.0)</f>
        <v>0</v>
      </c>
      <c r="H2194" s="22">
        <f>IFERROR(__xludf.DUMMYFUNCTION("""COMPUTED_VALUE"""),500000.0)</f>
        <v>500000</v>
      </c>
      <c r="I2194" s="24">
        <f>IFERROR(__xludf.DUMMYFUNCTION("""COMPUTED_VALUE"""),0.0)</f>
        <v>0</v>
      </c>
    </row>
    <row r="2195">
      <c r="A2195" s="5" t="str">
        <f>IFERROR(__xludf.DUMMYFUNCTION("""COMPUTED_VALUE"""),"38369")</f>
        <v>38369</v>
      </c>
      <c r="B2195" s="64">
        <f>IFERROR(__xludf.DUMMYFUNCTION("""COMPUTED_VALUE"""),44643.0)</f>
        <v>44643</v>
      </c>
      <c r="C2195" s="5"/>
      <c r="D2195" s="5"/>
      <c r="E2195" s="5"/>
      <c r="F2195" s="22">
        <f>IFERROR(__xludf.DUMMYFUNCTION("""COMPUTED_VALUE"""),500000.0)</f>
        <v>500000</v>
      </c>
      <c r="G2195" s="22">
        <f>IFERROR(__xludf.DUMMYFUNCTION("""COMPUTED_VALUE"""),0.0)</f>
        <v>0</v>
      </c>
      <c r="H2195" s="22">
        <f>IFERROR(__xludf.DUMMYFUNCTION("""COMPUTED_VALUE"""),500000.0)</f>
        <v>500000</v>
      </c>
      <c r="I2195" s="24">
        <f>IFERROR(__xludf.DUMMYFUNCTION("""COMPUTED_VALUE"""),0.0)</f>
        <v>0</v>
      </c>
    </row>
    <row r="2196">
      <c r="A2196" s="5" t="str">
        <f>IFERROR(__xludf.DUMMYFUNCTION("""COMPUTED_VALUE"""),"38369")</f>
        <v>38369</v>
      </c>
      <c r="B2196" s="64">
        <f>IFERROR(__xludf.DUMMYFUNCTION("""COMPUTED_VALUE"""),44644.0)</f>
        <v>44644</v>
      </c>
      <c r="C2196" s="5"/>
      <c r="D2196" s="5"/>
      <c r="E2196" s="5"/>
      <c r="F2196" s="22">
        <f>IFERROR(__xludf.DUMMYFUNCTION("""COMPUTED_VALUE"""),500000.0)</f>
        <v>500000</v>
      </c>
      <c r="G2196" s="22">
        <f>IFERROR(__xludf.DUMMYFUNCTION("""COMPUTED_VALUE"""),0.0)</f>
        <v>0</v>
      </c>
      <c r="H2196" s="22">
        <f>IFERROR(__xludf.DUMMYFUNCTION("""COMPUTED_VALUE"""),500000.0)</f>
        <v>500000</v>
      </c>
      <c r="I2196" s="24">
        <f>IFERROR(__xludf.DUMMYFUNCTION("""COMPUTED_VALUE"""),0.0)</f>
        <v>0</v>
      </c>
    </row>
    <row r="2197">
      <c r="A2197" s="5" t="str">
        <f>IFERROR(__xludf.DUMMYFUNCTION("""COMPUTED_VALUE"""),"38369")</f>
        <v>38369</v>
      </c>
      <c r="B2197" s="64">
        <f>IFERROR(__xludf.DUMMYFUNCTION("""COMPUTED_VALUE"""),44645.0)</f>
        <v>44645</v>
      </c>
      <c r="C2197" s="5"/>
      <c r="D2197" s="5"/>
      <c r="E2197" s="5"/>
      <c r="F2197" s="22">
        <f>IFERROR(__xludf.DUMMYFUNCTION("""COMPUTED_VALUE"""),500000.0)</f>
        <v>500000</v>
      </c>
      <c r="G2197" s="22">
        <f>IFERROR(__xludf.DUMMYFUNCTION("""COMPUTED_VALUE"""),0.0)</f>
        <v>0</v>
      </c>
      <c r="H2197" s="22">
        <f>IFERROR(__xludf.DUMMYFUNCTION("""COMPUTED_VALUE"""),500000.0)</f>
        <v>500000</v>
      </c>
      <c r="I2197" s="24">
        <f>IFERROR(__xludf.DUMMYFUNCTION("""COMPUTED_VALUE"""),0.0)</f>
        <v>0</v>
      </c>
    </row>
    <row r="2198">
      <c r="A2198" s="5" t="str">
        <f>IFERROR(__xludf.DUMMYFUNCTION("""COMPUTED_VALUE"""),"38369")</f>
        <v>38369</v>
      </c>
      <c r="B2198" s="64">
        <f>IFERROR(__xludf.DUMMYFUNCTION("""COMPUTED_VALUE"""),44646.0)</f>
        <v>44646</v>
      </c>
      <c r="C2198" s="5"/>
      <c r="D2198" s="5"/>
      <c r="E2198" s="5"/>
      <c r="F2198" s="22">
        <f>IFERROR(__xludf.DUMMYFUNCTION("""COMPUTED_VALUE"""),500000.0)</f>
        <v>500000</v>
      </c>
      <c r="G2198" s="22">
        <f>IFERROR(__xludf.DUMMYFUNCTION("""COMPUTED_VALUE"""),0.0)</f>
        <v>0</v>
      </c>
      <c r="H2198" s="22">
        <f>IFERROR(__xludf.DUMMYFUNCTION("""COMPUTED_VALUE"""),500000.0)</f>
        <v>500000</v>
      </c>
      <c r="I2198" s="24">
        <f>IFERROR(__xludf.DUMMYFUNCTION("""COMPUTED_VALUE"""),0.0)</f>
        <v>0</v>
      </c>
    </row>
    <row r="2199">
      <c r="A2199" s="5" t="str">
        <f>IFERROR(__xludf.DUMMYFUNCTION("""COMPUTED_VALUE"""),"38369")</f>
        <v>38369</v>
      </c>
      <c r="B2199" s="64">
        <f>IFERROR(__xludf.DUMMYFUNCTION("""COMPUTED_VALUE"""),44647.0)</f>
        <v>44647</v>
      </c>
      <c r="C2199" s="5"/>
      <c r="D2199" s="5"/>
      <c r="E2199" s="5"/>
      <c r="F2199" s="22">
        <f>IFERROR(__xludf.DUMMYFUNCTION("""COMPUTED_VALUE"""),500000.0)</f>
        <v>500000</v>
      </c>
      <c r="G2199" s="22">
        <f>IFERROR(__xludf.DUMMYFUNCTION("""COMPUTED_VALUE"""),0.0)</f>
        <v>0</v>
      </c>
      <c r="H2199" s="22">
        <f>IFERROR(__xludf.DUMMYFUNCTION("""COMPUTED_VALUE"""),500000.0)</f>
        <v>500000</v>
      </c>
      <c r="I2199" s="24">
        <f>IFERROR(__xludf.DUMMYFUNCTION("""COMPUTED_VALUE"""),0.0)</f>
        <v>0</v>
      </c>
    </row>
    <row r="2200">
      <c r="A2200" s="5" t="str">
        <f>IFERROR(__xludf.DUMMYFUNCTION("""COMPUTED_VALUE"""),"38369")</f>
        <v>38369</v>
      </c>
      <c r="B2200" s="64">
        <f>IFERROR(__xludf.DUMMYFUNCTION("""COMPUTED_VALUE"""),44648.0)</f>
        <v>44648</v>
      </c>
      <c r="C2200" s="5"/>
      <c r="D2200" s="5"/>
      <c r="E2200" s="5"/>
      <c r="F2200" s="22">
        <f>IFERROR(__xludf.DUMMYFUNCTION("""COMPUTED_VALUE"""),500000.0)</f>
        <v>500000</v>
      </c>
      <c r="G2200" s="22">
        <f>IFERROR(__xludf.DUMMYFUNCTION("""COMPUTED_VALUE"""),0.0)</f>
        <v>0</v>
      </c>
      <c r="H2200" s="22">
        <f>IFERROR(__xludf.DUMMYFUNCTION("""COMPUTED_VALUE"""),500000.0)</f>
        <v>500000</v>
      </c>
      <c r="I2200" s="24">
        <f>IFERROR(__xludf.DUMMYFUNCTION("""COMPUTED_VALUE"""),0.0)</f>
        <v>0</v>
      </c>
    </row>
    <row r="2201">
      <c r="A2201" s="5" t="str">
        <f>IFERROR(__xludf.DUMMYFUNCTION("""COMPUTED_VALUE"""),"38369")</f>
        <v>38369</v>
      </c>
      <c r="B2201" s="64">
        <f>IFERROR(__xludf.DUMMYFUNCTION("""COMPUTED_VALUE"""),44649.0)</f>
        <v>44649</v>
      </c>
      <c r="C2201" s="5"/>
      <c r="D2201" s="5"/>
      <c r="E2201" s="5"/>
      <c r="F2201" s="22">
        <f>IFERROR(__xludf.DUMMYFUNCTION("""COMPUTED_VALUE"""),500000.0)</f>
        <v>500000</v>
      </c>
      <c r="G2201" s="22">
        <f>IFERROR(__xludf.DUMMYFUNCTION("""COMPUTED_VALUE"""),0.0)</f>
        <v>0</v>
      </c>
      <c r="H2201" s="22">
        <f>IFERROR(__xludf.DUMMYFUNCTION("""COMPUTED_VALUE"""),500000.0)</f>
        <v>500000</v>
      </c>
      <c r="I2201" s="24">
        <f>IFERROR(__xludf.DUMMYFUNCTION("""COMPUTED_VALUE"""),0.0)</f>
        <v>0</v>
      </c>
    </row>
    <row r="2202">
      <c r="A2202" s="5" t="str">
        <f>IFERROR(__xludf.DUMMYFUNCTION("""COMPUTED_VALUE"""),"38369")</f>
        <v>38369</v>
      </c>
      <c r="B2202" s="64">
        <f>IFERROR(__xludf.DUMMYFUNCTION("""COMPUTED_VALUE"""),44650.0)</f>
        <v>44650</v>
      </c>
      <c r="C2202" s="5"/>
      <c r="D2202" s="5"/>
      <c r="E2202" s="5"/>
      <c r="F2202" s="22">
        <f>IFERROR(__xludf.DUMMYFUNCTION("""COMPUTED_VALUE"""),500000.0)</f>
        <v>500000</v>
      </c>
      <c r="G2202" s="22">
        <f>IFERROR(__xludf.DUMMYFUNCTION("""COMPUTED_VALUE"""),0.0)</f>
        <v>0</v>
      </c>
      <c r="H2202" s="22">
        <f>IFERROR(__xludf.DUMMYFUNCTION("""COMPUTED_VALUE"""),500000.0)</f>
        <v>500000</v>
      </c>
      <c r="I2202" s="24">
        <f>IFERROR(__xludf.DUMMYFUNCTION("""COMPUTED_VALUE"""),0.0)</f>
        <v>0</v>
      </c>
    </row>
    <row r="2203">
      <c r="A2203" s="5" t="str">
        <f>IFERROR(__xludf.DUMMYFUNCTION("""COMPUTED_VALUE"""),"38369")</f>
        <v>38369</v>
      </c>
      <c r="B2203" s="64">
        <f>IFERROR(__xludf.DUMMYFUNCTION("""COMPUTED_VALUE"""),44651.0)</f>
        <v>44651</v>
      </c>
      <c r="C2203" s="5"/>
      <c r="D2203" s="5"/>
      <c r="E2203" s="5"/>
      <c r="F2203" s="22">
        <f>IFERROR(__xludf.DUMMYFUNCTION("""COMPUTED_VALUE"""),500000.0)</f>
        <v>500000</v>
      </c>
      <c r="G2203" s="22">
        <f>IFERROR(__xludf.DUMMYFUNCTION("""COMPUTED_VALUE"""),0.0)</f>
        <v>0</v>
      </c>
      <c r="H2203" s="22">
        <f>IFERROR(__xludf.DUMMYFUNCTION("""COMPUTED_VALUE"""),500000.0)</f>
        <v>500000</v>
      </c>
      <c r="I2203" s="24">
        <f>IFERROR(__xludf.DUMMYFUNCTION("""COMPUTED_VALUE"""),0.0)</f>
        <v>0</v>
      </c>
    </row>
    <row r="2204">
      <c r="A2204" s="5" t="str">
        <f>IFERROR(__xludf.DUMMYFUNCTION("""COMPUTED_VALUE"""),"38369")</f>
        <v>38369</v>
      </c>
      <c r="B2204" s="64">
        <f>IFERROR(__xludf.DUMMYFUNCTION("""COMPUTED_VALUE"""),44652.0)</f>
        <v>44652</v>
      </c>
      <c r="C2204" s="5"/>
      <c r="D2204" s="5"/>
      <c r="E2204" s="5"/>
      <c r="F2204" s="22">
        <f>IFERROR(__xludf.DUMMYFUNCTION("""COMPUTED_VALUE"""),500000.0)</f>
        <v>500000</v>
      </c>
      <c r="G2204" s="22">
        <f>IFERROR(__xludf.DUMMYFUNCTION("""COMPUTED_VALUE"""),0.0)</f>
        <v>0</v>
      </c>
      <c r="H2204" s="22">
        <f>IFERROR(__xludf.DUMMYFUNCTION("""COMPUTED_VALUE"""),500000.0)</f>
        <v>500000</v>
      </c>
      <c r="I2204" s="24">
        <f>IFERROR(__xludf.DUMMYFUNCTION("""COMPUTED_VALUE"""),0.0)</f>
        <v>0</v>
      </c>
    </row>
    <row r="2205">
      <c r="A2205" s="5" t="str">
        <f>IFERROR(__xludf.DUMMYFUNCTION("""COMPUTED_VALUE"""),"38369")</f>
        <v>38369</v>
      </c>
      <c r="B2205" s="64">
        <f>IFERROR(__xludf.DUMMYFUNCTION("""COMPUTED_VALUE"""),44653.0)</f>
        <v>44653</v>
      </c>
      <c r="C2205" s="5"/>
      <c r="D2205" s="5"/>
      <c r="E2205" s="5"/>
      <c r="F2205" s="22">
        <f>IFERROR(__xludf.DUMMYFUNCTION("""COMPUTED_VALUE"""),500000.0)</f>
        <v>500000</v>
      </c>
      <c r="G2205" s="22">
        <f>IFERROR(__xludf.DUMMYFUNCTION("""COMPUTED_VALUE"""),0.0)</f>
        <v>0</v>
      </c>
      <c r="H2205" s="22">
        <f>IFERROR(__xludf.DUMMYFUNCTION("""COMPUTED_VALUE"""),500000.0)</f>
        <v>500000</v>
      </c>
      <c r="I2205" s="24">
        <f>IFERROR(__xludf.DUMMYFUNCTION("""COMPUTED_VALUE"""),0.0)</f>
        <v>0</v>
      </c>
    </row>
    <row r="2206">
      <c r="A2206" s="5" t="str">
        <f>IFERROR(__xludf.DUMMYFUNCTION("""COMPUTED_VALUE"""),"38369")</f>
        <v>38369</v>
      </c>
      <c r="B2206" s="64">
        <f>IFERROR(__xludf.DUMMYFUNCTION("""COMPUTED_VALUE"""),44654.0)</f>
        <v>44654</v>
      </c>
      <c r="C2206" s="5"/>
      <c r="D2206" s="5"/>
      <c r="E2206" s="5"/>
      <c r="F2206" s="22">
        <f>IFERROR(__xludf.DUMMYFUNCTION("""COMPUTED_VALUE"""),500000.0)</f>
        <v>500000</v>
      </c>
      <c r="G2206" s="22">
        <f>IFERROR(__xludf.DUMMYFUNCTION("""COMPUTED_VALUE"""),0.0)</f>
        <v>0</v>
      </c>
      <c r="H2206" s="22">
        <f>IFERROR(__xludf.DUMMYFUNCTION("""COMPUTED_VALUE"""),500000.0)</f>
        <v>500000</v>
      </c>
      <c r="I2206" s="24">
        <f>IFERROR(__xludf.DUMMYFUNCTION("""COMPUTED_VALUE"""),0.0)</f>
        <v>0</v>
      </c>
    </row>
    <row r="2207">
      <c r="A2207" s="5" t="str">
        <f>IFERROR(__xludf.DUMMYFUNCTION("""COMPUTED_VALUE"""),"38369")</f>
        <v>38369</v>
      </c>
      <c r="B2207" s="64">
        <f>IFERROR(__xludf.DUMMYFUNCTION("""COMPUTED_VALUE"""),44655.0)</f>
        <v>44655</v>
      </c>
      <c r="C2207" s="5"/>
      <c r="D2207" s="5"/>
      <c r="E2207" s="5"/>
      <c r="F2207" s="22">
        <f>IFERROR(__xludf.DUMMYFUNCTION("""COMPUTED_VALUE"""),500000.0)</f>
        <v>500000</v>
      </c>
      <c r="G2207" s="22">
        <f>IFERROR(__xludf.DUMMYFUNCTION("""COMPUTED_VALUE"""),0.0)</f>
        <v>0</v>
      </c>
      <c r="H2207" s="22">
        <f>IFERROR(__xludf.DUMMYFUNCTION("""COMPUTED_VALUE"""),500000.0)</f>
        <v>500000</v>
      </c>
      <c r="I2207" s="24">
        <f>IFERROR(__xludf.DUMMYFUNCTION("""COMPUTED_VALUE"""),0.0)</f>
        <v>0</v>
      </c>
    </row>
    <row r="2208">
      <c r="A2208" s="5" t="str">
        <f>IFERROR(__xludf.DUMMYFUNCTION("""COMPUTED_VALUE"""),"38369")</f>
        <v>38369</v>
      </c>
      <c r="B2208" s="64">
        <f>IFERROR(__xludf.DUMMYFUNCTION("""COMPUTED_VALUE"""),44656.0)</f>
        <v>44656</v>
      </c>
      <c r="C2208" s="5"/>
      <c r="D2208" s="5"/>
      <c r="E2208" s="5"/>
      <c r="F2208" s="22">
        <f>IFERROR(__xludf.DUMMYFUNCTION("""COMPUTED_VALUE"""),500000.0)</f>
        <v>500000</v>
      </c>
      <c r="G2208" s="22">
        <f>IFERROR(__xludf.DUMMYFUNCTION("""COMPUTED_VALUE"""),0.0)</f>
        <v>0</v>
      </c>
      <c r="H2208" s="22">
        <f>IFERROR(__xludf.DUMMYFUNCTION("""COMPUTED_VALUE"""),500000.0)</f>
        <v>500000</v>
      </c>
      <c r="I2208" s="24">
        <f>IFERROR(__xludf.DUMMYFUNCTION("""COMPUTED_VALUE"""),0.0)</f>
        <v>0</v>
      </c>
    </row>
    <row r="2209">
      <c r="A2209" s="5" t="str">
        <f>IFERROR(__xludf.DUMMYFUNCTION("""COMPUTED_VALUE"""),"38369")</f>
        <v>38369</v>
      </c>
      <c r="B2209" s="64">
        <f>IFERROR(__xludf.DUMMYFUNCTION("""COMPUTED_VALUE"""),44657.0)</f>
        <v>44657</v>
      </c>
      <c r="C2209" s="5"/>
      <c r="D2209" s="5"/>
      <c r="E2209" s="5"/>
      <c r="F2209" s="22">
        <f>IFERROR(__xludf.DUMMYFUNCTION("""COMPUTED_VALUE"""),500000.0)</f>
        <v>500000</v>
      </c>
      <c r="G2209" s="22">
        <f>IFERROR(__xludf.DUMMYFUNCTION("""COMPUTED_VALUE"""),0.0)</f>
        <v>0</v>
      </c>
      <c r="H2209" s="22">
        <f>IFERROR(__xludf.DUMMYFUNCTION("""COMPUTED_VALUE"""),500000.0)</f>
        <v>500000</v>
      </c>
      <c r="I2209" s="24">
        <f>IFERROR(__xludf.DUMMYFUNCTION("""COMPUTED_VALUE"""),0.0)</f>
        <v>0</v>
      </c>
    </row>
    <row r="2210">
      <c r="A2210" s="5" t="str">
        <f>IFERROR(__xludf.DUMMYFUNCTION("""COMPUTED_VALUE"""),"38369")</f>
        <v>38369</v>
      </c>
      <c r="B2210" s="64">
        <f>IFERROR(__xludf.DUMMYFUNCTION("""COMPUTED_VALUE"""),44658.0)</f>
        <v>44658</v>
      </c>
      <c r="C2210" s="5"/>
      <c r="D2210" s="5"/>
      <c r="E2210" s="5"/>
      <c r="F2210" s="22">
        <f>IFERROR(__xludf.DUMMYFUNCTION("""COMPUTED_VALUE"""),500000.0)</f>
        <v>500000</v>
      </c>
      <c r="G2210" s="22">
        <f>IFERROR(__xludf.DUMMYFUNCTION("""COMPUTED_VALUE"""),0.0)</f>
        <v>0</v>
      </c>
      <c r="H2210" s="22">
        <f>IFERROR(__xludf.DUMMYFUNCTION("""COMPUTED_VALUE"""),500000.0)</f>
        <v>500000</v>
      </c>
      <c r="I2210" s="24">
        <f>IFERROR(__xludf.DUMMYFUNCTION("""COMPUTED_VALUE"""),0.0)</f>
        <v>0</v>
      </c>
    </row>
    <row r="2211">
      <c r="A2211" s="5" t="str">
        <f>IFERROR(__xludf.DUMMYFUNCTION("""COMPUTED_VALUE"""),"38369")</f>
        <v>38369</v>
      </c>
      <c r="B2211" s="64">
        <f>IFERROR(__xludf.DUMMYFUNCTION("""COMPUTED_VALUE"""),44659.0)</f>
        <v>44659</v>
      </c>
      <c r="C2211" s="5"/>
      <c r="D2211" s="5"/>
      <c r="E2211" s="5"/>
      <c r="F2211" s="22">
        <f>IFERROR(__xludf.DUMMYFUNCTION("""COMPUTED_VALUE"""),500000.0)</f>
        <v>500000</v>
      </c>
      <c r="G2211" s="22">
        <f>IFERROR(__xludf.DUMMYFUNCTION("""COMPUTED_VALUE"""),0.0)</f>
        <v>0</v>
      </c>
      <c r="H2211" s="22">
        <f>IFERROR(__xludf.DUMMYFUNCTION("""COMPUTED_VALUE"""),500000.0)</f>
        <v>500000</v>
      </c>
      <c r="I2211" s="24">
        <f>IFERROR(__xludf.DUMMYFUNCTION("""COMPUTED_VALUE"""),0.0)</f>
        <v>0</v>
      </c>
    </row>
    <row r="2212">
      <c r="A2212" s="5" t="str">
        <f>IFERROR(__xludf.DUMMYFUNCTION("""COMPUTED_VALUE"""),"38369")</f>
        <v>38369</v>
      </c>
      <c r="B2212" s="64">
        <f>IFERROR(__xludf.DUMMYFUNCTION("""COMPUTED_VALUE"""),44660.0)</f>
        <v>44660</v>
      </c>
      <c r="C2212" s="5"/>
      <c r="D2212" s="5"/>
      <c r="E2212" s="5"/>
      <c r="F2212" s="22">
        <f>IFERROR(__xludf.DUMMYFUNCTION("""COMPUTED_VALUE"""),500000.0)</f>
        <v>500000</v>
      </c>
      <c r="G2212" s="22">
        <f>IFERROR(__xludf.DUMMYFUNCTION("""COMPUTED_VALUE"""),0.0)</f>
        <v>0</v>
      </c>
      <c r="H2212" s="22">
        <f>IFERROR(__xludf.DUMMYFUNCTION("""COMPUTED_VALUE"""),500000.0)</f>
        <v>500000</v>
      </c>
      <c r="I2212" s="24">
        <f>IFERROR(__xludf.DUMMYFUNCTION("""COMPUTED_VALUE"""),0.0)</f>
        <v>0</v>
      </c>
    </row>
    <row r="2213">
      <c r="A2213" s="5" t="str">
        <f>IFERROR(__xludf.DUMMYFUNCTION("""COMPUTED_VALUE"""),"38369")</f>
        <v>38369</v>
      </c>
      <c r="B2213" s="64">
        <f>IFERROR(__xludf.DUMMYFUNCTION("""COMPUTED_VALUE"""),44661.0)</f>
        <v>44661</v>
      </c>
      <c r="C2213" s="5"/>
      <c r="D2213" s="5"/>
      <c r="E2213" s="5"/>
      <c r="F2213" s="22">
        <f>IFERROR(__xludf.DUMMYFUNCTION("""COMPUTED_VALUE"""),500000.0)</f>
        <v>500000</v>
      </c>
      <c r="G2213" s="22">
        <f>IFERROR(__xludf.DUMMYFUNCTION("""COMPUTED_VALUE"""),0.0)</f>
        <v>0</v>
      </c>
      <c r="H2213" s="22">
        <f>IFERROR(__xludf.DUMMYFUNCTION("""COMPUTED_VALUE"""),500000.0)</f>
        <v>500000</v>
      </c>
      <c r="I2213" s="24">
        <f>IFERROR(__xludf.DUMMYFUNCTION("""COMPUTED_VALUE"""),0.0)</f>
        <v>0</v>
      </c>
    </row>
    <row r="2214">
      <c r="A2214" s="5" t="str">
        <f>IFERROR(__xludf.DUMMYFUNCTION("""COMPUTED_VALUE"""),"38369")</f>
        <v>38369</v>
      </c>
      <c r="B2214" s="64">
        <f>IFERROR(__xludf.DUMMYFUNCTION("""COMPUTED_VALUE"""),44662.0)</f>
        <v>44662</v>
      </c>
      <c r="C2214" s="5"/>
      <c r="D2214" s="5"/>
      <c r="E2214" s="5"/>
      <c r="F2214" s="22">
        <f>IFERROR(__xludf.DUMMYFUNCTION("""COMPUTED_VALUE"""),500000.0)</f>
        <v>500000</v>
      </c>
      <c r="G2214" s="22">
        <f>IFERROR(__xludf.DUMMYFUNCTION("""COMPUTED_VALUE"""),0.0)</f>
        <v>0</v>
      </c>
      <c r="H2214" s="22">
        <f>IFERROR(__xludf.DUMMYFUNCTION("""COMPUTED_VALUE"""),500000.0)</f>
        <v>500000</v>
      </c>
      <c r="I2214" s="24">
        <f>IFERROR(__xludf.DUMMYFUNCTION("""COMPUTED_VALUE"""),0.0)</f>
        <v>0</v>
      </c>
    </row>
    <row r="2215">
      <c r="A2215" s="5" t="str">
        <f>IFERROR(__xludf.DUMMYFUNCTION("""COMPUTED_VALUE"""),"38369")</f>
        <v>38369</v>
      </c>
      <c r="B2215" s="64">
        <f>IFERROR(__xludf.DUMMYFUNCTION("""COMPUTED_VALUE"""),44663.0)</f>
        <v>44663</v>
      </c>
      <c r="C2215" s="5"/>
      <c r="D2215" s="5"/>
      <c r="E2215" s="5"/>
      <c r="F2215" s="22">
        <f>IFERROR(__xludf.DUMMYFUNCTION("""COMPUTED_VALUE"""),500000.0)</f>
        <v>500000</v>
      </c>
      <c r="G2215" s="22">
        <f>IFERROR(__xludf.DUMMYFUNCTION("""COMPUTED_VALUE"""),0.0)</f>
        <v>0</v>
      </c>
      <c r="H2215" s="22">
        <f>IFERROR(__xludf.DUMMYFUNCTION("""COMPUTED_VALUE"""),500000.0)</f>
        <v>500000</v>
      </c>
      <c r="I2215" s="24">
        <f>IFERROR(__xludf.DUMMYFUNCTION("""COMPUTED_VALUE"""),0.0)</f>
        <v>0</v>
      </c>
    </row>
    <row r="2216">
      <c r="A2216" s="5" t="str">
        <f>IFERROR(__xludf.DUMMYFUNCTION("""COMPUTED_VALUE"""),"38381")</f>
        <v>38381</v>
      </c>
      <c r="B2216" s="64">
        <f>IFERROR(__xludf.DUMMYFUNCTION("""COMPUTED_VALUE"""),44597.0)</f>
        <v>44597</v>
      </c>
      <c r="C2216" s="5"/>
      <c r="D2216" s="5"/>
      <c r="E2216" s="5"/>
      <c r="F2216" s="22">
        <f>IFERROR(__xludf.DUMMYFUNCTION("""COMPUTED_VALUE"""),500000.0)</f>
        <v>500000</v>
      </c>
      <c r="G2216" s="22">
        <f>IFERROR(__xludf.DUMMYFUNCTION("""COMPUTED_VALUE"""),0.0)</f>
        <v>0</v>
      </c>
      <c r="H2216" s="22">
        <f>IFERROR(__xludf.DUMMYFUNCTION("""COMPUTED_VALUE"""),500000.0)</f>
        <v>500000</v>
      </c>
      <c r="I2216" s="24">
        <f>IFERROR(__xludf.DUMMYFUNCTION("""COMPUTED_VALUE"""),0.0)</f>
        <v>0</v>
      </c>
    </row>
    <row r="2217">
      <c r="A2217" s="5" t="str">
        <f>IFERROR(__xludf.DUMMYFUNCTION("""COMPUTED_VALUE"""),"38381")</f>
        <v>38381</v>
      </c>
      <c r="B2217" s="64">
        <f>IFERROR(__xludf.DUMMYFUNCTION("""COMPUTED_VALUE"""),44598.0)</f>
        <v>44598</v>
      </c>
      <c r="C2217" s="5"/>
      <c r="D2217" s="5"/>
      <c r="E2217" s="5"/>
      <c r="F2217" s="22">
        <f>IFERROR(__xludf.DUMMYFUNCTION("""COMPUTED_VALUE"""),500000.0)</f>
        <v>500000</v>
      </c>
      <c r="G2217" s="22">
        <f>IFERROR(__xludf.DUMMYFUNCTION("""COMPUTED_VALUE"""),0.0)</f>
        <v>0</v>
      </c>
      <c r="H2217" s="22">
        <f>IFERROR(__xludf.DUMMYFUNCTION("""COMPUTED_VALUE"""),500000.0)</f>
        <v>500000</v>
      </c>
      <c r="I2217" s="24">
        <f>IFERROR(__xludf.DUMMYFUNCTION("""COMPUTED_VALUE"""),0.0)</f>
        <v>0</v>
      </c>
    </row>
    <row r="2218">
      <c r="A2218" s="5" t="str">
        <f>IFERROR(__xludf.DUMMYFUNCTION("""COMPUTED_VALUE"""),"38381")</f>
        <v>38381</v>
      </c>
      <c r="B2218" s="64">
        <f>IFERROR(__xludf.DUMMYFUNCTION("""COMPUTED_VALUE"""),44599.0)</f>
        <v>44599</v>
      </c>
      <c r="C2218" s="5"/>
      <c r="D2218" s="5"/>
      <c r="E2218" s="5"/>
      <c r="F2218" s="22">
        <f>IFERROR(__xludf.DUMMYFUNCTION("""COMPUTED_VALUE"""),500000.0)</f>
        <v>500000</v>
      </c>
      <c r="G2218" s="22">
        <f>IFERROR(__xludf.DUMMYFUNCTION("""COMPUTED_VALUE"""),0.0)</f>
        <v>0</v>
      </c>
      <c r="H2218" s="22">
        <f>IFERROR(__xludf.DUMMYFUNCTION("""COMPUTED_VALUE"""),500000.0)</f>
        <v>500000</v>
      </c>
      <c r="I2218" s="24">
        <f>IFERROR(__xludf.DUMMYFUNCTION("""COMPUTED_VALUE"""),0.0)</f>
        <v>0</v>
      </c>
    </row>
    <row r="2219">
      <c r="A2219" s="5" t="str">
        <f>IFERROR(__xludf.DUMMYFUNCTION("""COMPUTED_VALUE"""),"38381")</f>
        <v>38381</v>
      </c>
      <c r="B2219" s="64">
        <f>IFERROR(__xludf.DUMMYFUNCTION("""COMPUTED_VALUE"""),44600.0)</f>
        <v>44600</v>
      </c>
      <c r="C2219" s="5"/>
      <c r="D2219" s="5"/>
      <c r="E2219" s="5"/>
      <c r="F2219" s="22">
        <f>IFERROR(__xludf.DUMMYFUNCTION("""COMPUTED_VALUE"""),500000.0)</f>
        <v>500000</v>
      </c>
      <c r="G2219" s="22">
        <f>IFERROR(__xludf.DUMMYFUNCTION("""COMPUTED_VALUE"""),0.0)</f>
        <v>0</v>
      </c>
      <c r="H2219" s="22">
        <f>IFERROR(__xludf.DUMMYFUNCTION("""COMPUTED_VALUE"""),500000.0)</f>
        <v>500000</v>
      </c>
      <c r="I2219" s="24">
        <f>IFERROR(__xludf.DUMMYFUNCTION("""COMPUTED_VALUE"""),0.0)</f>
        <v>0</v>
      </c>
    </row>
    <row r="2220">
      <c r="A2220" s="5" t="str">
        <f>IFERROR(__xludf.DUMMYFUNCTION("""COMPUTED_VALUE"""),"38381")</f>
        <v>38381</v>
      </c>
      <c r="B2220" s="64">
        <f>IFERROR(__xludf.DUMMYFUNCTION("""COMPUTED_VALUE"""),44601.0)</f>
        <v>44601</v>
      </c>
      <c r="C2220" s="5"/>
      <c r="D2220" s="5"/>
      <c r="E2220" s="5"/>
      <c r="F2220" s="22">
        <f>IFERROR(__xludf.DUMMYFUNCTION("""COMPUTED_VALUE"""),500000.0)</f>
        <v>500000</v>
      </c>
      <c r="G2220" s="22">
        <f>IFERROR(__xludf.DUMMYFUNCTION("""COMPUTED_VALUE"""),0.0)</f>
        <v>0</v>
      </c>
      <c r="H2220" s="22">
        <f>IFERROR(__xludf.DUMMYFUNCTION("""COMPUTED_VALUE"""),500000.0)</f>
        <v>500000</v>
      </c>
      <c r="I2220" s="24">
        <f>IFERROR(__xludf.DUMMYFUNCTION("""COMPUTED_VALUE"""),0.0)</f>
        <v>0</v>
      </c>
    </row>
    <row r="2221">
      <c r="A2221" s="5" t="str">
        <f>IFERROR(__xludf.DUMMYFUNCTION("""COMPUTED_VALUE"""),"38381")</f>
        <v>38381</v>
      </c>
      <c r="B2221" s="64">
        <f>IFERROR(__xludf.DUMMYFUNCTION("""COMPUTED_VALUE"""),44602.0)</f>
        <v>44602</v>
      </c>
      <c r="C2221" s="5"/>
      <c r="D2221" s="5"/>
      <c r="E2221" s="5"/>
      <c r="F2221" s="22">
        <f>IFERROR(__xludf.DUMMYFUNCTION("""COMPUTED_VALUE"""),500000.0)</f>
        <v>500000</v>
      </c>
      <c r="G2221" s="22">
        <f>IFERROR(__xludf.DUMMYFUNCTION("""COMPUTED_VALUE"""),0.0)</f>
        <v>0</v>
      </c>
      <c r="H2221" s="22">
        <f>IFERROR(__xludf.DUMMYFUNCTION("""COMPUTED_VALUE"""),500000.0)</f>
        <v>500000</v>
      </c>
      <c r="I2221" s="24">
        <f>IFERROR(__xludf.DUMMYFUNCTION("""COMPUTED_VALUE"""),0.0)</f>
        <v>0</v>
      </c>
    </row>
    <row r="2222">
      <c r="A2222" s="5" t="str">
        <f>IFERROR(__xludf.DUMMYFUNCTION("""COMPUTED_VALUE"""),"38381")</f>
        <v>38381</v>
      </c>
      <c r="B2222" s="64">
        <f>IFERROR(__xludf.DUMMYFUNCTION("""COMPUTED_VALUE"""),44603.0)</f>
        <v>44603</v>
      </c>
      <c r="C2222" s="5"/>
      <c r="D2222" s="5"/>
      <c r="E2222" s="5"/>
      <c r="F2222" s="22">
        <f>IFERROR(__xludf.DUMMYFUNCTION("""COMPUTED_VALUE"""),500000.0)</f>
        <v>500000</v>
      </c>
      <c r="G2222" s="22">
        <f>IFERROR(__xludf.DUMMYFUNCTION("""COMPUTED_VALUE"""),0.0)</f>
        <v>0</v>
      </c>
      <c r="H2222" s="22">
        <f>IFERROR(__xludf.DUMMYFUNCTION("""COMPUTED_VALUE"""),500000.0)</f>
        <v>500000</v>
      </c>
      <c r="I2222" s="24">
        <f>IFERROR(__xludf.DUMMYFUNCTION("""COMPUTED_VALUE"""),0.0)</f>
        <v>0</v>
      </c>
    </row>
    <row r="2223">
      <c r="A2223" s="5" t="str">
        <f>IFERROR(__xludf.DUMMYFUNCTION("""COMPUTED_VALUE"""),"38381")</f>
        <v>38381</v>
      </c>
      <c r="B2223" s="64">
        <f>IFERROR(__xludf.DUMMYFUNCTION("""COMPUTED_VALUE"""),44604.0)</f>
        <v>44604</v>
      </c>
      <c r="C2223" s="5"/>
      <c r="D2223" s="5"/>
      <c r="E2223" s="5"/>
      <c r="F2223" s="22">
        <f>IFERROR(__xludf.DUMMYFUNCTION("""COMPUTED_VALUE"""),500000.0)</f>
        <v>500000</v>
      </c>
      <c r="G2223" s="22">
        <f>IFERROR(__xludf.DUMMYFUNCTION("""COMPUTED_VALUE"""),0.0)</f>
        <v>0</v>
      </c>
      <c r="H2223" s="22">
        <f>IFERROR(__xludf.DUMMYFUNCTION("""COMPUTED_VALUE"""),500000.0)</f>
        <v>500000</v>
      </c>
      <c r="I2223" s="24">
        <f>IFERROR(__xludf.DUMMYFUNCTION("""COMPUTED_VALUE"""),0.0)</f>
        <v>0</v>
      </c>
    </row>
    <row r="2224">
      <c r="A2224" s="5" t="str">
        <f>IFERROR(__xludf.DUMMYFUNCTION("""COMPUTED_VALUE"""),"38381")</f>
        <v>38381</v>
      </c>
      <c r="B2224" s="64">
        <f>IFERROR(__xludf.DUMMYFUNCTION("""COMPUTED_VALUE"""),44605.0)</f>
        <v>44605</v>
      </c>
      <c r="C2224" s="5"/>
      <c r="D2224" s="5"/>
      <c r="E2224" s="5"/>
      <c r="F2224" s="22">
        <f>IFERROR(__xludf.DUMMYFUNCTION("""COMPUTED_VALUE"""),500000.0)</f>
        <v>500000</v>
      </c>
      <c r="G2224" s="22">
        <f>IFERROR(__xludf.DUMMYFUNCTION("""COMPUTED_VALUE"""),0.0)</f>
        <v>0</v>
      </c>
      <c r="H2224" s="22">
        <f>IFERROR(__xludf.DUMMYFUNCTION("""COMPUTED_VALUE"""),500000.0)</f>
        <v>500000</v>
      </c>
      <c r="I2224" s="24">
        <f>IFERROR(__xludf.DUMMYFUNCTION("""COMPUTED_VALUE"""),0.0)</f>
        <v>0</v>
      </c>
    </row>
    <row r="2225">
      <c r="A2225" s="5" t="str">
        <f>IFERROR(__xludf.DUMMYFUNCTION("""COMPUTED_VALUE"""),"38381")</f>
        <v>38381</v>
      </c>
      <c r="B2225" s="64">
        <f>IFERROR(__xludf.DUMMYFUNCTION("""COMPUTED_VALUE"""),44606.0)</f>
        <v>44606</v>
      </c>
      <c r="C2225" s="5"/>
      <c r="D2225" s="5"/>
      <c r="E2225" s="5"/>
      <c r="F2225" s="22">
        <f>IFERROR(__xludf.DUMMYFUNCTION("""COMPUTED_VALUE"""),500000.0)</f>
        <v>500000</v>
      </c>
      <c r="G2225" s="22">
        <f>IFERROR(__xludf.DUMMYFUNCTION("""COMPUTED_VALUE"""),0.0)</f>
        <v>0</v>
      </c>
      <c r="H2225" s="22">
        <f>IFERROR(__xludf.DUMMYFUNCTION("""COMPUTED_VALUE"""),500000.0)</f>
        <v>500000</v>
      </c>
      <c r="I2225" s="24">
        <f>IFERROR(__xludf.DUMMYFUNCTION("""COMPUTED_VALUE"""),0.0)</f>
        <v>0</v>
      </c>
    </row>
    <row r="2226">
      <c r="A2226" s="5" t="str">
        <f>IFERROR(__xludf.DUMMYFUNCTION("""COMPUTED_VALUE"""),"38381")</f>
        <v>38381</v>
      </c>
      <c r="B2226" s="64">
        <f>IFERROR(__xludf.DUMMYFUNCTION("""COMPUTED_VALUE"""),44607.0)</f>
        <v>44607</v>
      </c>
      <c r="C2226" s="5"/>
      <c r="D2226" s="5"/>
      <c r="E2226" s="5"/>
      <c r="F2226" s="22">
        <f>IFERROR(__xludf.DUMMYFUNCTION("""COMPUTED_VALUE"""),500000.0)</f>
        <v>500000</v>
      </c>
      <c r="G2226" s="22">
        <f>IFERROR(__xludf.DUMMYFUNCTION("""COMPUTED_VALUE"""),0.0)</f>
        <v>0</v>
      </c>
      <c r="H2226" s="22">
        <f>IFERROR(__xludf.DUMMYFUNCTION("""COMPUTED_VALUE"""),500000.0)</f>
        <v>500000</v>
      </c>
      <c r="I2226" s="24">
        <f>IFERROR(__xludf.DUMMYFUNCTION("""COMPUTED_VALUE"""),0.0)</f>
        <v>0</v>
      </c>
    </row>
    <row r="2227">
      <c r="A2227" s="5" t="str">
        <f>IFERROR(__xludf.DUMMYFUNCTION("""COMPUTED_VALUE"""),"38381")</f>
        <v>38381</v>
      </c>
      <c r="B2227" s="64">
        <f>IFERROR(__xludf.DUMMYFUNCTION("""COMPUTED_VALUE"""),44608.0)</f>
        <v>44608</v>
      </c>
      <c r="C2227" s="5"/>
      <c r="D2227" s="5"/>
      <c r="E2227" s="5"/>
      <c r="F2227" s="22">
        <f>IFERROR(__xludf.DUMMYFUNCTION("""COMPUTED_VALUE"""),500000.0)</f>
        <v>500000</v>
      </c>
      <c r="G2227" s="22">
        <f>IFERROR(__xludf.DUMMYFUNCTION("""COMPUTED_VALUE"""),0.0)</f>
        <v>0</v>
      </c>
      <c r="H2227" s="22">
        <f>IFERROR(__xludf.DUMMYFUNCTION("""COMPUTED_VALUE"""),500000.0)</f>
        <v>500000</v>
      </c>
      <c r="I2227" s="24">
        <f>IFERROR(__xludf.DUMMYFUNCTION("""COMPUTED_VALUE"""),0.0)</f>
        <v>0</v>
      </c>
    </row>
    <row r="2228">
      <c r="A2228" s="5" t="str">
        <f>IFERROR(__xludf.DUMMYFUNCTION("""COMPUTED_VALUE"""),"38381")</f>
        <v>38381</v>
      </c>
      <c r="B2228" s="64">
        <f>IFERROR(__xludf.DUMMYFUNCTION("""COMPUTED_VALUE"""),44609.0)</f>
        <v>44609</v>
      </c>
      <c r="C2228" s="5"/>
      <c r="D2228" s="5"/>
      <c r="E2228" s="5"/>
      <c r="F2228" s="22">
        <f>IFERROR(__xludf.DUMMYFUNCTION("""COMPUTED_VALUE"""),500000.0)</f>
        <v>500000</v>
      </c>
      <c r="G2228" s="22">
        <f>IFERROR(__xludf.DUMMYFUNCTION("""COMPUTED_VALUE"""),0.0)</f>
        <v>0</v>
      </c>
      <c r="H2228" s="22">
        <f>IFERROR(__xludf.DUMMYFUNCTION("""COMPUTED_VALUE"""),500000.0)</f>
        <v>500000</v>
      </c>
      <c r="I2228" s="24">
        <f>IFERROR(__xludf.DUMMYFUNCTION("""COMPUTED_VALUE"""),0.0)</f>
        <v>0</v>
      </c>
    </row>
    <row r="2229">
      <c r="A2229" s="5" t="str">
        <f>IFERROR(__xludf.DUMMYFUNCTION("""COMPUTED_VALUE"""),"38381")</f>
        <v>38381</v>
      </c>
      <c r="B2229" s="64">
        <f>IFERROR(__xludf.DUMMYFUNCTION("""COMPUTED_VALUE"""),44610.0)</f>
        <v>44610</v>
      </c>
      <c r="C2229" s="5"/>
      <c r="D2229" s="5"/>
      <c r="E2229" s="5"/>
      <c r="F2229" s="22">
        <f>IFERROR(__xludf.DUMMYFUNCTION("""COMPUTED_VALUE"""),500000.0)</f>
        <v>500000</v>
      </c>
      <c r="G2229" s="22">
        <f>IFERROR(__xludf.DUMMYFUNCTION("""COMPUTED_VALUE"""),0.0)</f>
        <v>0</v>
      </c>
      <c r="H2229" s="22">
        <f>IFERROR(__xludf.DUMMYFUNCTION("""COMPUTED_VALUE"""),500000.0)</f>
        <v>500000</v>
      </c>
      <c r="I2229" s="24">
        <f>IFERROR(__xludf.DUMMYFUNCTION("""COMPUTED_VALUE"""),0.0)</f>
        <v>0</v>
      </c>
    </row>
    <row r="2230">
      <c r="A2230" s="5" t="str">
        <f>IFERROR(__xludf.DUMMYFUNCTION("""COMPUTED_VALUE"""),"38381")</f>
        <v>38381</v>
      </c>
      <c r="B2230" s="64">
        <f>IFERROR(__xludf.DUMMYFUNCTION("""COMPUTED_VALUE"""),44611.0)</f>
        <v>44611</v>
      </c>
      <c r="C2230" s="5"/>
      <c r="D2230" s="5"/>
      <c r="E2230" s="5"/>
      <c r="F2230" s="22">
        <f>IFERROR(__xludf.DUMMYFUNCTION("""COMPUTED_VALUE"""),500000.0)</f>
        <v>500000</v>
      </c>
      <c r="G2230" s="22">
        <f>IFERROR(__xludf.DUMMYFUNCTION("""COMPUTED_VALUE"""),0.0)</f>
        <v>0</v>
      </c>
      <c r="H2230" s="22">
        <f>IFERROR(__xludf.DUMMYFUNCTION("""COMPUTED_VALUE"""),500000.0)</f>
        <v>500000</v>
      </c>
      <c r="I2230" s="24">
        <f>IFERROR(__xludf.DUMMYFUNCTION("""COMPUTED_VALUE"""),0.0)</f>
        <v>0</v>
      </c>
    </row>
    <row r="2231">
      <c r="A2231" s="5" t="str">
        <f>IFERROR(__xludf.DUMMYFUNCTION("""COMPUTED_VALUE"""),"38381")</f>
        <v>38381</v>
      </c>
      <c r="B2231" s="64">
        <f>IFERROR(__xludf.DUMMYFUNCTION("""COMPUTED_VALUE"""),44612.0)</f>
        <v>44612</v>
      </c>
      <c r="C2231" s="5"/>
      <c r="D2231" s="5"/>
      <c r="E2231" s="5"/>
      <c r="F2231" s="22">
        <f>IFERROR(__xludf.DUMMYFUNCTION("""COMPUTED_VALUE"""),500000.0)</f>
        <v>500000</v>
      </c>
      <c r="G2231" s="22">
        <f>IFERROR(__xludf.DUMMYFUNCTION("""COMPUTED_VALUE"""),0.0)</f>
        <v>0</v>
      </c>
      <c r="H2231" s="22">
        <f>IFERROR(__xludf.DUMMYFUNCTION("""COMPUTED_VALUE"""),500000.0)</f>
        <v>500000</v>
      </c>
      <c r="I2231" s="24">
        <f>IFERROR(__xludf.DUMMYFUNCTION("""COMPUTED_VALUE"""),0.0)</f>
        <v>0</v>
      </c>
    </row>
    <row r="2232">
      <c r="A2232" s="5" t="str">
        <f>IFERROR(__xludf.DUMMYFUNCTION("""COMPUTED_VALUE"""),"38381")</f>
        <v>38381</v>
      </c>
      <c r="B2232" s="64">
        <f>IFERROR(__xludf.DUMMYFUNCTION("""COMPUTED_VALUE"""),44613.0)</f>
        <v>44613</v>
      </c>
      <c r="C2232" s="5"/>
      <c r="D2232" s="5"/>
      <c r="E2232" s="5"/>
      <c r="F2232" s="22">
        <f>IFERROR(__xludf.DUMMYFUNCTION("""COMPUTED_VALUE"""),500000.0)</f>
        <v>500000</v>
      </c>
      <c r="G2232" s="22">
        <f>IFERROR(__xludf.DUMMYFUNCTION("""COMPUTED_VALUE"""),0.0)</f>
        <v>0</v>
      </c>
      <c r="H2232" s="22">
        <f>IFERROR(__xludf.DUMMYFUNCTION("""COMPUTED_VALUE"""),500000.0)</f>
        <v>500000</v>
      </c>
      <c r="I2232" s="24">
        <f>IFERROR(__xludf.DUMMYFUNCTION("""COMPUTED_VALUE"""),0.0)</f>
        <v>0</v>
      </c>
    </row>
    <row r="2233">
      <c r="A2233" s="5" t="str">
        <f>IFERROR(__xludf.DUMMYFUNCTION("""COMPUTED_VALUE"""),"38381")</f>
        <v>38381</v>
      </c>
      <c r="B2233" s="64">
        <f>IFERROR(__xludf.DUMMYFUNCTION("""COMPUTED_VALUE"""),44614.0)</f>
        <v>44614</v>
      </c>
      <c r="C2233" s="5"/>
      <c r="D2233" s="5"/>
      <c r="E2233" s="5"/>
      <c r="F2233" s="22">
        <f>IFERROR(__xludf.DUMMYFUNCTION("""COMPUTED_VALUE"""),500000.0)</f>
        <v>500000</v>
      </c>
      <c r="G2233" s="22">
        <f>IFERROR(__xludf.DUMMYFUNCTION("""COMPUTED_VALUE"""),0.0)</f>
        <v>0</v>
      </c>
      <c r="H2233" s="22">
        <f>IFERROR(__xludf.DUMMYFUNCTION("""COMPUTED_VALUE"""),500000.0)</f>
        <v>500000</v>
      </c>
      <c r="I2233" s="24">
        <f>IFERROR(__xludf.DUMMYFUNCTION("""COMPUTED_VALUE"""),0.0)</f>
        <v>0</v>
      </c>
    </row>
    <row r="2234">
      <c r="A2234" s="5" t="str">
        <f>IFERROR(__xludf.DUMMYFUNCTION("""COMPUTED_VALUE"""),"38381")</f>
        <v>38381</v>
      </c>
      <c r="B2234" s="64">
        <f>IFERROR(__xludf.DUMMYFUNCTION("""COMPUTED_VALUE"""),44615.0)</f>
        <v>44615</v>
      </c>
      <c r="C2234" s="5"/>
      <c r="D2234" s="5"/>
      <c r="E2234" s="5"/>
      <c r="F2234" s="22">
        <f>IFERROR(__xludf.DUMMYFUNCTION("""COMPUTED_VALUE"""),500000.0)</f>
        <v>500000</v>
      </c>
      <c r="G2234" s="22">
        <f>IFERROR(__xludf.DUMMYFUNCTION("""COMPUTED_VALUE"""),0.0)</f>
        <v>0</v>
      </c>
      <c r="H2234" s="22">
        <f>IFERROR(__xludf.DUMMYFUNCTION("""COMPUTED_VALUE"""),500000.0)</f>
        <v>500000</v>
      </c>
      <c r="I2234" s="24">
        <f>IFERROR(__xludf.DUMMYFUNCTION("""COMPUTED_VALUE"""),0.0)</f>
        <v>0</v>
      </c>
    </row>
    <row r="2235">
      <c r="A2235" s="5" t="str">
        <f>IFERROR(__xludf.DUMMYFUNCTION("""COMPUTED_VALUE"""),"38381")</f>
        <v>38381</v>
      </c>
      <c r="B2235" s="64">
        <f>IFERROR(__xludf.DUMMYFUNCTION("""COMPUTED_VALUE"""),44616.0)</f>
        <v>44616</v>
      </c>
      <c r="C2235" s="5"/>
      <c r="D2235" s="5"/>
      <c r="E2235" s="5"/>
      <c r="F2235" s="22">
        <f>IFERROR(__xludf.DUMMYFUNCTION("""COMPUTED_VALUE"""),500000.0)</f>
        <v>500000</v>
      </c>
      <c r="G2235" s="22">
        <f>IFERROR(__xludf.DUMMYFUNCTION("""COMPUTED_VALUE"""),0.0)</f>
        <v>0</v>
      </c>
      <c r="H2235" s="22">
        <f>IFERROR(__xludf.DUMMYFUNCTION("""COMPUTED_VALUE"""),500000.0)</f>
        <v>500000</v>
      </c>
      <c r="I2235" s="24">
        <f>IFERROR(__xludf.DUMMYFUNCTION("""COMPUTED_VALUE"""),0.0)</f>
        <v>0</v>
      </c>
    </row>
    <row r="2236">
      <c r="A2236" s="5" t="str">
        <f>IFERROR(__xludf.DUMMYFUNCTION("""COMPUTED_VALUE"""),"38381")</f>
        <v>38381</v>
      </c>
      <c r="B2236" s="64">
        <f>IFERROR(__xludf.DUMMYFUNCTION("""COMPUTED_VALUE"""),44617.0)</f>
        <v>44617</v>
      </c>
      <c r="C2236" s="5"/>
      <c r="D2236" s="5"/>
      <c r="E2236" s="5"/>
      <c r="F2236" s="22">
        <f>IFERROR(__xludf.DUMMYFUNCTION("""COMPUTED_VALUE"""),500000.0)</f>
        <v>500000</v>
      </c>
      <c r="G2236" s="22">
        <f>IFERROR(__xludf.DUMMYFUNCTION("""COMPUTED_VALUE"""),0.0)</f>
        <v>0</v>
      </c>
      <c r="H2236" s="22">
        <f>IFERROR(__xludf.DUMMYFUNCTION("""COMPUTED_VALUE"""),500000.0)</f>
        <v>500000</v>
      </c>
      <c r="I2236" s="24">
        <f>IFERROR(__xludf.DUMMYFUNCTION("""COMPUTED_VALUE"""),0.0)</f>
        <v>0</v>
      </c>
    </row>
    <row r="2237">
      <c r="A2237" s="5" t="str">
        <f>IFERROR(__xludf.DUMMYFUNCTION("""COMPUTED_VALUE"""),"38381")</f>
        <v>38381</v>
      </c>
      <c r="B2237" s="64">
        <f>IFERROR(__xludf.DUMMYFUNCTION("""COMPUTED_VALUE"""),44618.0)</f>
        <v>44618</v>
      </c>
      <c r="C2237" s="5"/>
      <c r="D2237" s="5"/>
      <c r="E2237" s="5"/>
      <c r="F2237" s="22">
        <f>IFERROR(__xludf.DUMMYFUNCTION("""COMPUTED_VALUE"""),500000.0)</f>
        <v>500000</v>
      </c>
      <c r="G2237" s="22">
        <f>IFERROR(__xludf.DUMMYFUNCTION("""COMPUTED_VALUE"""),0.0)</f>
        <v>0</v>
      </c>
      <c r="H2237" s="22">
        <f>IFERROR(__xludf.DUMMYFUNCTION("""COMPUTED_VALUE"""),500000.0)</f>
        <v>500000</v>
      </c>
      <c r="I2237" s="24">
        <f>IFERROR(__xludf.DUMMYFUNCTION("""COMPUTED_VALUE"""),0.0)</f>
        <v>0</v>
      </c>
    </row>
    <row r="2238">
      <c r="A2238" s="5" t="str">
        <f>IFERROR(__xludf.DUMMYFUNCTION("""COMPUTED_VALUE"""),"38381")</f>
        <v>38381</v>
      </c>
      <c r="B2238" s="64">
        <f>IFERROR(__xludf.DUMMYFUNCTION("""COMPUTED_VALUE"""),44619.0)</f>
        <v>44619</v>
      </c>
      <c r="C2238" s="5"/>
      <c r="D2238" s="5"/>
      <c r="E2238" s="5"/>
      <c r="F2238" s="22">
        <f>IFERROR(__xludf.DUMMYFUNCTION("""COMPUTED_VALUE"""),500000.0)</f>
        <v>500000</v>
      </c>
      <c r="G2238" s="22">
        <f>IFERROR(__xludf.DUMMYFUNCTION("""COMPUTED_VALUE"""),0.0)</f>
        <v>0</v>
      </c>
      <c r="H2238" s="22">
        <f>IFERROR(__xludf.DUMMYFUNCTION("""COMPUTED_VALUE"""),500000.0)</f>
        <v>500000</v>
      </c>
      <c r="I2238" s="24">
        <f>IFERROR(__xludf.DUMMYFUNCTION("""COMPUTED_VALUE"""),0.0)</f>
        <v>0</v>
      </c>
    </row>
    <row r="2239">
      <c r="A2239" s="5" t="str">
        <f>IFERROR(__xludf.DUMMYFUNCTION("""COMPUTED_VALUE"""),"38381")</f>
        <v>38381</v>
      </c>
      <c r="B2239" s="64">
        <f>IFERROR(__xludf.DUMMYFUNCTION("""COMPUTED_VALUE"""),44620.0)</f>
        <v>44620</v>
      </c>
      <c r="C2239" s="5"/>
      <c r="D2239" s="5"/>
      <c r="E2239" s="5"/>
      <c r="F2239" s="22">
        <f>IFERROR(__xludf.DUMMYFUNCTION("""COMPUTED_VALUE"""),500000.0)</f>
        <v>500000</v>
      </c>
      <c r="G2239" s="22">
        <f>IFERROR(__xludf.DUMMYFUNCTION("""COMPUTED_VALUE"""),0.0)</f>
        <v>0</v>
      </c>
      <c r="H2239" s="22">
        <f>IFERROR(__xludf.DUMMYFUNCTION("""COMPUTED_VALUE"""),500000.0)</f>
        <v>500000</v>
      </c>
      <c r="I2239" s="24">
        <f>IFERROR(__xludf.DUMMYFUNCTION("""COMPUTED_VALUE"""),0.0)</f>
        <v>0</v>
      </c>
    </row>
    <row r="2240">
      <c r="A2240" s="5" t="str">
        <f>IFERROR(__xludf.DUMMYFUNCTION("""COMPUTED_VALUE"""),"38381")</f>
        <v>38381</v>
      </c>
      <c r="B2240" s="64">
        <f>IFERROR(__xludf.DUMMYFUNCTION("""COMPUTED_VALUE"""),44621.0)</f>
        <v>44621</v>
      </c>
      <c r="C2240" s="5"/>
      <c r="D2240" s="5"/>
      <c r="E2240" s="5"/>
      <c r="F2240" s="22">
        <f>IFERROR(__xludf.DUMMYFUNCTION("""COMPUTED_VALUE"""),500000.0)</f>
        <v>500000</v>
      </c>
      <c r="G2240" s="22">
        <f>IFERROR(__xludf.DUMMYFUNCTION("""COMPUTED_VALUE"""),0.0)</f>
        <v>0</v>
      </c>
      <c r="H2240" s="22">
        <f>IFERROR(__xludf.DUMMYFUNCTION("""COMPUTED_VALUE"""),500000.0)</f>
        <v>500000</v>
      </c>
      <c r="I2240" s="24">
        <f>IFERROR(__xludf.DUMMYFUNCTION("""COMPUTED_VALUE"""),0.0)</f>
        <v>0</v>
      </c>
    </row>
    <row r="2241">
      <c r="A2241" s="5" t="str">
        <f>IFERROR(__xludf.DUMMYFUNCTION("""COMPUTED_VALUE"""),"38381")</f>
        <v>38381</v>
      </c>
      <c r="B2241" s="64">
        <f>IFERROR(__xludf.DUMMYFUNCTION("""COMPUTED_VALUE"""),44622.0)</f>
        <v>44622</v>
      </c>
      <c r="C2241" s="5"/>
      <c r="D2241" s="5"/>
      <c r="E2241" s="5"/>
      <c r="F2241" s="22">
        <f>IFERROR(__xludf.DUMMYFUNCTION("""COMPUTED_VALUE"""),500000.0)</f>
        <v>500000</v>
      </c>
      <c r="G2241" s="22">
        <f>IFERROR(__xludf.DUMMYFUNCTION("""COMPUTED_VALUE"""),0.0)</f>
        <v>0</v>
      </c>
      <c r="H2241" s="22">
        <f>IFERROR(__xludf.DUMMYFUNCTION("""COMPUTED_VALUE"""),500000.0)</f>
        <v>500000</v>
      </c>
      <c r="I2241" s="24">
        <f>IFERROR(__xludf.DUMMYFUNCTION("""COMPUTED_VALUE"""),0.0)</f>
        <v>0</v>
      </c>
    </row>
    <row r="2242">
      <c r="A2242" s="5" t="str">
        <f>IFERROR(__xludf.DUMMYFUNCTION("""COMPUTED_VALUE"""),"38381")</f>
        <v>38381</v>
      </c>
      <c r="B2242" s="64">
        <f>IFERROR(__xludf.DUMMYFUNCTION("""COMPUTED_VALUE"""),44623.0)</f>
        <v>44623</v>
      </c>
      <c r="C2242" s="5"/>
      <c r="D2242" s="5"/>
      <c r="E2242" s="5"/>
      <c r="F2242" s="22">
        <f>IFERROR(__xludf.DUMMYFUNCTION("""COMPUTED_VALUE"""),500000.0)</f>
        <v>500000</v>
      </c>
      <c r="G2242" s="22">
        <f>IFERROR(__xludf.DUMMYFUNCTION("""COMPUTED_VALUE"""),0.0)</f>
        <v>0</v>
      </c>
      <c r="H2242" s="22">
        <f>IFERROR(__xludf.DUMMYFUNCTION("""COMPUTED_VALUE"""),500000.0)</f>
        <v>500000</v>
      </c>
      <c r="I2242" s="24">
        <f>IFERROR(__xludf.DUMMYFUNCTION("""COMPUTED_VALUE"""),0.0)</f>
        <v>0</v>
      </c>
    </row>
    <row r="2243">
      <c r="A2243" s="5" t="str">
        <f>IFERROR(__xludf.DUMMYFUNCTION("""COMPUTED_VALUE"""),"38381")</f>
        <v>38381</v>
      </c>
      <c r="B2243" s="64">
        <f>IFERROR(__xludf.DUMMYFUNCTION("""COMPUTED_VALUE"""),44624.0)</f>
        <v>44624</v>
      </c>
      <c r="C2243" s="5"/>
      <c r="D2243" s="5"/>
      <c r="E2243" s="5"/>
      <c r="F2243" s="22">
        <f>IFERROR(__xludf.DUMMYFUNCTION("""COMPUTED_VALUE"""),500000.0)</f>
        <v>500000</v>
      </c>
      <c r="G2243" s="22">
        <f>IFERROR(__xludf.DUMMYFUNCTION("""COMPUTED_VALUE"""),0.0)</f>
        <v>0</v>
      </c>
      <c r="H2243" s="22">
        <f>IFERROR(__xludf.DUMMYFUNCTION("""COMPUTED_VALUE"""),500000.0)</f>
        <v>500000</v>
      </c>
      <c r="I2243" s="24">
        <f>IFERROR(__xludf.DUMMYFUNCTION("""COMPUTED_VALUE"""),0.0)</f>
        <v>0</v>
      </c>
    </row>
    <row r="2244">
      <c r="A2244" s="5" t="str">
        <f>IFERROR(__xludf.DUMMYFUNCTION("""COMPUTED_VALUE"""),"38381")</f>
        <v>38381</v>
      </c>
      <c r="B2244" s="64">
        <f>IFERROR(__xludf.DUMMYFUNCTION("""COMPUTED_VALUE"""),44625.0)</f>
        <v>44625</v>
      </c>
      <c r="C2244" s="5"/>
      <c r="D2244" s="5"/>
      <c r="E2244" s="5"/>
      <c r="F2244" s="22">
        <f>IFERROR(__xludf.DUMMYFUNCTION("""COMPUTED_VALUE"""),500000.0)</f>
        <v>500000</v>
      </c>
      <c r="G2244" s="22">
        <f>IFERROR(__xludf.DUMMYFUNCTION("""COMPUTED_VALUE"""),0.0)</f>
        <v>0</v>
      </c>
      <c r="H2244" s="22">
        <f>IFERROR(__xludf.DUMMYFUNCTION("""COMPUTED_VALUE"""),500000.0)</f>
        <v>500000</v>
      </c>
      <c r="I2244" s="24">
        <f>IFERROR(__xludf.DUMMYFUNCTION("""COMPUTED_VALUE"""),0.0)</f>
        <v>0</v>
      </c>
    </row>
    <row r="2245">
      <c r="A2245" s="5" t="str">
        <f>IFERROR(__xludf.DUMMYFUNCTION("""COMPUTED_VALUE"""),"38381")</f>
        <v>38381</v>
      </c>
      <c r="B2245" s="64">
        <f>IFERROR(__xludf.DUMMYFUNCTION("""COMPUTED_VALUE"""),44626.0)</f>
        <v>44626</v>
      </c>
      <c r="C2245" s="5"/>
      <c r="D2245" s="5"/>
      <c r="E2245" s="5"/>
      <c r="F2245" s="22">
        <f>IFERROR(__xludf.DUMMYFUNCTION("""COMPUTED_VALUE"""),500000.0)</f>
        <v>500000</v>
      </c>
      <c r="G2245" s="22">
        <f>IFERROR(__xludf.DUMMYFUNCTION("""COMPUTED_VALUE"""),0.0)</f>
        <v>0</v>
      </c>
      <c r="H2245" s="22">
        <f>IFERROR(__xludf.DUMMYFUNCTION("""COMPUTED_VALUE"""),500000.0)</f>
        <v>500000</v>
      </c>
      <c r="I2245" s="24">
        <f>IFERROR(__xludf.DUMMYFUNCTION("""COMPUTED_VALUE"""),0.0)</f>
        <v>0</v>
      </c>
    </row>
    <row r="2246">
      <c r="A2246" s="5" t="str">
        <f>IFERROR(__xludf.DUMMYFUNCTION("""COMPUTED_VALUE"""),"38381")</f>
        <v>38381</v>
      </c>
      <c r="B2246" s="64">
        <f>IFERROR(__xludf.DUMMYFUNCTION("""COMPUTED_VALUE"""),44627.0)</f>
        <v>44627</v>
      </c>
      <c r="C2246" s="5"/>
      <c r="D2246" s="5"/>
      <c r="E2246" s="5"/>
      <c r="F2246" s="22">
        <f>IFERROR(__xludf.DUMMYFUNCTION("""COMPUTED_VALUE"""),500000.0)</f>
        <v>500000</v>
      </c>
      <c r="G2246" s="22">
        <f>IFERROR(__xludf.DUMMYFUNCTION("""COMPUTED_VALUE"""),0.0)</f>
        <v>0</v>
      </c>
      <c r="H2246" s="22">
        <f>IFERROR(__xludf.DUMMYFUNCTION("""COMPUTED_VALUE"""),500000.0)</f>
        <v>500000</v>
      </c>
      <c r="I2246" s="24">
        <f>IFERROR(__xludf.DUMMYFUNCTION("""COMPUTED_VALUE"""),0.0)</f>
        <v>0</v>
      </c>
    </row>
    <row r="2247">
      <c r="A2247" s="5" t="str">
        <f>IFERROR(__xludf.DUMMYFUNCTION("""COMPUTED_VALUE"""),"38381")</f>
        <v>38381</v>
      </c>
      <c r="B2247" s="64">
        <f>IFERROR(__xludf.DUMMYFUNCTION("""COMPUTED_VALUE"""),44628.0)</f>
        <v>44628</v>
      </c>
      <c r="C2247" s="5"/>
      <c r="D2247" s="5"/>
      <c r="E2247" s="5"/>
      <c r="F2247" s="22">
        <f>IFERROR(__xludf.DUMMYFUNCTION("""COMPUTED_VALUE"""),500000.0)</f>
        <v>500000</v>
      </c>
      <c r="G2247" s="22">
        <f>IFERROR(__xludf.DUMMYFUNCTION("""COMPUTED_VALUE"""),0.0)</f>
        <v>0</v>
      </c>
      <c r="H2247" s="22">
        <f>IFERROR(__xludf.DUMMYFUNCTION("""COMPUTED_VALUE"""),500000.0)</f>
        <v>500000</v>
      </c>
      <c r="I2247" s="24">
        <f>IFERROR(__xludf.DUMMYFUNCTION("""COMPUTED_VALUE"""),0.0)</f>
        <v>0</v>
      </c>
    </row>
    <row r="2248">
      <c r="A2248" s="5" t="str">
        <f>IFERROR(__xludf.DUMMYFUNCTION("""COMPUTED_VALUE"""),"38381")</f>
        <v>38381</v>
      </c>
      <c r="B2248" s="64">
        <f>IFERROR(__xludf.DUMMYFUNCTION("""COMPUTED_VALUE"""),44629.0)</f>
        <v>44629</v>
      </c>
      <c r="C2248" s="5"/>
      <c r="D2248" s="5"/>
      <c r="E2248" s="5"/>
      <c r="F2248" s="22">
        <f>IFERROR(__xludf.DUMMYFUNCTION("""COMPUTED_VALUE"""),500000.0)</f>
        <v>500000</v>
      </c>
      <c r="G2248" s="22">
        <f>IFERROR(__xludf.DUMMYFUNCTION("""COMPUTED_VALUE"""),0.0)</f>
        <v>0</v>
      </c>
      <c r="H2248" s="22">
        <f>IFERROR(__xludf.DUMMYFUNCTION("""COMPUTED_VALUE"""),500000.0)</f>
        <v>500000</v>
      </c>
      <c r="I2248" s="24">
        <f>IFERROR(__xludf.DUMMYFUNCTION("""COMPUTED_VALUE"""),0.0)</f>
        <v>0</v>
      </c>
    </row>
    <row r="2249">
      <c r="A2249" s="5" t="str">
        <f>IFERROR(__xludf.DUMMYFUNCTION("""COMPUTED_VALUE"""),"38381")</f>
        <v>38381</v>
      </c>
      <c r="B2249" s="64">
        <f>IFERROR(__xludf.DUMMYFUNCTION("""COMPUTED_VALUE"""),44630.0)</f>
        <v>44630</v>
      </c>
      <c r="C2249" s="5"/>
      <c r="D2249" s="5"/>
      <c r="E2249" s="5"/>
      <c r="F2249" s="22">
        <f>IFERROR(__xludf.DUMMYFUNCTION("""COMPUTED_VALUE"""),500000.0)</f>
        <v>500000</v>
      </c>
      <c r="G2249" s="22">
        <f>IFERROR(__xludf.DUMMYFUNCTION("""COMPUTED_VALUE"""),0.0)</f>
        <v>0</v>
      </c>
      <c r="H2249" s="22">
        <f>IFERROR(__xludf.DUMMYFUNCTION("""COMPUTED_VALUE"""),500000.0)</f>
        <v>500000</v>
      </c>
      <c r="I2249" s="24">
        <f>IFERROR(__xludf.DUMMYFUNCTION("""COMPUTED_VALUE"""),0.0)</f>
        <v>0</v>
      </c>
    </row>
    <row r="2250">
      <c r="A2250" s="5" t="str">
        <f>IFERROR(__xludf.DUMMYFUNCTION("""COMPUTED_VALUE"""),"38381")</f>
        <v>38381</v>
      </c>
      <c r="B2250" s="64">
        <f>IFERROR(__xludf.DUMMYFUNCTION("""COMPUTED_VALUE"""),44631.0)</f>
        <v>44631</v>
      </c>
      <c r="C2250" s="5"/>
      <c r="D2250" s="5"/>
      <c r="E2250" s="5"/>
      <c r="F2250" s="22">
        <f>IFERROR(__xludf.DUMMYFUNCTION("""COMPUTED_VALUE"""),500000.0)</f>
        <v>500000</v>
      </c>
      <c r="G2250" s="22">
        <f>IFERROR(__xludf.DUMMYFUNCTION("""COMPUTED_VALUE"""),0.0)</f>
        <v>0</v>
      </c>
      <c r="H2250" s="22">
        <f>IFERROR(__xludf.DUMMYFUNCTION("""COMPUTED_VALUE"""),500000.0)</f>
        <v>500000</v>
      </c>
      <c r="I2250" s="24">
        <f>IFERROR(__xludf.DUMMYFUNCTION("""COMPUTED_VALUE"""),0.0)</f>
        <v>0</v>
      </c>
    </row>
    <row r="2251">
      <c r="A2251" s="5" t="str">
        <f>IFERROR(__xludf.DUMMYFUNCTION("""COMPUTED_VALUE"""),"38381")</f>
        <v>38381</v>
      </c>
      <c r="B2251" s="64">
        <f>IFERROR(__xludf.DUMMYFUNCTION("""COMPUTED_VALUE"""),44632.0)</f>
        <v>44632</v>
      </c>
      <c r="C2251" s="5"/>
      <c r="D2251" s="5"/>
      <c r="E2251" s="5"/>
      <c r="F2251" s="22">
        <f>IFERROR(__xludf.DUMMYFUNCTION("""COMPUTED_VALUE"""),500000.0)</f>
        <v>500000</v>
      </c>
      <c r="G2251" s="22">
        <f>IFERROR(__xludf.DUMMYFUNCTION("""COMPUTED_VALUE"""),0.0)</f>
        <v>0</v>
      </c>
      <c r="H2251" s="22">
        <f>IFERROR(__xludf.DUMMYFUNCTION("""COMPUTED_VALUE"""),500000.0)</f>
        <v>500000</v>
      </c>
      <c r="I2251" s="24">
        <f>IFERROR(__xludf.DUMMYFUNCTION("""COMPUTED_VALUE"""),0.0)</f>
        <v>0</v>
      </c>
    </row>
    <row r="2252">
      <c r="A2252" s="5" t="str">
        <f>IFERROR(__xludf.DUMMYFUNCTION("""COMPUTED_VALUE"""),"38381")</f>
        <v>38381</v>
      </c>
      <c r="B2252" s="64">
        <f>IFERROR(__xludf.DUMMYFUNCTION("""COMPUTED_VALUE"""),44633.0)</f>
        <v>44633</v>
      </c>
      <c r="C2252" s="5"/>
      <c r="D2252" s="5"/>
      <c r="E2252" s="5"/>
      <c r="F2252" s="22">
        <f>IFERROR(__xludf.DUMMYFUNCTION("""COMPUTED_VALUE"""),500000.0)</f>
        <v>500000</v>
      </c>
      <c r="G2252" s="22">
        <f>IFERROR(__xludf.DUMMYFUNCTION("""COMPUTED_VALUE"""),0.0)</f>
        <v>0</v>
      </c>
      <c r="H2252" s="22">
        <f>IFERROR(__xludf.DUMMYFUNCTION("""COMPUTED_VALUE"""),500000.0)</f>
        <v>500000</v>
      </c>
      <c r="I2252" s="24">
        <f>IFERROR(__xludf.DUMMYFUNCTION("""COMPUTED_VALUE"""),0.0)</f>
        <v>0</v>
      </c>
    </row>
    <row r="2253">
      <c r="A2253" s="5" t="str">
        <f>IFERROR(__xludf.DUMMYFUNCTION("""COMPUTED_VALUE"""),"38381")</f>
        <v>38381</v>
      </c>
      <c r="B2253" s="64">
        <f>IFERROR(__xludf.DUMMYFUNCTION("""COMPUTED_VALUE"""),44634.0)</f>
        <v>44634</v>
      </c>
      <c r="C2253" s="5"/>
      <c r="D2253" s="5"/>
      <c r="E2253" s="5"/>
      <c r="F2253" s="22">
        <f>IFERROR(__xludf.DUMMYFUNCTION("""COMPUTED_VALUE"""),500000.0)</f>
        <v>500000</v>
      </c>
      <c r="G2253" s="22">
        <f>IFERROR(__xludf.DUMMYFUNCTION("""COMPUTED_VALUE"""),0.0)</f>
        <v>0</v>
      </c>
      <c r="H2253" s="22">
        <f>IFERROR(__xludf.DUMMYFUNCTION("""COMPUTED_VALUE"""),500000.0)</f>
        <v>500000</v>
      </c>
      <c r="I2253" s="24">
        <f>IFERROR(__xludf.DUMMYFUNCTION("""COMPUTED_VALUE"""),0.0)</f>
        <v>0</v>
      </c>
    </row>
    <row r="2254">
      <c r="A2254" s="5" t="str">
        <f>IFERROR(__xludf.DUMMYFUNCTION("""COMPUTED_VALUE"""),"38381")</f>
        <v>38381</v>
      </c>
      <c r="B2254" s="64">
        <f>IFERROR(__xludf.DUMMYFUNCTION("""COMPUTED_VALUE"""),44635.0)</f>
        <v>44635</v>
      </c>
      <c r="C2254" s="5"/>
      <c r="D2254" s="5"/>
      <c r="E2254" s="5"/>
      <c r="F2254" s="22">
        <f>IFERROR(__xludf.DUMMYFUNCTION("""COMPUTED_VALUE"""),500000.0)</f>
        <v>500000</v>
      </c>
      <c r="G2254" s="22">
        <f>IFERROR(__xludf.DUMMYFUNCTION("""COMPUTED_VALUE"""),0.0)</f>
        <v>0</v>
      </c>
      <c r="H2254" s="22">
        <f>IFERROR(__xludf.DUMMYFUNCTION("""COMPUTED_VALUE"""),500000.0)</f>
        <v>500000</v>
      </c>
      <c r="I2254" s="24">
        <f>IFERROR(__xludf.DUMMYFUNCTION("""COMPUTED_VALUE"""),0.0)</f>
        <v>0</v>
      </c>
    </row>
    <row r="2255">
      <c r="A2255" s="5" t="str">
        <f>IFERROR(__xludf.DUMMYFUNCTION("""COMPUTED_VALUE"""),"38381")</f>
        <v>38381</v>
      </c>
      <c r="B2255" s="64">
        <f>IFERROR(__xludf.DUMMYFUNCTION("""COMPUTED_VALUE"""),44636.0)</f>
        <v>44636</v>
      </c>
      <c r="C2255" s="5"/>
      <c r="D2255" s="5"/>
      <c r="E2255" s="5"/>
      <c r="F2255" s="22">
        <f>IFERROR(__xludf.DUMMYFUNCTION("""COMPUTED_VALUE"""),500000.0)</f>
        <v>500000</v>
      </c>
      <c r="G2255" s="22">
        <f>IFERROR(__xludf.DUMMYFUNCTION("""COMPUTED_VALUE"""),0.0)</f>
        <v>0</v>
      </c>
      <c r="H2255" s="22">
        <f>IFERROR(__xludf.DUMMYFUNCTION("""COMPUTED_VALUE"""),499906.15339999995)</f>
        <v>499906.1534</v>
      </c>
      <c r="I2255" s="24">
        <f>IFERROR(__xludf.DUMMYFUNCTION("""COMPUTED_VALUE"""),-1.8769320000011636E-4)</f>
        <v>-0.0001876932</v>
      </c>
    </row>
    <row r="2256">
      <c r="A2256" s="5" t="str">
        <f>IFERROR(__xludf.DUMMYFUNCTION("""COMPUTED_VALUE"""),"38381")</f>
        <v>38381</v>
      </c>
      <c r="B2256" s="64">
        <f>IFERROR(__xludf.DUMMYFUNCTION("""COMPUTED_VALUE"""),44637.0)</f>
        <v>44637</v>
      </c>
      <c r="C2256" s="5"/>
      <c r="D2256" s="5"/>
      <c r="E2256" s="5"/>
      <c r="F2256" s="22">
        <f>IFERROR(__xludf.DUMMYFUNCTION("""COMPUTED_VALUE"""),-29398.948449999967)</f>
        <v>-29398.94845</v>
      </c>
      <c r="G2256" s="22">
        <f>IFERROR(__xludf.DUMMYFUNCTION("""COMPUTED_VALUE"""),29398.948449999967)</f>
        <v>29398.94845</v>
      </c>
      <c r="H2256" s="22">
        <f>IFERROR(__xludf.DUMMYFUNCTION("""COMPUTED_VALUE"""),515132.76425)</f>
        <v>515132.7643</v>
      </c>
      <c r="I2256" s="24">
        <f>IFERROR(__xludf.DUMMYFUNCTION("""COMPUTED_VALUE"""),0.030265528499999972)</f>
        <v>0.0302655285</v>
      </c>
    </row>
    <row r="2257">
      <c r="A2257" s="5" t="str">
        <f>IFERROR(__xludf.DUMMYFUNCTION("""COMPUTED_VALUE"""),"38381")</f>
        <v>38381</v>
      </c>
      <c r="B2257" s="64">
        <f>IFERROR(__xludf.DUMMYFUNCTION("""COMPUTED_VALUE"""),44638.0)</f>
        <v>44638</v>
      </c>
      <c r="C2257" s="5"/>
      <c r="D2257" s="5"/>
      <c r="E2257" s="5"/>
      <c r="F2257" s="22">
        <f>IFERROR(__xludf.DUMMYFUNCTION("""COMPUTED_VALUE"""),-29398.948449999967)</f>
        <v>-29398.94845</v>
      </c>
      <c r="G2257" s="22">
        <f>IFERROR(__xludf.DUMMYFUNCTION("""COMPUTED_VALUE"""),29398.948449999967)</f>
        <v>29398.94845</v>
      </c>
      <c r="H2257" s="22">
        <f>IFERROR(__xludf.DUMMYFUNCTION("""COMPUTED_VALUE"""),524749.0407499999)</f>
        <v>524749.0408</v>
      </c>
      <c r="I2257" s="24">
        <f>IFERROR(__xludf.DUMMYFUNCTION("""COMPUTED_VALUE"""),0.0494980814999999)</f>
        <v>0.0494980815</v>
      </c>
    </row>
    <row r="2258">
      <c r="A2258" s="5" t="str">
        <f>IFERROR(__xludf.DUMMYFUNCTION("""COMPUTED_VALUE"""),"38381")</f>
        <v>38381</v>
      </c>
      <c r="B2258" s="64">
        <f>IFERROR(__xludf.DUMMYFUNCTION("""COMPUTED_VALUE"""),44639.0)</f>
        <v>44639</v>
      </c>
      <c r="C2258" s="5"/>
      <c r="D2258" s="5"/>
      <c r="E2258" s="5"/>
      <c r="F2258" s="22">
        <f>IFERROR(__xludf.DUMMYFUNCTION("""COMPUTED_VALUE"""),-29398.948449999967)</f>
        <v>-29398.94845</v>
      </c>
      <c r="G2258" s="22">
        <f>IFERROR(__xludf.DUMMYFUNCTION("""COMPUTED_VALUE"""),29398.948449999967)</f>
        <v>29398.94845</v>
      </c>
      <c r="H2258" s="22">
        <f>IFERROR(__xludf.DUMMYFUNCTION("""COMPUTED_VALUE"""),524749.0407499999)</f>
        <v>524749.0408</v>
      </c>
      <c r="I2258" s="24">
        <f>IFERROR(__xludf.DUMMYFUNCTION("""COMPUTED_VALUE"""),0.0494980814999999)</f>
        <v>0.0494980815</v>
      </c>
    </row>
    <row r="2259">
      <c r="A2259" s="5" t="str">
        <f>IFERROR(__xludf.DUMMYFUNCTION("""COMPUTED_VALUE"""),"38381")</f>
        <v>38381</v>
      </c>
      <c r="B2259" s="64">
        <f>IFERROR(__xludf.DUMMYFUNCTION("""COMPUTED_VALUE"""),44640.0)</f>
        <v>44640</v>
      </c>
      <c r="C2259" s="5"/>
      <c r="D2259" s="5"/>
      <c r="E2259" s="5"/>
      <c r="F2259" s="22">
        <f>IFERROR(__xludf.DUMMYFUNCTION("""COMPUTED_VALUE"""),-29398.948449999967)</f>
        <v>-29398.94845</v>
      </c>
      <c r="G2259" s="22">
        <f>IFERROR(__xludf.DUMMYFUNCTION("""COMPUTED_VALUE"""),29398.948449999967)</f>
        <v>29398.94845</v>
      </c>
      <c r="H2259" s="22">
        <f>IFERROR(__xludf.DUMMYFUNCTION("""COMPUTED_VALUE"""),524749.0407499999)</f>
        <v>524749.0408</v>
      </c>
      <c r="I2259" s="24">
        <f>IFERROR(__xludf.DUMMYFUNCTION("""COMPUTED_VALUE"""),0.0494980814999999)</f>
        <v>0.0494980815</v>
      </c>
    </row>
    <row r="2260">
      <c r="A2260" s="5" t="str">
        <f>IFERROR(__xludf.DUMMYFUNCTION("""COMPUTED_VALUE"""),"38381")</f>
        <v>38381</v>
      </c>
      <c r="B2260" s="64">
        <f>IFERROR(__xludf.DUMMYFUNCTION("""COMPUTED_VALUE"""),44641.0)</f>
        <v>44641</v>
      </c>
      <c r="C2260" s="5"/>
      <c r="D2260" s="5"/>
      <c r="E2260" s="5"/>
      <c r="F2260" s="22">
        <f>IFERROR(__xludf.DUMMYFUNCTION("""COMPUTED_VALUE"""),-29398.948449999967)</f>
        <v>-29398.94845</v>
      </c>
      <c r="G2260" s="22">
        <f>IFERROR(__xludf.DUMMYFUNCTION("""COMPUTED_VALUE"""),29398.948449999967)</f>
        <v>29398.94845</v>
      </c>
      <c r="H2260" s="22">
        <f>IFERROR(__xludf.DUMMYFUNCTION("""COMPUTED_VALUE"""),544094.0814499999)</f>
        <v>544094.0815</v>
      </c>
      <c r="I2260" s="24">
        <f>IFERROR(__xludf.DUMMYFUNCTION("""COMPUTED_VALUE"""),0.08818816289999987)</f>
        <v>0.0881881629</v>
      </c>
    </row>
    <row r="2261">
      <c r="A2261" s="5" t="str">
        <f>IFERROR(__xludf.DUMMYFUNCTION("""COMPUTED_VALUE"""),"38381")</f>
        <v>38381</v>
      </c>
      <c r="B2261" s="64">
        <f>IFERROR(__xludf.DUMMYFUNCTION("""COMPUTED_VALUE"""),44642.0)</f>
        <v>44642</v>
      </c>
      <c r="C2261" s="5"/>
      <c r="D2261" s="5"/>
      <c r="E2261" s="5"/>
      <c r="F2261" s="22">
        <f>IFERROR(__xludf.DUMMYFUNCTION("""COMPUTED_VALUE"""),-29398.948449999967)</f>
        <v>-29398.94845</v>
      </c>
      <c r="G2261" s="22">
        <f>IFERROR(__xludf.DUMMYFUNCTION("""COMPUTED_VALUE"""),29398.948449999967)</f>
        <v>29398.94845</v>
      </c>
      <c r="H2261" s="22">
        <f>IFERROR(__xludf.DUMMYFUNCTION("""COMPUTED_VALUE"""),547340.78915)</f>
        <v>547340.7892</v>
      </c>
      <c r="I2261" s="24">
        <f>IFERROR(__xludf.DUMMYFUNCTION("""COMPUTED_VALUE"""),0.0946815782999999)</f>
        <v>0.0946815783</v>
      </c>
    </row>
    <row r="2262">
      <c r="A2262" s="5" t="str">
        <f>IFERROR(__xludf.DUMMYFUNCTION("""COMPUTED_VALUE"""),"38381")</f>
        <v>38381</v>
      </c>
      <c r="B2262" s="64">
        <f>IFERROR(__xludf.DUMMYFUNCTION("""COMPUTED_VALUE"""),44643.0)</f>
        <v>44643</v>
      </c>
      <c r="C2262" s="5"/>
      <c r="D2262" s="5"/>
      <c r="E2262" s="5"/>
      <c r="F2262" s="22">
        <f>IFERROR(__xludf.DUMMYFUNCTION("""COMPUTED_VALUE"""),-29398.948449999967)</f>
        <v>-29398.94845</v>
      </c>
      <c r="G2262" s="22">
        <f>IFERROR(__xludf.DUMMYFUNCTION("""COMPUTED_VALUE"""),29398.948449999967)</f>
        <v>29398.94845</v>
      </c>
      <c r="H2262" s="22">
        <f>IFERROR(__xludf.DUMMYFUNCTION("""COMPUTED_VALUE"""),562679.8877000001)</f>
        <v>562679.8877</v>
      </c>
      <c r="I2262" s="24">
        <f>IFERROR(__xludf.DUMMYFUNCTION("""COMPUTED_VALUE"""),0.1253597754000002)</f>
        <v>0.1253597754</v>
      </c>
    </row>
    <row r="2263">
      <c r="A2263" s="5" t="str">
        <f>IFERROR(__xludf.DUMMYFUNCTION("""COMPUTED_VALUE"""),"38381")</f>
        <v>38381</v>
      </c>
      <c r="B2263" s="64">
        <f>IFERROR(__xludf.DUMMYFUNCTION("""COMPUTED_VALUE"""),44644.0)</f>
        <v>44644</v>
      </c>
      <c r="C2263" s="5"/>
      <c r="D2263" s="5"/>
      <c r="E2263" s="5"/>
      <c r="F2263" s="22">
        <f>IFERROR(__xludf.DUMMYFUNCTION("""COMPUTED_VALUE"""),-29398.948449999967)</f>
        <v>-29398.94845</v>
      </c>
      <c r="G2263" s="22">
        <f>IFERROR(__xludf.DUMMYFUNCTION("""COMPUTED_VALUE"""),29398.948449999967)</f>
        <v>29398.94845</v>
      </c>
      <c r="H2263" s="22">
        <f>IFERROR(__xludf.DUMMYFUNCTION("""COMPUTED_VALUE"""),564356.4854)</f>
        <v>564356.4854</v>
      </c>
      <c r="I2263" s="24">
        <f>IFERROR(__xludf.DUMMYFUNCTION("""COMPUTED_VALUE"""),0.1287129708000001)</f>
        <v>0.1287129708</v>
      </c>
    </row>
    <row r="2264">
      <c r="A2264" s="5" t="str">
        <f>IFERROR(__xludf.DUMMYFUNCTION("""COMPUTED_VALUE"""),"38381")</f>
        <v>38381</v>
      </c>
      <c r="B2264" s="64">
        <f>IFERROR(__xludf.DUMMYFUNCTION("""COMPUTED_VALUE"""),44645.0)</f>
        <v>44645</v>
      </c>
      <c r="C2264" s="5"/>
      <c r="D2264" s="5"/>
      <c r="E2264" s="5"/>
      <c r="F2264" s="22">
        <f>IFERROR(__xludf.DUMMYFUNCTION("""COMPUTED_VALUE"""),-29398.948449999967)</f>
        <v>-29398.94845</v>
      </c>
      <c r="G2264" s="22">
        <f>IFERROR(__xludf.DUMMYFUNCTION("""COMPUTED_VALUE"""),29398.948449999967)</f>
        <v>29398.94845</v>
      </c>
      <c r="H2264" s="22">
        <f>IFERROR(__xludf.DUMMYFUNCTION("""COMPUTED_VALUE"""),568061.60555)</f>
        <v>568061.6056</v>
      </c>
      <c r="I2264" s="24">
        <f>IFERROR(__xludf.DUMMYFUNCTION("""COMPUTED_VALUE"""),0.13612321109999992)</f>
        <v>0.1361232111</v>
      </c>
    </row>
    <row r="2265">
      <c r="A2265" s="5" t="str">
        <f>IFERROR(__xludf.DUMMYFUNCTION("""COMPUTED_VALUE"""),"38381")</f>
        <v>38381</v>
      </c>
      <c r="B2265" s="64">
        <f>IFERROR(__xludf.DUMMYFUNCTION("""COMPUTED_VALUE"""),44646.0)</f>
        <v>44646</v>
      </c>
      <c r="C2265" s="5"/>
      <c r="D2265" s="5"/>
      <c r="E2265" s="5"/>
      <c r="F2265" s="22">
        <f>IFERROR(__xludf.DUMMYFUNCTION("""COMPUTED_VALUE"""),-29398.948449999967)</f>
        <v>-29398.94845</v>
      </c>
      <c r="G2265" s="22">
        <f>IFERROR(__xludf.DUMMYFUNCTION("""COMPUTED_VALUE"""),29398.948449999967)</f>
        <v>29398.94845</v>
      </c>
      <c r="H2265" s="22">
        <f>IFERROR(__xludf.DUMMYFUNCTION("""COMPUTED_VALUE"""),568061.60555)</f>
        <v>568061.6056</v>
      </c>
      <c r="I2265" s="24">
        <f>IFERROR(__xludf.DUMMYFUNCTION("""COMPUTED_VALUE"""),0.13612321109999992)</f>
        <v>0.1361232111</v>
      </c>
    </row>
    <row r="2266">
      <c r="A2266" s="5" t="str">
        <f>IFERROR(__xludf.DUMMYFUNCTION("""COMPUTED_VALUE"""),"38381")</f>
        <v>38381</v>
      </c>
      <c r="B2266" s="64">
        <f>IFERROR(__xludf.DUMMYFUNCTION("""COMPUTED_VALUE"""),44647.0)</f>
        <v>44647</v>
      </c>
      <c r="C2266" s="5"/>
      <c r="D2266" s="5"/>
      <c r="E2266" s="5"/>
      <c r="F2266" s="22">
        <f>IFERROR(__xludf.DUMMYFUNCTION("""COMPUTED_VALUE"""),-29398.948449999967)</f>
        <v>-29398.94845</v>
      </c>
      <c r="G2266" s="22">
        <f>IFERROR(__xludf.DUMMYFUNCTION("""COMPUTED_VALUE"""),29398.948449999967)</f>
        <v>29398.94845</v>
      </c>
      <c r="H2266" s="22">
        <f>IFERROR(__xludf.DUMMYFUNCTION("""COMPUTED_VALUE"""),568061.60555)</f>
        <v>568061.6056</v>
      </c>
      <c r="I2266" s="24">
        <f>IFERROR(__xludf.DUMMYFUNCTION("""COMPUTED_VALUE"""),0.13612321109999992)</f>
        <v>0.1361232111</v>
      </c>
    </row>
    <row r="2267">
      <c r="A2267" s="5" t="str">
        <f>IFERROR(__xludf.DUMMYFUNCTION("""COMPUTED_VALUE"""),"38381")</f>
        <v>38381</v>
      </c>
      <c r="B2267" s="64">
        <f>IFERROR(__xludf.DUMMYFUNCTION("""COMPUTED_VALUE"""),44648.0)</f>
        <v>44648</v>
      </c>
      <c r="C2267" s="5"/>
      <c r="D2267" s="5"/>
      <c r="E2267" s="5"/>
      <c r="F2267" s="22">
        <f>IFERROR(__xludf.DUMMYFUNCTION("""COMPUTED_VALUE"""),-29398.948449999967)</f>
        <v>-29398.94845</v>
      </c>
      <c r="G2267" s="22">
        <f>IFERROR(__xludf.DUMMYFUNCTION("""COMPUTED_VALUE"""),29398.948449999967)</f>
        <v>29398.94845</v>
      </c>
      <c r="H2267" s="22">
        <f>IFERROR(__xludf.DUMMYFUNCTION("""COMPUTED_VALUE"""),555032.56925)</f>
        <v>555032.5693</v>
      </c>
      <c r="I2267" s="24">
        <f>IFERROR(__xludf.DUMMYFUNCTION("""COMPUTED_VALUE"""),0.11006513849999999)</f>
        <v>0.1100651385</v>
      </c>
    </row>
    <row r="2268">
      <c r="A2268" s="5" t="str">
        <f>IFERROR(__xludf.DUMMYFUNCTION("""COMPUTED_VALUE"""),"38381")</f>
        <v>38381</v>
      </c>
      <c r="B2268" s="64">
        <f>IFERROR(__xludf.DUMMYFUNCTION("""COMPUTED_VALUE"""),44649.0)</f>
        <v>44649</v>
      </c>
      <c r="C2268" s="5"/>
      <c r="D2268" s="5"/>
      <c r="E2268" s="5"/>
      <c r="F2268" s="22">
        <f>IFERROR(__xludf.DUMMYFUNCTION("""COMPUTED_VALUE"""),-29398.948449999967)</f>
        <v>-29398.94845</v>
      </c>
      <c r="G2268" s="22">
        <f>IFERROR(__xludf.DUMMYFUNCTION("""COMPUTED_VALUE"""),29398.948449999967)</f>
        <v>29398.94845</v>
      </c>
      <c r="H2268" s="22">
        <f>IFERROR(__xludf.DUMMYFUNCTION("""COMPUTED_VALUE"""),565714.79945)</f>
        <v>565714.7995</v>
      </c>
      <c r="I2268" s="24">
        <f>IFERROR(__xludf.DUMMYFUNCTION("""COMPUTED_VALUE"""),0.13142959890000006)</f>
        <v>0.1314295989</v>
      </c>
    </row>
    <row r="2269">
      <c r="A2269" s="5" t="str">
        <f>IFERROR(__xludf.DUMMYFUNCTION("""COMPUTED_VALUE"""),"38381")</f>
        <v>38381</v>
      </c>
      <c r="B2269" s="64">
        <f>IFERROR(__xludf.DUMMYFUNCTION("""COMPUTED_VALUE"""),44650.0)</f>
        <v>44650</v>
      </c>
      <c r="C2269" s="5"/>
      <c r="D2269" s="5"/>
      <c r="E2269" s="5"/>
      <c r="F2269" s="22">
        <f>IFERROR(__xludf.DUMMYFUNCTION("""COMPUTED_VALUE"""),-29398.948449999967)</f>
        <v>-29398.94845</v>
      </c>
      <c r="G2269" s="22">
        <f>IFERROR(__xludf.DUMMYFUNCTION("""COMPUTED_VALUE"""),29398.948449999967)</f>
        <v>29398.94845</v>
      </c>
      <c r="H2269" s="22">
        <f>IFERROR(__xludf.DUMMYFUNCTION("""COMPUTED_VALUE"""),561960.075785)</f>
        <v>561960.0758</v>
      </c>
      <c r="I2269" s="24">
        <f>IFERROR(__xludf.DUMMYFUNCTION("""COMPUTED_VALUE"""),0.12392015156999991)</f>
        <v>0.1239201516</v>
      </c>
    </row>
    <row r="2270">
      <c r="A2270" s="5" t="str">
        <f>IFERROR(__xludf.DUMMYFUNCTION("""COMPUTED_VALUE"""),"38381")</f>
        <v>38381</v>
      </c>
      <c r="B2270" s="64">
        <f>IFERROR(__xludf.DUMMYFUNCTION("""COMPUTED_VALUE"""),44651.0)</f>
        <v>44651</v>
      </c>
      <c r="C2270" s="5"/>
      <c r="D2270" s="5"/>
      <c r="E2270" s="5"/>
      <c r="F2270" s="22">
        <f>IFERROR(__xludf.DUMMYFUNCTION("""COMPUTED_VALUE"""),-29398.948449999967)</f>
        <v>-29398.94845</v>
      </c>
      <c r="G2270" s="22">
        <f>IFERROR(__xludf.DUMMYFUNCTION("""COMPUTED_VALUE"""),29398.948449999967)</f>
        <v>29398.94845</v>
      </c>
      <c r="H2270" s="22">
        <f>IFERROR(__xludf.DUMMYFUNCTION("""COMPUTED_VALUE"""),558467.09435)</f>
        <v>558467.0944</v>
      </c>
      <c r="I2270" s="24">
        <f>IFERROR(__xludf.DUMMYFUNCTION("""COMPUTED_VALUE"""),0.11693418870000016)</f>
        <v>0.1169341887</v>
      </c>
    </row>
    <row r="2271">
      <c r="A2271" s="5" t="str">
        <f>IFERROR(__xludf.DUMMYFUNCTION("""COMPUTED_VALUE"""),"38381")</f>
        <v>38381</v>
      </c>
      <c r="B2271" s="64">
        <f>IFERROR(__xludf.DUMMYFUNCTION("""COMPUTED_VALUE"""),44652.0)</f>
        <v>44652</v>
      </c>
      <c r="C2271" s="5"/>
      <c r="D2271" s="5"/>
      <c r="E2271" s="5"/>
      <c r="F2271" s="22">
        <f>IFERROR(__xludf.DUMMYFUNCTION("""COMPUTED_VALUE"""),-29398.948449999967)</f>
        <v>-29398.94845</v>
      </c>
      <c r="G2271" s="22">
        <f>IFERROR(__xludf.DUMMYFUNCTION("""COMPUTED_VALUE"""),29398.948449999967)</f>
        <v>29398.94845</v>
      </c>
      <c r="H2271" s="22">
        <f>IFERROR(__xludf.DUMMYFUNCTION("""COMPUTED_VALUE"""),557772.24485)</f>
        <v>557772.2449</v>
      </c>
      <c r="I2271" s="24">
        <f>IFERROR(__xludf.DUMMYFUNCTION("""COMPUTED_VALUE"""),0.11554448969999997)</f>
        <v>0.1155444897</v>
      </c>
    </row>
    <row r="2272">
      <c r="A2272" s="5" t="str">
        <f>IFERROR(__xludf.DUMMYFUNCTION("""COMPUTED_VALUE"""),"38381")</f>
        <v>38381</v>
      </c>
      <c r="B2272" s="64">
        <f>IFERROR(__xludf.DUMMYFUNCTION("""COMPUTED_VALUE"""),44653.0)</f>
        <v>44653</v>
      </c>
      <c r="C2272" s="5"/>
      <c r="D2272" s="5"/>
      <c r="E2272" s="5"/>
      <c r="F2272" s="22">
        <f>IFERROR(__xludf.DUMMYFUNCTION("""COMPUTED_VALUE"""),-29398.948449999967)</f>
        <v>-29398.94845</v>
      </c>
      <c r="G2272" s="22">
        <f>IFERROR(__xludf.DUMMYFUNCTION("""COMPUTED_VALUE"""),29398.948449999967)</f>
        <v>29398.94845</v>
      </c>
      <c r="H2272" s="22">
        <f>IFERROR(__xludf.DUMMYFUNCTION("""COMPUTED_VALUE"""),557772.24485)</f>
        <v>557772.2449</v>
      </c>
      <c r="I2272" s="24">
        <f>IFERROR(__xludf.DUMMYFUNCTION("""COMPUTED_VALUE"""),0.11554448969999997)</f>
        <v>0.1155444897</v>
      </c>
    </row>
    <row r="2273">
      <c r="A2273" s="5" t="str">
        <f>IFERROR(__xludf.DUMMYFUNCTION("""COMPUTED_VALUE"""),"38381")</f>
        <v>38381</v>
      </c>
      <c r="B2273" s="64">
        <f>IFERROR(__xludf.DUMMYFUNCTION("""COMPUTED_VALUE"""),44654.0)</f>
        <v>44654</v>
      </c>
      <c r="C2273" s="5"/>
      <c r="D2273" s="5"/>
      <c r="E2273" s="5"/>
      <c r="F2273" s="22">
        <f>IFERROR(__xludf.DUMMYFUNCTION("""COMPUTED_VALUE"""),-29398.948449999967)</f>
        <v>-29398.94845</v>
      </c>
      <c r="G2273" s="22">
        <f>IFERROR(__xludf.DUMMYFUNCTION("""COMPUTED_VALUE"""),29398.948449999967)</f>
        <v>29398.94845</v>
      </c>
      <c r="H2273" s="22">
        <f>IFERROR(__xludf.DUMMYFUNCTION("""COMPUTED_VALUE"""),557772.24485)</f>
        <v>557772.2449</v>
      </c>
      <c r="I2273" s="24">
        <f>IFERROR(__xludf.DUMMYFUNCTION("""COMPUTED_VALUE"""),0.11554448969999997)</f>
        <v>0.1155444897</v>
      </c>
    </row>
    <row r="2274">
      <c r="A2274" s="5" t="str">
        <f>IFERROR(__xludf.DUMMYFUNCTION("""COMPUTED_VALUE"""),"38381")</f>
        <v>38381</v>
      </c>
      <c r="B2274" s="64">
        <f>IFERROR(__xludf.DUMMYFUNCTION("""COMPUTED_VALUE"""),44655.0)</f>
        <v>44655</v>
      </c>
      <c r="C2274" s="5"/>
      <c r="D2274" s="5"/>
      <c r="E2274" s="5"/>
      <c r="F2274" s="22">
        <f>IFERROR(__xludf.DUMMYFUNCTION("""COMPUTED_VALUE"""),-29398.948449999967)</f>
        <v>-29398.94845</v>
      </c>
      <c r="G2274" s="22">
        <f>IFERROR(__xludf.DUMMYFUNCTION("""COMPUTED_VALUE"""),29398.948449999967)</f>
        <v>29398.94845</v>
      </c>
      <c r="H2274" s="22">
        <f>IFERROR(__xludf.DUMMYFUNCTION("""COMPUTED_VALUE"""),566197.68941)</f>
        <v>566197.6894</v>
      </c>
      <c r="I2274" s="24">
        <f>IFERROR(__xludf.DUMMYFUNCTION("""COMPUTED_VALUE"""),0.13239537882000008)</f>
        <v>0.1323953788</v>
      </c>
    </row>
    <row r="2275">
      <c r="A2275" s="5" t="str">
        <f>IFERROR(__xludf.DUMMYFUNCTION("""COMPUTED_VALUE"""),"38381")</f>
        <v>38381</v>
      </c>
      <c r="B2275" s="64">
        <f>IFERROR(__xludf.DUMMYFUNCTION("""COMPUTED_VALUE"""),44656.0)</f>
        <v>44656</v>
      </c>
      <c r="C2275" s="5"/>
      <c r="D2275" s="5"/>
      <c r="E2275" s="5"/>
      <c r="F2275" s="22">
        <f>IFERROR(__xludf.DUMMYFUNCTION("""COMPUTED_VALUE"""),-29398.948449999967)</f>
        <v>-29398.94845</v>
      </c>
      <c r="G2275" s="22">
        <f>IFERROR(__xludf.DUMMYFUNCTION("""COMPUTED_VALUE"""),29398.948449999967)</f>
        <v>29398.94845</v>
      </c>
      <c r="H2275" s="22">
        <f>IFERROR(__xludf.DUMMYFUNCTION("""COMPUTED_VALUE"""),561639.2150600001)</f>
        <v>561639.2151</v>
      </c>
      <c r="I2275" s="24">
        <f>IFERROR(__xludf.DUMMYFUNCTION("""COMPUTED_VALUE"""),0.12327843012000006)</f>
        <v>0.1232784301</v>
      </c>
    </row>
    <row r="2276">
      <c r="A2276" s="5" t="str">
        <f>IFERROR(__xludf.DUMMYFUNCTION("""COMPUTED_VALUE"""),"38381")</f>
        <v>38381</v>
      </c>
      <c r="B2276" s="64">
        <f>IFERROR(__xludf.DUMMYFUNCTION("""COMPUTED_VALUE"""),44657.0)</f>
        <v>44657</v>
      </c>
      <c r="C2276" s="5"/>
      <c r="D2276" s="5"/>
      <c r="E2276" s="5"/>
      <c r="F2276" s="22">
        <f>IFERROR(__xludf.DUMMYFUNCTION("""COMPUTED_VALUE"""),-29398.948449999967)</f>
        <v>-29398.94845</v>
      </c>
      <c r="G2276" s="22">
        <f>IFERROR(__xludf.DUMMYFUNCTION("""COMPUTED_VALUE"""),29398.948449999967)</f>
        <v>29398.94845</v>
      </c>
      <c r="H2276" s="22">
        <f>IFERROR(__xludf.DUMMYFUNCTION("""COMPUTED_VALUE"""),556368.8330750001)</f>
        <v>556368.8331</v>
      </c>
      <c r="I2276" s="24">
        <f>IFERROR(__xludf.DUMMYFUNCTION("""COMPUTED_VALUE"""),0.11273766615000014)</f>
        <v>0.1127376662</v>
      </c>
    </row>
    <row r="2277">
      <c r="A2277" s="5" t="str">
        <f>IFERROR(__xludf.DUMMYFUNCTION("""COMPUTED_VALUE"""),"38381")</f>
        <v>38381</v>
      </c>
      <c r="B2277" s="64">
        <f>IFERROR(__xludf.DUMMYFUNCTION("""COMPUTED_VALUE"""),44658.0)</f>
        <v>44658</v>
      </c>
      <c r="C2277" s="5"/>
      <c r="D2277" s="5"/>
      <c r="E2277" s="5"/>
      <c r="F2277" s="22">
        <f>IFERROR(__xludf.DUMMYFUNCTION("""COMPUTED_VALUE"""),-29398.948449999967)</f>
        <v>-29398.94845</v>
      </c>
      <c r="G2277" s="22">
        <f>IFERROR(__xludf.DUMMYFUNCTION("""COMPUTED_VALUE"""),29398.948449999967)</f>
        <v>29398.94845</v>
      </c>
      <c r="H2277" s="22">
        <f>IFERROR(__xludf.DUMMYFUNCTION("""COMPUTED_VALUE"""),557360.7679999999)</f>
        <v>557360.768</v>
      </c>
      <c r="I2277" s="24">
        <f>IFERROR(__xludf.DUMMYFUNCTION("""COMPUTED_VALUE"""),0.11472153599999979)</f>
        <v>0.114721536</v>
      </c>
    </row>
    <row r="2278">
      <c r="A2278" s="5" t="str">
        <f>IFERROR(__xludf.DUMMYFUNCTION("""COMPUTED_VALUE"""),"38381")</f>
        <v>38381</v>
      </c>
      <c r="B2278" s="64">
        <f>IFERROR(__xludf.DUMMYFUNCTION("""COMPUTED_VALUE"""),44659.0)</f>
        <v>44659</v>
      </c>
      <c r="C2278" s="5"/>
      <c r="D2278" s="5"/>
      <c r="E2278" s="5"/>
      <c r="F2278" s="22">
        <f>IFERROR(__xludf.DUMMYFUNCTION("""COMPUTED_VALUE"""),-29398.948449999967)</f>
        <v>-29398.94845</v>
      </c>
      <c r="G2278" s="22">
        <f>IFERROR(__xludf.DUMMYFUNCTION("""COMPUTED_VALUE"""),29398.948449999967)</f>
        <v>29398.94845</v>
      </c>
      <c r="H2278" s="22">
        <f>IFERROR(__xludf.DUMMYFUNCTION("""COMPUTED_VALUE"""),551833.5778099999)</f>
        <v>551833.5778</v>
      </c>
      <c r="I2278" s="24">
        <f>IFERROR(__xludf.DUMMYFUNCTION("""COMPUTED_VALUE"""),0.10366715561999995)</f>
        <v>0.1036671556</v>
      </c>
    </row>
    <row r="2279">
      <c r="A2279" s="5" t="str">
        <f>IFERROR(__xludf.DUMMYFUNCTION("""COMPUTED_VALUE"""),"38381")</f>
        <v>38381</v>
      </c>
      <c r="B2279" s="64">
        <f>IFERROR(__xludf.DUMMYFUNCTION("""COMPUTED_VALUE"""),44660.0)</f>
        <v>44660</v>
      </c>
      <c r="C2279" s="5"/>
      <c r="D2279" s="5"/>
      <c r="E2279" s="5"/>
      <c r="F2279" s="22">
        <f>IFERROR(__xludf.DUMMYFUNCTION("""COMPUTED_VALUE"""),-29398.948449999967)</f>
        <v>-29398.94845</v>
      </c>
      <c r="G2279" s="22">
        <f>IFERROR(__xludf.DUMMYFUNCTION("""COMPUTED_VALUE"""),29398.948449999967)</f>
        <v>29398.94845</v>
      </c>
      <c r="H2279" s="22">
        <f>IFERROR(__xludf.DUMMYFUNCTION("""COMPUTED_VALUE"""),551833.5778099999)</f>
        <v>551833.5778</v>
      </c>
      <c r="I2279" s="24">
        <f>IFERROR(__xludf.DUMMYFUNCTION("""COMPUTED_VALUE"""),0.10366715561999995)</f>
        <v>0.1036671556</v>
      </c>
    </row>
    <row r="2280">
      <c r="A2280" s="5" t="str">
        <f>IFERROR(__xludf.DUMMYFUNCTION("""COMPUTED_VALUE"""),"38381")</f>
        <v>38381</v>
      </c>
      <c r="B2280" s="64">
        <f>IFERROR(__xludf.DUMMYFUNCTION("""COMPUTED_VALUE"""),44661.0)</f>
        <v>44661</v>
      </c>
      <c r="C2280" s="5"/>
      <c r="D2280" s="5"/>
      <c r="E2280" s="5"/>
      <c r="F2280" s="22">
        <f>IFERROR(__xludf.DUMMYFUNCTION("""COMPUTED_VALUE"""),-29398.948449999967)</f>
        <v>-29398.94845</v>
      </c>
      <c r="G2280" s="22">
        <f>IFERROR(__xludf.DUMMYFUNCTION("""COMPUTED_VALUE"""),29398.948449999967)</f>
        <v>29398.94845</v>
      </c>
      <c r="H2280" s="22">
        <f>IFERROR(__xludf.DUMMYFUNCTION("""COMPUTED_VALUE"""),551833.5778099999)</f>
        <v>551833.5778</v>
      </c>
      <c r="I2280" s="24">
        <f>IFERROR(__xludf.DUMMYFUNCTION("""COMPUTED_VALUE"""),0.10366715561999995)</f>
        <v>0.1036671556</v>
      </c>
    </row>
    <row r="2281">
      <c r="A2281" s="5" t="str">
        <f>IFERROR(__xludf.DUMMYFUNCTION("""COMPUTED_VALUE"""),"38381")</f>
        <v>38381</v>
      </c>
      <c r="B2281" s="64">
        <f>IFERROR(__xludf.DUMMYFUNCTION("""COMPUTED_VALUE"""),44662.0)</f>
        <v>44662</v>
      </c>
      <c r="C2281" s="5"/>
      <c r="D2281" s="5"/>
      <c r="E2281" s="5"/>
      <c r="F2281" s="22">
        <f>IFERROR(__xludf.DUMMYFUNCTION("""COMPUTED_VALUE"""),-29398.948449999967)</f>
        <v>-29398.94845</v>
      </c>
      <c r="G2281" s="22">
        <f>IFERROR(__xludf.DUMMYFUNCTION("""COMPUTED_VALUE"""),29398.948449999967)</f>
        <v>29398.94845</v>
      </c>
      <c r="H2281" s="22">
        <f>IFERROR(__xludf.DUMMYFUNCTION("""COMPUTED_VALUE"""),544552.33436)</f>
        <v>544552.3344</v>
      </c>
      <c r="I2281" s="24">
        <f>IFERROR(__xludf.DUMMYFUNCTION("""COMPUTED_VALUE"""),0.08910466871999989)</f>
        <v>0.08910466872</v>
      </c>
    </row>
    <row r="2282">
      <c r="A2282" s="5" t="str">
        <f>IFERROR(__xludf.DUMMYFUNCTION("""COMPUTED_VALUE"""),"38381")</f>
        <v>38381</v>
      </c>
      <c r="B2282" s="64">
        <f>IFERROR(__xludf.DUMMYFUNCTION("""COMPUTED_VALUE"""),44663.0)</f>
        <v>44663</v>
      </c>
      <c r="C2282" s="5"/>
      <c r="D2282" s="5"/>
      <c r="E2282" s="5"/>
      <c r="F2282" s="22">
        <f>IFERROR(__xludf.DUMMYFUNCTION("""COMPUTED_VALUE"""),-29398.948449999967)</f>
        <v>-29398.94845</v>
      </c>
      <c r="G2282" s="22">
        <f>IFERROR(__xludf.DUMMYFUNCTION("""COMPUTED_VALUE"""),29398.948449999967)</f>
        <v>29398.94845</v>
      </c>
      <c r="H2282" s="22">
        <f>IFERROR(__xludf.DUMMYFUNCTION("""COMPUTED_VALUE"""),544502.18279)</f>
        <v>544502.1828</v>
      </c>
      <c r="I2282" s="24">
        <f>IFERROR(__xludf.DUMMYFUNCTION("""COMPUTED_VALUE"""),0.08900436557999991)</f>
        <v>0.08900436558</v>
      </c>
    </row>
    <row r="2283">
      <c r="A2283" s="5" t="str">
        <f>IFERROR(__xludf.DUMMYFUNCTION("""COMPUTED_VALUE"""),"38705")</f>
        <v>38705</v>
      </c>
      <c r="B2283" s="64">
        <f>IFERROR(__xludf.DUMMYFUNCTION("""COMPUTED_VALUE"""),44597.0)</f>
        <v>44597</v>
      </c>
      <c r="C2283" s="5"/>
      <c r="D2283" s="5"/>
      <c r="E2283" s="5"/>
      <c r="F2283" s="22">
        <f>IFERROR(__xludf.DUMMYFUNCTION("""COMPUTED_VALUE"""),500000.0)</f>
        <v>500000</v>
      </c>
      <c r="G2283" s="22">
        <f>IFERROR(__xludf.DUMMYFUNCTION("""COMPUTED_VALUE"""),0.0)</f>
        <v>0</v>
      </c>
      <c r="H2283" s="22">
        <f>IFERROR(__xludf.DUMMYFUNCTION("""COMPUTED_VALUE"""),500000.0)</f>
        <v>500000</v>
      </c>
      <c r="I2283" s="24">
        <f>IFERROR(__xludf.DUMMYFUNCTION("""COMPUTED_VALUE"""),0.0)</f>
        <v>0</v>
      </c>
    </row>
    <row r="2284">
      <c r="A2284" s="5" t="str">
        <f>IFERROR(__xludf.DUMMYFUNCTION("""COMPUTED_VALUE"""),"38705")</f>
        <v>38705</v>
      </c>
      <c r="B2284" s="64">
        <f>IFERROR(__xludf.DUMMYFUNCTION("""COMPUTED_VALUE"""),44598.0)</f>
        <v>44598</v>
      </c>
      <c r="C2284" s="5"/>
      <c r="D2284" s="5"/>
      <c r="E2284" s="5"/>
      <c r="F2284" s="22">
        <f>IFERROR(__xludf.DUMMYFUNCTION("""COMPUTED_VALUE"""),500000.0)</f>
        <v>500000</v>
      </c>
      <c r="G2284" s="22">
        <f>IFERROR(__xludf.DUMMYFUNCTION("""COMPUTED_VALUE"""),0.0)</f>
        <v>0</v>
      </c>
      <c r="H2284" s="22">
        <f>IFERROR(__xludf.DUMMYFUNCTION("""COMPUTED_VALUE"""),500000.0)</f>
        <v>500000</v>
      </c>
      <c r="I2284" s="24">
        <f>IFERROR(__xludf.DUMMYFUNCTION("""COMPUTED_VALUE"""),0.0)</f>
        <v>0</v>
      </c>
    </row>
    <row r="2285">
      <c r="A2285" s="5" t="str">
        <f>IFERROR(__xludf.DUMMYFUNCTION("""COMPUTED_VALUE"""),"38705")</f>
        <v>38705</v>
      </c>
      <c r="B2285" s="64">
        <f>IFERROR(__xludf.DUMMYFUNCTION("""COMPUTED_VALUE"""),44599.0)</f>
        <v>44599</v>
      </c>
      <c r="C2285" s="5"/>
      <c r="D2285" s="5"/>
      <c r="E2285" s="5"/>
      <c r="F2285" s="22">
        <f>IFERROR(__xludf.DUMMYFUNCTION("""COMPUTED_VALUE"""),500000.0)</f>
        <v>500000</v>
      </c>
      <c r="G2285" s="22">
        <f>IFERROR(__xludf.DUMMYFUNCTION("""COMPUTED_VALUE"""),0.0)</f>
        <v>0</v>
      </c>
      <c r="H2285" s="22">
        <f>IFERROR(__xludf.DUMMYFUNCTION("""COMPUTED_VALUE"""),500000.0)</f>
        <v>500000</v>
      </c>
      <c r="I2285" s="24">
        <f>IFERROR(__xludf.DUMMYFUNCTION("""COMPUTED_VALUE"""),0.0)</f>
        <v>0</v>
      </c>
    </row>
    <row r="2286">
      <c r="A2286" s="5" t="str">
        <f>IFERROR(__xludf.DUMMYFUNCTION("""COMPUTED_VALUE"""),"38705")</f>
        <v>38705</v>
      </c>
      <c r="B2286" s="64">
        <f>IFERROR(__xludf.DUMMYFUNCTION("""COMPUTED_VALUE"""),44600.0)</f>
        <v>44600</v>
      </c>
      <c r="C2286" s="5"/>
      <c r="D2286" s="5"/>
      <c r="E2286" s="5"/>
      <c r="F2286" s="22">
        <f>IFERROR(__xludf.DUMMYFUNCTION("""COMPUTED_VALUE"""),500000.0)</f>
        <v>500000</v>
      </c>
      <c r="G2286" s="22">
        <f>IFERROR(__xludf.DUMMYFUNCTION("""COMPUTED_VALUE"""),0.0)</f>
        <v>0</v>
      </c>
      <c r="H2286" s="22">
        <f>IFERROR(__xludf.DUMMYFUNCTION("""COMPUTED_VALUE"""),500000.0)</f>
        <v>500000</v>
      </c>
      <c r="I2286" s="24">
        <f>IFERROR(__xludf.DUMMYFUNCTION("""COMPUTED_VALUE"""),0.0)</f>
        <v>0</v>
      </c>
    </row>
    <row r="2287">
      <c r="A2287" s="5" t="str">
        <f>IFERROR(__xludf.DUMMYFUNCTION("""COMPUTED_VALUE"""),"38705")</f>
        <v>38705</v>
      </c>
      <c r="B2287" s="64">
        <f>IFERROR(__xludf.DUMMYFUNCTION("""COMPUTED_VALUE"""),44601.0)</f>
        <v>44601</v>
      </c>
      <c r="C2287" s="5"/>
      <c r="D2287" s="5"/>
      <c r="E2287" s="5"/>
      <c r="F2287" s="22">
        <f>IFERROR(__xludf.DUMMYFUNCTION("""COMPUTED_VALUE"""),500000.0)</f>
        <v>500000</v>
      </c>
      <c r="G2287" s="22">
        <f>IFERROR(__xludf.DUMMYFUNCTION("""COMPUTED_VALUE"""),0.0)</f>
        <v>0</v>
      </c>
      <c r="H2287" s="22">
        <f>IFERROR(__xludf.DUMMYFUNCTION("""COMPUTED_VALUE"""),500000.0)</f>
        <v>500000</v>
      </c>
      <c r="I2287" s="24">
        <f>IFERROR(__xludf.DUMMYFUNCTION("""COMPUTED_VALUE"""),0.0)</f>
        <v>0</v>
      </c>
    </row>
    <row r="2288">
      <c r="A2288" s="5" t="str">
        <f>IFERROR(__xludf.DUMMYFUNCTION("""COMPUTED_VALUE"""),"38705")</f>
        <v>38705</v>
      </c>
      <c r="B2288" s="64">
        <f>IFERROR(__xludf.DUMMYFUNCTION("""COMPUTED_VALUE"""),44602.0)</f>
        <v>44602</v>
      </c>
      <c r="C2288" s="5"/>
      <c r="D2288" s="5"/>
      <c r="E2288" s="5"/>
      <c r="F2288" s="22">
        <f>IFERROR(__xludf.DUMMYFUNCTION("""COMPUTED_VALUE"""),500000.0)</f>
        <v>500000</v>
      </c>
      <c r="G2288" s="22">
        <f>IFERROR(__xludf.DUMMYFUNCTION("""COMPUTED_VALUE"""),0.0)</f>
        <v>0</v>
      </c>
      <c r="H2288" s="22">
        <f>IFERROR(__xludf.DUMMYFUNCTION("""COMPUTED_VALUE"""),500000.0)</f>
        <v>500000</v>
      </c>
      <c r="I2288" s="24">
        <f>IFERROR(__xludf.DUMMYFUNCTION("""COMPUTED_VALUE"""),0.0)</f>
        <v>0</v>
      </c>
    </row>
    <row r="2289">
      <c r="A2289" s="5" t="str">
        <f>IFERROR(__xludf.DUMMYFUNCTION("""COMPUTED_VALUE"""),"38705")</f>
        <v>38705</v>
      </c>
      <c r="B2289" s="64">
        <f>IFERROR(__xludf.DUMMYFUNCTION("""COMPUTED_VALUE"""),44603.0)</f>
        <v>44603</v>
      </c>
      <c r="C2289" s="5"/>
      <c r="D2289" s="5"/>
      <c r="E2289" s="5"/>
      <c r="F2289" s="22">
        <f>IFERROR(__xludf.DUMMYFUNCTION("""COMPUTED_VALUE"""),500000.0)</f>
        <v>500000</v>
      </c>
      <c r="G2289" s="22">
        <f>IFERROR(__xludf.DUMMYFUNCTION("""COMPUTED_VALUE"""),0.0)</f>
        <v>0</v>
      </c>
      <c r="H2289" s="22">
        <f>IFERROR(__xludf.DUMMYFUNCTION("""COMPUTED_VALUE"""),500000.0)</f>
        <v>500000</v>
      </c>
      <c r="I2289" s="24">
        <f>IFERROR(__xludf.DUMMYFUNCTION("""COMPUTED_VALUE"""),0.0)</f>
        <v>0</v>
      </c>
    </row>
    <row r="2290">
      <c r="A2290" s="5" t="str">
        <f>IFERROR(__xludf.DUMMYFUNCTION("""COMPUTED_VALUE"""),"38705")</f>
        <v>38705</v>
      </c>
      <c r="B2290" s="64">
        <f>IFERROR(__xludf.DUMMYFUNCTION("""COMPUTED_VALUE"""),44604.0)</f>
        <v>44604</v>
      </c>
      <c r="C2290" s="5"/>
      <c r="D2290" s="5"/>
      <c r="E2290" s="5"/>
      <c r="F2290" s="22">
        <f>IFERROR(__xludf.DUMMYFUNCTION("""COMPUTED_VALUE"""),500000.0)</f>
        <v>500000</v>
      </c>
      <c r="G2290" s="22">
        <f>IFERROR(__xludf.DUMMYFUNCTION("""COMPUTED_VALUE"""),0.0)</f>
        <v>0</v>
      </c>
      <c r="H2290" s="22">
        <f>IFERROR(__xludf.DUMMYFUNCTION("""COMPUTED_VALUE"""),500000.0)</f>
        <v>500000</v>
      </c>
      <c r="I2290" s="24">
        <f>IFERROR(__xludf.DUMMYFUNCTION("""COMPUTED_VALUE"""),0.0)</f>
        <v>0</v>
      </c>
    </row>
    <row r="2291">
      <c r="A2291" s="5" t="str">
        <f>IFERROR(__xludf.DUMMYFUNCTION("""COMPUTED_VALUE"""),"38705")</f>
        <v>38705</v>
      </c>
      <c r="B2291" s="64">
        <f>IFERROR(__xludf.DUMMYFUNCTION("""COMPUTED_VALUE"""),44605.0)</f>
        <v>44605</v>
      </c>
      <c r="C2291" s="5"/>
      <c r="D2291" s="5"/>
      <c r="E2291" s="5"/>
      <c r="F2291" s="22">
        <f>IFERROR(__xludf.DUMMYFUNCTION("""COMPUTED_VALUE"""),500000.0)</f>
        <v>500000</v>
      </c>
      <c r="G2291" s="22">
        <f>IFERROR(__xludf.DUMMYFUNCTION("""COMPUTED_VALUE"""),0.0)</f>
        <v>0</v>
      </c>
      <c r="H2291" s="22">
        <f>IFERROR(__xludf.DUMMYFUNCTION("""COMPUTED_VALUE"""),500000.0)</f>
        <v>500000</v>
      </c>
      <c r="I2291" s="24">
        <f>IFERROR(__xludf.DUMMYFUNCTION("""COMPUTED_VALUE"""),0.0)</f>
        <v>0</v>
      </c>
    </row>
    <row r="2292">
      <c r="A2292" s="5" t="str">
        <f>IFERROR(__xludf.DUMMYFUNCTION("""COMPUTED_VALUE"""),"38705")</f>
        <v>38705</v>
      </c>
      <c r="B2292" s="64">
        <f>IFERROR(__xludf.DUMMYFUNCTION("""COMPUTED_VALUE"""),44606.0)</f>
        <v>44606</v>
      </c>
      <c r="C2292" s="5"/>
      <c r="D2292" s="5"/>
      <c r="E2292" s="5"/>
      <c r="F2292" s="22">
        <f>IFERROR(__xludf.DUMMYFUNCTION("""COMPUTED_VALUE"""),500000.0)</f>
        <v>500000</v>
      </c>
      <c r="G2292" s="22">
        <f>IFERROR(__xludf.DUMMYFUNCTION("""COMPUTED_VALUE"""),0.0)</f>
        <v>0</v>
      </c>
      <c r="H2292" s="22">
        <f>IFERROR(__xludf.DUMMYFUNCTION("""COMPUTED_VALUE"""),500000.0)</f>
        <v>500000</v>
      </c>
      <c r="I2292" s="24">
        <f>IFERROR(__xludf.DUMMYFUNCTION("""COMPUTED_VALUE"""),0.0)</f>
        <v>0</v>
      </c>
    </row>
    <row r="2293">
      <c r="A2293" s="5" t="str">
        <f>IFERROR(__xludf.DUMMYFUNCTION("""COMPUTED_VALUE"""),"38705")</f>
        <v>38705</v>
      </c>
      <c r="B2293" s="64">
        <f>IFERROR(__xludf.DUMMYFUNCTION("""COMPUTED_VALUE"""),44607.0)</f>
        <v>44607</v>
      </c>
      <c r="C2293" s="5"/>
      <c r="D2293" s="5"/>
      <c r="E2293" s="5"/>
      <c r="F2293" s="22">
        <f>IFERROR(__xludf.DUMMYFUNCTION("""COMPUTED_VALUE"""),500000.0)</f>
        <v>500000</v>
      </c>
      <c r="G2293" s="22">
        <f>IFERROR(__xludf.DUMMYFUNCTION("""COMPUTED_VALUE"""),0.0)</f>
        <v>0</v>
      </c>
      <c r="H2293" s="22">
        <f>IFERROR(__xludf.DUMMYFUNCTION("""COMPUTED_VALUE"""),500000.0)</f>
        <v>500000</v>
      </c>
      <c r="I2293" s="24">
        <f>IFERROR(__xludf.DUMMYFUNCTION("""COMPUTED_VALUE"""),0.0)</f>
        <v>0</v>
      </c>
    </row>
    <row r="2294">
      <c r="A2294" s="5" t="str">
        <f>IFERROR(__xludf.DUMMYFUNCTION("""COMPUTED_VALUE"""),"38705")</f>
        <v>38705</v>
      </c>
      <c r="B2294" s="64">
        <f>IFERROR(__xludf.DUMMYFUNCTION("""COMPUTED_VALUE"""),44608.0)</f>
        <v>44608</v>
      </c>
      <c r="C2294" s="5"/>
      <c r="D2294" s="5"/>
      <c r="E2294" s="5"/>
      <c r="F2294" s="22">
        <f>IFERROR(__xludf.DUMMYFUNCTION("""COMPUTED_VALUE"""),500000.0)</f>
        <v>500000</v>
      </c>
      <c r="G2294" s="22">
        <f>IFERROR(__xludf.DUMMYFUNCTION("""COMPUTED_VALUE"""),0.0)</f>
        <v>0</v>
      </c>
      <c r="H2294" s="22">
        <f>IFERROR(__xludf.DUMMYFUNCTION("""COMPUTED_VALUE"""),500000.0)</f>
        <v>500000</v>
      </c>
      <c r="I2294" s="24">
        <f>IFERROR(__xludf.DUMMYFUNCTION("""COMPUTED_VALUE"""),0.0)</f>
        <v>0</v>
      </c>
    </row>
    <row r="2295">
      <c r="A2295" s="5" t="str">
        <f>IFERROR(__xludf.DUMMYFUNCTION("""COMPUTED_VALUE"""),"38705")</f>
        <v>38705</v>
      </c>
      <c r="B2295" s="64">
        <f>IFERROR(__xludf.DUMMYFUNCTION("""COMPUTED_VALUE"""),44609.0)</f>
        <v>44609</v>
      </c>
      <c r="C2295" s="5"/>
      <c r="D2295" s="5"/>
      <c r="E2295" s="5"/>
      <c r="F2295" s="22">
        <f>IFERROR(__xludf.DUMMYFUNCTION("""COMPUTED_VALUE"""),500000.0)</f>
        <v>500000</v>
      </c>
      <c r="G2295" s="22">
        <f>IFERROR(__xludf.DUMMYFUNCTION("""COMPUTED_VALUE"""),0.0)</f>
        <v>0</v>
      </c>
      <c r="H2295" s="22">
        <f>IFERROR(__xludf.DUMMYFUNCTION("""COMPUTED_VALUE"""),500000.0)</f>
        <v>500000</v>
      </c>
      <c r="I2295" s="24">
        <f>IFERROR(__xludf.DUMMYFUNCTION("""COMPUTED_VALUE"""),0.0)</f>
        <v>0</v>
      </c>
    </row>
    <row r="2296">
      <c r="A2296" s="5" t="str">
        <f>IFERROR(__xludf.DUMMYFUNCTION("""COMPUTED_VALUE"""),"38705")</f>
        <v>38705</v>
      </c>
      <c r="B2296" s="64">
        <f>IFERROR(__xludf.DUMMYFUNCTION("""COMPUTED_VALUE"""),44610.0)</f>
        <v>44610</v>
      </c>
      <c r="C2296" s="5"/>
      <c r="D2296" s="5"/>
      <c r="E2296" s="5"/>
      <c r="F2296" s="22">
        <f>IFERROR(__xludf.DUMMYFUNCTION("""COMPUTED_VALUE"""),500000.0)</f>
        <v>500000</v>
      </c>
      <c r="G2296" s="22">
        <f>IFERROR(__xludf.DUMMYFUNCTION("""COMPUTED_VALUE"""),0.0)</f>
        <v>0</v>
      </c>
      <c r="H2296" s="22">
        <f>IFERROR(__xludf.DUMMYFUNCTION("""COMPUTED_VALUE"""),500000.0)</f>
        <v>500000</v>
      </c>
      <c r="I2296" s="24">
        <f>IFERROR(__xludf.DUMMYFUNCTION("""COMPUTED_VALUE"""),0.0)</f>
        <v>0</v>
      </c>
    </row>
    <row r="2297">
      <c r="A2297" s="5" t="str">
        <f>IFERROR(__xludf.DUMMYFUNCTION("""COMPUTED_VALUE"""),"38705")</f>
        <v>38705</v>
      </c>
      <c r="B2297" s="64">
        <f>IFERROR(__xludf.DUMMYFUNCTION("""COMPUTED_VALUE"""),44611.0)</f>
        <v>44611</v>
      </c>
      <c r="C2297" s="5"/>
      <c r="D2297" s="5"/>
      <c r="E2297" s="5"/>
      <c r="F2297" s="22">
        <f>IFERROR(__xludf.DUMMYFUNCTION("""COMPUTED_VALUE"""),500000.0)</f>
        <v>500000</v>
      </c>
      <c r="G2297" s="22">
        <f>IFERROR(__xludf.DUMMYFUNCTION("""COMPUTED_VALUE"""),0.0)</f>
        <v>0</v>
      </c>
      <c r="H2297" s="22">
        <f>IFERROR(__xludf.DUMMYFUNCTION("""COMPUTED_VALUE"""),500000.0)</f>
        <v>500000</v>
      </c>
      <c r="I2297" s="24">
        <f>IFERROR(__xludf.DUMMYFUNCTION("""COMPUTED_VALUE"""),0.0)</f>
        <v>0</v>
      </c>
    </row>
    <row r="2298">
      <c r="A2298" s="5" t="str">
        <f>IFERROR(__xludf.DUMMYFUNCTION("""COMPUTED_VALUE"""),"38705")</f>
        <v>38705</v>
      </c>
      <c r="B2298" s="64">
        <f>IFERROR(__xludf.DUMMYFUNCTION("""COMPUTED_VALUE"""),44612.0)</f>
        <v>44612</v>
      </c>
      <c r="C2298" s="5"/>
      <c r="D2298" s="5"/>
      <c r="E2298" s="5"/>
      <c r="F2298" s="22">
        <f>IFERROR(__xludf.DUMMYFUNCTION("""COMPUTED_VALUE"""),500000.0)</f>
        <v>500000</v>
      </c>
      <c r="G2298" s="22">
        <f>IFERROR(__xludf.DUMMYFUNCTION("""COMPUTED_VALUE"""),0.0)</f>
        <v>0</v>
      </c>
      <c r="H2298" s="22">
        <f>IFERROR(__xludf.DUMMYFUNCTION("""COMPUTED_VALUE"""),500000.0)</f>
        <v>500000</v>
      </c>
      <c r="I2298" s="24">
        <f>IFERROR(__xludf.DUMMYFUNCTION("""COMPUTED_VALUE"""),0.0)</f>
        <v>0</v>
      </c>
    </row>
    <row r="2299">
      <c r="A2299" s="5" t="str">
        <f>IFERROR(__xludf.DUMMYFUNCTION("""COMPUTED_VALUE"""),"38705")</f>
        <v>38705</v>
      </c>
      <c r="B2299" s="64">
        <f>IFERROR(__xludf.DUMMYFUNCTION("""COMPUTED_VALUE"""),44613.0)</f>
        <v>44613</v>
      </c>
      <c r="C2299" s="5"/>
      <c r="D2299" s="5"/>
      <c r="E2299" s="5"/>
      <c r="F2299" s="22">
        <f>IFERROR(__xludf.DUMMYFUNCTION("""COMPUTED_VALUE"""),500000.0)</f>
        <v>500000</v>
      </c>
      <c r="G2299" s="22">
        <f>IFERROR(__xludf.DUMMYFUNCTION("""COMPUTED_VALUE"""),0.0)</f>
        <v>0</v>
      </c>
      <c r="H2299" s="22">
        <f>IFERROR(__xludf.DUMMYFUNCTION("""COMPUTED_VALUE"""),500000.0)</f>
        <v>500000</v>
      </c>
      <c r="I2299" s="24">
        <f>IFERROR(__xludf.DUMMYFUNCTION("""COMPUTED_VALUE"""),0.0)</f>
        <v>0</v>
      </c>
    </row>
    <row r="2300">
      <c r="A2300" s="5" t="str">
        <f>IFERROR(__xludf.DUMMYFUNCTION("""COMPUTED_VALUE"""),"38705")</f>
        <v>38705</v>
      </c>
      <c r="B2300" s="64">
        <f>IFERROR(__xludf.DUMMYFUNCTION("""COMPUTED_VALUE"""),44614.0)</f>
        <v>44614</v>
      </c>
      <c r="C2300" s="5"/>
      <c r="D2300" s="5"/>
      <c r="E2300" s="5"/>
      <c r="F2300" s="22">
        <f>IFERROR(__xludf.DUMMYFUNCTION("""COMPUTED_VALUE"""),500000.0)</f>
        <v>500000</v>
      </c>
      <c r="G2300" s="22">
        <f>IFERROR(__xludf.DUMMYFUNCTION("""COMPUTED_VALUE"""),0.0)</f>
        <v>0</v>
      </c>
      <c r="H2300" s="22">
        <f>IFERROR(__xludf.DUMMYFUNCTION("""COMPUTED_VALUE"""),500000.0)</f>
        <v>500000</v>
      </c>
      <c r="I2300" s="24">
        <f>IFERROR(__xludf.DUMMYFUNCTION("""COMPUTED_VALUE"""),0.0)</f>
        <v>0</v>
      </c>
    </row>
    <row r="2301">
      <c r="A2301" s="5" t="str">
        <f>IFERROR(__xludf.DUMMYFUNCTION("""COMPUTED_VALUE"""),"38705")</f>
        <v>38705</v>
      </c>
      <c r="B2301" s="64">
        <f>IFERROR(__xludf.DUMMYFUNCTION("""COMPUTED_VALUE"""),44615.0)</f>
        <v>44615</v>
      </c>
      <c r="C2301" s="5"/>
      <c r="D2301" s="5"/>
      <c r="E2301" s="5"/>
      <c r="F2301" s="22">
        <f>IFERROR(__xludf.DUMMYFUNCTION("""COMPUTED_VALUE"""),500000.0)</f>
        <v>500000</v>
      </c>
      <c r="G2301" s="22">
        <f>IFERROR(__xludf.DUMMYFUNCTION("""COMPUTED_VALUE"""),0.0)</f>
        <v>0</v>
      </c>
      <c r="H2301" s="22">
        <f>IFERROR(__xludf.DUMMYFUNCTION("""COMPUTED_VALUE"""),500000.0)</f>
        <v>500000</v>
      </c>
      <c r="I2301" s="24">
        <f>IFERROR(__xludf.DUMMYFUNCTION("""COMPUTED_VALUE"""),0.0)</f>
        <v>0</v>
      </c>
    </row>
    <row r="2302">
      <c r="A2302" s="5" t="str">
        <f>IFERROR(__xludf.DUMMYFUNCTION("""COMPUTED_VALUE"""),"38705")</f>
        <v>38705</v>
      </c>
      <c r="B2302" s="64">
        <f>IFERROR(__xludf.DUMMYFUNCTION("""COMPUTED_VALUE"""),44616.0)</f>
        <v>44616</v>
      </c>
      <c r="C2302" s="5"/>
      <c r="D2302" s="5"/>
      <c r="E2302" s="5"/>
      <c r="F2302" s="22">
        <f>IFERROR(__xludf.DUMMYFUNCTION("""COMPUTED_VALUE"""),500000.0)</f>
        <v>500000</v>
      </c>
      <c r="G2302" s="22">
        <f>IFERROR(__xludf.DUMMYFUNCTION("""COMPUTED_VALUE"""),0.0)</f>
        <v>0</v>
      </c>
      <c r="H2302" s="22">
        <f>IFERROR(__xludf.DUMMYFUNCTION("""COMPUTED_VALUE"""),500000.0)</f>
        <v>500000</v>
      </c>
      <c r="I2302" s="24">
        <f>IFERROR(__xludf.DUMMYFUNCTION("""COMPUTED_VALUE"""),0.0)</f>
        <v>0</v>
      </c>
    </row>
    <row r="2303">
      <c r="A2303" s="5" t="str">
        <f>IFERROR(__xludf.DUMMYFUNCTION("""COMPUTED_VALUE"""),"38705")</f>
        <v>38705</v>
      </c>
      <c r="B2303" s="64">
        <f>IFERROR(__xludf.DUMMYFUNCTION("""COMPUTED_VALUE"""),44617.0)</f>
        <v>44617</v>
      </c>
      <c r="C2303" s="5"/>
      <c r="D2303" s="5"/>
      <c r="E2303" s="5"/>
      <c r="F2303" s="22">
        <f>IFERROR(__xludf.DUMMYFUNCTION("""COMPUTED_VALUE"""),500000.0)</f>
        <v>500000</v>
      </c>
      <c r="G2303" s="22">
        <f>IFERROR(__xludf.DUMMYFUNCTION("""COMPUTED_VALUE"""),0.0)</f>
        <v>0</v>
      </c>
      <c r="H2303" s="22">
        <f>IFERROR(__xludf.DUMMYFUNCTION("""COMPUTED_VALUE"""),500000.0)</f>
        <v>500000</v>
      </c>
      <c r="I2303" s="24">
        <f>IFERROR(__xludf.DUMMYFUNCTION("""COMPUTED_VALUE"""),0.0)</f>
        <v>0</v>
      </c>
    </row>
    <row r="2304">
      <c r="A2304" s="5" t="str">
        <f>IFERROR(__xludf.DUMMYFUNCTION("""COMPUTED_VALUE"""),"38705")</f>
        <v>38705</v>
      </c>
      <c r="B2304" s="64">
        <f>IFERROR(__xludf.DUMMYFUNCTION("""COMPUTED_VALUE"""),44618.0)</f>
        <v>44618</v>
      </c>
      <c r="C2304" s="5"/>
      <c r="D2304" s="5"/>
      <c r="E2304" s="5"/>
      <c r="F2304" s="22">
        <f>IFERROR(__xludf.DUMMYFUNCTION("""COMPUTED_VALUE"""),500000.0)</f>
        <v>500000</v>
      </c>
      <c r="G2304" s="22">
        <f>IFERROR(__xludf.DUMMYFUNCTION("""COMPUTED_VALUE"""),0.0)</f>
        <v>0</v>
      </c>
      <c r="H2304" s="22">
        <f>IFERROR(__xludf.DUMMYFUNCTION("""COMPUTED_VALUE"""),500000.0)</f>
        <v>500000</v>
      </c>
      <c r="I2304" s="24">
        <f>IFERROR(__xludf.DUMMYFUNCTION("""COMPUTED_VALUE"""),0.0)</f>
        <v>0</v>
      </c>
    </row>
    <row r="2305">
      <c r="A2305" s="5" t="str">
        <f>IFERROR(__xludf.DUMMYFUNCTION("""COMPUTED_VALUE"""),"38705")</f>
        <v>38705</v>
      </c>
      <c r="B2305" s="64">
        <f>IFERROR(__xludf.DUMMYFUNCTION("""COMPUTED_VALUE"""),44619.0)</f>
        <v>44619</v>
      </c>
      <c r="C2305" s="5"/>
      <c r="D2305" s="5"/>
      <c r="E2305" s="5"/>
      <c r="F2305" s="22">
        <f>IFERROR(__xludf.DUMMYFUNCTION("""COMPUTED_VALUE"""),500000.0)</f>
        <v>500000</v>
      </c>
      <c r="G2305" s="22">
        <f>IFERROR(__xludf.DUMMYFUNCTION("""COMPUTED_VALUE"""),0.0)</f>
        <v>0</v>
      </c>
      <c r="H2305" s="22">
        <f>IFERROR(__xludf.DUMMYFUNCTION("""COMPUTED_VALUE"""),500000.0)</f>
        <v>500000</v>
      </c>
      <c r="I2305" s="24">
        <f>IFERROR(__xludf.DUMMYFUNCTION("""COMPUTED_VALUE"""),0.0)</f>
        <v>0</v>
      </c>
    </row>
    <row r="2306">
      <c r="A2306" s="5" t="str">
        <f>IFERROR(__xludf.DUMMYFUNCTION("""COMPUTED_VALUE"""),"38705")</f>
        <v>38705</v>
      </c>
      <c r="B2306" s="64">
        <f>IFERROR(__xludf.DUMMYFUNCTION("""COMPUTED_VALUE"""),44620.0)</f>
        <v>44620</v>
      </c>
      <c r="C2306" s="5"/>
      <c r="D2306" s="5"/>
      <c r="E2306" s="5"/>
      <c r="F2306" s="22">
        <f>IFERROR(__xludf.DUMMYFUNCTION("""COMPUTED_VALUE"""),500000.0)</f>
        <v>500000</v>
      </c>
      <c r="G2306" s="22">
        <f>IFERROR(__xludf.DUMMYFUNCTION("""COMPUTED_VALUE"""),0.0)</f>
        <v>0</v>
      </c>
      <c r="H2306" s="22">
        <f>IFERROR(__xludf.DUMMYFUNCTION("""COMPUTED_VALUE"""),500000.0)</f>
        <v>500000</v>
      </c>
      <c r="I2306" s="24">
        <f>IFERROR(__xludf.DUMMYFUNCTION("""COMPUTED_VALUE"""),0.0)</f>
        <v>0</v>
      </c>
    </row>
    <row r="2307">
      <c r="A2307" s="5" t="str">
        <f>IFERROR(__xludf.DUMMYFUNCTION("""COMPUTED_VALUE"""),"38705")</f>
        <v>38705</v>
      </c>
      <c r="B2307" s="64">
        <f>IFERROR(__xludf.DUMMYFUNCTION("""COMPUTED_VALUE"""),44621.0)</f>
        <v>44621</v>
      </c>
      <c r="C2307" s="5"/>
      <c r="D2307" s="5"/>
      <c r="E2307" s="5"/>
      <c r="F2307" s="22">
        <f>IFERROR(__xludf.DUMMYFUNCTION("""COMPUTED_VALUE"""),500000.0)</f>
        <v>500000</v>
      </c>
      <c r="G2307" s="22">
        <f>IFERROR(__xludf.DUMMYFUNCTION("""COMPUTED_VALUE"""),0.0)</f>
        <v>0</v>
      </c>
      <c r="H2307" s="22">
        <f>IFERROR(__xludf.DUMMYFUNCTION("""COMPUTED_VALUE"""),500000.0)</f>
        <v>500000</v>
      </c>
      <c r="I2307" s="24">
        <f>IFERROR(__xludf.DUMMYFUNCTION("""COMPUTED_VALUE"""),0.0)</f>
        <v>0</v>
      </c>
    </row>
    <row r="2308">
      <c r="A2308" s="5" t="str">
        <f>IFERROR(__xludf.DUMMYFUNCTION("""COMPUTED_VALUE"""),"38705")</f>
        <v>38705</v>
      </c>
      <c r="B2308" s="64">
        <f>IFERROR(__xludf.DUMMYFUNCTION("""COMPUTED_VALUE"""),44622.0)</f>
        <v>44622</v>
      </c>
      <c r="C2308" s="5"/>
      <c r="D2308" s="5"/>
      <c r="E2308" s="5"/>
      <c r="F2308" s="22">
        <f>IFERROR(__xludf.DUMMYFUNCTION("""COMPUTED_VALUE"""),500000.0)</f>
        <v>500000</v>
      </c>
      <c r="G2308" s="22">
        <f>IFERROR(__xludf.DUMMYFUNCTION("""COMPUTED_VALUE"""),0.0)</f>
        <v>0</v>
      </c>
      <c r="H2308" s="22">
        <f>IFERROR(__xludf.DUMMYFUNCTION("""COMPUTED_VALUE"""),500000.0)</f>
        <v>500000</v>
      </c>
      <c r="I2308" s="24">
        <f>IFERROR(__xludf.DUMMYFUNCTION("""COMPUTED_VALUE"""),0.0)</f>
        <v>0</v>
      </c>
    </row>
    <row r="2309">
      <c r="A2309" s="5" t="str">
        <f>IFERROR(__xludf.DUMMYFUNCTION("""COMPUTED_VALUE"""),"38705")</f>
        <v>38705</v>
      </c>
      <c r="B2309" s="64">
        <f>IFERROR(__xludf.DUMMYFUNCTION("""COMPUTED_VALUE"""),44623.0)</f>
        <v>44623</v>
      </c>
      <c r="C2309" s="5"/>
      <c r="D2309" s="5"/>
      <c r="E2309" s="5"/>
      <c r="F2309" s="22">
        <f>IFERROR(__xludf.DUMMYFUNCTION("""COMPUTED_VALUE"""),500000.0)</f>
        <v>500000</v>
      </c>
      <c r="G2309" s="22">
        <f>IFERROR(__xludf.DUMMYFUNCTION("""COMPUTED_VALUE"""),0.0)</f>
        <v>0</v>
      </c>
      <c r="H2309" s="22">
        <f>IFERROR(__xludf.DUMMYFUNCTION("""COMPUTED_VALUE"""),500000.0)</f>
        <v>500000</v>
      </c>
      <c r="I2309" s="24">
        <f>IFERROR(__xludf.DUMMYFUNCTION("""COMPUTED_VALUE"""),0.0)</f>
        <v>0</v>
      </c>
    </row>
    <row r="2310">
      <c r="A2310" s="5" t="str">
        <f>IFERROR(__xludf.DUMMYFUNCTION("""COMPUTED_VALUE"""),"38705")</f>
        <v>38705</v>
      </c>
      <c r="B2310" s="64">
        <f>IFERROR(__xludf.DUMMYFUNCTION("""COMPUTED_VALUE"""),44624.0)</f>
        <v>44624</v>
      </c>
      <c r="C2310" s="5"/>
      <c r="D2310" s="5"/>
      <c r="E2310" s="5"/>
      <c r="F2310" s="22">
        <f>IFERROR(__xludf.DUMMYFUNCTION("""COMPUTED_VALUE"""),500000.0)</f>
        <v>500000</v>
      </c>
      <c r="G2310" s="22">
        <f>IFERROR(__xludf.DUMMYFUNCTION("""COMPUTED_VALUE"""),0.0)</f>
        <v>0</v>
      </c>
      <c r="H2310" s="22">
        <f>IFERROR(__xludf.DUMMYFUNCTION("""COMPUTED_VALUE"""),500000.0)</f>
        <v>500000</v>
      </c>
      <c r="I2310" s="24">
        <f>IFERROR(__xludf.DUMMYFUNCTION("""COMPUTED_VALUE"""),0.0)</f>
        <v>0</v>
      </c>
    </row>
    <row r="2311">
      <c r="A2311" s="5" t="str">
        <f>IFERROR(__xludf.DUMMYFUNCTION("""COMPUTED_VALUE"""),"38705")</f>
        <v>38705</v>
      </c>
      <c r="B2311" s="64">
        <f>IFERROR(__xludf.DUMMYFUNCTION("""COMPUTED_VALUE"""),44625.0)</f>
        <v>44625</v>
      </c>
      <c r="C2311" s="5"/>
      <c r="D2311" s="5"/>
      <c r="E2311" s="5"/>
      <c r="F2311" s="22">
        <f>IFERROR(__xludf.DUMMYFUNCTION("""COMPUTED_VALUE"""),500000.0)</f>
        <v>500000</v>
      </c>
      <c r="G2311" s="22">
        <f>IFERROR(__xludf.DUMMYFUNCTION("""COMPUTED_VALUE"""),0.0)</f>
        <v>0</v>
      </c>
      <c r="H2311" s="22">
        <f>IFERROR(__xludf.DUMMYFUNCTION("""COMPUTED_VALUE"""),500000.0)</f>
        <v>500000</v>
      </c>
      <c r="I2311" s="24">
        <f>IFERROR(__xludf.DUMMYFUNCTION("""COMPUTED_VALUE"""),0.0)</f>
        <v>0</v>
      </c>
    </row>
    <row r="2312">
      <c r="A2312" s="5" t="str">
        <f>IFERROR(__xludf.DUMMYFUNCTION("""COMPUTED_VALUE"""),"38705")</f>
        <v>38705</v>
      </c>
      <c r="B2312" s="64">
        <f>IFERROR(__xludf.DUMMYFUNCTION("""COMPUTED_VALUE"""),44626.0)</f>
        <v>44626</v>
      </c>
      <c r="C2312" s="5"/>
      <c r="D2312" s="5"/>
      <c r="E2312" s="5"/>
      <c r="F2312" s="22">
        <f>IFERROR(__xludf.DUMMYFUNCTION("""COMPUTED_VALUE"""),500000.0)</f>
        <v>500000</v>
      </c>
      <c r="G2312" s="22">
        <f>IFERROR(__xludf.DUMMYFUNCTION("""COMPUTED_VALUE"""),0.0)</f>
        <v>0</v>
      </c>
      <c r="H2312" s="22">
        <f>IFERROR(__xludf.DUMMYFUNCTION("""COMPUTED_VALUE"""),500000.0)</f>
        <v>500000</v>
      </c>
      <c r="I2312" s="24">
        <f>IFERROR(__xludf.DUMMYFUNCTION("""COMPUTED_VALUE"""),0.0)</f>
        <v>0</v>
      </c>
    </row>
    <row r="2313">
      <c r="A2313" s="5" t="str">
        <f>IFERROR(__xludf.DUMMYFUNCTION("""COMPUTED_VALUE"""),"38705")</f>
        <v>38705</v>
      </c>
      <c r="B2313" s="64">
        <f>IFERROR(__xludf.DUMMYFUNCTION("""COMPUTED_VALUE"""),44627.0)</f>
        <v>44627</v>
      </c>
      <c r="C2313" s="5"/>
      <c r="D2313" s="5"/>
      <c r="E2313" s="5"/>
      <c r="F2313" s="22">
        <f>IFERROR(__xludf.DUMMYFUNCTION("""COMPUTED_VALUE"""),500000.0)</f>
        <v>500000</v>
      </c>
      <c r="G2313" s="22">
        <f>IFERROR(__xludf.DUMMYFUNCTION("""COMPUTED_VALUE"""),0.0)</f>
        <v>0</v>
      </c>
      <c r="H2313" s="22">
        <f>IFERROR(__xludf.DUMMYFUNCTION("""COMPUTED_VALUE"""),500000.0)</f>
        <v>500000</v>
      </c>
      <c r="I2313" s="24">
        <f>IFERROR(__xludf.DUMMYFUNCTION("""COMPUTED_VALUE"""),0.0)</f>
        <v>0</v>
      </c>
    </row>
    <row r="2314">
      <c r="A2314" s="5" t="str">
        <f>IFERROR(__xludf.DUMMYFUNCTION("""COMPUTED_VALUE"""),"38705")</f>
        <v>38705</v>
      </c>
      <c r="B2314" s="64">
        <f>IFERROR(__xludf.DUMMYFUNCTION("""COMPUTED_VALUE"""),44628.0)</f>
        <v>44628</v>
      </c>
      <c r="C2314" s="5"/>
      <c r="D2314" s="5"/>
      <c r="E2314" s="5"/>
      <c r="F2314" s="22">
        <f>IFERROR(__xludf.DUMMYFUNCTION("""COMPUTED_VALUE"""),500000.0)</f>
        <v>500000</v>
      </c>
      <c r="G2314" s="22">
        <f>IFERROR(__xludf.DUMMYFUNCTION("""COMPUTED_VALUE"""),0.0)</f>
        <v>0</v>
      </c>
      <c r="H2314" s="22">
        <f>IFERROR(__xludf.DUMMYFUNCTION("""COMPUTED_VALUE"""),500000.0)</f>
        <v>500000</v>
      </c>
      <c r="I2314" s="24">
        <f>IFERROR(__xludf.DUMMYFUNCTION("""COMPUTED_VALUE"""),0.0)</f>
        <v>0</v>
      </c>
    </row>
    <row r="2315">
      <c r="A2315" s="5" t="str">
        <f>IFERROR(__xludf.DUMMYFUNCTION("""COMPUTED_VALUE"""),"38705")</f>
        <v>38705</v>
      </c>
      <c r="B2315" s="64">
        <f>IFERROR(__xludf.DUMMYFUNCTION("""COMPUTED_VALUE"""),44629.0)</f>
        <v>44629</v>
      </c>
      <c r="C2315" s="5"/>
      <c r="D2315" s="5"/>
      <c r="E2315" s="5"/>
      <c r="F2315" s="22">
        <f>IFERROR(__xludf.DUMMYFUNCTION("""COMPUTED_VALUE"""),500000.0)</f>
        <v>500000</v>
      </c>
      <c r="G2315" s="22">
        <f>IFERROR(__xludf.DUMMYFUNCTION("""COMPUTED_VALUE"""),0.0)</f>
        <v>0</v>
      </c>
      <c r="H2315" s="22">
        <f>IFERROR(__xludf.DUMMYFUNCTION("""COMPUTED_VALUE"""),500000.0)</f>
        <v>500000</v>
      </c>
      <c r="I2315" s="24">
        <f>IFERROR(__xludf.DUMMYFUNCTION("""COMPUTED_VALUE"""),0.0)</f>
        <v>0</v>
      </c>
    </row>
    <row r="2316">
      <c r="A2316" s="5" t="str">
        <f>IFERROR(__xludf.DUMMYFUNCTION("""COMPUTED_VALUE"""),"38705")</f>
        <v>38705</v>
      </c>
      <c r="B2316" s="64">
        <f>IFERROR(__xludf.DUMMYFUNCTION("""COMPUTED_VALUE"""),44630.0)</f>
        <v>44630</v>
      </c>
      <c r="C2316" s="5"/>
      <c r="D2316" s="5"/>
      <c r="E2316" s="5"/>
      <c r="F2316" s="22">
        <f>IFERROR(__xludf.DUMMYFUNCTION("""COMPUTED_VALUE"""),500000.0)</f>
        <v>500000</v>
      </c>
      <c r="G2316" s="22">
        <f>IFERROR(__xludf.DUMMYFUNCTION("""COMPUTED_VALUE"""),0.0)</f>
        <v>0</v>
      </c>
      <c r="H2316" s="22">
        <f>IFERROR(__xludf.DUMMYFUNCTION("""COMPUTED_VALUE"""),500000.0)</f>
        <v>500000</v>
      </c>
      <c r="I2316" s="24">
        <f>IFERROR(__xludf.DUMMYFUNCTION("""COMPUTED_VALUE"""),0.0)</f>
        <v>0</v>
      </c>
    </row>
    <row r="2317">
      <c r="A2317" s="5" t="str">
        <f>IFERROR(__xludf.DUMMYFUNCTION("""COMPUTED_VALUE"""),"38705")</f>
        <v>38705</v>
      </c>
      <c r="B2317" s="64">
        <f>IFERROR(__xludf.DUMMYFUNCTION("""COMPUTED_VALUE"""),44631.0)</f>
        <v>44631</v>
      </c>
      <c r="C2317" s="5"/>
      <c r="D2317" s="5"/>
      <c r="E2317" s="5"/>
      <c r="F2317" s="22">
        <f>IFERROR(__xludf.DUMMYFUNCTION("""COMPUTED_VALUE"""),500000.0)</f>
        <v>500000</v>
      </c>
      <c r="G2317" s="22">
        <f>IFERROR(__xludf.DUMMYFUNCTION("""COMPUTED_VALUE"""),0.0)</f>
        <v>0</v>
      </c>
      <c r="H2317" s="22">
        <f>IFERROR(__xludf.DUMMYFUNCTION("""COMPUTED_VALUE"""),500000.0)</f>
        <v>500000</v>
      </c>
      <c r="I2317" s="24">
        <f>IFERROR(__xludf.DUMMYFUNCTION("""COMPUTED_VALUE"""),0.0)</f>
        <v>0</v>
      </c>
    </row>
    <row r="2318">
      <c r="A2318" s="5" t="str">
        <f>IFERROR(__xludf.DUMMYFUNCTION("""COMPUTED_VALUE"""),"38705")</f>
        <v>38705</v>
      </c>
      <c r="B2318" s="64">
        <f>IFERROR(__xludf.DUMMYFUNCTION("""COMPUTED_VALUE"""),44632.0)</f>
        <v>44632</v>
      </c>
      <c r="C2318" s="5"/>
      <c r="D2318" s="5"/>
      <c r="E2318" s="5"/>
      <c r="F2318" s="22">
        <f>IFERROR(__xludf.DUMMYFUNCTION("""COMPUTED_VALUE"""),500000.0)</f>
        <v>500000</v>
      </c>
      <c r="G2318" s="22">
        <f>IFERROR(__xludf.DUMMYFUNCTION("""COMPUTED_VALUE"""),0.0)</f>
        <v>0</v>
      </c>
      <c r="H2318" s="22">
        <f>IFERROR(__xludf.DUMMYFUNCTION("""COMPUTED_VALUE"""),500000.0)</f>
        <v>500000</v>
      </c>
      <c r="I2318" s="24">
        <f>IFERROR(__xludf.DUMMYFUNCTION("""COMPUTED_VALUE"""),0.0)</f>
        <v>0</v>
      </c>
    </row>
    <row r="2319">
      <c r="A2319" s="5" t="str">
        <f>IFERROR(__xludf.DUMMYFUNCTION("""COMPUTED_VALUE"""),"38705")</f>
        <v>38705</v>
      </c>
      <c r="B2319" s="64">
        <f>IFERROR(__xludf.DUMMYFUNCTION("""COMPUTED_VALUE"""),44633.0)</f>
        <v>44633</v>
      </c>
      <c r="C2319" s="5"/>
      <c r="D2319" s="5"/>
      <c r="E2319" s="5"/>
      <c r="F2319" s="22">
        <f>IFERROR(__xludf.DUMMYFUNCTION("""COMPUTED_VALUE"""),500000.0)</f>
        <v>500000</v>
      </c>
      <c r="G2319" s="22">
        <f>IFERROR(__xludf.DUMMYFUNCTION("""COMPUTED_VALUE"""),0.0)</f>
        <v>0</v>
      </c>
      <c r="H2319" s="22">
        <f>IFERROR(__xludf.DUMMYFUNCTION("""COMPUTED_VALUE"""),500000.0)</f>
        <v>500000</v>
      </c>
      <c r="I2319" s="24">
        <f>IFERROR(__xludf.DUMMYFUNCTION("""COMPUTED_VALUE"""),0.0)</f>
        <v>0</v>
      </c>
    </row>
    <row r="2320">
      <c r="A2320" s="5" t="str">
        <f>IFERROR(__xludf.DUMMYFUNCTION("""COMPUTED_VALUE"""),"38705")</f>
        <v>38705</v>
      </c>
      <c r="B2320" s="64">
        <f>IFERROR(__xludf.DUMMYFUNCTION("""COMPUTED_VALUE"""),44634.0)</f>
        <v>44634</v>
      </c>
      <c r="C2320" s="5"/>
      <c r="D2320" s="5"/>
      <c r="E2320" s="5"/>
      <c r="F2320" s="22">
        <f>IFERROR(__xludf.DUMMYFUNCTION("""COMPUTED_VALUE"""),500000.0)</f>
        <v>500000</v>
      </c>
      <c r="G2320" s="22">
        <f>IFERROR(__xludf.DUMMYFUNCTION("""COMPUTED_VALUE"""),0.0)</f>
        <v>0</v>
      </c>
      <c r="H2320" s="22">
        <f>IFERROR(__xludf.DUMMYFUNCTION("""COMPUTED_VALUE"""),500000.0)</f>
        <v>500000</v>
      </c>
      <c r="I2320" s="24">
        <f>IFERROR(__xludf.DUMMYFUNCTION("""COMPUTED_VALUE"""),0.0)</f>
        <v>0</v>
      </c>
    </row>
    <row r="2321">
      <c r="A2321" s="5" t="str">
        <f>IFERROR(__xludf.DUMMYFUNCTION("""COMPUTED_VALUE"""),"38705")</f>
        <v>38705</v>
      </c>
      <c r="B2321" s="64">
        <f>IFERROR(__xludf.DUMMYFUNCTION("""COMPUTED_VALUE"""),44635.0)</f>
        <v>44635</v>
      </c>
      <c r="C2321" s="5"/>
      <c r="D2321" s="5"/>
      <c r="E2321" s="5"/>
      <c r="F2321" s="22">
        <f>IFERROR(__xludf.DUMMYFUNCTION("""COMPUTED_VALUE"""),500000.0)</f>
        <v>500000</v>
      </c>
      <c r="G2321" s="22">
        <f>IFERROR(__xludf.DUMMYFUNCTION("""COMPUTED_VALUE"""),0.0)</f>
        <v>0</v>
      </c>
      <c r="H2321" s="22">
        <f>IFERROR(__xludf.DUMMYFUNCTION("""COMPUTED_VALUE"""),500000.0)</f>
        <v>500000</v>
      </c>
      <c r="I2321" s="24">
        <f>IFERROR(__xludf.DUMMYFUNCTION("""COMPUTED_VALUE"""),0.0)</f>
        <v>0</v>
      </c>
    </row>
    <row r="2322">
      <c r="A2322" s="5" t="str">
        <f>IFERROR(__xludf.DUMMYFUNCTION("""COMPUTED_VALUE"""),"38705")</f>
        <v>38705</v>
      </c>
      <c r="B2322" s="64">
        <f>IFERROR(__xludf.DUMMYFUNCTION("""COMPUTED_VALUE"""),44636.0)</f>
        <v>44636</v>
      </c>
      <c r="C2322" s="5"/>
      <c r="D2322" s="5"/>
      <c r="E2322" s="5"/>
      <c r="F2322" s="22">
        <f>IFERROR(__xludf.DUMMYFUNCTION("""COMPUTED_VALUE"""),500000.0)</f>
        <v>500000</v>
      </c>
      <c r="G2322" s="22">
        <f>IFERROR(__xludf.DUMMYFUNCTION("""COMPUTED_VALUE"""),0.0)</f>
        <v>0</v>
      </c>
      <c r="H2322" s="22">
        <f>IFERROR(__xludf.DUMMYFUNCTION("""COMPUTED_VALUE"""),500000.0)</f>
        <v>500000</v>
      </c>
      <c r="I2322" s="24">
        <f>IFERROR(__xludf.DUMMYFUNCTION("""COMPUTED_VALUE"""),0.0)</f>
        <v>0</v>
      </c>
    </row>
    <row r="2323">
      <c r="A2323" s="5" t="str">
        <f>IFERROR(__xludf.DUMMYFUNCTION("""COMPUTED_VALUE"""),"38705")</f>
        <v>38705</v>
      </c>
      <c r="B2323" s="64">
        <f>IFERROR(__xludf.DUMMYFUNCTION("""COMPUTED_VALUE"""),44637.0)</f>
        <v>44637</v>
      </c>
      <c r="C2323" s="5"/>
      <c r="D2323" s="5"/>
      <c r="E2323" s="5"/>
      <c r="F2323" s="22">
        <f>IFERROR(__xludf.DUMMYFUNCTION("""COMPUTED_VALUE"""),500000.0)</f>
        <v>500000</v>
      </c>
      <c r="G2323" s="22">
        <f>IFERROR(__xludf.DUMMYFUNCTION("""COMPUTED_VALUE"""),0.0)</f>
        <v>0</v>
      </c>
      <c r="H2323" s="22">
        <f>IFERROR(__xludf.DUMMYFUNCTION("""COMPUTED_VALUE"""),500000.0)</f>
        <v>500000</v>
      </c>
      <c r="I2323" s="24">
        <f>IFERROR(__xludf.DUMMYFUNCTION("""COMPUTED_VALUE"""),0.0)</f>
        <v>0</v>
      </c>
    </row>
    <row r="2324">
      <c r="A2324" s="5" t="str">
        <f>IFERROR(__xludf.DUMMYFUNCTION("""COMPUTED_VALUE"""),"38705")</f>
        <v>38705</v>
      </c>
      <c r="B2324" s="64">
        <f>IFERROR(__xludf.DUMMYFUNCTION("""COMPUTED_VALUE"""),44638.0)</f>
        <v>44638</v>
      </c>
      <c r="C2324" s="5"/>
      <c r="D2324" s="5"/>
      <c r="E2324" s="5"/>
      <c r="F2324" s="22">
        <f>IFERROR(__xludf.DUMMYFUNCTION("""COMPUTED_VALUE"""),500000.0)</f>
        <v>500000</v>
      </c>
      <c r="G2324" s="22">
        <f>IFERROR(__xludf.DUMMYFUNCTION("""COMPUTED_VALUE"""),0.0)</f>
        <v>0</v>
      </c>
      <c r="H2324" s="22">
        <f>IFERROR(__xludf.DUMMYFUNCTION("""COMPUTED_VALUE"""),500000.0)</f>
        <v>500000</v>
      </c>
      <c r="I2324" s="24">
        <f>IFERROR(__xludf.DUMMYFUNCTION("""COMPUTED_VALUE"""),0.0)</f>
        <v>0</v>
      </c>
    </row>
    <row r="2325">
      <c r="A2325" s="5" t="str">
        <f>IFERROR(__xludf.DUMMYFUNCTION("""COMPUTED_VALUE"""),"38705")</f>
        <v>38705</v>
      </c>
      <c r="B2325" s="64">
        <f>IFERROR(__xludf.DUMMYFUNCTION("""COMPUTED_VALUE"""),44639.0)</f>
        <v>44639</v>
      </c>
      <c r="C2325" s="5"/>
      <c r="D2325" s="5"/>
      <c r="E2325" s="5"/>
      <c r="F2325" s="22">
        <f>IFERROR(__xludf.DUMMYFUNCTION("""COMPUTED_VALUE"""),500000.0)</f>
        <v>500000</v>
      </c>
      <c r="G2325" s="22">
        <f>IFERROR(__xludf.DUMMYFUNCTION("""COMPUTED_VALUE"""),0.0)</f>
        <v>0</v>
      </c>
      <c r="H2325" s="22">
        <f>IFERROR(__xludf.DUMMYFUNCTION("""COMPUTED_VALUE"""),500000.0)</f>
        <v>500000</v>
      </c>
      <c r="I2325" s="24">
        <f>IFERROR(__xludf.DUMMYFUNCTION("""COMPUTED_VALUE"""),0.0)</f>
        <v>0</v>
      </c>
    </row>
    <row r="2326">
      <c r="A2326" s="5" t="str">
        <f>IFERROR(__xludf.DUMMYFUNCTION("""COMPUTED_VALUE"""),"38705")</f>
        <v>38705</v>
      </c>
      <c r="B2326" s="64">
        <f>IFERROR(__xludf.DUMMYFUNCTION("""COMPUTED_VALUE"""),44640.0)</f>
        <v>44640</v>
      </c>
      <c r="C2326" s="5"/>
      <c r="D2326" s="5"/>
      <c r="E2326" s="5"/>
      <c r="F2326" s="22">
        <f>IFERROR(__xludf.DUMMYFUNCTION("""COMPUTED_VALUE"""),500000.0)</f>
        <v>500000</v>
      </c>
      <c r="G2326" s="22">
        <f>IFERROR(__xludf.DUMMYFUNCTION("""COMPUTED_VALUE"""),0.0)</f>
        <v>0</v>
      </c>
      <c r="H2326" s="22">
        <f>IFERROR(__xludf.DUMMYFUNCTION("""COMPUTED_VALUE"""),500000.0)</f>
        <v>500000</v>
      </c>
      <c r="I2326" s="24">
        <f>IFERROR(__xludf.DUMMYFUNCTION("""COMPUTED_VALUE"""),0.0)</f>
        <v>0</v>
      </c>
    </row>
    <row r="2327">
      <c r="A2327" s="5" t="str">
        <f>IFERROR(__xludf.DUMMYFUNCTION("""COMPUTED_VALUE"""),"38705")</f>
        <v>38705</v>
      </c>
      <c r="B2327" s="64">
        <f>IFERROR(__xludf.DUMMYFUNCTION("""COMPUTED_VALUE"""),44641.0)</f>
        <v>44641</v>
      </c>
      <c r="C2327" s="5"/>
      <c r="D2327" s="5"/>
      <c r="E2327" s="5"/>
      <c r="F2327" s="22">
        <f>IFERROR(__xludf.DUMMYFUNCTION("""COMPUTED_VALUE"""),76568.81322500002)</f>
        <v>76568.81323</v>
      </c>
      <c r="G2327" s="22">
        <f>IFERROR(__xludf.DUMMYFUNCTION("""COMPUTED_VALUE"""),0.0)</f>
        <v>0</v>
      </c>
      <c r="H2327" s="22">
        <f>IFERROR(__xludf.DUMMYFUNCTION("""COMPUTED_VALUE"""),500000.0)</f>
        <v>500000</v>
      </c>
      <c r="I2327" s="24">
        <f>IFERROR(__xludf.DUMMYFUNCTION("""COMPUTED_VALUE"""),0.0)</f>
        <v>0</v>
      </c>
    </row>
    <row r="2328">
      <c r="A2328" s="5" t="str">
        <f>IFERROR(__xludf.DUMMYFUNCTION("""COMPUTED_VALUE"""),"38705")</f>
        <v>38705</v>
      </c>
      <c r="B2328" s="64">
        <f>IFERROR(__xludf.DUMMYFUNCTION("""COMPUTED_VALUE"""),44642.0)</f>
        <v>44642</v>
      </c>
      <c r="C2328" s="5"/>
      <c r="D2328" s="5"/>
      <c r="E2328" s="5"/>
      <c r="F2328" s="22">
        <f>IFERROR(__xludf.DUMMYFUNCTION("""COMPUTED_VALUE"""),128653.25200000002)</f>
        <v>128653.252</v>
      </c>
      <c r="G2328" s="22">
        <f>IFERROR(__xludf.DUMMYFUNCTION("""COMPUTED_VALUE"""),0.0)</f>
        <v>0</v>
      </c>
      <c r="H2328" s="22">
        <f>IFERROR(__xludf.DUMMYFUNCTION("""COMPUTED_VALUE"""),497644.53955)</f>
        <v>497644.5396</v>
      </c>
      <c r="I2328" s="24">
        <f>IFERROR(__xludf.DUMMYFUNCTION("""COMPUTED_VALUE"""),-0.004710920900000026)</f>
        <v>-0.0047109209</v>
      </c>
    </row>
    <row r="2329">
      <c r="A2329" s="5" t="str">
        <f>IFERROR(__xludf.DUMMYFUNCTION("""COMPUTED_VALUE"""),"38705")</f>
        <v>38705</v>
      </c>
      <c r="B2329" s="64">
        <f>IFERROR(__xludf.DUMMYFUNCTION("""COMPUTED_VALUE"""),44643.0)</f>
        <v>44643</v>
      </c>
      <c r="C2329" s="5"/>
      <c r="D2329" s="5"/>
      <c r="E2329" s="5"/>
      <c r="F2329" s="22">
        <f>IFERROR(__xludf.DUMMYFUNCTION("""COMPUTED_VALUE"""),-80770.07735999998)</f>
        <v>-80770.07736</v>
      </c>
      <c r="G2329" s="22">
        <f>IFERROR(__xludf.DUMMYFUNCTION("""COMPUTED_VALUE"""),80770.07735999998)</f>
        <v>80770.07736</v>
      </c>
      <c r="H2329" s="22">
        <f>IFERROR(__xludf.DUMMYFUNCTION("""COMPUTED_VALUE"""),490312.09965)</f>
        <v>490312.0997</v>
      </c>
      <c r="I2329" s="24">
        <f>IFERROR(__xludf.DUMMYFUNCTION("""COMPUTED_VALUE"""),-0.0193758007)</f>
        <v>-0.0193758007</v>
      </c>
    </row>
    <row r="2330">
      <c r="A2330" s="5" t="str">
        <f>IFERROR(__xludf.DUMMYFUNCTION("""COMPUTED_VALUE"""),"38705")</f>
        <v>38705</v>
      </c>
      <c r="B2330" s="64">
        <f>IFERROR(__xludf.DUMMYFUNCTION("""COMPUTED_VALUE"""),44644.0)</f>
        <v>44644</v>
      </c>
      <c r="C2330" s="5"/>
      <c r="D2330" s="5"/>
      <c r="E2330" s="5"/>
      <c r="F2330" s="22">
        <f>IFERROR(__xludf.DUMMYFUNCTION("""COMPUTED_VALUE"""),-123050.64668999998)</f>
        <v>-123050.6467</v>
      </c>
      <c r="G2330" s="22">
        <f>IFERROR(__xludf.DUMMYFUNCTION("""COMPUTED_VALUE"""),123050.64668999998)</f>
        <v>123050.6467</v>
      </c>
      <c r="H2330" s="22">
        <f>IFERROR(__xludf.DUMMYFUNCTION("""COMPUTED_VALUE"""),501337.771035)</f>
        <v>501337.771</v>
      </c>
      <c r="I2330" s="24">
        <f>IFERROR(__xludf.DUMMYFUNCTION("""COMPUTED_VALUE"""),0.002675542069999981)</f>
        <v>0.00267554207</v>
      </c>
    </row>
    <row r="2331">
      <c r="A2331" s="5" t="str">
        <f>IFERROR(__xludf.DUMMYFUNCTION("""COMPUTED_VALUE"""),"38705")</f>
        <v>38705</v>
      </c>
      <c r="B2331" s="64">
        <f>IFERROR(__xludf.DUMMYFUNCTION("""COMPUTED_VALUE"""),44645.0)</f>
        <v>44645</v>
      </c>
      <c r="C2331" s="5"/>
      <c r="D2331" s="5"/>
      <c r="E2331" s="5"/>
      <c r="F2331" s="22">
        <f>IFERROR(__xludf.DUMMYFUNCTION("""COMPUTED_VALUE"""),-123050.64668999998)</f>
        <v>-123050.6467</v>
      </c>
      <c r="G2331" s="22">
        <f>IFERROR(__xludf.DUMMYFUNCTION("""COMPUTED_VALUE"""),123050.64668999998)</f>
        <v>123050.6467</v>
      </c>
      <c r="H2331" s="22">
        <f>IFERROR(__xludf.DUMMYFUNCTION("""COMPUTED_VALUE"""),509781.41406499996)</f>
        <v>509781.4141</v>
      </c>
      <c r="I2331" s="24">
        <f>IFERROR(__xludf.DUMMYFUNCTION("""COMPUTED_VALUE"""),0.019562828129999987)</f>
        <v>0.01956282813</v>
      </c>
    </row>
    <row r="2332">
      <c r="A2332" s="5" t="str">
        <f>IFERROR(__xludf.DUMMYFUNCTION("""COMPUTED_VALUE"""),"38705")</f>
        <v>38705</v>
      </c>
      <c r="B2332" s="64">
        <f>IFERROR(__xludf.DUMMYFUNCTION("""COMPUTED_VALUE"""),44646.0)</f>
        <v>44646</v>
      </c>
      <c r="C2332" s="5"/>
      <c r="D2332" s="5"/>
      <c r="E2332" s="5"/>
      <c r="F2332" s="22">
        <f>IFERROR(__xludf.DUMMYFUNCTION("""COMPUTED_VALUE"""),-123050.64668999998)</f>
        <v>-123050.6467</v>
      </c>
      <c r="G2332" s="22">
        <f>IFERROR(__xludf.DUMMYFUNCTION("""COMPUTED_VALUE"""),123050.64668999998)</f>
        <v>123050.6467</v>
      </c>
      <c r="H2332" s="22">
        <f>IFERROR(__xludf.DUMMYFUNCTION("""COMPUTED_VALUE"""),509781.41406499996)</f>
        <v>509781.4141</v>
      </c>
      <c r="I2332" s="24">
        <f>IFERROR(__xludf.DUMMYFUNCTION("""COMPUTED_VALUE"""),0.019562828129999987)</f>
        <v>0.01956282813</v>
      </c>
    </row>
    <row r="2333">
      <c r="A2333" s="5" t="str">
        <f>IFERROR(__xludf.DUMMYFUNCTION("""COMPUTED_VALUE"""),"38705")</f>
        <v>38705</v>
      </c>
      <c r="B2333" s="64">
        <f>IFERROR(__xludf.DUMMYFUNCTION("""COMPUTED_VALUE"""),44647.0)</f>
        <v>44647</v>
      </c>
      <c r="C2333" s="5"/>
      <c r="D2333" s="5"/>
      <c r="E2333" s="5"/>
      <c r="F2333" s="22">
        <f>IFERROR(__xludf.DUMMYFUNCTION("""COMPUTED_VALUE"""),-123050.64668999998)</f>
        <v>-123050.6467</v>
      </c>
      <c r="G2333" s="22">
        <f>IFERROR(__xludf.DUMMYFUNCTION("""COMPUTED_VALUE"""),123050.64668999998)</f>
        <v>123050.6467</v>
      </c>
      <c r="H2333" s="22">
        <f>IFERROR(__xludf.DUMMYFUNCTION("""COMPUTED_VALUE"""),509781.41406499996)</f>
        <v>509781.4141</v>
      </c>
      <c r="I2333" s="24">
        <f>IFERROR(__xludf.DUMMYFUNCTION("""COMPUTED_VALUE"""),0.019562828129999987)</f>
        <v>0.01956282813</v>
      </c>
    </row>
    <row r="2334">
      <c r="A2334" s="5" t="str">
        <f>IFERROR(__xludf.DUMMYFUNCTION("""COMPUTED_VALUE"""),"38705")</f>
        <v>38705</v>
      </c>
      <c r="B2334" s="64">
        <f>IFERROR(__xludf.DUMMYFUNCTION("""COMPUTED_VALUE"""),44648.0)</f>
        <v>44648</v>
      </c>
      <c r="C2334" s="5"/>
      <c r="D2334" s="5"/>
      <c r="E2334" s="5"/>
      <c r="F2334" s="22">
        <f>IFERROR(__xludf.DUMMYFUNCTION("""COMPUTED_VALUE"""),-123050.64668999998)</f>
        <v>-123050.6467</v>
      </c>
      <c r="G2334" s="22">
        <f>IFERROR(__xludf.DUMMYFUNCTION("""COMPUTED_VALUE"""),123050.64668999998)</f>
        <v>123050.6467</v>
      </c>
      <c r="H2334" s="22">
        <f>IFERROR(__xludf.DUMMYFUNCTION("""COMPUTED_VALUE"""),514788.40887000004)</f>
        <v>514788.4089</v>
      </c>
      <c r="I2334" s="24">
        <f>IFERROR(__xludf.DUMMYFUNCTION("""COMPUTED_VALUE"""),0.029576817739999983)</f>
        <v>0.02957681774</v>
      </c>
    </row>
    <row r="2335">
      <c r="A2335" s="5" t="str">
        <f>IFERROR(__xludf.DUMMYFUNCTION("""COMPUTED_VALUE"""),"38705")</f>
        <v>38705</v>
      </c>
      <c r="B2335" s="64">
        <f>IFERROR(__xludf.DUMMYFUNCTION("""COMPUTED_VALUE"""),44649.0)</f>
        <v>44649</v>
      </c>
      <c r="C2335" s="5"/>
      <c r="D2335" s="5"/>
      <c r="E2335" s="5"/>
      <c r="F2335" s="22">
        <f>IFERROR(__xludf.DUMMYFUNCTION("""COMPUTED_VALUE"""),-123050.64668999998)</f>
        <v>-123050.6467</v>
      </c>
      <c r="G2335" s="22">
        <f>IFERROR(__xludf.DUMMYFUNCTION("""COMPUTED_VALUE"""),123050.64668999998)</f>
        <v>123050.6467</v>
      </c>
      <c r="H2335" s="22">
        <f>IFERROR(__xludf.DUMMYFUNCTION("""COMPUTED_VALUE"""),516876.66645)</f>
        <v>516876.6665</v>
      </c>
      <c r="I2335" s="24">
        <f>IFERROR(__xludf.DUMMYFUNCTION("""COMPUTED_VALUE"""),0.03375333289999993)</f>
        <v>0.0337533329</v>
      </c>
    </row>
    <row r="2336">
      <c r="A2336" s="5" t="str">
        <f>IFERROR(__xludf.DUMMYFUNCTION("""COMPUTED_VALUE"""),"38705")</f>
        <v>38705</v>
      </c>
      <c r="B2336" s="64">
        <f>IFERROR(__xludf.DUMMYFUNCTION("""COMPUTED_VALUE"""),44650.0)</f>
        <v>44650</v>
      </c>
      <c r="C2336" s="5"/>
      <c r="D2336" s="5"/>
      <c r="E2336" s="5"/>
      <c r="F2336" s="22">
        <f>IFERROR(__xludf.DUMMYFUNCTION("""COMPUTED_VALUE"""),-123050.64668999998)</f>
        <v>-123050.6467</v>
      </c>
      <c r="G2336" s="22">
        <f>IFERROR(__xludf.DUMMYFUNCTION("""COMPUTED_VALUE"""),123050.64668999998)</f>
        <v>123050.6467</v>
      </c>
      <c r="H2336" s="22">
        <f>IFERROR(__xludf.DUMMYFUNCTION("""COMPUTED_VALUE"""),527725.0250349999)</f>
        <v>527725.025</v>
      </c>
      <c r="I2336" s="24">
        <f>IFERROR(__xludf.DUMMYFUNCTION("""COMPUTED_VALUE"""),0.05545005006999992)</f>
        <v>0.05545005007</v>
      </c>
    </row>
    <row r="2337">
      <c r="A2337" s="5" t="str">
        <f>IFERROR(__xludf.DUMMYFUNCTION("""COMPUTED_VALUE"""),"38705")</f>
        <v>38705</v>
      </c>
      <c r="B2337" s="64">
        <f>IFERROR(__xludf.DUMMYFUNCTION("""COMPUTED_VALUE"""),44651.0)</f>
        <v>44651</v>
      </c>
      <c r="C2337" s="5"/>
      <c r="D2337" s="5"/>
      <c r="E2337" s="5"/>
      <c r="F2337" s="22">
        <f>IFERROR(__xludf.DUMMYFUNCTION("""COMPUTED_VALUE"""),-123050.64668999998)</f>
        <v>-123050.6467</v>
      </c>
      <c r="G2337" s="22">
        <f>IFERROR(__xludf.DUMMYFUNCTION("""COMPUTED_VALUE"""),123050.64668999998)</f>
        <v>123050.6467</v>
      </c>
      <c r="H2337" s="22">
        <f>IFERROR(__xludf.DUMMYFUNCTION("""COMPUTED_VALUE"""),516560.94837)</f>
        <v>516560.9484</v>
      </c>
      <c r="I2337" s="24">
        <f>IFERROR(__xludf.DUMMYFUNCTION("""COMPUTED_VALUE"""),0.03312189673999999)</f>
        <v>0.03312189674</v>
      </c>
    </row>
    <row r="2338">
      <c r="A2338" s="5" t="str">
        <f>IFERROR(__xludf.DUMMYFUNCTION("""COMPUTED_VALUE"""),"38705")</f>
        <v>38705</v>
      </c>
      <c r="B2338" s="64">
        <f>IFERROR(__xludf.DUMMYFUNCTION("""COMPUTED_VALUE"""),44652.0)</f>
        <v>44652</v>
      </c>
      <c r="C2338" s="5"/>
      <c r="D2338" s="5"/>
      <c r="E2338" s="5"/>
      <c r="F2338" s="22">
        <f>IFERROR(__xludf.DUMMYFUNCTION("""COMPUTED_VALUE"""),-123050.64668999998)</f>
        <v>-123050.6467</v>
      </c>
      <c r="G2338" s="22">
        <f>IFERROR(__xludf.DUMMYFUNCTION("""COMPUTED_VALUE"""),123050.64668999998)</f>
        <v>123050.6467</v>
      </c>
      <c r="H2338" s="22">
        <f>IFERROR(__xludf.DUMMYFUNCTION("""COMPUTED_VALUE"""),504320.699685)</f>
        <v>504320.6997</v>
      </c>
      <c r="I2338" s="24">
        <f>IFERROR(__xludf.DUMMYFUNCTION("""COMPUTED_VALUE"""),0.00864139937000008)</f>
        <v>0.00864139937</v>
      </c>
    </row>
    <row r="2339">
      <c r="A2339" s="5" t="str">
        <f>IFERROR(__xludf.DUMMYFUNCTION("""COMPUTED_VALUE"""),"38705")</f>
        <v>38705</v>
      </c>
      <c r="B2339" s="64">
        <f>IFERROR(__xludf.DUMMYFUNCTION("""COMPUTED_VALUE"""),44653.0)</f>
        <v>44653</v>
      </c>
      <c r="C2339" s="5"/>
      <c r="D2339" s="5"/>
      <c r="E2339" s="5"/>
      <c r="F2339" s="22">
        <f>IFERROR(__xludf.DUMMYFUNCTION("""COMPUTED_VALUE"""),-123050.64668999998)</f>
        <v>-123050.6467</v>
      </c>
      <c r="G2339" s="22">
        <f>IFERROR(__xludf.DUMMYFUNCTION("""COMPUTED_VALUE"""),123050.64668999998)</f>
        <v>123050.6467</v>
      </c>
      <c r="H2339" s="22">
        <f>IFERROR(__xludf.DUMMYFUNCTION("""COMPUTED_VALUE"""),504320.699685)</f>
        <v>504320.6997</v>
      </c>
      <c r="I2339" s="24">
        <f>IFERROR(__xludf.DUMMYFUNCTION("""COMPUTED_VALUE"""),0.00864139937000008)</f>
        <v>0.00864139937</v>
      </c>
    </row>
    <row r="2340">
      <c r="A2340" s="5" t="str">
        <f>IFERROR(__xludf.DUMMYFUNCTION("""COMPUTED_VALUE"""),"38705")</f>
        <v>38705</v>
      </c>
      <c r="B2340" s="64">
        <f>IFERROR(__xludf.DUMMYFUNCTION("""COMPUTED_VALUE"""),44654.0)</f>
        <v>44654</v>
      </c>
      <c r="C2340" s="5"/>
      <c r="D2340" s="5"/>
      <c r="E2340" s="5"/>
      <c r="F2340" s="22">
        <f>IFERROR(__xludf.DUMMYFUNCTION("""COMPUTED_VALUE"""),-123050.64668999998)</f>
        <v>-123050.6467</v>
      </c>
      <c r="G2340" s="22">
        <f>IFERROR(__xludf.DUMMYFUNCTION("""COMPUTED_VALUE"""),123050.64668999998)</f>
        <v>123050.6467</v>
      </c>
      <c r="H2340" s="22">
        <f>IFERROR(__xludf.DUMMYFUNCTION("""COMPUTED_VALUE"""),504320.699685)</f>
        <v>504320.6997</v>
      </c>
      <c r="I2340" s="24">
        <f>IFERROR(__xludf.DUMMYFUNCTION("""COMPUTED_VALUE"""),0.00864139937000008)</f>
        <v>0.00864139937</v>
      </c>
    </row>
    <row r="2341">
      <c r="A2341" s="5" t="str">
        <f>IFERROR(__xludf.DUMMYFUNCTION("""COMPUTED_VALUE"""),"38705")</f>
        <v>38705</v>
      </c>
      <c r="B2341" s="64">
        <f>IFERROR(__xludf.DUMMYFUNCTION("""COMPUTED_VALUE"""),44655.0)</f>
        <v>44655</v>
      </c>
      <c r="C2341" s="5"/>
      <c r="D2341" s="5"/>
      <c r="E2341" s="5"/>
      <c r="F2341" s="22">
        <f>IFERROR(__xludf.DUMMYFUNCTION("""COMPUTED_VALUE"""),-123050.64668999998)</f>
        <v>-123050.6467</v>
      </c>
      <c r="G2341" s="22">
        <f>IFERROR(__xludf.DUMMYFUNCTION("""COMPUTED_VALUE"""),123050.64668999998)</f>
        <v>123050.6467</v>
      </c>
      <c r="H2341" s="22">
        <f>IFERROR(__xludf.DUMMYFUNCTION("""COMPUTED_VALUE"""),502042.38409000007)</f>
        <v>502042.3841</v>
      </c>
      <c r="I2341" s="24">
        <f>IFERROR(__xludf.DUMMYFUNCTION("""COMPUTED_VALUE"""),0.004084768180000031)</f>
        <v>0.00408476818</v>
      </c>
    </row>
    <row r="2342">
      <c r="A2342" s="5" t="str">
        <f>IFERROR(__xludf.DUMMYFUNCTION("""COMPUTED_VALUE"""),"38705")</f>
        <v>38705</v>
      </c>
      <c r="B2342" s="64">
        <f>IFERROR(__xludf.DUMMYFUNCTION("""COMPUTED_VALUE"""),44656.0)</f>
        <v>44656</v>
      </c>
      <c r="C2342" s="5"/>
      <c r="D2342" s="5"/>
      <c r="E2342" s="5"/>
      <c r="F2342" s="22">
        <f>IFERROR(__xludf.DUMMYFUNCTION("""COMPUTED_VALUE"""),-123050.64668999998)</f>
        <v>-123050.6467</v>
      </c>
      <c r="G2342" s="22">
        <f>IFERROR(__xludf.DUMMYFUNCTION("""COMPUTED_VALUE"""),123050.64668999998)</f>
        <v>123050.6467</v>
      </c>
      <c r="H2342" s="22">
        <f>IFERROR(__xludf.DUMMYFUNCTION("""COMPUTED_VALUE"""),497358.60271500004)</f>
        <v>497358.6027</v>
      </c>
      <c r="I2342" s="24">
        <f>IFERROR(__xludf.DUMMYFUNCTION("""COMPUTED_VALUE"""),-0.005282794569999916)</f>
        <v>-0.00528279457</v>
      </c>
    </row>
    <row r="2343">
      <c r="A2343" s="5" t="str">
        <f>IFERROR(__xludf.DUMMYFUNCTION("""COMPUTED_VALUE"""),"38705")</f>
        <v>38705</v>
      </c>
      <c r="B2343" s="64">
        <f>IFERROR(__xludf.DUMMYFUNCTION("""COMPUTED_VALUE"""),44657.0)</f>
        <v>44657</v>
      </c>
      <c r="C2343" s="5"/>
      <c r="D2343" s="5"/>
      <c r="E2343" s="5"/>
      <c r="F2343" s="22">
        <f>IFERROR(__xludf.DUMMYFUNCTION("""COMPUTED_VALUE"""),-123050.64668999998)</f>
        <v>-123050.6467</v>
      </c>
      <c r="G2343" s="22">
        <f>IFERROR(__xludf.DUMMYFUNCTION("""COMPUTED_VALUE"""),123050.64668999998)</f>
        <v>123050.6467</v>
      </c>
      <c r="H2343" s="22">
        <f>IFERROR(__xludf.DUMMYFUNCTION("""COMPUTED_VALUE"""),489826.38724000007)</f>
        <v>489826.3872</v>
      </c>
      <c r="I2343" s="24">
        <f>IFERROR(__xludf.DUMMYFUNCTION("""COMPUTED_VALUE"""),-0.0203472255199999)</f>
        <v>-0.02034722552</v>
      </c>
    </row>
    <row r="2344">
      <c r="A2344" s="5" t="str">
        <f>IFERROR(__xludf.DUMMYFUNCTION("""COMPUTED_VALUE"""),"38705")</f>
        <v>38705</v>
      </c>
      <c r="B2344" s="64">
        <f>IFERROR(__xludf.DUMMYFUNCTION("""COMPUTED_VALUE"""),44658.0)</f>
        <v>44658</v>
      </c>
      <c r="C2344" s="5"/>
      <c r="D2344" s="5"/>
      <c r="E2344" s="5"/>
      <c r="F2344" s="22">
        <f>IFERROR(__xludf.DUMMYFUNCTION("""COMPUTED_VALUE"""),-123050.64668999998)</f>
        <v>-123050.6467</v>
      </c>
      <c r="G2344" s="22">
        <f>IFERROR(__xludf.DUMMYFUNCTION("""COMPUTED_VALUE"""),123050.64668999998)</f>
        <v>123050.6467</v>
      </c>
      <c r="H2344" s="22">
        <f>IFERROR(__xludf.DUMMYFUNCTION("""COMPUTED_VALUE"""),492437.09118750005)</f>
        <v>492437.0912</v>
      </c>
      <c r="I2344" s="24">
        <f>IFERROR(__xludf.DUMMYFUNCTION("""COMPUTED_VALUE"""),-0.015125817624999871)</f>
        <v>-0.01512581762</v>
      </c>
    </row>
    <row r="2345">
      <c r="A2345" s="5" t="str">
        <f>IFERROR(__xludf.DUMMYFUNCTION("""COMPUTED_VALUE"""),"38705")</f>
        <v>38705</v>
      </c>
      <c r="B2345" s="64">
        <f>IFERROR(__xludf.DUMMYFUNCTION("""COMPUTED_VALUE"""),44659.0)</f>
        <v>44659</v>
      </c>
      <c r="C2345" s="5"/>
      <c r="D2345" s="5"/>
      <c r="E2345" s="5"/>
      <c r="F2345" s="22">
        <f>IFERROR(__xludf.DUMMYFUNCTION("""COMPUTED_VALUE"""),-123050.64668999998)</f>
        <v>-123050.6467</v>
      </c>
      <c r="G2345" s="22">
        <f>IFERROR(__xludf.DUMMYFUNCTION("""COMPUTED_VALUE"""),123050.64668999998)</f>
        <v>123050.6467</v>
      </c>
      <c r="H2345" s="22">
        <f>IFERROR(__xludf.DUMMYFUNCTION("""COMPUTED_VALUE"""),491769.4648825001)</f>
        <v>491769.4649</v>
      </c>
      <c r="I2345" s="24">
        <f>IFERROR(__xludf.DUMMYFUNCTION("""COMPUTED_VALUE"""),-0.016461070234999764)</f>
        <v>-0.01646107023</v>
      </c>
    </row>
    <row r="2346">
      <c r="A2346" s="5" t="str">
        <f>IFERROR(__xludf.DUMMYFUNCTION("""COMPUTED_VALUE"""),"38705")</f>
        <v>38705</v>
      </c>
      <c r="B2346" s="64">
        <f>IFERROR(__xludf.DUMMYFUNCTION("""COMPUTED_VALUE"""),44660.0)</f>
        <v>44660</v>
      </c>
      <c r="C2346" s="5"/>
      <c r="D2346" s="5"/>
      <c r="E2346" s="5"/>
      <c r="F2346" s="22">
        <f>IFERROR(__xludf.DUMMYFUNCTION("""COMPUTED_VALUE"""),-123050.64668999998)</f>
        <v>-123050.6467</v>
      </c>
      <c r="G2346" s="22">
        <f>IFERROR(__xludf.DUMMYFUNCTION("""COMPUTED_VALUE"""),123050.64668999998)</f>
        <v>123050.6467</v>
      </c>
      <c r="H2346" s="22">
        <f>IFERROR(__xludf.DUMMYFUNCTION("""COMPUTED_VALUE"""),491769.4648825001)</f>
        <v>491769.4649</v>
      </c>
      <c r="I2346" s="24">
        <f>IFERROR(__xludf.DUMMYFUNCTION("""COMPUTED_VALUE"""),-0.016461070234999764)</f>
        <v>-0.01646107023</v>
      </c>
    </row>
    <row r="2347">
      <c r="A2347" s="5" t="str">
        <f>IFERROR(__xludf.DUMMYFUNCTION("""COMPUTED_VALUE"""),"38705")</f>
        <v>38705</v>
      </c>
      <c r="B2347" s="64">
        <f>IFERROR(__xludf.DUMMYFUNCTION("""COMPUTED_VALUE"""),44661.0)</f>
        <v>44661</v>
      </c>
      <c r="C2347" s="5"/>
      <c r="D2347" s="5"/>
      <c r="E2347" s="5"/>
      <c r="F2347" s="22">
        <f>IFERROR(__xludf.DUMMYFUNCTION("""COMPUTED_VALUE"""),-123050.64668999998)</f>
        <v>-123050.6467</v>
      </c>
      <c r="G2347" s="22">
        <f>IFERROR(__xludf.DUMMYFUNCTION("""COMPUTED_VALUE"""),123050.64668999998)</f>
        <v>123050.6467</v>
      </c>
      <c r="H2347" s="22">
        <f>IFERROR(__xludf.DUMMYFUNCTION("""COMPUTED_VALUE"""),491769.4648825001)</f>
        <v>491769.4649</v>
      </c>
      <c r="I2347" s="24">
        <f>IFERROR(__xludf.DUMMYFUNCTION("""COMPUTED_VALUE"""),-0.016461070234999764)</f>
        <v>-0.01646107023</v>
      </c>
    </row>
    <row r="2348">
      <c r="A2348" s="5" t="str">
        <f>IFERROR(__xludf.DUMMYFUNCTION("""COMPUTED_VALUE"""),"38705")</f>
        <v>38705</v>
      </c>
      <c r="B2348" s="64">
        <f>IFERROR(__xludf.DUMMYFUNCTION("""COMPUTED_VALUE"""),44662.0)</f>
        <v>44662</v>
      </c>
      <c r="C2348" s="5"/>
      <c r="D2348" s="5"/>
      <c r="E2348" s="5"/>
      <c r="F2348" s="22">
        <f>IFERROR(__xludf.DUMMYFUNCTION("""COMPUTED_VALUE"""),-123050.64668999998)</f>
        <v>-123050.6467</v>
      </c>
      <c r="G2348" s="22">
        <f>IFERROR(__xludf.DUMMYFUNCTION("""COMPUTED_VALUE"""),123050.64668999998)</f>
        <v>123050.6467</v>
      </c>
      <c r="H2348" s="22">
        <f>IFERROR(__xludf.DUMMYFUNCTION("""COMPUTED_VALUE"""),490899.78804250003)</f>
        <v>490899.788</v>
      </c>
      <c r="I2348" s="24">
        <f>IFERROR(__xludf.DUMMYFUNCTION("""COMPUTED_VALUE"""),-0.018200423914999986)</f>
        <v>-0.01820042392</v>
      </c>
    </row>
    <row r="2349">
      <c r="A2349" s="5" t="str">
        <f>IFERROR(__xludf.DUMMYFUNCTION("""COMPUTED_VALUE"""),"38705")</f>
        <v>38705</v>
      </c>
      <c r="B2349" s="64">
        <f>IFERROR(__xludf.DUMMYFUNCTION("""COMPUTED_VALUE"""),44663.0)</f>
        <v>44663</v>
      </c>
      <c r="C2349" s="5"/>
      <c r="D2349" s="5"/>
      <c r="E2349" s="5"/>
      <c r="F2349" s="22">
        <f>IFERROR(__xludf.DUMMYFUNCTION("""COMPUTED_VALUE"""),-123050.64668999998)</f>
        <v>-123050.6467</v>
      </c>
      <c r="G2349" s="22">
        <f>IFERROR(__xludf.DUMMYFUNCTION("""COMPUTED_VALUE"""),123050.64668999998)</f>
        <v>123050.6467</v>
      </c>
      <c r="H2349" s="22">
        <f>IFERROR(__xludf.DUMMYFUNCTION("""COMPUTED_VALUE"""),492672.20156)</f>
        <v>492672.2016</v>
      </c>
      <c r="I2349" s="24">
        <f>IFERROR(__xludf.DUMMYFUNCTION("""COMPUTED_VALUE"""),-0.014655596879999955)</f>
        <v>-0.01465559688</v>
      </c>
    </row>
    <row r="2350">
      <c r="A2350" s="5" t="str">
        <f>IFERROR(__xludf.DUMMYFUNCTION("""COMPUTED_VALUE"""),"38758")</f>
        <v>38758</v>
      </c>
      <c r="B2350" s="64">
        <f>IFERROR(__xludf.DUMMYFUNCTION("""COMPUTED_VALUE"""),44597.0)</f>
        <v>44597</v>
      </c>
      <c r="C2350" s="5"/>
      <c r="D2350" s="5"/>
      <c r="E2350" s="5"/>
      <c r="F2350" s="22">
        <f>IFERROR(__xludf.DUMMYFUNCTION("""COMPUTED_VALUE"""),500000.0)</f>
        <v>500000</v>
      </c>
      <c r="G2350" s="22">
        <f>IFERROR(__xludf.DUMMYFUNCTION("""COMPUTED_VALUE"""),0.0)</f>
        <v>0</v>
      </c>
      <c r="H2350" s="22">
        <f>IFERROR(__xludf.DUMMYFUNCTION("""COMPUTED_VALUE"""),500000.0)</f>
        <v>500000</v>
      </c>
      <c r="I2350" s="24">
        <f>IFERROR(__xludf.DUMMYFUNCTION("""COMPUTED_VALUE"""),0.0)</f>
        <v>0</v>
      </c>
    </row>
    <row r="2351">
      <c r="A2351" s="5" t="str">
        <f>IFERROR(__xludf.DUMMYFUNCTION("""COMPUTED_VALUE"""),"38758")</f>
        <v>38758</v>
      </c>
      <c r="B2351" s="64">
        <f>IFERROR(__xludf.DUMMYFUNCTION("""COMPUTED_VALUE"""),44598.0)</f>
        <v>44598</v>
      </c>
      <c r="C2351" s="5"/>
      <c r="D2351" s="5"/>
      <c r="E2351" s="5"/>
      <c r="F2351" s="22">
        <f>IFERROR(__xludf.DUMMYFUNCTION("""COMPUTED_VALUE"""),500000.0)</f>
        <v>500000</v>
      </c>
      <c r="G2351" s="22">
        <f>IFERROR(__xludf.DUMMYFUNCTION("""COMPUTED_VALUE"""),0.0)</f>
        <v>0</v>
      </c>
      <c r="H2351" s="22">
        <f>IFERROR(__xludf.DUMMYFUNCTION("""COMPUTED_VALUE"""),500000.0)</f>
        <v>500000</v>
      </c>
      <c r="I2351" s="24">
        <f>IFERROR(__xludf.DUMMYFUNCTION("""COMPUTED_VALUE"""),0.0)</f>
        <v>0</v>
      </c>
    </row>
    <row r="2352">
      <c r="A2352" s="5" t="str">
        <f>IFERROR(__xludf.DUMMYFUNCTION("""COMPUTED_VALUE"""),"38758")</f>
        <v>38758</v>
      </c>
      <c r="B2352" s="64">
        <f>IFERROR(__xludf.DUMMYFUNCTION("""COMPUTED_VALUE"""),44599.0)</f>
        <v>44599</v>
      </c>
      <c r="C2352" s="5"/>
      <c r="D2352" s="5"/>
      <c r="E2352" s="5"/>
      <c r="F2352" s="22">
        <f>IFERROR(__xludf.DUMMYFUNCTION("""COMPUTED_VALUE"""),500000.0)</f>
        <v>500000</v>
      </c>
      <c r="G2352" s="22">
        <f>IFERROR(__xludf.DUMMYFUNCTION("""COMPUTED_VALUE"""),0.0)</f>
        <v>0</v>
      </c>
      <c r="H2352" s="22">
        <f>IFERROR(__xludf.DUMMYFUNCTION("""COMPUTED_VALUE"""),500000.0)</f>
        <v>500000</v>
      </c>
      <c r="I2352" s="24">
        <f>IFERROR(__xludf.DUMMYFUNCTION("""COMPUTED_VALUE"""),0.0)</f>
        <v>0</v>
      </c>
    </row>
    <row r="2353">
      <c r="A2353" s="5" t="str">
        <f>IFERROR(__xludf.DUMMYFUNCTION("""COMPUTED_VALUE"""),"38758")</f>
        <v>38758</v>
      </c>
      <c r="B2353" s="64">
        <f>IFERROR(__xludf.DUMMYFUNCTION("""COMPUTED_VALUE"""),44600.0)</f>
        <v>44600</v>
      </c>
      <c r="C2353" s="5"/>
      <c r="D2353" s="5"/>
      <c r="E2353" s="5"/>
      <c r="F2353" s="22">
        <f>IFERROR(__xludf.DUMMYFUNCTION("""COMPUTED_VALUE"""),500000.0)</f>
        <v>500000</v>
      </c>
      <c r="G2353" s="22">
        <f>IFERROR(__xludf.DUMMYFUNCTION("""COMPUTED_VALUE"""),0.0)</f>
        <v>0</v>
      </c>
      <c r="H2353" s="22">
        <f>IFERROR(__xludf.DUMMYFUNCTION("""COMPUTED_VALUE"""),500000.0)</f>
        <v>500000</v>
      </c>
      <c r="I2353" s="24">
        <f>IFERROR(__xludf.DUMMYFUNCTION("""COMPUTED_VALUE"""),0.0)</f>
        <v>0</v>
      </c>
    </row>
    <row r="2354">
      <c r="A2354" s="5" t="str">
        <f>IFERROR(__xludf.DUMMYFUNCTION("""COMPUTED_VALUE"""),"38758")</f>
        <v>38758</v>
      </c>
      <c r="B2354" s="64">
        <f>IFERROR(__xludf.DUMMYFUNCTION("""COMPUTED_VALUE"""),44601.0)</f>
        <v>44601</v>
      </c>
      <c r="C2354" s="5"/>
      <c r="D2354" s="5"/>
      <c r="E2354" s="5"/>
      <c r="F2354" s="22">
        <f>IFERROR(__xludf.DUMMYFUNCTION("""COMPUTED_VALUE"""),500000.0)</f>
        <v>500000</v>
      </c>
      <c r="G2354" s="22">
        <f>IFERROR(__xludf.DUMMYFUNCTION("""COMPUTED_VALUE"""),0.0)</f>
        <v>0</v>
      </c>
      <c r="H2354" s="22">
        <f>IFERROR(__xludf.DUMMYFUNCTION("""COMPUTED_VALUE"""),500000.0)</f>
        <v>500000</v>
      </c>
      <c r="I2354" s="24">
        <f>IFERROR(__xludf.DUMMYFUNCTION("""COMPUTED_VALUE"""),0.0)</f>
        <v>0</v>
      </c>
    </row>
    <row r="2355">
      <c r="A2355" s="5" t="str">
        <f>IFERROR(__xludf.DUMMYFUNCTION("""COMPUTED_VALUE"""),"38758")</f>
        <v>38758</v>
      </c>
      <c r="B2355" s="64">
        <f>IFERROR(__xludf.DUMMYFUNCTION("""COMPUTED_VALUE"""),44602.0)</f>
        <v>44602</v>
      </c>
      <c r="C2355" s="5"/>
      <c r="D2355" s="5"/>
      <c r="E2355" s="5"/>
      <c r="F2355" s="22">
        <f>IFERROR(__xludf.DUMMYFUNCTION("""COMPUTED_VALUE"""),500000.0)</f>
        <v>500000</v>
      </c>
      <c r="G2355" s="22">
        <f>IFERROR(__xludf.DUMMYFUNCTION("""COMPUTED_VALUE"""),0.0)</f>
        <v>0</v>
      </c>
      <c r="H2355" s="22">
        <f>IFERROR(__xludf.DUMMYFUNCTION("""COMPUTED_VALUE"""),500000.0)</f>
        <v>500000</v>
      </c>
      <c r="I2355" s="24">
        <f>IFERROR(__xludf.DUMMYFUNCTION("""COMPUTED_VALUE"""),0.0)</f>
        <v>0</v>
      </c>
    </row>
    <row r="2356">
      <c r="A2356" s="5" t="str">
        <f>IFERROR(__xludf.DUMMYFUNCTION("""COMPUTED_VALUE"""),"38758")</f>
        <v>38758</v>
      </c>
      <c r="B2356" s="64">
        <f>IFERROR(__xludf.DUMMYFUNCTION("""COMPUTED_VALUE"""),44603.0)</f>
        <v>44603</v>
      </c>
      <c r="C2356" s="5"/>
      <c r="D2356" s="5"/>
      <c r="E2356" s="5"/>
      <c r="F2356" s="22">
        <f>IFERROR(__xludf.DUMMYFUNCTION("""COMPUTED_VALUE"""),500000.0)</f>
        <v>500000</v>
      </c>
      <c r="G2356" s="22">
        <f>IFERROR(__xludf.DUMMYFUNCTION("""COMPUTED_VALUE"""),0.0)</f>
        <v>0</v>
      </c>
      <c r="H2356" s="22">
        <f>IFERROR(__xludf.DUMMYFUNCTION("""COMPUTED_VALUE"""),500000.0)</f>
        <v>500000</v>
      </c>
      <c r="I2356" s="24">
        <f>IFERROR(__xludf.DUMMYFUNCTION("""COMPUTED_VALUE"""),0.0)</f>
        <v>0</v>
      </c>
    </row>
    <row r="2357">
      <c r="A2357" s="5" t="str">
        <f>IFERROR(__xludf.DUMMYFUNCTION("""COMPUTED_VALUE"""),"38758")</f>
        <v>38758</v>
      </c>
      <c r="B2357" s="64">
        <f>IFERROR(__xludf.DUMMYFUNCTION("""COMPUTED_VALUE"""),44604.0)</f>
        <v>44604</v>
      </c>
      <c r="C2357" s="5"/>
      <c r="D2357" s="5"/>
      <c r="E2357" s="5"/>
      <c r="F2357" s="22">
        <f>IFERROR(__xludf.DUMMYFUNCTION("""COMPUTED_VALUE"""),500000.0)</f>
        <v>500000</v>
      </c>
      <c r="G2357" s="22">
        <f>IFERROR(__xludf.DUMMYFUNCTION("""COMPUTED_VALUE"""),0.0)</f>
        <v>0</v>
      </c>
      <c r="H2357" s="22">
        <f>IFERROR(__xludf.DUMMYFUNCTION("""COMPUTED_VALUE"""),500000.0)</f>
        <v>500000</v>
      </c>
      <c r="I2357" s="24">
        <f>IFERROR(__xludf.DUMMYFUNCTION("""COMPUTED_VALUE"""),0.0)</f>
        <v>0</v>
      </c>
    </row>
    <row r="2358">
      <c r="A2358" s="5" t="str">
        <f>IFERROR(__xludf.DUMMYFUNCTION("""COMPUTED_VALUE"""),"38758")</f>
        <v>38758</v>
      </c>
      <c r="B2358" s="64">
        <f>IFERROR(__xludf.DUMMYFUNCTION("""COMPUTED_VALUE"""),44605.0)</f>
        <v>44605</v>
      </c>
      <c r="C2358" s="5"/>
      <c r="D2358" s="5"/>
      <c r="E2358" s="5"/>
      <c r="F2358" s="22">
        <f>IFERROR(__xludf.DUMMYFUNCTION("""COMPUTED_VALUE"""),500000.0)</f>
        <v>500000</v>
      </c>
      <c r="G2358" s="22">
        <f>IFERROR(__xludf.DUMMYFUNCTION("""COMPUTED_VALUE"""),0.0)</f>
        <v>0</v>
      </c>
      <c r="H2358" s="22">
        <f>IFERROR(__xludf.DUMMYFUNCTION("""COMPUTED_VALUE"""),500000.0)</f>
        <v>500000</v>
      </c>
      <c r="I2358" s="24">
        <f>IFERROR(__xludf.DUMMYFUNCTION("""COMPUTED_VALUE"""),0.0)</f>
        <v>0</v>
      </c>
    </row>
    <row r="2359">
      <c r="A2359" s="5" t="str">
        <f>IFERROR(__xludf.DUMMYFUNCTION("""COMPUTED_VALUE"""),"38758")</f>
        <v>38758</v>
      </c>
      <c r="B2359" s="64">
        <f>IFERROR(__xludf.DUMMYFUNCTION("""COMPUTED_VALUE"""),44606.0)</f>
        <v>44606</v>
      </c>
      <c r="C2359" s="5"/>
      <c r="D2359" s="5"/>
      <c r="E2359" s="5"/>
      <c r="F2359" s="22">
        <f>IFERROR(__xludf.DUMMYFUNCTION("""COMPUTED_VALUE"""),500000.0)</f>
        <v>500000</v>
      </c>
      <c r="G2359" s="22">
        <f>IFERROR(__xludf.DUMMYFUNCTION("""COMPUTED_VALUE"""),0.0)</f>
        <v>0</v>
      </c>
      <c r="H2359" s="22">
        <f>IFERROR(__xludf.DUMMYFUNCTION("""COMPUTED_VALUE"""),500000.0)</f>
        <v>500000</v>
      </c>
      <c r="I2359" s="24">
        <f>IFERROR(__xludf.DUMMYFUNCTION("""COMPUTED_VALUE"""),0.0)</f>
        <v>0</v>
      </c>
    </row>
    <row r="2360">
      <c r="A2360" s="5" t="str">
        <f>IFERROR(__xludf.DUMMYFUNCTION("""COMPUTED_VALUE"""),"38758")</f>
        <v>38758</v>
      </c>
      <c r="B2360" s="64">
        <f>IFERROR(__xludf.DUMMYFUNCTION("""COMPUTED_VALUE"""),44607.0)</f>
        <v>44607</v>
      </c>
      <c r="C2360" s="5"/>
      <c r="D2360" s="5"/>
      <c r="E2360" s="5"/>
      <c r="F2360" s="22">
        <f>IFERROR(__xludf.DUMMYFUNCTION("""COMPUTED_VALUE"""),500000.0)</f>
        <v>500000</v>
      </c>
      <c r="G2360" s="22">
        <f>IFERROR(__xludf.DUMMYFUNCTION("""COMPUTED_VALUE"""),0.0)</f>
        <v>0</v>
      </c>
      <c r="H2360" s="22">
        <f>IFERROR(__xludf.DUMMYFUNCTION("""COMPUTED_VALUE"""),500000.0)</f>
        <v>500000</v>
      </c>
      <c r="I2360" s="24">
        <f>IFERROR(__xludf.DUMMYFUNCTION("""COMPUTED_VALUE"""),0.0)</f>
        <v>0</v>
      </c>
    </row>
    <row r="2361">
      <c r="A2361" s="5" t="str">
        <f>IFERROR(__xludf.DUMMYFUNCTION("""COMPUTED_VALUE"""),"38758")</f>
        <v>38758</v>
      </c>
      <c r="B2361" s="64">
        <f>IFERROR(__xludf.DUMMYFUNCTION("""COMPUTED_VALUE"""),44608.0)</f>
        <v>44608</v>
      </c>
      <c r="C2361" s="5"/>
      <c r="D2361" s="5"/>
      <c r="E2361" s="5"/>
      <c r="F2361" s="22">
        <f>IFERROR(__xludf.DUMMYFUNCTION("""COMPUTED_VALUE"""),500000.0)</f>
        <v>500000</v>
      </c>
      <c r="G2361" s="22">
        <f>IFERROR(__xludf.DUMMYFUNCTION("""COMPUTED_VALUE"""),0.0)</f>
        <v>0</v>
      </c>
      <c r="H2361" s="22">
        <f>IFERROR(__xludf.DUMMYFUNCTION("""COMPUTED_VALUE"""),500000.0)</f>
        <v>500000</v>
      </c>
      <c r="I2361" s="24">
        <f>IFERROR(__xludf.DUMMYFUNCTION("""COMPUTED_VALUE"""),0.0)</f>
        <v>0</v>
      </c>
    </row>
    <row r="2362">
      <c r="A2362" s="5" t="str">
        <f>IFERROR(__xludf.DUMMYFUNCTION("""COMPUTED_VALUE"""),"38758")</f>
        <v>38758</v>
      </c>
      <c r="B2362" s="64">
        <f>IFERROR(__xludf.DUMMYFUNCTION("""COMPUTED_VALUE"""),44609.0)</f>
        <v>44609</v>
      </c>
      <c r="C2362" s="5"/>
      <c r="D2362" s="5"/>
      <c r="E2362" s="5"/>
      <c r="F2362" s="22">
        <f>IFERROR(__xludf.DUMMYFUNCTION("""COMPUTED_VALUE"""),500000.0)</f>
        <v>500000</v>
      </c>
      <c r="G2362" s="22">
        <f>IFERROR(__xludf.DUMMYFUNCTION("""COMPUTED_VALUE"""),0.0)</f>
        <v>0</v>
      </c>
      <c r="H2362" s="22">
        <f>IFERROR(__xludf.DUMMYFUNCTION("""COMPUTED_VALUE"""),500000.0)</f>
        <v>500000</v>
      </c>
      <c r="I2362" s="24">
        <f>IFERROR(__xludf.DUMMYFUNCTION("""COMPUTED_VALUE"""),0.0)</f>
        <v>0</v>
      </c>
    </row>
    <row r="2363">
      <c r="A2363" s="5" t="str">
        <f>IFERROR(__xludf.DUMMYFUNCTION("""COMPUTED_VALUE"""),"38758")</f>
        <v>38758</v>
      </c>
      <c r="B2363" s="64">
        <f>IFERROR(__xludf.DUMMYFUNCTION("""COMPUTED_VALUE"""),44610.0)</f>
        <v>44610</v>
      </c>
      <c r="C2363" s="5"/>
      <c r="D2363" s="5"/>
      <c r="E2363" s="5"/>
      <c r="F2363" s="22">
        <f>IFERROR(__xludf.DUMMYFUNCTION("""COMPUTED_VALUE"""),500000.0)</f>
        <v>500000</v>
      </c>
      <c r="G2363" s="22">
        <f>IFERROR(__xludf.DUMMYFUNCTION("""COMPUTED_VALUE"""),0.0)</f>
        <v>0</v>
      </c>
      <c r="H2363" s="22">
        <f>IFERROR(__xludf.DUMMYFUNCTION("""COMPUTED_VALUE"""),500000.0)</f>
        <v>500000</v>
      </c>
      <c r="I2363" s="24">
        <f>IFERROR(__xludf.DUMMYFUNCTION("""COMPUTED_VALUE"""),0.0)</f>
        <v>0</v>
      </c>
    </row>
    <row r="2364">
      <c r="A2364" s="5" t="str">
        <f>IFERROR(__xludf.DUMMYFUNCTION("""COMPUTED_VALUE"""),"38758")</f>
        <v>38758</v>
      </c>
      <c r="B2364" s="64">
        <f>IFERROR(__xludf.DUMMYFUNCTION("""COMPUTED_VALUE"""),44611.0)</f>
        <v>44611</v>
      </c>
      <c r="C2364" s="5"/>
      <c r="D2364" s="5"/>
      <c r="E2364" s="5"/>
      <c r="F2364" s="22">
        <f>IFERROR(__xludf.DUMMYFUNCTION("""COMPUTED_VALUE"""),500000.0)</f>
        <v>500000</v>
      </c>
      <c r="G2364" s="22">
        <f>IFERROR(__xludf.DUMMYFUNCTION("""COMPUTED_VALUE"""),0.0)</f>
        <v>0</v>
      </c>
      <c r="H2364" s="22">
        <f>IFERROR(__xludf.DUMMYFUNCTION("""COMPUTED_VALUE"""),500000.0)</f>
        <v>500000</v>
      </c>
      <c r="I2364" s="24">
        <f>IFERROR(__xludf.DUMMYFUNCTION("""COMPUTED_VALUE"""),0.0)</f>
        <v>0</v>
      </c>
    </row>
    <row r="2365">
      <c r="A2365" s="5" t="str">
        <f>IFERROR(__xludf.DUMMYFUNCTION("""COMPUTED_VALUE"""),"38758")</f>
        <v>38758</v>
      </c>
      <c r="B2365" s="64">
        <f>IFERROR(__xludf.DUMMYFUNCTION("""COMPUTED_VALUE"""),44612.0)</f>
        <v>44612</v>
      </c>
      <c r="C2365" s="5"/>
      <c r="D2365" s="5"/>
      <c r="E2365" s="5"/>
      <c r="F2365" s="22">
        <f>IFERROR(__xludf.DUMMYFUNCTION("""COMPUTED_VALUE"""),500000.0)</f>
        <v>500000</v>
      </c>
      <c r="G2365" s="22">
        <f>IFERROR(__xludf.DUMMYFUNCTION("""COMPUTED_VALUE"""),0.0)</f>
        <v>0</v>
      </c>
      <c r="H2365" s="22">
        <f>IFERROR(__xludf.DUMMYFUNCTION("""COMPUTED_VALUE"""),500000.0)</f>
        <v>500000</v>
      </c>
      <c r="I2365" s="24">
        <f>IFERROR(__xludf.DUMMYFUNCTION("""COMPUTED_VALUE"""),0.0)</f>
        <v>0</v>
      </c>
    </row>
    <row r="2366">
      <c r="A2366" s="5" t="str">
        <f>IFERROR(__xludf.DUMMYFUNCTION("""COMPUTED_VALUE"""),"38758")</f>
        <v>38758</v>
      </c>
      <c r="B2366" s="64">
        <f>IFERROR(__xludf.DUMMYFUNCTION("""COMPUTED_VALUE"""),44613.0)</f>
        <v>44613</v>
      </c>
      <c r="C2366" s="5"/>
      <c r="D2366" s="5"/>
      <c r="E2366" s="5"/>
      <c r="F2366" s="22">
        <f>IFERROR(__xludf.DUMMYFUNCTION("""COMPUTED_VALUE"""),500000.0)</f>
        <v>500000</v>
      </c>
      <c r="G2366" s="22">
        <f>IFERROR(__xludf.DUMMYFUNCTION("""COMPUTED_VALUE"""),0.0)</f>
        <v>0</v>
      </c>
      <c r="H2366" s="22">
        <f>IFERROR(__xludf.DUMMYFUNCTION("""COMPUTED_VALUE"""),500000.0)</f>
        <v>500000</v>
      </c>
      <c r="I2366" s="24">
        <f>IFERROR(__xludf.DUMMYFUNCTION("""COMPUTED_VALUE"""),0.0)</f>
        <v>0</v>
      </c>
    </row>
    <row r="2367">
      <c r="A2367" s="5" t="str">
        <f>IFERROR(__xludf.DUMMYFUNCTION("""COMPUTED_VALUE"""),"38758")</f>
        <v>38758</v>
      </c>
      <c r="B2367" s="64">
        <f>IFERROR(__xludf.DUMMYFUNCTION("""COMPUTED_VALUE"""),44614.0)</f>
        <v>44614</v>
      </c>
      <c r="C2367" s="5"/>
      <c r="D2367" s="5"/>
      <c r="E2367" s="5"/>
      <c r="F2367" s="22">
        <f>IFERROR(__xludf.DUMMYFUNCTION("""COMPUTED_VALUE"""),500000.0)</f>
        <v>500000</v>
      </c>
      <c r="G2367" s="22">
        <f>IFERROR(__xludf.DUMMYFUNCTION("""COMPUTED_VALUE"""),0.0)</f>
        <v>0</v>
      </c>
      <c r="H2367" s="22">
        <f>IFERROR(__xludf.DUMMYFUNCTION("""COMPUTED_VALUE"""),500000.0)</f>
        <v>500000</v>
      </c>
      <c r="I2367" s="24">
        <f>IFERROR(__xludf.DUMMYFUNCTION("""COMPUTED_VALUE"""),0.0)</f>
        <v>0</v>
      </c>
    </row>
    <row r="2368">
      <c r="A2368" s="5" t="str">
        <f>IFERROR(__xludf.DUMMYFUNCTION("""COMPUTED_VALUE"""),"38758")</f>
        <v>38758</v>
      </c>
      <c r="B2368" s="64">
        <f>IFERROR(__xludf.DUMMYFUNCTION("""COMPUTED_VALUE"""),44615.0)</f>
        <v>44615</v>
      </c>
      <c r="C2368" s="5"/>
      <c r="D2368" s="5"/>
      <c r="E2368" s="5"/>
      <c r="F2368" s="22">
        <f>IFERROR(__xludf.DUMMYFUNCTION("""COMPUTED_VALUE"""),500000.0)</f>
        <v>500000</v>
      </c>
      <c r="G2368" s="22">
        <f>IFERROR(__xludf.DUMMYFUNCTION("""COMPUTED_VALUE"""),0.0)</f>
        <v>0</v>
      </c>
      <c r="H2368" s="22">
        <f>IFERROR(__xludf.DUMMYFUNCTION("""COMPUTED_VALUE"""),500000.0)</f>
        <v>500000</v>
      </c>
      <c r="I2368" s="24">
        <f>IFERROR(__xludf.DUMMYFUNCTION("""COMPUTED_VALUE"""),0.0)</f>
        <v>0</v>
      </c>
    </row>
    <row r="2369">
      <c r="A2369" s="5" t="str">
        <f>IFERROR(__xludf.DUMMYFUNCTION("""COMPUTED_VALUE"""),"38758")</f>
        <v>38758</v>
      </c>
      <c r="B2369" s="64">
        <f>IFERROR(__xludf.DUMMYFUNCTION("""COMPUTED_VALUE"""),44616.0)</f>
        <v>44616</v>
      </c>
      <c r="C2369" s="5"/>
      <c r="D2369" s="5"/>
      <c r="E2369" s="5"/>
      <c r="F2369" s="22">
        <f>IFERROR(__xludf.DUMMYFUNCTION("""COMPUTED_VALUE"""),500000.0)</f>
        <v>500000</v>
      </c>
      <c r="G2369" s="22">
        <f>IFERROR(__xludf.DUMMYFUNCTION("""COMPUTED_VALUE"""),0.0)</f>
        <v>0</v>
      </c>
      <c r="H2369" s="22">
        <f>IFERROR(__xludf.DUMMYFUNCTION("""COMPUTED_VALUE"""),500000.0)</f>
        <v>500000</v>
      </c>
      <c r="I2369" s="24">
        <f>IFERROR(__xludf.DUMMYFUNCTION("""COMPUTED_VALUE"""),0.0)</f>
        <v>0</v>
      </c>
    </row>
    <row r="2370">
      <c r="A2370" s="5" t="str">
        <f>IFERROR(__xludf.DUMMYFUNCTION("""COMPUTED_VALUE"""),"38758")</f>
        <v>38758</v>
      </c>
      <c r="B2370" s="64">
        <f>IFERROR(__xludf.DUMMYFUNCTION("""COMPUTED_VALUE"""),44617.0)</f>
        <v>44617</v>
      </c>
      <c r="C2370" s="5"/>
      <c r="D2370" s="5"/>
      <c r="E2370" s="5"/>
      <c r="F2370" s="22">
        <f>IFERROR(__xludf.DUMMYFUNCTION("""COMPUTED_VALUE"""),500000.0)</f>
        <v>500000</v>
      </c>
      <c r="G2370" s="22">
        <f>IFERROR(__xludf.DUMMYFUNCTION("""COMPUTED_VALUE"""),0.0)</f>
        <v>0</v>
      </c>
      <c r="H2370" s="22">
        <f>IFERROR(__xludf.DUMMYFUNCTION("""COMPUTED_VALUE"""),500000.0)</f>
        <v>500000</v>
      </c>
      <c r="I2370" s="24">
        <f>IFERROR(__xludf.DUMMYFUNCTION("""COMPUTED_VALUE"""),0.0)</f>
        <v>0</v>
      </c>
    </row>
    <row r="2371">
      <c r="A2371" s="5" t="str">
        <f>IFERROR(__xludf.DUMMYFUNCTION("""COMPUTED_VALUE"""),"38758")</f>
        <v>38758</v>
      </c>
      <c r="B2371" s="64">
        <f>IFERROR(__xludf.DUMMYFUNCTION("""COMPUTED_VALUE"""),44618.0)</f>
        <v>44618</v>
      </c>
      <c r="C2371" s="5"/>
      <c r="D2371" s="5"/>
      <c r="E2371" s="5"/>
      <c r="F2371" s="22">
        <f>IFERROR(__xludf.DUMMYFUNCTION("""COMPUTED_VALUE"""),500000.0)</f>
        <v>500000</v>
      </c>
      <c r="G2371" s="22">
        <f>IFERROR(__xludf.DUMMYFUNCTION("""COMPUTED_VALUE"""),0.0)</f>
        <v>0</v>
      </c>
      <c r="H2371" s="22">
        <f>IFERROR(__xludf.DUMMYFUNCTION("""COMPUTED_VALUE"""),500000.0)</f>
        <v>500000</v>
      </c>
      <c r="I2371" s="24">
        <f>IFERROR(__xludf.DUMMYFUNCTION("""COMPUTED_VALUE"""),0.0)</f>
        <v>0</v>
      </c>
    </row>
    <row r="2372">
      <c r="A2372" s="5" t="str">
        <f>IFERROR(__xludf.DUMMYFUNCTION("""COMPUTED_VALUE"""),"38758")</f>
        <v>38758</v>
      </c>
      <c r="B2372" s="64">
        <f>IFERROR(__xludf.DUMMYFUNCTION("""COMPUTED_VALUE"""),44619.0)</f>
        <v>44619</v>
      </c>
      <c r="C2372" s="5"/>
      <c r="D2372" s="5"/>
      <c r="E2372" s="5"/>
      <c r="F2372" s="22">
        <f>IFERROR(__xludf.DUMMYFUNCTION("""COMPUTED_VALUE"""),500000.0)</f>
        <v>500000</v>
      </c>
      <c r="G2372" s="22">
        <f>IFERROR(__xludf.DUMMYFUNCTION("""COMPUTED_VALUE"""),0.0)</f>
        <v>0</v>
      </c>
      <c r="H2372" s="22">
        <f>IFERROR(__xludf.DUMMYFUNCTION("""COMPUTED_VALUE"""),500000.0)</f>
        <v>500000</v>
      </c>
      <c r="I2372" s="24">
        <f>IFERROR(__xludf.DUMMYFUNCTION("""COMPUTED_VALUE"""),0.0)</f>
        <v>0</v>
      </c>
    </row>
    <row r="2373">
      <c r="A2373" s="5" t="str">
        <f>IFERROR(__xludf.DUMMYFUNCTION("""COMPUTED_VALUE"""),"38758")</f>
        <v>38758</v>
      </c>
      <c r="B2373" s="64">
        <f>IFERROR(__xludf.DUMMYFUNCTION("""COMPUTED_VALUE"""),44620.0)</f>
        <v>44620</v>
      </c>
      <c r="C2373" s="5"/>
      <c r="D2373" s="5"/>
      <c r="E2373" s="5"/>
      <c r="F2373" s="22">
        <f>IFERROR(__xludf.DUMMYFUNCTION("""COMPUTED_VALUE"""),500000.0)</f>
        <v>500000</v>
      </c>
      <c r="G2373" s="22">
        <f>IFERROR(__xludf.DUMMYFUNCTION("""COMPUTED_VALUE"""),0.0)</f>
        <v>0</v>
      </c>
      <c r="H2373" s="22">
        <f>IFERROR(__xludf.DUMMYFUNCTION("""COMPUTED_VALUE"""),500000.0)</f>
        <v>500000</v>
      </c>
      <c r="I2373" s="24">
        <f>IFERROR(__xludf.DUMMYFUNCTION("""COMPUTED_VALUE"""),0.0)</f>
        <v>0</v>
      </c>
    </row>
    <row r="2374">
      <c r="A2374" s="5" t="str">
        <f>IFERROR(__xludf.DUMMYFUNCTION("""COMPUTED_VALUE"""),"38758")</f>
        <v>38758</v>
      </c>
      <c r="B2374" s="64">
        <f>IFERROR(__xludf.DUMMYFUNCTION("""COMPUTED_VALUE"""),44621.0)</f>
        <v>44621</v>
      </c>
      <c r="C2374" s="5"/>
      <c r="D2374" s="5"/>
      <c r="E2374" s="5"/>
      <c r="F2374" s="22">
        <f>IFERROR(__xludf.DUMMYFUNCTION("""COMPUTED_VALUE"""),500000.0)</f>
        <v>500000</v>
      </c>
      <c r="G2374" s="22">
        <f>IFERROR(__xludf.DUMMYFUNCTION("""COMPUTED_VALUE"""),0.0)</f>
        <v>0</v>
      </c>
      <c r="H2374" s="22">
        <f>IFERROR(__xludf.DUMMYFUNCTION("""COMPUTED_VALUE"""),500000.0)</f>
        <v>500000</v>
      </c>
      <c r="I2374" s="24">
        <f>IFERROR(__xludf.DUMMYFUNCTION("""COMPUTED_VALUE"""),0.0)</f>
        <v>0</v>
      </c>
    </row>
    <row r="2375">
      <c r="A2375" s="5" t="str">
        <f>IFERROR(__xludf.DUMMYFUNCTION("""COMPUTED_VALUE"""),"38758")</f>
        <v>38758</v>
      </c>
      <c r="B2375" s="64">
        <f>IFERROR(__xludf.DUMMYFUNCTION("""COMPUTED_VALUE"""),44622.0)</f>
        <v>44622</v>
      </c>
      <c r="C2375" s="5"/>
      <c r="D2375" s="5"/>
      <c r="E2375" s="5"/>
      <c r="F2375" s="22">
        <f>IFERROR(__xludf.DUMMYFUNCTION("""COMPUTED_VALUE"""),500000.0)</f>
        <v>500000</v>
      </c>
      <c r="G2375" s="22">
        <f>IFERROR(__xludf.DUMMYFUNCTION("""COMPUTED_VALUE"""),0.0)</f>
        <v>0</v>
      </c>
      <c r="H2375" s="22">
        <f>IFERROR(__xludf.DUMMYFUNCTION("""COMPUTED_VALUE"""),500000.0)</f>
        <v>500000</v>
      </c>
      <c r="I2375" s="24">
        <f>IFERROR(__xludf.DUMMYFUNCTION("""COMPUTED_VALUE"""),0.0)</f>
        <v>0</v>
      </c>
    </row>
    <row r="2376">
      <c r="A2376" s="5" t="str">
        <f>IFERROR(__xludf.DUMMYFUNCTION("""COMPUTED_VALUE"""),"38758")</f>
        <v>38758</v>
      </c>
      <c r="B2376" s="64">
        <f>IFERROR(__xludf.DUMMYFUNCTION("""COMPUTED_VALUE"""),44623.0)</f>
        <v>44623</v>
      </c>
      <c r="C2376" s="5"/>
      <c r="D2376" s="5"/>
      <c r="E2376" s="5"/>
      <c r="F2376" s="22">
        <f>IFERROR(__xludf.DUMMYFUNCTION("""COMPUTED_VALUE"""),500000.0)</f>
        <v>500000</v>
      </c>
      <c r="G2376" s="22">
        <f>IFERROR(__xludf.DUMMYFUNCTION("""COMPUTED_VALUE"""),0.0)</f>
        <v>0</v>
      </c>
      <c r="H2376" s="22">
        <f>IFERROR(__xludf.DUMMYFUNCTION("""COMPUTED_VALUE"""),500000.0)</f>
        <v>500000</v>
      </c>
      <c r="I2376" s="24">
        <f>IFERROR(__xludf.DUMMYFUNCTION("""COMPUTED_VALUE"""),0.0)</f>
        <v>0</v>
      </c>
    </row>
    <row r="2377">
      <c r="A2377" s="5" t="str">
        <f>IFERROR(__xludf.DUMMYFUNCTION("""COMPUTED_VALUE"""),"38758")</f>
        <v>38758</v>
      </c>
      <c r="B2377" s="64">
        <f>IFERROR(__xludf.DUMMYFUNCTION("""COMPUTED_VALUE"""),44624.0)</f>
        <v>44624</v>
      </c>
      <c r="C2377" s="5"/>
      <c r="D2377" s="5"/>
      <c r="E2377" s="5"/>
      <c r="F2377" s="22">
        <f>IFERROR(__xludf.DUMMYFUNCTION("""COMPUTED_VALUE"""),500000.0)</f>
        <v>500000</v>
      </c>
      <c r="G2377" s="22">
        <f>IFERROR(__xludf.DUMMYFUNCTION("""COMPUTED_VALUE"""),0.0)</f>
        <v>0</v>
      </c>
      <c r="H2377" s="22">
        <f>IFERROR(__xludf.DUMMYFUNCTION("""COMPUTED_VALUE"""),500000.0)</f>
        <v>500000</v>
      </c>
      <c r="I2377" s="24">
        <f>IFERROR(__xludf.DUMMYFUNCTION("""COMPUTED_VALUE"""),0.0)</f>
        <v>0</v>
      </c>
    </row>
    <row r="2378">
      <c r="A2378" s="5" t="str">
        <f>IFERROR(__xludf.DUMMYFUNCTION("""COMPUTED_VALUE"""),"38758")</f>
        <v>38758</v>
      </c>
      <c r="B2378" s="64">
        <f>IFERROR(__xludf.DUMMYFUNCTION("""COMPUTED_VALUE"""),44625.0)</f>
        <v>44625</v>
      </c>
      <c r="C2378" s="5"/>
      <c r="D2378" s="5"/>
      <c r="E2378" s="5"/>
      <c r="F2378" s="22">
        <f>IFERROR(__xludf.DUMMYFUNCTION("""COMPUTED_VALUE"""),500000.0)</f>
        <v>500000</v>
      </c>
      <c r="G2378" s="22">
        <f>IFERROR(__xludf.DUMMYFUNCTION("""COMPUTED_VALUE"""),0.0)</f>
        <v>0</v>
      </c>
      <c r="H2378" s="22">
        <f>IFERROR(__xludf.DUMMYFUNCTION("""COMPUTED_VALUE"""),500000.0)</f>
        <v>500000</v>
      </c>
      <c r="I2378" s="24">
        <f>IFERROR(__xludf.DUMMYFUNCTION("""COMPUTED_VALUE"""),0.0)</f>
        <v>0</v>
      </c>
    </row>
    <row r="2379">
      <c r="A2379" s="5" t="str">
        <f>IFERROR(__xludf.DUMMYFUNCTION("""COMPUTED_VALUE"""),"38758")</f>
        <v>38758</v>
      </c>
      <c r="B2379" s="64">
        <f>IFERROR(__xludf.DUMMYFUNCTION("""COMPUTED_VALUE"""),44626.0)</f>
        <v>44626</v>
      </c>
      <c r="C2379" s="5"/>
      <c r="D2379" s="5"/>
      <c r="E2379" s="5"/>
      <c r="F2379" s="22">
        <f>IFERROR(__xludf.DUMMYFUNCTION("""COMPUTED_VALUE"""),500000.0)</f>
        <v>500000</v>
      </c>
      <c r="G2379" s="22">
        <f>IFERROR(__xludf.DUMMYFUNCTION("""COMPUTED_VALUE"""),0.0)</f>
        <v>0</v>
      </c>
      <c r="H2379" s="22">
        <f>IFERROR(__xludf.DUMMYFUNCTION("""COMPUTED_VALUE"""),500000.0)</f>
        <v>500000</v>
      </c>
      <c r="I2379" s="24">
        <f>IFERROR(__xludf.DUMMYFUNCTION("""COMPUTED_VALUE"""),0.0)</f>
        <v>0</v>
      </c>
    </row>
    <row r="2380">
      <c r="A2380" s="5" t="str">
        <f>IFERROR(__xludf.DUMMYFUNCTION("""COMPUTED_VALUE"""),"38758")</f>
        <v>38758</v>
      </c>
      <c r="B2380" s="64">
        <f>IFERROR(__xludf.DUMMYFUNCTION("""COMPUTED_VALUE"""),44627.0)</f>
        <v>44627</v>
      </c>
      <c r="C2380" s="5"/>
      <c r="D2380" s="5"/>
      <c r="E2380" s="5"/>
      <c r="F2380" s="22">
        <f>IFERROR(__xludf.DUMMYFUNCTION("""COMPUTED_VALUE"""),500000.0)</f>
        <v>500000</v>
      </c>
      <c r="G2380" s="22">
        <f>IFERROR(__xludf.DUMMYFUNCTION("""COMPUTED_VALUE"""),0.0)</f>
        <v>0</v>
      </c>
      <c r="H2380" s="22">
        <f>IFERROR(__xludf.DUMMYFUNCTION("""COMPUTED_VALUE"""),500000.0)</f>
        <v>500000</v>
      </c>
      <c r="I2380" s="24">
        <f>IFERROR(__xludf.DUMMYFUNCTION("""COMPUTED_VALUE"""),0.0)</f>
        <v>0</v>
      </c>
    </row>
    <row r="2381">
      <c r="A2381" s="5" t="str">
        <f>IFERROR(__xludf.DUMMYFUNCTION("""COMPUTED_VALUE"""),"38758")</f>
        <v>38758</v>
      </c>
      <c r="B2381" s="64">
        <f>IFERROR(__xludf.DUMMYFUNCTION("""COMPUTED_VALUE"""),44628.0)</f>
        <v>44628</v>
      </c>
      <c r="C2381" s="5"/>
      <c r="D2381" s="5"/>
      <c r="E2381" s="5"/>
      <c r="F2381" s="22">
        <f>IFERROR(__xludf.DUMMYFUNCTION("""COMPUTED_VALUE"""),500000.0)</f>
        <v>500000</v>
      </c>
      <c r="G2381" s="22">
        <f>IFERROR(__xludf.DUMMYFUNCTION("""COMPUTED_VALUE"""),0.0)</f>
        <v>0</v>
      </c>
      <c r="H2381" s="22">
        <f>IFERROR(__xludf.DUMMYFUNCTION("""COMPUTED_VALUE"""),500000.0)</f>
        <v>500000</v>
      </c>
      <c r="I2381" s="24">
        <f>IFERROR(__xludf.DUMMYFUNCTION("""COMPUTED_VALUE"""),0.0)</f>
        <v>0</v>
      </c>
    </row>
    <row r="2382">
      <c r="A2382" s="5" t="str">
        <f>IFERROR(__xludf.DUMMYFUNCTION("""COMPUTED_VALUE"""),"38758")</f>
        <v>38758</v>
      </c>
      <c r="B2382" s="64">
        <f>IFERROR(__xludf.DUMMYFUNCTION("""COMPUTED_VALUE"""),44629.0)</f>
        <v>44629</v>
      </c>
      <c r="C2382" s="5"/>
      <c r="D2382" s="5"/>
      <c r="E2382" s="5"/>
      <c r="F2382" s="22">
        <f>IFERROR(__xludf.DUMMYFUNCTION("""COMPUTED_VALUE"""),500000.0)</f>
        <v>500000</v>
      </c>
      <c r="G2382" s="22">
        <f>IFERROR(__xludf.DUMMYFUNCTION("""COMPUTED_VALUE"""),0.0)</f>
        <v>0</v>
      </c>
      <c r="H2382" s="22">
        <f>IFERROR(__xludf.DUMMYFUNCTION("""COMPUTED_VALUE"""),500000.0)</f>
        <v>500000</v>
      </c>
      <c r="I2382" s="24">
        <f>IFERROR(__xludf.DUMMYFUNCTION("""COMPUTED_VALUE"""),0.0)</f>
        <v>0</v>
      </c>
    </row>
    <row r="2383">
      <c r="A2383" s="5" t="str">
        <f>IFERROR(__xludf.DUMMYFUNCTION("""COMPUTED_VALUE"""),"38758")</f>
        <v>38758</v>
      </c>
      <c r="B2383" s="64">
        <f>IFERROR(__xludf.DUMMYFUNCTION("""COMPUTED_VALUE"""),44630.0)</f>
        <v>44630</v>
      </c>
      <c r="C2383" s="5"/>
      <c r="D2383" s="5"/>
      <c r="E2383" s="5"/>
      <c r="F2383" s="22">
        <f>IFERROR(__xludf.DUMMYFUNCTION("""COMPUTED_VALUE"""),500000.0)</f>
        <v>500000</v>
      </c>
      <c r="G2383" s="22">
        <f>IFERROR(__xludf.DUMMYFUNCTION("""COMPUTED_VALUE"""),0.0)</f>
        <v>0</v>
      </c>
      <c r="H2383" s="22">
        <f>IFERROR(__xludf.DUMMYFUNCTION("""COMPUTED_VALUE"""),500000.0)</f>
        <v>500000</v>
      </c>
      <c r="I2383" s="24">
        <f>IFERROR(__xludf.DUMMYFUNCTION("""COMPUTED_VALUE"""),0.0)</f>
        <v>0</v>
      </c>
    </row>
    <row r="2384">
      <c r="A2384" s="5" t="str">
        <f>IFERROR(__xludf.DUMMYFUNCTION("""COMPUTED_VALUE"""),"38758")</f>
        <v>38758</v>
      </c>
      <c r="B2384" s="64">
        <f>IFERROR(__xludf.DUMMYFUNCTION("""COMPUTED_VALUE"""),44631.0)</f>
        <v>44631</v>
      </c>
      <c r="C2384" s="5"/>
      <c r="D2384" s="5"/>
      <c r="E2384" s="5"/>
      <c r="F2384" s="22">
        <f>IFERROR(__xludf.DUMMYFUNCTION("""COMPUTED_VALUE"""),500000.0)</f>
        <v>500000</v>
      </c>
      <c r="G2384" s="22">
        <f>IFERROR(__xludf.DUMMYFUNCTION("""COMPUTED_VALUE"""),0.0)</f>
        <v>0</v>
      </c>
      <c r="H2384" s="22">
        <f>IFERROR(__xludf.DUMMYFUNCTION("""COMPUTED_VALUE"""),500000.0)</f>
        <v>500000</v>
      </c>
      <c r="I2384" s="24">
        <f>IFERROR(__xludf.DUMMYFUNCTION("""COMPUTED_VALUE"""),0.0)</f>
        <v>0</v>
      </c>
    </row>
    <row r="2385">
      <c r="A2385" s="5" t="str">
        <f>IFERROR(__xludf.DUMMYFUNCTION("""COMPUTED_VALUE"""),"38758")</f>
        <v>38758</v>
      </c>
      <c r="B2385" s="64">
        <f>IFERROR(__xludf.DUMMYFUNCTION("""COMPUTED_VALUE"""),44632.0)</f>
        <v>44632</v>
      </c>
      <c r="C2385" s="5"/>
      <c r="D2385" s="5"/>
      <c r="E2385" s="5"/>
      <c r="F2385" s="22">
        <f>IFERROR(__xludf.DUMMYFUNCTION("""COMPUTED_VALUE"""),500000.0)</f>
        <v>500000</v>
      </c>
      <c r="G2385" s="22">
        <f>IFERROR(__xludf.DUMMYFUNCTION("""COMPUTED_VALUE"""),0.0)</f>
        <v>0</v>
      </c>
      <c r="H2385" s="22">
        <f>IFERROR(__xludf.DUMMYFUNCTION("""COMPUTED_VALUE"""),500000.0)</f>
        <v>500000</v>
      </c>
      <c r="I2385" s="24">
        <f>IFERROR(__xludf.DUMMYFUNCTION("""COMPUTED_VALUE"""),0.0)</f>
        <v>0</v>
      </c>
    </row>
    <row r="2386">
      <c r="A2386" s="5" t="str">
        <f>IFERROR(__xludf.DUMMYFUNCTION("""COMPUTED_VALUE"""),"38758")</f>
        <v>38758</v>
      </c>
      <c r="B2386" s="64">
        <f>IFERROR(__xludf.DUMMYFUNCTION("""COMPUTED_VALUE"""),44633.0)</f>
        <v>44633</v>
      </c>
      <c r="C2386" s="5"/>
      <c r="D2386" s="5"/>
      <c r="E2386" s="5"/>
      <c r="F2386" s="22">
        <f>IFERROR(__xludf.DUMMYFUNCTION("""COMPUTED_VALUE"""),500000.0)</f>
        <v>500000</v>
      </c>
      <c r="G2386" s="22">
        <f>IFERROR(__xludf.DUMMYFUNCTION("""COMPUTED_VALUE"""),0.0)</f>
        <v>0</v>
      </c>
      <c r="H2386" s="22">
        <f>IFERROR(__xludf.DUMMYFUNCTION("""COMPUTED_VALUE"""),500000.0)</f>
        <v>500000</v>
      </c>
      <c r="I2386" s="24">
        <f>IFERROR(__xludf.DUMMYFUNCTION("""COMPUTED_VALUE"""),0.0)</f>
        <v>0</v>
      </c>
    </row>
    <row r="2387">
      <c r="A2387" s="5" t="str">
        <f>IFERROR(__xludf.DUMMYFUNCTION("""COMPUTED_VALUE"""),"38758")</f>
        <v>38758</v>
      </c>
      <c r="B2387" s="64">
        <f>IFERROR(__xludf.DUMMYFUNCTION("""COMPUTED_VALUE"""),44634.0)</f>
        <v>44634</v>
      </c>
      <c r="C2387" s="5"/>
      <c r="D2387" s="5"/>
      <c r="E2387" s="5"/>
      <c r="F2387" s="22">
        <f>IFERROR(__xludf.DUMMYFUNCTION("""COMPUTED_VALUE"""),500000.0)</f>
        <v>500000</v>
      </c>
      <c r="G2387" s="22">
        <f>IFERROR(__xludf.DUMMYFUNCTION("""COMPUTED_VALUE"""),0.0)</f>
        <v>0</v>
      </c>
      <c r="H2387" s="22">
        <f>IFERROR(__xludf.DUMMYFUNCTION("""COMPUTED_VALUE"""),500000.0)</f>
        <v>500000</v>
      </c>
      <c r="I2387" s="24">
        <f>IFERROR(__xludf.DUMMYFUNCTION("""COMPUTED_VALUE"""),0.0)</f>
        <v>0</v>
      </c>
    </row>
    <row r="2388">
      <c r="A2388" s="5" t="str">
        <f>IFERROR(__xludf.DUMMYFUNCTION("""COMPUTED_VALUE"""),"38758")</f>
        <v>38758</v>
      </c>
      <c r="B2388" s="64">
        <f>IFERROR(__xludf.DUMMYFUNCTION("""COMPUTED_VALUE"""),44635.0)</f>
        <v>44635</v>
      </c>
      <c r="C2388" s="5"/>
      <c r="D2388" s="5"/>
      <c r="E2388" s="5"/>
      <c r="F2388" s="22">
        <f>IFERROR(__xludf.DUMMYFUNCTION("""COMPUTED_VALUE"""),500000.0)</f>
        <v>500000</v>
      </c>
      <c r="G2388" s="22">
        <f>IFERROR(__xludf.DUMMYFUNCTION("""COMPUTED_VALUE"""),0.0)</f>
        <v>0</v>
      </c>
      <c r="H2388" s="22">
        <f>IFERROR(__xludf.DUMMYFUNCTION("""COMPUTED_VALUE"""),500000.0)</f>
        <v>500000</v>
      </c>
      <c r="I2388" s="24">
        <f>IFERROR(__xludf.DUMMYFUNCTION("""COMPUTED_VALUE"""),0.0)</f>
        <v>0</v>
      </c>
    </row>
    <row r="2389">
      <c r="A2389" s="5" t="str">
        <f>IFERROR(__xludf.DUMMYFUNCTION("""COMPUTED_VALUE"""),"38758")</f>
        <v>38758</v>
      </c>
      <c r="B2389" s="64">
        <f>IFERROR(__xludf.DUMMYFUNCTION("""COMPUTED_VALUE"""),44636.0)</f>
        <v>44636</v>
      </c>
      <c r="C2389" s="5"/>
      <c r="D2389" s="5"/>
      <c r="E2389" s="5"/>
      <c r="F2389" s="22">
        <f>IFERROR(__xludf.DUMMYFUNCTION("""COMPUTED_VALUE"""),500000.0)</f>
        <v>500000</v>
      </c>
      <c r="G2389" s="22">
        <f>IFERROR(__xludf.DUMMYFUNCTION("""COMPUTED_VALUE"""),0.0)</f>
        <v>0</v>
      </c>
      <c r="H2389" s="22">
        <f>IFERROR(__xludf.DUMMYFUNCTION("""COMPUTED_VALUE"""),500000.0)</f>
        <v>500000</v>
      </c>
      <c r="I2389" s="24">
        <f>IFERROR(__xludf.DUMMYFUNCTION("""COMPUTED_VALUE"""),0.0)</f>
        <v>0</v>
      </c>
    </row>
    <row r="2390">
      <c r="A2390" s="5" t="str">
        <f>IFERROR(__xludf.DUMMYFUNCTION("""COMPUTED_VALUE"""),"38758")</f>
        <v>38758</v>
      </c>
      <c r="B2390" s="64">
        <f>IFERROR(__xludf.DUMMYFUNCTION("""COMPUTED_VALUE"""),44637.0)</f>
        <v>44637</v>
      </c>
      <c r="C2390" s="5"/>
      <c r="D2390" s="5"/>
      <c r="E2390" s="5"/>
      <c r="F2390" s="22">
        <f>IFERROR(__xludf.DUMMYFUNCTION("""COMPUTED_VALUE"""),500000.0)</f>
        <v>500000</v>
      </c>
      <c r="G2390" s="22">
        <f>IFERROR(__xludf.DUMMYFUNCTION("""COMPUTED_VALUE"""),0.0)</f>
        <v>0</v>
      </c>
      <c r="H2390" s="22">
        <f>IFERROR(__xludf.DUMMYFUNCTION("""COMPUTED_VALUE"""),500000.0)</f>
        <v>500000</v>
      </c>
      <c r="I2390" s="24">
        <f>IFERROR(__xludf.DUMMYFUNCTION("""COMPUTED_VALUE"""),0.0)</f>
        <v>0</v>
      </c>
    </row>
    <row r="2391">
      <c r="A2391" s="5" t="str">
        <f>IFERROR(__xludf.DUMMYFUNCTION("""COMPUTED_VALUE"""),"38758")</f>
        <v>38758</v>
      </c>
      <c r="B2391" s="64">
        <f>IFERROR(__xludf.DUMMYFUNCTION("""COMPUTED_VALUE"""),44638.0)</f>
        <v>44638</v>
      </c>
      <c r="C2391" s="5"/>
      <c r="D2391" s="5"/>
      <c r="E2391" s="5"/>
      <c r="F2391" s="22">
        <f>IFERROR(__xludf.DUMMYFUNCTION("""COMPUTED_VALUE"""),500000.0)</f>
        <v>500000</v>
      </c>
      <c r="G2391" s="22">
        <f>IFERROR(__xludf.DUMMYFUNCTION("""COMPUTED_VALUE"""),0.0)</f>
        <v>0</v>
      </c>
      <c r="H2391" s="22">
        <f>IFERROR(__xludf.DUMMYFUNCTION("""COMPUTED_VALUE"""),500000.0)</f>
        <v>500000</v>
      </c>
      <c r="I2391" s="24">
        <f>IFERROR(__xludf.DUMMYFUNCTION("""COMPUTED_VALUE"""),0.0)</f>
        <v>0</v>
      </c>
    </row>
    <row r="2392">
      <c r="A2392" s="5" t="str">
        <f>IFERROR(__xludf.DUMMYFUNCTION("""COMPUTED_VALUE"""),"38758")</f>
        <v>38758</v>
      </c>
      <c r="B2392" s="64">
        <f>IFERROR(__xludf.DUMMYFUNCTION("""COMPUTED_VALUE"""),44639.0)</f>
        <v>44639</v>
      </c>
      <c r="C2392" s="5"/>
      <c r="D2392" s="5"/>
      <c r="E2392" s="5"/>
      <c r="F2392" s="22">
        <f>IFERROR(__xludf.DUMMYFUNCTION("""COMPUTED_VALUE"""),500000.0)</f>
        <v>500000</v>
      </c>
      <c r="G2392" s="22">
        <f>IFERROR(__xludf.DUMMYFUNCTION("""COMPUTED_VALUE"""),0.0)</f>
        <v>0</v>
      </c>
      <c r="H2392" s="22">
        <f>IFERROR(__xludf.DUMMYFUNCTION("""COMPUTED_VALUE"""),500000.0)</f>
        <v>500000</v>
      </c>
      <c r="I2392" s="24">
        <f>IFERROR(__xludf.DUMMYFUNCTION("""COMPUTED_VALUE"""),0.0)</f>
        <v>0</v>
      </c>
    </row>
    <row r="2393">
      <c r="A2393" s="5" t="str">
        <f>IFERROR(__xludf.DUMMYFUNCTION("""COMPUTED_VALUE"""),"38758")</f>
        <v>38758</v>
      </c>
      <c r="B2393" s="64">
        <f>IFERROR(__xludf.DUMMYFUNCTION("""COMPUTED_VALUE"""),44640.0)</f>
        <v>44640</v>
      </c>
      <c r="C2393" s="5"/>
      <c r="D2393" s="5"/>
      <c r="E2393" s="5"/>
      <c r="F2393" s="22">
        <f>IFERROR(__xludf.DUMMYFUNCTION("""COMPUTED_VALUE"""),500000.0)</f>
        <v>500000</v>
      </c>
      <c r="G2393" s="22">
        <f>IFERROR(__xludf.DUMMYFUNCTION("""COMPUTED_VALUE"""),0.0)</f>
        <v>0</v>
      </c>
      <c r="H2393" s="22">
        <f>IFERROR(__xludf.DUMMYFUNCTION("""COMPUTED_VALUE"""),500000.0)</f>
        <v>500000</v>
      </c>
      <c r="I2393" s="24">
        <f>IFERROR(__xludf.DUMMYFUNCTION("""COMPUTED_VALUE"""),0.0)</f>
        <v>0</v>
      </c>
    </row>
    <row r="2394">
      <c r="A2394" s="5" t="str">
        <f>IFERROR(__xludf.DUMMYFUNCTION("""COMPUTED_VALUE"""),"38758")</f>
        <v>38758</v>
      </c>
      <c r="B2394" s="64">
        <f>IFERROR(__xludf.DUMMYFUNCTION("""COMPUTED_VALUE"""),44641.0)</f>
        <v>44641</v>
      </c>
      <c r="C2394" s="5"/>
      <c r="D2394" s="5"/>
      <c r="E2394" s="5"/>
      <c r="F2394" s="22">
        <f>IFERROR(__xludf.DUMMYFUNCTION("""COMPUTED_VALUE"""),500000.0)</f>
        <v>500000</v>
      </c>
      <c r="G2394" s="22">
        <f>IFERROR(__xludf.DUMMYFUNCTION("""COMPUTED_VALUE"""),0.0)</f>
        <v>0</v>
      </c>
      <c r="H2394" s="22">
        <f>IFERROR(__xludf.DUMMYFUNCTION("""COMPUTED_VALUE"""),500000.0)</f>
        <v>500000</v>
      </c>
      <c r="I2394" s="24">
        <f>IFERROR(__xludf.DUMMYFUNCTION("""COMPUTED_VALUE"""),0.0)</f>
        <v>0</v>
      </c>
    </row>
    <row r="2395">
      <c r="A2395" s="5" t="str">
        <f>IFERROR(__xludf.DUMMYFUNCTION("""COMPUTED_VALUE"""),"38758")</f>
        <v>38758</v>
      </c>
      <c r="B2395" s="64">
        <f>IFERROR(__xludf.DUMMYFUNCTION("""COMPUTED_VALUE"""),44642.0)</f>
        <v>44642</v>
      </c>
      <c r="C2395" s="5"/>
      <c r="D2395" s="5"/>
      <c r="E2395" s="5"/>
      <c r="F2395" s="22">
        <f>IFERROR(__xludf.DUMMYFUNCTION("""COMPUTED_VALUE"""),500000.0)</f>
        <v>500000</v>
      </c>
      <c r="G2395" s="22">
        <f>IFERROR(__xludf.DUMMYFUNCTION("""COMPUTED_VALUE"""),0.0)</f>
        <v>0</v>
      </c>
      <c r="H2395" s="22">
        <f>IFERROR(__xludf.DUMMYFUNCTION("""COMPUTED_VALUE"""),500000.0)</f>
        <v>500000</v>
      </c>
      <c r="I2395" s="24">
        <f>IFERROR(__xludf.DUMMYFUNCTION("""COMPUTED_VALUE"""),0.0)</f>
        <v>0</v>
      </c>
    </row>
    <row r="2396">
      <c r="A2396" s="5" t="str">
        <f>IFERROR(__xludf.DUMMYFUNCTION("""COMPUTED_VALUE"""),"38758")</f>
        <v>38758</v>
      </c>
      <c r="B2396" s="64">
        <f>IFERROR(__xludf.DUMMYFUNCTION("""COMPUTED_VALUE"""),44643.0)</f>
        <v>44643</v>
      </c>
      <c r="C2396" s="5"/>
      <c r="D2396" s="5"/>
      <c r="E2396" s="5"/>
      <c r="F2396" s="22">
        <f>IFERROR(__xludf.DUMMYFUNCTION("""COMPUTED_VALUE"""),500000.0)</f>
        <v>500000</v>
      </c>
      <c r="G2396" s="22">
        <f>IFERROR(__xludf.DUMMYFUNCTION("""COMPUTED_VALUE"""),0.0)</f>
        <v>0</v>
      </c>
      <c r="H2396" s="22">
        <f>IFERROR(__xludf.DUMMYFUNCTION("""COMPUTED_VALUE"""),498925.4347008)</f>
        <v>498925.4347</v>
      </c>
      <c r="I2396" s="24">
        <f>IFERROR(__xludf.DUMMYFUNCTION("""COMPUTED_VALUE"""),-0.002149130598400051)</f>
        <v>-0.002149130598</v>
      </c>
    </row>
    <row r="2397">
      <c r="A2397" s="5" t="str">
        <f>IFERROR(__xludf.DUMMYFUNCTION("""COMPUTED_VALUE"""),"38758")</f>
        <v>38758</v>
      </c>
      <c r="B2397" s="64">
        <f>IFERROR(__xludf.DUMMYFUNCTION("""COMPUTED_VALUE"""),44644.0)</f>
        <v>44644</v>
      </c>
      <c r="C2397" s="5"/>
      <c r="D2397" s="5"/>
      <c r="E2397" s="5"/>
      <c r="F2397" s="22">
        <f>IFERROR(__xludf.DUMMYFUNCTION("""COMPUTED_VALUE"""),500000.0)</f>
        <v>500000</v>
      </c>
      <c r="G2397" s="22">
        <f>IFERROR(__xludf.DUMMYFUNCTION("""COMPUTED_VALUE"""),0.0)</f>
        <v>0</v>
      </c>
      <c r="H2397" s="22">
        <f>IFERROR(__xludf.DUMMYFUNCTION("""COMPUTED_VALUE"""),499961.8590976)</f>
        <v>499961.8591</v>
      </c>
      <c r="I2397" s="24">
        <f>IFERROR(__xludf.DUMMYFUNCTION("""COMPUTED_VALUE"""),-7.628180480001578E-5)</f>
        <v>-0.0000762818048</v>
      </c>
    </row>
    <row r="2398">
      <c r="A2398" s="5" t="str">
        <f>IFERROR(__xludf.DUMMYFUNCTION("""COMPUTED_VALUE"""),"38758")</f>
        <v>38758</v>
      </c>
      <c r="B2398" s="64">
        <f>IFERROR(__xludf.DUMMYFUNCTION("""COMPUTED_VALUE"""),44645.0)</f>
        <v>44645</v>
      </c>
      <c r="C2398" s="5"/>
      <c r="D2398" s="5"/>
      <c r="E2398" s="5"/>
      <c r="F2398" s="22">
        <f>IFERROR(__xludf.DUMMYFUNCTION("""COMPUTED_VALUE"""),500000.0)</f>
        <v>500000</v>
      </c>
      <c r="G2398" s="22">
        <f>IFERROR(__xludf.DUMMYFUNCTION("""COMPUTED_VALUE"""),0.0)</f>
        <v>0</v>
      </c>
      <c r="H2398" s="22">
        <f>IFERROR(__xludf.DUMMYFUNCTION("""COMPUTED_VALUE"""),500724.1984)</f>
        <v>500724.1984</v>
      </c>
      <c r="I2398" s="24">
        <f>IFERROR(__xludf.DUMMYFUNCTION("""COMPUTED_VALUE"""),0.0014483968000000846)</f>
        <v>0.0014483968</v>
      </c>
    </row>
    <row r="2399">
      <c r="A2399" s="5" t="str">
        <f>IFERROR(__xludf.DUMMYFUNCTION("""COMPUTED_VALUE"""),"38758")</f>
        <v>38758</v>
      </c>
      <c r="B2399" s="64">
        <f>IFERROR(__xludf.DUMMYFUNCTION("""COMPUTED_VALUE"""),44646.0)</f>
        <v>44646</v>
      </c>
      <c r="C2399" s="5"/>
      <c r="D2399" s="5"/>
      <c r="E2399" s="5"/>
      <c r="F2399" s="22">
        <f>IFERROR(__xludf.DUMMYFUNCTION("""COMPUTED_VALUE"""),500000.0)</f>
        <v>500000</v>
      </c>
      <c r="G2399" s="22">
        <f>IFERROR(__xludf.DUMMYFUNCTION("""COMPUTED_VALUE"""),0.0)</f>
        <v>0</v>
      </c>
      <c r="H2399" s="22">
        <f>IFERROR(__xludf.DUMMYFUNCTION("""COMPUTED_VALUE"""),500724.1984)</f>
        <v>500724.1984</v>
      </c>
      <c r="I2399" s="24">
        <f>IFERROR(__xludf.DUMMYFUNCTION("""COMPUTED_VALUE"""),0.0014483968000000846)</f>
        <v>0.0014483968</v>
      </c>
    </row>
    <row r="2400">
      <c r="A2400" s="5" t="str">
        <f>IFERROR(__xludf.DUMMYFUNCTION("""COMPUTED_VALUE"""),"38758")</f>
        <v>38758</v>
      </c>
      <c r="B2400" s="64">
        <f>IFERROR(__xludf.DUMMYFUNCTION("""COMPUTED_VALUE"""),44647.0)</f>
        <v>44647</v>
      </c>
      <c r="C2400" s="5"/>
      <c r="D2400" s="5"/>
      <c r="E2400" s="5"/>
      <c r="F2400" s="22">
        <f>IFERROR(__xludf.DUMMYFUNCTION("""COMPUTED_VALUE"""),500000.0)</f>
        <v>500000</v>
      </c>
      <c r="G2400" s="22">
        <f>IFERROR(__xludf.DUMMYFUNCTION("""COMPUTED_VALUE"""),0.0)</f>
        <v>0</v>
      </c>
      <c r="H2400" s="22">
        <f>IFERROR(__xludf.DUMMYFUNCTION("""COMPUTED_VALUE"""),500724.1984)</f>
        <v>500724.1984</v>
      </c>
      <c r="I2400" s="24">
        <f>IFERROR(__xludf.DUMMYFUNCTION("""COMPUTED_VALUE"""),0.0014483968000000846)</f>
        <v>0.0014483968</v>
      </c>
    </row>
    <row r="2401">
      <c r="A2401" s="5" t="str">
        <f>IFERROR(__xludf.DUMMYFUNCTION("""COMPUTED_VALUE"""),"38758")</f>
        <v>38758</v>
      </c>
      <c r="B2401" s="64">
        <f>IFERROR(__xludf.DUMMYFUNCTION("""COMPUTED_VALUE"""),44648.0)</f>
        <v>44648</v>
      </c>
      <c r="C2401" s="5"/>
      <c r="D2401" s="5"/>
      <c r="E2401" s="5"/>
      <c r="F2401" s="22">
        <f>IFERROR(__xludf.DUMMYFUNCTION("""COMPUTED_VALUE"""),500000.0)</f>
        <v>500000</v>
      </c>
      <c r="G2401" s="22">
        <f>IFERROR(__xludf.DUMMYFUNCTION("""COMPUTED_VALUE"""),0.0)</f>
        <v>0</v>
      </c>
      <c r="H2401" s="22">
        <f>IFERROR(__xludf.DUMMYFUNCTION("""COMPUTED_VALUE"""),500562.637056)</f>
        <v>500562.6371</v>
      </c>
      <c r="I2401" s="24">
        <f>IFERROR(__xludf.DUMMYFUNCTION("""COMPUTED_VALUE"""),0.0011252741120000298)</f>
        <v>0.001125274112</v>
      </c>
    </row>
    <row r="2402">
      <c r="A2402" s="5" t="str">
        <f>IFERROR(__xludf.DUMMYFUNCTION("""COMPUTED_VALUE"""),"38758")</f>
        <v>38758</v>
      </c>
      <c r="B2402" s="64">
        <f>IFERROR(__xludf.DUMMYFUNCTION("""COMPUTED_VALUE"""),44649.0)</f>
        <v>44649</v>
      </c>
      <c r="C2402" s="5"/>
      <c r="D2402" s="5"/>
      <c r="E2402" s="5"/>
      <c r="F2402" s="22">
        <f>IFERROR(__xludf.DUMMYFUNCTION("""COMPUTED_VALUE"""),500000.0)</f>
        <v>500000</v>
      </c>
      <c r="G2402" s="22">
        <f>IFERROR(__xludf.DUMMYFUNCTION("""COMPUTED_VALUE"""),0.0)</f>
        <v>0</v>
      </c>
      <c r="H2402" s="22">
        <f>IFERROR(__xludf.DUMMYFUNCTION("""COMPUTED_VALUE"""),499501.695295)</f>
        <v>499501.6953</v>
      </c>
      <c r="I2402" s="24">
        <f>IFERROR(__xludf.DUMMYFUNCTION("""COMPUTED_VALUE"""),-9.966094100000156E-4)</f>
        <v>-0.00099660941</v>
      </c>
    </row>
    <row r="2403">
      <c r="A2403" s="5" t="str">
        <f>IFERROR(__xludf.DUMMYFUNCTION("""COMPUTED_VALUE"""),"38758")</f>
        <v>38758</v>
      </c>
      <c r="B2403" s="64">
        <f>IFERROR(__xludf.DUMMYFUNCTION("""COMPUTED_VALUE"""),44650.0)</f>
        <v>44650</v>
      </c>
      <c r="C2403" s="5"/>
      <c r="D2403" s="5"/>
      <c r="E2403" s="5"/>
      <c r="F2403" s="22">
        <f>IFERROR(__xludf.DUMMYFUNCTION("""COMPUTED_VALUE"""),500000.0)</f>
        <v>500000</v>
      </c>
      <c r="G2403" s="22">
        <f>IFERROR(__xludf.DUMMYFUNCTION("""COMPUTED_VALUE"""),0.0)</f>
        <v>0</v>
      </c>
      <c r="H2403" s="22">
        <f>IFERROR(__xludf.DUMMYFUNCTION("""COMPUTED_VALUE"""),496160.1751145)</f>
        <v>496160.1751</v>
      </c>
      <c r="I2403" s="24">
        <f>IFERROR(__xludf.DUMMYFUNCTION("""COMPUTED_VALUE"""),-0.007679649770999997)</f>
        <v>-0.007679649771</v>
      </c>
    </row>
    <row r="2404">
      <c r="A2404" s="5" t="str">
        <f>IFERROR(__xludf.DUMMYFUNCTION("""COMPUTED_VALUE"""),"38758")</f>
        <v>38758</v>
      </c>
      <c r="B2404" s="64">
        <f>IFERROR(__xludf.DUMMYFUNCTION("""COMPUTED_VALUE"""),44651.0)</f>
        <v>44651</v>
      </c>
      <c r="C2404" s="5"/>
      <c r="D2404" s="5"/>
      <c r="E2404" s="5"/>
      <c r="F2404" s="22">
        <f>IFERROR(__xludf.DUMMYFUNCTION("""COMPUTED_VALUE"""),500000.0)</f>
        <v>500000</v>
      </c>
      <c r="G2404" s="22">
        <f>IFERROR(__xludf.DUMMYFUNCTION("""COMPUTED_VALUE"""),0.0)</f>
        <v>0</v>
      </c>
      <c r="H2404" s="22">
        <f>IFERROR(__xludf.DUMMYFUNCTION("""COMPUTED_VALUE"""),497154.119235)</f>
        <v>497154.1192</v>
      </c>
      <c r="I2404" s="24">
        <f>IFERROR(__xludf.DUMMYFUNCTION("""COMPUTED_VALUE"""),-0.005691761530000061)</f>
        <v>-0.00569176153</v>
      </c>
    </row>
    <row r="2405">
      <c r="A2405" s="5" t="str">
        <f>IFERROR(__xludf.DUMMYFUNCTION("""COMPUTED_VALUE"""),"38758")</f>
        <v>38758</v>
      </c>
      <c r="B2405" s="64">
        <f>IFERROR(__xludf.DUMMYFUNCTION("""COMPUTED_VALUE"""),44652.0)</f>
        <v>44652</v>
      </c>
      <c r="C2405" s="5"/>
      <c r="D2405" s="5"/>
      <c r="E2405" s="5"/>
      <c r="F2405" s="22">
        <f>IFERROR(__xludf.DUMMYFUNCTION("""COMPUTED_VALUE"""),500000.0)</f>
        <v>500000</v>
      </c>
      <c r="G2405" s="22">
        <f>IFERROR(__xludf.DUMMYFUNCTION("""COMPUTED_VALUE"""),0.0)</f>
        <v>0</v>
      </c>
      <c r="H2405" s="22">
        <f>IFERROR(__xludf.DUMMYFUNCTION("""COMPUTED_VALUE"""),493831.39393845)</f>
        <v>493831.3939</v>
      </c>
      <c r="I2405" s="24">
        <f>IFERROR(__xludf.DUMMYFUNCTION("""COMPUTED_VALUE"""),-0.012337212123099905)</f>
        <v>-0.01233721212</v>
      </c>
    </row>
    <row r="2406">
      <c r="A2406" s="5" t="str">
        <f>IFERROR(__xludf.DUMMYFUNCTION("""COMPUTED_VALUE"""),"38758")</f>
        <v>38758</v>
      </c>
      <c r="B2406" s="64">
        <f>IFERROR(__xludf.DUMMYFUNCTION("""COMPUTED_VALUE"""),44653.0)</f>
        <v>44653</v>
      </c>
      <c r="C2406" s="5"/>
      <c r="D2406" s="5"/>
      <c r="E2406" s="5"/>
      <c r="F2406" s="22">
        <f>IFERROR(__xludf.DUMMYFUNCTION("""COMPUTED_VALUE"""),500000.0)</f>
        <v>500000</v>
      </c>
      <c r="G2406" s="22">
        <f>IFERROR(__xludf.DUMMYFUNCTION("""COMPUTED_VALUE"""),0.0)</f>
        <v>0</v>
      </c>
      <c r="H2406" s="22">
        <f>IFERROR(__xludf.DUMMYFUNCTION("""COMPUTED_VALUE"""),493831.39393845)</f>
        <v>493831.3939</v>
      </c>
      <c r="I2406" s="24">
        <f>IFERROR(__xludf.DUMMYFUNCTION("""COMPUTED_VALUE"""),-0.012337212123099905)</f>
        <v>-0.01233721212</v>
      </c>
    </row>
    <row r="2407">
      <c r="A2407" s="5" t="str">
        <f>IFERROR(__xludf.DUMMYFUNCTION("""COMPUTED_VALUE"""),"38758")</f>
        <v>38758</v>
      </c>
      <c r="B2407" s="64">
        <f>IFERROR(__xludf.DUMMYFUNCTION("""COMPUTED_VALUE"""),44654.0)</f>
        <v>44654</v>
      </c>
      <c r="C2407" s="5"/>
      <c r="D2407" s="5"/>
      <c r="E2407" s="5"/>
      <c r="F2407" s="22">
        <f>IFERROR(__xludf.DUMMYFUNCTION("""COMPUTED_VALUE"""),500000.0)</f>
        <v>500000</v>
      </c>
      <c r="G2407" s="22">
        <f>IFERROR(__xludf.DUMMYFUNCTION("""COMPUTED_VALUE"""),0.0)</f>
        <v>0</v>
      </c>
      <c r="H2407" s="22">
        <f>IFERROR(__xludf.DUMMYFUNCTION("""COMPUTED_VALUE"""),493831.39393845)</f>
        <v>493831.3939</v>
      </c>
      <c r="I2407" s="24">
        <f>IFERROR(__xludf.DUMMYFUNCTION("""COMPUTED_VALUE"""),-0.012337212123099905)</f>
        <v>-0.01233721212</v>
      </c>
    </row>
    <row r="2408">
      <c r="A2408" s="5" t="str">
        <f>IFERROR(__xludf.DUMMYFUNCTION("""COMPUTED_VALUE"""),"38758")</f>
        <v>38758</v>
      </c>
      <c r="B2408" s="64">
        <f>IFERROR(__xludf.DUMMYFUNCTION("""COMPUTED_VALUE"""),44655.0)</f>
        <v>44655</v>
      </c>
      <c r="C2408" s="5"/>
      <c r="D2408" s="5"/>
      <c r="E2408" s="5"/>
      <c r="F2408" s="22">
        <f>IFERROR(__xludf.DUMMYFUNCTION("""COMPUTED_VALUE"""),500000.0)</f>
        <v>500000</v>
      </c>
      <c r="G2408" s="22">
        <f>IFERROR(__xludf.DUMMYFUNCTION("""COMPUTED_VALUE"""),0.0)</f>
        <v>0</v>
      </c>
      <c r="H2408" s="22">
        <f>IFERROR(__xludf.DUMMYFUNCTION("""COMPUTED_VALUE"""),493047.39393845)</f>
        <v>493047.3939</v>
      </c>
      <c r="I2408" s="24">
        <f>IFERROR(__xludf.DUMMYFUNCTION("""COMPUTED_VALUE"""),-0.01390521212309992)</f>
        <v>-0.01390521212</v>
      </c>
    </row>
    <row r="2409">
      <c r="A2409" s="5" t="str">
        <f>IFERROR(__xludf.DUMMYFUNCTION("""COMPUTED_VALUE"""),"38758")</f>
        <v>38758</v>
      </c>
      <c r="B2409" s="64">
        <f>IFERROR(__xludf.DUMMYFUNCTION("""COMPUTED_VALUE"""),44656.0)</f>
        <v>44656</v>
      </c>
      <c r="C2409" s="5"/>
      <c r="D2409" s="5"/>
      <c r="E2409" s="5"/>
      <c r="F2409" s="22">
        <f>IFERROR(__xludf.DUMMYFUNCTION("""COMPUTED_VALUE"""),500000.0)</f>
        <v>500000</v>
      </c>
      <c r="G2409" s="22">
        <f>IFERROR(__xludf.DUMMYFUNCTION("""COMPUTED_VALUE"""),0.0)</f>
        <v>0</v>
      </c>
      <c r="H2409" s="22">
        <f>IFERROR(__xludf.DUMMYFUNCTION("""COMPUTED_VALUE"""),493047.39393845)</f>
        <v>493047.3939</v>
      </c>
      <c r="I2409" s="24">
        <f>IFERROR(__xludf.DUMMYFUNCTION("""COMPUTED_VALUE"""),-0.01390521212309992)</f>
        <v>-0.01390521212</v>
      </c>
    </row>
    <row r="2410">
      <c r="A2410" s="5" t="str">
        <f>IFERROR(__xludf.DUMMYFUNCTION("""COMPUTED_VALUE"""),"38758")</f>
        <v>38758</v>
      </c>
      <c r="B2410" s="64">
        <f>IFERROR(__xludf.DUMMYFUNCTION("""COMPUTED_VALUE"""),44657.0)</f>
        <v>44657</v>
      </c>
      <c r="C2410" s="5"/>
      <c r="D2410" s="5"/>
      <c r="E2410" s="5"/>
      <c r="F2410" s="22">
        <f>IFERROR(__xludf.DUMMYFUNCTION("""COMPUTED_VALUE"""),500000.0)</f>
        <v>500000</v>
      </c>
      <c r="G2410" s="22">
        <f>IFERROR(__xludf.DUMMYFUNCTION("""COMPUTED_VALUE"""),0.0)</f>
        <v>0</v>
      </c>
      <c r="H2410" s="22">
        <f>IFERROR(__xludf.DUMMYFUNCTION("""COMPUTED_VALUE"""),494415.64810500003)</f>
        <v>494415.6481</v>
      </c>
      <c r="I2410" s="24">
        <f>IFERROR(__xludf.DUMMYFUNCTION("""COMPUTED_VALUE"""),-0.011168703789999901)</f>
        <v>-0.01116870379</v>
      </c>
    </row>
    <row r="2411">
      <c r="A2411" s="5" t="str">
        <f>IFERROR(__xludf.DUMMYFUNCTION("""COMPUTED_VALUE"""),"38758")</f>
        <v>38758</v>
      </c>
      <c r="B2411" s="64">
        <f>IFERROR(__xludf.DUMMYFUNCTION("""COMPUTED_VALUE"""),44658.0)</f>
        <v>44658</v>
      </c>
      <c r="C2411" s="5"/>
      <c r="D2411" s="5"/>
      <c r="E2411" s="5"/>
      <c r="F2411" s="22">
        <f>IFERROR(__xludf.DUMMYFUNCTION("""COMPUTED_VALUE"""),500000.0)</f>
        <v>500000</v>
      </c>
      <c r="G2411" s="22">
        <f>IFERROR(__xludf.DUMMYFUNCTION("""COMPUTED_VALUE"""),0.0)</f>
        <v>0</v>
      </c>
      <c r="H2411" s="22">
        <f>IFERROR(__xludf.DUMMYFUNCTION("""COMPUTED_VALUE"""),494877.64810500003)</f>
        <v>494877.6481</v>
      </c>
      <c r="I2411" s="24">
        <f>IFERROR(__xludf.DUMMYFUNCTION("""COMPUTED_VALUE"""),-0.010244703789999976)</f>
        <v>-0.01024470379</v>
      </c>
    </row>
    <row r="2412">
      <c r="A2412" s="5" t="str">
        <f>IFERROR(__xludf.DUMMYFUNCTION("""COMPUTED_VALUE"""),"38758")</f>
        <v>38758</v>
      </c>
      <c r="B2412" s="64">
        <f>IFERROR(__xludf.DUMMYFUNCTION("""COMPUTED_VALUE"""),44659.0)</f>
        <v>44659</v>
      </c>
      <c r="C2412" s="5"/>
      <c r="D2412" s="5"/>
      <c r="E2412" s="5"/>
      <c r="F2412" s="22">
        <f>IFERROR(__xludf.DUMMYFUNCTION("""COMPUTED_VALUE"""),500000.0)</f>
        <v>500000</v>
      </c>
      <c r="G2412" s="22">
        <f>IFERROR(__xludf.DUMMYFUNCTION("""COMPUTED_VALUE"""),0.0)</f>
        <v>0</v>
      </c>
      <c r="H2412" s="22">
        <f>IFERROR(__xludf.DUMMYFUNCTION("""COMPUTED_VALUE"""),494279.14916000003)</f>
        <v>494279.1492</v>
      </c>
      <c r="I2412" s="24">
        <f>IFERROR(__xludf.DUMMYFUNCTION("""COMPUTED_VALUE"""),-0.011441701679999916)</f>
        <v>-0.01144170168</v>
      </c>
    </row>
    <row r="2413">
      <c r="A2413" s="5" t="str">
        <f>IFERROR(__xludf.DUMMYFUNCTION("""COMPUTED_VALUE"""),"38758")</f>
        <v>38758</v>
      </c>
      <c r="B2413" s="64">
        <f>IFERROR(__xludf.DUMMYFUNCTION("""COMPUTED_VALUE"""),44660.0)</f>
        <v>44660</v>
      </c>
      <c r="C2413" s="5"/>
      <c r="D2413" s="5"/>
      <c r="E2413" s="5"/>
      <c r="F2413" s="22">
        <f>IFERROR(__xludf.DUMMYFUNCTION("""COMPUTED_VALUE"""),500000.0)</f>
        <v>500000</v>
      </c>
      <c r="G2413" s="22">
        <f>IFERROR(__xludf.DUMMYFUNCTION("""COMPUTED_VALUE"""),0.0)</f>
        <v>0</v>
      </c>
      <c r="H2413" s="22">
        <f>IFERROR(__xludf.DUMMYFUNCTION("""COMPUTED_VALUE"""),494279.14916000003)</f>
        <v>494279.1492</v>
      </c>
      <c r="I2413" s="24">
        <f>IFERROR(__xludf.DUMMYFUNCTION("""COMPUTED_VALUE"""),-0.011441701679999916)</f>
        <v>-0.01144170168</v>
      </c>
    </row>
    <row r="2414">
      <c r="A2414" s="5" t="str">
        <f>IFERROR(__xludf.DUMMYFUNCTION("""COMPUTED_VALUE"""),"38758")</f>
        <v>38758</v>
      </c>
      <c r="B2414" s="64">
        <f>IFERROR(__xludf.DUMMYFUNCTION("""COMPUTED_VALUE"""),44661.0)</f>
        <v>44661</v>
      </c>
      <c r="C2414" s="5"/>
      <c r="D2414" s="5"/>
      <c r="E2414" s="5"/>
      <c r="F2414" s="22">
        <f>IFERROR(__xludf.DUMMYFUNCTION("""COMPUTED_VALUE"""),500000.0)</f>
        <v>500000</v>
      </c>
      <c r="G2414" s="22">
        <f>IFERROR(__xludf.DUMMYFUNCTION("""COMPUTED_VALUE"""),0.0)</f>
        <v>0</v>
      </c>
      <c r="H2414" s="22">
        <f>IFERROR(__xludf.DUMMYFUNCTION("""COMPUTED_VALUE"""),494279.14916000003)</f>
        <v>494279.1492</v>
      </c>
      <c r="I2414" s="24">
        <f>IFERROR(__xludf.DUMMYFUNCTION("""COMPUTED_VALUE"""),-0.011441701679999916)</f>
        <v>-0.01144170168</v>
      </c>
    </row>
    <row r="2415">
      <c r="A2415" s="5" t="str">
        <f>IFERROR(__xludf.DUMMYFUNCTION("""COMPUTED_VALUE"""),"38758")</f>
        <v>38758</v>
      </c>
      <c r="B2415" s="64">
        <f>IFERROR(__xludf.DUMMYFUNCTION("""COMPUTED_VALUE"""),44662.0)</f>
        <v>44662</v>
      </c>
      <c r="C2415" s="5"/>
      <c r="D2415" s="5"/>
      <c r="E2415" s="5"/>
      <c r="F2415" s="22">
        <f>IFERROR(__xludf.DUMMYFUNCTION("""COMPUTED_VALUE"""),500000.0)</f>
        <v>500000</v>
      </c>
      <c r="G2415" s="22">
        <f>IFERROR(__xludf.DUMMYFUNCTION("""COMPUTED_VALUE"""),0.0)</f>
        <v>0</v>
      </c>
      <c r="H2415" s="22">
        <f>IFERROR(__xludf.DUMMYFUNCTION("""COMPUTED_VALUE"""),498546.93507999997)</f>
        <v>498546.9351</v>
      </c>
      <c r="I2415" s="24">
        <f>IFERROR(__xludf.DUMMYFUNCTION("""COMPUTED_VALUE"""),-0.002906129840000049)</f>
        <v>-0.00290612984</v>
      </c>
    </row>
    <row r="2416">
      <c r="A2416" s="5" t="str">
        <f>IFERROR(__xludf.DUMMYFUNCTION("""COMPUTED_VALUE"""),"38758")</f>
        <v>38758</v>
      </c>
      <c r="B2416" s="64">
        <f>IFERROR(__xludf.DUMMYFUNCTION("""COMPUTED_VALUE"""),44663.0)</f>
        <v>44663</v>
      </c>
      <c r="C2416" s="5"/>
      <c r="D2416" s="5"/>
      <c r="E2416" s="5"/>
      <c r="F2416" s="22">
        <f>IFERROR(__xludf.DUMMYFUNCTION("""COMPUTED_VALUE"""),500000.0)</f>
        <v>500000</v>
      </c>
      <c r="G2416" s="22">
        <f>IFERROR(__xludf.DUMMYFUNCTION("""COMPUTED_VALUE"""),0.0)</f>
        <v>0</v>
      </c>
      <c r="H2416" s="22">
        <f>IFERROR(__xludf.DUMMYFUNCTION("""COMPUTED_VALUE"""),494601.51747)</f>
        <v>494601.5175</v>
      </c>
      <c r="I2416" s="24">
        <f>IFERROR(__xludf.DUMMYFUNCTION("""COMPUTED_VALUE"""),-0.010796965059999941)</f>
        <v>-0.01079696506</v>
      </c>
    </row>
    <row r="2417">
      <c r="A2417" s="5" t="str">
        <f>IFERROR(__xludf.DUMMYFUNCTION("""COMPUTED_VALUE"""),"39011")</f>
        <v>39011</v>
      </c>
      <c r="B2417" s="64">
        <f>IFERROR(__xludf.DUMMYFUNCTION("""COMPUTED_VALUE"""),44597.0)</f>
        <v>44597</v>
      </c>
      <c r="C2417" s="5"/>
      <c r="D2417" s="5"/>
      <c r="E2417" s="5"/>
      <c r="F2417" s="22">
        <f>IFERROR(__xludf.DUMMYFUNCTION("""COMPUTED_VALUE"""),500000.0)</f>
        <v>500000</v>
      </c>
      <c r="G2417" s="22">
        <f>IFERROR(__xludf.DUMMYFUNCTION("""COMPUTED_VALUE"""),0.0)</f>
        <v>0</v>
      </c>
      <c r="H2417" s="22">
        <f>IFERROR(__xludf.DUMMYFUNCTION("""COMPUTED_VALUE"""),500000.0)</f>
        <v>500000</v>
      </c>
      <c r="I2417" s="24">
        <f>IFERROR(__xludf.DUMMYFUNCTION("""COMPUTED_VALUE"""),0.0)</f>
        <v>0</v>
      </c>
    </row>
    <row r="2418">
      <c r="A2418" s="5" t="str">
        <f>IFERROR(__xludf.DUMMYFUNCTION("""COMPUTED_VALUE"""),"39011")</f>
        <v>39011</v>
      </c>
      <c r="B2418" s="64">
        <f>IFERROR(__xludf.DUMMYFUNCTION("""COMPUTED_VALUE"""),44598.0)</f>
        <v>44598</v>
      </c>
      <c r="C2418" s="5"/>
      <c r="D2418" s="5"/>
      <c r="E2418" s="5"/>
      <c r="F2418" s="22">
        <f>IFERROR(__xludf.DUMMYFUNCTION("""COMPUTED_VALUE"""),500000.0)</f>
        <v>500000</v>
      </c>
      <c r="G2418" s="22">
        <f>IFERROR(__xludf.DUMMYFUNCTION("""COMPUTED_VALUE"""),0.0)</f>
        <v>0</v>
      </c>
      <c r="H2418" s="22">
        <f>IFERROR(__xludf.DUMMYFUNCTION("""COMPUTED_VALUE"""),500000.0)</f>
        <v>500000</v>
      </c>
      <c r="I2418" s="24">
        <f>IFERROR(__xludf.DUMMYFUNCTION("""COMPUTED_VALUE"""),0.0)</f>
        <v>0</v>
      </c>
    </row>
    <row r="2419">
      <c r="A2419" s="5" t="str">
        <f>IFERROR(__xludf.DUMMYFUNCTION("""COMPUTED_VALUE"""),"39011")</f>
        <v>39011</v>
      </c>
      <c r="B2419" s="64">
        <f>IFERROR(__xludf.DUMMYFUNCTION("""COMPUTED_VALUE"""),44599.0)</f>
        <v>44599</v>
      </c>
      <c r="C2419" s="5"/>
      <c r="D2419" s="5"/>
      <c r="E2419" s="5"/>
      <c r="F2419" s="22">
        <f>IFERROR(__xludf.DUMMYFUNCTION("""COMPUTED_VALUE"""),500000.0)</f>
        <v>500000</v>
      </c>
      <c r="G2419" s="22">
        <f>IFERROR(__xludf.DUMMYFUNCTION("""COMPUTED_VALUE"""),0.0)</f>
        <v>0</v>
      </c>
      <c r="H2419" s="22">
        <f>IFERROR(__xludf.DUMMYFUNCTION("""COMPUTED_VALUE"""),500000.0)</f>
        <v>500000</v>
      </c>
      <c r="I2419" s="24">
        <f>IFERROR(__xludf.DUMMYFUNCTION("""COMPUTED_VALUE"""),0.0)</f>
        <v>0</v>
      </c>
    </row>
    <row r="2420">
      <c r="A2420" s="5" t="str">
        <f>IFERROR(__xludf.DUMMYFUNCTION("""COMPUTED_VALUE"""),"39011")</f>
        <v>39011</v>
      </c>
      <c r="B2420" s="64">
        <f>IFERROR(__xludf.DUMMYFUNCTION("""COMPUTED_VALUE"""),44600.0)</f>
        <v>44600</v>
      </c>
      <c r="C2420" s="5"/>
      <c r="D2420" s="5"/>
      <c r="E2420" s="5"/>
      <c r="F2420" s="22">
        <f>IFERROR(__xludf.DUMMYFUNCTION("""COMPUTED_VALUE"""),500000.0)</f>
        <v>500000</v>
      </c>
      <c r="G2420" s="22">
        <f>IFERROR(__xludf.DUMMYFUNCTION("""COMPUTED_VALUE"""),0.0)</f>
        <v>0</v>
      </c>
      <c r="H2420" s="22">
        <f>IFERROR(__xludf.DUMMYFUNCTION("""COMPUTED_VALUE"""),500000.0)</f>
        <v>500000</v>
      </c>
      <c r="I2420" s="24">
        <f>IFERROR(__xludf.DUMMYFUNCTION("""COMPUTED_VALUE"""),0.0)</f>
        <v>0</v>
      </c>
    </row>
    <row r="2421">
      <c r="A2421" s="5" t="str">
        <f>IFERROR(__xludf.DUMMYFUNCTION("""COMPUTED_VALUE"""),"39011")</f>
        <v>39011</v>
      </c>
      <c r="B2421" s="64">
        <f>IFERROR(__xludf.DUMMYFUNCTION("""COMPUTED_VALUE"""),44601.0)</f>
        <v>44601</v>
      </c>
      <c r="C2421" s="5"/>
      <c r="D2421" s="5"/>
      <c r="E2421" s="5"/>
      <c r="F2421" s="22">
        <f>IFERROR(__xludf.DUMMYFUNCTION("""COMPUTED_VALUE"""),500000.0)</f>
        <v>500000</v>
      </c>
      <c r="G2421" s="22">
        <f>IFERROR(__xludf.DUMMYFUNCTION("""COMPUTED_VALUE"""),0.0)</f>
        <v>0</v>
      </c>
      <c r="H2421" s="22">
        <f>IFERROR(__xludf.DUMMYFUNCTION("""COMPUTED_VALUE"""),500000.0)</f>
        <v>500000</v>
      </c>
      <c r="I2421" s="24">
        <f>IFERROR(__xludf.DUMMYFUNCTION("""COMPUTED_VALUE"""),0.0)</f>
        <v>0</v>
      </c>
    </row>
    <row r="2422">
      <c r="A2422" s="5" t="str">
        <f>IFERROR(__xludf.DUMMYFUNCTION("""COMPUTED_VALUE"""),"39011")</f>
        <v>39011</v>
      </c>
      <c r="B2422" s="64">
        <f>IFERROR(__xludf.DUMMYFUNCTION("""COMPUTED_VALUE"""),44602.0)</f>
        <v>44602</v>
      </c>
      <c r="C2422" s="5"/>
      <c r="D2422" s="5"/>
      <c r="E2422" s="5"/>
      <c r="F2422" s="22">
        <f>IFERROR(__xludf.DUMMYFUNCTION("""COMPUTED_VALUE"""),500000.0)</f>
        <v>500000</v>
      </c>
      <c r="G2422" s="22">
        <f>IFERROR(__xludf.DUMMYFUNCTION("""COMPUTED_VALUE"""),0.0)</f>
        <v>0</v>
      </c>
      <c r="H2422" s="22">
        <f>IFERROR(__xludf.DUMMYFUNCTION("""COMPUTED_VALUE"""),500000.0)</f>
        <v>500000</v>
      </c>
      <c r="I2422" s="24">
        <f>IFERROR(__xludf.DUMMYFUNCTION("""COMPUTED_VALUE"""),0.0)</f>
        <v>0</v>
      </c>
    </row>
    <row r="2423">
      <c r="A2423" s="5" t="str">
        <f>IFERROR(__xludf.DUMMYFUNCTION("""COMPUTED_VALUE"""),"39011")</f>
        <v>39011</v>
      </c>
      <c r="B2423" s="64">
        <f>IFERROR(__xludf.DUMMYFUNCTION("""COMPUTED_VALUE"""),44603.0)</f>
        <v>44603</v>
      </c>
      <c r="C2423" s="5"/>
      <c r="D2423" s="5"/>
      <c r="E2423" s="5"/>
      <c r="F2423" s="22">
        <f>IFERROR(__xludf.DUMMYFUNCTION("""COMPUTED_VALUE"""),500000.0)</f>
        <v>500000</v>
      </c>
      <c r="G2423" s="22">
        <f>IFERROR(__xludf.DUMMYFUNCTION("""COMPUTED_VALUE"""),0.0)</f>
        <v>0</v>
      </c>
      <c r="H2423" s="22">
        <f>IFERROR(__xludf.DUMMYFUNCTION("""COMPUTED_VALUE"""),500000.0)</f>
        <v>500000</v>
      </c>
      <c r="I2423" s="24">
        <f>IFERROR(__xludf.DUMMYFUNCTION("""COMPUTED_VALUE"""),0.0)</f>
        <v>0</v>
      </c>
    </row>
    <row r="2424">
      <c r="A2424" s="5" t="str">
        <f>IFERROR(__xludf.DUMMYFUNCTION("""COMPUTED_VALUE"""),"39011")</f>
        <v>39011</v>
      </c>
      <c r="B2424" s="64">
        <f>IFERROR(__xludf.DUMMYFUNCTION("""COMPUTED_VALUE"""),44604.0)</f>
        <v>44604</v>
      </c>
      <c r="C2424" s="5"/>
      <c r="D2424" s="5"/>
      <c r="E2424" s="5"/>
      <c r="F2424" s="22">
        <f>IFERROR(__xludf.DUMMYFUNCTION("""COMPUTED_VALUE"""),500000.0)</f>
        <v>500000</v>
      </c>
      <c r="G2424" s="22">
        <f>IFERROR(__xludf.DUMMYFUNCTION("""COMPUTED_VALUE"""),0.0)</f>
        <v>0</v>
      </c>
      <c r="H2424" s="22">
        <f>IFERROR(__xludf.DUMMYFUNCTION("""COMPUTED_VALUE"""),500000.0)</f>
        <v>500000</v>
      </c>
      <c r="I2424" s="24">
        <f>IFERROR(__xludf.DUMMYFUNCTION("""COMPUTED_VALUE"""),0.0)</f>
        <v>0</v>
      </c>
    </row>
    <row r="2425">
      <c r="A2425" s="5" t="str">
        <f>IFERROR(__xludf.DUMMYFUNCTION("""COMPUTED_VALUE"""),"39011")</f>
        <v>39011</v>
      </c>
      <c r="B2425" s="64">
        <f>IFERROR(__xludf.DUMMYFUNCTION("""COMPUTED_VALUE"""),44605.0)</f>
        <v>44605</v>
      </c>
      <c r="C2425" s="5"/>
      <c r="D2425" s="5"/>
      <c r="E2425" s="5"/>
      <c r="F2425" s="22">
        <f>IFERROR(__xludf.DUMMYFUNCTION("""COMPUTED_VALUE"""),500000.0)</f>
        <v>500000</v>
      </c>
      <c r="G2425" s="22">
        <f>IFERROR(__xludf.DUMMYFUNCTION("""COMPUTED_VALUE"""),0.0)</f>
        <v>0</v>
      </c>
      <c r="H2425" s="22">
        <f>IFERROR(__xludf.DUMMYFUNCTION("""COMPUTED_VALUE"""),500000.0)</f>
        <v>500000</v>
      </c>
      <c r="I2425" s="24">
        <f>IFERROR(__xludf.DUMMYFUNCTION("""COMPUTED_VALUE"""),0.0)</f>
        <v>0</v>
      </c>
    </row>
    <row r="2426">
      <c r="A2426" s="5" t="str">
        <f>IFERROR(__xludf.DUMMYFUNCTION("""COMPUTED_VALUE"""),"39011")</f>
        <v>39011</v>
      </c>
      <c r="B2426" s="64">
        <f>IFERROR(__xludf.DUMMYFUNCTION("""COMPUTED_VALUE"""),44606.0)</f>
        <v>44606</v>
      </c>
      <c r="C2426" s="5"/>
      <c r="D2426" s="5"/>
      <c r="E2426" s="5"/>
      <c r="F2426" s="22">
        <f>IFERROR(__xludf.DUMMYFUNCTION("""COMPUTED_VALUE"""),500000.0)</f>
        <v>500000</v>
      </c>
      <c r="G2426" s="22">
        <f>IFERROR(__xludf.DUMMYFUNCTION("""COMPUTED_VALUE"""),0.0)</f>
        <v>0</v>
      </c>
      <c r="H2426" s="22">
        <f>IFERROR(__xludf.DUMMYFUNCTION("""COMPUTED_VALUE"""),500000.0)</f>
        <v>500000</v>
      </c>
      <c r="I2426" s="24">
        <f>IFERROR(__xludf.DUMMYFUNCTION("""COMPUTED_VALUE"""),0.0)</f>
        <v>0</v>
      </c>
    </row>
    <row r="2427">
      <c r="A2427" s="5" t="str">
        <f>IFERROR(__xludf.DUMMYFUNCTION("""COMPUTED_VALUE"""),"39011")</f>
        <v>39011</v>
      </c>
      <c r="B2427" s="64">
        <f>IFERROR(__xludf.DUMMYFUNCTION("""COMPUTED_VALUE"""),44607.0)</f>
        <v>44607</v>
      </c>
      <c r="C2427" s="5"/>
      <c r="D2427" s="5"/>
      <c r="E2427" s="5"/>
      <c r="F2427" s="22">
        <f>IFERROR(__xludf.DUMMYFUNCTION("""COMPUTED_VALUE"""),500000.0)</f>
        <v>500000</v>
      </c>
      <c r="G2427" s="22">
        <f>IFERROR(__xludf.DUMMYFUNCTION("""COMPUTED_VALUE"""),0.0)</f>
        <v>0</v>
      </c>
      <c r="H2427" s="22">
        <f>IFERROR(__xludf.DUMMYFUNCTION("""COMPUTED_VALUE"""),500000.0)</f>
        <v>500000</v>
      </c>
      <c r="I2427" s="24">
        <f>IFERROR(__xludf.DUMMYFUNCTION("""COMPUTED_VALUE"""),0.0)</f>
        <v>0</v>
      </c>
    </row>
    <row r="2428">
      <c r="A2428" s="5" t="str">
        <f>IFERROR(__xludf.DUMMYFUNCTION("""COMPUTED_VALUE"""),"39011")</f>
        <v>39011</v>
      </c>
      <c r="B2428" s="64">
        <f>IFERROR(__xludf.DUMMYFUNCTION("""COMPUTED_VALUE"""),44608.0)</f>
        <v>44608</v>
      </c>
      <c r="C2428" s="5"/>
      <c r="D2428" s="5"/>
      <c r="E2428" s="5"/>
      <c r="F2428" s="22">
        <f>IFERROR(__xludf.DUMMYFUNCTION("""COMPUTED_VALUE"""),500000.0)</f>
        <v>500000</v>
      </c>
      <c r="G2428" s="22">
        <f>IFERROR(__xludf.DUMMYFUNCTION("""COMPUTED_VALUE"""),0.0)</f>
        <v>0</v>
      </c>
      <c r="H2428" s="22">
        <f>IFERROR(__xludf.DUMMYFUNCTION("""COMPUTED_VALUE"""),500000.0)</f>
        <v>500000</v>
      </c>
      <c r="I2428" s="24">
        <f>IFERROR(__xludf.DUMMYFUNCTION("""COMPUTED_VALUE"""),0.0)</f>
        <v>0</v>
      </c>
    </row>
    <row r="2429">
      <c r="A2429" s="5" t="str">
        <f>IFERROR(__xludf.DUMMYFUNCTION("""COMPUTED_VALUE"""),"39011")</f>
        <v>39011</v>
      </c>
      <c r="B2429" s="64">
        <f>IFERROR(__xludf.DUMMYFUNCTION("""COMPUTED_VALUE"""),44609.0)</f>
        <v>44609</v>
      </c>
      <c r="C2429" s="5"/>
      <c r="D2429" s="5"/>
      <c r="E2429" s="5"/>
      <c r="F2429" s="22">
        <f>IFERROR(__xludf.DUMMYFUNCTION("""COMPUTED_VALUE"""),500000.0)</f>
        <v>500000</v>
      </c>
      <c r="G2429" s="22">
        <f>IFERROR(__xludf.DUMMYFUNCTION("""COMPUTED_VALUE"""),0.0)</f>
        <v>0</v>
      </c>
      <c r="H2429" s="22">
        <f>IFERROR(__xludf.DUMMYFUNCTION("""COMPUTED_VALUE"""),500000.0)</f>
        <v>500000</v>
      </c>
      <c r="I2429" s="24">
        <f>IFERROR(__xludf.DUMMYFUNCTION("""COMPUTED_VALUE"""),0.0)</f>
        <v>0</v>
      </c>
    </row>
    <row r="2430">
      <c r="A2430" s="5" t="str">
        <f>IFERROR(__xludf.DUMMYFUNCTION("""COMPUTED_VALUE"""),"39011")</f>
        <v>39011</v>
      </c>
      <c r="B2430" s="64">
        <f>IFERROR(__xludf.DUMMYFUNCTION("""COMPUTED_VALUE"""),44610.0)</f>
        <v>44610</v>
      </c>
      <c r="C2430" s="5"/>
      <c r="D2430" s="5"/>
      <c r="E2430" s="5"/>
      <c r="F2430" s="22">
        <f>IFERROR(__xludf.DUMMYFUNCTION("""COMPUTED_VALUE"""),500000.0)</f>
        <v>500000</v>
      </c>
      <c r="G2430" s="22">
        <f>IFERROR(__xludf.DUMMYFUNCTION("""COMPUTED_VALUE"""),0.0)</f>
        <v>0</v>
      </c>
      <c r="H2430" s="22">
        <f>IFERROR(__xludf.DUMMYFUNCTION("""COMPUTED_VALUE"""),500000.0)</f>
        <v>500000</v>
      </c>
      <c r="I2430" s="24">
        <f>IFERROR(__xludf.DUMMYFUNCTION("""COMPUTED_VALUE"""),0.0)</f>
        <v>0</v>
      </c>
    </row>
    <row r="2431">
      <c r="A2431" s="5" t="str">
        <f>IFERROR(__xludf.DUMMYFUNCTION("""COMPUTED_VALUE"""),"39011")</f>
        <v>39011</v>
      </c>
      <c r="B2431" s="64">
        <f>IFERROR(__xludf.DUMMYFUNCTION("""COMPUTED_VALUE"""),44611.0)</f>
        <v>44611</v>
      </c>
      <c r="C2431" s="5"/>
      <c r="D2431" s="5"/>
      <c r="E2431" s="5"/>
      <c r="F2431" s="22">
        <f>IFERROR(__xludf.DUMMYFUNCTION("""COMPUTED_VALUE"""),500000.0)</f>
        <v>500000</v>
      </c>
      <c r="G2431" s="22">
        <f>IFERROR(__xludf.DUMMYFUNCTION("""COMPUTED_VALUE"""),0.0)</f>
        <v>0</v>
      </c>
      <c r="H2431" s="22">
        <f>IFERROR(__xludf.DUMMYFUNCTION("""COMPUTED_VALUE"""),500000.0)</f>
        <v>500000</v>
      </c>
      <c r="I2431" s="24">
        <f>IFERROR(__xludf.DUMMYFUNCTION("""COMPUTED_VALUE"""),0.0)</f>
        <v>0</v>
      </c>
    </row>
    <row r="2432">
      <c r="A2432" s="5" t="str">
        <f>IFERROR(__xludf.DUMMYFUNCTION("""COMPUTED_VALUE"""),"39011")</f>
        <v>39011</v>
      </c>
      <c r="B2432" s="64">
        <f>IFERROR(__xludf.DUMMYFUNCTION("""COMPUTED_VALUE"""),44612.0)</f>
        <v>44612</v>
      </c>
      <c r="C2432" s="5"/>
      <c r="D2432" s="5"/>
      <c r="E2432" s="5"/>
      <c r="F2432" s="22">
        <f>IFERROR(__xludf.DUMMYFUNCTION("""COMPUTED_VALUE"""),500000.0)</f>
        <v>500000</v>
      </c>
      <c r="G2432" s="22">
        <f>IFERROR(__xludf.DUMMYFUNCTION("""COMPUTED_VALUE"""),0.0)</f>
        <v>0</v>
      </c>
      <c r="H2432" s="22">
        <f>IFERROR(__xludf.DUMMYFUNCTION("""COMPUTED_VALUE"""),500000.0)</f>
        <v>500000</v>
      </c>
      <c r="I2432" s="24">
        <f>IFERROR(__xludf.DUMMYFUNCTION("""COMPUTED_VALUE"""),0.0)</f>
        <v>0</v>
      </c>
    </row>
    <row r="2433">
      <c r="A2433" s="5" t="str">
        <f>IFERROR(__xludf.DUMMYFUNCTION("""COMPUTED_VALUE"""),"39011")</f>
        <v>39011</v>
      </c>
      <c r="B2433" s="64">
        <f>IFERROR(__xludf.DUMMYFUNCTION("""COMPUTED_VALUE"""),44613.0)</f>
        <v>44613</v>
      </c>
      <c r="C2433" s="5"/>
      <c r="D2433" s="5"/>
      <c r="E2433" s="5"/>
      <c r="F2433" s="22">
        <f>IFERROR(__xludf.DUMMYFUNCTION("""COMPUTED_VALUE"""),500000.0)</f>
        <v>500000</v>
      </c>
      <c r="G2433" s="22">
        <f>IFERROR(__xludf.DUMMYFUNCTION("""COMPUTED_VALUE"""),0.0)</f>
        <v>0</v>
      </c>
      <c r="H2433" s="22">
        <f>IFERROR(__xludf.DUMMYFUNCTION("""COMPUTED_VALUE"""),500000.0)</f>
        <v>500000</v>
      </c>
      <c r="I2433" s="24">
        <f>IFERROR(__xludf.DUMMYFUNCTION("""COMPUTED_VALUE"""),0.0)</f>
        <v>0</v>
      </c>
    </row>
    <row r="2434">
      <c r="A2434" s="5" t="str">
        <f>IFERROR(__xludf.DUMMYFUNCTION("""COMPUTED_VALUE"""),"39011")</f>
        <v>39011</v>
      </c>
      <c r="B2434" s="64">
        <f>IFERROR(__xludf.DUMMYFUNCTION("""COMPUTED_VALUE"""),44614.0)</f>
        <v>44614</v>
      </c>
      <c r="C2434" s="5"/>
      <c r="D2434" s="5"/>
      <c r="E2434" s="5"/>
      <c r="F2434" s="22">
        <f>IFERROR(__xludf.DUMMYFUNCTION("""COMPUTED_VALUE"""),500000.0)</f>
        <v>500000</v>
      </c>
      <c r="G2434" s="22">
        <f>IFERROR(__xludf.DUMMYFUNCTION("""COMPUTED_VALUE"""),0.0)</f>
        <v>0</v>
      </c>
      <c r="H2434" s="22">
        <f>IFERROR(__xludf.DUMMYFUNCTION("""COMPUTED_VALUE"""),500000.0)</f>
        <v>500000</v>
      </c>
      <c r="I2434" s="24">
        <f>IFERROR(__xludf.DUMMYFUNCTION("""COMPUTED_VALUE"""),0.0)</f>
        <v>0</v>
      </c>
    </row>
    <row r="2435">
      <c r="A2435" s="5" t="str">
        <f>IFERROR(__xludf.DUMMYFUNCTION("""COMPUTED_VALUE"""),"39011")</f>
        <v>39011</v>
      </c>
      <c r="B2435" s="64">
        <f>IFERROR(__xludf.DUMMYFUNCTION("""COMPUTED_VALUE"""),44615.0)</f>
        <v>44615</v>
      </c>
      <c r="C2435" s="5"/>
      <c r="D2435" s="5"/>
      <c r="E2435" s="5"/>
      <c r="F2435" s="22">
        <f>IFERROR(__xludf.DUMMYFUNCTION("""COMPUTED_VALUE"""),500000.0)</f>
        <v>500000</v>
      </c>
      <c r="G2435" s="22">
        <f>IFERROR(__xludf.DUMMYFUNCTION("""COMPUTED_VALUE"""),0.0)</f>
        <v>0</v>
      </c>
      <c r="H2435" s="22">
        <f>IFERROR(__xludf.DUMMYFUNCTION("""COMPUTED_VALUE"""),500000.0)</f>
        <v>500000</v>
      </c>
      <c r="I2435" s="24">
        <f>IFERROR(__xludf.DUMMYFUNCTION("""COMPUTED_VALUE"""),0.0)</f>
        <v>0</v>
      </c>
    </row>
    <row r="2436">
      <c r="A2436" s="5" t="str">
        <f>IFERROR(__xludf.DUMMYFUNCTION("""COMPUTED_VALUE"""),"39011")</f>
        <v>39011</v>
      </c>
      <c r="B2436" s="64">
        <f>IFERROR(__xludf.DUMMYFUNCTION("""COMPUTED_VALUE"""),44616.0)</f>
        <v>44616</v>
      </c>
      <c r="C2436" s="5"/>
      <c r="D2436" s="5"/>
      <c r="E2436" s="5"/>
      <c r="F2436" s="22">
        <f>IFERROR(__xludf.DUMMYFUNCTION("""COMPUTED_VALUE"""),500000.0)</f>
        <v>500000</v>
      </c>
      <c r="G2436" s="22">
        <f>IFERROR(__xludf.DUMMYFUNCTION("""COMPUTED_VALUE"""),0.0)</f>
        <v>0</v>
      </c>
      <c r="H2436" s="22">
        <f>IFERROR(__xludf.DUMMYFUNCTION("""COMPUTED_VALUE"""),500000.0)</f>
        <v>500000</v>
      </c>
      <c r="I2436" s="24">
        <f>IFERROR(__xludf.DUMMYFUNCTION("""COMPUTED_VALUE"""),0.0)</f>
        <v>0</v>
      </c>
    </row>
    <row r="2437">
      <c r="A2437" s="5" t="str">
        <f>IFERROR(__xludf.DUMMYFUNCTION("""COMPUTED_VALUE"""),"39011")</f>
        <v>39011</v>
      </c>
      <c r="B2437" s="64">
        <f>IFERROR(__xludf.DUMMYFUNCTION("""COMPUTED_VALUE"""),44617.0)</f>
        <v>44617</v>
      </c>
      <c r="C2437" s="5"/>
      <c r="D2437" s="5"/>
      <c r="E2437" s="5"/>
      <c r="F2437" s="22">
        <f>IFERROR(__xludf.DUMMYFUNCTION("""COMPUTED_VALUE"""),500000.0)</f>
        <v>500000</v>
      </c>
      <c r="G2437" s="22">
        <f>IFERROR(__xludf.DUMMYFUNCTION("""COMPUTED_VALUE"""),0.0)</f>
        <v>0</v>
      </c>
      <c r="H2437" s="22">
        <f>IFERROR(__xludf.DUMMYFUNCTION("""COMPUTED_VALUE"""),500000.0)</f>
        <v>500000</v>
      </c>
      <c r="I2437" s="24">
        <f>IFERROR(__xludf.DUMMYFUNCTION("""COMPUTED_VALUE"""),0.0)</f>
        <v>0</v>
      </c>
    </row>
    <row r="2438">
      <c r="A2438" s="5" t="str">
        <f>IFERROR(__xludf.DUMMYFUNCTION("""COMPUTED_VALUE"""),"39011")</f>
        <v>39011</v>
      </c>
      <c r="B2438" s="64">
        <f>IFERROR(__xludf.DUMMYFUNCTION("""COMPUTED_VALUE"""),44618.0)</f>
        <v>44618</v>
      </c>
      <c r="C2438" s="5"/>
      <c r="D2438" s="5"/>
      <c r="E2438" s="5"/>
      <c r="F2438" s="22">
        <f>IFERROR(__xludf.DUMMYFUNCTION("""COMPUTED_VALUE"""),500000.0)</f>
        <v>500000</v>
      </c>
      <c r="G2438" s="22">
        <f>IFERROR(__xludf.DUMMYFUNCTION("""COMPUTED_VALUE"""),0.0)</f>
        <v>0</v>
      </c>
      <c r="H2438" s="22">
        <f>IFERROR(__xludf.DUMMYFUNCTION("""COMPUTED_VALUE"""),500000.0)</f>
        <v>500000</v>
      </c>
      <c r="I2438" s="24">
        <f>IFERROR(__xludf.DUMMYFUNCTION("""COMPUTED_VALUE"""),0.0)</f>
        <v>0</v>
      </c>
    </row>
    <row r="2439">
      <c r="A2439" s="5" t="str">
        <f>IFERROR(__xludf.DUMMYFUNCTION("""COMPUTED_VALUE"""),"39011")</f>
        <v>39011</v>
      </c>
      <c r="B2439" s="64">
        <f>IFERROR(__xludf.DUMMYFUNCTION("""COMPUTED_VALUE"""),44619.0)</f>
        <v>44619</v>
      </c>
      <c r="C2439" s="5"/>
      <c r="D2439" s="5"/>
      <c r="E2439" s="5"/>
      <c r="F2439" s="22">
        <f>IFERROR(__xludf.DUMMYFUNCTION("""COMPUTED_VALUE"""),500000.0)</f>
        <v>500000</v>
      </c>
      <c r="G2439" s="22">
        <f>IFERROR(__xludf.DUMMYFUNCTION("""COMPUTED_VALUE"""),0.0)</f>
        <v>0</v>
      </c>
      <c r="H2439" s="22">
        <f>IFERROR(__xludf.DUMMYFUNCTION("""COMPUTED_VALUE"""),500000.0)</f>
        <v>500000</v>
      </c>
      <c r="I2439" s="24">
        <f>IFERROR(__xludf.DUMMYFUNCTION("""COMPUTED_VALUE"""),0.0)</f>
        <v>0</v>
      </c>
    </row>
    <row r="2440">
      <c r="A2440" s="5" t="str">
        <f>IFERROR(__xludf.DUMMYFUNCTION("""COMPUTED_VALUE"""),"39011")</f>
        <v>39011</v>
      </c>
      <c r="B2440" s="64">
        <f>IFERROR(__xludf.DUMMYFUNCTION("""COMPUTED_VALUE"""),44620.0)</f>
        <v>44620</v>
      </c>
      <c r="C2440" s="5"/>
      <c r="D2440" s="5"/>
      <c r="E2440" s="5"/>
      <c r="F2440" s="22">
        <f>IFERROR(__xludf.DUMMYFUNCTION("""COMPUTED_VALUE"""),500000.0)</f>
        <v>500000</v>
      </c>
      <c r="G2440" s="22">
        <f>IFERROR(__xludf.DUMMYFUNCTION("""COMPUTED_VALUE"""),0.0)</f>
        <v>0</v>
      </c>
      <c r="H2440" s="22">
        <f>IFERROR(__xludf.DUMMYFUNCTION("""COMPUTED_VALUE"""),500000.0)</f>
        <v>500000</v>
      </c>
      <c r="I2440" s="24">
        <f>IFERROR(__xludf.DUMMYFUNCTION("""COMPUTED_VALUE"""),0.0)</f>
        <v>0</v>
      </c>
    </row>
    <row r="2441">
      <c r="A2441" s="5" t="str">
        <f>IFERROR(__xludf.DUMMYFUNCTION("""COMPUTED_VALUE"""),"39011")</f>
        <v>39011</v>
      </c>
      <c r="B2441" s="64">
        <f>IFERROR(__xludf.DUMMYFUNCTION("""COMPUTED_VALUE"""),44621.0)</f>
        <v>44621</v>
      </c>
      <c r="C2441" s="5"/>
      <c r="D2441" s="5"/>
      <c r="E2441" s="5"/>
      <c r="F2441" s="22">
        <f>IFERROR(__xludf.DUMMYFUNCTION("""COMPUTED_VALUE"""),500000.0)</f>
        <v>500000</v>
      </c>
      <c r="G2441" s="22">
        <f>IFERROR(__xludf.DUMMYFUNCTION("""COMPUTED_VALUE"""),0.0)</f>
        <v>0</v>
      </c>
      <c r="H2441" s="22">
        <f>IFERROR(__xludf.DUMMYFUNCTION("""COMPUTED_VALUE"""),500000.0)</f>
        <v>500000</v>
      </c>
      <c r="I2441" s="24">
        <f>IFERROR(__xludf.DUMMYFUNCTION("""COMPUTED_VALUE"""),0.0)</f>
        <v>0</v>
      </c>
    </row>
    <row r="2442">
      <c r="A2442" s="5" t="str">
        <f>IFERROR(__xludf.DUMMYFUNCTION("""COMPUTED_VALUE"""),"39011")</f>
        <v>39011</v>
      </c>
      <c r="B2442" s="64">
        <f>IFERROR(__xludf.DUMMYFUNCTION("""COMPUTED_VALUE"""),44622.0)</f>
        <v>44622</v>
      </c>
      <c r="C2442" s="5"/>
      <c r="D2442" s="5"/>
      <c r="E2442" s="5"/>
      <c r="F2442" s="22">
        <f>IFERROR(__xludf.DUMMYFUNCTION("""COMPUTED_VALUE"""),500000.0)</f>
        <v>500000</v>
      </c>
      <c r="G2442" s="22">
        <f>IFERROR(__xludf.DUMMYFUNCTION("""COMPUTED_VALUE"""),0.0)</f>
        <v>0</v>
      </c>
      <c r="H2442" s="22">
        <f>IFERROR(__xludf.DUMMYFUNCTION("""COMPUTED_VALUE"""),500000.0)</f>
        <v>500000</v>
      </c>
      <c r="I2442" s="24">
        <f>IFERROR(__xludf.DUMMYFUNCTION("""COMPUTED_VALUE"""),0.0)</f>
        <v>0</v>
      </c>
    </row>
    <row r="2443">
      <c r="A2443" s="5" t="str">
        <f>IFERROR(__xludf.DUMMYFUNCTION("""COMPUTED_VALUE"""),"39011")</f>
        <v>39011</v>
      </c>
      <c r="B2443" s="64">
        <f>IFERROR(__xludf.DUMMYFUNCTION("""COMPUTED_VALUE"""),44623.0)</f>
        <v>44623</v>
      </c>
      <c r="C2443" s="5"/>
      <c r="D2443" s="5"/>
      <c r="E2443" s="5"/>
      <c r="F2443" s="22">
        <f>IFERROR(__xludf.DUMMYFUNCTION("""COMPUTED_VALUE"""),500000.0)</f>
        <v>500000</v>
      </c>
      <c r="G2443" s="22">
        <f>IFERROR(__xludf.DUMMYFUNCTION("""COMPUTED_VALUE"""),0.0)</f>
        <v>0</v>
      </c>
      <c r="H2443" s="22">
        <f>IFERROR(__xludf.DUMMYFUNCTION("""COMPUTED_VALUE"""),500000.0)</f>
        <v>500000</v>
      </c>
      <c r="I2443" s="24">
        <f>IFERROR(__xludf.DUMMYFUNCTION("""COMPUTED_VALUE"""),0.0)</f>
        <v>0</v>
      </c>
    </row>
    <row r="2444">
      <c r="A2444" s="5" t="str">
        <f>IFERROR(__xludf.DUMMYFUNCTION("""COMPUTED_VALUE"""),"39011")</f>
        <v>39011</v>
      </c>
      <c r="B2444" s="64">
        <f>IFERROR(__xludf.DUMMYFUNCTION("""COMPUTED_VALUE"""),44624.0)</f>
        <v>44624</v>
      </c>
      <c r="C2444" s="5"/>
      <c r="D2444" s="5"/>
      <c r="E2444" s="5"/>
      <c r="F2444" s="22">
        <f>IFERROR(__xludf.DUMMYFUNCTION("""COMPUTED_VALUE"""),500000.0)</f>
        <v>500000</v>
      </c>
      <c r="G2444" s="22">
        <f>IFERROR(__xludf.DUMMYFUNCTION("""COMPUTED_VALUE"""),0.0)</f>
        <v>0</v>
      </c>
      <c r="H2444" s="22">
        <f>IFERROR(__xludf.DUMMYFUNCTION("""COMPUTED_VALUE"""),500000.0)</f>
        <v>500000</v>
      </c>
      <c r="I2444" s="24">
        <f>IFERROR(__xludf.DUMMYFUNCTION("""COMPUTED_VALUE"""),0.0)</f>
        <v>0</v>
      </c>
    </row>
    <row r="2445">
      <c r="A2445" s="5" t="str">
        <f>IFERROR(__xludf.DUMMYFUNCTION("""COMPUTED_VALUE"""),"39011")</f>
        <v>39011</v>
      </c>
      <c r="B2445" s="64">
        <f>IFERROR(__xludf.DUMMYFUNCTION("""COMPUTED_VALUE"""),44625.0)</f>
        <v>44625</v>
      </c>
      <c r="C2445" s="5"/>
      <c r="D2445" s="5"/>
      <c r="E2445" s="5"/>
      <c r="F2445" s="22">
        <f>IFERROR(__xludf.DUMMYFUNCTION("""COMPUTED_VALUE"""),500000.0)</f>
        <v>500000</v>
      </c>
      <c r="G2445" s="22">
        <f>IFERROR(__xludf.DUMMYFUNCTION("""COMPUTED_VALUE"""),0.0)</f>
        <v>0</v>
      </c>
      <c r="H2445" s="22">
        <f>IFERROR(__xludf.DUMMYFUNCTION("""COMPUTED_VALUE"""),500000.0)</f>
        <v>500000</v>
      </c>
      <c r="I2445" s="24">
        <f>IFERROR(__xludf.DUMMYFUNCTION("""COMPUTED_VALUE"""),0.0)</f>
        <v>0</v>
      </c>
    </row>
    <row r="2446">
      <c r="A2446" s="5" t="str">
        <f>IFERROR(__xludf.DUMMYFUNCTION("""COMPUTED_VALUE"""),"39011")</f>
        <v>39011</v>
      </c>
      <c r="B2446" s="64">
        <f>IFERROR(__xludf.DUMMYFUNCTION("""COMPUTED_VALUE"""),44626.0)</f>
        <v>44626</v>
      </c>
      <c r="C2446" s="5"/>
      <c r="D2446" s="5"/>
      <c r="E2446" s="5"/>
      <c r="F2446" s="22">
        <f>IFERROR(__xludf.DUMMYFUNCTION("""COMPUTED_VALUE"""),500000.0)</f>
        <v>500000</v>
      </c>
      <c r="G2446" s="22">
        <f>IFERROR(__xludf.DUMMYFUNCTION("""COMPUTED_VALUE"""),0.0)</f>
        <v>0</v>
      </c>
      <c r="H2446" s="22">
        <f>IFERROR(__xludf.DUMMYFUNCTION("""COMPUTED_VALUE"""),500000.0)</f>
        <v>500000</v>
      </c>
      <c r="I2446" s="24">
        <f>IFERROR(__xludf.DUMMYFUNCTION("""COMPUTED_VALUE"""),0.0)</f>
        <v>0</v>
      </c>
    </row>
    <row r="2447">
      <c r="A2447" s="5" t="str">
        <f>IFERROR(__xludf.DUMMYFUNCTION("""COMPUTED_VALUE"""),"39011")</f>
        <v>39011</v>
      </c>
      <c r="B2447" s="64">
        <f>IFERROR(__xludf.DUMMYFUNCTION("""COMPUTED_VALUE"""),44627.0)</f>
        <v>44627</v>
      </c>
      <c r="C2447" s="5"/>
      <c r="D2447" s="5"/>
      <c r="E2447" s="5"/>
      <c r="F2447" s="22">
        <f>IFERROR(__xludf.DUMMYFUNCTION("""COMPUTED_VALUE"""),500000.0)</f>
        <v>500000</v>
      </c>
      <c r="G2447" s="22">
        <f>IFERROR(__xludf.DUMMYFUNCTION("""COMPUTED_VALUE"""),0.0)</f>
        <v>0</v>
      </c>
      <c r="H2447" s="22">
        <f>IFERROR(__xludf.DUMMYFUNCTION("""COMPUTED_VALUE"""),500000.0)</f>
        <v>500000</v>
      </c>
      <c r="I2447" s="24">
        <f>IFERROR(__xludf.DUMMYFUNCTION("""COMPUTED_VALUE"""),0.0)</f>
        <v>0</v>
      </c>
    </row>
    <row r="2448">
      <c r="A2448" s="5" t="str">
        <f>IFERROR(__xludf.DUMMYFUNCTION("""COMPUTED_VALUE"""),"39011")</f>
        <v>39011</v>
      </c>
      <c r="B2448" s="64">
        <f>IFERROR(__xludf.DUMMYFUNCTION("""COMPUTED_VALUE"""),44628.0)</f>
        <v>44628</v>
      </c>
      <c r="C2448" s="5"/>
      <c r="D2448" s="5"/>
      <c r="E2448" s="5"/>
      <c r="F2448" s="22">
        <f>IFERROR(__xludf.DUMMYFUNCTION("""COMPUTED_VALUE"""),500000.0)</f>
        <v>500000</v>
      </c>
      <c r="G2448" s="22">
        <f>IFERROR(__xludf.DUMMYFUNCTION("""COMPUTED_VALUE"""),0.0)</f>
        <v>0</v>
      </c>
      <c r="H2448" s="22">
        <f>IFERROR(__xludf.DUMMYFUNCTION("""COMPUTED_VALUE"""),500000.0)</f>
        <v>500000</v>
      </c>
      <c r="I2448" s="24">
        <f>IFERROR(__xludf.DUMMYFUNCTION("""COMPUTED_VALUE"""),0.0)</f>
        <v>0</v>
      </c>
    </row>
    <row r="2449">
      <c r="A2449" s="5" t="str">
        <f>IFERROR(__xludf.DUMMYFUNCTION("""COMPUTED_VALUE"""),"39011")</f>
        <v>39011</v>
      </c>
      <c r="B2449" s="64">
        <f>IFERROR(__xludf.DUMMYFUNCTION("""COMPUTED_VALUE"""),44629.0)</f>
        <v>44629</v>
      </c>
      <c r="C2449" s="5"/>
      <c r="D2449" s="5"/>
      <c r="E2449" s="5"/>
      <c r="F2449" s="22">
        <f>IFERROR(__xludf.DUMMYFUNCTION("""COMPUTED_VALUE"""),500000.0)</f>
        <v>500000</v>
      </c>
      <c r="G2449" s="22">
        <f>IFERROR(__xludf.DUMMYFUNCTION("""COMPUTED_VALUE"""),0.0)</f>
        <v>0</v>
      </c>
      <c r="H2449" s="22">
        <f>IFERROR(__xludf.DUMMYFUNCTION("""COMPUTED_VALUE"""),500000.0)</f>
        <v>500000</v>
      </c>
      <c r="I2449" s="24">
        <f>IFERROR(__xludf.DUMMYFUNCTION("""COMPUTED_VALUE"""),0.0)</f>
        <v>0</v>
      </c>
    </row>
    <row r="2450">
      <c r="A2450" s="5" t="str">
        <f>IFERROR(__xludf.DUMMYFUNCTION("""COMPUTED_VALUE"""),"39011")</f>
        <v>39011</v>
      </c>
      <c r="B2450" s="64">
        <f>IFERROR(__xludf.DUMMYFUNCTION("""COMPUTED_VALUE"""),44630.0)</f>
        <v>44630</v>
      </c>
      <c r="C2450" s="5"/>
      <c r="D2450" s="5"/>
      <c r="E2450" s="5"/>
      <c r="F2450" s="22">
        <f>IFERROR(__xludf.DUMMYFUNCTION("""COMPUTED_VALUE"""),500000.0)</f>
        <v>500000</v>
      </c>
      <c r="G2450" s="22">
        <f>IFERROR(__xludf.DUMMYFUNCTION("""COMPUTED_VALUE"""),0.0)</f>
        <v>0</v>
      </c>
      <c r="H2450" s="22">
        <f>IFERROR(__xludf.DUMMYFUNCTION("""COMPUTED_VALUE"""),500000.0)</f>
        <v>500000</v>
      </c>
      <c r="I2450" s="24">
        <f>IFERROR(__xludf.DUMMYFUNCTION("""COMPUTED_VALUE"""),0.0)</f>
        <v>0</v>
      </c>
    </row>
    <row r="2451">
      <c r="A2451" s="5" t="str">
        <f>IFERROR(__xludf.DUMMYFUNCTION("""COMPUTED_VALUE"""),"39011")</f>
        <v>39011</v>
      </c>
      <c r="B2451" s="64">
        <f>IFERROR(__xludf.DUMMYFUNCTION("""COMPUTED_VALUE"""),44631.0)</f>
        <v>44631</v>
      </c>
      <c r="C2451" s="5"/>
      <c r="D2451" s="5"/>
      <c r="E2451" s="5"/>
      <c r="F2451" s="22">
        <f>IFERROR(__xludf.DUMMYFUNCTION("""COMPUTED_VALUE"""),500000.0)</f>
        <v>500000</v>
      </c>
      <c r="G2451" s="22">
        <f>IFERROR(__xludf.DUMMYFUNCTION("""COMPUTED_VALUE"""),0.0)</f>
        <v>0</v>
      </c>
      <c r="H2451" s="22">
        <f>IFERROR(__xludf.DUMMYFUNCTION("""COMPUTED_VALUE"""),500000.0)</f>
        <v>500000</v>
      </c>
      <c r="I2451" s="24">
        <f>IFERROR(__xludf.DUMMYFUNCTION("""COMPUTED_VALUE"""),0.0)</f>
        <v>0</v>
      </c>
    </row>
    <row r="2452">
      <c r="A2452" s="5" t="str">
        <f>IFERROR(__xludf.DUMMYFUNCTION("""COMPUTED_VALUE"""),"39011")</f>
        <v>39011</v>
      </c>
      <c r="B2452" s="64">
        <f>IFERROR(__xludf.DUMMYFUNCTION("""COMPUTED_VALUE"""),44632.0)</f>
        <v>44632</v>
      </c>
      <c r="C2452" s="5"/>
      <c r="D2452" s="5"/>
      <c r="E2452" s="5"/>
      <c r="F2452" s="22">
        <f>IFERROR(__xludf.DUMMYFUNCTION("""COMPUTED_VALUE"""),500000.0)</f>
        <v>500000</v>
      </c>
      <c r="G2452" s="22">
        <f>IFERROR(__xludf.DUMMYFUNCTION("""COMPUTED_VALUE"""),0.0)</f>
        <v>0</v>
      </c>
      <c r="H2452" s="22">
        <f>IFERROR(__xludf.DUMMYFUNCTION("""COMPUTED_VALUE"""),500000.0)</f>
        <v>500000</v>
      </c>
      <c r="I2452" s="24">
        <f>IFERROR(__xludf.DUMMYFUNCTION("""COMPUTED_VALUE"""),0.0)</f>
        <v>0</v>
      </c>
    </row>
    <row r="2453">
      <c r="A2453" s="5" t="str">
        <f>IFERROR(__xludf.DUMMYFUNCTION("""COMPUTED_VALUE"""),"39011")</f>
        <v>39011</v>
      </c>
      <c r="B2453" s="64">
        <f>IFERROR(__xludf.DUMMYFUNCTION("""COMPUTED_VALUE"""),44633.0)</f>
        <v>44633</v>
      </c>
      <c r="C2453" s="5"/>
      <c r="D2453" s="5"/>
      <c r="E2453" s="5"/>
      <c r="F2453" s="22">
        <f>IFERROR(__xludf.DUMMYFUNCTION("""COMPUTED_VALUE"""),500000.0)</f>
        <v>500000</v>
      </c>
      <c r="G2453" s="22">
        <f>IFERROR(__xludf.DUMMYFUNCTION("""COMPUTED_VALUE"""),0.0)</f>
        <v>0</v>
      </c>
      <c r="H2453" s="22">
        <f>IFERROR(__xludf.DUMMYFUNCTION("""COMPUTED_VALUE"""),500000.0)</f>
        <v>500000</v>
      </c>
      <c r="I2453" s="24">
        <f>IFERROR(__xludf.DUMMYFUNCTION("""COMPUTED_VALUE"""),0.0)</f>
        <v>0</v>
      </c>
    </row>
    <row r="2454">
      <c r="A2454" s="5" t="str">
        <f>IFERROR(__xludf.DUMMYFUNCTION("""COMPUTED_VALUE"""),"39011")</f>
        <v>39011</v>
      </c>
      <c r="B2454" s="64">
        <f>IFERROR(__xludf.DUMMYFUNCTION("""COMPUTED_VALUE"""),44634.0)</f>
        <v>44634</v>
      </c>
      <c r="C2454" s="5"/>
      <c r="D2454" s="5"/>
      <c r="E2454" s="5"/>
      <c r="F2454" s="22">
        <f>IFERROR(__xludf.DUMMYFUNCTION("""COMPUTED_VALUE"""),500000.0)</f>
        <v>500000</v>
      </c>
      <c r="G2454" s="22">
        <f>IFERROR(__xludf.DUMMYFUNCTION("""COMPUTED_VALUE"""),0.0)</f>
        <v>0</v>
      </c>
      <c r="H2454" s="22">
        <f>IFERROR(__xludf.DUMMYFUNCTION("""COMPUTED_VALUE"""),500000.0)</f>
        <v>500000</v>
      </c>
      <c r="I2454" s="24">
        <f>IFERROR(__xludf.DUMMYFUNCTION("""COMPUTED_VALUE"""),0.0)</f>
        <v>0</v>
      </c>
    </row>
    <row r="2455">
      <c r="A2455" s="5" t="str">
        <f>IFERROR(__xludf.DUMMYFUNCTION("""COMPUTED_VALUE"""),"39011")</f>
        <v>39011</v>
      </c>
      <c r="B2455" s="64">
        <f>IFERROR(__xludf.DUMMYFUNCTION("""COMPUTED_VALUE"""),44635.0)</f>
        <v>44635</v>
      </c>
      <c r="C2455" s="5"/>
      <c r="D2455" s="5"/>
      <c r="E2455" s="5"/>
      <c r="F2455" s="22">
        <f>IFERROR(__xludf.DUMMYFUNCTION("""COMPUTED_VALUE"""),500000.0)</f>
        <v>500000</v>
      </c>
      <c r="G2455" s="22">
        <f>IFERROR(__xludf.DUMMYFUNCTION("""COMPUTED_VALUE"""),0.0)</f>
        <v>0</v>
      </c>
      <c r="H2455" s="22">
        <f>IFERROR(__xludf.DUMMYFUNCTION("""COMPUTED_VALUE"""),500000.0)</f>
        <v>500000</v>
      </c>
      <c r="I2455" s="24">
        <f>IFERROR(__xludf.DUMMYFUNCTION("""COMPUTED_VALUE"""),0.0)</f>
        <v>0</v>
      </c>
    </row>
    <row r="2456">
      <c r="A2456" s="5" t="str">
        <f>IFERROR(__xludf.DUMMYFUNCTION("""COMPUTED_VALUE"""),"39011")</f>
        <v>39011</v>
      </c>
      <c r="B2456" s="64">
        <f>IFERROR(__xludf.DUMMYFUNCTION("""COMPUTED_VALUE"""),44636.0)</f>
        <v>44636</v>
      </c>
      <c r="C2456" s="5"/>
      <c r="D2456" s="5"/>
      <c r="E2456" s="5"/>
      <c r="F2456" s="22">
        <f>IFERROR(__xludf.DUMMYFUNCTION("""COMPUTED_VALUE"""),500000.0)</f>
        <v>500000</v>
      </c>
      <c r="G2456" s="22">
        <f>IFERROR(__xludf.DUMMYFUNCTION("""COMPUTED_VALUE"""),0.0)</f>
        <v>0</v>
      </c>
      <c r="H2456" s="22">
        <f>IFERROR(__xludf.DUMMYFUNCTION("""COMPUTED_VALUE"""),500000.0)</f>
        <v>500000</v>
      </c>
      <c r="I2456" s="24">
        <f>IFERROR(__xludf.DUMMYFUNCTION("""COMPUTED_VALUE"""),0.0)</f>
        <v>0</v>
      </c>
    </row>
    <row r="2457">
      <c r="A2457" s="5" t="str">
        <f>IFERROR(__xludf.DUMMYFUNCTION("""COMPUTED_VALUE"""),"39011")</f>
        <v>39011</v>
      </c>
      <c r="B2457" s="64">
        <f>IFERROR(__xludf.DUMMYFUNCTION("""COMPUTED_VALUE"""),44637.0)</f>
        <v>44637</v>
      </c>
      <c r="C2457" s="5"/>
      <c r="D2457" s="5"/>
      <c r="E2457" s="5"/>
      <c r="F2457" s="22">
        <f>IFERROR(__xludf.DUMMYFUNCTION("""COMPUTED_VALUE"""),500000.0)</f>
        <v>500000</v>
      </c>
      <c r="G2457" s="22">
        <f>IFERROR(__xludf.DUMMYFUNCTION("""COMPUTED_VALUE"""),0.0)</f>
        <v>0</v>
      </c>
      <c r="H2457" s="22">
        <f>IFERROR(__xludf.DUMMYFUNCTION("""COMPUTED_VALUE"""),500000.0)</f>
        <v>500000</v>
      </c>
      <c r="I2457" s="24">
        <f>IFERROR(__xludf.DUMMYFUNCTION("""COMPUTED_VALUE"""),0.0)</f>
        <v>0</v>
      </c>
    </row>
    <row r="2458">
      <c r="A2458" s="5" t="str">
        <f>IFERROR(__xludf.DUMMYFUNCTION("""COMPUTED_VALUE"""),"39011")</f>
        <v>39011</v>
      </c>
      <c r="B2458" s="64">
        <f>IFERROR(__xludf.DUMMYFUNCTION("""COMPUTED_VALUE"""),44638.0)</f>
        <v>44638</v>
      </c>
      <c r="C2458" s="5"/>
      <c r="D2458" s="5"/>
      <c r="E2458" s="5"/>
      <c r="F2458" s="22">
        <f>IFERROR(__xludf.DUMMYFUNCTION("""COMPUTED_VALUE"""),500000.0)</f>
        <v>500000</v>
      </c>
      <c r="G2458" s="22">
        <f>IFERROR(__xludf.DUMMYFUNCTION("""COMPUTED_VALUE"""),0.0)</f>
        <v>0</v>
      </c>
      <c r="H2458" s="22">
        <f>IFERROR(__xludf.DUMMYFUNCTION("""COMPUTED_VALUE"""),500000.0)</f>
        <v>500000</v>
      </c>
      <c r="I2458" s="24">
        <f>IFERROR(__xludf.DUMMYFUNCTION("""COMPUTED_VALUE"""),0.0)</f>
        <v>0</v>
      </c>
    </row>
    <row r="2459">
      <c r="A2459" s="5" t="str">
        <f>IFERROR(__xludf.DUMMYFUNCTION("""COMPUTED_VALUE"""),"39011")</f>
        <v>39011</v>
      </c>
      <c r="B2459" s="64">
        <f>IFERROR(__xludf.DUMMYFUNCTION("""COMPUTED_VALUE"""),44639.0)</f>
        <v>44639</v>
      </c>
      <c r="C2459" s="5"/>
      <c r="D2459" s="5"/>
      <c r="E2459" s="5"/>
      <c r="F2459" s="22">
        <f>IFERROR(__xludf.DUMMYFUNCTION("""COMPUTED_VALUE"""),500000.0)</f>
        <v>500000</v>
      </c>
      <c r="G2459" s="22">
        <f>IFERROR(__xludf.DUMMYFUNCTION("""COMPUTED_VALUE"""),0.0)</f>
        <v>0</v>
      </c>
      <c r="H2459" s="22">
        <f>IFERROR(__xludf.DUMMYFUNCTION("""COMPUTED_VALUE"""),500000.0)</f>
        <v>500000</v>
      </c>
      <c r="I2459" s="24">
        <f>IFERROR(__xludf.DUMMYFUNCTION("""COMPUTED_VALUE"""),0.0)</f>
        <v>0</v>
      </c>
    </row>
    <row r="2460">
      <c r="A2460" s="5" t="str">
        <f>IFERROR(__xludf.DUMMYFUNCTION("""COMPUTED_VALUE"""),"39011")</f>
        <v>39011</v>
      </c>
      <c r="B2460" s="64">
        <f>IFERROR(__xludf.DUMMYFUNCTION("""COMPUTED_VALUE"""),44640.0)</f>
        <v>44640</v>
      </c>
      <c r="C2460" s="5"/>
      <c r="D2460" s="5"/>
      <c r="E2460" s="5"/>
      <c r="F2460" s="22">
        <f>IFERROR(__xludf.DUMMYFUNCTION("""COMPUTED_VALUE"""),500000.0)</f>
        <v>500000</v>
      </c>
      <c r="G2460" s="22">
        <f>IFERROR(__xludf.DUMMYFUNCTION("""COMPUTED_VALUE"""),0.0)</f>
        <v>0</v>
      </c>
      <c r="H2460" s="22">
        <f>IFERROR(__xludf.DUMMYFUNCTION("""COMPUTED_VALUE"""),500000.0)</f>
        <v>500000</v>
      </c>
      <c r="I2460" s="24">
        <f>IFERROR(__xludf.DUMMYFUNCTION("""COMPUTED_VALUE"""),0.0)</f>
        <v>0</v>
      </c>
    </row>
    <row r="2461">
      <c r="A2461" s="5" t="str">
        <f>IFERROR(__xludf.DUMMYFUNCTION("""COMPUTED_VALUE"""),"39011")</f>
        <v>39011</v>
      </c>
      <c r="B2461" s="64">
        <f>IFERROR(__xludf.DUMMYFUNCTION("""COMPUTED_VALUE"""),44641.0)</f>
        <v>44641</v>
      </c>
      <c r="C2461" s="5"/>
      <c r="D2461" s="5"/>
      <c r="E2461" s="5"/>
      <c r="F2461" s="22">
        <f>IFERROR(__xludf.DUMMYFUNCTION("""COMPUTED_VALUE"""),500000.0)</f>
        <v>500000</v>
      </c>
      <c r="G2461" s="22">
        <f>IFERROR(__xludf.DUMMYFUNCTION("""COMPUTED_VALUE"""),0.0)</f>
        <v>0</v>
      </c>
      <c r="H2461" s="22">
        <f>IFERROR(__xludf.DUMMYFUNCTION("""COMPUTED_VALUE"""),500000.0)</f>
        <v>500000</v>
      </c>
      <c r="I2461" s="24">
        <f>IFERROR(__xludf.DUMMYFUNCTION("""COMPUTED_VALUE"""),0.0)</f>
        <v>0</v>
      </c>
    </row>
    <row r="2462">
      <c r="A2462" s="5" t="str">
        <f>IFERROR(__xludf.DUMMYFUNCTION("""COMPUTED_VALUE"""),"39011")</f>
        <v>39011</v>
      </c>
      <c r="B2462" s="64">
        <f>IFERROR(__xludf.DUMMYFUNCTION("""COMPUTED_VALUE"""),44642.0)</f>
        <v>44642</v>
      </c>
      <c r="C2462" s="5"/>
      <c r="D2462" s="5"/>
      <c r="E2462" s="5"/>
      <c r="F2462" s="22">
        <f>IFERROR(__xludf.DUMMYFUNCTION("""COMPUTED_VALUE"""),500000.0)</f>
        <v>500000</v>
      </c>
      <c r="G2462" s="22">
        <f>IFERROR(__xludf.DUMMYFUNCTION("""COMPUTED_VALUE"""),0.0)</f>
        <v>0</v>
      </c>
      <c r="H2462" s="22">
        <f>IFERROR(__xludf.DUMMYFUNCTION("""COMPUTED_VALUE"""),500000.0)</f>
        <v>500000</v>
      </c>
      <c r="I2462" s="24">
        <f>IFERROR(__xludf.DUMMYFUNCTION("""COMPUTED_VALUE"""),0.0)</f>
        <v>0</v>
      </c>
    </row>
    <row r="2463">
      <c r="A2463" s="5" t="str">
        <f>IFERROR(__xludf.DUMMYFUNCTION("""COMPUTED_VALUE"""),"39011")</f>
        <v>39011</v>
      </c>
      <c r="B2463" s="64">
        <f>IFERROR(__xludf.DUMMYFUNCTION("""COMPUTED_VALUE"""),44643.0)</f>
        <v>44643</v>
      </c>
      <c r="C2463" s="5"/>
      <c r="D2463" s="5"/>
      <c r="E2463" s="5"/>
      <c r="F2463" s="22">
        <f>IFERROR(__xludf.DUMMYFUNCTION("""COMPUTED_VALUE"""),500000.0)</f>
        <v>500000</v>
      </c>
      <c r="G2463" s="22">
        <f>IFERROR(__xludf.DUMMYFUNCTION("""COMPUTED_VALUE"""),0.0)</f>
        <v>0</v>
      </c>
      <c r="H2463" s="22">
        <f>IFERROR(__xludf.DUMMYFUNCTION("""COMPUTED_VALUE"""),500000.0)</f>
        <v>500000</v>
      </c>
      <c r="I2463" s="24">
        <f>IFERROR(__xludf.DUMMYFUNCTION("""COMPUTED_VALUE"""),0.0)</f>
        <v>0</v>
      </c>
    </row>
    <row r="2464">
      <c r="A2464" s="5" t="str">
        <f>IFERROR(__xludf.DUMMYFUNCTION("""COMPUTED_VALUE"""),"39011")</f>
        <v>39011</v>
      </c>
      <c r="B2464" s="64">
        <f>IFERROR(__xludf.DUMMYFUNCTION("""COMPUTED_VALUE"""),44644.0)</f>
        <v>44644</v>
      </c>
      <c r="C2464" s="5"/>
      <c r="D2464" s="5"/>
      <c r="E2464" s="5"/>
      <c r="F2464" s="22">
        <f>IFERROR(__xludf.DUMMYFUNCTION("""COMPUTED_VALUE"""),500000.0)</f>
        <v>500000</v>
      </c>
      <c r="G2464" s="22">
        <f>IFERROR(__xludf.DUMMYFUNCTION("""COMPUTED_VALUE"""),0.0)</f>
        <v>0</v>
      </c>
      <c r="H2464" s="22">
        <f>IFERROR(__xludf.DUMMYFUNCTION("""COMPUTED_VALUE"""),500000.0)</f>
        <v>500000</v>
      </c>
      <c r="I2464" s="24">
        <f>IFERROR(__xludf.DUMMYFUNCTION("""COMPUTED_VALUE"""),0.0)</f>
        <v>0</v>
      </c>
    </row>
    <row r="2465">
      <c r="A2465" s="5" t="str">
        <f>IFERROR(__xludf.DUMMYFUNCTION("""COMPUTED_VALUE"""),"39011")</f>
        <v>39011</v>
      </c>
      <c r="B2465" s="64">
        <f>IFERROR(__xludf.DUMMYFUNCTION("""COMPUTED_VALUE"""),44645.0)</f>
        <v>44645</v>
      </c>
      <c r="C2465" s="5"/>
      <c r="D2465" s="5"/>
      <c r="E2465" s="5"/>
      <c r="F2465" s="22">
        <f>IFERROR(__xludf.DUMMYFUNCTION("""COMPUTED_VALUE"""),500000.0)</f>
        <v>500000</v>
      </c>
      <c r="G2465" s="22">
        <f>IFERROR(__xludf.DUMMYFUNCTION("""COMPUTED_VALUE"""),0.0)</f>
        <v>0</v>
      </c>
      <c r="H2465" s="22">
        <f>IFERROR(__xludf.DUMMYFUNCTION("""COMPUTED_VALUE"""),500000.0)</f>
        <v>500000</v>
      </c>
      <c r="I2465" s="24">
        <f>IFERROR(__xludf.DUMMYFUNCTION("""COMPUTED_VALUE"""),0.0)</f>
        <v>0</v>
      </c>
    </row>
    <row r="2466">
      <c r="A2466" s="5" t="str">
        <f>IFERROR(__xludf.DUMMYFUNCTION("""COMPUTED_VALUE"""),"39011")</f>
        <v>39011</v>
      </c>
      <c r="B2466" s="64">
        <f>IFERROR(__xludf.DUMMYFUNCTION("""COMPUTED_VALUE"""),44646.0)</f>
        <v>44646</v>
      </c>
      <c r="C2466" s="5"/>
      <c r="D2466" s="5"/>
      <c r="E2466" s="5"/>
      <c r="F2466" s="22">
        <f>IFERROR(__xludf.DUMMYFUNCTION("""COMPUTED_VALUE"""),500000.0)</f>
        <v>500000</v>
      </c>
      <c r="G2466" s="22">
        <f>IFERROR(__xludf.DUMMYFUNCTION("""COMPUTED_VALUE"""),0.0)</f>
        <v>0</v>
      </c>
      <c r="H2466" s="22">
        <f>IFERROR(__xludf.DUMMYFUNCTION("""COMPUTED_VALUE"""),500000.0)</f>
        <v>500000</v>
      </c>
      <c r="I2466" s="24">
        <f>IFERROR(__xludf.DUMMYFUNCTION("""COMPUTED_VALUE"""),0.0)</f>
        <v>0</v>
      </c>
    </row>
    <row r="2467">
      <c r="A2467" s="5" t="str">
        <f>IFERROR(__xludf.DUMMYFUNCTION("""COMPUTED_VALUE"""),"39011")</f>
        <v>39011</v>
      </c>
      <c r="B2467" s="64">
        <f>IFERROR(__xludf.DUMMYFUNCTION("""COMPUTED_VALUE"""),44647.0)</f>
        <v>44647</v>
      </c>
      <c r="C2467" s="5"/>
      <c r="D2467" s="5"/>
      <c r="E2467" s="5"/>
      <c r="F2467" s="22">
        <f>IFERROR(__xludf.DUMMYFUNCTION("""COMPUTED_VALUE"""),500000.0)</f>
        <v>500000</v>
      </c>
      <c r="G2467" s="22">
        <f>IFERROR(__xludf.DUMMYFUNCTION("""COMPUTED_VALUE"""),0.0)</f>
        <v>0</v>
      </c>
      <c r="H2467" s="22">
        <f>IFERROR(__xludf.DUMMYFUNCTION("""COMPUTED_VALUE"""),500000.0)</f>
        <v>500000</v>
      </c>
      <c r="I2467" s="24">
        <f>IFERROR(__xludf.DUMMYFUNCTION("""COMPUTED_VALUE"""),0.0)</f>
        <v>0</v>
      </c>
    </row>
    <row r="2468">
      <c r="A2468" s="5" t="str">
        <f>IFERROR(__xludf.DUMMYFUNCTION("""COMPUTED_VALUE"""),"39011")</f>
        <v>39011</v>
      </c>
      <c r="B2468" s="64">
        <f>IFERROR(__xludf.DUMMYFUNCTION("""COMPUTED_VALUE"""),44648.0)</f>
        <v>44648</v>
      </c>
      <c r="C2468" s="5"/>
      <c r="D2468" s="5"/>
      <c r="E2468" s="5"/>
      <c r="F2468" s="22">
        <f>IFERROR(__xludf.DUMMYFUNCTION("""COMPUTED_VALUE"""),500000.0)</f>
        <v>500000</v>
      </c>
      <c r="G2468" s="22">
        <f>IFERROR(__xludf.DUMMYFUNCTION("""COMPUTED_VALUE"""),0.0)</f>
        <v>0</v>
      </c>
      <c r="H2468" s="22">
        <f>IFERROR(__xludf.DUMMYFUNCTION("""COMPUTED_VALUE"""),500000.0)</f>
        <v>500000</v>
      </c>
      <c r="I2468" s="24">
        <f>IFERROR(__xludf.DUMMYFUNCTION("""COMPUTED_VALUE"""),0.0)</f>
        <v>0</v>
      </c>
    </row>
    <row r="2469">
      <c r="A2469" s="5" t="str">
        <f>IFERROR(__xludf.DUMMYFUNCTION("""COMPUTED_VALUE"""),"39011")</f>
        <v>39011</v>
      </c>
      <c r="B2469" s="64">
        <f>IFERROR(__xludf.DUMMYFUNCTION("""COMPUTED_VALUE"""),44649.0)</f>
        <v>44649</v>
      </c>
      <c r="C2469" s="5"/>
      <c r="D2469" s="5"/>
      <c r="E2469" s="5"/>
      <c r="F2469" s="22">
        <f>IFERROR(__xludf.DUMMYFUNCTION("""COMPUTED_VALUE"""),500000.0)</f>
        <v>500000</v>
      </c>
      <c r="G2469" s="22">
        <f>IFERROR(__xludf.DUMMYFUNCTION("""COMPUTED_VALUE"""),0.0)</f>
        <v>0</v>
      </c>
      <c r="H2469" s="22">
        <f>IFERROR(__xludf.DUMMYFUNCTION("""COMPUTED_VALUE"""),500000.0)</f>
        <v>500000</v>
      </c>
      <c r="I2469" s="24">
        <f>IFERROR(__xludf.DUMMYFUNCTION("""COMPUTED_VALUE"""),0.0)</f>
        <v>0</v>
      </c>
    </row>
    <row r="2470">
      <c r="A2470" s="5" t="str">
        <f>IFERROR(__xludf.DUMMYFUNCTION("""COMPUTED_VALUE"""),"39011")</f>
        <v>39011</v>
      </c>
      <c r="B2470" s="64">
        <f>IFERROR(__xludf.DUMMYFUNCTION("""COMPUTED_VALUE"""),44650.0)</f>
        <v>44650</v>
      </c>
      <c r="C2470" s="5"/>
      <c r="D2470" s="5"/>
      <c r="E2470" s="5"/>
      <c r="F2470" s="22">
        <f>IFERROR(__xludf.DUMMYFUNCTION("""COMPUTED_VALUE"""),500000.0)</f>
        <v>500000</v>
      </c>
      <c r="G2470" s="22">
        <f>IFERROR(__xludf.DUMMYFUNCTION("""COMPUTED_VALUE"""),0.0)</f>
        <v>0</v>
      </c>
      <c r="H2470" s="22">
        <f>IFERROR(__xludf.DUMMYFUNCTION("""COMPUTED_VALUE"""),500000.0)</f>
        <v>500000</v>
      </c>
      <c r="I2470" s="24">
        <f>IFERROR(__xludf.DUMMYFUNCTION("""COMPUTED_VALUE"""),0.0)</f>
        <v>0</v>
      </c>
    </row>
    <row r="2471">
      <c r="A2471" s="5" t="str">
        <f>IFERROR(__xludf.DUMMYFUNCTION("""COMPUTED_VALUE"""),"39011")</f>
        <v>39011</v>
      </c>
      <c r="B2471" s="64">
        <f>IFERROR(__xludf.DUMMYFUNCTION("""COMPUTED_VALUE"""),44651.0)</f>
        <v>44651</v>
      </c>
      <c r="C2471" s="5"/>
      <c r="D2471" s="5"/>
      <c r="E2471" s="5"/>
      <c r="F2471" s="22">
        <f>IFERROR(__xludf.DUMMYFUNCTION("""COMPUTED_VALUE"""),500000.0)</f>
        <v>500000</v>
      </c>
      <c r="G2471" s="22">
        <f>IFERROR(__xludf.DUMMYFUNCTION("""COMPUTED_VALUE"""),0.0)</f>
        <v>0</v>
      </c>
      <c r="H2471" s="22">
        <f>IFERROR(__xludf.DUMMYFUNCTION("""COMPUTED_VALUE"""),500000.0)</f>
        <v>500000</v>
      </c>
      <c r="I2471" s="24">
        <f>IFERROR(__xludf.DUMMYFUNCTION("""COMPUTED_VALUE"""),0.0)</f>
        <v>0</v>
      </c>
    </row>
    <row r="2472">
      <c r="A2472" s="5" t="str">
        <f>IFERROR(__xludf.DUMMYFUNCTION("""COMPUTED_VALUE"""),"39011")</f>
        <v>39011</v>
      </c>
      <c r="B2472" s="64">
        <f>IFERROR(__xludf.DUMMYFUNCTION("""COMPUTED_VALUE"""),44652.0)</f>
        <v>44652</v>
      </c>
      <c r="C2472" s="5"/>
      <c r="D2472" s="5"/>
      <c r="E2472" s="5"/>
      <c r="F2472" s="22">
        <f>IFERROR(__xludf.DUMMYFUNCTION("""COMPUTED_VALUE"""),500000.0)</f>
        <v>500000</v>
      </c>
      <c r="G2472" s="22">
        <f>IFERROR(__xludf.DUMMYFUNCTION("""COMPUTED_VALUE"""),0.0)</f>
        <v>0</v>
      </c>
      <c r="H2472" s="22">
        <f>IFERROR(__xludf.DUMMYFUNCTION("""COMPUTED_VALUE"""),500000.0)</f>
        <v>500000</v>
      </c>
      <c r="I2472" s="24">
        <f>IFERROR(__xludf.DUMMYFUNCTION("""COMPUTED_VALUE"""),0.0)</f>
        <v>0</v>
      </c>
    </row>
    <row r="2473">
      <c r="A2473" s="5" t="str">
        <f>IFERROR(__xludf.DUMMYFUNCTION("""COMPUTED_VALUE"""),"39011")</f>
        <v>39011</v>
      </c>
      <c r="B2473" s="64">
        <f>IFERROR(__xludf.DUMMYFUNCTION("""COMPUTED_VALUE"""),44653.0)</f>
        <v>44653</v>
      </c>
      <c r="C2473" s="5"/>
      <c r="D2473" s="5"/>
      <c r="E2473" s="5"/>
      <c r="F2473" s="22">
        <f>IFERROR(__xludf.DUMMYFUNCTION("""COMPUTED_VALUE"""),500000.0)</f>
        <v>500000</v>
      </c>
      <c r="G2473" s="22">
        <f>IFERROR(__xludf.DUMMYFUNCTION("""COMPUTED_VALUE"""),0.0)</f>
        <v>0</v>
      </c>
      <c r="H2473" s="22">
        <f>IFERROR(__xludf.DUMMYFUNCTION("""COMPUTED_VALUE"""),500000.0)</f>
        <v>500000</v>
      </c>
      <c r="I2473" s="24">
        <f>IFERROR(__xludf.DUMMYFUNCTION("""COMPUTED_VALUE"""),0.0)</f>
        <v>0</v>
      </c>
    </row>
    <row r="2474">
      <c r="A2474" s="5" t="str">
        <f>IFERROR(__xludf.DUMMYFUNCTION("""COMPUTED_VALUE"""),"39011")</f>
        <v>39011</v>
      </c>
      <c r="B2474" s="64">
        <f>IFERROR(__xludf.DUMMYFUNCTION("""COMPUTED_VALUE"""),44654.0)</f>
        <v>44654</v>
      </c>
      <c r="C2474" s="5"/>
      <c r="D2474" s="5"/>
      <c r="E2474" s="5"/>
      <c r="F2474" s="22">
        <f>IFERROR(__xludf.DUMMYFUNCTION("""COMPUTED_VALUE"""),500000.0)</f>
        <v>500000</v>
      </c>
      <c r="G2474" s="22">
        <f>IFERROR(__xludf.DUMMYFUNCTION("""COMPUTED_VALUE"""),0.0)</f>
        <v>0</v>
      </c>
      <c r="H2474" s="22">
        <f>IFERROR(__xludf.DUMMYFUNCTION("""COMPUTED_VALUE"""),500000.0)</f>
        <v>500000</v>
      </c>
      <c r="I2474" s="24">
        <f>IFERROR(__xludf.DUMMYFUNCTION("""COMPUTED_VALUE"""),0.0)</f>
        <v>0</v>
      </c>
    </row>
    <row r="2475">
      <c r="A2475" s="5" t="str">
        <f>IFERROR(__xludf.DUMMYFUNCTION("""COMPUTED_VALUE"""),"39011")</f>
        <v>39011</v>
      </c>
      <c r="B2475" s="64">
        <f>IFERROR(__xludf.DUMMYFUNCTION("""COMPUTED_VALUE"""),44655.0)</f>
        <v>44655</v>
      </c>
      <c r="C2475" s="5"/>
      <c r="D2475" s="5"/>
      <c r="E2475" s="5"/>
      <c r="F2475" s="22">
        <f>IFERROR(__xludf.DUMMYFUNCTION("""COMPUTED_VALUE"""),500000.0)</f>
        <v>500000</v>
      </c>
      <c r="G2475" s="22">
        <f>IFERROR(__xludf.DUMMYFUNCTION("""COMPUTED_VALUE"""),0.0)</f>
        <v>0</v>
      </c>
      <c r="H2475" s="22">
        <f>IFERROR(__xludf.DUMMYFUNCTION("""COMPUTED_VALUE"""),500000.0)</f>
        <v>500000</v>
      </c>
      <c r="I2475" s="24">
        <f>IFERROR(__xludf.DUMMYFUNCTION("""COMPUTED_VALUE"""),0.0)</f>
        <v>0</v>
      </c>
    </row>
    <row r="2476">
      <c r="A2476" s="5" t="str">
        <f>IFERROR(__xludf.DUMMYFUNCTION("""COMPUTED_VALUE"""),"39011")</f>
        <v>39011</v>
      </c>
      <c r="B2476" s="64">
        <f>IFERROR(__xludf.DUMMYFUNCTION("""COMPUTED_VALUE"""),44656.0)</f>
        <v>44656</v>
      </c>
      <c r="C2476" s="5"/>
      <c r="D2476" s="5"/>
      <c r="E2476" s="5"/>
      <c r="F2476" s="22">
        <f>IFERROR(__xludf.DUMMYFUNCTION("""COMPUTED_VALUE"""),500000.0)</f>
        <v>500000</v>
      </c>
      <c r="G2476" s="22">
        <f>IFERROR(__xludf.DUMMYFUNCTION("""COMPUTED_VALUE"""),0.0)</f>
        <v>0</v>
      </c>
      <c r="H2476" s="22">
        <f>IFERROR(__xludf.DUMMYFUNCTION("""COMPUTED_VALUE"""),500000.0)</f>
        <v>500000</v>
      </c>
      <c r="I2476" s="24">
        <f>IFERROR(__xludf.DUMMYFUNCTION("""COMPUTED_VALUE"""),0.0)</f>
        <v>0</v>
      </c>
    </row>
    <row r="2477">
      <c r="A2477" s="5" t="str">
        <f>IFERROR(__xludf.DUMMYFUNCTION("""COMPUTED_VALUE"""),"39011")</f>
        <v>39011</v>
      </c>
      <c r="B2477" s="64">
        <f>IFERROR(__xludf.DUMMYFUNCTION("""COMPUTED_VALUE"""),44657.0)</f>
        <v>44657</v>
      </c>
      <c r="C2477" s="5"/>
      <c r="D2477" s="5"/>
      <c r="E2477" s="5"/>
      <c r="F2477" s="22">
        <f>IFERROR(__xludf.DUMMYFUNCTION("""COMPUTED_VALUE"""),500000.0)</f>
        <v>500000</v>
      </c>
      <c r="G2477" s="22">
        <f>IFERROR(__xludf.DUMMYFUNCTION("""COMPUTED_VALUE"""),0.0)</f>
        <v>0</v>
      </c>
      <c r="H2477" s="22">
        <f>IFERROR(__xludf.DUMMYFUNCTION("""COMPUTED_VALUE"""),500000.0)</f>
        <v>500000</v>
      </c>
      <c r="I2477" s="24">
        <f>IFERROR(__xludf.DUMMYFUNCTION("""COMPUTED_VALUE"""),0.0)</f>
        <v>0</v>
      </c>
    </row>
    <row r="2478">
      <c r="A2478" s="5" t="str">
        <f>IFERROR(__xludf.DUMMYFUNCTION("""COMPUTED_VALUE"""),"39011")</f>
        <v>39011</v>
      </c>
      <c r="B2478" s="64">
        <f>IFERROR(__xludf.DUMMYFUNCTION("""COMPUTED_VALUE"""),44658.0)</f>
        <v>44658</v>
      </c>
      <c r="C2478" s="5"/>
      <c r="D2478" s="5"/>
      <c r="E2478" s="5"/>
      <c r="F2478" s="22">
        <f>IFERROR(__xludf.DUMMYFUNCTION("""COMPUTED_VALUE"""),500000.0)</f>
        <v>500000</v>
      </c>
      <c r="G2478" s="22">
        <f>IFERROR(__xludf.DUMMYFUNCTION("""COMPUTED_VALUE"""),0.0)</f>
        <v>0</v>
      </c>
      <c r="H2478" s="22">
        <f>IFERROR(__xludf.DUMMYFUNCTION("""COMPUTED_VALUE"""),500000.0)</f>
        <v>500000</v>
      </c>
      <c r="I2478" s="24">
        <f>IFERROR(__xludf.DUMMYFUNCTION("""COMPUTED_VALUE"""),0.0)</f>
        <v>0</v>
      </c>
    </row>
    <row r="2479">
      <c r="A2479" s="5" t="str">
        <f>IFERROR(__xludf.DUMMYFUNCTION("""COMPUTED_VALUE"""),"39011")</f>
        <v>39011</v>
      </c>
      <c r="B2479" s="64">
        <f>IFERROR(__xludf.DUMMYFUNCTION("""COMPUTED_VALUE"""),44659.0)</f>
        <v>44659</v>
      </c>
      <c r="C2479" s="5"/>
      <c r="D2479" s="5"/>
      <c r="E2479" s="5"/>
      <c r="F2479" s="22">
        <f>IFERROR(__xludf.DUMMYFUNCTION("""COMPUTED_VALUE"""),500000.0)</f>
        <v>500000</v>
      </c>
      <c r="G2479" s="22">
        <f>IFERROR(__xludf.DUMMYFUNCTION("""COMPUTED_VALUE"""),0.0)</f>
        <v>0</v>
      </c>
      <c r="H2479" s="22">
        <f>IFERROR(__xludf.DUMMYFUNCTION("""COMPUTED_VALUE"""),500000.0)</f>
        <v>500000</v>
      </c>
      <c r="I2479" s="24">
        <f>IFERROR(__xludf.DUMMYFUNCTION("""COMPUTED_VALUE"""),0.0)</f>
        <v>0</v>
      </c>
    </row>
    <row r="2480">
      <c r="A2480" s="5" t="str">
        <f>IFERROR(__xludf.DUMMYFUNCTION("""COMPUTED_VALUE"""),"39011")</f>
        <v>39011</v>
      </c>
      <c r="B2480" s="64">
        <f>IFERROR(__xludf.DUMMYFUNCTION("""COMPUTED_VALUE"""),44660.0)</f>
        <v>44660</v>
      </c>
      <c r="C2480" s="5"/>
      <c r="D2480" s="5"/>
      <c r="E2480" s="5"/>
      <c r="F2480" s="22">
        <f>IFERROR(__xludf.DUMMYFUNCTION("""COMPUTED_VALUE"""),500000.0)</f>
        <v>500000</v>
      </c>
      <c r="G2480" s="22">
        <f>IFERROR(__xludf.DUMMYFUNCTION("""COMPUTED_VALUE"""),0.0)</f>
        <v>0</v>
      </c>
      <c r="H2480" s="22">
        <f>IFERROR(__xludf.DUMMYFUNCTION("""COMPUTED_VALUE"""),500000.0)</f>
        <v>500000</v>
      </c>
      <c r="I2480" s="24">
        <f>IFERROR(__xludf.DUMMYFUNCTION("""COMPUTED_VALUE"""),0.0)</f>
        <v>0</v>
      </c>
    </row>
    <row r="2481">
      <c r="A2481" s="5" t="str">
        <f>IFERROR(__xludf.DUMMYFUNCTION("""COMPUTED_VALUE"""),"39011")</f>
        <v>39011</v>
      </c>
      <c r="B2481" s="64">
        <f>IFERROR(__xludf.DUMMYFUNCTION("""COMPUTED_VALUE"""),44661.0)</f>
        <v>44661</v>
      </c>
      <c r="C2481" s="5"/>
      <c r="D2481" s="5"/>
      <c r="E2481" s="5"/>
      <c r="F2481" s="22">
        <f>IFERROR(__xludf.DUMMYFUNCTION("""COMPUTED_VALUE"""),500000.0)</f>
        <v>500000</v>
      </c>
      <c r="G2481" s="22">
        <f>IFERROR(__xludf.DUMMYFUNCTION("""COMPUTED_VALUE"""),0.0)</f>
        <v>0</v>
      </c>
      <c r="H2481" s="22">
        <f>IFERROR(__xludf.DUMMYFUNCTION("""COMPUTED_VALUE"""),500000.0)</f>
        <v>500000</v>
      </c>
      <c r="I2481" s="24">
        <f>IFERROR(__xludf.DUMMYFUNCTION("""COMPUTED_VALUE"""),0.0)</f>
        <v>0</v>
      </c>
    </row>
    <row r="2482">
      <c r="A2482" s="5" t="str">
        <f>IFERROR(__xludf.DUMMYFUNCTION("""COMPUTED_VALUE"""),"39011")</f>
        <v>39011</v>
      </c>
      <c r="B2482" s="64">
        <f>IFERROR(__xludf.DUMMYFUNCTION("""COMPUTED_VALUE"""),44662.0)</f>
        <v>44662</v>
      </c>
      <c r="C2482" s="5"/>
      <c r="D2482" s="5"/>
      <c r="E2482" s="5"/>
      <c r="F2482" s="22">
        <f>IFERROR(__xludf.DUMMYFUNCTION("""COMPUTED_VALUE"""),240250.337)</f>
        <v>240250.337</v>
      </c>
      <c r="G2482" s="22">
        <f>IFERROR(__xludf.DUMMYFUNCTION("""COMPUTED_VALUE"""),0.0)</f>
        <v>0</v>
      </c>
      <c r="H2482" s="22">
        <f>IFERROR(__xludf.DUMMYFUNCTION("""COMPUTED_VALUE"""),500000.0)</f>
        <v>500000</v>
      </c>
      <c r="I2482" s="24">
        <f>IFERROR(__xludf.DUMMYFUNCTION("""COMPUTED_VALUE"""),0.0)</f>
        <v>0</v>
      </c>
    </row>
    <row r="2483">
      <c r="A2483" s="5" t="str">
        <f>IFERROR(__xludf.DUMMYFUNCTION("""COMPUTED_VALUE"""),"39011")</f>
        <v>39011</v>
      </c>
      <c r="B2483" s="64">
        <f>IFERROR(__xludf.DUMMYFUNCTION("""COMPUTED_VALUE"""),44663.0)</f>
        <v>44663</v>
      </c>
      <c r="C2483" s="5"/>
      <c r="D2483" s="5"/>
      <c r="E2483" s="5"/>
      <c r="F2483" s="22">
        <f>IFERROR(__xludf.DUMMYFUNCTION("""COMPUTED_VALUE"""),240250.337)</f>
        <v>240250.337</v>
      </c>
      <c r="G2483" s="22">
        <f>IFERROR(__xludf.DUMMYFUNCTION("""COMPUTED_VALUE"""),0.0)</f>
        <v>0</v>
      </c>
      <c r="H2483" s="22">
        <f>IFERROR(__xludf.DUMMYFUNCTION("""COMPUTED_VALUE"""),503135.18)</f>
        <v>503135.18</v>
      </c>
      <c r="I2483" s="24">
        <f>IFERROR(__xludf.DUMMYFUNCTION("""COMPUTED_VALUE"""),0.00627036000000003)</f>
        <v>0.00627036</v>
      </c>
    </row>
    <row r="2484">
      <c r="A2484" s="5" t="str">
        <f>IFERROR(__xludf.DUMMYFUNCTION("""COMPUTED_VALUE"""),"39296")</f>
        <v>39296</v>
      </c>
      <c r="B2484" s="64">
        <f>IFERROR(__xludf.DUMMYFUNCTION("""COMPUTED_VALUE"""),44597.0)</f>
        <v>44597</v>
      </c>
      <c r="C2484" s="5"/>
      <c r="D2484" s="5"/>
      <c r="E2484" s="5"/>
      <c r="F2484" s="22">
        <f>IFERROR(__xludf.DUMMYFUNCTION("""COMPUTED_VALUE"""),500000.0)</f>
        <v>500000</v>
      </c>
      <c r="G2484" s="22">
        <f>IFERROR(__xludf.DUMMYFUNCTION("""COMPUTED_VALUE"""),0.0)</f>
        <v>0</v>
      </c>
      <c r="H2484" s="22">
        <f>IFERROR(__xludf.DUMMYFUNCTION("""COMPUTED_VALUE"""),500000.0)</f>
        <v>500000</v>
      </c>
      <c r="I2484" s="24">
        <f>IFERROR(__xludf.DUMMYFUNCTION("""COMPUTED_VALUE"""),0.0)</f>
        <v>0</v>
      </c>
    </row>
    <row r="2485">
      <c r="A2485" s="5" t="str">
        <f>IFERROR(__xludf.DUMMYFUNCTION("""COMPUTED_VALUE"""),"39296")</f>
        <v>39296</v>
      </c>
      <c r="B2485" s="64">
        <f>IFERROR(__xludf.DUMMYFUNCTION("""COMPUTED_VALUE"""),44598.0)</f>
        <v>44598</v>
      </c>
      <c r="C2485" s="5"/>
      <c r="D2485" s="5"/>
      <c r="E2485" s="5"/>
      <c r="F2485" s="22">
        <f>IFERROR(__xludf.DUMMYFUNCTION("""COMPUTED_VALUE"""),500000.0)</f>
        <v>500000</v>
      </c>
      <c r="G2485" s="22">
        <f>IFERROR(__xludf.DUMMYFUNCTION("""COMPUTED_VALUE"""),0.0)</f>
        <v>0</v>
      </c>
      <c r="H2485" s="22">
        <f>IFERROR(__xludf.DUMMYFUNCTION("""COMPUTED_VALUE"""),500000.0)</f>
        <v>500000</v>
      </c>
      <c r="I2485" s="24">
        <f>IFERROR(__xludf.DUMMYFUNCTION("""COMPUTED_VALUE"""),0.0)</f>
        <v>0</v>
      </c>
    </row>
    <row r="2486">
      <c r="A2486" s="5" t="str">
        <f>IFERROR(__xludf.DUMMYFUNCTION("""COMPUTED_VALUE"""),"39296")</f>
        <v>39296</v>
      </c>
      <c r="B2486" s="64">
        <f>IFERROR(__xludf.DUMMYFUNCTION("""COMPUTED_VALUE"""),44599.0)</f>
        <v>44599</v>
      </c>
      <c r="C2486" s="5"/>
      <c r="D2486" s="5"/>
      <c r="E2486" s="5"/>
      <c r="F2486" s="22">
        <f>IFERROR(__xludf.DUMMYFUNCTION("""COMPUTED_VALUE"""),500000.0)</f>
        <v>500000</v>
      </c>
      <c r="G2486" s="22">
        <f>IFERROR(__xludf.DUMMYFUNCTION("""COMPUTED_VALUE"""),0.0)</f>
        <v>0</v>
      </c>
      <c r="H2486" s="22">
        <f>IFERROR(__xludf.DUMMYFUNCTION("""COMPUTED_VALUE"""),500000.0)</f>
        <v>500000</v>
      </c>
      <c r="I2486" s="24">
        <f>IFERROR(__xludf.DUMMYFUNCTION("""COMPUTED_VALUE"""),0.0)</f>
        <v>0</v>
      </c>
    </row>
    <row r="2487">
      <c r="A2487" s="5" t="str">
        <f>IFERROR(__xludf.DUMMYFUNCTION("""COMPUTED_VALUE"""),"39296")</f>
        <v>39296</v>
      </c>
      <c r="B2487" s="64">
        <f>IFERROR(__xludf.DUMMYFUNCTION("""COMPUTED_VALUE"""),44600.0)</f>
        <v>44600</v>
      </c>
      <c r="C2487" s="5"/>
      <c r="D2487" s="5"/>
      <c r="E2487" s="5"/>
      <c r="F2487" s="22">
        <f>IFERROR(__xludf.DUMMYFUNCTION("""COMPUTED_VALUE"""),500000.0)</f>
        <v>500000</v>
      </c>
      <c r="G2487" s="22">
        <f>IFERROR(__xludf.DUMMYFUNCTION("""COMPUTED_VALUE"""),0.0)</f>
        <v>0</v>
      </c>
      <c r="H2487" s="22">
        <f>IFERROR(__xludf.DUMMYFUNCTION("""COMPUTED_VALUE"""),500000.0)</f>
        <v>500000</v>
      </c>
      <c r="I2487" s="24">
        <f>IFERROR(__xludf.DUMMYFUNCTION("""COMPUTED_VALUE"""),0.0)</f>
        <v>0</v>
      </c>
    </row>
    <row r="2488">
      <c r="A2488" s="5" t="str">
        <f>IFERROR(__xludf.DUMMYFUNCTION("""COMPUTED_VALUE"""),"39296")</f>
        <v>39296</v>
      </c>
      <c r="B2488" s="64">
        <f>IFERROR(__xludf.DUMMYFUNCTION("""COMPUTED_VALUE"""),44601.0)</f>
        <v>44601</v>
      </c>
      <c r="C2488" s="5"/>
      <c r="D2488" s="5"/>
      <c r="E2488" s="5"/>
      <c r="F2488" s="22">
        <f>IFERROR(__xludf.DUMMYFUNCTION("""COMPUTED_VALUE"""),500000.0)</f>
        <v>500000</v>
      </c>
      <c r="G2488" s="22">
        <f>IFERROR(__xludf.DUMMYFUNCTION("""COMPUTED_VALUE"""),0.0)</f>
        <v>0</v>
      </c>
      <c r="H2488" s="22">
        <f>IFERROR(__xludf.DUMMYFUNCTION("""COMPUTED_VALUE"""),512800.0)</f>
        <v>512800</v>
      </c>
      <c r="I2488" s="24">
        <f>IFERROR(__xludf.DUMMYFUNCTION("""COMPUTED_VALUE"""),0.025600000000000067)</f>
        <v>0.0256</v>
      </c>
    </row>
    <row r="2489">
      <c r="A2489" s="5" t="str">
        <f>IFERROR(__xludf.DUMMYFUNCTION("""COMPUTED_VALUE"""),"39296")</f>
        <v>39296</v>
      </c>
      <c r="B2489" s="64">
        <f>IFERROR(__xludf.DUMMYFUNCTION("""COMPUTED_VALUE"""),44602.0)</f>
        <v>44602</v>
      </c>
      <c r="C2489" s="5"/>
      <c r="D2489" s="5"/>
      <c r="E2489" s="5"/>
      <c r="F2489" s="22">
        <f>IFERROR(__xludf.DUMMYFUNCTION("""COMPUTED_VALUE"""),500000.0)</f>
        <v>500000</v>
      </c>
      <c r="G2489" s="22">
        <f>IFERROR(__xludf.DUMMYFUNCTION("""COMPUTED_VALUE"""),0.0)</f>
        <v>0</v>
      </c>
      <c r="H2489" s="22">
        <f>IFERROR(__xludf.DUMMYFUNCTION("""COMPUTED_VALUE"""),514400.0)</f>
        <v>514400</v>
      </c>
      <c r="I2489" s="24">
        <f>IFERROR(__xludf.DUMMYFUNCTION("""COMPUTED_VALUE"""),0.028799999999999937)</f>
        <v>0.0288</v>
      </c>
    </row>
    <row r="2490">
      <c r="A2490" s="5" t="str">
        <f>IFERROR(__xludf.DUMMYFUNCTION("""COMPUTED_VALUE"""),"39296")</f>
        <v>39296</v>
      </c>
      <c r="B2490" s="64">
        <f>IFERROR(__xludf.DUMMYFUNCTION("""COMPUTED_VALUE"""),44603.0)</f>
        <v>44603</v>
      </c>
      <c r="C2490" s="5"/>
      <c r="D2490" s="5"/>
      <c r="E2490" s="5"/>
      <c r="F2490" s="22">
        <f>IFERROR(__xludf.DUMMYFUNCTION("""COMPUTED_VALUE"""),500000.0)</f>
        <v>500000</v>
      </c>
      <c r="G2490" s="22">
        <f>IFERROR(__xludf.DUMMYFUNCTION("""COMPUTED_VALUE"""),0.0)</f>
        <v>0</v>
      </c>
      <c r="H2490" s="22">
        <f>IFERROR(__xludf.DUMMYFUNCTION("""COMPUTED_VALUE"""),507000.0)</f>
        <v>507000</v>
      </c>
      <c r="I2490" s="24">
        <f>IFERROR(__xludf.DUMMYFUNCTION("""COMPUTED_VALUE"""),0.014000000000000012)</f>
        <v>0.014</v>
      </c>
    </row>
    <row r="2491">
      <c r="A2491" s="5" t="str">
        <f>IFERROR(__xludf.DUMMYFUNCTION("""COMPUTED_VALUE"""),"39296")</f>
        <v>39296</v>
      </c>
      <c r="B2491" s="64">
        <f>IFERROR(__xludf.DUMMYFUNCTION("""COMPUTED_VALUE"""),44604.0)</f>
        <v>44604</v>
      </c>
      <c r="C2491" s="5"/>
      <c r="D2491" s="5"/>
      <c r="E2491" s="5"/>
      <c r="F2491" s="22">
        <f>IFERROR(__xludf.DUMMYFUNCTION("""COMPUTED_VALUE"""),500000.0)</f>
        <v>500000</v>
      </c>
      <c r="G2491" s="22">
        <f>IFERROR(__xludf.DUMMYFUNCTION("""COMPUTED_VALUE"""),0.0)</f>
        <v>0</v>
      </c>
      <c r="H2491" s="22">
        <f>IFERROR(__xludf.DUMMYFUNCTION("""COMPUTED_VALUE"""),507000.0)</f>
        <v>507000</v>
      </c>
      <c r="I2491" s="24">
        <f>IFERROR(__xludf.DUMMYFUNCTION("""COMPUTED_VALUE"""),0.014000000000000012)</f>
        <v>0.014</v>
      </c>
    </row>
    <row r="2492">
      <c r="A2492" s="5" t="str">
        <f>IFERROR(__xludf.DUMMYFUNCTION("""COMPUTED_VALUE"""),"39296")</f>
        <v>39296</v>
      </c>
      <c r="B2492" s="64">
        <f>IFERROR(__xludf.DUMMYFUNCTION("""COMPUTED_VALUE"""),44605.0)</f>
        <v>44605</v>
      </c>
      <c r="C2492" s="5"/>
      <c r="D2492" s="5"/>
      <c r="E2492" s="5"/>
      <c r="F2492" s="22">
        <f>IFERROR(__xludf.DUMMYFUNCTION("""COMPUTED_VALUE"""),500000.0)</f>
        <v>500000</v>
      </c>
      <c r="G2492" s="22">
        <f>IFERROR(__xludf.DUMMYFUNCTION("""COMPUTED_VALUE"""),0.0)</f>
        <v>0</v>
      </c>
      <c r="H2492" s="22">
        <f>IFERROR(__xludf.DUMMYFUNCTION("""COMPUTED_VALUE"""),507000.0)</f>
        <v>507000</v>
      </c>
      <c r="I2492" s="24">
        <f>IFERROR(__xludf.DUMMYFUNCTION("""COMPUTED_VALUE"""),0.014000000000000012)</f>
        <v>0.014</v>
      </c>
    </row>
    <row r="2493">
      <c r="A2493" s="5" t="str">
        <f>IFERROR(__xludf.DUMMYFUNCTION("""COMPUTED_VALUE"""),"39296")</f>
        <v>39296</v>
      </c>
      <c r="B2493" s="64">
        <f>IFERROR(__xludf.DUMMYFUNCTION("""COMPUTED_VALUE"""),44606.0)</f>
        <v>44606</v>
      </c>
      <c r="C2493" s="5"/>
      <c r="D2493" s="5"/>
      <c r="E2493" s="5"/>
      <c r="F2493" s="22">
        <f>IFERROR(__xludf.DUMMYFUNCTION("""COMPUTED_VALUE"""),500000.0)</f>
        <v>500000</v>
      </c>
      <c r="G2493" s="22">
        <f>IFERROR(__xludf.DUMMYFUNCTION("""COMPUTED_VALUE"""),0.0)</f>
        <v>0</v>
      </c>
      <c r="H2493" s="22">
        <f>IFERROR(__xludf.DUMMYFUNCTION("""COMPUTED_VALUE"""),502000.0)</f>
        <v>502000</v>
      </c>
      <c r="I2493" s="24">
        <f>IFERROR(__xludf.DUMMYFUNCTION("""COMPUTED_VALUE"""),0.0040000000000000036)</f>
        <v>0.004</v>
      </c>
    </row>
    <row r="2494">
      <c r="A2494" s="5" t="str">
        <f>IFERROR(__xludf.DUMMYFUNCTION("""COMPUTED_VALUE"""),"39296")</f>
        <v>39296</v>
      </c>
      <c r="B2494" s="64">
        <f>IFERROR(__xludf.DUMMYFUNCTION("""COMPUTED_VALUE"""),44607.0)</f>
        <v>44607</v>
      </c>
      <c r="C2494" s="5"/>
      <c r="D2494" s="5"/>
      <c r="E2494" s="5"/>
      <c r="F2494" s="22">
        <f>IFERROR(__xludf.DUMMYFUNCTION("""COMPUTED_VALUE"""),500000.0)</f>
        <v>500000</v>
      </c>
      <c r="G2494" s="22">
        <f>IFERROR(__xludf.DUMMYFUNCTION("""COMPUTED_VALUE"""),0.0)</f>
        <v>0</v>
      </c>
      <c r="H2494" s="22">
        <f>IFERROR(__xludf.DUMMYFUNCTION("""COMPUTED_VALUE"""),500000.0)</f>
        <v>500000</v>
      </c>
      <c r="I2494" s="24">
        <f>IFERROR(__xludf.DUMMYFUNCTION("""COMPUTED_VALUE"""),0.0)</f>
        <v>0</v>
      </c>
    </row>
    <row r="2495">
      <c r="A2495" s="5" t="str">
        <f>IFERROR(__xludf.DUMMYFUNCTION("""COMPUTED_VALUE"""),"39296")</f>
        <v>39296</v>
      </c>
      <c r="B2495" s="64">
        <f>IFERROR(__xludf.DUMMYFUNCTION("""COMPUTED_VALUE"""),44608.0)</f>
        <v>44608</v>
      </c>
      <c r="C2495" s="5"/>
      <c r="D2495" s="5"/>
      <c r="E2495" s="5"/>
      <c r="F2495" s="22">
        <f>IFERROR(__xludf.DUMMYFUNCTION("""COMPUTED_VALUE"""),500000.0)</f>
        <v>500000</v>
      </c>
      <c r="G2495" s="22">
        <f>IFERROR(__xludf.DUMMYFUNCTION("""COMPUTED_VALUE"""),0.0)</f>
        <v>0</v>
      </c>
      <c r="H2495" s="22">
        <f>IFERROR(__xludf.DUMMYFUNCTION("""COMPUTED_VALUE"""),506200.0)</f>
        <v>506200</v>
      </c>
      <c r="I2495" s="24">
        <f>IFERROR(__xludf.DUMMYFUNCTION("""COMPUTED_VALUE"""),0.012399999999999967)</f>
        <v>0.0124</v>
      </c>
    </row>
    <row r="2496">
      <c r="A2496" s="5" t="str">
        <f>IFERROR(__xludf.DUMMYFUNCTION("""COMPUTED_VALUE"""),"39296")</f>
        <v>39296</v>
      </c>
      <c r="B2496" s="64">
        <f>IFERROR(__xludf.DUMMYFUNCTION("""COMPUTED_VALUE"""),44609.0)</f>
        <v>44609</v>
      </c>
      <c r="C2496" s="5"/>
      <c r="D2496" s="5"/>
      <c r="E2496" s="5"/>
      <c r="F2496" s="22">
        <f>IFERROR(__xludf.DUMMYFUNCTION("""COMPUTED_VALUE"""),500000.0)</f>
        <v>500000</v>
      </c>
      <c r="G2496" s="22">
        <f>IFERROR(__xludf.DUMMYFUNCTION("""COMPUTED_VALUE"""),0.0)</f>
        <v>0</v>
      </c>
      <c r="H2496" s="22">
        <f>IFERROR(__xludf.DUMMYFUNCTION("""COMPUTED_VALUE"""),509000.0)</f>
        <v>509000</v>
      </c>
      <c r="I2496" s="24">
        <f>IFERROR(__xludf.DUMMYFUNCTION("""COMPUTED_VALUE"""),0.018000000000000016)</f>
        <v>0.018</v>
      </c>
    </row>
    <row r="2497">
      <c r="A2497" s="5" t="str">
        <f>IFERROR(__xludf.DUMMYFUNCTION("""COMPUTED_VALUE"""),"39296")</f>
        <v>39296</v>
      </c>
      <c r="B2497" s="64">
        <f>IFERROR(__xludf.DUMMYFUNCTION("""COMPUTED_VALUE"""),44610.0)</f>
        <v>44610</v>
      </c>
      <c r="C2497" s="5"/>
      <c r="D2497" s="5"/>
      <c r="E2497" s="5"/>
      <c r="F2497" s="22">
        <f>IFERROR(__xludf.DUMMYFUNCTION("""COMPUTED_VALUE"""),500000.0)</f>
        <v>500000</v>
      </c>
      <c r="G2497" s="22">
        <f>IFERROR(__xludf.DUMMYFUNCTION("""COMPUTED_VALUE"""),0.0)</f>
        <v>0</v>
      </c>
      <c r="H2497" s="22">
        <f>IFERROR(__xludf.DUMMYFUNCTION("""COMPUTED_VALUE"""),500000.0)</f>
        <v>500000</v>
      </c>
      <c r="I2497" s="24">
        <f>IFERROR(__xludf.DUMMYFUNCTION("""COMPUTED_VALUE"""),0.0)</f>
        <v>0</v>
      </c>
    </row>
    <row r="2498">
      <c r="A2498" s="5" t="str">
        <f>IFERROR(__xludf.DUMMYFUNCTION("""COMPUTED_VALUE"""),"39296")</f>
        <v>39296</v>
      </c>
      <c r="B2498" s="64">
        <f>IFERROR(__xludf.DUMMYFUNCTION("""COMPUTED_VALUE"""),44611.0)</f>
        <v>44611</v>
      </c>
      <c r="C2498" s="5"/>
      <c r="D2498" s="5"/>
      <c r="E2498" s="5"/>
      <c r="F2498" s="22">
        <f>IFERROR(__xludf.DUMMYFUNCTION("""COMPUTED_VALUE"""),500000.0)</f>
        <v>500000</v>
      </c>
      <c r="G2498" s="22">
        <f>IFERROR(__xludf.DUMMYFUNCTION("""COMPUTED_VALUE"""),0.0)</f>
        <v>0</v>
      </c>
      <c r="H2498" s="22">
        <f>IFERROR(__xludf.DUMMYFUNCTION("""COMPUTED_VALUE"""),500000.0)</f>
        <v>500000</v>
      </c>
      <c r="I2498" s="24">
        <f>IFERROR(__xludf.DUMMYFUNCTION("""COMPUTED_VALUE"""),0.0)</f>
        <v>0</v>
      </c>
    </row>
    <row r="2499">
      <c r="A2499" s="5" t="str">
        <f>IFERROR(__xludf.DUMMYFUNCTION("""COMPUTED_VALUE"""),"39296")</f>
        <v>39296</v>
      </c>
      <c r="B2499" s="64">
        <f>IFERROR(__xludf.DUMMYFUNCTION("""COMPUTED_VALUE"""),44612.0)</f>
        <v>44612</v>
      </c>
      <c r="C2499" s="5"/>
      <c r="D2499" s="5"/>
      <c r="E2499" s="5"/>
      <c r="F2499" s="22">
        <f>IFERROR(__xludf.DUMMYFUNCTION("""COMPUTED_VALUE"""),500000.0)</f>
        <v>500000</v>
      </c>
      <c r="G2499" s="22">
        <f>IFERROR(__xludf.DUMMYFUNCTION("""COMPUTED_VALUE"""),0.0)</f>
        <v>0</v>
      </c>
      <c r="H2499" s="22">
        <f>IFERROR(__xludf.DUMMYFUNCTION("""COMPUTED_VALUE"""),500000.0)</f>
        <v>500000</v>
      </c>
      <c r="I2499" s="24">
        <f>IFERROR(__xludf.DUMMYFUNCTION("""COMPUTED_VALUE"""),0.0)</f>
        <v>0</v>
      </c>
    </row>
    <row r="2500">
      <c r="A2500" s="5" t="str">
        <f>IFERROR(__xludf.DUMMYFUNCTION("""COMPUTED_VALUE"""),"39296")</f>
        <v>39296</v>
      </c>
      <c r="B2500" s="64">
        <f>IFERROR(__xludf.DUMMYFUNCTION("""COMPUTED_VALUE"""),44613.0)</f>
        <v>44613</v>
      </c>
      <c r="C2500" s="5"/>
      <c r="D2500" s="5"/>
      <c r="E2500" s="5"/>
      <c r="F2500" s="22">
        <f>IFERROR(__xludf.DUMMYFUNCTION("""COMPUTED_VALUE"""),500000.0)</f>
        <v>500000</v>
      </c>
      <c r="G2500" s="22">
        <f>IFERROR(__xludf.DUMMYFUNCTION("""COMPUTED_VALUE"""),0.0)</f>
        <v>0</v>
      </c>
      <c r="H2500" s="22">
        <f>IFERROR(__xludf.DUMMYFUNCTION("""COMPUTED_VALUE"""),475400.0)</f>
        <v>475400</v>
      </c>
      <c r="I2500" s="24">
        <f>IFERROR(__xludf.DUMMYFUNCTION("""COMPUTED_VALUE"""),-0.04920000000000002)</f>
        <v>-0.0492</v>
      </c>
    </row>
    <row r="2501">
      <c r="A2501" s="5" t="str">
        <f>IFERROR(__xludf.DUMMYFUNCTION("""COMPUTED_VALUE"""),"39296")</f>
        <v>39296</v>
      </c>
      <c r="B2501" s="64">
        <f>IFERROR(__xludf.DUMMYFUNCTION("""COMPUTED_VALUE"""),44614.0)</f>
        <v>44614</v>
      </c>
      <c r="C2501" s="5"/>
      <c r="D2501" s="5"/>
      <c r="E2501" s="5"/>
      <c r="F2501" s="22">
        <f>IFERROR(__xludf.DUMMYFUNCTION("""COMPUTED_VALUE"""),500000.0)</f>
        <v>500000</v>
      </c>
      <c r="G2501" s="22">
        <f>IFERROR(__xludf.DUMMYFUNCTION("""COMPUTED_VALUE"""),0.0)</f>
        <v>0</v>
      </c>
      <c r="H2501" s="22">
        <f>IFERROR(__xludf.DUMMYFUNCTION("""COMPUTED_VALUE"""),474800.0)</f>
        <v>474800</v>
      </c>
      <c r="I2501" s="24">
        <f>IFERROR(__xludf.DUMMYFUNCTION("""COMPUTED_VALUE"""),-0.0504)</f>
        <v>-0.0504</v>
      </c>
    </row>
    <row r="2502">
      <c r="A2502" s="5" t="str">
        <f>IFERROR(__xludf.DUMMYFUNCTION("""COMPUTED_VALUE"""),"39296")</f>
        <v>39296</v>
      </c>
      <c r="B2502" s="64">
        <f>IFERROR(__xludf.DUMMYFUNCTION("""COMPUTED_VALUE"""),44615.0)</f>
        <v>44615</v>
      </c>
      <c r="C2502" s="5"/>
      <c r="D2502" s="5"/>
      <c r="E2502" s="5"/>
      <c r="F2502" s="22">
        <f>IFERROR(__xludf.DUMMYFUNCTION("""COMPUTED_VALUE"""),500000.0)</f>
        <v>500000</v>
      </c>
      <c r="G2502" s="22">
        <f>IFERROR(__xludf.DUMMYFUNCTION("""COMPUTED_VALUE"""),0.0)</f>
        <v>0</v>
      </c>
      <c r="H2502" s="22">
        <f>IFERROR(__xludf.DUMMYFUNCTION("""COMPUTED_VALUE"""),475000.0)</f>
        <v>475000</v>
      </c>
      <c r="I2502" s="24">
        <f>IFERROR(__xludf.DUMMYFUNCTION("""COMPUTED_VALUE"""),-0.050000000000000044)</f>
        <v>-0.05</v>
      </c>
    </row>
    <row r="2503">
      <c r="A2503" s="5" t="str">
        <f>IFERROR(__xludf.DUMMYFUNCTION("""COMPUTED_VALUE"""),"39296")</f>
        <v>39296</v>
      </c>
      <c r="B2503" s="64">
        <f>IFERROR(__xludf.DUMMYFUNCTION("""COMPUTED_VALUE"""),44616.0)</f>
        <v>44616</v>
      </c>
      <c r="C2503" s="5"/>
      <c r="D2503" s="5"/>
      <c r="E2503" s="5"/>
      <c r="F2503" s="22">
        <f>IFERROR(__xludf.DUMMYFUNCTION("""COMPUTED_VALUE"""),500000.0)</f>
        <v>500000</v>
      </c>
      <c r="G2503" s="22">
        <f>IFERROR(__xludf.DUMMYFUNCTION("""COMPUTED_VALUE"""),0.0)</f>
        <v>0</v>
      </c>
      <c r="H2503" s="22">
        <f>IFERROR(__xludf.DUMMYFUNCTION("""COMPUTED_VALUE"""),457800.0)</f>
        <v>457800</v>
      </c>
      <c r="I2503" s="24">
        <f>IFERROR(__xludf.DUMMYFUNCTION("""COMPUTED_VALUE"""),-0.08440000000000003)</f>
        <v>-0.0844</v>
      </c>
    </row>
    <row r="2504">
      <c r="A2504" s="5" t="str">
        <f>IFERROR(__xludf.DUMMYFUNCTION("""COMPUTED_VALUE"""),"39296")</f>
        <v>39296</v>
      </c>
      <c r="B2504" s="64">
        <f>IFERROR(__xludf.DUMMYFUNCTION("""COMPUTED_VALUE"""),44617.0)</f>
        <v>44617</v>
      </c>
      <c r="C2504" s="5"/>
      <c r="D2504" s="5"/>
      <c r="E2504" s="5"/>
      <c r="F2504" s="22">
        <f>IFERROR(__xludf.DUMMYFUNCTION("""COMPUTED_VALUE"""),500000.0)</f>
        <v>500000</v>
      </c>
      <c r="G2504" s="22">
        <f>IFERROR(__xludf.DUMMYFUNCTION("""COMPUTED_VALUE"""),0.0)</f>
        <v>0</v>
      </c>
      <c r="H2504" s="22">
        <f>IFERROR(__xludf.DUMMYFUNCTION("""COMPUTED_VALUE"""),454000.0)</f>
        <v>454000</v>
      </c>
      <c r="I2504" s="24">
        <f>IFERROR(__xludf.DUMMYFUNCTION("""COMPUTED_VALUE"""),-0.09199999999999997)</f>
        <v>-0.092</v>
      </c>
    </row>
    <row r="2505">
      <c r="A2505" s="5" t="str">
        <f>IFERROR(__xludf.DUMMYFUNCTION("""COMPUTED_VALUE"""),"39296")</f>
        <v>39296</v>
      </c>
      <c r="B2505" s="64">
        <f>IFERROR(__xludf.DUMMYFUNCTION("""COMPUTED_VALUE"""),44618.0)</f>
        <v>44618</v>
      </c>
      <c r="C2505" s="5"/>
      <c r="D2505" s="5"/>
      <c r="E2505" s="5"/>
      <c r="F2505" s="22">
        <f>IFERROR(__xludf.DUMMYFUNCTION("""COMPUTED_VALUE"""),500000.0)</f>
        <v>500000</v>
      </c>
      <c r="G2505" s="22">
        <f>IFERROR(__xludf.DUMMYFUNCTION("""COMPUTED_VALUE"""),0.0)</f>
        <v>0</v>
      </c>
      <c r="H2505" s="22">
        <f>IFERROR(__xludf.DUMMYFUNCTION("""COMPUTED_VALUE"""),454000.0)</f>
        <v>454000</v>
      </c>
      <c r="I2505" s="24">
        <f>IFERROR(__xludf.DUMMYFUNCTION("""COMPUTED_VALUE"""),-0.09199999999999997)</f>
        <v>-0.092</v>
      </c>
    </row>
    <row r="2506">
      <c r="A2506" s="5" t="str">
        <f>IFERROR(__xludf.DUMMYFUNCTION("""COMPUTED_VALUE"""),"39296")</f>
        <v>39296</v>
      </c>
      <c r="B2506" s="64">
        <f>IFERROR(__xludf.DUMMYFUNCTION("""COMPUTED_VALUE"""),44619.0)</f>
        <v>44619</v>
      </c>
      <c r="C2506" s="5"/>
      <c r="D2506" s="5"/>
      <c r="E2506" s="5"/>
      <c r="F2506" s="22">
        <f>IFERROR(__xludf.DUMMYFUNCTION("""COMPUTED_VALUE"""),500000.0)</f>
        <v>500000</v>
      </c>
      <c r="G2506" s="22">
        <f>IFERROR(__xludf.DUMMYFUNCTION("""COMPUTED_VALUE"""),0.0)</f>
        <v>0</v>
      </c>
      <c r="H2506" s="22">
        <f>IFERROR(__xludf.DUMMYFUNCTION("""COMPUTED_VALUE"""),454000.0)</f>
        <v>454000</v>
      </c>
      <c r="I2506" s="24">
        <f>IFERROR(__xludf.DUMMYFUNCTION("""COMPUTED_VALUE"""),-0.09199999999999997)</f>
        <v>-0.092</v>
      </c>
    </row>
    <row r="2507">
      <c r="A2507" s="5" t="str">
        <f>IFERROR(__xludf.DUMMYFUNCTION("""COMPUTED_VALUE"""),"39296")</f>
        <v>39296</v>
      </c>
      <c r="B2507" s="64">
        <f>IFERROR(__xludf.DUMMYFUNCTION("""COMPUTED_VALUE"""),44620.0)</f>
        <v>44620</v>
      </c>
      <c r="C2507" s="5"/>
      <c r="D2507" s="5"/>
      <c r="E2507" s="5"/>
      <c r="F2507" s="22">
        <f>IFERROR(__xludf.DUMMYFUNCTION("""COMPUTED_VALUE"""),500000.0)</f>
        <v>500000</v>
      </c>
      <c r="G2507" s="22">
        <f>IFERROR(__xludf.DUMMYFUNCTION("""COMPUTED_VALUE"""),0.0)</f>
        <v>0</v>
      </c>
      <c r="H2507" s="22">
        <f>IFERROR(__xludf.DUMMYFUNCTION("""COMPUTED_VALUE"""),451200.0)</f>
        <v>451200</v>
      </c>
      <c r="I2507" s="24">
        <f>IFERROR(__xludf.DUMMYFUNCTION("""COMPUTED_VALUE"""),-0.09760000000000002)</f>
        <v>-0.0976</v>
      </c>
    </row>
    <row r="2508">
      <c r="A2508" s="5" t="str">
        <f>IFERROR(__xludf.DUMMYFUNCTION("""COMPUTED_VALUE"""),"39296")</f>
        <v>39296</v>
      </c>
      <c r="B2508" s="64">
        <f>IFERROR(__xludf.DUMMYFUNCTION("""COMPUTED_VALUE"""),44621.0)</f>
        <v>44621</v>
      </c>
      <c r="C2508" s="5"/>
      <c r="D2508" s="5"/>
      <c r="E2508" s="5"/>
      <c r="F2508" s="22">
        <f>IFERROR(__xludf.DUMMYFUNCTION("""COMPUTED_VALUE"""),500000.0)</f>
        <v>500000</v>
      </c>
      <c r="G2508" s="22">
        <f>IFERROR(__xludf.DUMMYFUNCTION("""COMPUTED_VALUE"""),0.0)</f>
        <v>0</v>
      </c>
      <c r="H2508" s="22">
        <f>IFERROR(__xludf.DUMMYFUNCTION("""COMPUTED_VALUE"""),461000.0)</f>
        <v>461000</v>
      </c>
      <c r="I2508" s="24">
        <f>IFERROR(__xludf.DUMMYFUNCTION("""COMPUTED_VALUE"""),-0.07799999999999996)</f>
        <v>-0.078</v>
      </c>
    </row>
    <row r="2509">
      <c r="A2509" s="5" t="str">
        <f>IFERROR(__xludf.DUMMYFUNCTION("""COMPUTED_VALUE"""),"39296")</f>
        <v>39296</v>
      </c>
      <c r="B2509" s="64">
        <f>IFERROR(__xludf.DUMMYFUNCTION("""COMPUTED_VALUE"""),44622.0)</f>
        <v>44622</v>
      </c>
      <c r="C2509" s="5"/>
      <c r="D2509" s="5"/>
      <c r="E2509" s="5"/>
      <c r="F2509" s="22">
        <f>IFERROR(__xludf.DUMMYFUNCTION("""COMPUTED_VALUE"""),500000.0)</f>
        <v>500000</v>
      </c>
      <c r="G2509" s="22">
        <f>IFERROR(__xludf.DUMMYFUNCTION("""COMPUTED_VALUE"""),0.0)</f>
        <v>0</v>
      </c>
      <c r="H2509" s="22">
        <f>IFERROR(__xludf.DUMMYFUNCTION("""COMPUTED_VALUE"""),453400.0)</f>
        <v>453400</v>
      </c>
      <c r="I2509" s="24">
        <f>IFERROR(__xludf.DUMMYFUNCTION("""COMPUTED_VALUE"""),-0.09319999999999995)</f>
        <v>-0.0932</v>
      </c>
    </row>
    <row r="2510">
      <c r="A2510" s="5" t="str">
        <f>IFERROR(__xludf.DUMMYFUNCTION("""COMPUTED_VALUE"""),"39296")</f>
        <v>39296</v>
      </c>
      <c r="B2510" s="64">
        <f>IFERROR(__xludf.DUMMYFUNCTION("""COMPUTED_VALUE"""),44623.0)</f>
        <v>44623</v>
      </c>
      <c r="C2510" s="5"/>
      <c r="D2510" s="5"/>
      <c r="E2510" s="5"/>
      <c r="F2510" s="22">
        <f>IFERROR(__xludf.DUMMYFUNCTION("""COMPUTED_VALUE"""),500000.0)</f>
        <v>500000</v>
      </c>
      <c r="G2510" s="22">
        <f>IFERROR(__xludf.DUMMYFUNCTION("""COMPUTED_VALUE"""),0.0)</f>
        <v>0</v>
      </c>
      <c r="H2510" s="22">
        <f>IFERROR(__xludf.DUMMYFUNCTION("""COMPUTED_VALUE"""),448800.0)</f>
        <v>448800</v>
      </c>
      <c r="I2510" s="24">
        <f>IFERROR(__xludf.DUMMYFUNCTION("""COMPUTED_VALUE"""),-0.10240000000000005)</f>
        <v>-0.1024</v>
      </c>
    </row>
    <row r="2511">
      <c r="A2511" s="5" t="str">
        <f>IFERROR(__xludf.DUMMYFUNCTION("""COMPUTED_VALUE"""),"39296")</f>
        <v>39296</v>
      </c>
      <c r="B2511" s="64">
        <f>IFERROR(__xludf.DUMMYFUNCTION("""COMPUTED_VALUE"""),44624.0)</f>
        <v>44624</v>
      </c>
      <c r="C2511" s="5"/>
      <c r="D2511" s="5"/>
      <c r="E2511" s="5"/>
      <c r="F2511" s="22">
        <f>IFERROR(__xludf.DUMMYFUNCTION("""COMPUTED_VALUE"""),500000.0)</f>
        <v>500000</v>
      </c>
      <c r="G2511" s="22">
        <f>IFERROR(__xludf.DUMMYFUNCTION("""COMPUTED_VALUE"""),0.0)</f>
        <v>0</v>
      </c>
      <c r="H2511" s="22">
        <f>IFERROR(__xludf.DUMMYFUNCTION("""COMPUTED_VALUE"""),433200.0)</f>
        <v>433200</v>
      </c>
      <c r="I2511" s="24">
        <f>IFERROR(__xludf.DUMMYFUNCTION("""COMPUTED_VALUE"""),-0.13360000000000005)</f>
        <v>-0.1336</v>
      </c>
    </row>
    <row r="2512">
      <c r="A2512" s="5" t="str">
        <f>IFERROR(__xludf.DUMMYFUNCTION("""COMPUTED_VALUE"""),"39296")</f>
        <v>39296</v>
      </c>
      <c r="B2512" s="64">
        <f>IFERROR(__xludf.DUMMYFUNCTION("""COMPUTED_VALUE"""),44625.0)</f>
        <v>44625</v>
      </c>
      <c r="C2512" s="5"/>
      <c r="D2512" s="5"/>
      <c r="E2512" s="5"/>
      <c r="F2512" s="22">
        <f>IFERROR(__xludf.DUMMYFUNCTION("""COMPUTED_VALUE"""),500000.0)</f>
        <v>500000</v>
      </c>
      <c r="G2512" s="22">
        <f>IFERROR(__xludf.DUMMYFUNCTION("""COMPUTED_VALUE"""),0.0)</f>
        <v>0</v>
      </c>
      <c r="H2512" s="22">
        <f>IFERROR(__xludf.DUMMYFUNCTION("""COMPUTED_VALUE"""),433200.0)</f>
        <v>433200</v>
      </c>
      <c r="I2512" s="24">
        <f>IFERROR(__xludf.DUMMYFUNCTION("""COMPUTED_VALUE"""),-0.13360000000000005)</f>
        <v>-0.1336</v>
      </c>
    </row>
    <row r="2513">
      <c r="A2513" s="5" t="str">
        <f>IFERROR(__xludf.DUMMYFUNCTION("""COMPUTED_VALUE"""),"39296")</f>
        <v>39296</v>
      </c>
      <c r="B2513" s="64">
        <f>IFERROR(__xludf.DUMMYFUNCTION("""COMPUTED_VALUE"""),44626.0)</f>
        <v>44626</v>
      </c>
      <c r="C2513" s="5"/>
      <c r="D2513" s="5"/>
      <c r="E2513" s="5"/>
      <c r="F2513" s="22">
        <f>IFERROR(__xludf.DUMMYFUNCTION("""COMPUTED_VALUE"""),500000.0)</f>
        <v>500000</v>
      </c>
      <c r="G2513" s="22">
        <f>IFERROR(__xludf.DUMMYFUNCTION("""COMPUTED_VALUE"""),0.0)</f>
        <v>0</v>
      </c>
      <c r="H2513" s="22">
        <f>IFERROR(__xludf.DUMMYFUNCTION("""COMPUTED_VALUE"""),433200.0)</f>
        <v>433200</v>
      </c>
      <c r="I2513" s="24">
        <f>IFERROR(__xludf.DUMMYFUNCTION("""COMPUTED_VALUE"""),-0.13360000000000005)</f>
        <v>-0.1336</v>
      </c>
    </row>
    <row r="2514">
      <c r="A2514" s="5" t="str">
        <f>IFERROR(__xludf.DUMMYFUNCTION("""COMPUTED_VALUE"""),"39296")</f>
        <v>39296</v>
      </c>
      <c r="B2514" s="64">
        <f>IFERROR(__xludf.DUMMYFUNCTION("""COMPUTED_VALUE"""),44627.0)</f>
        <v>44627</v>
      </c>
      <c r="C2514" s="5"/>
      <c r="D2514" s="5"/>
      <c r="E2514" s="5"/>
      <c r="F2514" s="22">
        <f>IFERROR(__xludf.DUMMYFUNCTION("""COMPUTED_VALUE"""),500000.0)</f>
        <v>500000</v>
      </c>
      <c r="G2514" s="22">
        <f>IFERROR(__xludf.DUMMYFUNCTION("""COMPUTED_VALUE"""),0.0)</f>
        <v>0</v>
      </c>
      <c r="H2514" s="22">
        <f>IFERROR(__xludf.DUMMYFUNCTION("""COMPUTED_VALUE"""),418000.0)</f>
        <v>418000</v>
      </c>
      <c r="I2514" s="24">
        <f>IFERROR(__xludf.DUMMYFUNCTION("""COMPUTED_VALUE"""),-0.16400000000000003)</f>
        <v>-0.164</v>
      </c>
    </row>
    <row r="2515">
      <c r="A2515" s="5" t="str">
        <f>IFERROR(__xludf.DUMMYFUNCTION("""COMPUTED_VALUE"""),"39296")</f>
        <v>39296</v>
      </c>
      <c r="B2515" s="64">
        <f>IFERROR(__xludf.DUMMYFUNCTION("""COMPUTED_VALUE"""),44628.0)</f>
        <v>44628</v>
      </c>
      <c r="C2515" s="5"/>
      <c r="D2515" s="5"/>
      <c r="E2515" s="5"/>
      <c r="F2515" s="22">
        <f>IFERROR(__xludf.DUMMYFUNCTION("""COMPUTED_VALUE"""),500000.0)</f>
        <v>500000</v>
      </c>
      <c r="G2515" s="22">
        <f>IFERROR(__xludf.DUMMYFUNCTION("""COMPUTED_VALUE"""),0.0)</f>
        <v>0</v>
      </c>
      <c r="H2515" s="22">
        <f>IFERROR(__xludf.DUMMYFUNCTION("""COMPUTED_VALUE"""),413200.0)</f>
        <v>413200</v>
      </c>
      <c r="I2515" s="24">
        <f>IFERROR(__xludf.DUMMYFUNCTION("""COMPUTED_VALUE"""),-0.17359999999999998)</f>
        <v>-0.1736</v>
      </c>
    </row>
    <row r="2516">
      <c r="A2516" s="5" t="str">
        <f>IFERROR(__xludf.DUMMYFUNCTION("""COMPUTED_VALUE"""),"39296")</f>
        <v>39296</v>
      </c>
      <c r="B2516" s="64">
        <f>IFERROR(__xludf.DUMMYFUNCTION("""COMPUTED_VALUE"""),44629.0)</f>
        <v>44629</v>
      </c>
      <c r="C2516" s="5"/>
      <c r="D2516" s="5"/>
      <c r="E2516" s="5"/>
      <c r="F2516" s="22">
        <f>IFERROR(__xludf.DUMMYFUNCTION("""COMPUTED_VALUE"""),500000.0)</f>
        <v>500000</v>
      </c>
      <c r="G2516" s="22">
        <f>IFERROR(__xludf.DUMMYFUNCTION("""COMPUTED_VALUE"""),0.0)</f>
        <v>0</v>
      </c>
      <c r="H2516" s="22">
        <f>IFERROR(__xludf.DUMMYFUNCTION("""COMPUTED_VALUE"""),414800.0)</f>
        <v>414800</v>
      </c>
      <c r="I2516" s="24">
        <f>IFERROR(__xludf.DUMMYFUNCTION("""COMPUTED_VALUE"""),-0.1704)</f>
        <v>-0.1704</v>
      </c>
    </row>
    <row r="2517">
      <c r="A2517" s="5" t="str">
        <f>IFERROR(__xludf.DUMMYFUNCTION("""COMPUTED_VALUE"""),"39296")</f>
        <v>39296</v>
      </c>
      <c r="B2517" s="64">
        <f>IFERROR(__xludf.DUMMYFUNCTION("""COMPUTED_VALUE"""),44630.0)</f>
        <v>44630</v>
      </c>
      <c r="C2517" s="5"/>
      <c r="D2517" s="5"/>
      <c r="E2517" s="5"/>
      <c r="F2517" s="22">
        <f>IFERROR(__xludf.DUMMYFUNCTION("""COMPUTED_VALUE"""),500000.0)</f>
        <v>500000</v>
      </c>
      <c r="G2517" s="22">
        <f>IFERROR(__xludf.DUMMYFUNCTION("""COMPUTED_VALUE"""),0.0)</f>
        <v>0</v>
      </c>
      <c r="H2517" s="22">
        <f>IFERROR(__xludf.DUMMYFUNCTION("""COMPUTED_VALUE"""),415000.0)</f>
        <v>415000</v>
      </c>
      <c r="I2517" s="24">
        <f>IFERROR(__xludf.DUMMYFUNCTION("""COMPUTED_VALUE"""),-0.17000000000000004)</f>
        <v>-0.17</v>
      </c>
    </row>
    <row r="2518">
      <c r="A2518" s="5" t="str">
        <f>IFERROR(__xludf.DUMMYFUNCTION("""COMPUTED_VALUE"""),"39296")</f>
        <v>39296</v>
      </c>
      <c r="B2518" s="64">
        <f>IFERROR(__xludf.DUMMYFUNCTION("""COMPUTED_VALUE"""),44631.0)</f>
        <v>44631</v>
      </c>
      <c r="C2518" s="5"/>
      <c r="D2518" s="5"/>
      <c r="E2518" s="5"/>
      <c r="F2518" s="22">
        <f>IFERROR(__xludf.DUMMYFUNCTION("""COMPUTED_VALUE"""),500000.0)</f>
        <v>500000</v>
      </c>
      <c r="G2518" s="22">
        <f>IFERROR(__xludf.DUMMYFUNCTION("""COMPUTED_VALUE"""),0.0)</f>
        <v>0</v>
      </c>
      <c r="H2518" s="22">
        <f>IFERROR(__xludf.DUMMYFUNCTION("""COMPUTED_VALUE"""),397800.0)</f>
        <v>397800</v>
      </c>
      <c r="I2518" s="24">
        <f>IFERROR(__xludf.DUMMYFUNCTION("""COMPUTED_VALUE"""),-0.20440000000000003)</f>
        <v>-0.2044</v>
      </c>
    </row>
    <row r="2519">
      <c r="A2519" s="5" t="str">
        <f>IFERROR(__xludf.DUMMYFUNCTION("""COMPUTED_VALUE"""),"39296")</f>
        <v>39296</v>
      </c>
      <c r="B2519" s="64">
        <f>IFERROR(__xludf.DUMMYFUNCTION("""COMPUTED_VALUE"""),44632.0)</f>
        <v>44632</v>
      </c>
      <c r="C2519" s="5"/>
      <c r="D2519" s="5"/>
      <c r="E2519" s="5"/>
      <c r="F2519" s="22">
        <f>IFERROR(__xludf.DUMMYFUNCTION("""COMPUTED_VALUE"""),500000.0)</f>
        <v>500000</v>
      </c>
      <c r="G2519" s="22">
        <f>IFERROR(__xludf.DUMMYFUNCTION("""COMPUTED_VALUE"""),0.0)</f>
        <v>0</v>
      </c>
      <c r="H2519" s="22">
        <f>IFERROR(__xludf.DUMMYFUNCTION("""COMPUTED_VALUE"""),397800.0)</f>
        <v>397800</v>
      </c>
      <c r="I2519" s="24">
        <f>IFERROR(__xludf.DUMMYFUNCTION("""COMPUTED_VALUE"""),-0.20440000000000003)</f>
        <v>-0.2044</v>
      </c>
    </row>
    <row r="2520">
      <c r="A2520" s="5" t="str">
        <f>IFERROR(__xludf.DUMMYFUNCTION("""COMPUTED_VALUE"""),"39296")</f>
        <v>39296</v>
      </c>
      <c r="B2520" s="64">
        <f>IFERROR(__xludf.DUMMYFUNCTION("""COMPUTED_VALUE"""),44633.0)</f>
        <v>44633</v>
      </c>
      <c r="C2520" s="5"/>
      <c r="D2520" s="5"/>
      <c r="E2520" s="5"/>
      <c r="F2520" s="22">
        <f>IFERROR(__xludf.DUMMYFUNCTION("""COMPUTED_VALUE"""),500000.0)</f>
        <v>500000</v>
      </c>
      <c r="G2520" s="22">
        <f>IFERROR(__xludf.DUMMYFUNCTION("""COMPUTED_VALUE"""),0.0)</f>
        <v>0</v>
      </c>
      <c r="H2520" s="22">
        <f>IFERROR(__xludf.DUMMYFUNCTION("""COMPUTED_VALUE"""),397800.0)</f>
        <v>397800</v>
      </c>
      <c r="I2520" s="24">
        <f>IFERROR(__xludf.DUMMYFUNCTION("""COMPUTED_VALUE"""),-0.20440000000000003)</f>
        <v>-0.2044</v>
      </c>
    </row>
    <row r="2521">
      <c r="A2521" s="5" t="str">
        <f>IFERROR(__xludf.DUMMYFUNCTION("""COMPUTED_VALUE"""),"39296")</f>
        <v>39296</v>
      </c>
      <c r="B2521" s="64">
        <f>IFERROR(__xludf.DUMMYFUNCTION("""COMPUTED_VALUE"""),44634.0)</f>
        <v>44634</v>
      </c>
      <c r="C2521" s="5"/>
      <c r="D2521" s="5"/>
      <c r="E2521" s="5"/>
      <c r="F2521" s="22">
        <f>IFERROR(__xludf.DUMMYFUNCTION("""COMPUTED_VALUE"""),500000.0)</f>
        <v>500000</v>
      </c>
      <c r="G2521" s="22">
        <f>IFERROR(__xludf.DUMMYFUNCTION("""COMPUTED_VALUE"""),0.0)</f>
        <v>0</v>
      </c>
      <c r="H2521" s="22">
        <f>IFERROR(__xludf.DUMMYFUNCTION("""COMPUTED_VALUE"""),361800.0)</f>
        <v>361800</v>
      </c>
      <c r="I2521" s="24">
        <f>IFERROR(__xludf.DUMMYFUNCTION("""COMPUTED_VALUE"""),-0.2764)</f>
        <v>-0.2764</v>
      </c>
    </row>
    <row r="2522">
      <c r="A2522" s="5" t="str">
        <f>IFERROR(__xludf.DUMMYFUNCTION("""COMPUTED_VALUE"""),"39296")</f>
        <v>39296</v>
      </c>
      <c r="B2522" s="64">
        <f>IFERROR(__xludf.DUMMYFUNCTION("""COMPUTED_VALUE"""),44635.0)</f>
        <v>44635</v>
      </c>
      <c r="C2522" s="5"/>
      <c r="D2522" s="5"/>
      <c r="E2522" s="5"/>
      <c r="F2522" s="22">
        <f>IFERROR(__xludf.DUMMYFUNCTION("""COMPUTED_VALUE"""),500000.0)</f>
        <v>500000</v>
      </c>
      <c r="G2522" s="22">
        <f>IFERROR(__xludf.DUMMYFUNCTION("""COMPUTED_VALUE"""),0.0)</f>
        <v>0</v>
      </c>
      <c r="H2522" s="22">
        <f>IFERROR(__xludf.DUMMYFUNCTION("""COMPUTED_VALUE"""),328000.0)</f>
        <v>328000</v>
      </c>
      <c r="I2522" s="24">
        <f>IFERROR(__xludf.DUMMYFUNCTION("""COMPUTED_VALUE"""),-0.344)</f>
        <v>-0.344</v>
      </c>
    </row>
    <row r="2523">
      <c r="A2523" s="5" t="str">
        <f>IFERROR(__xludf.DUMMYFUNCTION("""COMPUTED_VALUE"""),"39296")</f>
        <v>39296</v>
      </c>
      <c r="B2523" s="64">
        <f>IFERROR(__xludf.DUMMYFUNCTION("""COMPUTED_VALUE"""),44636.0)</f>
        <v>44636</v>
      </c>
      <c r="C2523" s="5"/>
      <c r="D2523" s="5"/>
      <c r="E2523" s="5"/>
      <c r="F2523" s="22">
        <f>IFERROR(__xludf.DUMMYFUNCTION("""COMPUTED_VALUE"""),500000.0)</f>
        <v>500000</v>
      </c>
      <c r="G2523" s="22">
        <f>IFERROR(__xludf.DUMMYFUNCTION("""COMPUTED_VALUE"""),0.0)</f>
        <v>0</v>
      </c>
      <c r="H2523" s="22">
        <f>IFERROR(__xludf.DUMMYFUNCTION("""COMPUTED_VALUE"""),397000.0)</f>
        <v>397000</v>
      </c>
      <c r="I2523" s="24">
        <f>IFERROR(__xludf.DUMMYFUNCTION("""COMPUTED_VALUE"""),-0.20599999999999996)</f>
        <v>-0.206</v>
      </c>
    </row>
    <row r="2524">
      <c r="A2524" s="5" t="str">
        <f>IFERROR(__xludf.DUMMYFUNCTION("""COMPUTED_VALUE"""),"39296")</f>
        <v>39296</v>
      </c>
      <c r="B2524" s="64">
        <f>IFERROR(__xludf.DUMMYFUNCTION("""COMPUTED_VALUE"""),44637.0)</f>
        <v>44637</v>
      </c>
      <c r="C2524" s="5"/>
      <c r="D2524" s="5"/>
      <c r="E2524" s="5"/>
      <c r="F2524" s="22">
        <f>IFERROR(__xludf.DUMMYFUNCTION("""COMPUTED_VALUE"""),500000.0)</f>
        <v>500000</v>
      </c>
      <c r="G2524" s="22">
        <f>IFERROR(__xludf.DUMMYFUNCTION("""COMPUTED_VALUE"""),0.0)</f>
        <v>0</v>
      </c>
      <c r="H2524" s="22">
        <f>IFERROR(__xludf.DUMMYFUNCTION("""COMPUTED_VALUE"""),420000.0)</f>
        <v>420000</v>
      </c>
      <c r="I2524" s="24">
        <f>IFERROR(__xludf.DUMMYFUNCTION("""COMPUTED_VALUE"""),-0.16000000000000003)</f>
        <v>-0.16</v>
      </c>
    </row>
    <row r="2525">
      <c r="A2525" s="5" t="str">
        <f>IFERROR(__xludf.DUMMYFUNCTION("""COMPUTED_VALUE"""),"39296")</f>
        <v>39296</v>
      </c>
      <c r="B2525" s="64">
        <f>IFERROR(__xludf.DUMMYFUNCTION("""COMPUTED_VALUE"""),44638.0)</f>
        <v>44638</v>
      </c>
      <c r="C2525" s="5"/>
      <c r="D2525" s="5"/>
      <c r="E2525" s="5"/>
      <c r="F2525" s="22">
        <f>IFERROR(__xludf.DUMMYFUNCTION("""COMPUTED_VALUE"""),500000.0)</f>
        <v>500000</v>
      </c>
      <c r="G2525" s="22">
        <f>IFERROR(__xludf.DUMMYFUNCTION("""COMPUTED_VALUE"""),0.0)</f>
        <v>0</v>
      </c>
      <c r="H2525" s="22">
        <f>IFERROR(__xludf.DUMMYFUNCTION("""COMPUTED_VALUE"""),411000.0)</f>
        <v>411000</v>
      </c>
      <c r="I2525" s="24">
        <f>IFERROR(__xludf.DUMMYFUNCTION("""COMPUTED_VALUE"""),-0.17800000000000005)</f>
        <v>-0.178</v>
      </c>
    </row>
    <row r="2526">
      <c r="A2526" s="5" t="str">
        <f>IFERROR(__xludf.DUMMYFUNCTION("""COMPUTED_VALUE"""),"39296")</f>
        <v>39296</v>
      </c>
      <c r="B2526" s="64">
        <f>IFERROR(__xludf.DUMMYFUNCTION("""COMPUTED_VALUE"""),44639.0)</f>
        <v>44639</v>
      </c>
      <c r="C2526" s="5"/>
      <c r="D2526" s="5"/>
      <c r="E2526" s="5"/>
      <c r="F2526" s="22">
        <f>IFERROR(__xludf.DUMMYFUNCTION("""COMPUTED_VALUE"""),500000.0)</f>
        <v>500000</v>
      </c>
      <c r="G2526" s="22">
        <f>IFERROR(__xludf.DUMMYFUNCTION("""COMPUTED_VALUE"""),0.0)</f>
        <v>0</v>
      </c>
      <c r="H2526" s="22">
        <f>IFERROR(__xludf.DUMMYFUNCTION("""COMPUTED_VALUE"""),411000.0)</f>
        <v>411000</v>
      </c>
      <c r="I2526" s="24">
        <f>IFERROR(__xludf.DUMMYFUNCTION("""COMPUTED_VALUE"""),-0.17800000000000005)</f>
        <v>-0.178</v>
      </c>
    </row>
    <row r="2527">
      <c r="A2527" s="5" t="str">
        <f>IFERROR(__xludf.DUMMYFUNCTION("""COMPUTED_VALUE"""),"39296")</f>
        <v>39296</v>
      </c>
      <c r="B2527" s="64">
        <f>IFERROR(__xludf.DUMMYFUNCTION("""COMPUTED_VALUE"""),44640.0)</f>
        <v>44640</v>
      </c>
      <c r="C2527" s="5"/>
      <c r="D2527" s="5"/>
      <c r="E2527" s="5"/>
      <c r="F2527" s="22">
        <f>IFERROR(__xludf.DUMMYFUNCTION("""COMPUTED_VALUE"""),500000.0)</f>
        <v>500000</v>
      </c>
      <c r="G2527" s="22">
        <f>IFERROR(__xludf.DUMMYFUNCTION("""COMPUTED_VALUE"""),0.0)</f>
        <v>0</v>
      </c>
      <c r="H2527" s="22">
        <f>IFERROR(__xludf.DUMMYFUNCTION("""COMPUTED_VALUE"""),411000.0)</f>
        <v>411000</v>
      </c>
      <c r="I2527" s="24">
        <f>IFERROR(__xludf.DUMMYFUNCTION("""COMPUTED_VALUE"""),-0.17800000000000005)</f>
        <v>-0.178</v>
      </c>
    </row>
    <row r="2528">
      <c r="A2528" s="5" t="str">
        <f>IFERROR(__xludf.DUMMYFUNCTION("""COMPUTED_VALUE"""),"39296")</f>
        <v>39296</v>
      </c>
      <c r="B2528" s="64">
        <f>IFERROR(__xludf.DUMMYFUNCTION("""COMPUTED_VALUE"""),44641.0)</f>
        <v>44641</v>
      </c>
      <c r="C2528" s="5"/>
      <c r="D2528" s="5"/>
      <c r="E2528" s="5"/>
      <c r="F2528" s="22">
        <f>IFERROR(__xludf.DUMMYFUNCTION("""COMPUTED_VALUE"""),500000.0)</f>
        <v>500000</v>
      </c>
      <c r="G2528" s="22">
        <f>IFERROR(__xludf.DUMMYFUNCTION("""COMPUTED_VALUE"""),0.0)</f>
        <v>0</v>
      </c>
      <c r="H2528" s="22">
        <f>IFERROR(__xludf.DUMMYFUNCTION("""COMPUTED_VALUE"""),402400.0)</f>
        <v>402400</v>
      </c>
      <c r="I2528" s="24">
        <f>IFERROR(__xludf.DUMMYFUNCTION("""COMPUTED_VALUE"""),-0.19520000000000004)</f>
        <v>-0.1952</v>
      </c>
    </row>
    <row r="2529">
      <c r="A2529" s="5" t="str">
        <f>IFERROR(__xludf.DUMMYFUNCTION("""COMPUTED_VALUE"""),"39296")</f>
        <v>39296</v>
      </c>
      <c r="B2529" s="64">
        <f>IFERROR(__xludf.DUMMYFUNCTION("""COMPUTED_VALUE"""),44642.0)</f>
        <v>44642</v>
      </c>
      <c r="C2529" s="5"/>
      <c r="D2529" s="5"/>
      <c r="E2529" s="5"/>
      <c r="F2529" s="22">
        <f>IFERROR(__xludf.DUMMYFUNCTION("""COMPUTED_VALUE"""),500000.0)</f>
        <v>500000</v>
      </c>
      <c r="G2529" s="22">
        <f>IFERROR(__xludf.DUMMYFUNCTION("""COMPUTED_VALUE"""),0.0)</f>
        <v>0</v>
      </c>
      <c r="H2529" s="22">
        <f>IFERROR(__xludf.DUMMYFUNCTION("""COMPUTED_VALUE"""),418000.0)</f>
        <v>418000</v>
      </c>
      <c r="I2529" s="24">
        <f>IFERROR(__xludf.DUMMYFUNCTION("""COMPUTED_VALUE"""),-0.16400000000000003)</f>
        <v>-0.164</v>
      </c>
    </row>
    <row r="2530">
      <c r="A2530" s="5" t="str">
        <f>IFERROR(__xludf.DUMMYFUNCTION("""COMPUTED_VALUE"""),"39296")</f>
        <v>39296</v>
      </c>
      <c r="B2530" s="64">
        <f>IFERROR(__xludf.DUMMYFUNCTION("""COMPUTED_VALUE"""),44643.0)</f>
        <v>44643</v>
      </c>
      <c r="C2530" s="5"/>
      <c r="D2530" s="5"/>
      <c r="E2530" s="5"/>
      <c r="F2530" s="22">
        <f>IFERROR(__xludf.DUMMYFUNCTION("""COMPUTED_VALUE"""),500000.0)</f>
        <v>500000</v>
      </c>
      <c r="G2530" s="22">
        <f>IFERROR(__xludf.DUMMYFUNCTION("""COMPUTED_VALUE"""),0.0)</f>
        <v>0</v>
      </c>
      <c r="H2530" s="22">
        <f>IFERROR(__xludf.DUMMYFUNCTION("""COMPUTED_VALUE"""),419000.0)</f>
        <v>419000</v>
      </c>
      <c r="I2530" s="24">
        <f>IFERROR(__xludf.DUMMYFUNCTION("""COMPUTED_VALUE"""),-0.16200000000000003)</f>
        <v>-0.162</v>
      </c>
    </row>
    <row r="2531">
      <c r="A2531" s="5" t="str">
        <f>IFERROR(__xludf.DUMMYFUNCTION("""COMPUTED_VALUE"""),"39296")</f>
        <v>39296</v>
      </c>
      <c r="B2531" s="64">
        <f>IFERROR(__xludf.DUMMYFUNCTION("""COMPUTED_VALUE"""),44644.0)</f>
        <v>44644</v>
      </c>
      <c r="C2531" s="5"/>
      <c r="D2531" s="5"/>
      <c r="E2531" s="5"/>
      <c r="F2531" s="22">
        <f>IFERROR(__xludf.DUMMYFUNCTION("""COMPUTED_VALUE"""),500000.0)</f>
        <v>500000</v>
      </c>
      <c r="G2531" s="22">
        <f>IFERROR(__xludf.DUMMYFUNCTION("""COMPUTED_VALUE"""),0.0)</f>
        <v>0</v>
      </c>
      <c r="H2531" s="22">
        <f>IFERROR(__xludf.DUMMYFUNCTION("""COMPUTED_VALUE"""),396000.0)</f>
        <v>396000</v>
      </c>
      <c r="I2531" s="24">
        <f>IFERROR(__xludf.DUMMYFUNCTION("""COMPUTED_VALUE"""),-0.20799999999999996)</f>
        <v>-0.208</v>
      </c>
    </row>
    <row r="2532">
      <c r="A2532" s="5" t="str">
        <f>IFERROR(__xludf.DUMMYFUNCTION("""COMPUTED_VALUE"""),"39296")</f>
        <v>39296</v>
      </c>
      <c r="B2532" s="64">
        <f>IFERROR(__xludf.DUMMYFUNCTION("""COMPUTED_VALUE"""),44645.0)</f>
        <v>44645</v>
      </c>
      <c r="C2532" s="5"/>
      <c r="D2532" s="5"/>
      <c r="E2532" s="5"/>
      <c r="F2532" s="22">
        <f>IFERROR(__xludf.DUMMYFUNCTION("""COMPUTED_VALUE"""),500000.0)</f>
        <v>500000</v>
      </c>
      <c r="G2532" s="22">
        <f>IFERROR(__xludf.DUMMYFUNCTION("""COMPUTED_VALUE"""),0.0)</f>
        <v>0</v>
      </c>
      <c r="H2532" s="22">
        <f>IFERROR(__xludf.DUMMYFUNCTION("""COMPUTED_VALUE"""),386400.0)</f>
        <v>386400</v>
      </c>
      <c r="I2532" s="24">
        <f>IFERROR(__xludf.DUMMYFUNCTION("""COMPUTED_VALUE"""),-0.22719999999999996)</f>
        <v>-0.2272</v>
      </c>
    </row>
    <row r="2533">
      <c r="A2533" s="5" t="str">
        <f>IFERROR(__xludf.DUMMYFUNCTION("""COMPUTED_VALUE"""),"39296")</f>
        <v>39296</v>
      </c>
      <c r="B2533" s="64">
        <f>IFERROR(__xludf.DUMMYFUNCTION("""COMPUTED_VALUE"""),44646.0)</f>
        <v>44646</v>
      </c>
      <c r="C2533" s="5"/>
      <c r="D2533" s="5"/>
      <c r="E2533" s="5"/>
      <c r="F2533" s="22">
        <f>IFERROR(__xludf.DUMMYFUNCTION("""COMPUTED_VALUE"""),500000.0)</f>
        <v>500000</v>
      </c>
      <c r="G2533" s="22">
        <f>IFERROR(__xludf.DUMMYFUNCTION("""COMPUTED_VALUE"""),0.0)</f>
        <v>0</v>
      </c>
      <c r="H2533" s="22">
        <f>IFERROR(__xludf.DUMMYFUNCTION("""COMPUTED_VALUE"""),386400.0)</f>
        <v>386400</v>
      </c>
      <c r="I2533" s="24">
        <f>IFERROR(__xludf.DUMMYFUNCTION("""COMPUTED_VALUE"""),-0.22719999999999996)</f>
        <v>-0.2272</v>
      </c>
    </row>
    <row r="2534">
      <c r="A2534" s="5" t="str">
        <f>IFERROR(__xludf.DUMMYFUNCTION("""COMPUTED_VALUE"""),"39296")</f>
        <v>39296</v>
      </c>
      <c r="B2534" s="64">
        <f>IFERROR(__xludf.DUMMYFUNCTION("""COMPUTED_VALUE"""),44647.0)</f>
        <v>44647</v>
      </c>
      <c r="C2534" s="5"/>
      <c r="D2534" s="5"/>
      <c r="E2534" s="5"/>
      <c r="F2534" s="22">
        <f>IFERROR(__xludf.DUMMYFUNCTION("""COMPUTED_VALUE"""),500000.0)</f>
        <v>500000</v>
      </c>
      <c r="G2534" s="22">
        <f>IFERROR(__xludf.DUMMYFUNCTION("""COMPUTED_VALUE"""),0.0)</f>
        <v>0</v>
      </c>
      <c r="H2534" s="22">
        <f>IFERROR(__xludf.DUMMYFUNCTION("""COMPUTED_VALUE"""),386400.0)</f>
        <v>386400</v>
      </c>
      <c r="I2534" s="24">
        <f>IFERROR(__xludf.DUMMYFUNCTION("""COMPUTED_VALUE"""),-0.22719999999999996)</f>
        <v>-0.2272</v>
      </c>
    </row>
    <row r="2535">
      <c r="A2535" s="5" t="str">
        <f>IFERROR(__xludf.DUMMYFUNCTION("""COMPUTED_VALUE"""),"39296")</f>
        <v>39296</v>
      </c>
      <c r="B2535" s="64">
        <f>IFERROR(__xludf.DUMMYFUNCTION("""COMPUTED_VALUE"""),44648.0)</f>
        <v>44648</v>
      </c>
      <c r="C2535" s="5"/>
      <c r="D2535" s="5"/>
      <c r="E2535" s="5"/>
      <c r="F2535" s="22">
        <f>IFERROR(__xludf.DUMMYFUNCTION("""COMPUTED_VALUE"""),500000.0)</f>
        <v>500000</v>
      </c>
      <c r="G2535" s="22">
        <f>IFERROR(__xludf.DUMMYFUNCTION("""COMPUTED_VALUE"""),0.0)</f>
        <v>0</v>
      </c>
      <c r="H2535" s="22">
        <f>IFERROR(__xludf.DUMMYFUNCTION("""COMPUTED_VALUE"""),396400.0)</f>
        <v>396400</v>
      </c>
      <c r="I2535" s="24">
        <f>IFERROR(__xludf.DUMMYFUNCTION("""COMPUTED_VALUE"""),-0.20720000000000005)</f>
        <v>-0.2072</v>
      </c>
    </row>
    <row r="2536">
      <c r="A2536" s="5" t="str">
        <f>IFERROR(__xludf.DUMMYFUNCTION("""COMPUTED_VALUE"""),"39296")</f>
        <v>39296</v>
      </c>
      <c r="B2536" s="64">
        <f>IFERROR(__xludf.DUMMYFUNCTION("""COMPUTED_VALUE"""),44649.0)</f>
        <v>44649</v>
      </c>
      <c r="C2536" s="5"/>
      <c r="D2536" s="5"/>
      <c r="E2536" s="5"/>
      <c r="F2536" s="22">
        <f>IFERROR(__xludf.DUMMYFUNCTION("""COMPUTED_VALUE"""),48320.0)</f>
        <v>48320</v>
      </c>
      <c r="G2536" s="22">
        <f>IFERROR(__xludf.DUMMYFUNCTION("""COMPUTED_VALUE"""),0.0)</f>
        <v>0</v>
      </c>
      <c r="H2536" s="22">
        <f>IFERROR(__xludf.DUMMYFUNCTION("""COMPUTED_VALUE"""),406660.0)</f>
        <v>406660</v>
      </c>
      <c r="I2536" s="24">
        <f>IFERROR(__xludf.DUMMYFUNCTION("""COMPUTED_VALUE"""),-0.18667999999999996)</f>
        <v>-0.18668</v>
      </c>
    </row>
    <row r="2537">
      <c r="A2537" s="5" t="str">
        <f>IFERROR(__xludf.DUMMYFUNCTION("""COMPUTED_VALUE"""),"39296")</f>
        <v>39296</v>
      </c>
      <c r="B2537" s="64">
        <f>IFERROR(__xludf.DUMMYFUNCTION("""COMPUTED_VALUE"""),44650.0)</f>
        <v>44650</v>
      </c>
      <c r="C2537" s="5"/>
      <c r="D2537" s="5"/>
      <c r="E2537" s="5"/>
      <c r="F2537" s="22">
        <f>IFERROR(__xludf.DUMMYFUNCTION("""COMPUTED_VALUE"""),48320.0)</f>
        <v>48320</v>
      </c>
      <c r="G2537" s="22">
        <f>IFERROR(__xludf.DUMMYFUNCTION("""COMPUTED_VALUE"""),0.0)</f>
        <v>0</v>
      </c>
      <c r="H2537" s="22">
        <f>IFERROR(__xludf.DUMMYFUNCTION("""COMPUTED_VALUE"""),409890.0)</f>
        <v>409890</v>
      </c>
      <c r="I2537" s="24">
        <f>IFERROR(__xludf.DUMMYFUNCTION("""COMPUTED_VALUE"""),-0.18022000000000005)</f>
        <v>-0.18022</v>
      </c>
    </row>
    <row r="2538">
      <c r="A2538" s="5" t="str">
        <f>IFERROR(__xludf.DUMMYFUNCTION("""COMPUTED_VALUE"""),"39296")</f>
        <v>39296</v>
      </c>
      <c r="B2538" s="64">
        <f>IFERROR(__xludf.DUMMYFUNCTION("""COMPUTED_VALUE"""),44651.0)</f>
        <v>44651</v>
      </c>
      <c r="C2538" s="5"/>
      <c r="D2538" s="5"/>
      <c r="E2538" s="5"/>
      <c r="F2538" s="22">
        <f>IFERROR(__xludf.DUMMYFUNCTION("""COMPUTED_VALUE"""),48320.0)</f>
        <v>48320</v>
      </c>
      <c r="G2538" s="22">
        <f>IFERROR(__xludf.DUMMYFUNCTION("""COMPUTED_VALUE"""),0.0)</f>
        <v>0</v>
      </c>
      <c r="H2538" s="22">
        <f>IFERROR(__xludf.DUMMYFUNCTION("""COMPUTED_VALUE"""),403810.0)</f>
        <v>403810</v>
      </c>
      <c r="I2538" s="24">
        <f>IFERROR(__xludf.DUMMYFUNCTION("""COMPUTED_VALUE"""),-0.19238)</f>
        <v>-0.19238</v>
      </c>
    </row>
    <row r="2539">
      <c r="A2539" s="5" t="str">
        <f>IFERROR(__xludf.DUMMYFUNCTION("""COMPUTED_VALUE"""),"39296")</f>
        <v>39296</v>
      </c>
      <c r="B2539" s="64">
        <f>IFERROR(__xludf.DUMMYFUNCTION("""COMPUTED_VALUE"""),44652.0)</f>
        <v>44652</v>
      </c>
      <c r="C2539" s="5"/>
      <c r="D2539" s="5"/>
      <c r="E2539" s="5"/>
      <c r="F2539" s="22">
        <f>IFERROR(__xludf.DUMMYFUNCTION("""COMPUTED_VALUE"""),48320.0)</f>
        <v>48320</v>
      </c>
      <c r="G2539" s="22">
        <f>IFERROR(__xludf.DUMMYFUNCTION("""COMPUTED_VALUE"""),0.0)</f>
        <v>0</v>
      </c>
      <c r="H2539" s="22">
        <f>IFERROR(__xludf.DUMMYFUNCTION("""COMPUTED_VALUE"""),408180.0)</f>
        <v>408180</v>
      </c>
      <c r="I2539" s="24">
        <f>IFERROR(__xludf.DUMMYFUNCTION("""COMPUTED_VALUE"""),-0.18364000000000003)</f>
        <v>-0.18364</v>
      </c>
    </row>
    <row r="2540">
      <c r="A2540" s="5" t="str">
        <f>IFERROR(__xludf.DUMMYFUNCTION("""COMPUTED_VALUE"""),"39296")</f>
        <v>39296</v>
      </c>
      <c r="B2540" s="64">
        <f>IFERROR(__xludf.DUMMYFUNCTION("""COMPUTED_VALUE"""),44653.0)</f>
        <v>44653</v>
      </c>
      <c r="C2540" s="5"/>
      <c r="D2540" s="5"/>
      <c r="E2540" s="5"/>
      <c r="F2540" s="22">
        <f>IFERROR(__xludf.DUMMYFUNCTION("""COMPUTED_VALUE"""),48320.0)</f>
        <v>48320</v>
      </c>
      <c r="G2540" s="22">
        <f>IFERROR(__xludf.DUMMYFUNCTION("""COMPUTED_VALUE"""),0.0)</f>
        <v>0</v>
      </c>
      <c r="H2540" s="22">
        <f>IFERROR(__xludf.DUMMYFUNCTION("""COMPUTED_VALUE"""),408180.0)</f>
        <v>408180</v>
      </c>
      <c r="I2540" s="24">
        <f>IFERROR(__xludf.DUMMYFUNCTION("""COMPUTED_VALUE"""),-0.18364000000000003)</f>
        <v>-0.18364</v>
      </c>
    </row>
    <row r="2541">
      <c r="A2541" s="5" t="str">
        <f>IFERROR(__xludf.DUMMYFUNCTION("""COMPUTED_VALUE"""),"39296")</f>
        <v>39296</v>
      </c>
      <c r="B2541" s="64">
        <f>IFERROR(__xludf.DUMMYFUNCTION("""COMPUTED_VALUE"""),44654.0)</f>
        <v>44654</v>
      </c>
      <c r="C2541" s="5"/>
      <c r="D2541" s="5"/>
      <c r="E2541" s="5"/>
      <c r="F2541" s="22">
        <f>IFERROR(__xludf.DUMMYFUNCTION("""COMPUTED_VALUE"""),48320.0)</f>
        <v>48320</v>
      </c>
      <c r="G2541" s="22">
        <f>IFERROR(__xludf.DUMMYFUNCTION("""COMPUTED_VALUE"""),0.0)</f>
        <v>0</v>
      </c>
      <c r="H2541" s="22">
        <f>IFERROR(__xludf.DUMMYFUNCTION("""COMPUTED_VALUE"""),408180.0)</f>
        <v>408180</v>
      </c>
      <c r="I2541" s="24">
        <f>IFERROR(__xludf.DUMMYFUNCTION("""COMPUTED_VALUE"""),-0.18364000000000003)</f>
        <v>-0.18364</v>
      </c>
    </row>
    <row r="2542">
      <c r="A2542" s="5" t="str">
        <f>IFERROR(__xludf.DUMMYFUNCTION("""COMPUTED_VALUE"""),"39296")</f>
        <v>39296</v>
      </c>
      <c r="B2542" s="64">
        <f>IFERROR(__xludf.DUMMYFUNCTION("""COMPUTED_VALUE"""),44655.0)</f>
        <v>44655</v>
      </c>
      <c r="C2542" s="5"/>
      <c r="D2542" s="5"/>
      <c r="E2542" s="5"/>
      <c r="F2542" s="22">
        <f>IFERROR(__xludf.DUMMYFUNCTION("""COMPUTED_VALUE"""),48320.0)</f>
        <v>48320</v>
      </c>
      <c r="G2542" s="22">
        <f>IFERROR(__xludf.DUMMYFUNCTION("""COMPUTED_VALUE"""),0.0)</f>
        <v>0</v>
      </c>
      <c r="H2542" s="22">
        <f>IFERROR(__xludf.DUMMYFUNCTION("""COMPUTED_VALUE"""),418820.0)</f>
        <v>418820</v>
      </c>
      <c r="I2542" s="24">
        <f>IFERROR(__xludf.DUMMYFUNCTION("""COMPUTED_VALUE"""),-0.16235999999999995)</f>
        <v>-0.16236</v>
      </c>
    </row>
    <row r="2543">
      <c r="A2543" s="5" t="str">
        <f>IFERROR(__xludf.DUMMYFUNCTION("""COMPUTED_VALUE"""),"39296")</f>
        <v>39296</v>
      </c>
      <c r="B2543" s="64">
        <f>IFERROR(__xludf.DUMMYFUNCTION("""COMPUTED_VALUE"""),44656.0)</f>
        <v>44656</v>
      </c>
      <c r="C2543" s="5"/>
      <c r="D2543" s="5"/>
      <c r="E2543" s="5"/>
      <c r="F2543" s="22">
        <f>IFERROR(__xludf.DUMMYFUNCTION("""COMPUTED_VALUE"""),48320.0)</f>
        <v>48320</v>
      </c>
      <c r="G2543" s="22">
        <f>IFERROR(__xludf.DUMMYFUNCTION("""COMPUTED_VALUE"""),0.0)</f>
        <v>0</v>
      </c>
      <c r="H2543" s="22">
        <f>IFERROR(__xludf.DUMMYFUNCTION("""COMPUTED_VALUE"""),418820.0)</f>
        <v>418820</v>
      </c>
      <c r="I2543" s="24">
        <f>IFERROR(__xludf.DUMMYFUNCTION("""COMPUTED_VALUE"""),-0.16235999999999995)</f>
        <v>-0.16236</v>
      </c>
    </row>
    <row r="2544">
      <c r="A2544" s="5" t="str">
        <f>IFERROR(__xludf.DUMMYFUNCTION("""COMPUTED_VALUE"""),"39296")</f>
        <v>39296</v>
      </c>
      <c r="B2544" s="64">
        <f>IFERROR(__xludf.DUMMYFUNCTION("""COMPUTED_VALUE"""),44657.0)</f>
        <v>44657</v>
      </c>
      <c r="C2544" s="5"/>
      <c r="D2544" s="5"/>
      <c r="E2544" s="5"/>
      <c r="F2544" s="22">
        <f>IFERROR(__xludf.DUMMYFUNCTION("""COMPUTED_VALUE"""),48320.0)</f>
        <v>48320</v>
      </c>
      <c r="G2544" s="22">
        <f>IFERROR(__xludf.DUMMYFUNCTION("""COMPUTED_VALUE"""),0.0)</f>
        <v>0</v>
      </c>
      <c r="H2544" s="22">
        <f>IFERROR(__xludf.DUMMYFUNCTION("""COMPUTED_VALUE"""),410270.0)</f>
        <v>410270</v>
      </c>
      <c r="I2544" s="24">
        <f>IFERROR(__xludf.DUMMYFUNCTION("""COMPUTED_VALUE"""),-0.17945999999999995)</f>
        <v>-0.17946</v>
      </c>
    </row>
    <row r="2545">
      <c r="A2545" s="5" t="str">
        <f>IFERROR(__xludf.DUMMYFUNCTION("""COMPUTED_VALUE"""),"39296")</f>
        <v>39296</v>
      </c>
      <c r="B2545" s="64">
        <f>IFERROR(__xludf.DUMMYFUNCTION("""COMPUTED_VALUE"""),44658.0)</f>
        <v>44658</v>
      </c>
      <c r="C2545" s="5"/>
      <c r="D2545" s="5"/>
      <c r="E2545" s="5"/>
      <c r="F2545" s="22">
        <f>IFERROR(__xludf.DUMMYFUNCTION("""COMPUTED_VALUE"""),48320.0)</f>
        <v>48320</v>
      </c>
      <c r="G2545" s="22">
        <f>IFERROR(__xludf.DUMMYFUNCTION("""COMPUTED_VALUE"""),0.0)</f>
        <v>0</v>
      </c>
      <c r="H2545" s="22">
        <f>IFERROR(__xludf.DUMMYFUNCTION("""COMPUTED_VALUE"""),404000.0)</f>
        <v>404000</v>
      </c>
      <c r="I2545" s="24">
        <f>IFERROR(__xludf.DUMMYFUNCTION("""COMPUTED_VALUE"""),-0.19199999999999995)</f>
        <v>-0.192</v>
      </c>
    </row>
    <row r="2546">
      <c r="A2546" s="5" t="str">
        <f>IFERROR(__xludf.DUMMYFUNCTION("""COMPUTED_VALUE"""),"39296")</f>
        <v>39296</v>
      </c>
      <c r="B2546" s="64">
        <f>IFERROR(__xludf.DUMMYFUNCTION("""COMPUTED_VALUE"""),44659.0)</f>
        <v>44659</v>
      </c>
      <c r="C2546" s="5"/>
      <c r="D2546" s="5"/>
      <c r="E2546" s="5"/>
      <c r="F2546" s="22">
        <f>IFERROR(__xludf.DUMMYFUNCTION("""COMPUTED_VALUE"""),48320.0)</f>
        <v>48320</v>
      </c>
      <c r="G2546" s="22">
        <f>IFERROR(__xludf.DUMMYFUNCTION("""COMPUTED_VALUE"""),0.0)</f>
        <v>0</v>
      </c>
      <c r="H2546" s="22">
        <f>IFERROR(__xludf.DUMMYFUNCTION("""COMPUTED_VALUE"""),399440.0)</f>
        <v>399440</v>
      </c>
      <c r="I2546" s="24">
        <f>IFERROR(__xludf.DUMMYFUNCTION("""COMPUTED_VALUE"""),-0.20111999999999997)</f>
        <v>-0.20112</v>
      </c>
    </row>
    <row r="2547">
      <c r="A2547" s="5" t="str">
        <f>IFERROR(__xludf.DUMMYFUNCTION("""COMPUTED_VALUE"""),"39296")</f>
        <v>39296</v>
      </c>
      <c r="B2547" s="64">
        <f>IFERROR(__xludf.DUMMYFUNCTION("""COMPUTED_VALUE"""),44660.0)</f>
        <v>44660</v>
      </c>
      <c r="C2547" s="5"/>
      <c r="D2547" s="5"/>
      <c r="E2547" s="5"/>
      <c r="F2547" s="22">
        <f>IFERROR(__xludf.DUMMYFUNCTION("""COMPUTED_VALUE"""),48320.0)</f>
        <v>48320</v>
      </c>
      <c r="G2547" s="22">
        <f>IFERROR(__xludf.DUMMYFUNCTION("""COMPUTED_VALUE"""),0.0)</f>
        <v>0</v>
      </c>
      <c r="H2547" s="22">
        <f>IFERROR(__xludf.DUMMYFUNCTION("""COMPUTED_VALUE"""),399440.0)</f>
        <v>399440</v>
      </c>
      <c r="I2547" s="24">
        <f>IFERROR(__xludf.DUMMYFUNCTION("""COMPUTED_VALUE"""),-0.20111999999999997)</f>
        <v>-0.20112</v>
      </c>
    </row>
    <row r="2548">
      <c r="A2548" s="5" t="str">
        <f>IFERROR(__xludf.DUMMYFUNCTION("""COMPUTED_VALUE"""),"39296")</f>
        <v>39296</v>
      </c>
      <c r="B2548" s="64">
        <f>IFERROR(__xludf.DUMMYFUNCTION("""COMPUTED_VALUE"""),44661.0)</f>
        <v>44661</v>
      </c>
      <c r="C2548" s="5"/>
      <c r="D2548" s="5"/>
      <c r="E2548" s="5"/>
      <c r="F2548" s="22">
        <f>IFERROR(__xludf.DUMMYFUNCTION("""COMPUTED_VALUE"""),48320.0)</f>
        <v>48320</v>
      </c>
      <c r="G2548" s="22">
        <f>IFERROR(__xludf.DUMMYFUNCTION("""COMPUTED_VALUE"""),0.0)</f>
        <v>0</v>
      </c>
      <c r="H2548" s="22">
        <f>IFERROR(__xludf.DUMMYFUNCTION("""COMPUTED_VALUE"""),399440.0)</f>
        <v>399440</v>
      </c>
      <c r="I2548" s="24">
        <f>IFERROR(__xludf.DUMMYFUNCTION("""COMPUTED_VALUE"""),-0.20111999999999997)</f>
        <v>-0.20112</v>
      </c>
    </row>
    <row r="2549">
      <c r="A2549" s="5" t="str">
        <f>IFERROR(__xludf.DUMMYFUNCTION("""COMPUTED_VALUE"""),"39296")</f>
        <v>39296</v>
      </c>
      <c r="B2549" s="64">
        <f>IFERROR(__xludf.DUMMYFUNCTION("""COMPUTED_VALUE"""),44662.0)</f>
        <v>44662</v>
      </c>
      <c r="C2549" s="5"/>
      <c r="D2549" s="5"/>
      <c r="E2549" s="5"/>
      <c r="F2549" s="22">
        <f>IFERROR(__xludf.DUMMYFUNCTION("""COMPUTED_VALUE"""),48320.0)</f>
        <v>48320</v>
      </c>
      <c r="G2549" s="22">
        <f>IFERROR(__xludf.DUMMYFUNCTION("""COMPUTED_VALUE"""),0.0)</f>
        <v>0</v>
      </c>
      <c r="H2549" s="22">
        <f>IFERROR(__xludf.DUMMYFUNCTION("""COMPUTED_VALUE"""),384240.0)</f>
        <v>384240</v>
      </c>
      <c r="I2549" s="24">
        <f>IFERROR(__xludf.DUMMYFUNCTION("""COMPUTED_VALUE"""),-0.23151999999999995)</f>
        <v>-0.23152</v>
      </c>
    </row>
    <row r="2550">
      <c r="A2550" s="5" t="str">
        <f>IFERROR(__xludf.DUMMYFUNCTION("""COMPUTED_VALUE"""),"39296")</f>
        <v>39296</v>
      </c>
      <c r="B2550" s="64">
        <f>IFERROR(__xludf.DUMMYFUNCTION("""COMPUTED_VALUE"""),44663.0)</f>
        <v>44663</v>
      </c>
      <c r="C2550" s="5"/>
      <c r="D2550" s="5"/>
      <c r="E2550" s="5"/>
      <c r="F2550" s="22">
        <f>IFERROR(__xludf.DUMMYFUNCTION("""COMPUTED_VALUE"""),48320.0)</f>
        <v>48320</v>
      </c>
      <c r="G2550" s="22">
        <f>IFERROR(__xludf.DUMMYFUNCTION("""COMPUTED_VALUE"""),0.0)</f>
        <v>0</v>
      </c>
      <c r="H2550" s="22">
        <f>IFERROR(__xludf.DUMMYFUNCTION("""COMPUTED_VALUE"""),396400.0)</f>
        <v>396400</v>
      </c>
      <c r="I2550" s="24">
        <f>IFERROR(__xludf.DUMMYFUNCTION("""COMPUTED_VALUE"""),-0.20720000000000005)</f>
        <v>-0.2072</v>
      </c>
    </row>
    <row r="2551">
      <c r="A2551" s="5" t="str">
        <f>IFERROR(__xludf.DUMMYFUNCTION("""COMPUTED_VALUE"""),"39302")</f>
        <v>39302</v>
      </c>
      <c r="B2551" s="64">
        <f>IFERROR(__xludf.DUMMYFUNCTION("""COMPUTED_VALUE"""),44597.0)</f>
        <v>44597</v>
      </c>
      <c r="C2551" s="5"/>
      <c r="D2551" s="5"/>
      <c r="E2551" s="5"/>
      <c r="F2551" s="22">
        <f>IFERROR(__xludf.DUMMYFUNCTION("""COMPUTED_VALUE"""),500000.0)</f>
        <v>500000</v>
      </c>
      <c r="G2551" s="22">
        <f>IFERROR(__xludf.DUMMYFUNCTION("""COMPUTED_VALUE"""),0.0)</f>
        <v>0</v>
      </c>
      <c r="H2551" s="22">
        <f>IFERROR(__xludf.DUMMYFUNCTION("""COMPUTED_VALUE"""),500000.0)</f>
        <v>500000</v>
      </c>
      <c r="I2551" s="24">
        <f>IFERROR(__xludf.DUMMYFUNCTION("""COMPUTED_VALUE"""),0.0)</f>
        <v>0</v>
      </c>
    </row>
    <row r="2552">
      <c r="A2552" s="5" t="str">
        <f>IFERROR(__xludf.DUMMYFUNCTION("""COMPUTED_VALUE"""),"39302")</f>
        <v>39302</v>
      </c>
      <c r="B2552" s="64">
        <f>IFERROR(__xludf.DUMMYFUNCTION("""COMPUTED_VALUE"""),44598.0)</f>
        <v>44598</v>
      </c>
      <c r="C2552" s="5"/>
      <c r="D2552" s="5"/>
      <c r="E2552" s="5"/>
      <c r="F2552" s="22">
        <f>IFERROR(__xludf.DUMMYFUNCTION("""COMPUTED_VALUE"""),500000.0)</f>
        <v>500000</v>
      </c>
      <c r="G2552" s="22">
        <f>IFERROR(__xludf.DUMMYFUNCTION("""COMPUTED_VALUE"""),0.0)</f>
        <v>0</v>
      </c>
      <c r="H2552" s="22">
        <f>IFERROR(__xludf.DUMMYFUNCTION("""COMPUTED_VALUE"""),500000.0)</f>
        <v>500000</v>
      </c>
      <c r="I2552" s="24">
        <f>IFERROR(__xludf.DUMMYFUNCTION("""COMPUTED_VALUE"""),0.0)</f>
        <v>0</v>
      </c>
    </row>
    <row r="2553">
      <c r="A2553" s="5" t="str">
        <f>IFERROR(__xludf.DUMMYFUNCTION("""COMPUTED_VALUE"""),"39302")</f>
        <v>39302</v>
      </c>
      <c r="B2553" s="64">
        <f>IFERROR(__xludf.DUMMYFUNCTION("""COMPUTED_VALUE"""),44599.0)</f>
        <v>44599</v>
      </c>
      <c r="C2553" s="5"/>
      <c r="D2553" s="5"/>
      <c r="E2553" s="5"/>
      <c r="F2553" s="22">
        <f>IFERROR(__xludf.DUMMYFUNCTION("""COMPUTED_VALUE"""),500000.0)</f>
        <v>500000</v>
      </c>
      <c r="G2553" s="22">
        <f>IFERROR(__xludf.DUMMYFUNCTION("""COMPUTED_VALUE"""),0.0)</f>
        <v>0</v>
      </c>
      <c r="H2553" s="22">
        <f>IFERROR(__xludf.DUMMYFUNCTION("""COMPUTED_VALUE"""),500000.0)</f>
        <v>500000</v>
      </c>
      <c r="I2553" s="24">
        <f>IFERROR(__xludf.DUMMYFUNCTION("""COMPUTED_VALUE"""),0.0)</f>
        <v>0</v>
      </c>
    </row>
    <row r="2554">
      <c r="A2554" s="5" t="str">
        <f>IFERROR(__xludf.DUMMYFUNCTION("""COMPUTED_VALUE"""),"39302")</f>
        <v>39302</v>
      </c>
      <c r="B2554" s="64">
        <f>IFERROR(__xludf.DUMMYFUNCTION("""COMPUTED_VALUE"""),44600.0)</f>
        <v>44600</v>
      </c>
      <c r="C2554" s="5"/>
      <c r="D2554" s="5"/>
      <c r="E2554" s="5"/>
      <c r="F2554" s="22">
        <f>IFERROR(__xludf.DUMMYFUNCTION("""COMPUTED_VALUE"""),500000.0)</f>
        <v>500000</v>
      </c>
      <c r="G2554" s="22">
        <f>IFERROR(__xludf.DUMMYFUNCTION("""COMPUTED_VALUE"""),0.0)</f>
        <v>0</v>
      </c>
      <c r="H2554" s="22">
        <f>IFERROR(__xludf.DUMMYFUNCTION("""COMPUTED_VALUE"""),500000.0)</f>
        <v>500000</v>
      </c>
      <c r="I2554" s="24">
        <f>IFERROR(__xludf.DUMMYFUNCTION("""COMPUTED_VALUE"""),0.0)</f>
        <v>0</v>
      </c>
    </row>
    <row r="2555">
      <c r="A2555" s="5" t="str">
        <f>IFERROR(__xludf.DUMMYFUNCTION("""COMPUTED_VALUE"""),"39302")</f>
        <v>39302</v>
      </c>
      <c r="B2555" s="64">
        <f>IFERROR(__xludf.DUMMYFUNCTION("""COMPUTED_VALUE"""),44601.0)</f>
        <v>44601</v>
      </c>
      <c r="C2555" s="5"/>
      <c r="D2555" s="5"/>
      <c r="E2555" s="5"/>
      <c r="F2555" s="22">
        <f>IFERROR(__xludf.DUMMYFUNCTION("""COMPUTED_VALUE"""),500000.0)</f>
        <v>500000</v>
      </c>
      <c r="G2555" s="22">
        <f>IFERROR(__xludf.DUMMYFUNCTION("""COMPUTED_VALUE"""),0.0)</f>
        <v>0</v>
      </c>
      <c r="H2555" s="22">
        <f>IFERROR(__xludf.DUMMYFUNCTION("""COMPUTED_VALUE"""),500000.0)</f>
        <v>500000</v>
      </c>
      <c r="I2555" s="24">
        <f>IFERROR(__xludf.DUMMYFUNCTION("""COMPUTED_VALUE"""),0.0)</f>
        <v>0</v>
      </c>
    </row>
    <row r="2556">
      <c r="A2556" s="5" t="str">
        <f>IFERROR(__xludf.DUMMYFUNCTION("""COMPUTED_VALUE"""),"39302")</f>
        <v>39302</v>
      </c>
      <c r="B2556" s="64">
        <f>IFERROR(__xludf.DUMMYFUNCTION("""COMPUTED_VALUE"""),44602.0)</f>
        <v>44602</v>
      </c>
      <c r="C2556" s="5"/>
      <c r="D2556" s="5"/>
      <c r="E2556" s="5"/>
      <c r="F2556" s="22">
        <f>IFERROR(__xludf.DUMMYFUNCTION("""COMPUTED_VALUE"""),500000.0)</f>
        <v>500000</v>
      </c>
      <c r="G2556" s="22">
        <f>IFERROR(__xludf.DUMMYFUNCTION("""COMPUTED_VALUE"""),0.0)</f>
        <v>0</v>
      </c>
      <c r="H2556" s="22">
        <f>IFERROR(__xludf.DUMMYFUNCTION("""COMPUTED_VALUE"""),500000.0)</f>
        <v>500000</v>
      </c>
      <c r="I2556" s="24">
        <f>IFERROR(__xludf.DUMMYFUNCTION("""COMPUTED_VALUE"""),0.0)</f>
        <v>0</v>
      </c>
    </row>
    <row r="2557">
      <c r="A2557" s="5" t="str">
        <f>IFERROR(__xludf.DUMMYFUNCTION("""COMPUTED_VALUE"""),"39302")</f>
        <v>39302</v>
      </c>
      <c r="B2557" s="64">
        <f>IFERROR(__xludf.DUMMYFUNCTION("""COMPUTED_VALUE"""),44603.0)</f>
        <v>44603</v>
      </c>
      <c r="C2557" s="5"/>
      <c r="D2557" s="5"/>
      <c r="E2557" s="5"/>
      <c r="F2557" s="22">
        <f>IFERROR(__xludf.DUMMYFUNCTION("""COMPUTED_VALUE"""),500000.0)</f>
        <v>500000</v>
      </c>
      <c r="G2557" s="22">
        <f>IFERROR(__xludf.DUMMYFUNCTION("""COMPUTED_VALUE"""),0.0)</f>
        <v>0</v>
      </c>
      <c r="H2557" s="22">
        <f>IFERROR(__xludf.DUMMYFUNCTION("""COMPUTED_VALUE"""),500000.0)</f>
        <v>500000</v>
      </c>
      <c r="I2557" s="24">
        <f>IFERROR(__xludf.DUMMYFUNCTION("""COMPUTED_VALUE"""),0.0)</f>
        <v>0</v>
      </c>
    </row>
    <row r="2558">
      <c r="A2558" s="5" t="str">
        <f>IFERROR(__xludf.DUMMYFUNCTION("""COMPUTED_VALUE"""),"39302")</f>
        <v>39302</v>
      </c>
      <c r="B2558" s="64">
        <f>IFERROR(__xludf.DUMMYFUNCTION("""COMPUTED_VALUE"""),44604.0)</f>
        <v>44604</v>
      </c>
      <c r="C2558" s="5"/>
      <c r="D2558" s="5"/>
      <c r="E2558" s="5"/>
      <c r="F2558" s="22">
        <f>IFERROR(__xludf.DUMMYFUNCTION("""COMPUTED_VALUE"""),500000.0)</f>
        <v>500000</v>
      </c>
      <c r="G2558" s="22">
        <f>IFERROR(__xludf.DUMMYFUNCTION("""COMPUTED_VALUE"""),0.0)</f>
        <v>0</v>
      </c>
      <c r="H2558" s="22">
        <f>IFERROR(__xludf.DUMMYFUNCTION("""COMPUTED_VALUE"""),500000.0)</f>
        <v>500000</v>
      </c>
      <c r="I2558" s="24">
        <f>IFERROR(__xludf.DUMMYFUNCTION("""COMPUTED_VALUE"""),0.0)</f>
        <v>0</v>
      </c>
    </row>
    <row r="2559">
      <c r="A2559" s="5" t="str">
        <f>IFERROR(__xludf.DUMMYFUNCTION("""COMPUTED_VALUE"""),"39302")</f>
        <v>39302</v>
      </c>
      <c r="B2559" s="64">
        <f>IFERROR(__xludf.DUMMYFUNCTION("""COMPUTED_VALUE"""),44605.0)</f>
        <v>44605</v>
      </c>
      <c r="C2559" s="5"/>
      <c r="D2559" s="5"/>
      <c r="E2559" s="5"/>
      <c r="F2559" s="22">
        <f>IFERROR(__xludf.DUMMYFUNCTION("""COMPUTED_VALUE"""),500000.0)</f>
        <v>500000</v>
      </c>
      <c r="G2559" s="22">
        <f>IFERROR(__xludf.DUMMYFUNCTION("""COMPUTED_VALUE"""),0.0)</f>
        <v>0</v>
      </c>
      <c r="H2559" s="22">
        <f>IFERROR(__xludf.DUMMYFUNCTION("""COMPUTED_VALUE"""),500000.0)</f>
        <v>500000</v>
      </c>
      <c r="I2559" s="24">
        <f>IFERROR(__xludf.DUMMYFUNCTION("""COMPUTED_VALUE"""),0.0)</f>
        <v>0</v>
      </c>
    </row>
    <row r="2560">
      <c r="A2560" s="5" t="str">
        <f>IFERROR(__xludf.DUMMYFUNCTION("""COMPUTED_VALUE"""),"39302")</f>
        <v>39302</v>
      </c>
      <c r="B2560" s="64">
        <f>IFERROR(__xludf.DUMMYFUNCTION("""COMPUTED_VALUE"""),44606.0)</f>
        <v>44606</v>
      </c>
      <c r="C2560" s="5"/>
      <c r="D2560" s="5"/>
      <c r="E2560" s="5"/>
      <c r="F2560" s="22">
        <f>IFERROR(__xludf.DUMMYFUNCTION("""COMPUTED_VALUE"""),500000.0)</f>
        <v>500000</v>
      </c>
      <c r="G2560" s="22">
        <f>IFERROR(__xludf.DUMMYFUNCTION("""COMPUTED_VALUE"""),0.0)</f>
        <v>0</v>
      </c>
      <c r="H2560" s="22">
        <f>IFERROR(__xludf.DUMMYFUNCTION("""COMPUTED_VALUE"""),500000.0)</f>
        <v>500000</v>
      </c>
      <c r="I2560" s="24">
        <f>IFERROR(__xludf.DUMMYFUNCTION("""COMPUTED_VALUE"""),0.0)</f>
        <v>0</v>
      </c>
    </row>
    <row r="2561">
      <c r="A2561" s="5" t="str">
        <f>IFERROR(__xludf.DUMMYFUNCTION("""COMPUTED_VALUE"""),"39302")</f>
        <v>39302</v>
      </c>
      <c r="B2561" s="64">
        <f>IFERROR(__xludf.DUMMYFUNCTION("""COMPUTED_VALUE"""),44607.0)</f>
        <v>44607</v>
      </c>
      <c r="C2561" s="5"/>
      <c r="D2561" s="5"/>
      <c r="E2561" s="5"/>
      <c r="F2561" s="22">
        <f>IFERROR(__xludf.DUMMYFUNCTION("""COMPUTED_VALUE"""),500000.0)</f>
        <v>500000</v>
      </c>
      <c r="G2561" s="22">
        <f>IFERROR(__xludf.DUMMYFUNCTION("""COMPUTED_VALUE"""),0.0)</f>
        <v>0</v>
      </c>
      <c r="H2561" s="22">
        <f>IFERROR(__xludf.DUMMYFUNCTION("""COMPUTED_VALUE"""),500000.0)</f>
        <v>500000</v>
      </c>
      <c r="I2561" s="24">
        <f>IFERROR(__xludf.DUMMYFUNCTION("""COMPUTED_VALUE"""),0.0)</f>
        <v>0</v>
      </c>
    </row>
    <row r="2562">
      <c r="A2562" s="5" t="str">
        <f>IFERROR(__xludf.DUMMYFUNCTION("""COMPUTED_VALUE"""),"39302")</f>
        <v>39302</v>
      </c>
      <c r="B2562" s="64">
        <f>IFERROR(__xludf.DUMMYFUNCTION("""COMPUTED_VALUE"""),44608.0)</f>
        <v>44608</v>
      </c>
      <c r="C2562" s="5"/>
      <c r="D2562" s="5"/>
      <c r="E2562" s="5"/>
      <c r="F2562" s="22">
        <f>IFERROR(__xludf.DUMMYFUNCTION("""COMPUTED_VALUE"""),500000.0)</f>
        <v>500000</v>
      </c>
      <c r="G2562" s="22">
        <f>IFERROR(__xludf.DUMMYFUNCTION("""COMPUTED_VALUE"""),0.0)</f>
        <v>0</v>
      </c>
      <c r="H2562" s="22">
        <f>IFERROR(__xludf.DUMMYFUNCTION("""COMPUTED_VALUE"""),500000.0)</f>
        <v>500000</v>
      </c>
      <c r="I2562" s="24">
        <f>IFERROR(__xludf.DUMMYFUNCTION("""COMPUTED_VALUE"""),0.0)</f>
        <v>0</v>
      </c>
    </row>
    <row r="2563">
      <c r="A2563" s="5" t="str">
        <f>IFERROR(__xludf.DUMMYFUNCTION("""COMPUTED_VALUE"""),"39302")</f>
        <v>39302</v>
      </c>
      <c r="B2563" s="64">
        <f>IFERROR(__xludf.DUMMYFUNCTION("""COMPUTED_VALUE"""),44609.0)</f>
        <v>44609</v>
      </c>
      <c r="C2563" s="5"/>
      <c r="D2563" s="5"/>
      <c r="E2563" s="5"/>
      <c r="F2563" s="22">
        <f>IFERROR(__xludf.DUMMYFUNCTION("""COMPUTED_VALUE"""),500000.0)</f>
        <v>500000</v>
      </c>
      <c r="G2563" s="22">
        <f>IFERROR(__xludf.DUMMYFUNCTION("""COMPUTED_VALUE"""),0.0)</f>
        <v>0</v>
      </c>
      <c r="H2563" s="22">
        <f>IFERROR(__xludf.DUMMYFUNCTION("""COMPUTED_VALUE"""),500000.0)</f>
        <v>500000</v>
      </c>
      <c r="I2563" s="24">
        <f>IFERROR(__xludf.DUMMYFUNCTION("""COMPUTED_VALUE"""),0.0)</f>
        <v>0</v>
      </c>
    </row>
    <row r="2564">
      <c r="A2564" s="5" t="str">
        <f>IFERROR(__xludf.DUMMYFUNCTION("""COMPUTED_VALUE"""),"39302")</f>
        <v>39302</v>
      </c>
      <c r="B2564" s="64">
        <f>IFERROR(__xludf.DUMMYFUNCTION("""COMPUTED_VALUE"""),44610.0)</f>
        <v>44610</v>
      </c>
      <c r="C2564" s="5"/>
      <c r="D2564" s="5"/>
      <c r="E2564" s="5"/>
      <c r="F2564" s="22">
        <f>IFERROR(__xludf.DUMMYFUNCTION("""COMPUTED_VALUE"""),500000.0)</f>
        <v>500000</v>
      </c>
      <c r="G2564" s="22">
        <f>IFERROR(__xludf.DUMMYFUNCTION("""COMPUTED_VALUE"""),0.0)</f>
        <v>0</v>
      </c>
      <c r="H2564" s="22">
        <f>IFERROR(__xludf.DUMMYFUNCTION("""COMPUTED_VALUE"""),500000.0)</f>
        <v>500000</v>
      </c>
      <c r="I2564" s="24">
        <f>IFERROR(__xludf.DUMMYFUNCTION("""COMPUTED_VALUE"""),0.0)</f>
        <v>0</v>
      </c>
    </row>
    <row r="2565">
      <c r="A2565" s="5" t="str">
        <f>IFERROR(__xludf.DUMMYFUNCTION("""COMPUTED_VALUE"""),"39302")</f>
        <v>39302</v>
      </c>
      <c r="B2565" s="64">
        <f>IFERROR(__xludf.DUMMYFUNCTION("""COMPUTED_VALUE"""),44611.0)</f>
        <v>44611</v>
      </c>
      <c r="C2565" s="5"/>
      <c r="D2565" s="5"/>
      <c r="E2565" s="5"/>
      <c r="F2565" s="22">
        <f>IFERROR(__xludf.DUMMYFUNCTION("""COMPUTED_VALUE"""),500000.0)</f>
        <v>500000</v>
      </c>
      <c r="G2565" s="22">
        <f>IFERROR(__xludf.DUMMYFUNCTION("""COMPUTED_VALUE"""),0.0)</f>
        <v>0</v>
      </c>
      <c r="H2565" s="22">
        <f>IFERROR(__xludf.DUMMYFUNCTION("""COMPUTED_VALUE"""),500000.0)</f>
        <v>500000</v>
      </c>
      <c r="I2565" s="24">
        <f>IFERROR(__xludf.DUMMYFUNCTION("""COMPUTED_VALUE"""),0.0)</f>
        <v>0</v>
      </c>
    </row>
    <row r="2566">
      <c r="A2566" s="5" t="str">
        <f>IFERROR(__xludf.DUMMYFUNCTION("""COMPUTED_VALUE"""),"39302")</f>
        <v>39302</v>
      </c>
      <c r="B2566" s="64">
        <f>IFERROR(__xludf.DUMMYFUNCTION("""COMPUTED_VALUE"""),44612.0)</f>
        <v>44612</v>
      </c>
      <c r="C2566" s="5"/>
      <c r="D2566" s="5"/>
      <c r="E2566" s="5"/>
      <c r="F2566" s="22">
        <f>IFERROR(__xludf.DUMMYFUNCTION("""COMPUTED_VALUE"""),500000.0)</f>
        <v>500000</v>
      </c>
      <c r="G2566" s="22">
        <f>IFERROR(__xludf.DUMMYFUNCTION("""COMPUTED_VALUE"""),0.0)</f>
        <v>0</v>
      </c>
      <c r="H2566" s="22">
        <f>IFERROR(__xludf.DUMMYFUNCTION("""COMPUTED_VALUE"""),500000.0)</f>
        <v>500000</v>
      </c>
      <c r="I2566" s="24">
        <f>IFERROR(__xludf.DUMMYFUNCTION("""COMPUTED_VALUE"""),0.0)</f>
        <v>0</v>
      </c>
    </row>
    <row r="2567">
      <c r="A2567" s="5" t="str">
        <f>IFERROR(__xludf.DUMMYFUNCTION("""COMPUTED_VALUE"""),"39302")</f>
        <v>39302</v>
      </c>
      <c r="B2567" s="64">
        <f>IFERROR(__xludf.DUMMYFUNCTION("""COMPUTED_VALUE"""),44613.0)</f>
        <v>44613</v>
      </c>
      <c r="C2567" s="5"/>
      <c r="D2567" s="5"/>
      <c r="E2567" s="5"/>
      <c r="F2567" s="22">
        <f>IFERROR(__xludf.DUMMYFUNCTION("""COMPUTED_VALUE"""),500000.0)</f>
        <v>500000</v>
      </c>
      <c r="G2567" s="22">
        <f>IFERROR(__xludf.DUMMYFUNCTION("""COMPUTED_VALUE"""),0.0)</f>
        <v>0</v>
      </c>
      <c r="H2567" s="22">
        <f>IFERROR(__xludf.DUMMYFUNCTION("""COMPUTED_VALUE"""),500000.0)</f>
        <v>500000</v>
      </c>
      <c r="I2567" s="24">
        <f>IFERROR(__xludf.DUMMYFUNCTION("""COMPUTED_VALUE"""),0.0)</f>
        <v>0</v>
      </c>
    </row>
    <row r="2568">
      <c r="A2568" s="5" t="str">
        <f>IFERROR(__xludf.DUMMYFUNCTION("""COMPUTED_VALUE"""),"39302")</f>
        <v>39302</v>
      </c>
      <c r="B2568" s="64">
        <f>IFERROR(__xludf.DUMMYFUNCTION("""COMPUTED_VALUE"""),44614.0)</f>
        <v>44614</v>
      </c>
      <c r="C2568" s="5"/>
      <c r="D2568" s="5"/>
      <c r="E2568" s="5"/>
      <c r="F2568" s="22">
        <f>IFERROR(__xludf.DUMMYFUNCTION("""COMPUTED_VALUE"""),500000.0)</f>
        <v>500000</v>
      </c>
      <c r="G2568" s="22">
        <f>IFERROR(__xludf.DUMMYFUNCTION("""COMPUTED_VALUE"""),0.0)</f>
        <v>0</v>
      </c>
      <c r="H2568" s="22">
        <f>IFERROR(__xludf.DUMMYFUNCTION("""COMPUTED_VALUE"""),500000.0)</f>
        <v>500000</v>
      </c>
      <c r="I2568" s="24">
        <f>IFERROR(__xludf.DUMMYFUNCTION("""COMPUTED_VALUE"""),0.0)</f>
        <v>0</v>
      </c>
    </row>
    <row r="2569">
      <c r="A2569" s="5" t="str">
        <f>IFERROR(__xludf.DUMMYFUNCTION("""COMPUTED_VALUE"""),"39302")</f>
        <v>39302</v>
      </c>
      <c r="B2569" s="64">
        <f>IFERROR(__xludf.DUMMYFUNCTION("""COMPUTED_VALUE"""),44615.0)</f>
        <v>44615</v>
      </c>
      <c r="C2569" s="5"/>
      <c r="D2569" s="5"/>
      <c r="E2569" s="5"/>
      <c r="F2569" s="22">
        <f>IFERROR(__xludf.DUMMYFUNCTION("""COMPUTED_VALUE"""),500000.0)</f>
        <v>500000</v>
      </c>
      <c r="G2569" s="22">
        <f>IFERROR(__xludf.DUMMYFUNCTION("""COMPUTED_VALUE"""),0.0)</f>
        <v>0</v>
      </c>
      <c r="H2569" s="22">
        <f>IFERROR(__xludf.DUMMYFUNCTION("""COMPUTED_VALUE"""),500000.0)</f>
        <v>500000</v>
      </c>
      <c r="I2569" s="24">
        <f>IFERROR(__xludf.DUMMYFUNCTION("""COMPUTED_VALUE"""),0.0)</f>
        <v>0</v>
      </c>
    </row>
    <row r="2570">
      <c r="A2570" s="5" t="str">
        <f>IFERROR(__xludf.DUMMYFUNCTION("""COMPUTED_VALUE"""),"39302")</f>
        <v>39302</v>
      </c>
      <c r="B2570" s="64">
        <f>IFERROR(__xludf.DUMMYFUNCTION("""COMPUTED_VALUE"""),44616.0)</f>
        <v>44616</v>
      </c>
      <c r="C2570" s="5"/>
      <c r="D2570" s="5"/>
      <c r="E2570" s="5"/>
      <c r="F2570" s="22">
        <f>IFERROR(__xludf.DUMMYFUNCTION("""COMPUTED_VALUE"""),500000.0)</f>
        <v>500000</v>
      </c>
      <c r="G2570" s="22">
        <f>IFERROR(__xludf.DUMMYFUNCTION("""COMPUTED_VALUE"""),0.0)</f>
        <v>0</v>
      </c>
      <c r="H2570" s="22">
        <f>IFERROR(__xludf.DUMMYFUNCTION("""COMPUTED_VALUE"""),500000.0)</f>
        <v>500000</v>
      </c>
      <c r="I2570" s="24">
        <f>IFERROR(__xludf.DUMMYFUNCTION("""COMPUTED_VALUE"""),0.0)</f>
        <v>0</v>
      </c>
    </row>
    <row r="2571">
      <c r="A2571" s="5" t="str">
        <f>IFERROR(__xludf.DUMMYFUNCTION("""COMPUTED_VALUE"""),"39302")</f>
        <v>39302</v>
      </c>
      <c r="B2571" s="64">
        <f>IFERROR(__xludf.DUMMYFUNCTION("""COMPUTED_VALUE"""),44617.0)</f>
        <v>44617</v>
      </c>
      <c r="C2571" s="5"/>
      <c r="D2571" s="5"/>
      <c r="E2571" s="5"/>
      <c r="F2571" s="22">
        <f>IFERROR(__xludf.DUMMYFUNCTION("""COMPUTED_VALUE"""),500000.0)</f>
        <v>500000</v>
      </c>
      <c r="G2571" s="22">
        <f>IFERROR(__xludf.DUMMYFUNCTION("""COMPUTED_VALUE"""),0.0)</f>
        <v>0</v>
      </c>
      <c r="H2571" s="22">
        <f>IFERROR(__xludf.DUMMYFUNCTION("""COMPUTED_VALUE"""),500000.0)</f>
        <v>500000</v>
      </c>
      <c r="I2571" s="24">
        <f>IFERROR(__xludf.DUMMYFUNCTION("""COMPUTED_VALUE"""),0.0)</f>
        <v>0</v>
      </c>
    </row>
    <row r="2572">
      <c r="A2572" s="5" t="str">
        <f>IFERROR(__xludf.DUMMYFUNCTION("""COMPUTED_VALUE"""),"39302")</f>
        <v>39302</v>
      </c>
      <c r="B2572" s="64">
        <f>IFERROR(__xludf.DUMMYFUNCTION("""COMPUTED_VALUE"""),44618.0)</f>
        <v>44618</v>
      </c>
      <c r="C2572" s="5"/>
      <c r="D2572" s="5"/>
      <c r="E2572" s="5"/>
      <c r="F2572" s="22">
        <f>IFERROR(__xludf.DUMMYFUNCTION("""COMPUTED_VALUE"""),500000.0)</f>
        <v>500000</v>
      </c>
      <c r="G2572" s="22">
        <f>IFERROR(__xludf.DUMMYFUNCTION("""COMPUTED_VALUE"""),0.0)</f>
        <v>0</v>
      </c>
      <c r="H2572" s="22">
        <f>IFERROR(__xludf.DUMMYFUNCTION("""COMPUTED_VALUE"""),500000.0)</f>
        <v>500000</v>
      </c>
      <c r="I2572" s="24">
        <f>IFERROR(__xludf.DUMMYFUNCTION("""COMPUTED_VALUE"""),0.0)</f>
        <v>0</v>
      </c>
    </row>
    <row r="2573">
      <c r="A2573" s="5" t="str">
        <f>IFERROR(__xludf.DUMMYFUNCTION("""COMPUTED_VALUE"""),"39302")</f>
        <v>39302</v>
      </c>
      <c r="B2573" s="64">
        <f>IFERROR(__xludf.DUMMYFUNCTION("""COMPUTED_VALUE"""),44619.0)</f>
        <v>44619</v>
      </c>
      <c r="C2573" s="5"/>
      <c r="D2573" s="5"/>
      <c r="E2573" s="5"/>
      <c r="F2573" s="22">
        <f>IFERROR(__xludf.DUMMYFUNCTION("""COMPUTED_VALUE"""),500000.0)</f>
        <v>500000</v>
      </c>
      <c r="G2573" s="22">
        <f>IFERROR(__xludf.DUMMYFUNCTION("""COMPUTED_VALUE"""),0.0)</f>
        <v>0</v>
      </c>
      <c r="H2573" s="22">
        <f>IFERROR(__xludf.DUMMYFUNCTION("""COMPUTED_VALUE"""),500000.0)</f>
        <v>500000</v>
      </c>
      <c r="I2573" s="24">
        <f>IFERROR(__xludf.DUMMYFUNCTION("""COMPUTED_VALUE"""),0.0)</f>
        <v>0</v>
      </c>
    </row>
    <row r="2574">
      <c r="A2574" s="5" t="str">
        <f>IFERROR(__xludf.DUMMYFUNCTION("""COMPUTED_VALUE"""),"39302")</f>
        <v>39302</v>
      </c>
      <c r="B2574" s="64">
        <f>IFERROR(__xludf.DUMMYFUNCTION("""COMPUTED_VALUE"""),44620.0)</f>
        <v>44620</v>
      </c>
      <c r="C2574" s="5"/>
      <c r="D2574" s="5"/>
      <c r="E2574" s="5"/>
      <c r="F2574" s="22">
        <f>IFERROR(__xludf.DUMMYFUNCTION("""COMPUTED_VALUE"""),500000.0)</f>
        <v>500000</v>
      </c>
      <c r="G2574" s="22">
        <f>IFERROR(__xludf.DUMMYFUNCTION("""COMPUTED_VALUE"""),0.0)</f>
        <v>0</v>
      </c>
      <c r="H2574" s="22">
        <f>IFERROR(__xludf.DUMMYFUNCTION("""COMPUTED_VALUE"""),500000.0)</f>
        <v>500000</v>
      </c>
      <c r="I2574" s="24">
        <f>IFERROR(__xludf.DUMMYFUNCTION("""COMPUTED_VALUE"""),0.0)</f>
        <v>0</v>
      </c>
    </row>
    <row r="2575">
      <c r="A2575" s="5" t="str">
        <f>IFERROR(__xludf.DUMMYFUNCTION("""COMPUTED_VALUE"""),"39302")</f>
        <v>39302</v>
      </c>
      <c r="B2575" s="64">
        <f>IFERROR(__xludf.DUMMYFUNCTION("""COMPUTED_VALUE"""),44621.0)</f>
        <v>44621</v>
      </c>
      <c r="C2575" s="5"/>
      <c r="D2575" s="5"/>
      <c r="E2575" s="5"/>
      <c r="F2575" s="22">
        <f>IFERROR(__xludf.DUMMYFUNCTION("""COMPUTED_VALUE"""),500000.0)</f>
        <v>500000</v>
      </c>
      <c r="G2575" s="22">
        <f>IFERROR(__xludf.DUMMYFUNCTION("""COMPUTED_VALUE"""),0.0)</f>
        <v>0</v>
      </c>
      <c r="H2575" s="22">
        <f>IFERROR(__xludf.DUMMYFUNCTION("""COMPUTED_VALUE"""),500000.0)</f>
        <v>500000</v>
      </c>
      <c r="I2575" s="24">
        <f>IFERROR(__xludf.DUMMYFUNCTION("""COMPUTED_VALUE"""),0.0)</f>
        <v>0</v>
      </c>
    </row>
    <row r="2576">
      <c r="A2576" s="5" t="str">
        <f>IFERROR(__xludf.DUMMYFUNCTION("""COMPUTED_VALUE"""),"39302")</f>
        <v>39302</v>
      </c>
      <c r="B2576" s="64">
        <f>IFERROR(__xludf.DUMMYFUNCTION("""COMPUTED_VALUE"""),44622.0)</f>
        <v>44622</v>
      </c>
      <c r="C2576" s="5"/>
      <c r="D2576" s="5"/>
      <c r="E2576" s="5"/>
      <c r="F2576" s="22">
        <f>IFERROR(__xludf.DUMMYFUNCTION("""COMPUTED_VALUE"""),500000.0)</f>
        <v>500000</v>
      </c>
      <c r="G2576" s="22">
        <f>IFERROR(__xludf.DUMMYFUNCTION("""COMPUTED_VALUE"""),0.0)</f>
        <v>0</v>
      </c>
      <c r="H2576" s="22">
        <f>IFERROR(__xludf.DUMMYFUNCTION("""COMPUTED_VALUE"""),500000.0)</f>
        <v>500000</v>
      </c>
      <c r="I2576" s="24">
        <f>IFERROR(__xludf.DUMMYFUNCTION("""COMPUTED_VALUE"""),0.0)</f>
        <v>0</v>
      </c>
    </row>
    <row r="2577">
      <c r="A2577" s="5" t="str">
        <f>IFERROR(__xludf.DUMMYFUNCTION("""COMPUTED_VALUE"""),"39302")</f>
        <v>39302</v>
      </c>
      <c r="B2577" s="64">
        <f>IFERROR(__xludf.DUMMYFUNCTION("""COMPUTED_VALUE"""),44623.0)</f>
        <v>44623</v>
      </c>
      <c r="C2577" s="5"/>
      <c r="D2577" s="5"/>
      <c r="E2577" s="5"/>
      <c r="F2577" s="22">
        <f>IFERROR(__xludf.DUMMYFUNCTION("""COMPUTED_VALUE"""),500000.0)</f>
        <v>500000</v>
      </c>
      <c r="G2577" s="22">
        <f>IFERROR(__xludf.DUMMYFUNCTION("""COMPUTED_VALUE"""),0.0)</f>
        <v>0</v>
      </c>
      <c r="H2577" s="22">
        <f>IFERROR(__xludf.DUMMYFUNCTION("""COMPUTED_VALUE"""),500000.0)</f>
        <v>500000</v>
      </c>
      <c r="I2577" s="24">
        <f>IFERROR(__xludf.DUMMYFUNCTION("""COMPUTED_VALUE"""),0.0)</f>
        <v>0</v>
      </c>
    </row>
    <row r="2578">
      <c r="A2578" s="5" t="str">
        <f>IFERROR(__xludf.DUMMYFUNCTION("""COMPUTED_VALUE"""),"39302")</f>
        <v>39302</v>
      </c>
      <c r="B2578" s="64">
        <f>IFERROR(__xludf.DUMMYFUNCTION("""COMPUTED_VALUE"""),44624.0)</f>
        <v>44624</v>
      </c>
      <c r="C2578" s="5"/>
      <c r="D2578" s="5"/>
      <c r="E2578" s="5"/>
      <c r="F2578" s="22">
        <f>IFERROR(__xludf.DUMMYFUNCTION("""COMPUTED_VALUE"""),500000.0)</f>
        <v>500000</v>
      </c>
      <c r="G2578" s="22">
        <f>IFERROR(__xludf.DUMMYFUNCTION("""COMPUTED_VALUE"""),0.0)</f>
        <v>0</v>
      </c>
      <c r="H2578" s="22">
        <f>IFERROR(__xludf.DUMMYFUNCTION("""COMPUTED_VALUE"""),500000.0)</f>
        <v>500000</v>
      </c>
      <c r="I2578" s="24">
        <f>IFERROR(__xludf.DUMMYFUNCTION("""COMPUTED_VALUE"""),0.0)</f>
        <v>0</v>
      </c>
    </row>
    <row r="2579">
      <c r="A2579" s="5" t="str">
        <f>IFERROR(__xludf.DUMMYFUNCTION("""COMPUTED_VALUE"""),"39302")</f>
        <v>39302</v>
      </c>
      <c r="B2579" s="64">
        <f>IFERROR(__xludf.DUMMYFUNCTION("""COMPUTED_VALUE"""),44625.0)</f>
        <v>44625</v>
      </c>
      <c r="C2579" s="5"/>
      <c r="D2579" s="5"/>
      <c r="E2579" s="5"/>
      <c r="F2579" s="22">
        <f>IFERROR(__xludf.DUMMYFUNCTION("""COMPUTED_VALUE"""),500000.0)</f>
        <v>500000</v>
      </c>
      <c r="G2579" s="22">
        <f>IFERROR(__xludf.DUMMYFUNCTION("""COMPUTED_VALUE"""),0.0)</f>
        <v>0</v>
      </c>
      <c r="H2579" s="22">
        <f>IFERROR(__xludf.DUMMYFUNCTION("""COMPUTED_VALUE"""),500000.0)</f>
        <v>500000</v>
      </c>
      <c r="I2579" s="24">
        <f>IFERROR(__xludf.DUMMYFUNCTION("""COMPUTED_VALUE"""),0.0)</f>
        <v>0</v>
      </c>
    </row>
    <row r="2580">
      <c r="A2580" s="5" t="str">
        <f>IFERROR(__xludf.DUMMYFUNCTION("""COMPUTED_VALUE"""),"39302")</f>
        <v>39302</v>
      </c>
      <c r="B2580" s="64">
        <f>IFERROR(__xludf.DUMMYFUNCTION("""COMPUTED_VALUE"""),44626.0)</f>
        <v>44626</v>
      </c>
      <c r="C2580" s="5"/>
      <c r="D2580" s="5"/>
      <c r="E2580" s="5"/>
      <c r="F2580" s="22">
        <f>IFERROR(__xludf.DUMMYFUNCTION("""COMPUTED_VALUE"""),500000.0)</f>
        <v>500000</v>
      </c>
      <c r="G2580" s="22">
        <f>IFERROR(__xludf.DUMMYFUNCTION("""COMPUTED_VALUE"""),0.0)</f>
        <v>0</v>
      </c>
      <c r="H2580" s="22">
        <f>IFERROR(__xludf.DUMMYFUNCTION("""COMPUTED_VALUE"""),500000.0)</f>
        <v>500000</v>
      </c>
      <c r="I2580" s="24">
        <f>IFERROR(__xludf.DUMMYFUNCTION("""COMPUTED_VALUE"""),0.0)</f>
        <v>0</v>
      </c>
    </row>
    <row r="2581">
      <c r="A2581" s="5" t="str">
        <f>IFERROR(__xludf.DUMMYFUNCTION("""COMPUTED_VALUE"""),"39302")</f>
        <v>39302</v>
      </c>
      <c r="B2581" s="64">
        <f>IFERROR(__xludf.DUMMYFUNCTION("""COMPUTED_VALUE"""),44627.0)</f>
        <v>44627</v>
      </c>
      <c r="C2581" s="5"/>
      <c r="D2581" s="5"/>
      <c r="E2581" s="5"/>
      <c r="F2581" s="22">
        <f>IFERROR(__xludf.DUMMYFUNCTION("""COMPUTED_VALUE"""),500000.0)</f>
        <v>500000</v>
      </c>
      <c r="G2581" s="22">
        <f>IFERROR(__xludf.DUMMYFUNCTION("""COMPUTED_VALUE"""),0.0)</f>
        <v>0</v>
      </c>
      <c r="H2581" s="22">
        <f>IFERROR(__xludf.DUMMYFUNCTION("""COMPUTED_VALUE"""),500000.0)</f>
        <v>500000</v>
      </c>
      <c r="I2581" s="24">
        <f>IFERROR(__xludf.DUMMYFUNCTION("""COMPUTED_VALUE"""),0.0)</f>
        <v>0</v>
      </c>
    </row>
    <row r="2582">
      <c r="A2582" s="5" t="str">
        <f>IFERROR(__xludf.DUMMYFUNCTION("""COMPUTED_VALUE"""),"39302")</f>
        <v>39302</v>
      </c>
      <c r="B2582" s="64">
        <f>IFERROR(__xludf.DUMMYFUNCTION("""COMPUTED_VALUE"""),44628.0)</f>
        <v>44628</v>
      </c>
      <c r="C2582" s="5"/>
      <c r="D2582" s="5"/>
      <c r="E2582" s="5"/>
      <c r="F2582" s="22">
        <f>IFERROR(__xludf.DUMMYFUNCTION("""COMPUTED_VALUE"""),500000.0)</f>
        <v>500000</v>
      </c>
      <c r="G2582" s="22">
        <f>IFERROR(__xludf.DUMMYFUNCTION("""COMPUTED_VALUE"""),0.0)</f>
        <v>0</v>
      </c>
      <c r="H2582" s="22">
        <f>IFERROR(__xludf.DUMMYFUNCTION("""COMPUTED_VALUE"""),500000.0)</f>
        <v>500000</v>
      </c>
      <c r="I2582" s="24">
        <f>IFERROR(__xludf.DUMMYFUNCTION("""COMPUTED_VALUE"""),0.0)</f>
        <v>0</v>
      </c>
    </row>
    <row r="2583">
      <c r="A2583" s="5" t="str">
        <f>IFERROR(__xludf.DUMMYFUNCTION("""COMPUTED_VALUE"""),"39302")</f>
        <v>39302</v>
      </c>
      <c r="B2583" s="64">
        <f>IFERROR(__xludf.DUMMYFUNCTION("""COMPUTED_VALUE"""),44629.0)</f>
        <v>44629</v>
      </c>
      <c r="C2583" s="5"/>
      <c r="D2583" s="5"/>
      <c r="E2583" s="5"/>
      <c r="F2583" s="22">
        <f>IFERROR(__xludf.DUMMYFUNCTION("""COMPUTED_VALUE"""),500000.0)</f>
        <v>500000</v>
      </c>
      <c r="G2583" s="22">
        <f>IFERROR(__xludf.DUMMYFUNCTION("""COMPUTED_VALUE"""),0.0)</f>
        <v>0</v>
      </c>
      <c r="H2583" s="22">
        <f>IFERROR(__xludf.DUMMYFUNCTION("""COMPUTED_VALUE"""),500000.0)</f>
        <v>500000</v>
      </c>
      <c r="I2583" s="24">
        <f>IFERROR(__xludf.DUMMYFUNCTION("""COMPUTED_VALUE"""),0.0)</f>
        <v>0</v>
      </c>
    </row>
    <row r="2584">
      <c r="A2584" s="5" t="str">
        <f>IFERROR(__xludf.DUMMYFUNCTION("""COMPUTED_VALUE"""),"39302")</f>
        <v>39302</v>
      </c>
      <c r="B2584" s="64">
        <f>IFERROR(__xludf.DUMMYFUNCTION("""COMPUTED_VALUE"""),44630.0)</f>
        <v>44630</v>
      </c>
      <c r="C2584" s="5"/>
      <c r="D2584" s="5"/>
      <c r="E2584" s="5"/>
      <c r="F2584" s="22">
        <f>IFERROR(__xludf.DUMMYFUNCTION("""COMPUTED_VALUE"""),500000.0)</f>
        <v>500000</v>
      </c>
      <c r="G2584" s="22">
        <f>IFERROR(__xludf.DUMMYFUNCTION("""COMPUTED_VALUE"""),0.0)</f>
        <v>0</v>
      </c>
      <c r="H2584" s="22">
        <f>IFERROR(__xludf.DUMMYFUNCTION("""COMPUTED_VALUE"""),500000.0)</f>
        <v>500000</v>
      </c>
      <c r="I2584" s="24">
        <f>IFERROR(__xludf.DUMMYFUNCTION("""COMPUTED_VALUE"""),0.0)</f>
        <v>0</v>
      </c>
    </row>
    <row r="2585">
      <c r="A2585" s="5" t="str">
        <f>IFERROR(__xludf.DUMMYFUNCTION("""COMPUTED_VALUE"""),"39302")</f>
        <v>39302</v>
      </c>
      <c r="B2585" s="64">
        <f>IFERROR(__xludf.DUMMYFUNCTION("""COMPUTED_VALUE"""),44631.0)</f>
        <v>44631</v>
      </c>
      <c r="C2585" s="5"/>
      <c r="D2585" s="5"/>
      <c r="E2585" s="5"/>
      <c r="F2585" s="22">
        <f>IFERROR(__xludf.DUMMYFUNCTION("""COMPUTED_VALUE"""),500000.0)</f>
        <v>500000</v>
      </c>
      <c r="G2585" s="22">
        <f>IFERROR(__xludf.DUMMYFUNCTION("""COMPUTED_VALUE"""),0.0)</f>
        <v>0</v>
      </c>
      <c r="H2585" s="22">
        <f>IFERROR(__xludf.DUMMYFUNCTION("""COMPUTED_VALUE"""),500000.0)</f>
        <v>500000</v>
      </c>
      <c r="I2585" s="24">
        <f>IFERROR(__xludf.DUMMYFUNCTION("""COMPUTED_VALUE"""),0.0)</f>
        <v>0</v>
      </c>
    </row>
    <row r="2586">
      <c r="A2586" s="5" t="str">
        <f>IFERROR(__xludf.DUMMYFUNCTION("""COMPUTED_VALUE"""),"39302")</f>
        <v>39302</v>
      </c>
      <c r="B2586" s="64">
        <f>IFERROR(__xludf.DUMMYFUNCTION("""COMPUTED_VALUE"""),44632.0)</f>
        <v>44632</v>
      </c>
      <c r="C2586" s="5"/>
      <c r="D2586" s="5"/>
      <c r="E2586" s="5"/>
      <c r="F2586" s="22">
        <f>IFERROR(__xludf.DUMMYFUNCTION("""COMPUTED_VALUE"""),500000.0)</f>
        <v>500000</v>
      </c>
      <c r="G2586" s="22">
        <f>IFERROR(__xludf.DUMMYFUNCTION("""COMPUTED_VALUE"""),0.0)</f>
        <v>0</v>
      </c>
      <c r="H2586" s="22">
        <f>IFERROR(__xludf.DUMMYFUNCTION("""COMPUTED_VALUE"""),500000.0)</f>
        <v>500000</v>
      </c>
      <c r="I2586" s="24">
        <f>IFERROR(__xludf.DUMMYFUNCTION("""COMPUTED_VALUE"""),0.0)</f>
        <v>0</v>
      </c>
    </row>
    <row r="2587">
      <c r="A2587" s="5" t="str">
        <f>IFERROR(__xludf.DUMMYFUNCTION("""COMPUTED_VALUE"""),"39302")</f>
        <v>39302</v>
      </c>
      <c r="B2587" s="64">
        <f>IFERROR(__xludf.DUMMYFUNCTION("""COMPUTED_VALUE"""),44633.0)</f>
        <v>44633</v>
      </c>
      <c r="C2587" s="5"/>
      <c r="D2587" s="5"/>
      <c r="E2587" s="5"/>
      <c r="F2587" s="22">
        <f>IFERROR(__xludf.DUMMYFUNCTION("""COMPUTED_VALUE"""),500000.0)</f>
        <v>500000</v>
      </c>
      <c r="G2587" s="22">
        <f>IFERROR(__xludf.DUMMYFUNCTION("""COMPUTED_VALUE"""),0.0)</f>
        <v>0</v>
      </c>
      <c r="H2587" s="22">
        <f>IFERROR(__xludf.DUMMYFUNCTION("""COMPUTED_VALUE"""),500000.0)</f>
        <v>500000</v>
      </c>
      <c r="I2587" s="24">
        <f>IFERROR(__xludf.DUMMYFUNCTION("""COMPUTED_VALUE"""),0.0)</f>
        <v>0</v>
      </c>
    </row>
    <row r="2588">
      <c r="A2588" s="5" t="str">
        <f>IFERROR(__xludf.DUMMYFUNCTION("""COMPUTED_VALUE"""),"39302")</f>
        <v>39302</v>
      </c>
      <c r="B2588" s="64">
        <f>IFERROR(__xludf.DUMMYFUNCTION("""COMPUTED_VALUE"""),44634.0)</f>
        <v>44634</v>
      </c>
      <c r="C2588" s="5"/>
      <c r="D2588" s="5"/>
      <c r="E2588" s="5"/>
      <c r="F2588" s="22">
        <f>IFERROR(__xludf.DUMMYFUNCTION("""COMPUTED_VALUE"""),500000.0)</f>
        <v>500000</v>
      </c>
      <c r="G2588" s="22">
        <f>IFERROR(__xludf.DUMMYFUNCTION("""COMPUTED_VALUE"""),0.0)</f>
        <v>0</v>
      </c>
      <c r="H2588" s="22">
        <f>IFERROR(__xludf.DUMMYFUNCTION("""COMPUTED_VALUE"""),500000.0)</f>
        <v>500000</v>
      </c>
      <c r="I2588" s="24">
        <f>IFERROR(__xludf.DUMMYFUNCTION("""COMPUTED_VALUE"""),0.0)</f>
        <v>0</v>
      </c>
    </row>
    <row r="2589">
      <c r="A2589" s="5" t="str">
        <f>IFERROR(__xludf.DUMMYFUNCTION("""COMPUTED_VALUE"""),"39302")</f>
        <v>39302</v>
      </c>
      <c r="B2589" s="64">
        <f>IFERROR(__xludf.DUMMYFUNCTION("""COMPUTED_VALUE"""),44635.0)</f>
        <v>44635</v>
      </c>
      <c r="C2589" s="5"/>
      <c r="D2589" s="5"/>
      <c r="E2589" s="5"/>
      <c r="F2589" s="22">
        <f>IFERROR(__xludf.DUMMYFUNCTION("""COMPUTED_VALUE"""),500000.0)</f>
        <v>500000</v>
      </c>
      <c r="G2589" s="22">
        <f>IFERROR(__xludf.DUMMYFUNCTION("""COMPUTED_VALUE"""),0.0)</f>
        <v>0</v>
      </c>
      <c r="H2589" s="22">
        <f>IFERROR(__xludf.DUMMYFUNCTION("""COMPUTED_VALUE"""),500000.0)</f>
        <v>500000</v>
      </c>
      <c r="I2589" s="24">
        <f>IFERROR(__xludf.DUMMYFUNCTION("""COMPUTED_VALUE"""),0.0)</f>
        <v>0</v>
      </c>
    </row>
    <row r="2590">
      <c r="A2590" s="5" t="str">
        <f>IFERROR(__xludf.DUMMYFUNCTION("""COMPUTED_VALUE"""),"39302")</f>
        <v>39302</v>
      </c>
      <c r="B2590" s="64">
        <f>IFERROR(__xludf.DUMMYFUNCTION("""COMPUTED_VALUE"""),44636.0)</f>
        <v>44636</v>
      </c>
      <c r="C2590" s="5"/>
      <c r="D2590" s="5"/>
      <c r="E2590" s="5"/>
      <c r="F2590" s="22">
        <f>IFERROR(__xludf.DUMMYFUNCTION("""COMPUTED_VALUE"""),500000.0)</f>
        <v>500000</v>
      </c>
      <c r="G2590" s="22">
        <f>IFERROR(__xludf.DUMMYFUNCTION("""COMPUTED_VALUE"""),0.0)</f>
        <v>0</v>
      </c>
      <c r="H2590" s="22">
        <f>IFERROR(__xludf.DUMMYFUNCTION("""COMPUTED_VALUE"""),500000.0)</f>
        <v>500000</v>
      </c>
      <c r="I2590" s="24">
        <f>IFERROR(__xludf.DUMMYFUNCTION("""COMPUTED_VALUE"""),0.0)</f>
        <v>0</v>
      </c>
    </row>
    <row r="2591">
      <c r="A2591" s="5" t="str">
        <f>IFERROR(__xludf.DUMMYFUNCTION("""COMPUTED_VALUE"""),"39302")</f>
        <v>39302</v>
      </c>
      <c r="B2591" s="64">
        <f>IFERROR(__xludf.DUMMYFUNCTION("""COMPUTED_VALUE"""),44637.0)</f>
        <v>44637</v>
      </c>
      <c r="C2591" s="5"/>
      <c r="D2591" s="5"/>
      <c r="E2591" s="5"/>
      <c r="F2591" s="22">
        <f>IFERROR(__xludf.DUMMYFUNCTION("""COMPUTED_VALUE"""),500000.0)</f>
        <v>500000</v>
      </c>
      <c r="G2591" s="22">
        <f>IFERROR(__xludf.DUMMYFUNCTION("""COMPUTED_VALUE"""),0.0)</f>
        <v>0</v>
      </c>
      <c r="H2591" s="22">
        <f>IFERROR(__xludf.DUMMYFUNCTION("""COMPUTED_VALUE"""),500000.0)</f>
        <v>500000</v>
      </c>
      <c r="I2591" s="24">
        <f>IFERROR(__xludf.DUMMYFUNCTION("""COMPUTED_VALUE"""),0.0)</f>
        <v>0</v>
      </c>
    </row>
    <row r="2592">
      <c r="A2592" s="5" t="str">
        <f>IFERROR(__xludf.DUMMYFUNCTION("""COMPUTED_VALUE"""),"39302")</f>
        <v>39302</v>
      </c>
      <c r="B2592" s="64">
        <f>IFERROR(__xludf.DUMMYFUNCTION("""COMPUTED_VALUE"""),44638.0)</f>
        <v>44638</v>
      </c>
      <c r="C2592" s="5"/>
      <c r="D2592" s="5"/>
      <c r="E2592" s="5"/>
      <c r="F2592" s="22">
        <f>IFERROR(__xludf.DUMMYFUNCTION("""COMPUTED_VALUE"""),500000.0)</f>
        <v>500000</v>
      </c>
      <c r="G2592" s="22">
        <f>IFERROR(__xludf.DUMMYFUNCTION("""COMPUTED_VALUE"""),0.0)</f>
        <v>0</v>
      </c>
      <c r="H2592" s="22">
        <f>IFERROR(__xludf.DUMMYFUNCTION("""COMPUTED_VALUE"""),500000.0)</f>
        <v>500000</v>
      </c>
      <c r="I2592" s="24">
        <f>IFERROR(__xludf.DUMMYFUNCTION("""COMPUTED_VALUE"""),0.0)</f>
        <v>0</v>
      </c>
    </row>
    <row r="2593">
      <c r="A2593" s="5" t="str">
        <f>IFERROR(__xludf.DUMMYFUNCTION("""COMPUTED_VALUE"""),"39302")</f>
        <v>39302</v>
      </c>
      <c r="B2593" s="64">
        <f>IFERROR(__xludf.DUMMYFUNCTION("""COMPUTED_VALUE"""),44639.0)</f>
        <v>44639</v>
      </c>
      <c r="C2593" s="5"/>
      <c r="D2593" s="5"/>
      <c r="E2593" s="5"/>
      <c r="F2593" s="22">
        <f>IFERROR(__xludf.DUMMYFUNCTION("""COMPUTED_VALUE"""),500000.0)</f>
        <v>500000</v>
      </c>
      <c r="G2593" s="22">
        <f>IFERROR(__xludf.DUMMYFUNCTION("""COMPUTED_VALUE"""),0.0)</f>
        <v>0</v>
      </c>
      <c r="H2593" s="22">
        <f>IFERROR(__xludf.DUMMYFUNCTION("""COMPUTED_VALUE"""),500000.0)</f>
        <v>500000</v>
      </c>
      <c r="I2593" s="24">
        <f>IFERROR(__xludf.DUMMYFUNCTION("""COMPUTED_VALUE"""),0.0)</f>
        <v>0</v>
      </c>
    </row>
    <row r="2594">
      <c r="A2594" s="5" t="str">
        <f>IFERROR(__xludf.DUMMYFUNCTION("""COMPUTED_VALUE"""),"39302")</f>
        <v>39302</v>
      </c>
      <c r="B2594" s="64">
        <f>IFERROR(__xludf.DUMMYFUNCTION("""COMPUTED_VALUE"""),44640.0)</f>
        <v>44640</v>
      </c>
      <c r="C2594" s="5"/>
      <c r="D2594" s="5"/>
      <c r="E2594" s="5"/>
      <c r="F2594" s="22">
        <f>IFERROR(__xludf.DUMMYFUNCTION("""COMPUTED_VALUE"""),500000.0)</f>
        <v>500000</v>
      </c>
      <c r="G2594" s="22">
        <f>IFERROR(__xludf.DUMMYFUNCTION("""COMPUTED_VALUE"""),0.0)</f>
        <v>0</v>
      </c>
      <c r="H2594" s="22">
        <f>IFERROR(__xludf.DUMMYFUNCTION("""COMPUTED_VALUE"""),500000.0)</f>
        <v>500000</v>
      </c>
      <c r="I2594" s="24">
        <f>IFERROR(__xludf.DUMMYFUNCTION("""COMPUTED_VALUE"""),0.0)</f>
        <v>0</v>
      </c>
    </row>
    <row r="2595">
      <c r="A2595" s="5" t="str">
        <f>IFERROR(__xludf.DUMMYFUNCTION("""COMPUTED_VALUE"""),"39302")</f>
        <v>39302</v>
      </c>
      <c r="B2595" s="64">
        <f>IFERROR(__xludf.DUMMYFUNCTION("""COMPUTED_VALUE"""),44641.0)</f>
        <v>44641</v>
      </c>
      <c r="C2595" s="5"/>
      <c r="D2595" s="5"/>
      <c r="E2595" s="5"/>
      <c r="F2595" s="22">
        <f>IFERROR(__xludf.DUMMYFUNCTION("""COMPUTED_VALUE"""),500000.0)</f>
        <v>500000</v>
      </c>
      <c r="G2595" s="22">
        <f>IFERROR(__xludf.DUMMYFUNCTION("""COMPUTED_VALUE"""),0.0)</f>
        <v>0</v>
      </c>
      <c r="H2595" s="22">
        <f>IFERROR(__xludf.DUMMYFUNCTION("""COMPUTED_VALUE"""),500000.0)</f>
        <v>500000</v>
      </c>
      <c r="I2595" s="24">
        <f>IFERROR(__xludf.DUMMYFUNCTION("""COMPUTED_VALUE"""),0.0)</f>
        <v>0</v>
      </c>
    </row>
    <row r="2596">
      <c r="A2596" s="5" t="str">
        <f>IFERROR(__xludf.DUMMYFUNCTION("""COMPUTED_VALUE"""),"39302")</f>
        <v>39302</v>
      </c>
      <c r="B2596" s="64">
        <f>IFERROR(__xludf.DUMMYFUNCTION("""COMPUTED_VALUE"""),44642.0)</f>
        <v>44642</v>
      </c>
      <c r="C2596" s="5"/>
      <c r="D2596" s="5"/>
      <c r="E2596" s="5"/>
      <c r="F2596" s="22">
        <f>IFERROR(__xludf.DUMMYFUNCTION("""COMPUTED_VALUE"""),500000.0)</f>
        <v>500000</v>
      </c>
      <c r="G2596" s="22">
        <f>IFERROR(__xludf.DUMMYFUNCTION("""COMPUTED_VALUE"""),0.0)</f>
        <v>0</v>
      </c>
      <c r="H2596" s="22">
        <f>IFERROR(__xludf.DUMMYFUNCTION("""COMPUTED_VALUE"""),500000.0)</f>
        <v>500000</v>
      </c>
      <c r="I2596" s="24">
        <f>IFERROR(__xludf.DUMMYFUNCTION("""COMPUTED_VALUE"""),0.0)</f>
        <v>0</v>
      </c>
    </row>
    <row r="2597">
      <c r="A2597" s="5" t="str">
        <f>IFERROR(__xludf.DUMMYFUNCTION("""COMPUTED_VALUE"""),"39302")</f>
        <v>39302</v>
      </c>
      <c r="B2597" s="64">
        <f>IFERROR(__xludf.DUMMYFUNCTION("""COMPUTED_VALUE"""),44643.0)</f>
        <v>44643</v>
      </c>
      <c r="C2597" s="5"/>
      <c r="D2597" s="5"/>
      <c r="E2597" s="5"/>
      <c r="F2597" s="22">
        <f>IFERROR(__xludf.DUMMYFUNCTION("""COMPUTED_VALUE"""),500000.0)</f>
        <v>500000</v>
      </c>
      <c r="G2597" s="22">
        <f>IFERROR(__xludf.DUMMYFUNCTION("""COMPUTED_VALUE"""),0.0)</f>
        <v>0</v>
      </c>
      <c r="H2597" s="22">
        <f>IFERROR(__xludf.DUMMYFUNCTION("""COMPUTED_VALUE"""),500000.0)</f>
        <v>500000</v>
      </c>
      <c r="I2597" s="24">
        <f>IFERROR(__xludf.DUMMYFUNCTION("""COMPUTED_VALUE"""),0.0)</f>
        <v>0</v>
      </c>
    </row>
    <row r="2598">
      <c r="A2598" s="5" t="str">
        <f>IFERROR(__xludf.DUMMYFUNCTION("""COMPUTED_VALUE"""),"39302")</f>
        <v>39302</v>
      </c>
      <c r="B2598" s="64">
        <f>IFERROR(__xludf.DUMMYFUNCTION("""COMPUTED_VALUE"""),44644.0)</f>
        <v>44644</v>
      </c>
      <c r="C2598" s="5"/>
      <c r="D2598" s="5"/>
      <c r="E2598" s="5"/>
      <c r="F2598" s="22">
        <f>IFERROR(__xludf.DUMMYFUNCTION("""COMPUTED_VALUE"""),500000.0)</f>
        <v>500000</v>
      </c>
      <c r="G2598" s="22">
        <f>IFERROR(__xludf.DUMMYFUNCTION("""COMPUTED_VALUE"""),0.0)</f>
        <v>0</v>
      </c>
      <c r="H2598" s="22">
        <f>IFERROR(__xludf.DUMMYFUNCTION("""COMPUTED_VALUE"""),500000.0)</f>
        <v>500000</v>
      </c>
      <c r="I2598" s="24">
        <f>IFERROR(__xludf.DUMMYFUNCTION("""COMPUTED_VALUE"""),0.0)</f>
        <v>0</v>
      </c>
    </row>
    <row r="2599">
      <c r="A2599" s="5" t="str">
        <f>IFERROR(__xludf.DUMMYFUNCTION("""COMPUTED_VALUE"""),"39302")</f>
        <v>39302</v>
      </c>
      <c r="B2599" s="64">
        <f>IFERROR(__xludf.DUMMYFUNCTION("""COMPUTED_VALUE"""),44645.0)</f>
        <v>44645</v>
      </c>
      <c r="C2599" s="5"/>
      <c r="D2599" s="5"/>
      <c r="E2599" s="5"/>
      <c r="F2599" s="22">
        <f>IFERROR(__xludf.DUMMYFUNCTION("""COMPUTED_VALUE"""),500000.0)</f>
        <v>500000</v>
      </c>
      <c r="G2599" s="22">
        <f>IFERROR(__xludf.DUMMYFUNCTION("""COMPUTED_VALUE"""),0.0)</f>
        <v>0</v>
      </c>
      <c r="H2599" s="22">
        <f>IFERROR(__xludf.DUMMYFUNCTION("""COMPUTED_VALUE"""),500000.0)</f>
        <v>500000</v>
      </c>
      <c r="I2599" s="24">
        <f>IFERROR(__xludf.DUMMYFUNCTION("""COMPUTED_VALUE"""),0.0)</f>
        <v>0</v>
      </c>
    </row>
    <row r="2600">
      <c r="A2600" s="5" t="str">
        <f>IFERROR(__xludf.DUMMYFUNCTION("""COMPUTED_VALUE"""),"39302")</f>
        <v>39302</v>
      </c>
      <c r="B2600" s="64">
        <f>IFERROR(__xludf.DUMMYFUNCTION("""COMPUTED_VALUE"""),44646.0)</f>
        <v>44646</v>
      </c>
      <c r="C2600" s="5"/>
      <c r="D2600" s="5"/>
      <c r="E2600" s="5"/>
      <c r="F2600" s="22">
        <f>IFERROR(__xludf.DUMMYFUNCTION("""COMPUTED_VALUE"""),500000.0)</f>
        <v>500000</v>
      </c>
      <c r="G2600" s="22">
        <f>IFERROR(__xludf.DUMMYFUNCTION("""COMPUTED_VALUE"""),0.0)</f>
        <v>0</v>
      </c>
      <c r="H2600" s="22">
        <f>IFERROR(__xludf.DUMMYFUNCTION("""COMPUTED_VALUE"""),500000.0)</f>
        <v>500000</v>
      </c>
      <c r="I2600" s="24">
        <f>IFERROR(__xludf.DUMMYFUNCTION("""COMPUTED_VALUE"""),0.0)</f>
        <v>0</v>
      </c>
    </row>
    <row r="2601">
      <c r="A2601" s="5" t="str">
        <f>IFERROR(__xludf.DUMMYFUNCTION("""COMPUTED_VALUE"""),"39302")</f>
        <v>39302</v>
      </c>
      <c r="B2601" s="64">
        <f>IFERROR(__xludf.DUMMYFUNCTION("""COMPUTED_VALUE"""),44647.0)</f>
        <v>44647</v>
      </c>
      <c r="C2601" s="5"/>
      <c r="D2601" s="5"/>
      <c r="E2601" s="5"/>
      <c r="F2601" s="22">
        <f>IFERROR(__xludf.DUMMYFUNCTION("""COMPUTED_VALUE"""),500000.0)</f>
        <v>500000</v>
      </c>
      <c r="G2601" s="22">
        <f>IFERROR(__xludf.DUMMYFUNCTION("""COMPUTED_VALUE"""),0.0)</f>
        <v>0</v>
      </c>
      <c r="H2601" s="22">
        <f>IFERROR(__xludf.DUMMYFUNCTION("""COMPUTED_VALUE"""),500000.0)</f>
        <v>500000</v>
      </c>
      <c r="I2601" s="24">
        <f>IFERROR(__xludf.DUMMYFUNCTION("""COMPUTED_VALUE"""),0.0)</f>
        <v>0</v>
      </c>
    </row>
    <row r="2602">
      <c r="A2602" s="5" t="str">
        <f>IFERROR(__xludf.DUMMYFUNCTION("""COMPUTED_VALUE"""),"39302")</f>
        <v>39302</v>
      </c>
      <c r="B2602" s="64">
        <f>IFERROR(__xludf.DUMMYFUNCTION("""COMPUTED_VALUE"""),44648.0)</f>
        <v>44648</v>
      </c>
      <c r="C2602" s="5"/>
      <c r="D2602" s="5"/>
      <c r="E2602" s="5"/>
      <c r="F2602" s="22">
        <f>IFERROR(__xludf.DUMMYFUNCTION("""COMPUTED_VALUE"""),500000.0)</f>
        <v>500000</v>
      </c>
      <c r="G2602" s="22">
        <f>IFERROR(__xludf.DUMMYFUNCTION("""COMPUTED_VALUE"""),0.0)</f>
        <v>0</v>
      </c>
      <c r="H2602" s="22">
        <f>IFERROR(__xludf.DUMMYFUNCTION("""COMPUTED_VALUE"""),500000.0)</f>
        <v>500000</v>
      </c>
      <c r="I2602" s="24">
        <f>IFERROR(__xludf.DUMMYFUNCTION("""COMPUTED_VALUE"""),0.0)</f>
        <v>0</v>
      </c>
    </row>
    <row r="2603">
      <c r="A2603" s="5" t="str">
        <f>IFERROR(__xludf.DUMMYFUNCTION("""COMPUTED_VALUE"""),"39302")</f>
        <v>39302</v>
      </c>
      <c r="B2603" s="64">
        <f>IFERROR(__xludf.DUMMYFUNCTION("""COMPUTED_VALUE"""),44649.0)</f>
        <v>44649</v>
      </c>
      <c r="C2603" s="5"/>
      <c r="D2603" s="5"/>
      <c r="E2603" s="5"/>
      <c r="F2603" s="22">
        <f>IFERROR(__xludf.DUMMYFUNCTION("""COMPUTED_VALUE"""),500000.0)</f>
        <v>500000</v>
      </c>
      <c r="G2603" s="22">
        <f>IFERROR(__xludf.DUMMYFUNCTION("""COMPUTED_VALUE"""),0.0)</f>
        <v>0</v>
      </c>
      <c r="H2603" s="22">
        <f>IFERROR(__xludf.DUMMYFUNCTION("""COMPUTED_VALUE"""),500000.0)</f>
        <v>500000</v>
      </c>
      <c r="I2603" s="24">
        <f>IFERROR(__xludf.DUMMYFUNCTION("""COMPUTED_VALUE"""),0.0)</f>
        <v>0</v>
      </c>
    </row>
    <row r="2604">
      <c r="A2604" s="5" t="str">
        <f>IFERROR(__xludf.DUMMYFUNCTION("""COMPUTED_VALUE"""),"39302")</f>
        <v>39302</v>
      </c>
      <c r="B2604" s="64">
        <f>IFERROR(__xludf.DUMMYFUNCTION("""COMPUTED_VALUE"""),44650.0)</f>
        <v>44650</v>
      </c>
      <c r="C2604" s="5"/>
      <c r="D2604" s="5"/>
      <c r="E2604" s="5"/>
      <c r="F2604" s="22">
        <f>IFERROR(__xludf.DUMMYFUNCTION("""COMPUTED_VALUE"""),500000.0)</f>
        <v>500000</v>
      </c>
      <c r="G2604" s="22">
        <f>IFERROR(__xludf.DUMMYFUNCTION("""COMPUTED_VALUE"""),0.0)</f>
        <v>0</v>
      </c>
      <c r="H2604" s="22">
        <f>IFERROR(__xludf.DUMMYFUNCTION("""COMPUTED_VALUE"""),500000.0)</f>
        <v>500000</v>
      </c>
      <c r="I2604" s="24">
        <f>IFERROR(__xludf.DUMMYFUNCTION("""COMPUTED_VALUE"""),0.0)</f>
        <v>0</v>
      </c>
    </row>
    <row r="2605">
      <c r="A2605" s="5" t="str">
        <f>IFERROR(__xludf.DUMMYFUNCTION("""COMPUTED_VALUE"""),"39302")</f>
        <v>39302</v>
      </c>
      <c r="B2605" s="64">
        <f>IFERROR(__xludf.DUMMYFUNCTION("""COMPUTED_VALUE"""),44651.0)</f>
        <v>44651</v>
      </c>
      <c r="C2605" s="5"/>
      <c r="D2605" s="5"/>
      <c r="E2605" s="5"/>
      <c r="F2605" s="22">
        <f>IFERROR(__xludf.DUMMYFUNCTION("""COMPUTED_VALUE"""),500000.0)</f>
        <v>500000</v>
      </c>
      <c r="G2605" s="22">
        <f>IFERROR(__xludf.DUMMYFUNCTION("""COMPUTED_VALUE"""),0.0)</f>
        <v>0</v>
      </c>
      <c r="H2605" s="22">
        <f>IFERROR(__xludf.DUMMYFUNCTION("""COMPUTED_VALUE"""),500000.0)</f>
        <v>500000</v>
      </c>
      <c r="I2605" s="24">
        <f>IFERROR(__xludf.DUMMYFUNCTION("""COMPUTED_VALUE"""),0.0)</f>
        <v>0</v>
      </c>
    </row>
    <row r="2606">
      <c r="A2606" s="5" t="str">
        <f>IFERROR(__xludf.DUMMYFUNCTION("""COMPUTED_VALUE"""),"39302")</f>
        <v>39302</v>
      </c>
      <c r="B2606" s="64">
        <f>IFERROR(__xludf.DUMMYFUNCTION("""COMPUTED_VALUE"""),44652.0)</f>
        <v>44652</v>
      </c>
      <c r="C2606" s="5"/>
      <c r="D2606" s="5"/>
      <c r="E2606" s="5"/>
      <c r="F2606" s="22">
        <f>IFERROR(__xludf.DUMMYFUNCTION("""COMPUTED_VALUE"""),500000.0)</f>
        <v>500000</v>
      </c>
      <c r="G2606" s="22">
        <f>IFERROR(__xludf.DUMMYFUNCTION("""COMPUTED_VALUE"""),0.0)</f>
        <v>0</v>
      </c>
      <c r="H2606" s="22">
        <f>IFERROR(__xludf.DUMMYFUNCTION("""COMPUTED_VALUE"""),501272.6577)</f>
        <v>501272.6577</v>
      </c>
      <c r="I2606" s="24">
        <f>IFERROR(__xludf.DUMMYFUNCTION("""COMPUTED_VALUE"""),0.0025453153999999145)</f>
        <v>0.0025453154</v>
      </c>
    </row>
    <row r="2607">
      <c r="A2607" s="5" t="str">
        <f>IFERROR(__xludf.DUMMYFUNCTION("""COMPUTED_VALUE"""),"39302")</f>
        <v>39302</v>
      </c>
      <c r="B2607" s="64">
        <f>IFERROR(__xludf.DUMMYFUNCTION("""COMPUTED_VALUE"""),44653.0)</f>
        <v>44653</v>
      </c>
      <c r="C2607" s="5"/>
      <c r="D2607" s="5"/>
      <c r="E2607" s="5"/>
      <c r="F2607" s="22">
        <f>IFERROR(__xludf.DUMMYFUNCTION("""COMPUTED_VALUE"""),500000.0)</f>
        <v>500000</v>
      </c>
      <c r="G2607" s="22">
        <f>IFERROR(__xludf.DUMMYFUNCTION("""COMPUTED_VALUE"""),0.0)</f>
        <v>0</v>
      </c>
      <c r="H2607" s="22">
        <f>IFERROR(__xludf.DUMMYFUNCTION("""COMPUTED_VALUE"""),501272.6577)</f>
        <v>501272.6577</v>
      </c>
      <c r="I2607" s="24">
        <f>IFERROR(__xludf.DUMMYFUNCTION("""COMPUTED_VALUE"""),0.0025453153999999145)</f>
        <v>0.0025453154</v>
      </c>
    </row>
    <row r="2608">
      <c r="A2608" s="5" t="str">
        <f>IFERROR(__xludf.DUMMYFUNCTION("""COMPUTED_VALUE"""),"39302")</f>
        <v>39302</v>
      </c>
      <c r="B2608" s="64">
        <f>IFERROR(__xludf.DUMMYFUNCTION("""COMPUTED_VALUE"""),44654.0)</f>
        <v>44654</v>
      </c>
      <c r="C2608" s="5"/>
      <c r="D2608" s="5"/>
      <c r="E2608" s="5"/>
      <c r="F2608" s="22">
        <f>IFERROR(__xludf.DUMMYFUNCTION("""COMPUTED_VALUE"""),500000.0)</f>
        <v>500000</v>
      </c>
      <c r="G2608" s="22">
        <f>IFERROR(__xludf.DUMMYFUNCTION("""COMPUTED_VALUE"""),0.0)</f>
        <v>0</v>
      </c>
      <c r="H2608" s="22">
        <f>IFERROR(__xludf.DUMMYFUNCTION("""COMPUTED_VALUE"""),501272.6577)</f>
        <v>501272.6577</v>
      </c>
      <c r="I2608" s="24">
        <f>IFERROR(__xludf.DUMMYFUNCTION("""COMPUTED_VALUE"""),0.0025453153999999145)</f>
        <v>0.0025453154</v>
      </c>
    </row>
    <row r="2609">
      <c r="A2609" s="5" t="str">
        <f>IFERROR(__xludf.DUMMYFUNCTION("""COMPUTED_VALUE"""),"39302")</f>
        <v>39302</v>
      </c>
      <c r="B2609" s="64">
        <f>IFERROR(__xludf.DUMMYFUNCTION("""COMPUTED_VALUE"""),44655.0)</f>
        <v>44655</v>
      </c>
      <c r="C2609" s="5"/>
      <c r="D2609" s="5"/>
      <c r="E2609" s="5"/>
      <c r="F2609" s="22">
        <f>IFERROR(__xludf.DUMMYFUNCTION("""COMPUTED_VALUE"""),500000.0)</f>
        <v>500000</v>
      </c>
      <c r="G2609" s="22">
        <f>IFERROR(__xludf.DUMMYFUNCTION("""COMPUTED_VALUE"""),0.0)</f>
        <v>0</v>
      </c>
      <c r="H2609" s="22">
        <f>IFERROR(__xludf.DUMMYFUNCTION("""COMPUTED_VALUE"""),501272.6577)</f>
        <v>501272.6577</v>
      </c>
      <c r="I2609" s="24">
        <f>IFERROR(__xludf.DUMMYFUNCTION("""COMPUTED_VALUE"""),0.0025453153999999145)</f>
        <v>0.0025453154</v>
      </c>
    </row>
    <row r="2610">
      <c r="A2610" s="5" t="str">
        <f>IFERROR(__xludf.DUMMYFUNCTION("""COMPUTED_VALUE"""),"39302")</f>
        <v>39302</v>
      </c>
      <c r="B2610" s="64">
        <f>IFERROR(__xludf.DUMMYFUNCTION("""COMPUTED_VALUE"""),44656.0)</f>
        <v>44656</v>
      </c>
      <c r="C2610" s="5"/>
      <c r="D2610" s="5"/>
      <c r="E2610" s="5"/>
      <c r="F2610" s="22">
        <f>IFERROR(__xludf.DUMMYFUNCTION("""COMPUTED_VALUE"""),500000.0)</f>
        <v>500000</v>
      </c>
      <c r="G2610" s="22">
        <f>IFERROR(__xludf.DUMMYFUNCTION("""COMPUTED_VALUE"""),0.0)</f>
        <v>0</v>
      </c>
      <c r="H2610" s="22">
        <f>IFERROR(__xludf.DUMMYFUNCTION("""COMPUTED_VALUE"""),501272.6577)</f>
        <v>501272.6577</v>
      </c>
      <c r="I2610" s="24">
        <f>IFERROR(__xludf.DUMMYFUNCTION("""COMPUTED_VALUE"""),0.0025453153999999145)</f>
        <v>0.0025453154</v>
      </c>
    </row>
    <row r="2611">
      <c r="A2611" s="5" t="str">
        <f>IFERROR(__xludf.DUMMYFUNCTION("""COMPUTED_VALUE"""),"39302")</f>
        <v>39302</v>
      </c>
      <c r="B2611" s="64">
        <f>IFERROR(__xludf.DUMMYFUNCTION("""COMPUTED_VALUE"""),44657.0)</f>
        <v>44657</v>
      </c>
      <c r="C2611" s="5"/>
      <c r="D2611" s="5"/>
      <c r="E2611" s="5"/>
      <c r="F2611" s="22">
        <f>IFERROR(__xludf.DUMMYFUNCTION("""COMPUTED_VALUE"""),500000.0)</f>
        <v>500000</v>
      </c>
      <c r="G2611" s="22">
        <f>IFERROR(__xludf.DUMMYFUNCTION("""COMPUTED_VALUE"""),0.0)</f>
        <v>0</v>
      </c>
      <c r="H2611" s="22">
        <f>IFERROR(__xludf.DUMMYFUNCTION("""COMPUTED_VALUE"""),505679.793486)</f>
        <v>505679.7935</v>
      </c>
      <c r="I2611" s="24">
        <f>IFERROR(__xludf.DUMMYFUNCTION("""COMPUTED_VALUE"""),0.011359586972000013)</f>
        <v>0.01135958697</v>
      </c>
    </row>
    <row r="2612">
      <c r="A2612" s="5" t="str">
        <f>IFERROR(__xludf.DUMMYFUNCTION("""COMPUTED_VALUE"""),"39302")</f>
        <v>39302</v>
      </c>
      <c r="B2612" s="64">
        <f>IFERROR(__xludf.DUMMYFUNCTION("""COMPUTED_VALUE"""),44658.0)</f>
        <v>44658</v>
      </c>
      <c r="C2612" s="5"/>
      <c r="D2612" s="5"/>
      <c r="E2612" s="5"/>
      <c r="F2612" s="22">
        <f>IFERROR(__xludf.DUMMYFUNCTION("""COMPUTED_VALUE"""),500000.0)</f>
        <v>500000</v>
      </c>
      <c r="G2612" s="22">
        <f>IFERROR(__xludf.DUMMYFUNCTION("""COMPUTED_VALUE"""),0.0)</f>
        <v>0</v>
      </c>
      <c r="H2612" s="22">
        <f>IFERROR(__xludf.DUMMYFUNCTION("""COMPUTED_VALUE"""),496701.89032999997)</f>
        <v>496701.8903</v>
      </c>
      <c r="I2612" s="24">
        <f>IFERROR(__xludf.DUMMYFUNCTION("""COMPUTED_VALUE"""),-0.006596219340000098)</f>
        <v>-0.00659621934</v>
      </c>
    </row>
    <row r="2613">
      <c r="A2613" s="5" t="str">
        <f>IFERROR(__xludf.DUMMYFUNCTION("""COMPUTED_VALUE"""),"39302")</f>
        <v>39302</v>
      </c>
      <c r="B2613" s="64">
        <f>IFERROR(__xludf.DUMMYFUNCTION("""COMPUTED_VALUE"""),44659.0)</f>
        <v>44659</v>
      </c>
      <c r="C2613" s="5"/>
      <c r="D2613" s="5"/>
      <c r="E2613" s="5"/>
      <c r="F2613" s="22">
        <f>IFERROR(__xludf.DUMMYFUNCTION("""COMPUTED_VALUE"""),500000.0)</f>
        <v>500000</v>
      </c>
      <c r="G2613" s="22">
        <f>IFERROR(__xludf.DUMMYFUNCTION("""COMPUTED_VALUE"""),0.0)</f>
        <v>0</v>
      </c>
      <c r="H2613" s="22">
        <f>IFERROR(__xludf.DUMMYFUNCTION("""COMPUTED_VALUE"""),545203.586751)</f>
        <v>545203.5868</v>
      </c>
      <c r="I2613" s="24">
        <f>IFERROR(__xludf.DUMMYFUNCTION("""COMPUTED_VALUE"""),0.090407173502)</f>
        <v>0.0904071735</v>
      </c>
    </row>
    <row r="2614">
      <c r="A2614" s="5" t="str">
        <f>IFERROR(__xludf.DUMMYFUNCTION("""COMPUTED_VALUE"""),"39302")</f>
        <v>39302</v>
      </c>
      <c r="B2614" s="64">
        <f>IFERROR(__xludf.DUMMYFUNCTION("""COMPUTED_VALUE"""),44660.0)</f>
        <v>44660</v>
      </c>
      <c r="C2614" s="5"/>
      <c r="D2614" s="5"/>
      <c r="E2614" s="5"/>
      <c r="F2614" s="22">
        <f>IFERROR(__xludf.DUMMYFUNCTION("""COMPUTED_VALUE"""),500000.0)</f>
        <v>500000</v>
      </c>
      <c r="G2614" s="22">
        <f>IFERROR(__xludf.DUMMYFUNCTION("""COMPUTED_VALUE"""),0.0)</f>
        <v>0</v>
      </c>
      <c r="H2614" s="22">
        <f>IFERROR(__xludf.DUMMYFUNCTION("""COMPUTED_VALUE"""),545203.586751)</f>
        <v>545203.5868</v>
      </c>
      <c r="I2614" s="24">
        <f>IFERROR(__xludf.DUMMYFUNCTION("""COMPUTED_VALUE"""),0.090407173502)</f>
        <v>0.0904071735</v>
      </c>
    </row>
    <row r="2615">
      <c r="A2615" s="5" t="str">
        <f>IFERROR(__xludf.DUMMYFUNCTION("""COMPUTED_VALUE"""),"39302")</f>
        <v>39302</v>
      </c>
      <c r="B2615" s="64">
        <f>IFERROR(__xludf.DUMMYFUNCTION("""COMPUTED_VALUE"""),44661.0)</f>
        <v>44661</v>
      </c>
      <c r="C2615" s="5"/>
      <c r="D2615" s="5"/>
      <c r="E2615" s="5"/>
      <c r="F2615" s="22">
        <f>IFERROR(__xludf.DUMMYFUNCTION("""COMPUTED_VALUE"""),500000.0)</f>
        <v>500000</v>
      </c>
      <c r="G2615" s="22">
        <f>IFERROR(__xludf.DUMMYFUNCTION("""COMPUTED_VALUE"""),0.0)</f>
        <v>0</v>
      </c>
      <c r="H2615" s="22">
        <f>IFERROR(__xludf.DUMMYFUNCTION("""COMPUTED_VALUE"""),545203.586751)</f>
        <v>545203.5868</v>
      </c>
      <c r="I2615" s="24">
        <f>IFERROR(__xludf.DUMMYFUNCTION("""COMPUTED_VALUE"""),0.090407173502)</f>
        <v>0.0904071735</v>
      </c>
    </row>
    <row r="2616">
      <c r="A2616" s="5" t="str">
        <f>IFERROR(__xludf.DUMMYFUNCTION("""COMPUTED_VALUE"""),"39302")</f>
        <v>39302</v>
      </c>
      <c r="B2616" s="64">
        <f>IFERROR(__xludf.DUMMYFUNCTION("""COMPUTED_VALUE"""),44662.0)</f>
        <v>44662</v>
      </c>
      <c r="C2616" s="5"/>
      <c r="D2616" s="5"/>
      <c r="E2616" s="5"/>
      <c r="F2616" s="22">
        <f>IFERROR(__xludf.DUMMYFUNCTION("""COMPUTED_VALUE"""),500000.0)</f>
        <v>500000</v>
      </c>
      <c r="G2616" s="22">
        <f>IFERROR(__xludf.DUMMYFUNCTION("""COMPUTED_VALUE"""),0.0)</f>
        <v>0</v>
      </c>
      <c r="H2616" s="22">
        <f>IFERROR(__xludf.DUMMYFUNCTION("""COMPUTED_VALUE"""),596280.6237890001)</f>
        <v>596280.6238</v>
      </c>
      <c r="I2616" s="24">
        <f>IFERROR(__xludf.DUMMYFUNCTION("""COMPUTED_VALUE"""),0.19256124757800008)</f>
        <v>0.1925612476</v>
      </c>
    </row>
    <row r="2617">
      <c r="A2617" s="5" t="str">
        <f>IFERROR(__xludf.DUMMYFUNCTION("""COMPUTED_VALUE"""),"39302")</f>
        <v>39302</v>
      </c>
      <c r="B2617" s="64">
        <f>IFERROR(__xludf.DUMMYFUNCTION("""COMPUTED_VALUE"""),44663.0)</f>
        <v>44663</v>
      </c>
      <c r="C2617" s="5"/>
      <c r="D2617" s="5"/>
      <c r="E2617" s="5"/>
      <c r="F2617" s="22">
        <f>IFERROR(__xludf.DUMMYFUNCTION("""COMPUTED_VALUE"""),500000.0)</f>
        <v>500000</v>
      </c>
      <c r="G2617" s="22">
        <f>IFERROR(__xludf.DUMMYFUNCTION("""COMPUTED_VALUE"""),0.0)</f>
        <v>0</v>
      </c>
      <c r="H2617" s="22">
        <f>IFERROR(__xludf.DUMMYFUNCTION("""COMPUTED_VALUE"""),596246.050867)</f>
        <v>596246.0509</v>
      </c>
      <c r="I2617" s="24">
        <f>IFERROR(__xludf.DUMMYFUNCTION("""COMPUTED_VALUE"""),0.192492101734)</f>
        <v>0.1924921017</v>
      </c>
    </row>
    <row r="2618">
      <c r="A2618" s="5" t="str">
        <f>IFERROR(__xludf.DUMMYFUNCTION("""COMPUTED_VALUE"""),"39441")</f>
        <v>39441</v>
      </c>
      <c r="B2618" s="64">
        <f>IFERROR(__xludf.DUMMYFUNCTION("""COMPUTED_VALUE"""),44597.0)</f>
        <v>44597</v>
      </c>
      <c r="C2618" s="5"/>
      <c r="D2618" s="5"/>
      <c r="E2618" s="5"/>
      <c r="F2618" s="22">
        <f>IFERROR(__xludf.DUMMYFUNCTION("""COMPUTED_VALUE"""),500000.0)</f>
        <v>500000</v>
      </c>
      <c r="G2618" s="22">
        <f>IFERROR(__xludf.DUMMYFUNCTION("""COMPUTED_VALUE"""),0.0)</f>
        <v>0</v>
      </c>
      <c r="H2618" s="22">
        <f>IFERROR(__xludf.DUMMYFUNCTION("""COMPUTED_VALUE"""),500000.0)</f>
        <v>500000</v>
      </c>
      <c r="I2618" s="24">
        <f>IFERROR(__xludf.DUMMYFUNCTION("""COMPUTED_VALUE"""),0.0)</f>
        <v>0</v>
      </c>
    </row>
    <row r="2619">
      <c r="A2619" s="5" t="str">
        <f>IFERROR(__xludf.DUMMYFUNCTION("""COMPUTED_VALUE"""),"39441")</f>
        <v>39441</v>
      </c>
      <c r="B2619" s="64">
        <f>IFERROR(__xludf.DUMMYFUNCTION("""COMPUTED_VALUE"""),44598.0)</f>
        <v>44598</v>
      </c>
      <c r="C2619" s="5"/>
      <c r="D2619" s="5"/>
      <c r="E2619" s="5"/>
      <c r="F2619" s="22">
        <f>IFERROR(__xludf.DUMMYFUNCTION("""COMPUTED_VALUE"""),500000.0)</f>
        <v>500000</v>
      </c>
      <c r="G2619" s="22">
        <f>IFERROR(__xludf.DUMMYFUNCTION("""COMPUTED_VALUE"""),0.0)</f>
        <v>0</v>
      </c>
      <c r="H2619" s="22">
        <f>IFERROR(__xludf.DUMMYFUNCTION("""COMPUTED_VALUE"""),500000.0)</f>
        <v>500000</v>
      </c>
      <c r="I2619" s="24">
        <f>IFERROR(__xludf.DUMMYFUNCTION("""COMPUTED_VALUE"""),0.0)</f>
        <v>0</v>
      </c>
    </row>
    <row r="2620">
      <c r="A2620" s="5" t="str">
        <f>IFERROR(__xludf.DUMMYFUNCTION("""COMPUTED_VALUE"""),"39441")</f>
        <v>39441</v>
      </c>
      <c r="B2620" s="64">
        <f>IFERROR(__xludf.DUMMYFUNCTION("""COMPUTED_VALUE"""),44599.0)</f>
        <v>44599</v>
      </c>
      <c r="C2620" s="5"/>
      <c r="D2620" s="5"/>
      <c r="E2620" s="5"/>
      <c r="F2620" s="22">
        <f>IFERROR(__xludf.DUMMYFUNCTION("""COMPUTED_VALUE"""),500000.0)</f>
        <v>500000</v>
      </c>
      <c r="G2620" s="22">
        <f>IFERROR(__xludf.DUMMYFUNCTION("""COMPUTED_VALUE"""),0.0)</f>
        <v>0</v>
      </c>
      <c r="H2620" s="22">
        <f>IFERROR(__xludf.DUMMYFUNCTION("""COMPUTED_VALUE"""),500000.0)</f>
        <v>500000</v>
      </c>
      <c r="I2620" s="24">
        <f>IFERROR(__xludf.DUMMYFUNCTION("""COMPUTED_VALUE"""),0.0)</f>
        <v>0</v>
      </c>
    </row>
    <row r="2621">
      <c r="A2621" s="5" t="str">
        <f>IFERROR(__xludf.DUMMYFUNCTION("""COMPUTED_VALUE"""),"39441")</f>
        <v>39441</v>
      </c>
      <c r="B2621" s="64">
        <f>IFERROR(__xludf.DUMMYFUNCTION("""COMPUTED_VALUE"""),44600.0)</f>
        <v>44600</v>
      </c>
      <c r="C2621" s="5"/>
      <c r="D2621" s="5"/>
      <c r="E2621" s="5"/>
      <c r="F2621" s="22">
        <f>IFERROR(__xludf.DUMMYFUNCTION("""COMPUTED_VALUE"""),500000.0)</f>
        <v>500000</v>
      </c>
      <c r="G2621" s="22">
        <f>IFERROR(__xludf.DUMMYFUNCTION("""COMPUTED_VALUE"""),0.0)</f>
        <v>0</v>
      </c>
      <c r="H2621" s="22">
        <f>IFERROR(__xludf.DUMMYFUNCTION("""COMPUTED_VALUE"""),500000.0)</f>
        <v>500000</v>
      </c>
      <c r="I2621" s="24">
        <f>IFERROR(__xludf.DUMMYFUNCTION("""COMPUTED_VALUE"""),0.0)</f>
        <v>0</v>
      </c>
    </row>
    <row r="2622">
      <c r="A2622" s="5" t="str">
        <f>IFERROR(__xludf.DUMMYFUNCTION("""COMPUTED_VALUE"""),"39441")</f>
        <v>39441</v>
      </c>
      <c r="B2622" s="64">
        <f>IFERROR(__xludf.DUMMYFUNCTION("""COMPUTED_VALUE"""),44601.0)</f>
        <v>44601</v>
      </c>
      <c r="C2622" s="5"/>
      <c r="D2622" s="5"/>
      <c r="E2622" s="5"/>
      <c r="F2622" s="22">
        <f>IFERROR(__xludf.DUMMYFUNCTION("""COMPUTED_VALUE"""),500000.0)</f>
        <v>500000</v>
      </c>
      <c r="G2622" s="22">
        <f>IFERROR(__xludf.DUMMYFUNCTION("""COMPUTED_VALUE"""),0.0)</f>
        <v>0</v>
      </c>
      <c r="H2622" s="22">
        <f>IFERROR(__xludf.DUMMYFUNCTION("""COMPUTED_VALUE"""),500000.0)</f>
        <v>500000</v>
      </c>
      <c r="I2622" s="24">
        <f>IFERROR(__xludf.DUMMYFUNCTION("""COMPUTED_VALUE"""),0.0)</f>
        <v>0</v>
      </c>
    </row>
    <row r="2623">
      <c r="A2623" s="5" t="str">
        <f>IFERROR(__xludf.DUMMYFUNCTION("""COMPUTED_VALUE"""),"39441")</f>
        <v>39441</v>
      </c>
      <c r="B2623" s="64">
        <f>IFERROR(__xludf.DUMMYFUNCTION("""COMPUTED_VALUE"""),44602.0)</f>
        <v>44602</v>
      </c>
      <c r="C2623" s="5"/>
      <c r="D2623" s="5"/>
      <c r="E2623" s="5"/>
      <c r="F2623" s="22">
        <f>IFERROR(__xludf.DUMMYFUNCTION("""COMPUTED_VALUE"""),243169.00766075)</f>
        <v>243169.0077</v>
      </c>
      <c r="G2623" s="22">
        <f>IFERROR(__xludf.DUMMYFUNCTION("""COMPUTED_VALUE"""),0.0)</f>
        <v>0</v>
      </c>
      <c r="H2623" s="22">
        <f>IFERROR(__xludf.DUMMYFUNCTION("""COMPUTED_VALUE"""),500000.0)</f>
        <v>500000</v>
      </c>
      <c r="I2623" s="24">
        <f>IFERROR(__xludf.DUMMYFUNCTION("""COMPUTED_VALUE"""),0.0)</f>
        <v>0</v>
      </c>
    </row>
    <row r="2624">
      <c r="A2624" s="5" t="str">
        <f>IFERROR(__xludf.DUMMYFUNCTION("""COMPUTED_VALUE"""),"39441")</f>
        <v>39441</v>
      </c>
      <c r="B2624" s="64">
        <f>IFERROR(__xludf.DUMMYFUNCTION("""COMPUTED_VALUE"""),44603.0)</f>
        <v>44603</v>
      </c>
      <c r="C2624" s="5"/>
      <c r="D2624" s="5"/>
      <c r="E2624" s="5"/>
      <c r="F2624" s="22">
        <f>IFERROR(__xludf.DUMMYFUNCTION("""COMPUTED_VALUE"""),243169.00766075)</f>
        <v>243169.0077</v>
      </c>
      <c r="G2624" s="22">
        <f>IFERROR(__xludf.DUMMYFUNCTION("""COMPUTED_VALUE"""),0.0)</f>
        <v>0</v>
      </c>
      <c r="H2624" s="22">
        <f>IFERROR(__xludf.DUMMYFUNCTION("""COMPUTED_VALUE"""),498144.75738875003)</f>
        <v>498144.7574</v>
      </c>
      <c r="I2624" s="24">
        <f>IFERROR(__xludf.DUMMYFUNCTION("""COMPUTED_VALUE"""),-0.0037104852224999485)</f>
        <v>-0.003710485222</v>
      </c>
    </row>
    <row r="2625">
      <c r="A2625" s="5" t="str">
        <f>IFERROR(__xludf.DUMMYFUNCTION("""COMPUTED_VALUE"""),"39441")</f>
        <v>39441</v>
      </c>
      <c r="B2625" s="64">
        <f>IFERROR(__xludf.DUMMYFUNCTION("""COMPUTED_VALUE"""),44604.0)</f>
        <v>44604</v>
      </c>
      <c r="C2625" s="5"/>
      <c r="D2625" s="5"/>
      <c r="E2625" s="5"/>
      <c r="F2625" s="22">
        <f>IFERROR(__xludf.DUMMYFUNCTION("""COMPUTED_VALUE"""),243169.00766075)</f>
        <v>243169.0077</v>
      </c>
      <c r="G2625" s="22">
        <f>IFERROR(__xludf.DUMMYFUNCTION("""COMPUTED_VALUE"""),0.0)</f>
        <v>0</v>
      </c>
      <c r="H2625" s="22">
        <f>IFERROR(__xludf.DUMMYFUNCTION("""COMPUTED_VALUE"""),498144.75738875003)</f>
        <v>498144.7574</v>
      </c>
      <c r="I2625" s="24">
        <f>IFERROR(__xludf.DUMMYFUNCTION("""COMPUTED_VALUE"""),-0.0037104852224999485)</f>
        <v>-0.003710485222</v>
      </c>
    </row>
    <row r="2626">
      <c r="A2626" s="5" t="str">
        <f>IFERROR(__xludf.DUMMYFUNCTION("""COMPUTED_VALUE"""),"39441")</f>
        <v>39441</v>
      </c>
      <c r="B2626" s="64">
        <f>IFERROR(__xludf.DUMMYFUNCTION("""COMPUTED_VALUE"""),44605.0)</f>
        <v>44605</v>
      </c>
      <c r="C2626" s="5"/>
      <c r="D2626" s="5"/>
      <c r="E2626" s="5"/>
      <c r="F2626" s="22">
        <f>IFERROR(__xludf.DUMMYFUNCTION("""COMPUTED_VALUE"""),243169.00766075)</f>
        <v>243169.0077</v>
      </c>
      <c r="G2626" s="22">
        <f>IFERROR(__xludf.DUMMYFUNCTION("""COMPUTED_VALUE"""),0.0)</f>
        <v>0</v>
      </c>
      <c r="H2626" s="22">
        <f>IFERROR(__xludf.DUMMYFUNCTION("""COMPUTED_VALUE"""),498144.75738875003)</f>
        <v>498144.7574</v>
      </c>
      <c r="I2626" s="24">
        <f>IFERROR(__xludf.DUMMYFUNCTION("""COMPUTED_VALUE"""),-0.0037104852224999485)</f>
        <v>-0.003710485222</v>
      </c>
    </row>
    <row r="2627">
      <c r="A2627" s="5" t="str">
        <f>IFERROR(__xludf.DUMMYFUNCTION("""COMPUTED_VALUE"""),"39441")</f>
        <v>39441</v>
      </c>
      <c r="B2627" s="64">
        <f>IFERROR(__xludf.DUMMYFUNCTION("""COMPUTED_VALUE"""),44606.0)</f>
        <v>44606</v>
      </c>
      <c r="C2627" s="5"/>
      <c r="D2627" s="5"/>
      <c r="E2627" s="5"/>
      <c r="F2627" s="22">
        <f>IFERROR(__xludf.DUMMYFUNCTION("""COMPUTED_VALUE"""),243169.00766075)</f>
        <v>243169.0077</v>
      </c>
      <c r="G2627" s="22">
        <f>IFERROR(__xludf.DUMMYFUNCTION("""COMPUTED_VALUE"""),0.0)</f>
        <v>0</v>
      </c>
      <c r="H2627" s="22">
        <f>IFERROR(__xludf.DUMMYFUNCTION("""COMPUTED_VALUE"""),498985.40566925)</f>
        <v>498985.4057</v>
      </c>
      <c r="I2627" s="24">
        <f>IFERROR(__xludf.DUMMYFUNCTION("""COMPUTED_VALUE"""),-0.0020291886615000365)</f>
        <v>-0.002029188662</v>
      </c>
    </row>
    <row r="2628">
      <c r="A2628" s="5" t="str">
        <f>IFERROR(__xludf.DUMMYFUNCTION("""COMPUTED_VALUE"""),"39441")</f>
        <v>39441</v>
      </c>
      <c r="B2628" s="64">
        <f>IFERROR(__xludf.DUMMYFUNCTION("""COMPUTED_VALUE"""),44607.0)</f>
        <v>44607</v>
      </c>
      <c r="C2628" s="5"/>
      <c r="D2628" s="5"/>
      <c r="E2628" s="5"/>
      <c r="F2628" s="22">
        <f>IFERROR(__xludf.DUMMYFUNCTION("""COMPUTED_VALUE"""),243169.00766075)</f>
        <v>243169.0077</v>
      </c>
      <c r="G2628" s="22">
        <f>IFERROR(__xludf.DUMMYFUNCTION("""COMPUTED_VALUE"""),0.0)</f>
        <v>0</v>
      </c>
      <c r="H2628" s="22">
        <f>IFERROR(__xludf.DUMMYFUNCTION("""COMPUTED_VALUE"""),499364.87470850005)</f>
        <v>499364.8747</v>
      </c>
      <c r="I2628" s="24">
        <f>IFERROR(__xludf.DUMMYFUNCTION("""COMPUTED_VALUE"""),-0.001270250582999899)</f>
        <v>-0.001270250583</v>
      </c>
    </row>
    <row r="2629">
      <c r="A2629" s="5" t="str">
        <f>IFERROR(__xludf.DUMMYFUNCTION("""COMPUTED_VALUE"""),"39441")</f>
        <v>39441</v>
      </c>
      <c r="B2629" s="64">
        <f>IFERROR(__xludf.DUMMYFUNCTION("""COMPUTED_VALUE"""),44608.0)</f>
        <v>44608</v>
      </c>
      <c r="C2629" s="5"/>
      <c r="D2629" s="5"/>
      <c r="E2629" s="5"/>
      <c r="F2629" s="22">
        <f>IFERROR(__xludf.DUMMYFUNCTION("""COMPUTED_VALUE"""),243169.00766075)</f>
        <v>243169.0077</v>
      </c>
      <c r="G2629" s="22">
        <f>IFERROR(__xludf.DUMMYFUNCTION("""COMPUTED_VALUE"""),0.0)</f>
        <v>0</v>
      </c>
      <c r="H2629" s="22">
        <f>IFERROR(__xludf.DUMMYFUNCTION("""COMPUTED_VALUE"""),500024.48187350004)</f>
        <v>500024.4819</v>
      </c>
      <c r="I2629" s="24">
        <f>IFERROR(__xludf.DUMMYFUNCTION("""COMPUTED_VALUE"""),4.8963747000030367E-5)</f>
        <v>0.000048963747</v>
      </c>
    </row>
    <row r="2630">
      <c r="A2630" s="5" t="str">
        <f>IFERROR(__xludf.DUMMYFUNCTION("""COMPUTED_VALUE"""),"39441")</f>
        <v>39441</v>
      </c>
      <c r="B2630" s="64">
        <f>IFERROR(__xludf.DUMMYFUNCTION("""COMPUTED_VALUE"""),44609.0)</f>
        <v>44609</v>
      </c>
      <c r="C2630" s="5"/>
      <c r="D2630" s="5"/>
      <c r="E2630" s="5"/>
      <c r="F2630" s="22">
        <f>IFERROR(__xludf.DUMMYFUNCTION("""COMPUTED_VALUE"""),243169.00766075)</f>
        <v>243169.0077</v>
      </c>
      <c r="G2630" s="22">
        <f>IFERROR(__xludf.DUMMYFUNCTION("""COMPUTED_VALUE"""),0.0)</f>
        <v>0</v>
      </c>
      <c r="H2630" s="22">
        <f>IFERROR(__xludf.DUMMYFUNCTION("""COMPUTED_VALUE"""),500836.43802199996)</f>
        <v>500836.438</v>
      </c>
      <c r="I2630" s="24">
        <f>IFERROR(__xludf.DUMMYFUNCTION("""COMPUTED_VALUE"""),0.0016728760439999046)</f>
        <v>0.001672876044</v>
      </c>
    </row>
    <row r="2631">
      <c r="A2631" s="5" t="str">
        <f>IFERROR(__xludf.DUMMYFUNCTION("""COMPUTED_VALUE"""),"39441")</f>
        <v>39441</v>
      </c>
      <c r="B2631" s="64">
        <f>IFERROR(__xludf.DUMMYFUNCTION("""COMPUTED_VALUE"""),44610.0)</f>
        <v>44610</v>
      </c>
      <c r="C2631" s="5"/>
      <c r="D2631" s="5"/>
      <c r="E2631" s="5"/>
      <c r="F2631" s="22">
        <f>IFERROR(__xludf.DUMMYFUNCTION("""COMPUTED_VALUE"""),243169.00766075)</f>
        <v>243169.0077</v>
      </c>
      <c r="G2631" s="22">
        <f>IFERROR(__xludf.DUMMYFUNCTION("""COMPUTED_VALUE"""),0.0)</f>
        <v>0</v>
      </c>
      <c r="H2631" s="22">
        <f>IFERROR(__xludf.DUMMYFUNCTION("""COMPUTED_VALUE"""),500352.8820365)</f>
        <v>500352.882</v>
      </c>
      <c r="I2631" s="24">
        <f>IFERROR(__xludf.DUMMYFUNCTION("""COMPUTED_VALUE"""),7.057640730001591E-4)</f>
        <v>0.000705764073</v>
      </c>
    </row>
    <row r="2632">
      <c r="A2632" s="5" t="str">
        <f>IFERROR(__xludf.DUMMYFUNCTION("""COMPUTED_VALUE"""),"39441")</f>
        <v>39441</v>
      </c>
      <c r="B2632" s="64">
        <f>IFERROR(__xludf.DUMMYFUNCTION("""COMPUTED_VALUE"""),44611.0)</f>
        <v>44611</v>
      </c>
      <c r="C2632" s="5"/>
      <c r="D2632" s="5"/>
      <c r="E2632" s="5"/>
      <c r="F2632" s="22">
        <f>IFERROR(__xludf.DUMMYFUNCTION("""COMPUTED_VALUE"""),243169.00766075)</f>
        <v>243169.0077</v>
      </c>
      <c r="G2632" s="22">
        <f>IFERROR(__xludf.DUMMYFUNCTION("""COMPUTED_VALUE"""),0.0)</f>
        <v>0</v>
      </c>
      <c r="H2632" s="22">
        <f>IFERROR(__xludf.DUMMYFUNCTION("""COMPUTED_VALUE"""),500352.8820365)</f>
        <v>500352.882</v>
      </c>
      <c r="I2632" s="24">
        <f>IFERROR(__xludf.DUMMYFUNCTION("""COMPUTED_VALUE"""),7.057640730001591E-4)</f>
        <v>0.000705764073</v>
      </c>
    </row>
    <row r="2633">
      <c r="A2633" s="5" t="str">
        <f>IFERROR(__xludf.DUMMYFUNCTION("""COMPUTED_VALUE"""),"39441")</f>
        <v>39441</v>
      </c>
      <c r="B2633" s="64">
        <f>IFERROR(__xludf.DUMMYFUNCTION("""COMPUTED_VALUE"""),44612.0)</f>
        <v>44612</v>
      </c>
      <c r="C2633" s="5"/>
      <c r="D2633" s="5"/>
      <c r="E2633" s="5"/>
      <c r="F2633" s="22">
        <f>IFERROR(__xludf.DUMMYFUNCTION("""COMPUTED_VALUE"""),243169.00766075)</f>
        <v>243169.0077</v>
      </c>
      <c r="G2633" s="22">
        <f>IFERROR(__xludf.DUMMYFUNCTION("""COMPUTED_VALUE"""),0.0)</f>
        <v>0</v>
      </c>
      <c r="H2633" s="22">
        <f>IFERROR(__xludf.DUMMYFUNCTION("""COMPUTED_VALUE"""),500352.8820365)</f>
        <v>500352.882</v>
      </c>
      <c r="I2633" s="24">
        <f>IFERROR(__xludf.DUMMYFUNCTION("""COMPUTED_VALUE"""),7.057640730001591E-4)</f>
        <v>0.000705764073</v>
      </c>
    </row>
    <row r="2634">
      <c r="A2634" s="5" t="str">
        <f>IFERROR(__xludf.DUMMYFUNCTION("""COMPUTED_VALUE"""),"39441")</f>
        <v>39441</v>
      </c>
      <c r="B2634" s="64">
        <f>IFERROR(__xludf.DUMMYFUNCTION("""COMPUTED_VALUE"""),44613.0)</f>
        <v>44613</v>
      </c>
      <c r="C2634" s="5"/>
      <c r="D2634" s="5"/>
      <c r="E2634" s="5"/>
      <c r="F2634" s="22">
        <f>IFERROR(__xludf.DUMMYFUNCTION("""COMPUTED_VALUE"""),243169.00766075)</f>
        <v>243169.0077</v>
      </c>
      <c r="G2634" s="22">
        <f>IFERROR(__xludf.DUMMYFUNCTION("""COMPUTED_VALUE"""),0.0)</f>
        <v>0</v>
      </c>
      <c r="H2634" s="22">
        <f>IFERROR(__xludf.DUMMYFUNCTION("""COMPUTED_VALUE"""),500352.8820365)</f>
        <v>500352.882</v>
      </c>
      <c r="I2634" s="24">
        <f>IFERROR(__xludf.DUMMYFUNCTION("""COMPUTED_VALUE"""),7.057640730001591E-4)</f>
        <v>0.000705764073</v>
      </c>
    </row>
    <row r="2635">
      <c r="A2635" s="5" t="str">
        <f>IFERROR(__xludf.DUMMYFUNCTION("""COMPUTED_VALUE"""),"39441")</f>
        <v>39441</v>
      </c>
      <c r="B2635" s="64">
        <f>IFERROR(__xludf.DUMMYFUNCTION("""COMPUTED_VALUE"""),44614.0)</f>
        <v>44614</v>
      </c>
      <c r="C2635" s="5"/>
      <c r="D2635" s="5"/>
      <c r="E2635" s="5"/>
      <c r="F2635" s="22">
        <f>IFERROR(__xludf.DUMMYFUNCTION("""COMPUTED_VALUE"""),243169.00766075)</f>
        <v>243169.0077</v>
      </c>
      <c r="G2635" s="22">
        <f>IFERROR(__xludf.DUMMYFUNCTION("""COMPUTED_VALUE"""),0.0)</f>
        <v>0</v>
      </c>
      <c r="H2635" s="22">
        <f>IFERROR(__xludf.DUMMYFUNCTION("""COMPUTED_VALUE"""),498934.02492199995)</f>
        <v>498934.0249</v>
      </c>
      <c r="I2635" s="24">
        <f>IFERROR(__xludf.DUMMYFUNCTION("""COMPUTED_VALUE"""),-0.0021319501560000953)</f>
        <v>-0.002131950156</v>
      </c>
    </row>
    <row r="2636">
      <c r="A2636" s="5" t="str">
        <f>IFERROR(__xludf.DUMMYFUNCTION("""COMPUTED_VALUE"""),"39441")</f>
        <v>39441</v>
      </c>
      <c r="B2636" s="64">
        <f>IFERROR(__xludf.DUMMYFUNCTION("""COMPUTED_VALUE"""),44615.0)</f>
        <v>44615</v>
      </c>
      <c r="C2636" s="5"/>
      <c r="D2636" s="5"/>
      <c r="E2636" s="5"/>
      <c r="F2636" s="22">
        <f>IFERROR(__xludf.DUMMYFUNCTION("""COMPUTED_VALUE"""),243169.00766075)</f>
        <v>243169.0077</v>
      </c>
      <c r="G2636" s="22">
        <f>IFERROR(__xludf.DUMMYFUNCTION("""COMPUTED_VALUE"""),0.0)</f>
        <v>0</v>
      </c>
      <c r="H2636" s="22">
        <f>IFERROR(__xludf.DUMMYFUNCTION("""COMPUTED_VALUE"""),495326.37916175)</f>
        <v>495326.3792</v>
      </c>
      <c r="I2636" s="24">
        <f>IFERROR(__xludf.DUMMYFUNCTION("""COMPUTED_VALUE"""),-0.009347241676499918)</f>
        <v>-0.009347241676</v>
      </c>
    </row>
    <row r="2637">
      <c r="A2637" s="5" t="str">
        <f>IFERROR(__xludf.DUMMYFUNCTION("""COMPUTED_VALUE"""),"39441")</f>
        <v>39441</v>
      </c>
      <c r="B2637" s="64">
        <f>IFERROR(__xludf.DUMMYFUNCTION("""COMPUTED_VALUE"""),44616.0)</f>
        <v>44616</v>
      </c>
      <c r="C2637" s="5"/>
      <c r="D2637" s="5"/>
      <c r="E2637" s="5"/>
      <c r="F2637" s="22">
        <f>IFERROR(__xludf.DUMMYFUNCTION("""COMPUTED_VALUE"""),243169.00766075)</f>
        <v>243169.0077</v>
      </c>
      <c r="G2637" s="22">
        <f>IFERROR(__xludf.DUMMYFUNCTION("""COMPUTED_VALUE"""),0.0)</f>
        <v>0</v>
      </c>
      <c r="H2637" s="22">
        <f>IFERROR(__xludf.DUMMYFUNCTION("""COMPUTED_VALUE"""),497469.478706)</f>
        <v>497469.4787</v>
      </c>
      <c r="I2637" s="24">
        <f>IFERROR(__xludf.DUMMYFUNCTION("""COMPUTED_VALUE"""),-0.005061042587999998)</f>
        <v>-0.005061042588</v>
      </c>
    </row>
    <row r="2638">
      <c r="A2638" s="5" t="str">
        <f>IFERROR(__xludf.DUMMYFUNCTION("""COMPUTED_VALUE"""),"39441")</f>
        <v>39441</v>
      </c>
      <c r="B2638" s="64">
        <f>IFERROR(__xludf.DUMMYFUNCTION("""COMPUTED_VALUE"""),44617.0)</f>
        <v>44617</v>
      </c>
      <c r="C2638" s="5"/>
      <c r="D2638" s="5"/>
      <c r="E2638" s="5"/>
      <c r="F2638" s="22">
        <f>IFERROR(__xludf.DUMMYFUNCTION("""COMPUTED_VALUE"""),243169.00766075)</f>
        <v>243169.0077</v>
      </c>
      <c r="G2638" s="22">
        <f>IFERROR(__xludf.DUMMYFUNCTION("""COMPUTED_VALUE"""),0.0)</f>
        <v>0</v>
      </c>
      <c r="H2638" s="22">
        <f>IFERROR(__xludf.DUMMYFUNCTION("""COMPUTED_VALUE"""),498304.20143749996)</f>
        <v>498304.2014</v>
      </c>
      <c r="I2638" s="24">
        <f>IFERROR(__xludf.DUMMYFUNCTION("""COMPUTED_VALUE"""),-0.0033915971250000343)</f>
        <v>-0.003391597125</v>
      </c>
    </row>
    <row r="2639">
      <c r="A2639" s="5" t="str">
        <f>IFERROR(__xludf.DUMMYFUNCTION("""COMPUTED_VALUE"""),"39441")</f>
        <v>39441</v>
      </c>
      <c r="B2639" s="64">
        <f>IFERROR(__xludf.DUMMYFUNCTION("""COMPUTED_VALUE"""),44618.0)</f>
        <v>44618</v>
      </c>
      <c r="C2639" s="5"/>
      <c r="D2639" s="5"/>
      <c r="E2639" s="5"/>
      <c r="F2639" s="22">
        <f>IFERROR(__xludf.DUMMYFUNCTION("""COMPUTED_VALUE"""),243169.00766075)</f>
        <v>243169.0077</v>
      </c>
      <c r="G2639" s="22">
        <f>IFERROR(__xludf.DUMMYFUNCTION("""COMPUTED_VALUE"""),0.0)</f>
        <v>0</v>
      </c>
      <c r="H2639" s="22">
        <f>IFERROR(__xludf.DUMMYFUNCTION("""COMPUTED_VALUE"""),498304.20143749996)</f>
        <v>498304.2014</v>
      </c>
      <c r="I2639" s="24">
        <f>IFERROR(__xludf.DUMMYFUNCTION("""COMPUTED_VALUE"""),-0.0033915971250000343)</f>
        <v>-0.003391597125</v>
      </c>
    </row>
    <row r="2640">
      <c r="A2640" s="5" t="str">
        <f>IFERROR(__xludf.DUMMYFUNCTION("""COMPUTED_VALUE"""),"39441")</f>
        <v>39441</v>
      </c>
      <c r="B2640" s="64">
        <f>IFERROR(__xludf.DUMMYFUNCTION("""COMPUTED_VALUE"""),44619.0)</f>
        <v>44619</v>
      </c>
      <c r="C2640" s="5"/>
      <c r="D2640" s="5"/>
      <c r="E2640" s="5"/>
      <c r="F2640" s="22">
        <f>IFERROR(__xludf.DUMMYFUNCTION("""COMPUTED_VALUE"""),243169.00766075)</f>
        <v>243169.0077</v>
      </c>
      <c r="G2640" s="22">
        <f>IFERROR(__xludf.DUMMYFUNCTION("""COMPUTED_VALUE"""),0.0)</f>
        <v>0</v>
      </c>
      <c r="H2640" s="22">
        <f>IFERROR(__xludf.DUMMYFUNCTION("""COMPUTED_VALUE"""),498304.20143749996)</f>
        <v>498304.2014</v>
      </c>
      <c r="I2640" s="24">
        <f>IFERROR(__xludf.DUMMYFUNCTION("""COMPUTED_VALUE"""),-0.0033915971250000343)</f>
        <v>-0.003391597125</v>
      </c>
    </row>
    <row r="2641">
      <c r="A2641" s="5" t="str">
        <f>IFERROR(__xludf.DUMMYFUNCTION("""COMPUTED_VALUE"""),"39441")</f>
        <v>39441</v>
      </c>
      <c r="B2641" s="64">
        <f>IFERROR(__xludf.DUMMYFUNCTION("""COMPUTED_VALUE"""),44620.0)</f>
        <v>44620</v>
      </c>
      <c r="C2641" s="5"/>
      <c r="D2641" s="5"/>
      <c r="E2641" s="5"/>
      <c r="F2641" s="22">
        <f>IFERROR(__xludf.DUMMYFUNCTION("""COMPUTED_VALUE"""),243169.00766075)</f>
        <v>243169.0077</v>
      </c>
      <c r="G2641" s="22">
        <f>IFERROR(__xludf.DUMMYFUNCTION("""COMPUTED_VALUE"""),0.0)</f>
        <v>0</v>
      </c>
      <c r="H2641" s="22">
        <f>IFERROR(__xludf.DUMMYFUNCTION("""COMPUTED_VALUE"""),497803.57051475)</f>
        <v>497803.5705</v>
      </c>
      <c r="I2641" s="24">
        <f>IFERROR(__xludf.DUMMYFUNCTION("""COMPUTED_VALUE"""),-0.004392858970499902)</f>
        <v>-0.00439285897</v>
      </c>
    </row>
    <row r="2642">
      <c r="A2642" s="5" t="str">
        <f>IFERROR(__xludf.DUMMYFUNCTION("""COMPUTED_VALUE"""),"39441")</f>
        <v>39441</v>
      </c>
      <c r="B2642" s="64">
        <f>IFERROR(__xludf.DUMMYFUNCTION("""COMPUTED_VALUE"""),44621.0)</f>
        <v>44621</v>
      </c>
      <c r="C2642" s="5"/>
      <c r="D2642" s="5"/>
      <c r="E2642" s="5"/>
      <c r="F2642" s="22">
        <f>IFERROR(__xludf.DUMMYFUNCTION("""COMPUTED_VALUE"""),243169.00766075)</f>
        <v>243169.0077</v>
      </c>
      <c r="G2642" s="22">
        <f>IFERROR(__xludf.DUMMYFUNCTION("""COMPUTED_VALUE"""),0.0)</f>
        <v>0</v>
      </c>
      <c r="H2642" s="22">
        <f>IFERROR(__xludf.DUMMYFUNCTION("""COMPUTED_VALUE"""),496102.15827425)</f>
        <v>496102.1583</v>
      </c>
      <c r="I2642" s="24">
        <f>IFERROR(__xludf.DUMMYFUNCTION("""COMPUTED_VALUE"""),-0.007795683451500057)</f>
        <v>-0.007795683452</v>
      </c>
    </row>
    <row r="2643">
      <c r="A2643" s="5" t="str">
        <f>IFERROR(__xludf.DUMMYFUNCTION("""COMPUTED_VALUE"""),"39441")</f>
        <v>39441</v>
      </c>
      <c r="B2643" s="64">
        <f>IFERROR(__xludf.DUMMYFUNCTION("""COMPUTED_VALUE"""),44622.0)</f>
        <v>44622</v>
      </c>
      <c r="C2643" s="5"/>
      <c r="D2643" s="5"/>
      <c r="E2643" s="5"/>
      <c r="F2643" s="22">
        <f>IFERROR(__xludf.DUMMYFUNCTION("""COMPUTED_VALUE"""),243169.00766075)</f>
        <v>243169.0077</v>
      </c>
      <c r="G2643" s="22">
        <f>IFERROR(__xludf.DUMMYFUNCTION("""COMPUTED_VALUE"""),0.0)</f>
        <v>0</v>
      </c>
      <c r="H2643" s="22">
        <f>IFERROR(__xludf.DUMMYFUNCTION("""COMPUTED_VALUE"""),496499.0920895)</f>
        <v>496499.0921</v>
      </c>
      <c r="I2643" s="24">
        <f>IFERROR(__xludf.DUMMYFUNCTION("""COMPUTED_VALUE"""),-0.0070018158210000125)</f>
        <v>-0.007001815821</v>
      </c>
    </row>
    <row r="2644">
      <c r="A2644" s="5" t="str">
        <f>IFERROR(__xludf.DUMMYFUNCTION("""COMPUTED_VALUE"""),"39441")</f>
        <v>39441</v>
      </c>
      <c r="B2644" s="64">
        <f>IFERROR(__xludf.DUMMYFUNCTION("""COMPUTED_VALUE"""),44623.0)</f>
        <v>44623</v>
      </c>
      <c r="C2644" s="5"/>
      <c r="D2644" s="5"/>
      <c r="E2644" s="5"/>
      <c r="F2644" s="22">
        <f>IFERROR(__xludf.DUMMYFUNCTION("""COMPUTED_VALUE"""),243169.00766075)</f>
        <v>243169.0077</v>
      </c>
      <c r="G2644" s="22">
        <f>IFERROR(__xludf.DUMMYFUNCTION("""COMPUTED_VALUE"""),0.0)</f>
        <v>0</v>
      </c>
      <c r="H2644" s="22">
        <f>IFERROR(__xludf.DUMMYFUNCTION("""COMPUTED_VALUE"""),492958.34265875)</f>
        <v>492958.3427</v>
      </c>
      <c r="I2644" s="24">
        <f>IFERROR(__xludf.DUMMYFUNCTION("""COMPUTED_VALUE"""),-0.014083314682500014)</f>
        <v>-0.01408331468</v>
      </c>
    </row>
    <row r="2645">
      <c r="A2645" s="5" t="str">
        <f>IFERROR(__xludf.DUMMYFUNCTION("""COMPUTED_VALUE"""),"39441")</f>
        <v>39441</v>
      </c>
      <c r="B2645" s="64">
        <f>IFERROR(__xludf.DUMMYFUNCTION("""COMPUTED_VALUE"""),44624.0)</f>
        <v>44624</v>
      </c>
      <c r="C2645" s="5"/>
      <c r="D2645" s="5"/>
      <c r="E2645" s="5"/>
      <c r="F2645" s="22">
        <f>IFERROR(__xludf.DUMMYFUNCTION("""COMPUTED_VALUE"""),243169.00766075)</f>
        <v>243169.0077</v>
      </c>
      <c r="G2645" s="22">
        <f>IFERROR(__xludf.DUMMYFUNCTION("""COMPUTED_VALUE"""),0.0)</f>
        <v>0</v>
      </c>
      <c r="H2645" s="22">
        <f>IFERROR(__xludf.DUMMYFUNCTION("""COMPUTED_VALUE"""),492550.57132625004)</f>
        <v>492550.5713</v>
      </c>
      <c r="I2645" s="24">
        <f>IFERROR(__xludf.DUMMYFUNCTION("""COMPUTED_VALUE"""),-0.01489885734749996)</f>
        <v>-0.01489885735</v>
      </c>
    </row>
    <row r="2646">
      <c r="A2646" s="5" t="str">
        <f>IFERROR(__xludf.DUMMYFUNCTION("""COMPUTED_VALUE"""),"39441")</f>
        <v>39441</v>
      </c>
      <c r="B2646" s="64">
        <f>IFERROR(__xludf.DUMMYFUNCTION("""COMPUTED_VALUE"""),44625.0)</f>
        <v>44625</v>
      </c>
      <c r="C2646" s="5"/>
      <c r="D2646" s="5"/>
      <c r="E2646" s="5"/>
      <c r="F2646" s="22">
        <f>IFERROR(__xludf.DUMMYFUNCTION("""COMPUTED_VALUE"""),243169.00766075)</f>
        <v>243169.0077</v>
      </c>
      <c r="G2646" s="22">
        <f>IFERROR(__xludf.DUMMYFUNCTION("""COMPUTED_VALUE"""),0.0)</f>
        <v>0</v>
      </c>
      <c r="H2646" s="22">
        <f>IFERROR(__xludf.DUMMYFUNCTION("""COMPUTED_VALUE"""),492550.57132625004)</f>
        <v>492550.5713</v>
      </c>
      <c r="I2646" s="24">
        <f>IFERROR(__xludf.DUMMYFUNCTION("""COMPUTED_VALUE"""),-0.01489885734749996)</f>
        <v>-0.01489885735</v>
      </c>
    </row>
    <row r="2647">
      <c r="A2647" s="5" t="str">
        <f>IFERROR(__xludf.DUMMYFUNCTION("""COMPUTED_VALUE"""),"39441")</f>
        <v>39441</v>
      </c>
      <c r="B2647" s="64">
        <f>IFERROR(__xludf.DUMMYFUNCTION("""COMPUTED_VALUE"""),44626.0)</f>
        <v>44626</v>
      </c>
      <c r="C2647" s="5"/>
      <c r="D2647" s="5"/>
      <c r="E2647" s="5"/>
      <c r="F2647" s="22">
        <f>IFERROR(__xludf.DUMMYFUNCTION("""COMPUTED_VALUE"""),243169.00766075)</f>
        <v>243169.0077</v>
      </c>
      <c r="G2647" s="22">
        <f>IFERROR(__xludf.DUMMYFUNCTION("""COMPUTED_VALUE"""),0.0)</f>
        <v>0</v>
      </c>
      <c r="H2647" s="22">
        <f>IFERROR(__xludf.DUMMYFUNCTION("""COMPUTED_VALUE"""),492550.57132625004)</f>
        <v>492550.5713</v>
      </c>
      <c r="I2647" s="24">
        <f>IFERROR(__xludf.DUMMYFUNCTION("""COMPUTED_VALUE"""),-0.01489885734749996)</f>
        <v>-0.01489885735</v>
      </c>
    </row>
    <row r="2648">
      <c r="A2648" s="5" t="str">
        <f>IFERROR(__xludf.DUMMYFUNCTION("""COMPUTED_VALUE"""),"39441")</f>
        <v>39441</v>
      </c>
      <c r="B2648" s="64">
        <f>IFERROR(__xludf.DUMMYFUNCTION("""COMPUTED_VALUE"""),44627.0)</f>
        <v>44627</v>
      </c>
      <c r="C2648" s="5"/>
      <c r="D2648" s="5"/>
      <c r="E2648" s="5"/>
      <c r="F2648" s="22">
        <f>IFERROR(__xludf.DUMMYFUNCTION("""COMPUTED_VALUE"""),243169.00766075)</f>
        <v>243169.0077</v>
      </c>
      <c r="G2648" s="22">
        <f>IFERROR(__xludf.DUMMYFUNCTION("""COMPUTED_VALUE"""),0.0)</f>
        <v>0</v>
      </c>
      <c r="H2648" s="22">
        <f>IFERROR(__xludf.DUMMYFUNCTION("""COMPUTED_VALUE"""),489300.79753850005)</f>
        <v>489300.7975</v>
      </c>
      <c r="I2648" s="24">
        <f>IFERROR(__xludf.DUMMYFUNCTION("""COMPUTED_VALUE"""),-0.021398404922999936)</f>
        <v>-0.02139840492</v>
      </c>
    </row>
    <row r="2649">
      <c r="A2649" s="5" t="str">
        <f>IFERROR(__xludf.DUMMYFUNCTION("""COMPUTED_VALUE"""),"39441")</f>
        <v>39441</v>
      </c>
      <c r="B2649" s="64">
        <f>IFERROR(__xludf.DUMMYFUNCTION("""COMPUTED_VALUE"""),44628.0)</f>
        <v>44628</v>
      </c>
      <c r="C2649" s="5"/>
      <c r="D2649" s="5"/>
      <c r="E2649" s="5"/>
      <c r="F2649" s="22">
        <f>IFERROR(__xludf.DUMMYFUNCTION("""COMPUTED_VALUE"""),243169.00766075)</f>
        <v>243169.0077</v>
      </c>
      <c r="G2649" s="22">
        <f>IFERROR(__xludf.DUMMYFUNCTION("""COMPUTED_VALUE"""),0.0)</f>
        <v>0</v>
      </c>
      <c r="H2649" s="22">
        <f>IFERROR(__xludf.DUMMYFUNCTION("""COMPUTED_VALUE"""),487320.260753)</f>
        <v>487320.2608</v>
      </c>
      <c r="I2649" s="24">
        <f>IFERROR(__xludf.DUMMYFUNCTION("""COMPUTED_VALUE"""),-0.025359478494)</f>
        <v>-0.02535947849</v>
      </c>
    </row>
    <row r="2650">
      <c r="A2650" s="5" t="str">
        <f>IFERROR(__xludf.DUMMYFUNCTION("""COMPUTED_VALUE"""),"39441")</f>
        <v>39441</v>
      </c>
      <c r="B2650" s="64">
        <f>IFERROR(__xludf.DUMMYFUNCTION("""COMPUTED_VALUE"""),44629.0)</f>
        <v>44629</v>
      </c>
      <c r="C2650" s="5"/>
      <c r="D2650" s="5"/>
      <c r="E2650" s="5"/>
      <c r="F2650" s="22">
        <f>IFERROR(__xludf.DUMMYFUNCTION("""COMPUTED_VALUE"""),243169.00766075)</f>
        <v>243169.0077</v>
      </c>
      <c r="G2650" s="22">
        <f>IFERROR(__xludf.DUMMYFUNCTION("""COMPUTED_VALUE"""),0.0)</f>
        <v>0</v>
      </c>
      <c r="H2650" s="22">
        <f>IFERROR(__xludf.DUMMYFUNCTION("""COMPUTED_VALUE"""),485238.44386025)</f>
        <v>485238.4439</v>
      </c>
      <c r="I2650" s="24">
        <f>IFERROR(__xludf.DUMMYFUNCTION("""COMPUTED_VALUE"""),-0.029523112279499997)</f>
        <v>-0.02952311228</v>
      </c>
    </row>
    <row r="2651">
      <c r="A2651" s="5" t="str">
        <f>IFERROR(__xludf.DUMMYFUNCTION("""COMPUTED_VALUE"""),"39441")</f>
        <v>39441</v>
      </c>
      <c r="B2651" s="64">
        <f>IFERROR(__xludf.DUMMYFUNCTION("""COMPUTED_VALUE"""),44630.0)</f>
        <v>44630</v>
      </c>
      <c r="C2651" s="5"/>
      <c r="D2651" s="5"/>
      <c r="E2651" s="5"/>
      <c r="F2651" s="22">
        <f>IFERROR(__xludf.DUMMYFUNCTION("""COMPUTED_VALUE"""),243169.00766075)</f>
        <v>243169.0077</v>
      </c>
      <c r="G2651" s="22">
        <f>IFERROR(__xludf.DUMMYFUNCTION("""COMPUTED_VALUE"""),0.0)</f>
        <v>0</v>
      </c>
      <c r="H2651" s="22">
        <f>IFERROR(__xludf.DUMMYFUNCTION("""COMPUTED_VALUE"""),485238.44386025)</f>
        <v>485238.4439</v>
      </c>
      <c r="I2651" s="24">
        <f>IFERROR(__xludf.DUMMYFUNCTION("""COMPUTED_VALUE"""),-0.029523112279499997)</f>
        <v>-0.02952311228</v>
      </c>
    </row>
    <row r="2652">
      <c r="A2652" s="5" t="str">
        <f>IFERROR(__xludf.DUMMYFUNCTION("""COMPUTED_VALUE"""),"39441")</f>
        <v>39441</v>
      </c>
      <c r="B2652" s="64">
        <f>IFERROR(__xludf.DUMMYFUNCTION("""COMPUTED_VALUE"""),44631.0)</f>
        <v>44631</v>
      </c>
      <c r="C2652" s="5"/>
      <c r="D2652" s="5"/>
      <c r="E2652" s="5"/>
      <c r="F2652" s="22">
        <f>IFERROR(__xludf.DUMMYFUNCTION("""COMPUTED_VALUE"""),245324.80038575002)</f>
        <v>245324.8004</v>
      </c>
      <c r="G2652" s="22">
        <f>IFERROR(__xludf.DUMMYFUNCTION("""COMPUTED_VALUE"""),0.0)</f>
        <v>0</v>
      </c>
      <c r="H2652" s="22">
        <f>IFERROR(__xludf.DUMMYFUNCTION("""COMPUTED_VALUE"""),493725.3114155)</f>
        <v>493725.3114</v>
      </c>
      <c r="I2652" s="24">
        <f>IFERROR(__xludf.DUMMYFUNCTION("""COMPUTED_VALUE"""),-0.012549377168999953)</f>
        <v>-0.01254937717</v>
      </c>
    </row>
    <row r="2653">
      <c r="A2653" s="5" t="str">
        <f>IFERROR(__xludf.DUMMYFUNCTION("""COMPUTED_VALUE"""),"39441")</f>
        <v>39441</v>
      </c>
      <c r="B2653" s="64">
        <f>IFERROR(__xludf.DUMMYFUNCTION("""COMPUTED_VALUE"""),44632.0)</f>
        <v>44632</v>
      </c>
      <c r="C2653" s="5"/>
      <c r="D2653" s="5"/>
      <c r="E2653" s="5"/>
      <c r="F2653" s="22">
        <f>IFERROR(__xludf.DUMMYFUNCTION("""COMPUTED_VALUE"""),245324.80038575002)</f>
        <v>245324.8004</v>
      </c>
      <c r="G2653" s="22">
        <f>IFERROR(__xludf.DUMMYFUNCTION("""COMPUTED_VALUE"""),0.0)</f>
        <v>0</v>
      </c>
      <c r="H2653" s="22">
        <f>IFERROR(__xludf.DUMMYFUNCTION("""COMPUTED_VALUE"""),493725.3114155)</f>
        <v>493725.3114</v>
      </c>
      <c r="I2653" s="24">
        <f>IFERROR(__xludf.DUMMYFUNCTION("""COMPUTED_VALUE"""),-0.012549377168999953)</f>
        <v>-0.01254937717</v>
      </c>
    </row>
    <row r="2654">
      <c r="A2654" s="5" t="str">
        <f>IFERROR(__xludf.DUMMYFUNCTION("""COMPUTED_VALUE"""),"39441")</f>
        <v>39441</v>
      </c>
      <c r="B2654" s="64">
        <f>IFERROR(__xludf.DUMMYFUNCTION("""COMPUTED_VALUE"""),44633.0)</f>
        <v>44633</v>
      </c>
      <c r="C2654" s="5"/>
      <c r="D2654" s="5"/>
      <c r="E2654" s="5"/>
      <c r="F2654" s="22">
        <f>IFERROR(__xludf.DUMMYFUNCTION("""COMPUTED_VALUE"""),245324.80038575002)</f>
        <v>245324.8004</v>
      </c>
      <c r="G2654" s="22">
        <f>IFERROR(__xludf.DUMMYFUNCTION("""COMPUTED_VALUE"""),0.0)</f>
        <v>0</v>
      </c>
      <c r="H2654" s="22">
        <f>IFERROR(__xludf.DUMMYFUNCTION("""COMPUTED_VALUE"""),493725.3114155)</f>
        <v>493725.3114</v>
      </c>
      <c r="I2654" s="24">
        <f>IFERROR(__xludf.DUMMYFUNCTION("""COMPUTED_VALUE"""),-0.012549377168999953)</f>
        <v>-0.01254937717</v>
      </c>
    </row>
    <row r="2655">
      <c r="A2655" s="5" t="str">
        <f>IFERROR(__xludf.DUMMYFUNCTION("""COMPUTED_VALUE"""),"39441")</f>
        <v>39441</v>
      </c>
      <c r="B2655" s="64">
        <f>IFERROR(__xludf.DUMMYFUNCTION("""COMPUTED_VALUE"""),44634.0)</f>
        <v>44634</v>
      </c>
      <c r="C2655" s="5"/>
      <c r="D2655" s="5"/>
      <c r="E2655" s="5"/>
      <c r="F2655" s="22">
        <f>IFERROR(__xludf.DUMMYFUNCTION("""COMPUTED_VALUE"""),245324.80038575002)</f>
        <v>245324.8004</v>
      </c>
      <c r="G2655" s="22">
        <f>IFERROR(__xludf.DUMMYFUNCTION("""COMPUTED_VALUE"""),0.0)</f>
        <v>0</v>
      </c>
      <c r="H2655" s="22">
        <f>IFERROR(__xludf.DUMMYFUNCTION("""COMPUTED_VALUE"""),484581.24293475)</f>
        <v>484581.2429</v>
      </c>
      <c r="I2655" s="24">
        <f>IFERROR(__xludf.DUMMYFUNCTION("""COMPUTED_VALUE"""),-0.030837514130500066)</f>
        <v>-0.03083751413</v>
      </c>
    </row>
    <row r="2656">
      <c r="A2656" s="5" t="str">
        <f>IFERROR(__xludf.DUMMYFUNCTION("""COMPUTED_VALUE"""),"39441")</f>
        <v>39441</v>
      </c>
      <c r="B2656" s="64">
        <f>IFERROR(__xludf.DUMMYFUNCTION("""COMPUTED_VALUE"""),44635.0)</f>
        <v>44635</v>
      </c>
      <c r="C2656" s="5"/>
      <c r="D2656" s="5"/>
      <c r="E2656" s="5"/>
      <c r="F2656" s="22">
        <f>IFERROR(__xludf.DUMMYFUNCTION("""COMPUTED_VALUE"""),245324.80038575002)</f>
        <v>245324.8004</v>
      </c>
      <c r="G2656" s="22">
        <f>IFERROR(__xludf.DUMMYFUNCTION("""COMPUTED_VALUE"""),0.0)</f>
        <v>0</v>
      </c>
      <c r="H2656" s="22">
        <f>IFERROR(__xludf.DUMMYFUNCTION("""COMPUTED_VALUE"""),493838.90576149995)</f>
        <v>493838.9058</v>
      </c>
      <c r="I2656" s="24">
        <f>IFERROR(__xludf.DUMMYFUNCTION("""COMPUTED_VALUE"""),-0.012322188477000062)</f>
        <v>-0.01232218848</v>
      </c>
    </row>
    <row r="2657">
      <c r="A2657" s="5" t="str">
        <f>IFERROR(__xludf.DUMMYFUNCTION("""COMPUTED_VALUE"""),"39441")</f>
        <v>39441</v>
      </c>
      <c r="B2657" s="64">
        <f>IFERROR(__xludf.DUMMYFUNCTION("""COMPUTED_VALUE"""),44636.0)</f>
        <v>44636</v>
      </c>
      <c r="C2657" s="5"/>
      <c r="D2657" s="5"/>
      <c r="E2657" s="5"/>
      <c r="F2657" s="22">
        <f>IFERROR(__xludf.DUMMYFUNCTION("""COMPUTED_VALUE"""),245324.80038575002)</f>
        <v>245324.8004</v>
      </c>
      <c r="G2657" s="22">
        <f>IFERROR(__xludf.DUMMYFUNCTION("""COMPUTED_VALUE"""),0.0)</f>
        <v>0</v>
      </c>
      <c r="H2657" s="22">
        <f>IFERROR(__xludf.DUMMYFUNCTION("""COMPUTED_VALUE"""),486812.4090115)</f>
        <v>486812.409</v>
      </c>
      <c r="I2657" s="24">
        <f>IFERROR(__xludf.DUMMYFUNCTION("""COMPUTED_VALUE"""),-0.02637518197699995)</f>
        <v>-0.02637518198</v>
      </c>
    </row>
    <row r="2658">
      <c r="A2658" s="5" t="str">
        <f>IFERROR(__xludf.DUMMYFUNCTION("""COMPUTED_VALUE"""),"39441")</f>
        <v>39441</v>
      </c>
      <c r="B2658" s="64">
        <f>IFERROR(__xludf.DUMMYFUNCTION("""COMPUTED_VALUE"""),44637.0)</f>
        <v>44637</v>
      </c>
      <c r="C2658" s="5"/>
      <c r="D2658" s="5"/>
      <c r="E2658" s="5"/>
      <c r="F2658" s="22">
        <f>IFERROR(__xludf.DUMMYFUNCTION("""COMPUTED_VALUE"""),245324.80038575002)</f>
        <v>245324.8004</v>
      </c>
      <c r="G2658" s="22">
        <f>IFERROR(__xludf.DUMMYFUNCTION("""COMPUTED_VALUE"""),0.0)</f>
        <v>0</v>
      </c>
      <c r="H2658" s="22">
        <f>IFERROR(__xludf.DUMMYFUNCTION("""COMPUTED_VALUE"""),502604.8257665)</f>
        <v>502604.8258</v>
      </c>
      <c r="I2658" s="24">
        <f>IFERROR(__xludf.DUMMYFUNCTION("""COMPUTED_VALUE"""),0.005209651533000015)</f>
        <v>0.005209651533</v>
      </c>
    </row>
    <row r="2659">
      <c r="A2659" s="5" t="str">
        <f>IFERROR(__xludf.DUMMYFUNCTION("""COMPUTED_VALUE"""),"39441")</f>
        <v>39441</v>
      </c>
      <c r="B2659" s="64">
        <f>IFERROR(__xludf.DUMMYFUNCTION("""COMPUTED_VALUE"""),44638.0)</f>
        <v>44638</v>
      </c>
      <c r="C2659" s="5"/>
      <c r="D2659" s="5"/>
      <c r="E2659" s="5"/>
      <c r="F2659" s="22">
        <f>IFERROR(__xludf.DUMMYFUNCTION("""COMPUTED_VALUE"""),245324.80038575002)</f>
        <v>245324.8004</v>
      </c>
      <c r="G2659" s="22">
        <f>IFERROR(__xludf.DUMMYFUNCTION("""COMPUTED_VALUE"""),0.0)</f>
        <v>0</v>
      </c>
      <c r="H2659" s="22">
        <f>IFERROR(__xludf.DUMMYFUNCTION("""COMPUTED_VALUE"""),491941.39567600004)</f>
        <v>491941.3957</v>
      </c>
      <c r="I2659" s="24">
        <f>IFERROR(__xludf.DUMMYFUNCTION("""COMPUTED_VALUE"""),-0.016117208647999925)</f>
        <v>-0.01611720865</v>
      </c>
    </row>
    <row r="2660">
      <c r="A2660" s="5" t="str">
        <f>IFERROR(__xludf.DUMMYFUNCTION("""COMPUTED_VALUE"""),"39441")</f>
        <v>39441</v>
      </c>
      <c r="B2660" s="64">
        <f>IFERROR(__xludf.DUMMYFUNCTION("""COMPUTED_VALUE"""),44639.0)</f>
        <v>44639</v>
      </c>
      <c r="C2660" s="5"/>
      <c r="D2660" s="5"/>
      <c r="E2660" s="5"/>
      <c r="F2660" s="22">
        <f>IFERROR(__xludf.DUMMYFUNCTION("""COMPUTED_VALUE"""),245324.80038575002)</f>
        <v>245324.8004</v>
      </c>
      <c r="G2660" s="22">
        <f>IFERROR(__xludf.DUMMYFUNCTION("""COMPUTED_VALUE"""),0.0)</f>
        <v>0</v>
      </c>
      <c r="H2660" s="22">
        <f>IFERROR(__xludf.DUMMYFUNCTION("""COMPUTED_VALUE"""),491941.39567600004)</f>
        <v>491941.3957</v>
      </c>
      <c r="I2660" s="24">
        <f>IFERROR(__xludf.DUMMYFUNCTION("""COMPUTED_VALUE"""),-0.016117208647999925)</f>
        <v>-0.01611720865</v>
      </c>
    </row>
    <row r="2661">
      <c r="A2661" s="5" t="str">
        <f>IFERROR(__xludf.DUMMYFUNCTION("""COMPUTED_VALUE"""),"39441")</f>
        <v>39441</v>
      </c>
      <c r="B2661" s="64">
        <f>IFERROR(__xludf.DUMMYFUNCTION("""COMPUTED_VALUE"""),44640.0)</f>
        <v>44640</v>
      </c>
      <c r="C2661" s="5"/>
      <c r="D2661" s="5"/>
      <c r="E2661" s="5"/>
      <c r="F2661" s="22">
        <f>IFERROR(__xludf.DUMMYFUNCTION("""COMPUTED_VALUE"""),245324.80038575002)</f>
        <v>245324.8004</v>
      </c>
      <c r="G2661" s="22">
        <f>IFERROR(__xludf.DUMMYFUNCTION("""COMPUTED_VALUE"""),0.0)</f>
        <v>0</v>
      </c>
      <c r="H2661" s="22">
        <f>IFERROR(__xludf.DUMMYFUNCTION("""COMPUTED_VALUE"""),491941.39567600004)</f>
        <v>491941.3957</v>
      </c>
      <c r="I2661" s="24">
        <f>IFERROR(__xludf.DUMMYFUNCTION("""COMPUTED_VALUE"""),-0.016117208647999925)</f>
        <v>-0.01611720865</v>
      </c>
    </row>
    <row r="2662">
      <c r="A2662" s="5" t="str">
        <f>IFERROR(__xludf.DUMMYFUNCTION("""COMPUTED_VALUE"""),"39441")</f>
        <v>39441</v>
      </c>
      <c r="B2662" s="64">
        <f>IFERROR(__xludf.DUMMYFUNCTION("""COMPUTED_VALUE"""),44641.0)</f>
        <v>44641</v>
      </c>
      <c r="C2662" s="5"/>
      <c r="D2662" s="5"/>
      <c r="E2662" s="5"/>
      <c r="F2662" s="22">
        <f>IFERROR(__xludf.DUMMYFUNCTION("""COMPUTED_VALUE"""),245324.80038575002)</f>
        <v>245324.8004</v>
      </c>
      <c r="G2662" s="22">
        <f>IFERROR(__xludf.DUMMYFUNCTION("""COMPUTED_VALUE"""),0.0)</f>
        <v>0</v>
      </c>
      <c r="H2662" s="22">
        <f>IFERROR(__xludf.DUMMYFUNCTION("""COMPUTED_VALUE"""),501007.38171750004)</f>
        <v>501007.3817</v>
      </c>
      <c r="I2662" s="24">
        <f>IFERROR(__xludf.DUMMYFUNCTION("""COMPUTED_VALUE"""),0.0020147634350000665)</f>
        <v>0.002014763435</v>
      </c>
    </row>
    <row r="2663">
      <c r="A2663" s="5" t="str">
        <f>IFERROR(__xludf.DUMMYFUNCTION("""COMPUTED_VALUE"""),"39441")</f>
        <v>39441</v>
      </c>
      <c r="B2663" s="64">
        <f>IFERROR(__xludf.DUMMYFUNCTION("""COMPUTED_VALUE"""),44642.0)</f>
        <v>44642</v>
      </c>
      <c r="C2663" s="5"/>
      <c r="D2663" s="5"/>
      <c r="E2663" s="5"/>
      <c r="F2663" s="22">
        <f>IFERROR(__xludf.DUMMYFUNCTION("""COMPUTED_VALUE"""),245324.80038575002)</f>
        <v>245324.8004</v>
      </c>
      <c r="G2663" s="22">
        <f>IFERROR(__xludf.DUMMYFUNCTION("""COMPUTED_VALUE"""),0.0)</f>
        <v>0</v>
      </c>
      <c r="H2663" s="22">
        <f>IFERROR(__xludf.DUMMYFUNCTION("""COMPUTED_VALUE"""),479097.76462250005)</f>
        <v>479097.7646</v>
      </c>
      <c r="I2663" s="24">
        <f>IFERROR(__xludf.DUMMYFUNCTION("""COMPUTED_VALUE"""),-0.041804470754999934)</f>
        <v>-0.04180447075</v>
      </c>
    </row>
    <row r="2664">
      <c r="A2664" s="5" t="str">
        <f>IFERROR(__xludf.DUMMYFUNCTION("""COMPUTED_VALUE"""),"39441")</f>
        <v>39441</v>
      </c>
      <c r="B2664" s="64">
        <f>IFERROR(__xludf.DUMMYFUNCTION("""COMPUTED_VALUE"""),44643.0)</f>
        <v>44643</v>
      </c>
      <c r="C2664" s="5"/>
      <c r="D2664" s="5"/>
      <c r="E2664" s="5"/>
      <c r="F2664" s="22">
        <f>IFERROR(__xludf.DUMMYFUNCTION("""COMPUTED_VALUE"""),245324.80038575002)</f>
        <v>245324.8004</v>
      </c>
      <c r="G2664" s="22">
        <f>IFERROR(__xludf.DUMMYFUNCTION("""COMPUTED_VALUE"""),0.0)</f>
        <v>0</v>
      </c>
      <c r="H2664" s="22">
        <f>IFERROR(__xludf.DUMMYFUNCTION("""COMPUTED_VALUE"""),474547.2932385)</f>
        <v>474547.2932</v>
      </c>
      <c r="I2664" s="24">
        <f>IFERROR(__xludf.DUMMYFUNCTION("""COMPUTED_VALUE"""),-0.05090541352299993)</f>
        <v>-0.05090541352</v>
      </c>
    </row>
    <row r="2665">
      <c r="A2665" s="5" t="str">
        <f>IFERROR(__xludf.DUMMYFUNCTION("""COMPUTED_VALUE"""),"39441")</f>
        <v>39441</v>
      </c>
      <c r="B2665" s="64">
        <f>IFERROR(__xludf.DUMMYFUNCTION("""COMPUTED_VALUE"""),44644.0)</f>
        <v>44644</v>
      </c>
      <c r="C2665" s="5"/>
      <c r="D2665" s="5"/>
      <c r="E2665" s="5"/>
      <c r="F2665" s="22">
        <f>IFERROR(__xludf.DUMMYFUNCTION("""COMPUTED_VALUE"""),245324.80038575002)</f>
        <v>245324.8004</v>
      </c>
      <c r="G2665" s="22">
        <f>IFERROR(__xludf.DUMMYFUNCTION("""COMPUTED_VALUE"""),0.0)</f>
        <v>0</v>
      </c>
      <c r="H2665" s="22">
        <f>IFERROR(__xludf.DUMMYFUNCTION("""COMPUTED_VALUE"""),482832.72253825)</f>
        <v>482832.7225</v>
      </c>
      <c r="I2665" s="24">
        <f>IFERROR(__xludf.DUMMYFUNCTION("""COMPUTED_VALUE"""),-0.034334554923500016)</f>
        <v>-0.03433455492</v>
      </c>
    </row>
    <row r="2666">
      <c r="A2666" s="5" t="str">
        <f>IFERROR(__xludf.DUMMYFUNCTION("""COMPUTED_VALUE"""),"39441")</f>
        <v>39441</v>
      </c>
      <c r="B2666" s="64">
        <f>IFERROR(__xludf.DUMMYFUNCTION("""COMPUTED_VALUE"""),44645.0)</f>
        <v>44645</v>
      </c>
      <c r="C2666" s="5"/>
      <c r="D2666" s="5"/>
      <c r="E2666" s="5"/>
      <c r="F2666" s="22">
        <f>IFERROR(__xludf.DUMMYFUNCTION("""COMPUTED_VALUE"""),245324.80038575002)</f>
        <v>245324.8004</v>
      </c>
      <c r="G2666" s="22">
        <f>IFERROR(__xludf.DUMMYFUNCTION("""COMPUTED_VALUE"""),0.0)</f>
        <v>0</v>
      </c>
      <c r="H2666" s="22">
        <f>IFERROR(__xludf.DUMMYFUNCTION("""COMPUTED_VALUE"""),487382.020003)</f>
        <v>487382.02</v>
      </c>
      <c r="I2666" s="24">
        <f>IFERROR(__xludf.DUMMYFUNCTION("""COMPUTED_VALUE"""),-0.02523595999400008)</f>
        <v>-0.02523595999</v>
      </c>
    </row>
    <row r="2667">
      <c r="A2667" s="5" t="str">
        <f>IFERROR(__xludf.DUMMYFUNCTION("""COMPUTED_VALUE"""),"39441")</f>
        <v>39441</v>
      </c>
      <c r="B2667" s="64">
        <f>IFERROR(__xludf.DUMMYFUNCTION("""COMPUTED_VALUE"""),44646.0)</f>
        <v>44646</v>
      </c>
      <c r="C2667" s="5"/>
      <c r="D2667" s="5"/>
      <c r="E2667" s="5"/>
      <c r="F2667" s="22">
        <f>IFERROR(__xludf.DUMMYFUNCTION("""COMPUTED_VALUE"""),245324.80038575002)</f>
        <v>245324.8004</v>
      </c>
      <c r="G2667" s="22">
        <f>IFERROR(__xludf.DUMMYFUNCTION("""COMPUTED_VALUE"""),0.0)</f>
        <v>0</v>
      </c>
      <c r="H2667" s="22">
        <f>IFERROR(__xludf.DUMMYFUNCTION("""COMPUTED_VALUE"""),487382.020003)</f>
        <v>487382.02</v>
      </c>
      <c r="I2667" s="24">
        <f>IFERROR(__xludf.DUMMYFUNCTION("""COMPUTED_VALUE"""),-0.02523595999400008)</f>
        <v>-0.02523595999</v>
      </c>
    </row>
    <row r="2668">
      <c r="A2668" s="5" t="str">
        <f>IFERROR(__xludf.DUMMYFUNCTION("""COMPUTED_VALUE"""),"39441")</f>
        <v>39441</v>
      </c>
      <c r="B2668" s="64">
        <f>IFERROR(__xludf.DUMMYFUNCTION("""COMPUTED_VALUE"""),44647.0)</f>
        <v>44647</v>
      </c>
      <c r="C2668" s="5"/>
      <c r="D2668" s="5"/>
      <c r="E2668" s="5"/>
      <c r="F2668" s="22">
        <f>IFERROR(__xludf.DUMMYFUNCTION("""COMPUTED_VALUE"""),245324.80038575002)</f>
        <v>245324.8004</v>
      </c>
      <c r="G2668" s="22">
        <f>IFERROR(__xludf.DUMMYFUNCTION("""COMPUTED_VALUE"""),0.0)</f>
        <v>0</v>
      </c>
      <c r="H2668" s="22">
        <f>IFERROR(__xludf.DUMMYFUNCTION("""COMPUTED_VALUE"""),487382.020003)</f>
        <v>487382.02</v>
      </c>
      <c r="I2668" s="24">
        <f>IFERROR(__xludf.DUMMYFUNCTION("""COMPUTED_VALUE"""),-0.02523595999400008)</f>
        <v>-0.02523595999</v>
      </c>
    </row>
    <row r="2669">
      <c r="A2669" s="5" t="str">
        <f>IFERROR(__xludf.DUMMYFUNCTION("""COMPUTED_VALUE"""),"39441")</f>
        <v>39441</v>
      </c>
      <c r="B2669" s="64">
        <f>IFERROR(__xludf.DUMMYFUNCTION("""COMPUTED_VALUE"""),44648.0)</f>
        <v>44648</v>
      </c>
      <c r="C2669" s="5"/>
      <c r="D2669" s="5"/>
      <c r="E2669" s="5"/>
      <c r="F2669" s="22">
        <f>IFERROR(__xludf.DUMMYFUNCTION("""COMPUTED_VALUE"""),245324.80038575002)</f>
        <v>245324.8004</v>
      </c>
      <c r="G2669" s="22">
        <f>IFERROR(__xludf.DUMMYFUNCTION("""COMPUTED_VALUE"""),0.0)</f>
        <v>0</v>
      </c>
      <c r="H2669" s="22">
        <f>IFERROR(__xludf.DUMMYFUNCTION("""COMPUTED_VALUE"""),484208.14010225)</f>
        <v>484208.1401</v>
      </c>
      <c r="I2669" s="24">
        <f>IFERROR(__xludf.DUMMYFUNCTION("""COMPUTED_VALUE"""),-0.03158371979550001)</f>
        <v>-0.0315837198</v>
      </c>
    </row>
    <row r="2670">
      <c r="A2670" s="5" t="str">
        <f>IFERROR(__xludf.DUMMYFUNCTION("""COMPUTED_VALUE"""),"39441")</f>
        <v>39441</v>
      </c>
      <c r="B2670" s="64">
        <f>IFERROR(__xludf.DUMMYFUNCTION("""COMPUTED_VALUE"""),44649.0)</f>
        <v>44649</v>
      </c>
      <c r="C2670" s="5"/>
      <c r="D2670" s="5"/>
      <c r="E2670" s="5"/>
      <c r="F2670" s="22">
        <f>IFERROR(__xludf.DUMMYFUNCTION("""COMPUTED_VALUE"""),245324.80038575002)</f>
        <v>245324.8004</v>
      </c>
      <c r="G2670" s="22">
        <f>IFERROR(__xludf.DUMMYFUNCTION("""COMPUTED_VALUE"""),0.0)</f>
        <v>0</v>
      </c>
      <c r="H2670" s="22">
        <f>IFERROR(__xludf.DUMMYFUNCTION("""COMPUTED_VALUE"""),480398.0952527501)</f>
        <v>480398.0953</v>
      </c>
      <c r="I2670" s="24">
        <f>IFERROR(__xludf.DUMMYFUNCTION("""COMPUTED_VALUE"""),-0.039203809494499864)</f>
        <v>-0.03920380949</v>
      </c>
    </row>
    <row r="2671">
      <c r="A2671" s="5" t="str">
        <f>IFERROR(__xludf.DUMMYFUNCTION("""COMPUTED_VALUE"""),"39441")</f>
        <v>39441</v>
      </c>
      <c r="B2671" s="64">
        <f>IFERROR(__xludf.DUMMYFUNCTION("""COMPUTED_VALUE"""),44650.0)</f>
        <v>44650</v>
      </c>
      <c r="C2671" s="5"/>
      <c r="D2671" s="5"/>
      <c r="E2671" s="5"/>
      <c r="F2671" s="22">
        <f>IFERROR(__xludf.DUMMYFUNCTION("""COMPUTED_VALUE"""),245324.80038575002)</f>
        <v>245324.8004</v>
      </c>
      <c r="G2671" s="22">
        <f>IFERROR(__xludf.DUMMYFUNCTION("""COMPUTED_VALUE"""),0.0)</f>
        <v>0</v>
      </c>
      <c r="H2671" s="22">
        <f>IFERROR(__xludf.DUMMYFUNCTION("""COMPUTED_VALUE"""),480316.8051180001)</f>
        <v>480316.8051</v>
      </c>
      <c r="I2671" s="24">
        <f>IFERROR(__xludf.DUMMYFUNCTION("""COMPUTED_VALUE"""),-0.039366389763999865)</f>
        <v>-0.03936638976</v>
      </c>
    </row>
    <row r="2672">
      <c r="A2672" s="5" t="str">
        <f>IFERROR(__xludf.DUMMYFUNCTION("""COMPUTED_VALUE"""),"39441")</f>
        <v>39441</v>
      </c>
      <c r="B2672" s="64">
        <f>IFERROR(__xludf.DUMMYFUNCTION("""COMPUTED_VALUE"""),44651.0)</f>
        <v>44651</v>
      </c>
      <c r="C2672" s="5"/>
      <c r="D2672" s="5"/>
      <c r="E2672" s="5"/>
      <c r="F2672" s="22">
        <f>IFERROR(__xludf.DUMMYFUNCTION("""COMPUTED_VALUE"""),245324.80038575002)</f>
        <v>245324.8004</v>
      </c>
      <c r="G2672" s="22">
        <f>IFERROR(__xludf.DUMMYFUNCTION("""COMPUTED_VALUE"""),0.0)</f>
        <v>0</v>
      </c>
      <c r="H2672" s="22">
        <f>IFERROR(__xludf.DUMMYFUNCTION("""COMPUTED_VALUE"""),498427.15300899994)</f>
        <v>498427.153</v>
      </c>
      <c r="I2672" s="24">
        <f>IFERROR(__xludf.DUMMYFUNCTION("""COMPUTED_VALUE"""),-0.003145693982000153)</f>
        <v>-0.003145693982</v>
      </c>
    </row>
    <row r="2673">
      <c r="A2673" s="5" t="str">
        <f>IFERROR(__xludf.DUMMYFUNCTION("""COMPUTED_VALUE"""),"39441")</f>
        <v>39441</v>
      </c>
      <c r="B2673" s="64">
        <f>IFERROR(__xludf.DUMMYFUNCTION("""COMPUTED_VALUE"""),44652.0)</f>
        <v>44652</v>
      </c>
      <c r="C2673" s="5"/>
      <c r="D2673" s="5"/>
      <c r="E2673" s="5"/>
      <c r="F2673" s="22">
        <f>IFERROR(__xludf.DUMMYFUNCTION("""COMPUTED_VALUE"""),245324.80038575002)</f>
        <v>245324.8004</v>
      </c>
      <c r="G2673" s="22">
        <f>IFERROR(__xludf.DUMMYFUNCTION("""COMPUTED_VALUE"""),0.0)</f>
        <v>0</v>
      </c>
      <c r="H2673" s="22">
        <f>IFERROR(__xludf.DUMMYFUNCTION("""COMPUTED_VALUE"""),495561.79513275)</f>
        <v>495561.7951</v>
      </c>
      <c r="I2673" s="24">
        <f>IFERROR(__xludf.DUMMYFUNCTION("""COMPUTED_VALUE"""),-0.00887640973449999)</f>
        <v>-0.008876409734</v>
      </c>
    </row>
    <row r="2674">
      <c r="A2674" s="5" t="str">
        <f>IFERROR(__xludf.DUMMYFUNCTION("""COMPUTED_VALUE"""),"39441")</f>
        <v>39441</v>
      </c>
      <c r="B2674" s="64">
        <f>IFERROR(__xludf.DUMMYFUNCTION("""COMPUTED_VALUE"""),44653.0)</f>
        <v>44653</v>
      </c>
      <c r="C2674" s="5"/>
      <c r="D2674" s="5"/>
      <c r="E2674" s="5"/>
      <c r="F2674" s="22">
        <f>IFERROR(__xludf.DUMMYFUNCTION("""COMPUTED_VALUE"""),245324.80038575002)</f>
        <v>245324.8004</v>
      </c>
      <c r="G2674" s="22">
        <f>IFERROR(__xludf.DUMMYFUNCTION("""COMPUTED_VALUE"""),0.0)</f>
        <v>0</v>
      </c>
      <c r="H2674" s="22">
        <f>IFERROR(__xludf.DUMMYFUNCTION("""COMPUTED_VALUE"""),495561.79513275)</f>
        <v>495561.7951</v>
      </c>
      <c r="I2674" s="24">
        <f>IFERROR(__xludf.DUMMYFUNCTION("""COMPUTED_VALUE"""),-0.00887640973449999)</f>
        <v>-0.008876409734</v>
      </c>
    </row>
    <row r="2675">
      <c r="A2675" s="5" t="str">
        <f>IFERROR(__xludf.DUMMYFUNCTION("""COMPUTED_VALUE"""),"39441")</f>
        <v>39441</v>
      </c>
      <c r="B2675" s="64">
        <f>IFERROR(__xludf.DUMMYFUNCTION("""COMPUTED_VALUE"""),44654.0)</f>
        <v>44654</v>
      </c>
      <c r="C2675" s="5"/>
      <c r="D2675" s="5"/>
      <c r="E2675" s="5"/>
      <c r="F2675" s="22">
        <f>IFERROR(__xludf.DUMMYFUNCTION("""COMPUTED_VALUE"""),245324.80038575002)</f>
        <v>245324.8004</v>
      </c>
      <c r="G2675" s="22">
        <f>IFERROR(__xludf.DUMMYFUNCTION("""COMPUTED_VALUE"""),0.0)</f>
        <v>0</v>
      </c>
      <c r="H2675" s="22">
        <f>IFERROR(__xludf.DUMMYFUNCTION("""COMPUTED_VALUE"""),495561.79513275)</f>
        <v>495561.7951</v>
      </c>
      <c r="I2675" s="24">
        <f>IFERROR(__xludf.DUMMYFUNCTION("""COMPUTED_VALUE"""),-0.00887640973449999)</f>
        <v>-0.008876409734</v>
      </c>
    </row>
    <row r="2676">
      <c r="A2676" s="5" t="str">
        <f>IFERROR(__xludf.DUMMYFUNCTION("""COMPUTED_VALUE"""),"39441")</f>
        <v>39441</v>
      </c>
      <c r="B2676" s="64">
        <f>IFERROR(__xludf.DUMMYFUNCTION("""COMPUTED_VALUE"""),44655.0)</f>
        <v>44655</v>
      </c>
      <c r="C2676" s="5"/>
      <c r="D2676" s="5"/>
      <c r="E2676" s="5"/>
      <c r="F2676" s="22">
        <f>IFERROR(__xludf.DUMMYFUNCTION("""COMPUTED_VALUE"""),245324.80038575002)</f>
        <v>245324.8004</v>
      </c>
      <c r="G2676" s="22">
        <f>IFERROR(__xludf.DUMMYFUNCTION("""COMPUTED_VALUE"""),0.0)</f>
        <v>0</v>
      </c>
      <c r="H2676" s="22">
        <f>IFERROR(__xludf.DUMMYFUNCTION("""COMPUTED_VALUE"""),478694.3944025)</f>
        <v>478694.3944</v>
      </c>
      <c r="I2676" s="24">
        <f>IFERROR(__xludf.DUMMYFUNCTION("""COMPUTED_VALUE"""),-0.042611211195)</f>
        <v>-0.0426112112</v>
      </c>
    </row>
    <row r="2677">
      <c r="A2677" s="5" t="str">
        <f>IFERROR(__xludf.DUMMYFUNCTION("""COMPUTED_VALUE"""),"39441")</f>
        <v>39441</v>
      </c>
      <c r="B2677" s="64">
        <f>IFERROR(__xludf.DUMMYFUNCTION("""COMPUTED_VALUE"""),44656.0)</f>
        <v>44656</v>
      </c>
      <c r="C2677" s="5"/>
      <c r="D2677" s="5"/>
      <c r="E2677" s="5"/>
      <c r="F2677" s="22">
        <f>IFERROR(__xludf.DUMMYFUNCTION("""COMPUTED_VALUE"""),245324.80038575002)</f>
        <v>245324.8004</v>
      </c>
      <c r="G2677" s="22">
        <f>IFERROR(__xludf.DUMMYFUNCTION("""COMPUTED_VALUE"""),0.0)</f>
        <v>0</v>
      </c>
      <c r="H2677" s="22">
        <f>IFERROR(__xludf.DUMMYFUNCTION("""COMPUTED_VALUE"""),493577.9321052501)</f>
        <v>493577.9321</v>
      </c>
      <c r="I2677" s="24">
        <f>IFERROR(__xludf.DUMMYFUNCTION("""COMPUTED_VALUE"""),-0.012844135789499833)</f>
        <v>-0.01284413579</v>
      </c>
    </row>
    <row r="2678">
      <c r="A2678" s="5" t="str">
        <f>IFERROR(__xludf.DUMMYFUNCTION("""COMPUTED_VALUE"""),"39441")</f>
        <v>39441</v>
      </c>
      <c r="B2678" s="64">
        <f>IFERROR(__xludf.DUMMYFUNCTION("""COMPUTED_VALUE"""),44657.0)</f>
        <v>44657</v>
      </c>
      <c r="C2678" s="5"/>
      <c r="D2678" s="5"/>
      <c r="E2678" s="5"/>
      <c r="F2678" s="22">
        <f>IFERROR(__xludf.DUMMYFUNCTION("""COMPUTED_VALUE"""),245324.80038575002)</f>
        <v>245324.8004</v>
      </c>
      <c r="G2678" s="22">
        <f>IFERROR(__xludf.DUMMYFUNCTION("""COMPUTED_VALUE"""),0.0)</f>
        <v>0</v>
      </c>
      <c r="H2678" s="22">
        <f>IFERROR(__xludf.DUMMYFUNCTION("""COMPUTED_VALUE"""),501372.39634675)</f>
        <v>501372.3963</v>
      </c>
      <c r="I2678" s="24">
        <f>IFERROR(__xludf.DUMMYFUNCTION("""COMPUTED_VALUE"""),0.002744792693500031)</f>
        <v>0.002744792694</v>
      </c>
    </row>
    <row r="2679">
      <c r="A2679" s="5" t="str">
        <f>IFERROR(__xludf.DUMMYFUNCTION("""COMPUTED_VALUE"""),"39441")</f>
        <v>39441</v>
      </c>
      <c r="B2679" s="64">
        <f>IFERROR(__xludf.DUMMYFUNCTION("""COMPUTED_VALUE"""),44658.0)</f>
        <v>44658</v>
      </c>
      <c r="C2679" s="5"/>
      <c r="D2679" s="5"/>
      <c r="E2679" s="5"/>
      <c r="F2679" s="22">
        <f>IFERROR(__xludf.DUMMYFUNCTION("""COMPUTED_VALUE"""),245324.80038575002)</f>
        <v>245324.8004</v>
      </c>
      <c r="G2679" s="22">
        <f>IFERROR(__xludf.DUMMYFUNCTION("""COMPUTED_VALUE"""),0.0)</f>
        <v>0</v>
      </c>
      <c r="H2679" s="22">
        <f>IFERROR(__xludf.DUMMYFUNCTION("""COMPUTED_VALUE"""),508869.59333999996)</f>
        <v>508869.5933</v>
      </c>
      <c r="I2679" s="24">
        <f>IFERROR(__xludf.DUMMYFUNCTION("""COMPUTED_VALUE"""),0.017739186679999852)</f>
        <v>0.01773918668</v>
      </c>
    </row>
    <row r="2680">
      <c r="A2680" s="5" t="str">
        <f>IFERROR(__xludf.DUMMYFUNCTION("""COMPUTED_VALUE"""),"39441")</f>
        <v>39441</v>
      </c>
      <c r="B2680" s="64">
        <f>IFERROR(__xludf.DUMMYFUNCTION("""COMPUTED_VALUE"""),44659.0)</f>
        <v>44659</v>
      </c>
      <c r="C2680" s="5"/>
      <c r="D2680" s="5"/>
      <c r="E2680" s="5"/>
      <c r="F2680" s="22">
        <f>IFERROR(__xludf.DUMMYFUNCTION("""COMPUTED_VALUE"""),245324.80038575002)</f>
        <v>245324.8004</v>
      </c>
      <c r="G2680" s="22">
        <f>IFERROR(__xludf.DUMMYFUNCTION("""COMPUTED_VALUE"""),0.0)</f>
        <v>0</v>
      </c>
      <c r="H2680" s="22">
        <f>IFERROR(__xludf.DUMMYFUNCTION("""COMPUTED_VALUE"""),510390.92341850005)</f>
        <v>510390.9234</v>
      </c>
      <c r="I2680" s="24">
        <f>IFERROR(__xludf.DUMMYFUNCTION("""COMPUTED_VALUE"""),0.020781846837000018)</f>
        <v>0.02078184684</v>
      </c>
    </row>
    <row r="2681">
      <c r="A2681" s="5" t="str">
        <f>IFERROR(__xludf.DUMMYFUNCTION("""COMPUTED_VALUE"""),"39441")</f>
        <v>39441</v>
      </c>
      <c r="B2681" s="64">
        <f>IFERROR(__xludf.DUMMYFUNCTION("""COMPUTED_VALUE"""),44660.0)</f>
        <v>44660</v>
      </c>
      <c r="C2681" s="5"/>
      <c r="D2681" s="5"/>
      <c r="E2681" s="5"/>
      <c r="F2681" s="22">
        <f>IFERROR(__xludf.DUMMYFUNCTION("""COMPUTED_VALUE"""),245324.80038575002)</f>
        <v>245324.8004</v>
      </c>
      <c r="G2681" s="22">
        <f>IFERROR(__xludf.DUMMYFUNCTION("""COMPUTED_VALUE"""),0.0)</f>
        <v>0</v>
      </c>
      <c r="H2681" s="22">
        <f>IFERROR(__xludf.DUMMYFUNCTION("""COMPUTED_VALUE"""),510902.0434965)</f>
        <v>510902.0435</v>
      </c>
      <c r="I2681" s="24">
        <f>IFERROR(__xludf.DUMMYFUNCTION("""COMPUTED_VALUE"""),0.02180408699300007)</f>
        <v>0.02180408699</v>
      </c>
    </row>
    <row r="2682">
      <c r="A2682" s="5" t="str">
        <f>IFERROR(__xludf.DUMMYFUNCTION("""COMPUTED_VALUE"""),"39441")</f>
        <v>39441</v>
      </c>
      <c r="B2682" s="64">
        <f>IFERROR(__xludf.DUMMYFUNCTION("""COMPUTED_VALUE"""),44661.0)</f>
        <v>44661</v>
      </c>
      <c r="C2682" s="5"/>
      <c r="D2682" s="5"/>
      <c r="E2682" s="5"/>
      <c r="F2682" s="22">
        <f>IFERROR(__xludf.DUMMYFUNCTION("""COMPUTED_VALUE"""),245324.80038575002)</f>
        <v>245324.8004</v>
      </c>
      <c r="G2682" s="22">
        <f>IFERROR(__xludf.DUMMYFUNCTION("""COMPUTED_VALUE"""),0.0)</f>
        <v>0</v>
      </c>
      <c r="H2682" s="22">
        <f>IFERROR(__xludf.DUMMYFUNCTION("""COMPUTED_VALUE"""),510902.0434965)</f>
        <v>510902.0435</v>
      </c>
      <c r="I2682" s="24">
        <f>IFERROR(__xludf.DUMMYFUNCTION("""COMPUTED_VALUE"""),0.02180408699300007)</f>
        <v>0.02180408699</v>
      </c>
    </row>
    <row r="2683">
      <c r="A2683" s="5" t="str">
        <f>IFERROR(__xludf.DUMMYFUNCTION("""COMPUTED_VALUE"""),"39441")</f>
        <v>39441</v>
      </c>
      <c r="B2683" s="64">
        <f>IFERROR(__xludf.DUMMYFUNCTION("""COMPUTED_VALUE"""),44662.0)</f>
        <v>44662</v>
      </c>
      <c r="C2683" s="5"/>
      <c r="D2683" s="5"/>
      <c r="E2683" s="5"/>
      <c r="F2683" s="22">
        <f>IFERROR(__xludf.DUMMYFUNCTION("""COMPUTED_VALUE"""),245324.80038575002)</f>
        <v>245324.8004</v>
      </c>
      <c r="G2683" s="22">
        <f>IFERROR(__xludf.DUMMYFUNCTION("""COMPUTED_VALUE"""),0.0)</f>
        <v>0</v>
      </c>
      <c r="H2683" s="22">
        <f>IFERROR(__xludf.DUMMYFUNCTION("""COMPUTED_VALUE"""),515232.83549400006)</f>
        <v>515232.8355</v>
      </c>
      <c r="I2683" s="24">
        <f>IFERROR(__xludf.DUMMYFUNCTION("""COMPUTED_VALUE"""),0.030465670988000015)</f>
        <v>0.03046567099</v>
      </c>
    </row>
    <row r="2684">
      <c r="A2684" s="5" t="str">
        <f>IFERROR(__xludf.DUMMYFUNCTION("""COMPUTED_VALUE"""),"39441")</f>
        <v>39441</v>
      </c>
      <c r="B2684" s="64">
        <f>IFERROR(__xludf.DUMMYFUNCTION("""COMPUTED_VALUE"""),44663.0)</f>
        <v>44663</v>
      </c>
      <c r="C2684" s="5"/>
      <c r="D2684" s="5"/>
      <c r="E2684" s="5"/>
      <c r="F2684" s="22">
        <f>IFERROR(__xludf.DUMMYFUNCTION("""COMPUTED_VALUE"""),245324.80038575002)</f>
        <v>245324.8004</v>
      </c>
      <c r="G2684" s="22">
        <f>IFERROR(__xludf.DUMMYFUNCTION("""COMPUTED_VALUE"""),0.0)</f>
        <v>0</v>
      </c>
      <c r="H2684" s="22">
        <f>IFERROR(__xludf.DUMMYFUNCTION("""COMPUTED_VALUE"""),519172.0041315)</f>
        <v>519172.0041</v>
      </c>
      <c r="I2684" s="24">
        <f>IFERROR(__xludf.DUMMYFUNCTION("""COMPUTED_VALUE"""),0.038344008262999996)</f>
        <v>0.03834400826</v>
      </c>
    </row>
    <row r="2685">
      <c r="A2685" s="5" t="str">
        <f>IFERROR(__xludf.DUMMYFUNCTION("""COMPUTED_VALUE"""),"39494")</f>
        <v>39494</v>
      </c>
      <c r="B2685" s="64">
        <f>IFERROR(__xludf.DUMMYFUNCTION("""COMPUTED_VALUE"""),44597.0)</f>
        <v>44597</v>
      </c>
      <c r="C2685" s="5"/>
      <c r="D2685" s="5"/>
      <c r="E2685" s="5"/>
      <c r="F2685" s="22">
        <f>IFERROR(__xludf.DUMMYFUNCTION("""COMPUTED_VALUE"""),500000.0)</f>
        <v>500000</v>
      </c>
      <c r="G2685" s="22">
        <f>IFERROR(__xludf.DUMMYFUNCTION("""COMPUTED_VALUE"""),0.0)</f>
        <v>0</v>
      </c>
      <c r="H2685" s="22">
        <f>IFERROR(__xludf.DUMMYFUNCTION("""COMPUTED_VALUE"""),500000.0)</f>
        <v>500000</v>
      </c>
      <c r="I2685" s="24">
        <f>IFERROR(__xludf.DUMMYFUNCTION("""COMPUTED_VALUE"""),0.0)</f>
        <v>0</v>
      </c>
    </row>
    <row r="2686">
      <c r="A2686" s="5" t="str">
        <f>IFERROR(__xludf.DUMMYFUNCTION("""COMPUTED_VALUE"""),"39494")</f>
        <v>39494</v>
      </c>
      <c r="B2686" s="64">
        <f>IFERROR(__xludf.DUMMYFUNCTION("""COMPUTED_VALUE"""),44598.0)</f>
        <v>44598</v>
      </c>
      <c r="C2686" s="5"/>
      <c r="D2686" s="5"/>
      <c r="E2686" s="5"/>
      <c r="F2686" s="22">
        <f>IFERROR(__xludf.DUMMYFUNCTION("""COMPUTED_VALUE"""),500000.0)</f>
        <v>500000</v>
      </c>
      <c r="G2686" s="22">
        <f>IFERROR(__xludf.DUMMYFUNCTION("""COMPUTED_VALUE"""),0.0)</f>
        <v>0</v>
      </c>
      <c r="H2686" s="22">
        <f>IFERROR(__xludf.DUMMYFUNCTION("""COMPUTED_VALUE"""),500000.0)</f>
        <v>500000</v>
      </c>
      <c r="I2686" s="24">
        <f>IFERROR(__xludf.DUMMYFUNCTION("""COMPUTED_VALUE"""),0.0)</f>
        <v>0</v>
      </c>
    </row>
    <row r="2687">
      <c r="A2687" s="5" t="str">
        <f>IFERROR(__xludf.DUMMYFUNCTION("""COMPUTED_VALUE"""),"39494")</f>
        <v>39494</v>
      </c>
      <c r="B2687" s="64">
        <f>IFERROR(__xludf.DUMMYFUNCTION("""COMPUTED_VALUE"""),44599.0)</f>
        <v>44599</v>
      </c>
      <c r="C2687" s="5"/>
      <c r="D2687" s="5"/>
      <c r="E2687" s="5"/>
      <c r="F2687" s="22">
        <f>IFERROR(__xludf.DUMMYFUNCTION("""COMPUTED_VALUE"""),500000.0)</f>
        <v>500000</v>
      </c>
      <c r="G2687" s="22">
        <f>IFERROR(__xludf.DUMMYFUNCTION("""COMPUTED_VALUE"""),0.0)</f>
        <v>0</v>
      </c>
      <c r="H2687" s="22">
        <f>IFERROR(__xludf.DUMMYFUNCTION("""COMPUTED_VALUE"""),500000.0)</f>
        <v>500000</v>
      </c>
      <c r="I2687" s="24">
        <f>IFERROR(__xludf.DUMMYFUNCTION("""COMPUTED_VALUE"""),0.0)</f>
        <v>0</v>
      </c>
    </row>
    <row r="2688">
      <c r="A2688" s="5" t="str">
        <f>IFERROR(__xludf.DUMMYFUNCTION("""COMPUTED_VALUE"""),"39494")</f>
        <v>39494</v>
      </c>
      <c r="B2688" s="64">
        <f>IFERROR(__xludf.DUMMYFUNCTION("""COMPUTED_VALUE"""),44600.0)</f>
        <v>44600</v>
      </c>
      <c r="C2688" s="5"/>
      <c r="D2688" s="5"/>
      <c r="E2688" s="5"/>
      <c r="F2688" s="22">
        <f>IFERROR(__xludf.DUMMYFUNCTION("""COMPUTED_VALUE"""),500000.0)</f>
        <v>500000</v>
      </c>
      <c r="G2688" s="22">
        <f>IFERROR(__xludf.DUMMYFUNCTION("""COMPUTED_VALUE"""),0.0)</f>
        <v>0</v>
      </c>
      <c r="H2688" s="22">
        <f>IFERROR(__xludf.DUMMYFUNCTION("""COMPUTED_VALUE"""),500000.0)</f>
        <v>500000</v>
      </c>
      <c r="I2688" s="24">
        <f>IFERROR(__xludf.DUMMYFUNCTION("""COMPUTED_VALUE"""),0.0)</f>
        <v>0</v>
      </c>
    </row>
    <row r="2689">
      <c r="A2689" s="5" t="str">
        <f>IFERROR(__xludf.DUMMYFUNCTION("""COMPUTED_VALUE"""),"39494")</f>
        <v>39494</v>
      </c>
      <c r="B2689" s="64">
        <f>IFERROR(__xludf.DUMMYFUNCTION("""COMPUTED_VALUE"""),44601.0)</f>
        <v>44601</v>
      </c>
      <c r="C2689" s="5"/>
      <c r="D2689" s="5"/>
      <c r="E2689" s="5"/>
      <c r="F2689" s="22">
        <f>IFERROR(__xludf.DUMMYFUNCTION("""COMPUTED_VALUE"""),500000.0)</f>
        <v>500000</v>
      </c>
      <c r="G2689" s="22">
        <f>IFERROR(__xludf.DUMMYFUNCTION("""COMPUTED_VALUE"""),0.0)</f>
        <v>0</v>
      </c>
      <c r="H2689" s="22">
        <f>IFERROR(__xludf.DUMMYFUNCTION("""COMPUTED_VALUE"""),500000.0)</f>
        <v>500000</v>
      </c>
      <c r="I2689" s="24">
        <f>IFERROR(__xludf.DUMMYFUNCTION("""COMPUTED_VALUE"""),0.0)</f>
        <v>0</v>
      </c>
    </row>
    <row r="2690">
      <c r="A2690" s="5" t="str">
        <f>IFERROR(__xludf.DUMMYFUNCTION("""COMPUTED_VALUE"""),"39494")</f>
        <v>39494</v>
      </c>
      <c r="B2690" s="64">
        <f>IFERROR(__xludf.DUMMYFUNCTION("""COMPUTED_VALUE"""),44602.0)</f>
        <v>44602</v>
      </c>
      <c r="C2690" s="5"/>
      <c r="D2690" s="5"/>
      <c r="E2690" s="5"/>
      <c r="F2690" s="22">
        <f>IFERROR(__xludf.DUMMYFUNCTION("""COMPUTED_VALUE"""),500000.0)</f>
        <v>500000</v>
      </c>
      <c r="G2690" s="22">
        <f>IFERROR(__xludf.DUMMYFUNCTION("""COMPUTED_VALUE"""),0.0)</f>
        <v>0</v>
      </c>
      <c r="H2690" s="22">
        <f>IFERROR(__xludf.DUMMYFUNCTION("""COMPUTED_VALUE"""),500000.0)</f>
        <v>500000</v>
      </c>
      <c r="I2690" s="24">
        <f>IFERROR(__xludf.DUMMYFUNCTION("""COMPUTED_VALUE"""),0.0)</f>
        <v>0</v>
      </c>
    </row>
    <row r="2691">
      <c r="A2691" s="5" t="str">
        <f>IFERROR(__xludf.DUMMYFUNCTION("""COMPUTED_VALUE"""),"39494")</f>
        <v>39494</v>
      </c>
      <c r="B2691" s="64">
        <f>IFERROR(__xludf.DUMMYFUNCTION("""COMPUTED_VALUE"""),44603.0)</f>
        <v>44603</v>
      </c>
      <c r="C2691" s="5"/>
      <c r="D2691" s="5"/>
      <c r="E2691" s="5"/>
      <c r="F2691" s="22">
        <f>IFERROR(__xludf.DUMMYFUNCTION("""COMPUTED_VALUE"""),500000.0)</f>
        <v>500000</v>
      </c>
      <c r="G2691" s="22">
        <f>IFERROR(__xludf.DUMMYFUNCTION("""COMPUTED_VALUE"""),0.0)</f>
        <v>0</v>
      </c>
      <c r="H2691" s="22">
        <f>IFERROR(__xludf.DUMMYFUNCTION("""COMPUTED_VALUE"""),500000.0)</f>
        <v>500000</v>
      </c>
      <c r="I2691" s="24">
        <f>IFERROR(__xludf.DUMMYFUNCTION("""COMPUTED_VALUE"""),0.0)</f>
        <v>0</v>
      </c>
    </row>
    <row r="2692">
      <c r="A2692" s="5" t="str">
        <f>IFERROR(__xludf.DUMMYFUNCTION("""COMPUTED_VALUE"""),"39494")</f>
        <v>39494</v>
      </c>
      <c r="B2692" s="64">
        <f>IFERROR(__xludf.DUMMYFUNCTION("""COMPUTED_VALUE"""),44604.0)</f>
        <v>44604</v>
      </c>
      <c r="C2692" s="5"/>
      <c r="D2692" s="5"/>
      <c r="E2692" s="5"/>
      <c r="F2692" s="22">
        <f>IFERROR(__xludf.DUMMYFUNCTION("""COMPUTED_VALUE"""),500000.0)</f>
        <v>500000</v>
      </c>
      <c r="G2692" s="22">
        <f>IFERROR(__xludf.DUMMYFUNCTION("""COMPUTED_VALUE"""),0.0)</f>
        <v>0</v>
      </c>
      <c r="H2692" s="22">
        <f>IFERROR(__xludf.DUMMYFUNCTION("""COMPUTED_VALUE"""),500000.0)</f>
        <v>500000</v>
      </c>
      <c r="I2692" s="24">
        <f>IFERROR(__xludf.DUMMYFUNCTION("""COMPUTED_VALUE"""),0.0)</f>
        <v>0</v>
      </c>
    </row>
    <row r="2693">
      <c r="A2693" s="5" t="str">
        <f>IFERROR(__xludf.DUMMYFUNCTION("""COMPUTED_VALUE"""),"39494")</f>
        <v>39494</v>
      </c>
      <c r="B2693" s="64">
        <f>IFERROR(__xludf.DUMMYFUNCTION("""COMPUTED_VALUE"""),44605.0)</f>
        <v>44605</v>
      </c>
      <c r="C2693" s="5"/>
      <c r="D2693" s="5"/>
      <c r="E2693" s="5"/>
      <c r="F2693" s="22">
        <f>IFERROR(__xludf.DUMMYFUNCTION("""COMPUTED_VALUE"""),500000.0)</f>
        <v>500000</v>
      </c>
      <c r="G2693" s="22">
        <f>IFERROR(__xludf.DUMMYFUNCTION("""COMPUTED_VALUE"""),0.0)</f>
        <v>0</v>
      </c>
      <c r="H2693" s="22">
        <f>IFERROR(__xludf.DUMMYFUNCTION("""COMPUTED_VALUE"""),500000.0)</f>
        <v>500000</v>
      </c>
      <c r="I2693" s="24">
        <f>IFERROR(__xludf.DUMMYFUNCTION("""COMPUTED_VALUE"""),0.0)</f>
        <v>0</v>
      </c>
    </row>
    <row r="2694">
      <c r="A2694" s="5" t="str">
        <f>IFERROR(__xludf.DUMMYFUNCTION("""COMPUTED_VALUE"""),"39494")</f>
        <v>39494</v>
      </c>
      <c r="B2694" s="64">
        <f>IFERROR(__xludf.DUMMYFUNCTION("""COMPUTED_VALUE"""),44606.0)</f>
        <v>44606</v>
      </c>
      <c r="C2694" s="5"/>
      <c r="D2694" s="5"/>
      <c r="E2694" s="5"/>
      <c r="F2694" s="22">
        <f>IFERROR(__xludf.DUMMYFUNCTION("""COMPUTED_VALUE"""),490869.374307)</f>
        <v>490869.3743</v>
      </c>
      <c r="G2694" s="22">
        <f>IFERROR(__xludf.DUMMYFUNCTION("""COMPUTED_VALUE"""),0.0)</f>
        <v>0</v>
      </c>
      <c r="H2694" s="22">
        <f>IFERROR(__xludf.DUMMYFUNCTION("""COMPUTED_VALUE"""),500000.0)</f>
        <v>500000</v>
      </c>
      <c r="I2694" s="24">
        <f>IFERROR(__xludf.DUMMYFUNCTION("""COMPUTED_VALUE"""),0.0)</f>
        <v>0</v>
      </c>
    </row>
    <row r="2695">
      <c r="A2695" s="5" t="str">
        <f>IFERROR(__xludf.DUMMYFUNCTION("""COMPUTED_VALUE"""),"39494")</f>
        <v>39494</v>
      </c>
      <c r="B2695" s="64">
        <f>IFERROR(__xludf.DUMMYFUNCTION("""COMPUTED_VALUE"""),44607.0)</f>
        <v>44607</v>
      </c>
      <c r="C2695" s="5"/>
      <c r="D2695" s="5"/>
      <c r="E2695" s="5"/>
      <c r="F2695" s="22">
        <f>IFERROR(__xludf.DUMMYFUNCTION("""COMPUTED_VALUE"""),490869.374307)</f>
        <v>490869.3743</v>
      </c>
      <c r="G2695" s="22">
        <f>IFERROR(__xludf.DUMMYFUNCTION("""COMPUTED_VALUE"""),0.0)</f>
        <v>0</v>
      </c>
      <c r="H2695" s="22">
        <f>IFERROR(__xludf.DUMMYFUNCTION("""COMPUTED_VALUE"""),500042.02753745)</f>
        <v>500042.0275</v>
      </c>
      <c r="I2695" s="24">
        <f>IFERROR(__xludf.DUMMYFUNCTION("""COMPUTED_VALUE"""),8.40550748999469E-5)</f>
        <v>0.0000840550749</v>
      </c>
    </row>
    <row r="2696">
      <c r="A2696" s="5" t="str">
        <f>IFERROR(__xludf.DUMMYFUNCTION("""COMPUTED_VALUE"""),"39494")</f>
        <v>39494</v>
      </c>
      <c r="B2696" s="64">
        <f>IFERROR(__xludf.DUMMYFUNCTION("""COMPUTED_VALUE"""),44608.0)</f>
        <v>44608</v>
      </c>
      <c r="C2696" s="5"/>
      <c r="D2696" s="5"/>
      <c r="E2696" s="5"/>
      <c r="F2696" s="22">
        <f>IFERROR(__xludf.DUMMYFUNCTION("""COMPUTED_VALUE"""),490869.374307)</f>
        <v>490869.3743</v>
      </c>
      <c r="G2696" s="22">
        <f>IFERROR(__xludf.DUMMYFUNCTION("""COMPUTED_VALUE"""),0.0)</f>
        <v>0</v>
      </c>
      <c r="H2696" s="22">
        <f>IFERROR(__xludf.DUMMYFUNCTION("""COMPUTED_VALUE"""),499894.4834415)</f>
        <v>499894.4834</v>
      </c>
      <c r="I2696" s="24">
        <f>IFERROR(__xludf.DUMMYFUNCTION("""COMPUTED_VALUE"""),-2.110331169999924E-4)</f>
        <v>-0.000211033117</v>
      </c>
    </row>
    <row r="2697">
      <c r="A2697" s="5" t="str">
        <f>IFERROR(__xludf.DUMMYFUNCTION("""COMPUTED_VALUE"""),"39494")</f>
        <v>39494</v>
      </c>
      <c r="B2697" s="64">
        <f>IFERROR(__xludf.DUMMYFUNCTION("""COMPUTED_VALUE"""),44609.0)</f>
        <v>44609</v>
      </c>
      <c r="C2697" s="5"/>
      <c r="D2697" s="5"/>
      <c r="E2697" s="5"/>
      <c r="F2697" s="22">
        <f>IFERROR(__xludf.DUMMYFUNCTION("""COMPUTED_VALUE"""),490869.374307)</f>
        <v>490869.3743</v>
      </c>
      <c r="G2697" s="22">
        <f>IFERROR(__xludf.DUMMYFUNCTION("""COMPUTED_VALUE"""),0.0)</f>
        <v>0</v>
      </c>
      <c r="H2697" s="22">
        <f>IFERROR(__xludf.DUMMYFUNCTION("""COMPUTED_VALUE"""),482419.38818255)</f>
        <v>482419.3882</v>
      </c>
      <c r="I2697" s="24">
        <f>IFERROR(__xludf.DUMMYFUNCTION("""COMPUTED_VALUE"""),-0.03516122363489993)</f>
        <v>-0.03516122363</v>
      </c>
    </row>
    <row r="2698">
      <c r="A2698" s="5" t="str">
        <f>IFERROR(__xludf.DUMMYFUNCTION("""COMPUTED_VALUE"""),"39494")</f>
        <v>39494</v>
      </c>
      <c r="B2698" s="64">
        <f>IFERROR(__xludf.DUMMYFUNCTION("""COMPUTED_VALUE"""),44610.0)</f>
        <v>44610</v>
      </c>
      <c r="C2698" s="5"/>
      <c r="D2698" s="5"/>
      <c r="E2698" s="5"/>
      <c r="F2698" s="22">
        <f>IFERROR(__xludf.DUMMYFUNCTION("""COMPUTED_VALUE"""),490869.374307)</f>
        <v>490869.3743</v>
      </c>
      <c r="G2698" s="22">
        <f>IFERROR(__xludf.DUMMYFUNCTION("""COMPUTED_VALUE"""),0.0)</f>
        <v>0</v>
      </c>
      <c r="H2698" s="22">
        <f>IFERROR(__xludf.DUMMYFUNCTION("""COMPUTED_VALUE"""),475714.22847655)</f>
        <v>475714.2285</v>
      </c>
      <c r="I2698" s="24">
        <f>IFERROR(__xludf.DUMMYFUNCTION("""COMPUTED_VALUE"""),-0.04857154304689992)</f>
        <v>-0.04857154305</v>
      </c>
    </row>
    <row r="2699">
      <c r="A2699" s="5" t="str">
        <f>IFERROR(__xludf.DUMMYFUNCTION("""COMPUTED_VALUE"""),"39494")</f>
        <v>39494</v>
      </c>
      <c r="B2699" s="64">
        <f>IFERROR(__xludf.DUMMYFUNCTION("""COMPUTED_VALUE"""),44611.0)</f>
        <v>44611</v>
      </c>
      <c r="C2699" s="5"/>
      <c r="D2699" s="5"/>
      <c r="E2699" s="5"/>
      <c r="F2699" s="22">
        <f>IFERROR(__xludf.DUMMYFUNCTION("""COMPUTED_VALUE"""),490869.374307)</f>
        <v>490869.3743</v>
      </c>
      <c r="G2699" s="22">
        <f>IFERROR(__xludf.DUMMYFUNCTION("""COMPUTED_VALUE"""),0.0)</f>
        <v>0</v>
      </c>
      <c r="H2699" s="22">
        <f>IFERROR(__xludf.DUMMYFUNCTION("""COMPUTED_VALUE"""),475714.22847655)</f>
        <v>475714.2285</v>
      </c>
      <c r="I2699" s="24">
        <f>IFERROR(__xludf.DUMMYFUNCTION("""COMPUTED_VALUE"""),-0.04857154304689992)</f>
        <v>-0.04857154305</v>
      </c>
    </row>
    <row r="2700">
      <c r="A2700" s="5" t="str">
        <f>IFERROR(__xludf.DUMMYFUNCTION("""COMPUTED_VALUE"""),"39494")</f>
        <v>39494</v>
      </c>
      <c r="B2700" s="64">
        <f>IFERROR(__xludf.DUMMYFUNCTION("""COMPUTED_VALUE"""),44612.0)</f>
        <v>44612</v>
      </c>
      <c r="C2700" s="5"/>
      <c r="D2700" s="5"/>
      <c r="E2700" s="5"/>
      <c r="F2700" s="22">
        <f>IFERROR(__xludf.DUMMYFUNCTION("""COMPUTED_VALUE"""),490869.374307)</f>
        <v>490869.3743</v>
      </c>
      <c r="G2700" s="22">
        <f>IFERROR(__xludf.DUMMYFUNCTION("""COMPUTED_VALUE"""),0.0)</f>
        <v>0</v>
      </c>
      <c r="H2700" s="22">
        <f>IFERROR(__xludf.DUMMYFUNCTION("""COMPUTED_VALUE"""),475714.22847655)</f>
        <v>475714.2285</v>
      </c>
      <c r="I2700" s="24">
        <f>IFERROR(__xludf.DUMMYFUNCTION("""COMPUTED_VALUE"""),-0.04857154304689992)</f>
        <v>-0.04857154305</v>
      </c>
    </row>
    <row r="2701">
      <c r="A2701" s="5" t="str">
        <f>IFERROR(__xludf.DUMMYFUNCTION("""COMPUTED_VALUE"""),"39494")</f>
        <v>39494</v>
      </c>
      <c r="B2701" s="64">
        <f>IFERROR(__xludf.DUMMYFUNCTION("""COMPUTED_VALUE"""),44613.0)</f>
        <v>44613</v>
      </c>
      <c r="C2701" s="5"/>
      <c r="D2701" s="5"/>
      <c r="E2701" s="5"/>
      <c r="F2701" s="22">
        <f>IFERROR(__xludf.DUMMYFUNCTION("""COMPUTED_VALUE"""),490869.374307)</f>
        <v>490869.3743</v>
      </c>
      <c r="G2701" s="22">
        <f>IFERROR(__xludf.DUMMYFUNCTION("""COMPUTED_VALUE"""),0.0)</f>
        <v>0</v>
      </c>
      <c r="H2701" s="22">
        <f>IFERROR(__xludf.DUMMYFUNCTION("""COMPUTED_VALUE"""),475685.55554655)</f>
        <v>475685.5555</v>
      </c>
      <c r="I2701" s="24">
        <f>IFERROR(__xludf.DUMMYFUNCTION("""COMPUTED_VALUE"""),-0.04862888890689998)</f>
        <v>-0.04862888891</v>
      </c>
    </row>
    <row r="2702">
      <c r="A2702" s="5" t="str">
        <f>IFERROR(__xludf.DUMMYFUNCTION("""COMPUTED_VALUE"""),"39494")</f>
        <v>39494</v>
      </c>
      <c r="B2702" s="64">
        <f>IFERROR(__xludf.DUMMYFUNCTION("""COMPUTED_VALUE"""),44614.0)</f>
        <v>44614</v>
      </c>
      <c r="C2702" s="5"/>
      <c r="D2702" s="5"/>
      <c r="E2702" s="5"/>
      <c r="F2702" s="22">
        <f>IFERROR(__xludf.DUMMYFUNCTION("""COMPUTED_VALUE"""),490869.374307)</f>
        <v>490869.3743</v>
      </c>
      <c r="G2702" s="22">
        <f>IFERROR(__xludf.DUMMYFUNCTION("""COMPUTED_VALUE"""),0.0)</f>
        <v>0</v>
      </c>
      <c r="H2702" s="22">
        <f>IFERROR(__xludf.DUMMYFUNCTION("""COMPUTED_VALUE"""),471998.8552512)</f>
        <v>471998.8553</v>
      </c>
      <c r="I2702" s="24">
        <f>IFERROR(__xludf.DUMMYFUNCTION("""COMPUTED_VALUE"""),-0.0560022894976)</f>
        <v>-0.0560022895</v>
      </c>
    </row>
    <row r="2703">
      <c r="A2703" s="5" t="str">
        <f>IFERROR(__xludf.DUMMYFUNCTION("""COMPUTED_VALUE"""),"39494")</f>
        <v>39494</v>
      </c>
      <c r="B2703" s="64">
        <f>IFERROR(__xludf.DUMMYFUNCTION("""COMPUTED_VALUE"""),44615.0)</f>
        <v>44615</v>
      </c>
      <c r="C2703" s="5"/>
      <c r="D2703" s="5"/>
      <c r="E2703" s="5"/>
      <c r="F2703" s="22">
        <f>IFERROR(__xludf.DUMMYFUNCTION("""COMPUTED_VALUE"""),490869.374307)</f>
        <v>490869.3743</v>
      </c>
      <c r="G2703" s="22">
        <f>IFERROR(__xludf.DUMMYFUNCTION("""COMPUTED_VALUE"""),0.0)</f>
        <v>0</v>
      </c>
      <c r="H2703" s="22">
        <f>IFERROR(__xludf.DUMMYFUNCTION("""COMPUTED_VALUE"""),462524.38128045003)</f>
        <v>462524.3813</v>
      </c>
      <c r="I2703" s="24">
        <f>IFERROR(__xludf.DUMMYFUNCTION("""COMPUTED_VALUE"""),-0.07495123743909993)</f>
        <v>-0.07495123744</v>
      </c>
    </row>
    <row r="2704">
      <c r="A2704" s="5" t="str">
        <f>IFERROR(__xludf.DUMMYFUNCTION("""COMPUTED_VALUE"""),"39494")</f>
        <v>39494</v>
      </c>
      <c r="B2704" s="64">
        <f>IFERROR(__xludf.DUMMYFUNCTION("""COMPUTED_VALUE"""),44616.0)</f>
        <v>44616</v>
      </c>
      <c r="C2704" s="5"/>
      <c r="D2704" s="5"/>
      <c r="E2704" s="5"/>
      <c r="F2704" s="22">
        <f>IFERROR(__xludf.DUMMYFUNCTION("""COMPUTED_VALUE"""),490869.374307)</f>
        <v>490869.3743</v>
      </c>
      <c r="G2704" s="22">
        <f>IFERROR(__xludf.DUMMYFUNCTION("""COMPUTED_VALUE"""),0.0)</f>
        <v>0</v>
      </c>
      <c r="H2704" s="22">
        <f>IFERROR(__xludf.DUMMYFUNCTION("""COMPUTED_VALUE"""),473750.02010965004)</f>
        <v>473750.0201</v>
      </c>
      <c r="I2704" s="24">
        <f>IFERROR(__xludf.DUMMYFUNCTION("""COMPUTED_VALUE"""),-0.05249995978069988)</f>
        <v>-0.05249995978</v>
      </c>
    </row>
    <row r="2705">
      <c r="A2705" s="5" t="str">
        <f>IFERROR(__xludf.DUMMYFUNCTION("""COMPUTED_VALUE"""),"39494")</f>
        <v>39494</v>
      </c>
      <c r="B2705" s="64">
        <f>IFERROR(__xludf.DUMMYFUNCTION("""COMPUTED_VALUE"""),44617.0)</f>
        <v>44617</v>
      </c>
      <c r="C2705" s="5"/>
      <c r="D2705" s="5"/>
      <c r="E2705" s="5"/>
      <c r="F2705" s="22">
        <f>IFERROR(__xludf.DUMMYFUNCTION("""COMPUTED_VALUE"""),490869.374307)</f>
        <v>490869.3743</v>
      </c>
      <c r="G2705" s="22">
        <f>IFERROR(__xludf.DUMMYFUNCTION("""COMPUTED_VALUE"""),0.0)</f>
        <v>0</v>
      </c>
      <c r="H2705" s="22">
        <f>IFERROR(__xludf.DUMMYFUNCTION("""COMPUTED_VALUE"""),478563.2703288499)</f>
        <v>478563.2703</v>
      </c>
      <c r="I2705" s="24">
        <f>IFERROR(__xludf.DUMMYFUNCTION("""COMPUTED_VALUE"""),-0.042873459342300246)</f>
        <v>-0.04287345934</v>
      </c>
    </row>
    <row r="2706">
      <c r="A2706" s="5" t="str">
        <f>IFERROR(__xludf.DUMMYFUNCTION("""COMPUTED_VALUE"""),"39494")</f>
        <v>39494</v>
      </c>
      <c r="B2706" s="64">
        <f>IFERROR(__xludf.DUMMYFUNCTION("""COMPUTED_VALUE"""),44618.0)</f>
        <v>44618</v>
      </c>
      <c r="C2706" s="5"/>
      <c r="D2706" s="5"/>
      <c r="E2706" s="5"/>
      <c r="F2706" s="22">
        <f>IFERROR(__xludf.DUMMYFUNCTION("""COMPUTED_VALUE"""),490869.374307)</f>
        <v>490869.3743</v>
      </c>
      <c r="G2706" s="22">
        <f>IFERROR(__xludf.DUMMYFUNCTION("""COMPUTED_VALUE"""),0.0)</f>
        <v>0</v>
      </c>
      <c r="H2706" s="22">
        <f>IFERROR(__xludf.DUMMYFUNCTION("""COMPUTED_VALUE"""),478563.2703288499)</f>
        <v>478563.2703</v>
      </c>
      <c r="I2706" s="24">
        <f>IFERROR(__xludf.DUMMYFUNCTION("""COMPUTED_VALUE"""),-0.042873459342300246)</f>
        <v>-0.04287345934</v>
      </c>
    </row>
    <row r="2707">
      <c r="A2707" s="5" t="str">
        <f>IFERROR(__xludf.DUMMYFUNCTION("""COMPUTED_VALUE"""),"39494")</f>
        <v>39494</v>
      </c>
      <c r="B2707" s="64">
        <f>IFERROR(__xludf.DUMMYFUNCTION("""COMPUTED_VALUE"""),44619.0)</f>
        <v>44619</v>
      </c>
      <c r="C2707" s="5"/>
      <c r="D2707" s="5"/>
      <c r="E2707" s="5"/>
      <c r="F2707" s="22">
        <f>IFERROR(__xludf.DUMMYFUNCTION("""COMPUTED_VALUE"""),490869.374307)</f>
        <v>490869.3743</v>
      </c>
      <c r="G2707" s="22">
        <f>IFERROR(__xludf.DUMMYFUNCTION("""COMPUTED_VALUE"""),0.0)</f>
        <v>0</v>
      </c>
      <c r="H2707" s="22">
        <f>IFERROR(__xludf.DUMMYFUNCTION("""COMPUTED_VALUE"""),478563.2703288499)</f>
        <v>478563.2703</v>
      </c>
      <c r="I2707" s="24">
        <f>IFERROR(__xludf.DUMMYFUNCTION("""COMPUTED_VALUE"""),-0.042873459342300246)</f>
        <v>-0.04287345934</v>
      </c>
    </row>
    <row r="2708">
      <c r="A2708" s="5" t="str">
        <f>IFERROR(__xludf.DUMMYFUNCTION("""COMPUTED_VALUE"""),"39494")</f>
        <v>39494</v>
      </c>
      <c r="B2708" s="64">
        <f>IFERROR(__xludf.DUMMYFUNCTION("""COMPUTED_VALUE"""),44620.0)</f>
        <v>44620</v>
      </c>
      <c r="C2708" s="5"/>
      <c r="D2708" s="5"/>
      <c r="E2708" s="5"/>
      <c r="F2708" s="22">
        <f>IFERROR(__xludf.DUMMYFUNCTION("""COMPUTED_VALUE"""),490869.374307)</f>
        <v>490869.3743</v>
      </c>
      <c r="G2708" s="22">
        <f>IFERROR(__xludf.DUMMYFUNCTION("""COMPUTED_VALUE"""),0.0)</f>
        <v>0</v>
      </c>
      <c r="H2708" s="22">
        <f>IFERROR(__xludf.DUMMYFUNCTION("""COMPUTED_VALUE"""),480315.86348665)</f>
        <v>480315.8635</v>
      </c>
      <c r="I2708" s="24">
        <f>IFERROR(__xludf.DUMMYFUNCTION("""COMPUTED_VALUE"""),-0.039368273026699985)</f>
        <v>-0.03936827303</v>
      </c>
    </row>
    <row r="2709">
      <c r="A2709" s="5" t="str">
        <f>IFERROR(__xludf.DUMMYFUNCTION("""COMPUTED_VALUE"""),"39494")</f>
        <v>39494</v>
      </c>
      <c r="B2709" s="64">
        <f>IFERROR(__xludf.DUMMYFUNCTION("""COMPUTED_VALUE"""),44621.0)</f>
        <v>44621</v>
      </c>
      <c r="C2709" s="5"/>
      <c r="D2709" s="5"/>
      <c r="E2709" s="5"/>
      <c r="F2709" s="22">
        <f>IFERROR(__xludf.DUMMYFUNCTION("""COMPUTED_VALUE"""),490869.374307)</f>
        <v>490869.3743</v>
      </c>
      <c r="G2709" s="22">
        <f>IFERROR(__xludf.DUMMYFUNCTION("""COMPUTED_VALUE"""),0.0)</f>
        <v>0</v>
      </c>
      <c r="H2709" s="22">
        <f>IFERROR(__xludf.DUMMYFUNCTION("""COMPUTED_VALUE"""),471163.15999425)</f>
        <v>471163.16</v>
      </c>
      <c r="I2709" s="24">
        <f>IFERROR(__xludf.DUMMYFUNCTION("""COMPUTED_VALUE"""),-0.05767368001149997)</f>
        <v>-0.05767368001</v>
      </c>
    </row>
    <row r="2710">
      <c r="A2710" s="5" t="str">
        <f>IFERROR(__xludf.DUMMYFUNCTION("""COMPUTED_VALUE"""),"39494")</f>
        <v>39494</v>
      </c>
      <c r="B2710" s="64">
        <f>IFERROR(__xludf.DUMMYFUNCTION("""COMPUTED_VALUE"""),44622.0)</f>
        <v>44622</v>
      </c>
      <c r="C2710" s="5"/>
      <c r="D2710" s="5"/>
      <c r="E2710" s="5"/>
      <c r="F2710" s="22">
        <f>IFERROR(__xludf.DUMMYFUNCTION("""COMPUTED_VALUE"""),490869.374307)</f>
        <v>490869.3743</v>
      </c>
      <c r="G2710" s="22">
        <f>IFERROR(__xludf.DUMMYFUNCTION("""COMPUTED_VALUE"""),0.0)</f>
        <v>0</v>
      </c>
      <c r="H2710" s="22">
        <f>IFERROR(__xludf.DUMMYFUNCTION("""COMPUTED_VALUE"""),478197.50641165)</f>
        <v>478197.5064</v>
      </c>
      <c r="I2710" s="24">
        <f>IFERROR(__xludf.DUMMYFUNCTION("""COMPUTED_VALUE"""),-0.04360498717670003)</f>
        <v>-0.04360498718</v>
      </c>
    </row>
    <row r="2711">
      <c r="A2711" s="5" t="str">
        <f>IFERROR(__xludf.DUMMYFUNCTION("""COMPUTED_VALUE"""),"39494")</f>
        <v>39494</v>
      </c>
      <c r="B2711" s="64">
        <f>IFERROR(__xludf.DUMMYFUNCTION("""COMPUTED_VALUE"""),44623.0)</f>
        <v>44623</v>
      </c>
      <c r="C2711" s="5"/>
      <c r="D2711" s="5"/>
      <c r="E2711" s="5"/>
      <c r="F2711" s="22">
        <f>IFERROR(__xludf.DUMMYFUNCTION("""COMPUTED_VALUE"""),490869.374307)</f>
        <v>490869.3743</v>
      </c>
      <c r="G2711" s="22">
        <f>IFERROR(__xludf.DUMMYFUNCTION("""COMPUTED_VALUE"""),0.0)</f>
        <v>0</v>
      </c>
      <c r="H2711" s="22">
        <f>IFERROR(__xludf.DUMMYFUNCTION("""COMPUTED_VALUE"""),473049.8771462)</f>
        <v>473049.8771</v>
      </c>
      <c r="I2711" s="24">
        <f>IFERROR(__xludf.DUMMYFUNCTION("""COMPUTED_VALUE"""),-0.05390024570759999)</f>
        <v>-0.05390024571</v>
      </c>
    </row>
    <row r="2712">
      <c r="A2712" s="5" t="str">
        <f>IFERROR(__xludf.DUMMYFUNCTION("""COMPUTED_VALUE"""),"39494")</f>
        <v>39494</v>
      </c>
      <c r="B2712" s="64">
        <f>IFERROR(__xludf.DUMMYFUNCTION("""COMPUTED_VALUE"""),44624.0)</f>
        <v>44624</v>
      </c>
      <c r="C2712" s="5"/>
      <c r="D2712" s="5"/>
      <c r="E2712" s="5"/>
      <c r="F2712" s="22">
        <f>IFERROR(__xludf.DUMMYFUNCTION("""COMPUTED_VALUE"""),490869.374307)</f>
        <v>490869.3743</v>
      </c>
      <c r="G2712" s="22">
        <f>IFERROR(__xludf.DUMMYFUNCTION("""COMPUTED_VALUE"""),0.0)</f>
        <v>0</v>
      </c>
      <c r="H2712" s="22">
        <f>IFERROR(__xludf.DUMMYFUNCTION("""COMPUTED_VALUE"""),465175.46693610004)</f>
        <v>465175.4669</v>
      </c>
      <c r="I2712" s="24">
        <f>IFERROR(__xludf.DUMMYFUNCTION("""COMPUTED_VALUE"""),-0.06964906612779986)</f>
        <v>-0.06964906613</v>
      </c>
    </row>
    <row r="2713">
      <c r="A2713" s="5" t="str">
        <f>IFERROR(__xludf.DUMMYFUNCTION("""COMPUTED_VALUE"""),"39494")</f>
        <v>39494</v>
      </c>
      <c r="B2713" s="64">
        <f>IFERROR(__xludf.DUMMYFUNCTION("""COMPUTED_VALUE"""),44625.0)</f>
        <v>44625</v>
      </c>
      <c r="C2713" s="5"/>
      <c r="D2713" s="5"/>
      <c r="E2713" s="5"/>
      <c r="F2713" s="22">
        <f>IFERROR(__xludf.DUMMYFUNCTION("""COMPUTED_VALUE"""),490869.374307)</f>
        <v>490869.3743</v>
      </c>
      <c r="G2713" s="22">
        <f>IFERROR(__xludf.DUMMYFUNCTION("""COMPUTED_VALUE"""),0.0)</f>
        <v>0</v>
      </c>
      <c r="H2713" s="22">
        <f>IFERROR(__xludf.DUMMYFUNCTION("""COMPUTED_VALUE"""),465175.46693610004)</f>
        <v>465175.4669</v>
      </c>
      <c r="I2713" s="24">
        <f>IFERROR(__xludf.DUMMYFUNCTION("""COMPUTED_VALUE"""),-0.06964906612779986)</f>
        <v>-0.06964906613</v>
      </c>
    </row>
    <row r="2714">
      <c r="A2714" s="5" t="str">
        <f>IFERROR(__xludf.DUMMYFUNCTION("""COMPUTED_VALUE"""),"39494")</f>
        <v>39494</v>
      </c>
      <c r="B2714" s="64">
        <f>IFERROR(__xludf.DUMMYFUNCTION("""COMPUTED_VALUE"""),44626.0)</f>
        <v>44626</v>
      </c>
      <c r="C2714" s="5"/>
      <c r="D2714" s="5"/>
      <c r="E2714" s="5"/>
      <c r="F2714" s="22">
        <f>IFERROR(__xludf.DUMMYFUNCTION("""COMPUTED_VALUE"""),490869.374307)</f>
        <v>490869.3743</v>
      </c>
      <c r="G2714" s="22">
        <f>IFERROR(__xludf.DUMMYFUNCTION("""COMPUTED_VALUE"""),0.0)</f>
        <v>0</v>
      </c>
      <c r="H2714" s="22">
        <f>IFERROR(__xludf.DUMMYFUNCTION("""COMPUTED_VALUE"""),465175.46693610004)</f>
        <v>465175.4669</v>
      </c>
      <c r="I2714" s="24">
        <f>IFERROR(__xludf.DUMMYFUNCTION("""COMPUTED_VALUE"""),-0.06964906612779986)</f>
        <v>-0.06964906613</v>
      </c>
    </row>
    <row r="2715">
      <c r="A2715" s="5" t="str">
        <f>IFERROR(__xludf.DUMMYFUNCTION("""COMPUTED_VALUE"""),"39494")</f>
        <v>39494</v>
      </c>
      <c r="B2715" s="64">
        <f>IFERROR(__xludf.DUMMYFUNCTION("""COMPUTED_VALUE"""),44627.0)</f>
        <v>44627</v>
      </c>
      <c r="C2715" s="5"/>
      <c r="D2715" s="5"/>
      <c r="E2715" s="5"/>
      <c r="F2715" s="22">
        <f>IFERROR(__xludf.DUMMYFUNCTION("""COMPUTED_VALUE"""),490869.374307)</f>
        <v>490869.3743</v>
      </c>
      <c r="G2715" s="22">
        <f>IFERROR(__xludf.DUMMYFUNCTION("""COMPUTED_VALUE"""),0.0)</f>
        <v>0</v>
      </c>
      <c r="H2715" s="22">
        <f>IFERROR(__xludf.DUMMYFUNCTION("""COMPUTED_VALUE"""),449083.12528685)</f>
        <v>449083.1253</v>
      </c>
      <c r="I2715" s="24">
        <f>IFERROR(__xludf.DUMMYFUNCTION("""COMPUTED_VALUE"""),-0.10183374942630008)</f>
        <v>-0.1018337494</v>
      </c>
    </row>
    <row r="2716">
      <c r="A2716" s="5" t="str">
        <f>IFERROR(__xludf.DUMMYFUNCTION("""COMPUTED_VALUE"""),"39494")</f>
        <v>39494</v>
      </c>
      <c r="B2716" s="64">
        <f>IFERROR(__xludf.DUMMYFUNCTION("""COMPUTED_VALUE"""),44628.0)</f>
        <v>44628</v>
      </c>
      <c r="C2716" s="5"/>
      <c r="D2716" s="5"/>
      <c r="E2716" s="5"/>
      <c r="F2716" s="22">
        <f>IFERROR(__xludf.DUMMYFUNCTION("""COMPUTED_VALUE"""),490869.374307)</f>
        <v>490869.3743</v>
      </c>
      <c r="G2716" s="22">
        <f>IFERROR(__xludf.DUMMYFUNCTION("""COMPUTED_VALUE"""),0.0)</f>
        <v>0</v>
      </c>
      <c r="H2716" s="22">
        <f>IFERROR(__xludf.DUMMYFUNCTION("""COMPUTED_VALUE"""),450788.44956175)</f>
        <v>450788.4496</v>
      </c>
      <c r="I2716" s="24">
        <f>IFERROR(__xludf.DUMMYFUNCTION("""COMPUTED_VALUE"""),-0.09842310087649997)</f>
        <v>-0.09842310088</v>
      </c>
    </row>
    <row r="2717">
      <c r="A2717" s="5" t="str">
        <f>IFERROR(__xludf.DUMMYFUNCTION("""COMPUTED_VALUE"""),"39494")</f>
        <v>39494</v>
      </c>
      <c r="B2717" s="64">
        <f>IFERROR(__xludf.DUMMYFUNCTION("""COMPUTED_VALUE"""),44629.0)</f>
        <v>44629</v>
      </c>
      <c r="C2717" s="5"/>
      <c r="D2717" s="5"/>
      <c r="E2717" s="5"/>
      <c r="F2717" s="22">
        <f>IFERROR(__xludf.DUMMYFUNCTION("""COMPUTED_VALUE"""),490869.374307)</f>
        <v>490869.3743</v>
      </c>
      <c r="G2717" s="22">
        <f>IFERROR(__xludf.DUMMYFUNCTION("""COMPUTED_VALUE"""),0.0)</f>
        <v>0</v>
      </c>
      <c r="H2717" s="22">
        <f>IFERROR(__xludf.DUMMYFUNCTION("""COMPUTED_VALUE"""),465441.51298249996)</f>
        <v>465441.513</v>
      </c>
      <c r="I2717" s="24">
        <f>IFERROR(__xludf.DUMMYFUNCTION("""COMPUTED_VALUE"""),-0.06911697403500006)</f>
        <v>-0.06911697404</v>
      </c>
    </row>
    <row r="2718">
      <c r="A2718" s="5" t="str">
        <f>IFERROR(__xludf.DUMMYFUNCTION("""COMPUTED_VALUE"""),"39494")</f>
        <v>39494</v>
      </c>
      <c r="B2718" s="64">
        <f>IFERROR(__xludf.DUMMYFUNCTION("""COMPUTED_VALUE"""),44630.0)</f>
        <v>44630</v>
      </c>
      <c r="C2718" s="5"/>
      <c r="D2718" s="5"/>
      <c r="E2718" s="5"/>
      <c r="F2718" s="22">
        <f>IFERROR(__xludf.DUMMYFUNCTION("""COMPUTED_VALUE"""),490869.374307)</f>
        <v>490869.3743</v>
      </c>
      <c r="G2718" s="22">
        <f>IFERROR(__xludf.DUMMYFUNCTION("""COMPUTED_VALUE"""),0.0)</f>
        <v>0</v>
      </c>
      <c r="H2718" s="22">
        <f>IFERROR(__xludf.DUMMYFUNCTION("""COMPUTED_VALUE"""),465408.4508665)</f>
        <v>465408.4509</v>
      </c>
      <c r="I2718" s="24">
        <f>IFERROR(__xludf.DUMMYFUNCTION("""COMPUTED_VALUE"""),-0.06918309826700009)</f>
        <v>-0.06918309827</v>
      </c>
    </row>
    <row r="2719">
      <c r="A2719" s="5" t="str">
        <f>IFERROR(__xludf.DUMMYFUNCTION("""COMPUTED_VALUE"""),"39494")</f>
        <v>39494</v>
      </c>
      <c r="B2719" s="64">
        <f>IFERROR(__xludf.DUMMYFUNCTION("""COMPUTED_VALUE"""),44631.0)</f>
        <v>44631</v>
      </c>
      <c r="C2719" s="5"/>
      <c r="D2719" s="5"/>
      <c r="E2719" s="5"/>
      <c r="F2719" s="22">
        <f>IFERROR(__xludf.DUMMYFUNCTION("""COMPUTED_VALUE"""),490869.374307)</f>
        <v>490869.3743</v>
      </c>
      <c r="G2719" s="22">
        <f>IFERROR(__xludf.DUMMYFUNCTION("""COMPUTED_VALUE"""),0.0)</f>
        <v>0</v>
      </c>
      <c r="H2719" s="22">
        <f>IFERROR(__xludf.DUMMYFUNCTION("""COMPUTED_VALUE"""),456814.66649945005)</f>
        <v>456814.6665</v>
      </c>
      <c r="I2719" s="24">
        <f>IFERROR(__xludf.DUMMYFUNCTION("""COMPUTED_VALUE"""),-0.08637066700109985)</f>
        <v>-0.086370667</v>
      </c>
    </row>
    <row r="2720">
      <c r="A2720" s="5" t="str">
        <f>IFERROR(__xludf.DUMMYFUNCTION("""COMPUTED_VALUE"""),"39494")</f>
        <v>39494</v>
      </c>
      <c r="B2720" s="64">
        <f>IFERROR(__xludf.DUMMYFUNCTION("""COMPUTED_VALUE"""),44632.0)</f>
        <v>44632</v>
      </c>
      <c r="C2720" s="5"/>
      <c r="D2720" s="5"/>
      <c r="E2720" s="5"/>
      <c r="F2720" s="22">
        <f>IFERROR(__xludf.DUMMYFUNCTION("""COMPUTED_VALUE"""),490869.374307)</f>
        <v>490869.3743</v>
      </c>
      <c r="G2720" s="22">
        <f>IFERROR(__xludf.DUMMYFUNCTION("""COMPUTED_VALUE"""),0.0)</f>
        <v>0</v>
      </c>
      <c r="H2720" s="22">
        <f>IFERROR(__xludf.DUMMYFUNCTION("""COMPUTED_VALUE"""),456814.66649945005)</f>
        <v>456814.6665</v>
      </c>
      <c r="I2720" s="24">
        <f>IFERROR(__xludf.DUMMYFUNCTION("""COMPUTED_VALUE"""),-0.08637066700109985)</f>
        <v>-0.086370667</v>
      </c>
    </row>
    <row r="2721">
      <c r="A2721" s="5" t="str">
        <f>IFERROR(__xludf.DUMMYFUNCTION("""COMPUTED_VALUE"""),"39494")</f>
        <v>39494</v>
      </c>
      <c r="B2721" s="64">
        <f>IFERROR(__xludf.DUMMYFUNCTION("""COMPUTED_VALUE"""),44633.0)</f>
        <v>44633</v>
      </c>
      <c r="C2721" s="5"/>
      <c r="D2721" s="5"/>
      <c r="E2721" s="5"/>
      <c r="F2721" s="22">
        <f>IFERROR(__xludf.DUMMYFUNCTION("""COMPUTED_VALUE"""),490869.374307)</f>
        <v>490869.3743</v>
      </c>
      <c r="G2721" s="22">
        <f>IFERROR(__xludf.DUMMYFUNCTION("""COMPUTED_VALUE"""),0.0)</f>
        <v>0</v>
      </c>
      <c r="H2721" s="22">
        <f>IFERROR(__xludf.DUMMYFUNCTION("""COMPUTED_VALUE"""),456814.66649945005)</f>
        <v>456814.6665</v>
      </c>
      <c r="I2721" s="24">
        <f>IFERROR(__xludf.DUMMYFUNCTION("""COMPUTED_VALUE"""),-0.08637066700109985)</f>
        <v>-0.086370667</v>
      </c>
    </row>
    <row r="2722">
      <c r="A2722" s="5" t="str">
        <f>IFERROR(__xludf.DUMMYFUNCTION("""COMPUTED_VALUE"""),"39494")</f>
        <v>39494</v>
      </c>
      <c r="B2722" s="64">
        <f>IFERROR(__xludf.DUMMYFUNCTION("""COMPUTED_VALUE"""),44634.0)</f>
        <v>44634</v>
      </c>
      <c r="C2722" s="5"/>
      <c r="D2722" s="5"/>
      <c r="E2722" s="5"/>
      <c r="F2722" s="22">
        <f>IFERROR(__xludf.DUMMYFUNCTION("""COMPUTED_VALUE"""),490869.374307)</f>
        <v>490869.3743</v>
      </c>
      <c r="G2722" s="22">
        <f>IFERROR(__xludf.DUMMYFUNCTION("""COMPUTED_VALUE"""),0.0)</f>
        <v>0</v>
      </c>
      <c r="H2722" s="22">
        <f>IFERROR(__xludf.DUMMYFUNCTION("""COMPUTED_VALUE"""),447780.6367784)</f>
        <v>447780.6368</v>
      </c>
      <c r="I2722" s="24">
        <f>IFERROR(__xludf.DUMMYFUNCTION("""COMPUTED_VALUE"""),-0.10443872644320007)</f>
        <v>-0.1044387264</v>
      </c>
    </row>
    <row r="2723">
      <c r="A2723" s="5" t="str">
        <f>IFERROR(__xludf.DUMMYFUNCTION("""COMPUTED_VALUE"""),"39494")</f>
        <v>39494</v>
      </c>
      <c r="B2723" s="64">
        <f>IFERROR(__xludf.DUMMYFUNCTION("""COMPUTED_VALUE"""),44635.0)</f>
        <v>44635</v>
      </c>
      <c r="C2723" s="5"/>
      <c r="D2723" s="5"/>
      <c r="E2723" s="5"/>
      <c r="F2723" s="22">
        <f>IFERROR(__xludf.DUMMYFUNCTION("""COMPUTED_VALUE"""),490869.374307)</f>
        <v>490869.3743</v>
      </c>
      <c r="G2723" s="22">
        <f>IFERROR(__xludf.DUMMYFUNCTION("""COMPUTED_VALUE"""),0.0)</f>
        <v>0</v>
      </c>
      <c r="H2723" s="22">
        <f>IFERROR(__xludf.DUMMYFUNCTION("""COMPUTED_VALUE"""),463259.35493725)</f>
        <v>463259.3549</v>
      </c>
      <c r="I2723" s="24">
        <f>IFERROR(__xludf.DUMMYFUNCTION("""COMPUTED_VALUE"""),-0.07348129012549998)</f>
        <v>-0.07348129013</v>
      </c>
    </row>
    <row r="2724">
      <c r="A2724" s="5" t="str">
        <f>IFERROR(__xludf.DUMMYFUNCTION("""COMPUTED_VALUE"""),"39494")</f>
        <v>39494</v>
      </c>
      <c r="B2724" s="64">
        <f>IFERROR(__xludf.DUMMYFUNCTION("""COMPUTED_VALUE"""),44636.0)</f>
        <v>44636</v>
      </c>
      <c r="C2724" s="5"/>
      <c r="D2724" s="5"/>
      <c r="E2724" s="5"/>
      <c r="F2724" s="22">
        <f>IFERROR(__xludf.DUMMYFUNCTION("""COMPUTED_VALUE"""),490869.374307)</f>
        <v>490869.3743</v>
      </c>
      <c r="G2724" s="22">
        <f>IFERROR(__xludf.DUMMYFUNCTION("""COMPUTED_VALUE"""),0.0)</f>
        <v>0</v>
      </c>
      <c r="H2724" s="22">
        <f>IFERROR(__xludf.DUMMYFUNCTION("""COMPUTED_VALUE"""),481038.74679064995)</f>
        <v>481038.7468</v>
      </c>
      <c r="I2724" s="24">
        <f>IFERROR(__xludf.DUMMYFUNCTION("""COMPUTED_VALUE"""),-0.0379225064187001)</f>
        <v>-0.03792250642</v>
      </c>
    </row>
    <row r="2725">
      <c r="A2725" s="5" t="str">
        <f>IFERROR(__xludf.DUMMYFUNCTION("""COMPUTED_VALUE"""),"39494")</f>
        <v>39494</v>
      </c>
      <c r="B2725" s="64">
        <f>IFERROR(__xludf.DUMMYFUNCTION("""COMPUTED_VALUE"""),44637.0)</f>
        <v>44637</v>
      </c>
      <c r="C2725" s="5"/>
      <c r="D2725" s="5"/>
      <c r="E2725" s="5"/>
      <c r="F2725" s="22">
        <f>IFERROR(__xludf.DUMMYFUNCTION("""COMPUTED_VALUE"""),490869.374307)</f>
        <v>490869.3743</v>
      </c>
      <c r="G2725" s="22">
        <f>IFERROR(__xludf.DUMMYFUNCTION("""COMPUTED_VALUE"""),0.0)</f>
        <v>0</v>
      </c>
      <c r="H2725" s="22">
        <f>IFERROR(__xludf.DUMMYFUNCTION("""COMPUTED_VALUE"""),484974.9534357)</f>
        <v>484974.9534</v>
      </c>
      <c r="I2725" s="24">
        <f>IFERROR(__xludf.DUMMYFUNCTION("""COMPUTED_VALUE"""),-0.030050093128600075)</f>
        <v>-0.03005009313</v>
      </c>
    </row>
    <row r="2726">
      <c r="A2726" s="5" t="str">
        <f>IFERROR(__xludf.DUMMYFUNCTION("""COMPUTED_VALUE"""),"39494")</f>
        <v>39494</v>
      </c>
      <c r="B2726" s="64">
        <f>IFERROR(__xludf.DUMMYFUNCTION("""COMPUTED_VALUE"""),44638.0)</f>
        <v>44638</v>
      </c>
      <c r="C2726" s="5"/>
      <c r="D2726" s="5"/>
      <c r="E2726" s="5"/>
      <c r="F2726" s="22">
        <f>IFERROR(__xludf.DUMMYFUNCTION("""COMPUTED_VALUE"""),490869.374307)</f>
        <v>490869.3743</v>
      </c>
      <c r="G2726" s="22">
        <f>IFERROR(__xludf.DUMMYFUNCTION("""COMPUTED_VALUE"""),0.0)</f>
        <v>0</v>
      </c>
      <c r="H2726" s="22">
        <f>IFERROR(__xludf.DUMMYFUNCTION("""COMPUTED_VALUE"""),499678.51093405)</f>
        <v>499678.5109</v>
      </c>
      <c r="I2726" s="24">
        <f>IFERROR(__xludf.DUMMYFUNCTION("""COMPUTED_VALUE"""),-6.429781318999517E-4)</f>
        <v>-0.0006429781319</v>
      </c>
    </row>
    <row r="2727">
      <c r="A2727" s="5" t="str">
        <f>IFERROR(__xludf.DUMMYFUNCTION("""COMPUTED_VALUE"""),"39494")</f>
        <v>39494</v>
      </c>
      <c r="B2727" s="64">
        <f>IFERROR(__xludf.DUMMYFUNCTION("""COMPUTED_VALUE"""),44639.0)</f>
        <v>44639</v>
      </c>
      <c r="C2727" s="5"/>
      <c r="D2727" s="5"/>
      <c r="E2727" s="5"/>
      <c r="F2727" s="22">
        <f>IFERROR(__xludf.DUMMYFUNCTION("""COMPUTED_VALUE"""),490869.374307)</f>
        <v>490869.3743</v>
      </c>
      <c r="G2727" s="22">
        <f>IFERROR(__xludf.DUMMYFUNCTION("""COMPUTED_VALUE"""),0.0)</f>
        <v>0</v>
      </c>
      <c r="H2727" s="22">
        <f>IFERROR(__xludf.DUMMYFUNCTION("""COMPUTED_VALUE"""),499678.51093405)</f>
        <v>499678.5109</v>
      </c>
      <c r="I2727" s="24">
        <f>IFERROR(__xludf.DUMMYFUNCTION("""COMPUTED_VALUE"""),-6.429781318999517E-4)</f>
        <v>-0.0006429781319</v>
      </c>
    </row>
    <row r="2728">
      <c r="A2728" s="5" t="str">
        <f>IFERROR(__xludf.DUMMYFUNCTION("""COMPUTED_VALUE"""),"39494")</f>
        <v>39494</v>
      </c>
      <c r="B2728" s="64">
        <f>IFERROR(__xludf.DUMMYFUNCTION("""COMPUTED_VALUE"""),44640.0)</f>
        <v>44640</v>
      </c>
      <c r="C2728" s="5"/>
      <c r="D2728" s="5"/>
      <c r="E2728" s="5"/>
      <c r="F2728" s="22">
        <f>IFERROR(__xludf.DUMMYFUNCTION("""COMPUTED_VALUE"""),490869.374307)</f>
        <v>490869.3743</v>
      </c>
      <c r="G2728" s="22">
        <f>IFERROR(__xludf.DUMMYFUNCTION("""COMPUTED_VALUE"""),0.0)</f>
        <v>0</v>
      </c>
      <c r="H2728" s="22">
        <f>IFERROR(__xludf.DUMMYFUNCTION("""COMPUTED_VALUE"""),499678.51093405)</f>
        <v>499678.5109</v>
      </c>
      <c r="I2728" s="24">
        <f>IFERROR(__xludf.DUMMYFUNCTION("""COMPUTED_VALUE"""),-6.429781318999517E-4)</f>
        <v>-0.0006429781319</v>
      </c>
    </row>
    <row r="2729">
      <c r="A2729" s="5" t="str">
        <f>IFERROR(__xludf.DUMMYFUNCTION("""COMPUTED_VALUE"""),"39494")</f>
        <v>39494</v>
      </c>
      <c r="B2729" s="64">
        <f>IFERROR(__xludf.DUMMYFUNCTION("""COMPUTED_VALUE"""),44641.0)</f>
        <v>44641</v>
      </c>
      <c r="C2729" s="5"/>
      <c r="D2729" s="5"/>
      <c r="E2729" s="5"/>
      <c r="F2729" s="22">
        <f>IFERROR(__xludf.DUMMYFUNCTION("""COMPUTED_VALUE"""),490869.374307)</f>
        <v>490869.3743</v>
      </c>
      <c r="G2729" s="22">
        <f>IFERROR(__xludf.DUMMYFUNCTION("""COMPUTED_VALUE"""),0.0)</f>
        <v>0</v>
      </c>
      <c r="H2729" s="22">
        <f>IFERROR(__xludf.DUMMYFUNCTION("""COMPUTED_VALUE"""),500318.3013476)</f>
        <v>500318.3013</v>
      </c>
      <c r="I2729" s="24">
        <f>IFERROR(__xludf.DUMMYFUNCTION("""COMPUTED_VALUE"""),6.366026952000503E-4)</f>
        <v>0.0006366026952</v>
      </c>
    </row>
    <row r="2730">
      <c r="A2730" s="5" t="str">
        <f>IFERROR(__xludf.DUMMYFUNCTION("""COMPUTED_VALUE"""),"39494")</f>
        <v>39494</v>
      </c>
      <c r="B2730" s="64">
        <f>IFERROR(__xludf.DUMMYFUNCTION("""COMPUTED_VALUE"""),44642.0)</f>
        <v>44642</v>
      </c>
      <c r="C2730" s="5"/>
      <c r="D2730" s="5"/>
      <c r="E2730" s="5"/>
      <c r="F2730" s="22">
        <f>IFERROR(__xludf.DUMMYFUNCTION("""COMPUTED_VALUE"""),490869.374307)</f>
        <v>490869.3743</v>
      </c>
      <c r="G2730" s="22">
        <f>IFERROR(__xludf.DUMMYFUNCTION("""COMPUTED_VALUE"""),0.0)</f>
        <v>0</v>
      </c>
      <c r="H2730" s="22">
        <f>IFERROR(__xludf.DUMMYFUNCTION("""COMPUTED_VALUE"""),500139.5853571)</f>
        <v>500139.5854</v>
      </c>
      <c r="I2730" s="24">
        <f>IFERROR(__xludf.DUMMYFUNCTION("""COMPUTED_VALUE"""),2.791707142000277E-4)</f>
        <v>0.0002791707142</v>
      </c>
    </row>
    <row r="2731">
      <c r="A2731" s="5" t="str">
        <f>IFERROR(__xludf.DUMMYFUNCTION("""COMPUTED_VALUE"""),"39494")</f>
        <v>39494</v>
      </c>
      <c r="B2731" s="64">
        <f>IFERROR(__xludf.DUMMYFUNCTION("""COMPUTED_VALUE"""),44643.0)</f>
        <v>44643</v>
      </c>
      <c r="C2731" s="5"/>
      <c r="D2731" s="5"/>
      <c r="E2731" s="5"/>
      <c r="F2731" s="22">
        <f>IFERROR(__xludf.DUMMYFUNCTION("""COMPUTED_VALUE"""),490869.374307)</f>
        <v>490869.3743</v>
      </c>
      <c r="G2731" s="22">
        <f>IFERROR(__xludf.DUMMYFUNCTION("""COMPUTED_VALUE"""),0.0)</f>
        <v>0</v>
      </c>
      <c r="H2731" s="22">
        <f>IFERROR(__xludf.DUMMYFUNCTION("""COMPUTED_VALUE"""),492717.22307715)</f>
        <v>492717.2231</v>
      </c>
      <c r="I2731" s="24">
        <f>IFERROR(__xludf.DUMMYFUNCTION("""COMPUTED_VALUE"""),-0.014565553845700019)</f>
        <v>-0.01456555385</v>
      </c>
    </row>
    <row r="2732">
      <c r="A2732" s="5" t="str">
        <f>IFERROR(__xludf.DUMMYFUNCTION("""COMPUTED_VALUE"""),"39494")</f>
        <v>39494</v>
      </c>
      <c r="B2732" s="64">
        <f>IFERROR(__xludf.DUMMYFUNCTION("""COMPUTED_VALUE"""),44644.0)</f>
        <v>44644</v>
      </c>
      <c r="C2732" s="5"/>
      <c r="D2732" s="5"/>
      <c r="E2732" s="5"/>
      <c r="F2732" s="22">
        <f>IFERROR(__xludf.DUMMYFUNCTION("""COMPUTED_VALUE"""),490869.374307)</f>
        <v>490869.3743</v>
      </c>
      <c r="G2732" s="22">
        <f>IFERROR(__xludf.DUMMYFUNCTION("""COMPUTED_VALUE"""),0.0)</f>
        <v>0</v>
      </c>
      <c r="H2732" s="22">
        <f>IFERROR(__xludf.DUMMYFUNCTION("""COMPUTED_VALUE"""),515272.69760250003)</f>
        <v>515272.6976</v>
      </c>
      <c r="I2732" s="24">
        <f>IFERROR(__xludf.DUMMYFUNCTION("""COMPUTED_VALUE"""),0.030545395205000103)</f>
        <v>0.03054539521</v>
      </c>
    </row>
    <row r="2733">
      <c r="A2733" s="5" t="str">
        <f>IFERROR(__xludf.DUMMYFUNCTION("""COMPUTED_VALUE"""),"39494")</f>
        <v>39494</v>
      </c>
      <c r="B2733" s="64">
        <f>IFERROR(__xludf.DUMMYFUNCTION("""COMPUTED_VALUE"""),44645.0)</f>
        <v>44645</v>
      </c>
      <c r="C2733" s="5"/>
      <c r="D2733" s="5"/>
      <c r="E2733" s="5"/>
      <c r="F2733" s="22">
        <f>IFERROR(__xludf.DUMMYFUNCTION("""COMPUTED_VALUE"""),490869.374307)</f>
        <v>490869.3743</v>
      </c>
      <c r="G2733" s="22">
        <f>IFERROR(__xludf.DUMMYFUNCTION("""COMPUTED_VALUE"""),0.0)</f>
        <v>0</v>
      </c>
      <c r="H2733" s="22">
        <f>IFERROR(__xludf.DUMMYFUNCTION("""COMPUTED_VALUE"""),511548.6442218001)</f>
        <v>511548.6442</v>
      </c>
      <c r="I2733" s="24">
        <f>IFERROR(__xludf.DUMMYFUNCTION("""COMPUTED_VALUE"""),0.02309728844360026)</f>
        <v>0.02309728844</v>
      </c>
    </row>
    <row r="2734">
      <c r="A2734" s="5" t="str">
        <f>IFERROR(__xludf.DUMMYFUNCTION("""COMPUTED_VALUE"""),"39494")</f>
        <v>39494</v>
      </c>
      <c r="B2734" s="64">
        <f>IFERROR(__xludf.DUMMYFUNCTION("""COMPUTED_VALUE"""),44646.0)</f>
        <v>44646</v>
      </c>
      <c r="C2734" s="5"/>
      <c r="D2734" s="5"/>
      <c r="E2734" s="5"/>
      <c r="F2734" s="22">
        <f>IFERROR(__xludf.DUMMYFUNCTION("""COMPUTED_VALUE"""),490869.374307)</f>
        <v>490869.3743</v>
      </c>
      <c r="G2734" s="22">
        <f>IFERROR(__xludf.DUMMYFUNCTION("""COMPUTED_VALUE"""),0.0)</f>
        <v>0</v>
      </c>
      <c r="H2734" s="22">
        <f>IFERROR(__xludf.DUMMYFUNCTION("""COMPUTED_VALUE"""),511548.6442218001)</f>
        <v>511548.6442</v>
      </c>
      <c r="I2734" s="24">
        <f>IFERROR(__xludf.DUMMYFUNCTION("""COMPUTED_VALUE"""),0.02309728844360026)</f>
        <v>0.02309728844</v>
      </c>
    </row>
    <row r="2735">
      <c r="A2735" s="5" t="str">
        <f>IFERROR(__xludf.DUMMYFUNCTION("""COMPUTED_VALUE"""),"39494")</f>
        <v>39494</v>
      </c>
      <c r="B2735" s="64">
        <f>IFERROR(__xludf.DUMMYFUNCTION("""COMPUTED_VALUE"""),44647.0)</f>
        <v>44647</v>
      </c>
      <c r="C2735" s="5"/>
      <c r="D2735" s="5"/>
      <c r="E2735" s="5"/>
      <c r="F2735" s="22">
        <f>IFERROR(__xludf.DUMMYFUNCTION("""COMPUTED_VALUE"""),490869.374307)</f>
        <v>490869.3743</v>
      </c>
      <c r="G2735" s="22">
        <f>IFERROR(__xludf.DUMMYFUNCTION("""COMPUTED_VALUE"""),0.0)</f>
        <v>0</v>
      </c>
      <c r="H2735" s="22">
        <f>IFERROR(__xludf.DUMMYFUNCTION("""COMPUTED_VALUE"""),511548.6442218001)</f>
        <v>511548.6442</v>
      </c>
      <c r="I2735" s="24">
        <f>IFERROR(__xludf.DUMMYFUNCTION("""COMPUTED_VALUE"""),0.02309728844360026)</f>
        <v>0.02309728844</v>
      </c>
    </row>
    <row r="2736">
      <c r="A2736" s="5" t="str">
        <f>IFERROR(__xludf.DUMMYFUNCTION("""COMPUTED_VALUE"""),"39494")</f>
        <v>39494</v>
      </c>
      <c r="B2736" s="64">
        <f>IFERROR(__xludf.DUMMYFUNCTION("""COMPUTED_VALUE"""),44648.0)</f>
        <v>44648</v>
      </c>
      <c r="C2736" s="5"/>
      <c r="D2736" s="5"/>
      <c r="E2736" s="5"/>
      <c r="F2736" s="22">
        <f>IFERROR(__xludf.DUMMYFUNCTION("""COMPUTED_VALUE"""),490869.374307)</f>
        <v>490869.3743</v>
      </c>
      <c r="G2736" s="22">
        <f>IFERROR(__xludf.DUMMYFUNCTION("""COMPUTED_VALUE"""),0.0)</f>
        <v>0</v>
      </c>
      <c r="H2736" s="22">
        <f>IFERROR(__xludf.DUMMYFUNCTION("""COMPUTED_VALUE"""),514861.8912415)</f>
        <v>514861.8912</v>
      </c>
      <c r="I2736" s="24">
        <f>IFERROR(__xludf.DUMMYFUNCTION("""COMPUTED_VALUE"""),0.029723782482999894)</f>
        <v>0.02972378248</v>
      </c>
    </row>
    <row r="2737">
      <c r="A2737" s="5" t="str">
        <f>IFERROR(__xludf.DUMMYFUNCTION("""COMPUTED_VALUE"""),"39494")</f>
        <v>39494</v>
      </c>
      <c r="B2737" s="64">
        <f>IFERROR(__xludf.DUMMYFUNCTION("""COMPUTED_VALUE"""),44649.0)</f>
        <v>44649</v>
      </c>
      <c r="C2737" s="5"/>
      <c r="D2737" s="5"/>
      <c r="E2737" s="5"/>
      <c r="F2737" s="22">
        <f>IFERROR(__xludf.DUMMYFUNCTION("""COMPUTED_VALUE"""),490869.374307)</f>
        <v>490869.3743</v>
      </c>
      <c r="G2737" s="22">
        <f>IFERROR(__xludf.DUMMYFUNCTION("""COMPUTED_VALUE"""),0.0)</f>
        <v>0</v>
      </c>
      <c r="H2737" s="22">
        <f>IFERROR(__xludf.DUMMYFUNCTION("""COMPUTED_VALUE"""),519389.22966635)</f>
        <v>519389.2297</v>
      </c>
      <c r="I2737" s="24">
        <f>IFERROR(__xludf.DUMMYFUNCTION("""COMPUTED_VALUE"""),0.03877845933270008)</f>
        <v>0.03877845933</v>
      </c>
    </row>
    <row r="2738">
      <c r="A2738" s="5" t="str">
        <f>IFERROR(__xludf.DUMMYFUNCTION("""COMPUTED_VALUE"""),"39494")</f>
        <v>39494</v>
      </c>
      <c r="B2738" s="64">
        <f>IFERROR(__xludf.DUMMYFUNCTION("""COMPUTED_VALUE"""),44650.0)</f>
        <v>44650</v>
      </c>
      <c r="C2738" s="5"/>
      <c r="D2738" s="5"/>
      <c r="E2738" s="5"/>
      <c r="F2738" s="22">
        <f>IFERROR(__xludf.DUMMYFUNCTION("""COMPUTED_VALUE"""),490869.374307)</f>
        <v>490869.3743</v>
      </c>
      <c r="G2738" s="22">
        <f>IFERROR(__xludf.DUMMYFUNCTION("""COMPUTED_VALUE"""),0.0)</f>
        <v>0</v>
      </c>
      <c r="H2738" s="22">
        <f>IFERROR(__xludf.DUMMYFUNCTION("""COMPUTED_VALUE"""),508667.74606810004)</f>
        <v>508667.7461</v>
      </c>
      <c r="I2738" s="24">
        <f>IFERROR(__xludf.DUMMYFUNCTION("""COMPUTED_VALUE"""),0.017335492136200115)</f>
        <v>0.01733549214</v>
      </c>
    </row>
    <row r="2739">
      <c r="A2739" s="5" t="str">
        <f>IFERROR(__xludf.DUMMYFUNCTION("""COMPUTED_VALUE"""),"39494")</f>
        <v>39494</v>
      </c>
      <c r="B2739" s="64">
        <f>IFERROR(__xludf.DUMMYFUNCTION("""COMPUTED_VALUE"""),44651.0)</f>
        <v>44651</v>
      </c>
      <c r="C2739" s="5"/>
      <c r="D2739" s="5"/>
      <c r="E2739" s="5"/>
      <c r="F2739" s="22">
        <f>IFERROR(__xludf.DUMMYFUNCTION("""COMPUTED_VALUE"""),490869.374307)</f>
        <v>490869.3743</v>
      </c>
      <c r="G2739" s="22">
        <f>IFERROR(__xludf.DUMMYFUNCTION("""COMPUTED_VALUE"""),0.0)</f>
        <v>0</v>
      </c>
      <c r="H2739" s="22">
        <f>IFERROR(__xludf.DUMMYFUNCTION("""COMPUTED_VALUE"""),502422.99961585)</f>
        <v>502422.9996</v>
      </c>
      <c r="I2739" s="24">
        <f>IFERROR(__xludf.DUMMYFUNCTION("""COMPUTED_VALUE"""),0.004845999231700038)</f>
        <v>0.004845999232</v>
      </c>
    </row>
    <row r="2740">
      <c r="A2740" s="5" t="str">
        <f>IFERROR(__xludf.DUMMYFUNCTION("""COMPUTED_VALUE"""),"39494")</f>
        <v>39494</v>
      </c>
      <c r="B2740" s="64">
        <f>IFERROR(__xludf.DUMMYFUNCTION("""COMPUTED_VALUE"""),44652.0)</f>
        <v>44652</v>
      </c>
      <c r="C2740" s="5"/>
      <c r="D2740" s="5"/>
      <c r="E2740" s="5"/>
      <c r="F2740" s="22">
        <f>IFERROR(__xludf.DUMMYFUNCTION("""COMPUTED_VALUE"""),490869.374307)</f>
        <v>490869.3743</v>
      </c>
      <c r="G2740" s="22">
        <f>IFERROR(__xludf.DUMMYFUNCTION("""COMPUTED_VALUE"""),0.0)</f>
        <v>0</v>
      </c>
      <c r="H2740" s="22">
        <f>IFERROR(__xludf.DUMMYFUNCTION("""COMPUTED_VALUE"""),499655.3604487)</f>
        <v>499655.3604</v>
      </c>
      <c r="I2740" s="24">
        <f>IFERROR(__xludf.DUMMYFUNCTION("""COMPUTED_VALUE"""),-6.892791025999712E-4)</f>
        <v>-0.0006892791026</v>
      </c>
    </row>
    <row r="2741">
      <c r="A2741" s="5" t="str">
        <f>IFERROR(__xludf.DUMMYFUNCTION("""COMPUTED_VALUE"""),"39494")</f>
        <v>39494</v>
      </c>
      <c r="B2741" s="64">
        <f>IFERROR(__xludf.DUMMYFUNCTION("""COMPUTED_VALUE"""),44653.0)</f>
        <v>44653</v>
      </c>
      <c r="C2741" s="5"/>
      <c r="D2741" s="5"/>
      <c r="E2741" s="5"/>
      <c r="F2741" s="22">
        <f>IFERROR(__xludf.DUMMYFUNCTION("""COMPUTED_VALUE"""),490869.374307)</f>
        <v>490869.3743</v>
      </c>
      <c r="G2741" s="22">
        <f>IFERROR(__xludf.DUMMYFUNCTION("""COMPUTED_VALUE"""),0.0)</f>
        <v>0</v>
      </c>
      <c r="H2741" s="22">
        <f>IFERROR(__xludf.DUMMYFUNCTION("""COMPUTED_VALUE"""),499655.3604487)</f>
        <v>499655.3604</v>
      </c>
      <c r="I2741" s="24">
        <f>IFERROR(__xludf.DUMMYFUNCTION("""COMPUTED_VALUE"""),-6.892791025999712E-4)</f>
        <v>-0.0006892791026</v>
      </c>
    </row>
    <row r="2742">
      <c r="A2742" s="5" t="str">
        <f>IFERROR(__xludf.DUMMYFUNCTION("""COMPUTED_VALUE"""),"39494")</f>
        <v>39494</v>
      </c>
      <c r="B2742" s="64">
        <f>IFERROR(__xludf.DUMMYFUNCTION("""COMPUTED_VALUE"""),44654.0)</f>
        <v>44654</v>
      </c>
      <c r="C2742" s="5"/>
      <c r="D2742" s="5"/>
      <c r="E2742" s="5"/>
      <c r="F2742" s="22">
        <f>IFERROR(__xludf.DUMMYFUNCTION("""COMPUTED_VALUE"""),490869.374307)</f>
        <v>490869.3743</v>
      </c>
      <c r="G2742" s="22">
        <f>IFERROR(__xludf.DUMMYFUNCTION("""COMPUTED_VALUE"""),0.0)</f>
        <v>0</v>
      </c>
      <c r="H2742" s="22">
        <f>IFERROR(__xludf.DUMMYFUNCTION("""COMPUTED_VALUE"""),499655.3604487)</f>
        <v>499655.3604</v>
      </c>
      <c r="I2742" s="24">
        <f>IFERROR(__xludf.DUMMYFUNCTION("""COMPUTED_VALUE"""),-6.892791025999712E-4)</f>
        <v>-0.0006892791026</v>
      </c>
    </row>
    <row r="2743">
      <c r="A2743" s="5" t="str">
        <f>IFERROR(__xludf.DUMMYFUNCTION("""COMPUTED_VALUE"""),"39494")</f>
        <v>39494</v>
      </c>
      <c r="B2743" s="64">
        <f>IFERROR(__xludf.DUMMYFUNCTION("""COMPUTED_VALUE"""),44655.0)</f>
        <v>44655</v>
      </c>
      <c r="C2743" s="5"/>
      <c r="D2743" s="5"/>
      <c r="E2743" s="5"/>
      <c r="F2743" s="22">
        <f>IFERROR(__xludf.DUMMYFUNCTION("""COMPUTED_VALUE"""),490869.374307)</f>
        <v>490869.3743</v>
      </c>
      <c r="G2743" s="22">
        <f>IFERROR(__xludf.DUMMYFUNCTION("""COMPUTED_VALUE"""),0.0)</f>
        <v>0</v>
      </c>
      <c r="H2743" s="22">
        <f>IFERROR(__xludf.DUMMYFUNCTION("""COMPUTED_VALUE"""),506959.90889295004)</f>
        <v>506959.9089</v>
      </c>
      <c r="I2743" s="24">
        <f>IFERROR(__xludf.DUMMYFUNCTION("""COMPUTED_VALUE"""),0.013919817785900124)</f>
        <v>0.01391981779</v>
      </c>
    </row>
    <row r="2744">
      <c r="A2744" s="5" t="str">
        <f>IFERROR(__xludf.DUMMYFUNCTION("""COMPUTED_VALUE"""),"39494")</f>
        <v>39494</v>
      </c>
      <c r="B2744" s="64">
        <f>IFERROR(__xludf.DUMMYFUNCTION("""COMPUTED_VALUE"""),44656.0)</f>
        <v>44656</v>
      </c>
      <c r="C2744" s="5"/>
      <c r="D2744" s="5"/>
      <c r="E2744" s="5"/>
      <c r="F2744" s="22">
        <f>IFERROR(__xludf.DUMMYFUNCTION("""COMPUTED_VALUE"""),490869.374307)</f>
        <v>490869.3743</v>
      </c>
      <c r="G2744" s="22">
        <f>IFERROR(__xludf.DUMMYFUNCTION("""COMPUTED_VALUE"""),0.0)</f>
        <v>0</v>
      </c>
      <c r="H2744" s="22">
        <f>IFERROR(__xludf.DUMMYFUNCTION("""COMPUTED_VALUE"""),491105.06880979997)</f>
        <v>491105.0688</v>
      </c>
      <c r="I2744" s="24">
        <f>IFERROR(__xludf.DUMMYFUNCTION("""COMPUTED_VALUE"""),-0.017789862380400034)</f>
        <v>-0.01778986238</v>
      </c>
    </row>
    <row r="2745">
      <c r="A2745" s="5" t="str">
        <f>IFERROR(__xludf.DUMMYFUNCTION("""COMPUTED_VALUE"""),"39494")</f>
        <v>39494</v>
      </c>
      <c r="B2745" s="64">
        <f>IFERROR(__xludf.DUMMYFUNCTION("""COMPUTED_VALUE"""),44657.0)</f>
        <v>44657</v>
      </c>
      <c r="C2745" s="5"/>
      <c r="D2745" s="5"/>
      <c r="E2745" s="5"/>
      <c r="F2745" s="22">
        <f>IFERROR(__xludf.DUMMYFUNCTION("""COMPUTED_VALUE"""),490869.374307)</f>
        <v>490869.3743</v>
      </c>
      <c r="G2745" s="22">
        <f>IFERROR(__xludf.DUMMYFUNCTION("""COMPUTED_VALUE"""),0.0)</f>
        <v>0</v>
      </c>
      <c r="H2745" s="22">
        <f>IFERROR(__xludf.DUMMYFUNCTION("""COMPUTED_VALUE"""),477902.1681574999)</f>
        <v>477902.1682</v>
      </c>
      <c r="I2745" s="24">
        <f>IFERROR(__xludf.DUMMYFUNCTION("""COMPUTED_VALUE"""),-0.044195663685000164)</f>
        <v>-0.04419566369</v>
      </c>
    </row>
    <row r="2746">
      <c r="A2746" s="5" t="str">
        <f>IFERROR(__xludf.DUMMYFUNCTION("""COMPUTED_VALUE"""),"39494")</f>
        <v>39494</v>
      </c>
      <c r="B2746" s="64">
        <f>IFERROR(__xludf.DUMMYFUNCTION("""COMPUTED_VALUE"""),44658.0)</f>
        <v>44658</v>
      </c>
      <c r="C2746" s="5"/>
      <c r="D2746" s="5"/>
      <c r="E2746" s="5"/>
      <c r="F2746" s="22">
        <f>IFERROR(__xludf.DUMMYFUNCTION("""COMPUTED_VALUE"""),490869.374307)</f>
        <v>490869.3743</v>
      </c>
      <c r="G2746" s="22">
        <f>IFERROR(__xludf.DUMMYFUNCTION("""COMPUTED_VALUE"""),0.0)</f>
        <v>0</v>
      </c>
      <c r="H2746" s="22">
        <f>IFERROR(__xludf.DUMMYFUNCTION("""COMPUTED_VALUE"""),475663.59547785006)</f>
        <v>475663.5955</v>
      </c>
      <c r="I2746" s="24">
        <f>IFERROR(__xludf.DUMMYFUNCTION("""COMPUTED_VALUE"""),-0.048672809044299825)</f>
        <v>-0.04867280904</v>
      </c>
    </row>
    <row r="2747">
      <c r="A2747" s="5" t="str">
        <f>IFERROR(__xludf.DUMMYFUNCTION("""COMPUTED_VALUE"""),"39494")</f>
        <v>39494</v>
      </c>
      <c r="B2747" s="64">
        <f>IFERROR(__xludf.DUMMYFUNCTION("""COMPUTED_VALUE"""),44659.0)</f>
        <v>44659</v>
      </c>
      <c r="C2747" s="5"/>
      <c r="D2747" s="5"/>
      <c r="E2747" s="5"/>
      <c r="F2747" s="22">
        <f>IFERROR(__xludf.DUMMYFUNCTION("""COMPUTED_VALUE"""),490869.374307)</f>
        <v>490869.3743</v>
      </c>
      <c r="G2747" s="22">
        <f>IFERROR(__xludf.DUMMYFUNCTION("""COMPUTED_VALUE"""),0.0)</f>
        <v>0</v>
      </c>
      <c r="H2747" s="22">
        <f>IFERROR(__xludf.DUMMYFUNCTION("""COMPUTED_VALUE"""),467182.18937495)</f>
        <v>467182.1894</v>
      </c>
      <c r="I2747" s="24">
        <f>IFERROR(__xludf.DUMMYFUNCTION("""COMPUTED_VALUE"""),-0.06563562125009992)</f>
        <v>-0.06563562125</v>
      </c>
    </row>
    <row r="2748">
      <c r="A2748" s="5" t="str">
        <f>IFERROR(__xludf.DUMMYFUNCTION("""COMPUTED_VALUE"""),"39494")</f>
        <v>39494</v>
      </c>
      <c r="B2748" s="64">
        <f>IFERROR(__xludf.DUMMYFUNCTION("""COMPUTED_VALUE"""),44660.0)</f>
        <v>44660</v>
      </c>
      <c r="C2748" s="5"/>
      <c r="D2748" s="5"/>
      <c r="E2748" s="5"/>
      <c r="F2748" s="22">
        <f>IFERROR(__xludf.DUMMYFUNCTION("""COMPUTED_VALUE"""),490869.374307)</f>
        <v>490869.3743</v>
      </c>
      <c r="G2748" s="22">
        <f>IFERROR(__xludf.DUMMYFUNCTION("""COMPUTED_VALUE"""),0.0)</f>
        <v>0</v>
      </c>
      <c r="H2748" s="22">
        <f>IFERROR(__xludf.DUMMYFUNCTION("""COMPUTED_VALUE"""),467182.18937495)</f>
        <v>467182.1894</v>
      </c>
      <c r="I2748" s="24">
        <f>IFERROR(__xludf.DUMMYFUNCTION("""COMPUTED_VALUE"""),-0.06563562125009992)</f>
        <v>-0.06563562125</v>
      </c>
    </row>
    <row r="2749">
      <c r="A2749" s="5" t="str">
        <f>IFERROR(__xludf.DUMMYFUNCTION("""COMPUTED_VALUE"""),"39494")</f>
        <v>39494</v>
      </c>
      <c r="B2749" s="64">
        <f>IFERROR(__xludf.DUMMYFUNCTION("""COMPUTED_VALUE"""),44661.0)</f>
        <v>44661</v>
      </c>
      <c r="C2749" s="5"/>
      <c r="D2749" s="5"/>
      <c r="E2749" s="5"/>
      <c r="F2749" s="22">
        <f>IFERROR(__xludf.DUMMYFUNCTION("""COMPUTED_VALUE"""),490869.374307)</f>
        <v>490869.3743</v>
      </c>
      <c r="G2749" s="22">
        <f>IFERROR(__xludf.DUMMYFUNCTION("""COMPUTED_VALUE"""),0.0)</f>
        <v>0</v>
      </c>
      <c r="H2749" s="22">
        <f>IFERROR(__xludf.DUMMYFUNCTION("""COMPUTED_VALUE"""),467182.18937495)</f>
        <v>467182.1894</v>
      </c>
      <c r="I2749" s="24">
        <f>IFERROR(__xludf.DUMMYFUNCTION("""COMPUTED_VALUE"""),-0.06563562125009992)</f>
        <v>-0.06563562125</v>
      </c>
    </row>
    <row r="2750">
      <c r="A2750" s="5" t="str">
        <f>IFERROR(__xludf.DUMMYFUNCTION("""COMPUTED_VALUE"""),"39494")</f>
        <v>39494</v>
      </c>
      <c r="B2750" s="64">
        <f>IFERROR(__xludf.DUMMYFUNCTION("""COMPUTED_VALUE"""),44662.0)</f>
        <v>44662</v>
      </c>
      <c r="C2750" s="5"/>
      <c r="D2750" s="5"/>
      <c r="E2750" s="5"/>
      <c r="F2750" s="22">
        <f>IFERROR(__xludf.DUMMYFUNCTION("""COMPUTED_VALUE"""),490869.374307)</f>
        <v>490869.3743</v>
      </c>
      <c r="G2750" s="22">
        <f>IFERROR(__xludf.DUMMYFUNCTION("""COMPUTED_VALUE"""),0.0)</f>
        <v>0</v>
      </c>
      <c r="H2750" s="22">
        <f>IFERROR(__xludf.DUMMYFUNCTION("""COMPUTED_VALUE"""),452617.5559171)</f>
        <v>452617.5559</v>
      </c>
      <c r="I2750" s="24">
        <f>IFERROR(__xludf.DUMMYFUNCTION("""COMPUTED_VALUE"""),-0.09476488816579998)</f>
        <v>-0.09476488817</v>
      </c>
    </row>
    <row r="2751">
      <c r="A2751" s="5" t="str">
        <f>IFERROR(__xludf.DUMMYFUNCTION("""COMPUTED_VALUE"""),"39494")</f>
        <v>39494</v>
      </c>
      <c r="B2751" s="64">
        <f>IFERROR(__xludf.DUMMYFUNCTION("""COMPUTED_VALUE"""),44663.0)</f>
        <v>44663</v>
      </c>
      <c r="C2751" s="5"/>
      <c r="D2751" s="5"/>
      <c r="E2751" s="5"/>
      <c r="F2751" s="22">
        <f>IFERROR(__xludf.DUMMYFUNCTION("""COMPUTED_VALUE"""),490869.374307)</f>
        <v>490869.3743</v>
      </c>
      <c r="G2751" s="22">
        <f>IFERROR(__xludf.DUMMYFUNCTION("""COMPUTED_VALUE"""),0.0)</f>
        <v>0</v>
      </c>
      <c r="H2751" s="22">
        <f>IFERROR(__xludf.DUMMYFUNCTION("""COMPUTED_VALUE"""),448019.6810111)</f>
        <v>448019.681</v>
      </c>
      <c r="I2751" s="24">
        <f>IFERROR(__xludf.DUMMYFUNCTION("""COMPUTED_VALUE"""),-0.10396063797779997)</f>
        <v>-0.103960638</v>
      </c>
    </row>
    <row r="2752">
      <c r="A2752" s="5" t="str">
        <f>IFERROR(__xludf.DUMMYFUNCTION("""COMPUTED_VALUE"""),"39563")</f>
        <v>39563</v>
      </c>
      <c r="B2752" s="64">
        <f>IFERROR(__xludf.DUMMYFUNCTION("""COMPUTED_VALUE"""),44597.0)</f>
        <v>44597</v>
      </c>
      <c r="C2752" s="5"/>
      <c r="D2752" s="5"/>
      <c r="E2752" s="5"/>
      <c r="F2752" s="22">
        <f>IFERROR(__xludf.DUMMYFUNCTION("""COMPUTED_VALUE"""),500000.0)</f>
        <v>500000</v>
      </c>
      <c r="G2752" s="22">
        <f>IFERROR(__xludf.DUMMYFUNCTION("""COMPUTED_VALUE"""),0.0)</f>
        <v>0</v>
      </c>
      <c r="H2752" s="22">
        <f>IFERROR(__xludf.DUMMYFUNCTION("""COMPUTED_VALUE"""),500000.0)</f>
        <v>500000</v>
      </c>
      <c r="I2752" s="24">
        <f>IFERROR(__xludf.DUMMYFUNCTION("""COMPUTED_VALUE"""),0.0)</f>
        <v>0</v>
      </c>
    </row>
    <row r="2753">
      <c r="A2753" s="5" t="str">
        <f>IFERROR(__xludf.DUMMYFUNCTION("""COMPUTED_VALUE"""),"39563")</f>
        <v>39563</v>
      </c>
      <c r="B2753" s="64">
        <f>IFERROR(__xludf.DUMMYFUNCTION("""COMPUTED_VALUE"""),44598.0)</f>
        <v>44598</v>
      </c>
      <c r="C2753" s="5"/>
      <c r="D2753" s="5"/>
      <c r="E2753" s="5"/>
      <c r="F2753" s="22">
        <f>IFERROR(__xludf.DUMMYFUNCTION("""COMPUTED_VALUE"""),500000.0)</f>
        <v>500000</v>
      </c>
      <c r="G2753" s="22">
        <f>IFERROR(__xludf.DUMMYFUNCTION("""COMPUTED_VALUE"""),0.0)</f>
        <v>0</v>
      </c>
      <c r="H2753" s="22">
        <f>IFERROR(__xludf.DUMMYFUNCTION("""COMPUTED_VALUE"""),500000.0)</f>
        <v>500000</v>
      </c>
      <c r="I2753" s="24">
        <f>IFERROR(__xludf.DUMMYFUNCTION("""COMPUTED_VALUE"""),0.0)</f>
        <v>0</v>
      </c>
    </row>
    <row r="2754">
      <c r="A2754" s="5" t="str">
        <f>IFERROR(__xludf.DUMMYFUNCTION("""COMPUTED_VALUE"""),"39563")</f>
        <v>39563</v>
      </c>
      <c r="B2754" s="64">
        <f>IFERROR(__xludf.DUMMYFUNCTION("""COMPUTED_VALUE"""),44599.0)</f>
        <v>44599</v>
      </c>
      <c r="C2754" s="5"/>
      <c r="D2754" s="5"/>
      <c r="E2754" s="5"/>
      <c r="F2754" s="22">
        <f>IFERROR(__xludf.DUMMYFUNCTION("""COMPUTED_VALUE"""),500000.0)</f>
        <v>500000</v>
      </c>
      <c r="G2754" s="22">
        <f>IFERROR(__xludf.DUMMYFUNCTION("""COMPUTED_VALUE"""),0.0)</f>
        <v>0</v>
      </c>
      <c r="H2754" s="22">
        <f>IFERROR(__xludf.DUMMYFUNCTION("""COMPUTED_VALUE"""),500000.0)</f>
        <v>500000</v>
      </c>
      <c r="I2754" s="24">
        <f>IFERROR(__xludf.DUMMYFUNCTION("""COMPUTED_VALUE"""),0.0)</f>
        <v>0</v>
      </c>
    </row>
    <row r="2755">
      <c r="A2755" s="5" t="str">
        <f>IFERROR(__xludf.DUMMYFUNCTION("""COMPUTED_VALUE"""),"39563")</f>
        <v>39563</v>
      </c>
      <c r="B2755" s="64">
        <f>IFERROR(__xludf.DUMMYFUNCTION("""COMPUTED_VALUE"""),44600.0)</f>
        <v>44600</v>
      </c>
      <c r="C2755" s="5"/>
      <c r="D2755" s="5"/>
      <c r="E2755" s="5"/>
      <c r="F2755" s="22">
        <f>IFERROR(__xludf.DUMMYFUNCTION("""COMPUTED_VALUE"""),500000.0)</f>
        <v>500000</v>
      </c>
      <c r="G2755" s="22">
        <f>IFERROR(__xludf.DUMMYFUNCTION("""COMPUTED_VALUE"""),0.0)</f>
        <v>0</v>
      </c>
      <c r="H2755" s="22">
        <f>IFERROR(__xludf.DUMMYFUNCTION("""COMPUTED_VALUE"""),500000.0)</f>
        <v>500000</v>
      </c>
      <c r="I2755" s="24">
        <f>IFERROR(__xludf.DUMMYFUNCTION("""COMPUTED_VALUE"""),0.0)</f>
        <v>0</v>
      </c>
    </row>
    <row r="2756">
      <c r="A2756" s="5" t="str">
        <f>IFERROR(__xludf.DUMMYFUNCTION("""COMPUTED_VALUE"""),"39563")</f>
        <v>39563</v>
      </c>
      <c r="B2756" s="64">
        <f>IFERROR(__xludf.DUMMYFUNCTION("""COMPUTED_VALUE"""),44601.0)</f>
        <v>44601</v>
      </c>
      <c r="C2756" s="5"/>
      <c r="D2756" s="5"/>
      <c r="E2756" s="5"/>
      <c r="F2756" s="22">
        <f>IFERROR(__xludf.DUMMYFUNCTION("""COMPUTED_VALUE"""),500000.0)</f>
        <v>500000</v>
      </c>
      <c r="G2756" s="22">
        <f>IFERROR(__xludf.DUMMYFUNCTION("""COMPUTED_VALUE"""),0.0)</f>
        <v>0</v>
      </c>
      <c r="H2756" s="22">
        <f>IFERROR(__xludf.DUMMYFUNCTION("""COMPUTED_VALUE"""),500000.0)</f>
        <v>500000</v>
      </c>
      <c r="I2756" s="24">
        <f>IFERROR(__xludf.DUMMYFUNCTION("""COMPUTED_VALUE"""),0.0)</f>
        <v>0</v>
      </c>
    </row>
    <row r="2757">
      <c r="A2757" s="5" t="str">
        <f>IFERROR(__xludf.DUMMYFUNCTION("""COMPUTED_VALUE"""),"39563")</f>
        <v>39563</v>
      </c>
      <c r="B2757" s="64">
        <f>IFERROR(__xludf.DUMMYFUNCTION("""COMPUTED_VALUE"""),44602.0)</f>
        <v>44602</v>
      </c>
      <c r="C2757" s="5"/>
      <c r="D2757" s="5"/>
      <c r="E2757" s="5"/>
      <c r="F2757" s="22">
        <f>IFERROR(__xludf.DUMMYFUNCTION("""COMPUTED_VALUE"""),500000.0)</f>
        <v>500000</v>
      </c>
      <c r="G2757" s="22">
        <f>IFERROR(__xludf.DUMMYFUNCTION("""COMPUTED_VALUE"""),0.0)</f>
        <v>0</v>
      </c>
      <c r="H2757" s="22">
        <f>IFERROR(__xludf.DUMMYFUNCTION("""COMPUTED_VALUE"""),500000.0)</f>
        <v>500000</v>
      </c>
      <c r="I2757" s="24">
        <f>IFERROR(__xludf.DUMMYFUNCTION("""COMPUTED_VALUE"""),0.0)</f>
        <v>0</v>
      </c>
    </row>
    <row r="2758">
      <c r="A2758" s="5" t="str">
        <f>IFERROR(__xludf.DUMMYFUNCTION("""COMPUTED_VALUE"""),"39563")</f>
        <v>39563</v>
      </c>
      <c r="B2758" s="64">
        <f>IFERROR(__xludf.DUMMYFUNCTION("""COMPUTED_VALUE"""),44603.0)</f>
        <v>44603</v>
      </c>
      <c r="C2758" s="5"/>
      <c r="D2758" s="5"/>
      <c r="E2758" s="5"/>
      <c r="F2758" s="22">
        <f>IFERROR(__xludf.DUMMYFUNCTION("""COMPUTED_VALUE"""),500000.0)</f>
        <v>500000</v>
      </c>
      <c r="G2758" s="22">
        <f>IFERROR(__xludf.DUMMYFUNCTION("""COMPUTED_VALUE"""),0.0)</f>
        <v>0</v>
      </c>
      <c r="H2758" s="22">
        <f>IFERROR(__xludf.DUMMYFUNCTION("""COMPUTED_VALUE"""),500000.0)</f>
        <v>500000</v>
      </c>
      <c r="I2758" s="24">
        <f>IFERROR(__xludf.DUMMYFUNCTION("""COMPUTED_VALUE"""),0.0)</f>
        <v>0</v>
      </c>
    </row>
    <row r="2759">
      <c r="A2759" s="5" t="str">
        <f>IFERROR(__xludf.DUMMYFUNCTION("""COMPUTED_VALUE"""),"39563")</f>
        <v>39563</v>
      </c>
      <c r="B2759" s="64">
        <f>IFERROR(__xludf.DUMMYFUNCTION("""COMPUTED_VALUE"""),44604.0)</f>
        <v>44604</v>
      </c>
      <c r="C2759" s="5"/>
      <c r="D2759" s="5"/>
      <c r="E2759" s="5"/>
      <c r="F2759" s="22">
        <f>IFERROR(__xludf.DUMMYFUNCTION("""COMPUTED_VALUE"""),500000.0)</f>
        <v>500000</v>
      </c>
      <c r="G2759" s="22">
        <f>IFERROR(__xludf.DUMMYFUNCTION("""COMPUTED_VALUE"""),0.0)</f>
        <v>0</v>
      </c>
      <c r="H2759" s="22">
        <f>IFERROR(__xludf.DUMMYFUNCTION("""COMPUTED_VALUE"""),500000.0)</f>
        <v>500000</v>
      </c>
      <c r="I2759" s="24">
        <f>IFERROR(__xludf.DUMMYFUNCTION("""COMPUTED_VALUE"""),0.0)</f>
        <v>0</v>
      </c>
    </row>
    <row r="2760">
      <c r="A2760" s="5" t="str">
        <f>IFERROR(__xludf.DUMMYFUNCTION("""COMPUTED_VALUE"""),"39563")</f>
        <v>39563</v>
      </c>
      <c r="B2760" s="64">
        <f>IFERROR(__xludf.DUMMYFUNCTION("""COMPUTED_VALUE"""),44605.0)</f>
        <v>44605</v>
      </c>
      <c r="C2760" s="5"/>
      <c r="D2760" s="5"/>
      <c r="E2760" s="5"/>
      <c r="F2760" s="22">
        <f>IFERROR(__xludf.DUMMYFUNCTION("""COMPUTED_VALUE"""),500000.0)</f>
        <v>500000</v>
      </c>
      <c r="G2760" s="22">
        <f>IFERROR(__xludf.DUMMYFUNCTION("""COMPUTED_VALUE"""),0.0)</f>
        <v>0</v>
      </c>
      <c r="H2760" s="22">
        <f>IFERROR(__xludf.DUMMYFUNCTION("""COMPUTED_VALUE"""),500000.0)</f>
        <v>500000</v>
      </c>
      <c r="I2760" s="24">
        <f>IFERROR(__xludf.DUMMYFUNCTION("""COMPUTED_VALUE"""),0.0)</f>
        <v>0</v>
      </c>
    </row>
    <row r="2761">
      <c r="A2761" s="5" t="str">
        <f>IFERROR(__xludf.DUMMYFUNCTION("""COMPUTED_VALUE"""),"39563")</f>
        <v>39563</v>
      </c>
      <c r="B2761" s="64">
        <f>IFERROR(__xludf.DUMMYFUNCTION("""COMPUTED_VALUE"""),44606.0)</f>
        <v>44606</v>
      </c>
      <c r="C2761" s="5"/>
      <c r="D2761" s="5"/>
      <c r="E2761" s="5"/>
      <c r="F2761" s="22">
        <f>IFERROR(__xludf.DUMMYFUNCTION("""COMPUTED_VALUE"""),500000.0)</f>
        <v>500000</v>
      </c>
      <c r="G2761" s="22">
        <f>IFERROR(__xludf.DUMMYFUNCTION("""COMPUTED_VALUE"""),0.0)</f>
        <v>0</v>
      </c>
      <c r="H2761" s="22">
        <f>IFERROR(__xludf.DUMMYFUNCTION("""COMPUTED_VALUE"""),500000.0)</f>
        <v>500000</v>
      </c>
      <c r="I2761" s="24">
        <f>IFERROR(__xludf.DUMMYFUNCTION("""COMPUTED_VALUE"""),0.0)</f>
        <v>0</v>
      </c>
    </row>
    <row r="2762">
      <c r="A2762" s="5" t="str">
        <f>IFERROR(__xludf.DUMMYFUNCTION("""COMPUTED_VALUE"""),"39563")</f>
        <v>39563</v>
      </c>
      <c r="B2762" s="64">
        <f>IFERROR(__xludf.DUMMYFUNCTION("""COMPUTED_VALUE"""),44607.0)</f>
        <v>44607</v>
      </c>
      <c r="C2762" s="5"/>
      <c r="D2762" s="5"/>
      <c r="E2762" s="5"/>
      <c r="F2762" s="22">
        <f>IFERROR(__xludf.DUMMYFUNCTION("""COMPUTED_VALUE"""),500000.0)</f>
        <v>500000</v>
      </c>
      <c r="G2762" s="22">
        <f>IFERROR(__xludf.DUMMYFUNCTION("""COMPUTED_VALUE"""),0.0)</f>
        <v>0</v>
      </c>
      <c r="H2762" s="22">
        <f>IFERROR(__xludf.DUMMYFUNCTION("""COMPUTED_VALUE"""),500000.0)</f>
        <v>500000</v>
      </c>
      <c r="I2762" s="24">
        <f>IFERROR(__xludf.DUMMYFUNCTION("""COMPUTED_VALUE"""),0.0)</f>
        <v>0</v>
      </c>
    </row>
    <row r="2763">
      <c r="A2763" s="5" t="str">
        <f>IFERROR(__xludf.DUMMYFUNCTION("""COMPUTED_VALUE"""),"39563")</f>
        <v>39563</v>
      </c>
      <c r="B2763" s="64">
        <f>IFERROR(__xludf.DUMMYFUNCTION("""COMPUTED_VALUE"""),44608.0)</f>
        <v>44608</v>
      </c>
      <c r="C2763" s="5"/>
      <c r="D2763" s="5"/>
      <c r="E2763" s="5"/>
      <c r="F2763" s="22">
        <f>IFERROR(__xludf.DUMMYFUNCTION("""COMPUTED_VALUE"""),500000.0)</f>
        <v>500000</v>
      </c>
      <c r="G2763" s="22">
        <f>IFERROR(__xludf.DUMMYFUNCTION("""COMPUTED_VALUE"""),0.0)</f>
        <v>0</v>
      </c>
      <c r="H2763" s="22">
        <f>IFERROR(__xludf.DUMMYFUNCTION("""COMPUTED_VALUE"""),500000.0)</f>
        <v>500000</v>
      </c>
      <c r="I2763" s="24">
        <f>IFERROR(__xludf.DUMMYFUNCTION("""COMPUTED_VALUE"""),0.0)</f>
        <v>0</v>
      </c>
    </row>
    <row r="2764">
      <c r="A2764" s="5" t="str">
        <f>IFERROR(__xludf.DUMMYFUNCTION("""COMPUTED_VALUE"""),"39563")</f>
        <v>39563</v>
      </c>
      <c r="B2764" s="64">
        <f>IFERROR(__xludf.DUMMYFUNCTION("""COMPUTED_VALUE"""),44609.0)</f>
        <v>44609</v>
      </c>
      <c r="C2764" s="5"/>
      <c r="D2764" s="5"/>
      <c r="E2764" s="5"/>
      <c r="F2764" s="22">
        <f>IFERROR(__xludf.DUMMYFUNCTION("""COMPUTED_VALUE"""),500000.0)</f>
        <v>500000</v>
      </c>
      <c r="G2764" s="22">
        <f>IFERROR(__xludf.DUMMYFUNCTION("""COMPUTED_VALUE"""),0.0)</f>
        <v>0</v>
      </c>
      <c r="H2764" s="22">
        <f>IFERROR(__xludf.DUMMYFUNCTION("""COMPUTED_VALUE"""),500000.0)</f>
        <v>500000</v>
      </c>
      <c r="I2764" s="24">
        <f>IFERROR(__xludf.DUMMYFUNCTION("""COMPUTED_VALUE"""),0.0)</f>
        <v>0</v>
      </c>
    </row>
    <row r="2765">
      <c r="A2765" s="5" t="str">
        <f>IFERROR(__xludf.DUMMYFUNCTION("""COMPUTED_VALUE"""),"39563")</f>
        <v>39563</v>
      </c>
      <c r="B2765" s="64">
        <f>IFERROR(__xludf.DUMMYFUNCTION("""COMPUTED_VALUE"""),44610.0)</f>
        <v>44610</v>
      </c>
      <c r="C2765" s="5"/>
      <c r="D2765" s="5"/>
      <c r="E2765" s="5"/>
      <c r="F2765" s="22">
        <f>IFERROR(__xludf.DUMMYFUNCTION("""COMPUTED_VALUE"""),500000.0)</f>
        <v>500000</v>
      </c>
      <c r="G2765" s="22">
        <f>IFERROR(__xludf.DUMMYFUNCTION("""COMPUTED_VALUE"""),0.0)</f>
        <v>0</v>
      </c>
      <c r="H2765" s="22">
        <f>IFERROR(__xludf.DUMMYFUNCTION("""COMPUTED_VALUE"""),500000.0)</f>
        <v>500000</v>
      </c>
      <c r="I2765" s="24">
        <f>IFERROR(__xludf.DUMMYFUNCTION("""COMPUTED_VALUE"""),0.0)</f>
        <v>0</v>
      </c>
    </row>
    <row r="2766">
      <c r="A2766" s="5" t="str">
        <f>IFERROR(__xludf.DUMMYFUNCTION("""COMPUTED_VALUE"""),"39563")</f>
        <v>39563</v>
      </c>
      <c r="B2766" s="64">
        <f>IFERROR(__xludf.DUMMYFUNCTION("""COMPUTED_VALUE"""),44611.0)</f>
        <v>44611</v>
      </c>
      <c r="C2766" s="5"/>
      <c r="D2766" s="5"/>
      <c r="E2766" s="5"/>
      <c r="F2766" s="22">
        <f>IFERROR(__xludf.DUMMYFUNCTION("""COMPUTED_VALUE"""),500000.0)</f>
        <v>500000</v>
      </c>
      <c r="G2766" s="22">
        <f>IFERROR(__xludf.DUMMYFUNCTION("""COMPUTED_VALUE"""),0.0)</f>
        <v>0</v>
      </c>
      <c r="H2766" s="22">
        <f>IFERROR(__xludf.DUMMYFUNCTION("""COMPUTED_VALUE"""),500000.0)</f>
        <v>500000</v>
      </c>
      <c r="I2766" s="24">
        <f>IFERROR(__xludf.DUMMYFUNCTION("""COMPUTED_VALUE"""),0.0)</f>
        <v>0</v>
      </c>
    </row>
    <row r="2767">
      <c r="A2767" s="5" t="str">
        <f>IFERROR(__xludf.DUMMYFUNCTION("""COMPUTED_VALUE"""),"39563")</f>
        <v>39563</v>
      </c>
      <c r="B2767" s="64">
        <f>IFERROR(__xludf.DUMMYFUNCTION("""COMPUTED_VALUE"""),44612.0)</f>
        <v>44612</v>
      </c>
      <c r="C2767" s="5"/>
      <c r="D2767" s="5"/>
      <c r="E2767" s="5"/>
      <c r="F2767" s="22">
        <f>IFERROR(__xludf.DUMMYFUNCTION("""COMPUTED_VALUE"""),500000.0)</f>
        <v>500000</v>
      </c>
      <c r="G2767" s="22">
        <f>IFERROR(__xludf.DUMMYFUNCTION("""COMPUTED_VALUE"""),0.0)</f>
        <v>0</v>
      </c>
      <c r="H2767" s="22">
        <f>IFERROR(__xludf.DUMMYFUNCTION("""COMPUTED_VALUE"""),500000.0)</f>
        <v>500000</v>
      </c>
      <c r="I2767" s="24">
        <f>IFERROR(__xludf.DUMMYFUNCTION("""COMPUTED_VALUE"""),0.0)</f>
        <v>0</v>
      </c>
    </row>
    <row r="2768">
      <c r="A2768" s="5" t="str">
        <f>IFERROR(__xludf.DUMMYFUNCTION("""COMPUTED_VALUE"""),"39563")</f>
        <v>39563</v>
      </c>
      <c r="B2768" s="64">
        <f>IFERROR(__xludf.DUMMYFUNCTION("""COMPUTED_VALUE"""),44613.0)</f>
        <v>44613</v>
      </c>
      <c r="C2768" s="5"/>
      <c r="D2768" s="5"/>
      <c r="E2768" s="5"/>
      <c r="F2768" s="22">
        <f>IFERROR(__xludf.DUMMYFUNCTION("""COMPUTED_VALUE"""),500000.0)</f>
        <v>500000</v>
      </c>
      <c r="G2768" s="22">
        <f>IFERROR(__xludf.DUMMYFUNCTION("""COMPUTED_VALUE"""),0.0)</f>
        <v>0</v>
      </c>
      <c r="H2768" s="22">
        <f>IFERROR(__xludf.DUMMYFUNCTION("""COMPUTED_VALUE"""),500000.0)</f>
        <v>500000</v>
      </c>
      <c r="I2768" s="24">
        <f>IFERROR(__xludf.DUMMYFUNCTION("""COMPUTED_VALUE"""),0.0)</f>
        <v>0</v>
      </c>
    </row>
    <row r="2769">
      <c r="A2769" s="5" t="str">
        <f>IFERROR(__xludf.DUMMYFUNCTION("""COMPUTED_VALUE"""),"39563")</f>
        <v>39563</v>
      </c>
      <c r="B2769" s="64">
        <f>IFERROR(__xludf.DUMMYFUNCTION("""COMPUTED_VALUE"""),44614.0)</f>
        <v>44614</v>
      </c>
      <c r="C2769" s="5"/>
      <c r="D2769" s="5"/>
      <c r="E2769" s="5"/>
      <c r="F2769" s="22">
        <f>IFERROR(__xludf.DUMMYFUNCTION("""COMPUTED_VALUE"""),500000.0)</f>
        <v>500000</v>
      </c>
      <c r="G2769" s="22">
        <f>IFERROR(__xludf.DUMMYFUNCTION("""COMPUTED_VALUE"""),0.0)</f>
        <v>0</v>
      </c>
      <c r="H2769" s="22">
        <f>IFERROR(__xludf.DUMMYFUNCTION("""COMPUTED_VALUE"""),500000.0)</f>
        <v>500000</v>
      </c>
      <c r="I2769" s="24">
        <f>IFERROR(__xludf.DUMMYFUNCTION("""COMPUTED_VALUE"""),0.0)</f>
        <v>0</v>
      </c>
    </row>
    <row r="2770">
      <c r="A2770" s="5" t="str">
        <f>IFERROR(__xludf.DUMMYFUNCTION("""COMPUTED_VALUE"""),"39563")</f>
        <v>39563</v>
      </c>
      <c r="B2770" s="64">
        <f>IFERROR(__xludf.DUMMYFUNCTION("""COMPUTED_VALUE"""),44615.0)</f>
        <v>44615</v>
      </c>
      <c r="C2770" s="5"/>
      <c r="D2770" s="5"/>
      <c r="E2770" s="5"/>
      <c r="F2770" s="22">
        <f>IFERROR(__xludf.DUMMYFUNCTION("""COMPUTED_VALUE"""),500000.0)</f>
        <v>500000</v>
      </c>
      <c r="G2770" s="22">
        <f>IFERROR(__xludf.DUMMYFUNCTION("""COMPUTED_VALUE"""),0.0)</f>
        <v>0</v>
      </c>
      <c r="H2770" s="22">
        <f>IFERROR(__xludf.DUMMYFUNCTION("""COMPUTED_VALUE"""),500000.0)</f>
        <v>500000</v>
      </c>
      <c r="I2770" s="24">
        <f>IFERROR(__xludf.DUMMYFUNCTION("""COMPUTED_VALUE"""),0.0)</f>
        <v>0</v>
      </c>
    </row>
    <row r="2771">
      <c r="A2771" s="5" t="str">
        <f>IFERROR(__xludf.DUMMYFUNCTION("""COMPUTED_VALUE"""),"39563")</f>
        <v>39563</v>
      </c>
      <c r="B2771" s="64">
        <f>IFERROR(__xludf.DUMMYFUNCTION("""COMPUTED_VALUE"""),44616.0)</f>
        <v>44616</v>
      </c>
      <c r="C2771" s="5"/>
      <c r="D2771" s="5"/>
      <c r="E2771" s="5"/>
      <c r="F2771" s="22">
        <f>IFERROR(__xludf.DUMMYFUNCTION("""COMPUTED_VALUE"""),500000.0)</f>
        <v>500000</v>
      </c>
      <c r="G2771" s="22">
        <f>IFERROR(__xludf.DUMMYFUNCTION("""COMPUTED_VALUE"""),0.0)</f>
        <v>0</v>
      </c>
      <c r="H2771" s="22">
        <f>IFERROR(__xludf.DUMMYFUNCTION("""COMPUTED_VALUE"""),500000.0)</f>
        <v>500000</v>
      </c>
      <c r="I2771" s="24">
        <f>IFERROR(__xludf.DUMMYFUNCTION("""COMPUTED_VALUE"""),0.0)</f>
        <v>0</v>
      </c>
    </row>
    <row r="2772">
      <c r="A2772" s="5" t="str">
        <f>IFERROR(__xludf.DUMMYFUNCTION("""COMPUTED_VALUE"""),"39563")</f>
        <v>39563</v>
      </c>
      <c r="B2772" s="64">
        <f>IFERROR(__xludf.DUMMYFUNCTION("""COMPUTED_VALUE"""),44617.0)</f>
        <v>44617</v>
      </c>
      <c r="C2772" s="5"/>
      <c r="D2772" s="5"/>
      <c r="E2772" s="5"/>
      <c r="F2772" s="22">
        <f>IFERROR(__xludf.DUMMYFUNCTION("""COMPUTED_VALUE"""),500000.0)</f>
        <v>500000</v>
      </c>
      <c r="G2772" s="22">
        <f>IFERROR(__xludf.DUMMYFUNCTION("""COMPUTED_VALUE"""),0.0)</f>
        <v>0</v>
      </c>
      <c r="H2772" s="22">
        <f>IFERROR(__xludf.DUMMYFUNCTION("""COMPUTED_VALUE"""),500000.0)</f>
        <v>500000</v>
      </c>
      <c r="I2772" s="24">
        <f>IFERROR(__xludf.DUMMYFUNCTION("""COMPUTED_VALUE"""),0.0)</f>
        <v>0</v>
      </c>
    </row>
    <row r="2773">
      <c r="A2773" s="5" t="str">
        <f>IFERROR(__xludf.DUMMYFUNCTION("""COMPUTED_VALUE"""),"39563")</f>
        <v>39563</v>
      </c>
      <c r="B2773" s="64">
        <f>IFERROR(__xludf.DUMMYFUNCTION("""COMPUTED_VALUE"""),44618.0)</f>
        <v>44618</v>
      </c>
      <c r="C2773" s="5"/>
      <c r="D2773" s="5"/>
      <c r="E2773" s="5"/>
      <c r="F2773" s="22">
        <f>IFERROR(__xludf.DUMMYFUNCTION("""COMPUTED_VALUE"""),500000.0)</f>
        <v>500000</v>
      </c>
      <c r="G2773" s="22">
        <f>IFERROR(__xludf.DUMMYFUNCTION("""COMPUTED_VALUE"""),0.0)</f>
        <v>0</v>
      </c>
      <c r="H2773" s="22">
        <f>IFERROR(__xludf.DUMMYFUNCTION("""COMPUTED_VALUE"""),500000.0)</f>
        <v>500000</v>
      </c>
      <c r="I2773" s="24">
        <f>IFERROR(__xludf.DUMMYFUNCTION("""COMPUTED_VALUE"""),0.0)</f>
        <v>0</v>
      </c>
    </row>
    <row r="2774">
      <c r="A2774" s="5" t="str">
        <f>IFERROR(__xludf.DUMMYFUNCTION("""COMPUTED_VALUE"""),"39563")</f>
        <v>39563</v>
      </c>
      <c r="B2774" s="64">
        <f>IFERROR(__xludf.DUMMYFUNCTION("""COMPUTED_VALUE"""),44619.0)</f>
        <v>44619</v>
      </c>
      <c r="C2774" s="5"/>
      <c r="D2774" s="5"/>
      <c r="E2774" s="5"/>
      <c r="F2774" s="22">
        <f>IFERROR(__xludf.DUMMYFUNCTION("""COMPUTED_VALUE"""),500000.0)</f>
        <v>500000</v>
      </c>
      <c r="G2774" s="22">
        <f>IFERROR(__xludf.DUMMYFUNCTION("""COMPUTED_VALUE"""),0.0)</f>
        <v>0</v>
      </c>
      <c r="H2774" s="22">
        <f>IFERROR(__xludf.DUMMYFUNCTION("""COMPUTED_VALUE"""),500000.0)</f>
        <v>500000</v>
      </c>
      <c r="I2774" s="24">
        <f>IFERROR(__xludf.DUMMYFUNCTION("""COMPUTED_VALUE"""),0.0)</f>
        <v>0</v>
      </c>
    </row>
    <row r="2775">
      <c r="A2775" s="5" t="str">
        <f>IFERROR(__xludf.DUMMYFUNCTION("""COMPUTED_VALUE"""),"39563")</f>
        <v>39563</v>
      </c>
      <c r="B2775" s="64">
        <f>IFERROR(__xludf.DUMMYFUNCTION("""COMPUTED_VALUE"""),44620.0)</f>
        <v>44620</v>
      </c>
      <c r="C2775" s="5"/>
      <c r="D2775" s="5"/>
      <c r="E2775" s="5"/>
      <c r="F2775" s="22">
        <f>IFERROR(__xludf.DUMMYFUNCTION("""COMPUTED_VALUE"""),500000.0)</f>
        <v>500000</v>
      </c>
      <c r="G2775" s="22">
        <f>IFERROR(__xludf.DUMMYFUNCTION("""COMPUTED_VALUE"""),0.0)</f>
        <v>0</v>
      </c>
      <c r="H2775" s="22">
        <f>IFERROR(__xludf.DUMMYFUNCTION("""COMPUTED_VALUE"""),500000.0)</f>
        <v>500000</v>
      </c>
      <c r="I2775" s="24">
        <f>IFERROR(__xludf.DUMMYFUNCTION("""COMPUTED_VALUE"""),0.0)</f>
        <v>0</v>
      </c>
    </row>
    <row r="2776">
      <c r="A2776" s="5" t="str">
        <f>IFERROR(__xludf.DUMMYFUNCTION("""COMPUTED_VALUE"""),"39563")</f>
        <v>39563</v>
      </c>
      <c r="B2776" s="64">
        <f>IFERROR(__xludf.DUMMYFUNCTION("""COMPUTED_VALUE"""),44621.0)</f>
        <v>44621</v>
      </c>
      <c r="C2776" s="5"/>
      <c r="D2776" s="5"/>
      <c r="E2776" s="5"/>
      <c r="F2776" s="22">
        <f>IFERROR(__xludf.DUMMYFUNCTION("""COMPUTED_VALUE"""),500000.0)</f>
        <v>500000</v>
      </c>
      <c r="G2776" s="22">
        <f>IFERROR(__xludf.DUMMYFUNCTION("""COMPUTED_VALUE"""),0.0)</f>
        <v>0</v>
      </c>
      <c r="H2776" s="22">
        <f>IFERROR(__xludf.DUMMYFUNCTION("""COMPUTED_VALUE"""),500000.0)</f>
        <v>500000</v>
      </c>
      <c r="I2776" s="24">
        <f>IFERROR(__xludf.DUMMYFUNCTION("""COMPUTED_VALUE"""),0.0)</f>
        <v>0</v>
      </c>
    </row>
    <row r="2777">
      <c r="A2777" s="5" t="str">
        <f>IFERROR(__xludf.DUMMYFUNCTION("""COMPUTED_VALUE"""),"39563")</f>
        <v>39563</v>
      </c>
      <c r="B2777" s="64">
        <f>IFERROR(__xludf.DUMMYFUNCTION("""COMPUTED_VALUE"""),44622.0)</f>
        <v>44622</v>
      </c>
      <c r="C2777" s="5"/>
      <c r="D2777" s="5"/>
      <c r="E2777" s="5"/>
      <c r="F2777" s="22">
        <f>IFERROR(__xludf.DUMMYFUNCTION("""COMPUTED_VALUE"""),500000.0)</f>
        <v>500000</v>
      </c>
      <c r="G2777" s="22">
        <f>IFERROR(__xludf.DUMMYFUNCTION("""COMPUTED_VALUE"""),0.0)</f>
        <v>0</v>
      </c>
      <c r="H2777" s="22">
        <f>IFERROR(__xludf.DUMMYFUNCTION("""COMPUTED_VALUE"""),500000.0)</f>
        <v>500000</v>
      </c>
      <c r="I2777" s="24">
        <f>IFERROR(__xludf.DUMMYFUNCTION("""COMPUTED_VALUE"""),0.0)</f>
        <v>0</v>
      </c>
    </row>
    <row r="2778">
      <c r="A2778" s="5" t="str">
        <f>IFERROR(__xludf.DUMMYFUNCTION("""COMPUTED_VALUE"""),"39563")</f>
        <v>39563</v>
      </c>
      <c r="B2778" s="64">
        <f>IFERROR(__xludf.DUMMYFUNCTION("""COMPUTED_VALUE"""),44623.0)</f>
        <v>44623</v>
      </c>
      <c r="C2778" s="5"/>
      <c r="D2778" s="5"/>
      <c r="E2778" s="5"/>
      <c r="F2778" s="22">
        <f>IFERROR(__xludf.DUMMYFUNCTION("""COMPUTED_VALUE"""),500000.0)</f>
        <v>500000</v>
      </c>
      <c r="G2778" s="22">
        <f>IFERROR(__xludf.DUMMYFUNCTION("""COMPUTED_VALUE"""),0.0)</f>
        <v>0</v>
      </c>
      <c r="H2778" s="22">
        <f>IFERROR(__xludf.DUMMYFUNCTION("""COMPUTED_VALUE"""),500000.0)</f>
        <v>500000</v>
      </c>
      <c r="I2778" s="24">
        <f>IFERROR(__xludf.DUMMYFUNCTION("""COMPUTED_VALUE"""),0.0)</f>
        <v>0</v>
      </c>
    </row>
    <row r="2779">
      <c r="A2779" s="5" t="str">
        <f>IFERROR(__xludf.DUMMYFUNCTION("""COMPUTED_VALUE"""),"39563")</f>
        <v>39563</v>
      </c>
      <c r="B2779" s="64">
        <f>IFERROR(__xludf.DUMMYFUNCTION("""COMPUTED_VALUE"""),44624.0)</f>
        <v>44624</v>
      </c>
      <c r="C2779" s="5"/>
      <c r="D2779" s="5"/>
      <c r="E2779" s="5"/>
      <c r="F2779" s="22">
        <f>IFERROR(__xludf.DUMMYFUNCTION("""COMPUTED_VALUE"""),500000.0)</f>
        <v>500000</v>
      </c>
      <c r="G2779" s="22">
        <f>IFERROR(__xludf.DUMMYFUNCTION("""COMPUTED_VALUE"""),0.0)</f>
        <v>0</v>
      </c>
      <c r="H2779" s="22">
        <f>IFERROR(__xludf.DUMMYFUNCTION("""COMPUTED_VALUE"""),500000.0)</f>
        <v>500000</v>
      </c>
      <c r="I2779" s="24">
        <f>IFERROR(__xludf.DUMMYFUNCTION("""COMPUTED_VALUE"""),0.0)</f>
        <v>0</v>
      </c>
    </row>
    <row r="2780">
      <c r="A2780" s="5" t="str">
        <f>IFERROR(__xludf.DUMMYFUNCTION("""COMPUTED_VALUE"""),"39563")</f>
        <v>39563</v>
      </c>
      <c r="B2780" s="64">
        <f>IFERROR(__xludf.DUMMYFUNCTION("""COMPUTED_VALUE"""),44625.0)</f>
        <v>44625</v>
      </c>
      <c r="C2780" s="5"/>
      <c r="D2780" s="5"/>
      <c r="E2780" s="5"/>
      <c r="F2780" s="22">
        <f>IFERROR(__xludf.DUMMYFUNCTION("""COMPUTED_VALUE"""),500000.0)</f>
        <v>500000</v>
      </c>
      <c r="G2780" s="22">
        <f>IFERROR(__xludf.DUMMYFUNCTION("""COMPUTED_VALUE"""),0.0)</f>
        <v>0</v>
      </c>
      <c r="H2780" s="22">
        <f>IFERROR(__xludf.DUMMYFUNCTION("""COMPUTED_VALUE"""),500000.0)</f>
        <v>500000</v>
      </c>
      <c r="I2780" s="24">
        <f>IFERROR(__xludf.DUMMYFUNCTION("""COMPUTED_VALUE"""),0.0)</f>
        <v>0</v>
      </c>
    </row>
    <row r="2781">
      <c r="A2781" s="5" t="str">
        <f>IFERROR(__xludf.DUMMYFUNCTION("""COMPUTED_VALUE"""),"39563")</f>
        <v>39563</v>
      </c>
      <c r="B2781" s="64">
        <f>IFERROR(__xludf.DUMMYFUNCTION("""COMPUTED_VALUE"""),44626.0)</f>
        <v>44626</v>
      </c>
      <c r="C2781" s="5"/>
      <c r="D2781" s="5"/>
      <c r="E2781" s="5"/>
      <c r="F2781" s="22">
        <f>IFERROR(__xludf.DUMMYFUNCTION("""COMPUTED_VALUE"""),500000.0)</f>
        <v>500000</v>
      </c>
      <c r="G2781" s="22">
        <f>IFERROR(__xludf.DUMMYFUNCTION("""COMPUTED_VALUE"""),0.0)</f>
        <v>0</v>
      </c>
      <c r="H2781" s="22">
        <f>IFERROR(__xludf.DUMMYFUNCTION("""COMPUTED_VALUE"""),500000.0)</f>
        <v>500000</v>
      </c>
      <c r="I2781" s="24">
        <f>IFERROR(__xludf.DUMMYFUNCTION("""COMPUTED_VALUE"""),0.0)</f>
        <v>0</v>
      </c>
    </row>
    <row r="2782">
      <c r="A2782" s="5" t="str">
        <f>IFERROR(__xludf.DUMMYFUNCTION("""COMPUTED_VALUE"""),"39563")</f>
        <v>39563</v>
      </c>
      <c r="B2782" s="64">
        <f>IFERROR(__xludf.DUMMYFUNCTION("""COMPUTED_VALUE"""),44627.0)</f>
        <v>44627</v>
      </c>
      <c r="C2782" s="5"/>
      <c r="D2782" s="5"/>
      <c r="E2782" s="5"/>
      <c r="F2782" s="22">
        <f>IFERROR(__xludf.DUMMYFUNCTION("""COMPUTED_VALUE"""),500000.0)</f>
        <v>500000</v>
      </c>
      <c r="G2782" s="22">
        <f>IFERROR(__xludf.DUMMYFUNCTION("""COMPUTED_VALUE"""),0.0)</f>
        <v>0</v>
      </c>
      <c r="H2782" s="22">
        <f>IFERROR(__xludf.DUMMYFUNCTION("""COMPUTED_VALUE"""),500000.0)</f>
        <v>500000</v>
      </c>
      <c r="I2782" s="24">
        <f>IFERROR(__xludf.DUMMYFUNCTION("""COMPUTED_VALUE"""),0.0)</f>
        <v>0</v>
      </c>
    </row>
    <row r="2783">
      <c r="A2783" s="5" t="str">
        <f>IFERROR(__xludf.DUMMYFUNCTION("""COMPUTED_VALUE"""),"39563")</f>
        <v>39563</v>
      </c>
      <c r="B2783" s="64">
        <f>IFERROR(__xludf.DUMMYFUNCTION("""COMPUTED_VALUE"""),44628.0)</f>
        <v>44628</v>
      </c>
      <c r="C2783" s="5"/>
      <c r="D2783" s="5"/>
      <c r="E2783" s="5"/>
      <c r="F2783" s="22">
        <f>IFERROR(__xludf.DUMMYFUNCTION("""COMPUTED_VALUE"""),500000.0)</f>
        <v>500000</v>
      </c>
      <c r="G2783" s="22">
        <f>IFERROR(__xludf.DUMMYFUNCTION("""COMPUTED_VALUE"""),0.0)</f>
        <v>0</v>
      </c>
      <c r="H2783" s="22">
        <f>IFERROR(__xludf.DUMMYFUNCTION("""COMPUTED_VALUE"""),500000.0)</f>
        <v>500000</v>
      </c>
      <c r="I2783" s="24">
        <f>IFERROR(__xludf.DUMMYFUNCTION("""COMPUTED_VALUE"""),0.0)</f>
        <v>0</v>
      </c>
    </row>
    <row r="2784">
      <c r="A2784" s="5" t="str">
        <f>IFERROR(__xludf.DUMMYFUNCTION("""COMPUTED_VALUE"""),"39563")</f>
        <v>39563</v>
      </c>
      <c r="B2784" s="64">
        <f>IFERROR(__xludf.DUMMYFUNCTION("""COMPUTED_VALUE"""),44629.0)</f>
        <v>44629</v>
      </c>
      <c r="C2784" s="5"/>
      <c r="D2784" s="5"/>
      <c r="E2784" s="5"/>
      <c r="F2784" s="22">
        <f>IFERROR(__xludf.DUMMYFUNCTION("""COMPUTED_VALUE"""),500000.0)</f>
        <v>500000</v>
      </c>
      <c r="G2784" s="22">
        <f>IFERROR(__xludf.DUMMYFUNCTION("""COMPUTED_VALUE"""),0.0)</f>
        <v>0</v>
      </c>
      <c r="H2784" s="22">
        <f>IFERROR(__xludf.DUMMYFUNCTION("""COMPUTED_VALUE"""),500000.0)</f>
        <v>500000</v>
      </c>
      <c r="I2784" s="24">
        <f>IFERROR(__xludf.DUMMYFUNCTION("""COMPUTED_VALUE"""),0.0)</f>
        <v>0</v>
      </c>
    </row>
    <row r="2785">
      <c r="A2785" s="5" t="str">
        <f>IFERROR(__xludf.DUMMYFUNCTION("""COMPUTED_VALUE"""),"39563")</f>
        <v>39563</v>
      </c>
      <c r="B2785" s="64">
        <f>IFERROR(__xludf.DUMMYFUNCTION("""COMPUTED_VALUE"""),44630.0)</f>
        <v>44630</v>
      </c>
      <c r="C2785" s="5"/>
      <c r="D2785" s="5"/>
      <c r="E2785" s="5"/>
      <c r="F2785" s="22">
        <f>IFERROR(__xludf.DUMMYFUNCTION("""COMPUTED_VALUE"""),500000.0)</f>
        <v>500000</v>
      </c>
      <c r="G2785" s="22">
        <f>IFERROR(__xludf.DUMMYFUNCTION("""COMPUTED_VALUE"""),0.0)</f>
        <v>0</v>
      </c>
      <c r="H2785" s="22">
        <f>IFERROR(__xludf.DUMMYFUNCTION("""COMPUTED_VALUE"""),500000.0)</f>
        <v>500000</v>
      </c>
      <c r="I2785" s="24">
        <f>IFERROR(__xludf.DUMMYFUNCTION("""COMPUTED_VALUE"""),0.0)</f>
        <v>0</v>
      </c>
    </row>
    <row r="2786">
      <c r="A2786" s="5" t="str">
        <f>IFERROR(__xludf.DUMMYFUNCTION("""COMPUTED_VALUE"""),"39563")</f>
        <v>39563</v>
      </c>
      <c r="B2786" s="64">
        <f>IFERROR(__xludf.DUMMYFUNCTION("""COMPUTED_VALUE"""),44631.0)</f>
        <v>44631</v>
      </c>
      <c r="C2786" s="5"/>
      <c r="D2786" s="5"/>
      <c r="E2786" s="5"/>
      <c r="F2786" s="22">
        <f>IFERROR(__xludf.DUMMYFUNCTION("""COMPUTED_VALUE"""),500000.0)</f>
        <v>500000</v>
      </c>
      <c r="G2786" s="22">
        <f>IFERROR(__xludf.DUMMYFUNCTION("""COMPUTED_VALUE"""),0.0)</f>
        <v>0</v>
      </c>
      <c r="H2786" s="22">
        <f>IFERROR(__xludf.DUMMYFUNCTION("""COMPUTED_VALUE"""),500000.0)</f>
        <v>500000</v>
      </c>
      <c r="I2786" s="24">
        <f>IFERROR(__xludf.DUMMYFUNCTION("""COMPUTED_VALUE"""),0.0)</f>
        <v>0</v>
      </c>
    </row>
    <row r="2787">
      <c r="A2787" s="5" t="str">
        <f>IFERROR(__xludf.DUMMYFUNCTION("""COMPUTED_VALUE"""),"39563")</f>
        <v>39563</v>
      </c>
      <c r="B2787" s="64">
        <f>IFERROR(__xludf.DUMMYFUNCTION("""COMPUTED_VALUE"""),44632.0)</f>
        <v>44632</v>
      </c>
      <c r="C2787" s="5"/>
      <c r="D2787" s="5"/>
      <c r="E2787" s="5"/>
      <c r="F2787" s="22">
        <f>IFERROR(__xludf.DUMMYFUNCTION("""COMPUTED_VALUE"""),500000.0)</f>
        <v>500000</v>
      </c>
      <c r="G2787" s="22">
        <f>IFERROR(__xludf.DUMMYFUNCTION("""COMPUTED_VALUE"""),0.0)</f>
        <v>0</v>
      </c>
      <c r="H2787" s="22">
        <f>IFERROR(__xludf.DUMMYFUNCTION("""COMPUTED_VALUE"""),500000.0)</f>
        <v>500000</v>
      </c>
      <c r="I2787" s="24">
        <f>IFERROR(__xludf.DUMMYFUNCTION("""COMPUTED_VALUE"""),0.0)</f>
        <v>0</v>
      </c>
    </row>
    <row r="2788">
      <c r="A2788" s="5" t="str">
        <f>IFERROR(__xludf.DUMMYFUNCTION("""COMPUTED_VALUE"""),"39563")</f>
        <v>39563</v>
      </c>
      <c r="B2788" s="64">
        <f>IFERROR(__xludf.DUMMYFUNCTION("""COMPUTED_VALUE"""),44633.0)</f>
        <v>44633</v>
      </c>
      <c r="C2788" s="5"/>
      <c r="D2788" s="5"/>
      <c r="E2788" s="5"/>
      <c r="F2788" s="22">
        <f>IFERROR(__xludf.DUMMYFUNCTION("""COMPUTED_VALUE"""),500000.0)</f>
        <v>500000</v>
      </c>
      <c r="G2788" s="22">
        <f>IFERROR(__xludf.DUMMYFUNCTION("""COMPUTED_VALUE"""),0.0)</f>
        <v>0</v>
      </c>
      <c r="H2788" s="22">
        <f>IFERROR(__xludf.DUMMYFUNCTION("""COMPUTED_VALUE"""),500000.0)</f>
        <v>500000</v>
      </c>
      <c r="I2788" s="24">
        <f>IFERROR(__xludf.DUMMYFUNCTION("""COMPUTED_VALUE"""),0.0)</f>
        <v>0</v>
      </c>
    </row>
    <row r="2789">
      <c r="A2789" s="5" t="str">
        <f>IFERROR(__xludf.DUMMYFUNCTION("""COMPUTED_VALUE"""),"39563")</f>
        <v>39563</v>
      </c>
      <c r="B2789" s="64">
        <f>IFERROR(__xludf.DUMMYFUNCTION("""COMPUTED_VALUE"""),44634.0)</f>
        <v>44634</v>
      </c>
      <c r="C2789" s="5"/>
      <c r="D2789" s="5"/>
      <c r="E2789" s="5"/>
      <c r="F2789" s="22">
        <f>IFERROR(__xludf.DUMMYFUNCTION("""COMPUTED_VALUE"""),500000.0)</f>
        <v>500000</v>
      </c>
      <c r="G2789" s="22">
        <f>IFERROR(__xludf.DUMMYFUNCTION("""COMPUTED_VALUE"""),0.0)</f>
        <v>0</v>
      </c>
      <c r="H2789" s="22">
        <f>IFERROR(__xludf.DUMMYFUNCTION("""COMPUTED_VALUE"""),500000.0)</f>
        <v>500000</v>
      </c>
      <c r="I2789" s="24">
        <f>IFERROR(__xludf.DUMMYFUNCTION("""COMPUTED_VALUE"""),0.0)</f>
        <v>0</v>
      </c>
    </row>
    <row r="2790">
      <c r="A2790" s="5" t="str">
        <f>IFERROR(__xludf.DUMMYFUNCTION("""COMPUTED_VALUE"""),"39563")</f>
        <v>39563</v>
      </c>
      <c r="B2790" s="64">
        <f>IFERROR(__xludf.DUMMYFUNCTION("""COMPUTED_VALUE"""),44635.0)</f>
        <v>44635</v>
      </c>
      <c r="C2790" s="5"/>
      <c r="D2790" s="5"/>
      <c r="E2790" s="5"/>
      <c r="F2790" s="22">
        <f>IFERROR(__xludf.DUMMYFUNCTION("""COMPUTED_VALUE"""),500000.0)</f>
        <v>500000</v>
      </c>
      <c r="G2790" s="22">
        <f>IFERROR(__xludf.DUMMYFUNCTION("""COMPUTED_VALUE"""),0.0)</f>
        <v>0</v>
      </c>
      <c r="H2790" s="22">
        <f>IFERROR(__xludf.DUMMYFUNCTION("""COMPUTED_VALUE"""),500000.0)</f>
        <v>500000</v>
      </c>
      <c r="I2790" s="24">
        <f>IFERROR(__xludf.DUMMYFUNCTION("""COMPUTED_VALUE"""),0.0)</f>
        <v>0</v>
      </c>
    </row>
    <row r="2791">
      <c r="A2791" s="5" t="str">
        <f>IFERROR(__xludf.DUMMYFUNCTION("""COMPUTED_VALUE"""),"39563")</f>
        <v>39563</v>
      </c>
      <c r="B2791" s="64">
        <f>IFERROR(__xludf.DUMMYFUNCTION("""COMPUTED_VALUE"""),44636.0)</f>
        <v>44636</v>
      </c>
      <c r="C2791" s="5"/>
      <c r="D2791" s="5"/>
      <c r="E2791" s="5"/>
      <c r="F2791" s="22">
        <f>IFERROR(__xludf.DUMMYFUNCTION("""COMPUTED_VALUE"""),500000.0)</f>
        <v>500000</v>
      </c>
      <c r="G2791" s="22">
        <f>IFERROR(__xludf.DUMMYFUNCTION("""COMPUTED_VALUE"""),0.0)</f>
        <v>0</v>
      </c>
      <c r="H2791" s="22">
        <f>IFERROR(__xludf.DUMMYFUNCTION("""COMPUTED_VALUE"""),500000.0)</f>
        <v>500000</v>
      </c>
      <c r="I2791" s="24">
        <f>IFERROR(__xludf.DUMMYFUNCTION("""COMPUTED_VALUE"""),0.0)</f>
        <v>0</v>
      </c>
    </row>
    <row r="2792">
      <c r="A2792" s="5" t="str">
        <f>IFERROR(__xludf.DUMMYFUNCTION("""COMPUTED_VALUE"""),"39563")</f>
        <v>39563</v>
      </c>
      <c r="B2792" s="64">
        <f>IFERROR(__xludf.DUMMYFUNCTION("""COMPUTED_VALUE"""),44637.0)</f>
        <v>44637</v>
      </c>
      <c r="C2792" s="5"/>
      <c r="D2792" s="5"/>
      <c r="E2792" s="5"/>
      <c r="F2792" s="22">
        <f>IFERROR(__xludf.DUMMYFUNCTION("""COMPUTED_VALUE"""),500000.0)</f>
        <v>500000</v>
      </c>
      <c r="G2792" s="22">
        <f>IFERROR(__xludf.DUMMYFUNCTION("""COMPUTED_VALUE"""),0.0)</f>
        <v>0</v>
      </c>
      <c r="H2792" s="22">
        <f>IFERROR(__xludf.DUMMYFUNCTION("""COMPUTED_VALUE"""),500000.0)</f>
        <v>500000</v>
      </c>
      <c r="I2792" s="24">
        <f>IFERROR(__xludf.DUMMYFUNCTION("""COMPUTED_VALUE"""),0.0)</f>
        <v>0</v>
      </c>
    </row>
    <row r="2793">
      <c r="A2793" s="5" t="str">
        <f>IFERROR(__xludf.DUMMYFUNCTION("""COMPUTED_VALUE"""),"39563")</f>
        <v>39563</v>
      </c>
      <c r="B2793" s="64">
        <f>IFERROR(__xludf.DUMMYFUNCTION("""COMPUTED_VALUE"""),44638.0)</f>
        <v>44638</v>
      </c>
      <c r="C2793" s="5"/>
      <c r="D2793" s="5"/>
      <c r="E2793" s="5"/>
      <c r="F2793" s="22">
        <f>IFERROR(__xludf.DUMMYFUNCTION("""COMPUTED_VALUE"""),500000.0)</f>
        <v>500000</v>
      </c>
      <c r="G2793" s="22">
        <f>IFERROR(__xludf.DUMMYFUNCTION("""COMPUTED_VALUE"""),0.0)</f>
        <v>0</v>
      </c>
      <c r="H2793" s="22">
        <f>IFERROR(__xludf.DUMMYFUNCTION("""COMPUTED_VALUE"""),500000.0)</f>
        <v>500000</v>
      </c>
      <c r="I2793" s="24">
        <f>IFERROR(__xludf.DUMMYFUNCTION("""COMPUTED_VALUE"""),0.0)</f>
        <v>0</v>
      </c>
    </row>
    <row r="2794">
      <c r="A2794" s="5" t="str">
        <f>IFERROR(__xludf.DUMMYFUNCTION("""COMPUTED_VALUE"""),"39563")</f>
        <v>39563</v>
      </c>
      <c r="B2794" s="64">
        <f>IFERROR(__xludf.DUMMYFUNCTION("""COMPUTED_VALUE"""),44639.0)</f>
        <v>44639</v>
      </c>
      <c r="C2794" s="5"/>
      <c r="D2794" s="5"/>
      <c r="E2794" s="5"/>
      <c r="F2794" s="22">
        <f>IFERROR(__xludf.DUMMYFUNCTION("""COMPUTED_VALUE"""),500000.0)</f>
        <v>500000</v>
      </c>
      <c r="G2794" s="22">
        <f>IFERROR(__xludf.DUMMYFUNCTION("""COMPUTED_VALUE"""),0.0)</f>
        <v>0</v>
      </c>
      <c r="H2794" s="22">
        <f>IFERROR(__xludf.DUMMYFUNCTION("""COMPUTED_VALUE"""),500000.0)</f>
        <v>500000</v>
      </c>
      <c r="I2794" s="24">
        <f>IFERROR(__xludf.DUMMYFUNCTION("""COMPUTED_VALUE"""),0.0)</f>
        <v>0</v>
      </c>
    </row>
    <row r="2795">
      <c r="A2795" s="5" t="str">
        <f>IFERROR(__xludf.DUMMYFUNCTION("""COMPUTED_VALUE"""),"39563")</f>
        <v>39563</v>
      </c>
      <c r="B2795" s="64">
        <f>IFERROR(__xludf.DUMMYFUNCTION("""COMPUTED_VALUE"""),44640.0)</f>
        <v>44640</v>
      </c>
      <c r="C2795" s="5"/>
      <c r="D2795" s="5"/>
      <c r="E2795" s="5"/>
      <c r="F2795" s="22">
        <f>IFERROR(__xludf.DUMMYFUNCTION("""COMPUTED_VALUE"""),500000.0)</f>
        <v>500000</v>
      </c>
      <c r="G2795" s="22">
        <f>IFERROR(__xludf.DUMMYFUNCTION("""COMPUTED_VALUE"""),0.0)</f>
        <v>0</v>
      </c>
      <c r="H2795" s="22">
        <f>IFERROR(__xludf.DUMMYFUNCTION("""COMPUTED_VALUE"""),500000.0)</f>
        <v>500000</v>
      </c>
      <c r="I2795" s="24">
        <f>IFERROR(__xludf.DUMMYFUNCTION("""COMPUTED_VALUE"""),0.0)</f>
        <v>0</v>
      </c>
    </row>
    <row r="2796">
      <c r="A2796" s="5" t="str">
        <f>IFERROR(__xludf.DUMMYFUNCTION("""COMPUTED_VALUE"""),"39563")</f>
        <v>39563</v>
      </c>
      <c r="B2796" s="64">
        <f>IFERROR(__xludf.DUMMYFUNCTION("""COMPUTED_VALUE"""),44641.0)</f>
        <v>44641</v>
      </c>
      <c r="C2796" s="5"/>
      <c r="D2796" s="5"/>
      <c r="E2796" s="5"/>
      <c r="F2796" s="22">
        <f>IFERROR(__xludf.DUMMYFUNCTION("""COMPUTED_VALUE"""),500000.0)</f>
        <v>500000</v>
      </c>
      <c r="G2796" s="22">
        <f>IFERROR(__xludf.DUMMYFUNCTION("""COMPUTED_VALUE"""),0.0)</f>
        <v>0</v>
      </c>
      <c r="H2796" s="22">
        <f>IFERROR(__xludf.DUMMYFUNCTION("""COMPUTED_VALUE"""),500000.0)</f>
        <v>500000</v>
      </c>
      <c r="I2796" s="24">
        <f>IFERROR(__xludf.DUMMYFUNCTION("""COMPUTED_VALUE"""),0.0)</f>
        <v>0</v>
      </c>
    </row>
    <row r="2797">
      <c r="A2797" s="5" t="str">
        <f>IFERROR(__xludf.DUMMYFUNCTION("""COMPUTED_VALUE"""),"39563")</f>
        <v>39563</v>
      </c>
      <c r="B2797" s="64">
        <f>IFERROR(__xludf.DUMMYFUNCTION("""COMPUTED_VALUE"""),44642.0)</f>
        <v>44642</v>
      </c>
      <c r="C2797" s="5"/>
      <c r="D2797" s="5"/>
      <c r="E2797" s="5"/>
      <c r="F2797" s="22">
        <f>IFERROR(__xludf.DUMMYFUNCTION("""COMPUTED_VALUE"""),500000.0)</f>
        <v>500000</v>
      </c>
      <c r="G2797" s="22">
        <f>IFERROR(__xludf.DUMMYFUNCTION("""COMPUTED_VALUE"""),0.0)</f>
        <v>0</v>
      </c>
      <c r="H2797" s="22">
        <f>IFERROR(__xludf.DUMMYFUNCTION("""COMPUTED_VALUE"""),500000.0)</f>
        <v>500000</v>
      </c>
      <c r="I2797" s="24">
        <f>IFERROR(__xludf.DUMMYFUNCTION("""COMPUTED_VALUE"""),0.0)</f>
        <v>0</v>
      </c>
    </row>
    <row r="2798">
      <c r="A2798" s="5" t="str">
        <f>IFERROR(__xludf.DUMMYFUNCTION("""COMPUTED_VALUE"""),"39563")</f>
        <v>39563</v>
      </c>
      <c r="B2798" s="64">
        <f>IFERROR(__xludf.DUMMYFUNCTION("""COMPUTED_VALUE"""),44643.0)</f>
        <v>44643</v>
      </c>
      <c r="C2798" s="5"/>
      <c r="D2798" s="5"/>
      <c r="E2798" s="5"/>
      <c r="F2798" s="22">
        <f>IFERROR(__xludf.DUMMYFUNCTION("""COMPUTED_VALUE"""),500000.0)</f>
        <v>500000</v>
      </c>
      <c r="G2798" s="22">
        <f>IFERROR(__xludf.DUMMYFUNCTION("""COMPUTED_VALUE"""),0.0)</f>
        <v>0</v>
      </c>
      <c r="H2798" s="22">
        <f>IFERROR(__xludf.DUMMYFUNCTION("""COMPUTED_VALUE"""),500000.0)</f>
        <v>500000</v>
      </c>
      <c r="I2798" s="24">
        <f>IFERROR(__xludf.DUMMYFUNCTION("""COMPUTED_VALUE"""),0.0)</f>
        <v>0</v>
      </c>
    </row>
    <row r="2799">
      <c r="A2799" s="5" t="str">
        <f>IFERROR(__xludf.DUMMYFUNCTION("""COMPUTED_VALUE"""),"39563")</f>
        <v>39563</v>
      </c>
      <c r="B2799" s="64">
        <f>IFERROR(__xludf.DUMMYFUNCTION("""COMPUTED_VALUE"""),44644.0)</f>
        <v>44644</v>
      </c>
      <c r="C2799" s="5"/>
      <c r="D2799" s="5"/>
      <c r="E2799" s="5"/>
      <c r="F2799" s="22">
        <f>IFERROR(__xludf.DUMMYFUNCTION("""COMPUTED_VALUE"""),500000.0)</f>
        <v>500000</v>
      </c>
      <c r="G2799" s="22">
        <f>IFERROR(__xludf.DUMMYFUNCTION("""COMPUTED_VALUE"""),0.0)</f>
        <v>0</v>
      </c>
      <c r="H2799" s="22">
        <f>IFERROR(__xludf.DUMMYFUNCTION("""COMPUTED_VALUE"""),500000.0)</f>
        <v>500000</v>
      </c>
      <c r="I2799" s="24">
        <f>IFERROR(__xludf.DUMMYFUNCTION("""COMPUTED_VALUE"""),0.0)</f>
        <v>0</v>
      </c>
    </row>
    <row r="2800">
      <c r="A2800" s="5" t="str">
        <f>IFERROR(__xludf.DUMMYFUNCTION("""COMPUTED_VALUE"""),"39563")</f>
        <v>39563</v>
      </c>
      <c r="B2800" s="64">
        <f>IFERROR(__xludf.DUMMYFUNCTION("""COMPUTED_VALUE"""),44645.0)</f>
        <v>44645</v>
      </c>
      <c r="C2800" s="5"/>
      <c r="D2800" s="5"/>
      <c r="E2800" s="5"/>
      <c r="F2800" s="22">
        <f>IFERROR(__xludf.DUMMYFUNCTION("""COMPUTED_VALUE"""),500000.0)</f>
        <v>500000</v>
      </c>
      <c r="G2800" s="22">
        <f>IFERROR(__xludf.DUMMYFUNCTION("""COMPUTED_VALUE"""),0.0)</f>
        <v>0</v>
      </c>
      <c r="H2800" s="22">
        <f>IFERROR(__xludf.DUMMYFUNCTION("""COMPUTED_VALUE"""),500000.0)</f>
        <v>500000</v>
      </c>
      <c r="I2800" s="24">
        <f>IFERROR(__xludf.DUMMYFUNCTION("""COMPUTED_VALUE"""),0.0)</f>
        <v>0</v>
      </c>
    </row>
    <row r="2801">
      <c r="A2801" s="5" t="str">
        <f>IFERROR(__xludf.DUMMYFUNCTION("""COMPUTED_VALUE"""),"39563")</f>
        <v>39563</v>
      </c>
      <c r="B2801" s="64">
        <f>IFERROR(__xludf.DUMMYFUNCTION("""COMPUTED_VALUE"""),44646.0)</f>
        <v>44646</v>
      </c>
      <c r="C2801" s="5"/>
      <c r="D2801" s="5"/>
      <c r="E2801" s="5"/>
      <c r="F2801" s="22">
        <f>IFERROR(__xludf.DUMMYFUNCTION("""COMPUTED_VALUE"""),500000.0)</f>
        <v>500000</v>
      </c>
      <c r="G2801" s="22">
        <f>IFERROR(__xludf.DUMMYFUNCTION("""COMPUTED_VALUE"""),0.0)</f>
        <v>0</v>
      </c>
      <c r="H2801" s="22">
        <f>IFERROR(__xludf.DUMMYFUNCTION("""COMPUTED_VALUE"""),500000.0)</f>
        <v>500000</v>
      </c>
      <c r="I2801" s="24">
        <f>IFERROR(__xludf.DUMMYFUNCTION("""COMPUTED_VALUE"""),0.0)</f>
        <v>0</v>
      </c>
    </row>
    <row r="2802">
      <c r="A2802" s="5" t="str">
        <f>IFERROR(__xludf.DUMMYFUNCTION("""COMPUTED_VALUE"""),"39563")</f>
        <v>39563</v>
      </c>
      <c r="B2802" s="64">
        <f>IFERROR(__xludf.DUMMYFUNCTION("""COMPUTED_VALUE"""),44647.0)</f>
        <v>44647</v>
      </c>
      <c r="C2802" s="5"/>
      <c r="D2802" s="5"/>
      <c r="E2802" s="5"/>
      <c r="F2802" s="22">
        <f>IFERROR(__xludf.DUMMYFUNCTION("""COMPUTED_VALUE"""),500000.0)</f>
        <v>500000</v>
      </c>
      <c r="G2802" s="22">
        <f>IFERROR(__xludf.DUMMYFUNCTION("""COMPUTED_VALUE"""),0.0)</f>
        <v>0</v>
      </c>
      <c r="H2802" s="22">
        <f>IFERROR(__xludf.DUMMYFUNCTION("""COMPUTED_VALUE"""),500000.0)</f>
        <v>500000</v>
      </c>
      <c r="I2802" s="24">
        <f>IFERROR(__xludf.DUMMYFUNCTION("""COMPUTED_VALUE"""),0.0)</f>
        <v>0</v>
      </c>
    </row>
    <row r="2803">
      <c r="A2803" s="5" t="str">
        <f>IFERROR(__xludf.DUMMYFUNCTION("""COMPUTED_VALUE"""),"39563")</f>
        <v>39563</v>
      </c>
      <c r="B2803" s="64">
        <f>IFERROR(__xludf.DUMMYFUNCTION("""COMPUTED_VALUE"""),44648.0)</f>
        <v>44648</v>
      </c>
      <c r="C2803" s="5"/>
      <c r="D2803" s="5"/>
      <c r="E2803" s="5"/>
      <c r="F2803" s="22">
        <f>IFERROR(__xludf.DUMMYFUNCTION("""COMPUTED_VALUE"""),500000.0)</f>
        <v>500000</v>
      </c>
      <c r="G2803" s="22">
        <f>IFERROR(__xludf.DUMMYFUNCTION("""COMPUTED_VALUE"""),0.0)</f>
        <v>0</v>
      </c>
      <c r="H2803" s="22">
        <f>IFERROR(__xludf.DUMMYFUNCTION("""COMPUTED_VALUE"""),500000.0)</f>
        <v>500000</v>
      </c>
      <c r="I2803" s="24">
        <f>IFERROR(__xludf.DUMMYFUNCTION("""COMPUTED_VALUE"""),0.0)</f>
        <v>0</v>
      </c>
    </row>
    <row r="2804">
      <c r="A2804" s="5" t="str">
        <f>IFERROR(__xludf.DUMMYFUNCTION("""COMPUTED_VALUE"""),"39563")</f>
        <v>39563</v>
      </c>
      <c r="B2804" s="64">
        <f>IFERROR(__xludf.DUMMYFUNCTION("""COMPUTED_VALUE"""),44649.0)</f>
        <v>44649</v>
      </c>
      <c r="C2804" s="5"/>
      <c r="D2804" s="5"/>
      <c r="E2804" s="5"/>
      <c r="F2804" s="22">
        <f>IFERROR(__xludf.DUMMYFUNCTION("""COMPUTED_VALUE"""),500000.0)</f>
        <v>500000</v>
      </c>
      <c r="G2804" s="22">
        <f>IFERROR(__xludf.DUMMYFUNCTION("""COMPUTED_VALUE"""),0.0)</f>
        <v>0</v>
      </c>
      <c r="H2804" s="22">
        <f>IFERROR(__xludf.DUMMYFUNCTION("""COMPUTED_VALUE"""),500000.0)</f>
        <v>500000</v>
      </c>
      <c r="I2804" s="24">
        <f>IFERROR(__xludf.DUMMYFUNCTION("""COMPUTED_VALUE"""),0.0)</f>
        <v>0</v>
      </c>
    </row>
    <row r="2805">
      <c r="A2805" s="5" t="str">
        <f>IFERROR(__xludf.DUMMYFUNCTION("""COMPUTED_VALUE"""),"39563")</f>
        <v>39563</v>
      </c>
      <c r="B2805" s="64">
        <f>IFERROR(__xludf.DUMMYFUNCTION("""COMPUTED_VALUE"""),44650.0)</f>
        <v>44650</v>
      </c>
      <c r="C2805" s="5"/>
      <c r="D2805" s="5"/>
      <c r="E2805" s="5"/>
      <c r="F2805" s="22">
        <f>IFERROR(__xludf.DUMMYFUNCTION("""COMPUTED_VALUE"""),500000.0)</f>
        <v>500000</v>
      </c>
      <c r="G2805" s="22">
        <f>IFERROR(__xludf.DUMMYFUNCTION("""COMPUTED_VALUE"""),0.0)</f>
        <v>0</v>
      </c>
      <c r="H2805" s="22">
        <f>IFERROR(__xludf.DUMMYFUNCTION("""COMPUTED_VALUE"""),500000.0)</f>
        <v>500000</v>
      </c>
      <c r="I2805" s="24">
        <f>IFERROR(__xludf.DUMMYFUNCTION("""COMPUTED_VALUE"""),0.0)</f>
        <v>0</v>
      </c>
    </row>
    <row r="2806">
      <c r="A2806" s="5" t="str">
        <f>IFERROR(__xludf.DUMMYFUNCTION("""COMPUTED_VALUE"""),"39563")</f>
        <v>39563</v>
      </c>
      <c r="B2806" s="64">
        <f>IFERROR(__xludf.DUMMYFUNCTION("""COMPUTED_VALUE"""),44651.0)</f>
        <v>44651</v>
      </c>
      <c r="C2806" s="5"/>
      <c r="D2806" s="5"/>
      <c r="E2806" s="5"/>
      <c r="F2806" s="22">
        <f>IFERROR(__xludf.DUMMYFUNCTION("""COMPUTED_VALUE"""),500000.0)</f>
        <v>500000</v>
      </c>
      <c r="G2806" s="22">
        <f>IFERROR(__xludf.DUMMYFUNCTION("""COMPUTED_VALUE"""),0.0)</f>
        <v>0</v>
      </c>
      <c r="H2806" s="22">
        <f>IFERROR(__xludf.DUMMYFUNCTION("""COMPUTED_VALUE"""),500000.0)</f>
        <v>500000</v>
      </c>
      <c r="I2806" s="24">
        <f>IFERROR(__xludf.DUMMYFUNCTION("""COMPUTED_VALUE"""),0.0)</f>
        <v>0</v>
      </c>
    </row>
    <row r="2807">
      <c r="A2807" s="5" t="str">
        <f>IFERROR(__xludf.DUMMYFUNCTION("""COMPUTED_VALUE"""),"39563")</f>
        <v>39563</v>
      </c>
      <c r="B2807" s="64">
        <f>IFERROR(__xludf.DUMMYFUNCTION("""COMPUTED_VALUE"""),44652.0)</f>
        <v>44652</v>
      </c>
      <c r="C2807" s="5"/>
      <c r="D2807" s="5"/>
      <c r="E2807" s="5"/>
      <c r="F2807" s="22">
        <f>IFERROR(__xludf.DUMMYFUNCTION("""COMPUTED_VALUE"""),500000.0)</f>
        <v>500000</v>
      </c>
      <c r="G2807" s="22">
        <f>IFERROR(__xludf.DUMMYFUNCTION("""COMPUTED_VALUE"""),0.0)</f>
        <v>0</v>
      </c>
      <c r="H2807" s="22">
        <f>IFERROR(__xludf.DUMMYFUNCTION("""COMPUTED_VALUE"""),500000.0)</f>
        <v>500000</v>
      </c>
      <c r="I2807" s="24">
        <f>IFERROR(__xludf.DUMMYFUNCTION("""COMPUTED_VALUE"""),0.0)</f>
        <v>0</v>
      </c>
    </row>
    <row r="2808">
      <c r="A2808" s="5" t="str">
        <f>IFERROR(__xludf.DUMMYFUNCTION("""COMPUTED_VALUE"""),"39563")</f>
        <v>39563</v>
      </c>
      <c r="B2808" s="64">
        <f>IFERROR(__xludf.DUMMYFUNCTION("""COMPUTED_VALUE"""),44653.0)</f>
        <v>44653</v>
      </c>
      <c r="C2808" s="5"/>
      <c r="D2808" s="5"/>
      <c r="E2808" s="5"/>
      <c r="F2808" s="22">
        <f>IFERROR(__xludf.DUMMYFUNCTION("""COMPUTED_VALUE"""),500000.0)</f>
        <v>500000</v>
      </c>
      <c r="G2808" s="22">
        <f>IFERROR(__xludf.DUMMYFUNCTION("""COMPUTED_VALUE"""),0.0)</f>
        <v>0</v>
      </c>
      <c r="H2808" s="22">
        <f>IFERROR(__xludf.DUMMYFUNCTION("""COMPUTED_VALUE"""),500000.0)</f>
        <v>500000</v>
      </c>
      <c r="I2808" s="24">
        <f>IFERROR(__xludf.DUMMYFUNCTION("""COMPUTED_VALUE"""),0.0)</f>
        <v>0</v>
      </c>
    </row>
    <row r="2809">
      <c r="A2809" s="5" t="str">
        <f>IFERROR(__xludf.DUMMYFUNCTION("""COMPUTED_VALUE"""),"39563")</f>
        <v>39563</v>
      </c>
      <c r="B2809" s="64">
        <f>IFERROR(__xludf.DUMMYFUNCTION("""COMPUTED_VALUE"""),44654.0)</f>
        <v>44654</v>
      </c>
      <c r="C2809" s="5"/>
      <c r="D2809" s="5"/>
      <c r="E2809" s="5"/>
      <c r="F2809" s="22">
        <f>IFERROR(__xludf.DUMMYFUNCTION("""COMPUTED_VALUE"""),500000.0)</f>
        <v>500000</v>
      </c>
      <c r="G2809" s="22">
        <f>IFERROR(__xludf.DUMMYFUNCTION("""COMPUTED_VALUE"""),0.0)</f>
        <v>0</v>
      </c>
      <c r="H2809" s="22">
        <f>IFERROR(__xludf.DUMMYFUNCTION("""COMPUTED_VALUE"""),500000.0)</f>
        <v>500000</v>
      </c>
      <c r="I2809" s="24">
        <f>IFERROR(__xludf.DUMMYFUNCTION("""COMPUTED_VALUE"""),0.0)</f>
        <v>0</v>
      </c>
    </row>
    <row r="2810">
      <c r="A2810" s="5" t="str">
        <f>IFERROR(__xludf.DUMMYFUNCTION("""COMPUTED_VALUE"""),"39563")</f>
        <v>39563</v>
      </c>
      <c r="B2810" s="64">
        <f>IFERROR(__xludf.DUMMYFUNCTION("""COMPUTED_VALUE"""),44655.0)</f>
        <v>44655</v>
      </c>
      <c r="C2810" s="5"/>
      <c r="D2810" s="5"/>
      <c r="E2810" s="5"/>
      <c r="F2810" s="22">
        <f>IFERROR(__xludf.DUMMYFUNCTION("""COMPUTED_VALUE"""),500000.0)</f>
        <v>500000</v>
      </c>
      <c r="G2810" s="22">
        <f>IFERROR(__xludf.DUMMYFUNCTION("""COMPUTED_VALUE"""),0.0)</f>
        <v>0</v>
      </c>
      <c r="H2810" s="22">
        <f>IFERROR(__xludf.DUMMYFUNCTION("""COMPUTED_VALUE"""),500000.0)</f>
        <v>500000</v>
      </c>
      <c r="I2810" s="24">
        <f>IFERROR(__xludf.DUMMYFUNCTION("""COMPUTED_VALUE"""),0.0)</f>
        <v>0</v>
      </c>
    </row>
    <row r="2811">
      <c r="A2811" s="5" t="str">
        <f>IFERROR(__xludf.DUMMYFUNCTION("""COMPUTED_VALUE"""),"39563")</f>
        <v>39563</v>
      </c>
      <c r="B2811" s="64">
        <f>IFERROR(__xludf.DUMMYFUNCTION("""COMPUTED_VALUE"""),44656.0)</f>
        <v>44656</v>
      </c>
      <c r="C2811" s="5"/>
      <c r="D2811" s="5"/>
      <c r="E2811" s="5"/>
      <c r="F2811" s="22">
        <f>IFERROR(__xludf.DUMMYFUNCTION("""COMPUTED_VALUE"""),500000.0)</f>
        <v>500000</v>
      </c>
      <c r="G2811" s="22">
        <f>IFERROR(__xludf.DUMMYFUNCTION("""COMPUTED_VALUE"""),0.0)</f>
        <v>0</v>
      </c>
      <c r="H2811" s="22">
        <f>IFERROR(__xludf.DUMMYFUNCTION("""COMPUTED_VALUE"""),500000.0)</f>
        <v>500000</v>
      </c>
      <c r="I2811" s="24">
        <f>IFERROR(__xludf.DUMMYFUNCTION("""COMPUTED_VALUE"""),0.0)</f>
        <v>0</v>
      </c>
    </row>
    <row r="2812">
      <c r="A2812" s="5" t="str">
        <f>IFERROR(__xludf.DUMMYFUNCTION("""COMPUTED_VALUE"""),"39563")</f>
        <v>39563</v>
      </c>
      <c r="B2812" s="64">
        <f>IFERROR(__xludf.DUMMYFUNCTION("""COMPUTED_VALUE"""),44657.0)</f>
        <v>44657</v>
      </c>
      <c r="C2812" s="5"/>
      <c r="D2812" s="5"/>
      <c r="E2812" s="5"/>
      <c r="F2812" s="22">
        <f>IFERROR(__xludf.DUMMYFUNCTION("""COMPUTED_VALUE"""),401600.0)</f>
        <v>401600</v>
      </c>
      <c r="G2812" s="22">
        <f>IFERROR(__xludf.DUMMYFUNCTION("""COMPUTED_VALUE"""),0.0)</f>
        <v>0</v>
      </c>
      <c r="H2812" s="22">
        <f>IFERROR(__xludf.DUMMYFUNCTION("""COMPUTED_VALUE"""),500000.0)</f>
        <v>500000</v>
      </c>
      <c r="I2812" s="24">
        <f>IFERROR(__xludf.DUMMYFUNCTION("""COMPUTED_VALUE"""),0.0)</f>
        <v>0</v>
      </c>
    </row>
    <row r="2813">
      <c r="A2813" s="5" t="str">
        <f>IFERROR(__xludf.DUMMYFUNCTION("""COMPUTED_VALUE"""),"39563")</f>
        <v>39563</v>
      </c>
      <c r="B2813" s="64">
        <f>IFERROR(__xludf.DUMMYFUNCTION("""COMPUTED_VALUE"""),44658.0)</f>
        <v>44658</v>
      </c>
      <c r="C2813" s="5"/>
      <c r="D2813" s="5"/>
      <c r="E2813" s="5"/>
      <c r="F2813" s="22">
        <f>IFERROR(__xludf.DUMMYFUNCTION("""COMPUTED_VALUE"""),401600.0)</f>
        <v>401600</v>
      </c>
      <c r="G2813" s="22">
        <f>IFERROR(__xludf.DUMMYFUNCTION("""COMPUTED_VALUE"""),0.0)</f>
        <v>0</v>
      </c>
      <c r="H2813" s="22">
        <f>IFERROR(__xludf.DUMMYFUNCTION("""COMPUTED_VALUE"""),497550.0)</f>
        <v>497550</v>
      </c>
      <c r="I2813" s="24">
        <f>IFERROR(__xludf.DUMMYFUNCTION("""COMPUTED_VALUE"""),-0.0049000000000000155)</f>
        <v>-0.0049</v>
      </c>
    </row>
    <row r="2814">
      <c r="A2814" s="5" t="str">
        <f>IFERROR(__xludf.DUMMYFUNCTION("""COMPUTED_VALUE"""),"39563")</f>
        <v>39563</v>
      </c>
      <c r="B2814" s="64">
        <f>IFERROR(__xludf.DUMMYFUNCTION("""COMPUTED_VALUE"""),44659.0)</f>
        <v>44659</v>
      </c>
      <c r="C2814" s="5"/>
      <c r="D2814" s="5"/>
      <c r="E2814" s="5"/>
      <c r="F2814" s="22">
        <f>IFERROR(__xludf.DUMMYFUNCTION("""COMPUTED_VALUE"""),401600.0)</f>
        <v>401600</v>
      </c>
      <c r="G2814" s="22">
        <f>IFERROR(__xludf.DUMMYFUNCTION("""COMPUTED_VALUE"""),0.0)</f>
        <v>0</v>
      </c>
      <c r="H2814" s="22">
        <f>IFERROR(__xludf.DUMMYFUNCTION("""COMPUTED_VALUE"""),492150.0)</f>
        <v>492150</v>
      </c>
      <c r="I2814" s="24">
        <f>IFERROR(__xludf.DUMMYFUNCTION("""COMPUTED_VALUE"""),-0.015700000000000047)</f>
        <v>-0.0157</v>
      </c>
    </row>
    <row r="2815">
      <c r="A2815" s="5" t="str">
        <f>IFERROR(__xludf.DUMMYFUNCTION("""COMPUTED_VALUE"""),"39563")</f>
        <v>39563</v>
      </c>
      <c r="B2815" s="64">
        <f>IFERROR(__xludf.DUMMYFUNCTION("""COMPUTED_VALUE"""),44660.0)</f>
        <v>44660</v>
      </c>
      <c r="C2815" s="5"/>
      <c r="D2815" s="5"/>
      <c r="E2815" s="5"/>
      <c r="F2815" s="22">
        <f>IFERROR(__xludf.DUMMYFUNCTION("""COMPUTED_VALUE"""),401600.0)</f>
        <v>401600</v>
      </c>
      <c r="G2815" s="22">
        <f>IFERROR(__xludf.DUMMYFUNCTION("""COMPUTED_VALUE"""),0.0)</f>
        <v>0</v>
      </c>
      <c r="H2815" s="22">
        <f>IFERROR(__xludf.DUMMYFUNCTION("""COMPUTED_VALUE"""),492150.0)</f>
        <v>492150</v>
      </c>
      <c r="I2815" s="24">
        <f>IFERROR(__xludf.DUMMYFUNCTION("""COMPUTED_VALUE"""),-0.015700000000000047)</f>
        <v>-0.0157</v>
      </c>
    </row>
    <row r="2816">
      <c r="A2816" s="5" t="str">
        <f>IFERROR(__xludf.DUMMYFUNCTION("""COMPUTED_VALUE"""),"39563")</f>
        <v>39563</v>
      </c>
      <c r="B2816" s="64">
        <f>IFERROR(__xludf.DUMMYFUNCTION("""COMPUTED_VALUE"""),44661.0)</f>
        <v>44661</v>
      </c>
      <c r="C2816" s="5"/>
      <c r="D2816" s="5"/>
      <c r="E2816" s="5"/>
      <c r="F2816" s="22">
        <f>IFERROR(__xludf.DUMMYFUNCTION("""COMPUTED_VALUE"""),401600.0)</f>
        <v>401600</v>
      </c>
      <c r="G2816" s="22">
        <f>IFERROR(__xludf.DUMMYFUNCTION("""COMPUTED_VALUE"""),0.0)</f>
        <v>0</v>
      </c>
      <c r="H2816" s="22">
        <f>IFERROR(__xludf.DUMMYFUNCTION("""COMPUTED_VALUE"""),492150.0)</f>
        <v>492150</v>
      </c>
      <c r="I2816" s="24">
        <f>IFERROR(__xludf.DUMMYFUNCTION("""COMPUTED_VALUE"""),-0.015700000000000047)</f>
        <v>-0.0157</v>
      </c>
    </row>
    <row r="2817">
      <c r="A2817" s="5" t="str">
        <f>IFERROR(__xludf.DUMMYFUNCTION("""COMPUTED_VALUE"""),"39563")</f>
        <v>39563</v>
      </c>
      <c r="B2817" s="64">
        <f>IFERROR(__xludf.DUMMYFUNCTION("""COMPUTED_VALUE"""),44662.0)</f>
        <v>44662</v>
      </c>
      <c r="C2817" s="5"/>
      <c r="D2817" s="5"/>
      <c r="E2817" s="5"/>
      <c r="F2817" s="22">
        <f>IFERROR(__xludf.DUMMYFUNCTION("""COMPUTED_VALUE"""),401600.0)</f>
        <v>401600</v>
      </c>
      <c r="G2817" s="22">
        <f>IFERROR(__xludf.DUMMYFUNCTION("""COMPUTED_VALUE"""),0.0)</f>
        <v>0</v>
      </c>
      <c r="H2817" s="22">
        <f>IFERROR(__xludf.DUMMYFUNCTION("""COMPUTED_VALUE"""),492150.0)</f>
        <v>492150</v>
      </c>
      <c r="I2817" s="24">
        <f>IFERROR(__xludf.DUMMYFUNCTION("""COMPUTED_VALUE"""),-0.015700000000000047)</f>
        <v>-0.0157</v>
      </c>
    </row>
    <row r="2818">
      <c r="A2818" s="5" t="str">
        <f>IFERROR(__xludf.DUMMYFUNCTION("""COMPUTED_VALUE"""),"39563")</f>
        <v>39563</v>
      </c>
      <c r="B2818" s="64">
        <f>IFERROR(__xludf.DUMMYFUNCTION("""COMPUTED_VALUE"""),44663.0)</f>
        <v>44663</v>
      </c>
      <c r="C2818" s="5"/>
      <c r="D2818" s="5"/>
      <c r="E2818" s="5"/>
      <c r="F2818" s="22">
        <f>IFERROR(__xludf.DUMMYFUNCTION("""COMPUTED_VALUE"""),401600.0)</f>
        <v>401600</v>
      </c>
      <c r="G2818" s="22">
        <f>IFERROR(__xludf.DUMMYFUNCTION("""COMPUTED_VALUE"""),0.0)</f>
        <v>0</v>
      </c>
      <c r="H2818" s="22">
        <f>IFERROR(__xludf.DUMMYFUNCTION("""COMPUTED_VALUE"""),492150.0)</f>
        <v>492150</v>
      </c>
      <c r="I2818" s="24">
        <f>IFERROR(__xludf.DUMMYFUNCTION("""COMPUTED_VALUE"""),-0.015700000000000047)</f>
        <v>-0.0157</v>
      </c>
    </row>
    <row r="2819">
      <c r="A2819" s="5" t="str">
        <f>IFERROR(__xludf.DUMMYFUNCTION("""COMPUTED_VALUE"""),"39608")</f>
        <v>39608</v>
      </c>
      <c r="B2819" s="64">
        <f>IFERROR(__xludf.DUMMYFUNCTION("""COMPUTED_VALUE"""),44597.0)</f>
        <v>44597</v>
      </c>
      <c r="C2819" s="5"/>
      <c r="D2819" s="5"/>
      <c r="E2819" s="5"/>
      <c r="F2819" s="22">
        <f>IFERROR(__xludf.DUMMYFUNCTION("""COMPUTED_VALUE"""),500000.0)</f>
        <v>500000</v>
      </c>
      <c r="G2819" s="22">
        <f>IFERROR(__xludf.DUMMYFUNCTION("""COMPUTED_VALUE"""),0.0)</f>
        <v>0</v>
      </c>
      <c r="H2819" s="22">
        <f>IFERROR(__xludf.DUMMYFUNCTION("""COMPUTED_VALUE"""),500000.0)</f>
        <v>500000</v>
      </c>
      <c r="I2819" s="24">
        <f>IFERROR(__xludf.DUMMYFUNCTION("""COMPUTED_VALUE"""),0.0)</f>
        <v>0</v>
      </c>
    </row>
    <row r="2820">
      <c r="A2820" s="5" t="str">
        <f>IFERROR(__xludf.DUMMYFUNCTION("""COMPUTED_VALUE"""),"39608")</f>
        <v>39608</v>
      </c>
      <c r="B2820" s="64">
        <f>IFERROR(__xludf.DUMMYFUNCTION("""COMPUTED_VALUE"""),44598.0)</f>
        <v>44598</v>
      </c>
      <c r="C2820" s="5"/>
      <c r="D2820" s="5"/>
      <c r="E2820" s="5"/>
      <c r="F2820" s="22">
        <f>IFERROR(__xludf.DUMMYFUNCTION("""COMPUTED_VALUE"""),500000.0)</f>
        <v>500000</v>
      </c>
      <c r="G2820" s="22">
        <f>IFERROR(__xludf.DUMMYFUNCTION("""COMPUTED_VALUE"""),0.0)</f>
        <v>0</v>
      </c>
      <c r="H2820" s="22">
        <f>IFERROR(__xludf.DUMMYFUNCTION("""COMPUTED_VALUE"""),500000.0)</f>
        <v>500000</v>
      </c>
      <c r="I2820" s="24">
        <f>IFERROR(__xludf.DUMMYFUNCTION("""COMPUTED_VALUE"""),0.0)</f>
        <v>0</v>
      </c>
    </row>
    <row r="2821">
      <c r="A2821" s="5" t="str">
        <f>IFERROR(__xludf.DUMMYFUNCTION("""COMPUTED_VALUE"""),"39608")</f>
        <v>39608</v>
      </c>
      <c r="B2821" s="64">
        <f>IFERROR(__xludf.DUMMYFUNCTION("""COMPUTED_VALUE"""),44599.0)</f>
        <v>44599</v>
      </c>
      <c r="C2821" s="5"/>
      <c r="D2821" s="5"/>
      <c r="E2821" s="5"/>
      <c r="F2821" s="22">
        <f>IFERROR(__xludf.DUMMYFUNCTION("""COMPUTED_VALUE"""),500000.0)</f>
        <v>500000</v>
      </c>
      <c r="G2821" s="22">
        <f>IFERROR(__xludf.DUMMYFUNCTION("""COMPUTED_VALUE"""),0.0)</f>
        <v>0</v>
      </c>
      <c r="H2821" s="22">
        <f>IFERROR(__xludf.DUMMYFUNCTION("""COMPUTED_VALUE"""),500000.0)</f>
        <v>500000</v>
      </c>
      <c r="I2821" s="24">
        <f>IFERROR(__xludf.DUMMYFUNCTION("""COMPUTED_VALUE"""),0.0)</f>
        <v>0</v>
      </c>
    </row>
    <row r="2822">
      <c r="A2822" s="5" t="str">
        <f>IFERROR(__xludf.DUMMYFUNCTION("""COMPUTED_VALUE"""),"39608")</f>
        <v>39608</v>
      </c>
      <c r="B2822" s="64">
        <f>IFERROR(__xludf.DUMMYFUNCTION("""COMPUTED_VALUE"""),44600.0)</f>
        <v>44600</v>
      </c>
      <c r="C2822" s="5"/>
      <c r="D2822" s="5"/>
      <c r="E2822" s="5"/>
      <c r="F2822" s="22">
        <f>IFERROR(__xludf.DUMMYFUNCTION("""COMPUTED_VALUE"""),500000.0)</f>
        <v>500000</v>
      </c>
      <c r="G2822" s="22">
        <f>IFERROR(__xludf.DUMMYFUNCTION("""COMPUTED_VALUE"""),0.0)</f>
        <v>0</v>
      </c>
      <c r="H2822" s="22">
        <f>IFERROR(__xludf.DUMMYFUNCTION("""COMPUTED_VALUE"""),500000.0)</f>
        <v>500000</v>
      </c>
      <c r="I2822" s="24">
        <f>IFERROR(__xludf.DUMMYFUNCTION("""COMPUTED_VALUE"""),0.0)</f>
        <v>0</v>
      </c>
    </row>
    <row r="2823">
      <c r="A2823" s="5" t="str">
        <f>IFERROR(__xludf.DUMMYFUNCTION("""COMPUTED_VALUE"""),"39608")</f>
        <v>39608</v>
      </c>
      <c r="B2823" s="64">
        <f>IFERROR(__xludf.DUMMYFUNCTION("""COMPUTED_VALUE"""),44601.0)</f>
        <v>44601</v>
      </c>
      <c r="C2823" s="5"/>
      <c r="D2823" s="5"/>
      <c r="E2823" s="5"/>
      <c r="F2823" s="22">
        <f>IFERROR(__xludf.DUMMYFUNCTION("""COMPUTED_VALUE"""),500000.0)</f>
        <v>500000</v>
      </c>
      <c r="G2823" s="22">
        <f>IFERROR(__xludf.DUMMYFUNCTION("""COMPUTED_VALUE"""),0.0)</f>
        <v>0</v>
      </c>
      <c r="H2823" s="22">
        <f>IFERROR(__xludf.DUMMYFUNCTION("""COMPUTED_VALUE"""),500000.0)</f>
        <v>500000</v>
      </c>
      <c r="I2823" s="24">
        <f>IFERROR(__xludf.DUMMYFUNCTION("""COMPUTED_VALUE"""),0.0)</f>
        <v>0</v>
      </c>
    </row>
    <row r="2824">
      <c r="A2824" s="5" t="str">
        <f>IFERROR(__xludf.DUMMYFUNCTION("""COMPUTED_VALUE"""),"39608")</f>
        <v>39608</v>
      </c>
      <c r="B2824" s="64">
        <f>IFERROR(__xludf.DUMMYFUNCTION("""COMPUTED_VALUE"""),44602.0)</f>
        <v>44602</v>
      </c>
      <c r="C2824" s="5"/>
      <c r="D2824" s="5"/>
      <c r="E2824" s="5"/>
      <c r="F2824" s="22">
        <f>IFERROR(__xludf.DUMMYFUNCTION("""COMPUTED_VALUE"""),500000.0)</f>
        <v>500000</v>
      </c>
      <c r="G2824" s="22">
        <f>IFERROR(__xludf.DUMMYFUNCTION("""COMPUTED_VALUE"""),0.0)</f>
        <v>0</v>
      </c>
      <c r="H2824" s="22">
        <f>IFERROR(__xludf.DUMMYFUNCTION("""COMPUTED_VALUE"""),500000.0)</f>
        <v>500000</v>
      </c>
      <c r="I2824" s="24">
        <f>IFERROR(__xludf.DUMMYFUNCTION("""COMPUTED_VALUE"""),0.0)</f>
        <v>0</v>
      </c>
    </row>
    <row r="2825">
      <c r="A2825" s="5" t="str">
        <f>IFERROR(__xludf.DUMMYFUNCTION("""COMPUTED_VALUE"""),"39608")</f>
        <v>39608</v>
      </c>
      <c r="B2825" s="64">
        <f>IFERROR(__xludf.DUMMYFUNCTION("""COMPUTED_VALUE"""),44603.0)</f>
        <v>44603</v>
      </c>
      <c r="C2825" s="5"/>
      <c r="D2825" s="5"/>
      <c r="E2825" s="5"/>
      <c r="F2825" s="22">
        <f>IFERROR(__xludf.DUMMYFUNCTION("""COMPUTED_VALUE"""),500000.0)</f>
        <v>500000</v>
      </c>
      <c r="G2825" s="22">
        <f>IFERROR(__xludf.DUMMYFUNCTION("""COMPUTED_VALUE"""),0.0)</f>
        <v>0</v>
      </c>
      <c r="H2825" s="22">
        <f>IFERROR(__xludf.DUMMYFUNCTION("""COMPUTED_VALUE"""),500000.0)</f>
        <v>500000</v>
      </c>
      <c r="I2825" s="24">
        <f>IFERROR(__xludf.DUMMYFUNCTION("""COMPUTED_VALUE"""),0.0)</f>
        <v>0</v>
      </c>
    </row>
    <row r="2826">
      <c r="A2826" s="5" t="str">
        <f>IFERROR(__xludf.DUMMYFUNCTION("""COMPUTED_VALUE"""),"39608")</f>
        <v>39608</v>
      </c>
      <c r="B2826" s="64">
        <f>IFERROR(__xludf.DUMMYFUNCTION("""COMPUTED_VALUE"""),44604.0)</f>
        <v>44604</v>
      </c>
      <c r="C2826" s="5"/>
      <c r="D2826" s="5"/>
      <c r="E2826" s="5"/>
      <c r="F2826" s="22">
        <f>IFERROR(__xludf.DUMMYFUNCTION("""COMPUTED_VALUE"""),500000.0)</f>
        <v>500000</v>
      </c>
      <c r="G2826" s="22">
        <f>IFERROR(__xludf.DUMMYFUNCTION("""COMPUTED_VALUE"""),0.0)</f>
        <v>0</v>
      </c>
      <c r="H2826" s="22">
        <f>IFERROR(__xludf.DUMMYFUNCTION("""COMPUTED_VALUE"""),500000.0)</f>
        <v>500000</v>
      </c>
      <c r="I2826" s="24">
        <f>IFERROR(__xludf.DUMMYFUNCTION("""COMPUTED_VALUE"""),0.0)</f>
        <v>0</v>
      </c>
    </row>
    <row r="2827">
      <c r="A2827" s="5" t="str">
        <f>IFERROR(__xludf.DUMMYFUNCTION("""COMPUTED_VALUE"""),"39608")</f>
        <v>39608</v>
      </c>
      <c r="B2827" s="64">
        <f>IFERROR(__xludf.DUMMYFUNCTION("""COMPUTED_VALUE"""),44605.0)</f>
        <v>44605</v>
      </c>
      <c r="C2827" s="5"/>
      <c r="D2827" s="5"/>
      <c r="E2827" s="5"/>
      <c r="F2827" s="22">
        <f>IFERROR(__xludf.DUMMYFUNCTION("""COMPUTED_VALUE"""),500000.0)</f>
        <v>500000</v>
      </c>
      <c r="G2827" s="22">
        <f>IFERROR(__xludf.DUMMYFUNCTION("""COMPUTED_VALUE"""),0.0)</f>
        <v>0</v>
      </c>
      <c r="H2827" s="22">
        <f>IFERROR(__xludf.DUMMYFUNCTION("""COMPUTED_VALUE"""),500000.0)</f>
        <v>500000</v>
      </c>
      <c r="I2827" s="24">
        <f>IFERROR(__xludf.DUMMYFUNCTION("""COMPUTED_VALUE"""),0.0)</f>
        <v>0</v>
      </c>
    </row>
    <row r="2828">
      <c r="A2828" s="5" t="str">
        <f>IFERROR(__xludf.DUMMYFUNCTION("""COMPUTED_VALUE"""),"39608")</f>
        <v>39608</v>
      </c>
      <c r="B2828" s="64">
        <f>IFERROR(__xludf.DUMMYFUNCTION("""COMPUTED_VALUE"""),44606.0)</f>
        <v>44606</v>
      </c>
      <c r="C2828" s="5"/>
      <c r="D2828" s="5"/>
      <c r="E2828" s="5"/>
      <c r="F2828" s="22">
        <f>IFERROR(__xludf.DUMMYFUNCTION("""COMPUTED_VALUE"""),500000.0)</f>
        <v>500000</v>
      </c>
      <c r="G2828" s="22">
        <f>IFERROR(__xludf.DUMMYFUNCTION("""COMPUTED_VALUE"""),0.0)</f>
        <v>0</v>
      </c>
      <c r="H2828" s="22">
        <f>IFERROR(__xludf.DUMMYFUNCTION("""COMPUTED_VALUE"""),500000.0)</f>
        <v>500000</v>
      </c>
      <c r="I2828" s="24">
        <f>IFERROR(__xludf.DUMMYFUNCTION("""COMPUTED_VALUE"""),0.0)</f>
        <v>0</v>
      </c>
    </row>
    <row r="2829">
      <c r="A2829" s="5" t="str">
        <f>IFERROR(__xludf.DUMMYFUNCTION("""COMPUTED_VALUE"""),"39608")</f>
        <v>39608</v>
      </c>
      <c r="B2829" s="64">
        <f>IFERROR(__xludf.DUMMYFUNCTION("""COMPUTED_VALUE"""),44607.0)</f>
        <v>44607</v>
      </c>
      <c r="C2829" s="5"/>
      <c r="D2829" s="5"/>
      <c r="E2829" s="5"/>
      <c r="F2829" s="22">
        <f>IFERROR(__xludf.DUMMYFUNCTION("""COMPUTED_VALUE"""),500000.0)</f>
        <v>500000</v>
      </c>
      <c r="G2829" s="22">
        <f>IFERROR(__xludf.DUMMYFUNCTION("""COMPUTED_VALUE"""),0.0)</f>
        <v>0</v>
      </c>
      <c r="H2829" s="22">
        <f>IFERROR(__xludf.DUMMYFUNCTION("""COMPUTED_VALUE"""),500000.0)</f>
        <v>500000</v>
      </c>
      <c r="I2829" s="24">
        <f>IFERROR(__xludf.DUMMYFUNCTION("""COMPUTED_VALUE"""),0.0)</f>
        <v>0</v>
      </c>
    </row>
    <row r="2830">
      <c r="A2830" s="5" t="str">
        <f>IFERROR(__xludf.DUMMYFUNCTION("""COMPUTED_VALUE"""),"39608")</f>
        <v>39608</v>
      </c>
      <c r="B2830" s="64">
        <f>IFERROR(__xludf.DUMMYFUNCTION("""COMPUTED_VALUE"""),44608.0)</f>
        <v>44608</v>
      </c>
      <c r="C2830" s="5"/>
      <c r="D2830" s="5"/>
      <c r="E2830" s="5"/>
      <c r="F2830" s="22">
        <f>IFERROR(__xludf.DUMMYFUNCTION("""COMPUTED_VALUE"""),500000.0)</f>
        <v>500000</v>
      </c>
      <c r="G2830" s="22">
        <f>IFERROR(__xludf.DUMMYFUNCTION("""COMPUTED_VALUE"""),0.0)</f>
        <v>0</v>
      </c>
      <c r="H2830" s="22">
        <f>IFERROR(__xludf.DUMMYFUNCTION("""COMPUTED_VALUE"""),500000.0)</f>
        <v>500000</v>
      </c>
      <c r="I2830" s="24">
        <f>IFERROR(__xludf.DUMMYFUNCTION("""COMPUTED_VALUE"""),0.0)</f>
        <v>0</v>
      </c>
    </row>
    <row r="2831">
      <c r="A2831" s="5" t="str">
        <f>IFERROR(__xludf.DUMMYFUNCTION("""COMPUTED_VALUE"""),"39608")</f>
        <v>39608</v>
      </c>
      <c r="B2831" s="64">
        <f>IFERROR(__xludf.DUMMYFUNCTION("""COMPUTED_VALUE"""),44609.0)</f>
        <v>44609</v>
      </c>
      <c r="C2831" s="5"/>
      <c r="D2831" s="5"/>
      <c r="E2831" s="5"/>
      <c r="F2831" s="22">
        <f>IFERROR(__xludf.DUMMYFUNCTION("""COMPUTED_VALUE"""),376974.4202555)</f>
        <v>376974.4203</v>
      </c>
      <c r="G2831" s="22">
        <f>IFERROR(__xludf.DUMMYFUNCTION("""COMPUTED_VALUE"""),0.0)</f>
        <v>0</v>
      </c>
      <c r="H2831" s="22">
        <f>IFERROR(__xludf.DUMMYFUNCTION("""COMPUTED_VALUE"""),500000.0)</f>
        <v>500000</v>
      </c>
      <c r="I2831" s="24">
        <f>IFERROR(__xludf.DUMMYFUNCTION("""COMPUTED_VALUE"""),0.0)</f>
        <v>0</v>
      </c>
    </row>
    <row r="2832">
      <c r="A2832" s="5" t="str">
        <f>IFERROR(__xludf.DUMMYFUNCTION("""COMPUTED_VALUE"""),"39608")</f>
        <v>39608</v>
      </c>
      <c r="B2832" s="64">
        <f>IFERROR(__xludf.DUMMYFUNCTION("""COMPUTED_VALUE"""),44610.0)</f>
        <v>44610</v>
      </c>
      <c r="C2832" s="5"/>
      <c r="D2832" s="5"/>
      <c r="E2832" s="5"/>
      <c r="F2832" s="22">
        <f>IFERROR(__xludf.DUMMYFUNCTION("""COMPUTED_VALUE"""),376974.4202555)</f>
        <v>376974.4203</v>
      </c>
      <c r="G2832" s="22">
        <f>IFERROR(__xludf.DUMMYFUNCTION("""COMPUTED_VALUE"""),0.0)</f>
        <v>0</v>
      </c>
      <c r="H2832" s="22">
        <f>IFERROR(__xludf.DUMMYFUNCTION("""COMPUTED_VALUE"""),497280.7605641)</f>
        <v>497280.7606</v>
      </c>
      <c r="I2832" s="24">
        <f>IFERROR(__xludf.DUMMYFUNCTION("""COMPUTED_VALUE"""),-0.005438478871800045)</f>
        <v>-0.005438478872</v>
      </c>
    </row>
    <row r="2833">
      <c r="A2833" s="5" t="str">
        <f>IFERROR(__xludf.DUMMYFUNCTION("""COMPUTED_VALUE"""),"39608")</f>
        <v>39608</v>
      </c>
      <c r="B2833" s="64">
        <f>IFERROR(__xludf.DUMMYFUNCTION("""COMPUTED_VALUE"""),44611.0)</f>
        <v>44611</v>
      </c>
      <c r="C2833" s="5"/>
      <c r="D2833" s="5"/>
      <c r="E2833" s="5"/>
      <c r="F2833" s="22">
        <f>IFERROR(__xludf.DUMMYFUNCTION("""COMPUTED_VALUE"""),376974.4202555)</f>
        <v>376974.4203</v>
      </c>
      <c r="G2833" s="22">
        <f>IFERROR(__xludf.DUMMYFUNCTION("""COMPUTED_VALUE"""),0.0)</f>
        <v>0</v>
      </c>
      <c r="H2833" s="22">
        <f>IFERROR(__xludf.DUMMYFUNCTION("""COMPUTED_VALUE"""),497280.7605641)</f>
        <v>497280.7606</v>
      </c>
      <c r="I2833" s="24">
        <f>IFERROR(__xludf.DUMMYFUNCTION("""COMPUTED_VALUE"""),-0.005438478871800045)</f>
        <v>-0.005438478872</v>
      </c>
    </row>
    <row r="2834">
      <c r="A2834" s="5" t="str">
        <f>IFERROR(__xludf.DUMMYFUNCTION("""COMPUTED_VALUE"""),"39608")</f>
        <v>39608</v>
      </c>
      <c r="B2834" s="64">
        <f>IFERROR(__xludf.DUMMYFUNCTION("""COMPUTED_VALUE"""),44612.0)</f>
        <v>44612</v>
      </c>
      <c r="C2834" s="5"/>
      <c r="D2834" s="5"/>
      <c r="E2834" s="5"/>
      <c r="F2834" s="22">
        <f>IFERROR(__xludf.DUMMYFUNCTION("""COMPUTED_VALUE"""),376974.4202555)</f>
        <v>376974.4203</v>
      </c>
      <c r="G2834" s="22">
        <f>IFERROR(__xludf.DUMMYFUNCTION("""COMPUTED_VALUE"""),0.0)</f>
        <v>0</v>
      </c>
      <c r="H2834" s="22">
        <f>IFERROR(__xludf.DUMMYFUNCTION("""COMPUTED_VALUE"""),497280.7605641)</f>
        <v>497280.7606</v>
      </c>
      <c r="I2834" s="24">
        <f>IFERROR(__xludf.DUMMYFUNCTION("""COMPUTED_VALUE"""),-0.005438478871800045)</f>
        <v>-0.005438478872</v>
      </c>
    </row>
    <row r="2835">
      <c r="A2835" s="5" t="str">
        <f>IFERROR(__xludf.DUMMYFUNCTION("""COMPUTED_VALUE"""),"39608")</f>
        <v>39608</v>
      </c>
      <c r="B2835" s="64">
        <f>IFERROR(__xludf.DUMMYFUNCTION("""COMPUTED_VALUE"""),44613.0)</f>
        <v>44613</v>
      </c>
      <c r="C2835" s="5"/>
      <c r="D2835" s="5"/>
      <c r="E2835" s="5"/>
      <c r="F2835" s="22">
        <f>IFERROR(__xludf.DUMMYFUNCTION("""COMPUTED_VALUE"""),376974.4202555)</f>
        <v>376974.4203</v>
      </c>
      <c r="G2835" s="22">
        <f>IFERROR(__xludf.DUMMYFUNCTION("""COMPUTED_VALUE"""),0.0)</f>
        <v>0</v>
      </c>
      <c r="H2835" s="22">
        <f>IFERROR(__xludf.DUMMYFUNCTION("""COMPUTED_VALUE"""),497280.7605641)</f>
        <v>497280.7606</v>
      </c>
      <c r="I2835" s="24">
        <f>IFERROR(__xludf.DUMMYFUNCTION("""COMPUTED_VALUE"""),-0.005438478871800045)</f>
        <v>-0.005438478872</v>
      </c>
    </row>
    <row r="2836">
      <c r="A2836" s="5" t="str">
        <f>IFERROR(__xludf.DUMMYFUNCTION("""COMPUTED_VALUE"""),"39608")</f>
        <v>39608</v>
      </c>
      <c r="B2836" s="64">
        <f>IFERROR(__xludf.DUMMYFUNCTION("""COMPUTED_VALUE"""),44614.0)</f>
        <v>44614</v>
      </c>
      <c r="C2836" s="5"/>
      <c r="D2836" s="5"/>
      <c r="E2836" s="5"/>
      <c r="F2836" s="22">
        <f>IFERROR(__xludf.DUMMYFUNCTION("""COMPUTED_VALUE"""),376974.4202555)</f>
        <v>376974.4203</v>
      </c>
      <c r="G2836" s="22">
        <f>IFERROR(__xludf.DUMMYFUNCTION("""COMPUTED_VALUE"""),0.0)</f>
        <v>0</v>
      </c>
      <c r="H2836" s="22">
        <f>IFERROR(__xludf.DUMMYFUNCTION("""COMPUTED_VALUE"""),491812.7131526)</f>
        <v>491812.7132</v>
      </c>
      <c r="I2836" s="24">
        <f>IFERROR(__xludf.DUMMYFUNCTION("""COMPUTED_VALUE"""),-0.0163745736948)</f>
        <v>-0.01637457369</v>
      </c>
    </row>
    <row r="2837">
      <c r="A2837" s="5" t="str">
        <f>IFERROR(__xludf.DUMMYFUNCTION("""COMPUTED_VALUE"""),"39608")</f>
        <v>39608</v>
      </c>
      <c r="B2837" s="64">
        <f>IFERROR(__xludf.DUMMYFUNCTION("""COMPUTED_VALUE"""),44615.0)</f>
        <v>44615</v>
      </c>
      <c r="C2837" s="5"/>
      <c r="D2837" s="5"/>
      <c r="E2837" s="5"/>
      <c r="F2837" s="22">
        <f>IFERROR(__xludf.DUMMYFUNCTION("""COMPUTED_VALUE"""),376974.4202555)</f>
        <v>376974.4203</v>
      </c>
      <c r="G2837" s="22">
        <f>IFERROR(__xludf.DUMMYFUNCTION("""COMPUTED_VALUE"""),0.0)</f>
        <v>0</v>
      </c>
      <c r="H2837" s="22">
        <f>IFERROR(__xludf.DUMMYFUNCTION("""COMPUTED_VALUE"""),481848.8491913)</f>
        <v>481848.8492</v>
      </c>
      <c r="I2837" s="24">
        <f>IFERROR(__xludf.DUMMYFUNCTION("""COMPUTED_VALUE"""),-0.0363023016174)</f>
        <v>-0.03630230162</v>
      </c>
    </row>
    <row r="2838">
      <c r="A2838" s="5" t="str">
        <f>IFERROR(__xludf.DUMMYFUNCTION("""COMPUTED_VALUE"""),"39608")</f>
        <v>39608</v>
      </c>
      <c r="B2838" s="64">
        <f>IFERROR(__xludf.DUMMYFUNCTION("""COMPUTED_VALUE"""),44616.0)</f>
        <v>44616</v>
      </c>
      <c r="C2838" s="5"/>
      <c r="D2838" s="5"/>
      <c r="E2838" s="5"/>
      <c r="F2838" s="22">
        <f>IFERROR(__xludf.DUMMYFUNCTION("""COMPUTED_VALUE"""),376974.4202555)</f>
        <v>376974.4203</v>
      </c>
      <c r="G2838" s="22">
        <f>IFERROR(__xludf.DUMMYFUNCTION("""COMPUTED_VALUE"""),0.0)</f>
        <v>0</v>
      </c>
      <c r="H2838" s="22">
        <f>IFERROR(__xludf.DUMMYFUNCTION("""COMPUTED_VALUE"""),484990.98639529996)</f>
        <v>484990.9864</v>
      </c>
      <c r="I2838" s="24">
        <f>IFERROR(__xludf.DUMMYFUNCTION("""COMPUTED_VALUE"""),-0.030018027209400056)</f>
        <v>-0.03001802721</v>
      </c>
    </row>
    <row r="2839">
      <c r="A2839" s="5" t="str">
        <f>IFERROR(__xludf.DUMMYFUNCTION("""COMPUTED_VALUE"""),"39608")</f>
        <v>39608</v>
      </c>
      <c r="B2839" s="64">
        <f>IFERROR(__xludf.DUMMYFUNCTION("""COMPUTED_VALUE"""),44617.0)</f>
        <v>44617</v>
      </c>
      <c r="C2839" s="5"/>
      <c r="D2839" s="5"/>
      <c r="E2839" s="5"/>
      <c r="F2839" s="22">
        <f>IFERROR(__xludf.DUMMYFUNCTION("""COMPUTED_VALUE"""),376974.4202555)</f>
        <v>376974.4203</v>
      </c>
      <c r="G2839" s="22">
        <f>IFERROR(__xludf.DUMMYFUNCTION("""COMPUTED_VALUE"""),0.0)</f>
        <v>0</v>
      </c>
      <c r="H2839" s="22">
        <f>IFERROR(__xludf.DUMMYFUNCTION("""COMPUTED_VALUE"""),488690.43435440003)</f>
        <v>488690.4344</v>
      </c>
      <c r="I2839" s="24">
        <f>IFERROR(__xludf.DUMMYFUNCTION("""COMPUTED_VALUE"""),-0.022619131291199968)</f>
        <v>-0.02261913129</v>
      </c>
    </row>
    <row r="2840">
      <c r="A2840" s="5" t="str">
        <f>IFERROR(__xludf.DUMMYFUNCTION("""COMPUTED_VALUE"""),"39608")</f>
        <v>39608</v>
      </c>
      <c r="B2840" s="64">
        <f>IFERROR(__xludf.DUMMYFUNCTION("""COMPUTED_VALUE"""),44618.0)</f>
        <v>44618</v>
      </c>
      <c r="C2840" s="5"/>
      <c r="D2840" s="5"/>
      <c r="E2840" s="5"/>
      <c r="F2840" s="22">
        <f>IFERROR(__xludf.DUMMYFUNCTION("""COMPUTED_VALUE"""),376974.4202555)</f>
        <v>376974.4203</v>
      </c>
      <c r="G2840" s="22">
        <f>IFERROR(__xludf.DUMMYFUNCTION("""COMPUTED_VALUE"""),0.0)</f>
        <v>0</v>
      </c>
      <c r="H2840" s="22">
        <f>IFERROR(__xludf.DUMMYFUNCTION("""COMPUTED_VALUE"""),488690.43435440003)</f>
        <v>488690.4344</v>
      </c>
      <c r="I2840" s="24">
        <f>IFERROR(__xludf.DUMMYFUNCTION("""COMPUTED_VALUE"""),-0.022619131291199968)</f>
        <v>-0.02261913129</v>
      </c>
    </row>
    <row r="2841">
      <c r="A2841" s="5" t="str">
        <f>IFERROR(__xludf.DUMMYFUNCTION("""COMPUTED_VALUE"""),"39608")</f>
        <v>39608</v>
      </c>
      <c r="B2841" s="64">
        <f>IFERROR(__xludf.DUMMYFUNCTION("""COMPUTED_VALUE"""),44619.0)</f>
        <v>44619</v>
      </c>
      <c r="C2841" s="5"/>
      <c r="D2841" s="5"/>
      <c r="E2841" s="5"/>
      <c r="F2841" s="22">
        <f>IFERROR(__xludf.DUMMYFUNCTION("""COMPUTED_VALUE"""),376974.4202555)</f>
        <v>376974.4203</v>
      </c>
      <c r="G2841" s="22">
        <f>IFERROR(__xludf.DUMMYFUNCTION("""COMPUTED_VALUE"""),0.0)</f>
        <v>0</v>
      </c>
      <c r="H2841" s="22">
        <f>IFERROR(__xludf.DUMMYFUNCTION("""COMPUTED_VALUE"""),488690.43435440003)</f>
        <v>488690.4344</v>
      </c>
      <c r="I2841" s="24">
        <f>IFERROR(__xludf.DUMMYFUNCTION("""COMPUTED_VALUE"""),-0.022619131291199968)</f>
        <v>-0.02261913129</v>
      </c>
    </row>
    <row r="2842">
      <c r="A2842" s="5" t="str">
        <f>IFERROR(__xludf.DUMMYFUNCTION("""COMPUTED_VALUE"""),"39608")</f>
        <v>39608</v>
      </c>
      <c r="B2842" s="64">
        <f>IFERROR(__xludf.DUMMYFUNCTION("""COMPUTED_VALUE"""),44620.0)</f>
        <v>44620</v>
      </c>
      <c r="C2842" s="5"/>
      <c r="D2842" s="5"/>
      <c r="E2842" s="5"/>
      <c r="F2842" s="22">
        <f>IFERROR(__xludf.DUMMYFUNCTION("""COMPUTED_VALUE"""),376974.4202555)</f>
        <v>376974.4203</v>
      </c>
      <c r="G2842" s="22">
        <f>IFERROR(__xludf.DUMMYFUNCTION("""COMPUTED_VALUE"""),0.0)</f>
        <v>0</v>
      </c>
      <c r="H2842" s="22">
        <f>IFERROR(__xludf.DUMMYFUNCTION("""COMPUTED_VALUE"""),496145.1734726)</f>
        <v>496145.1735</v>
      </c>
      <c r="I2842" s="24">
        <f>IFERROR(__xludf.DUMMYFUNCTION("""COMPUTED_VALUE"""),-0.007709653054799981)</f>
        <v>-0.007709653055</v>
      </c>
    </row>
    <row r="2843">
      <c r="A2843" s="5" t="str">
        <f>IFERROR(__xludf.DUMMYFUNCTION("""COMPUTED_VALUE"""),"39608")</f>
        <v>39608</v>
      </c>
      <c r="B2843" s="64">
        <f>IFERROR(__xludf.DUMMYFUNCTION("""COMPUTED_VALUE"""),44621.0)</f>
        <v>44621</v>
      </c>
      <c r="C2843" s="5"/>
      <c r="D2843" s="5"/>
      <c r="E2843" s="5"/>
      <c r="F2843" s="22">
        <f>IFERROR(__xludf.DUMMYFUNCTION("""COMPUTED_VALUE"""),376974.4202555)</f>
        <v>376974.4203</v>
      </c>
      <c r="G2843" s="22">
        <f>IFERROR(__xludf.DUMMYFUNCTION("""COMPUTED_VALUE"""),0.0)</f>
        <v>0</v>
      </c>
      <c r="H2843" s="22">
        <f>IFERROR(__xludf.DUMMYFUNCTION("""COMPUTED_VALUE"""),500498.5837994)</f>
        <v>500498.5838</v>
      </c>
      <c r="I2843" s="24">
        <f>IFERROR(__xludf.DUMMYFUNCTION("""COMPUTED_VALUE"""),9.97167598800086E-4)</f>
        <v>0.0009971675988</v>
      </c>
    </row>
    <row r="2844">
      <c r="A2844" s="5" t="str">
        <f>IFERROR(__xludf.DUMMYFUNCTION("""COMPUTED_VALUE"""),"39608")</f>
        <v>39608</v>
      </c>
      <c r="B2844" s="64">
        <f>IFERROR(__xludf.DUMMYFUNCTION("""COMPUTED_VALUE"""),44622.0)</f>
        <v>44622</v>
      </c>
      <c r="C2844" s="5"/>
      <c r="D2844" s="5"/>
      <c r="E2844" s="5"/>
      <c r="F2844" s="22">
        <f>IFERROR(__xludf.DUMMYFUNCTION("""COMPUTED_VALUE"""),376974.4202555)</f>
        <v>376974.4203</v>
      </c>
      <c r="G2844" s="22">
        <f>IFERROR(__xludf.DUMMYFUNCTION("""COMPUTED_VALUE"""),0.0)</f>
        <v>0</v>
      </c>
      <c r="H2844" s="22">
        <f>IFERROR(__xludf.DUMMYFUNCTION("""COMPUTED_VALUE"""),499393.05294080003)</f>
        <v>499393.0529</v>
      </c>
      <c r="I2844" s="24">
        <f>IFERROR(__xludf.DUMMYFUNCTION("""COMPUTED_VALUE"""),-0.0012138941183998941)</f>
        <v>-0.001213894118</v>
      </c>
    </row>
    <row r="2845">
      <c r="A2845" s="5" t="str">
        <f>IFERROR(__xludf.DUMMYFUNCTION("""COMPUTED_VALUE"""),"39608")</f>
        <v>39608</v>
      </c>
      <c r="B2845" s="64">
        <f>IFERROR(__xludf.DUMMYFUNCTION("""COMPUTED_VALUE"""),44623.0)</f>
        <v>44623</v>
      </c>
      <c r="C2845" s="5"/>
      <c r="D2845" s="5"/>
      <c r="E2845" s="5"/>
      <c r="F2845" s="22">
        <f>IFERROR(__xludf.DUMMYFUNCTION("""COMPUTED_VALUE"""),376974.4202555)</f>
        <v>376974.4203</v>
      </c>
      <c r="G2845" s="22">
        <f>IFERROR(__xludf.DUMMYFUNCTION("""COMPUTED_VALUE"""),0.0)</f>
        <v>0</v>
      </c>
      <c r="H2845" s="22">
        <f>IFERROR(__xludf.DUMMYFUNCTION("""COMPUTED_VALUE"""),495030.51516979997)</f>
        <v>495030.5152</v>
      </c>
      <c r="I2845" s="24">
        <f>IFERROR(__xludf.DUMMYFUNCTION("""COMPUTED_VALUE"""),-0.009938969660400088)</f>
        <v>-0.00993896966</v>
      </c>
    </row>
    <row r="2846">
      <c r="A2846" s="5" t="str">
        <f>IFERROR(__xludf.DUMMYFUNCTION("""COMPUTED_VALUE"""),"39608")</f>
        <v>39608</v>
      </c>
      <c r="B2846" s="64">
        <f>IFERROR(__xludf.DUMMYFUNCTION("""COMPUTED_VALUE"""),44624.0)</f>
        <v>44624</v>
      </c>
      <c r="C2846" s="5"/>
      <c r="D2846" s="5"/>
      <c r="E2846" s="5"/>
      <c r="F2846" s="22">
        <f>IFERROR(__xludf.DUMMYFUNCTION("""COMPUTED_VALUE"""),81242.97094989997)</f>
        <v>81242.97095</v>
      </c>
      <c r="G2846" s="22">
        <f>IFERROR(__xludf.DUMMYFUNCTION("""COMPUTED_VALUE"""),0.0)</f>
        <v>0</v>
      </c>
      <c r="H2846" s="22">
        <f>IFERROR(__xludf.DUMMYFUNCTION("""COMPUTED_VALUE"""),495379.5237128)</f>
        <v>495379.5237</v>
      </c>
      <c r="I2846" s="24">
        <f>IFERROR(__xludf.DUMMYFUNCTION("""COMPUTED_VALUE"""),-0.009240952574400052)</f>
        <v>-0.009240952574</v>
      </c>
    </row>
    <row r="2847">
      <c r="A2847" s="5" t="str">
        <f>IFERROR(__xludf.DUMMYFUNCTION("""COMPUTED_VALUE"""),"39608")</f>
        <v>39608</v>
      </c>
      <c r="B2847" s="64">
        <f>IFERROR(__xludf.DUMMYFUNCTION("""COMPUTED_VALUE"""),44625.0)</f>
        <v>44625</v>
      </c>
      <c r="C2847" s="5"/>
      <c r="D2847" s="5"/>
      <c r="E2847" s="5"/>
      <c r="F2847" s="22">
        <f>IFERROR(__xludf.DUMMYFUNCTION("""COMPUTED_VALUE"""),81242.97094989997)</f>
        <v>81242.97095</v>
      </c>
      <c r="G2847" s="22">
        <f>IFERROR(__xludf.DUMMYFUNCTION("""COMPUTED_VALUE"""),0.0)</f>
        <v>0</v>
      </c>
      <c r="H2847" s="22">
        <f>IFERROR(__xludf.DUMMYFUNCTION("""COMPUTED_VALUE"""),495379.5237128)</f>
        <v>495379.5237</v>
      </c>
      <c r="I2847" s="24">
        <f>IFERROR(__xludf.DUMMYFUNCTION("""COMPUTED_VALUE"""),-0.009240952574400052)</f>
        <v>-0.009240952574</v>
      </c>
    </row>
    <row r="2848">
      <c r="A2848" s="5" t="str">
        <f>IFERROR(__xludf.DUMMYFUNCTION("""COMPUTED_VALUE"""),"39608")</f>
        <v>39608</v>
      </c>
      <c r="B2848" s="64">
        <f>IFERROR(__xludf.DUMMYFUNCTION("""COMPUTED_VALUE"""),44626.0)</f>
        <v>44626</v>
      </c>
      <c r="C2848" s="5"/>
      <c r="D2848" s="5"/>
      <c r="E2848" s="5"/>
      <c r="F2848" s="22">
        <f>IFERROR(__xludf.DUMMYFUNCTION("""COMPUTED_VALUE"""),81242.97094989997)</f>
        <v>81242.97095</v>
      </c>
      <c r="G2848" s="22">
        <f>IFERROR(__xludf.DUMMYFUNCTION("""COMPUTED_VALUE"""),0.0)</f>
        <v>0</v>
      </c>
      <c r="H2848" s="22">
        <f>IFERROR(__xludf.DUMMYFUNCTION("""COMPUTED_VALUE"""),495379.5237128)</f>
        <v>495379.5237</v>
      </c>
      <c r="I2848" s="24">
        <f>IFERROR(__xludf.DUMMYFUNCTION("""COMPUTED_VALUE"""),-0.009240952574400052)</f>
        <v>-0.009240952574</v>
      </c>
    </row>
    <row r="2849">
      <c r="A2849" s="5" t="str">
        <f>IFERROR(__xludf.DUMMYFUNCTION("""COMPUTED_VALUE"""),"39608")</f>
        <v>39608</v>
      </c>
      <c r="B2849" s="64">
        <f>IFERROR(__xludf.DUMMYFUNCTION("""COMPUTED_VALUE"""),44627.0)</f>
        <v>44627</v>
      </c>
      <c r="C2849" s="5"/>
      <c r="D2849" s="5"/>
      <c r="E2849" s="5"/>
      <c r="F2849" s="22">
        <f>IFERROR(__xludf.DUMMYFUNCTION("""COMPUTED_VALUE"""),81242.97094989997)</f>
        <v>81242.97095</v>
      </c>
      <c r="G2849" s="22">
        <f>IFERROR(__xludf.DUMMYFUNCTION("""COMPUTED_VALUE"""),0.0)</f>
        <v>0</v>
      </c>
      <c r="H2849" s="22">
        <f>IFERROR(__xludf.DUMMYFUNCTION("""COMPUTED_VALUE"""),485325.58490270004)</f>
        <v>485325.5849</v>
      </c>
      <c r="I2849" s="24">
        <f>IFERROR(__xludf.DUMMYFUNCTION("""COMPUTED_VALUE"""),-0.029348830194599884)</f>
        <v>-0.02934883019</v>
      </c>
    </row>
    <row r="2850">
      <c r="A2850" s="5" t="str">
        <f>IFERROR(__xludf.DUMMYFUNCTION("""COMPUTED_VALUE"""),"39608")</f>
        <v>39608</v>
      </c>
      <c r="B2850" s="64">
        <f>IFERROR(__xludf.DUMMYFUNCTION("""COMPUTED_VALUE"""),44628.0)</f>
        <v>44628</v>
      </c>
      <c r="C2850" s="5"/>
      <c r="D2850" s="5"/>
      <c r="E2850" s="5"/>
      <c r="F2850" s="22">
        <f>IFERROR(__xludf.DUMMYFUNCTION("""COMPUTED_VALUE"""),81242.97094989997)</f>
        <v>81242.97095</v>
      </c>
      <c r="G2850" s="22">
        <f>IFERROR(__xludf.DUMMYFUNCTION("""COMPUTED_VALUE"""),0.0)</f>
        <v>0</v>
      </c>
      <c r="H2850" s="22">
        <f>IFERROR(__xludf.DUMMYFUNCTION("""COMPUTED_VALUE"""),490953.00202589994)</f>
        <v>490953.002</v>
      </c>
      <c r="I2850" s="24">
        <f>IFERROR(__xludf.DUMMYFUNCTION("""COMPUTED_VALUE"""),-0.01809399594820016)</f>
        <v>-0.01809399595</v>
      </c>
    </row>
    <row r="2851">
      <c r="A2851" s="5" t="str">
        <f>IFERROR(__xludf.DUMMYFUNCTION("""COMPUTED_VALUE"""),"39608")</f>
        <v>39608</v>
      </c>
      <c r="B2851" s="64">
        <f>IFERROR(__xludf.DUMMYFUNCTION("""COMPUTED_VALUE"""),44629.0)</f>
        <v>44629</v>
      </c>
      <c r="C2851" s="5"/>
      <c r="D2851" s="5"/>
      <c r="E2851" s="5"/>
      <c r="F2851" s="22">
        <f>IFERROR(__xludf.DUMMYFUNCTION("""COMPUTED_VALUE"""),81242.97094989997)</f>
        <v>81242.97095</v>
      </c>
      <c r="G2851" s="22">
        <f>IFERROR(__xludf.DUMMYFUNCTION("""COMPUTED_VALUE"""),0.0)</f>
        <v>0</v>
      </c>
      <c r="H2851" s="22">
        <f>IFERROR(__xludf.DUMMYFUNCTION("""COMPUTED_VALUE"""),490968.15795360005)</f>
        <v>490968.158</v>
      </c>
      <c r="I2851" s="24">
        <f>IFERROR(__xludf.DUMMYFUNCTION("""COMPUTED_VALUE"""),-0.018063684092799903)</f>
        <v>-0.01806368409</v>
      </c>
    </row>
    <row r="2852">
      <c r="A2852" s="5" t="str">
        <f>IFERROR(__xludf.DUMMYFUNCTION("""COMPUTED_VALUE"""),"39608")</f>
        <v>39608</v>
      </c>
      <c r="B2852" s="64">
        <f>IFERROR(__xludf.DUMMYFUNCTION("""COMPUTED_VALUE"""),44630.0)</f>
        <v>44630</v>
      </c>
      <c r="C2852" s="5"/>
      <c r="D2852" s="5"/>
      <c r="E2852" s="5"/>
      <c r="F2852" s="22">
        <f>IFERROR(__xludf.DUMMYFUNCTION("""COMPUTED_VALUE"""),81242.97094989997)</f>
        <v>81242.97095</v>
      </c>
      <c r="G2852" s="22">
        <f>IFERROR(__xludf.DUMMYFUNCTION("""COMPUTED_VALUE"""),0.0)</f>
        <v>0</v>
      </c>
      <c r="H2852" s="22">
        <f>IFERROR(__xludf.DUMMYFUNCTION("""COMPUTED_VALUE"""),491046.31389760005)</f>
        <v>491046.3139</v>
      </c>
      <c r="I2852" s="24">
        <f>IFERROR(__xludf.DUMMYFUNCTION("""COMPUTED_VALUE"""),-0.017907372204799876)</f>
        <v>-0.0179073722</v>
      </c>
    </row>
    <row r="2853">
      <c r="A2853" s="5" t="str">
        <f>IFERROR(__xludf.DUMMYFUNCTION("""COMPUTED_VALUE"""),"39608")</f>
        <v>39608</v>
      </c>
      <c r="B2853" s="64">
        <f>IFERROR(__xludf.DUMMYFUNCTION("""COMPUTED_VALUE"""),44631.0)</f>
        <v>44631</v>
      </c>
      <c r="C2853" s="5"/>
      <c r="D2853" s="5"/>
      <c r="E2853" s="5"/>
      <c r="F2853" s="22">
        <f>IFERROR(__xludf.DUMMYFUNCTION("""COMPUTED_VALUE"""),81242.97094989997)</f>
        <v>81242.97095</v>
      </c>
      <c r="G2853" s="22">
        <f>IFERROR(__xludf.DUMMYFUNCTION("""COMPUTED_VALUE"""),0.0)</f>
        <v>0</v>
      </c>
      <c r="H2853" s="22">
        <f>IFERROR(__xludf.DUMMYFUNCTION("""COMPUTED_VALUE"""),473251.4337794)</f>
        <v>473251.4338</v>
      </c>
      <c r="I2853" s="24">
        <f>IFERROR(__xludf.DUMMYFUNCTION("""COMPUTED_VALUE"""),-0.05349713244119991)</f>
        <v>-0.05349713244</v>
      </c>
    </row>
    <row r="2854">
      <c r="A2854" s="5" t="str">
        <f>IFERROR(__xludf.DUMMYFUNCTION("""COMPUTED_VALUE"""),"39608")</f>
        <v>39608</v>
      </c>
      <c r="B2854" s="64">
        <f>IFERROR(__xludf.DUMMYFUNCTION("""COMPUTED_VALUE"""),44632.0)</f>
        <v>44632</v>
      </c>
      <c r="C2854" s="5"/>
      <c r="D2854" s="5"/>
      <c r="E2854" s="5"/>
      <c r="F2854" s="22">
        <f>IFERROR(__xludf.DUMMYFUNCTION("""COMPUTED_VALUE"""),81242.97094989997)</f>
        <v>81242.97095</v>
      </c>
      <c r="G2854" s="22">
        <f>IFERROR(__xludf.DUMMYFUNCTION("""COMPUTED_VALUE"""),0.0)</f>
        <v>0</v>
      </c>
      <c r="H2854" s="22">
        <f>IFERROR(__xludf.DUMMYFUNCTION("""COMPUTED_VALUE"""),473251.4337794)</f>
        <v>473251.4338</v>
      </c>
      <c r="I2854" s="24">
        <f>IFERROR(__xludf.DUMMYFUNCTION("""COMPUTED_VALUE"""),-0.05349713244119991)</f>
        <v>-0.05349713244</v>
      </c>
    </row>
    <row r="2855">
      <c r="A2855" s="5" t="str">
        <f>IFERROR(__xludf.DUMMYFUNCTION("""COMPUTED_VALUE"""),"39608")</f>
        <v>39608</v>
      </c>
      <c r="B2855" s="64">
        <f>IFERROR(__xludf.DUMMYFUNCTION("""COMPUTED_VALUE"""),44633.0)</f>
        <v>44633</v>
      </c>
      <c r="C2855" s="5"/>
      <c r="D2855" s="5"/>
      <c r="E2855" s="5"/>
      <c r="F2855" s="22">
        <f>IFERROR(__xludf.DUMMYFUNCTION("""COMPUTED_VALUE"""),81242.97094989997)</f>
        <v>81242.97095</v>
      </c>
      <c r="G2855" s="22">
        <f>IFERROR(__xludf.DUMMYFUNCTION("""COMPUTED_VALUE"""),0.0)</f>
        <v>0</v>
      </c>
      <c r="H2855" s="22">
        <f>IFERROR(__xludf.DUMMYFUNCTION("""COMPUTED_VALUE"""),473251.4337794)</f>
        <v>473251.4338</v>
      </c>
      <c r="I2855" s="24">
        <f>IFERROR(__xludf.DUMMYFUNCTION("""COMPUTED_VALUE"""),-0.05349713244119991)</f>
        <v>-0.05349713244</v>
      </c>
    </row>
    <row r="2856">
      <c r="A2856" s="5" t="str">
        <f>IFERROR(__xludf.DUMMYFUNCTION("""COMPUTED_VALUE"""),"39608")</f>
        <v>39608</v>
      </c>
      <c r="B2856" s="64">
        <f>IFERROR(__xludf.DUMMYFUNCTION("""COMPUTED_VALUE"""),44634.0)</f>
        <v>44634</v>
      </c>
      <c r="C2856" s="5"/>
      <c r="D2856" s="5"/>
      <c r="E2856" s="5"/>
      <c r="F2856" s="22">
        <f>IFERROR(__xludf.DUMMYFUNCTION("""COMPUTED_VALUE"""),81242.97094989997)</f>
        <v>81242.97095</v>
      </c>
      <c r="G2856" s="22">
        <f>IFERROR(__xludf.DUMMYFUNCTION("""COMPUTED_VALUE"""),0.0)</f>
        <v>0</v>
      </c>
      <c r="H2856" s="22">
        <f>IFERROR(__xludf.DUMMYFUNCTION("""COMPUTED_VALUE"""),462359.18187760003)</f>
        <v>462359.1819</v>
      </c>
      <c r="I2856" s="24">
        <f>IFERROR(__xludf.DUMMYFUNCTION("""COMPUTED_VALUE"""),-0.07528163624479989)</f>
        <v>-0.07528163624</v>
      </c>
    </row>
    <row r="2857">
      <c r="A2857" s="5" t="str">
        <f>IFERROR(__xludf.DUMMYFUNCTION("""COMPUTED_VALUE"""),"39608")</f>
        <v>39608</v>
      </c>
      <c r="B2857" s="64">
        <f>IFERROR(__xludf.DUMMYFUNCTION("""COMPUTED_VALUE"""),44635.0)</f>
        <v>44635</v>
      </c>
      <c r="C2857" s="5"/>
      <c r="D2857" s="5"/>
      <c r="E2857" s="5"/>
      <c r="F2857" s="22">
        <f>IFERROR(__xludf.DUMMYFUNCTION("""COMPUTED_VALUE"""),81242.97094989997)</f>
        <v>81242.97095</v>
      </c>
      <c r="G2857" s="22">
        <f>IFERROR(__xludf.DUMMYFUNCTION("""COMPUTED_VALUE"""),0.0)</f>
        <v>0</v>
      </c>
      <c r="H2857" s="22">
        <f>IFERROR(__xludf.DUMMYFUNCTION("""COMPUTED_VALUE"""),472833.77775480004)</f>
        <v>472833.7778</v>
      </c>
      <c r="I2857" s="24">
        <f>IFERROR(__xludf.DUMMYFUNCTION("""COMPUTED_VALUE"""),-0.05433244449039987)</f>
        <v>-0.05433244449</v>
      </c>
    </row>
    <row r="2858">
      <c r="A2858" s="5" t="str">
        <f>IFERROR(__xludf.DUMMYFUNCTION("""COMPUTED_VALUE"""),"39608")</f>
        <v>39608</v>
      </c>
      <c r="B2858" s="64">
        <f>IFERROR(__xludf.DUMMYFUNCTION("""COMPUTED_VALUE"""),44636.0)</f>
        <v>44636</v>
      </c>
      <c r="C2858" s="5"/>
      <c r="D2858" s="5"/>
      <c r="E2858" s="5"/>
      <c r="F2858" s="22">
        <f>IFERROR(__xludf.DUMMYFUNCTION("""COMPUTED_VALUE"""),81242.97094989997)</f>
        <v>81242.97095</v>
      </c>
      <c r="G2858" s="22">
        <f>IFERROR(__xludf.DUMMYFUNCTION("""COMPUTED_VALUE"""),0.0)</f>
        <v>0</v>
      </c>
      <c r="H2858" s="22">
        <f>IFERROR(__xludf.DUMMYFUNCTION("""COMPUTED_VALUE"""),482953.24990419997)</f>
        <v>482953.2499</v>
      </c>
      <c r="I2858" s="24">
        <f>IFERROR(__xludf.DUMMYFUNCTION("""COMPUTED_VALUE"""),-0.03409350019160007)</f>
        <v>-0.03409350019</v>
      </c>
    </row>
    <row r="2859">
      <c r="A2859" s="5" t="str">
        <f>IFERROR(__xludf.DUMMYFUNCTION("""COMPUTED_VALUE"""),"39608")</f>
        <v>39608</v>
      </c>
      <c r="B2859" s="64">
        <f>IFERROR(__xludf.DUMMYFUNCTION("""COMPUTED_VALUE"""),44637.0)</f>
        <v>44637</v>
      </c>
      <c r="C2859" s="5"/>
      <c r="D2859" s="5"/>
      <c r="E2859" s="5"/>
      <c r="F2859" s="22">
        <f>IFERROR(__xludf.DUMMYFUNCTION("""COMPUTED_VALUE"""),81242.97094989997)</f>
        <v>81242.97095</v>
      </c>
      <c r="G2859" s="22">
        <f>IFERROR(__xludf.DUMMYFUNCTION("""COMPUTED_VALUE"""),0.0)</f>
        <v>0</v>
      </c>
      <c r="H2859" s="22">
        <f>IFERROR(__xludf.DUMMYFUNCTION("""COMPUTED_VALUE"""),493607.87263490004)</f>
        <v>493607.8726</v>
      </c>
      <c r="I2859" s="24">
        <f>IFERROR(__xludf.DUMMYFUNCTION("""COMPUTED_VALUE"""),-0.012784254730199951)</f>
        <v>-0.01278425473</v>
      </c>
    </row>
    <row r="2860">
      <c r="A2860" s="5" t="str">
        <f>IFERROR(__xludf.DUMMYFUNCTION("""COMPUTED_VALUE"""),"39608")</f>
        <v>39608</v>
      </c>
      <c r="B2860" s="64">
        <f>IFERROR(__xludf.DUMMYFUNCTION("""COMPUTED_VALUE"""),44638.0)</f>
        <v>44638</v>
      </c>
      <c r="C2860" s="5"/>
      <c r="D2860" s="5"/>
      <c r="E2860" s="5"/>
      <c r="F2860" s="22">
        <f>IFERROR(__xludf.DUMMYFUNCTION("""COMPUTED_VALUE"""),81242.97094989997)</f>
        <v>81242.97095</v>
      </c>
      <c r="G2860" s="22">
        <f>IFERROR(__xludf.DUMMYFUNCTION("""COMPUTED_VALUE"""),0.0)</f>
        <v>0</v>
      </c>
      <c r="H2860" s="22">
        <f>IFERROR(__xludf.DUMMYFUNCTION("""COMPUTED_VALUE"""),502286.4488078001)</f>
        <v>502286.4488</v>
      </c>
      <c r="I2860" s="24">
        <f>IFERROR(__xludf.DUMMYFUNCTION("""COMPUTED_VALUE"""),0.004572897615600091)</f>
        <v>0.004572897616</v>
      </c>
    </row>
    <row r="2861">
      <c r="A2861" s="5" t="str">
        <f>IFERROR(__xludf.DUMMYFUNCTION("""COMPUTED_VALUE"""),"39608")</f>
        <v>39608</v>
      </c>
      <c r="B2861" s="64">
        <f>IFERROR(__xludf.DUMMYFUNCTION("""COMPUTED_VALUE"""),44639.0)</f>
        <v>44639</v>
      </c>
      <c r="C2861" s="5"/>
      <c r="D2861" s="5"/>
      <c r="E2861" s="5"/>
      <c r="F2861" s="22">
        <f>IFERROR(__xludf.DUMMYFUNCTION("""COMPUTED_VALUE"""),81242.97094989997)</f>
        <v>81242.97095</v>
      </c>
      <c r="G2861" s="22">
        <f>IFERROR(__xludf.DUMMYFUNCTION("""COMPUTED_VALUE"""),0.0)</f>
        <v>0</v>
      </c>
      <c r="H2861" s="22">
        <f>IFERROR(__xludf.DUMMYFUNCTION("""COMPUTED_VALUE"""),502286.4488078001)</f>
        <v>502286.4488</v>
      </c>
      <c r="I2861" s="24">
        <f>IFERROR(__xludf.DUMMYFUNCTION("""COMPUTED_VALUE"""),0.004572897615600091)</f>
        <v>0.004572897616</v>
      </c>
    </row>
    <row r="2862">
      <c r="A2862" s="5" t="str">
        <f>IFERROR(__xludf.DUMMYFUNCTION("""COMPUTED_VALUE"""),"39608")</f>
        <v>39608</v>
      </c>
      <c r="B2862" s="64">
        <f>IFERROR(__xludf.DUMMYFUNCTION("""COMPUTED_VALUE"""),44640.0)</f>
        <v>44640</v>
      </c>
      <c r="C2862" s="5"/>
      <c r="D2862" s="5"/>
      <c r="E2862" s="5"/>
      <c r="F2862" s="22">
        <f>IFERROR(__xludf.DUMMYFUNCTION("""COMPUTED_VALUE"""),81242.97094989997)</f>
        <v>81242.97095</v>
      </c>
      <c r="G2862" s="22">
        <f>IFERROR(__xludf.DUMMYFUNCTION("""COMPUTED_VALUE"""),0.0)</f>
        <v>0</v>
      </c>
      <c r="H2862" s="22">
        <f>IFERROR(__xludf.DUMMYFUNCTION("""COMPUTED_VALUE"""),502286.4488078001)</f>
        <v>502286.4488</v>
      </c>
      <c r="I2862" s="24">
        <f>IFERROR(__xludf.DUMMYFUNCTION("""COMPUTED_VALUE"""),0.004572897615600091)</f>
        <v>0.004572897616</v>
      </c>
    </row>
    <row r="2863">
      <c r="A2863" s="5" t="str">
        <f>IFERROR(__xludf.DUMMYFUNCTION("""COMPUTED_VALUE"""),"39608")</f>
        <v>39608</v>
      </c>
      <c r="B2863" s="64">
        <f>IFERROR(__xludf.DUMMYFUNCTION("""COMPUTED_VALUE"""),44641.0)</f>
        <v>44641</v>
      </c>
      <c r="C2863" s="5"/>
      <c r="D2863" s="5"/>
      <c r="E2863" s="5"/>
      <c r="F2863" s="22">
        <f>IFERROR(__xludf.DUMMYFUNCTION("""COMPUTED_VALUE"""),414418.6717669)</f>
        <v>414418.6718</v>
      </c>
      <c r="G2863" s="22">
        <f>IFERROR(__xludf.DUMMYFUNCTION("""COMPUTED_VALUE"""),0.0)</f>
        <v>0</v>
      </c>
      <c r="H2863" s="22">
        <f>IFERROR(__xludf.DUMMYFUNCTION("""COMPUTED_VALUE"""),508402.42305850005)</f>
        <v>508402.4231</v>
      </c>
      <c r="I2863" s="24">
        <f>IFERROR(__xludf.DUMMYFUNCTION("""COMPUTED_VALUE"""),0.01680484611700006)</f>
        <v>0.01680484612</v>
      </c>
    </row>
    <row r="2864">
      <c r="A2864" s="5" t="str">
        <f>IFERROR(__xludf.DUMMYFUNCTION("""COMPUTED_VALUE"""),"39608")</f>
        <v>39608</v>
      </c>
      <c r="B2864" s="64">
        <f>IFERROR(__xludf.DUMMYFUNCTION("""COMPUTED_VALUE"""),44642.0)</f>
        <v>44642</v>
      </c>
      <c r="C2864" s="5"/>
      <c r="D2864" s="5"/>
      <c r="E2864" s="5"/>
      <c r="F2864" s="22">
        <f>IFERROR(__xludf.DUMMYFUNCTION("""COMPUTED_VALUE"""),414418.6717669)</f>
        <v>414418.6718</v>
      </c>
      <c r="G2864" s="22">
        <f>IFERROR(__xludf.DUMMYFUNCTION("""COMPUTED_VALUE"""),0.0)</f>
        <v>0</v>
      </c>
      <c r="H2864" s="22">
        <f>IFERROR(__xludf.DUMMYFUNCTION("""COMPUTED_VALUE"""),508070.24727469997)</f>
        <v>508070.2473</v>
      </c>
      <c r="I2864" s="24">
        <f>IFERROR(__xludf.DUMMYFUNCTION("""COMPUTED_VALUE"""),0.01614049454939992)</f>
        <v>0.01614049455</v>
      </c>
    </row>
    <row r="2865">
      <c r="A2865" s="5" t="str">
        <f>IFERROR(__xludf.DUMMYFUNCTION("""COMPUTED_VALUE"""),"39608")</f>
        <v>39608</v>
      </c>
      <c r="B2865" s="64">
        <f>IFERROR(__xludf.DUMMYFUNCTION("""COMPUTED_VALUE"""),44643.0)</f>
        <v>44643</v>
      </c>
      <c r="C2865" s="5"/>
      <c r="D2865" s="5"/>
      <c r="E2865" s="5"/>
      <c r="F2865" s="22">
        <f>IFERROR(__xludf.DUMMYFUNCTION("""COMPUTED_VALUE"""),414418.6717669)</f>
        <v>414418.6718</v>
      </c>
      <c r="G2865" s="22">
        <f>IFERROR(__xludf.DUMMYFUNCTION("""COMPUTED_VALUE"""),0.0)</f>
        <v>0</v>
      </c>
      <c r="H2865" s="22">
        <f>IFERROR(__xludf.DUMMYFUNCTION("""COMPUTED_VALUE"""),509410.622035)</f>
        <v>509410.622</v>
      </c>
      <c r="I2865" s="24">
        <f>IFERROR(__xludf.DUMMYFUNCTION("""COMPUTED_VALUE"""),0.018821244069999965)</f>
        <v>0.01882124407</v>
      </c>
    </row>
    <row r="2866">
      <c r="A2866" s="5" t="str">
        <f>IFERROR(__xludf.DUMMYFUNCTION("""COMPUTED_VALUE"""),"39608")</f>
        <v>39608</v>
      </c>
      <c r="B2866" s="64">
        <f>IFERROR(__xludf.DUMMYFUNCTION("""COMPUTED_VALUE"""),44644.0)</f>
        <v>44644</v>
      </c>
      <c r="C2866" s="5"/>
      <c r="D2866" s="5"/>
      <c r="E2866" s="5"/>
      <c r="F2866" s="22">
        <f>IFERROR(__xludf.DUMMYFUNCTION("""COMPUTED_VALUE"""),414418.6717669)</f>
        <v>414418.6718</v>
      </c>
      <c r="G2866" s="22">
        <f>IFERROR(__xludf.DUMMYFUNCTION("""COMPUTED_VALUE"""),0.0)</f>
        <v>0</v>
      </c>
      <c r="H2866" s="22">
        <f>IFERROR(__xludf.DUMMYFUNCTION("""COMPUTED_VALUE"""),509119.51859810005)</f>
        <v>509119.5186</v>
      </c>
      <c r="I2866" s="24">
        <f>IFERROR(__xludf.DUMMYFUNCTION("""COMPUTED_VALUE"""),0.018239037196200014)</f>
        <v>0.0182390372</v>
      </c>
    </row>
    <row r="2867">
      <c r="A2867" s="5" t="str">
        <f>IFERROR(__xludf.DUMMYFUNCTION("""COMPUTED_VALUE"""),"39608")</f>
        <v>39608</v>
      </c>
      <c r="B2867" s="64">
        <f>IFERROR(__xludf.DUMMYFUNCTION("""COMPUTED_VALUE"""),44645.0)</f>
        <v>44645</v>
      </c>
      <c r="C2867" s="5"/>
      <c r="D2867" s="5"/>
      <c r="E2867" s="5"/>
      <c r="F2867" s="22">
        <f>IFERROR(__xludf.DUMMYFUNCTION("""COMPUTED_VALUE"""),414418.6717669)</f>
        <v>414418.6718</v>
      </c>
      <c r="G2867" s="22">
        <f>IFERROR(__xludf.DUMMYFUNCTION("""COMPUTED_VALUE"""),0.0)</f>
        <v>0</v>
      </c>
      <c r="H2867" s="22">
        <f>IFERROR(__xludf.DUMMYFUNCTION("""COMPUTED_VALUE"""),509282.61159730004)</f>
        <v>509282.6116</v>
      </c>
      <c r="I2867" s="24">
        <f>IFERROR(__xludf.DUMMYFUNCTION("""COMPUTED_VALUE"""),0.018565223194600078)</f>
        <v>0.01856522319</v>
      </c>
    </row>
    <row r="2868">
      <c r="A2868" s="5" t="str">
        <f>IFERROR(__xludf.DUMMYFUNCTION("""COMPUTED_VALUE"""),"39608")</f>
        <v>39608</v>
      </c>
      <c r="B2868" s="64">
        <f>IFERROR(__xludf.DUMMYFUNCTION("""COMPUTED_VALUE"""),44646.0)</f>
        <v>44646</v>
      </c>
      <c r="C2868" s="5"/>
      <c r="D2868" s="5"/>
      <c r="E2868" s="5"/>
      <c r="F2868" s="22">
        <f>IFERROR(__xludf.DUMMYFUNCTION("""COMPUTED_VALUE"""),414418.6717669)</f>
        <v>414418.6718</v>
      </c>
      <c r="G2868" s="22">
        <f>IFERROR(__xludf.DUMMYFUNCTION("""COMPUTED_VALUE"""),0.0)</f>
        <v>0</v>
      </c>
      <c r="H2868" s="22">
        <f>IFERROR(__xludf.DUMMYFUNCTION("""COMPUTED_VALUE"""),509282.61159730004)</f>
        <v>509282.6116</v>
      </c>
      <c r="I2868" s="24">
        <f>IFERROR(__xludf.DUMMYFUNCTION("""COMPUTED_VALUE"""),0.018565223194600078)</f>
        <v>0.01856522319</v>
      </c>
    </row>
    <row r="2869">
      <c r="A2869" s="5" t="str">
        <f>IFERROR(__xludf.DUMMYFUNCTION("""COMPUTED_VALUE"""),"39608")</f>
        <v>39608</v>
      </c>
      <c r="B2869" s="64">
        <f>IFERROR(__xludf.DUMMYFUNCTION("""COMPUTED_VALUE"""),44647.0)</f>
        <v>44647</v>
      </c>
      <c r="C2869" s="5"/>
      <c r="D2869" s="5"/>
      <c r="E2869" s="5"/>
      <c r="F2869" s="22">
        <f>IFERROR(__xludf.DUMMYFUNCTION("""COMPUTED_VALUE"""),414418.6717669)</f>
        <v>414418.6718</v>
      </c>
      <c r="G2869" s="22">
        <f>IFERROR(__xludf.DUMMYFUNCTION("""COMPUTED_VALUE"""),0.0)</f>
        <v>0</v>
      </c>
      <c r="H2869" s="22">
        <f>IFERROR(__xludf.DUMMYFUNCTION("""COMPUTED_VALUE"""),509282.61159730004)</f>
        <v>509282.6116</v>
      </c>
      <c r="I2869" s="24">
        <f>IFERROR(__xludf.DUMMYFUNCTION("""COMPUTED_VALUE"""),0.018565223194600078)</f>
        <v>0.01856522319</v>
      </c>
    </row>
    <row r="2870">
      <c r="A2870" s="5" t="str">
        <f>IFERROR(__xludf.DUMMYFUNCTION("""COMPUTED_VALUE"""),"39608")</f>
        <v>39608</v>
      </c>
      <c r="B2870" s="64">
        <f>IFERROR(__xludf.DUMMYFUNCTION("""COMPUTED_VALUE"""),44648.0)</f>
        <v>44648</v>
      </c>
      <c r="C2870" s="5"/>
      <c r="D2870" s="5"/>
      <c r="E2870" s="5"/>
      <c r="F2870" s="22">
        <f>IFERROR(__xludf.DUMMYFUNCTION("""COMPUTED_VALUE"""),414418.6717669)</f>
        <v>414418.6718</v>
      </c>
      <c r="G2870" s="22">
        <f>IFERROR(__xludf.DUMMYFUNCTION("""COMPUTED_VALUE"""),0.0)</f>
        <v>0</v>
      </c>
      <c r="H2870" s="22">
        <f>IFERROR(__xludf.DUMMYFUNCTION("""COMPUTED_VALUE"""),509235.4397613001)</f>
        <v>509235.4398</v>
      </c>
      <c r="I2870" s="24">
        <f>IFERROR(__xludf.DUMMYFUNCTION("""COMPUTED_VALUE"""),0.018470879522600292)</f>
        <v>0.01847087952</v>
      </c>
    </row>
    <row r="2871">
      <c r="A2871" s="5" t="str">
        <f>IFERROR(__xludf.DUMMYFUNCTION("""COMPUTED_VALUE"""),"39608")</f>
        <v>39608</v>
      </c>
      <c r="B2871" s="64">
        <f>IFERROR(__xludf.DUMMYFUNCTION("""COMPUTED_VALUE"""),44649.0)</f>
        <v>44649</v>
      </c>
      <c r="C2871" s="5"/>
      <c r="D2871" s="5"/>
      <c r="E2871" s="5"/>
      <c r="F2871" s="22">
        <f>IFERROR(__xludf.DUMMYFUNCTION("""COMPUTED_VALUE"""),414418.6717669)</f>
        <v>414418.6718</v>
      </c>
      <c r="G2871" s="22">
        <f>IFERROR(__xludf.DUMMYFUNCTION("""COMPUTED_VALUE"""),0.0)</f>
        <v>0</v>
      </c>
      <c r="H2871" s="22">
        <f>IFERROR(__xludf.DUMMYFUNCTION("""COMPUTED_VALUE"""),509221.5360036)</f>
        <v>509221.536</v>
      </c>
      <c r="I2871" s="24">
        <f>IFERROR(__xludf.DUMMYFUNCTION("""COMPUTED_VALUE"""),0.018443072007199968)</f>
        <v>0.01844307201</v>
      </c>
    </row>
    <row r="2872">
      <c r="A2872" s="5" t="str">
        <f>IFERROR(__xludf.DUMMYFUNCTION("""COMPUTED_VALUE"""),"39608")</f>
        <v>39608</v>
      </c>
      <c r="B2872" s="64">
        <f>IFERROR(__xludf.DUMMYFUNCTION("""COMPUTED_VALUE"""),44650.0)</f>
        <v>44650</v>
      </c>
      <c r="C2872" s="5"/>
      <c r="D2872" s="5"/>
      <c r="E2872" s="5"/>
      <c r="F2872" s="22">
        <f>IFERROR(__xludf.DUMMYFUNCTION("""COMPUTED_VALUE"""),414418.6717669)</f>
        <v>414418.6718</v>
      </c>
      <c r="G2872" s="22">
        <f>IFERROR(__xludf.DUMMYFUNCTION("""COMPUTED_VALUE"""),0.0)</f>
        <v>0</v>
      </c>
      <c r="H2872" s="22">
        <f>IFERROR(__xludf.DUMMYFUNCTION("""COMPUTED_VALUE"""),509220.8168738)</f>
        <v>509220.8169</v>
      </c>
      <c r="I2872" s="24">
        <f>IFERROR(__xludf.DUMMYFUNCTION("""COMPUTED_VALUE"""),0.018441633747600106)</f>
        <v>0.01844163375</v>
      </c>
    </row>
    <row r="2873">
      <c r="A2873" s="5" t="str">
        <f>IFERROR(__xludf.DUMMYFUNCTION("""COMPUTED_VALUE"""),"39608")</f>
        <v>39608</v>
      </c>
      <c r="B2873" s="64">
        <f>IFERROR(__xludf.DUMMYFUNCTION("""COMPUTED_VALUE"""),44651.0)</f>
        <v>44651</v>
      </c>
      <c r="C2873" s="5"/>
      <c r="D2873" s="5"/>
      <c r="E2873" s="5"/>
      <c r="F2873" s="22">
        <f>IFERROR(__xludf.DUMMYFUNCTION("""COMPUTED_VALUE"""),414418.6717669)</f>
        <v>414418.6718</v>
      </c>
      <c r="G2873" s="22">
        <f>IFERROR(__xludf.DUMMYFUNCTION("""COMPUTED_VALUE"""),0.0)</f>
        <v>0</v>
      </c>
      <c r="H2873" s="22">
        <f>IFERROR(__xludf.DUMMYFUNCTION("""COMPUTED_VALUE"""),509240.50499489997)</f>
        <v>509240.505</v>
      </c>
      <c r="I2873" s="24">
        <f>IFERROR(__xludf.DUMMYFUNCTION("""COMPUTED_VALUE"""),0.018481009989799846)</f>
        <v>0.01848100999</v>
      </c>
    </row>
    <row r="2874">
      <c r="A2874" s="5" t="str">
        <f>IFERROR(__xludf.DUMMYFUNCTION("""COMPUTED_VALUE"""),"39608")</f>
        <v>39608</v>
      </c>
      <c r="B2874" s="64">
        <f>IFERROR(__xludf.DUMMYFUNCTION("""COMPUTED_VALUE"""),44652.0)</f>
        <v>44652</v>
      </c>
      <c r="C2874" s="5"/>
      <c r="D2874" s="5"/>
      <c r="E2874" s="5"/>
      <c r="F2874" s="22">
        <f>IFERROR(__xludf.DUMMYFUNCTION("""COMPUTED_VALUE"""),414418.6717669)</f>
        <v>414418.6718</v>
      </c>
      <c r="G2874" s="22">
        <f>IFERROR(__xludf.DUMMYFUNCTION("""COMPUTED_VALUE"""),0.0)</f>
        <v>0</v>
      </c>
      <c r="H2874" s="22">
        <f>IFERROR(__xludf.DUMMYFUNCTION("""COMPUTED_VALUE"""),516945.2495098001)</f>
        <v>516945.2495</v>
      </c>
      <c r="I2874" s="24">
        <f>IFERROR(__xludf.DUMMYFUNCTION("""COMPUTED_VALUE"""),0.033890499019600284)</f>
        <v>0.03389049902</v>
      </c>
    </row>
    <row r="2875">
      <c r="A2875" s="5" t="str">
        <f>IFERROR(__xludf.DUMMYFUNCTION("""COMPUTED_VALUE"""),"39608")</f>
        <v>39608</v>
      </c>
      <c r="B2875" s="64">
        <f>IFERROR(__xludf.DUMMYFUNCTION("""COMPUTED_VALUE"""),44653.0)</f>
        <v>44653</v>
      </c>
      <c r="C2875" s="5"/>
      <c r="D2875" s="5"/>
      <c r="E2875" s="5"/>
      <c r="F2875" s="22">
        <f>IFERROR(__xludf.DUMMYFUNCTION("""COMPUTED_VALUE"""),414418.6717669)</f>
        <v>414418.6718</v>
      </c>
      <c r="G2875" s="22">
        <f>IFERROR(__xludf.DUMMYFUNCTION("""COMPUTED_VALUE"""),0.0)</f>
        <v>0</v>
      </c>
      <c r="H2875" s="22">
        <f>IFERROR(__xludf.DUMMYFUNCTION("""COMPUTED_VALUE"""),516945.2495098001)</f>
        <v>516945.2495</v>
      </c>
      <c r="I2875" s="24">
        <f>IFERROR(__xludf.DUMMYFUNCTION("""COMPUTED_VALUE"""),0.033890499019600284)</f>
        <v>0.03389049902</v>
      </c>
    </row>
    <row r="2876">
      <c r="A2876" s="5" t="str">
        <f>IFERROR(__xludf.DUMMYFUNCTION("""COMPUTED_VALUE"""),"39608")</f>
        <v>39608</v>
      </c>
      <c r="B2876" s="64">
        <f>IFERROR(__xludf.DUMMYFUNCTION("""COMPUTED_VALUE"""),44654.0)</f>
        <v>44654</v>
      </c>
      <c r="C2876" s="5"/>
      <c r="D2876" s="5"/>
      <c r="E2876" s="5"/>
      <c r="F2876" s="22">
        <f>IFERROR(__xludf.DUMMYFUNCTION("""COMPUTED_VALUE"""),414418.6717669)</f>
        <v>414418.6718</v>
      </c>
      <c r="G2876" s="22">
        <f>IFERROR(__xludf.DUMMYFUNCTION("""COMPUTED_VALUE"""),0.0)</f>
        <v>0</v>
      </c>
      <c r="H2876" s="22">
        <f>IFERROR(__xludf.DUMMYFUNCTION("""COMPUTED_VALUE"""),516945.2495098001)</f>
        <v>516945.2495</v>
      </c>
      <c r="I2876" s="24">
        <f>IFERROR(__xludf.DUMMYFUNCTION("""COMPUTED_VALUE"""),0.033890499019600284)</f>
        <v>0.03389049902</v>
      </c>
    </row>
    <row r="2877">
      <c r="A2877" s="5" t="str">
        <f>IFERROR(__xludf.DUMMYFUNCTION("""COMPUTED_VALUE"""),"39608")</f>
        <v>39608</v>
      </c>
      <c r="B2877" s="64">
        <f>IFERROR(__xludf.DUMMYFUNCTION("""COMPUTED_VALUE"""),44655.0)</f>
        <v>44655</v>
      </c>
      <c r="C2877" s="5"/>
      <c r="D2877" s="5"/>
      <c r="E2877" s="5"/>
      <c r="F2877" s="22">
        <f>IFERROR(__xludf.DUMMYFUNCTION("""COMPUTED_VALUE"""),414418.6717669)</f>
        <v>414418.6718</v>
      </c>
      <c r="G2877" s="22">
        <f>IFERROR(__xludf.DUMMYFUNCTION("""COMPUTED_VALUE"""),0.0)</f>
        <v>0</v>
      </c>
      <c r="H2877" s="22">
        <f>IFERROR(__xludf.DUMMYFUNCTION("""COMPUTED_VALUE"""),511693.46641840006)</f>
        <v>511693.4664</v>
      </c>
      <c r="I2877" s="24">
        <f>IFERROR(__xludf.DUMMYFUNCTION("""COMPUTED_VALUE"""),0.023386932836800156)</f>
        <v>0.02338693284</v>
      </c>
    </row>
    <row r="2878">
      <c r="A2878" s="5" t="str">
        <f>IFERROR(__xludf.DUMMYFUNCTION("""COMPUTED_VALUE"""),"39608")</f>
        <v>39608</v>
      </c>
      <c r="B2878" s="64">
        <f>IFERROR(__xludf.DUMMYFUNCTION("""COMPUTED_VALUE"""),44656.0)</f>
        <v>44656</v>
      </c>
      <c r="C2878" s="5"/>
      <c r="D2878" s="5"/>
      <c r="E2878" s="5"/>
      <c r="F2878" s="22">
        <f>IFERROR(__xludf.DUMMYFUNCTION("""COMPUTED_VALUE"""),414418.6717669)</f>
        <v>414418.6718</v>
      </c>
      <c r="G2878" s="22">
        <f>IFERROR(__xludf.DUMMYFUNCTION("""COMPUTED_VALUE"""),0.0)</f>
        <v>0</v>
      </c>
      <c r="H2878" s="22">
        <f>IFERROR(__xludf.DUMMYFUNCTION("""COMPUTED_VALUE"""),513461.9035775)</f>
        <v>513461.9036</v>
      </c>
      <c r="I2878" s="24">
        <f>IFERROR(__xludf.DUMMYFUNCTION("""COMPUTED_VALUE"""),0.02692380715499998)</f>
        <v>0.02692380716</v>
      </c>
    </row>
    <row r="2879">
      <c r="A2879" s="5" t="str">
        <f>IFERROR(__xludf.DUMMYFUNCTION("""COMPUTED_VALUE"""),"39608")</f>
        <v>39608</v>
      </c>
      <c r="B2879" s="64">
        <f>IFERROR(__xludf.DUMMYFUNCTION("""COMPUTED_VALUE"""),44657.0)</f>
        <v>44657</v>
      </c>
      <c r="C2879" s="5"/>
      <c r="D2879" s="5"/>
      <c r="E2879" s="5"/>
      <c r="F2879" s="22">
        <f>IFERROR(__xludf.DUMMYFUNCTION("""COMPUTED_VALUE"""),414418.6717669)</f>
        <v>414418.6718</v>
      </c>
      <c r="G2879" s="22">
        <f>IFERROR(__xludf.DUMMYFUNCTION("""COMPUTED_VALUE"""),0.0)</f>
        <v>0</v>
      </c>
      <c r="H2879" s="22">
        <f>IFERROR(__xludf.DUMMYFUNCTION("""COMPUTED_VALUE"""),518472.06316650007)</f>
        <v>518472.0632</v>
      </c>
      <c r="I2879" s="24">
        <f>IFERROR(__xludf.DUMMYFUNCTION("""COMPUTED_VALUE"""),0.03694412633300015)</f>
        <v>0.03694412633</v>
      </c>
    </row>
    <row r="2880">
      <c r="A2880" s="5" t="str">
        <f>IFERROR(__xludf.DUMMYFUNCTION("""COMPUTED_VALUE"""),"39608")</f>
        <v>39608</v>
      </c>
      <c r="B2880" s="64">
        <f>IFERROR(__xludf.DUMMYFUNCTION("""COMPUTED_VALUE"""),44658.0)</f>
        <v>44658</v>
      </c>
      <c r="C2880" s="5"/>
      <c r="D2880" s="5"/>
      <c r="E2880" s="5"/>
      <c r="F2880" s="22">
        <f>IFERROR(__xludf.DUMMYFUNCTION("""COMPUTED_VALUE"""),414418.6717669)</f>
        <v>414418.6718</v>
      </c>
      <c r="G2880" s="22">
        <f>IFERROR(__xludf.DUMMYFUNCTION("""COMPUTED_VALUE"""),0.0)</f>
        <v>0</v>
      </c>
      <c r="H2880" s="22">
        <f>IFERROR(__xludf.DUMMYFUNCTION("""COMPUTED_VALUE"""),532482.3697435)</f>
        <v>532482.3697</v>
      </c>
      <c r="I2880" s="24">
        <f>IFERROR(__xludf.DUMMYFUNCTION("""COMPUTED_VALUE"""),0.0649647394870001)</f>
        <v>0.06496473949</v>
      </c>
    </row>
    <row r="2881">
      <c r="A2881" s="5" t="str">
        <f>IFERROR(__xludf.DUMMYFUNCTION("""COMPUTED_VALUE"""),"39608")</f>
        <v>39608</v>
      </c>
      <c r="B2881" s="64">
        <f>IFERROR(__xludf.DUMMYFUNCTION("""COMPUTED_VALUE"""),44659.0)</f>
        <v>44659</v>
      </c>
      <c r="C2881" s="5"/>
      <c r="D2881" s="5"/>
      <c r="E2881" s="5"/>
      <c r="F2881" s="22">
        <f>IFERROR(__xludf.DUMMYFUNCTION("""COMPUTED_VALUE"""),414418.6717669)</f>
        <v>414418.6718</v>
      </c>
      <c r="G2881" s="22">
        <f>IFERROR(__xludf.DUMMYFUNCTION("""COMPUTED_VALUE"""),0.0)</f>
        <v>0</v>
      </c>
      <c r="H2881" s="22">
        <f>IFERROR(__xludf.DUMMYFUNCTION("""COMPUTED_VALUE"""),538417.8089548001)</f>
        <v>538417.809</v>
      </c>
      <c r="I2881" s="24">
        <f>IFERROR(__xludf.DUMMYFUNCTION("""COMPUTED_VALUE"""),0.07683561790960036)</f>
        <v>0.07683561791</v>
      </c>
    </row>
    <row r="2882">
      <c r="A2882" s="5" t="str">
        <f>IFERROR(__xludf.DUMMYFUNCTION("""COMPUTED_VALUE"""),"39608")</f>
        <v>39608</v>
      </c>
      <c r="B2882" s="64">
        <f>IFERROR(__xludf.DUMMYFUNCTION("""COMPUTED_VALUE"""),44660.0)</f>
        <v>44660</v>
      </c>
      <c r="C2882" s="5"/>
      <c r="D2882" s="5"/>
      <c r="E2882" s="5"/>
      <c r="F2882" s="22">
        <f>IFERROR(__xludf.DUMMYFUNCTION("""COMPUTED_VALUE"""),414418.6717669)</f>
        <v>414418.6718</v>
      </c>
      <c r="G2882" s="22">
        <f>IFERROR(__xludf.DUMMYFUNCTION("""COMPUTED_VALUE"""),0.0)</f>
        <v>0</v>
      </c>
      <c r="H2882" s="22">
        <f>IFERROR(__xludf.DUMMYFUNCTION("""COMPUTED_VALUE"""),538417.8089548001)</f>
        <v>538417.809</v>
      </c>
      <c r="I2882" s="24">
        <f>IFERROR(__xludf.DUMMYFUNCTION("""COMPUTED_VALUE"""),0.07683561790960036)</f>
        <v>0.07683561791</v>
      </c>
    </row>
    <row r="2883">
      <c r="A2883" s="5" t="str">
        <f>IFERROR(__xludf.DUMMYFUNCTION("""COMPUTED_VALUE"""),"39608")</f>
        <v>39608</v>
      </c>
      <c r="B2883" s="64">
        <f>IFERROR(__xludf.DUMMYFUNCTION("""COMPUTED_VALUE"""),44661.0)</f>
        <v>44661</v>
      </c>
      <c r="C2883" s="5"/>
      <c r="D2883" s="5"/>
      <c r="E2883" s="5"/>
      <c r="F2883" s="22">
        <f>IFERROR(__xludf.DUMMYFUNCTION("""COMPUTED_VALUE"""),414418.6717669)</f>
        <v>414418.6718</v>
      </c>
      <c r="G2883" s="22">
        <f>IFERROR(__xludf.DUMMYFUNCTION("""COMPUTED_VALUE"""),0.0)</f>
        <v>0</v>
      </c>
      <c r="H2883" s="22">
        <f>IFERROR(__xludf.DUMMYFUNCTION("""COMPUTED_VALUE"""),538417.8089548001)</f>
        <v>538417.809</v>
      </c>
      <c r="I2883" s="24">
        <f>IFERROR(__xludf.DUMMYFUNCTION("""COMPUTED_VALUE"""),0.07683561790960036)</f>
        <v>0.07683561791</v>
      </c>
    </row>
    <row r="2884">
      <c r="A2884" s="5" t="str">
        <f>IFERROR(__xludf.DUMMYFUNCTION("""COMPUTED_VALUE"""),"39608")</f>
        <v>39608</v>
      </c>
      <c r="B2884" s="64">
        <f>IFERROR(__xludf.DUMMYFUNCTION("""COMPUTED_VALUE"""),44662.0)</f>
        <v>44662</v>
      </c>
      <c r="C2884" s="5"/>
      <c r="D2884" s="5"/>
      <c r="E2884" s="5"/>
      <c r="F2884" s="22">
        <f>IFERROR(__xludf.DUMMYFUNCTION("""COMPUTED_VALUE"""),414418.6717669)</f>
        <v>414418.6718</v>
      </c>
      <c r="G2884" s="22">
        <f>IFERROR(__xludf.DUMMYFUNCTION("""COMPUTED_VALUE"""),0.0)</f>
        <v>0</v>
      </c>
      <c r="H2884" s="22">
        <f>IFERROR(__xludf.DUMMYFUNCTION("""COMPUTED_VALUE"""),537549.7878332001)</f>
        <v>537549.7878</v>
      </c>
      <c r="I2884" s="24">
        <f>IFERROR(__xludf.DUMMYFUNCTION("""COMPUTED_VALUE"""),0.07509957566640013)</f>
        <v>0.07509957567</v>
      </c>
    </row>
    <row r="2885">
      <c r="A2885" s="5" t="str">
        <f>IFERROR(__xludf.DUMMYFUNCTION("""COMPUTED_VALUE"""),"39608")</f>
        <v>39608</v>
      </c>
      <c r="B2885" s="64">
        <f>IFERROR(__xludf.DUMMYFUNCTION("""COMPUTED_VALUE"""),44663.0)</f>
        <v>44663</v>
      </c>
      <c r="C2885" s="5"/>
      <c r="D2885" s="5"/>
      <c r="E2885" s="5"/>
      <c r="F2885" s="22">
        <f>IFERROR(__xludf.DUMMYFUNCTION("""COMPUTED_VALUE"""),414418.6717669)</f>
        <v>414418.6718</v>
      </c>
      <c r="G2885" s="22">
        <f>IFERROR(__xludf.DUMMYFUNCTION("""COMPUTED_VALUE"""),0.0)</f>
        <v>0</v>
      </c>
      <c r="H2885" s="22">
        <f>IFERROR(__xludf.DUMMYFUNCTION("""COMPUTED_VALUE"""),540083.7734344001)</f>
        <v>540083.7734</v>
      </c>
      <c r="I2885" s="24">
        <f>IFERROR(__xludf.DUMMYFUNCTION("""COMPUTED_VALUE"""),0.08016754686880012)</f>
        <v>0.08016754687</v>
      </c>
    </row>
    <row r="2886">
      <c r="A2886" s="5" t="str">
        <f>IFERROR(__xludf.DUMMYFUNCTION("""COMPUTED_VALUE"""),"39670")</f>
        <v>39670</v>
      </c>
      <c r="B2886" s="64">
        <f>IFERROR(__xludf.DUMMYFUNCTION("""COMPUTED_VALUE"""),44597.0)</f>
        <v>44597</v>
      </c>
      <c r="C2886" s="5"/>
      <c r="D2886" s="5"/>
      <c r="E2886" s="5"/>
      <c r="F2886" s="22">
        <f>IFERROR(__xludf.DUMMYFUNCTION("""COMPUTED_VALUE"""),500000.0)</f>
        <v>500000</v>
      </c>
      <c r="G2886" s="22">
        <f>IFERROR(__xludf.DUMMYFUNCTION("""COMPUTED_VALUE"""),0.0)</f>
        <v>0</v>
      </c>
      <c r="H2886" s="22">
        <f>IFERROR(__xludf.DUMMYFUNCTION("""COMPUTED_VALUE"""),500000.0)</f>
        <v>500000</v>
      </c>
      <c r="I2886" s="24">
        <f>IFERROR(__xludf.DUMMYFUNCTION("""COMPUTED_VALUE"""),0.0)</f>
        <v>0</v>
      </c>
    </row>
    <row r="2887">
      <c r="A2887" s="5" t="str">
        <f>IFERROR(__xludf.DUMMYFUNCTION("""COMPUTED_VALUE"""),"39670")</f>
        <v>39670</v>
      </c>
      <c r="B2887" s="64">
        <f>IFERROR(__xludf.DUMMYFUNCTION("""COMPUTED_VALUE"""),44598.0)</f>
        <v>44598</v>
      </c>
      <c r="C2887" s="5"/>
      <c r="D2887" s="5"/>
      <c r="E2887" s="5"/>
      <c r="F2887" s="22">
        <f>IFERROR(__xludf.DUMMYFUNCTION("""COMPUTED_VALUE"""),500000.0)</f>
        <v>500000</v>
      </c>
      <c r="G2887" s="22">
        <f>IFERROR(__xludf.DUMMYFUNCTION("""COMPUTED_VALUE"""),0.0)</f>
        <v>0</v>
      </c>
      <c r="H2887" s="22">
        <f>IFERROR(__xludf.DUMMYFUNCTION("""COMPUTED_VALUE"""),500000.0)</f>
        <v>500000</v>
      </c>
      <c r="I2887" s="24">
        <f>IFERROR(__xludf.DUMMYFUNCTION("""COMPUTED_VALUE"""),0.0)</f>
        <v>0</v>
      </c>
    </row>
    <row r="2888">
      <c r="A2888" s="5" t="str">
        <f>IFERROR(__xludf.DUMMYFUNCTION("""COMPUTED_VALUE"""),"39670")</f>
        <v>39670</v>
      </c>
      <c r="B2888" s="64">
        <f>IFERROR(__xludf.DUMMYFUNCTION("""COMPUTED_VALUE"""),44599.0)</f>
        <v>44599</v>
      </c>
      <c r="C2888" s="5"/>
      <c r="D2888" s="5"/>
      <c r="E2888" s="5"/>
      <c r="F2888" s="22">
        <f>IFERROR(__xludf.DUMMYFUNCTION("""COMPUTED_VALUE"""),500000.0)</f>
        <v>500000</v>
      </c>
      <c r="G2888" s="22">
        <f>IFERROR(__xludf.DUMMYFUNCTION("""COMPUTED_VALUE"""),0.0)</f>
        <v>0</v>
      </c>
      <c r="H2888" s="22">
        <f>IFERROR(__xludf.DUMMYFUNCTION("""COMPUTED_VALUE"""),500000.0)</f>
        <v>500000</v>
      </c>
      <c r="I2888" s="24">
        <f>IFERROR(__xludf.DUMMYFUNCTION("""COMPUTED_VALUE"""),0.0)</f>
        <v>0</v>
      </c>
    </row>
    <row r="2889">
      <c r="A2889" s="5" t="str">
        <f>IFERROR(__xludf.DUMMYFUNCTION("""COMPUTED_VALUE"""),"39670")</f>
        <v>39670</v>
      </c>
      <c r="B2889" s="64">
        <f>IFERROR(__xludf.DUMMYFUNCTION("""COMPUTED_VALUE"""),44600.0)</f>
        <v>44600</v>
      </c>
      <c r="C2889" s="5"/>
      <c r="D2889" s="5"/>
      <c r="E2889" s="5"/>
      <c r="F2889" s="22">
        <f>IFERROR(__xludf.DUMMYFUNCTION("""COMPUTED_VALUE"""),500000.0)</f>
        <v>500000</v>
      </c>
      <c r="G2889" s="22">
        <f>IFERROR(__xludf.DUMMYFUNCTION("""COMPUTED_VALUE"""),0.0)</f>
        <v>0</v>
      </c>
      <c r="H2889" s="22">
        <f>IFERROR(__xludf.DUMMYFUNCTION("""COMPUTED_VALUE"""),500000.0)</f>
        <v>500000</v>
      </c>
      <c r="I2889" s="24">
        <f>IFERROR(__xludf.DUMMYFUNCTION("""COMPUTED_VALUE"""),0.0)</f>
        <v>0</v>
      </c>
    </row>
    <row r="2890">
      <c r="A2890" s="5" t="str">
        <f>IFERROR(__xludf.DUMMYFUNCTION("""COMPUTED_VALUE"""),"39670")</f>
        <v>39670</v>
      </c>
      <c r="B2890" s="64">
        <f>IFERROR(__xludf.DUMMYFUNCTION("""COMPUTED_VALUE"""),44601.0)</f>
        <v>44601</v>
      </c>
      <c r="C2890" s="5"/>
      <c r="D2890" s="5"/>
      <c r="E2890" s="5"/>
      <c r="F2890" s="22">
        <f>IFERROR(__xludf.DUMMYFUNCTION("""COMPUTED_VALUE"""),500000.0)</f>
        <v>500000</v>
      </c>
      <c r="G2890" s="22">
        <f>IFERROR(__xludf.DUMMYFUNCTION("""COMPUTED_VALUE"""),0.0)</f>
        <v>0</v>
      </c>
      <c r="H2890" s="22">
        <f>IFERROR(__xludf.DUMMYFUNCTION("""COMPUTED_VALUE"""),500000.0)</f>
        <v>500000</v>
      </c>
      <c r="I2890" s="24">
        <f>IFERROR(__xludf.DUMMYFUNCTION("""COMPUTED_VALUE"""),0.0)</f>
        <v>0</v>
      </c>
    </row>
    <row r="2891">
      <c r="A2891" s="5" t="str">
        <f>IFERROR(__xludf.DUMMYFUNCTION("""COMPUTED_VALUE"""),"39670")</f>
        <v>39670</v>
      </c>
      <c r="B2891" s="64">
        <f>IFERROR(__xludf.DUMMYFUNCTION("""COMPUTED_VALUE"""),44602.0)</f>
        <v>44602</v>
      </c>
      <c r="C2891" s="5"/>
      <c r="D2891" s="5"/>
      <c r="E2891" s="5"/>
      <c r="F2891" s="22">
        <f>IFERROR(__xludf.DUMMYFUNCTION("""COMPUTED_VALUE"""),500000.0)</f>
        <v>500000</v>
      </c>
      <c r="G2891" s="22">
        <f>IFERROR(__xludf.DUMMYFUNCTION("""COMPUTED_VALUE"""),0.0)</f>
        <v>0</v>
      </c>
      <c r="H2891" s="22">
        <f>IFERROR(__xludf.DUMMYFUNCTION("""COMPUTED_VALUE"""),500000.0)</f>
        <v>500000</v>
      </c>
      <c r="I2891" s="24">
        <f>IFERROR(__xludf.DUMMYFUNCTION("""COMPUTED_VALUE"""),0.0)</f>
        <v>0</v>
      </c>
    </row>
    <row r="2892">
      <c r="A2892" s="5" t="str">
        <f>IFERROR(__xludf.DUMMYFUNCTION("""COMPUTED_VALUE"""),"39670")</f>
        <v>39670</v>
      </c>
      <c r="B2892" s="64">
        <f>IFERROR(__xludf.DUMMYFUNCTION("""COMPUTED_VALUE"""),44603.0)</f>
        <v>44603</v>
      </c>
      <c r="C2892" s="5"/>
      <c r="D2892" s="5"/>
      <c r="E2892" s="5"/>
      <c r="F2892" s="22">
        <f>IFERROR(__xludf.DUMMYFUNCTION("""COMPUTED_VALUE"""),500000.0)</f>
        <v>500000</v>
      </c>
      <c r="G2892" s="22">
        <f>IFERROR(__xludf.DUMMYFUNCTION("""COMPUTED_VALUE"""),0.0)</f>
        <v>0</v>
      </c>
      <c r="H2892" s="22">
        <f>IFERROR(__xludf.DUMMYFUNCTION("""COMPUTED_VALUE"""),500000.0)</f>
        <v>500000</v>
      </c>
      <c r="I2892" s="24">
        <f>IFERROR(__xludf.DUMMYFUNCTION("""COMPUTED_VALUE"""),0.0)</f>
        <v>0</v>
      </c>
    </row>
    <row r="2893">
      <c r="A2893" s="5" t="str">
        <f>IFERROR(__xludf.DUMMYFUNCTION("""COMPUTED_VALUE"""),"39670")</f>
        <v>39670</v>
      </c>
      <c r="B2893" s="64">
        <f>IFERROR(__xludf.DUMMYFUNCTION("""COMPUTED_VALUE"""),44604.0)</f>
        <v>44604</v>
      </c>
      <c r="C2893" s="5"/>
      <c r="D2893" s="5"/>
      <c r="E2893" s="5"/>
      <c r="F2893" s="22">
        <f>IFERROR(__xludf.DUMMYFUNCTION("""COMPUTED_VALUE"""),500000.0)</f>
        <v>500000</v>
      </c>
      <c r="G2893" s="22">
        <f>IFERROR(__xludf.DUMMYFUNCTION("""COMPUTED_VALUE"""),0.0)</f>
        <v>0</v>
      </c>
      <c r="H2893" s="22">
        <f>IFERROR(__xludf.DUMMYFUNCTION("""COMPUTED_VALUE"""),500000.0)</f>
        <v>500000</v>
      </c>
      <c r="I2893" s="24">
        <f>IFERROR(__xludf.DUMMYFUNCTION("""COMPUTED_VALUE"""),0.0)</f>
        <v>0</v>
      </c>
    </row>
    <row r="2894">
      <c r="A2894" s="5" t="str">
        <f>IFERROR(__xludf.DUMMYFUNCTION("""COMPUTED_VALUE"""),"39670")</f>
        <v>39670</v>
      </c>
      <c r="B2894" s="64">
        <f>IFERROR(__xludf.DUMMYFUNCTION("""COMPUTED_VALUE"""),44605.0)</f>
        <v>44605</v>
      </c>
      <c r="C2894" s="5"/>
      <c r="D2894" s="5"/>
      <c r="E2894" s="5"/>
      <c r="F2894" s="22">
        <f>IFERROR(__xludf.DUMMYFUNCTION("""COMPUTED_VALUE"""),500000.0)</f>
        <v>500000</v>
      </c>
      <c r="G2894" s="22">
        <f>IFERROR(__xludf.DUMMYFUNCTION("""COMPUTED_VALUE"""),0.0)</f>
        <v>0</v>
      </c>
      <c r="H2894" s="22">
        <f>IFERROR(__xludf.DUMMYFUNCTION("""COMPUTED_VALUE"""),500000.0)</f>
        <v>500000</v>
      </c>
      <c r="I2894" s="24">
        <f>IFERROR(__xludf.DUMMYFUNCTION("""COMPUTED_VALUE"""),0.0)</f>
        <v>0</v>
      </c>
    </row>
    <row r="2895">
      <c r="A2895" s="5" t="str">
        <f>IFERROR(__xludf.DUMMYFUNCTION("""COMPUTED_VALUE"""),"39670")</f>
        <v>39670</v>
      </c>
      <c r="B2895" s="64">
        <f>IFERROR(__xludf.DUMMYFUNCTION("""COMPUTED_VALUE"""),44606.0)</f>
        <v>44606</v>
      </c>
      <c r="C2895" s="5"/>
      <c r="D2895" s="5"/>
      <c r="E2895" s="5"/>
      <c r="F2895" s="22">
        <f>IFERROR(__xludf.DUMMYFUNCTION("""COMPUTED_VALUE"""),500000.0)</f>
        <v>500000</v>
      </c>
      <c r="G2895" s="22">
        <f>IFERROR(__xludf.DUMMYFUNCTION("""COMPUTED_VALUE"""),0.0)</f>
        <v>0</v>
      </c>
      <c r="H2895" s="22">
        <f>IFERROR(__xludf.DUMMYFUNCTION("""COMPUTED_VALUE"""),500000.0)</f>
        <v>500000</v>
      </c>
      <c r="I2895" s="24">
        <f>IFERROR(__xludf.DUMMYFUNCTION("""COMPUTED_VALUE"""),0.0)</f>
        <v>0</v>
      </c>
    </row>
    <row r="2896">
      <c r="A2896" s="5" t="str">
        <f>IFERROR(__xludf.DUMMYFUNCTION("""COMPUTED_VALUE"""),"39670")</f>
        <v>39670</v>
      </c>
      <c r="B2896" s="64">
        <f>IFERROR(__xludf.DUMMYFUNCTION("""COMPUTED_VALUE"""),44607.0)</f>
        <v>44607</v>
      </c>
      <c r="C2896" s="5"/>
      <c r="D2896" s="5"/>
      <c r="E2896" s="5"/>
      <c r="F2896" s="22">
        <f>IFERROR(__xludf.DUMMYFUNCTION("""COMPUTED_VALUE"""),500000.0)</f>
        <v>500000</v>
      </c>
      <c r="G2896" s="22">
        <f>IFERROR(__xludf.DUMMYFUNCTION("""COMPUTED_VALUE"""),0.0)</f>
        <v>0</v>
      </c>
      <c r="H2896" s="22">
        <f>IFERROR(__xludf.DUMMYFUNCTION("""COMPUTED_VALUE"""),500000.0)</f>
        <v>500000</v>
      </c>
      <c r="I2896" s="24">
        <f>IFERROR(__xludf.DUMMYFUNCTION("""COMPUTED_VALUE"""),0.0)</f>
        <v>0</v>
      </c>
    </row>
    <row r="2897">
      <c r="A2897" s="5" t="str">
        <f>IFERROR(__xludf.DUMMYFUNCTION("""COMPUTED_VALUE"""),"39670")</f>
        <v>39670</v>
      </c>
      <c r="B2897" s="64">
        <f>IFERROR(__xludf.DUMMYFUNCTION("""COMPUTED_VALUE"""),44608.0)</f>
        <v>44608</v>
      </c>
      <c r="C2897" s="5"/>
      <c r="D2897" s="5"/>
      <c r="E2897" s="5"/>
      <c r="F2897" s="22">
        <f>IFERROR(__xludf.DUMMYFUNCTION("""COMPUTED_VALUE"""),500000.0)</f>
        <v>500000</v>
      </c>
      <c r="G2897" s="22">
        <f>IFERROR(__xludf.DUMMYFUNCTION("""COMPUTED_VALUE"""),0.0)</f>
        <v>0</v>
      </c>
      <c r="H2897" s="22">
        <f>IFERROR(__xludf.DUMMYFUNCTION("""COMPUTED_VALUE"""),500000.0)</f>
        <v>500000</v>
      </c>
      <c r="I2897" s="24">
        <f>IFERROR(__xludf.DUMMYFUNCTION("""COMPUTED_VALUE"""),0.0)</f>
        <v>0</v>
      </c>
    </row>
    <row r="2898">
      <c r="A2898" s="5" t="str">
        <f>IFERROR(__xludf.DUMMYFUNCTION("""COMPUTED_VALUE"""),"39670")</f>
        <v>39670</v>
      </c>
      <c r="B2898" s="64">
        <f>IFERROR(__xludf.DUMMYFUNCTION("""COMPUTED_VALUE"""),44609.0)</f>
        <v>44609</v>
      </c>
      <c r="C2898" s="5"/>
      <c r="D2898" s="5"/>
      <c r="E2898" s="5"/>
      <c r="F2898" s="22">
        <f>IFERROR(__xludf.DUMMYFUNCTION("""COMPUTED_VALUE"""),500000.0)</f>
        <v>500000</v>
      </c>
      <c r="G2898" s="22">
        <f>IFERROR(__xludf.DUMMYFUNCTION("""COMPUTED_VALUE"""),0.0)</f>
        <v>0</v>
      </c>
      <c r="H2898" s="22">
        <f>IFERROR(__xludf.DUMMYFUNCTION("""COMPUTED_VALUE"""),500000.0)</f>
        <v>500000</v>
      </c>
      <c r="I2898" s="24">
        <f>IFERROR(__xludf.DUMMYFUNCTION("""COMPUTED_VALUE"""),0.0)</f>
        <v>0</v>
      </c>
    </row>
    <row r="2899">
      <c r="A2899" s="5" t="str">
        <f>IFERROR(__xludf.DUMMYFUNCTION("""COMPUTED_VALUE"""),"39670")</f>
        <v>39670</v>
      </c>
      <c r="B2899" s="64">
        <f>IFERROR(__xludf.DUMMYFUNCTION("""COMPUTED_VALUE"""),44610.0)</f>
        <v>44610</v>
      </c>
      <c r="C2899" s="5"/>
      <c r="D2899" s="5"/>
      <c r="E2899" s="5"/>
      <c r="F2899" s="22">
        <f>IFERROR(__xludf.DUMMYFUNCTION("""COMPUTED_VALUE"""),500000.0)</f>
        <v>500000</v>
      </c>
      <c r="G2899" s="22">
        <f>IFERROR(__xludf.DUMMYFUNCTION("""COMPUTED_VALUE"""),0.0)</f>
        <v>0</v>
      </c>
      <c r="H2899" s="22">
        <f>IFERROR(__xludf.DUMMYFUNCTION("""COMPUTED_VALUE"""),500000.0)</f>
        <v>500000</v>
      </c>
      <c r="I2899" s="24">
        <f>IFERROR(__xludf.DUMMYFUNCTION("""COMPUTED_VALUE"""),0.0)</f>
        <v>0</v>
      </c>
    </row>
    <row r="2900">
      <c r="A2900" s="5" t="str">
        <f>IFERROR(__xludf.DUMMYFUNCTION("""COMPUTED_VALUE"""),"39670")</f>
        <v>39670</v>
      </c>
      <c r="B2900" s="64">
        <f>IFERROR(__xludf.DUMMYFUNCTION("""COMPUTED_VALUE"""),44611.0)</f>
        <v>44611</v>
      </c>
      <c r="C2900" s="5"/>
      <c r="D2900" s="5"/>
      <c r="E2900" s="5"/>
      <c r="F2900" s="22">
        <f>IFERROR(__xludf.DUMMYFUNCTION("""COMPUTED_VALUE"""),500000.0)</f>
        <v>500000</v>
      </c>
      <c r="G2900" s="22">
        <f>IFERROR(__xludf.DUMMYFUNCTION("""COMPUTED_VALUE"""),0.0)</f>
        <v>0</v>
      </c>
      <c r="H2900" s="22">
        <f>IFERROR(__xludf.DUMMYFUNCTION("""COMPUTED_VALUE"""),500000.0)</f>
        <v>500000</v>
      </c>
      <c r="I2900" s="24">
        <f>IFERROR(__xludf.DUMMYFUNCTION("""COMPUTED_VALUE"""),0.0)</f>
        <v>0</v>
      </c>
    </row>
    <row r="2901">
      <c r="A2901" s="5" t="str">
        <f>IFERROR(__xludf.DUMMYFUNCTION("""COMPUTED_VALUE"""),"39670")</f>
        <v>39670</v>
      </c>
      <c r="B2901" s="64">
        <f>IFERROR(__xludf.DUMMYFUNCTION("""COMPUTED_VALUE"""),44612.0)</f>
        <v>44612</v>
      </c>
      <c r="C2901" s="5"/>
      <c r="D2901" s="5"/>
      <c r="E2901" s="5"/>
      <c r="F2901" s="22">
        <f>IFERROR(__xludf.DUMMYFUNCTION("""COMPUTED_VALUE"""),500000.0)</f>
        <v>500000</v>
      </c>
      <c r="G2901" s="22">
        <f>IFERROR(__xludf.DUMMYFUNCTION("""COMPUTED_VALUE"""),0.0)</f>
        <v>0</v>
      </c>
      <c r="H2901" s="22">
        <f>IFERROR(__xludf.DUMMYFUNCTION("""COMPUTED_VALUE"""),500000.0)</f>
        <v>500000</v>
      </c>
      <c r="I2901" s="24">
        <f>IFERROR(__xludf.DUMMYFUNCTION("""COMPUTED_VALUE"""),0.0)</f>
        <v>0</v>
      </c>
    </row>
    <row r="2902">
      <c r="A2902" s="5" t="str">
        <f>IFERROR(__xludf.DUMMYFUNCTION("""COMPUTED_VALUE"""),"39670")</f>
        <v>39670</v>
      </c>
      <c r="B2902" s="64">
        <f>IFERROR(__xludf.DUMMYFUNCTION("""COMPUTED_VALUE"""),44613.0)</f>
        <v>44613</v>
      </c>
      <c r="C2902" s="5"/>
      <c r="D2902" s="5"/>
      <c r="E2902" s="5"/>
      <c r="F2902" s="22">
        <f>IFERROR(__xludf.DUMMYFUNCTION("""COMPUTED_VALUE"""),500000.0)</f>
        <v>500000</v>
      </c>
      <c r="G2902" s="22">
        <f>IFERROR(__xludf.DUMMYFUNCTION("""COMPUTED_VALUE"""),0.0)</f>
        <v>0</v>
      </c>
      <c r="H2902" s="22">
        <f>IFERROR(__xludf.DUMMYFUNCTION("""COMPUTED_VALUE"""),500000.0)</f>
        <v>500000</v>
      </c>
      <c r="I2902" s="24">
        <f>IFERROR(__xludf.DUMMYFUNCTION("""COMPUTED_VALUE"""),0.0)</f>
        <v>0</v>
      </c>
    </row>
    <row r="2903">
      <c r="A2903" s="5" t="str">
        <f>IFERROR(__xludf.DUMMYFUNCTION("""COMPUTED_VALUE"""),"39670")</f>
        <v>39670</v>
      </c>
      <c r="B2903" s="64">
        <f>IFERROR(__xludf.DUMMYFUNCTION("""COMPUTED_VALUE"""),44614.0)</f>
        <v>44614</v>
      </c>
      <c r="C2903" s="5"/>
      <c r="D2903" s="5"/>
      <c r="E2903" s="5"/>
      <c r="F2903" s="22">
        <f>IFERROR(__xludf.DUMMYFUNCTION("""COMPUTED_VALUE"""),500000.0)</f>
        <v>500000</v>
      </c>
      <c r="G2903" s="22">
        <f>IFERROR(__xludf.DUMMYFUNCTION("""COMPUTED_VALUE"""),0.0)</f>
        <v>0</v>
      </c>
      <c r="H2903" s="22">
        <f>IFERROR(__xludf.DUMMYFUNCTION("""COMPUTED_VALUE"""),500000.0)</f>
        <v>500000</v>
      </c>
      <c r="I2903" s="24">
        <f>IFERROR(__xludf.DUMMYFUNCTION("""COMPUTED_VALUE"""),0.0)</f>
        <v>0</v>
      </c>
    </row>
    <row r="2904">
      <c r="A2904" s="5" t="str">
        <f>IFERROR(__xludf.DUMMYFUNCTION("""COMPUTED_VALUE"""),"39670")</f>
        <v>39670</v>
      </c>
      <c r="B2904" s="64">
        <f>IFERROR(__xludf.DUMMYFUNCTION("""COMPUTED_VALUE"""),44615.0)</f>
        <v>44615</v>
      </c>
      <c r="C2904" s="5"/>
      <c r="D2904" s="5"/>
      <c r="E2904" s="5"/>
      <c r="F2904" s="22">
        <f>IFERROR(__xludf.DUMMYFUNCTION("""COMPUTED_VALUE"""),500000.0)</f>
        <v>500000</v>
      </c>
      <c r="G2904" s="22">
        <f>IFERROR(__xludf.DUMMYFUNCTION("""COMPUTED_VALUE"""),0.0)</f>
        <v>0</v>
      </c>
      <c r="H2904" s="22">
        <f>IFERROR(__xludf.DUMMYFUNCTION("""COMPUTED_VALUE"""),500000.0)</f>
        <v>500000</v>
      </c>
      <c r="I2904" s="24">
        <f>IFERROR(__xludf.DUMMYFUNCTION("""COMPUTED_VALUE"""),0.0)</f>
        <v>0</v>
      </c>
    </row>
    <row r="2905">
      <c r="A2905" s="5" t="str">
        <f>IFERROR(__xludf.DUMMYFUNCTION("""COMPUTED_VALUE"""),"39670")</f>
        <v>39670</v>
      </c>
      <c r="B2905" s="64">
        <f>IFERROR(__xludf.DUMMYFUNCTION("""COMPUTED_VALUE"""),44616.0)</f>
        <v>44616</v>
      </c>
      <c r="C2905" s="5"/>
      <c r="D2905" s="5"/>
      <c r="E2905" s="5"/>
      <c r="F2905" s="22">
        <f>IFERROR(__xludf.DUMMYFUNCTION("""COMPUTED_VALUE"""),500000.0)</f>
        <v>500000</v>
      </c>
      <c r="G2905" s="22">
        <f>IFERROR(__xludf.DUMMYFUNCTION("""COMPUTED_VALUE"""),0.0)</f>
        <v>0</v>
      </c>
      <c r="H2905" s="22">
        <f>IFERROR(__xludf.DUMMYFUNCTION("""COMPUTED_VALUE"""),500000.0)</f>
        <v>500000</v>
      </c>
      <c r="I2905" s="24">
        <f>IFERROR(__xludf.DUMMYFUNCTION("""COMPUTED_VALUE"""),0.0)</f>
        <v>0</v>
      </c>
    </row>
    <row r="2906">
      <c r="A2906" s="5" t="str">
        <f>IFERROR(__xludf.DUMMYFUNCTION("""COMPUTED_VALUE"""),"39670")</f>
        <v>39670</v>
      </c>
      <c r="B2906" s="64">
        <f>IFERROR(__xludf.DUMMYFUNCTION("""COMPUTED_VALUE"""),44617.0)</f>
        <v>44617</v>
      </c>
      <c r="C2906" s="5"/>
      <c r="D2906" s="5"/>
      <c r="E2906" s="5"/>
      <c r="F2906" s="22">
        <f>IFERROR(__xludf.DUMMYFUNCTION("""COMPUTED_VALUE"""),500000.0)</f>
        <v>500000</v>
      </c>
      <c r="G2906" s="22">
        <f>IFERROR(__xludf.DUMMYFUNCTION("""COMPUTED_VALUE"""),0.0)</f>
        <v>0</v>
      </c>
      <c r="H2906" s="22">
        <f>IFERROR(__xludf.DUMMYFUNCTION("""COMPUTED_VALUE"""),500000.0)</f>
        <v>500000</v>
      </c>
      <c r="I2906" s="24">
        <f>IFERROR(__xludf.DUMMYFUNCTION("""COMPUTED_VALUE"""),0.0)</f>
        <v>0</v>
      </c>
    </row>
    <row r="2907">
      <c r="A2907" s="5" t="str">
        <f>IFERROR(__xludf.DUMMYFUNCTION("""COMPUTED_VALUE"""),"39670")</f>
        <v>39670</v>
      </c>
      <c r="B2907" s="64">
        <f>IFERROR(__xludf.DUMMYFUNCTION("""COMPUTED_VALUE"""),44618.0)</f>
        <v>44618</v>
      </c>
      <c r="C2907" s="5"/>
      <c r="D2907" s="5"/>
      <c r="E2907" s="5"/>
      <c r="F2907" s="22">
        <f>IFERROR(__xludf.DUMMYFUNCTION("""COMPUTED_VALUE"""),500000.0)</f>
        <v>500000</v>
      </c>
      <c r="G2907" s="22">
        <f>IFERROR(__xludf.DUMMYFUNCTION("""COMPUTED_VALUE"""),0.0)</f>
        <v>0</v>
      </c>
      <c r="H2907" s="22">
        <f>IFERROR(__xludf.DUMMYFUNCTION("""COMPUTED_VALUE"""),500000.0)</f>
        <v>500000</v>
      </c>
      <c r="I2907" s="24">
        <f>IFERROR(__xludf.DUMMYFUNCTION("""COMPUTED_VALUE"""),0.0)</f>
        <v>0</v>
      </c>
    </row>
    <row r="2908">
      <c r="A2908" s="5" t="str">
        <f>IFERROR(__xludf.DUMMYFUNCTION("""COMPUTED_VALUE"""),"39670")</f>
        <v>39670</v>
      </c>
      <c r="B2908" s="64">
        <f>IFERROR(__xludf.DUMMYFUNCTION("""COMPUTED_VALUE"""),44619.0)</f>
        <v>44619</v>
      </c>
      <c r="C2908" s="5"/>
      <c r="D2908" s="5"/>
      <c r="E2908" s="5"/>
      <c r="F2908" s="22">
        <f>IFERROR(__xludf.DUMMYFUNCTION("""COMPUTED_VALUE"""),500000.0)</f>
        <v>500000</v>
      </c>
      <c r="G2908" s="22">
        <f>IFERROR(__xludf.DUMMYFUNCTION("""COMPUTED_VALUE"""),0.0)</f>
        <v>0</v>
      </c>
      <c r="H2908" s="22">
        <f>IFERROR(__xludf.DUMMYFUNCTION("""COMPUTED_VALUE"""),500000.0)</f>
        <v>500000</v>
      </c>
      <c r="I2908" s="24">
        <f>IFERROR(__xludf.DUMMYFUNCTION("""COMPUTED_VALUE"""),0.0)</f>
        <v>0</v>
      </c>
    </row>
    <row r="2909">
      <c r="A2909" s="5" t="str">
        <f>IFERROR(__xludf.DUMMYFUNCTION("""COMPUTED_VALUE"""),"39670")</f>
        <v>39670</v>
      </c>
      <c r="B2909" s="64">
        <f>IFERROR(__xludf.DUMMYFUNCTION("""COMPUTED_VALUE"""),44620.0)</f>
        <v>44620</v>
      </c>
      <c r="C2909" s="5"/>
      <c r="D2909" s="5"/>
      <c r="E2909" s="5"/>
      <c r="F2909" s="22">
        <f>IFERROR(__xludf.DUMMYFUNCTION("""COMPUTED_VALUE"""),500000.0)</f>
        <v>500000</v>
      </c>
      <c r="G2909" s="22">
        <f>IFERROR(__xludf.DUMMYFUNCTION("""COMPUTED_VALUE"""),0.0)</f>
        <v>0</v>
      </c>
      <c r="H2909" s="22">
        <f>IFERROR(__xludf.DUMMYFUNCTION("""COMPUTED_VALUE"""),500000.0)</f>
        <v>500000</v>
      </c>
      <c r="I2909" s="24">
        <f>IFERROR(__xludf.DUMMYFUNCTION("""COMPUTED_VALUE"""),0.0)</f>
        <v>0</v>
      </c>
    </row>
    <row r="2910">
      <c r="A2910" s="5" t="str">
        <f>IFERROR(__xludf.DUMMYFUNCTION("""COMPUTED_VALUE"""),"39670")</f>
        <v>39670</v>
      </c>
      <c r="B2910" s="64">
        <f>IFERROR(__xludf.DUMMYFUNCTION("""COMPUTED_VALUE"""),44621.0)</f>
        <v>44621</v>
      </c>
      <c r="C2910" s="5"/>
      <c r="D2910" s="5"/>
      <c r="E2910" s="5"/>
      <c r="F2910" s="22">
        <f>IFERROR(__xludf.DUMMYFUNCTION("""COMPUTED_VALUE"""),500000.0)</f>
        <v>500000</v>
      </c>
      <c r="G2910" s="22">
        <f>IFERROR(__xludf.DUMMYFUNCTION("""COMPUTED_VALUE"""),0.0)</f>
        <v>0</v>
      </c>
      <c r="H2910" s="22">
        <f>IFERROR(__xludf.DUMMYFUNCTION("""COMPUTED_VALUE"""),500000.0)</f>
        <v>500000</v>
      </c>
      <c r="I2910" s="24">
        <f>IFERROR(__xludf.DUMMYFUNCTION("""COMPUTED_VALUE"""),0.0)</f>
        <v>0</v>
      </c>
    </row>
    <row r="2911">
      <c r="A2911" s="5" t="str">
        <f>IFERROR(__xludf.DUMMYFUNCTION("""COMPUTED_VALUE"""),"39670")</f>
        <v>39670</v>
      </c>
      <c r="B2911" s="64">
        <f>IFERROR(__xludf.DUMMYFUNCTION("""COMPUTED_VALUE"""),44622.0)</f>
        <v>44622</v>
      </c>
      <c r="C2911" s="5"/>
      <c r="D2911" s="5"/>
      <c r="E2911" s="5"/>
      <c r="F2911" s="22">
        <f>IFERROR(__xludf.DUMMYFUNCTION("""COMPUTED_VALUE"""),500000.0)</f>
        <v>500000</v>
      </c>
      <c r="G2911" s="22">
        <f>IFERROR(__xludf.DUMMYFUNCTION("""COMPUTED_VALUE"""),0.0)</f>
        <v>0</v>
      </c>
      <c r="H2911" s="22">
        <f>IFERROR(__xludf.DUMMYFUNCTION("""COMPUTED_VALUE"""),500000.0)</f>
        <v>500000</v>
      </c>
      <c r="I2911" s="24">
        <f>IFERROR(__xludf.DUMMYFUNCTION("""COMPUTED_VALUE"""),0.0)</f>
        <v>0</v>
      </c>
    </row>
    <row r="2912">
      <c r="A2912" s="5" t="str">
        <f>IFERROR(__xludf.DUMMYFUNCTION("""COMPUTED_VALUE"""),"39670")</f>
        <v>39670</v>
      </c>
      <c r="B2912" s="64">
        <f>IFERROR(__xludf.DUMMYFUNCTION("""COMPUTED_VALUE"""),44623.0)</f>
        <v>44623</v>
      </c>
      <c r="C2912" s="5"/>
      <c r="D2912" s="5"/>
      <c r="E2912" s="5"/>
      <c r="F2912" s="22">
        <f>IFERROR(__xludf.DUMMYFUNCTION("""COMPUTED_VALUE"""),500000.0)</f>
        <v>500000</v>
      </c>
      <c r="G2912" s="22">
        <f>IFERROR(__xludf.DUMMYFUNCTION("""COMPUTED_VALUE"""),0.0)</f>
        <v>0</v>
      </c>
      <c r="H2912" s="22">
        <f>IFERROR(__xludf.DUMMYFUNCTION("""COMPUTED_VALUE"""),500000.0)</f>
        <v>500000</v>
      </c>
      <c r="I2912" s="24">
        <f>IFERROR(__xludf.DUMMYFUNCTION("""COMPUTED_VALUE"""),0.0)</f>
        <v>0</v>
      </c>
    </row>
    <row r="2913">
      <c r="A2913" s="5" t="str">
        <f>IFERROR(__xludf.DUMMYFUNCTION("""COMPUTED_VALUE"""),"39670")</f>
        <v>39670</v>
      </c>
      <c r="B2913" s="64">
        <f>IFERROR(__xludf.DUMMYFUNCTION("""COMPUTED_VALUE"""),44624.0)</f>
        <v>44624</v>
      </c>
      <c r="C2913" s="5"/>
      <c r="D2913" s="5"/>
      <c r="E2913" s="5"/>
      <c r="F2913" s="22">
        <f>IFERROR(__xludf.DUMMYFUNCTION("""COMPUTED_VALUE"""),500000.0)</f>
        <v>500000</v>
      </c>
      <c r="G2913" s="22">
        <f>IFERROR(__xludf.DUMMYFUNCTION("""COMPUTED_VALUE"""),0.0)</f>
        <v>0</v>
      </c>
      <c r="H2913" s="22">
        <f>IFERROR(__xludf.DUMMYFUNCTION("""COMPUTED_VALUE"""),500000.0)</f>
        <v>500000</v>
      </c>
      <c r="I2913" s="24">
        <f>IFERROR(__xludf.DUMMYFUNCTION("""COMPUTED_VALUE"""),0.0)</f>
        <v>0</v>
      </c>
    </row>
    <row r="2914">
      <c r="A2914" s="5" t="str">
        <f>IFERROR(__xludf.DUMMYFUNCTION("""COMPUTED_VALUE"""),"39670")</f>
        <v>39670</v>
      </c>
      <c r="B2914" s="64">
        <f>IFERROR(__xludf.DUMMYFUNCTION("""COMPUTED_VALUE"""),44625.0)</f>
        <v>44625</v>
      </c>
      <c r="C2914" s="5"/>
      <c r="D2914" s="5"/>
      <c r="E2914" s="5"/>
      <c r="F2914" s="22">
        <f>IFERROR(__xludf.DUMMYFUNCTION("""COMPUTED_VALUE"""),500000.0)</f>
        <v>500000</v>
      </c>
      <c r="G2914" s="22">
        <f>IFERROR(__xludf.DUMMYFUNCTION("""COMPUTED_VALUE"""),0.0)</f>
        <v>0</v>
      </c>
      <c r="H2914" s="22">
        <f>IFERROR(__xludf.DUMMYFUNCTION("""COMPUTED_VALUE"""),500000.0)</f>
        <v>500000</v>
      </c>
      <c r="I2914" s="24">
        <f>IFERROR(__xludf.DUMMYFUNCTION("""COMPUTED_VALUE"""),0.0)</f>
        <v>0</v>
      </c>
    </row>
    <row r="2915">
      <c r="A2915" s="5" t="str">
        <f>IFERROR(__xludf.DUMMYFUNCTION("""COMPUTED_VALUE"""),"39670")</f>
        <v>39670</v>
      </c>
      <c r="B2915" s="64">
        <f>IFERROR(__xludf.DUMMYFUNCTION("""COMPUTED_VALUE"""),44626.0)</f>
        <v>44626</v>
      </c>
      <c r="C2915" s="5"/>
      <c r="D2915" s="5"/>
      <c r="E2915" s="5"/>
      <c r="F2915" s="22">
        <f>IFERROR(__xludf.DUMMYFUNCTION("""COMPUTED_VALUE"""),500000.0)</f>
        <v>500000</v>
      </c>
      <c r="G2915" s="22">
        <f>IFERROR(__xludf.DUMMYFUNCTION("""COMPUTED_VALUE"""),0.0)</f>
        <v>0</v>
      </c>
      <c r="H2915" s="22">
        <f>IFERROR(__xludf.DUMMYFUNCTION("""COMPUTED_VALUE"""),500000.0)</f>
        <v>500000</v>
      </c>
      <c r="I2915" s="24">
        <f>IFERROR(__xludf.DUMMYFUNCTION("""COMPUTED_VALUE"""),0.0)</f>
        <v>0</v>
      </c>
    </row>
    <row r="2916">
      <c r="A2916" s="5" t="str">
        <f>IFERROR(__xludf.DUMMYFUNCTION("""COMPUTED_VALUE"""),"39670")</f>
        <v>39670</v>
      </c>
      <c r="B2916" s="64">
        <f>IFERROR(__xludf.DUMMYFUNCTION("""COMPUTED_VALUE"""),44627.0)</f>
        <v>44627</v>
      </c>
      <c r="C2916" s="5"/>
      <c r="D2916" s="5"/>
      <c r="E2916" s="5"/>
      <c r="F2916" s="22">
        <f>IFERROR(__xludf.DUMMYFUNCTION("""COMPUTED_VALUE"""),500000.0)</f>
        <v>500000</v>
      </c>
      <c r="G2916" s="22">
        <f>IFERROR(__xludf.DUMMYFUNCTION("""COMPUTED_VALUE"""),0.0)</f>
        <v>0</v>
      </c>
      <c r="H2916" s="22">
        <f>IFERROR(__xludf.DUMMYFUNCTION("""COMPUTED_VALUE"""),500000.0)</f>
        <v>500000</v>
      </c>
      <c r="I2916" s="24">
        <f>IFERROR(__xludf.DUMMYFUNCTION("""COMPUTED_VALUE"""),0.0)</f>
        <v>0</v>
      </c>
    </row>
    <row r="2917">
      <c r="A2917" s="5" t="str">
        <f>IFERROR(__xludf.DUMMYFUNCTION("""COMPUTED_VALUE"""),"39670")</f>
        <v>39670</v>
      </c>
      <c r="B2917" s="64">
        <f>IFERROR(__xludf.DUMMYFUNCTION("""COMPUTED_VALUE"""),44628.0)</f>
        <v>44628</v>
      </c>
      <c r="C2917" s="5"/>
      <c r="D2917" s="5"/>
      <c r="E2917" s="5"/>
      <c r="F2917" s="22">
        <f>IFERROR(__xludf.DUMMYFUNCTION("""COMPUTED_VALUE"""),500000.0)</f>
        <v>500000</v>
      </c>
      <c r="G2917" s="22">
        <f>IFERROR(__xludf.DUMMYFUNCTION("""COMPUTED_VALUE"""),0.0)</f>
        <v>0</v>
      </c>
      <c r="H2917" s="22">
        <f>IFERROR(__xludf.DUMMYFUNCTION("""COMPUTED_VALUE"""),500000.0)</f>
        <v>500000</v>
      </c>
      <c r="I2917" s="24">
        <f>IFERROR(__xludf.DUMMYFUNCTION("""COMPUTED_VALUE"""),0.0)</f>
        <v>0</v>
      </c>
    </row>
    <row r="2918">
      <c r="A2918" s="5" t="str">
        <f>IFERROR(__xludf.DUMMYFUNCTION("""COMPUTED_VALUE"""),"39670")</f>
        <v>39670</v>
      </c>
      <c r="B2918" s="64">
        <f>IFERROR(__xludf.DUMMYFUNCTION("""COMPUTED_VALUE"""),44629.0)</f>
        <v>44629</v>
      </c>
      <c r="C2918" s="5"/>
      <c r="D2918" s="5"/>
      <c r="E2918" s="5"/>
      <c r="F2918" s="22">
        <f>IFERROR(__xludf.DUMMYFUNCTION("""COMPUTED_VALUE"""),500000.0)</f>
        <v>500000</v>
      </c>
      <c r="G2918" s="22">
        <f>IFERROR(__xludf.DUMMYFUNCTION("""COMPUTED_VALUE"""),0.0)</f>
        <v>0</v>
      </c>
      <c r="H2918" s="22">
        <f>IFERROR(__xludf.DUMMYFUNCTION("""COMPUTED_VALUE"""),500000.0)</f>
        <v>500000</v>
      </c>
      <c r="I2918" s="24">
        <f>IFERROR(__xludf.DUMMYFUNCTION("""COMPUTED_VALUE"""),0.0)</f>
        <v>0</v>
      </c>
    </row>
    <row r="2919">
      <c r="A2919" s="5" t="str">
        <f>IFERROR(__xludf.DUMMYFUNCTION("""COMPUTED_VALUE"""),"39670")</f>
        <v>39670</v>
      </c>
      <c r="B2919" s="64">
        <f>IFERROR(__xludf.DUMMYFUNCTION("""COMPUTED_VALUE"""),44630.0)</f>
        <v>44630</v>
      </c>
      <c r="C2919" s="5"/>
      <c r="D2919" s="5"/>
      <c r="E2919" s="5"/>
      <c r="F2919" s="22">
        <f>IFERROR(__xludf.DUMMYFUNCTION("""COMPUTED_VALUE"""),500000.0)</f>
        <v>500000</v>
      </c>
      <c r="G2919" s="22">
        <f>IFERROR(__xludf.DUMMYFUNCTION("""COMPUTED_VALUE"""),0.0)</f>
        <v>0</v>
      </c>
      <c r="H2919" s="22">
        <f>IFERROR(__xludf.DUMMYFUNCTION("""COMPUTED_VALUE"""),500000.0)</f>
        <v>500000</v>
      </c>
      <c r="I2919" s="24">
        <f>IFERROR(__xludf.DUMMYFUNCTION("""COMPUTED_VALUE"""),0.0)</f>
        <v>0</v>
      </c>
    </row>
    <row r="2920">
      <c r="A2920" s="5" t="str">
        <f>IFERROR(__xludf.DUMMYFUNCTION("""COMPUTED_VALUE"""),"39670")</f>
        <v>39670</v>
      </c>
      <c r="B2920" s="64">
        <f>IFERROR(__xludf.DUMMYFUNCTION("""COMPUTED_VALUE"""),44631.0)</f>
        <v>44631</v>
      </c>
      <c r="C2920" s="5"/>
      <c r="D2920" s="5"/>
      <c r="E2920" s="5"/>
      <c r="F2920" s="22">
        <f>IFERROR(__xludf.DUMMYFUNCTION("""COMPUTED_VALUE"""),500000.0)</f>
        <v>500000</v>
      </c>
      <c r="G2920" s="22">
        <f>IFERROR(__xludf.DUMMYFUNCTION("""COMPUTED_VALUE"""),0.0)</f>
        <v>0</v>
      </c>
      <c r="H2920" s="22">
        <f>IFERROR(__xludf.DUMMYFUNCTION("""COMPUTED_VALUE"""),500000.0)</f>
        <v>500000</v>
      </c>
      <c r="I2920" s="24">
        <f>IFERROR(__xludf.DUMMYFUNCTION("""COMPUTED_VALUE"""),0.0)</f>
        <v>0</v>
      </c>
    </row>
    <row r="2921">
      <c r="A2921" s="5" t="str">
        <f>IFERROR(__xludf.DUMMYFUNCTION("""COMPUTED_VALUE"""),"39670")</f>
        <v>39670</v>
      </c>
      <c r="B2921" s="64">
        <f>IFERROR(__xludf.DUMMYFUNCTION("""COMPUTED_VALUE"""),44632.0)</f>
        <v>44632</v>
      </c>
      <c r="C2921" s="5"/>
      <c r="D2921" s="5"/>
      <c r="E2921" s="5"/>
      <c r="F2921" s="22">
        <f>IFERROR(__xludf.DUMMYFUNCTION("""COMPUTED_VALUE"""),500000.0)</f>
        <v>500000</v>
      </c>
      <c r="G2921" s="22">
        <f>IFERROR(__xludf.DUMMYFUNCTION("""COMPUTED_VALUE"""),0.0)</f>
        <v>0</v>
      </c>
      <c r="H2921" s="22">
        <f>IFERROR(__xludf.DUMMYFUNCTION("""COMPUTED_VALUE"""),500000.0)</f>
        <v>500000</v>
      </c>
      <c r="I2921" s="24">
        <f>IFERROR(__xludf.DUMMYFUNCTION("""COMPUTED_VALUE"""),0.0)</f>
        <v>0</v>
      </c>
    </row>
    <row r="2922">
      <c r="A2922" s="5" t="str">
        <f>IFERROR(__xludf.DUMMYFUNCTION("""COMPUTED_VALUE"""),"39670")</f>
        <v>39670</v>
      </c>
      <c r="B2922" s="64">
        <f>IFERROR(__xludf.DUMMYFUNCTION("""COMPUTED_VALUE"""),44633.0)</f>
        <v>44633</v>
      </c>
      <c r="C2922" s="5"/>
      <c r="D2922" s="5"/>
      <c r="E2922" s="5"/>
      <c r="F2922" s="22">
        <f>IFERROR(__xludf.DUMMYFUNCTION("""COMPUTED_VALUE"""),500000.0)</f>
        <v>500000</v>
      </c>
      <c r="G2922" s="22">
        <f>IFERROR(__xludf.DUMMYFUNCTION("""COMPUTED_VALUE"""),0.0)</f>
        <v>0</v>
      </c>
      <c r="H2922" s="22">
        <f>IFERROR(__xludf.DUMMYFUNCTION("""COMPUTED_VALUE"""),500000.0)</f>
        <v>500000</v>
      </c>
      <c r="I2922" s="24">
        <f>IFERROR(__xludf.DUMMYFUNCTION("""COMPUTED_VALUE"""),0.0)</f>
        <v>0</v>
      </c>
    </row>
    <row r="2923">
      <c r="A2923" s="5" t="str">
        <f>IFERROR(__xludf.DUMMYFUNCTION("""COMPUTED_VALUE"""),"39670")</f>
        <v>39670</v>
      </c>
      <c r="B2923" s="64">
        <f>IFERROR(__xludf.DUMMYFUNCTION("""COMPUTED_VALUE"""),44634.0)</f>
        <v>44634</v>
      </c>
      <c r="C2923" s="5"/>
      <c r="D2923" s="5"/>
      <c r="E2923" s="5"/>
      <c r="F2923" s="22">
        <f>IFERROR(__xludf.DUMMYFUNCTION("""COMPUTED_VALUE"""),500000.0)</f>
        <v>500000</v>
      </c>
      <c r="G2923" s="22">
        <f>IFERROR(__xludf.DUMMYFUNCTION("""COMPUTED_VALUE"""),0.0)</f>
        <v>0</v>
      </c>
      <c r="H2923" s="22">
        <f>IFERROR(__xludf.DUMMYFUNCTION("""COMPUTED_VALUE"""),500000.0)</f>
        <v>500000</v>
      </c>
      <c r="I2923" s="24">
        <f>IFERROR(__xludf.DUMMYFUNCTION("""COMPUTED_VALUE"""),0.0)</f>
        <v>0</v>
      </c>
    </row>
    <row r="2924">
      <c r="A2924" s="5" t="str">
        <f>IFERROR(__xludf.DUMMYFUNCTION("""COMPUTED_VALUE"""),"39670")</f>
        <v>39670</v>
      </c>
      <c r="B2924" s="64">
        <f>IFERROR(__xludf.DUMMYFUNCTION("""COMPUTED_VALUE"""),44635.0)</f>
        <v>44635</v>
      </c>
      <c r="C2924" s="5"/>
      <c r="D2924" s="5"/>
      <c r="E2924" s="5"/>
      <c r="F2924" s="22">
        <f>IFERROR(__xludf.DUMMYFUNCTION("""COMPUTED_VALUE"""),500000.0)</f>
        <v>500000</v>
      </c>
      <c r="G2924" s="22">
        <f>IFERROR(__xludf.DUMMYFUNCTION("""COMPUTED_VALUE"""),0.0)</f>
        <v>0</v>
      </c>
      <c r="H2924" s="22">
        <f>IFERROR(__xludf.DUMMYFUNCTION("""COMPUTED_VALUE"""),500000.0)</f>
        <v>500000</v>
      </c>
      <c r="I2924" s="24">
        <f>IFERROR(__xludf.DUMMYFUNCTION("""COMPUTED_VALUE"""),0.0)</f>
        <v>0</v>
      </c>
    </row>
    <row r="2925">
      <c r="A2925" s="5" t="str">
        <f>IFERROR(__xludf.DUMMYFUNCTION("""COMPUTED_VALUE"""),"39670")</f>
        <v>39670</v>
      </c>
      <c r="B2925" s="64">
        <f>IFERROR(__xludf.DUMMYFUNCTION("""COMPUTED_VALUE"""),44636.0)</f>
        <v>44636</v>
      </c>
      <c r="C2925" s="5"/>
      <c r="D2925" s="5"/>
      <c r="E2925" s="5"/>
      <c r="F2925" s="22">
        <f>IFERROR(__xludf.DUMMYFUNCTION("""COMPUTED_VALUE"""),500000.0)</f>
        <v>500000</v>
      </c>
      <c r="G2925" s="22">
        <f>IFERROR(__xludf.DUMMYFUNCTION("""COMPUTED_VALUE"""),0.0)</f>
        <v>0</v>
      </c>
      <c r="H2925" s="22">
        <f>IFERROR(__xludf.DUMMYFUNCTION("""COMPUTED_VALUE"""),500000.0)</f>
        <v>500000</v>
      </c>
      <c r="I2925" s="24">
        <f>IFERROR(__xludf.DUMMYFUNCTION("""COMPUTED_VALUE"""),0.0)</f>
        <v>0</v>
      </c>
    </row>
    <row r="2926">
      <c r="A2926" s="5" t="str">
        <f>IFERROR(__xludf.DUMMYFUNCTION("""COMPUTED_VALUE"""),"39670")</f>
        <v>39670</v>
      </c>
      <c r="B2926" s="64">
        <f>IFERROR(__xludf.DUMMYFUNCTION("""COMPUTED_VALUE"""),44637.0)</f>
        <v>44637</v>
      </c>
      <c r="C2926" s="5"/>
      <c r="D2926" s="5"/>
      <c r="E2926" s="5"/>
      <c r="F2926" s="22">
        <f>IFERROR(__xludf.DUMMYFUNCTION("""COMPUTED_VALUE"""),500000.0)</f>
        <v>500000</v>
      </c>
      <c r="G2926" s="22">
        <f>IFERROR(__xludf.DUMMYFUNCTION("""COMPUTED_VALUE"""),0.0)</f>
        <v>0</v>
      </c>
      <c r="H2926" s="22">
        <f>IFERROR(__xludf.DUMMYFUNCTION("""COMPUTED_VALUE"""),500000.0)</f>
        <v>500000</v>
      </c>
      <c r="I2926" s="24">
        <f>IFERROR(__xludf.DUMMYFUNCTION("""COMPUTED_VALUE"""),0.0)</f>
        <v>0</v>
      </c>
    </row>
    <row r="2927">
      <c r="A2927" s="5" t="str">
        <f>IFERROR(__xludf.DUMMYFUNCTION("""COMPUTED_VALUE"""),"39670")</f>
        <v>39670</v>
      </c>
      <c r="B2927" s="64">
        <f>IFERROR(__xludf.DUMMYFUNCTION("""COMPUTED_VALUE"""),44638.0)</f>
        <v>44638</v>
      </c>
      <c r="C2927" s="5"/>
      <c r="D2927" s="5"/>
      <c r="E2927" s="5"/>
      <c r="F2927" s="22">
        <f>IFERROR(__xludf.DUMMYFUNCTION("""COMPUTED_VALUE"""),500000.0)</f>
        <v>500000</v>
      </c>
      <c r="G2927" s="22">
        <f>IFERROR(__xludf.DUMMYFUNCTION("""COMPUTED_VALUE"""),0.0)</f>
        <v>0</v>
      </c>
      <c r="H2927" s="22">
        <f>IFERROR(__xludf.DUMMYFUNCTION("""COMPUTED_VALUE"""),500000.0)</f>
        <v>500000</v>
      </c>
      <c r="I2927" s="24">
        <f>IFERROR(__xludf.DUMMYFUNCTION("""COMPUTED_VALUE"""),0.0)</f>
        <v>0</v>
      </c>
    </row>
    <row r="2928">
      <c r="A2928" s="5" t="str">
        <f>IFERROR(__xludf.DUMMYFUNCTION("""COMPUTED_VALUE"""),"39670")</f>
        <v>39670</v>
      </c>
      <c r="B2928" s="64">
        <f>IFERROR(__xludf.DUMMYFUNCTION("""COMPUTED_VALUE"""),44639.0)</f>
        <v>44639</v>
      </c>
      <c r="C2928" s="5"/>
      <c r="D2928" s="5"/>
      <c r="E2928" s="5"/>
      <c r="F2928" s="22">
        <f>IFERROR(__xludf.DUMMYFUNCTION("""COMPUTED_VALUE"""),500000.0)</f>
        <v>500000</v>
      </c>
      <c r="G2928" s="22">
        <f>IFERROR(__xludf.DUMMYFUNCTION("""COMPUTED_VALUE"""),0.0)</f>
        <v>0</v>
      </c>
      <c r="H2928" s="22">
        <f>IFERROR(__xludf.DUMMYFUNCTION("""COMPUTED_VALUE"""),500000.0)</f>
        <v>500000</v>
      </c>
      <c r="I2928" s="24">
        <f>IFERROR(__xludf.DUMMYFUNCTION("""COMPUTED_VALUE"""),0.0)</f>
        <v>0</v>
      </c>
    </row>
    <row r="2929">
      <c r="A2929" s="5" t="str">
        <f>IFERROR(__xludf.DUMMYFUNCTION("""COMPUTED_VALUE"""),"39670")</f>
        <v>39670</v>
      </c>
      <c r="B2929" s="64">
        <f>IFERROR(__xludf.DUMMYFUNCTION("""COMPUTED_VALUE"""),44640.0)</f>
        <v>44640</v>
      </c>
      <c r="C2929" s="5"/>
      <c r="D2929" s="5"/>
      <c r="E2929" s="5"/>
      <c r="F2929" s="22">
        <f>IFERROR(__xludf.DUMMYFUNCTION("""COMPUTED_VALUE"""),500000.0)</f>
        <v>500000</v>
      </c>
      <c r="G2929" s="22">
        <f>IFERROR(__xludf.DUMMYFUNCTION("""COMPUTED_VALUE"""),0.0)</f>
        <v>0</v>
      </c>
      <c r="H2929" s="22">
        <f>IFERROR(__xludf.DUMMYFUNCTION("""COMPUTED_VALUE"""),500000.0)</f>
        <v>500000</v>
      </c>
      <c r="I2929" s="24">
        <f>IFERROR(__xludf.DUMMYFUNCTION("""COMPUTED_VALUE"""),0.0)</f>
        <v>0</v>
      </c>
    </row>
    <row r="2930">
      <c r="A2930" s="5" t="str">
        <f>IFERROR(__xludf.DUMMYFUNCTION("""COMPUTED_VALUE"""),"39670")</f>
        <v>39670</v>
      </c>
      <c r="B2930" s="64">
        <f>IFERROR(__xludf.DUMMYFUNCTION("""COMPUTED_VALUE"""),44641.0)</f>
        <v>44641</v>
      </c>
      <c r="C2930" s="5"/>
      <c r="D2930" s="5"/>
      <c r="E2930" s="5"/>
      <c r="F2930" s="22">
        <f>IFERROR(__xludf.DUMMYFUNCTION("""COMPUTED_VALUE"""),500000.0)</f>
        <v>500000</v>
      </c>
      <c r="G2930" s="22">
        <f>IFERROR(__xludf.DUMMYFUNCTION("""COMPUTED_VALUE"""),0.0)</f>
        <v>0</v>
      </c>
      <c r="H2930" s="22">
        <f>IFERROR(__xludf.DUMMYFUNCTION("""COMPUTED_VALUE"""),500000.0)</f>
        <v>500000</v>
      </c>
      <c r="I2930" s="24">
        <f>IFERROR(__xludf.DUMMYFUNCTION("""COMPUTED_VALUE"""),0.0)</f>
        <v>0</v>
      </c>
    </row>
    <row r="2931">
      <c r="A2931" s="5" t="str">
        <f>IFERROR(__xludf.DUMMYFUNCTION("""COMPUTED_VALUE"""),"39670")</f>
        <v>39670</v>
      </c>
      <c r="B2931" s="64">
        <f>IFERROR(__xludf.DUMMYFUNCTION("""COMPUTED_VALUE"""),44642.0)</f>
        <v>44642</v>
      </c>
      <c r="C2931" s="5"/>
      <c r="D2931" s="5"/>
      <c r="E2931" s="5"/>
      <c r="F2931" s="22">
        <f>IFERROR(__xludf.DUMMYFUNCTION("""COMPUTED_VALUE"""),500000.0)</f>
        <v>500000</v>
      </c>
      <c r="G2931" s="22">
        <f>IFERROR(__xludf.DUMMYFUNCTION("""COMPUTED_VALUE"""),0.0)</f>
        <v>0</v>
      </c>
      <c r="H2931" s="22">
        <f>IFERROR(__xludf.DUMMYFUNCTION("""COMPUTED_VALUE"""),500000.0)</f>
        <v>500000</v>
      </c>
      <c r="I2931" s="24">
        <f>IFERROR(__xludf.DUMMYFUNCTION("""COMPUTED_VALUE"""),0.0)</f>
        <v>0</v>
      </c>
    </row>
    <row r="2932">
      <c r="A2932" s="5" t="str">
        <f>IFERROR(__xludf.DUMMYFUNCTION("""COMPUTED_VALUE"""),"39670")</f>
        <v>39670</v>
      </c>
      <c r="B2932" s="64">
        <f>IFERROR(__xludf.DUMMYFUNCTION("""COMPUTED_VALUE"""),44643.0)</f>
        <v>44643</v>
      </c>
      <c r="C2932" s="5"/>
      <c r="D2932" s="5"/>
      <c r="E2932" s="5"/>
      <c r="F2932" s="22">
        <f>IFERROR(__xludf.DUMMYFUNCTION("""COMPUTED_VALUE"""),500000.0)</f>
        <v>500000</v>
      </c>
      <c r="G2932" s="22">
        <f>IFERROR(__xludf.DUMMYFUNCTION("""COMPUTED_VALUE"""),0.0)</f>
        <v>0</v>
      </c>
      <c r="H2932" s="22">
        <f>IFERROR(__xludf.DUMMYFUNCTION("""COMPUTED_VALUE"""),500000.0)</f>
        <v>500000</v>
      </c>
      <c r="I2932" s="24">
        <f>IFERROR(__xludf.DUMMYFUNCTION("""COMPUTED_VALUE"""),0.0)</f>
        <v>0</v>
      </c>
    </row>
    <row r="2933">
      <c r="A2933" s="5" t="str">
        <f>IFERROR(__xludf.DUMMYFUNCTION("""COMPUTED_VALUE"""),"39670")</f>
        <v>39670</v>
      </c>
      <c r="B2933" s="64">
        <f>IFERROR(__xludf.DUMMYFUNCTION("""COMPUTED_VALUE"""),44644.0)</f>
        <v>44644</v>
      </c>
      <c r="C2933" s="5"/>
      <c r="D2933" s="5"/>
      <c r="E2933" s="5"/>
      <c r="F2933" s="22">
        <f>IFERROR(__xludf.DUMMYFUNCTION("""COMPUTED_VALUE"""),500000.0)</f>
        <v>500000</v>
      </c>
      <c r="G2933" s="22">
        <f>IFERROR(__xludf.DUMMYFUNCTION("""COMPUTED_VALUE"""),0.0)</f>
        <v>0</v>
      </c>
      <c r="H2933" s="22">
        <f>IFERROR(__xludf.DUMMYFUNCTION("""COMPUTED_VALUE"""),500000.0)</f>
        <v>500000</v>
      </c>
      <c r="I2933" s="24">
        <f>IFERROR(__xludf.DUMMYFUNCTION("""COMPUTED_VALUE"""),0.0)</f>
        <v>0</v>
      </c>
    </row>
    <row r="2934">
      <c r="A2934" s="5" t="str">
        <f>IFERROR(__xludf.DUMMYFUNCTION("""COMPUTED_VALUE"""),"39670")</f>
        <v>39670</v>
      </c>
      <c r="B2934" s="64">
        <f>IFERROR(__xludf.DUMMYFUNCTION("""COMPUTED_VALUE"""),44645.0)</f>
        <v>44645</v>
      </c>
      <c r="C2934" s="5"/>
      <c r="D2934" s="5"/>
      <c r="E2934" s="5"/>
      <c r="F2934" s="22">
        <f>IFERROR(__xludf.DUMMYFUNCTION("""COMPUTED_VALUE"""),500000.0)</f>
        <v>500000</v>
      </c>
      <c r="G2934" s="22">
        <f>IFERROR(__xludf.DUMMYFUNCTION("""COMPUTED_VALUE"""),0.0)</f>
        <v>0</v>
      </c>
      <c r="H2934" s="22">
        <f>IFERROR(__xludf.DUMMYFUNCTION("""COMPUTED_VALUE"""),500000.0)</f>
        <v>500000</v>
      </c>
      <c r="I2934" s="24">
        <f>IFERROR(__xludf.DUMMYFUNCTION("""COMPUTED_VALUE"""),0.0)</f>
        <v>0</v>
      </c>
    </row>
    <row r="2935">
      <c r="A2935" s="5" t="str">
        <f>IFERROR(__xludf.DUMMYFUNCTION("""COMPUTED_VALUE"""),"39670")</f>
        <v>39670</v>
      </c>
      <c r="B2935" s="64">
        <f>IFERROR(__xludf.DUMMYFUNCTION("""COMPUTED_VALUE"""),44646.0)</f>
        <v>44646</v>
      </c>
      <c r="C2935" s="5"/>
      <c r="D2935" s="5"/>
      <c r="E2935" s="5"/>
      <c r="F2935" s="22">
        <f>IFERROR(__xludf.DUMMYFUNCTION("""COMPUTED_VALUE"""),500000.0)</f>
        <v>500000</v>
      </c>
      <c r="G2935" s="22">
        <f>IFERROR(__xludf.DUMMYFUNCTION("""COMPUTED_VALUE"""),0.0)</f>
        <v>0</v>
      </c>
      <c r="H2935" s="22">
        <f>IFERROR(__xludf.DUMMYFUNCTION("""COMPUTED_VALUE"""),500000.0)</f>
        <v>500000</v>
      </c>
      <c r="I2935" s="24">
        <f>IFERROR(__xludf.DUMMYFUNCTION("""COMPUTED_VALUE"""),0.0)</f>
        <v>0</v>
      </c>
    </row>
    <row r="2936">
      <c r="A2936" s="5" t="str">
        <f>IFERROR(__xludf.DUMMYFUNCTION("""COMPUTED_VALUE"""),"39670")</f>
        <v>39670</v>
      </c>
      <c r="B2936" s="64">
        <f>IFERROR(__xludf.DUMMYFUNCTION("""COMPUTED_VALUE"""),44647.0)</f>
        <v>44647</v>
      </c>
      <c r="C2936" s="5"/>
      <c r="D2936" s="5"/>
      <c r="E2936" s="5"/>
      <c r="F2936" s="22">
        <f>IFERROR(__xludf.DUMMYFUNCTION("""COMPUTED_VALUE"""),500000.0)</f>
        <v>500000</v>
      </c>
      <c r="G2936" s="22">
        <f>IFERROR(__xludf.DUMMYFUNCTION("""COMPUTED_VALUE"""),0.0)</f>
        <v>0</v>
      </c>
      <c r="H2936" s="22">
        <f>IFERROR(__xludf.DUMMYFUNCTION("""COMPUTED_VALUE"""),500000.0)</f>
        <v>500000</v>
      </c>
      <c r="I2936" s="24">
        <f>IFERROR(__xludf.DUMMYFUNCTION("""COMPUTED_VALUE"""),0.0)</f>
        <v>0</v>
      </c>
    </row>
    <row r="2937">
      <c r="A2937" s="5" t="str">
        <f>IFERROR(__xludf.DUMMYFUNCTION("""COMPUTED_VALUE"""),"39670")</f>
        <v>39670</v>
      </c>
      <c r="B2937" s="64">
        <f>IFERROR(__xludf.DUMMYFUNCTION("""COMPUTED_VALUE"""),44648.0)</f>
        <v>44648</v>
      </c>
      <c r="C2937" s="5"/>
      <c r="D2937" s="5"/>
      <c r="E2937" s="5"/>
      <c r="F2937" s="22">
        <f>IFERROR(__xludf.DUMMYFUNCTION("""COMPUTED_VALUE"""),500000.0)</f>
        <v>500000</v>
      </c>
      <c r="G2937" s="22">
        <f>IFERROR(__xludf.DUMMYFUNCTION("""COMPUTED_VALUE"""),0.0)</f>
        <v>0</v>
      </c>
      <c r="H2937" s="22">
        <f>IFERROR(__xludf.DUMMYFUNCTION("""COMPUTED_VALUE"""),500000.0)</f>
        <v>500000</v>
      </c>
      <c r="I2937" s="24">
        <f>IFERROR(__xludf.DUMMYFUNCTION("""COMPUTED_VALUE"""),0.0)</f>
        <v>0</v>
      </c>
    </row>
    <row r="2938">
      <c r="A2938" s="5" t="str">
        <f>IFERROR(__xludf.DUMMYFUNCTION("""COMPUTED_VALUE"""),"39670")</f>
        <v>39670</v>
      </c>
      <c r="B2938" s="64">
        <f>IFERROR(__xludf.DUMMYFUNCTION("""COMPUTED_VALUE"""),44649.0)</f>
        <v>44649</v>
      </c>
      <c r="C2938" s="5"/>
      <c r="D2938" s="5"/>
      <c r="E2938" s="5"/>
      <c r="F2938" s="22">
        <f>IFERROR(__xludf.DUMMYFUNCTION("""COMPUTED_VALUE"""),500000.0)</f>
        <v>500000</v>
      </c>
      <c r="G2938" s="22">
        <f>IFERROR(__xludf.DUMMYFUNCTION("""COMPUTED_VALUE"""),0.0)</f>
        <v>0</v>
      </c>
      <c r="H2938" s="22">
        <f>IFERROR(__xludf.DUMMYFUNCTION("""COMPUTED_VALUE"""),500000.0)</f>
        <v>500000</v>
      </c>
      <c r="I2938" s="24">
        <f>IFERROR(__xludf.DUMMYFUNCTION("""COMPUTED_VALUE"""),0.0)</f>
        <v>0</v>
      </c>
    </row>
    <row r="2939">
      <c r="A2939" s="5" t="str">
        <f>IFERROR(__xludf.DUMMYFUNCTION("""COMPUTED_VALUE"""),"39670")</f>
        <v>39670</v>
      </c>
      <c r="B2939" s="64">
        <f>IFERROR(__xludf.DUMMYFUNCTION("""COMPUTED_VALUE"""),44650.0)</f>
        <v>44650</v>
      </c>
      <c r="C2939" s="5"/>
      <c r="D2939" s="5"/>
      <c r="E2939" s="5"/>
      <c r="F2939" s="22">
        <f>IFERROR(__xludf.DUMMYFUNCTION("""COMPUTED_VALUE"""),500000.0)</f>
        <v>500000</v>
      </c>
      <c r="G2939" s="22">
        <f>IFERROR(__xludf.DUMMYFUNCTION("""COMPUTED_VALUE"""),0.0)</f>
        <v>0</v>
      </c>
      <c r="H2939" s="22">
        <f>IFERROR(__xludf.DUMMYFUNCTION("""COMPUTED_VALUE"""),500000.0)</f>
        <v>500000</v>
      </c>
      <c r="I2939" s="24">
        <f>IFERROR(__xludf.DUMMYFUNCTION("""COMPUTED_VALUE"""),0.0)</f>
        <v>0</v>
      </c>
    </row>
    <row r="2940">
      <c r="A2940" s="5" t="str">
        <f>IFERROR(__xludf.DUMMYFUNCTION("""COMPUTED_VALUE"""),"39670")</f>
        <v>39670</v>
      </c>
      <c r="B2940" s="64">
        <f>IFERROR(__xludf.DUMMYFUNCTION("""COMPUTED_VALUE"""),44651.0)</f>
        <v>44651</v>
      </c>
      <c r="C2940" s="5"/>
      <c r="D2940" s="5"/>
      <c r="E2940" s="5"/>
      <c r="F2940" s="22">
        <f>IFERROR(__xludf.DUMMYFUNCTION("""COMPUTED_VALUE"""),500000.0)</f>
        <v>500000</v>
      </c>
      <c r="G2940" s="22">
        <f>IFERROR(__xludf.DUMMYFUNCTION("""COMPUTED_VALUE"""),0.0)</f>
        <v>0</v>
      </c>
      <c r="H2940" s="22">
        <f>IFERROR(__xludf.DUMMYFUNCTION("""COMPUTED_VALUE"""),500000.0)</f>
        <v>500000</v>
      </c>
      <c r="I2940" s="24">
        <f>IFERROR(__xludf.DUMMYFUNCTION("""COMPUTED_VALUE"""),0.0)</f>
        <v>0</v>
      </c>
    </row>
    <row r="2941">
      <c r="A2941" s="5" t="str">
        <f>IFERROR(__xludf.DUMMYFUNCTION("""COMPUTED_VALUE"""),"39670")</f>
        <v>39670</v>
      </c>
      <c r="B2941" s="64">
        <f>IFERROR(__xludf.DUMMYFUNCTION("""COMPUTED_VALUE"""),44652.0)</f>
        <v>44652</v>
      </c>
      <c r="C2941" s="5"/>
      <c r="D2941" s="5"/>
      <c r="E2941" s="5"/>
      <c r="F2941" s="22">
        <f>IFERROR(__xludf.DUMMYFUNCTION("""COMPUTED_VALUE"""),500000.0)</f>
        <v>500000</v>
      </c>
      <c r="G2941" s="22">
        <f>IFERROR(__xludf.DUMMYFUNCTION("""COMPUTED_VALUE"""),0.0)</f>
        <v>0</v>
      </c>
      <c r="H2941" s="22">
        <f>IFERROR(__xludf.DUMMYFUNCTION("""COMPUTED_VALUE"""),500000.0)</f>
        <v>500000</v>
      </c>
      <c r="I2941" s="24">
        <f>IFERROR(__xludf.DUMMYFUNCTION("""COMPUTED_VALUE"""),0.0)</f>
        <v>0</v>
      </c>
    </row>
    <row r="2942">
      <c r="A2942" s="5" t="str">
        <f>IFERROR(__xludf.DUMMYFUNCTION("""COMPUTED_VALUE"""),"39670")</f>
        <v>39670</v>
      </c>
      <c r="B2942" s="64">
        <f>IFERROR(__xludf.DUMMYFUNCTION("""COMPUTED_VALUE"""),44653.0)</f>
        <v>44653</v>
      </c>
      <c r="C2942" s="5"/>
      <c r="D2942" s="5"/>
      <c r="E2942" s="5"/>
      <c r="F2942" s="22">
        <f>IFERROR(__xludf.DUMMYFUNCTION("""COMPUTED_VALUE"""),500000.0)</f>
        <v>500000</v>
      </c>
      <c r="G2942" s="22">
        <f>IFERROR(__xludf.DUMMYFUNCTION("""COMPUTED_VALUE"""),0.0)</f>
        <v>0</v>
      </c>
      <c r="H2942" s="22">
        <f>IFERROR(__xludf.DUMMYFUNCTION("""COMPUTED_VALUE"""),500000.0)</f>
        <v>500000</v>
      </c>
      <c r="I2942" s="24">
        <f>IFERROR(__xludf.DUMMYFUNCTION("""COMPUTED_VALUE"""),0.0)</f>
        <v>0</v>
      </c>
    </row>
    <row r="2943">
      <c r="A2943" s="5" t="str">
        <f>IFERROR(__xludf.DUMMYFUNCTION("""COMPUTED_VALUE"""),"39670")</f>
        <v>39670</v>
      </c>
      <c r="B2943" s="64">
        <f>IFERROR(__xludf.DUMMYFUNCTION("""COMPUTED_VALUE"""),44654.0)</f>
        <v>44654</v>
      </c>
      <c r="C2943" s="5"/>
      <c r="D2943" s="5"/>
      <c r="E2943" s="5"/>
      <c r="F2943" s="22">
        <f>IFERROR(__xludf.DUMMYFUNCTION("""COMPUTED_VALUE"""),500000.0)</f>
        <v>500000</v>
      </c>
      <c r="G2943" s="22">
        <f>IFERROR(__xludf.DUMMYFUNCTION("""COMPUTED_VALUE"""),0.0)</f>
        <v>0</v>
      </c>
      <c r="H2943" s="22">
        <f>IFERROR(__xludf.DUMMYFUNCTION("""COMPUTED_VALUE"""),500000.0)</f>
        <v>500000</v>
      </c>
      <c r="I2943" s="24">
        <f>IFERROR(__xludf.DUMMYFUNCTION("""COMPUTED_VALUE"""),0.0)</f>
        <v>0</v>
      </c>
    </row>
    <row r="2944">
      <c r="A2944" s="5" t="str">
        <f>IFERROR(__xludf.DUMMYFUNCTION("""COMPUTED_VALUE"""),"39670")</f>
        <v>39670</v>
      </c>
      <c r="B2944" s="64">
        <f>IFERROR(__xludf.DUMMYFUNCTION("""COMPUTED_VALUE"""),44655.0)</f>
        <v>44655</v>
      </c>
      <c r="C2944" s="5"/>
      <c r="D2944" s="5"/>
      <c r="E2944" s="5"/>
      <c r="F2944" s="22">
        <f>IFERROR(__xludf.DUMMYFUNCTION("""COMPUTED_VALUE"""),500000.0)</f>
        <v>500000</v>
      </c>
      <c r="G2944" s="22">
        <f>IFERROR(__xludf.DUMMYFUNCTION("""COMPUTED_VALUE"""),0.0)</f>
        <v>0</v>
      </c>
      <c r="H2944" s="22">
        <f>IFERROR(__xludf.DUMMYFUNCTION("""COMPUTED_VALUE"""),500000.0)</f>
        <v>500000</v>
      </c>
      <c r="I2944" s="24">
        <f>IFERROR(__xludf.DUMMYFUNCTION("""COMPUTED_VALUE"""),0.0)</f>
        <v>0</v>
      </c>
    </row>
    <row r="2945">
      <c r="A2945" s="5" t="str">
        <f>IFERROR(__xludf.DUMMYFUNCTION("""COMPUTED_VALUE"""),"39670")</f>
        <v>39670</v>
      </c>
      <c r="B2945" s="64">
        <f>IFERROR(__xludf.DUMMYFUNCTION("""COMPUTED_VALUE"""),44656.0)</f>
        <v>44656</v>
      </c>
      <c r="C2945" s="5"/>
      <c r="D2945" s="5"/>
      <c r="E2945" s="5"/>
      <c r="F2945" s="22">
        <f>IFERROR(__xludf.DUMMYFUNCTION("""COMPUTED_VALUE"""),500000.0)</f>
        <v>500000</v>
      </c>
      <c r="G2945" s="22">
        <f>IFERROR(__xludf.DUMMYFUNCTION("""COMPUTED_VALUE"""),0.0)</f>
        <v>0</v>
      </c>
      <c r="H2945" s="22">
        <f>IFERROR(__xludf.DUMMYFUNCTION("""COMPUTED_VALUE"""),500000.0)</f>
        <v>500000</v>
      </c>
      <c r="I2945" s="24">
        <f>IFERROR(__xludf.DUMMYFUNCTION("""COMPUTED_VALUE"""),0.0)</f>
        <v>0</v>
      </c>
    </row>
    <row r="2946">
      <c r="A2946" s="5" t="str">
        <f>IFERROR(__xludf.DUMMYFUNCTION("""COMPUTED_VALUE"""),"39670")</f>
        <v>39670</v>
      </c>
      <c r="B2946" s="64">
        <f>IFERROR(__xludf.DUMMYFUNCTION("""COMPUTED_VALUE"""),44657.0)</f>
        <v>44657</v>
      </c>
      <c r="C2946" s="5"/>
      <c r="D2946" s="5"/>
      <c r="E2946" s="5"/>
      <c r="F2946" s="22">
        <f>IFERROR(__xludf.DUMMYFUNCTION("""COMPUTED_VALUE"""),500000.0)</f>
        <v>500000</v>
      </c>
      <c r="G2946" s="22">
        <f>IFERROR(__xludf.DUMMYFUNCTION("""COMPUTED_VALUE"""),0.0)</f>
        <v>0</v>
      </c>
      <c r="H2946" s="22">
        <f>IFERROR(__xludf.DUMMYFUNCTION("""COMPUTED_VALUE"""),500000.0)</f>
        <v>500000</v>
      </c>
      <c r="I2946" s="24">
        <f>IFERROR(__xludf.DUMMYFUNCTION("""COMPUTED_VALUE"""),0.0)</f>
        <v>0</v>
      </c>
    </row>
    <row r="2947">
      <c r="A2947" s="5" t="str">
        <f>IFERROR(__xludf.DUMMYFUNCTION("""COMPUTED_VALUE"""),"39670")</f>
        <v>39670</v>
      </c>
      <c r="B2947" s="64">
        <f>IFERROR(__xludf.DUMMYFUNCTION("""COMPUTED_VALUE"""),44658.0)</f>
        <v>44658</v>
      </c>
      <c r="C2947" s="5"/>
      <c r="D2947" s="5"/>
      <c r="E2947" s="5"/>
      <c r="F2947" s="22">
        <f>IFERROR(__xludf.DUMMYFUNCTION("""COMPUTED_VALUE"""),500000.0)</f>
        <v>500000</v>
      </c>
      <c r="G2947" s="22">
        <f>IFERROR(__xludf.DUMMYFUNCTION("""COMPUTED_VALUE"""),0.0)</f>
        <v>0</v>
      </c>
      <c r="H2947" s="22">
        <f>IFERROR(__xludf.DUMMYFUNCTION("""COMPUTED_VALUE"""),500000.0)</f>
        <v>500000</v>
      </c>
      <c r="I2947" s="24">
        <f>IFERROR(__xludf.DUMMYFUNCTION("""COMPUTED_VALUE"""),0.0)</f>
        <v>0</v>
      </c>
    </row>
    <row r="2948">
      <c r="A2948" s="5" t="str">
        <f>IFERROR(__xludf.DUMMYFUNCTION("""COMPUTED_VALUE"""),"39670")</f>
        <v>39670</v>
      </c>
      <c r="B2948" s="64">
        <f>IFERROR(__xludf.DUMMYFUNCTION("""COMPUTED_VALUE"""),44659.0)</f>
        <v>44659</v>
      </c>
      <c r="C2948" s="5"/>
      <c r="D2948" s="5"/>
      <c r="E2948" s="5"/>
      <c r="F2948" s="22">
        <f>IFERROR(__xludf.DUMMYFUNCTION("""COMPUTED_VALUE"""),500000.0)</f>
        <v>500000</v>
      </c>
      <c r="G2948" s="22">
        <f>IFERROR(__xludf.DUMMYFUNCTION("""COMPUTED_VALUE"""),0.0)</f>
        <v>0</v>
      </c>
      <c r="H2948" s="22">
        <f>IFERROR(__xludf.DUMMYFUNCTION("""COMPUTED_VALUE"""),500000.0)</f>
        <v>500000</v>
      </c>
      <c r="I2948" s="24">
        <f>IFERROR(__xludf.DUMMYFUNCTION("""COMPUTED_VALUE"""),0.0)</f>
        <v>0</v>
      </c>
    </row>
    <row r="2949">
      <c r="A2949" s="5" t="str">
        <f>IFERROR(__xludf.DUMMYFUNCTION("""COMPUTED_VALUE"""),"39670")</f>
        <v>39670</v>
      </c>
      <c r="B2949" s="64">
        <f>IFERROR(__xludf.DUMMYFUNCTION("""COMPUTED_VALUE"""),44660.0)</f>
        <v>44660</v>
      </c>
      <c r="C2949" s="5"/>
      <c r="D2949" s="5"/>
      <c r="E2949" s="5"/>
      <c r="F2949" s="22">
        <f>IFERROR(__xludf.DUMMYFUNCTION("""COMPUTED_VALUE"""),98045.60675749998)</f>
        <v>98045.60676</v>
      </c>
      <c r="G2949" s="22">
        <f>IFERROR(__xludf.DUMMYFUNCTION("""COMPUTED_VALUE"""),0.0)</f>
        <v>0</v>
      </c>
      <c r="H2949" s="22">
        <f>IFERROR(__xludf.DUMMYFUNCTION("""COMPUTED_VALUE"""),500000.0)</f>
        <v>500000</v>
      </c>
      <c r="I2949" s="24">
        <f>IFERROR(__xludf.DUMMYFUNCTION("""COMPUTED_VALUE"""),0.0)</f>
        <v>0</v>
      </c>
    </row>
    <row r="2950">
      <c r="A2950" s="5" t="str">
        <f>IFERROR(__xludf.DUMMYFUNCTION("""COMPUTED_VALUE"""),"39670")</f>
        <v>39670</v>
      </c>
      <c r="B2950" s="64">
        <f>IFERROR(__xludf.DUMMYFUNCTION("""COMPUTED_VALUE"""),44661.0)</f>
        <v>44661</v>
      </c>
      <c r="C2950" s="5"/>
      <c r="D2950" s="5"/>
      <c r="E2950" s="5"/>
      <c r="F2950" s="22">
        <f>IFERROR(__xludf.DUMMYFUNCTION("""COMPUTED_VALUE"""),98045.60675749998)</f>
        <v>98045.60676</v>
      </c>
      <c r="G2950" s="22">
        <f>IFERROR(__xludf.DUMMYFUNCTION("""COMPUTED_VALUE"""),0.0)</f>
        <v>0</v>
      </c>
      <c r="H2950" s="22">
        <f>IFERROR(__xludf.DUMMYFUNCTION("""COMPUTED_VALUE"""),500000.0)</f>
        <v>500000</v>
      </c>
      <c r="I2950" s="24">
        <f>IFERROR(__xludf.DUMMYFUNCTION("""COMPUTED_VALUE"""),0.0)</f>
        <v>0</v>
      </c>
    </row>
    <row r="2951">
      <c r="A2951" s="5" t="str">
        <f>IFERROR(__xludf.DUMMYFUNCTION("""COMPUTED_VALUE"""),"39670")</f>
        <v>39670</v>
      </c>
      <c r="B2951" s="64">
        <f>IFERROR(__xludf.DUMMYFUNCTION("""COMPUTED_VALUE"""),44662.0)</f>
        <v>44662</v>
      </c>
      <c r="C2951" s="5"/>
      <c r="D2951" s="5"/>
      <c r="E2951" s="5"/>
      <c r="F2951" s="22">
        <f>IFERROR(__xludf.DUMMYFUNCTION("""COMPUTED_VALUE"""),98045.60675749998)</f>
        <v>98045.60676</v>
      </c>
      <c r="G2951" s="22">
        <f>IFERROR(__xludf.DUMMYFUNCTION("""COMPUTED_VALUE"""),0.0)</f>
        <v>0</v>
      </c>
      <c r="H2951" s="22">
        <f>IFERROR(__xludf.DUMMYFUNCTION("""COMPUTED_VALUE"""),480574.30133)</f>
        <v>480574.3013</v>
      </c>
      <c r="I2951" s="24">
        <f>IFERROR(__xludf.DUMMYFUNCTION("""COMPUTED_VALUE"""),-0.03885139733999998)</f>
        <v>-0.03885139734</v>
      </c>
    </row>
    <row r="2952">
      <c r="A2952" s="5" t="str">
        <f>IFERROR(__xludf.DUMMYFUNCTION("""COMPUTED_VALUE"""),"39670")</f>
        <v>39670</v>
      </c>
      <c r="B2952" s="64">
        <f>IFERROR(__xludf.DUMMYFUNCTION("""COMPUTED_VALUE"""),44663.0)</f>
        <v>44663</v>
      </c>
      <c r="C2952" s="5"/>
      <c r="D2952" s="5"/>
      <c r="E2952" s="5"/>
      <c r="F2952" s="22">
        <f>IFERROR(__xludf.DUMMYFUNCTION("""COMPUTED_VALUE"""),98045.60675749998)</f>
        <v>98045.60676</v>
      </c>
      <c r="G2952" s="22">
        <f>IFERROR(__xludf.DUMMYFUNCTION("""COMPUTED_VALUE"""),0.0)</f>
        <v>0</v>
      </c>
      <c r="H2952" s="22">
        <f>IFERROR(__xludf.DUMMYFUNCTION("""COMPUTED_VALUE"""),484893.736345)</f>
        <v>484893.7363</v>
      </c>
      <c r="I2952" s="24">
        <f>IFERROR(__xludf.DUMMYFUNCTION("""COMPUTED_VALUE"""),-0.030212527310000015)</f>
        <v>-0.03021252731</v>
      </c>
    </row>
    <row r="2953">
      <c r="A2953" s="5" t="str">
        <f>IFERROR(__xludf.DUMMYFUNCTION("""COMPUTED_VALUE"""),"39704")</f>
        <v>39704</v>
      </c>
      <c r="B2953" s="64">
        <f>IFERROR(__xludf.DUMMYFUNCTION("""COMPUTED_VALUE"""),44597.0)</f>
        <v>44597</v>
      </c>
      <c r="C2953" s="5"/>
      <c r="D2953" s="5"/>
      <c r="E2953" s="5"/>
      <c r="F2953" s="22">
        <f>IFERROR(__xludf.DUMMYFUNCTION("""COMPUTED_VALUE"""),500000.0)</f>
        <v>500000</v>
      </c>
      <c r="G2953" s="22">
        <f>IFERROR(__xludf.DUMMYFUNCTION("""COMPUTED_VALUE"""),0.0)</f>
        <v>0</v>
      </c>
      <c r="H2953" s="22">
        <f>IFERROR(__xludf.DUMMYFUNCTION("""COMPUTED_VALUE"""),500000.0)</f>
        <v>500000</v>
      </c>
      <c r="I2953" s="24">
        <f>IFERROR(__xludf.DUMMYFUNCTION("""COMPUTED_VALUE"""),0.0)</f>
        <v>0</v>
      </c>
    </row>
    <row r="2954">
      <c r="A2954" s="5" t="str">
        <f>IFERROR(__xludf.DUMMYFUNCTION("""COMPUTED_VALUE"""),"39704")</f>
        <v>39704</v>
      </c>
      <c r="B2954" s="64">
        <f>IFERROR(__xludf.DUMMYFUNCTION("""COMPUTED_VALUE"""),44598.0)</f>
        <v>44598</v>
      </c>
      <c r="C2954" s="5"/>
      <c r="D2954" s="5"/>
      <c r="E2954" s="5"/>
      <c r="F2954" s="22">
        <f>IFERROR(__xludf.DUMMYFUNCTION("""COMPUTED_VALUE"""),500000.0)</f>
        <v>500000</v>
      </c>
      <c r="G2954" s="22">
        <f>IFERROR(__xludf.DUMMYFUNCTION("""COMPUTED_VALUE"""),0.0)</f>
        <v>0</v>
      </c>
      <c r="H2954" s="22">
        <f>IFERROR(__xludf.DUMMYFUNCTION("""COMPUTED_VALUE"""),500000.0)</f>
        <v>500000</v>
      </c>
      <c r="I2954" s="24">
        <f>IFERROR(__xludf.DUMMYFUNCTION("""COMPUTED_VALUE"""),0.0)</f>
        <v>0</v>
      </c>
    </row>
    <row r="2955">
      <c r="A2955" s="5" t="str">
        <f>IFERROR(__xludf.DUMMYFUNCTION("""COMPUTED_VALUE"""),"39704")</f>
        <v>39704</v>
      </c>
      <c r="B2955" s="64">
        <f>IFERROR(__xludf.DUMMYFUNCTION("""COMPUTED_VALUE"""),44599.0)</f>
        <v>44599</v>
      </c>
      <c r="C2955" s="5"/>
      <c r="D2955" s="5"/>
      <c r="E2955" s="5"/>
      <c r="F2955" s="22">
        <f>IFERROR(__xludf.DUMMYFUNCTION("""COMPUTED_VALUE"""),500000.0)</f>
        <v>500000</v>
      </c>
      <c r="G2955" s="22">
        <f>IFERROR(__xludf.DUMMYFUNCTION("""COMPUTED_VALUE"""),0.0)</f>
        <v>0</v>
      </c>
      <c r="H2955" s="22">
        <f>IFERROR(__xludf.DUMMYFUNCTION("""COMPUTED_VALUE"""),500000.0)</f>
        <v>500000</v>
      </c>
      <c r="I2955" s="24">
        <f>IFERROR(__xludf.DUMMYFUNCTION("""COMPUTED_VALUE"""),0.0)</f>
        <v>0</v>
      </c>
    </row>
    <row r="2956">
      <c r="A2956" s="5" t="str">
        <f>IFERROR(__xludf.DUMMYFUNCTION("""COMPUTED_VALUE"""),"39704")</f>
        <v>39704</v>
      </c>
      <c r="B2956" s="64">
        <f>IFERROR(__xludf.DUMMYFUNCTION("""COMPUTED_VALUE"""),44600.0)</f>
        <v>44600</v>
      </c>
      <c r="C2956" s="5"/>
      <c r="D2956" s="5"/>
      <c r="E2956" s="5"/>
      <c r="F2956" s="22">
        <f>IFERROR(__xludf.DUMMYFUNCTION("""COMPUTED_VALUE"""),500000.0)</f>
        <v>500000</v>
      </c>
      <c r="G2956" s="22">
        <f>IFERROR(__xludf.DUMMYFUNCTION("""COMPUTED_VALUE"""),0.0)</f>
        <v>0</v>
      </c>
      <c r="H2956" s="22">
        <f>IFERROR(__xludf.DUMMYFUNCTION("""COMPUTED_VALUE"""),500000.0)</f>
        <v>500000</v>
      </c>
      <c r="I2956" s="24">
        <f>IFERROR(__xludf.DUMMYFUNCTION("""COMPUTED_VALUE"""),0.0)</f>
        <v>0</v>
      </c>
    </row>
    <row r="2957">
      <c r="A2957" s="5" t="str">
        <f>IFERROR(__xludf.DUMMYFUNCTION("""COMPUTED_VALUE"""),"39704")</f>
        <v>39704</v>
      </c>
      <c r="B2957" s="64">
        <f>IFERROR(__xludf.DUMMYFUNCTION("""COMPUTED_VALUE"""),44601.0)</f>
        <v>44601</v>
      </c>
      <c r="C2957" s="5"/>
      <c r="D2957" s="5"/>
      <c r="E2957" s="5"/>
      <c r="F2957" s="22">
        <f>IFERROR(__xludf.DUMMYFUNCTION("""COMPUTED_VALUE"""),500000.0)</f>
        <v>500000</v>
      </c>
      <c r="G2957" s="22">
        <f>IFERROR(__xludf.DUMMYFUNCTION("""COMPUTED_VALUE"""),0.0)</f>
        <v>0</v>
      </c>
      <c r="H2957" s="22">
        <f>IFERROR(__xludf.DUMMYFUNCTION("""COMPUTED_VALUE"""),500000.0)</f>
        <v>500000</v>
      </c>
      <c r="I2957" s="24">
        <f>IFERROR(__xludf.DUMMYFUNCTION("""COMPUTED_VALUE"""),0.0)</f>
        <v>0</v>
      </c>
    </row>
    <row r="2958">
      <c r="A2958" s="5" t="str">
        <f>IFERROR(__xludf.DUMMYFUNCTION("""COMPUTED_VALUE"""),"39704")</f>
        <v>39704</v>
      </c>
      <c r="B2958" s="64">
        <f>IFERROR(__xludf.DUMMYFUNCTION("""COMPUTED_VALUE"""),44602.0)</f>
        <v>44602</v>
      </c>
      <c r="C2958" s="5"/>
      <c r="D2958" s="5"/>
      <c r="E2958" s="5"/>
      <c r="F2958" s="22">
        <f>IFERROR(__xludf.DUMMYFUNCTION("""COMPUTED_VALUE"""),500000.0)</f>
        <v>500000</v>
      </c>
      <c r="G2958" s="22">
        <f>IFERROR(__xludf.DUMMYFUNCTION("""COMPUTED_VALUE"""),0.0)</f>
        <v>0</v>
      </c>
      <c r="H2958" s="22">
        <f>IFERROR(__xludf.DUMMYFUNCTION("""COMPUTED_VALUE"""),500000.0)</f>
        <v>500000</v>
      </c>
      <c r="I2958" s="24">
        <f>IFERROR(__xludf.DUMMYFUNCTION("""COMPUTED_VALUE"""),0.0)</f>
        <v>0</v>
      </c>
    </row>
    <row r="2959">
      <c r="A2959" s="5" t="str">
        <f>IFERROR(__xludf.DUMMYFUNCTION("""COMPUTED_VALUE"""),"39704")</f>
        <v>39704</v>
      </c>
      <c r="B2959" s="64">
        <f>IFERROR(__xludf.DUMMYFUNCTION("""COMPUTED_VALUE"""),44603.0)</f>
        <v>44603</v>
      </c>
      <c r="C2959" s="5"/>
      <c r="D2959" s="5"/>
      <c r="E2959" s="5"/>
      <c r="F2959" s="22">
        <f>IFERROR(__xludf.DUMMYFUNCTION("""COMPUTED_VALUE"""),500000.0)</f>
        <v>500000</v>
      </c>
      <c r="G2959" s="22">
        <f>IFERROR(__xludf.DUMMYFUNCTION("""COMPUTED_VALUE"""),0.0)</f>
        <v>0</v>
      </c>
      <c r="H2959" s="22">
        <f>IFERROR(__xludf.DUMMYFUNCTION("""COMPUTED_VALUE"""),500000.0)</f>
        <v>500000</v>
      </c>
      <c r="I2959" s="24">
        <f>IFERROR(__xludf.DUMMYFUNCTION("""COMPUTED_VALUE"""),0.0)</f>
        <v>0</v>
      </c>
    </row>
    <row r="2960">
      <c r="A2960" s="5" t="str">
        <f>IFERROR(__xludf.DUMMYFUNCTION("""COMPUTED_VALUE"""),"39704")</f>
        <v>39704</v>
      </c>
      <c r="B2960" s="64">
        <f>IFERROR(__xludf.DUMMYFUNCTION("""COMPUTED_VALUE"""),44604.0)</f>
        <v>44604</v>
      </c>
      <c r="C2960" s="5"/>
      <c r="D2960" s="5"/>
      <c r="E2960" s="5"/>
      <c r="F2960" s="22">
        <f>IFERROR(__xludf.DUMMYFUNCTION("""COMPUTED_VALUE"""),500000.0)</f>
        <v>500000</v>
      </c>
      <c r="G2960" s="22">
        <f>IFERROR(__xludf.DUMMYFUNCTION("""COMPUTED_VALUE"""),0.0)</f>
        <v>0</v>
      </c>
      <c r="H2960" s="22">
        <f>IFERROR(__xludf.DUMMYFUNCTION("""COMPUTED_VALUE"""),500000.0)</f>
        <v>500000</v>
      </c>
      <c r="I2960" s="24">
        <f>IFERROR(__xludf.DUMMYFUNCTION("""COMPUTED_VALUE"""),0.0)</f>
        <v>0</v>
      </c>
    </row>
    <row r="2961">
      <c r="A2961" s="5" t="str">
        <f>IFERROR(__xludf.DUMMYFUNCTION("""COMPUTED_VALUE"""),"39704")</f>
        <v>39704</v>
      </c>
      <c r="B2961" s="64">
        <f>IFERROR(__xludf.DUMMYFUNCTION("""COMPUTED_VALUE"""),44605.0)</f>
        <v>44605</v>
      </c>
      <c r="C2961" s="5"/>
      <c r="D2961" s="5"/>
      <c r="E2961" s="5"/>
      <c r="F2961" s="22">
        <f>IFERROR(__xludf.DUMMYFUNCTION("""COMPUTED_VALUE"""),500000.0)</f>
        <v>500000</v>
      </c>
      <c r="G2961" s="22">
        <f>IFERROR(__xludf.DUMMYFUNCTION("""COMPUTED_VALUE"""),0.0)</f>
        <v>0</v>
      </c>
      <c r="H2961" s="22">
        <f>IFERROR(__xludf.DUMMYFUNCTION("""COMPUTED_VALUE"""),500000.0)</f>
        <v>500000</v>
      </c>
      <c r="I2961" s="24">
        <f>IFERROR(__xludf.DUMMYFUNCTION("""COMPUTED_VALUE"""),0.0)</f>
        <v>0</v>
      </c>
    </row>
    <row r="2962">
      <c r="A2962" s="5" t="str">
        <f>IFERROR(__xludf.DUMMYFUNCTION("""COMPUTED_VALUE"""),"39704")</f>
        <v>39704</v>
      </c>
      <c r="B2962" s="64">
        <f>IFERROR(__xludf.DUMMYFUNCTION("""COMPUTED_VALUE"""),44606.0)</f>
        <v>44606</v>
      </c>
      <c r="C2962" s="5"/>
      <c r="D2962" s="5"/>
      <c r="E2962" s="5"/>
      <c r="F2962" s="22">
        <f>IFERROR(__xludf.DUMMYFUNCTION("""COMPUTED_VALUE"""),500000.0)</f>
        <v>500000</v>
      </c>
      <c r="G2962" s="22">
        <f>IFERROR(__xludf.DUMMYFUNCTION("""COMPUTED_VALUE"""),0.0)</f>
        <v>0</v>
      </c>
      <c r="H2962" s="22">
        <f>IFERROR(__xludf.DUMMYFUNCTION("""COMPUTED_VALUE"""),500000.0)</f>
        <v>500000</v>
      </c>
      <c r="I2962" s="24">
        <f>IFERROR(__xludf.DUMMYFUNCTION("""COMPUTED_VALUE"""),0.0)</f>
        <v>0</v>
      </c>
    </row>
    <row r="2963">
      <c r="A2963" s="5" t="str">
        <f>IFERROR(__xludf.DUMMYFUNCTION("""COMPUTED_VALUE"""),"39704")</f>
        <v>39704</v>
      </c>
      <c r="B2963" s="64">
        <f>IFERROR(__xludf.DUMMYFUNCTION("""COMPUTED_VALUE"""),44607.0)</f>
        <v>44607</v>
      </c>
      <c r="C2963" s="5"/>
      <c r="D2963" s="5"/>
      <c r="E2963" s="5"/>
      <c r="F2963" s="22">
        <f>IFERROR(__xludf.DUMMYFUNCTION("""COMPUTED_VALUE"""),500000.0)</f>
        <v>500000</v>
      </c>
      <c r="G2963" s="22">
        <f>IFERROR(__xludf.DUMMYFUNCTION("""COMPUTED_VALUE"""),0.0)</f>
        <v>0</v>
      </c>
      <c r="H2963" s="22">
        <f>IFERROR(__xludf.DUMMYFUNCTION("""COMPUTED_VALUE"""),500000.0)</f>
        <v>500000</v>
      </c>
      <c r="I2963" s="24">
        <f>IFERROR(__xludf.DUMMYFUNCTION("""COMPUTED_VALUE"""),0.0)</f>
        <v>0</v>
      </c>
    </row>
    <row r="2964">
      <c r="A2964" s="5" t="str">
        <f>IFERROR(__xludf.DUMMYFUNCTION("""COMPUTED_VALUE"""),"39704")</f>
        <v>39704</v>
      </c>
      <c r="B2964" s="64">
        <f>IFERROR(__xludf.DUMMYFUNCTION("""COMPUTED_VALUE"""),44608.0)</f>
        <v>44608</v>
      </c>
      <c r="C2964" s="5"/>
      <c r="D2964" s="5"/>
      <c r="E2964" s="5"/>
      <c r="F2964" s="22">
        <f>IFERROR(__xludf.DUMMYFUNCTION("""COMPUTED_VALUE"""),500000.0)</f>
        <v>500000</v>
      </c>
      <c r="G2964" s="22">
        <f>IFERROR(__xludf.DUMMYFUNCTION("""COMPUTED_VALUE"""),0.0)</f>
        <v>0</v>
      </c>
      <c r="H2964" s="22">
        <f>IFERROR(__xludf.DUMMYFUNCTION("""COMPUTED_VALUE"""),500000.0)</f>
        <v>500000</v>
      </c>
      <c r="I2964" s="24">
        <f>IFERROR(__xludf.DUMMYFUNCTION("""COMPUTED_VALUE"""),0.0)</f>
        <v>0</v>
      </c>
    </row>
    <row r="2965">
      <c r="A2965" s="5" t="str">
        <f>IFERROR(__xludf.DUMMYFUNCTION("""COMPUTED_VALUE"""),"39704")</f>
        <v>39704</v>
      </c>
      <c r="B2965" s="64">
        <f>IFERROR(__xludf.DUMMYFUNCTION("""COMPUTED_VALUE"""),44609.0)</f>
        <v>44609</v>
      </c>
      <c r="C2965" s="5"/>
      <c r="D2965" s="5"/>
      <c r="E2965" s="5"/>
      <c r="F2965" s="22">
        <f>IFERROR(__xludf.DUMMYFUNCTION("""COMPUTED_VALUE"""),500000.0)</f>
        <v>500000</v>
      </c>
      <c r="G2965" s="22">
        <f>IFERROR(__xludf.DUMMYFUNCTION("""COMPUTED_VALUE"""),0.0)</f>
        <v>0</v>
      </c>
      <c r="H2965" s="22">
        <f>IFERROR(__xludf.DUMMYFUNCTION("""COMPUTED_VALUE"""),500000.0)</f>
        <v>500000</v>
      </c>
      <c r="I2965" s="24">
        <f>IFERROR(__xludf.DUMMYFUNCTION("""COMPUTED_VALUE"""),0.0)</f>
        <v>0</v>
      </c>
    </row>
    <row r="2966">
      <c r="A2966" s="5" t="str">
        <f>IFERROR(__xludf.DUMMYFUNCTION("""COMPUTED_VALUE"""),"39704")</f>
        <v>39704</v>
      </c>
      <c r="B2966" s="64">
        <f>IFERROR(__xludf.DUMMYFUNCTION("""COMPUTED_VALUE"""),44610.0)</f>
        <v>44610</v>
      </c>
      <c r="C2966" s="5"/>
      <c r="D2966" s="5"/>
      <c r="E2966" s="5"/>
      <c r="F2966" s="22">
        <f>IFERROR(__xludf.DUMMYFUNCTION("""COMPUTED_VALUE"""),500000.0)</f>
        <v>500000</v>
      </c>
      <c r="G2966" s="22">
        <f>IFERROR(__xludf.DUMMYFUNCTION("""COMPUTED_VALUE"""),0.0)</f>
        <v>0</v>
      </c>
      <c r="H2966" s="22">
        <f>IFERROR(__xludf.DUMMYFUNCTION("""COMPUTED_VALUE"""),500000.0)</f>
        <v>500000</v>
      </c>
      <c r="I2966" s="24">
        <f>IFERROR(__xludf.DUMMYFUNCTION("""COMPUTED_VALUE"""),0.0)</f>
        <v>0</v>
      </c>
    </row>
    <row r="2967">
      <c r="A2967" s="5" t="str">
        <f>IFERROR(__xludf.DUMMYFUNCTION("""COMPUTED_VALUE"""),"39704")</f>
        <v>39704</v>
      </c>
      <c r="B2967" s="64">
        <f>IFERROR(__xludf.DUMMYFUNCTION("""COMPUTED_VALUE"""),44611.0)</f>
        <v>44611</v>
      </c>
      <c r="C2967" s="5"/>
      <c r="D2967" s="5"/>
      <c r="E2967" s="5"/>
      <c r="F2967" s="22">
        <f>IFERROR(__xludf.DUMMYFUNCTION("""COMPUTED_VALUE"""),500000.0)</f>
        <v>500000</v>
      </c>
      <c r="G2967" s="22">
        <f>IFERROR(__xludf.DUMMYFUNCTION("""COMPUTED_VALUE"""),0.0)</f>
        <v>0</v>
      </c>
      <c r="H2967" s="22">
        <f>IFERROR(__xludf.DUMMYFUNCTION("""COMPUTED_VALUE"""),500000.0)</f>
        <v>500000</v>
      </c>
      <c r="I2967" s="24">
        <f>IFERROR(__xludf.DUMMYFUNCTION("""COMPUTED_VALUE"""),0.0)</f>
        <v>0</v>
      </c>
    </row>
    <row r="2968">
      <c r="A2968" s="5" t="str">
        <f>IFERROR(__xludf.DUMMYFUNCTION("""COMPUTED_VALUE"""),"39704")</f>
        <v>39704</v>
      </c>
      <c r="B2968" s="64">
        <f>IFERROR(__xludf.DUMMYFUNCTION("""COMPUTED_VALUE"""),44612.0)</f>
        <v>44612</v>
      </c>
      <c r="C2968" s="5"/>
      <c r="D2968" s="5"/>
      <c r="E2968" s="5"/>
      <c r="F2968" s="22">
        <f>IFERROR(__xludf.DUMMYFUNCTION("""COMPUTED_VALUE"""),500000.0)</f>
        <v>500000</v>
      </c>
      <c r="G2968" s="22">
        <f>IFERROR(__xludf.DUMMYFUNCTION("""COMPUTED_VALUE"""),0.0)</f>
        <v>0</v>
      </c>
      <c r="H2968" s="22">
        <f>IFERROR(__xludf.DUMMYFUNCTION("""COMPUTED_VALUE"""),500000.0)</f>
        <v>500000</v>
      </c>
      <c r="I2968" s="24">
        <f>IFERROR(__xludf.DUMMYFUNCTION("""COMPUTED_VALUE"""),0.0)</f>
        <v>0</v>
      </c>
    </row>
    <row r="2969">
      <c r="A2969" s="5" t="str">
        <f>IFERROR(__xludf.DUMMYFUNCTION("""COMPUTED_VALUE"""),"39704")</f>
        <v>39704</v>
      </c>
      <c r="B2969" s="64">
        <f>IFERROR(__xludf.DUMMYFUNCTION("""COMPUTED_VALUE"""),44613.0)</f>
        <v>44613</v>
      </c>
      <c r="C2969" s="5"/>
      <c r="D2969" s="5"/>
      <c r="E2969" s="5"/>
      <c r="F2969" s="22">
        <f>IFERROR(__xludf.DUMMYFUNCTION("""COMPUTED_VALUE"""),500000.0)</f>
        <v>500000</v>
      </c>
      <c r="G2969" s="22">
        <f>IFERROR(__xludf.DUMMYFUNCTION("""COMPUTED_VALUE"""),0.0)</f>
        <v>0</v>
      </c>
      <c r="H2969" s="22">
        <f>IFERROR(__xludf.DUMMYFUNCTION("""COMPUTED_VALUE"""),500000.0)</f>
        <v>500000</v>
      </c>
      <c r="I2969" s="24">
        <f>IFERROR(__xludf.DUMMYFUNCTION("""COMPUTED_VALUE"""),0.0)</f>
        <v>0</v>
      </c>
    </row>
    <row r="2970">
      <c r="A2970" s="5" t="str">
        <f>IFERROR(__xludf.DUMMYFUNCTION("""COMPUTED_VALUE"""),"39704")</f>
        <v>39704</v>
      </c>
      <c r="B2970" s="64">
        <f>IFERROR(__xludf.DUMMYFUNCTION("""COMPUTED_VALUE"""),44614.0)</f>
        <v>44614</v>
      </c>
      <c r="C2970" s="5"/>
      <c r="D2970" s="5"/>
      <c r="E2970" s="5"/>
      <c r="F2970" s="22">
        <f>IFERROR(__xludf.DUMMYFUNCTION("""COMPUTED_VALUE"""),500000.0)</f>
        <v>500000</v>
      </c>
      <c r="G2970" s="22">
        <f>IFERROR(__xludf.DUMMYFUNCTION("""COMPUTED_VALUE"""),0.0)</f>
        <v>0</v>
      </c>
      <c r="H2970" s="22">
        <f>IFERROR(__xludf.DUMMYFUNCTION("""COMPUTED_VALUE"""),500000.0)</f>
        <v>500000</v>
      </c>
      <c r="I2970" s="24">
        <f>IFERROR(__xludf.DUMMYFUNCTION("""COMPUTED_VALUE"""),0.0)</f>
        <v>0</v>
      </c>
    </row>
    <row r="2971">
      <c r="A2971" s="5" t="str">
        <f>IFERROR(__xludf.DUMMYFUNCTION("""COMPUTED_VALUE"""),"39704")</f>
        <v>39704</v>
      </c>
      <c r="B2971" s="64">
        <f>IFERROR(__xludf.DUMMYFUNCTION("""COMPUTED_VALUE"""),44615.0)</f>
        <v>44615</v>
      </c>
      <c r="C2971" s="5"/>
      <c r="D2971" s="5"/>
      <c r="E2971" s="5"/>
      <c r="F2971" s="22">
        <f>IFERROR(__xludf.DUMMYFUNCTION("""COMPUTED_VALUE"""),500000.0)</f>
        <v>500000</v>
      </c>
      <c r="G2971" s="22">
        <f>IFERROR(__xludf.DUMMYFUNCTION("""COMPUTED_VALUE"""),0.0)</f>
        <v>0</v>
      </c>
      <c r="H2971" s="22">
        <f>IFERROR(__xludf.DUMMYFUNCTION("""COMPUTED_VALUE"""),500000.0)</f>
        <v>500000</v>
      </c>
      <c r="I2971" s="24">
        <f>IFERROR(__xludf.DUMMYFUNCTION("""COMPUTED_VALUE"""),0.0)</f>
        <v>0</v>
      </c>
    </row>
    <row r="2972">
      <c r="A2972" s="5" t="str">
        <f>IFERROR(__xludf.DUMMYFUNCTION("""COMPUTED_VALUE"""),"39704")</f>
        <v>39704</v>
      </c>
      <c r="B2972" s="64">
        <f>IFERROR(__xludf.DUMMYFUNCTION("""COMPUTED_VALUE"""),44616.0)</f>
        <v>44616</v>
      </c>
      <c r="C2972" s="5"/>
      <c r="D2972" s="5"/>
      <c r="E2972" s="5"/>
      <c r="F2972" s="22">
        <f>IFERROR(__xludf.DUMMYFUNCTION("""COMPUTED_VALUE"""),500000.0)</f>
        <v>500000</v>
      </c>
      <c r="G2972" s="22">
        <f>IFERROR(__xludf.DUMMYFUNCTION("""COMPUTED_VALUE"""),0.0)</f>
        <v>0</v>
      </c>
      <c r="H2972" s="22">
        <f>IFERROR(__xludf.DUMMYFUNCTION("""COMPUTED_VALUE"""),500000.0)</f>
        <v>500000</v>
      </c>
      <c r="I2972" s="24">
        <f>IFERROR(__xludf.DUMMYFUNCTION("""COMPUTED_VALUE"""),0.0)</f>
        <v>0</v>
      </c>
    </row>
    <row r="2973">
      <c r="A2973" s="5" t="str">
        <f>IFERROR(__xludf.DUMMYFUNCTION("""COMPUTED_VALUE"""),"39704")</f>
        <v>39704</v>
      </c>
      <c r="B2973" s="64">
        <f>IFERROR(__xludf.DUMMYFUNCTION("""COMPUTED_VALUE"""),44617.0)</f>
        <v>44617</v>
      </c>
      <c r="C2973" s="5"/>
      <c r="D2973" s="5"/>
      <c r="E2973" s="5"/>
      <c r="F2973" s="22">
        <f>IFERROR(__xludf.DUMMYFUNCTION("""COMPUTED_VALUE"""),500000.0)</f>
        <v>500000</v>
      </c>
      <c r="G2973" s="22">
        <f>IFERROR(__xludf.DUMMYFUNCTION("""COMPUTED_VALUE"""),0.0)</f>
        <v>0</v>
      </c>
      <c r="H2973" s="22">
        <f>IFERROR(__xludf.DUMMYFUNCTION("""COMPUTED_VALUE"""),500000.0)</f>
        <v>500000</v>
      </c>
      <c r="I2973" s="24">
        <f>IFERROR(__xludf.DUMMYFUNCTION("""COMPUTED_VALUE"""),0.0)</f>
        <v>0</v>
      </c>
    </row>
    <row r="2974">
      <c r="A2974" s="5" t="str">
        <f>IFERROR(__xludf.DUMMYFUNCTION("""COMPUTED_VALUE"""),"39704")</f>
        <v>39704</v>
      </c>
      <c r="B2974" s="64">
        <f>IFERROR(__xludf.DUMMYFUNCTION("""COMPUTED_VALUE"""),44618.0)</f>
        <v>44618</v>
      </c>
      <c r="C2974" s="5"/>
      <c r="D2974" s="5"/>
      <c r="E2974" s="5"/>
      <c r="F2974" s="22">
        <f>IFERROR(__xludf.DUMMYFUNCTION("""COMPUTED_VALUE"""),500000.0)</f>
        <v>500000</v>
      </c>
      <c r="G2974" s="22">
        <f>IFERROR(__xludf.DUMMYFUNCTION("""COMPUTED_VALUE"""),0.0)</f>
        <v>0</v>
      </c>
      <c r="H2974" s="22">
        <f>IFERROR(__xludf.DUMMYFUNCTION("""COMPUTED_VALUE"""),500000.0)</f>
        <v>500000</v>
      </c>
      <c r="I2974" s="24">
        <f>IFERROR(__xludf.DUMMYFUNCTION("""COMPUTED_VALUE"""),0.0)</f>
        <v>0</v>
      </c>
    </row>
    <row r="2975">
      <c r="A2975" s="5" t="str">
        <f>IFERROR(__xludf.DUMMYFUNCTION("""COMPUTED_VALUE"""),"39704")</f>
        <v>39704</v>
      </c>
      <c r="B2975" s="64">
        <f>IFERROR(__xludf.DUMMYFUNCTION("""COMPUTED_VALUE"""),44619.0)</f>
        <v>44619</v>
      </c>
      <c r="C2975" s="5"/>
      <c r="D2975" s="5"/>
      <c r="E2975" s="5"/>
      <c r="F2975" s="22">
        <f>IFERROR(__xludf.DUMMYFUNCTION("""COMPUTED_VALUE"""),500000.0)</f>
        <v>500000</v>
      </c>
      <c r="G2975" s="22">
        <f>IFERROR(__xludf.DUMMYFUNCTION("""COMPUTED_VALUE"""),0.0)</f>
        <v>0</v>
      </c>
      <c r="H2975" s="22">
        <f>IFERROR(__xludf.DUMMYFUNCTION("""COMPUTED_VALUE"""),500000.0)</f>
        <v>500000</v>
      </c>
      <c r="I2975" s="24">
        <f>IFERROR(__xludf.DUMMYFUNCTION("""COMPUTED_VALUE"""),0.0)</f>
        <v>0</v>
      </c>
    </row>
    <row r="2976">
      <c r="A2976" s="5" t="str">
        <f>IFERROR(__xludf.DUMMYFUNCTION("""COMPUTED_VALUE"""),"39704")</f>
        <v>39704</v>
      </c>
      <c r="B2976" s="64">
        <f>IFERROR(__xludf.DUMMYFUNCTION("""COMPUTED_VALUE"""),44620.0)</f>
        <v>44620</v>
      </c>
      <c r="C2976" s="5"/>
      <c r="D2976" s="5"/>
      <c r="E2976" s="5"/>
      <c r="F2976" s="22">
        <f>IFERROR(__xludf.DUMMYFUNCTION("""COMPUTED_VALUE"""),500000.0)</f>
        <v>500000</v>
      </c>
      <c r="G2976" s="22">
        <f>IFERROR(__xludf.DUMMYFUNCTION("""COMPUTED_VALUE"""),0.0)</f>
        <v>0</v>
      </c>
      <c r="H2976" s="22">
        <f>IFERROR(__xludf.DUMMYFUNCTION("""COMPUTED_VALUE"""),500000.0)</f>
        <v>500000</v>
      </c>
      <c r="I2976" s="24">
        <f>IFERROR(__xludf.DUMMYFUNCTION("""COMPUTED_VALUE"""),0.0)</f>
        <v>0</v>
      </c>
    </row>
    <row r="2977">
      <c r="A2977" s="5" t="str">
        <f>IFERROR(__xludf.DUMMYFUNCTION("""COMPUTED_VALUE"""),"39704")</f>
        <v>39704</v>
      </c>
      <c r="B2977" s="64">
        <f>IFERROR(__xludf.DUMMYFUNCTION("""COMPUTED_VALUE"""),44621.0)</f>
        <v>44621</v>
      </c>
      <c r="C2977" s="5"/>
      <c r="D2977" s="5"/>
      <c r="E2977" s="5"/>
      <c r="F2977" s="22">
        <f>IFERROR(__xludf.DUMMYFUNCTION("""COMPUTED_VALUE"""),500000.0)</f>
        <v>500000</v>
      </c>
      <c r="G2977" s="22">
        <f>IFERROR(__xludf.DUMMYFUNCTION("""COMPUTED_VALUE"""),0.0)</f>
        <v>0</v>
      </c>
      <c r="H2977" s="22">
        <f>IFERROR(__xludf.DUMMYFUNCTION("""COMPUTED_VALUE"""),500000.0)</f>
        <v>500000</v>
      </c>
      <c r="I2977" s="24">
        <f>IFERROR(__xludf.DUMMYFUNCTION("""COMPUTED_VALUE"""),0.0)</f>
        <v>0</v>
      </c>
    </row>
    <row r="2978">
      <c r="A2978" s="5" t="str">
        <f>IFERROR(__xludf.DUMMYFUNCTION("""COMPUTED_VALUE"""),"39704")</f>
        <v>39704</v>
      </c>
      <c r="B2978" s="64">
        <f>IFERROR(__xludf.DUMMYFUNCTION("""COMPUTED_VALUE"""),44622.0)</f>
        <v>44622</v>
      </c>
      <c r="C2978" s="5"/>
      <c r="D2978" s="5"/>
      <c r="E2978" s="5"/>
      <c r="F2978" s="22">
        <f>IFERROR(__xludf.DUMMYFUNCTION("""COMPUTED_VALUE"""),500000.0)</f>
        <v>500000</v>
      </c>
      <c r="G2978" s="22">
        <f>IFERROR(__xludf.DUMMYFUNCTION("""COMPUTED_VALUE"""),0.0)</f>
        <v>0</v>
      </c>
      <c r="H2978" s="22">
        <f>IFERROR(__xludf.DUMMYFUNCTION("""COMPUTED_VALUE"""),500000.0)</f>
        <v>500000</v>
      </c>
      <c r="I2978" s="24">
        <f>IFERROR(__xludf.DUMMYFUNCTION("""COMPUTED_VALUE"""),0.0)</f>
        <v>0</v>
      </c>
    </row>
    <row r="2979">
      <c r="A2979" s="5" t="str">
        <f>IFERROR(__xludf.DUMMYFUNCTION("""COMPUTED_VALUE"""),"39704")</f>
        <v>39704</v>
      </c>
      <c r="B2979" s="64">
        <f>IFERROR(__xludf.DUMMYFUNCTION("""COMPUTED_VALUE"""),44623.0)</f>
        <v>44623</v>
      </c>
      <c r="C2979" s="5"/>
      <c r="D2979" s="5"/>
      <c r="E2979" s="5"/>
      <c r="F2979" s="22">
        <f>IFERROR(__xludf.DUMMYFUNCTION("""COMPUTED_VALUE"""),500000.0)</f>
        <v>500000</v>
      </c>
      <c r="G2979" s="22">
        <f>IFERROR(__xludf.DUMMYFUNCTION("""COMPUTED_VALUE"""),0.0)</f>
        <v>0</v>
      </c>
      <c r="H2979" s="22">
        <f>IFERROR(__xludf.DUMMYFUNCTION("""COMPUTED_VALUE"""),500000.0)</f>
        <v>500000</v>
      </c>
      <c r="I2979" s="24">
        <f>IFERROR(__xludf.DUMMYFUNCTION("""COMPUTED_VALUE"""),0.0)</f>
        <v>0</v>
      </c>
    </row>
    <row r="2980">
      <c r="A2980" s="5" t="str">
        <f>IFERROR(__xludf.DUMMYFUNCTION("""COMPUTED_VALUE"""),"39704")</f>
        <v>39704</v>
      </c>
      <c r="B2980" s="64">
        <f>IFERROR(__xludf.DUMMYFUNCTION("""COMPUTED_VALUE"""),44624.0)</f>
        <v>44624</v>
      </c>
      <c r="C2980" s="5"/>
      <c r="D2980" s="5"/>
      <c r="E2980" s="5"/>
      <c r="F2980" s="22">
        <f>IFERROR(__xludf.DUMMYFUNCTION("""COMPUTED_VALUE"""),500000.0)</f>
        <v>500000</v>
      </c>
      <c r="G2980" s="22">
        <f>IFERROR(__xludf.DUMMYFUNCTION("""COMPUTED_VALUE"""),0.0)</f>
        <v>0</v>
      </c>
      <c r="H2980" s="22">
        <f>IFERROR(__xludf.DUMMYFUNCTION("""COMPUTED_VALUE"""),500000.0)</f>
        <v>500000</v>
      </c>
      <c r="I2980" s="24">
        <f>IFERROR(__xludf.DUMMYFUNCTION("""COMPUTED_VALUE"""),0.0)</f>
        <v>0</v>
      </c>
    </row>
    <row r="2981">
      <c r="A2981" s="5" t="str">
        <f>IFERROR(__xludf.DUMMYFUNCTION("""COMPUTED_VALUE"""),"39704")</f>
        <v>39704</v>
      </c>
      <c r="B2981" s="64">
        <f>IFERROR(__xludf.DUMMYFUNCTION("""COMPUTED_VALUE"""),44625.0)</f>
        <v>44625</v>
      </c>
      <c r="C2981" s="5"/>
      <c r="D2981" s="5"/>
      <c r="E2981" s="5"/>
      <c r="F2981" s="22">
        <f>IFERROR(__xludf.DUMMYFUNCTION("""COMPUTED_VALUE"""),500000.0)</f>
        <v>500000</v>
      </c>
      <c r="G2981" s="22">
        <f>IFERROR(__xludf.DUMMYFUNCTION("""COMPUTED_VALUE"""),0.0)</f>
        <v>0</v>
      </c>
      <c r="H2981" s="22">
        <f>IFERROR(__xludf.DUMMYFUNCTION("""COMPUTED_VALUE"""),500000.0)</f>
        <v>500000</v>
      </c>
      <c r="I2981" s="24">
        <f>IFERROR(__xludf.DUMMYFUNCTION("""COMPUTED_VALUE"""),0.0)</f>
        <v>0</v>
      </c>
    </row>
    <row r="2982">
      <c r="A2982" s="5" t="str">
        <f>IFERROR(__xludf.DUMMYFUNCTION("""COMPUTED_VALUE"""),"39704")</f>
        <v>39704</v>
      </c>
      <c r="B2982" s="64">
        <f>IFERROR(__xludf.DUMMYFUNCTION("""COMPUTED_VALUE"""),44626.0)</f>
        <v>44626</v>
      </c>
      <c r="C2982" s="5"/>
      <c r="D2982" s="5"/>
      <c r="E2982" s="5"/>
      <c r="F2982" s="22">
        <f>IFERROR(__xludf.DUMMYFUNCTION("""COMPUTED_VALUE"""),500000.0)</f>
        <v>500000</v>
      </c>
      <c r="G2982" s="22">
        <f>IFERROR(__xludf.DUMMYFUNCTION("""COMPUTED_VALUE"""),0.0)</f>
        <v>0</v>
      </c>
      <c r="H2982" s="22">
        <f>IFERROR(__xludf.DUMMYFUNCTION("""COMPUTED_VALUE"""),500000.0)</f>
        <v>500000</v>
      </c>
      <c r="I2982" s="24">
        <f>IFERROR(__xludf.DUMMYFUNCTION("""COMPUTED_VALUE"""),0.0)</f>
        <v>0</v>
      </c>
    </row>
    <row r="2983">
      <c r="A2983" s="5" t="str">
        <f>IFERROR(__xludf.DUMMYFUNCTION("""COMPUTED_VALUE"""),"39704")</f>
        <v>39704</v>
      </c>
      <c r="B2983" s="64">
        <f>IFERROR(__xludf.DUMMYFUNCTION("""COMPUTED_VALUE"""),44627.0)</f>
        <v>44627</v>
      </c>
      <c r="C2983" s="5"/>
      <c r="D2983" s="5"/>
      <c r="E2983" s="5"/>
      <c r="F2983" s="22">
        <f>IFERROR(__xludf.DUMMYFUNCTION("""COMPUTED_VALUE"""),500000.0)</f>
        <v>500000</v>
      </c>
      <c r="G2983" s="22">
        <f>IFERROR(__xludf.DUMMYFUNCTION("""COMPUTED_VALUE"""),0.0)</f>
        <v>0</v>
      </c>
      <c r="H2983" s="22">
        <f>IFERROR(__xludf.DUMMYFUNCTION("""COMPUTED_VALUE"""),500000.0)</f>
        <v>500000</v>
      </c>
      <c r="I2983" s="24">
        <f>IFERROR(__xludf.DUMMYFUNCTION("""COMPUTED_VALUE"""),0.0)</f>
        <v>0</v>
      </c>
    </row>
    <row r="2984">
      <c r="A2984" s="5" t="str">
        <f>IFERROR(__xludf.DUMMYFUNCTION("""COMPUTED_VALUE"""),"39704")</f>
        <v>39704</v>
      </c>
      <c r="B2984" s="64">
        <f>IFERROR(__xludf.DUMMYFUNCTION("""COMPUTED_VALUE"""),44628.0)</f>
        <v>44628</v>
      </c>
      <c r="C2984" s="5"/>
      <c r="D2984" s="5"/>
      <c r="E2984" s="5"/>
      <c r="F2984" s="22">
        <f>IFERROR(__xludf.DUMMYFUNCTION("""COMPUTED_VALUE"""),500000.0)</f>
        <v>500000</v>
      </c>
      <c r="G2984" s="22">
        <f>IFERROR(__xludf.DUMMYFUNCTION("""COMPUTED_VALUE"""),0.0)</f>
        <v>0</v>
      </c>
      <c r="H2984" s="22">
        <f>IFERROR(__xludf.DUMMYFUNCTION("""COMPUTED_VALUE"""),500000.0)</f>
        <v>500000</v>
      </c>
      <c r="I2984" s="24">
        <f>IFERROR(__xludf.DUMMYFUNCTION("""COMPUTED_VALUE"""),0.0)</f>
        <v>0</v>
      </c>
    </row>
    <row r="2985">
      <c r="A2985" s="5" t="str">
        <f>IFERROR(__xludf.DUMMYFUNCTION("""COMPUTED_VALUE"""),"39704")</f>
        <v>39704</v>
      </c>
      <c r="B2985" s="64">
        <f>IFERROR(__xludf.DUMMYFUNCTION("""COMPUTED_VALUE"""),44629.0)</f>
        <v>44629</v>
      </c>
      <c r="C2985" s="5"/>
      <c r="D2985" s="5"/>
      <c r="E2985" s="5"/>
      <c r="F2985" s="22">
        <f>IFERROR(__xludf.DUMMYFUNCTION("""COMPUTED_VALUE"""),500000.0)</f>
        <v>500000</v>
      </c>
      <c r="G2985" s="22">
        <f>IFERROR(__xludf.DUMMYFUNCTION("""COMPUTED_VALUE"""),0.0)</f>
        <v>0</v>
      </c>
      <c r="H2985" s="22">
        <f>IFERROR(__xludf.DUMMYFUNCTION("""COMPUTED_VALUE"""),500000.0)</f>
        <v>500000</v>
      </c>
      <c r="I2985" s="24">
        <f>IFERROR(__xludf.DUMMYFUNCTION("""COMPUTED_VALUE"""),0.0)</f>
        <v>0</v>
      </c>
    </row>
    <row r="2986">
      <c r="A2986" s="5" t="str">
        <f>IFERROR(__xludf.DUMMYFUNCTION("""COMPUTED_VALUE"""),"39704")</f>
        <v>39704</v>
      </c>
      <c r="B2986" s="64">
        <f>IFERROR(__xludf.DUMMYFUNCTION("""COMPUTED_VALUE"""),44630.0)</f>
        <v>44630</v>
      </c>
      <c r="C2986" s="5"/>
      <c r="D2986" s="5"/>
      <c r="E2986" s="5"/>
      <c r="F2986" s="22">
        <f>IFERROR(__xludf.DUMMYFUNCTION("""COMPUTED_VALUE"""),500000.0)</f>
        <v>500000</v>
      </c>
      <c r="G2986" s="22">
        <f>IFERROR(__xludf.DUMMYFUNCTION("""COMPUTED_VALUE"""),0.0)</f>
        <v>0</v>
      </c>
      <c r="H2986" s="22">
        <f>IFERROR(__xludf.DUMMYFUNCTION("""COMPUTED_VALUE"""),500000.0)</f>
        <v>500000</v>
      </c>
      <c r="I2986" s="24">
        <f>IFERROR(__xludf.DUMMYFUNCTION("""COMPUTED_VALUE"""),0.0)</f>
        <v>0</v>
      </c>
    </row>
    <row r="2987">
      <c r="A2987" s="5" t="str">
        <f>IFERROR(__xludf.DUMMYFUNCTION("""COMPUTED_VALUE"""),"39704")</f>
        <v>39704</v>
      </c>
      <c r="B2987" s="64">
        <f>IFERROR(__xludf.DUMMYFUNCTION("""COMPUTED_VALUE"""),44631.0)</f>
        <v>44631</v>
      </c>
      <c r="C2987" s="5"/>
      <c r="D2987" s="5"/>
      <c r="E2987" s="5"/>
      <c r="F2987" s="22">
        <f>IFERROR(__xludf.DUMMYFUNCTION("""COMPUTED_VALUE"""),500000.0)</f>
        <v>500000</v>
      </c>
      <c r="G2987" s="22">
        <f>IFERROR(__xludf.DUMMYFUNCTION("""COMPUTED_VALUE"""),0.0)</f>
        <v>0</v>
      </c>
      <c r="H2987" s="22">
        <f>IFERROR(__xludf.DUMMYFUNCTION("""COMPUTED_VALUE"""),500000.0)</f>
        <v>500000</v>
      </c>
      <c r="I2987" s="24">
        <f>IFERROR(__xludf.DUMMYFUNCTION("""COMPUTED_VALUE"""),0.0)</f>
        <v>0</v>
      </c>
    </row>
    <row r="2988">
      <c r="A2988" s="5" t="str">
        <f>IFERROR(__xludf.DUMMYFUNCTION("""COMPUTED_VALUE"""),"39704")</f>
        <v>39704</v>
      </c>
      <c r="B2988" s="64">
        <f>IFERROR(__xludf.DUMMYFUNCTION("""COMPUTED_VALUE"""),44632.0)</f>
        <v>44632</v>
      </c>
      <c r="C2988" s="5"/>
      <c r="D2988" s="5"/>
      <c r="E2988" s="5"/>
      <c r="F2988" s="22">
        <f>IFERROR(__xludf.DUMMYFUNCTION("""COMPUTED_VALUE"""),500000.0)</f>
        <v>500000</v>
      </c>
      <c r="G2988" s="22">
        <f>IFERROR(__xludf.DUMMYFUNCTION("""COMPUTED_VALUE"""),0.0)</f>
        <v>0</v>
      </c>
      <c r="H2988" s="22">
        <f>IFERROR(__xludf.DUMMYFUNCTION("""COMPUTED_VALUE"""),500000.0)</f>
        <v>500000</v>
      </c>
      <c r="I2988" s="24">
        <f>IFERROR(__xludf.DUMMYFUNCTION("""COMPUTED_VALUE"""),0.0)</f>
        <v>0</v>
      </c>
    </row>
    <row r="2989">
      <c r="A2989" s="5" t="str">
        <f>IFERROR(__xludf.DUMMYFUNCTION("""COMPUTED_VALUE"""),"39704")</f>
        <v>39704</v>
      </c>
      <c r="B2989" s="64">
        <f>IFERROR(__xludf.DUMMYFUNCTION("""COMPUTED_VALUE"""),44633.0)</f>
        <v>44633</v>
      </c>
      <c r="C2989" s="5"/>
      <c r="D2989" s="5"/>
      <c r="E2989" s="5"/>
      <c r="F2989" s="22">
        <f>IFERROR(__xludf.DUMMYFUNCTION("""COMPUTED_VALUE"""),500000.0)</f>
        <v>500000</v>
      </c>
      <c r="G2989" s="22">
        <f>IFERROR(__xludf.DUMMYFUNCTION("""COMPUTED_VALUE"""),0.0)</f>
        <v>0</v>
      </c>
      <c r="H2989" s="22">
        <f>IFERROR(__xludf.DUMMYFUNCTION("""COMPUTED_VALUE"""),500000.0)</f>
        <v>500000</v>
      </c>
      <c r="I2989" s="24">
        <f>IFERROR(__xludf.DUMMYFUNCTION("""COMPUTED_VALUE"""),0.0)</f>
        <v>0</v>
      </c>
    </row>
    <row r="2990">
      <c r="A2990" s="5" t="str">
        <f>IFERROR(__xludf.DUMMYFUNCTION("""COMPUTED_VALUE"""),"39704")</f>
        <v>39704</v>
      </c>
      <c r="B2990" s="64">
        <f>IFERROR(__xludf.DUMMYFUNCTION("""COMPUTED_VALUE"""),44634.0)</f>
        <v>44634</v>
      </c>
      <c r="C2990" s="5"/>
      <c r="D2990" s="5"/>
      <c r="E2990" s="5"/>
      <c r="F2990" s="22">
        <f>IFERROR(__xludf.DUMMYFUNCTION("""COMPUTED_VALUE"""),500000.0)</f>
        <v>500000</v>
      </c>
      <c r="G2990" s="22">
        <f>IFERROR(__xludf.DUMMYFUNCTION("""COMPUTED_VALUE"""),0.0)</f>
        <v>0</v>
      </c>
      <c r="H2990" s="22">
        <f>IFERROR(__xludf.DUMMYFUNCTION("""COMPUTED_VALUE"""),500000.0)</f>
        <v>500000</v>
      </c>
      <c r="I2990" s="24">
        <f>IFERROR(__xludf.DUMMYFUNCTION("""COMPUTED_VALUE"""),0.0)</f>
        <v>0</v>
      </c>
    </row>
    <row r="2991">
      <c r="A2991" s="5" t="str">
        <f>IFERROR(__xludf.DUMMYFUNCTION("""COMPUTED_VALUE"""),"39704")</f>
        <v>39704</v>
      </c>
      <c r="B2991" s="64">
        <f>IFERROR(__xludf.DUMMYFUNCTION("""COMPUTED_VALUE"""),44635.0)</f>
        <v>44635</v>
      </c>
      <c r="C2991" s="5"/>
      <c r="D2991" s="5"/>
      <c r="E2991" s="5"/>
      <c r="F2991" s="22">
        <f>IFERROR(__xludf.DUMMYFUNCTION("""COMPUTED_VALUE"""),500000.0)</f>
        <v>500000</v>
      </c>
      <c r="G2991" s="22">
        <f>IFERROR(__xludf.DUMMYFUNCTION("""COMPUTED_VALUE"""),0.0)</f>
        <v>0</v>
      </c>
      <c r="H2991" s="22">
        <f>IFERROR(__xludf.DUMMYFUNCTION("""COMPUTED_VALUE"""),500000.0)</f>
        <v>500000</v>
      </c>
      <c r="I2991" s="24">
        <f>IFERROR(__xludf.DUMMYFUNCTION("""COMPUTED_VALUE"""),0.0)</f>
        <v>0</v>
      </c>
    </row>
    <row r="2992">
      <c r="A2992" s="5" t="str">
        <f>IFERROR(__xludf.DUMMYFUNCTION("""COMPUTED_VALUE"""),"39704")</f>
        <v>39704</v>
      </c>
      <c r="B2992" s="64">
        <f>IFERROR(__xludf.DUMMYFUNCTION("""COMPUTED_VALUE"""),44636.0)</f>
        <v>44636</v>
      </c>
      <c r="C2992" s="5"/>
      <c r="D2992" s="5"/>
      <c r="E2992" s="5"/>
      <c r="F2992" s="22">
        <f>IFERROR(__xludf.DUMMYFUNCTION("""COMPUTED_VALUE"""),500000.0)</f>
        <v>500000</v>
      </c>
      <c r="G2992" s="22">
        <f>IFERROR(__xludf.DUMMYFUNCTION("""COMPUTED_VALUE"""),0.0)</f>
        <v>0</v>
      </c>
      <c r="H2992" s="22">
        <f>IFERROR(__xludf.DUMMYFUNCTION("""COMPUTED_VALUE"""),500000.0)</f>
        <v>500000</v>
      </c>
      <c r="I2992" s="24">
        <f>IFERROR(__xludf.DUMMYFUNCTION("""COMPUTED_VALUE"""),0.0)</f>
        <v>0</v>
      </c>
    </row>
    <row r="2993">
      <c r="A2993" s="5" t="str">
        <f>IFERROR(__xludf.DUMMYFUNCTION("""COMPUTED_VALUE"""),"39704")</f>
        <v>39704</v>
      </c>
      <c r="B2993" s="64">
        <f>IFERROR(__xludf.DUMMYFUNCTION("""COMPUTED_VALUE"""),44637.0)</f>
        <v>44637</v>
      </c>
      <c r="C2993" s="5"/>
      <c r="D2993" s="5"/>
      <c r="E2993" s="5"/>
      <c r="F2993" s="22">
        <f>IFERROR(__xludf.DUMMYFUNCTION("""COMPUTED_VALUE"""),500000.0)</f>
        <v>500000</v>
      </c>
      <c r="G2993" s="22">
        <f>IFERROR(__xludf.DUMMYFUNCTION("""COMPUTED_VALUE"""),0.0)</f>
        <v>0</v>
      </c>
      <c r="H2993" s="22">
        <f>IFERROR(__xludf.DUMMYFUNCTION("""COMPUTED_VALUE"""),499898.33285)</f>
        <v>499898.3329</v>
      </c>
      <c r="I2993" s="24">
        <f>IFERROR(__xludf.DUMMYFUNCTION("""COMPUTED_VALUE"""),-2.0333429999996877E-4)</f>
        <v>-0.0002033343</v>
      </c>
    </row>
    <row r="2994">
      <c r="A2994" s="5" t="str">
        <f>IFERROR(__xludf.DUMMYFUNCTION("""COMPUTED_VALUE"""),"39704")</f>
        <v>39704</v>
      </c>
      <c r="B2994" s="64">
        <f>IFERROR(__xludf.DUMMYFUNCTION("""COMPUTED_VALUE"""),44638.0)</f>
        <v>44638</v>
      </c>
      <c r="C2994" s="5"/>
      <c r="D2994" s="5"/>
      <c r="E2994" s="5"/>
      <c r="F2994" s="22">
        <f>IFERROR(__xludf.DUMMYFUNCTION("""COMPUTED_VALUE"""),500000.0)</f>
        <v>500000</v>
      </c>
      <c r="G2994" s="22">
        <f>IFERROR(__xludf.DUMMYFUNCTION("""COMPUTED_VALUE"""),0.0)</f>
        <v>0</v>
      </c>
      <c r="H2994" s="22">
        <f>IFERROR(__xludf.DUMMYFUNCTION("""COMPUTED_VALUE"""),499217.945)</f>
        <v>499217.945</v>
      </c>
      <c r="I2994" s="24">
        <f>IFERROR(__xludf.DUMMYFUNCTION("""COMPUTED_VALUE"""),-0.0015641100000000074)</f>
        <v>-0.00156411</v>
      </c>
    </row>
    <row r="2995">
      <c r="A2995" s="5" t="str">
        <f>IFERROR(__xludf.DUMMYFUNCTION("""COMPUTED_VALUE"""),"39704")</f>
        <v>39704</v>
      </c>
      <c r="B2995" s="64">
        <f>IFERROR(__xludf.DUMMYFUNCTION("""COMPUTED_VALUE"""),44639.0)</f>
        <v>44639</v>
      </c>
      <c r="C2995" s="5"/>
      <c r="D2995" s="5"/>
      <c r="E2995" s="5"/>
      <c r="F2995" s="22">
        <f>IFERROR(__xludf.DUMMYFUNCTION("""COMPUTED_VALUE"""),500000.0)</f>
        <v>500000</v>
      </c>
      <c r="G2995" s="22">
        <f>IFERROR(__xludf.DUMMYFUNCTION("""COMPUTED_VALUE"""),0.0)</f>
        <v>0</v>
      </c>
      <c r="H2995" s="22">
        <f>IFERROR(__xludf.DUMMYFUNCTION("""COMPUTED_VALUE"""),499217.945)</f>
        <v>499217.945</v>
      </c>
      <c r="I2995" s="24">
        <f>IFERROR(__xludf.DUMMYFUNCTION("""COMPUTED_VALUE"""),-0.0015641100000000074)</f>
        <v>-0.00156411</v>
      </c>
    </row>
    <row r="2996">
      <c r="A2996" s="5" t="str">
        <f>IFERROR(__xludf.DUMMYFUNCTION("""COMPUTED_VALUE"""),"39704")</f>
        <v>39704</v>
      </c>
      <c r="B2996" s="64">
        <f>IFERROR(__xludf.DUMMYFUNCTION("""COMPUTED_VALUE"""),44640.0)</f>
        <v>44640</v>
      </c>
      <c r="C2996" s="5"/>
      <c r="D2996" s="5"/>
      <c r="E2996" s="5"/>
      <c r="F2996" s="22">
        <f>IFERROR(__xludf.DUMMYFUNCTION("""COMPUTED_VALUE"""),500000.0)</f>
        <v>500000</v>
      </c>
      <c r="G2996" s="22">
        <f>IFERROR(__xludf.DUMMYFUNCTION("""COMPUTED_VALUE"""),0.0)</f>
        <v>0</v>
      </c>
      <c r="H2996" s="22">
        <f>IFERROR(__xludf.DUMMYFUNCTION("""COMPUTED_VALUE"""),499217.945)</f>
        <v>499217.945</v>
      </c>
      <c r="I2996" s="24">
        <f>IFERROR(__xludf.DUMMYFUNCTION("""COMPUTED_VALUE"""),-0.0015641100000000074)</f>
        <v>-0.00156411</v>
      </c>
    </row>
    <row r="2997">
      <c r="A2997" s="5" t="str">
        <f>IFERROR(__xludf.DUMMYFUNCTION("""COMPUTED_VALUE"""),"39704")</f>
        <v>39704</v>
      </c>
      <c r="B2997" s="64">
        <f>IFERROR(__xludf.DUMMYFUNCTION("""COMPUTED_VALUE"""),44641.0)</f>
        <v>44641</v>
      </c>
      <c r="C2997" s="5"/>
      <c r="D2997" s="5"/>
      <c r="E2997" s="5"/>
      <c r="F2997" s="22">
        <f>IFERROR(__xludf.DUMMYFUNCTION("""COMPUTED_VALUE"""),500000.0)</f>
        <v>500000</v>
      </c>
      <c r="G2997" s="22">
        <f>IFERROR(__xludf.DUMMYFUNCTION("""COMPUTED_VALUE"""),0.0)</f>
        <v>0</v>
      </c>
      <c r="H2997" s="22">
        <f>IFERROR(__xludf.DUMMYFUNCTION("""COMPUTED_VALUE"""),499702.8191)</f>
        <v>499702.8191</v>
      </c>
      <c r="I2997" s="24">
        <f>IFERROR(__xludf.DUMMYFUNCTION("""COMPUTED_VALUE"""),-5.943617999999429E-4)</f>
        <v>-0.0005943618</v>
      </c>
    </row>
    <row r="2998">
      <c r="A2998" s="5" t="str">
        <f>IFERROR(__xludf.DUMMYFUNCTION("""COMPUTED_VALUE"""),"39704")</f>
        <v>39704</v>
      </c>
      <c r="B2998" s="64">
        <f>IFERROR(__xludf.DUMMYFUNCTION("""COMPUTED_VALUE"""),44642.0)</f>
        <v>44642</v>
      </c>
      <c r="C2998" s="5"/>
      <c r="D2998" s="5"/>
      <c r="E2998" s="5"/>
      <c r="F2998" s="22">
        <f>IFERROR(__xludf.DUMMYFUNCTION("""COMPUTED_VALUE"""),500000.0)</f>
        <v>500000</v>
      </c>
      <c r="G2998" s="22">
        <f>IFERROR(__xludf.DUMMYFUNCTION("""COMPUTED_VALUE"""),0.0)</f>
        <v>0</v>
      </c>
      <c r="H2998" s="22">
        <f>IFERROR(__xludf.DUMMYFUNCTION("""COMPUTED_VALUE"""),500140.7699)</f>
        <v>500140.7699</v>
      </c>
      <c r="I2998" s="24">
        <f>IFERROR(__xludf.DUMMYFUNCTION("""COMPUTED_VALUE"""),2.81539800000008E-4)</f>
        <v>0.0002815398</v>
      </c>
    </row>
    <row r="2999">
      <c r="A2999" s="5" t="str">
        <f>IFERROR(__xludf.DUMMYFUNCTION("""COMPUTED_VALUE"""),"39704")</f>
        <v>39704</v>
      </c>
      <c r="B2999" s="64">
        <f>IFERROR(__xludf.DUMMYFUNCTION("""COMPUTED_VALUE"""),44643.0)</f>
        <v>44643</v>
      </c>
      <c r="C2999" s="5"/>
      <c r="D2999" s="5"/>
      <c r="E2999" s="5"/>
      <c r="F2999" s="22">
        <f>IFERROR(__xludf.DUMMYFUNCTION("""COMPUTED_VALUE"""),500000.0)</f>
        <v>500000</v>
      </c>
      <c r="G2999" s="22">
        <f>IFERROR(__xludf.DUMMYFUNCTION("""COMPUTED_VALUE"""),0.0)</f>
        <v>0</v>
      </c>
      <c r="H2999" s="22">
        <f>IFERROR(__xludf.DUMMYFUNCTION("""COMPUTED_VALUE"""),500735.1317)</f>
        <v>500735.1317</v>
      </c>
      <c r="I2999" s="24">
        <f>IFERROR(__xludf.DUMMYFUNCTION("""COMPUTED_VALUE"""),0.0014702634000001158)</f>
        <v>0.0014702634</v>
      </c>
    </row>
    <row r="3000">
      <c r="A3000" s="5" t="str">
        <f>IFERROR(__xludf.DUMMYFUNCTION("""COMPUTED_VALUE"""),"39704")</f>
        <v>39704</v>
      </c>
      <c r="B3000" s="64">
        <f>IFERROR(__xludf.DUMMYFUNCTION("""COMPUTED_VALUE"""),44644.0)</f>
        <v>44644</v>
      </c>
      <c r="C3000" s="5"/>
      <c r="D3000" s="5"/>
      <c r="E3000" s="5"/>
      <c r="F3000" s="22">
        <f>IFERROR(__xludf.DUMMYFUNCTION("""COMPUTED_VALUE"""),500000.0)</f>
        <v>500000</v>
      </c>
      <c r="G3000" s="22">
        <f>IFERROR(__xludf.DUMMYFUNCTION("""COMPUTED_VALUE"""),0.0)</f>
        <v>0</v>
      </c>
      <c r="H3000" s="22">
        <f>IFERROR(__xludf.DUMMYFUNCTION("""COMPUTED_VALUE"""),501071.41535)</f>
        <v>501071.4154</v>
      </c>
      <c r="I3000" s="24">
        <f>IFERROR(__xludf.DUMMYFUNCTION("""COMPUTED_VALUE"""),0.002142830699999987)</f>
        <v>0.0021428307</v>
      </c>
    </row>
    <row r="3001">
      <c r="A3001" s="5" t="str">
        <f>IFERROR(__xludf.DUMMYFUNCTION("""COMPUTED_VALUE"""),"39704")</f>
        <v>39704</v>
      </c>
      <c r="B3001" s="64">
        <f>IFERROR(__xludf.DUMMYFUNCTION("""COMPUTED_VALUE"""),44645.0)</f>
        <v>44645</v>
      </c>
      <c r="C3001" s="5"/>
      <c r="D3001" s="5"/>
      <c r="E3001" s="5"/>
      <c r="F3001" s="22">
        <f>IFERROR(__xludf.DUMMYFUNCTION("""COMPUTED_VALUE"""),500000.0)</f>
        <v>500000</v>
      </c>
      <c r="G3001" s="22">
        <f>IFERROR(__xludf.DUMMYFUNCTION("""COMPUTED_VALUE"""),0.0)</f>
        <v>0</v>
      </c>
      <c r="H3001" s="22">
        <f>IFERROR(__xludf.DUMMYFUNCTION("""COMPUTED_VALUE"""),501384.23735)</f>
        <v>501384.2374</v>
      </c>
      <c r="I3001" s="24">
        <f>IFERROR(__xludf.DUMMYFUNCTION("""COMPUTED_VALUE"""),0.0027684747000000787)</f>
        <v>0.0027684747</v>
      </c>
    </row>
    <row r="3002">
      <c r="A3002" s="5" t="str">
        <f>IFERROR(__xludf.DUMMYFUNCTION("""COMPUTED_VALUE"""),"39704")</f>
        <v>39704</v>
      </c>
      <c r="B3002" s="64">
        <f>IFERROR(__xludf.DUMMYFUNCTION("""COMPUTED_VALUE"""),44646.0)</f>
        <v>44646</v>
      </c>
      <c r="C3002" s="5"/>
      <c r="D3002" s="5"/>
      <c r="E3002" s="5"/>
      <c r="F3002" s="22">
        <f>IFERROR(__xludf.DUMMYFUNCTION("""COMPUTED_VALUE"""),500000.0)</f>
        <v>500000</v>
      </c>
      <c r="G3002" s="22">
        <f>IFERROR(__xludf.DUMMYFUNCTION("""COMPUTED_VALUE"""),0.0)</f>
        <v>0</v>
      </c>
      <c r="H3002" s="22">
        <f>IFERROR(__xludf.DUMMYFUNCTION("""COMPUTED_VALUE"""),501384.23735)</f>
        <v>501384.2374</v>
      </c>
      <c r="I3002" s="24">
        <f>IFERROR(__xludf.DUMMYFUNCTION("""COMPUTED_VALUE"""),0.0027684747000000787)</f>
        <v>0.0027684747</v>
      </c>
    </row>
    <row r="3003">
      <c r="A3003" s="5" t="str">
        <f>IFERROR(__xludf.DUMMYFUNCTION("""COMPUTED_VALUE"""),"39704")</f>
        <v>39704</v>
      </c>
      <c r="B3003" s="64">
        <f>IFERROR(__xludf.DUMMYFUNCTION("""COMPUTED_VALUE"""),44647.0)</f>
        <v>44647</v>
      </c>
      <c r="C3003" s="5"/>
      <c r="D3003" s="5"/>
      <c r="E3003" s="5"/>
      <c r="F3003" s="22">
        <f>IFERROR(__xludf.DUMMYFUNCTION("""COMPUTED_VALUE"""),500000.0)</f>
        <v>500000</v>
      </c>
      <c r="G3003" s="22">
        <f>IFERROR(__xludf.DUMMYFUNCTION("""COMPUTED_VALUE"""),0.0)</f>
        <v>0</v>
      </c>
      <c r="H3003" s="22">
        <f>IFERROR(__xludf.DUMMYFUNCTION("""COMPUTED_VALUE"""),501384.23735)</f>
        <v>501384.2374</v>
      </c>
      <c r="I3003" s="24">
        <f>IFERROR(__xludf.DUMMYFUNCTION("""COMPUTED_VALUE"""),0.0027684747000000787)</f>
        <v>0.0027684747</v>
      </c>
    </row>
    <row r="3004">
      <c r="A3004" s="5" t="str">
        <f>IFERROR(__xludf.DUMMYFUNCTION("""COMPUTED_VALUE"""),"39704")</f>
        <v>39704</v>
      </c>
      <c r="B3004" s="64">
        <f>IFERROR(__xludf.DUMMYFUNCTION("""COMPUTED_VALUE"""),44648.0)</f>
        <v>44648</v>
      </c>
      <c r="C3004" s="5"/>
      <c r="D3004" s="5"/>
      <c r="E3004" s="5"/>
      <c r="F3004" s="22">
        <f>IFERROR(__xludf.DUMMYFUNCTION("""COMPUTED_VALUE"""),500000.0)</f>
        <v>500000</v>
      </c>
      <c r="G3004" s="22">
        <f>IFERROR(__xludf.DUMMYFUNCTION("""COMPUTED_VALUE"""),0.0)</f>
        <v>0</v>
      </c>
      <c r="H3004" s="22">
        <f>IFERROR(__xludf.DUMMYFUNCTION("""COMPUTED_VALUE"""),501986.41969999997)</f>
        <v>501986.4197</v>
      </c>
      <c r="I3004" s="24">
        <f>IFERROR(__xludf.DUMMYFUNCTION("""COMPUTED_VALUE"""),0.003972839400000039)</f>
        <v>0.0039728394</v>
      </c>
    </row>
    <row r="3005">
      <c r="A3005" s="5" t="str">
        <f>IFERROR(__xludf.DUMMYFUNCTION("""COMPUTED_VALUE"""),"39704")</f>
        <v>39704</v>
      </c>
      <c r="B3005" s="64">
        <f>IFERROR(__xludf.DUMMYFUNCTION("""COMPUTED_VALUE"""),44649.0)</f>
        <v>44649</v>
      </c>
      <c r="C3005" s="5"/>
      <c r="D3005" s="5"/>
      <c r="E3005" s="5"/>
      <c r="F3005" s="22">
        <f>IFERROR(__xludf.DUMMYFUNCTION("""COMPUTED_VALUE"""),500000.0)</f>
        <v>500000</v>
      </c>
      <c r="G3005" s="22">
        <f>IFERROR(__xludf.DUMMYFUNCTION("""COMPUTED_VALUE"""),0.0)</f>
        <v>0</v>
      </c>
      <c r="H3005" s="22">
        <f>IFERROR(__xludf.DUMMYFUNCTION("""COMPUTED_VALUE"""),502831.0391)</f>
        <v>502831.0391</v>
      </c>
      <c r="I3005" s="24">
        <f>IFERROR(__xludf.DUMMYFUNCTION("""COMPUTED_VALUE"""),0.005662078200000087)</f>
        <v>0.0056620782</v>
      </c>
    </row>
    <row r="3006">
      <c r="A3006" s="5" t="str">
        <f>IFERROR(__xludf.DUMMYFUNCTION("""COMPUTED_VALUE"""),"39704")</f>
        <v>39704</v>
      </c>
      <c r="B3006" s="64">
        <f>IFERROR(__xludf.DUMMYFUNCTION("""COMPUTED_VALUE"""),44650.0)</f>
        <v>44650</v>
      </c>
      <c r="C3006" s="5"/>
      <c r="D3006" s="5"/>
      <c r="E3006" s="5"/>
      <c r="F3006" s="22">
        <f>IFERROR(__xludf.DUMMYFUNCTION("""COMPUTED_VALUE"""),500000.0)</f>
        <v>500000</v>
      </c>
      <c r="G3006" s="22">
        <f>IFERROR(__xludf.DUMMYFUNCTION("""COMPUTED_VALUE"""),0.0)</f>
        <v>0</v>
      </c>
      <c r="H3006" s="22">
        <f>IFERROR(__xludf.DUMMYFUNCTION("""COMPUTED_VALUE"""),503401.93925)</f>
        <v>503401.9393</v>
      </c>
      <c r="I3006" s="24">
        <f>IFERROR(__xludf.DUMMYFUNCTION("""COMPUTED_VALUE"""),0.006803878499999971)</f>
        <v>0.0068038785</v>
      </c>
    </row>
    <row r="3007">
      <c r="A3007" s="5" t="str">
        <f>IFERROR(__xludf.DUMMYFUNCTION("""COMPUTED_VALUE"""),"39704")</f>
        <v>39704</v>
      </c>
      <c r="B3007" s="64">
        <f>IFERROR(__xludf.DUMMYFUNCTION("""COMPUTED_VALUE"""),44651.0)</f>
        <v>44651</v>
      </c>
      <c r="C3007" s="5"/>
      <c r="D3007" s="5"/>
      <c r="E3007" s="5"/>
      <c r="F3007" s="22">
        <f>IFERROR(__xludf.DUMMYFUNCTION("""COMPUTED_VALUE"""),500000.0)</f>
        <v>500000</v>
      </c>
      <c r="G3007" s="22">
        <f>IFERROR(__xludf.DUMMYFUNCTION("""COMPUTED_VALUE"""),0.0)</f>
        <v>0</v>
      </c>
      <c r="H3007" s="22">
        <f>IFERROR(__xludf.DUMMYFUNCTION("""COMPUTED_VALUE"""),503675.6585)</f>
        <v>503675.6585</v>
      </c>
      <c r="I3007" s="24">
        <f>IFERROR(__xludf.DUMMYFUNCTION("""COMPUTED_VALUE"""),0.007351317000000135)</f>
        <v>0.007351317</v>
      </c>
    </row>
    <row r="3008">
      <c r="A3008" s="5" t="str">
        <f>IFERROR(__xludf.DUMMYFUNCTION("""COMPUTED_VALUE"""),"39704")</f>
        <v>39704</v>
      </c>
      <c r="B3008" s="64">
        <f>IFERROR(__xludf.DUMMYFUNCTION("""COMPUTED_VALUE"""),44652.0)</f>
        <v>44652</v>
      </c>
      <c r="C3008" s="5"/>
      <c r="D3008" s="5"/>
      <c r="E3008" s="5"/>
      <c r="F3008" s="22">
        <f>IFERROR(__xludf.DUMMYFUNCTION("""COMPUTED_VALUE"""),500000.0)</f>
        <v>500000</v>
      </c>
      <c r="G3008" s="22">
        <f>IFERROR(__xludf.DUMMYFUNCTION("""COMPUTED_VALUE"""),0.0)</f>
        <v>0</v>
      </c>
      <c r="H3008" s="22">
        <f>IFERROR(__xludf.DUMMYFUNCTION("""COMPUTED_VALUE"""),505036.4342)</f>
        <v>505036.4342</v>
      </c>
      <c r="I3008" s="24">
        <f>IFERROR(__xludf.DUMMYFUNCTION("""COMPUTED_VALUE"""),0.01007286839999999)</f>
        <v>0.0100728684</v>
      </c>
    </row>
    <row r="3009">
      <c r="A3009" s="5" t="str">
        <f>IFERROR(__xludf.DUMMYFUNCTION("""COMPUTED_VALUE"""),"39704")</f>
        <v>39704</v>
      </c>
      <c r="B3009" s="64">
        <f>IFERROR(__xludf.DUMMYFUNCTION("""COMPUTED_VALUE"""),44653.0)</f>
        <v>44653</v>
      </c>
      <c r="C3009" s="5"/>
      <c r="D3009" s="5"/>
      <c r="E3009" s="5"/>
      <c r="F3009" s="22">
        <f>IFERROR(__xludf.DUMMYFUNCTION("""COMPUTED_VALUE"""),500000.0)</f>
        <v>500000</v>
      </c>
      <c r="G3009" s="22">
        <f>IFERROR(__xludf.DUMMYFUNCTION("""COMPUTED_VALUE"""),0.0)</f>
        <v>0</v>
      </c>
      <c r="H3009" s="22">
        <f>IFERROR(__xludf.DUMMYFUNCTION("""COMPUTED_VALUE"""),505036.4342)</f>
        <v>505036.4342</v>
      </c>
      <c r="I3009" s="24">
        <f>IFERROR(__xludf.DUMMYFUNCTION("""COMPUTED_VALUE"""),0.01007286839999999)</f>
        <v>0.0100728684</v>
      </c>
    </row>
    <row r="3010">
      <c r="A3010" s="5" t="str">
        <f>IFERROR(__xludf.DUMMYFUNCTION("""COMPUTED_VALUE"""),"39704")</f>
        <v>39704</v>
      </c>
      <c r="B3010" s="64">
        <f>IFERROR(__xludf.DUMMYFUNCTION("""COMPUTED_VALUE"""),44654.0)</f>
        <v>44654</v>
      </c>
      <c r="C3010" s="5"/>
      <c r="D3010" s="5"/>
      <c r="E3010" s="5"/>
      <c r="F3010" s="22">
        <f>IFERROR(__xludf.DUMMYFUNCTION("""COMPUTED_VALUE"""),500000.0)</f>
        <v>500000</v>
      </c>
      <c r="G3010" s="22">
        <f>IFERROR(__xludf.DUMMYFUNCTION("""COMPUTED_VALUE"""),0.0)</f>
        <v>0</v>
      </c>
      <c r="H3010" s="22">
        <f>IFERROR(__xludf.DUMMYFUNCTION("""COMPUTED_VALUE"""),505036.4342)</f>
        <v>505036.4342</v>
      </c>
      <c r="I3010" s="24">
        <f>IFERROR(__xludf.DUMMYFUNCTION("""COMPUTED_VALUE"""),0.01007286839999999)</f>
        <v>0.0100728684</v>
      </c>
    </row>
    <row r="3011">
      <c r="A3011" s="5" t="str">
        <f>IFERROR(__xludf.DUMMYFUNCTION("""COMPUTED_VALUE"""),"39704")</f>
        <v>39704</v>
      </c>
      <c r="B3011" s="64">
        <f>IFERROR(__xludf.DUMMYFUNCTION("""COMPUTED_VALUE"""),44655.0)</f>
        <v>44655</v>
      </c>
      <c r="C3011" s="5"/>
      <c r="D3011" s="5"/>
      <c r="E3011" s="5"/>
      <c r="F3011" s="22">
        <f>IFERROR(__xludf.DUMMYFUNCTION("""COMPUTED_VALUE"""),500000.0)</f>
        <v>500000</v>
      </c>
      <c r="G3011" s="22">
        <f>IFERROR(__xludf.DUMMYFUNCTION("""COMPUTED_VALUE"""),0.0)</f>
        <v>0</v>
      </c>
      <c r="H3011" s="22">
        <f>IFERROR(__xludf.DUMMYFUNCTION("""COMPUTED_VALUE"""),504363.8669)</f>
        <v>504363.8669</v>
      </c>
      <c r="I3011" s="24">
        <f>IFERROR(__xludf.DUMMYFUNCTION("""COMPUTED_VALUE"""),0.008727733800000026)</f>
        <v>0.0087277338</v>
      </c>
    </row>
    <row r="3012">
      <c r="A3012" s="5" t="str">
        <f>IFERROR(__xludf.DUMMYFUNCTION("""COMPUTED_VALUE"""),"39704")</f>
        <v>39704</v>
      </c>
      <c r="B3012" s="64">
        <f>IFERROR(__xludf.DUMMYFUNCTION("""COMPUTED_VALUE"""),44656.0)</f>
        <v>44656</v>
      </c>
      <c r="C3012" s="5"/>
      <c r="D3012" s="5"/>
      <c r="E3012" s="5"/>
      <c r="F3012" s="22">
        <f>IFERROR(__xludf.DUMMYFUNCTION("""COMPUTED_VALUE"""),270262.250514)</f>
        <v>270262.2505</v>
      </c>
      <c r="G3012" s="22">
        <f>IFERROR(__xludf.DUMMYFUNCTION("""COMPUTED_VALUE"""),0.0)</f>
        <v>0</v>
      </c>
      <c r="H3012" s="22">
        <f>IFERROR(__xludf.DUMMYFUNCTION("""COMPUTED_VALUE"""),504880.0232)</f>
        <v>504880.0232</v>
      </c>
      <c r="I3012" s="24">
        <f>IFERROR(__xludf.DUMMYFUNCTION("""COMPUTED_VALUE"""),0.009760046400000055)</f>
        <v>0.0097600464</v>
      </c>
    </row>
    <row r="3013">
      <c r="A3013" s="5" t="str">
        <f>IFERROR(__xludf.DUMMYFUNCTION("""COMPUTED_VALUE"""),"39704")</f>
        <v>39704</v>
      </c>
      <c r="B3013" s="64">
        <f>IFERROR(__xludf.DUMMYFUNCTION("""COMPUTED_VALUE"""),44657.0)</f>
        <v>44657</v>
      </c>
      <c r="C3013" s="5"/>
      <c r="D3013" s="5"/>
      <c r="E3013" s="5"/>
      <c r="F3013" s="22">
        <f>IFERROR(__xludf.DUMMYFUNCTION("""COMPUTED_VALUE"""),352226.566354)</f>
        <v>352226.5664</v>
      </c>
      <c r="G3013" s="22">
        <f>IFERROR(__xludf.DUMMYFUNCTION("""COMPUTED_VALUE"""),0.0)</f>
        <v>0</v>
      </c>
      <c r="H3013" s="22">
        <f>IFERROR(__xludf.DUMMYFUNCTION("""COMPUTED_VALUE"""),585281.3644000001)</f>
        <v>585281.3644</v>
      </c>
      <c r="I3013" s="24">
        <f>IFERROR(__xludf.DUMMYFUNCTION("""COMPUTED_VALUE"""),0.17056272880000023)</f>
        <v>0.1705627288</v>
      </c>
    </row>
    <row r="3014">
      <c r="A3014" s="5" t="str">
        <f>IFERROR(__xludf.DUMMYFUNCTION("""COMPUTED_VALUE"""),"39704")</f>
        <v>39704</v>
      </c>
      <c r="B3014" s="64">
        <f>IFERROR(__xludf.DUMMYFUNCTION("""COMPUTED_VALUE"""),44658.0)</f>
        <v>44658</v>
      </c>
      <c r="C3014" s="5"/>
      <c r="D3014" s="5"/>
      <c r="E3014" s="5"/>
      <c r="F3014" s="22">
        <f>IFERROR(__xludf.DUMMYFUNCTION("""COMPUTED_VALUE"""),352226.566354)</f>
        <v>352226.5664</v>
      </c>
      <c r="G3014" s="22">
        <f>IFERROR(__xludf.DUMMYFUNCTION("""COMPUTED_VALUE"""),0.0)</f>
        <v>0</v>
      </c>
      <c r="H3014" s="22">
        <f>IFERROR(__xludf.DUMMYFUNCTION("""COMPUTED_VALUE"""),548663.733575)</f>
        <v>548663.7336</v>
      </c>
      <c r="I3014" s="24">
        <f>IFERROR(__xludf.DUMMYFUNCTION("""COMPUTED_VALUE"""),0.09732746714999996)</f>
        <v>0.09732746715</v>
      </c>
    </row>
    <row r="3015">
      <c r="A3015" s="5" t="str">
        <f>IFERROR(__xludf.DUMMYFUNCTION("""COMPUTED_VALUE"""),"39704")</f>
        <v>39704</v>
      </c>
      <c r="B3015" s="64">
        <f>IFERROR(__xludf.DUMMYFUNCTION("""COMPUTED_VALUE"""),44659.0)</f>
        <v>44659</v>
      </c>
      <c r="C3015" s="5"/>
      <c r="D3015" s="5"/>
      <c r="E3015" s="5"/>
      <c r="F3015" s="22">
        <f>IFERROR(__xludf.DUMMYFUNCTION("""COMPUTED_VALUE"""),352226.566354)</f>
        <v>352226.5664</v>
      </c>
      <c r="G3015" s="22">
        <f>IFERROR(__xludf.DUMMYFUNCTION("""COMPUTED_VALUE"""),0.0)</f>
        <v>0</v>
      </c>
      <c r="H3015" s="22">
        <f>IFERROR(__xludf.DUMMYFUNCTION("""COMPUTED_VALUE"""),548357.4883295)</f>
        <v>548357.4883</v>
      </c>
      <c r="I3015" s="24">
        <f>IFERROR(__xludf.DUMMYFUNCTION("""COMPUTED_VALUE"""),0.09671497665899986)</f>
        <v>0.09671497666</v>
      </c>
    </row>
    <row r="3016">
      <c r="A3016" s="5" t="str">
        <f>IFERROR(__xludf.DUMMYFUNCTION("""COMPUTED_VALUE"""),"39704")</f>
        <v>39704</v>
      </c>
      <c r="B3016" s="64">
        <f>IFERROR(__xludf.DUMMYFUNCTION("""COMPUTED_VALUE"""),44660.0)</f>
        <v>44660</v>
      </c>
      <c r="C3016" s="5"/>
      <c r="D3016" s="5"/>
      <c r="E3016" s="5"/>
      <c r="F3016" s="22">
        <f>IFERROR(__xludf.DUMMYFUNCTION("""COMPUTED_VALUE"""),352226.566354)</f>
        <v>352226.5664</v>
      </c>
      <c r="G3016" s="22">
        <f>IFERROR(__xludf.DUMMYFUNCTION("""COMPUTED_VALUE"""),0.0)</f>
        <v>0</v>
      </c>
      <c r="H3016" s="22">
        <f>IFERROR(__xludf.DUMMYFUNCTION("""COMPUTED_VALUE"""),548357.4883295)</f>
        <v>548357.4883</v>
      </c>
      <c r="I3016" s="24">
        <f>IFERROR(__xludf.DUMMYFUNCTION("""COMPUTED_VALUE"""),0.09671497665899986)</f>
        <v>0.09671497666</v>
      </c>
    </row>
    <row r="3017">
      <c r="A3017" s="5" t="str">
        <f>IFERROR(__xludf.DUMMYFUNCTION("""COMPUTED_VALUE"""),"39704")</f>
        <v>39704</v>
      </c>
      <c r="B3017" s="64">
        <f>IFERROR(__xludf.DUMMYFUNCTION("""COMPUTED_VALUE"""),44661.0)</f>
        <v>44661</v>
      </c>
      <c r="C3017" s="5"/>
      <c r="D3017" s="5"/>
      <c r="E3017" s="5"/>
      <c r="F3017" s="22">
        <f>IFERROR(__xludf.DUMMYFUNCTION("""COMPUTED_VALUE"""),352226.566354)</f>
        <v>352226.5664</v>
      </c>
      <c r="G3017" s="22">
        <f>IFERROR(__xludf.DUMMYFUNCTION("""COMPUTED_VALUE"""),0.0)</f>
        <v>0</v>
      </c>
      <c r="H3017" s="22">
        <f>IFERROR(__xludf.DUMMYFUNCTION("""COMPUTED_VALUE"""),548357.4883295)</f>
        <v>548357.4883</v>
      </c>
      <c r="I3017" s="24">
        <f>IFERROR(__xludf.DUMMYFUNCTION("""COMPUTED_VALUE"""),0.09671497665899986)</f>
        <v>0.09671497666</v>
      </c>
    </row>
    <row r="3018">
      <c r="A3018" s="5" t="str">
        <f>IFERROR(__xludf.DUMMYFUNCTION("""COMPUTED_VALUE"""),"39704")</f>
        <v>39704</v>
      </c>
      <c r="B3018" s="64">
        <f>IFERROR(__xludf.DUMMYFUNCTION("""COMPUTED_VALUE"""),44662.0)</f>
        <v>44662</v>
      </c>
      <c r="C3018" s="5"/>
      <c r="D3018" s="5"/>
      <c r="E3018" s="5"/>
      <c r="F3018" s="22">
        <f>IFERROR(__xludf.DUMMYFUNCTION("""COMPUTED_VALUE"""),321591.754554)</f>
        <v>321591.7546</v>
      </c>
      <c r="G3018" s="22">
        <f>IFERROR(__xludf.DUMMYFUNCTION("""COMPUTED_VALUE"""),0.0)</f>
        <v>0</v>
      </c>
      <c r="H3018" s="22">
        <f>IFERROR(__xludf.DUMMYFUNCTION("""COMPUTED_VALUE"""),555362.0806055)</f>
        <v>555362.0806</v>
      </c>
      <c r="I3018" s="24">
        <f>IFERROR(__xludf.DUMMYFUNCTION("""COMPUTED_VALUE"""),0.11072416121100015)</f>
        <v>0.1107241612</v>
      </c>
    </row>
    <row r="3019">
      <c r="A3019" s="5" t="str">
        <f>IFERROR(__xludf.DUMMYFUNCTION("""COMPUTED_VALUE"""),"39704")</f>
        <v>39704</v>
      </c>
      <c r="B3019" s="64">
        <f>IFERROR(__xludf.DUMMYFUNCTION("""COMPUTED_VALUE"""),44663.0)</f>
        <v>44663</v>
      </c>
      <c r="C3019" s="5"/>
      <c r="D3019" s="5"/>
      <c r="E3019" s="5"/>
      <c r="F3019" s="22">
        <f>IFERROR(__xludf.DUMMYFUNCTION("""COMPUTED_VALUE"""),461030.32735399995)</f>
        <v>461030.3274</v>
      </c>
      <c r="G3019" s="22">
        <f>IFERROR(__xludf.DUMMYFUNCTION("""COMPUTED_VALUE"""),0.0)</f>
        <v>0</v>
      </c>
      <c r="H3019" s="22">
        <f>IFERROR(__xludf.DUMMYFUNCTION("""COMPUTED_VALUE"""),564006.1874885)</f>
        <v>564006.1875</v>
      </c>
      <c r="I3019" s="24">
        <f>IFERROR(__xludf.DUMMYFUNCTION("""COMPUTED_VALUE"""),0.12801237497700013)</f>
        <v>0.128012375</v>
      </c>
    </row>
    <row r="3020">
      <c r="A3020" s="5" t="str">
        <f>IFERROR(__xludf.DUMMYFUNCTION("""COMPUTED_VALUE"""),"39776")</f>
        <v>39776</v>
      </c>
      <c r="B3020" s="64">
        <f>IFERROR(__xludf.DUMMYFUNCTION("""COMPUTED_VALUE"""),44597.0)</f>
        <v>44597</v>
      </c>
      <c r="C3020" s="5"/>
      <c r="D3020" s="5"/>
      <c r="E3020" s="5"/>
      <c r="F3020" s="22">
        <f>IFERROR(__xludf.DUMMYFUNCTION("""COMPUTED_VALUE"""),500000.0)</f>
        <v>500000</v>
      </c>
      <c r="G3020" s="22">
        <f>IFERROR(__xludf.DUMMYFUNCTION("""COMPUTED_VALUE"""),0.0)</f>
        <v>0</v>
      </c>
      <c r="H3020" s="22">
        <f>IFERROR(__xludf.DUMMYFUNCTION("""COMPUTED_VALUE"""),500000.0)</f>
        <v>500000</v>
      </c>
      <c r="I3020" s="24">
        <f>IFERROR(__xludf.DUMMYFUNCTION("""COMPUTED_VALUE"""),0.0)</f>
        <v>0</v>
      </c>
    </row>
    <row r="3021">
      <c r="A3021" s="5" t="str">
        <f>IFERROR(__xludf.DUMMYFUNCTION("""COMPUTED_VALUE"""),"39776")</f>
        <v>39776</v>
      </c>
      <c r="B3021" s="64">
        <f>IFERROR(__xludf.DUMMYFUNCTION("""COMPUTED_VALUE"""),44598.0)</f>
        <v>44598</v>
      </c>
      <c r="C3021" s="5"/>
      <c r="D3021" s="5"/>
      <c r="E3021" s="5"/>
      <c r="F3021" s="22">
        <f>IFERROR(__xludf.DUMMYFUNCTION("""COMPUTED_VALUE"""),500000.0)</f>
        <v>500000</v>
      </c>
      <c r="G3021" s="22">
        <f>IFERROR(__xludf.DUMMYFUNCTION("""COMPUTED_VALUE"""),0.0)</f>
        <v>0</v>
      </c>
      <c r="H3021" s="22">
        <f>IFERROR(__xludf.DUMMYFUNCTION("""COMPUTED_VALUE"""),500000.0)</f>
        <v>500000</v>
      </c>
      <c r="I3021" s="24">
        <f>IFERROR(__xludf.DUMMYFUNCTION("""COMPUTED_VALUE"""),0.0)</f>
        <v>0</v>
      </c>
    </row>
    <row r="3022">
      <c r="A3022" s="5" t="str">
        <f>IFERROR(__xludf.DUMMYFUNCTION("""COMPUTED_VALUE"""),"39776")</f>
        <v>39776</v>
      </c>
      <c r="B3022" s="64">
        <f>IFERROR(__xludf.DUMMYFUNCTION("""COMPUTED_VALUE"""),44599.0)</f>
        <v>44599</v>
      </c>
      <c r="C3022" s="5"/>
      <c r="D3022" s="5"/>
      <c r="E3022" s="5"/>
      <c r="F3022" s="22">
        <f>IFERROR(__xludf.DUMMYFUNCTION("""COMPUTED_VALUE"""),500000.0)</f>
        <v>500000</v>
      </c>
      <c r="G3022" s="22">
        <f>IFERROR(__xludf.DUMMYFUNCTION("""COMPUTED_VALUE"""),0.0)</f>
        <v>0</v>
      </c>
      <c r="H3022" s="22">
        <f>IFERROR(__xludf.DUMMYFUNCTION("""COMPUTED_VALUE"""),500000.0)</f>
        <v>500000</v>
      </c>
      <c r="I3022" s="24">
        <f>IFERROR(__xludf.DUMMYFUNCTION("""COMPUTED_VALUE"""),0.0)</f>
        <v>0</v>
      </c>
    </row>
    <row r="3023">
      <c r="A3023" s="5" t="str">
        <f>IFERROR(__xludf.DUMMYFUNCTION("""COMPUTED_VALUE"""),"39776")</f>
        <v>39776</v>
      </c>
      <c r="B3023" s="64">
        <f>IFERROR(__xludf.DUMMYFUNCTION("""COMPUTED_VALUE"""),44600.0)</f>
        <v>44600</v>
      </c>
      <c r="C3023" s="5"/>
      <c r="D3023" s="5"/>
      <c r="E3023" s="5"/>
      <c r="F3023" s="22">
        <f>IFERROR(__xludf.DUMMYFUNCTION("""COMPUTED_VALUE"""),500000.0)</f>
        <v>500000</v>
      </c>
      <c r="G3023" s="22">
        <f>IFERROR(__xludf.DUMMYFUNCTION("""COMPUTED_VALUE"""),0.0)</f>
        <v>0</v>
      </c>
      <c r="H3023" s="22">
        <f>IFERROR(__xludf.DUMMYFUNCTION("""COMPUTED_VALUE"""),500000.0)</f>
        <v>500000</v>
      </c>
      <c r="I3023" s="24">
        <f>IFERROR(__xludf.DUMMYFUNCTION("""COMPUTED_VALUE"""),0.0)</f>
        <v>0</v>
      </c>
    </row>
    <row r="3024">
      <c r="A3024" s="5" t="str">
        <f>IFERROR(__xludf.DUMMYFUNCTION("""COMPUTED_VALUE"""),"39776")</f>
        <v>39776</v>
      </c>
      <c r="B3024" s="64">
        <f>IFERROR(__xludf.DUMMYFUNCTION("""COMPUTED_VALUE"""),44601.0)</f>
        <v>44601</v>
      </c>
      <c r="C3024" s="5"/>
      <c r="D3024" s="5"/>
      <c r="E3024" s="5"/>
      <c r="F3024" s="22">
        <f>IFERROR(__xludf.DUMMYFUNCTION("""COMPUTED_VALUE"""),500000.0)</f>
        <v>500000</v>
      </c>
      <c r="G3024" s="22">
        <f>IFERROR(__xludf.DUMMYFUNCTION("""COMPUTED_VALUE"""),0.0)</f>
        <v>0</v>
      </c>
      <c r="H3024" s="22">
        <f>IFERROR(__xludf.DUMMYFUNCTION("""COMPUTED_VALUE"""),500000.0)</f>
        <v>500000</v>
      </c>
      <c r="I3024" s="24">
        <f>IFERROR(__xludf.DUMMYFUNCTION("""COMPUTED_VALUE"""),0.0)</f>
        <v>0</v>
      </c>
    </row>
    <row r="3025">
      <c r="A3025" s="5" t="str">
        <f>IFERROR(__xludf.DUMMYFUNCTION("""COMPUTED_VALUE"""),"39776")</f>
        <v>39776</v>
      </c>
      <c r="B3025" s="64">
        <f>IFERROR(__xludf.DUMMYFUNCTION("""COMPUTED_VALUE"""),44602.0)</f>
        <v>44602</v>
      </c>
      <c r="C3025" s="5"/>
      <c r="D3025" s="5"/>
      <c r="E3025" s="5"/>
      <c r="F3025" s="22">
        <f>IFERROR(__xludf.DUMMYFUNCTION("""COMPUTED_VALUE"""),500000.0)</f>
        <v>500000</v>
      </c>
      <c r="G3025" s="22">
        <f>IFERROR(__xludf.DUMMYFUNCTION("""COMPUTED_VALUE"""),0.0)</f>
        <v>0</v>
      </c>
      <c r="H3025" s="22">
        <f>IFERROR(__xludf.DUMMYFUNCTION("""COMPUTED_VALUE"""),500000.0)</f>
        <v>500000</v>
      </c>
      <c r="I3025" s="24">
        <f>IFERROR(__xludf.DUMMYFUNCTION("""COMPUTED_VALUE"""),0.0)</f>
        <v>0</v>
      </c>
    </row>
    <row r="3026">
      <c r="A3026" s="5" t="str">
        <f>IFERROR(__xludf.DUMMYFUNCTION("""COMPUTED_VALUE"""),"39776")</f>
        <v>39776</v>
      </c>
      <c r="B3026" s="64">
        <f>IFERROR(__xludf.DUMMYFUNCTION("""COMPUTED_VALUE"""),44603.0)</f>
        <v>44603</v>
      </c>
      <c r="C3026" s="5"/>
      <c r="D3026" s="5"/>
      <c r="E3026" s="5"/>
      <c r="F3026" s="22">
        <f>IFERROR(__xludf.DUMMYFUNCTION("""COMPUTED_VALUE"""),500000.0)</f>
        <v>500000</v>
      </c>
      <c r="G3026" s="22">
        <f>IFERROR(__xludf.DUMMYFUNCTION("""COMPUTED_VALUE"""),0.0)</f>
        <v>0</v>
      </c>
      <c r="H3026" s="22">
        <f>IFERROR(__xludf.DUMMYFUNCTION("""COMPUTED_VALUE"""),500000.0)</f>
        <v>500000</v>
      </c>
      <c r="I3026" s="24">
        <f>IFERROR(__xludf.DUMMYFUNCTION("""COMPUTED_VALUE"""),0.0)</f>
        <v>0</v>
      </c>
    </row>
    <row r="3027">
      <c r="A3027" s="5" t="str">
        <f>IFERROR(__xludf.DUMMYFUNCTION("""COMPUTED_VALUE"""),"39776")</f>
        <v>39776</v>
      </c>
      <c r="B3027" s="64">
        <f>IFERROR(__xludf.DUMMYFUNCTION("""COMPUTED_VALUE"""),44604.0)</f>
        <v>44604</v>
      </c>
      <c r="C3027" s="5"/>
      <c r="D3027" s="5"/>
      <c r="E3027" s="5"/>
      <c r="F3027" s="22">
        <f>IFERROR(__xludf.DUMMYFUNCTION("""COMPUTED_VALUE"""),500000.0)</f>
        <v>500000</v>
      </c>
      <c r="G3027" s="22">
        <f>IFERROR(__xludf.DUMMYFUNCTION("""COMPUTED_VALUE"""),0.0)</f>
        <v>0</v>
      </c>
      <c r="H3027" s="22">
        <f>IFERROR(__xludf.DUMMYFUNCTION("""COMPUTED_VALUE"""),500000.0)</f>
        <v>500000</v>
      </c>
      <c r="I3027" s="24">
        <f>IFERROR(__xludf.DUMMYFUNCTION("""COMPUTED_VALUE"""),0.0)</f>
        <v>0</v>
      </c>
    </row>
    <row r="3028">
      <c r="A3028" s="5" t="str">
        <f>IFERROR(__xludf.DUMMYFUNCTION("""COMPUTED_VALUE"""),"39776")</f>
        <v>39776</v>
      </c>
      <c r="B3028" s="64">
        <f>IFERROR(__xludf.DUMMYFUNCTION("""COMPUTED_VALUE"""),44605.0)</f>
        <v>44605</v>
      </c>
      <c r="C3028" s="5"/>
      <c r="D3028" s="5"/>
      <c r="E3028" s="5"/>
      <c r="F3028" s="22">
        <f>IFERROR(__xludf.DUMMYFUNCTION("""COMPUTED_VALUE"""),500000.0)</f>
        <v>500000</v>
      </c>
      <c r="G3028" s="22">
        <f>IFERROR(__xludf.DUMMYFUNCTION("""COMPUTED_VALUE"""),0.0)</f>
        <v>0</v>
      </c>
      <c r="H3028" s="22">
        <f>IFERROR(__xludf.DUMMYFUNCTION("""COMPUTED_VALUE"""),500000.0)</f>
        <v>500000</v>
      </c>
      <c r="I3028" s="24">
        <f>IFERROR(__xludf.DUMMYFUNCTION("""COMPUTED_VALUE"""),0.0)</f>
        <v>0</v>
      </c>
    </row>
    <row r="3029">
      <c r="A3029" s="5" t="str">
        <f>IFERROR(__xludf.DUMMYFUNCTION("""COMPUTED_VALUE"""),"39776")</f>
        <v>39776</v>
      </c>
      <c r="B3029" s="64">
        <f>IFERROR(__xludf.DUMMYFUNCTION("""COMPUTED_VALUE"""),44606.0)</f>
        <v>44606</v>
      </c>
      <c r="C3029" s="5"/>
      <c r="D3029" s="5"/>
      <c r="E3029" s="5"/>
      <c r="F3029" s="22">
        <f>IFERROR(__xludf.DUMMYFUNCTION("""COMPUTED_VALUE"""),500000.0)</f>
        <v>500000</v>
      </c>
      <c r="G3029" s="22">
        <f>IFERROR(__xludf.DUMMYFUNCTION("""COMPUTED_VALUE"""),0.0)</f>
        <v>0</v>
      </c>
      <c r="H3029" s="22">
        <f>IFERROR(__xludf.DUMMYFUNCTION("""COMPUTED_VALUE"""),500000.0)</f>
        <v>500000</v>
      </c>
      <c r="I3029" s="24">
        <f>IFERROR(__xludf.DUMMYFUNCTION("""COMPUTED_VALUE"""),0.0)</f>
        <v>0</v>
      </c>
    </row>
    <row r="3030">
      <c r="A3030" s="5" t="str">
        <f>IFERROR(__xludf.DUMMYFUNCTION("""COMPUTED_VALUE"""),"39776")</f>
        <v>39776</v>
      </c>
      <c r="B3030" s="64">
        <f>IFERROR(__xludf.DUMMYFUNCTION("""COMPUTED_VALUE"""),44607.0)</f>
        <v>44607</v>
      </c>
      <c r="C3030" s="5"/>
      <c r="D3030" s="5"/>
      <c r="E3030" s="5"/>
      <c r="F3030" s="22">
        <f>IFERROR(__xludf.DUMMYFUNCTION("""COMPUTED_VALUE"""),500000.0)</f>
        <v>500000</v>
      </c>
      <c r="G3030" s="22">
        <f>IFERROR(__xludf.DUMMYFUNCTION("""COMPUTED_VALUE"""),0.0)</f>
        <v>0</v>
      </c>
      <c r="H3030" s="22">
        <f>IFERROR(__xludf.DUMMYFUNCTION("""COMPUTED_VALUE"""),500000.0)</f>
        <v>500000</v>
      </c>
      <c r="I3030" s="24">
        <f>IFERROR(__xludf.DUMMYFUNCTION("""COMPUTED_VALUE"""),0.0)</f>
        <v>0</v>
      </c>
    </row>
    <row r="3031">
      <c r="A3031" s="5" t="str">
        <f>IFERROR(__xludf.DUMMYFUNCTION("""COMPUTED_VALUE"""),"39776")</f>
        <v>39776</v>
      </c>
      <c r="B3031" s="64">
        <f>IFERROR(__xludf.DUMMYFUNCTION("""COMPUTED_VALUE"""),44608.0)</f>
        <v>44608</v>
      </c>
      <c r="C3031" s="5"/>
      <c r="D3031" s="5"/>
      <c r="E3031" s="5"/>
      <c r="F3031" s="22">
        <f>IFERROR(__xludf.DUMMYFUNCTION("""COMPUTED_VALUE"""),500000.0)</f>
        <v>500000</v>
      </c>
      <c r="G3031" s="22">
        <f>IFERROR(__xludf.DUMMYFUNCTION("""COMPUTED_VALUE"""),0.0)</f>
        <v>0</v>
      </c>
      <c r="H3031" s="22">
        <f>IFERROR(__xludf.DUMMYFUNCTION("""COMPUTED_VALUE"""),500000.0)</f>
        <v>500000</v>
      </c>
      <c r="I3031" s="24">
        <f>IFERROR(__xludf.DUMMYFUNCTION("""COMPUTED_VALUE"""),0.0)</f>
        <v>0</v>
      </c>
    </row>
    <row r="3032">
      <c r="A3032" s="5" t="str">
        <f>IFERROR(__xludf.DUMMYFUNCTION("""COMPUTED_VALUE"""),"39776")</f>
        <v>39776</v>
      </c>
      <c r="B3032" s="64">
        <f>IFERROR(__xludf.DUMMYFUNCTION("""COMPUTED_VALUE"""),44609.0)</f>
        <v>44609</v>
      </c>
      <c r="C3032" s="5"/>
      <c r="D3032" s="5"/>
      <c r="E3032" s="5"/>
      <c r="F3032" s="22">
        <f>IFERROR(__xludf.DUMMYFUNCTION("""COMPUTED_VALUE"""),500000.0)</f>
        <v>500000</v>
      </c>
      <c r="G3032" s="22">
        <f>IFERROR(__xludf.DUMMYFUNCTION("""COMPUTED_VALUE"""),0.0)</f>
        <v>0</v>
      </c>
      <c r="H3032" s="22">
        <f>IFERROR(__xludf.DUMMYFUNCTION("""COMPUTED_VALUE"""),500000.0)</f>
        <v>500000</v>
      </c>
      <c r="I3032" s="24">
        <f>IFERROR(__xludf.DUMMYFUNCTION("""COMPUTED_VALUE"""),0.0)</f>
        <v>0</v>
      </c>
    </row>
    <row r="3033">
      <c r="A3033" s="5" t="str">
        <f>IFERROR(__xludf.DUMMYFUNCTION("""COMPUTED_VALUE"""),"39776")</f>
        <v>39776</v>
      </c>
      <c r="B3033" s="64">
        <f>IFERROR(__xludf.DUMMYFUNCTION("""COMPUTED_VALUE"""),44610.0)</f>
        <v>44610</v>
      </c>
      <c r="C3033" s="5"/>
      <c r="D3033" s="5"/>
      <c r="E3033" s="5"/>
      <c r="F3033" s="22">
        <f>IFERROR(__xludf.DUMMYFUNCTION("""COMPUTED_VALUE"""),500000.0)</f>
        <v>500000</v>
      </c>
      <c r="G3033" s="22">
        <f>IFERROR(__xludf.DUMMYFUNCTION("""COMPUTED_VALUE"""),0.0)</f>
        <v>0</v>
      </c>
      <c r="H3033" s="22">
        <f>IFERROR(__xludf.DUMMYFUNCTION("""COMPUTED_VALUE"""),500000.0)</f>
        <v>500000</v>
      </c>
      <c r="I3033" s="24">
        <f>IFERROR(__xludf.DUMMYFUNCTION("""COMPUTED_VALUE"""),0.0)</f>
        <v>0</v>
      </c>
    </row>
    <row r="3034">
      <c r="A3034" s="5" t="str">
        <f>IFERROR(__xludf.DUMMYFUNCTION("""COMPUTED_VALUE"""),"39776")</f>
        <v>39776</v>
      </c>
      <c r="B3034" s="64">
        <f>IFERROR(__xludf.DUMMYFUNCTION("""COMPUTED_VALUE"""),44611.0)</f>
        <v>44611</v>
      </c>
      <c r="C3034" s="5"/>
      <c r="D3034" s="5"/>
      <c r="E3034" s="5"/>
      <c r="F3034" s="22">
        <f>IFERROR(__xludf.DUMMYFUNCTION("""COMPUTED_VALUE"""),500000.0)</f>
        <v>500000</v>
      </c>
      <c r="G3034" s="22">
        <f>IFERROR(__xludf.DUMMYFUNCTION("""COMPUTED_VALUE"""),0.0)</f>
        <v>0</v>
      </c>
      <c r="H3034" s="22">
        <f>IFERROR(__xludf.DUMMYFUNCTION("""COMPUTED_VALUE"""),500000.0)</f>
        <v>500000</v>
      </c>
      <c r="I3034" s="24">
        <f>IFERROR(__xludf.DUMMYFUNCTION("""COMPUTED_VALUE"""),0.0)</f>
        <v>0</v>
      </c>
    </row>
    <row r="3035">
      <c r="A3035" s="5" t="str">
        <f>IFERROR(__xludf.DUMMYFUNCTION("""COMPUTED_VALUE"""),"39776")</f>
        <v>39776</v>
      </c>
      <c r="B3035" s="64">
        <f>IFERROR(__xludf.DUMMYFUNCTION("""COMPUTED_VALUE"""),44612.0)</f>
        <v>44612</v>
      </c>
      <c r="C3035" s="5"/>
      <c r="D3035" s="5"/>
      <c r="E3035" s="5"/>
      <c r="F3035" s="22">
        <f>IFERROR(__xludf.DUMMYFUNCTION("""COMPUTED_VALUE"""),500000.0)</f>
        <v>500000</v>
      </c>
      <c r="G3035" s="22">
        <f>IFERROR(__xludf.DUMMYFUNCTION("""COMPUTED_VALUE"""),0.0)</f>
        <v>0</v>
      </c>
      <c r="H3035" s="22">
        <f>IFERROR(__xludf.DUMMYFUNCTION("""COMPUTED_VALUE"""),500000.0)</f>
        <v>500000</v>
      </c>
      <c r="I3035" s="24">
        <f>IFERROR(__xludf.DUMMYFUNCTION("""COMPUTED_VALUE"""),0.0)</f>
        <v>0</v>
      </c>
    </row>
    <row r="3036">
      <c r="A3036" s="5" t="str">
        <f>IFERROR(__xludf.DUMMYFUNCTION("""COMPUTED_VALUE"""),"39776")</f>
        <v>39776</v>
      </c>
      <c r="B3036" s="64">
        <f>IFERROR(__xludf.DUMMYFUNCTION("""COMPUTED_VALUE"""),44613.0)</f>
        <v>44613</v>
      </c>
      <c r="C3036" s="5"/>
      <c r="D3036" s="5"/>
      <c r="E3036" s="5"/>
      <c r="F3036" s="22">
        <f>IFERROR(__xludf.DUMMYFUNCTION("""COMPUTED_VALUE"""),500000.0)</f>
        <v>500000</v>
      </c>
      <c r="G3036" s="22">
        <f>IFERROR(__xludf.DUMMYFUNCTION("""COMPUTED_VALUE"""),0.0)</f>
        <v>0</v>
      </c>
      <c r="H3036" s="22">
        <f>IFERROR(__xludf.DUMMYFUNCTION("""COMPUTED_VALUE"""),500000.0)</f>
        <v>500000</v>
      </c>
      <c r="I3036" s="24">
        <f>IFERROR(__xludf.DUMMYFUNCTION("""COMPUTED_VALUE"""),0.0)</f>
        <v>0</v>
      </c>
    </row>
    <row r="3037">
      <c r="A3037" s="5" t="str">
        <f>IFERROR(__xludf.DUMMYFUNCTION("""COMPUTED_VALUE"""),"39776")</f>
        <v>39776</v>
      </c>
      <c r="B3037" s="64">
        <f>IFERROR(__xludf.DUMMYFUNCTION("""COMPUTED_VALUE"""),44614.0)</f>
        <v>44614</v>
      </c>
      <c r="C3037" s="5"/>
      <c r="D3037" s="5"/>
      <c r="E3037" s="5"/>
      <c r="F3037" s="22">
        <f>IFERROR(__xludf.DUMMYFUNCTION("""COMPUTED_VALUE"""),500000.0)</f>
        <v>500000</v>
      </c>
      <c r="G3037" s="22">
        <f>IFERROR(__xludf.DUMMYFUNCTION("""COMPUTED_VALUE"""),0.0)</f>
        <v>0</v>
      </c>
      <c r="H3037" s="22">
        <f>IFERROR(__xludf.DUMMYFUNCTION("""COMPUTED_VALUE"""),500000.0)</f>
        <v>500000</v>
      </c>
      <c r="I3037" s="24">
        <f>IFERROR(__xludf.DUMMYFUNCTION("""COMPUTED_VALUE"""),0.0)</f>
        <v>0</v>
      </c>
    </row>
    <row r="3038">
      <c r="A3038" s="5" t="str">
        <f>IFERROR(__xludf.DUMMYFUNCTION("""COMPUTED_VALUE"""),"39776")</f>
        <v>39776</v>
      </c>
      <c r="B3038" s="64">
        <f>IFERROR(__xludf.DUMMYFUNCTION("""COMPUTED_VALUE"""),44615.0)</f>
        <v>44615</v>
      </c>
      <c r="C3038" s="5"/>
      <c r="D3038" s="5"/>
      <c r="E3038" s="5"/>
      <c r="F3038" s="22">
        <f>IFERROR(__xludf.DUMMYFUNCTION("""COMPUTED_VALUE"""),500000.0)</f>
        <v>500000</v>
      </c>
      <c r="G3038" s="22">
        <f>IFERROR(__xludf.DUMMYFUNCTION("""COMPUTED_VALUE"""),0.0)</f>
        <v>0</v>
      </c>
      <c r="H3038" s="22">
        <f>IFERROR(__xludf.DUMMYFUNCTION("""COMPUTED_VALUE"""),500000.0)</f>
        <v>500000</v>
      </c>
      <c r="I3038" s="24">
        <f>IFERROR(__xludf.DUMMYFUNCTION("""COMPUTED_VALUE"""),0.0)</f>
        <v>0</v>
      </c>
    </row>
    <row r="3039">
      <c r="A3039" s="5" t="str">
        <f>IFERROR(__xludf.DUMMYFUNCTION("""COMPUTED_VALUE"""),"39776")</f>
        <v>39776</v>
      </c>
      <c r="B3039" s="64">
        <f>IFERROR(__xludf.DUMMYFUNCTION("""COMPUTED_VALUE"""),44616.0)</f>
        <v>44616</v>
      </c>
      <c r="C3039" s="5"/>
      <c r="D3039" s="5"/>
      <c r="E3039" s="5"/>
      <c r="F3039" s="22">
        <f>IFERROR(__xludf.DUMMYFUNCTION("""COMPUTED_VALUE"""),500000.0)</f>
        <v>500000</v>
      </c>
      <c r="G3039" s="22">
        <f>IFERROR(__xludf.DUMMYFUNCTION("""COMPUTED_VALUE"""),0.0)</f>
        <v>0</v>
      </c>
      <c r="H3039" s="22">
        <f>IFERROR(__xludf.DUMMYFUNCTION("""COMPUTED_VALUE"""),500000.0)</f>
        <v>500000</v>
      </c>
      <c r="I3039" s="24">
        <f>IFERROR(__xludf.DUMMYFUNCTION("""COMPUTED_VALUE"""),0.0)</f>
        <v>0</v>
      </c>
    </row>
    <row r="3040">
      <c r="A3040" s="5" t="str">
        <f>IFERROR(__xludf.DUMMYFUNCTION("""COMPUTED_VALUE"""),"39776")</f>
        <v>39776</v>
      </c>
      <c r="B3040" s="64">
        <f>IFERROR(__xludf.DUMMYFUNCTION("""COMPUTED_VALUE"""),44617.0)</f>
        <v>44617</v>
      </c>
      <c r="C3040" s="5"/>
      <c r="D3040" s="5"/>
      <c r="E3040" s="5"/>
      <c r="F3040" s="22">
        <f>IFERROR(__xludf.DUMMYFUNCTION("""COMPUTED_VALUE"""),500000.0)</f>
        <v>500000</v>
      </c>
      <c r="G3040" s="22">
        <f>IFERROR(__xludf.DUMMYFUNCTION("""COMPUTED_VALUE"""),0.0)</f>
        <v>0</v>
      </c>
      <c r="H3040" s="22">
        <f>IFERROR(__xludf.DUMMYFUNCTION("""COMPUTED_VALUE"""),500000.0)</f>
        <v>500000</v>
      </c>
      <c r="I3040" s="24">
        <f>IFERROR(__xludf.DUMMYFUNCTION("""COMPUTED_VALUE"""),0.0)</f>
        <v>0</v>
      </c>
    </row>
    <row r="3041">
      <c r="A3041" s="5" t="str">
        <f>IFERROR(__xludf.DUMMYFUNCTION("""COMPUTED_VALUE"""),"39776")</f>
        <v>39776</v>
      </c>
      <c r="B3041" s="64">
        <f>IFERROR(__xludf.DUMMYFUNCTION("""COMPUTED_VALUE"""),44618.0)</f>
        <v>44618</v>
      </c>
      <c r="C3041" s="5"/>
      <c r="D3041" s="5"/>
      <c r="E3041" s="5"/>
      <c r="F3041" s="22">
        <f>IFERROR(__xludf.DUMMYFUNCTION("""COMPUTED_VALUE"""),500000.0)</f>
        <v>500000</v>
      </c>
      <c r="G3041" s="22">
        <f>IFERROR(__xludf.DUMMYFUNCTION("""COMPUTED_VALUE"""),0.0)</f>
        <v>0</v>
      </c>
      <c r="H3041" s="22">
        <f>IFERROR(__xludf.DUMMYFUNCTION("""COMPUTED_VALUE"""),500000.0)</f>
        <v>500000</v>
      </c>
      <c r="I3041" s="24">
        <f>IFERROR(__xludf.DUMMYFUNCTION("""COMPUTED_VALUE"""),0.0)</f>
        <v>0</v>
      </c>
    </row>
    <row r="3042">
      <c r="A3042" s="5" t="str">
        <f>IFERROR(__xludf.DUMMYFUNCTION("""COMPUTED_VALUE"""),"39776")</f>
        <v>39776</v>
      </c>
      <c r="B3042" s="64">
        <f>IFERROR(__xludf.DUMMYFUNCTION("""COMPUTED_VALUE"""),44619.0)</f>
        <v>44619</v>
      </c>
      <c r="C3042" s="5"/>
      <c r="D3042" s="5"/>
      <c r="E3042" s="5"/>
      <c r="F3042" s="22">
        <f>IFERROR(__xludf.DUMMYFUNCTION("""COMPUTED_VALUE"""),500000.0)</f>
        <v>500000</v>
      </c>
      <c r="G3042" s="22">
        <f>IFERROR(__xludf.DUMMYFUNCTION("""COMPUTED_VALUE"""),0.0)</f>
        <v>0</v>
      </c>
      <c r="H3042" s="22">
        <f>IFERROR(__xludf.DUMMYFUNCTION("""COMPUTED_VALUE"""),500000.0)</f>
        <v>500000</v>
      </c>
      <c r="I3042" s="24">
        <f>IFERROR(__xludf.DUMMYFUNCTION("""COMPUTED_VALUE"""),0.0)</f>
        <v>0</v>
      </c>
    </row>
    <row r="3043">
      <c r="A3043" s="5" t="str">
        <f>IFERROR(__xludf.DUMMYFUNCTION("""COMPUTED_VALUE"""),"39776")</f>
        <v>39776</v>
      </c>
      <c r="B3043" s="64">
        <f>IFERROR(__xludf.DUMMYFUNCTION("""COMPUTED_VALUE"""),44620.0)</f>
        <v>44620</v>
      </c>
      <c r="C3043" s="5"/>
      <c r="D3043" s="5"/>
      <c r="E3043" s="5"/>
      <c r="F3043" s="22">
        <f>IFERROR(__xludf.DUMMYFUNCTION("""COMPUTED_VALUE"""),500000.0)</f>
        <v>500000</v>
      </c>
      <c r="G3043" s="22">
        <f>IFERROR(__xludf.DUMMYFUNCTION("""COMPUTED_VALUE"""),0.0)</f>
        <v>0</v>
      </c>
      <c r="H3043" s="22">
        <f>IFERROR(__xludf.DUMMYFUNCTION("""COMPUTED_VALUE"""),500000.0)</f>
        <v>500000</v>
      </c>
      <c r="I3043" s="24">
        <f>IFERROR(__xludf.DUMMYFUNCTION("""COMPUTED_VALUE"""),0.0)</f>
        <v>0</v>
      </c>
    </row>
    <row r="3044">
      <c r="A3044" s="5" t="str">
        <f>IFERROR(__xludf.DUMMYFUNCTION("""COMPUTED_VALUE"""),"39776")</f>
        <v>39776</v>
      </c>
      <c r="B3044" s="64">
        <f>IFERROR(__xludf.DUMMYFUNCTION("""COMPUTED_VALUE"""),44621.0)</f>
        <v>44621</v>
      </c>
      <c r="C3044" s="5"/>
      <c r="D3044" s="5"/>
      <c r="E3044" s="5"/>
      <c r="F3044" s="22">
        <f>IFERROR(__xludf.DUMMYFUNCTION("""COMPUTED_VALUE"""),500000.0)</f>
        <v>500000</v>
      </c>
      <c r="G3044" s="22">
        <f>IFERROR(__xludf.DUMMYFUNCTION("""COMPUTED_VALUE"""),0.0)</f>
        <v>0</v>
      </c>
      <c r="H3044" s="22">
        <f>IFERROR(__xludf.DUMMYFUNCTION("""COMPUTED_VALUE"""),500000.0)</f>
        <v>500000</v>
      </c>
      <c r="I3044" s="24">
        <f>IFERROR(__xludf.DUMMYFUNCTION("""COMPUTED_VALUE"""),0.0)</f>
        <v>0</v>
      </c>
    </row>
    <row r="3045">
      <c r="A3045" s="5" t="str">
        <f>IFERROR(__xludf.DUMMYFUNCTION("""COMPUTED_VALUE"""),"39776")</f>
        <v>39776</v>
      </c>
      <c r="B3045" s="64">
        <f>IFERROR(__xludf.DUMMYFUNCTION("""COMPUTED_VALUE"""),44622.0)</f>
        <v>44622</v>
      </c>
      <c r="C3045" s="5"/>
      <c r="D3045" s="5"/>
      <c r="E3045" s="5"/>
      <c r="F3045" s="22">
        <f>IFERROR(__xludf.DUMMYFUNCTION("""COMPUTED_VALUE"""),500000.0)</f>
        <v>500000</v>
      </c>
      <c r="G3045" s="22">
        <f>IFERROR(__xludf.DUMMYFUNCTION("""COMPUTED_VALUE"""),0.0)</f>
        <v>0</v>
      </c>
      <c r="H3045" s="22">
        <f>IFERROR(__xludf.DUMMYFUNCTION("""COMPUTED_VALUE"""),500000.0)</f>
        <v>500000</v>
      </c>
      <c r="I3045" s="24">
        <f>IFERROR(__xludf.DUMMYFUNCTION("""COMPUTED_VALUE"""),0.0)</f>
        <v>0</v>
      </c>
    </row>
    <row r="3046">
      <c r="A3046" s="5" t="str">
        <f>IFERROR(__xludf.DUMMYFUNCTION("""COMPUTED_VALUE"""),"39776")</f>
        <v>39776</v>
      </c>
      <c r="B3046" s="64">
        <f>IFERROR(__xludf.DUMMYFUNCTION("""COMPUTED_VALUE"""),44623.0)</f>
        <v>44623</v>
      </c>
      <c r="C3046" s="5"/>
      <c r="D3046" s="5"/>
      <c r="E3046" s="5"/>
      <c r="F3046" s="22">
        <f>IFERROR(__xludf.DUMMYFUNCTION("""COMPUTED_VALUE"""),500000.0)</f>
        <v>500000</v>
      </c>
      <c r="G3046" s="22">
        <f>IFERROR(__xludf.DUMMYFUNCTION("""COMPUTED_VALUE"""),0.0)</f>
        <v>0</v>
      </c>
      <c r="H3046" s="22">
        <f>IFERROR(__xludf.DUMMYFUNCTION("""COMPUTED_VALUE"""),500000.0)</f>
        <v>500000</v>
      </c>
      <c r="I3046" s="24">
        <f>IFERROR(__xludf.DUMMYFUNCTION("""COMPUTED_VALUE"""),0.0)</f>
        <v>0</v>
      </c>
    </row>
    <row r="3047">
      <c r="A3047" s="5" t="str">
        <f>IFERROR(__xludf.DUMMYFUNCTION("""COMPUTED_VALUE"""),"39776")</f>
        <v>39776</v>
      </c>
      <c r="B3047" s="64">
        <f>IFERROR(__xludf.DUMMYFUNCTION("""COMPUTED_VALUE"""),44624.0)</f>
        <v>44624</v>
      </c>
      <c r="C3047" s="5"/>
      <c r="D3047" s="5"/>
      <c r="E3047" s="5"/>
      <c r="F3047" s="22">
        <f>IFERROR(__xludf.DUMMYFUNCTION("""COMPUTED_VALUE"""),500000.0)</f>
        <v>500000</v>
      </c>
      <c r="G3047" s="22">
        <f>IFERROR(__xludf.DUMMYFUNCTION("""COMPUTED_VALUE"""),0.0)</f>
        <v>0</v>
      </c>
      <c r="H3047" s="22">
        <f>IFERROR(__xludf.DUMMYFUNCTION("""COMPUTED_VALUE"""),499750.0)</f>
        <v>499750</v>
      </c>
      <c r="I3047" s="24">
        <f>IFERROR(__xludf.DUMMYFUNCTION("""COMPUTED_VALUE"""),-4.999999999999449E-4)</f>
        <v>-0.0005</v>
      </c>
    </row>
    <row r="3048">
      <c r="A3048" s="5" t="str">
        <f>IFERROR(__xludf.DUMMYFUNCTION("""COMPUTED_VALUE"""),"39776")</f>
        <v>39776</v>
      </c>
      <c r="B3048" s="64">
        <f>IFERROR(__xludf.DUMMYFUNCTION("""COMPUTED_VALUE"""),44625.0)</f>
        <v>44625</v>
      </c>
      <c r="C3048" s="5"/>
      <c r="D3048" s="5"/>
      <c r="E3048" s="5"/>
      <c r="F3048" s="22">
        <f>IFERROR(__xludf.DUMMYFUNCTION("""COMPUTED_VALUE"""),500000.0)</f>
        <v>500000</v>
      </c>
      <c r="G3048" s="22">
        <f>IFERROR(__xludf.DUMMYFUNCTION("""COMPUTED_VALUE"""),0.0)</f>
        <v>0</v>
      </c>
      <c r="H3048" s="22">
        <f>IFERROR(__xludf.DUMMYFUNCTION("""COMPUTED_VALUE"""),499750.0)</f>
        <v>499750</v>
      </c>
      <c r="I3048" s="24">
        <f>IFERROR(__xludf.DUMMYFUNCTION("""COMPUTED_VALUE"""),-4.999999999999449E-4)</f>
        <v>-0.0005</v>
      </c>
    </row>
    <row r="3049">
      <c r="A3049" s="5" t="str">
        <f>IFERROR(__xludf.DUMMYFUNCTION("""COMPUTED_VALUE"""),"39776")</f>
        <v>39776</v>
      </c>
      <c r="B3049" s="64">
        <f>IFERROR(__xludf.DUMMYFUNCTION("""COMPUTED_VALUE"""),44626.0)</f>
        <v>44626</v>
      </c>
      <c r="C3049" s="5"/>
      <c r="D3049" s="5"/>
      <c r="E3049" s="5"/>
      <c r="F3049" s="22">
        <f>IFERROR(__xludf.DUMMYFUNCTION("""COMPUTED_VALUE"""),500000.0)</f>
        <v>500000</v>
      </c>
      <c r="G3049" s="22">
        <f>IFERROR(__xludf.DUMMYFUNCTION("""COMPUTED_VALUE"""),0.0)</f>
        <v>0</v>
      </c>
      <c r="H3049" s="22">
        <f>IFERROR(__xludf.DUMMYFUNCTION("""COMPUTED_VALUE"""),499750.0)</f>
        <v>499750</v>
      </c>
      <c r="I3049" s="24">
        <f>IFERROR(__xludf.DUMMYFUNCTION("""COMPUTED_VALUE"""),-4.999999999999449E-4)</f>
        <v>-0.0005</v>
      </c>
    </row>
    <row r="3050">
      <c r="A3050" s="5" t="str">
        <f>IFERROR(__xludf.DUMMYFUNCTION("""COMPUTED_VALUE"""),"39776")</f>
        <v>39776</v>
      </c>
      <c r="B3050" s="64">
        <f>IFERROR(__xludf.DUMMYFUNCTION("""COMPUTED_VALUE"""),44627.0)</f>
        <v>44627</v>
      </c>
      <c r="C3050" s="5"/>
      <c r="D3050" s="5"/>
      <c r="E3050" s="5"/>
      <c r="F3050" s="22">
        <f>IFERROR(__xludf.DUMMYFUNCTION("""COMPUTED_VALUE"""),500000.0)</f>
        <v>500000</v>
      </c>
      <c r="G3050" s="22">
        <f>IFERROR(__xludf.DUMMYFUNCTION("""COMPUTED_VALUE"""),0.0)</f>
        <v>0</v>
      </c>
      <c r="H3050" s="22">
        <f>IFERROR(__xludf.DUMMYFUNCTION("""COMPUTED_VALUE"""),498800.0)</f>
        <v>498800</v>
      </c>
      <c r="I3050" s="24">
        <f>IFERROR(__xludf.DUMMYFUNCTION("""COMPUTED_VALUE"""),-0.0023999999999999577)</f>
        <v>-0.0024</v>
      </c>
    </row>
    <row r="3051">
      <c r="A3051" s="5" t="str">
        <f>IFERROR(__xludf.DUMMYFUNCTION("""COMPUTED_VALUE"""),"39776")</f>
        <v>39776</v>
      </c>
      <c r="B3051" s="64">
        <f>IFERROR(__xludf.DUMMYFUNCTION("""COMPUTED_VALUE"""),44628.0)</f>
        <v>44628</v>
      </c>
      <c r="C3051" s="5"/>
      <c r="D3051" s="5"/>
      <c r="E3051" s="5"/>
      <c r="F3051" s="22">
        <f>IFERROR(__xludf.DUMMYFUNCTION("""COMPUTED_VALUE"""),500000.0)</f>
        <v>500000</v>
      </c>
      <c r="G3051" s="22">
        <f>IFERROR(__xludf.DUMMYFUNCTION("""COMPUTED_VALUE"""),0.0)</f>
        <v>0</v>
      </c>
      <c r="H3051" s="22">
        <f>IFERROR(__xludf.DUMMYFUNCTION("""COMPUTED_VALUE"""),498400.0)</f>
        <v>498400</v>
      </c>
      <c r="I3051" s="24">
        <f>IFERROR(__xludf.DUMMYFUNCTION("""COMPUTED_VALUE"""),-0.0031999999999999806)</f>
        <v>-0.0032</v>
      </c>
    </row>
    <row r="3052">
      <c r="A3052" s="5" t="str">
        <f>IFERROR(__xludf.DUMMYFUNCTION("""COMPUTED_VALUE"""),"39776")</f>
        <v>39776</v>
      </c>
      <c r="B3052" s="64">
        <f>IFERROR(__xludf.DUMMYFUNCTION("""COMPUTED_VALUE"""),44629.0)</f>
        <v>44629</v>
      </c>
      <c r="C3052" s="5"/>
      <c r="D3052" s="5"/>
      <c r="E3052" s="5"/>
      <c r="F3052" s="22">
        <f>IFERROR(__xludf.DUMMYFUNCTION("""COMPUTED_VALUE"""),500000.0)</f>
        <v>500000</v>
      </c>
      <c r="G3052" s="22">
        <f>IFERROR(__xludf.DUMMYFUNCTION("""COMPUTED_VALUE"""),0.0)</f>
        <v>0</v>
      </c>
      <c r="H3052" s="22">
        <f>IFERROR(__xludf.DUMMYFUNCTION("""COMPUTED_VALUE"""),498050.0)</f>
        <v>498050</v>
      </c>
      <c r="I3052" s="24">
        <f>IFERROR(__xludf.DUMMYFUNCTION("""COMPUTED_VALUE"""),-0.0039000000000000146)</f>
        <v>-0.0039</v>
      </c>
    </row>
    <row r="3053">
      <c r="A3053" s="5" t="str">
        <f>IFERROR(__xludf.DUMMYFUNCTION("""COMPUTED_VALUE"""),"39776")</f>
        <v>39776</v>
      </c>
      <c r="B3053" s="64">
        <f>IFERROR(__xludf.DUMMYFUNCTION("""COMPUTED_VALUE"""),44630.0)</f>
        <v>44630</v>
      </c>
      <c r="C3053" s="5"/>
      <c r="D3053" s="5"/>
      <c r="E3053" s="5"/>
      <c r="F3053" s="22">
        <f>IFERROR(__xludf.DUMMYFUNCTION("""COMPUTED_VALUE"""),500000.0)</f>
        <v>500000</v>
      </c>
      <c r="G3053" s="22">
        <f>IFERROR(__xludf.DUMMYFUNCTION("""COMPUTED_VALUE"""),0.0)</f>
        <v>0</v>
      </c>
      <c r="H3053" s="22">
        <f>IFERROR(__xludf.DUMMYFUNCTION("""COMPUTED_VALUE"""),499450.0)</f>
        <v>499450</v>
      </c>
      <c r="I3053" s="24">
        <f>IFERROR(__xludf.DUMMYFUNCTION("""COMPUTED_VALUE"""),-0.0010999999999999899)</f>
        <v>-0.0011</v>
      </c>
    </row>
    <row r="3054">
      <c r="A3054" s="5" t="str">
        <f>IFERROR(__xludf.DUMMYFUNCTION("""COMPUTED_VALUE"""),"39776")</f>
        <v>39776</v>
      </c>
      <c r="B3054" s="64">
        <f>IFERROR(__xludf.DUMMYFUNCTION("""COMPUTED_VALUE"""),44631.0)</f>
        <v>44631</v>
      </c>
      <c r="C3054" s="5"/>
      <c r="D3054" s="5"/>
      <c r="E3054" s="5"/>
      <c r="F3054" s="22">
        <f>IFERROR(__xludf.DUMMYFUNCTION("""COMPUTED_VALUE"""),500000.0)</f>
        <v>500000</v>
      </c>
      <c r="G3054" s="22">
        <f>IFERROR(__xludf.DUMMYFUNCTION("""COMPUTED_VALUE"""),0.0)</f>
        <v>0</v>
      </c>
      <c r="H3054" s="22">
        <f>IFERROR(__xludf.DUMMYFUNCTION("""COMPUTED_VALUE"""),498850.0)</f>
        <v>498850</v>
      </c>
      <c r="I3054" s="24">
        <f>IFERROR(__xludf.DUMMYFUNCTION("""COMPUTED_VALUE"""),-0.0022999999999999687)</f>
        <v>-0.0023</v>
      </c>
    </row>
    <row r="3055">
      <c r="A3055" s="5" t="str">
        <f>IFERROR(__xludf.DUMMYFUNCTION("""COMPUTED_VALUE"""),"39776")</f>
        <v>39776</v>
      </c>
      <c r="B3055" s="64">
        <f>IFERROR(__xludf.DUMMYFUNCTION("""COMPUTED_VALUE"""),44632.0)</f>
        <v>44632</v>
      </c>
      <c r="C3055" s="5"/>
      <c r="D3055" s="5"/>
      <c r="E3055" s="5"/>
      <c r="F3055" s="22">
        <f>IFERROR(__xludf.DUMMYFUNCTION("""COMPUTED_VALUE"""),500000.0)</f>
        <v>500000</v>
      </c>
      <c r="G3055" s="22">
        <f>IFERROR(__xludf.DUMMYFUNCTION("""COMPUTED_VALUE"""),0.0)</f>
        <v>0</v>
      </c>
      <c r="H3055" s="22">
        <f>IFERROR(__xludf.DUMMYFUNCTION("""COMPUTED_VALUE"""),498850.0)</f>
        <v>498850</v>
      </c>
      <c r="I3055" s="24">
        <f>IFERROR(__xludf.DUMMYFUNCTION("""COMPUTED_VALUE"""),-0.0022999999999999687)</f>
        <v>-0.0023</v>
      </c>
    </row>
    <row r="3056">
      <c r="A3056" s="5" t="str">
        <f>IFERROR(__xludf.DUMMYFUNCTION("""COMPUTED_VALUE"""),"39776")</f>
        <v>39776</v>
      </c>
      <c r="B3056" s="64">
        <f>IFERROR(__xludf.DUMMYFUNCTION("""COMPUTED_VALUE"""),44633.0)</f>
        <v>44633</v>
      </c>
      <c r="C3056" s="5"/>
      <c r="D3056" s="5"/>
      <c r="E3056" s="5"/>
      <c r="F3056" s="22">
        <f>IFERROR(__xludf.DUMMYFUNCTION("""COMPUTED_VALUE"""),500000.0)</f>
        <v>500000</v>
      </c>
      <c r="G3056" s="22">
        <f>IFERROR(__xludf.DUMMYFUNCTION("""COMPUTED_VALUE"""),0.0)</f>
        <v>0</v>
      </c>
      <c r="H3056" s="22">
        <f>IFERROR(__xludf.DUMMYFUNCTION("""COMPUTED_VALUE"""),498850.0)</f>
        <v>498850</v>
      </c>
      <c r="I3056" s="24">
        <f>IFERROR(__xludf.DUMMYFUNCTION("""COMPUTED_VALUE"""),-0.0022999999999999687)</f>
        <v>-0.0023</v>
      </c>
    </row>
    <row r="3057">
      <c r="A3057" s="5" t="str">
        <f>IFERROR(__xludf.DUMMYFUNCTION("""COMPUTED_VALUE"""),"39776")</f>
        <v>39776</v>
      </c>
      <c r="B3057" s="64">
        <f>IFERROR(__xludf.DUMMYFUNCTION("""COMPUTED_VALUE"""),44634.0)</f>
        <v>44634</v>
      </c>
      <c r="C3057" s="5"/>
      <c r="D3057" s="5"/>
      <c r="E3057" s="5"/>
      <c r="F3057" s="22">
        <f>IFERROR(__xludf.DUMMYFUNCTION("""COMPUTED_VALUE"""),500000.0)</f>
        <v>500000</v>
      </c>
      <c r="G3057" s="22">
        <f>IFERROR(__xludf.DUMMYFUNCTION("""COMPUTED_VALUE"""),0.0)</f>
        <v>0</v>
      </c>
      <c r="H3057" s="22">
        <f>IFERROR(__xludf.DUMMYFUNCTION("""COMPUTED_VALUE"""),497700.0)</f>
        <v>497700</v>
      </c>
      <c r="I3057" s="24">
        <f>IFERROR(__xludf.DUMMYFUNCTION("""COMPUTED_VALUE"""),-0.0046000000000000485)</f>
        <v>-0.0046</v>
      </c>
    </row>
    <row r="3058">
      <c r="A3058" s="5" t="str">
        <f>IFERROR(__xludf.DUMMYFUNCTION("""COMPUTED_VALUE"""),"39776")</f>
        <v>39776</v>
      </c>
      <c r="B3058" s="64">
        <f>IFERROR(__xludf.DUMMYFUNCTION("""COMPUTED_VALUE"""),44635.0)</f>
        <v>44635</v>
      </c>
      <c r="C3058" s="5"/>
      <c r="D3058" s="5"/>
      <c r="E3058" s="5"/>
      <c r="F3058" s="22">
        <f>IFERROR(__xludf.DUMMYFUNCTION("""COMPUTED_VALUE"""),500000.0)</f>
        <v>500000</v>
      </c>
      <c r="G3058" s="22">
        <f>IFERROR(__xludf.DUMMYFUNCTION("""COMPUTED_VALUE"""),0.0)</f>
        <v>0</v>
      </c>
      <c r="H3058" s="22">
        <f>IFERROR(__xludf.DUMMYFUNCTION("""COMPUTED_VALUE"""),496550.0)</f>
        <v>496550</v>
      </c>
      <c r="I3058" s="24">
        <f>IFERROR(__xludf.DUMMYFUNCTION("""COMPUTED_VALUE"""),-0.006900000000000017)</f>
        <v>-0.0069</v>
      </c>
    </row>
    <row r="3059">
      <c r="A3059" s="5" t="str">
        <f>IFERROR(__xludf.DUMMYFUNCTION("""COMPUTED_VALUE"""),"39776")</f>
        <v>39776</v>
      </c>
      <c r="B3059" s="64">
        <f>IFERROR(__xludf.DUMMYFUNCTION("""COMPUTED_VALUE"""),44636.0)</f>
        <v>44636</v>
      </c>
      <c r="C3059" s="5"/>
      <c r="D3059" s="5"/>
      <c r="E3059" s="5"/>
      <c r="F3059" s="22">
        <f>IFERROR(__xludf.DUMMYFUNCTION("""COMPUTED_VALUE"""),500000.0)</f>
        <v>500000</v>
      </c>
      <c r="G3059" s="22">
        <f>IFERROR(__xludf.DUMMYFUNCTION("""COMPUTED_VALUE"""),0.0)</f>
        <v>0</v>
      </c>
      <c r="H3059" s="22">
        <f>IFERROR(__xludf.DUMMYFUNCTION("""COMPUTED_VALUE"""),498150.0)</f>
        <v>498150</v>
      </c>
      <c r="I3059" s="24">
        <f>IFERROR(__xludf.DUMMYFUNCTION("""COMPUTED_VALUE"""),-0.0037000000000000366)</f>
        <v>-0.0037</v>
      </c>
    </row>
    <row r="3060">
      <c r="A3060" s="5" t="str">
        <f>IFERROR(__xludf.DUMMYFUNCTION("""COMPUTED_VALUE"""),"39776")</f>
        <v>39776</v>
      </c>
      <c r="B3060" s="64">
        <f>IFERROR(__xludf.DUMMYFUNCTION("""COMPUTED_VALUE"""),44637.0)</f>
        <v>44637</v>
      </c>
      <c r="C3060" s="5"/>
      <c r="D3060" s="5"/>
      <c r="E3060" s="5"/>
      <c r="F3060" s="22">
        <f>IFERROR(__xludf.DUMMYFUNCTION("""COMPUTED_VALUE"""),500000.0)</f>
        <v>500000</v>
      </c>
      <c r="G3060" s="22">
        <f>IFERROR(__xludf.DUMMYFUNCTION("""COMPUTED_VALUE"""),0.0)</f>
        <v>0</v>
      </c>
      <c r="H3060" s="22">
        <f>IFERROR(__xludf.DUMMYFUNCTION("""COMPUTED_VALUE"""),497850.0)</f>
        <v>497850</v>
      </c>
      <c r="I3060" s="24">
        <f>IFERROR(__xludf.DUMMYFUNCTION("""COMPUTED_VALUE"""),-0.0042999999999999705)</f>
        <v>-0.0043</v>
      </c>
    </row>
    <row r="3061">
      <c r="A3061" s="5" t="str">
        <f>IFERROR(__xludf.DUMMYFUNCTION("""COMPUTED_VALUE"""),"39776")</f>
        <v>39776</v>
      </c>
      <c r="B3061" s="64">
        <f>IFERROR(__xludf.DUMMYFUNCTION("""COMPUTED_VALUE"""),44638.0)</f>
        <v>44638</v>
      </c>
      <c r="C3061" s="5"/>
      <c r="D3061" s="5"/>
      <c r="E3061" s="5"/>
      <c r="F3061" s="22">
        <f>IFERROR(__xludf.DUMMYFUNCTION("""COMPUTED_VALUE"""),500000.0)</f>
        <v>500000</v>
      </c>
      <c r="G3061" s="22">
        <f>IFERROR(__xludf.DUMMYFUNCTION("""COMPUTED_VALUE"""),0.0)</f>
        <v>0</v>
      </c>
      <c r="H3061" s="22">
        <f>IFERROR(__xludf.DUMMYFUNCTION("""COMPUTED_VALUE"""),498300.0)</f>
        <v>498300</v>
      </c>
      <c r="I3061" s="24">
        <f>IFERROR(__xludf.DUMMYFUNCTION("""COMPUTED_VALUE"""),-0.0033999999999999586)</f>
        <v>-0.0034</v>
      </c>
    </row>
    <row r="3062">
      <c r="A3062" s="5" t="str">
        <f>IFERROR(__xludf.DUMMYFUNCTION("""COMPUTED_VALUE"""),"39776")</f>
        <v>39776</v>
      </c>
      <c r="B3062" s="64">
        <f>IFERROR(__xludf.DUMMYFUNCTION("""COMPUTED_VALUE"""),44639.0)</f>
        <v>44639</v>
      </c>
      <c r="C3062" s="5"/>
      <c r="D3062" s="5"/>
      <c r="E3062" s="5"/>
      <c r="F3062" s="22">
        <f>IFERROR(__xludf.DUMMYFUNCTION("""COMPUTED_VALUE"""),500000.0)</f>
        <v>500000</v>
      </c>
      <c r="G3062" s="22">
        <f>IFERROR(__xludf.DUMMYFUNCTION("""COMPUTED_VALUE"""),0.0)</f>
        <v>0</v>
      </c>
      <c r="H3062" s="22">
        <f>IFERROR(__xludf.DUMMYFUNCTION("""COMPUTED_VALUE"""),498300.0)</f>
        <v>498300</v>
      </c>
      <c r="I3062" s="24">
        <f>IFERROR(__xludf.DUMMYFUNCTION("""COMPUTED_VALUE"""),-0.0033999999999999586)</f>
        <v>-0.0034</v>
      </c>
    </row>
    <row r="3063">
      <c r="A3063" s="5" t="str">
        <f>IFERROR(__xludf.DUMMYFUNCTION("""COMPUTED_VALUE"""),"39776")</f>
        <v>39776</v>
      </c>
      <c r="B3063" s="64">
        <f>IFERROR(__xludf.DUMMYFUNCTION("""COMPUTED_VALUE"""),44640.0)</f>
        <v>44640</v>
      </c>
      <c r="C3063" s="5"/>
      <c r="D3063" s="5"/>
      <c r="E3063" s="5"/>
      <c r="F3063" s="22">
        <f>IFERROR(__xludf.DUMMYFUNCTION("""COMPUTED_VALUE"""),500000.0)</f>
        <v>500000</v>
      </c>
      <c r="G3063" s="22">
        <f>IFERROR(__xludf.DUMMYFUNCTION("""COMPUTED_VALUE"""),0.0)</f>
        <v>0</v>
      </c>
      <c r="H3063" s="22">
        <f>IFERROR(__xludf.DUMMYFUNCTION("""COMPUTED_VALUE"""),498300.0)</f>
        <v>498300</v>
      </c>
      <c r="I3063" s="24">
        <f>IFERROR(__xludf.DUMMYFUNCTION("""COMPUTED_VALUE"""),-0.0033999999999999586)</f>
        <v>-0.0034</v>
      </c>
    </row>
    <row r="3064">
      <c r="A3064" s="5" t="str">
        <f>IFERROR(__xludf.DUMMYFUNCTION("""COMPUTED_VALUE"""),"39776")</f>
        <v>39776</v>
      </c>
      <c r="B3064" s="64">
        <f>IFERROR(__xludf.DUMMYFUNCTION("""COMPUTED_VALUE"""),44641.0)</f>
        <v>44641</v>
      </c>
      <c r="C3064" s="5"/>
      <c r="D3064" s="5"/>
      <c r="E3064" s="5"/>
      <c r="F3064" s="22">
        <f>IFERROR(__xludf.DUMMYFUNCTION("""COMPUTED_VALUE"""),500000.0)</f>
        <v>500000</v>
      </c>
      <c r="G3064" s="22">
        <f>IFERROR(__xludf.DUMMYFUNCTION("""COMPUTED_VALUE"""),0.0)</f>
        <v>0</v>
      </c>
      <c r="H3064" s="22">
        <f>IFERROR(__xludf.DUMMYFUNCTION("""COMPUTED_VALUE"""),497800.0)</f>
        <v>497800</v>
      </c>
      <c r="I3064" s="24">
        <f>IFERROR(__xludf.DUMMYFUNCTION("""COMPUTED_VALUE"""),-0.0043999999999999595)</f>
        <v>-0.0044</v>
      </c>
    </row>
    <row r="3065">
      <c r="A3065" s="5" t="str">
        <f>IFERROR(__xludf.DUMMYFUNCTION("""COMPUTED_VALUE"""),"39776")</f>
        <v>39776</v>
      </c>
      <c r="B3065" s="64">
        <f>IFERROR(__xludf.DUMMYFUNCTION("""COMPUTED_VALUE"""),44642.0)</f>
        <v>44642</v>
      </c>
      <c r="C3065" s="5"/>
      <c r="D3065" s="5"/>
      <c r="E3065" s="5"/>
      <c r="F3065" s="22">
        <f>IFERROR(__xludf.DUMMYFUNCTION("""COMPUTED_VALUE"""),500000.0)</f>
        <v>500000</v>
      </c>
      <c r="G3065" s="22">
        <f>IFERROR(__xludf.DUMMYFUNCTION("""COMPUTED_VALUE"""),0.0)</f>
        <v>0</v>
      </c>
      <c r="H3065" s="22">
        <f>IFERROR(__xludf.DUMMYFUNCTION("""COMPUTED_VALUE"""),497850.0)</f>
        <v>497850</v>
      </c>
      <c r="I3065" s="24">
        <f>IFERROR(__xludf.DUMMYFUNCTION("""COMPUTED_VALUE"""),-0.0042999999999999705)</f>
        <v>-0.0043</v>
      </c>
    </row>
    <row r="3066">
      <c r="A3066" s="5" t="str">
        <f>IFERROR(__xludf.DUMMYFUNCTION("""COMPUTED_VALUE"""),"39776")</f>
        <v>39776</v>
      </c>
      <c r="B3066" s="64">
        <f>IFERROR(__xludf.DUMMYFUNCTION("""COMPUTED_VALUE"""),44643.0)</f>
        <v>44643</v>
      </c>
      <c r="C3066" s="5"/>
      <c r="D3066" s="5"/>
      <c r="E3066" s="5"/>
      <c r="F3066" s="22">
        <f>IFERROR(__xludf.DUMMYFUNCTION("""COMPUTED_VALUE"""),500000.0)</f>
        <v>500000</v>
      </c>
      <c r="G3066" s="22">
        <f>IFERROR(__xludf.DUMMYFUNCTION("""COMPUTED_VALUE"""),0.0)</f>
        <v>0</v>
      </c>
      <c r="H3066" s="22">
        <f>IFERROR(__xludf.DUMMYFUNCTION("""COMPUTED_VALUE"""),497950.0)</f>
        <v>497950</v>
      </c>
      <c r="I3066" s="24">
        <f>IFERROR(__xludf.DUMMYFUNCTION("""COMPUTED_VALUE"""),-0.0040999999999999925)</f>
        <v>-0.0041</v>
      </c>
    </row>
    <row r="3067">
      <c r="A3067" s="5" t="str">
        <f>IFERROR(__xludf.DUMMYFUNCTION("""COMPUTED_VALUE"""),"39776")</f>
        <v>39776</v>
      </c>
      <c r="B3067" s="64">
        <f>IFERROR(__xludf.DUMMYFUNCTION("""COMPUTED_VALUE"""),44644.0)</f>
        <v>44644</v>
      </c>
      <c r="C3067" s="5"/>
      <c r="D3067" s="5"/>
      <c r="E3067" s="5"/>
      <c r="F3067" s="22">
        <f>IFERROR(__xludf.DUMMYFUNCTION("""COMPUTED_VALUE"""),500000.0)</f>
        <v>500000</v>
      </c>
      <c r="G3067" s="22">
        <f>IFERROR(__xludf.DUMMYFUNCTION("""COMPUTED_VALUE"""),0.0)</f>
        <v>0</v>
      </c>
      <c r="H3067" s="22">
        <f>IFERROR(__xludf.DUMMYFUNCTION("""COMPUTED_VALUE"""),497750.0)</f>
        <v>497750</v>
      </c>
      <c r="I3067" s="24">
        <f>IFERROR(__xludf.DUMMYFUNCTION("""COMPUTED_VALUE"""),-0.0044999999999999485)</f>
        <v>-0.0045</v>
      </c>
    </row>
    <row r="3068">
      <c r="A3068" s="5" t="str">
        <f>IFERROR(__xludf.DUMMYFUNCTION("""COMPUTED_VALUE"""),"39776")</f>
        <v>39776</v>
      </c>
      <c r="B3068" s="64">
        <f>IFERROR(__xludf.DUMMYFUNCTION("""COMPUTED_VALUE"""),44645.0)</f>
        <v>44645</v>
      </c>
      <c r="C3068" s="5"/>
      <c r="D3068" s="5"/>
      <c r="E3068" s="5"/>
      <c r="F3068" s="22">
        <f>IFERROR(__xludf.DUMMYFUNCTION("""COMPUTED_VALUE"""),500000.0)</f>
        <v>500000</v>
      </c>
      <c r="G3068" s="22">
        <f>IFERROR(__xludf.DUMMYFUNCTION("""COMPUTED_VALUE"""),0.0)</f>
        <v>0</v>
      </c>
      <c r="H3068" s="22">
        <f>IFERROR(__xludf.DUMMYFUNCTION("""COMPUTED_VALUE"""),497300.0)</f>
        <v>497300</v>
      </c>
      <c r="I3068" s="24">
        <f>IFERROR(__xludf.DUMMYFUNCTION("""COMPUTED_VALUE"""),-0.00539999999999996)</f>
        <v>-0.0054</v>
      </c>
    </row>
    <row r="3069">
      <c r="A3069" s="5" t="str">
        <f>IFERROR(__xludf.DUMMYFUNCTION("""COMPUTED_VALUE"""),"39776")</f>
        <v>39776</v>
      </c>
      <c r="B3069" s="64">
        <f>IFERROR(__xludf.DUMMYFUNCTION("""COMPUTED_VALUE"""),44646.0)</f>
        <v>44646</v>
      </c>
      <c r="C3069" s="5"/>
      <c r="D3069" s="5"/>
      <c r="E3069" s="5"/>
      <c r="F3069" s="22">
        <f>IFERROR(__xludf.DUMMYFUNCTION("""COMPUTED_VALUE"""),500000.0)</f>
        <v>500000</v>
      </c>
      <c r="G3069" s="22">
        <f>IFERROR(__xludf.DUMMYFUNCTION("""COMPUTED_VALUE"""),0.0)</f>
        <v>0</v>
      </c>
      <c r="H3069" s="22">
        <f>IFERROR(__xludf.DUMMYFUNCTION("""COMPUTED_VALUE"""),497300.0)</f>
        <v>497300</v>
      </c>
      <c r="I3069" s="24">
        <f>IFERROR(__xludf.DUMMYFUNCTION("""COMPUTED_VALUE"""),-0.00539999999999996)</f>
        <v>-0.0054</v>
      </c>
    </row>
    <row r="3070">
      <c r="A3070" s="5" t="str">
        <f>IFERROR(__xludf.DUMMYFUNCTION("""COMPUTED_VALUE"""),"39776")</f>
        <v>39776</v>
      </c>
      <c r="B3070" s="64">
        <f>IFERROR(__xludf.DUMMYFUNCTION("""COMPUTED_VALUE"""),44647.0)</f>
        <v>44647</v>
      </c>
      <c r="C3070" s="5"/>
      <c r="D3070" s="5"/>
      <c r="E3070" s="5"/>
      <c r="F3070" s="22">
        <f>IFERROR(__xludf.DUMMYFUNCTION("""COMPUTED_VALUE"""),500000.0)</f>
        <v>500000</v>
      </c>
      <c r="G3070" s="22">
        <f>IFERROR(__xludf.DUMMYFUNCTION("""COMPUTED_VALUE"""),0.0)</f>
        <v>0</v>
      </c>
      <c r="H3070" s="22">
        <f>IFERROR(__xludf.DUMMYFUNCTION("""COMPUTED_VALUE"""),497300.0)</f>
        <v>497300</v>
      </c>
      <c r="I3070" s="24">
        <f>IFERROR(__xludf.DUMMYFUNCTION("""COMPUTED_VALUE"""),-0.00539999999999996)</f>
        <v>-0.0054</v>
      </c>
    </row>
    <row r="3071">
      <c r="A3071" s="5" t="str">
        <f>IFERROR(__xludf.DUMMYFUNCTION("""COMPUTED_VALUE"""),"39776")</f>
        <v>39776</v>
      </c>
      <c r="B3071" s="64">
        <f>IFERROR(__xludf.DUMMYFUNCTION("""COMPUTED_VALUE"""),44648.0)</f>
        <v>44648</v>
      </c>
      <c r="C3071" s="5"/>
      <c r="D3071" s="5"/>
      <c r="E3071" s="5"/>
      <c r="F3071" s="22">
        <f>IFERROR(__xludf.DUMMYFUNCTION("""COMPUTED_VALUE"""),500000.0)</f>
        <v>500000</v>
      </c>
      <c r="G3071" s="22">
        <f>IFERROR(__xludf.DUMMYFUNCTION("""COMPUTED_VALUE"""),0.0)</f>
        <v>0</v>
      </c>
      <c r="H3071" s="22">
        <f>IFERROR(__xludf.DUMMYFUNCTION("""COMPUTED_VALUE"""),498150.0)</f>
        <v>498150</v>
      </c>
      <c r="I3071" s="24">
        <f>IFERROR(__xludf.DUMMYFUNCTION("""COMPUTED_VALUE"""),-0.0037000000000000366)</f>
        <v>-0.0037</v>
      </c>
    </row>
    <row r="3072">
      <c r="A3072" s="5" t="str">
        <f>IFERROR(__xludf.DUMMYFUNCTION("""COMPUTED_VALUE"""),"39776")</f>
        <v>39776</v>
      </c>
      <c r="B3072" s="64">
        <f>IFERROR(__xludf.DUMMYFUNCTION("""COMPUTED_VALUE"""),44649.0)</f>
        <v>44649</v>
      </c>
      <c r="C3072" s="5"/>
      <c r="D3072" s="5"/>
      <c r="E3072" s="5"/>
      <c r="F3072" s="22">
        <f>IFERROR(__xludf.DUMMYFUNCTION("""COMPUTED_VALUE"""),500000.0)</f>
        <v>500000</v>
      </c>
      <c r="G3072" s="22">
        <f>IFERROR(__xludf.DUMMYFUNCTION("""COMPUTED_VALUE"""),0.0)</f>
        <v>0</v>
      </c>
      <c r="H3072" s="22">
        <f>IFERROR(__xludf.DUMMYFUNCTION("""COMPUTED_VALUE"""),499150.0)</f>
        <v>499150</v>
      </c>
      <c r="I3072" s="24">
        <f>IFERROR(__xludf.DUMMYFUNCTION("""COMPUTED_VALUE"""),-0.0017000000000000348)</f>
        <v>-0.0017</v>
      </c>
    </row>
    <row r="3073">
      <c r="A3073" s="5" t="str">
        <f>IFERROR(__xludf.DUMMYFUNCTION("""COMPUTED_VALUE"""),"39776")</f>
        <v>39776</v>
      </c>
      <c r="B3073" s="64">
        <f>IFERROR(__xludf.DUMMYFUNCTION("""COMPUTED_VALUE"""),44650.0)</f>
        <v>44650</v>
      </c>
      <c r="C3073" s="5"/>
      <c r="D3073" s="5"/>
      <c r="E3073" s="5"/>
      <c r="F3073" s="22">
        <f>IFERROR(__xludf.DUMMYFUNCTION("""COMPUTED_VALUE"""),500000.0)</f>
        <v>500000</v>
      </c>
      <c r="G3073" s="22">
        <f>IFERROR(__xludf.DUMMYFUNCTION("""COMPUTED_VALUE"""),0.0)</f>
        <v>0</v>
      </c>
      <c r="H3073" s="22">
        <f>IFERROR(__xludf.DUMMYFUNCTION("""COMPUTED_VALUE"""),502600.0)</f>
        <v>502600</v>
      </c>
      <c r="I3073" s="24">
        <f>IFERROR(__xludf.DUMMYFUNCTION("""COMPUTED_VALUE"""),0.0052000000000000934)</f>
        <v>0.0052</v>
      </c>
    </row>
    <row r="3074">
      <c r="A3074" s="5" t="str">
        <f>IFERROR(__xludf.DUMMYFUNCTION("""COMPUTED_VALUE"""),"39776")</f>
        <v>39776</v>
      </c>
      <c r="B3074" s="64">
        <f>IFERROR(__xludf.DUMMYFUNCTION("""COMPUTED_VALUE"""),44651.0)</f>
        <v>44651</v>
      </c>
      <c r="C3074" s="5"/>
      <c r="D3074" s="5"/>
      <c r="E3074" s="5"/>
      <c r="F3074" s="22">
        <f>IFERROR(__xludf.DUMMYFUNCTION("""COMPUTED_VALUE"""),500000.0)</f>
        <v>500000</v>
      </c>
      <c r="G3074" s="22">
        <f>IFERROR(__xludf.DUMMYFUNCTION("""COMPUTED_VALUE"""),0.0)</f>
        <v>0</v>
      </c>
      <c r="H3074" s="22">
        <f>IFERROR(__xludf.DUMMYFUNCTION("""COMPUTED_VALUE"""),501200.0)</f>
        <v>501200</v>
      </c>
      <c r="I3074" s="24">
        <f>IFERROR(__xludf.DUMMYFUNCTION("""COMPUTED_VALUE"""),0.0023999999999999577)</f>
        <v>0.0024</v>
      </c>
    </row>
    <row r="3075">
      <c r="A3075" s="5" t="str">
        <f>IFERROR(__xludf.DUMMYFUNCTION("""COMPUTED_VALUE"""),"39776")</f>
        <v>39776</v>
      </c>
      <c r="B3075" s="64">
        <f>IFERROR(__xludf.DUMMYFUNCTION("""COMPUTED_VALUE"""),44652.0)</f>
        <v>44652</v>
      </c>
      <c r="C3075" s="5"/>
      <c r="D3075" s="5"/>
      <c r="E3075" s="5"/>
      <c r="F3075" s="22">
        <f>IFERROR(__xludf.DUMMYFUNCTION("""COMPUTED_VALUE"""),500000.0)</f>
        <v>500000</v>
      </c>
      <c r="G3075" s="22">
        <f>IFERROR(__xludf.DUMMYFUNCTION("""COMPUTED_VALUE"""),0.0)</f>
        <v>0</v>
      </c>
      <c r="H3075" s="22">
        <f>IFERROR(__xludf.DUMMYFUNCTION("""COMPUTED_VALUE"""),501800.0)</f>
        <v>501800</v>
      </c>
      <c r="I3075" s="24">
        <f>IFERROR(__xludf.DUMMYFUNCTION("""COMPUTED_VALUE"""),0.0036000000000000476)</f>
        <v>0.0036</v>
      </c>
    </row>
    <row r="3076">
      <c r="A3076" s="5" t="str">
        <f>IFERROR(__xludf.DUMMYFUNCTION("""COMPUTED_VALUE"""),"39776")</f>
        <v>39776</v>
      </c>
      <c r="B3076" s="64">
        <f>IFERROR(__xludf.DUMMYFUNCTION("""COMPUTED_VALUE"""),44653.0)</f>
        <v>44653</v>
      </c>
      <c r="C3076" s="5"/>
      <c r="D3076" s="5"/>
      <c r="E3076" s="5"/>
      <c r="F3076" s="22">
        <f>IFERROR(__xludf.DUMMYFUNCTION("""COMPUTED_VALUE"""),500000.0)</f>
        <v>500000</v>
      </c>
      <c r="G3076" s="22">
        <f>IFERROR(__xludf.DUMMYFUNCTION("""COMPUTED_VALUE"""),0.0)</f>
        <v>0</v>
      </c>
      <c r="H3076" s="22">
        <f>IFERROR(__xludf.DUMMYFUNCTION("""COMPUTED_VALUE"""),501800.0)</f>
        <v>501800</v>
      </c>
      <c r="I3076" s="24">
        <f>IFERROR(__xludf.DUMMYFUNCTION("""COMPUTED_VALUE"""),0.0036000000000000476)</f>
        <v>0.0036</v>
      </c>
    </row>
    <row r="3077">
      <c r="A3077" s="5" t="str">
        <f>IFERROR(__xludf.DUMMYFUNCTION("""COMPUTED_VALUE"""),"39776")</f>
        <v>39776</v>
      </c>
      <c r="B3077" s="64">
        <f>IFERROR(__xludf.DUMMYFUNCTION("""COMPUTED_VALUE"""),44654.0)</f>
        <v>44654</v>
      </c>
      <c r="C3077" s="5"/>
      <c r="D3077" s="5"/>
      <c r="E3077" s="5"/>
      <c r="F3077" s="22">
        <f>IFERROR(__xludf.DUMMYFUNCTION("""COMPUTED_VALUE"""),500000.0)</f>
        <v>500000</v>
      </c>
      <c r="G3077" s="22">
        <f>IFERROR(__xludf.DUMMYFUNCTION("""COMPUTED_VALUE"""),0.0)</f>
        <v>0</v>
      </c>
      <c r="H3077" s="22">
        <f>IFERROR(__xludf.DUMMYFUNCTION("""COMPUTED_VALUE"""),501800.0)</f>
        <v>501800</v>
      </c>
      <c r="I3077" s="24">
        <f>IFERROR(__xludf.DUMMYFUNCTION("""COMPUTED_VALUE"""),0.0036000000000000476)</f>
        <v>0.0036</v>
      </c>
    </row>
    <row r="3078">
      <c r="A3078" s="5" t="str">
        <f>IFERROR(__xludf.DUMMYFUNCTION("""COMPUTED_VALUE"""),"39776")</f>
        <v>39776</v>
      </c>
      <c r="B3078" s="64">
        <f>IFERROR(__xludf.DUMMYFUNCTION("""COMPUTED_VALUE"""),44655.0)</f>
        <v>44655</v>
      </c>
      <c r="C3078" s="5"/>
      <c r="D3078" s="5"/>
      <c r="E3078" s="5"/>
      <c r="F3078" s="22">
        <f>IFERROR(__xludf.DUMMYFUNCTION("""COMPUTED_VALUE"""),500000.0)</f>
        <v>500000</v>
      </c>
      <c r="G3078" s="22">
        <f>IFERROR(__xludf.DUMMYFUNCTION("""COMPUTED_VALUE"""),0.0)</f>
        <v>0</v>
      </c>
      <c r="H3078" s="22">
        <f>IFERROR(__xludf.DUMMYFUNCTION("""COMPUTED_VALUE"""),503550.0)</f>
        <v>503550</v>
      </c>
      <c r="I3078" s="24">
        <f>IFERROR(__xludf.DUMMYFUNCTION("""COMPUTED_VALUE"""),0.007100000000000106)</f>
        <v>0.0071</v>
      </c>
    </row>
    <row r="3079">
      <c r="A3079" s="5" t="str">
        <f>IFERROR(__xludf.DUMMYFUNCTION("""COMPUTED_VALUE"""),"39776")</f>
        <v>39776</v>
      </c>
      <c r="B3079" s="64">
        <f>IFERROR(__xludf.DUMMYFUNCTION("""COMPUTED_VALUE"""),44656.0)</f>
        <v>44656</v>
      </c>
      <c r="C3079" s="5"/>
      <c r="D3079" s="5"/>
      <c r="E3079" s="5"/>
      <c r="F3079" s="22">
        <f>IFERROR(__xludf.DUMMYFUNCTION("""COMPUTED_VALUE"""),500000.0)</f>
        <v>500000</v>
      </c>
      <c r="G3079" s="22">
        <f>IFERROR(__xludf.DUMMYFUNCTION("""COMPUTED_VALUE"""),0.0)</f>
        <v>0</v>
      </c>
      <c r="H3079" s="22">
        <f>IFERROR(__xludf.DUMMYFUNCTION("""COMPUTED_VALUE"""),503550.0)</f>
        <v>503550</v>
      </c>
      <c r="I3079" s="24">
        <f>IFERROR(__xludf.DUMMYFUNCTION("""COMPUTED_VALUE"""),0.007100000000000106)</f>
        <v>0.0071</v>
      </c>
    </row>
    <row r="3080">
      <c r="A3080" s="5" t="str">
        <f>IFERROR(__xludf.DUMMYFUNCTION("""COMPUTED_VALUE"""),"39776")</f>
        <v>39776</v>
      </c>
      <c r="B3080" s="64">
        <f>IFERROR(__xludf.DUMMYFUNCTION("""COMPUTED_VALUE"""),44657.0)</f>
        <v>44657</v>
      </c>
      <c r="C3080" s="5"/>
      <c r="D3080" s="5"/>
      <c r="E3080" s="5"/>
      <c r="F3080" s="22">
        <f>IFERROR(__xludf.DUMMYFUNCTION("""COMPUTED_VALUE"""),500000.0)</f>
        <v>500000</v>
      </c>
      <c r="G3080" s="22">
        <f>IFERROR(__xludf.DUMMYFUNCTION("""COMPUTED_VALUE"""),0.0)</f>
        <v>0</v>
      </c>
      <c r="H3080" s="22">
        <f>IFERROR(__xludf.DUMMYFUNCTION("""COMPUTED_VALUE"""),502100.0)</f>
        <v>502100</v>
      </c>
      <c r="I3080" s="24">
        <f>IFERROR(__xludf.DUMMYFUNCTION("""COMPUTED_VALUE"""),0.0041999999999999815)</f>
        <v>0.0042</v>
      </c>
    </row>
    <row r="3081">
      <c r="A3081" s="5" t="str">
        <f>IFERROR(__xludf.DUMMYFUNCTION("""COMPUTED_VALUE"""),"39776")</f>
        <v>39776</v>
      </c>
      <c r="B3081" s="64">
        <f>IFERROR(__xludf.DUMMYFUNCTION("""COMPUTED_VALUE"""),44658.0)</f>
        <v>44658</v>
      </c>
      <c r="C3081" s="5"/>
      <c r="D3081" s="5"/>
      <c r="E3081" s="5"/>
      <c r="F3081" s="22">
        <f>IFERROR(__xludf.DUMMYFUNCTION("""COMPUTED_VALUE"""),500000.0)</f>
        <v>500000</v>
      </c>
      <c r="G3081" s="22">
        <f>IFERROR(__xludf.DUMMYFUNCTION("""COMPUTED_VALUE"""),0.0)</f>
        <v>0</v>
      </c>
      <c r="H3081" s="22">
        <f>IFERROR(__xludf.DUMMYFUNCTION("""COMPUTED_VALUE"""),500650.0)</f>
        <v>500650</v>
      </c>
      <c r="I3081" s="24">
        <f>IFERROR(__xludf.DUMMYFUNCTION("""COMPUTED_VALUE"""),0.0013000000000000789)</f>
        <v>0.0013</v>
      </c>
    </row>
    <row r="3082">
      <c r="A3082" s="5" t="str">
        <f>IFERROR(__xludf.DUMMYFUNCTION("""COMPUTED_VALUE"""),"39776")</f>
        <v>39776</v>
      </c>
      <c r="B3082" s="64">
        <f>IFERROR(__xludf.DUMMYFUNCTION("""COMPUTED_VALUE"""),44659.0)</f>
        <v>44659</v>
      </c>
      <c r="C3082" s="5"/>
      <c r="D3082" s="5"/>
      <c r="E3082" s="5"/>
      <c r="F3082" s="22">
        <f>IFERROR(__xludf.DUMMYFUNCTION("""COMPUTED_VALUE"""),500000.0)</f>
        <v>500000</v>
      </c>
      <c r="G3082" s="22">
        <f>IFERROR(__xludf.DUMMYFUNCTION("""COMPUTED_VALUE"""),0.0)</f>
        <v>0</v>
      </c>
      <c r="H3082" s="22">
        <f>IFERROR(__xludf.DUMMYFUNCTION("""COMPUTED_VALUE"""),502150.0)</f>
        <v>502150</v>
      </c>
      <c r="I3082" s="24">
        <f>IFERROR(__xludf.DUMMYFUNCTION("""COMPUTED_VALUE"""),0.0042999999999999705)</f>
        <v>0.0043</v>
      </c>
    </row>
    <row r="3083">
      <c r="A3083" s="5" t="str">
        <f>IFERROR(__xludf.DUMMYFUNCTION("""COMPUTED_VALUE"""),"39776")</f>
        <v>39776</v>
      </c>
      <c r="B3083" s="64">
        <f>IFERROR(__xludf.DUMMYFUNCTION("""COMPUTED_VALUE"""),44660.0)</f>
        <v>44660</v>
      </c>
      <c r="C3083" s="5"/>
      <c r="D3083" s="5"/>
      <c r="E3083" s="5"/>
      <c r="F3083" s="22">
        <f>IFERROR(__xludf.DUMMYFUNCTION("""COMPUTED_VALUE"""),500000.0)</f>
        <v>500000</v>
      </c>
      <c r="G3083" s="22">
        <f>IFERROR(__xludf.DUMMYFUNCTION("""COMPUTED_VALUE"""),0.0)</f>
        <v>0</v>
      </c>
      <c r="H3083" s="22">
        <f>IFERROR(__xludf.DUMMYFUNCTION("""COMPUTED_VALUE"""),502150.0)</f>
        <v>502150</v>
      </c>
      <c r="I3083" s="24">
        <f>IFERROR(__xludf.DUMMYFUNCTION("""COMPUTED_VALUE"""),0.0042999999999999705)</f>
        <v>0.0043</v>
      </c>
    </row>
    <row r="3084">
      <c r="A3084" s="5" t="str">
        <f>IFERROR(__xludf.DUMMYFUNCTION("""COMPUTED_VALUE"""),"39776")</f>
        <v>39776</v>
      </c>
      <c r="B3084" s="64">
        <f>IFERROR(__xludf.DUMMYFUNCTION("""COMPUTED_VALUE"""),44661.0)</f>
        <v>44661</v>
      </c>
      <c r="C3084" s="5"/>
      <c r="D3084" s="5"/>
      <c r="E3084" s="5"/>
      <c r="F3084" s="22">
        <f>IFERROR(__xludf.DUMMYFUNCTION("""COMPUTED_VALUE"""),500000.0)</f>
        <v>500000</v>
      </c>
      <c r="G3084" s="22">
        <f>IFERROR(__xludf.DUMMYFUNCTION("""COMPUTED_VALUE"""),0.0)</f>
        <v>0</v>
      </c>
      <c r="H3084" s="22">
        <f>IFERROR(__xludf.DUMMYFUNCTION("""COMPUTED_VALUE"""),502150.0)</f>
        <v>502150</v>
      </c>
      <c r="I3084" s="24">
        <f>IFERROR(__xludf.DUMMYFUNCTION("""COMPUTED_VALUE"""),0.0042999999999999705)</f>
        <v>0.0043</v>
      </c>
    </row>
    <row r="3085">
      <c r="A3085" s="5" t="str">
        <f>IFERROR(__xludf.DUMMYFUNCTION("""COMPUTED_VALUE"""),"39776")</f>
        <v>39776</v>
      </c>
      <c r="B3085" s="64">
        <f>IFERROR(__xludf.DUMMYFUNCTION("""COMPUTED_VALUE"""),44662.0)</f>
        <v>44662</v>
      </c>
      <c r="C3085" s="5"/>
      <c r="D3085" s="5"/>
      <c r="E3085" s="5"/>
      <c r="F3085" s="22">
        <f>IFERROR(__xludf.DUMMYFUNCTION("""COMPUTED_VALUE"""),500000.0)</f>
        <v>500000</v>
      </c>
      <c r="G3085" s="22">
        <f>IFERROR(__xludf.DUMMYFUNCTION("""COMPUTED_VALUE"""),0.0)</f>
        <v>0</v>
      </c>
      <c r="H3085" s="22">
        <f>IFERROR(__xludf.DUMMYFUNCTION("""COMPUTED_VALUE"""),499400.0)</f>
        <v>499400</v>
      </c>
      <c r="I3085" s="24">
        <f>IFERROR(__xludf.DUMMYFUNCTION("""COMPUTED_VALUE"""),-0.0011999999999999789)</f>
        <v>-0.0012</v>
      </c>
    </row>
    <row r="3086">
      <c r="A3086" s="5" t="str">
        <f>IFERROR(__xludf.DUMMYFUNCTION("""COMPUTED_VALUE"""),"39776")</f>
        <v>39776</v>
      </c>
      <c r="B3086" s="64">
        <f>IFERROR(__xludf.DUMMYFUNCTION("""COMPUTED_VALUE"""),44663.0)</f>
        <v>44663</v>
      </c>
      <c r="C3086" s="5"/>
      <c r="D3086" s="5"/>
      <c r="E3086" s="5"/>
      <c r="F3086" s="22">
        <f>IFERROR(__xludf.DUMMYFUNCTION("""COMPUTED_VALUE"""),500000.0)</f>
        <v>500000</v>
      </c>
      <c r="G3086" s="22">
        <f>IFERROR(__xludf.DUMMYFUNCTION("""COMPUTED_VALUE"""),0.0)</f>
        <v>0</v>
      </c>
      <c r="H3086" s="22">
        <f>IFERROR(__xludf.DUMMYFUNCTION("""COMPUTED_VALUE"""),500300.0)</f>
        <v>500300</v>
      </c>
      <c r="I3086" s="24">
        <f>IFERROR(__xludf.DUMMYFUNCTION("""COMPUTED_VALUE"""),5.999999999999339E-4)</f>
        <v>0.0006</v>
      </c>
    </row>
    <row r="3087">
      <c r="A3087" s="5" t="str">
        <f>IFERROR(__xludf.DUMMYFUNCTION("""COMPUTED_VALUE"""),"39815")</f>
        <v>39815</v>
      </c>
      <c r="B3087" s="64">
        <f>IFERROR(__xludf.DUMMYFUNCTION("""COMPUTED_VALUE"""),44597.0)</f>
        <v>44597</v>
      </c>
      <c r="C3087" s="5"/>
      <c r="D3087" s="5"/>
      <c r="E3087" s="5"/>
      <c r="F3087" s="22">
        <f>IFERROR(__xludf.DUMMYFUNCTION("""COMPUTED_VALUE"""),500000.0)</f>
        <v>500000</v>
      </c>
      <c r="G3087" s="22">
        <f>IFERROR(__xludf.DUMMYFUNCTION("""COMPUTED_VALUE"""),0.0)</f>
        <v>0</v>
      </c>
      <c r="H3087" s="22">
        <f>IFERROR(__xludf.DUMMYFUNCTION("""COMPUTED_VALUE"""),500000.0)</f>
        <v>500000</v>
      </c>
      <c r="I3087" s="24">
        <f>IFERROR(__xludf.DUMMYFUNCTION("""COMPUTED_VALUE"""),0.0)</f>
        <v>0</v>
      </c>
    </row>
    <row r="3088">
      <c r="A3088" s="5" t="str">
        <f>IFERROR(__xludf.DUMMYFUNCTION("""COMPUTED_VALUE"""),"39815")</f>
        <v>39815</v>
      </c>
      <c r="B3088" s="64">
        <f>IFERROR(__xludf.DUMMYFUNCTION("""COMPUTED_VALUE"""),44598.0)</f>
        <v>44598</v>
      </c>
      <c r="C3088" s="5"/>
      <c r="D3088" s="5"/>
      <c r="E3088" s="5"/>
      <c r="F3088" s="22">
        <f>IFERROR(__xludf.DUMMYFUNCTION("""COMPUTED_VALUE"""),500000.0)</f>
        <v>500000</v>
      </c>
      <c r="G3088" s="22">
        <f>IFERROR(__xludf.DUMMYFUNCTION("""COMPUTED_VALUE"""),0.0)</f>
        <v>0</v>
      </c>
      <c r="H3088" s="22">
        <f>IFERROR(__xludf.DUMMYFUNCTION("""COMPUTED_VALUE"""),500000.0)</f>
        <v>500000</v>
      </c>
      <c r="I3088" s="24">
        <f>IFERROR(__xludf.DUMMYFUNCTION("""COMPUTED_VALUE"""),0.0)</f>
        <v>0</v>
      </c>
    </row>
    <row r="3089">
      <c r="A3089" s="5" t="str">
        <f>IFERROR(__xludf.DUMMYFUNCTION("""COMPUTED_VALUE"""),"39815")</f>
        <v>39815</v>
      </c>
      <c r="B3089" s="64">
        <f>IFERROR(__xludf.DUMMYFUNCTION("""COMPUTED_VALUE"""),44599.0)</f>
        <v>44599</v>
      </c>
      <c r="C3089" s="5"/>
      <c r="D3089" s="5"/>
      <c r="E3089" s="5"/>
      <c r="F3089" s="22">
        <f>IFERROR(__xludf.DUMMYFUNCTION("""COMPUTED_VALUE"""),500000.0)</f>
        <v>500000</v>
      </c>
      <c r="G3089" s="22">
        <f>IFERROR(__xludf.DUMMYFUNCTION("""COMPUTED_VALUE"""),0.0)</f>
        <v>0</v>
      </c>
      <c r="H3089" s="22">
        <f>IFERROR(__xludf.DUMMYFUNCTION("""COMPUTED_VALUE"""),500000.0)</f>
        <v>500000</v>
      </c>
      <c r="I3089" s="24">
        <f>IFERROR(__xludf.DUMMYFUNCTION("""COMPUTED_VALUE"""),0.0)</f>
        <v>0</v>
      </c>
    </row>
    <row r="3090">
      <c r="A3090" s="5" t="str">
        <f>IFERROR(__xludf.DUMMYFUNCTION("""COMPUTED_VALUE"""),"39815")</f>
        <v>39815</v>
      </c>
      <c r="B3090" s="64">
        <f>IFERROR(__xludf.DUMMYFUNCTION("""COMPUTED_VALUE"""),44600.0)</f>
        <v>44600</v>
      </c>
      <c r="C3090" s="5"/>
      <c r="D3090" s="5"/>
      <c r="E3090" s="5"/>
      <c r="F3090" s="22">
        <f>IFERROR(__xludf.DUMMYFUNCTION("""COMPUTED_VALUE"""),500000.0)</f>
        <v>500000</v>
      </c>
      <c r="G3090" s="22">
        <f>IFERROR(__xludf.DUMMYFUNCTION("""COMPUTED_VALUE"""),0.0)</f>
        <v>0</v>
      </c>
      <c r="H3090" s="22">
        <f>IFERROR(__xludf.DUMMYFUNCTION("""COMPUTED_VALUE"""),500000.0)</f>
        <v>500000</v>
      </c>
      <c r="I3090" s="24">
        <f>IFERROR(__xludf.DUMMYFUNCTION("""COMPUTED_VALUE"""),0.0)</f>
        <v>0</v>
      </c>
    </row>
    <row r="3091">
      <c r="A3091" s="5" t="str">
        <f>IFERROR(__xludf.DUMMYFUNCTION("""COMPUTED_VALUE"""),"39815")</f>
        <v>39815</v>
      </c>
      <c r="B3091" s="64">
        <f>IFERROR(__xludf.DUMMYFUNCTION("""COMPUTED_VALUE"""),44601.0)</f>
        <v>44601</v>
      </c>
      <c r="C3091" s="5"/>
      <c r="D3091" s="5"/>
      <c r="E3091" s="5"/>
      <c r="F3091" s="22">
        <f>IFERROR(__xludf.DUMMYFUNCTION("""COMPUTED_VALUE"""),500000.0)</f>
        <v>500000</v>
      </c>
      <c r="G3091" s="22">
        <f>IFERROR(__xludf.DUMMYFUNCTION("""COMPUTED_VALUE"""),0.0)</f>
        <v>0</v>
      </c>
      <c r="H3091" s="22">
        <f>IFERROR(__xludf.DUMMYFUNCTION("""COMPUTED_VALUE"""),500000.0)</f>
        <v>500000</v>
      </c>
      <c r="I3091" s="24">
        <f>IFERROR(__xludf.DUMMYFUNCTION("""COMPUTED_VALUE"""),0.0)</f>
        <v>0</v>
      </c>
    </row>
    <row r="3092">
      <c r="A3092" s="5" t="str">
        <f>IFERROR(__xludf.DUMMYFUNCTION("""COMPUTED_VALUE"""),"39815")</f>
        <v>39815</v>
      </c>
      <c r="B3092" s="64">
        <f>IFERROR(__xludf.DUMMYFUNCTION("""COMPUTED_VALUE"""),44602.0)</f>
        <v>44602</v>
      </c>
      <c r="C3092" s="5"/>
      <c r="D3092" s="5"/>
      <c r="E3092" s="5"/>
      <c r="F3092" s="22">
        <f>IFERROR(__xludf.DUMMYFUNCTION("""COMPUTED_VALUE"""),500000.0)</f>
        <v>500000</v>
      </c>
      <c r="G3092" s="22">
        <f>IFERROR(__xludf.DUMMYFUNCTION("""COMPUTED_VALUE"""),0.0)</f>
        <v>0</v>
      </c>
      <c r="H3092" s="22">
        <f>IFERROR(__xludf.DUMMYFUNCTION("""COMPUTED_VALUE"""),500000.0)</f>
        <v>500000</v>
      </c>
      <c r="I3092" s="24">
        <f>IFERROR(__xludf.DUMMYFUNCTION("""COMPUTED_VALUE"""),0.0)</f>
        <v>0</v>
      </c>
    </row>
    <row r="3093">
      <c r="A3093" s="5" t="str">
        <f>IFERROR(__xludf.DUMMYFUNCTION("""COMPUTED_VALUE"""),"39815")</f>
        <v>39815</v>
      </c>
      <c r="B3093" s="64">
        <f>IFERROR(__xludf.DUMMYFUNCTION("""COMPUTED_VALUE"""),44603.0)</f>
        <v>44603</v>
      </c>
      <c r="C3093" s="5"/>
      <c r="D3093" s="5"/>
      <c r="E3093" s="5"/>
      <c r="F3093" s="22">
        <f>IFERROR(__xludf.DUMMYFUNCTION("""COMPUTED_VALUE"""),500000.0)</f>
        <v>500000</v>
      </c>
      <c r="G3093" s="22">
        <f>IFERROR(__xludf.DUMMYFUNCTION("""COMPUTED_VALUE"""),0.0)</f>
        <v>0</v>
      </c>
      <c r="H3093" s="22">
        <f>IFERROR(__xludf.DUMMYFUNCTION("""COMPUTED_VALUE"""),500000.0)</f>
        <v>500000</v>
      </c>
      <c r="I3093" s="24">
        <f>IFERROR(__xludf.DUMMYFUNCTION("""COMPUTED_VALUE"""),0.0)</f>
        <v>0</v>
      </c>
    </row>
    <row r="3094">
      <c r="A3094" s="5" t="str">
        <f>IFERROR(__xludf.DUMMYFUNCTION("""COMPUTED_VALUE"""),"39815")</f>
        <v>39815</v>
      </c>
      <c r="B3094" s="64">
        <f>IFERROR(__xludf.DUMMYFUNCTION("""COMPUTED_VALUE"""),44604.0)</f>
        <v>44604</v>
      </c>
      <c r="C3094" s="5"/>
      <c r="D3094" s="5"/>
      <c r="E3094" s="5"/>
      <c r="F3094" s="22">
        <f>IFERROR(__xludf.DUMMYFUNCTION("""COMPUTED_VALUE"""),500000.0)</f>
        <v>500000</v>
      </c>
      <c r="G3094" s="22">
        <f>IFERROR(__xludf.DUMMYFUNCTION("""COMPUTED_VALUE"""),0.0)</f>
        <v>0</v>
      </c>
      <c r="H3094" s="22">
        <f>IFERROR(__xludf.DUMMYFUNCTION("""COMPUTED_VALUE"""),500000.0)</f>
        <v>500000</v>
      </c>
      <c r="I3094" s="24">
        <f>IFERROR(__xludf.DUMMYFUNCTION("""COMPUTED_VALUE"""),0.0)</f>
        <v>0</v>
      </c>
    </row>
    <row r="3095">
      <c r="A3095" s="5" t="str">
        <f>IFERROR(__xludf.DUMMYFUNCTION("""COMPUTED_VALUE"""),"39815")</f>
        <v>39815</v>
      </c>
      <c r="B3095" s="64">
        <f>IFERROR(__xludf.DUMMYFUNCTION("""COMPUTED_VALUE"""),44605.0)</f>
        <v>44605</v>
      </c>
      <c r="C3095" s="5"/>
      <c r="D3095" s="5"/>
      <c r="E3095" s="5"/>
      <c r="F3095" s="22">
        <f>IFERROR(__xludf.DUMMYFUNCTION("""COMPUTED_VALUE"""),500000.0)</f>
        <v>500000</v>
      </c>
      <c r="G3095" s="22">
        <f>IFERROR(__xludf.DUMMYFUNCTION("""COMPUTED_VALUE"""),0.0)</f>
        <v>0</v>
      </c>
      <c r="H3095" s="22">
        <f>IFERROR(__xludf.DUMMYFUNCTION("""COMPUTED_VALUE"""),500000.0)</f>
        <v>500000</v>
      </c>
      <c r="I3095" s="24">
        <f>IFERROR(__xludf.DUMMYFUNCTION("""COMPUTED_VALUE"""),0.0)</f>
        <v>0</v>
      </c>
    </row>
    <row r="3096">
      <c r="A3096" s="5" t="str">
        <f>IFERROR(__xludf.DUMMYFUNCTION("""COMPUTED_VALUE"""),"39815")</f>
        <v>39815</v>
      </c>
      <c r="B3096" s="64">
        <f>IFERROR(__xludf.DUMMYFUNCTION("""COMPUTED_VALUE"""),44606.0)</f>
        <v>44606</v>
      </c>
      <c r="C3096" s="5"/>
      <c r="D3096" s="5"/>
      <c r="E3096" s="5"/>
      <c r="F3096" s="22">
        <f>IFERROR(__xludf.DUMMYFUNCTION("""COMPUTED_VALUE"""),500000.0)</f>
        <v>500000</v>
      </c>
      <c r="G3096" s="22">
        <f>IFERROR(__xludf.DUMMYFUNCTION("""COMPUTED_VALUE"""),0.0)</f>
        <v>0</v>
      </c>
      <c r="H3096" s="22">
        <f>IFERROR(__xludf.DUMMYFUNCTION("""COMPUTED_VALUE"""),500000.0)</f>
        <v>500000</v>
      </c>
      <c r="I3096" s="24">
        <f>IFERROR(__xludf.DUMMYFUNCTION("""COMPUTED_VALUE"""),0.0)</f>
        <v>0</v>
      </c>
    </row>
    <row r="3097">
      <c r="A3097" s="5" t="str">
        <f>IFERROR(__xludf.DUMMYFUNCTION("""COMPUTED_VALUE"""),"39815")</f>
        <v>39815</v>
      </c>
      <c r="B3097" s="64">
        <f>IFERROR(__xludf.DUMMYFUNCTION("""COMPUTED_VALUE"""),44607.0)</f>
        <v>44607</v>
      </c>
      <c r="C3097" s="5"/>
      <c r="D3097" s="5"/>
      <c r="E3097" s="5"/>
      <c r="F3097" s="22">
        <f>IFERROR(__xludf.DUMMYFUNCTION("""COMPUTED_VALUE"""),500000.0)</f>
        <v>500000</v>
      </c>
      <c r="G3097" s="22">
        <f>IFERROR(__xludf.DUMMYFUNCTION("""COMPUTED_VALUE"""),0.0)</f>
        <v>0</v>
      </c>
      <c r="H3097" s="22">
        <f>IFERROR(__xludf.DUMMYFUNCTION("""COMPUTED_VALUE"""),500000.0)</f>
        <v>500000</v>
      </c>
      <c r="I3097" s="24">
        <f>IFERROR(__xludf.DUMMYFUNCTION("""COMPUTED_VALUE"""),0.0)</f>
        <v>0</v>
      </c>
    </row>
    <row r="3098">
      <c r="A3098" s="5" t="str">
        <f>IFERROR(__xludf.DUMMYFUNCTION("""COMPUTED_VALUE"""),"39815")</f>
        <v>39815</v>
      </c>
      <c r="B3098" s="64">
        <f>IFERROR(__xludf.DUMMYFUNCTION("""COMPUTED_VALUE"""),44608.0)</f>
        <v>44608</v>
      </c>
      <c r="C3098" s="5"/>
      <c r="D3098" s="5"/>
      <c r="E3098" s="5"/>
      <c r="F3098" s="22">
        <f>IFERROR(__xludf.DUMMYFUNCTION("""COMPUTED_VALUE"""),500000.0)</f>
        <v>500000</v>
      </c>
      <c r="G3098" s="22">
        <f>IFERROR(__xludf.DUMMYFUNCTION("""COMPUTED_VALUE"""),0.0)</f>
        <v>0</v>
      </c>
      <c r="H3098" s="22">
        <f>IFERROR(__xludf.DUMMYFUNCTION("""COMPUTED_VALUE"""),500000.0)</f>
        <v>500000</v>
      </c>
      <c r="I3098" s="24">
        <f>IFERROR(__xludf.DUMMYFUNCTION("""COMPUTED_VALUE"""),0.0)</f>
        <v>0</v>
      </c>
    </row>
    <row r="3099">
      <c r="A3099" s="5" t="str">
        <f>IFERROR(__xludf.DUMMYFUNCTION("""COMPUTED_VALUE"""),"39815")</f>
        <v>39815</v>
      </c>
      <c r="B3099" s="64">
        <f>IFERROR(__xludf.DUMMYFUNCTION("""COMPUTED_VALUE"""),44609.0)</f>
        <v>44609</v>
      </c>
      <c r="C3099" s="5"/>
      <c r="D3099" s="5"/>
      <c r="E3099" s="5"/>
      <c r="F3099" s="22">
        <f>IFERROR(__xludf.DUMMYFUNCTION("""COMPUTED_VALUE"""),500000.0)</f>
        <v>500000</v>
      </c>
      <c r="G3099" s="22">
        <f>IFERROR(__xludf.DUMMYFUNCTION("""COMPUTED_VALUE"""),0.0)</f>
        <v>0</v>
      </c>
      <c r="H3099" s="22">
        <f>IFERROR(__xludf.DUMMYFUNCTION("""COMPUTED_VALUE"""),500000.0)</f>
        <v>500000</v>
      </c>
      <c r="I3099" s="24">
        <f>IFERROR(__xludf.DUMMYFUNCTION("""COMPUTED_VALUE"""),0.0)</f>
        <v>0</v>
      </c>
    </row>
    <row r="3100">
      <c r="A3100" s="5" t="str">
        <f>IFERROR(__xludf.DUMMYFUNCTION("""COMPUTED_VALUE"""),"39815")</f>
        <v>39815</v>
      </c>
      <c r="B3100" s="64">
        <f>IFERROR(__xludf.DUMMYFUNCTION("""COMPUTED_VALUE"""),44610.0)</f>
        <v>44610</v>
      </c>
      <c r="C3100" s="5"/>
      <c r="D3100" s="5"/>
      <c r="E3100" s="5"/>
      <c r="F3100" s="22">
        <f>IFERROR(__xludf.DUMMYFUNCTION("""COMPUTED_VALUE"""),500000.0)</f>
        <v>500000</v>
      </c>
      <c r="G3100" s="22">
        <f>IFERROR(__xludf.DUMMYFUNCTION("""COMPUTED_VALUE"""),0.0)</f>
        <v>0</v>
      </c>
      <c r="H3100" s="22">
        <f>IFERROR(__xludf.DUMMYFUNCTION("""COMPUTED_VALUE"""),500000.0)</f>
        <v>500000</v>
      </c>
      <c r="I3100" s="24">
        <f>IFERROR(__xludf.DUMMYFUNCTION("""COMPUTED_VALUE"""),0.0)</f>
        <v>0</v>
      </c>
    </row>
    <row r="3101">
      <c r="A3101" s="5" t="str">
        <f>IFERROR(__xludf.DUMMYFUNCTION("""COMPUTED_VALUE"""),"39815")</f>
        <v>39815</v>
      </c>
      <c r="B3101" s="64">
        <f>IFERROR(__xludf.DUMMYFUNCTION("""COMPUTED_VALUE"""),44611.0)</f>
        <v>44611</v>
      </c>
      <c r="C3101" s="5"/>
      <c r="D3101" s="5"/>
      <c r="E3101" s="5"/>
      <c r="F3101" s="22">
        <f>IFERROR(__xludf.DUMMYFUNCTION("""COMPUTED_VALUE"""),500000.0)</f>
        <v>500000</v>
      </c>
      <c r="G3101" s="22">
        <f>IFERROR(__xludf.DUMMYFUNCTION("""COMPUTED_VALUE"""),0.0)</f>
        <v>0</v>
      </c>
      <c r="H3101" s="22">
        <f>IFERROR(__xludf.DUMMYFUNCTION("""COMPUTED_VALUE"""),500000.0)</f>
        <v>500000</v>
      </c>
      <c r="I3101" s="24">
        <f>IFERROR(__xludf.DUMMYFUNCTION("""COMPUTED_VALUE"""),0.0)</f>
        <v>0</v>
      </c>
    </row>
    <row r="3102">
      <c r="A3102" s="5" t="str">
        <f>IFERROR(__xludf.DUMMYFUNCTION("""COMPUTED_VALUE"""),"39815")</f>
        <v>39815</v>
      </c>
      <c r="B3102" s="64">
        <f>IFERROR(__xludf.DUMMYFUNCTION("""COMPUTED_VALUE"""),44612.0)</f>
        <v>44612</v>
      </c>
      <c r="C3102" s="5"/>
      <c r="D3102" s="5"/>
      <c r="E3102" s="5"/>
      <c r="F3102" s="22">
        <f>IFERROR(__xludf.DUMMYFUNCTION("""COMPUTED_VALUE"""),500000.0)</f>
        <v>500000</v>
      </c>
      <c r="G3102" s="22">
        <f>IFERROR(__xludf.DUMMYFUNCTION("""COMPUTED_VALUE"""),0.0)</f>
        <v>0</v>
      </c>
      <c r="H3102" s="22">
        <f>IFERROR(__xludf.DUMMYFUNCTION("""COMPUTED_VALUE"""),500000.0)</f>
        <v>500000</v>
      </c>
      <c r="I3102" s="24">
        <f>IFERROR(__xludf.DUMMYFUNCTION("""COMPUTED_VALUE"""),0.0)</f>
        <v>0</v>
      </c>
    </row>
    <row r="3103">
      <c r="A3103" s="5" t="str">
        <f>IFERROR(__xludf.DUMMYFUNCTION("""COMPUTED_VALUE"""),"39815")</f>
        <v>39815</v>
      </c>
      <c r="B3103" s="64">
        <f>IFERROR(__xludf.DUMMYFUNCTION("""COMPUTED_VALUE"""),44613.0)</f>
        <v>44613</v>
      </c>
      <c r="C3103" s="5"/>
      <c r="D3103" s="5"/>
      <c r="E3103" s="5"/>
      <c r="F3103" s="22">
        <f>IFERROR(__xludf.DUMMYFUNCTION("""COMPUTED_VALUE"""),500000.0)</f>
        <v>500000</v>
      </c>
      <c r="G3103" s="22">
        <f>IFERROR(__xludf.DUMMYFUNCTION("""COMPUTED_VALUE"""),0.0)</f>
        <v>0</v>
      </c>
      <c r="H3103" s="22">
        <f>IFERROR(__xludf.DUMMYFUNCTION("""COMPUTED_VALUE"""),500000.0)</f>
        <v>500000</v>
      </c>
      <c r="I3103" s="24">
        <f>IFERROR(__xludf.DUMMYFUNCTION("""COMPUTED_VALUE"""),0.0)</f>
        <v>0</v>
      </c>
    </row>
    <row r="3104">
      <c r="A3104" s="5" t="str">
        <f>IFERROR(__xludf.DUMMYFUNCTION("""COMPUTED_VALUE"""),"39815")</f>
        <v>39815</v>
      </c>
      <c r="B3104" s="64">
        <f>IFERROR(__xludf.DUMMYFUNCTION("""COMPUTED_VALUE"""),44614.0)</f>
        <v>44614</v>
      </c>
      <c r="C3104" s="5"/>
      <c r="D3104" s="5"/>
      <c r="E3104" s="5"/>
      <c r="F3104" s="22">
        <f>IFERROR(__xludf.DUMMYFUNCTION("""COMPUTED_VALUE"""),500000.0)</f>
        <v>500000</v>
      </c>
      <c r="G3104" s="22">
        <f>IFERROR(__xludf.DUMMYFUNCTION("""COMPUTED_VALUE"""),0.0)</f>
        <v>0</v>
      </c>
      <c r="H3104" s="22">
        <f>IFERROR(__xludf.DUMMYFUNCTION("""COMPUTED_VALUE"""),500000.0)</f>
        <v>500000</v>
      </c>
      <c r="I3104" s="24">
        <f>IFERROR(__xludf.DUMMYFUNCTION("""COMPUTED_VALUE"""),0.0)</f>
        <v>0</v>
      </c>
    </row>
    <row r="3105">
      <c r="A3105" s="5" t="str">
        <f>IFERROR(__xludf.DUMMYFUNCTION("""COMPUTED_VALUE"""),"39815")</f>
        <v>39815</v>
      </c>
      <c r="B3105" s="64">
        <f>IFERROR(__xludf.DUMMYFUNCTION("""COMPUTED_VALUE"""),44615.0)</f>
        <v>44615</v>
      </c>
      <c r="C3105" s="5"/>
      <c r="D3105" s="5"/>
      <c r="E3105" s="5"/>
      <c r="F3105" s="22">
        <f>IFERROR(__xludf.DUMMYFUNCTION("""COMPUTED_VALUE"""),500000.0)</f>
        <v>500000</v>
      </c>
      <c r="G3105" s="22">
        <f>IFERROR(__xludf.DUMMYFUNCTION("""COMPUTED_VALUE"""),0.0)</f>
        <v>0</v>
      </c>
      <c r="H3105" s="22">
        <f>IFERROR(__xludf.DUMMYFUNCTION("""COMPUTED_VALUE"""),500000.0)</f>
        <v>500000</v>
      </c>
      <c r="I3105" s="24">
        <f>IFERROR(__xludf.DUMMYFUNCTION("""COMPUTED_VALUE"""),0.0)</f>
        <v>0</v>
      </c>
    </row>
    <row r="3106">
      <c r="A3106" s="5" t="str">
        <f>IFERROR(__xludf.DUMMYFUNCTION("""COMPUTED_VALUE"""),"39815")</f>
        <v>39815</v>
      </c>
      <c r="B3106" s="64">
        <f>IFERROR(__xludf.DUMMYFUNCTION("""COMPUTED_VALUE"""),44616.0)</f>
        <v>44616</v>
      </c>
      <c r="C3106" s="5"/>
      <c r="D3106" s="5"/>
      <c r="E3106" s="5"/>
      <c r="F3106" s="22">
        <f>IFERROR(__xludf.DUMMYFUNCTION("""COMPUTED_VALUE"""),500000.0)</f>
        <v>500000</v>
      </c>
      <c r="G3106" s="22">
        <f>IFERROR(__xludf.DUMMYFUNCTION("""COMPUTED_VALUE"""),0.0)</f>
        <v>0</v>
      </c>
      <c r="H3106" s="22">
        <f>IFERROR(__xludf.DUMMYFUNCTION("""COMPUTED_VALUE"""),500000.0)</f>
        <v>500000</v>
      </c>
      <c r="I3106" s="24">
        <f>IFERROR(__xludf.DUMMYFUNCTION("""COMPUTED_VALUE"""),0.0)</f>
        <v>0</v>
      </c>
    </row>
    <row r="3107">
      <c r="A3107" s="5" t="str">
        <f>IFERROR(__xludf.DUMMYFUNCTION("""COMPUTED_VALUE"""),"39815")</f>
        <v>39815</v>
      </c>
      <c r="B3107" s="64">
        <f>IFERROR(__xludf.DUMMYFUNCTION("""COMPUTED_VALUE"""),44617.0)</f>
        <v>44617</v>
      </c>
      <c r="C3107" s="5"/>
      <c r="D3107" s="5"/>
      <c r="E3107" s="5"/>
      <c r="F3107" s="22">
        <f>IFERROR(__xludf.DUMMYFUNCTION("""COMPUTED_VALUE"""),500000.0)</f>
        <v>500000</v>
      </c>
      <c r="G3107" s="22">
        <f>IFERROR(__xludf.DUMMYFUNCTION("""COMPUTED_VALUE"""),0.0)</f>
        <v>0</v>
      </c>
      <c r="H3107" s="22">
        <f>IFERROR(__xludf.DUMMYFUNCTION("""COMPUTED_VALUE"""),500000.0)</f>
        <v>500000</v>
      </c>
      <c r="I3107" s="24">
        <f>IFERROR(__xludf.DUMMYFUNCTION("""COMPUTED_VALUE"""),0.0)</f>
        <v>0</v>
      </c>
    </row>
    <row r="3108">
      <c r="A3108" s="5" t="str">
        <f>IFERROR(__xludf.DUMMYFUNCTION("""COMPUTED_VALUE"""),"39815")</f>
        <v>39815</v>
      </c>
      <c r="B3108" s="64">
        <f>IFERROR(__xludf.DUMMYFUNCTION("""COMPUTED_VALUE"""),44618.0)</f>
        <v>44618</v>
      </c>
      <c r="C3108" s="5"/>
      <c r="D3108" s="5"/>
      <c r="E3108" s="5"/>
      <c r="F3108" s="22">
        <f>IFERROR(__xludf.DUMMYFUNCTION("""COMPUTED_VALUE"""),500000.0)</f>
        <v>500000</v>
      </c>
      <c r="G3108" s="22">
        <f>IFERROR(__xludf.DUMMYFUNCTION("""COMPUTED_VALUE"""),0.0)</f>
        <v>0</v>
      </c>
      <c r="H3108" s="22">
        <f>IFERROR(__xludf.DUMMYFUNCTION("""COMPUTED_VALUE"""),500000.0)</f>
        <v>500000</v>
      </c>
      <c r="I3108" s="24">
        <f>IFERROR(__xludf.DUMMYFUNCTION("""COMPUTED_VALUE"""),0.0)</f>
        <v>0</v>
      </c>
    </row>
    <row r="3109">
      <c r="A3109" s="5" t="str">
        <f>IFERROR(__xludf.DUMMYFUNCTION("""COMPUTED_VALUE"""),"39815")</f>
        <v>39815</v>
      </c>
      <c r="B3109" s="64">
        <f>IFERROR(__xludf.DUMMYFUNCTION("""COMPUTED_VALUE"""),44619.0)</f>
        <v>44619</v>
      </c>
      <c r="C3109" s="5"/>
      <c r="D3109" s="5"/>
      <c r="E3109" s="5"/>
      <c r="F3109" s="22">
        <f>IFERROR(__xludf.DUMMYFUNCTION("""COMPUTED_VALUE"""),500000.0)</f>
        <v>500000</v>
      </c>
      <c r="G3109" s="22">
        <f>IFERROR(__xludf.DUMMYFUNCTION("""COMPUTED_VALUE"""),0.0)</f>
        <v>0</v>
      </c>
      <c r="H3109" s="22">
        <f>IFERROR(__xludf.DUMMYFUNCTION("""COMPUTED_VALUE"""),500000.0)</f>
        <v>500000</v>
      </c>
      <c r="I3109" s="24">
        <f>IFERROR(__xludf.DUMMYFUNCTION("""COMPUTED_VALUE"""),0.0)</f>
        <v>0</v>
      </c>
    </row>
    <row r="3110">
      <c r="A3110" s="5" t="str">
        <f>IFERROR(__xludf.DUMMYFUNCTION("""COMPUTED_VALUE"""),"39815")</f>
        <v>39815</v>
      </c>
      <c r="B3110" s="64">
        <f>IFERROR(__xludf.DUMMYFUNCTION("""COMPUTED_VALUE"""),44620.0)</f>
        <v>44620</v>
      </c>
      <c r="C3110" s="5"/>
      <c r="D3110" s="5"/>
      <c r="E3110" s="5"/>
      <c r="F3110" s="22">
        <f>IFERROR(__xludf.DUMMYFUNCTION("""COMPUTED_VALUE"""),500000.0)</f>
        <v>500000</v>
      </c>
      <c r="G3110" s="22">
        <f>IFERROR(__xludf.DUMMYFUNCTION("""COMPUTED_VALUE"""),0.0)</f>
        <v>0</v>
      </c>
      <c r="H3110" s="22">
        <f>IFERROR(__xludf.DUMMYFUNCTION("""COMPUTED_VALUE"""),500000.0)</f>
        <v>500000</v>
      </c>
      <c r="I3110" s="24">
        <f>IFERROR(__xludf.DUMMYFUNCTION("""COMPUTED_VALUE"""),0.0)</f>
        <v>0</v>
      </c>
    </row>
    <row r="3111">
      <c r="A3111" s="5" t="str">
        <f>IFERROR(__xludf.DUMMYFUNCTION("""COMPUTED_VALUE"""),"39815")</f>
        <v>39815</v>
      </c>
      <c r="B3111" s="64">
        <f>IFERROR(__xludf.DUMMYFUNCTION("""COMPUTED_VALUE"""),44621.0)</f>
        <v>44621</v>
      </c>
      <c r="C3111" s="5"/>
      <c r="D3111" s="5"/>
      <c r="E3111" s="5"/>
      <c r="F3111" s="22">
        <f>IFERROR(__xludf.DUMMYFUNCTION("""COMPUTED_VALUE"""),500000.0)</f>
        <v>500000</v>
      </c>
      <c r="G3111" s="22">
        <f>IFERROR(__xludf.DUMMYFUNCTION("""COMPUTED_VALUE"""),0.0)</f>
        <v>0</v>
      </c>
      <c r="H3111" s="22">
        <f>IFERROR(__xludf.DUMMYFUNCTION("""COMPUTED_VALUE"""),500000.0)</f>
        <v>500000</v>
      </c>
      <c r="I3111" s="24">
        <f>IFERROR(__xludf.DUMMYFUNCTION("""COMPUTED_VALUE"""),0.0)</f>
        <v>0</v>
      </c>
    </row>
    <row r="3112">
      <c r="A3112" s="5" t="str">
        <f>IFERROR(__xludf.DUMMYFUNCTION("""COMPUTED_VALUE"""),"39815")</f>
        <v>39815</v>
      </c>
      <c r="B3112" s="64">
        <f>IFERROR(__xludf.DUMMYFUNCTION("""COMPUTED_VALUE"""),44622.0)</f>
        <v>44622</v>
      </c>
      <c r="C3112" s="5"/>
      <c r="D3112" s="5"/>
      <c r="E3112" s="5"/>
      <c r="F3112" s="22">
        <f>IFERROR(__xludf.DUMMYFUNCTION("""COMPUTED_VALUE"""),500000.0)</f>
        <v>500000</v>
      </c>
      <c r="G3112" s="22">
        <f>IFERROR(__xludf.DUMMYFUNCTION("""COMPUTED_VALUE"""),0.0)</f>
        <v>0</v>
      </c>
      <c r="H3112" s="22">
        <f>IFERROR(__xludf.DUMMYFUNCTION("""COMPUTED_VALUE"""),500000.0)</f>
        <v>500000</v>
      </c>
      <c r="I3112" s="24">
        <f>IFERROR(__xludf.DUMMYFUNCTION("""COMPUTED_VALUE"""),0.0)</f>
        <v>0</v>
      </c>
    </row>
    <row r="3113">
      <c r="A3113" s="5" t="str">
        <f>IFERROR(__xludf.DUMMYFUNCTION("""COMPUTED_VALUE"""),"39815")</f>
        <v>39815</v>
      </c>
      <c r="B3113" s="64">
        <f>IFERROR(__xludf.DUMMYFUNCTION("""COMPUTED_VALUE"""),44623.0)</f>
        <v>44623</v>
      </c>
      <c r="C3113" s="5"/>
      <c r="D3113" s="5"/>
      <c r="E3113" s="5"/>
      <c r="F3113" s="22">
        <f>IFERROR(__xludf.DUMMYFUNCTION("""COMPUTED_VALUE"""),500000.0)</f>
        <v>500000</v>
      </c>
      <c r="G3113" s="22">
        <f>IFERROR(__xludf.DUMMYFUNCTION("""COMPUTED_VALUE"""),0.0)</f>
        <v>0</v>
      </c>
      <c r="H3113" s="22">
        <f>IFERROR(__xludf.DUMMYFUNCTION("""COMPUTED_VALUE"""),500000.0)</f>
        <v>500000</v>
      </c>
      <c r="I3113" s="24">
        <f>IFERROR(__xludf.DUMMYFUNCTION("""COMPUTED_VALUE"""),0.0)</f>
        <v>0</v>
      </c>
    </row>
    <row r="3114">
      <c r="A3114" s="5" t="str">
        <f>IFERROR(__xludf.DUMMYFUNCTION("""COMPUTED_VALUE"""),"39815")</f>
        <v>39815</v>
      </c>
      <c r="B3114" s="64">
        <f>IFERROR(__xludf.DUMMYFUNCTION("""COMPUTED_VALUE"""),44624.0)</f>
        <v>44624</v>
      </c>
      <c r="C3114" s="5"/>
      <c r="D3114" s="5"/>
      <c r="E3114" s="5"/>
      <c r="F3114" s="22">
        <f>IFERROR(__xludf.DUMMYFUNCTION("""COMPUTED_VALUE"""),500000.0)</f>
        <v>500000</v>
      </c>
      <c r="G3114" s="22">
        <f>IFERROR(__xludf.DUMMYFUNCTION("""COMPUTED_VALUE"""),0.0)</f>
        <v>0</v>
      </c>
      <c r="H3114" s="22">
        <f>IFERROR(__xludf.DUMMYFUNCTION("""COMPUTED_VALUE"""),500000.0)</f>
        <v>500000</v>
      </c>
      <c r="I3114" s="24">
        <f>IFERROR(__xludf.DUMMYFUNCTION("""COMPUTED_VALUE"""),0.0)</f>
        <v>0</v>
      </c>
    </row>
    <row r="3115">
      <c r="A3115" s="5" t="str">
        <f>IFERROR(__xludf.DUMMYFUNCTION("""COMPUTED_VALUE"""),"39815")</f>
        <v>39815</v>
      </c>
      <c r="B3115" s="64">
        <f>IFERROR(__xludf.DUMMYFUNCTION("""COMPUTED_VALUE"""),44625.0)</f>
        <v>44625</v>
      </c>
      <c r="C3115" s="5"/>
      <c r="D3115" s="5"/>
      <c r="E3115" s="5"/>
      <c r="F3115" s="22">
        <f>IFERROR(__xludf.DUMMYFUNCTION("""COMPUTED_VALUE"""),500000.0)</f>
        <v>500000</v>
      </c>
      <c r="G3115" s="22">
        <f>IFERROR(__xludf.DUMMYFUNCTION("""COMPUTED_VALUE"""),0.0)</f>
        <v>0</v>
      </c>
      <c r="H3115" s="22">
        <f>IFERROR(__xludf.DUMMYFUNCTION("""COMPUTED_VALUE"""),500000.0)</f>
        <v>500000</v>
      </c>
      <c r="I3115" s="24">
        <f>IFERROR(__xludf.DUMMYFUNCTION("""COMPUTED_VALUE"""),0.0)</f>
        <v>0</v>
      </c>
    </row>
    <row r="3116">
      <c r="A3116" s="5" t="str">
        <f>IFERROR(__xludf.DUMMYFUNCTION("""COMPUTED_VALUE"""),"39815")</f>
        <v>39815</v>
      </c>
      <c r="B3116" s="64">
        <f>IFERROR(__xludf.DUMMYFUNCTION("""COMPUTED_VALUE"""),44626.0)</f>
        <v>44626</v>
      </c>
      <c r="C3116" s="5"/>
      <c r="D3116" s="5"/>
      <c r="E3116" s="5"/>
      <c r="F3116" s="22">
        <f>IFERROR(__xludf.DUMMYFUNCTION("""COMPUTED_VALUE"""),500000.0)</f>
        <v>500000</v>
      </c>
      <c r="G3116" s="22">
        <f>IFERROR(__xludf.DUMMYFUNCTION("""COMPUTED_VALUE"""),0.0)</f>
        <v>0</v>
      </c>
      <c r="H3116" s="22">
        <f>IFERROR(__xludf.DUMMYFUNCTION("""COMPUTED_VALUE"""),500000.0)</f>
        <v>500000</v>
      </c>
      <c r="I3116" s="24">
        <f>IFERROR(__xludf.DUMMYFUNCTION("""COMPUTED_VALUE"""),0.0)</f>
        <v>0</v>
      </c>
    </row>
    <row r="3117">
      <c r="A3117" s="5" t="str">
        <f>IFERROR(__xludf.DUMMYFUNCTION("""COMPUTED_VALUE"""),"39815")</f>
        <v>39815</v>
      </c>
      <c r="B3117" s="64">
        <f>IFERROR(__xludf.DUMMYFUNCTION("""COMPUTED_VALUE"""),44627.0)</f>
        <v>44627</v>
      </c>
      <c r="C3117" s="5"/>
      <c r="D3117" s="5"/>
      <c r="E3117" s="5"/>
      <c r="F3117" s="22">
        <f>IFERROR(__xludf.DUMMYFUNCTION("""COMPUTED_VALUE"""),500000.0)</f>
        <v>500000</v>
      </c>
      <c r="G3117" s="22">
        <f>IFERROR(__xludf.DUMMYFUNCTION("""COMPUTED_VALUE"""),0.0)</f>
        <v>0</v>
      </c>
      <c r="H3117" s="22">
        <f>IFERROR(__xludf.DUMMYFUNCTION("""COMPUTED_VALUE"""),500000.0)</f>
        <v>500000</v>
      </c>
      <c r="I3117" s="24">
        <f>IFERROR(__xludf.DUMMYFUNCTION("""COMPUTED_VALUE"""),0.0)</f>
        <v>0</v>
      </c>
    </row>
    <row r="3118">
      <c r="A3118" s="5" t="str">
        <f>IFERROR(__xludf.DUMMYFUNCTION("""COMPUTED_VALUE"""),"39815")</f>
        <v>39815</v>
      </c>
      <c r="B3118" s="64">
        <f>IFERROR(__xludf.DUMMYFUNCTION("""COMPUTED_VALUE"""),44628.0)</f>
        <v>44628</v>
      </c>
      <c r="C3118" s="5"/>
      <c r="D3118" s="5"/>
      <c r="E3118" s="5"/>
      <c r="F3118" s="22">
        <f>IFERROR(__xludf.DUMMYFUNCTION("""COMPUTED_VALUE"""),500000.0)</f>
        <v>500000</v>
      </c>
      <c r="G3118" s="22">
        <f>IFERROR(__xludf.DUMMYFUNCTION("""COMPUTED_VALUE"""),0.0)</f>
        <v>0</v>
      </c>
      <c r="H3118" s="22">
        <f>IFERROR(__xludf.DUMMYFUNCTION("""COMPUTED_VALUE"""),500000.0)</f>
        <v>500000</v>
      </c>
      <c r="I3118" s="24">
        <f>IFERROR(__xludf.DUMMYFUNCTION("""COMPUTED_VALUE"""),0.0)</f>
        <v>0</v>
      </c>
    </row>
    <row r="3119">
      <c r="A3119" s="5" t="str">
        <f>IFERROR(__xludf.DUMMYFUNCTION("""COMPUTED_VALUE"""),"39815")</f>
        <v>39815</v>
      </c>
      <c r="B3119" s="64">
        <f>IFERROR(__xludf.DUMMYFUNCTION("""COMPUTED_VALUE"""),44629.0)</f>
        <v>44629</v>
      </c>
      <c r="C3119" s="5"/>
      <c r="D3119" s="5"/>
      <c r="E3119" s="5"/>
      <c r="F3119" s="22">
        <f>IFERROR(__xludf.DUMMYFUNCTION("""COMPUTED_VALUE"""),500000.0)</f>
        <v>500000</v>
      </c>
      <c r="G3119" s="22">
        <f>IFERROR(__xludf.DUMMYFUNCTION("""COMPUTED_VALUE"""),0.0)</f>
        <v>0</v>
      </c>
      <c r="H3119" s="22">
        <f>IFERROR(__xludf.DUMMYFUNCTION("""COMPUTED_VALUE"""),500000.0)</f>
        <v>500000</v>
      </c>
      <c r="I3119" s="24">
        <f>IFERROR(__xludf.DUMMYFUNCTION("""COMPUTED_VALUE"""),0.0)</f>
        <v>0</v>
      </c>
    </row>
    <row r="3120">
      <c r="A3120" s="5" t="str">
        <f>IFERROR(__xludf.DUMMYFUNCTION("""COMPUTED_VALUE"""),"39815")</f>
        <v>39815</v>
      </c>
      <c r="B3120" s="64">
        <f>IFERROR(__xludf.DUMMYFUNCTION("""COMPUTED_VALUE"""),44630.0)</f>
        <v>44630</v>
      </c>
      <c r="C3120" s="5"/>
      <c r="D3120" s="5"/>
      <c r="E3120" s="5"/>
      <c r="F3120" s="22">
        <f>IFERROR(__xludf.DUMMYFUNCTION("""COMPUTED_VALUE"""),500000.0)</f>
        <v>500000</v>
      </c>
      <c r="G3120" s="22">
        <f>IFERROR(__xludf.DUMMYFUNCTION("""COMPUTED_VALUE"""),0.0)</f>
        <v>0</v>
      </c>
      <c r="H3120" s="22">
        <f>IFERROR(__xludf.DUMMYFUNCTION("""COMPUTED_VALUE"""),500000.0)</f>
        <v>500000</v>
      </c>
      <c r="I3120" s="24">
        <f>IFERROR(__xludf.DUMMYFUNCTION("""COMPUTED_VALUE"""),0.0)</f>
        <v>0</v>
      </c>
    </row>
    <row r="3121">
      <c r="A3121" s="5" t="str">
        <f>IFERROR(__xludf.DUMMYFUNCTION("""COMPUTED_VALUE"""),"39815")</f>
        <v>39815</v>
      </c>
      <c r="B3121" s="64">
        <f>IFERROR(__xludf.DUMMYFUNCTION("""COMPUTED_VALUE"""),44631.0)</f>
        <v>44631</v>
      </c>
      <c r="C3121" s="5"/>
      <c r="D3121" s="5"/>
      <c r="E3121" s="5"/>
      <c r="F3121" s="22">
        <f>IFERROR(__xludf.DUMMYFUNCTION("""COMPUTED_VALUE"""),500000.0)</f>
        <v>500000</v>
      </c>
      <c r="G3121" s="22">
        <f>IFERROR(__xludf.DUMMYFUNCTION("""COMPUTED_VALUE"""),0.0)</f>
        <v>0</v>
      </c>
      <c r="H3121" s="22">
        <f>IFERROR(__xludf.DUMMYFUNCTION("""COMPUTED_VALUE"""),500000.0)</f>
        <v>500000</v>
      </c>
      <c r="I3121" s="24">
        <f>IFERROR(__xludf.DUMMYFUNCTION("""COMPUTED_VALUE"""),0.0)</f>
        <v>0</v>
      </c>
    </row>
    <row r="3122">
      <c r="A3122" s="5" t="str">
        <f>IFERROR(__xludf.DUMMYFUNCTION("""COMPUTED_VALUE"""),"39815")</f>
        <v>39815</v>
      </c>
      <c r="B3122" s="64">
        <f>IFERROR(__xludf.DUMMYFUNCTION("""COMPUTED_VALUE"""),44632.0)</f>
        <v>44632</v>
      </c>
      <c r="C3122" s="5"/>
      <c r="D3122" s="5"/>
      <c r="E3122" s="5"/>
      <c r="F3122" s="22">
        <f>IFERROR(__xludf.DUMMYFUNCTION("""COMPUTED_VALUE"""),500000.0)</f>
        <v>500000</v>
      </c>
      <c r="G3122" s="22">
        <f>IFERROR(__xludf.DUMMYFUNCTION("""COMPUTED_VALUE"""),0.0)</f>
        <v>0</v>
      </c>
      <c r="H3122" s="22">
        <f>IFERROR(__xludf.DUMMYFUNCTION("""COMPUTED_VALUE"""),500000.0)</f>
        <v>500000</v>
      </c>
      <c r="I3122" s="24">
        <f>IFERROR(__xludf.DUMMYFUNCTION("""COMPUTED_VALUE"""),0.0)</f>
        <v>0</v>
      </c>
    </row>
    <row r="3123">
      <c r="A3123" s="5" t="str">
        <f>IFERROR(__xludf.DUMMYFUNCTION("""COMPUTED_VALUE"""),"39815")</f>
        <v>39815</v>
      </c>
      <c r="B3123" s="64">
        <f>IFERROR(__xludf.DUMMYFUNCTION("""COMPUTED_VALUE"""),44633.0)</f>
        <v>44633</v>
      </c>
      <c r="C3123" s="5"/>
      <c r="D3123" s="5"/>
      <c r="E3123" s="5"/>
      <c r="F3123" s="22">
        <f>IFERROR(__xludf.DUMMYFUNCTION("""COMPUTED_VALUE"""),500000.0)</f>
        <v>500000</v>
      </c>
      <c r="G3123" s="22">
        <f>IFERROR(__xludf.DUMMYFUNCTION("""COMPUTED_VALUE"""),0.0)</f>
        <v>0</v>
      </c>
      <c r="H3123" s="22">
        <f>IFERROR(__xludf.DUMMYFUNCTION("""COMPUTED_VALUE"""),500000.0)</f>
        <v>500000</v>
      </c>
      <c r="I3123" s="24">
        <f>IFERROR(__xludf.DUMMYFUNCTION("""COMPUTED_VALUE"""),0.0)</f>
        <v>0</v>
      </c>
    </row>
    <row r="3124">
      <c r="A3124" s="5" t="str">
        <f>IFERROR(__xludf.DUMMYFUNCTION("""COMPUTED_VALUE"""),"39815")</f>
        <v>39815</v>
      </c>
      <c r="B3124" s="64">
        <f>IFERROR(__xludf.DUMMYFUNCTION("""COMPUTED_VALUE"""),44634.0)</f>
        <v>44634</v>
      </c>
      <c r="C3124" s="5"/>
      <c r="D3124" s="5"/>
      <c r="E3124" s="5"/>
      <c r="F3124" s="22">
        <f>IFERROR(__xludf.DUMMYFUNCTION("""COMPUTED_VALUE"""),500000.0)</f>
        <v>500000</v>
      </c>
      <c r="G3124" s="22">
        <f>IFERROR(__xludf.DUMMYFUNCTION("""COMPUTED_VALUE"""),0.0)</f>
        <v>0</v>
      </c>
      <c r="H3124" s="22">
        <f>IFERROR(__xludf.DUMMYFUNCTION("""COMPUTED_VALUE"""),500000.0)</f>
        <v>500000</v>
      </c>
      <c r="I3124" s="24">
        <f>IFERROR(__xludf.DUMMYFUNCTION("""COMPUTED_VALUE"""),0.0)</f>
        <v>0</v>
      </c>
    </row>
    <row r="3125">
      <c r="A3125" s="5" t="str">
        <f>IFERROR(__xludf.DUMMYFUNCTION("""COMPUTED_VALUE"""),"39815")</f>
        <v>39815</v>
      </c>
      <c r="B3125" s="64">
        <f>IFERROR(__xludf.DUMMYFUNCTION("""COMPUTED_VALUE"""),44635.0)</f>
        <v>44635</v>
      </c>
      <c r="C3125" s="5"/>
      <c r="D3125" s="5"/>
      <c r="E3125" s="5"/>
      <c r="F3125" s="22">
        <f>IFERROR(__xludf.DUMMYFUNCTION("""COMPUTED_VALUE"""),500000.0)</f>
        <v>500000</v>
      </c>
      <c r="G3125" s="22">
        <f>IFERROR(__xludf.DUMMYFUNCTION("""COMPUTED_VALUE"""),0.0)</f>
        <v>0</v>
      </c>
      <c r="H3125" s="22">
        <f>IFERROR(__xludf.DUMMYFUNCTION("""COMPUTED_VALUE"""),500000.0)</f>
        <v>500000</v>
      </c>
      <c r="I3125" s="24">
        <f>IFERROR(__xludf.DUMMYFUNCTION("""COMPUTED_VALUE"""),0.0)</f>
        <v>0</v>
      </c>
    </row>
    <row r="3126">
      <c r="A3126" s="5" t="str">
        <f>IFERROR(__xludf.DUMMYFUNCTION("""COMPUTED_VALUE"""),"39815")</f>
        <v>39815</v>
      </c>
      <c r="B3126" s="64">
        <f>IFERROR(__xludf.DUMMYFUNCTION("""COMPUTED_VALUE"""),44636.0)</f>
        <v>44636</v>
      </c>
      <c r="C3126" s="5"/>
      <c r="D3126" s="5"/>
      <c r="E3126" s="5"/>
      <c r="F3126" s="22">
        <f>IFERROR(__xludf.DUMMYFUNCTION("""COMPUTED_VALUE"""),500000.0)</f>
        <v>500000</v>
      </c>
      <c r="G3126" s="22">
        <f>IFERROR(__xludf.DUMMYFUNCTION("""COMPUTED_VALUE"""),0.0)</f>
        <v>0</v>
      </c>
      <c r="H3126" s="22">
        <f>IFERROR(__xludf.DUMMYFUNCTION("""COMPUTED_VALUE"""),500000.0)</f>
        <v>500000</v>
      </c>
      <c r="I3126" s="24">
        <f>IFERROR(__xludf.DUMMYFUNCTION("""COMPUTED_VALUE"""),0.0)</f>
        <v>0</v>
      </c>
    </row>
    <row r="3127">
      <c r="A3127" s="5" t="str">
        <f>IFERROR(__xludf.DUMMYFUNCTION("""COMPUTED_VALUE"""),"39815")</f>
        <v>39815</v>
      </c>
      <c r="B3127" s="64">
        <f>IFERROR(__xludf.DUMMYFUNCTION("""COMPUTED_VALUE"""),44637.0)</f>
        <v>44637</v>
      </c>
      <c r="C3127" s="5"/>
      <c r="D3127" s="5"/>
      <c r="E3127" s="5"/>
      <c r="F3127" s="22">
        <f>IFERROR(__xludf.DUMMYFUNCTION("""COMPUTED_VALUE"""),500000.0)</f>
        <v>500000</v>
      </c>
      <c r="G3127" s="22">
        <f>IFERROR(__xludf.DUMMYFUNCTION("""COMPUTED_VALUE"""),0.0)</f>
        <v>0</v>
      </c>
      <c r="H3127" s="22">
        <f>IFERROR(__xludf.DUMMYFUNCTION("""COMPUTED_VALUE"""),500000.0)</f>
        <v>500000</v>
      </c>
      <c r="I3127" s="24">
        <f>IFERROR(__xludf.DUMMYFUNCTION("""COMPUTED_VALUE"""),0.0)</f>
        <v>0</v>
      </c>
    </row>
    <row r="3128">
      <c r="A3128" s="5" t="str">
        <f>IFERROR(__xludf.DUMMYFUNCTION("""COMPUTED_VALUE"""),"39815")</f>
        <v>39815</v>
      </c>
      <c r="B3128" s="64">
        <f>IFERROR(__xludf.DUMMYFUNCTION("""COMPUTED_VALUE"""),44638.0)</f>
        <v>44638</v>
      </c>
      <c r="C3128" s="5"/>
      <c r="D3128" s="5"/>
      <c r="E3128" s="5"/>
      <c r="F3128" s="22">
        <f>IFERROR(__xludf.DUMMYFUNCTION("""COMPUTED_VALUE"""),500000.0)</f>
        <v>500000</v>
      </c>
      <c r="G3128" s="22">
        <f>IFERROR(__xludf.DUMMYFUNCTION("""COMPUTED_VALUE"""),0.0)</f>
        <v>0</v>
      </c>
      <c r="H3128" s="22">
        <f>IFERROR(__xludf.DUMMYFUNCTION("""COMPUTED_VALUE"""),500000.0)</f>
        <v>500000</v>
      </c>
      <c r="I3128" s="24">
        <f>IFERROR(__xludf.DUMMYFUNCTION("""COMPUTED_VALUE"""),0.0)</f>
        <v>0</v>
      </c>
    </row>
    <row r="3129">
      <c r="A3129" s="5" t="str">
        <f>IFERROR(__xludf.DUMMYFUNCTION("""COMPUTED_VALUE"""),"39815")</f>
        <v>39815</v>
      </c>
      <c r="B3129" s="64">
        <f>IFERROR(__xludf.DUMMYFUNCTION("""COMPUTED_VALUE"""),44639.0)</f>
        <v>44639</v>
      </c>
      <c r="C3129" s="5"/>
      <c r="D3129" s="5"/>
      <c r="E3129" s="5"/>
      <c r="F3129" s="22">
        <f>IFERROR(__xludf.DUMMYFUNCTION("""COMPUTED_VALUE"""),500000.0)</f>
        <v>500000</v>
      </c>
      <c r="G3129" s="22">
        <f>IFERROR(__xludf.DUMMYFUNCTION("""COMPUTED_VALUE"""),0.0)</f>
        <v>0</v>
      </c>
      <c r="H3129" s="22">
        <f>IFERROR(__xludf.DUMMYFUNCTION("""COMPUTED_VALUE"""),500000.0)</f>
        <v>500000</v>
      </c>
      <c r="I3129" s="24">
        <f>IFERROR(__xludf.DUMMYFUNCTION("""COMPUTED_VALUE"""),0.0)</f>
        <v>0</v>
      </c>
    </row>
    <row r="3130">
      <c r="A3130" s="5" t="str">
        <f>IFERROR(__xludf.DUMMYFUNCTION("""COMPUTED_VALUE"""),"39815")</f>
        <v>39815</v>
      </c>
      <c r="B3130" s="64">
        <f>IFERROR(__xludf.DUMMYFUNCTION("""COMPUTED_VALUE"""),44640.0)</f>
        <v>44640</v>
      </c>
      <c r="C3130" s="5"/>
      <c r="D3130" s="5"/>
      <c r="E3130" s="5"/>
      <c r="F3130" s="22">
        <f>IFERROR(__xludf.DUMMYFUNCTION("""COMPUTED_VALUE"""),500000.0)</f>
        <v>500000</v>
      </c>
      <c r="G3130" s="22">
        <f>IFERROR(__xludf.DUMMYFUNCTION("""COMPUTED_VALUE"""),0.0)</f>
        <v>0</v>
      </c>
      <c r="H3130" s="22">
        <f>IFERROR(__xludf.DUMMYFUNCTION("""COMPUTED_VALUE"""),500000.0)</f>
        <v>500000</v>
      </c>
      <c r="I3130" s="24">
        <f>IFERROR(__xludf.DUMMYFUNCTION("""COMPUTED_VALUE"""),0.0)</f>
        <v>0</v>
      </c>
    </row>
    <row r="3131">
      <c r="A3131" s="5" t="str">
        <f>IFERROR(__xludf.DUMMYFUNCTION("""COMPUTED_VALUE"""),"39815")</f>
        <v>39815</v>
      </c>
      <c r="B3131" s="64">
        <f>IFERROR(__xludf.DUMMYFUNCTION("""COMPUTED_VALUE"""),44641.0)</f>
        <v>44641</v>
      </c>
      <c r="C3131" s="5"/>
      <c r="D3131" s="5"/>
      <c r="E3131" s="5"/>
      <c r="F3131" s="22">
        <f>IFERROR(__xludf.DUMMYFUNCTION("""COMPUTED_VALUE"""),500000.0)</f>
        <v>500000</v>
      </c>
      <c r="G3131" s="22">
        <f>IFERROR(__xludf.DUMMYFUNCTION("""COMPUTED_VALUE"""),0.0)</f>
        <v>0</v>
      </c>
      <c r="H3131" s="22">
        <f>IFERROR(__xludf.DUMMYFUNCTION("""COMPUTED_VALUE"""),500000.0)</f>
        <v>500000</v>
      </c>
      <c r="I3131" s="24">
        <f>IFERROR(__xludf.DUMMYFUNCTION("""COMPUTED_VALUE"""),0.0)</f>
        <v>0</v>
      </c>
    </row>
    <row r="3132">
      <c r="A3132" s="5" t="str">
        <f>IFERROR(__xludf.DUMMYFUNCTION("""COMPUTED_VALUE"""),"39815")</f>
        <v>39815</v>
      </c>
      <c r="B3132" s="64">
        <f>IFERROR(__xludf.DUMMYFUNCTION("""COMPUTED_VALUE"""),44642.0)</f>
        <v>44642</v>
      </c>
      <c r="C3132" s="5"/>
      <c r="D3132" s="5"/>
      <c r="E3132" s="5"/>
      <c r="F3132" s="22">
        <f>IFERROR(__xludf.DUMMYFUNCTION("""COMPUTED_VALUE"""),500000.0)</f>
        <v>500000</v>
      </c>
      <c r="G3132" s="22">
        <f>IFERROR(__xludf.DUMMYFUNCTION("""COMPUTED_VALUE"""),0.0)</f>
        <v>0</v>
      </c>
      <c r="H3132" s="22">
        <f>IFERROR(__xludf.DUMMYFUNCTION("""COMPUTED_VALUE"""),500000.0)</f>
        <v>500000</v>
      </c>
      <c r="I3132" s="24">
        <f>IFERROR(__xludf.DUMMYFUNCTION("""COMPUTED_VALUE"""),0.0)</f>
        <v>0</v>
      </c>
    </row>
    <row r="3133">
      <c r="A3133" s="5" t="str">
        <f>IFERROR(__xludf.DUMMYFUNCTION("""COMPUTED_VALUE"""),"39815")</f>
        <v>39815</v>
      </c>
      <c r="B3133" s="64">
        <f>IFERROR(__xludf.DUMMYFUNCTION("""COMPUTED_VALUE"""),44643.0)</f>
        <v>44643</v>
      </c>
      <c r="C3133" s="5"/>
      <c r="D3133" s="5"/>
      <c r="E3133" s="5"/>
      <c r="F3133" s="22">
        <f>IFERROR(__xludf.DUMMYFUNCTION("""COMPUTED_VALUE"""),500000.0)</f>
        <v>500000</v>
      </c>
      <c r="G3133" s="22">
        <f>IFERROR(__xludf.DUMMYFUNCTION("""COMPUTED_VALUE"""),0.0)</f>
        <v>0</v>
      </c>
      <c r="H3133" s="22">
        <f>IFERROR(__xludf.DUMMYFUNCTION("""COMPUTED_VALUE"""),500000.0)</f>
        <v>500000</v>
      </c>
      <c r="I3133" s="24">
        <f>IFERROR(__xludf.DUMMYFUNCTION("""COMPUTED_VALUE"""),0.0)</f>
        <v>0</v>
      </c>
    </row>
    <row r="3134">
      <c r="A3134" s="5" t="str">
        <f>IFERROR(__xludf.DUMMYFUNCTION("""COMPUTED_VALUE"""),"39815")</f>
        <v>39815</v>
      </c>
      <c r="B3134" s="64">
        <f>IFERROR(__xludf.DUMMYFUNCTION("""COMPUTED_VALUE"""),44644.0)</f>
        <v>44644</v>
      </c>
      <c r="C3134" s="5"/>
      <c r="D3134" s="5"/>
      <c r="E3134" s="5"/>
      <c r="F3134" s="22">
        <f>IFERROR(__xludf.DUMMYFUNCTION("""COMPUTED_VALUE"""),500000.0)</f>
        <v>500000</v>
      </c>
      <c r="G3134" s="22">
        <f>IFERROR(__xludf.DUMMYFUNCTION("""COMPUTED_VALUE"""),0.0)</f>
        <v>0</v>
      </c>
      <c r="H3134" s="22">
        <f>IFERROR(__xludf.DUMMYFUNCTION("""COMPUTED_VALUE"""),500000.0)</f>
        <v>500000</v>
      </c>
      <c r="I3134" s="24">
        <f>IFERROR(__xludf.DUMMYFUNCTION("""COMPUTED_VALUE"""),0.0)</f>
        <v>0</v>
      </c>
    </row>
    <row r="3135">
      <c r="A3135" s="5" t="str">
        <f>IFERROR(__xludf.DUMMYFUNCTION("""COMPUTED_VALUE"""),"39815")</f>
        <v>39815</v>
      </c>
      <c r="B3135" s="64">
        <f>IFERROR(__xludf.DUMMYFUNCTION("""COMPUTED_VALUE"""),44645.0)</f>
        <v>44645</v>
      </c>
      <c r="C3135" s="5"/>
      <c r="D3135" s="5"/>
      <c r="E3135" s="5"/>
      <c r="F3135" s="22">
        <f>IFERROR(__xludf.DUMMYFUNCTION("""COMPUTED_VALUE"""),500000.0)</f>
        <v>500000</v>
      </c>
      <c r="G3135" s="22">
        <f>IFERROR(__xludf.DUMMYFUNCTION("""COMPUTED_VALUE"""),0.0)</f>
        <v>0</v>
      </c>
      <c r="H3135" s="22">
        <f>IFERROR(__xludf.DUMMYFUNCTION("""COMPUTED_VALUE"""),500000.0)</f>
        <v>500000</v>
      </c>
      <c r="I3135" s="24">
        <f>IFERROR(__xludf.DUMMYFUNCTION("""COMPUTED_VALUE"""),0.0)</f>
        <v>0</v>
      </c>
    </row>
    <row r="3136">
      <c r="A3136" s="5" t="str">
        <f>IFERROR(__xludf.DUMMYFUNCTION("""COMPUTED_VALUE"""),"39815")</f>
        <v>39815</v>
      </c>
      <c r="B3136" s="64">
        <f>IFERROR(__xludf.DUMMYFUNCTION("""COMPUTED_VALUE"""),44646.0)</f>
        <v>44646</v>
      </c>
      <c r="C3136" s="5"/>
      <c r="D3136" s="5"/>
      <c r="E3136" s="5"/>
      <c r="F3136" s="22">
        <f>IFERROR(__xludf.DUMMYFUNCTION("""COMPUTED_VALUE"""),500000.0)</f>
        <v>500000</v>
      </c>
      <c r="G3136" s="22">
        <f>IFERROR(__xludf.DUMMYFUNCTION("""COMPUTED_VALUE"""),0.0)</f>
        <v>0</v>
      </c>
      <c r="H3136" s="22">
        <f>IFERROR(__xludf.DUMMYFUNCTION("""COMPUTED_VALUE"""),500000.0)</f>
        <v>500000</v>
      </c>
      <c r="I3136" s="24">
        <f>IFERROR(__xludf.DUMMYFUNCTION("""COMPUTED_VALUE"""),0.0)</f>
        <v>0</v>
      </c>
    </row>
    <row r="3137">
      <c r="A3137" s="5" t="str">
        <f>IFERROR(__xludf.DUMMYFUNCTION("""COMPUTED_VALUE"""),"39815")</f>
        <v>39815</v>
      </c>
      <c r="B3137" s="64">
        <f>IFERROR(__xludf.DUMMYFUNCTION("""COMPUTED_VALUE"""),44647.0)</f>
        <v>44647</v>
      </c>
      <c r="C3137" s="5"/>
      <c r="D3137" s="5"/>
      <c r="E3137" s="5"/>
      <c r="F3137" s="22">
        <f>IFERROR(__xludf.DUMMYFUNCTION("""COMPUTED_VALUE"""),500000.0)</f>
        <v>500000</v>
      </c>
      <c r="G3137" s="22">
        <f>IFERROR(__xludf.DUMMYFUNCTION("""COMPUTED_VALUE"""),0.0)</f>
        <v>0</v>
      </c>
      <c r="H3137" s="22">
        <f>IFERROR(__xludf.DUMMYFUNCTION("""COMPUTED_VALUE"""),500000.0)</f>
        <v>500000</v>
      </c>
      <c r="I3137" s="24">
        <f>IFERROR(__xludf.DUMMYFUNCTION("""COMPUTED_VALUE"""),0.0)</f>
        <v>0</v>
      </c>
    </row>
    <row r="3138">
      <c r="A3138" s="5" t="str">
        <f>IFERROR(__xludf.DUMMYFUNCTION("""COMPUTED_VALUE"""),"39815")</f>
        <v>39815</v>
      </c>
      <c r="B3138" s="64">
        <f>IFERROR(__xludf.DUMMYFUNCTION("""COMPUTED_VALUE"""),44648.0)</f>
        <v>44648</v>
      </c>
      <c r="C3138" s="5"/>
      <c r="D3138" s="5"/>
      <c r="E3138" s="5"/>
      <c r="F3138" s="22">
        <f>IFERROR(__xludf.DUMMYFUNCTION("""COMPUTED_VALUE"""),500000.0)</f>
        <v>500000</v>
      </c>
      <c r="G3138" s="22">
        <f>IFERROR(__xludf.DUMMYFUNCTION("""COMPUTED_VALUE"""),0.0)</f>
        <v>0</v>
      </c>
      <c r="H3138" s="22">
        <f>IFERROR(__xludf.DUMMYFUNCTION("""COMPUTED_VALUE"""),500000.0)</f>
        <v>500000</v>
      </c>
      <c r="I3138" s="24">
        <f>IFERROR(__xludf.DUMMYFUNCTION("""COMPUTED_VALUE"""),0.0)</f>
        <v>0</v>
      </c>
    </row>
    <row r="3139">
      <c r="A3139" s="5" t="str">
        <f>IFERROR(__xludf.DUMMYFUNCTION("""COMPUTED_VALUE"""),"39815")</f>
        <v>39815</v>
      </c>
      <c r="B3139" s="64">
        <f>IFERROR(__xludf.DUMMYFUNCTION("""COMPUTED_VALUE"""),44649.0)</f>
        <v>44649</v>
      </c>
      <c r="C3139" s="5"/>
      <c r="D3139" s="5"/>
      <c r="E3139" s="5"/>
      <c r="F3139" s="22">
        <f>IFERROR(__xludf.DUMMYFUNCTION("""COMPUTED_VALUE"""),500000.0)</f>
        <v>500000</v>
      </c>
      <c r="G3139" s="22">
        <f>IFERROR(__xludf.DUMMYFUNCTION("""COMPUTED_VALUE"""),0.0)</f>
        <v>0</v>
      </c>
      <c r="H3139" s="22">
        <f>IFERROR(__xludf.DUMMYFUNCTION("""COMPUTED_VALUE"""),500000.0)</f>
        <v>500000</v>
      </c>
      <c r="I3139" s="24">
        <f>IFERROR(__xludf.DUMMYFUNCTION("""COMPUTED_VALUE"""),0.0)</f>
        <v>0</v>
      </c>
    </row>
    <row r="3140">
      <c r="A3140" s="5" t="str">
        <f>IFERROR(__xludf.DUMMYFUNCTION("""COMPUTED_VALUE"""),"39815")</f>
        <v>39815</v>
      </c>
      <c r="B3140" s="64">
        <f>IFERROR(__xludf.DUMMYFUNCTION("""COMPUTED_VALUE"""),44650.0)</f>
        <v>44650</v>
      </c>
      <c r="C3140" s="5"/>
      <c r="D3140" s="5"/>
      <c r="E3140" s="5"/>
      <c r="F3140" s="22">
        <f>IFERROR(__xludf.DUMMYFUNCTION("""COMPUTED_VALUE"""),500000.0)</f>
        <v>500000</v>
      </c>
      <c r="G3140" s="22">
        <f>IFERROR(__xludf.DUMMYFUNCTION("""COMPUTED_VALUE"""),0.0)</f>
        <v>0</v>
      </c>
      <c r="H3140" s="22">
        <f>IFERROR(__xludf.DUMMYFUNCTION("""COMPUTED_VALUE"""),500000.0)</f>
        <v>500000</v>
      </c>
      <c r="I3140" s="24">
        <f>IFERROR(__xludf.DUMMYFUNCTION("""COMPUTED_VALUE"""),0.0)</f>
        <v>0</v>
      </c>
    </row>
    <row r="3141">
      <c r="A3141" s="5" t="str">
        <f>IFERROR(__xludf.DUMMYFUNCTION("""COMPUTED_VALUE"""),"39815")</f>
        <v>39815</v>
      </c>
      <c r="B3141" s="64">
        <f>IFERROR(__xludf.DUMMYFUNCTION("""COMPUTED_VALUE"""),44651.0)</f>
        <v>44651</v>
      </c>
      <c r="C3141" s="5"/>
      <c r="D3141" s="5"/>
      <c r="E3141" s="5"/>
      <c r="F3141" s="22">
        <f>IFERROR(__xludf.DUMMYFUNCTION("""COMPUTED_VALUE"""),500000.0)</f>
        <v>500000</v>
      </c>
      <c r="G3141" s="22">
        <f>IFERROR(__xludf.DUMMYFUNCTION("""COMPUTED_VALUE"""),0.0)</f>
        <v>0</v>
      </c>
      <c r="H3141" s="22">
        <f>IFERROR(__xludf.DUMMYFUNCTION("""COMPUTED_VALUE"""),500000.0)</f>
        <v>500000</v>
      </c>
      <c r="I3141" s="24">
        <f>IFERROR(__xludf.DUMMYFUNCTION("""COMPUTED_VALUE"""),0.0)</f>
        <v>0</v>
      </c>
    </row>
    <row r="3142">
      <c r="A3142" s="5" t="str">
        <f>IFERROR(__xludf.DUMMYFUNCTION("""COMPUTED_VALUE"""),"39815")</f>
        <v>39815</v>
      </c>
      <c r="B3142" s="64">
        <f>IFERROR(__xludf.DUMMYFUNCTION("""COMPUTED_VALUE"""),44652.0)</f>
        <v>44652</v>
      </c>
      <c r="C3142" s="5"/>
      <c r="D3142" s="5"/>
      <c r="E3142" s="5"/>
      <c r="F3142" s="22">
        <f>IFERROR(__xludf.DUMMYFUNCTION("""COMPUTED_VALUE"""),500000.0)</f>
        <v>500000</v>
      </c>
      <c r="G3142" s="22">
        <f>IFERROR(__xludf.DUMMYFUNCTION("""COMPUTED_VALUE"""),0.0)</f>
        <v>0</v>
      </c>
      <c r="H3142" s="22">
        <f>IFERROR(__xludf.DUMMYFUNCTION("""COMPUTED_VALUE"""),500000.0)</f>
        <v>500000</v>
      </c>
      <c r="I3142" s="24">
        <f>IFERROR(__xludf.DUMMYFUNCTION("""COMPUTED_VALUE"""),0.0)</f>
        <v>0</v>
      </c>
    </row>
    <row r="3143">
      <c r="A3143" s="5" t="str">
        <f>IFERROR(__xludf.DUMMYFUNCTION("""COMPUTED_VALUE"""),"39815")</f>
        <v>39815</v>
      </c>
      <c r="B3143" s="64">
        <f>IFERROR(__xludf.DUMMYFUNCTION("""COMPUTED_VALUE"""),44653.0)</f>
        <v>44653</v>
      </c>
      <c r="C3143" s="5"/>
      <c r="D3143" s="5"/>
      <c r="E3143" s="5"/>
      <c r="F3143" s="22">
        <f>IFERROR(__xludf.DUMMYFUNCTION("""COMPUTED_VALUE"""),500000.0)</f>
        <v>500000</v>
      </c>
      <c r="G3143" s="22">
        <f>IFERROR(__xludf.DUMMYFUNCTION("""COMPUTED_VALUE"""),0.0)</f>
        <v>0</v>
      </c>
      <c r="H3143" s="22">
        <f>IFERROR(__xludf.DUMMYFUNCTION("""COMPUTED_VALUE"""),500000.0)</f>
        <v>500000</v>
      </c>
      <c r="I3143" s="24">
        <f>IFERROR(__xludf.DUMMYFUNCTION("""COMPUTED_VALUE"""),0.0)</f>
        <v>0</v>
      </c>
    </row>
    <row r="3144">
      <c r="A3144" s="5" t="str">
        <f>IFERROR(__xludf.DUMMYFUNCTION("""COMPUTED_VALUE"""),"39815")</f>
        <v>39815</v>
      </c>
      <c r="B3144" s="64">
        <f>IFERROR(__xludf.DUMMYFUNCTION("""COMPUTED_VALUE"""),44654.0)</f>
        <v>44654</v>
      </c>
      <c r="C3144" s="5"/>
      <c r="D3144" s="5"/>
      <c r="E3144" s="5"/>
      <c r="F3144" s="22">
        <f>IFERROR(__xludf.DUMMYFUNCTION("""COMPUTED_VALUE"""),500000.0)</f>
        <v>500000</v>
      </c>
      <c r="G3144" s="22">
        <f>IFERROR(__xludf.DUMMYFUNCTION("""COMPUTED_VALUE"""),0.0)</f>
        <v>0</v>
      </c>
      <c r="H3144" s="22">
        <f>IFERROR(__xludf.DUMMYFUNCTION("""COMPUTED_VALUE"""),500000.0)</f>
        <v>500000</v>
      </c>
      <c r="I3144" s="24">
        <f>IFERROR(__xludf.DUMMYFUNCTION("""COMPUTED_VALUE"""),0.0)</f>
        <v>0</v>
      </c>
    </row>
    <row r="3145">
      <c r="A3145" s="5" t="str">
        <f>IFERROR(__xludf.DUMMYFUNCTION("""COMPUTED_VALUE"""),"39815")</f>
        <v>39815</v>
      </c>
      <c r="B3145" s="64">
        <f>IFERROR(__xludf.DUMMYFUNCTION("""COMPUTED_VALUE"""),44655.0)</f>
        <v>44655</v>
      </c>
      <c r="C3145" s="5"/>
      <c r="D3145" s="5"/>
      <c r="E3145" s="5"/>
      <c r="F3145" s="22">
        <f>IFERROR(__xludf.DUMMYFUNCTION("""COMPUTED_VALUE"""),500000.0)</f>
        <v>500000</v>
      </c>
      <c r="G3145" s="22">
        <f>IFERROR(__xludf.DUMMYFUNCTION("""COMPUTED_VALUE"""),0.0)</f>
        <v>0</v>
      </c>
      <c r="H3145" s="22">
        <f>IFERROR(__xludf.DUMMYFUNCTION("""COMPUTED_VALUE"""),500000.0)</f>
        <v>500000</v>
      </c>
      <c r="I3145" s="24">
        <f>IFERROR(__xludf.DUMMYFUNCTION("""COMPUTED_VALUE"""),0.0)</f>
        <v>0</v>
      </c>
    </row>
    <row r="3146">
      <c r="A3146" s="5" t="str">
        <f>IFERROR(__xludf.DUMMYFUNCTION("""COMPUTED_VALUE"""),"39815")</f>
        <v>39815</v>
      </c>
      <c r="B3146" s="64">
        <f>IFERROR(__xludf.DUMMYFUNCTION("""COMPUTED_VALUE"""),44656.0)</f>
        <v>44656</v>
      </c>
      <c r="C3146" s="5"/>
      <c r="D3146" s="5"/>
      <c r="E3146" s="5"/>
      <c r="F3146" s="22">
        <f>IFERROR(__xludf.DUMMYFUNCTION("""COMPUTED_VALUE"""),500000.0)</f>
        <v>500000</v>
      </c>
      <c r="G3146" s="22">
        <f>IFERROR(__xludf.DUMMYFUNCTION("""COMPUTED_VALUE"""),0.0)</f>
        <v>0</v>
      </c>
      <c r="H3146" s="22">
        <f>IFERROR(__xludf.DUMMYFUNCTION("""COMPUTED_VALUE"""),500000.0)</f>
        <v>500000</v>
      </c>
      <c r="I3146" s="24">
        <f>IFERROR(__xludf.DUMMYFUNCTION("""COMPUTED_VALUE"""),0.0)</f>
        <v>0</v>
      </c>
    </row>
    <row r="3147">
      <c r="A3147" s="5" t="str">
        <f>IFERROR(__xludf.DUMMYFUNCTION("""COMPUTED_VALUE"""),"39815")</f>
        <v>39815</v>
      </c>
      <c r="B3147" s="64">
        <f>IFERROR(__xludf.DUMMYFUNCTION("""COMPUTED_VALUE"""),44657.0)</f>
        <v>44657</v>
      </c>
      <c r="C3147" s="5"/>
      <c r="D3147" s="5"/>
      <c r="E3147" s="5"/>
      <c r="F3147" s="22">
        <f>IFERROR(__xludf.DUMMYFUNCTION("""COMPUTED_VALUE"""),500000.0)</f>
        <v>500000</v>
      </c>
      <c r="G3147" s="22">
        <f>IFERROR(__xludf.DUMMYFUNCTION("""COMPUTED_VALUE"""),0.0)</f>
        <v>0</v>
      </c>
      <c r="H3147" s="22">
        <f>IFERROR(__xludf.DUMMYFUNCTION("""COMPUTED_VALUE"""),500000.0)</f>
        <v>500000</v>
      </c>
      <c r="I3147" s="24">
        <f>IFERROR(__xludf.DUMMYFUNCTION("""COMPUTED_VALUE"""),0.0)</f>
        <v>0</v>
      </c>
    </row>
    <row r="3148">
      <c r="A3148" s="5" t="str">
        <f>IFERROR(__xludf.DUMMYFUNCTION("""COMPUTED_VALUE"""),"39815")</f>
        <v>39815</v>
      </c>
      <c r="B3148" s="64">
        <f>IFERROR(__xludf.DUMMYFUNCTION("""COMPUTED_VALUE"""),44658.0)</f>
        <v>44658</v>
      </c>
      <c r="C3148" s="5"/>
      <c r="D3148" s="5"/>
      <c r="E3148" s="5"/>
      <c r="F3148" s="22">
        <f>IFERROR(__xludf.DUMMYFUNCTION("""COMPUTED_VALUE"""),496559.712845)</f>
        <v>496559.7128</v>
      </c>
      <c r="G3148" s="22">
        <f>IFERROR(__xludf.DUMMYFUNCTION("""COMPUTED_VALUE"""),0.0)</f>
        <v>0</v>
      </c>
      <c r="H3148" s="22">
        <f>IFERROR(__xludf.DUMMYFUNCTION("""COMPUTED_VALUE"""),500000.0)</f>
        <v>500000</v>
      </c>
      <c r="I3148" s="24">
        <f>IFERROR(__xludf.DUMMYFUNCTION("""COMPUTED_VALUE"""),0.0)</f>
        <v>0</v>
      </c>
    </row>
    <row r="3149">
      <c r="A3149" s="5" t="str">
        <f>IFERROR(__xludf.DUMMYFUNCTION("""COMPUTED_VALUE"""),"39815")</f>
        <v>39815</v>
      </c>
      <c r="B3149" s="64">
        <f>IFERROR(__xludf.DUMMYFUNCTION("""COMPUTED_VALUE"""),44659.0)</f>
        <v>44659</v>
      </c>
      <c r="C3149" s="5"/>
      <c r="D3149" s="5"/>
      <c r="E3149" s="5"/>
      <c r="F3149" s="22">
        <f>IFERROR(__xludf.DUMMYFUNCTION("""COMPUTED_VALUE"""),496559.712845)</f>
        <v>496559.7128</v>
      </c>
      <c r="G3149" s="22">
        <f>IFERROR(__xludf.DUMMYFUNCTION("""COMPUTED_VALUE"""),0.0)</f>
        <v>0</v>
      </c>
      <c r="H3149" s="22">
        <f>IFERROR(__xludf.DUMMYFUNCTION("""COMPUTED_VALUE"""),498581.567255)</f>
        <v>498581.5673</v>
      </c>
      <c r="I3149" s="24">
        <f>IFERROR(__xludf.DUMMYFUNCTION("""COMPUTED_VALUE"""),-0.0028368654899999513)</f>
        <v>-0.00283686549</v>
      </c>
    </row>
    <row r="3150">
      <c r="A3150" s="5" t="str">
        <f>IFERROR(__xludf.DUMMYFUNCTION("""COMPUTED_VALUE"""),"39815")</f>
        <v>39815</v>
      </c>
      <c r="B3150" s="64">
        <f>IFERROR(__xludf.DUMMYFUNCTION("""COMPUTED_VALUE"""),44660.0)</f>
        <v>44660</v>
      </c>
      <c r="C3150" s="5"/>
      <c r="D3150" s="5"/>
      <c r="E3150" s="5"/>
      <c r="F3150" s="22">
        <f>IFERROR(__xludf.DUMMYFUNCTION("""COMPUTED_VALUE"""),496559.712845)</f>
        <v>496559.7128</v>
      </c>
      <c r="G3150" s="22">
        <f>IFERROR(__xludf.DUMMYFUNCTION("""COMPUTED_VALUE"""),0.0)</f>
        <v>0</v>
      </c>
      <c r="H3150" s="22">
        <f>IFERROR(__xludf.DUMMYFUNCTION("""COMPUTED_VALUE"""),498581.567255)</f>
        <v>498581.5673</v>
      </c>
      <c r="I3150" s="24">
        <f>IFERROR(__xludf.DUMMYFUNCTION("""COMPUTED_VALUE"""),-0.0028368654899999513)</f>
        <v>-0.00283686549</v>
      </c>
    </row>
    <row r="3151">
      <c r="A3151" s="5" t="str">
        <f>IFERROR(__xludf.DUMMYFUNCTION("""COMPUTED_VALUE"""),"39815")</f>
        <v>39815</v>
      </c>
      <c r="B3151" s="64">
        <f>IFERROR(__xludf.DUMMYFUNCTION("""COMPUTED_VALUE"""),44661.0)</f>
        <v>44661</v>
      </c>
      <c r="C3151" s="5"/>
      <c r="D3151" s="5"/>
      <c r="E3151" s="5"/>
      <c r="F3151" s="22">
        <f>IFERROR(__xludf.DUMMYFUNCTION("""COMPUTED_VALUE"""),496559.712845)</f>
        <v>496559.7128</v>
      </c>
      <c r="G3151" s="22">
        <f>IFERROR(__xludf.DUMMYFUNCTION("""COMPUTED_VALUE"""),0.0)</f>
        <v>0</v>
      </c>
      <c r="H3151" s="22">
        <f>IFERROR(__xludf.DUMMYFUNCTION("""COMPUTED_VALUE"""),498581.567255)</f>
        <v>498581.5673</v>
      </c>
      <c r="I3151" s="24">
        <f>IFERROR(__xludf.DUMMYFUNCTION("""COMPUTED_VALUE"""),-0.0028368654899999513)</f>
        <v>-0.00283686549</v>
      </c>
    </row>
    <row r="3152">
      <c r="A3152" s="5" t="str">
        <f>IFERROR(__xludf.DUMMYFUNCTION("""COMPUTED_VALUE"""),"39815")</f>
        <v>39815</v>
      </c>
      <c r="B3152" s="64">
        <f>IFERROR(__xludf.DUMMYFUNCTION("""COMPUTED_VALUE"""),44662.0)</f>
        <v>44662</v>
      </c>
      <c r="C3152" s="5"/>
      <c r="D3152" s="5"/>
      <c r="E3152" s="5"/>
      <c r="F3152" s="22">
        <f>IFERROR(__xludf.DUMMYFUNCTION("""COMPUTED_VALUE"""),496559.712845)</f>
        <v>496559.7128</v>
      </c>
      <c r="G3152" s="22">
        <f>IFERROR(__xludf.DUMMYFUNCTION("""COMPUTED_VALUE"""),0.0)</f>
        <v>0</v>
      </c>
      <c r="H3152" s="22">
        <f>IFERROR(__xludf.DUMMYFUNCTION("""COMPUTED_VALUE"""),498181.89836)</f>
        <v>498181.8984</v>
      </c>
      <c r="I3152" s="24">
        <f>IFERROR(__xludf.DUMMYFUNCTION("""COMPUTED_VALUE"""),-0.0036362032800000277)</f>
        <v>-0.00363620328</v>
      </c>
    </row>
    <row r="3153">
      <c r="A3153" s="5" t="str">
        <f>IFERROR(__xludf.DUMMYFUNCTION("""COMPUTED_VALUE"""),"39815")</f>
        <v>39815</v>
      </c>
      <c r="B3153" s="64">
        <f>IFERROR(__xludf.DUMMYFUNCTION("""COMPUTED_VALUE"""),44663.0)</f>
        <v>44663</v>
      </c>
      <c r="C3153" s="5"/>
      <c r="D3153" s="5"/>
      <c r="E3153" s="5"/>
      <c r="F3153" s="22">
        <f>IFERROR(__xludf.DUMMYFUNCTION("""COMPUTED_VALUE"""),496559.712845)</f>
        <v>496559.7128</v>
      </c>
      <c r="G3153" s="22">
        <f>IFERROR(__xludf.DUMMYFUNCTION("""COMPUTED_VALUE"""),0.0)</f>
        <v>0</v>
      </c>
      <c r="H3153" s="22">
        <f>IFERROR(__xludf.DUMMYFUNCTION("""COMPUTED_VALUE"""),497601.98663)</f>
        <v>497601.9866</v>
      </c>
      <c r="I3153" s="24">
        <f>IFERROR(__xludf.DUMMYFUNCTION("""COMPUTED_VALUE"""),-0.0047960267400000145)</f>
        <v>-0.00479602674</v>
      </c>
    </row>
    <row r="3154">
      <c r="A3154" s="5" t="str">
        <f>IFERROR(__xludf.DUMMYFUNCTION("""COMPUTED_VALUE"""),"39857")</f>
        <v>39857</v>
      </c>
      <c r="B3154" s="64">
        <f>IFERROR(__xludf.DUMMYFUNCTION("""COMPUTED_VALUE"""),44597.0)</f>
        <v>44597</v>
      </c>
      <c r="C3154" s="5"/>
      <c r="D3154" s="5"/>
      <c r="E3154" s="5"/>
      <c r="F3154" s="22">
        <f>IFERROR(__xludf.DUMMYFUNCTION("""COMPUTED_VALUE"""),500000.0)</f>
        <v>500000</v>
      </c>
      <c r="G3154" s="22">
        <f>IFERROR(__xludf.DUMMYFUNCTION("""COMPUTED_VALUE"""),0.0)</f>
        <v>0</v>
      </c>
      <c r="H3154" s="22">
        <f>IFERROR(__xludf.DUMMYFUNCTION("""COMPUTED_VALUE"""),500000.0)</f>
        <v>500000</v>
      </c>
      <c r="I3154" s="24">
        <f>IFERROR(__xludf.DUMMYFUNCTION("""COMPUTED_VALUE"""),0.0)</f>
        <v>0</v>
      </c>
    </row>
    <row r="3155">
      <c r="A3155" s="5" t="str">
        <f>IFERROR(__xludf.DUMMYFUNCTION("""COMPUTED_VALUE"""),"39857")</f>
        <v>39857</v>
      </c>
      <c r="B3155" s="64">
        <f>IFERROR(__xludf.DUMMYFUNCTION("""COMPUTED_VALUE"""),44598.0)</f>
        <v>44598</v>
      </c>
      <c r="C3155" s="5"/>
      <c r="D3155" s="5"/>
      <c r="E3155" s="5"/>
      <c r="F3155" s="22">
        <f>IFERROR(__xludf.DUMMYFUNCTION("""COMPUTED_VALUE"""),500000.0)</f>
        <v>500000</v>
      </c>
      <c r="G3155" s="22">
        <f>IFERROR(__xludf.DUMMYFUNCTION("""COMPUTED_VALUE"""),0.0)</f>
        <v>0</v>
      </c>
      <c r="H3155" s="22">
        <f>IFERROR(__xludf.DUMMYFUNCTION("""COMPUTED_VALUE"""),500000.0)</f>
        <v>500000</v>
      </c>
      <c r="I3155" s="24">
        <f>IFERROR(__xludf.DUMMYFUNCTION("""COMPUTED_VALUE"""),0.0)</f>
        <v>0</v>
      </c>
    </row>
    <row r="3156">
      <c r="A3156" s="5" t="str">
        <f>IFERROR(__xludf.DUMMYFUNCTION("""COMPUTED_VALUE"""),"39857")</f>
        <v>39857</v>
      </c>
      <c r="B3156" s="64">
        <f>IFERROR(__xludf.DUMMYFUNCTION("""COMPUTED_VALUE"""),44599.0)</f>
        <v>44599</v>
      </c>
      <c r="C3156" s="5"/>
      <c r="D3156" s="5"/>
      <c r="E3156" s="5"/>
      <c r="F3156" s="22">
        <f>IFERROR(__xludf.DUMMYFUNCTION("""COMPUTED_VALUE"""),500000.0)</f>
        <v>500000</v>
      </c>
      <c r="G3156" s="22">
        <f>IFERROR(__xludf.DUMMYFUNCTION("""COMPUTED_VALUE"""),0.0)</f>
        <v>0</v>
      </c>
      <c r="H3156" s="22">
        <f>IFERROR(__xludf.DUMMYFUNCTION("""COMPUTED_VALUE"""),500000.0)</f>
        <v>500000</v>
      </c>
      <c r="I3156" s="24">
        <f>IFERROR(__xludf.DUMMYFUNCTION("""COMPUTED_VALUE"""),0.0)</f>
        <v>0</v>
      </c>
    </row>
    <row r="3157">
      <c r="A3157" s="5" t="str">
        <f>IFERROR(__xludf.DUMMYFUNCTION("""COMPUTED_VALUE"""),"39857")</f>
        <v>39857</v>
      </c>
      <c r="B3157" s="64">
        <f>IFERROR(__xludf.DUMMYFUNCTION("""COMPUTED_VALUE"""),44600.0)</f>
        <v>44600</v>
      </c>
      <c r="C3157" s="5"/>
      <c r="D3157" s="5"/>
      <c r="E3157" s="5"/>
      <c r="F3157" s="22">
        <f>IFERROR(__xludf.DUMMYFUNCTION("""COMPUTED_VALUE"""),500000.0)</f>
        <v>500000</v>
      </c>
      <c r="G3157" s="22">
        <f>IFERROR(__xludf.DUMMYFUNCTION("""COMPUTED_VALUE"""),0.0)</f>
        <v>0</v>
      </c>
      <c r="H3157" s="22">
        <f>IFERROR(__xludf.DUMMYFUNCTION("""COMPUTED_VALUE"""),500000.0)</f>
        <v>500000</v>
      </c>
      <c r="I3157" s="24">
        <f>IFERROR(__xludf.DUMMYFUNCTION("""COMPUTED_VALUE"""),0.0)</f>
        <v>0</v>
      </c>
    </row>
    <row r="3158">
      <c r="A3158" s="5" t="str">
        <f>IFERROR(__xludf.DUMMYFUNCTION("""COMPUTED_VALUE"""),"39857")</f>
        <v>39857</v>
      </c>
      <c r="B3158" s="64">
        <f>IFERROR(__xludf.DUMMYFUNCTION("""COMPUTED_VALUE"""),44601.0)</f>
        <v>44601</v>
      </c>
      <c r="C3158" s="5"/>
      <c r="D3158" s="5"/>
      <c r="E3158" s="5"/>
      <c r="F3158" s="22">
        <f>IFERROR(__xludf.DUMMYFUNCTION("""COMPUTED_VALUE"""),500000.0)</f>
        <v>500000</v>
      </c>
      <c r="G3158" s="22">
        <f>IFERROR(__xludf.DUMMYFUNCTION("""COMPUTED_VALUE"""),0.0)</f>
        <v>0</v>
      </c>
      <c r="H3158" s="22">
        <f>IFERROR(__xludf.DUMMYFUNCTION("""COMPUTED_VALUE"""),500000.0)</f>
        <v>500000</v>
      </c>
      <c r="I3158" s="24">
        <f>IFERROR(__xludf.DUMMYFUNCTION("""COMPUTED_VALUE"""),0.0)</f>
        <v>0</v>
      </c>
    </row>
    <row r="3159">
      <c r="A3159" s="5" t="str">
        <f>IFERROR(__xludf.DUMMYFUNCTION("""COMPUTED_VALUE"""),"39857")</f>
        <v>39857</v>
      </c>
      <c r="B3159" s="64">
        <f>IFERROR(__xludf.DUMMYFUNCTION("""COMPUTED_VALUE"""),44602.0)</f>
        <v>44602</v>
      </c>
      <c r="C3159" s="5"/>
      <c r="D3159" s="5"/>
      <c r="E3159" s="5"/>
      <c r="F3159" s="22">
        <f>IFERROR(__xludf.DUMMYFUNCTION("""COMPUTED_VALUE"""),500000.0)</f>
        <v>500000</v>
      </c>
      <c r="G3159" s="22">
        <f>IFERROR(__xludf.DUMMYFUNCTION("""COMPUTED_VALUE"""),0.0)</f>
        <v>0</v>
      </c>
      <c r="H3159" s="22">
        <f>IFERROR(__xludf.DUMMYFUNCTION("""COMPUTED_VALUE"""),500000.0)</f>
        <v>500000</v>
      </c>
      <c r="I3159" s="24">
        <f>IFERROR(__xludf.DUMMYFUNCTION("""COMPUTED_VALUE"""),0.0)</f>
        <v>0</v>
      </c>
    </row>
    <row r="3160">
      <c r="A3160" s="5" t="str">
        <f>IFERROR(__xludf.DUMMYFUNCTION("""COMPUTED_VALUE"""),"39857")</f>
        <v>39857</v>
      </c>
      <c r="B3160" s="64">
        <f>IFERROR(__xludf.DUMMYFUNCTION("""COMPUTED_VALUE"""),44603.0)</f>
        <v>44603</v>
      </c>
      <c r="C3160" s="5"/>
      <c r="D3160" s="5"/>
      <c r="E3160" s="5"/>
      <c r="F3160" s="22">
        <f>IFERROR(__xludf.DUMMYFUNCTION("""COMPUTED_VALUE"""),500000.0)</f>
        <v>500000</v>
      </c>
      <c r="G3160" s="22">
        <f>IFERROR(__xludf.DUMMYFUNCTION("""COMPUTED_VALUE"""),0.0)</f>
        <v>0</v>
      </c>
      <c r="H3160" s="22">
        <f>IFERROR(__xludf.DUMMYFUNCTION("""COMPUTED_VALUE"""),500000.0)</f>
        <v>500000</v>
      </c>
      <c r="I3160" s="24">
        <f>IFERROR(__xludf.DUMMYFUNCTION("""COMPUTED_VALUE"""),0.0)</f>
        <v>0</v>
      </c>
    </row>
    <row r="3161">
      <c r="A3161" s="5" t="str">
        <f>IFERROR(__xludf.DUMMYFUNCTION("""COMPUTED_VALUE"""),"39857")</f>
        <v>39857</v>
      </c>
      <c r="B3161" s="64">
        <f>IFERROR(__xludf.DUMMYFUNCTION("""COMPUTED_VALUE"""),44604.0)</f>
        <v>44604</v>
      </c>
      <c r="C3161" s="5"/>
      <c r="D3161" s="5"/>
      <c r="E3161" s="5"/>
      <c r="F3161" s="22">
        <f>IFERROR(__xludf.DUMMYFUNCTION("""COMPUTED_VALUE"""),500000.0)</f>
        <v>500000</v>
      </c>
      <c r="G3161" s="22">
        <f>IFERROR(__xludf.DUMMYFUNCTION("""COMPUTED_VALUE"""),0.0)</f>
        <v>0</v>
      </c>
      <c r="H3161" s="22">
        <f>IFERROR(__xludf.DUMMYFUNCTION("""COMPUTED_VALUE"""),500000.0)</f>
        <v>500000</v>
      </c>
      <c r="I3161" s="24">
        <f>IFERROR(__xludf.DUMMYFUNCTION("""COMPUTED_VALUE"""),0.0)</f>
        <v>0</v>
      </c>
    </row>
    <row r="3162">
      <c r="A3162" s="5" t="str">
        <f>IFERROR(__xludf.DUMMYFUNCTION("""COMPUTED_VALUE"""),"39857")</f>
        <v>39857</v>
      </c>
      <c r="B3162" s="64">
        <f>IFERROR(__xludf.DUMMYFUNCTION("""COMPUTED_VALUE"""),44605.0)</f>
        <v>44605</v>
      </c>
      <c r="C3162" s="5"/>
      <c r="D3162" s="5"/>
      <c r="E3162" s="5"/>
      <c r="F3162" s="22">
        <f>IFERROR(__xludf.DUMMYFUNCTION("""COMPUTED_VALUE"""),500000.0)</f>
        <v>500000</v>
      </c>
      <c r="G3162" s="22">
        <f>IFERROR(__xludf.DUMMYFUNCTION("""COMPUTED_VALUE"""),0.0)</f>
        <v>0</v>
      </c>
      <c r="H3162" s="22">
        <f>IFERROR(__xludf.DUMMYFUNCTION("""COMPUTED_VALUE"""),500000.0)</f>
        <v>500000</v>
      </c>
      <c r="I3162" s="24">
        <f>IFERROR(__xludf.DUMMYFUNCTION("""COMPUTED_VALUE"""),0.0)</f>
        <v>0</v>
      </c>
    </row>
    <row r="3163">
      <c r="A3163" s="5" t="str">
        <f>IFERROR(__xludf.DUMMYFUNCTION("""COMPUTED_VALUE"""),"39857")</f>
        <v>39857</v>
      </c>
      <c r="B3163" s="64">
        <f>IFERROR(__xludf.DUMMYFUNCTION("""COMPUTED_VALUE"""),44606.0)</f>
        <v>44606</v>
      </c>
      <c r="C3163" s="5"/>
      <c r="D3163" s="5"/>
      <c r="E3163" s="5"/>
      <c r="F3163" s="22">
        <f>IFERROR(__xludf.DUMMYFUNCTION("""COMPUTED_VALUE"""),500000.0)</f>
        <v>500000</v>
      </c>
      <c r="G3163" s="22">
        <f>IFERROR(__xludf.DUMMYFUNCTION("""COMPUTED_VALUE"""),0.0)</f>
        <v>0</v>
      </c>
      <c r="H3163" s="22">
        <f>IFERROR(__xludf.DUMMYFUNCTION("""COMPUTED_VALUE"""),500000.0)</f>
        <v>500000</v>
      </c>
      <c r="I3163" s="24">
        <f>IFERROR(__xludf.DUMMYFUNCTION("""COMPUTED_VALUE"""),0.0)</f>
        <v>0</v>
      </c>
    </row>
    <row r="3164">
      <c r="A3164" s="5" t="str">
        <f>IFERROR(__xludf.DUMMYFUNCTION("""COMPUTED_VALUE"""),"39857")</f>
        <v>39857</v>
      </c>
      <c r="B3164" s="64">
        <f>IFERROR(__xludf.DUMMYFUNCTION("""COMPUTED_VALUE"""),44607.0)</f>
        <v>44607</v>
      </c>
      <c r="C3164" s="5"/>
      <c r="D3164" s="5"/>
      <c r="E3164" s="5"/>
      <c r="F3164" s="22">
        <f>IFERROR(__xludf.DUMMYFUNCTION("""COMPUTED_VALUE"""),485607.5922147)</f>
        <v>485607.5922</v>
      </c>
      <c r="G3164" s="22">
        <f>IFERROR(__xludf.DUMMYFUNCTION("""COMPUTED_VALUE"""),0.0)</f>
        <v>0</v>
      </c>
      <c r="H3164" s="22">
        <f>IFERROR(__xludf.DUMMYFUNCTION("""COMPUTED_VALUE"""),500000.0)</f>
        <v>500000</v>
      </c>
      <c r="I3164" s="24">
        <f>IFERROR(__xludf.DUMMYFUNCTION("""COMPUTED_VALUE"""),0.0)</f>
        <v>0</v>
      </c>
    </row>
    <row r="3165">
      <c r="A3165" s="5" t="str">
        <f>IFERROR(__xludf.DUMMYFUNCTION("""COMPUTED_VALUE"""),"39857")</f>
        <v>39857</v>
      </c>
      <c r="B3165" s="64">
        <f>IFERROR(__xludf.DUMMYFUNCTION("""COMPUTED_VALUE"""),44608.0)</f>
        <v>44608</v>
      </c>
      <c r="C3165" s="5"/>
      <c r="D3165" s="5"/>
      <c r="E3165" s="5"/>
      <c r="F3165" s="22">
        <f>IFERROR(__xludf.DUMMYFUNCTION("""COMPUTED_VALUE"""),485607.5922147)</f>
        <v>485607.5922</v>
      </c>
      <c r="G3165" s="22">
        <f>IFERROR(__xludf.DUMMYFUNCTION("""COMPUTED_VALUE"""),0.0)</f>
        <v>0</v>
      </c>
      <c r="H3165" s="22">
        <f>IFERROR(__xludf.DUMMYFUNCTION("""COMPUTED_VALUE"""),499985.0213984)</f>
        <v>499985.0214</v>
      </c>
      <c r="I3165" s="24">
        <f>IFERROR(__xludf.DUMMYFUNCTION("""COMPUTED_VALUE"""),-2.995720319998174E-5)</f>
        <v>-0.0000299572032</v>
      </c>
    </row>
    <row r="3166">
      <c r="A3166" s="5" t="str">
        <f>IFERROR(__xludf.DUMMYFUNCTION("""COMPUTED_VALUE"""),"39857")</f>
        <v>39857</v>
      </c>
      <c r="B3166" s="64">
        <f>IFERROR(__xludf.DUMMYFUNCTION("""COMPUTED_VALUE"""),44609.0)</f>
        <v>44609</v>
      </c>
      <c r="C3166" s="5"/>
      <c r="D3166" s="5"/>
      <c r="E3166" s="5"/>
      <c r="F3166" s="22">
        <f>IFERROR(__xludf.DUMMYFUNCTION("""COMPUTED_VALUE"""),485607.5922147)</f>
        <v>485607.5922</v>
      </c>
      <c r="G3166" s="22">
        <f>IFERROR(__xludf.DUMMYFUNCTION("""COMPUTED_VALUE"""),0.0)</f>
        <v>0</v>
      </c>
      <c r="H3166" s="22">
        <f>IFERROR(__xludf.DUMMYFUNCTION("""COMPUTED_VALUE"""),495414.6328768)</f>
        <v>495414.6329</v>
      </c>
      <c r="I3166" s="24">
        <f>IFERROR(__xludf.DUMMYFUNCTION("""COMPUTED_VALUE"""),-0.009170734246399914)</f>
        <v>-0.009170734246</v>
      </c>
    </row>
    <row r="3167">
      <c r="A3167" s="5" t="str">
        <f>IFERROR(__xludf.DUMMYFUNCTION("""COMPUTED_VALUE"""),"39857")</f>
        <v>39857</v>
      </c>
      <c r="B3167" s="64">
        <f>IFERROR(__xludf.DUMMYFUNCTION("""COMPUTED_VALUE"""),44610.0)</f>
        <v>44610</v>
      </c>
      <c r="C3167" s="5"/>
      <c r="D3167" s="5"/>
      <c r="E3167" s="5"/>
      <c r="F3167" s="22">
        <f>IFERROR(__xludf.DUMMYFUNCTION("""COMPUTED_VALUE"""),-102806.67244069997)</f>
        <v>-102806.6724</v>
      </c>
      <c r="G3167" s="22">
        <f>IFERROR(__xludf.DUMMYFUNCTION("""COMPUTED_VALUE"""),102806.67244069997)</f>
        <v>102806.6724</v>
      </c>
      <c r="H3167" s="22">
        <f>IFERROR(__xludf.DUMMYFUNCTION("""COMPUTED_VALUE"""),489516.12051450013)</f>
        <v>489516.1205</v>
      </c>
      <c r="I3167" s="24">
        <f>IFERROR(__xludf.DUMMYFUNCTION("""COMPUTED_VALUE"""),-0.020967758970999784)</f>
        <v>-0.02096775897</v>
      </c>
    </row>
    <row r="3168">
      <c r="A3168" s="5" t="str">
        <f>IFERROR(__xludf.DUMMYFUNCTION("""COMPUTED_VALUE"""),"39857")</f>
        <v>39857</v>
      </c>
      <c r="B3168" s="64">
        <f>IFERROR(__xludf.DUMMYFUNCTION("""COMPUTED_VALUE"""),44611.0)</f>
        <v>44611</v>
      </c>
      <c r="C3168" s="5"/>
      <c r="D3168" s="5"/>
      <c r="E3168" s="5"/>
      <c r="F3168" s="22">
        <f>IFERROR(__xludf.DUMMYFUNCTION("""COMPUTED_VALUE"""),-102806.67244069997)</f>
        <v>-102806.6724</v>
      </c>
      <c r="G3168" s="22">
        <f>IFERROR(__xludf.DUMMYFUNCTION("""COMPUTED_VALUE"""),102806.67244069997)</f>
        <v>102806.6724</v>
      </c>
      <c r="H3168" s="22">
        <f>IFERROR(__xludf.DUMMYFUNCTION("""COMPUTED_VALUE"""),489516.12051450013)</f>
        <v>489516.1205</v>
      </c>
      <c r="I3168" s="24">
        <f>IFERROR(__xludf.DUMMYFUNCTION("""COMPUTED_VALUE"""),-0.020967758970999784)</f>
        <v>-0.02096775897</v>
      </c>
    </row>
    <row r="3169">
      <c r="A3169" s="5" t="str">
        <f>IFERROR(__xludf.DUMMYFUNCTION("""COMPUTED_VALUE"""),"39857")</f>
        <v>39857</v>
      </c>
      <c r="B3169" s="64">
        <f>IFERROR(__xludf.DUMMYFUNCTION("""COMPUTED_VALUE"""),44612.0)</f>
        <v>44612</v>
      </c>
      <c r="C3169" s="5"/>
      <c r="D3169" s="5"/>
      <c r="E3169" s="5"/>
      <c r="F3169" s="22">
        <f>IFERROR(__xludf.DUMMYFUNCTION("""COMPUTED_VALUE"""),-102806.67244069997)</f>
        <v>-102806.6724</v>
      </c>
      <c r="G3169" s="22">
        <f>IFERROR(__xludf.DUMMYFUNCTION("""COMPUTED_VALUE"""),102806.67244069997)</f>
        <v>102806.6724</v>
      </c>
      <c r="H3169" s="22">
        <f>IFERROR(__xludf.DUMMYFUNCTION("""COMPUTED_VALUE"""),489516.12051450013)</f>
        <v>489516.1205</v>
      </c>
      <c r="I3169" s="24">
        <f>IFERROR(__xludf.DUMMYFUNCTION("""COMPUTED_VALUE"""),-0.020967758970999784)</f>
        <v>-0.02096775897</v>
      </c>
    </row>
    <row r="3170">
      <c r="A3170" s="5" t="str">
        <f>IFERROR(__xludf.DUMMYFUNCTION("""COMPUTED_VALUE"""),"39857")</f>
        <v>39857</v>
      </c>
      <c r="B3170" s="64">
        <f>IFERROR(__xludf.DUMMYFUNCTION("""COMPUTED_VALUE"""),44613.0)</f>
        <v>44613</v>
      </c>
      <c r="C3170" s="5"/>
      <c r="D3170" s="5"/>
      <c r="E3170" s="5"/>
      <c r="F3170" s="22">
        <f>IFERROR(__xludf.DUMMYFUNCTION("""COMPUTED_VALUE"""),-102806.67244069997)</f>
        <v>-102806.6724</v>
      </c>
      <c r="G3170" s="22">
        <f>IFERROR(__xludf.DUMMYFUNCTION("""COMPUTED_VALUE"""),102806.67244069997)</f>
        <v>102806.6724</v>
      </c>
      <c r="H3170" s="22">
        <f>IFERROR(__xludf.DUMMYFUNCTION("""COMPUTED_VALUE"""),489516.12051450013)</f>
        <v>489516.1205</v>
      </c>
      <c r="I3170" s="24">
        <f>IFERROR(__xludf.DUMMYFUNCTION("""COMPUTED_VALUE"""),-0.020967758970999784)</f>
        <v>-0.02096775897</v>
      </c>
    </row>
    <row r="3171">
      <c r="A3171" s="5" t="str">
        <f>IFERROR(__xludf.DUMMYFUNCTION("""COMPUTED_VALUE"""),"39857")</f>
        <v>39857</v>
      </c>
      <c r="B3171" s="64">
        <f>IFERROR(__xludf.DUMMYFUNCTION("""COMPUTED_VALUE"""),44614.0)</f>
        <v>44614</v>
      </c>
      <c r="C3171" s="5"/>
      <c r="D3171" s="5"/>
      <c r="E3171" s="5"/>
      <c r="F3171" s="22">
        <f>IFERROR(__xludf.DUMMYFUNCTION("""COMPUTED_VALUE"""),-102806.67244069997)</f>
        <v>-102806.6724</v>
      </c>
      <c r="G3171" s="22">
        <f>IFERROR(__xludf.DUMMYFUNCTION("""COMPUTED_VALUE"""),102806.67244069997)</f>
        <v>102806.6724</v>
      </c>
      <c r="H3171" s="22">
        <f>IFERROR(__xludf.DUMMYFUNCTION("""COMPUTED_VALUE"""),476763.7216100001)</f>
        <v>476763.7216</v>
      </c>
      <c r="I3171" s="24">
        <f>IFERROR(__xludf.DUMMYFUNCTION("""COMPUTED_VALUE"""),-0.04647255677999973)</f>
        <v>-0.04647255678</v>
      </c>
    </row>
    <row r="3172">
      <c r="A3172" s="5" t="str">
        <f>IFERROR(__xludf.DUMMYFUNCTION("""COMPUTED_VALUE"""),"39857")</f>
        <v>39857</v>
      </c>
      <c r="B3172" s="64">
        <f>IFERROR(__xludf.DUMMYFUNCTION("""COMPUTED_VALUE"""),44615.0)</f>
        <v>44615</v>
      </c>
      <c r="C3172" s="5"/>
      <c r="D3172" s="5"/>
      <c r="E3172" s="5"/>
      <c r="F3172" s="22">
        <f>IFERROR(__xludf.DUMMYFUNCTION("""COMPUTED_VALUE"""),-102806.67244069997)</f>
        <v>-102806.6724</v>
      </c>
      <c r="G3172" s="22">
        <f>IFERROR(__xludf.DUMMYFUNCTION("""COMPUTED_VALUE"""),102806.67244069997)</f>
        <v>102806.6724</v>
      </c>
      <c r="H3172" s="22">
        <f>IFERROR(__xludf.DUMMYFUNCTION("""COMPUTED_VALUE"""),468106.1861781002)</f>
        <v>468106.1862</v>
      </c>
      <c r="I3172" s="24">
        <f>IFERROR(__xludf.DUMMYFUNCTION("""COMPUTED_VALUE"""),-0.06378762764379964)</f>
        <v>-0.06378762764</v>
      </c>
    </row>
    <row r="3173">
      <c r="A3173" s="5" t="str">
        <f>IFERROR(__xludf.DUMMYFUNCTION("""COMPUTED_VALUE"""),"39857")</f>
        <v>39857</v>
      </c>
      <c r="B3173" s="64">
        <f>IFERROR(__xludf.DUMMYFUNCTION("""COMPUTED_VALUE"""),44616.0)</f>
        <v>44616</v>
      </c>
      <c r="C3173" s="5"/>
      <c r="D3173" s="5"/>
      <c r="E3173" s="5"/>
      <c r="F3173" s="22">
        <f>IFERROR(__xludf.DUMMYFUNCTION("""COMPUTED_VALUE"""),-102806.67244069997)</f>
        <v>-102806.6724</v>
      </c>
      <c r="G3173" s="22">
        <f>IFERROR(__xludf.DUMMYFUNCTION("""COMPUTED_VALUE"""),102806.67244069997)</f>
        <v>102806.6724</v>
      </c>
      <c r="H3173" s="22">
        <f>IFERROR(__xludf.DUMMYFUNCTION("""COMPUTED_VALUE"""),481872.5398894001)</f>
        <v>481872.5399</v>
      </c>
      <c r="I3173" s="24">
        <f>IFERROR(__xludf.DUMMYFUNCTION("""COMPUTED_VALUE"""),-0.036254920221199693)</f>
        <v>-0.03625492022</v>
      </c>
    </row>
    <row r="3174">
      <c r="A3174" s="5" t="str">
        <f>IFERROR(__xludf.DUMMYFUNCTION("""COMPUTED_VALUE"""),"39857")</f>
        <v>39857</v>
      </c>
      <c r="B3174" s="64">
        <f>IFERROR(__xludf.DUMMYFUNCTION("""COMPUTED_VALUE"""),44617.0)</f>
        <v>44617</v>
      </c>
      <c r="C3174" s="5"/>
      <c r="D3174" s="5"/>
      <c r="E3174" s="5"/>
      <c r="F3174" s="22">
        <f>IFERROR(__xludf.DUMMYFUNCTION("""COMPUTED_VALUE"""),164798.73680180003)</f>
        <v>164798.7368</v>
      </c>
      <c r="G3174" s="22">
        <f>IFERROR(__xludf.DUMMYFUNCTION("""COMPUTED_VALUE"""),0.0)</f>
        <v>0</v>
      </c>
      <c r="H3174" s="22">
        <f>IFERROR(__xludf.DUMMYFUNCTION("""COMPUTED_VALUE"""),482379.5029954001)</f>
        <v>482379.503</v>
      </c>
      <c r="I3174" s="24">
        <f>IFERROR(__xludf.DUMMYFUNCTION("""COMPUTED_VALUE"""),-0.03524099400919978)</f>
        <v>-0.03524099401</v>
      </c>
    </row>
    <row r="3175">
      <c r="A3175" s="5" t="str">
        <f>IFERROR(__xludf.DUMMYFUNCTION("""COMPUTED_VALUE"""),"39857")</f>
        <v>39857</v>
      </c>
      <c r="B3175" s="64">
        <f>IFERROR(__xludf.DUMMYFUNCTION("""COMPUTED_VALUE"""),44618.0)</f>
        <v>44618</v>
      </c>
      <c r="C3175" s="5"/>
      <c r="D3175" s="5"/>
      <c r="E3175" s="5"/>
      <c r="F3175" s="22">
        <f>IFERROR(__xludf.DUMMYFUNCTION("""COMPUTED_VALUE"""),164798.73680180003)</f>
        <v>164798.7368</v>
      </c>
      <c r="G3175" s="22">
        <f>IFERROR(__xludf.DUMMYFUNCTION("""COMPUTED_VALUE"""),0.0)</f>
        <v>0</v>
      </c>
      <c r="H3175" s="22">
        <f>IFERROR(__xludf.DUMMYFUNCTION("""COMPUTED_VALUE"""),482379.5029954001)</f>
        <v>482379.503</v>
      </c>
      <c r="I3175" s="24">
        <f>IFERROR(__xludf.DUMMYFUNCTION("""COMPUTED_VALUE"""),-0.03524099400919978)</f>
        <v>-0.03524099401</v>
      </c>
    </row>
    <row r="3176">
      <c r="A3176" s="5" t="str">
        <f>IFERROR(__xludf.DUMMYFUNCTION("""COMPUTED_VALUE"""),"39857")</f>
        <v>39857</v>
      </c>
      <c r="B3176" s="64">
        <f>IFERROR(__xludf.DUMMYFUNCTION("""COMPUTED_VALUE"""),44619.0)</f>
        <v>44619</v>
      </c>
      <c r="C3176" s="5"/>
      <c r="D3176" s="5"/>
      <c r="E3176" s="5"/>
      <c r="F3176" s="22">
        <f>IFERROR(__xludf.DUMMYFUNCTION("""COMPUTED_VALUE"""),164798.73680180003)</f>
        <v>164798.7368</v>
      </c>
      <c r="G3176" s="22">
        <f>IFERROR(__xludf.DUMMYFUNCTION("""COMPUTED_VALUE"""),0.0)</f>
        <v>0</v>
      </c>
      <c r="H3176" s="22">
        <f>IFERROR(__xludf.DUMMYFUNCTION("""COMPUTED_VALUE"""),482379.5029954001)</f>
        <v>482379.503</v>
      </c>
      <c r="I3176" s="24">
        <f>IFERROR(__xludf.DUMMYFUNCTION("""COMPUTED_VALUE"""),-0.03524099400919978)</f>
        <v>-0.03524099401</v>
      </c>
    </row>
    <row r="3177">
      <c r="A3177" s="5" t="str">
        <f>IFERROR(__xludf.DUMMYFUNCTION("""COMPUTED_VALUE"""),"39857")</f>
        <v>39857</v>
      </c>
      <c r="B3177" s="64">
        <f>IFERROR(__xludf.DUMMYFUNCTION("""COMPUTED_VALUE"""),44620.0)</f>
        <v>44620</v>
      </c>
      <c r="C3177" s="5"/>
      <c r="D3177" s="5"/>
      <c r="E3177" s="5"/>
      <c r="F3177" s="22">
        <f>IFERROR(__xludf.DUMMYFUNCTION("""COMPUTED_VALUE"""),436841.1881418)</f>
        <v>436841.1881</v>
      </c>
      <c r="G3177" s="22">
        <f>IFERROR(__xludf.DUMMYFUNCTION("""COMPUTED_VALUE"""),0.0)</f>
        <v>0</v>
      </c>
      <c r="H3177" s="22">
        <f>IFERROR(__xludf.DUMMYFUNCTION("""COMPUTED_VALUE"""),458740.24899900006)</f>
        <v>458740.249</v>
      </c>
      <c r="I3177" s="24">
        <f>IFERROR(__xludf.DUMMYFUNCTION("""COMPUTED_VALUE"""),-0.08251950200199987)</f>
        <v>-0.082519502</v>
      </c>
    </row>
    <row r="3178">
      <c r="A3178" s="5" t="str">
        <f>IFERROR(__xludf.DUMMYFUNCTION("""COMPUTED_VALUE"""),"39857")</f>
        <v>39857</v>
      </c>
      <c r="B3178" s="64">
        <f>IFERROR(__xludf.DUMMYFUNCTION("""COMPUTED_VALUE"""),44621.0)</f>
        <v>44621</v>
      </c>
      <c r="C3178" s="5"/>
      <c r="D3178" s="5"/>
      <c r="E3178" s="5"/>
      <c r="F3178" s="22">
        <f>IFERROR(__xludf.DUMMYFUNCTION("""COMPUTED_VALUE"""),436841.1881418)</f>
        <v>436841.1881</v>
      </c>
      <c r="G3178" s="22">
        <f>IFERROR(__xludf.DUMMYFUNCTION("""COMPUTED_VALUE"""),0.0)</f>
        <v>0</v>
      </c>
      <c r="H3178" s="22">
        <f>IFERROR(__xludf.DUMMYFUNCTION("""COMPUTED_VALUE"""),458277.2743854001)</f>
        <v>458277.2744</v>
      </c>
      <c r="I3178" s="24">
        <f>IFERROR(__xludf.DUMMYFUNCTION("""COMPUTED_VALUE"""),-0.08344545122919977)</f>
        <v>-0.08344545123</v>
      </c>
    </row>
    <row r="3179">
      <c r="A3179" s="5" t="str">
        <f>IFERROR(__xludf.DUMMYFUNCTION("""COMPUTED_VALUE"""),"39857")</f>
        <v>39857</v>
      </c>
      <c r="B3179" s="64">
        <f>IFERROR(__xludf.DUMMYFUNCTION("""COMPUTED_VALUE"""),44622.0)</f>
        <v>44622</v>
      </c>
      <c r="C3179" s="5"/>
      <c r="D3179" s="5"/>
      <c r="E3179" s="5"/>
      <c r="F3179" s="22">
        <f>IFERROR(__xludf.DUMMYFUNCTION("""COMPUTED_VALUE"""),436841.1881418)</f>
        <v>436841.1881</v>
      </c>
      <c r="G3179" s="22">
        <f>IFERROR(__xludf.DUMMYFUNCTION("""COMPUTED_VALUE"""),0.0)</f>
        <v>0</v>
      </c>
      <c r="H3179" s="22">
        <f>IFERROR(__xludf.DUMMYFUNCTION("""COMPUTED_VALUE"""),459486.6629566002)</f>
        <v>459486.663</v>
      </c>
      <c r="I3179" s="24">
        <f>IFERROR(__xludf.DUMMYFUNCTION("""COMPUTED_VALUE"""),-0.08102667408679964)</f>
        <v>-0.08102667409</v>
      </c>
    </row>
    <row r="3180">
      <c r="A3180" s="5" t="str">
        <f>IFERROR(__xludf.DUMMYFUNCTION("""COMPUTED_VALUE"""),"39857")</f>
        <v>39857</v>
      </c>
      <c r="B3180" s="64">
        <f>IFERROR(__xludf.DUMMYFUNCTION("""COMPUTED_VALUE"""),44623.0)</f>
        <v>44623</v>
      </c>
      <c r="C3180" s="5"/>
      <c r="D3180" s="5"/>
      <c r="E3180" s="5"/>
      <c r="F3180" s="22">
        <f>IFERROR(__xludf.DUMMYFUNCTION("""COMPUTED_VALUE"""),436841.1881418)</f>
        <v>436841.1881</v>
      </c>
      <c r="G3180" s="22">
        <f>IFERROR(__xludf.DUMMYFUNCTION("""COMPUTED_VALUE"""),0.0)</f>
        <v>0</v>
      </c>
      <c r="H3180" s="22">
        <f>IFERROR(__xludf.DUMMYFUNCTION("""COMPUTED_VALUE"""),456311.9317306002)</f>
        <v>456311.9317</v>
      </c>
      <c r="I3180" s="24">
        <f>IFERROR(__xludf.DUMMYFUNCTION("""COMPUTED_VALUE"""),-0.08737613653879961)</f>
        <v>-0.08737613654</v>
      </c>
    </row>
    <row r="3181">
      <c r="A3181" s="5" t="str">
        <f>IFERROR(__xludf.DUMMYFUNCTION("""COMPUTED_VALUE"""),"39857")</f>
        <v>39857</v>
      </c>
      <c r="B3181" s="64">
        <f>IFERROR(__xludf.DUMMYFUNCTION("""COMPUTED_VALUE"""),44624.0)</f>
        <v>44624</v>
      </c>
      <c r="C3181" s="5"/>
      <c r="D3181" s="5"/>
      <c r="E3181" s="5"/>
      <c r="F3181" s="22">
        <f>IFERROR(__xludf.DUMMYFUNCTION("""COMPUTED_VALUE"""),436841.1881418)</f>
        <v>436841.1881</v>
      </c>
      <c r="G3181" s="22">
        <f>IFERROR(__xludf.DUMMYFUNCTION("""COMPUTED_VALUE"""),0.0)</f>
        <v>0</v>
      </c>
      <c r="H3181" s="22">
        <f>IFERROR(__xludf.DUMMYFUNCTION("""COMPUTED_VALUE"""),456254.70672060025)</f>
        <v>456254.7067</v>
      </c>
      <c r="I3181" s="24">
        <f>IFERROR(__xludf.DUMMYFUNCTION("""COMPUTED_VALUE"""),-0.08749058655879949)</f>
        <v>-0.08749058656</v>
      </c>
    </row>
    <row r="3182">
      <c r="A3182" s="5" t="str">
        <f>IFERROR(__xludf.DUMMYFUNCTION("""COMPUTED_VALUE"""),"39857")</f>
        <v>39857</v>
      </c>
      <c r="B3182" s="64">
        <f>IFERROR(__xludf.DUMMYFUNCTION("""COMPUTED_VALUE"""),44625.0)</f>
        <v>44625</v>
      </c>
      <c r="C3182" s="5"/>
      <c r="D3182" s="5"/>
      <c r="E3182" s="5"/>
      <c r="F3182" s="22">
        <f>IFERROR(__xludf.DUMMYFUNCTION("""COMPUTED_VALUE"""),436841.1881418)</f>
        <v>436841.1881</v>
      </c>
      <c r="G3182" s="22">
        <f>IFERROR(__xludf.DUMMYFUNCTION("""COMPUTED_VALUE"""),0.0)</f>
        <v>0</v>
      </c>
      <c r="H3182" s="22">
        <f>IFERROR(__xludf.DUMMYFUNCTION("""COMPUTED_VALUE"""),456254.70672060025)</f>
        <v>456254.7067</v>
      </c>
      <c r="I3182" s="24">
        <f>IFERROR(__xludf.DUMMYFUNCTION("""COMPUTED_VALUE"""),-0.08749058655879949)</f>
        <v>-0.08749058656</v>
      </c>
    </row>
    <row r="3183">
      <c r="A3183" s="5" t="str">
        <f>IFERROR(__xludf.DUMMYFUNCTION("""COMPUTED_VALUE"""),"39857")</f>
        <v>39857</v>
      </c>
      <c r="B3183" s="64">
        <f>IFERROR(__xludf.DUMMYFUNCTION("""COMPUTED_VALUE"""),44626.0)</f>
        <v>44626</v>
      </c>
      <c r="C3183" s="5"/>
      <c r="D3183" s="5"/>
      <c r="E3183" s="5"/>
      <c r="F3183" s="22">
        <f>IFERROR(__xludf.DUMMYFUNCTION("""COMPUTED_VALUE"""),436841.1881418)</f>
        <v>436841.1881</v>
      </c>
      <c r="G3183" s="22">
        <f>IFERROR(__xludf.DUMMYFUNCTION("""COMPUTED_VALUE"""),0.0)</f>
        <v>0</v>
      </c>
      <c r="H3183" s="22">
        <f>IFERROR(__xludf.DUMMYFUNCTION("""COMPUTED_VALUE"""),456254.70672060025)</f>
        <v>456254.7067</v>
      </c>
      <c r="I3183" s="24">
        <f>IFERROR(__xludf.DUMMYFUNCTION("""COMPUTED_VALUE"""),-0.08749058655879949)</f>
        <v>-0.08749058656</v>
      </c>
    </row>
    <row r="3184">
      <c r="A3184" s="5" t="str">
        <f>IFERROR(__xludf.DUMMYFUNCTION("""COMPUTED_VALUE"""),"39857")</f>
        <v>39857</v>
      </c>
      <c r="B3184" s="64">
        <f>IFERROR(__xludf.DUMMYFUNCTION("""COMPUTED_VALUE"""),44627.0)</f>
        <v>44627</v>
      </c>
      <c r="C3184" s="5"/>
      <c r="D3184" s="5"/>
      <c r="E3184" s="5"/>
      <c r="F3184" s="22">
        <f>IFERROR(__xludf.DUMMYFUNCTION("""COMPUTED_VALUE"""),436841.1881418)</f>
        <v>436841.1881</v>
      </c>
      <c r="G3184" s="22">
        <f>IFERROR(__xludf.DUMMYFUNCTION("""COMPUTED_VALUE"""),0.0)</f>
        <v>0</v>
      </c>
      <c r="H3184" s="22">
        <f>IFERROR(__xludf.DUMMYFUNCTION("""COMPUTED_VALUE"""),453643.83035300014)</f>
        <v>453643.8304</v>
      </c>
      <c r="I3184" s="24">
        <f>IFERROR(__xludf.DUMMYFUNCTION("""COMPUTED_VALUE"""),-0.09271233929399969)</f>
        <v>-0.09271233929</v>
      </c>
    </row>
    <row r="3185">
      <c r="A3185" s="5" t="str">
        <f>IFERROR(__xludf.DUMMYFUNCTION("""COMPUTED_VALUE"""),"39857")</f>
        <v>39857</v>
      </c>
      <c r="B3185" s="64">
        <f>IFERROR(__xludf.DUMMYFUNCTION("""COMPUTED_VALUE"""),44628.0)</f>
        <v>44628</v>
      </c>
      <c r="C3185" s="5"/>
      <c r="D3185" s="5"/>
      <c r="E3185" s="5"/>
      <c r="F3185" s="22">
        <f>IFERROR(__xludf.DUMMYFUNCTION("""COMPUTED_VALUE"""),436841.1881418)</f>
        <v>436841.1881</v>
      </c>
      <c r="G3185" s="22">
        <f>IFERROR(__xludf.DUMMYFUNCTION("""COMPUTED_VALUE"""),0.0)</f>
        <v>0</v>
      </c>
      <c r="H3185" s="22">
        <f>IFERROR(__xludf.DUMMYFUNCTION("""COMPUTED_VALUE"""),455205.0674022002)</f>
        <v>455205.0674</v>
      </c>
      <c r="I3185" s="24">
        <f>IFERROR(__xludf.DUMMYFUNCTION("""COMPUTED_VALUE"""),-0.08958986519559964)</f>
        <v>-0.0895898652</v>
      </c>
    </row>
    <row r="3186">
      <c r="A3186" s="5" t="str">
        <f>IFERROR(__xludf.DUMMYFUNCTION("""COMPUTED_VALUE"""),"39857")</f>
        <v>39857</v>
      </c>
      <c r="B3186" s="64">
        <f>IFERROR(__xludf.DUMMYFUNCTION("""COMPUTED_VALUE"""),44629.0)</f>
        <v>44629</v>
      </c>
      <c r="C3186" s="5"/>
      <c r="D3186" s="5"/>
      <c r="E3186" s="5"/>
      <c r="F3186" s="22">
        <f>IFERROR(__xludf.DUMMYFUNCTION("""COMPUTED_VALUE"""),436841.1881418)</f>
        <v>436841.1881</v>
      </c>
      <c r="G3186" s="22">
        <f>IFERROR(__xludf.DUMMYFUNCTION("""COMPUTED_VALUE"""),0.0)</f>
        <v>0</v>
      </c>
      <c r="H3186" s="22">
        <f>IFERROR(__xludf.DUMMYFUNCTION("""COMPUTED_VALUE"""),457906.6101414002)</f>
        <v>457906.6101</v>
      </c>
      <c r="I3186" s="24">
        <f>IFERROR(__xludf.DUMMYFUNCTION("""COMPUTED_VALUE"""),-0.08418677971719957)</f>
        <v>-0.08418677972</v>
      </c>
    </row>
    <row r="3187">
      <c r="A3187" s="5" t="str">
        <f>IFERROR(__xludf.DUMMYFUNCTION("""COMPUTED_VALUE"""),"39857")</f>
        <v>39857</v>
      </c>
      <c r="B3187" s="64">
        <f>IFERROR(__xludf.DUMMYFUNCTION("""COMPUTED_VALUE"""),44630.0)</f>
        <v>44630</v>
      </c>
      <c r="C3187" s="5"/>
      <c r="D3187" s="5"/>
      <c r="E3187" s="5"/>
      <c r="F3187" s="22">
        <f>IFERROR(__xludf.DUMMYFUNCTION("""COMPUTED_VALUE"""),436841.1881418)</f>
        <v>436841.1881</v>
      </c>
      <c r="G3187" s="22">
        <f>IFERROR(__xludf.DUMMYFUNCTION("""COMPUTED_VALUE"""),0.0)</f>
        <v>0</v>
      </c>
      <c r="H3187" s="22">
        <f>IFERROR(__xludf.DUMMYFUNCTION("""COMPUTED_VALUE"""),457906.5665114002)</f>
        <v>457906.5665</v>
      </c>
      <c r="I3187" s="24">
        <f>IFERROR(__xludf.DUMMYFUNCTION("""COMPUTED_VALUE"""),-0.08418686697719957)</f>
        <v>-0.08418686698</v>
      </c>
    </row>
    <row r="3188">
      <c r="A3188" s="5" t="str">
        <f>IFERROR(__xludf.DUMMYFUNCTION("""COMPUTED_VALUE"""),"39857")</f>
        <v>39857</v>
      </c>
      <c r="B3188" s="64">
        <f>IFERROR(__xludf.DUMMYFUNCTION("""COMPUTED_VALUE"""),44631.0)</f>
        <v>44631</v>
      </c>
      <c r="C3188" s="5"/>
      <c r="D3188" s="5"/>
      <c r="E3188" s="5"/>
      <c r="F3188" s="22">
        <f>IFERROR(__xludf.DUMMYFUNCTION("""COMPUTED_VALUE"""),436841.1881418)</f>
        <v>436841.1881</v>
      </c>
      <c r="G3188" s="22">
        <f>IFERROR(__xludf.DUMMYFUNCTION("""COMPUTED_VALUE"""),0.0)</f>
        <v>0</v>
      </c>
      <c r="H3188" s="22">
        <f>IFERROR(__xludf.DUMMYFUNCTION("""COMPUTED_VALUE"""),452927.96688420017)</f>
        <v>452927.9669</v>
      </c>
      <c r="I3188" s="24">
        <f>IFERROR(__xludf.DUMMYFUNCTION("""COMPUTED_VALUE"""),-0.09414406623159965)</f>
        <v>-0.09414406623</v>
      </c>
    </row>
    <row r="3189">
      <c r="A3189" s="5" t="str">
        <f>IFERROR(__xludf.DUMMYFUNCTION("""COMPUTED_VALUE"""),"39857")</f>
        <v>39857</v>
      </c>
      <c r="B3189" s="64">
        <f>IFERROR(__xludf.DUMMYFUNCTION("""COMPUTED_VALUE"""),44632.0)</f>
        <v>44632</v>
      </c>
      <c r="C3189" s="5"/>
      <c r="D3189" s="5"/>
      <c r="E3189" s="5"/>
      <c r="F3189" s="22">
        <f>IFERROR(__xludf.DUMMYFUNCTION("""COMPUTED_VALUE"""),436841.1881418)</f>
        <v>436841.1881</v>
      </c>
      <c r="G3189" s="22">
        <f>IFERROR(__xludf.DUMMYFUNCTION("""COMPUTED_VALUE"""),0.0)</f>
        <v>0</v>
      </c>
      <c r="H3189" s="22">
        <f>IFERROR(__xludf.DUMMYFUNCTION("""COMPUTED_VALUE"""),452927.96688420017)</f>
        <v>452927.9669</v>
      </c>
      <c r="I3189" s="24">
        <f>IFERROR(__xludf.DUMMYFUNCTION("""COMPUTED_VALUE"""),-0.09414406623159965)</f>
        <v>-0.09414406623</v>
      </c>
    </row>
    <row r="3190">
      <c r="A3190" s="5" t="str">
        <f>IFERROR(__xludf.DUMMYFUNCTION("""COMPUTED_VALUE"""),"39857")</f>
        <v>39857</v>
      </c>
      <c r="B3190" s="64">
        <f>IFERROR(__xludf.DUMMYFUNCTION("""COMPUTED_VALUE"""),44633.0)</f>
        <v>44633</v>
      </c>
      <c r="C3190" s="5"/>
      <c r="D3190" s="5"/>
      <c r="E3190" s="5"/>
      <c r="F3190" s="22">
        <f>IFERROR(__xludf.DUMMYFUNCTION("""COMPUTED_VALUE"""),436841.1881418)</f>
        <v>436841.1881</v>
      </c>
      <c r="G3190" s="22">
        <f>IFERROR(__xludf.DUMMYFUNCTION("""COMPUTED_VALUE"""),0.0)</f>
        <v>0</v>
      </c>
      <c r="H3190" s="22">
        <f>IFERROR(__xludf.DUMMYFUNCTION("""COMPUTED_VALUE"""),452927.96688420017)</f>
        <v>452927.9669</v>
      </c>
      <c r="I3190" s="24">
        <f>IFERROR(__xludf.DUMMYFUNCTION("""COMPUTED_VALUE"""),-0.09414406623159965)</f>
        <v>-0.09414406623</v>
      </c>
    </row>
    <row r="3191">
      <c r="A3191" s="5" t="str">
        <f>IFERROR(__xludf.DUMMYFUNCTION("""COMPUTED_VALUE"""),"39857")</f>
        <v>39857</v>
      </c>
      <c r="B3191" s="64">
        <f>IFERROR(__xludf.DUMMYFUNCTION("""COMPUTED_VALUE"""),44634.0)</f>
        <v>44634</v>
      </c>
      <c r="C3191" s="5"/>
      <c r="D3191" s="5"/>
      <c r="E3191" s="5"/>
      <c r="F3191" s="22">
        <f>IFERROR(__xludf.DUMMYFUNCTION("""COMPUTED_VALUE"""),436841.1881418)</f>
        <v>436841.1881</v>
      </c>
      <c r="G3191" s="22">
        <f>IFERROR(__xludf.DUMMYFUNCTION("""COMPUTED_VALUE"""),0.0)</f>
        <v>0</v>
      </c>
      <c r="H3191" s="22">
        <f>IFERROR(__xludf.DUMMYFUNCTION("""COMPUTED_VALUE"""),450668.22071540006)</f>
        <v>450668.2207</v>
      </c>
      <c r="I3191" s="24">
        <f>IFERROR(__xludf.DUMMYFUNCTION("""COMPUTED_VALUE"""),-0.09866355856919984)</f>
        <v>-0.09866355857</v>
      </c>
    </row>
    <row r="3192">
      <c r="A3192" s="5" t="str">
        <f>IFERROR(__xludf.DUMMYFUNCTION("""COMPUTED_VALUE"""),"39857")</f>
        <v>39857</v>
      </c>
      <c r="B3192" s="64">
        <f>IFERROR(__xludf.DUMMYFUNCTION("""COMPUTED_VALUE"""),44635.0)</f>
        <v>44635</v>
      </c>
      <c r="C3192" s="5"/>
      <c r="D3192" s="5"/>
      <c r="E3192" s="5"/>
      <c r="F3192" s="22">
        <f>IFERROR(__xludf.DUMMYFUNCTION("""COMPUTED_VALUE"""),436841.1881418)</f>
        <v>436841.1881</v>
      </c>
      <c r="G3192" s="22">
        <f>IFERROR(__xludf.DUMMYFUNCTION("""COMPUTED_VALUE"""),0.0)</f>
        <v>0</v>
      </c>
      <c r="H3192" s="22">
        <f>IFERROR(__xludf.DUMMYFUNCTION("""COMPUTED_VALUE"""),453429.91909660015)</f>
        <v>453429.9191</v>
      </c>
      <c r="I3192" s="24">
        <f>IFERROR(__xludf.DUMMYFUNCTION("""COMPUTED_VALUE"""),-0.09314016180679974)</f>
        <v>-0.09314016181</v>
      </c>
    </row>
    <row r="3193">
      <c r="A3193" s="5" t="str">
        <f>IFERROR(__xludf.DUMMYFUNCTION("""COMPUTED_VALUE"""),"39857")</f>
        <v>39857</v>
      </c>
      <c r="B3193" s="64">
        <f>IFERROR(__xludf.DUMMYFUNCTION("""COMPUTED_VALUE"""),44636.0)</f>
        <v>44636</v>
      </c>
      <c r="C3193" s="5"/>
      <c r="D3193" s="5"/>
      <c r="E3193" s="5"/>
      <c r="F3193" s="22">
        <f>IFERROR(__xludf.DUMMYFUNCTION("""COMPUTED_VALUE"""),436841.1881418)</f>
        <v>436841.1881</v>
      </c>
      <c r="G3193" s="22">
        <f>IFERROR(__xludf.DUMMYFUNCTION("""COMPUTED_VALUE"""),0.0)</f>
        <v>0</v>
      </c>
      <c r="H3193" s="22">
        <f>IFERROR(__xludf.DUMMYFUNCTION("""COMPUTED_VALUE"""),456418.0312470002)</f>
        <v>456418.0312</v>
      </c>
      <c r="I3193" s="24">
        <f>IFERROR(__xludf.DUMMYFUNCTION("""COMPUTED_VALUE"""),-0.0871639375059996)</f>
        <v>-0.08716393751</v>
      </c>
    </row>
    <row r="3194">
      <c r="A3194" s="5" t="str">
        <f>IFERROR(__xludf.DUMMYFUNCTION("""COMPUTED_VALUE"""),"39857")</f>
        <v>39857</v>
      </c>
      <c r="B3194" s="64">
        <f>IFERROR(__xludf.DUMMYFUNCTION("""COMPUTED_VALUE"""),44637.0)</f>
        <v>44637</v>
      </c>
      <c r="C3194" s="5"/>
      <c r="D3194" s="5"/>
      <c r="E3194" s="5"/>
      <c r="F3194" s="22">
        <f>IFERROR(__xludf.DUMMYFUNCTION("""COMPUTED_VALUE"""),436841.1881418)</f>
        <v>436841.1881</v>
      </c>
      <c r="G3194" s="22">
        <f>IFERROR(__xludf.DUMMYFUNCTION("""COMPUTED_VALUE"""),0.0)</f>
        <v>0</v>
      </c>
      <c r="H3194" s="22">
        <f>IFERROR(__xludf.DUMMYFUNCTION("""COMPUTED_VALUE"""),458871.18347420014)</f>
        <v>458871.1835</v>
      </c>
      <c r="I3194" s="24">
        <f>IFERROR(__xludf.DUMMYFUNCTION("""COMPUTED_VALUE"""),-0.08225763305159972)</f>
        <v>-0.08225763305</v>
      </c>
    </row>
    <row r="3195">
      <c r="A3195" s="5" t="str">
        <f>IFERROR(__xludf.DUMMYFUNCTION("""COMPUTED_VALUE"""),"39857")</f>
        <v>39857</v>
      </c>
      <c r="B3195" s="64">
        <f>IFERROR(__xludf.DUMMYFUNCTION("""COMPUTED_VALUE"""),44638.0)</f>
        <v>44638</v>
      </c>
      <c r="C3195" s="5"/>
      <c r="D3195" s="5"/>
      <c r="E3195" s="5"/>
      <c r="F3195" s="22">
        <f>IFERROR(__xludf.DUMMYFUNCTION("""COMPUTED_VALUE"""),436841.1881418)</f>
        <v>436841.1881</v>
      </c>
      <c r="G3195" s="22">
        <f>IFERROR(__xludf.DUMMYFUNCTION("""COMPUTED_VALUE"""),0.0)</f>
        <v>0</v>
      </c>
      <c r="H3195" s="22">
        <f>IFERROR(__xludf.DUMMYFUNCTION("""COMPUTED_VALUE"""),461516.2102566002)</f>
        <v>461516.2103</v>
      </c>
      <c r="I3195" s="24">
        <f>IFERROR(__xludf.DUMMYFUNCTION("""COMPUTED_VALUE"""),-0.07696757948679955)</f>
        <v>-0.07696757949</v>
      </c>
    </row>
    <row r="3196">
      <c r="A3196" s="5" t="str">
        <f>IFERROR(__xludf.DUMMYFUNCTION("""COMPUTED_VALUE"""),"39857")</f>
        <v>39857</v>
      </c>
      <c r="B3196" s="64">
        <f>IFERROR(__xludf.DUMMYFUNCTION("""COMPUTED_VALUE"""),44639.0)</f>
        <v>44639</v>
      </c>
      <c r="C3196" s="5"/>
      <c r="D3196" s="5"/>
      <c r="E3196" s="5"/>
      <c r="F3196" s="22">
        <f>IFERROR(__xludf.DUMMYFUNCTION("""COMPUTED_VALUE"""),436841.1881418)</f>
        <v>436841.1881</v>
      </c>
      <c r="G3196" s="22">
        <f>IFERROR(__xludf.DUMMYFUNCTION("""COMPUTED_VALUE"""),0.0)</f>
        <v>0</v>
      </c>
      <c r="H3196" s="22">
        <f>IFERROR(__xludf.DUMMYFUNCTION("""COMPUTED_VALUE"""),461516.2102566002)</f>
        <v>461516.2103</v>
      </c>
      <c r="I3196" s="24">
        <f>IFERROR(__xludf.DUMMYFUNCTION("""COMPUTED_VALUE"""),-0.07696757948679955)</f>
        <v>-0.07696757949</v>
      </c>
    </row>
    <row r="3197">
      <c r="A3197" s="5" t="str">
        <f>IFERROR(__xludf.DUMMYFUNCTION("""COMPUTED_VALUE"""),"39857")</f>
        <v>39857</v>
      </c>
      <c r="B3197" s="64">
        <f>IFERROR(__xludf.DUMMYFUNCTION("""COMPUTED_VALUE"""),44640.0)</f>
        <v>44640</v>
      </c>
      <c r="C3197" s="5"/>
      <c r="D3197" s="5"/>
      <c r="E3197" s="5"/>
      <c r="F3197" s="22">
        <f>IFERROR(__xludf.DUMMYFUNCTION("""COMPUTED_VALUE"""),436841.1881418)</f>
        <v>436841.1881</v>
      </c>
      <c r="G3197" s="22">
        <f>IFERROR(__xludf.DUMMYFUNCTION("""COMPUTED_VALUE"""),0.0)</f>
        <v>0</v>
      </c>
      <c r="H3197" s="22">
        <f>IFERROR(__xludf.DUMMYFUNCTION("""COMPUTED_VALUE"""),461516.2102566002)</f>
        <v>461516.2103</v>
      </c>
      <c r="I3197" s="24">
        <f>IFERROR(__xludf.DUMMYFUNCTION("""COMPUTED_VALUE"""),-0.07696757948679955)</f>
        <v>-0.07696757949</v>
      </c>
    </row>
    <row r="3198">
      <c r="A3198" s="5" t="str">
        <f>IFERROR(__xludf.DUMMYFUNCTION("""COMPUTED_VALUE"""),"39857")</f>
        <v>39857</v>
      </c>
      <c r="B3198" s="64">
        <f>IFERROR(__xludf.DUMMYFUNCTION("""COMPUTED_VALUE"""),44641.0)</f>
        <v>44641</v>
      </c>
      <c r="C3198" s="5"/>
      <c r="D3198" s="5"/>
      <c r="E3198" s="5"/>
      <c r="F3198" s="22">
        <f>IFERROR(__xludf.DUMMYFUNCTION("""COMPUTED_VALUE"""),436841.1881418)</f>
        <v>436841.1881</v>
      </c>
      <c r="G3198" s="22">
        <f>IFERROR(__xludf.DUMMYFUNCTION("""COMPUTED_VALUE"""),0.0)</f>
        <v>0</v>
      </c>
      <c r="H3198" s="22">
        <f>IFERROR(__xludf.DUMMYFUNCTION("""COMPUTED_VALUE"""),462759.68037780013)</f>
        <v>462759.6804</v>
      </c>
      <c r="I3198" s="24">
        <f>IFERROR(__xludf.DUMMYFUNCTION("""COMPUTED_VALUE"""),-0.07448063924439974)</f>
        <v>-0.07448063924</v>
      </c>
    </row>
    <row r="3199">
      <c r="A3199" s="5" t="str">
        <f>IFERROR(__xludf.DUMMYFUNCTION("""COMPUTED_VALUE"""),"39857")</f>
        <v>39857</v>
      </c>
      <c r="B3199" s="64">
        <f>IFERROR(__xludf.DUMMYFUNCTION("""COMPUTED_VALUE"""),44642.0)</f>
        <v>44642</v>
      </c>
      <c r="C3199" s="5"/>
      <c r="D3199" s="5"/>
      <c r="E3199" s="5"/>
      <c r="F3199" s="22">
        <f>IFERROR(__xludf.DUMMYFUNCTION("""COMPUTED_VALUE"""),436841.1881418)</f>
        <v>436841.1881</v>
      </c>
      <c r="G3199" s="22">
        <f>IFERROR(__xludf.DUMMYFUNCTION("""COMPUTED_VALUE"""),0.0)</f>
        <v>0</v>
      </c>
      <c r="H3199" s="22">
        <f>IFERROR(__xludf.DUMMYFUNCTION("""COMPUTED_VALUE"""),468461.2159870001)</f>
        <v>468461.216</v>
      </c>
      <c r="I3199" s="24">
        <f>IFERROR(__xludf.DUMMYFUNCTION("""COMPUTED_VALUE"""),-0.06307756802599984)</f>
        <v>-0.06307756803</v>
      </c>
    </row>
    <row r="3200">
      <c r="A3200" s="5" t="str">
        <f>IFERROR(__xludf.DUMMYFUNCTION("""COMPUTED_VALUE"""),"39857")</f>
        <v>39857</v>
      </c>
      <c r="B3200" s="64">
        <f>IFERROR(__xludf.DUMMYFUNCTION("""COMPUTED_VALUE"""),44643.0)</f>
        <v>44643</v>
      </c>
      <c r="C3200" s="5"/>
      <c r="D3200" s="5"/>
      <c r="E3200" s="5"/>
      <c r="F3200" s="22">
        <f>IFERROR(__xludf.DUMMYFUNCTION("""COMPUTED_VALUE"""),436841.1881418)</f>
        <v>436841.1881</v>
      </c>
      <c r="G3200" s="22">
        <f>IFERROR(__xludf.DUMMYFUNCTION("""COMPUTED_VALUE"""),0.0)</f>
        <v>0</v>
      </c>
      <c r="H3200" s="22">
        <f>IFERROR(__xludf.DUMMYFUNCTION("""COMPUTED_VALUE"""),468874.11051980016)</f>
        <v>468874.1105</v>
      </c>
      <c r="I3200" s="24">
        <f>IFERROR(__xludf.DUMMYFUNCTION("""COMPUTED_VALUE"""),-0.062251778960399684)</f>
        <v>-0.06225177896</v>
      </c>
    </row>
    <row r="3201">
      <c r="A3201" s="5" t="str">
        <f>IFERROR(__xludf.DUMMYFUNCTION("""COMPUTED_VALUE"""),"39857")</f>
        <v>39857</v>
      </c>
      <c r="B3201" s="64">
        <f>IFERROR(__xludf.DUMMYFUNCTION("""COMPUTED_VALUE"""),44644.0)</f>
        <v>44644</v>
      </c>
      <c r="C3201" s="5"/>
      <c r="D3201" s="5"/>
      <c r="E3201" s="5"/>
      <c r="F3201" s="22">
        <f>IFERROR(__xludf.DUMMYFUNCTION("""COMPUTED_VALUE"""),436841.1881418)</f>
        <v>436841.1881</v>
      </c>
      <c r="G3201" s="22">
        <f>IFERROR(__xludf.DUMMYFUNCTION("""COMPUTED_VALUE"""),0.0)</f>
        <v>0</v>
      </c>
      <c r="H3201" s="22">
        <f>IFERROR(__xludf.DUMMYFUNCTION("""COMPUTED_VALUE"""),466989.2415034001)</f>
        <v>466989.2415</v>
      </c>
      <c r="I3201" s="24">
        <f>IFERROR(__xludf.DUMMYFUNCTION("""COMPUTED_VALUE"""),-0.0660215169931998)</f>
        <v>-0.06602151699</v>
      </c>
    </row>
    <row r="3202">
      <c r="A3202" s="5" t="str">
        <f>IFERROR(__xludf.DUMMYFUNCTION("""COMPUTED_VALUE"""),"39857")</f>
        <v>39857</v>
      </c>
      <c r="B3202" s="64">
        <f>IFERROR(__xludf.DUMMYFUNCTION("""COMPUTED_VALUE"""),44645.0)</f>
        <v>44645</v>
      </c>
      <c r="C3202" s="5"/>
      <c r="D3202" s="5"/>
      <c r="E3202" s="5"/>
      <c r="F3202" s="22">
        <f>IFERROR(__xludf.DUMMYFUNCTION("""COMPUTED_VALUE"""),436841.1881418)</f>
        <v>436841.1881</v>
      </c>
      <c r="G3202" s="22">
        <f>IFERROR(__xludf.DUMMYFUNCTION("""COMPUTED_VALUE"""),0.0)</f>
        <v>0</v>
      </c>
      <c r="H3202" s="22">
        <f>IFERROR(__xludf.DUMMYFUNCTION("""COMPUTED_VALUE"""),461611.3515266001)</f>
        <v>461611.3515</v>
      </c>
      <c r="I3202" s="24">
        <f>IFERROR(__xludf.DUMMYFUNCTION("""COMPUTED_VALUE"""),-0.0767772969467998)</f>
        <v>-0.07677729695</v>
      </c>
    </row>
    <row r="3203">
      <c r="A3203" s="5" t="str">
        <f>IFERROR(__xludf.DUMMYFUNCTION("""COMPUTED_VALUE"""),"39857")</f>
        <v>39857</v>
      </c>
      <c r="B3203" s="64">
        <f>IFERROR(__xludf.DUMMYFUNCTION("""COMPUTED_VALUE"""),44646.0)</f>
        <v>44646</v>
      </c>
      <c r="C3203" s="5"/>
      <c r="D3203" s="5"/>
      <c r="E3203" s="5"/>
      <c r="F3203" s="22">
        <f>IFERROR(__xludf.DUMMYFUNCTION("""COMPUTED_VALUE"""),436841.1881418)</f>
        <v>436841.1881</v>
      </c>
      <c r="G3203" s="22">
        <f>IFERROR(__xludf.DUMMYFUNCTION("""COMPUTED_VALUE"""),0.0)</f>
        <v>0</v>
      </c>
      <c r="H3203" s="22">
        <f>IFERROR(__xludf.DUMMYFUNCTION("""COMPUTED_VALUE"""),461611.3515266001)</f>
        <v>461611.3515</v>
      </c>
      <c r="I3203" s="24">
        <f>IFERROR(__xludf.DUMMYFUNCTION("""COMPUTED_VALUE"""),-0.0767772969467998)</f>
        <v>-0.07677729695</v>
      </c>
    </row>
    <row r="3204">
      <c r="A3204" s="5" t="str">
        <f>IFERROR(__xludf.DUMMYFUNCTION("""COMPUTED_VALUE"""),"39857")</f>
        <v>39857</v>
      </c>
      <c r="B3204" s="64">
        <f>IFERROR(__xludf.DUMMYFUNCTION("""COMPUTED_VALUE"""),44647.0)</f>
        <v>44647</v>
      </c>
      <c r="C3204" s="5"/>
      <c r="D3204" s="5"/>
      <c r="E3204" s="5"/>
      <c r="F3204" s="22">
        <f>IFERROR(__xludf.DUMMYFUNCTION("""COMPUTED_VALUE"""),436841.1881418)</f>
        <v>436841.1881</v>
      </c>
      <c r="G3204" s="22">
        <f>IFERROR(__xludf.DUMMYFUNCTION("""COMPUTED_VALUE"""),0.0)</f>
        <v>0</v>
      </c>
      <c r="H3204" s="22">
        <f>IFERROR(__xludf.DUMMYFUNCTION("""COMPUTED_VALUE"""),461611.3515266001)</f>
        <v>461611.3515</v>
      </c>
      <c r="I3204" s="24">
        <f>IFERROR(__xludf.DUMMYFUNCTION("""COMPUTED_VALUE"""),-0.0767772969467998)</f>
        <v>-0.07677729695</v>
      </c>
    </row>
    <row r="3205">
      <c r="A3205" s="5" t="str">
        <f>IFERROR(__xludf.DUMMYFUNCTION("""COMPUTED_VALUE"""),"39857")</f>
        <v>39857</v>
      </c>
      <c r="B3205" s="64">
        <f>IFERROR(__xludf.DUMMYFUNCTION("""COMPUTED_VALUE"""),44648.0)</f>
        <v>44648</v>
      </c>
      <c r="C3205" s="5"/>
      <c r="D3205" s="5"/>
      <c r="E3205" s="5"/>
      <c r="F3205" s="22">
        <f>IFERROR(__xludf.DUMMYFUNCTION("""COMPUTED_VALUE"""),436841.1881418)</f>
        <v>436841.1881</v>
      </c>
      <c r="G3205" s="22">
        <f>IFERROR(__xludf.DUMMYFUNCTION("""COMPUTED_VALUE"""),0.0)</f>
        <v>0</v>
      </c>
      <c r="H3205" s="22">
        <f>IFERROR(__xludf.DUMMYFUNCTION("""COMPUTED_VALUE"""),470938.0914586001)</f>
        <v>470938.0915</v>
      </c>
      <c r="I3205" s="24">
        <f>IFERROR(__xludf.DUMMYFUNCTION("""COMPUTED_VALUE"""),-0.0581238170827999)</f>
        <v>-0.05812381708</v>
      </c>
    </row>
    <row r="3206">
      <c r="A3206" s="5" t="str">
        <f>IFERROR(__xludf.DUMMYFUNCTION("""COMPUTED_VALUE"""),"39857")</f>
        <v>39857</v>
      </c>
      <c r="B3206" s="64">
        <f>IFERROR(__xludf.DUMMYFUNCTION("""COMPUTED_VALUE"""),44649.0)</f>
        <v>44649</v>
      </c>
      <c r="C3206" s="5"/>
      <c r="D3206" s="5"/>
      <c r="E3206" s="5"/>
      <c r="F3206" s="22">
        <f>IFERROR(__xludf.DUMMYFUNCTION("""COMPUTED_VALUE"""),436841.1881418)</f>
        <v>436841.1881</v>
      </c>
      <c r="G3206" s="22">
        <f>IFERROR(__xludf.DUMMYFUNCTION("""COMPUTED_VALUE"""),0.0)</f>
        <v>0</v>
      </c>
      <c r="H3206" s="22">
        <f>IFERROR(__xludf.DUMMYFUNCTION("""COMPUTED_VALUE"""),473448.04325740016)</f>
        <v>473448.0433</v>
      </c>
      <c r="I3206" s="24">
        <f>IFERROR(__xludf.DUMMYFUNCTION("""COMPUTED_VALUE"""),-0.053103913485199716)</f>
        <v>-0.05310391349</v>
      </c>
    </row>
    <row r="3207">
      <c r="A3207" s="5" t="str">
        <f>IFERROR(__xludf.DUMMYFUNCTION("""COMPUTED_VALUE"""),"39857")</f>
        <v>39857</v>
      </c>
      <c r="B3207" s="64">
        <f>IFERROR(__xludf.DUMMYFUNCTION("""COMPUTED_VALUE"""),44650.0)</f>
        <v>44650</v>
      </c>
      <c r="C3207" s="5"/>
      <c r="D3207" s="5"/>
      <c r="E3207" s="5"/>
      <c r="F3207" s="22">
        <f>IFERROR(__xludf.DUMMYFUNCTION("""COMPUTED_VALUE"""),428390.5204168)</f>
        <v>428390.5204</v>
      </c>
      <c r="G3207" s="22">
        <f>IFERROR(__xludf.DUMMYFUNCTION("""COMPUTED_VALUE"""),0.0)</f>
        <v>0</v>
      </c>
      <c r="H3207" s="22">
        <f>IFERROR(__xludf.DUMMYFUNCTION("""COMPUTED_VALUE"""),473336.84729260014)</f>
        <v>473336.8473</v>
      </c>
      <c r="I3207" s="24">
        <f>IFERROR(__xludf.DUMMYFUNCTION("""COMPUTED_VALUE"""),-0.05332630541479977)</f>
        <v>-0.05332630541</v>
      </c>
    </row>
    <row r="3208">
      <c r="A3208" s="5" t="str">
        <f>IFERROR(__xludf.DUMMYFUNCTION("""COMPUTED_VALUE"""),"39857")</f>
        <v>39857</v>
      </c>
      <c r="B3208" s="64">
        <f>IFERROR(__xludf.DUMMYFUNCTION("""COMPUTED_VALUE"""),44651.0)</f>
        <v>44651</v>
      </c>
      <c r="C3208" s="5"/>
      <c r="D3208" s="5"/>
      <c r="E3208" s="5"/>
      <c r="F3208" s="22">
        <f>IFERROR(__xludf.DUMMYFUNCTION("""COMPUTED_VALUE"""),428390.5204168)</f>
        <v>428390.5204</v>
      </c>
      <c r="G3208" s="22">
        <f>IFERROR(__xludf.DUMMYFUNCTION("""COMPUTED_VALUE"""),0.0)</f>
        <v>0</v>
      </c>
      <c r="H3208" s="22">
        <f>IFERROR(__xludf.DUMMYFUNCTION("""COMPUTED_VALUE"""),471911.5736392)</f>
        <v>471911.5736</v>
      </c>
      <c r="I3208" s="24">
        <f>IFERROR(__xludf.DUMMYFUNCTION("""COMPUTED_VALUE"""),-0.0561768527216)</f>
        <v>-0.05617685272</v>
      </c>
    </row>
    <row r="3209">
      <c r="A3209" s="5" t="str">
        <f>IFERROR(__xludf.DUMMYFUNCTION("""COMPUTED_VALUE"""),"39857")</f>
        <v>39857</v>
      </c>
      <c r="B3209" s="64">
        <f>IFERROR(__xludf.DUMMYFUNCTION("""COMPUTED_VALUE"""),44652.0)</f>
        <v>44652</v>
      </c>
      <c r="C3209" s="5"/>
      <c r="D3209" s="5"/>
      <c r="E3209" s="5"/>
      <c r="F3209" s="22">
        <f>IFERROR(__xludf.DUMMYFUNCTION("""COMPUTED_VALUE"""),428390.5204168)</f>
        <v>428390.5204</v>
      </c>
      <c r="G3209" s="22">
        <f>IFERROR(__xludf.DUMMYFUNCTION("""COMPUTED_VALUE"""),0.0)</f>
        <v>0</v>
      </c>
      <c r="H3209" s="22">
        <f>IFERROR(__xludf.DUMMYFUNCTION("""COMPUTED_VALUE"""),471913.06200860004)</f>
        <v>471913.062</v>
      </c>
      <c r="I3209" s="24">
        <f>IFERROR(__xludf.DUMMYFUNCTION("""COMPUTED_VALUE"""),-0.05617387598279988)</f>
        <v>-0.05617387598</v>
      </c>
    </row>
    <row r="3210">
      <c r="A3210" s="5" t="str">
        <f>IFERROR(__xludf.DUMMYFUNCTION("""COMPUTED_VALUE"""),"39857")</f>
        <v>39857</v>
      </c>
      <c r="B3210" s="64">
        <f>IFERROR(__xludf.DUMMYFUNCTION("""COMPUTED_VALUE"""),44653.0)</f>
        <v>44653</v>
      </c>
      <c r="C3210" s="5"/>
      <c r="D3210" s="5"/>
      <c r="E3210" s="5"/>
      <c r="F3210" s="22">
        <f>IFERROR(__xludf.DUMMYFUNCTION("""COMPUTED_VALUE"""),428390.5204168)</f>
        <v>428390.5204</v>
      </c>
      <c r="G3210" s="22">
        <f>IFERROR(__xludf.DUMMYFUNCTION("""COMPUTED_VALUE"""),0.0)</f>
        <v>0</v>
      </c>
      <c r="H3210" s="22">
        <f>IFERROR(__xludf.DUMMYFUNCTION("""COMPUTED_VALUE"""),471913.06200860004)</f>
        <v>471913.062</v>
      </c>
      <c r="I3210" s="24">
        <f>IFERROR(__xludf.DUMMYFUNCTION("""COMPUTED_VALUE"""),-0.05617387598279988)</f>
        <v>-0.05617387598</v>
      </c>
    </row>
    <row r="3211">
      <c r="A3211" s="5" t="str">
        <f>IFERROR(__xludf.DUMMYFUNCTION("""COMPUTED_VALUE"""),"39857")</f>
        <v>39857</v>
      </c>
      <c r="B3211" s="64">
        <f>IFERROR(__xludf.DUMMYFUNCTION("""COMPUTED_VALUE"""),44654.0)</f>
        <v>44654</v>
      </c>
      <c r="C3211" s="5"/>
      <c r="D3211" s="5"/>
      <c r="E3211" s="5"/>
      <c r="F3211" s="22">
        <f>IFERROR(__xludf.DUMMYFUNCTION("""COMPUTED_VALUE"""),428390.5204168)</f>
        <v>428390.5204</v>
      </c>
      <c r="G3211" s="22">
        <f>IFERROR(__xludf.DUMMYFUNCTION("""COMPUTED_VALUE"""),0.0)</f>
        <v>0</v>
      </c>
      <c r="H3211" s="22">
        <f>IFERROR(__xludf.DUMMYFUNCTION("""COMPUTED_VALUE"""),471913.06200860004)</f>
        <v>471913.062</v>
      </c>
      <c r="I3211" s="24">
        <f>IFERROR(__xludf.DUMMYFUNCTION("""COMPUTED_VALUE"""),-0.05617387598279988)</f>
        <v>-0.05617387598</v>
      </c>
    </row>
    <row r="3212">
      <c r="A3212" s="5" t="str">
        <f>IFERROR(__xludf.DUMMYFUNCTION("""COMPUTED_VALUE"""),"39857")</f>
        <v>39857</v>
      </c>
      <c r="B3212" s="64">
        <f>IFERROR(__xludf.DUMMYFUNCTION("""COMPUTED_VALUE"""),44655.0)</f>
        <v>44655</v>
      </c>
      <c r="C3212" s="5"/>
      <c r="D3212" s="5"/>
      <c r="E3212" s="5"/>
      <c r="F3212" s="22">
        <f>IFERROR(__xludf.DUMMYFUNCTION("""COMPUTED_VALUE"""),428390.5204168)</f>
        <v>428390.5204</v>
      </c>
      <c r="G3212" s="22">
        <f>IFERROR(__xludf.DUMMYFUNCTION("""COMPUTED_VALUE"""),0.0)</f>
        <v>0</v>
      </c>
      <c r="H3212" s="22">
        <f>IFERROR(__xludf.DUMMYFUNCTION("""COMPUTED_VALUE"""),471913.0493002001)</f>
        <v>471913.0493</v>
      </c>
      <c r="I3212" s="24">
        <f>IFERROR(__xludf.DUMMYFUNCTION("""COMPUTED_VALUE"""),-0.05617390139959988)</f>
        <v>-0.0561739014</v>
      </c>
    </row>
    <row r="3213">
      <c r="A3213" s="5" t="str">
        <f>IFERROR(__xludf.DUMMYFUNCTION("""COMPUTED_VALUE"""),"39857")</f>
        <v>39857</v>
      </c>
      <c r="B3213" s="64">
        <f>IFERROR(__xludf.DUMMYFUNCTION("""COMPUTED_VALUE"""),44656.0)</f>
        <v>44656</v>
      </c>
      <c r="C3213" s="5"/>
      <c r="D3213" s="5"/>
      <c r="E3213" s="5"/>
      <c r="F3213" s="22">
        <f>IFERROR(__xludf.DUMMYFUNCTION("""COMPUTED_VALUE"""),428390.5204168)</f>
        <v>428390.5204</v>
      </c>
      <c r="G3213" s="22">
        <f>IFERROR(__xludf.DUMMYFUNCTION("""COMPUTED_VALUE"""),0.0)</f>
        <v>0</v>
      </c>
      <c r="H3213" s="22">
        <f>IFERROR(__xludf.DUMMYFUNCTION("""COMPUTED_VALUE"""),471919.83705880016)</f>
        <v>471919.8371</v>
      </c>
      <c r="I3213" s="24">
        <f>IFERROR(__xludf.DUMMYFUNCTION("""COMPUTED_VALUE"""),-0.05616032588239972)</f>
        <v>-0.05616032588</v>
      </c>
    </row>
    <row r="3214">
      <c r="A3214" s="5" t="str">
        <f>IFERROR(__xludf.DUMMYFUNCTION("""COMPUTED_VALUE"""),"39857")</f>
        <v>39857</v>
      </c>
      <c r="B3214" s="64">
        <f>IFERROR(__xludf.DUMMYFUNCTION("""COMPUTED_VALUE"""),44657.0)</f>
        <v>44657</v>
      </c>
      <c r="C3214" s="5"/>
      <c r="D3214" s="5"/>
      <c r="E3214" s="5"/>
      <c r="F3214" s="22">
        <f>IFERROR(__xludf.DUMMYFUNCTION("""COMPUTED_VALUE"""),428390.5204168)</f>
        <v>428390.5204</v>
      </c>
      <c r="G3214" s="22">
        <f>IFERROR(__xludf.DUMMYFUNCTION("""COMPUTED_VALUE"""),0.0)</f>
        <v>0</v>
      </c>
      <c r="H3214" s="22">
        <f>IFERROR(__xludf.DUMMYFUNCTION("""COMPUTED_VALUE"""),769327.9999788001)</f>
        <v>769328</v>
      </c>
      <c r="I3214" s="24">
        <f>IFERROR(__xludf.DUMMYFUNCTION("""COMPUTED_VALUE"""),0.5386559999576002)</f>
        <v>0.538656</v>
      </c>
    </row>
    <row r="3215">
      <c r="A3215" s="5" t="str">
        <f>IFERROR(__xludf.DUMMYFUNCTION("""COMPUTED_VALUE"""),"39857")</f>
        <v>39857</v>
      </c>
      <c r="B3215" s="64">
        <f>IFERROR(__xludf.DUMMYFUNCTION("""COMPUTED_VALUE"""),44658.0)</f>
        <v>44658</v>
      </c>
      <c r="C3215" s="5"/>
      <c r="D3215" s="5"/>
      <c r="E3215" s="5"/>
      <c r="F3215" s="22">
        <f>IFERROR(__xludf.DUMMYFUNCTION("""COMPUTED_VALUE"""),428390.5204168)</f>
        <v>428390.5204</v>
      </c>
      <c r="G3215" s="22">
        <f>IFERROR(__xludf.DUMMYFUNCTION("""COMPUTED_VALUE"""),0.0)</f>
        <v>0</v>
      </c>
      <c r="H3215" s="22">
        <f>IFERROR(__xludf.DUMMYFUNCTION("""COMPUTED_VALUE"""),626332.3542688001)</f>
        <v>626332.3543</v>
      </c>
      <c r="I3215" s="24">
        <f>IFERROR(__xludf.DUMMYFUNCTION("""COMPUTED_VALUE"""),0.25266470853760015)</f>
        <v>0.2526647085</v>
      </c>
    </row>
    <row r="3216">
      <c r="A3216" s="5" t="str">
        <f>IFERROR(__xludf.DUMMYFUNCTION("""COMPUTED_VALUE"""),"39857")</f>
        <v>39857</v>
      </c>
      <c r="B3216" s="64">
        <f>IFERROR(__xludf.DUMMYFUNCTION("""COMPUTED_VALUE"""),44659.0)</f>
        <v>44659</v>
      </c>
      <c r="C3216" s="5"/>
      <c r="D3216" s="5"/>
      <c r="E3216" s="5"/>
      <c r="F3216" s="22">
        <f>IFERROR(__xludf.DUMMYFUNCTION("""COMPUTED_VALUE"""),428390.5204168)</f>
        <v>428390.5204</v>
      </c>
      <c r="G3216" s="22">
        <f>IFERROR(__xludf.DUMMYFUNCTION("""COMPUTED_VALUE"""),0.0)</f>
        <v>0</v>
      </c>
      <c r="H3216" s="22">
        <f>IFERROR(__xludf.DUMMYFUNCTION("""COMPUTED_VALUE"""),626328.7623526)</f>
        <v>626328.7624</v>
      </c>
      <c r="I3216" s="24">
        <f>IFERROR(__xludf.DUMMYFUNCTION("""COMPUTED_VALUE"""),0.2526575247052001)</f>
        <v>0.2526575247</v>
      </c>
    </row>
    <row r="3217">
      <c r="A3217" s="5" t="str">
        <f>IFERROR(__xludf.DUMMYFUNCTION("""COMPUTED_VALUE"""),"39857")</f>
        <v>39857</v>
      </c>
      <c r="B3217" s="64">
        <f>IFERROR(__xludf.DUMMYFUNCTION("""COMPUTED_VALUE"""),44660.0)</f>
        <v>44660</v>
      </c>
      <c r="C3217" s="5"/>
      <c r="D3217" s="5"/>
      <c r="E3217" s="5"/>
      <c r="F3217" s="22">
        <f>IFERROR(__xludf.DUMMYFUNCTION("""COMPUTED_VALUE"""),428390.5204168)</f>
        <v>428390.5204</v>
      </c>
      <c r="G3217" s="22">
        <f>IFERROR(__xludf.DUMMYFUNCTION("""COMPUTED_VALUE"""),0.0)</f>
        <v>0</v>
      </c>
      <c r="H3217" s="22">
        <f>IFERROR(__xludf.DUMMYFUNCTION("""COMPUTED_VALUE"""),626328.7623526)</f>
        <v>626328.7624</v>
      </c>
      <c r="I3217" s="24">
        <f>IFERROR(__xludf.DUMMYFUNCTION("""COMPUTED_VALUE"""),0.2526575247052001)</f>
        <v>0.2526575247</v>
      </c>
    </row>
    <row r="3218">
      <c r="A3218" s="5" t="str">
        <f>IFERROR(__xludf.DUMMYFUNCTION("""COMPUTED_VALUE"""),"39857")</f>
        <v>39857</v>
      </c>
      <c r="B3218" s="64">
        <f>IFERROR(__xludf.DUMMYFUNCTION("""COMPUTED_VALUE"""),44661.0)</f>
        <v>44661</v>
      </c>
      <c r="C3218" s="5"/>
      <c r="D3218" s="5"/>
      <c r="E3218" s="5"/>
      <c r="F3218" s="22">
        <f>IFERROR(__xludf.DUMMYFUNCTION("""COMPUTED_VALUE"""),428390.5204168)</f>
        <v>428390.5204</v>
      </c>
      <c r="G3218" s="22">
        <f>IFERROR(__xludf.DUMMYFUNCTION("""COMPUTED_VALUE"""),0.0)</f>
        <v>0</v>
      </c>
      <c r="H3218" s="22">
        <f>IFERROR(__xludf.DUMMYFUNCTION("""COMPUTED_VALUE"""),626328.7623526)</f>
        <v>626328.7624</v>
      </c>
      <c r="I3218" s="24">
        <f>IFERROR(__xludf.DUMMYFUNCTION("""COMPUTED_VALUE"""),0.2526575247052001)</f>
        <v>0.2526575247</v>
      </c>
    </row>
    <row r="3219">
      <c r="A3219" s="5" t="str">
        <f>IFERROR(__xludf.DUMMYFUNCTION("""COMPUTED_VALUE"""),"39857")</f>
        <v>39857</v>
      </c>
      <c r="B3219" s="64">
        <f>IFERROR(__xludf.DUMMYFUNCTION("""COMPUTED_VALUE"""),44662.0)</f>
        <v>44662</v>
      </c>
      <c r="C3219" s="5"/>
      <c r="D3219" s="5"/>
      <c r="E3219" s="5"/>
      <c r="F3219" s="22">
        <f>IFERROR(__xludf.DUMMYFUNCTION("""COMPUTED_VALUE"""),533335.7086167999)</f>
        <v>533335.7086</v>
      </c>
      <c r="G3219" s="22">
        <f>IFERROR(__xludf.DUMMYFUNCTION("""COMPUTED_VALUE"""),0.0)</f>
        <v>0</v>
      </c>
      <c r="H3219" s="22">
        <f>IFERROR(__xludf.DUMMYFUNCTION("""COMPUTED_VALUE"""),634578.4819590001)</f>
        <v>634578.482</v>
      </c>
      <c r="I3219" s="24">
        <f>IFERROR(__xludf.DUMMYFUNCTION("""COMPUTED_VALUE"""),0.26915696391800026)</f>
        <v>0.2691569639</v>
      </c>
    </row>
    <row r="3220">
      <c r="A3220" s="5" t="str">
        <f>IFERROR(__xludf.DUMMYFUNCTION("""COMPUTED_VALUE"""),"39857")</f>
        <v>39857</v>
      </c>
      <c r="B3220" s="64">
        <f>IFERROR(__xludf.DUMMYFUNCTION("""COMPUTED_VALUE"""),44663.0)</f>
        <v>44663</v>
      </c>
      <c r="C3220" s="5"/>
      <c r="D3220" s="5"/>
      <c r="E3220" s="5"/>
      <c r="F3220" s="22">
        <f>IFERROR(__xludf.DUMMYFUNCTION("""COMPUTED_VALUE"""),672774.2814167999)</f>
        <v>672774.2814</v>
      </c>
      <c r="G3220" s="22">
        <f>IFERROR(__xludf.DUMMYFUNCTION("""COMPUTED_VALUE"""),0.0)</f>
        <v>0</v>
      </c>
      <c r="H3220" s="22">
        <f>IFERROR(__xludf.DUMMYFUNCTION("""COMPUTED_VALUE"""),642510.9043102)</f>
        <v>642510.9043</v>
      </c>
      <c r="I3220" s="24">
        <f>IFERROR(__xludf.DUMMYFUNCTION("""COMPUTED_VALUE"""),0.28502180862039994)</f>
        <v>0.2850218086</v>
      </c>
    </row>
    <row r="3221">
      <c r="A3221" s="5" t="str">
        <f>IFERROR(__xludf.DUMMYFUNCTION("""COMPUTED_VALUE"""),"40105")</f>
        <v>40105</v>
      </c>
      <c r="B3221" s="64">
        <f>IFERROR(__xludf.DUMMYFUNCTION("""COMPUTED_VALUE"""),44597.0)</f>
        <v>44597</v>
      </c>
      <c r="C3221" s="5"/>
      <c r="D3221" s="5"/>
      <c r="E3221" s="5"/>
      <c r="F3221" s="22">
        <f>IFERROR(__xludf.DUMMYFUNCTION("""COMPUTED_VALUE"""),500000.0)</f>
        <v>500000</v>
      </c>
      <c r="G3221" s="22">
        <f>IFERROR(__xludf.DUMMYFUNCTION("""COMPUTED_VALUE"""),0.0)</f>
        <v>0</v>
      </c>
      <c r="H3221" s="22">
        <f>IFERROR(__xludf.DUMMYFUNCTION("""COMPUTED_VALUE"""),500000.0)</f>
        <v>500000</v>
      </c>
      <c r="I3221" s="24">
        <f>IFERROR(__xludf.DUMMYFUNCTION("""COMPUTED_VALUE"""),0.0)</f>
        <v>0</v>
      </c>
    </row>
    <row r="3222">
      <c r="A3222" s="5" t="str">
        <f>IFERROR(__xludf.DUMMYFUNCTION("""COMPUTED_VALUE"""),"40105")</f>
        <v>40105</v>
      </c>
      <c r="B3222" s="64">
        <f>IFERROR(__xludf.DUMMYFUNCTION("""COMPUTED_VALUE"""),44598.0)</f>
        <v>44598</v>
      </c>
      <c r="C3222" s="5"/>
      <c r="D3222" s="5"/>
      <c r="E3222" s="5"/>
      <c r="F3222" s="22">
        <f>IFERROR(__xludf.DUMMYFUNCTION("""COMPUTED_VALUE"""),500000.0)</f>
        <v>500000</v>
      </c>
      <c r="G3222" s="22">
        <f>IFERROR(__xludf.DUMMYFUNCTION("""COMPUTED_VALUE"""),0.0)</f>
        <v>0</v>
      </c>
      <c r="H3222" s="22">
        <f>IFERROR(__xludf.DUMMYFUNCTION("""COMPUTED_VALUE"""),500000.0)</f>
        <v>500000</v>
      </c>
      <c r="I3222" s="24">
        <f>IFERROR(__xludf.DUMMYFUNCTION("""COMPUTED_VALUE"""),0.0)</f>
        <v>0</v>
      </c>
    </row>
    <row r="3223">
      <c r="A3223" s="5" t="str">
        <f>IFERROR(__xludf.DUMMYFUNCTION("""COMPUTED_VALUE"""),"40105")</f>
        <v>40105</v>
      </c>
      <c r="B3223" s="64">
        <f>IFERROR(__xludf.DUMMYFUNCTION("""COMPUTED_VALUE"""),44599.0)</f>
        <v>44599</v>
      </c>
      <c r="C3223" s="5"/>
      <c r="D3223" s="5"/>
      <c r="E3223" s="5"/>
      <c r="F3223" s="22">
        <f>IFERROR(__xludf.DUMMYFUNCTION("""COMPUTED_VALUE"""),500000.0)</f>
        <v>500000</v>
      </c>
      <c r="G3223" s="22">
        <f>IFERROR(__xludf.DUMMYFUNCTION("""COMPUTED_VALUE"""),0.0)</f>
        <v>0</v>
      </c>
      <c r="H3223" s="22">
        <f>IFERROR(__xludf.DUMMYFUNCTION("""COMPUTED_VALUE"""),500000.0)</f>
        <v>500000</v>
      </c>
      <c r="I3223" s="24">
        <f>IFERROR(__xludf.DUMMYFUNCTION("""COMPUTED_VALUE"""),0.0)</f>
        <v>0</v>
      </c>
    </row>
    <row r="3224">
      <c r="A3224" s="5" t="str">
        <f>IFERROR(__xludf.DUMMYFUNCTION("""COMPUTED_VALUE"""),"40105")</f>
        <v>40105</v>
      </c>
      <c r="B3224" s="64">
        <f>IFERROR(__xludf.DUMMYFUNCTION("""COMPUTED_VALUE"""),44600.0)</f>
        <v>44600</v>
      </c>
      <c r="C3224" s="5"/>
      <c r="D3224" s="5"/>
      <c r="E3224" s="5"/>
      <c r="F3224" s="22">
        <f>IFERROR(__xludf.DUMMYFUNCTION("""COMPUTED_VALUE"""),500000.0)</f>
        <v>500000</v>
      </c>
      <c r="G3224" s="22">
        <f>IFERROR(__xludf.DUMMYFUNCTION("""COMPUTED_VALUE"""),0.0)</f>
        <v>0</v>
      </c>
      <c r="H3224" s="22">
        <f>IFERROR(__xludf.DUMMYFUNCTION("""COMPUTED_VALUE"""),500000.0)</f>
        <v>500000</v>
      </c>
      <c r="I3224" s="24">
        <f>IFERROR(__xludf.DUMMYFUNCTION("""COMPUTED_VALUE"""),0.0)</f>
        <v>0</v>
      </c>
    </row>
    <row r="3225">
      <c r="A3225" s="5" t="str">
        <f>IFERROR(__xludf.DUMMYFUNCTION("""COMPUTED_VALUE"""),"40105")</f>
        <v>40105</v>
      </c>
      <c r="B3225" s="64">
        <f>IFERROR(__xludf.DUMMYFUNCTION("""COMPUTED_VALUE"""),44601.0)</f>
        <v>44601</v>
      </c>
      <c r="C3225" s="5"/>
      <c r="D3225" s="5"/>
      <c r="E3225" s="5"/>
      <c r="F3225" s="22">
        <f>IFERROR(__xludf.DUMMYFUNCTION("""COMPUTED_VALUE"""),500000.0)</f>
        <v>500000</v>
      </c>
      <c r="G3225" s="22">
        <f>IFERROR(__xludf.DUMMYFUNCTION("""COMPUTED_VALUE"""),0.0)</f>
        <v>0</v>
      </c>
      <c r="H3225" s="22">
        <f>IFERROR(__xludf.DUMMYFUNCTION("""COMPUTED_VALUE"""),500000.0)</f>
        <v>500000</v>
      </c>
      <c r="I3225" s="24">
        <f>IFERROR(__xludf.DUMMYFUNCTION("""COMPUTED_VALUE"""),0.0)</f>
        <v>0</v>
      </c>
    </row>
    <row r="3226">
      <c r="A3226" s="5" t="str">
        <f>IFERROR(__xludf.DUMMYFUNCTION("""COMPUTED_VALUE"""),"40105")</f>
        <v>40105</v>
      </c>
      <c r="B3226" s="64">
        <f>IFERROR(__xludf.DUMMYFUNCTION("""COMPUTED_VALUE"""),44602.0)</f>
        <v>44602</v>
      </c>
      <c r="C3226" s="5"/>
      <c r="D3226" s="5"/>
      <c r="E3226" s="5"/>
      <c r="F3226" s="22">
        <f>IFERROR(__xludf.DUMMYFUNCTION("""COMPUTED_VALUE"""),500000.0)</f>
        <v>500000</v>
      </c>
      <c r="G3226" s="22">
        <f>IFERROR(__xludf.DUMMYFUNCTION("""COMPUTED_VALUE"""),0.0)</f>
        <v>0</v>
      </c>
      <c r="H3226" s="22">
        <f>IFERROR(__xludf.DUMMYFUNCTION("""COMPUTED_VALUE"""),500000.0)</f>
        <v>500000</v>
      </c>
      <c r="I3226" s="24">
        <f>IFERROR(__xludf.DUMMYFUNCTION("""COMPUTED_VALUE"""),0.0)</f>
        <v>0</v>
      </c>
    </row>
    <row r="3227">
      <c r="A3227" s="5" t="str">
        <f>IFERROR(__xludf.DUMMYFUNCTION("""COMPUTED_VALUE"""),"40105")</f>
        <v>40105</v>
      </c>
      <c r="B3227" s="64">
        <f>IFERROR(__xludf.DUMMYFUNCTION("""COMPUTED_VALUE"""),44603.0)</f>
        <v>44603</v>
      </c>
      <c r="C3227" s="5"/>
      <c r="D3227" s="5"/>
      <c r="E3227" s="5"/>
      <c r="F3227" s="22">
        <f>IFERROR(__xludf.DUMMYFUNCTION("""COMPUTED_VALUE"""),500000.0)</f>
        <v>500000</v>
      </c>
      <c r="G3227" s="22">
        <f>IFERROR(__xludf.DUMMYFUNCTION("""COMPUTED_VALUE"""),0.0)</f>
        <v>0</v>
      </c>
      <c r="H3227" s="22">
        <f>IFERROR(__xludf.DUMMYFUNCTION("""COMPUTED_VALUE"""),500000.0)</f>
        <v>500000</v>
      </c>
      <c r="I3227" s="24">
        <f>IFERROR(__xludf.DUMMYFUNCTION("""COMPUTED_VALUE"""),0.0)</f>
        <v>0</v>
      </c>
    </row>
    <row r="3228">
      <c r="A3228" s="5" t="str">
        <f>IFERROR(__xludf.DUMMYFUNCTION("""COMPUTED_VALUE"""),"40105")</f>
        <v>40105</v>
      </c>
      <c r="B3228" s="64">
        <f>IFERROR(__xludf.DUMMYFUNCTION("""COMPUTED_VALUE"""),44604.0)</f>
        <v>44604</v>
      </c>
      <c r="C3228" s="5"/>
      <c r="D3228" s="5"/>
      <c r="E3228" s="5"/>
      <c r="F3228" s="22">
        <f>IFERROR(__xludf.DUMMYFUNCTION("""COMPUTED_VALUE"""),500000.0)</f>
        <v>500000</v>
      </c>
      <c r="G3228" s="22">
        <f>IFERROR(__xludf.DUMMYFUNCTION("""COMPUTED_VALUE"""),0.0)</f>
        <v>0</v>
      </c>
      <c r="H3228" s="22">
        <f>IFERROR(__xludf.DUMMYFUNCTION("""COMPUTED_VALUE"""),500000.0)</f>
        <v>500000</v>
      </c>
      <c r="I3228" s="24">
        <f>IFERROR(__xludf.DUMMYFUNCTION("""COMPUTED_VALUE"""),0.0)</f>
        <v>0</v>
      </c>
    </row>
    <row r="3229">
      <c r="A3229" s="5" t="str">
        <f>IFERROR(__xludf.DUMMYFUNCTION("""COMPUTED_VALUE"""),"40105")</f>
        <v>40105</v>
      </c>
      <c r="B3229" s="64">
        <f>IFERROR(__xludf.DUMMYFUNCTION("""COMPUTED_VALUE"""),44605.0)</f>
        <v>44605</v>
      </c>
      <c r="C3229" s="5"/>
      <c r="D3229" s="5"/>
      <c r="E3229" s="5"/>
      <c r="F3229" s="22">
        <f>IFERROR(__xludf.DUMMYFUNCTION("""COMPUTED_VALUE"""),500000.0)</f>
        <v>500000</v>
      </c>
      <c r="G3229" s="22">
        <f>IFERROR(__xludf.DUMMYFUNCTION("""COMPUTED_VALUE"""),0.0)</f>
        <v>0</v>
      </c>
      <c r="H3229" s="22">
        <f>IFERROR(__xludf.DUMMYFUNCTION("""COMPUTED_VALUE"""),500000.0)</f>
        <v>500000</v>
      </c>
      <c r="I3229" s="24">
        <f>IFERROR(__xludf.DUMMYFUNCTION("""COMPUTED_VALUE"""),0.0)</f>
        <v>0</v>
      </c>
    </row>
    <row r="3230">
      <c r="A3230" s="5" t="str">
        <f>IFERROR(__xludf.DUMMYFUNCTION("""COMPUTED_VALUE"""),"40105")</f>
        <v>40105</v>
      </c>
      <c r="B3230" s="64">
        <f>IFERROR(__xludf.DUMMYFUNCTION("""COMPUTED_VALUE"""),44606.0)</f>
        <v>44606</v>
      </c>
      <c r="C3230" s="5"/>
      <c r="D3230" s="5"/>
      <c r="E3230" s="5"/>
      <c r="F3230" s="22">
        <f>IFERROR(__xludf.DUMMYFUNCTION("""COMPUTED_VALUE"""),500000.0)</f>
        <v>500000</v>
      </c>
      <c r="G3230" s="22">
        <f>IFERROR(__xludf.DUMMYFUNCTION("""COMPUTED_VALUE"""),0.0)</f>
        <v>0</v>
      </c>
      <c r="H3230" s="22">
        <f>IFERROR(__xludf.DUMMYFUNCTION("""COMPUTED_VALUE"""),500000.0)</f>
        <v>500000</v>
      </c>
      <c r="I3230" s="24">
        <f>IFERROR(__xludf.DUMMYFUNCTION("""COMPUTED_VALUE"""),0.0)</f>
        <v>0</v>
      </c>
    </row>
    <row r="3231">
      <c r="A3231" s="5" t="str">
        <f>IFERROR(__xludf.DUMMYFUNCTION("""COMPUTED_VALUE"""),"40105")</f>
        <v>40105</v>
      </c>
      <c r="B3231" s="64">
        <f>IFERROR(__xludf.DUMMYFUNCTION("""COMPUTED_VALUE"""),44607.0)</f>
        <v>44607</v>
      </c>
      <c r="C3231" s="5"/>
      <c r="D3231" s="5"/>
      <c r="E3231" s="5"/>
      <c r="F3231" s="22">
        <f>IFERROR(__xludf.DUMMYFUNCTION("""COMPUTED_VALUE"""),500000.0)</f>
        <v>500000</v>
      </c>
      <c r="G3231" s="22">
        <f>IFERROR(__xludf.DUMMYFUNCTION("""COMPUTED_VALUE"""),0.0)</f>
        <v>0</v>
      </c>
      <c r="H3231" s="22">
        <f>IFERROR(__xludf.DUMMYFUNCTION("""COMPUTED_VALUE"""),500000.0)</f>
        <v>500000</v>
      </c>
      <c r="I3231" s="24">
        <f>IFERROR(__xludf.DUMMYFUNCTION("""COMPUTED_VALUE"""),0.0)</f>
        <v>0</v>
      </c>
    </row>
    <row r="3232">
      <c r="A3232" s="5" t="str">
        <f>IFERROR(__xludf.DUMMYFUNCTION("""COMPUTED_VALUE"""),"40105")</f>
        <v>40105</v>
      </c>
      <c r="B3232" s="64">
        <f>IFERROR(__xludf.DUMMYFUNCTION("""COMPUTED_VALUE"""),44608.0)</f>
        <v>44608</v>
      </c>
      <c r="C3232" s="5"/>
      <c r="D3232" s="5"/>
      <c r="E3232" s="5"/>
      <c r="F3232" s="22">
        <f>IFERROR(__xludf.DUMMYFUNCTION("""COMPUTED_VALUE"""),400000.0)</f>
        <v>400000</v>
      </c>
      <c r="G3232" s="22">
        <f>IFERROR(__xludf.DUMMYFUNCTION("""COMPUTED_VALUE"""),0.0)</f>
        <v>0</v>
      </c>
      <c r="H3232" s="22">
        <f>IFERROR(__xludf.DUMMYFUNCTION("""COMPUTED_VALUE"""),500000.0)</f>
        <v>500000</v>
      </c>
      <c r="I3232" s="24">
        <f>IFERROR(__xludf.DUMMYFUNCTION("""COMPUTED_VALUE"""),0.0)</f>
        <v>0</v>
      </c>
    </row>
    <row r="3233">
      <c r="A3233" s="5" t="str">
        <f>IFERROR(__xludf.DUMMYFUNCTION("""COMPUTED_VALUE"""),"40105")</f>
        <v>40105</v>
      </c>
      <c r="B3233" s="64">
        <f>IFERROR(__xludf.DUMMYFUNCTION("""COMPUTED_VALUE"""),44609.0)</f>
        <v>44609</v>
      </c>
      <c r="C3233" s="5"/>
      <c r="D3233" s="5"/>
      <c r="E3233" s="5"/>
      <c r="F3233" s="22">
        <f>IFERROR(__xludf.DUMMYFUNCTION("""COMPUTED_VALUE"""),42137.60822500003)</f>
        <v>42137.60823</v>
      </c>
      <c r="G3233" s="22">
        <f>IFERROR(__xludf.DUMMYFUNCTION("""COMPUTED_VALUE"""),0.0)</f>
        <v>0</v>
      </c>
      <c r="H3233" s="22">
        <f>IFERROR(__xludf.DUMMYFUNCTION("""COMPUTED_VALUE"""),500000.0)</f>
        <v>500000</v>
      </c>
      <c r="I3233" s="24">
        <f>IFERROR(__xludf.DUMMYFUNCTION("""COMPUTED_VALUE"""),0.0)</f>
        <v>0</v>
      </c>
    </row>
    <row r="3234">
      <c r="A3234" s="5" t="str">
        <f>IFERROR(__xludf.DUMMYFUNCTION("""COMPUTED_VALUE"""),"40105")</f>
        <v>40105</v>
      </c>
      <c r="B3234" s="64">
        <f>IFERROR(__xludf.DUMMYFUNCTION("""COMPUTED_VALUE"""),44610.0)</f>
        <v>44610</v>
      </c>
      <c r="C3234" s="5"/>
      <c r="D3234" s="5"/>
      <c r="E3234" s="5"/>
      <c r="F3234" s="22">
        <f>IFERROR(__xludf.DUMMYFUNCTION("""COMPUTED_VALUE"""),42137.60822500003)</f>
        <v>42137.60823</v>
      </c>
      <c r="G3234" s="22">
        <f>IFERROR(__xludf.DUMMYFUNCTION("""COMPUTED_VALUE"""),0.0)</f>
        <v>0</v>
      </c>
      <c r="H3234" s="22">
        <f>IFERROR(__xludf.DUMMYFUNCTION("""COMPUTED_VALUE"""),496279.82214500004)</f>
        <v>496279.8221</v>
      </c>
      <c r="I3234" s="24">
        <f>IFERROR(__xludf.DUMMYFUNCTION("""COMPUTED_VALUE"""),-0.007440355709999902)</f>
        <v>-0.00744035571</v>
      </c>
    </row>
    <row r="3235">
      <c r="A3235" s="5" t="str">
        <f>IFERROR(__xludf.DUMMYFUNCTION("""COMPUTED_VALUE"""),"40105")</f>
        <v>40105</v>
      </c>
      <c r="B3235" s="64">
        <f>IFERROR(__xludf.DUMMYFUNCTION("""COMPUTED_VALUE"""),44611.0)</f>
        <v>44611</v>
      </c>
      <c r="C3235" s="5"/>
      <c r="D3235" s="5"/>
      <c r="E3235" s="5"/>
      <c r="F3235" s="22">
        <f>IFERROR(__xludf.DUMMYFUNCTION("""COMPUTED_VALUE"""),42137.60822500003)</f>
        <v>42137.60823</v>
      </c>
      <c r="G3235" s="22">
        <f>IFERROR(__xludf.DUMMYFUNCTION("""COMPUTED_VALUE"""),0.0)</f>
        <v>0</v>
      </c>
      <c r="H3235" s="22">
        <f>IFERROR(__xludf.DUMMYFUNCTION("""COMPUTED_VALUE"""),496279.82214500004)</f>
        <v>496279.8221</v>
      </c>
      <c r="I3235" s="24">
        <f>IFERROR(__xludf.DUMMYFUNCTION("""COMPUTED_VALUE"""),-0.007440355709999902)</f>
        <v>-0.00744035571</v>
      </c>
    </row>
    <row r="3236">
      <c r="A3236" s="5" t="str">
        <f>IFERROR(__xludf.DUMMYFUNCTION("""COMPUTED_VALUE"""),"40105")</f>
        <v>40105</v>
      </c>
      <c r="B3236" s="64">
        <f>IFERROR(__xludf.DUMMYFUNCTION("""COMPUTED_VALUE"""),44612.0)</f>
        <v>44612</v>
      </c>
      <c r="C3236" s="5"/>
      <c r="D3236" s="5"/>
      <c r="E3236" s="5"/>
      <c r="F3236" s="22">
        <f>IFERROR(__xludf.DUMMYFUNCTION("""COMPUTED_VALUE"""),42137.60822500003)</f>
        <v>42137.60823</v>
      </c>
      <c r="G3236" s="22">
        <f>IFERROR(__xludf.DUMMYFUNCTION("""COMPUTED_VALUE"""),0.0)</f>
        <v>0</v>
      </c>
      <c r="H3236" s="22">
        <f>IFERROR(__xludf.DUMMYFUNCTION("""COMPUTED_VALUE"""),496279.82214500004)</f>
        <v>496279.8221</v>
      </c>
      <c r="I3236" s="24">
        <f>IFERROR(__xludf.DUMMYFUNCTION("""COMPUTED_VALUE"""),-0.007440355709999902)</f>
        <v>-0.00744035571</v>
      </c>
    </row>
    <row r="3237">
      <c r="A3237" s="5" t="str">
        <f>IFERROR(__xludf.DUMMYFUNCTION("""COMPUTED_VALUE"""),"40105")</f>
        <v>40105</v>
      </c>
      <c r="B3237" s="64">
        <f>IFERROR(__xludf.DUMMYFUNCTION("""COMPUTED_VALUE"""),44613.0)</f>
        <v>44613</v>
      </c>
      <c r="C3237" s="5"/>
      <c r="D3237" s="5"/>
      <c r="E3237" s="5"/>
      <c r="F3237" s="22">
        <f>IFERROR(__xludf.DUMMYFUNCTION("""COMPUTED_VALUE"""),42137.60822500003)</f>
        <v>42137.60823</v>
      </c>
      <c r="G3237" s="22">
        <f>IFERROR(__xludf.DUMMYFUNCTION("""COMPUTED_VALUE"""),0.0)</f>
        <v>0</v>
      </c>
      <c r="H3237" s="22">
        <f>IFERROR(__xludf.DUMMYFUNCTION("""COMPUTED_VALUE"""),496279.82214500004)</f>
        <v>496279.8221</v>
      </c>
      <c r="I3237" s="24">
        <f>IFERROR(__xludf.DUMMYFUNCTION("""COMPUTED_VALUE"""),-0.007440355709999902)</f>
        <v>-0.00744035571</v>
      </c>
    </row>
    <row r="3238">
      <c r="A3238" s="5" t="str">
        <f>IFERROR(__xludf.DUMMYFUNCTION("""COMPUTED_VALUE"""),"40105")</f>
        <v>40105</v>
      </c>
      <c r="B3238" s="64">
        <f>IFERROR(__xludf.DUMMYFUNCTION("""COMPUTED_VALUE"""),44614.0)</f>
        <v>44614</v>
      </c>
      <c r="C3238" s="5"/>
      <c r="D3238" s="5"/>
      <c r="E3238" s="5"/>
      <c r="F3238" s="22">
        <f>IFERROR(__xludf.DUMMYFUNCTION("""COMPUTED_VALUE"""),42137.60822500003)</f>
        <v>42137.60823</v>
      </c>
      <c r="G3238" s="22">
        <f>IFERROR(__xludf.DUMMYFUNCTION("""COMPUTED_VALUE"""),0.0)</f>
        <v>0</v>
      </c>
      <c r="H3238" s="22">
        <f>IFERROR(__xludf.DUMMYFUNCTION("""COMPUTED_VALUE"""),488628.89033)</f>
        <v>488628.8903</v>
      </c>
      <c r="I3238" s="24">
        <f>IFERROR(__xludf.DUMMYFUNCTION("""COMPUTED_VALUE"""),-0.02274221933999998)</f>
        <v>-0.02274221934</v>
      </c>
    </row>
    <row r="3239">
      <c r="A3239" s="5" t="str">
        <f>IFERROR(__xludf.DUMMYFUNCTION("""COMPUTED_VALUE"""),"40105")</f>
        <v>40105</v>
      </c>
      <c r="B3239" s="64">
        <f>IFERROR(__xludf.DUMMYFUNCTION("""COMPUTED_VALUE"""),44615.0)</f>
        <v>44615</v>
      </c>
      <c r="C3239" s="5"/>
      <c r="D3239" s="5"/>
      <c r="E3239" s="5"/>
      <c r="F3239" s="22">
        <f>IFERROR(__xludf.DUMMYFUNCTION("""COMPUTED_VALUE"""),42137.60822500003)</f>
        <v>42137.60823</v>
      </c>
      <c r="G3239" s="22">
        <f>IFERROR(__xludf.DUMMYFUNCTION("""COMPUTED_VALUE"""),0.0)</f>
        <v>0</v>
      </c>
      <c r="H3239" s="22">
        <f>IFERROR(__xludf.DUMMYFUNCTION("""COMPUTED_VALUE"""),483434.67974000005)</f>
        <v>483434.6797</v>
      </c>
      <c r="I3239" s="24">
        <f>IFERROR(__xludf.DUMMYFUNCTION("""COMPUTED_VALUE"""),-0.03313064051999992)</f>
        <v>-0.03313064052</v>
      </c>
    </row>
    <row r="3240">
      <c r="A3240" s="5" t="str">
        <f>IFERROR(__xludf.DUMMYFUNCTION("""COMPUTED_VALUE"""),"40105")</f>
        <v>40105</v>
      </c>
      <c r="B3240" s="64">
        <f>IFERROR(__xludf.DUMMYFUNCTION("""COMPUTED_VALUE"""),44616.0)</f>
        <v>44616</v>
      </c>
      <c r="C3240" s="5"/>
      <c r="D3240" s="5"/>
      <c r="E3240" s="5"/>
      <c r="F3240" s="22">
        <f>IFERROR(__xludf.DUMMYFUNCTION("""COMPUTED_VALUE"""),42137.60822500003)</f>
        <v>42137.60823</v>
      </c>
      <c r="G3240" s="22">
        <f>IFERROR(__xludf.DUMMYFUNCTION("""COMPUTED_VALUE"""),0.0)</f>
        <v>0</v>
      </c>
      <c r="H3240" s="22">
        <f>IFERROR(__xludf.DUMMYFUNCTION("""COMPUTED_VALUE"""),491693.9425250001)</f>
        <v>491693.9425</v>
      </c>
      <c r="I3240" s="24">
        <f>IFERROR(__xludf.DUMMYFUNCTION("""COMPUTED_VALUE"""),-0.016612114949999812)</f>
        <v>-0.01661211495</v>
      </c>
    </row>
    <row r="3241">
      <c r="A3241" s="5" t="str">
        <f>IFERROR(__xludf.DUMMYFUNCTION("""COMPUTED_VALUE"""),"40105")</f>
        <v>40105</v>
      </c>
      <c r="B3241" s="64">
        <f>IFERROR(__xludf.DUMMYFUNCTION("""COMPUTED_VALUE"""),44617.0)</f>
        <v>44617</v>
      </c>
      <c r="C3241" s="5"/>
      <c r="D3241" s="5"/>
      <c r="E3241" s="5"/>
      <c r="F3241" s="22">
        <f>IFERROR(__xludf.DUMMYFUNCTION("""COMPUTED_VALUE"""),42137.60822500003)</f>
        <v>42137.60823</v>
      </c>
      <c r="G3241" s="22">
        <f>IFERROR(__xludf.DUMMYFUNCTION("""COMPUTED_VALUE"""),0.0)</f>
        <v>0</v>
      </c>
      <c r="H3241" s="22">
        <f>IFERROR(__xludf.DUMMYFUNCTION("""COMPUTED_VALUE"""),491998.10801)</f>
        <v>491998.108</v>
      </c>
      <c r="I3241" s="24">
        <f>IFERROR(__xludf.DUMMYFUNCTION("""COMPUTED_VALUE"""),-0.016003783979999908)</f>
        <v>-0.01600378398</v>
      </c>
    </row>
    <row r="3242">
      <c r="A3242" s="5" t="str">
        <f>IFERROR(__xludf.DUMMYFUNCTION("""COMPUTED_VALUE"""),"40105")</f>
        <v>40105</v>
      </c>
      <c r="B3242" s="64">
        <f>IFERROR(__xludf.DUMMYFUNCTION("""COMPUTED_VALUE"""),44618.0)</f>
        <v>44618</v>
      </c>
      <c r="C3242" s="5"/>
      <c r="D3242" s="5"/>
      <c r="E3242" s="5"/>
      <c r="F3242" s="22">
        <f>IFERROR(__xludf.DUMMYFUNCTION("""COMPUTED_VALUE"""),42137.60822500003)</f>
        <v>42137.60823</v>
      </c>
      <c r="G3242" s="22">
        <f>IFERROR(__xludf.DUMMYFUNCTION("""COMPUTED_VALUE"""),0.0)</f>
        <v>0</v>
      </c>
      <c r="H3242" s="22">
        <f>IFERROR(__xludf.DUMMYFUNCTION("""COMPUTED_VALUE"""),491998.10801)</f>
        <v>491998.108</v>
      </c>
      <c r="I3242" s="24">
        <f>IFERROR(__xludf.DUMMYFUNCTION("""COMPUTED_VALUE"""),-0.016003783979999908)</f>
        <v>-0.01600378398</v>
      </c>
    </row>
    <row r="3243">
      <c r="A3243" s="5" t="str">
        <f>IFERROR(__xludf.DUMMYFUNCTION("""COMPUTED_VALUE"""),"40105")</f>
        <v>40105</v>
      </c>
      <c r="B3243" s="64">
        <f>IFERROR(__xludf.DUMMYFUNCTION("""COMPUTED_VALUE"""),44619.0)</f>
        <v>44619</v>
      </c>
      <c r="C3243" s="5"/>
      <c r="D3243" s="5"/>
      <c r="E3243" s="5"/>
      <c r="F3243" s="22">
        <f>IFERROR(__xludf.DUMMYFUNCTION("""COMPUTED_VALUE"""),42137.60822500003)</f>
        <v>42137.60823</v>
      </c>
      <c r="G3243" s="22">
        <f>IFERROR(__xludf.DUMMYFUNCTION("""COMPUTED_VALUE"""),0.0)</f>
        <v>0</v>
      </c>
      <c r="H3243" s="22">
        <f>IFERROR(__xludf.DUMMYFUNCTION("""COMPUTED_VALUE"""),491998.10801)</f>
        <v>491998.108</v>
      </c>
      <c r="I3243" s="24">
        <f>IFERROR(__xludf.DUMMYFUNCTION("""COMPUTED_VALUE"""),-0.016003783979999908)</f>
        <v>-0.01600378398</v>
      </c>
    </row>
    <row r="3244">
      <c r="A3244" s="5" t="str">
        <f>IFERROR(__xludf.DUMMYFUNCTION("""COMPUTED_VALUE"""),"40105")</f>
        <v>40105</v>
      </c>
      <c r="B3244" s="64">
        <f>IFERROR(__xludf.DUMMYFUNCTION("""COMPUTED_VALUE"""),44620.0)</f>
        <v>44620</v>
      </c>
      <c r="C3244" s="5"/>
      <c r="D3244" s="5"/>
      <c r="E3244" s="5"/>
      <c r="F3244" s="22">
        <f>IFERROR(__xludf.DUMMYFUNCTION("""COMPUTED_VALUE"""),42137.60822500003)</f>
        <v>42137.60823</v>
      </c>
      <c r="G3244" s="22">
        <f>IFERROR(__xludf.DUMMYFUNCTION("""COMPUTED_VALUE"""),0.0)</f>
        <v>0</v>
      </c>
      <c r="H3244" s="22">
        <f>IFERROR(__xludf.DUMMYFUNCTION("""COMPUTED_VALUE"""),489494.592095)</f>
        <v>489494.5921</v>
      </c>
      <c r="I3244" s="24">
        <f>IFERROR(__xludf.DUMMYFUNCTION("""COMPUTED_VALUE"""),-0.021010815809999972)</f>
        <v>-0.02101081581</v>
      </c>
    </row>
    <row r="3245">
      <c r="A3245" s="5" t="str">
        <f>IFERROR(__xludf.DUMMYFUNCTION("""COMPUTED_VALUE"""),"40105")</f>
        <v>40105</v>
      </c>
      <c r="B3245" s="64">
        <f>IFERROR(__xludf.DUMMYFUNCTION("""COMPUTED_VALUE"""),44621.0)</f>
        <v>44621</v>
      </c>
      <c r="C3245" s="5"/>
      <c r="D3245" s="5"/>
      <c r="E3245" s="5"/>
      <c r="F3245" s="22">
        <f>IFERROR(__xludf.DUMMYFUNCTION("""COMPUTED_VALUE"""),42137.60822500003)</f>
        <v>42137.60823</v>
      </c>
      <c r="G3245" s="22">
        <f>IFERROR(__xludf.DUMMYFUNCTION("""COMPUTED_VALUE"""),0.0)</f>
        <v>0</v>
      </c>
      <c r="H3245" s="22">
        <f>IFERROR(__xludf.DUMMYFUNCTION("""COMPUTED_VALUE"""),483036.924875)</f>
        <v>483036.9249</v>
      </c>
      <c r="I3245" s="24">
        <f>IFERROR(__xludf.DUMMYFUNCTION("""COMPUTED_VALUE"""),-0.0339261502499999)</f>
        <v>-0.03392615025</v>
      </c>
    </row>
    <row r="3246">
      <c r="A3246" s="5" t="str">
        <f>IFERROR(__xludf.DUMMYFUNCTION("""COMPUTED_VALUE"""),"40105")</f>
        <v>40105</v>
      </c>
      <c r="B3246" s="64">
        <f>IFERROR(__xludf.DUMMYFUNCTION("""COMPUTED_VALUE"""),44622.0)</f>
        <v>44622</v>
      </c>
      <c r="C3246" s="5"/>
      <c r="D3246" s="5"/>
      <c r="E3246" s="5"/>
      <c r="F3246" s="22">
        <f>IFERROR(__xludf.DUMMYFUNCTION("""COMPUTED_VALUE"""),42137.60822500003)</f>
        <v>42137.60823</v>
      </c>
      <c r="G3246" s="22">
        <f>IFERROR(__xludf.DUMMYFUNCTION("""COMPUTED_VALUE"""),0.0)</f>
        <v>0</v>
      </c>
      <c r="H3246" s="22">
        <f>IFERROR(__xludf.DUMMYFUNCTION("""COMPUTED_VALUE"""),486874.08945500007)</f>
        <v>486874.0895</v>
      </c>
      <c r="I3246" s="24">
        <f>IFERROR(__xludf.DUMMYFUNCTION("""COMPUTED_VALUE"""),-0.026251821089999905)</f>
        <v>-0.02625182109</v>
      </c>
    </row>
    <row r="3247">
      <c r="A3247" s="5" t="str">
        <f>IFERROR(__xludf.DUMMYFUNCTION("""COMPUTED_VALUE"""),"40105")</f>
        <v>40105</v>
      </c>
      <c r="B3247" s="64">
        <f>IFERROR(__xludf.DUMMYFUNCTION("""COMPUTED_VALUE"""),44623.0)</f>
        <v>44623</v>
      </c>
      <c r="C3247" s="5"/>
      <c r="D3247" s="5"/>
      <c r="E3247" s="5"/>
      <c r="F3247" s="22">
        <f>IFERROR(__xludf.DUMMYFUNCTION("""COMPUTED_VALUE"""),42137.60822500003)</f>
        <v>42137.60823</v>
      </c>
      <c r="G3247" s="22">
        <f>IFERROR(__xludf.DUMMYFUNCTION("""COMPUTED_VALUE"""),0.0)</f>
        <v>0</v>
      </c>
      <c r="H3247" s="22">
        <f>IFERROR(__xludf.DUMMYFUNCTION("""COMPUTED_VALUE"""),482732.75939)</f>
        <v>482732.7594</v>
      </c>
      <c r="I3247" s="24">
        <f>IFERROR(__xludf.DUMMYFUNCTION("""COMPUTED_VALUE"""),-0.03453448121999991)</f>
        <v>-0.03453448122</v>
      </c>
    </row>
    <row r="3248">
      <c r="A3248" s="5" t="str">
        <f>IFERROR(__xludf.DUMMYFUNCTION("""COMPUTED_VALUE"""),"40105")</f>
        <v>40105</v>
      </c>
      <c r="B3248" s="64">
        <f>IFERROR(__xludf.DUMMYFUNCTION("""COMPUTED_VALUE"""),44624.0)</f>
        <v>44624</v>
      </c>
      <c r="C3248" s="5"/>
      <c r="D3248" s="5"/>
      <c r="E3248" s="5"/>
      <c r="F3248" s="22">
        <f>IFERROR(__xludf.DUMMYFUNCTION("""COMPUTED_VALUE"""),42137.60822500003)</f>
        <v>42137.60823</v>
      </c>
      <c r="G3248" s="22">
        <f>IFERROR(__xludf.DUMMYFUNCTION("""COMPUTED_VALUE"""),0.0)</f>
        <v>0</v>
      </c>
      <c r="H3248" s="22">
        <f>IFERROR(__xludf.DUMMYFUNCTION("""COMPUTED_VALUE"""),471385.04706500005)</f>
        <v>471385.0471</v>
      </c>
      <c r="I3248" s="24">
        <f>IFERROR(__xludf.DUMMYFUNCTION("""COMPUTED_VALUE"""),-0.057229905869999875)</f>
        <v>-0.05722990587</v>
      </c>
    </row>
    <row r="3249">
      <c r="A3249" s="5" t="str">
        <f>IFERROR(__xludf.DUMMYFUNCTION("""COMPUTED_VALUE"""),"40105")</f>
        <v>40105</v>
      </c>
      <c r="B3249" s="64">
        <f>IFERROR(__xludf.DUMMYFUNCTION("""COMPUTED_VALUE"""),44625.0)</f>
        <v>44625</v>
      </c>
      <c r="C3249" s="5"/>
      <c r="D3249" s="5"/>
      <c r="E3249" s="5"/>
      <c r="F3249" s="22">
        <f>IFERROR(__xludf.DUMMYFUNCTION("""COMPUTED_VALUE"""),42137.60822500003)</f>
        <v>42137.60823</v>
      </c>
      <c r="G3249" s="22">
        <f>IFERROR(__xludf.DUMMYFUNCTION("""COMPUTED_VALUE"""),0.0)</f>
        <v>0</v>
      </c>
      <c r="H3249" s="22">
        <f>IFERROR(__xludf.DUMMYFUNCTION("""COMPUTED_VALUE"""),471385.04706500005)</f>
        <v>471385.0471</v>
      </c>
      <c r="I3249" s="24">
        <f>IFERROR(__xludf.DUMMYFUNCTION("""COMPUTED_VALUE"""),-0.057229905869999875)</f>
        <v>-0.05722990587</v>
      </c>
    </row>
    <row r="3250">
      <c r="A3250" s="5" t="str">
        <f>IFERROR(__xludf.DUMMYFUNCTION("""COMPUTED_VALUE"""),"40105")</f>
        <v>40105</v>
      </c>
      <c r="B3250" s="64">
        <f>IFERROR(__xludf.DUMMYFUNCTION("""COMPUTED_VALUE"""),44626.0)</f>
        <v>44626</v>
      </c>
      <c r="C3250" s="5"/>
      <c r="D3250" s="5"/>
      <c r="E3250" s="5"/>
      <c r="F3250" s="22">
        <f>IFERROR(__xludf.DUMMYFUNCTION("""COMPUTED_VALUE"""),42137.60822500003)</f>
        <v>42137.60823</v>
      </c>
      <c r="G3250" s="22">
        <f>IFERROR(__xludf.DUMMYFUNCTION("""COMPUTED_VALUE"""),0.0)</f>
        <v>0</v>
      </c>
      <c r="H3250" s="22">
        <f>IFERROR(__xludf.DUMMYFUNCTION("""COMPUTED_VALUE"""),471385.04706500005)</f>
        <v>471385.0471</v>
      </c>
      <c r="I3250" s="24">
        <f>IFERROR(__xludf.DUMMYFUNCTION("""COMPUTED_VALUE"""),-0.057229905869999875)</f>
        <v>-0.05722990587</v>
      </c>
    </row>
    <row r="3251">
      <c r="A3251" s="5" t="str">
        <f>IFERROR(__xludf.DUMMYFUNCTION("""COMPUTED_VALUE"""),"40105")</f>
        <v>40105</v>
      </c>
      <c r="B3251" s="64">
        <f>IFERROR(__xludf.DUMMYFUNCTION("""COMPUTED_VALUE"""),44627.0)</f>
        <v>44627</v>
      </c>
      <c r="C3251" s="5"/>
      <c r="D3251" s="5"/>
      <c r="E3251" s="5"/>
      <c r="F3251" s="22">
        <f>IFERROR(__xludf.DUMMYFUNCTION("""COMPUTED_VALUE"""),42137.60822500003)</f>
        <v>42137.60823</v>
      </c>
      <c r="G3251" s="22">
        <f>IFERROR(__xludf.DUMMYFUNCTION("""COMPUTED_VALUE"""),0.0)</f>
        <v>0</v>
      </c>
      <c r="H3251" s="22">
        <f>IFERROR(__xludf.DUMMYFUNCTION("""COMPUTED_VALUE"""),454492.16397500003)</f>
        <v>454492.164</v>
      </c>
      <c r="I3251" s="24">
        <f>IFERROR(__xludf.DUMMYFUNCTION("""COMPUTED_VALUE"""),-0.09101567204999994)</f>
        <v>-0.09101567205</v>
      </c>
    </row>
    <row r="3252">
      <c r="A3252" s="5" t="str">
        <f>IFERROR(__xludf.DUMMYFUNCTION("""COMPUTED_VALUE"""),"40105")</f>
        <v>40105</v>
      </c>
      <c r="B3252" s="64">
        <f>IFERROR(__xludf.DUMMYFUNCTION("""COMPUTED_VALUE"""),44628.0)</f>
        <v>44628</v>
      </c>
      <c r="C3252" s="5"/>
      <c r="D3252" s="5"/>
      <c r="E3252" s="5"/>
      <c r="F3252" s="22">
        <f>IFERROR(__xludf.DUMMYFUNCTION("""COMPUTED_VALUE"""),42137.60822500003)</f>
        <v>42137.60823</v>
      </c>
      <c r="G3252" s="22">
        <f>IFERROR(__xludf.DUMMYFUNCTION("""COMPUTED_VALUE"""),0.0)</f>
        <v>0</v>
      </c>
      <c r="H3252" s="22">
        <f>IFERROR(__xludf.DUMMYFUNCTION("""COMPUTED_VALUE"""),450397.62860000005)</f>
        <v>450397.6286</v>
      </c>
      <c r="I3252" s="24">
        <f>IFERROR(__xludf.DUMMYFUNCTION("""COMPUTED_VALUE"""),-0.09920474279999991)</f>
        <v>-0.0992047428</v>
      </c>
    </row>
    <row r="3253">
      <c r="A3253" s="5" t="str">
        <f>IFERROR(__xludf.DUMMYFUNCTION("""COMPUTED_VALUE"""),"40105")</f>
        <v>40105</v>
      </c>
      <c r="B3253" s="64">
        <f>IFERROR(__xludf.DUMMYFUNCTION("""COMPUTED_VALUE"""),44629.0)</f>
        <v>44629</v>
      </c>
      <c r="C3253" s="5"/>
      <c r="D3253" s="5"/>
      <c r="E3253" s="5"/>
      <c r="F3253" s="22">
        <f>IFERROR(__xludf.DUMMYFUNCTION("""COMPUTED_VALUE"""),42137.60822500003)</f>
        <v>42137.60823</v>
      </c>
      <c r="G3253" s="22">
        <f>IFERROR(__xludf.DUMMYFUNCTION("""COMPUTED_VALUE"""),0.0)</f>
        <v>0</v>
      </c>
      <c r="H3253" s="22">
        <f>IFERROR(__xludf.DUMMYFUNCTION("""COMPUTED_VALUE"""),454819.726805)</f>
        <v>454819.7268</v>
      </c>
      <c r="I3253" s="24">
        <f>IFERROR(__xludf.DUMMYFUNCTION("""COMPUTED_VALUE"""),-0.09036054639000002)</f>
        <v>-0.09036054639</v>
      </c>
    </row>
    <row r="3254">
      <c r="A3254" s="5" t="str">
        <f>IFERROR(__xludf.DUMMYFUNCTION("""COMPUTED_VALUE"""),"40105")</f>
        <v>40105</v>
      </c>
      <c r="B3254" s="64">
        <f>IFERROR(__xludf.DUMMYFUNCTION("""COMPUTED_VALUE"""),44630.0)</f>
        <v>44630</v>
      </c>
      <c r="C3254" s="5"/>
      <c r="D3254" s="5"/>
      <c r="E3254" s="5"/>
      <c r="F3254" s="22">
        <f>IFERROR(__xludf.DUMMYFUNCTION("""COMPUTED_VALUE"""),42137.60822500003)</f>
        <v>42137.60823</v>
      </c>
      <c r="G3254" s="22">
        <f>IFERROR(__xludf.DUMMYFUNCTION("""COMPUTED_VALUE"""),0.0)</f>
        <v>0</v>
      </c>
      <c r="H3254" s="22">
        <f>IFERROR(__xludf.DUMMYFUNCTION("""COMPUTED_VALUE"""),454843.12415000005)</f>
        <v>454843.1242</v>
      </c>
      <c r="I3254" s="24">
        <f>IFERROR(__xludf.DUMMYFUNCTION("""COMPUTED_VALUE"""),-0.09031375169999989)</f>
        <v>-0.0903137517</v>
      </c>
    </row>
    <row r="3255">
      <c r="A3255" s="5" t="str">
        <f>IFERROR(__xludf.DUMMYFUNCTION("""COMPUTED_VALUE"""),"40105")</f>
        <v>40105</v>
      </c>
      <c r="B3255" s="64">
        <f>IFERROR(__xludf.DUMMYFUNCTION("""COMPUTED_VALUE"""),44631.0)</f>
        <v>44631</v>
      </c>
      <c r="C3255" s="5"/>
      <c r="D3255" s="5"/>
      <c r="E3255" s="5"/>
      <c r="F3255" s="22">
        <f>IFERROR(__xludf.DUMMYFUNCTION("""COMPUTED_VALUE"""),42137.60822500003)</f>
        <v>42137.60823</v>
      </c>
      <c r="G3255" s="22">
        <f>IFERROR(__xludf.DUMMYFUNCTION("""COMPUTED_VALUE"""),0.0)</f>
        <v>0</v>
      </c>
      <c r="H3255" s="22">
        <f>IFERROR(__xludf.DUMMYFUNCTION("""COMPUTED_VALUE"""),450397.62860000005)</f>
        <v>450397.6286</v>
      </c>
      <c r="I3255" s="24">
        <f>IFERROR(__xludf.DUMMYFUNCTION("""COMPUTED_VALUE"""),-0.09920474279999991)</f>
        <v>-0.0992047428</v>
      </c>
    </row>
    <row r="3256">
      <c r="A3256" s="5" t="str">
        <f>IFERROR(__xludf.DUMMYFUNCTION("""COMPUTED_VALUE"""),"40105")</f>
        <v>40105</v>
      </c>
      <c r="B3256" s="64">
        <f>IFERROR(__xludf.DUMMYFUNCTION("""COMPUTED_VALUE"""),44632.0)</f>
        <v>44632</v>
      </c>
      <c r="C3256" s="5"/>
      <c r="D3256" s="5"/>
      <c r="E3256" s="5"/>
      <c r="F3256" s="22">
        <f>IFERROR(__xludf.DUMMYFUNCTION("""COMPUTED_VALUE"""),42137.60822500003)</f>
        <v>42137.60823</v>
      </c>
      <c r="G3256" s="22">
        <f>IFERROR(__xludf.DUMMYFUNCTION("""COMPUTED_VALUE"""),0.0)</f>
        <v>0</v>
      </c>
      <c r="H3256" s="22">
        <f>IFERROR(__xludf.DUMMYFUNCTION("""COMPUTED_VALUE"""),450397.62860000005)</f>
        <v>450397.6286</v>
      </c>
      <c r="I3256" s="24">
        <f>IFERROR(__xludf.DUMMYFUNCTION("""COMPUTED_VALUE"""),-0.09920474279999991)</f>
        <v>-0.0992047428</v>
      </c>
    </row>
    <row r="3257">
      <c r="A3257" s="5" t="str">
        <f>IFERROR(__xludf.DUMMYFUNCTION("""COMPUTED_VALUE"""),"40105")</f>
        <v>40105</v>
      </c>
      <c r="B3257" s="64">
        <f>IFERROR(__xludf.DUMMYFUNCTION("""COMPUTED_VALUE"""),44633.0)</f>
        <v>44633</v>
      </c>
      <c r="C3257" s="5"/>
      <c r="D3257" s="5"/>
      <c r="E3257" s="5"/>
      <c r="F3257" s="22">
        <f>IFERROR(__xludf.DUMMYFUNCTION("""COMPUTED_VALUE"""),42137.60822500003)</f>
        <v>42137.60823</v>
      </c>
      <c r="G3257" s="22">
        <f>IFERROR(__xludf.DUMMYFUNCTION("""COMPUTED_VALUE"""),0.0)</f>
        <v>0</v>
      </c>
      <c r="H3257" s="22">
        <f>IFERROR(__xludf.DUMMYFUNCTION("""COMPUTED_VALUE"""),450397.62860000005)</f>
        <v>450397.6286</v>
      </c>
      <c r="I3257" s="24">
        <f>IFERROR(__xludf.DUMMYFUNCTION("""COMPUTED_VALUE"""),-0.09920474279999991)</f>
        <v>-0.0992047428</v>
      </c>
    </row>
    <row r="3258">
      <c r="A3258" s="5" t="str">
        <f>IFERROR(__xludf.DUMMYFUNCTION("""COMPUTED_VALUE"""),"40105")</f>
        <v>40105</v>
      </c>
      <c r="B3258" s="64">
        <f>IFERROR(__xludf.DUMMYFUNCTION("""COMPUTED_VALUE"""),44634.0)</f>
        <v>44634</v>
      </c>
      <c r="C3258" s="5"/>
      <c r="D3258" s="5"/>
      <c r="E3258" s="5"/>
      <c r="F3258" s="22">
        <f>IFERROR(__xludf.DUMMYFUNCTION("""COMPUTED_VALUE"""),42137.60822500003)</f>
        <v>42137.60823</v>
      </c>
      <c r="G3258" s="22">
        <f>IFERROR(__xludf.DUMMYFUNCTION("""COMPUTED_VALUE"""),0.0)</f>
        <v>0</v>
      </c>
      <c r="H3258" s="22">
        <f>IFERROR(__xludf.DUMMYFUNCTION("""COMPUTED_VALUE"""),444033.55076)</f>
        <v>444033.5508</v>
      </c>
      <c r="I3258" s="24">
        <f>IFERROR(__xludf.DUMMYFUNCTION("""COMPUTED_VALUE"""),-0.11193289847999999)</f>
        <v>-0.1119328985</v>
      </c>
    </row>
    <row r="3259">
      <c r="A3259" s="5" t="str">
        <f>IFERROR(__xludf.DUMMYFUNCTION("""COMPUTED_VALUE"""),"40105")</f>
        <v>40105</v>
      </c>
      <c r="B3259" s="64">
        <f>IFERROR(__xludf.DUMMYFUNCTION("""COMPUTED_VALUE"""),44635.0)</f>
        <v>44635</v>
      </c>
      <c r="C3259" s="5"/>
      <c r="D3259" s="5"/>
      <c r="E3259" s="5"/>
      <c r="F3259" s="22">
        <f>IFERROR(__xludf.DUMMYFUNCTION("""COMPUTED_VALUE"""),42137.60822500003)</f>
        <v>42137.60823</v>
      </c>
      <c r="G3259" s="22">
        <f>IFERROR(__xludf.DUMMYFUNCTION("""COMPUTED_VALUE"""),0.0)</f>
        <v>0</v>
      </c>
      <c r="H3259" s="22">
        <f>IFERROR(__xludf.DUMMYFUNCTION("""COMPUTED_VALUE"""),456129.978125)</f>
        <v>456129.9781</v>
      </c>
      <c r="I3259" s="24">
        <f>IFERROR(__xludf.DUMMYFUNCTION("""COMPUTED_VALUE"""),-0.08774004375)</f>
        <v>-0.08774004375</v>
      </c>
    </row>
    <row r="3260">
      <c r="A3260" s="5" t="str">
        <f>IFERROR(__xludf.DUMMYFUNCTION("""COMPUTED_VALUE"""),"40105")</f>
        <v>40105</v>
      </c>
      <c r="B3260" s="64">
        <f>IFERROR(__xludf.DUMMYFUNCTION("""COMPUTED_VALUE"""),44636.0)</f>
        <v>44636</v>
      </c>
      <c r="C3260" s="5"/>
      <c r="D3260" s="5"/>
      <c r="E3260" s="5"/>
      <c r="F3260" s="22">
        <f>IFERROR(__xludf.DUMMYFUNCTION("""COMPUTED_VALUE"""),42137.60822500003)</f>
        <v>42137.60823</v>
      </c>
      <c r="G3260" s="22">
        <f>IFERROR(__xludf.DUMMYFUNCTION("""COMPUTED_VALUE"""),0.0)</f>
        <v>0</v>
      </c>
      <c r="H3260" s="22">
        <f>IFERROR(__xludf.DUMMYFUNCTION("""COMPUTED_VALUE"""),465348.532055)</f>
        <v>465348.5321</v>
      </c>
      <c r="I3260" s="24">
        <f>IFERROR(__xludf.DUMMYFUNCTION("""COMPUTED_VALUE"""),-0.06930293588999992)</f>
        <v>-0.06930293589</v>
      </c>
    </row>
    <row r="3261">
      <c r="A3261" s="5" t="str">
        <f>IFERROR(__xludf.DUMMYFUNCTION("""COMPUTED_VALUE"""),"40105")</f>
        <v>40105</v>
      </c>
      <c r="B3261" s="64">
        <f>IFERROR(__xludf.DUMMYFUNCTION("""COMPUTED_VALUE"""),44637.0)</f>
        <v>44637</v>
      </c>
      <c r="C3261" s="5"/>
      <c r="D3261" s="5"/>
      <c r="E3261" s="5"/>
      <c r="F3261" s="22">
        <f>IFERROR(__xludf.DUMMYFUNCTION("""COMPUTED_VALUE"""),42137.60822500003)</f>
        <v>42137.60823</v>
      </c>
      <c r="G3261" s="22">
        <f>IFERROR(__xludf.DUMMYFUNCTION("""COMPUTED_VALUE"""),0.0)</f>
        <v>0</v>
      </c>
      <c r="H3261" s="22">
        <f>IFERROR(__xludf.DUMMYFUNCTION("""COMPUTED_VALUE"""),468460.37894)</f>
        <v>468460.3789</v>
      </c>
      <c r="I3261" s="24">
        <f>IFERROR(__xludf.DUMMYFUNCTION("""COMPUTED_VALUE"""),-0.06307924211999993)</f>
        <v>-0.06307924212</v>
      </c>
    </row>
    <row r="3262">
      <c r="A3262" s="5" t="str">
        <f>IFERROR(__xludf.DUMMYFUNCTION("""COMPUTED_VALUE"""),"40105")</f>
        <v>40105</v>
      </c>
      <c r="B3262" s="64">
        <f>IFERROR(__xludf.DUMMYFUNCTION("""COMPUTED_VALUE"""),44638.0)</f>
        <v>44638</v>
      </c>
      <c r="C3262" s="5"/>
      <c r="D3262" s="5"/>
      <c r="E3262" s="5"/>
      <c r="F3262" s="22">
        <f>IFERROR(__xludf.DUMMYFUNCTION("""COMPUTED_VALUE"""),42137.60822500003)</f>
        <v>42137.60823</v>
      </c>
      <c r="G3262" s="22">
        <f>IFERROR(__xludf.DUMMYFUNCTION("""COMPUTED_VALUE"""),0.0)</f>
        <v>0</v>
      </c>
      <c r="H3262" s="22">
        <f>IFERROR(__xludf.DUMMYFUNCTION("""COMPUTED_VALUE"""),470402.3585750001)</f>
        <v>470402.3586</v>
      </c>
      <c r="I3262" s="24">
        <f>IFERROR(__xludf.DUMMYFUNCTION("""COMPUTED_VALUE"""),-0.059195282849999864)</f>
        <v>-0.05919528285</v>
      </c>
    </row>
    <row r="3263">
      <c r="A3263" s="5" t="str">
        <f>IFERROR(__xludf.DUMMYFUNCTION("""COMPUTED_VALUE"""),"40105")</f>
        <v>40105</v>
      </c>
      <c r="B3263" s="64">
        <f>IFERROR(__xludf.DUMMYFUNCTION("""COMPUTED_VALUE"""),44639.0)</f>
        <v>44639</v>
      </c>
      <c r="C3263" s="5"/>
      <c r="D3263" s="5"/>
      <c r="E3263" s="5"/>
      <c r="F3263" s="22">
        <f>IFERROR(__xludf.DUMMYFUNCTION("""COMPUTED_VALUE"""),42137.60822500003)</f>
        <v>42137.60823</v>
      </c>
      <c r="G3263" s="22">
        <f>IFERROR(__xludf.DUMMYFUNCTION("""COMPUTED_VALUE"""),0.0)</f>
        <v>0</v>
      </c>
      <c r="H3263" s="22">
        <f>IFERROR(__xludf.DUMMYFUNCTION("""COMPUTED_VALUE"""),470402.3585750001)</f>
        <v>470402.3586</v>
      </c>
      <c r="I3263" s="24">
        <f>IFERROR(__xludf.DUMMYFUNCTION("""COMPUTED_VALUE"""),-0.059195282849999864)</f>
        <v>-0.05919528285</v>
      </c>
    </row>
    <row r="3264">
      <c r="A3264" s="5" t="str">
        <f>IFERROR(__xludf.DUMMYFUNCTION("""COMPUTED_VALUE"""),"40105")</f>
        <v>40105</v>
      </c>
      <c r="B3264" s="64">
        <f>IFERROR(__xludf.DUMMYFUNCTION("""COMPUTED_VALUE"""),44640.0)</f>
        <v>44640</v>
      </c>
      <c r="C3264" s="5"/>
      <c r="D3264" s="5"/>
      <c r="E3264" s="5"/>
      <c r="F3264" s="22">
        <f>IFERROR(__xludf.DUMMYFUNCTION("""COMPUTED_VALUE"""),42137.60822500003)</f>
        <v>42137.60823</v>
      </c>
      <c r="G3264" s="22">
        <f>IFERROR(__xludf.DUMMYFUNCTION("""COMPUTED_VALUE"""),0.0)</f>
        <v>0</v>
      </c>
      <c r="H3264" s="22">
        <f>IFERROR(__xludf.DUMMYFUNCTION("""COMPUTED_VALUE"""),470402.3585750001)</f>
        <v>470402.3586</v>
      </c>
      <c r="I3264" s="24">
        <f>IFERROR(__xludf.DUMMYFUNCTION("""COMPUTED_VALUE"""),-0.059195282849999864)</f>
        <v>-0.05919528285</v>
      </c>
    </row>
    <row r="3265">
      <c r="A3265" s="5" t="str">
        <f>IFERROR(__xludf.DUMMYFUNCTION("""COMPUTED_VALUE"""),"40105")</f>
        <v>40105</v>
      </c>
      <c r="B3265" s="64">
        <f>IFERROR(__xludf.DUMMYFUNCTION("""COMPUTED_VALUE"""),44641.0)</f>
        <v>44641</v>
      </c>
      <c r="C3265" s="5"/>
      <c r="D3265" s="5"/>
      <c r="E3265" s="5"/>
      <c r="F3265" s="22">
        <f>IFERROR(__xludf.DUMMYFUNCTION("""COMPUTED_VALUE"""),42137.60822500003)</f>
        <v>42137.60823</v>
      </c>
      <c r="G3265" s="22">
        <f>IFERROR(__xludf.DUMMYFUNCTION("""COMPUTED_VALUE"""),0.0)</f>
        <v>0</v>
      </c>
      <c r="H3265" s="22">
        <f>IFERROR(__xludf.DUMMYFUNCTION("""COMPUTED_VALUE"""),466471.604615)</f>
        <v>466471.6046</v>
      </c>
      <c r="I3265" s="24">
        <f>IFERROR(__xludf.DUMMYFUNCTION("""COMPUTED_VALUE"""),-0.06705679076999993)</f>
        <v>-0.06705679077</v>
      </c>
    </row>
    <row r="3266">
      <c r="A3266" s="5" t="str">
        <f>IFERROR(__xludf.DUMMYFUNCTION("""COMPUTED_VALUE"""),"40105")</f>
        <v>40105</v>
      </c>
      <c r="B3266" s="64">
        <f>IFERROR(__xludf.DUMMYFUNCTION("""COMPUTED_VALUE"""),44642.0)</f>
        <v>44642</v>
      </c>
      <c r="C3266" s="5"/>
      <c r="D3266" s="5"/>
      <c r="E3266" s="5"/>
      <c r="F3266" s="22">
        <f>IFERROR(__xludf.DUMMYFUNCTION("""COMPUTED_VALUE"""),42137.60822500003)</f>
        <v>42137.60823</v>
      </c>
      <c r="G3266" s="22">
        <f>IFERROR(__xludf.DUMMYFUNCTION("""COMPUTED_VALUE"""),0.0)</f>
        <v>0</v>
      </c>
      <c r="H3266" s="22">
        <f>IFERROR(__xludf.DUMMYFUNCTION("""COMPUTED_VALUE"""),469957.80902000004)</f>
        <v>469957.809</v>
      </c>
      <c r="I3266" s="24">
        <f>IFERROR(__xludf.DUMMYFUNCTION("""COMPUTED_VALUE"""),-0.06008438195999988)</f>
        <v>-0.06008438196</v>
      </c>
    </row>
    <row r="3267">
      <c r="A3267" s="5" t="str">
        <f>IFERROR(__xludf.DUMMYFUNCTION("""COMPUTED_VALUE"""),"40105")</f>
        <v>40105</v>
      </c>
      <c r="B3267" s="64">
        <f>IFERROR(__xludf.DUMMYFUNCTION("""COMPUTED_VALUE"""),44643.0)</f>
        <v>44643</v>
      </c>
      <c r="C3267" s="5"/>
      <c r="D3267" s="5"/>
      <c r="E3267" s="5"/>
      <c r="F3267" s="22">
        <f>IFERROR(__xludf.DUMMYFUNCTION("""COMPUTED_VALUE"""),42137.60822500003)</f>
        <v>42137.60823</v>
      </c>
      <c r="G3267" s="22">
        <f>IFERROR(__xludf.DUMMYFUNCTION("""COMPUTED_VALUE"""),0.0)</f>
        <v>0</v>
      </c>
      <c r="H3267" s="22">
        <f>IFERROR(__xludf.DUMMYFUNCTION("""COMPUTED_VALUE"""),464178.664805)</f>
        <v>464178.6648</v>
      </c>
      <c r="I3267" s="24">
        <f>IFERROR(__xludf.DUMMYFUNCTION("""COMPUTED_VALUE"""),-0.07164267038999994)</f>
        <v>-0.07164267039</v>
      </c>
    </row>
    <row r="3268">
      <c r="A3268" s="5" t="str">
        <f>IFERROR(__xludf.DUMMYFUNCTION("""COMPUTED_VALUE"""),"40105")</f>
        <v>40105</v>
      </c>
      <c r="B3268" s="64">
        <f>IFERROR(__xludf.DUMMYFUNCTION("""COMPUTED_VALUE"""),44644.0)</f>
        <v>44644</v>
      </c>
      <c r="C3268" s="5"/>
      <c r="D3268" s="5"/>
      <c r="E3268" s="5"/>
      <c r="F3268" s="22">
        <f>IFERROR(__xludf.DUMMYFUNCTION("""COMPUTED_VALUE"""),42137.60822500003)</f>
        <v>42137.60823</v>
      </c>
      <c r="G3268" s="22">
        <f>IFERROR(__xludf.DUMMYFUNCTION("""COMPUTED_VALUE"""),0.0)</f>
        <v>0</v>
      </c>
      <c r="H3268" s="22">
        <f>IFERROR(__xludf.DUMMYFUNCTION("""COMPUTED_VALUE"""),467267.11434500007)</f>
        <v>467267.1143</v>
      </c>
      <c r="I3268" s="24">
        <f>IFERROR(__xludf.DUMMYFUNCTION("""COMPUTED_VALUE"""),-0.06546577130999987)</f>
        <v>-0.06546577131</v>
      </c>
    </row>
    <row r="3269">
      <c r="A3269" s="5" t="str">
        <f>IFERROR(__xludf.DUMMYFUNCTION("""COMPUTED_VALUE"""),"40105")</f>
        <v>40105</v>
      </c>
      <c r="B3269" s="64">
        <f>IFERROR(__xludf.DUMMYFUNCTION("""COMPUTED_VALUE"""),44645.0)</f>
        <v>44645</v>
      </c>
      <c r="C3269" s="5"/>
      <c r="D3269" s="5"/>
      <c r="E3269" s="5"/>
      <c r="F3269" s="22">
        <f>IFERROR(__xludf.DUMMYFUNCTION("""COMPUTED_VALUE"""),42137.60822500003)</f>
        <v>42137.60823</v>
      </c>
      <c r="G3269" s="22">
        <f>IFERROR(__xludf.DUMMYFUNCTION("""COMPUTED_VALUE"""),0.0)</f>
        <v>0</v>
      </c>
      <c r="H3269" s="22">
        <f>IFERROR(__xludf.DUMMYFUNCTION("""COMPUTED_VALUE"""),467688.266555)</f>
        <v>467688.2666</v>
      </c>
      <c r="I3269" s="24">
        <f>IFERROR(__xludf.DUMMYFUNCTION("""COMPUTED_VALUE"""),-0.06462346689000009)</f>
        <v>-0.06462346689</v>
      </c>
    </row>
    <row r="3270">
      <c r="A3270" s="5" t="str">
        <f>IFERROR(__xludf.DUMMYFUNCTION("""COMPUTED_VALUE"""),"40105")</f>
        <v>40105</v>
      </c>
      <c r="B3270" s="64">
        <f>IFERROR(__xludf.DUMMYFUNCTION("""COMPUTED_VALUE"""),44646.0)</f>
        <v>44646</v>
      </c>
      <c r="C3270" s="5"/>
      <c r="D3270" s="5"/>
      <c r="E3270" s="5"/>
      <c r="F3270" s="22">
        <f>IFERROR(__xludf.DUMMYFUNCTION("""COMPUTED_VALUE"""),42137.60822500003)</f>
        <v>42137.60823</v>
      </c>
      <c r="G3270" s="22">
        <f>IFERROR(__xludf.DUMMYFUNCTION("""COMPUTED_VALUE"""),0.0)</f>
        <v>0</v>
      </c>
      <c r="H3270" s="22">
        <f>IFERROR(__xludf.DUMMYFUNCTION("""COMPUTED_VALUE"""),467688.266555)</f>
        <v>467688.2666</v>
      </c>
      <c r="I3270" s="24">
        <f>IFERROR(__xludf.DUMMYFUNCTION("""COMPUTED_VALUE"""),-0.06462346689000009)</f>
        <v>-0.06462346689</v>
      </c>
    </row>
    <row r="3271">
      <c r="A3271" s="5" t="str">
        <f>IFERROR(__xludf.DUMMYFUNCTION("""COMPUTED_VALUE"""),"40105")</f>
        <v>40105</v>
      </c>
      <c r="B3271" s="64">
        <f>IFERROR(__xludf.DUMMYFUNCTION("""COMPUTED_VALUE"""),44647.0)</f>
        <v>44647</v>
      </c>
      <c r="C3271" s="5"/>
      <c r="D3271" s="5"/>
      <c r="E3271" s="5"/>
      <c r="F3271" s="22">
        <f>IFERROR(__xludf.DUMMYFUNCTION("""COMPUTED_VALUE"""),42137.60822500003)</f>
        <v>42137.60823</v>
      </c>
      <c r="G3271" s="22">
        <f>IFERROR(__xludf.DUMMYFUNCTION("""COMPUTED_VALUE"""),0.0)</f>
        <v>0</v>
      </c>
      <c r="H3271" s="22">
        <f>IFERROR(__xludf.DUMMYFUNCTION("""COMPUTED_VALUE"""),467688.266555)</f>
        <v>467688.2666</v>
      </c>
      <c r="I3271" s="24">
        <f>IFERROR(__xludf.DUMMYFUNCTION("""COMPUTED_VALUE"""),-0.06462346689000009)</f>
        <v>-0.06462346689</v>
      </c>
    </row>
    <row r="3272">
      <c r="A3272" s="5" t="str">
        <f>IFERROR(__xludf.DUMMYFUNCTION("""COMPUTED_VALUE"""),"40105")</f>
        <v>40105</v>
      </c>
      <c r="B3272" s="64">
        <f>IFERROR(__xludf.DUMMYFUNCTION("""COMPUTED_VALUE"""),44648.0)</f>
        <v>44648</v>
      </c>
      <c r="C3272" s="5"/>
      <c r="D3272" s="5"/>
      <c r="E3272" s="5"/>
      <c r="F3272" s="22">
        <f>IFERROR(__xludf.DUMMYFUNCTION("""COMPUTED_VALUE"""),42137.60822500003)</f>
        <v>42137.60823</v>
      </c>
      <c r="G3272" s="22">
        <f>IFERROR(__xludf.DUMMYFUNCTION("""COMPUTED_VALUE"""),0.0)</f>
        <v>0</v>
      </c>
      <c r="H3272" s="22">
        <f>IFERROR(__xludf.DUMMYFUNCTION("""COMPUTED_VALUE"""),466693.83449000004)</f>
        <v>466693.8345</v>
      </c>
      <c r="I3272" s="24">
        <f>IFERROR(__xludf.DUMMYFUNCTION("""COMPUTED_VALUE"""),-0.06661233101999997)</f>
        <v>-0.06661233102</v>
      </c>
    </row>
    <row r="3273">
      <c r="A3273" s="5" t="str">
        <f>IFERROR(__xludf.DUMMYFUNCTION("""COMPUTED_VALUE"""),"40105")</f>
        <v>40105</v>
      </c>
      <c r="B3273" s="64">
        <f>IFERROR(__xludf.DUMMYFUNCTION("""COMPUTED_VALUE"""),44649.0)</f>
        <v>44649</v>
      </c>
      <c r="C3273" s="5"/>
      <c r="D3273" s="5"/>
      <c r="E3273" s="5"/>
      <c r="F3273" s="22">
        <f>IFERROR(__xludf.DUMMYFUNCTION("""COMPUTED_VALUE"""),42137.60822500003)</f>
        <v>42137.60823</v>
      </c>
      <c r="G3273" s="22">
        <f>IFERROR(__xludf.DUMMYFUNCTION("""COMPUTED_VALUE"""),0.0)</f>
        <v>0</v>
      </c>
      <c r="H3273" s="22">
        <f>IFERROR(__xludf.DUMMYFUNCTION("""COMPUTED_VALUE"""),470959.1143100001)</f>
        <v>470959.1143</v>
      </c>
      <c r="I3273" s="24">
        <f>IFERROR(__xludf.DUMMYFUNCTION("""COMPUTED_VALUE"""),-0.058081771379999814)</f>
        <v>-0.05808177138</v>
      </c>
    </row>
    <row r="3274">
      <c r="A3274" s="5" t="str">
        <f>IFERROR(__xludf.DUMMYFUNCTION("""COMPUTED_VALUE"""),"40105")</f>
        <v>40105</v>
      </c>
      <c r="B3274" s="64">
        <f>IFERROR(__xludf.DUMMYFUNCTION("""COMPUTED_VALUE"""),44650.0)</f>
        <v>44650</v>
      </c>
      <c r="C3274" s="5"/>
      <c r="D3274" s="5"/>
      <c r="E3274" s="5"/>
      <c r="F3274" s="22">
        <f>IFERROR(__xludf.DUMMYFUNCTION("""COMPUTED_VALUE"""),42137.60822500003)</f>
        <v>42137.60823</v>
      </c>
      <c r="G3274" s="22">
        <f>IFERROR(__xludf.DUMMYFUNCTION("""COMPUTED_VALUE"""),0.0)</f>
        <v>0</v>
      </c>
      <c r="H3274" s="22">
        <f>IFERROR(__xludf.DUMMYFUNCTION("""COMPUTED_VALUE"""),469304.27897000004)</f>
        <v>469304.279</v>
      </c>
      <c r="I3274" s="24">
        <f>IFERROR(__xludf.DUMMYFUNCTION("""COMPUTED_VALUE"""),-0.06139144205999991)</f>
        <v>-0.06139144206</v>
      </c>
    </row>
    <row r="3275">
      <c r="A3275" s="5" t="str">
        <f>IFERROR(__xludf.DUMMYFUNCTION("""COMPUTED_VALUE"""),"40105")</f>
        <v>40105</v>
      </c>
      <c r="B3275" s="64">
        <f>IFERROR(__xludf.DUMMYFUNCTION("""COMPUTED_VALUE"""),44651.0)</f>
        <v>44651</v>
      </c>
      <c r="C3275" s="5"/>
      <c r="D3275" s="5"/>
      <c r="E3275" s="5"/>
      <c r="F3275" s="22">
        <f>IFERROR(__xludf.DUMMYFUNCTION("""COMPUTED_VALUE"""),42137.60822500003)</f>
        <v>42137.60823</v>
      </c>
      <c r="G3275" s="22">
        <f>IFERROR(__xludf.DUMMYFUNCTION("""COMPUTED_VALUE"""),0.0)</f>
        <v>0</v>
      </c>
      <c r="H3275" s="22">
        <f>IFERROR(__xludf.DUMMYFUNCTION("""COMPUTED_VALUE"""),464875.84637000004)</f>
        <v>464875.8464</v>
      </c>
      <c r="I3275" s="24">
        <f>IFERROR(__xludf.DUMMYFUNCTION("""COMPUTED_VALUE"""),-0.07024830725999986)</f>
        <v>-0.07024830726</v>
      </c>
    </row>
    <row r="3276">
      <c r="A3276" s="5" t="str">
        <f>IFERROR(__xludf.DUMMYFUNCTION("""COMPUTED_VALUE"""),"40105")</f>
        <v>40105</v>
      </c>
      <c r="B3276" s="64">
        <f>IFERROR(__xludf.DUMMYFUNCTION("""COMPUTED_VALUE"""),44652.0)</f>
        <v>44652</v>
      </c>
      <c r="C3276" s="5"/>
      <c r="D3276" s="5"/>
      <c r="E3276" s="5"/>
      <c r="F3276" s="22">
        <f>IFERROR(__xludf.DUMMYFUNCTION("""COMPUTED_VALUE"""),42137.60822500003)</f>
        <v>42137.60823</v>
      </c>
      <c r="G3276" s="22">
        <f>IFERROR(__xludf.DUMMYFUNCTION("""COMPUTED_VALUE"""),0.0)</f>
        <v>0</v>
      </c>
      <c r="H3276" s="22">
        <f>IFERROR(__xludf.DUMMYFUNCTION("""COMPUTED_VALUE"""),464689.3860500001)</f>
        <v>464689.3861</v>
      </c>
      <c r="I3276" s="24">
        <f>IFERROR(__xludf.DUMMYFUNCTION("""COMPUTED_VALUE"""),-0.0706212278999998)</f>
        <v>-0.0706212279</v>
      </c>
    </row>
    <row r="3277">
      <c r="A3277" s="5" t="str">
        <f>IFERROR(__xludf.DUMMYFUNCTION("""COMPUTED_VALUE"""),"40105")</f>
        <v>40105</v>
      </c>
      <c r="B3277" s="64">
        <f>IFERROR(__xludf.DUMMYFUNCTION("""COMPUTED_VALUE"""),44653.0)</f>
        <v>44653</v>
      </c>
      <c r="C3277" s="5"/>
      <c r="D3277" s="5"/>
      <c r="E3277" s="5"/>
      <c r="F3277" s="22">
        <f>IFERROR(__xludf.DUMMYFUNCTION("""COMPUTED_VALUE"""),42137.60822500003)</f>
        <v>42137.60823</v>
      </c>
      <c r="G3277" s="22">
        <f>IFERROR(__xludf.DUMMYFUNCTION("""COMPUTED_VALUE"""),0.0)</f>
        <v>0</v>
      </c>
      <c r="H3277" s="22">
        <f>IFERROR(__xludf.DUMMYFUNCTION("""COMPUTED_VALUE"""),464689.3860500001)</f>
        <v>464689.3861</v>
      </c>
      <c r="I3277" s="24">
        <f>IFERROR(__xludf.DUMMYFUNCTION("""COMPUTED_VALUE"""),-0.0706212278999998)</f>
        <v>-0.0706212279</v>
      </c>
    </row>
    <row r="3278">
      <c r="A3278" s="5" t="str">
        <f>IFERROR(__xludf.DUMMYFUNCTION("""COMPUTED_VALUE"""),"40105")</f>
        <v>40105</v>
      </c>
      <c r="B3278" s="64">
        <f>IFERROR(__xludf.DUMMYFUNCTION("""COMPUTED_VALUE"""),44654.0)</f>
        <v>44654</v>
      </c>
      <c r="C3278" s="5"/>
      <c r="D3278" s="5"/>
      <c r="E3278" s="5"/>
      <c r="F3278" s="22">
        <f>IFERROR(__xludf.DUMMYFUNCTION("""COMPUTED_VALUE"""),42137.60822500003)</f>
        <v>42137.60823</v>
      </c>
      <c r="G3278" s="22">
        <f>IFERROR(__xludf.DUMMYFUNCTION("""COMPUTED_VALUE"""),0.0)</f>
        <v>0</v>
      </c>
      <c r="H3278" s="22">
        <f>IFERROR(__xludf.DUMMYFUNCTION("""COMPUTED_VALUE"""),464689.3860500001)</f>
        <v>464689.3861</v>
      </c>
      <c r="I3278" s="24">
        <f>IFERROR(__xludf.DUMMYFUNCTION("""COMPUTED_VALUE"""),-0.0706212278999998)</f>
        <v>-0.0706212279</v>
      </c>
    </row>
    <row r="3279">
      <c r="A3279" s="5" t="str">
        <f>IFERROR(__xludf.DUMMYFUNCTION("""COMPUTED_VALUE"""),"40105")</f>
        <v>40105</v>
      </c>
      <c r="B3279" s="64">
        <f>IFERROR(__xludf.DUMMYFUNCTION("""COMPUTED_VALUE"""),44655.0)</f>
        <v>44655</v>
      </c>
      <c r="C3279" s="5"/>
      <c r="D3279" s="5"/>
      <c r="E3279" s="5"/>
      <c r="F3279" s="22">
        <f>IFERROR(__xludf.DUMMYFUNCTION("""COMPUTED_VALUE"""),42137.60822500003)</f>
        <v>42137.60823</v>
      </c>
      <c r="G3279" s="22">
        <f>IFERROR(__xludf.DUMMYFUNCTION("""COMPUTED_VALUE"""),0.0)</f>
        <v>0</v>
      </c>
      <c r="H3279" s="22">
        <f>IFERROR(__xludf.DUMMYFUNCTION("""COMPUTED_VALUE"""),466530.68171000003)</f>
        <v>466530.6817</v>
      </c>
      <c r="I3279" s="24">
        <f>IFERROR(__xludf.DUMMYFUNCTION("""COMPUTED_VALUE"""),-0.06693863657999999)</f>
        <v>-0.06693863658</v>
      </c>
    </row>
    <row r="3280">
      <c r="A3280" s="5" t="str">
        <f>IFERROR(__xludf.DUMMYFUNCTION("""COMPUTED_VALUE"""),"40105")</f>
        <v>40105</v>
      </c>
      <c r="B3280" s="64">
        <f>IFERROR(__xludf.DUMMYFUNCTION("""COMPUTED_VALUE"""),44656.0)</f>
        <v>44656</v>
      </c>
      <c r="C3280" s="5"/>
      <c r="D3280" s="5"/>
      <c r="E3280" s="5"/>
      <c r="F3280" s="22">
        <f>IFERROR(__xludf.DUMMYFUNCTION("""COMPUTED_VALUE"""),42137.60822500003)</f>
        <v>42137.60823</v>
      </c>
      <c r="G3280" s="22">
        <f>IFERROR(__xludf.DUMMYFUNCTION("""COMPUTED_VALUE"""),0.0)</f>
        <v>0</v>
      </c>
      <c r="H3280" s="22">
        <f>IFERROR(__xludf.DUMMYFUNCTION("""COMPUTED_VALUE"""),463081.1657900001)</f>
        <v>463081.1658</v>
      </c>
      <c r="I3280" s="24">
        <f>IFERROR(__xludf.DUMMYFUNCTION("""COMPUTED_VALUE"""),-0.07383766841999972)</f>
        <v>-0.07383766842</v>
      </c>
    </row>
    <row r="3281">
      <c r="A3281" s="5" t="str">
        <f>IFERROR(__xludf.DUMMYFUNCTION("""COMPUTED_VALUE"""),"40105")</f>
        <v>40105</v>
      </c>
      <c r="B3281" s="64">
        <f>IFERROR(__xludf.DUMMYFUNCTION("""COMPUTED_VALUE"""),44657.0)</f>
        <v>44657</v>
      </c>
      <c r="C3281" s="5"/>
      <c r="D3281" s="5"/>
      <c r="E3281" s="5"/>
      <c r="F3281" s="22">
        <f>IFERROR(__xludf.DUMMYFUNCTION("""COMPUTED_VALUE"""),42137.60822500003)</f>
        <v>42137.60823</v>
      </c>
      <c r="G3281" s="22">
        <f>IFERROR(__xludf.DUMMYFUNCTION("""COMPUTED_VALUE"""),0.0)</f>
        <v>0</v>
      </c>
      <c r="H3281" s="22">
        <f>IFERROR(__xludf.DUMMYFUNCTION("""COMPUTED_VALUE"""),459526.76594000007)</f>
        <v>459526.7659</v>
      </c>
      <c r="I3281" s="24">
        <f>IFERROR(__xludf.DUMMYFUNCTION("""COMPUTED_VALUE"""),-0.08094646811999984)</f>
        <v>-0.08094646812</v>
      </c>
    </row>
    <row r="3282">
      <c r="A3282" s="5" t="str">
        <f>IFERROR(__xludf.DUMMYFUNCTION("""COMPUTED_VALUE"""),"40105")</f>
        <v>40105</v>
      </c>
      <c r="B3282" s="64">
        <f>IFERROR(__xludf.DUMMYFUNCTION("""COMPUTED_VALUE"""),44658.0)</f>
        <v>44658</v>
      </c>
      <c r="C3282" s="5"/>
      <c r="D3282" s="5"/>
      <c r="E3282" s="5"/>
      <c r="F3282" s="22">
        <f>IFERROR(__xludf.DUMMYFUNCTION("""COMPUTED_VALUE"""),42137.60822500003)</f>
        <v>42137.60823</v>
      </c>
      <c r="G3282" s="22">
        <f>IFERROR(__xludf.DUMMYFUNCTION("""COMPUTED_VALUE"""),0.0)</f>
        <v>0</v>
      </c>
      <c r="H3282" s="22">
        <f>IFERROR(__xludf.DUMMYFUNCTION("""COMPUTED_VALUE"""),458711.00204000005)</f>
        <v>458711.002</v>
      </c>
      <c r="I3282" s="24">
        <f>IFERROR(__xludf.DUMMYFUNCTION("""COMPUTED_VALUE"""),-0.08257799591999992)</f>
        <v>-0.08257799592</v>
      </c>
    </row>
    <row r="3283">
      <c r="A3283" s="5" t="str">
        <f>IFERROR(__xludf.DUMMYFUNCTION("""COMPUTED_VALUE"""),"40105")</f>
        <v>40105</v>
      </c>
      <c r="B3283" s="64">
        <f>IFERROR(__xludf.DUMMYFUNCTION("""COMPUTED_VALUE"""),44659.0)</f>
        <v>44659</v>
      </c>
      <c r="C3283" s="5"/>
      <c r="D3283" s="5"/>
      <c r="E3283" s="5"/>
      <c r="F3283" s="22">
        <f>IFERROR(__xludf.DUMMYFUNCTION("""COMPUTED_VALUE"""),42137.60822500003)</f>
        <v>42137.60823</v>
      </c>
      <c r="G3283" s="22">
        <f>IFERROR(__xludf.DUMMYFUNCTION("""COMPUTED_VALUE"""),0.0)</f>
        <v>0</v>
      </c>
      <c r="H3283" s="22">
        <f>IFERROR(__xludf.DUMMYFUNCTION("""COMPUTED_VALUE"""),458711.00204000005)</f>
        <v>458711.002</v>
      </c>
      <c r="I3283" s="24">
        <f>IFERROR(__xludf.DUMMYFUNCTION("""COMPUTED_VALUE"""),-0.08257799591999992)</f>
        <v>-0.08257799592</v>
      </c>
    </row>
    <row r="3284">
      <c r="A3284" s="5" t="str">
        <f>IFERROR(__xludf.DUMMYFUNCTION("""COMPUTED_VALUE"""),"40105")</f>
        <v>40105</v>
      </c>
      <c r="B3284" s="64">
        <f>IFERROR(__xludf.DUMMYFUNCTION("""COMPUTED_VALUE"""),44660.0)</f>
        <v>44660</v>
      </c>
      <c r="C3284" s="5"/>
      <c r="D3284" s="5"/>
      <c r="E3284" s="5"/>
      <c r="F3284" s="22">
        <f>IFERROR(__xludf.DUMMYFUNCTION("""COMPUTED_VALUE"""),42137.60822500003)</f>
        <v>42137.60823</v>
      </c>
      <c r="G3284" s="22">
        <f>IFERROR(__xludf.DUMMYFUNCTION("""COMPUTED_VALUE"""),0.0)</f>
        <v>0</v>
      </c>
      <c r="H3284" s="22">
        <f>IFERROR(__xludf.DUMMYFUNCTION("""COMPUTED_VALUE"""),450461.00204000005)</f>
        <v>450461.002</v>
      </c>
      <c r="I3284" s="24">
        <f>IFERROR(__xludf.DUMMYFUNCTION("""COMPUTED_VALUE"""),-0.09907799591999988)</f>
        <v>-0.09907799592</v>
      </c>
    </row>
    <row r="3285">
      <c r="A3285" s="5" t="str">
        <f>IFERROR(__xludf.DUMMYFUNCTION("""COMPUTED_VALUE"""),"40105")</f>
        <v>40105</v>
      </c>
      <c r="B3285" s="64">
        <f>IFERROR(__xludf.DUMMYFUNCTION("""COMPUTED_VALUE"""),44661.0)</f>
        <v>44661</v>
      </c>
      <c r="C3285" s="5"/>
      <c r="D3285" s="5"/>
      <c r="E3285" s="5"/>
      <c r="F3285" s="22">
        <f>IFERROR(__xludf.DUMMYFUNCTION("""COMPUTED_VALUE"""),42137.60822500003)</f>
        <v>42137.60823</v>
      </c>
      <c r="G3285" s="22">
        <f>IFERROR(__xludf.DUMMYFUNCTION("""COMPUTED_VALUE"""),0.0)</f>
        <v>0</v>
      </c>
      <c r="H3285" s="22">
        <f>IFERROR(__xludf.DUMMYFUNCTION("""COMPUTED_VALUE"""),450461.00204000005)</f>
        <v>450461.002</v>
      </c>
      <c r="I3285" s="24">
        <f>IFERROR(__xludf.DUMMYFUNCTION("""COMPUTED_VALUE"""),-0.09907799591999988)</f>
        <v>-0.09907799592</v>
      </c>
    </row>
    <row r="3286">
      <c r="A3286" s="5" t="str">
        <f>IFERROR(__xludf.DUMMYFUNCTION("""COMPUTED_VALUE"""),"40105")</f>
        <v>40105</v>
      </c>
      <c r="B3286" s="64">
        <f>IFERROR(__xludf.DUMMYFUNCTION("""COMPUTED_VALUE"""),44662.0)</f>
        <v>44662</v>
      </c>
      <c r="C3286" s="5"/>
      <c r="D3286" s="5"/>
      <c r="E3286" s="5"/>
      <c r="F3286" s="22">
        <f>IFERROR(__xludf.DUMMYFUNCTION("""COMPUTED_VALUE"""),42137.60822500003)</f>
        <v>42137.60823</v>
      </c>
      <c r="G3286" s="22">
        <f>IFERROR(__xludf.DUMMYFUNCTION("""COMPUTED_VALUE"""),0.0)</f>
        <v>0</v>
      </c>
      <c r="H3286" s="22">
        <f>IFERROR(__xludf.DUMMYFUNCTION("""COMPUTED_VALUE"""),457289.24210000003)</f>
        <v>457289.2421</v>
      </c>
      <c r="I3286" s="24">
        <f>IFERROR(__xludf.DUMMYFUNCTION("""COMPUTED_VALUE"""),-0.0854215157999999)</f>
        <v>-0.0854215158</v>
      </c>
    </row>
    <row r="3287">
      <c r="A3287" s="5" t="str">
        <f>IFERROR(__xludf.DUMMYFUNCTION("""COMPUTED_VALUE"""),"40105")</f>
        <v>40105</v>
      </c>
      <c r="B3287" s="64">
        <f>IFERROR(__xludf.DUMMYFUNCTION("""COMPUTED_VALUE"""),44663.0)</f>
        <v>44663</v>
      </c>
      <c r="C3287" s="5"/>
      <c r="D3287" s="5"/>
      <c r="E3287" s="5"/>
      <c r="F3287" s="22">
        <f>IFERROR(__xludf.DUMMYFUNCTION("""COMPUTED_VALUE"""),42137.60822500003)</f>
        <v>42137.60823</v>
      </c>
      <c r="G3287" s="22">
        <f>IFERROR(__xludf.DUMMYFUNCTION("""COMPUTED_VALUE"""),0.0)</f>
        <v>0</v>
      </c>
      <c r="H3287" s="22">
        <f>IFERROR(__xludf.DUMMYFUNCTION("""COMPUTED_VALUE"""),461632.90463000006)</f>
        <v>461632.9046</v>
      </c>
      <c r="I3287" s="24">
        <f>IFERROR(__xludf.DUMMYFUNCTION("""COMPUTED_VALUE"""),-0.07673419073999987)</f>
        <v>-0.07673419074</v>
      </c>
    </row>
    <row r="3288">
      <c r="A3288" s="5" t="str">
        <f>IFERROR(__xludf.DUMMYFUNCTION("""COMPUTED_VALUE"""),"40158")</f>
        <v>40158</v>
      </c>
      <c r="B3288" s="64">
        <f>IFERROR(__xludf.DUMMYFUNCTION("""COMPUTED_VALUE"""),44597.0)</f>
        <v>44597</v>
      </c>
      <c r="C3288" s="5"/>
      <c r="D3288" s="5"/>
      <c r="E3288" s="5"/>
      <c r="F3288" s="22">
        <f>IFERROR(__xludf.DUMMYFUNCTION("""COMPUTED_VALUE"""),500000.0)</f>
        <v>500000</v>
      </c>
      <c r="G3288" s="22">
        <f>IFERROR(__xludf.DUMMYFUNCTION("""COMPUTED_VALUE"""),0.0)</f>
        <v>0</v>
      </c>
      <c r="H3288" s="22">
        <f>IFERROR(__xludf.DUMMYFUNCTION("""COMPUTED_VALUE"""),500000.0)</f>
        <v>500000</v>
      </c>
      <c r="I3288" s="24">
        <f>IFERROR(__xludf.DUMMYFUNCTION("""COMPUTED_VALUE"""),0.0)</f>
        <v>0</v>
      </c>
    </row>
    <row r="3289">
      <c r="A3289" s="5" t="str">
        <f>IFERROR(__xludf.DUMMYFUNCTION("""COMPUTED_VALUE"""),"40158")</f>
        <v>40158</v>
      </c>
      <c r="B3289" s="64">
        <f>IFERROR(__xludf.DUMMYFUNCTION("""COMPUTED_VALUE"""),44598.0)</f>
        <v>44598</v>
      </c>
      <c r="C3289" s="5"/>
      <c r="D3289" s="5"/>
      <c r="E3289" s="5"/>
      <c r="F3289" s="22">
        <f>IFERROR(__xludf.DUMMYFUNCTION("""COMPUTED_VALUE"""),500000.0)</f>
        <v>500000</v>
      </c>
      <c r="G3289" s="22">
        <f>IFERROR(__xludf.DUMMYFUNCTION("""COMPUTED_VALUE"""),0.0)</f>
        <v>0</v>
      </c>
      <c r="H3289" s="22">
        <f>IFERROR(__xludf.DUMMYFUNCTION("""COMPUTED_VALUE"""),500000.0)</f>
        <v>500000</v>
      </c>
      <c r="I3289" s="24">
        <f>IFERROR(__xludf.DUMMYFUNCTION("""COMPUTED_VALUE"""),0.0)</f>
        <v>0</v>
      </c>
    </row>
    <row r="3290">
      <c r="A3290" s="5" t="str">
        <f>IFERROR(__xludf.DUMMYFUNCTION("""COMPUTED_VALUE"""),"40158")</f>
        <v>40158</v>
      </c>
      <c r="B3290" s="64">
        <f>IFERROR(__xludf.DUMMYFUNCTION("""COMPUTED_VALUE"""),44599.0)</f>
        <v>44599</v>
      </c>
      <c r="C3290" s="5"/>
      <c r="D3290" s="5"/>
      <c r="E3290" s="5"/>
      <c r="F3290" s="22">
        <f>IFERROR(__xludf.DUMMYFUNCTION("""COMPUTED_VALUE"""),500000.0)</f>
        <v>500000</v>
      </c>
      <c r="G3290" s="22">
        <f>IFERROR(__xludf.DUMMYFUNCTION("""COMPUTED_VALUE"""),0.0)</f>
        <v>0</v>
      </c>
      <c r="H3290" s="22">
        <f>IFERROR(__xludf.DUMMYFUNCTION("""COMPUTED_VALUE"""),500000.0)</f>
        <v>500000</v>
      </c>
      <c r="I3290" s="24">
        <f>IFERROR(__xludf.DUMMYFUNCTION("""COMPUTED_VALUE"""),0.0)</f>
        <v>0</v>
      </c>
    </row>
    <row r="3291">
      <c r="A3291" s="5" t="str">
        <f>IFERROR(__xludf.DUMMYFUNCTION("""COMPUTED_VALUE"""),"40158")</f>
        <v>40158</v>
      </c>
      <c r="B3291" s="64">
        <f>IFERROR(__xludf.DUMMYFUNCTION("""COMPUTED_VALUE"""),44600.0)</f>
        <v>44600</v>
      </c>
      <c r="C3291" s="5"/>
      <c r="D3291" s="5"/>
      <c r="E3291" s="5"/>
      <c r="F3291" s="22">
        <f>IFERROR(__xludf.DUMMYFUNCTION("""COMPUTED_VALUE"""),500000.0)</f>
        <v>500000</v>
      </c>
      <c r="G3291" s="22">
        <f>IFERROR(__xludf.DUMMYFUNCTION("""COMPUTED_VALUE"""),0.0)</f>
        <v>0</v>
      </c>
      <c r="H3291" s="22">
        <f>IFERROR(__xludf.DUMMYFUNCTION("""COMPUTED_VALUE"""),500000.0)</f>
        <v>500000</v>
      </c>
      <c r="I3291" s="24">
        <f>IFERROR(__xludf.DUMMYFUNCTION("""COMPUTED_VALUE"""),0.0)</f>
        <v>0</v>
      </c>
    </row>
    <row r="3292">
      <c r="A3292" s="5" t="str">
        <f>IFERROR(__xludf.DUMMYFUNCTION("""COMPUTED_VALUE"""),"40158")</f>
        <v>40158</v>
      </c>
      <c r="B3292" s="64">
        <f>IFERROR(__xludf.DUMMYFUNCTION("""COMPUTED_VALUE"""),44601.0)</f>
        <v>44601</v>
      </c>
      <c r="C3292" s="5"/>
      <c r="D3292" s="5"/>
      <c r="E3292" s="5"/>
      <c r="F3292" s="22">
        <f>IFERROR(__xludf.DUMMYFUNCTION("""COMPUTED_VALUE"""),500000.0)</f>
        <v>500000</v>
      </c>
      <c r="G3292" s="22">
        <f>IFERROR(__xludf.DUMMYFUNCTION("""COMPUTED_VALUE"""),0.0)</f>
        <v>0</v>
      </c>
      <c r="H3292" s="22">
        <f>IFERROR(__xludf.DUMMYFUNCTION("""COMPUTED_VALUE"""),500000.0)</f>
        <v>500000</v>
      </c>
      <c r="I3292" s="24">
        <f>IFERROR(__xludf.DUMMYFUNCTION("""COMPUTED_VALUE"""),0.0)</f>
        <v>0</v>
      </c>
    </row>
    <row r="3293">
      <c r="A3293" s="5" t="str">
        <f>IFERROR(__xludf.DUMMYFUNCTION("""COMPUTED_VALUE"""),"40158")</f>
        <v>40158</v>
      </c>
      <c r="B3293" s="64">
        <f>IFERROR(__xludf.DUMMYFUNCTION("""COMPUTED_VALUE"""),44602.0)</f>
        <v>44602</v>
      </c>
      <c r="C3293" s="5"/>
      <c r="D3293" s="5"/>
      <c r="E3293" s="5"/>
      <c r="F3293" s="22">
        <f>IFERROR(__xludf.DUMMYFUNCTION("""COMPUTED_VALUE"""),500000.0)</f>
        <v>500000</v>
      </c>
      <c r="G3293" s="22">
        <f>IFERROR(__xludf.DUMMYFUNCTION("""COMPUTED_VALUE"""),0.0)</f>
        <v>0</v>
      </c>
      <c r="H3293" s="22">
        <f>IFERROR(__xludf.DUMMYFUNCTION("""COMPUTED_VALUE"""),500000.0)</f>
        <v>500000</v>
      </c>
      <c r="I3293" s="24">
        <f>IFERROR(__xludf.DUMMYFUNCTION("""COMPUTED_VALUE"""),0.0)</f>
        <v>0</v>
      </c>
    </row>
    <row r="3294">
      <c r="A3294" s="5" t="str">
        <f>IFERROR(__xludf.DUMMYFUNCTION("""COMPUTED_VALUE"""),"40158")</f>
        <v>40158</v>
      </c>
      <c r="B3294" s="64">
        <f>IFERROR(__xludf.DUMMYFUNCTION("""COMPUTED_VALUE"""),44603.0)</f>
        <v>44603</v>
      </c>
      <c r="C3294" s="5"/>
      <c r="D3294" s="5"/>
      <c r="E3294" s="5"/>
      <c r="F3294" s="22">
        <f>IFERROR(__xludf.DUMMYFUNCTION("""COMPUTED_VALUE"""),500000.0)</f>
        <v>500000</v>
      </c>
      <c r="G3294" s="22">
        <f>IFERROR(__xludf.DUMMYFUNCTION("""COMPUTED_VALUE"""),0.0)</f>
        <v>0</v>
      </c>
      <c r="H3294" s="22">
        <f>IFERROR(__xludf.DUMMYFUNCTION("""COMPUTED_VALUE"""),500000.0)</f>
        <v>500000</v>
      </c>
      <c r="I3294" s="24">
        <f>IFERROR(__xludf.DUMMYFUNCTION("""COMPUTED_VALUE"""),0.0)</f>
        <v>0</v>
      </c>
    </row>
    <row r="3295">
      <c r="A3295" s="5" t="str">
        <f>IFERROR(__xludf.DUMMYFUNCTION("""COMPUTED_VALUE"""),"40158")</f>
        <v>40158</v>
      </c>
      <c r="B3295" s="64">
        <f>IFERROR(__xludf.DUMMYFUNCTION("""COMPUTED_VALUE"""),44604.0)</f>
        <v>44604</v>
      </c>
      <c r="C3295" s="5"/>
      <c r="D3295" s="5"/>
      <c r="E3295" s="5"/>
      <c r="F3295" s="22">
        <f>IFERROR(__xludf.DUMMYFUNCTION("""COMPUTED_VALUE"""),500000.0)</f>
        <v>500000</v>
      </c>
      <c r="G3295" s="22">
        <f>IFERROR(__xludf.DUMMYFUNCTION("""COMPUTED_VALUE"""),0.0)</f>
        <v>0</v>
      </c>
      <c r="H3295" s="22">
        <f>IFERROR(__xludf.DUMMYFUNCTION("""COMPUTED_VALUE"""),500000.0)</f>
        <v>500000</v>
      </c>
      <c r="I3295" s="24">
        <f>IFERROR(__xludf.DUMMYFUNCTION("""COMPUTED_VALUE"""),0.0)</f>
        <v>0</v>
      </c>
    </row>
    <row r="3296">
      <c r="A3296" s="5" t="str">
        <f>IFERROR(__xludf.DUMMYFUNCTION("""COMPUTED_VALUE"""),"40158")</f>
        <v>40158</v>
      </c>
      <c r="B3296" s="64">
        <f>IFERROR(__xludf.DUMMYFUNCTION("""COMPUTED_VALUE"""),44605.0)</f>
        <v>44605</v>
      </c>
      <c r="C3296" s="5"/>
      <c r="D3296" s="5"/>
      <c r="E3296" s="5"/>
      <c r="F3296" s="22">
        <f>IFERROR(__xludf.DUMMYFUNCTION("""COMPUTED_VALUE"""),500000.0)</f>
        <v>500000</v>
      </c>
      <c r="G3296" s="22">
        <f>IFERROR(__xludf.DUMMYFUNCTION("""COMPUTED_VALUE"""),0.0)</f>
        <v>0</v>
      </c>
      <c r="H3296" s="22">
        <f>IFERROR(__xludf.DUMMYFUNCTION("""COMPUTED_VALUE"""),500000.0)</f>
        <v>500000</v>
      </c>
      <c r="I3296" s="24">
        <f>IFERROR(__xludf.DUMMYFUNCTION("""COMPUTED_VALUE"""),0.0)</f>
        <v>0</v>
      </c>
    </row>
    <row r="3297">
      <c r="A3297" s="5" t="str">
        <f>IFERROR(__xludf.DUMMYFUNCTION("""COMPUTED_VALUE"""),"40158")</f>
        <v>40158</v>
      </c>
      <c r="B3297" s="64">
        <f>IFERROR(__xludf.DUMMYFUNCTION("""COMPUTED_VALUE"""),44606.0)</f>
        <v>44606</v>
      </c>
      <c r="C3297" s="5"/>
      <c r="D3297" s="5"/>
      <c r="E3297" s="5"/>
      <c r="F3297" s="22">
        <f>IFERROR(__xludf.DUMMYFUNCTION("""COMPUTED_VALUE"""),500000.0)</f>
        <v>500000</v>
      </c>
      <c r="G3297" s="22">
        <f>IFERROR(__xludf.DUMMYFUNCTION("""COMPUTED_VALUE"""),0.0)</f>
        <v>0</v>
      </c>
      <c r="H3297" s="22">
        <f>IFERROR(__xludf.DUMMYFUNCTION("""COMPUTED_VALUE"""),500000.0)</f>
        <v>500000</v>
      </c>
      <c r="I3297" s="24">
        <f>IFERROR(__xludf.DUMMYFUNCTION("""COMPUTED_VALUE"""),0.0)</f>
        <v>0</v>
      </c>
    </row>
    <row r="3298">
      <c r="A3298" s="5" t="str">
        <f>IFERROR(__xludf.DUMMYFUNCTION("""COMPUTED_VALUE"""),"40158")</f>
        <v>40158</v>
      </c>
      <c r="B3298" s="64">
        <f>IFERROR(__xludf.DUMMYFUNCTION("""COMPUTED_VALUE"""),44607.0)</f>
        <v>44607</v>
      </c>
      <c r="C3298" s="5"/>
      <c r="D3298" s="5"/>
      <c r="E3298" s="5"/>
      <c r="F3298" s="22">
        <f>IFERROR(__xludf.DUMMYFUNCTION("""COMPUTED_VALUE"""),500000.0)</f>
        <v>500000</v>
      </c>
      <c r="G3298" s="22">
        <f>IFERROR(__xludf.DUMMYFUNCTION("""COMPUTED_VALUE"""),0.0)</f>
        <v>0</v>
      </c>
      <c r="H3298" s="22">
        <f>IFERROR(__xludf.DUMMYFUNCTION("""COMPUTED_VALUE"""),500000.0)</f>
        <v>500000</v>
      </c>
      <c r="I3298" s="24">
        <f>IFERROR(__xludf.DUMMYFUNCTION("""COMPUTED_VALUE"""),0.0)</f>
        <v>0</v>
      </c>
    </row>
    <row r="3299">
      <c r="A3299" s="5" t="str">
        <f>IFERROR(__xludf.DUMMYFUNCTION("""COMPUTED_VALUE"""),"40158")</f>
        <v>40158</v>
      </c>
      <c r="B3299" s="64">
        <f>IFERROR(__xludf.DUMMYFUNCTION("""COMPUTED_VALUE"""),44608.0)</f>
        <v>44608</v>
      </c>
      <c r="C3299" s="5"/>
      <c r="D3299" s="5"/>
      <c r="E3299" s="5"/>
      <c r="F3299" s="22">
        <f>IFERROR(__xludf.DUMMYFUNCTION("""COMPUTED_VALUE"""),500000.0)</f>
        <v>500000</v>
      </c>
      <c r="G3299" s="22">
        <f>IFERROR(__xludf.DUMMYFUNCTION("""COMPUTED_VALUE"""),0.0)</f>
        <v>0</v>
      </c>
      <c r="H3299" s="22">
        <f>IFERROR(__xludf.DUMMYFUNCTION("""COMPUTED_VALUE"""),501820.0)</f>
        <v>501820</v>
      </c>
      <c r="I3299" s="24">
        <f>IFERROR(__xludf.DUMMYFUNCTION("""COMPUTED_VALUE"""),0.0036400000000000876)</f>
        <v>0.00364</v>
      </c>
    </row>
    <row r="3300">
      <c r="A3300" s="5" t="str">
        <f>IFERROR(__xludf.DUMMYFUNCTION("""COMPUTED_VALUE"""),"40158")</f>
        <v>40158</v>
      </c>
      <c r="B3300" s="64">
        <f>IFERROR(__xludf.DUMMYFUNCTION("""COMPUTED_VALUE"""),44609.0)</f>
        <v>44609</v>
      </c>
      <c r="C3300" s="5"/>
      <c r="D3300" s="5"/>
      <c r="E3300" s="5"/>
      <c r="F3300" s="22">
        <f>IFERROR(__xludf.DUMMYFUNCTION("""COMPUTED_VALUE"""),369042.8734185)</f>
        <v>369042.8734</v>
      </c>
      <c r="G3300" s="22">
        <f>IFERROR(__xludf.DUMMYFUNCTION("""COMPUTED_VALUE"""),0.0)</f>
        <v>0</v>
      </c>
      <c r="H3300" s="22">
        <f>IFERROR(__xludf.DUMMYFUNCTION("""COMPUTED_VALUE"""),501890.7)</f>
        <v>501890.7</v>
      </c>
      <c r="I3300" s="24">
        <f>IFERROR(__xludf.DUMMYFUNCTION("""COMPUTED_VALUE"""),0.003781400000000046)</f>
        <v>0.0037814</v>
      </c>
    </row>
    <row r="3301">
      <c r="A3301" s="5" t="str">
        <f>IFERROR(__xludf.DUMMYFUNCTION("""COMPUTED_VALUE"""),"40158")</f>
        <v>40158</v>
      </c>
      <c r="B3301" s="64">
        <f>IFERROR(__xludf.DUMMYFUNCTION("""COMPUTED_VALUE"""),44610.0)</f>
        <v>44610</v>
      </c>
      <c r="C3301" s="5"/>
      <c r="D3301" s="5"/>
      <c r="E3301" s="5"/>
      <c r="F3301" s="22">
        <f>IFERROR(__xludf.DUMMYFUNCTION("""COMPUTED_VALUE"""),369042.8734185)</f>
        <v>369042.8734</v>
      </c>
      <c r="G3301" s="22">
        <f>IFERROR(__xludf.DUMMYFUNCTION("""COMPUTED_VALUE"""),0.0)</f>
        <v>0</v>
      </c>
      <c r="H3301" s="22">
        <f>IFERROR(__xludf.DUMMYFUNCTION("""COMPUTED_VALUE"""),496954.3868547)</f>
        <v>496954.3869</v>
      </c>
      <c r="I3301" s="24">
        <f>IFERROR(__xludf.DUMMYFUNCTION("""COMPUTED_VALUE"""),-0.006091226290599994)</f>
        <v>-0.006091226291</v>
      </c>
    </row>
    <row r="3302">
      <c r="A3302" s="5" t="str">
        <f>IFERROR(__xludf.DUMMYFUNCTION("""COMPUTED_VALUE"""),"40158")</f>
        <v>40158</v>
      </c>
      <c r="B3302" s="64">
        <f>IFERROR(__xludf.DUMMYFUNCTION("""COMPUTED_VALUE"""),44611.0)</f>
        <v>44611</v>
      </c>
      <c r="C3302" s="5"/>
      <c r="D3302" s="5"/>
      <c r="E3302" s="5"/>
      <c r="F3302" s="22">
        <f>IFERROR(__xludf.DUMMYFUNCTION("""COMPUTED_VALUE"""),369042.8734185)</f>
        <v>369042.8734</v>
      </c>
      <c r="G3302" s="22">
        <f>IFERROR(__xludf.DUMMYFUNCTION("""COMPUTED_VALUE"""),0.0)</f>
        <v>0</v>
      </c>
      <c r="H3302" s="22">
        <f>IFERROR(__xludf.DUMMYFUNCTION("""COMPUTED_VALUE"""),496954.3868547)</f>
        <v>496954.3869</v>
      </c>
      <c r="I3302" s="24">
        <f>IFERROR(__xludf.DUMMYFUNCTION("""COMPUTED_VALUE"""),-0.006091226290599994)</f>
        <v>-0.006091226291</v>
      </c>
    </row>
    <row r="3303">
      <c r="A3303" s="5" t="str">
        <f>IFERROR(__xludf.DUMMYFUNCTION("""COMPUTED_VALUE"""),"40158")</f>
        <v>40158</v>
      </c>
      <c r="B3303" s="64">
        <f>IFERROR(__xludf.DUMMYFUNCTION("""COMPUTED_VALUE"""),44612.0)</f>
        <v>44612</v>
      </c>
      <c r="C3303" s="5"/>
      <c r="D3303" s="5"/>
      <c r="E3303" s="5"/>
      <c r="F3303" s="22">
        <f>IFERROR(__xludf.DUMMYFUNCTION("""COMPUTED_VALUE"""),369042.8734185)</f>
        <v>369042.8734</v>
      </c>
      <c r="G3303" s="22">
        <f>IFERROR(__xludf.DUMMYFUNCTION("""COMPUTED_VALUE"""),0.0)</f>
        <v>0</v>
      </c>
      <c r="H3303" s="22">
        <f>IFERROR(__xludf.DUMMYFUNCTION("""COMPUTED_VALUE"""),496954.3868547)</f>
        <v>496954.3869</v>
      </c>
      <c r="I3303" s="24">
        <f>IFERROR(__xludf.DUMMYFUNCTION("""COMPUTED_VALUE"""),-0.006091226290599994)</f>
        <v>-0.006091226291</v>
      </c>
    </row>
    <row r="3304">
      <c r="A3304" s="5" t="str">
        <f>IFERROR(__xludf.DUMMYFUNCTION("""COMPUTED_VALUE"""),"40158")</f>
        <v>40158</v>
      </c>
      <c r="B3304" s="64">
        <f>IFERROR(__xludf.DUMMYFUNCTION("""COMPUTED_VALUE"""),44613.0)</f>
        <v>44613</v>
      </c>
      <c r="C3304" s="5"/>
      <c r="D3304" s="5"/>
      <c r="E3304" s="5"/>
      <c r="F3304" s="22">
        <f>IFERROR(__xludf.DUMMYFUNCTION("""COMPUTED_VALUE"""),369042.8734185)</f>
        <v>369042.8734</v>
      </c>
      <c r="G3304" s="22">
        <f>IFERROR(__xludf.DUMMYFUNCTION("""COMPUTED_VALUE"""),0.0)</f>
        <v>0</v>
      </c>
      <c r="H3304" s="22">
        <f>IFERROR(__xludf.DUMMYFUNCTION("""COMPUTED_VALUE"""),498933.9868547)</f>
        <v>498933.9869</v>
      </c>
      <c r="I3304" s="24">
        <f>IFERROR(__xludf.DUMMYFUNCTION("""COMPUTED_VALUE"""),-0.002132026290599942)</f>
        <v>-0.002132026291</v>
      </c>
    </row>
    <row r="3305">
      <c r="A3305" s="5" t="str">
        <f>IFERROR(__xludf.DUMMYFUNCTION("""COMPUTED_VALUE"""),"40158")</f>
        <v>40158</v>
      </c>
      <c r="B3305" s="64">
        <f>IFERROR(__xludf.DUMMYFUNCTION("""COMPUTED_VALUE"""),44614.0)</f>
        <v>44614</v>
      </c>
      <c r="C3305" s="5"/>
      <c r="D3305" s="5"/>
      <c r="E3305" s="5"/>
      <c r="F3305" s="22">
        <f>IFERROR(__xludf.DUMMYFUNCTION("""COMPUTED_VALUE"""),369042.8734185)</f>
        <v>369042.8734</v>
      </c>
      <c r="G3305" s="22">
        <f>IFERROR(__xludf.DUMMYFUNCTION("""COMPUTED_VALUE"""),0.0)</f>
        <v>0</v>
      </c>
      <c r="H3305" s="22">
        <f>IFERROR(__xludf.DUMMYFUNCTION("""COMPUTED_VALUE"""),494376.4150942)</f>
        <v>494376.4151</v>
      </c>
      <c r="I3305" s="24">
        <f>IFERROR(__xludf.DUMMYFUNCTION("""COMPUTED_VALUE"""),-0.01124716981160001)</f>
        <v>-0.01124716981</v>
      </c>
    </row>
    <row r="3306">
      <c r="A3306" s="5" t="str">
        <f>IFERROR(__xludf.DUMMYFUNCTION("""COMPUTED_VALUE"""),"40158")</f>
        <v>40158</v>
      </c>
      <c r="B3306" s="64">
        <f>IFERROR(__xludf.DUMMYFUNCTION("""COMPUTED_VALUE"""),44615.0)</f>
        <v>44615</v>
      </c>
      <c r="C3306" s="5"/>
      <c r="D3306" s="5"/>
      <c r="E3306" s="5"/>
      <c r="F3306" s="22">
        <f>IFERROR(__xludf.DUMMYFUNCTION("""COMPUTED_VALUE"""),369042.8734185)</f>
        <v>369042.8734</v>
      </c>
      <c r="G3306" s="22">
        <f>IFERROR(__xludf.DUMMYFUNCTION("""COMPUTED_VALUE"""),0.0)</f>
        <v>0</v>
      </c>
      <c r="H3306" s="22">
        <f>IFERROR(__xludf.DUMMYFUNCTION("""COMPUTED_VALUE"""),491049.8883661)</f>
        <v>491049.8884</v>
      </c>
      <c r="I3306" s="24">
        <f>IFERROR(__xludf.DUMMYFUNCTION("""COMPUTED_VALUE"""),-0.017900223267799942)</f>
        <v>-0.01790022327</v>
      </c>
    </row>
    <row r="3307">
      <c r="A3307" s="5" t="str">
        <f>IFERROR(__xludf.DUMMYFUNCTION("""COMPUTED_VALUE"""),"40158")</f>
        <v>40158</v>
      </c>
      <c r="B3307" s="64">
        <f>IFERROR(__xludf.DUMMYFUNCTION("""COMPUTED_VALUE"""),44616.0)</f>
        <v>44616</v>
      </c>
      <c r="C3307" s="5"/>
      <c r="D3307" s="5"/>
      <c r="E3307" s="5"/>
      <c r="F3307" s="22">
        <f>IFERROR(__xludf.DUMMYFUNCTION("""COMPUTED_VALUE"""),369042.8734185)</f>
        <v>369042.8734</v>
      </c>
      <c r="G3307" s="22">
        <f>IFERROR(__xludf.DUMMYFUNCTION("""COMPUTED_VALUE"""),0.0)</f>
        <v>0</v>
      </c>
      <c r="H3307" s="22">
        <f>IFERROR(__xludf.DUMMYFUNCTION("""COMPUTED_VALUE"""),489445.7573298)</f>
        <v>489445.7573</v>
      </c>
      <c r="I3307" s="24">
        <f>IFERROR(__xludf.DUMMYFUNCTION("""COMPUTED_VALUE"""),-0.021108485340399996)</f>
        <v>-0.02110848534</v>
      </c>
    </row>
    <row r="3308">
      <c r="A3308" s="5" t="str">
        <f>IFERROR(__xludf.DUMMYFUNCTION("""COMPUTED_VALUE"""),"40158")</f>
        <v>40158</v>
      </c>
      <c r="B3308" s="64">
        <f>IFERROR(__xludf.DUMMYFUNCTION("""COMPUTED_VALUE"""),44617.0)</f>
        <v>44617</v>
      </c>
      <c r="C3308" s="5"/>
      <c r="D3308" s="5"/>
      <c r="E3308" s="5"/>
      <c r="F3308" s="22">
        <f>IFERROR(__xludf.DUMMYFUNCTION("""COMPUTED_VALUE"""),369042.8734185)</f>
        <v>369042.8734</v>
      </c>
      <c r="G3308" s="22">
        <f>IFERROR(__xludf.DUMMYFUNCTION("""COMPUTED_VALUE"""),0.0)</f>
        <v>0</v>
      </c>
      <c r="H3308" s="22">
        <f>IFERROR(__xludf.DUMMYFUNCTION("""COMPUTED_VALUE"""),491568.3890088)</f>
        <v>491568.389</v>
      </c>
      <c r="I3308" s="24">
        <f>IFERROR(__xludf.DUMMYFUNCTION("""COMPUTED_VALUE"""),-0.01686322198240009)</f>
        <v>-0.01686322198</v>
      </c>
    </row>
    <row r="3309">
      <c r="A3309" s="5" t="str">
        <f>IFERROR(__xludf.DUMMYFUNCTION("""COMPUTED_VALUE"""),"40158")</f>
        <v>40158</v>
      </c>
      <c r="B3309" s="64">
        <f>IFERROR(__xludf.DUMMYFUNCTION("""COMPUTED_VALUE"""),44618.0)</f>
        <v>44618</v>
      </c>
      <c r="C3309" s="5"/>
      <c r="D3309" s="5"/>
      <c r="E3309" s="5"/>
      <c r="F3309" s="22">
        <f>IFERROR(__xludf.DUMMYFUNCTION("""COMPUTED_VALUE"""),369042.8734185)</f>
        <v>369042.8734</v>
      </c>
      <c r="G3309" s="22">
        <f>IFERROR(__xludf.DUMMYFUNCTION("""COMPUTED_VALUE"""),0.0)</f>
        <v>0</v>
      </c>
      <c r="H3309" s="22">
        <f>IFERROR(__xludf.DUMMYFUNCTION("""COMPUTED_VALUE"""),491568.3890088)</f>
        <v>491568.389</v>
      </c>
      <c r="I3309" s="24">
        <f>IFERROR(__xludf.DUMMYFUNCTION("""COMPUTED_VALUE"""),-0.01686322198240009)</f>
        <v>-0.01686322198</v>
      </c>
    </row>
    <row r="3310">
      <c r="A3310" s="5" t="str">
        <f>IFERROR(__xludf.DUMMYFUNCTION("""COMPUTED_VALUE"""),"40158")</f>
        <v>40158</v>
      </c>
      <c r="B3310" s="64">
        <f>IFERROR(__xludf.DUMMYFUNCTION("""COMPUTED_VALUE"""),44619.0)</f>
        <v>44619</v>
      </c>
      <c r="C3310" s="5"/>
      <c r="D3310" s="5"/>
      <c r="E3310" s="5"/>
      <c r="F3310" s="22">
        <f>IFERROR(__xludf.DUMMYFUNCTION("""COMPUTED_VALUE"""),369042.8734185)</f>
        <v>369042.8734</v>
      </c>
      <c r="G3310" s="22">
        <f>IFERROR(__xludf.DUMMYFUNCTION("""COMPUTED_VALUE"""),0.0)</f>
        <v>0</v>
      </c>
      <c r="H3310" s="22">
        <f>IFERROR(__xludf.DUMMYFUNCTION("""COMPUTED_VALUE"""),491568.3890088)</f>
        <v>491568.389</v>
      </c>
      <c r="I3310" s="24">
        <f>IFERROR(__xludf.DUMMYFUNCTION("""COMPUTED_VALUE"""),-0.01686322198240009)</f>
        <v>-0.01686322198</v>
      </c>
    </row>
    <row r="3311">
      <c r="A3311" s="5" t="str">
        <f>IFERROR(__xludf.DUMMYFUNCTION("""COMPUTED_VALUE"""),"40158")</f>
        <v>40158</v>
      </c>
      <c r="B3311" s="64">
        <f>IFERROR(__xludf.DUMMYFUNCTION("""COMPUTED_VALUE"""),44620.0)</f>
        <v>44620</v>
      </c>
      <c r="C3311" s="5"/>
      <c r="D3311" s="5"/>
      <c r="E3311" s="5"/>
      <c r="F3311" s="22">
        <f>IFERROR(__xludf.DUMMYFUNCTION("""COMPUTED_VALUE"""),369042.8734185)</f>
        <v>369042.8734</v>
      </c>
      <c r="G3311" s="22">
        <f>IFERROR(__xludf.DUMMYFUNCTION("""COMPUTED_VALUE"""),0.0)</f>
        <v>0</v>
      </c>
      <c r="H3311" s="22">
        <f>IFERROR(__xludf.DUMMYFUNCTION("""COMPUTED_VALUE"""),493836.6754352)</f>
        <v>493836.6754</v>
      </c>
      <c r="I3311" s="24">
        <f>IFERROR(__xludf.DUMMYFUNCTION("""COMPUTED_VALUE"""),-0.01232664912960002)</f>
        <v>-0.01232664913</v>
      </c>
    </row>
    <row r="3312">
      <c r="A3312" s="5" t="str">
        <f>IFERROR(__xludf.DUMMYFUNCTION("""COMPUTED_VALUE"""),"40158")</f>
        <v>40158</v>
      </c>
      <c r="B3312" s="64">
        <f>IFERROR(__xludf.DUMMYFUNCTION("""COMPUTED_VALUE"""),44621.0)</f>
        <v>44621</v>
      </c>
      <c r="C3312" s="5"/>
      <c r="D3312" s="5"/>
      <c r="E3312" s="5"/>
      <c r="F3312" s="22">
        <f>IFERROR(__xludf.DUMMYFUNCTION("""COMPUTED_VALUE"""),369042.8734185)</f>
        <v>369042.8734</v>
      </c>
      <c r="G3312" s="22">
        <f>IFERROR(__xludf.DUMMYFUNCTION("""COMPUTED_VALUE"""),0.0)</f>
        <v>0</v>
      </c>
      <c r="H3312" s="22">
        <f>IFERROR(__xludf.DUMMYFUNCTION("""COMPUTED_VALUE"""),494542.8996138)</f>
        <v>494542.8996</v>
      </c>
      <c r="I3312" s="24">
        <f>IFERROR(__xludf.DUMMYFUNCTION("""COMPUTED_VALUE"""),-0.010914200772400018)</f>
        <v>-0.01091420077</v>
      </c>
    </row>
    <row r="3313">
      <c r="A3313" s="5" t="str">
        <f>IFERROR(__xludf.DUMMYFUNCTION("""COMPUTED_VALUE"""),"40158")</f>
        <v>40158</v>
      </c>
      <c r="B3313" s="64">
        <f>IFERROR(__xludf.DUMMYFUNCTION("""COMPUTED_VALUE"""),44622.0)</f>
        <v>44622</v>
      </c>
      <c r="C3313" s="5"/>
      <c r="D3313" s="5"/>
      <c r="E3313" s="5"/>
      <c r="F3313" s="22">
        <f>IFERROR(__xludf.DUMMYFUNCTION("""COMPUTED_VALUE"""),369042.8734185)</f>
        <v>369042.8734</v>
      </c>
      <c r="G3313" s="22">
        <f>IFERROR(__xludf.DUMMYFUNCTION("""COMPUTED_VALUE"""),0.0)</f>
        <v>0</v>
      </c>
      <c r="H3313" s="22">
        <f>IFERROR(__xludf.DUMMYFUNCTION("""COMPUTED_VALUE"""),491946.2532026)</f>
        <v>491946.2532</v>
      </c>
      <c r="I3313" s="24">
        <f>IFERROR(__xludf.DUMMYFUNCTION("""COMPUTED_VALUE"""),-0.016107493594800015)</f>
        <v>-0.01610749359</v>
      </c>
    </row>
    <row r="3314">
      <c r="A3314" s="5" t="str">
        <f>IFERROR(__xludf.DUMMYFUNCTION("""COMPUTED_VALUE"""),"40158")</f>
        <v>40158</v>
      </c>
      <c r="B3314" s="64">
        <f>IFERROR(__xludf.DUMMYFUNCTION("""COMPUTED_VALUE"""),44623.0)</f>
        <v>44623</v>
      </c>
      <c r="C3314" s="5"/>
      <c r="D3314" s="5"/>
      <c r="E3314" s="5"/>
      <c r="F3314" s="22">
        <f>IFERROR(__xludf.DUMMYFUNCTION("""COMPUTED_VALUE"""),369042.8734185)</f>
        <v>369042.8734</v>
      </c>
      <c r="G3314" s="22">
        <f>IFERROR(__xludf.DUMMYFUNCTION("""COMPUTED_VALUE"""),0.0)</f>
        <v>0</v>
      </c>
      <c r="H3314" s="22">
        <f>IFERROR(__xludf.DUMMYFUNCTION("""COMPUTED_VALUE"""),490258.4887886)</f>
        <v>490258.4888</v>
      </c>
      <c r="I3314" s="24">
        <f>IFERROR(__xludf.DUMMYFUNCTION("""COMPUTED_VALUE"""),-0.019483022422799978)</f>
        <v>-0.01948302242</v>
      </c>
    </row>
    <row r="3315">
      <c r="A3315" s="5" t="str">
        <f>IFERROR(__xludf.DUMMYFUNCTION("""COMPUTED_VALUE"""),"40158")</f>
        <v>40158</v>
      </c>
      <c r="B3315" s="64">
        <f>IFERROR(__xludf.DUMMYFUNCTION("""COMPUTED_VALUE"""),44624.0)</f>
        <v>44624</v>
      </c>
      <c r="C3315" s="5"/>
      <c r="D3315" s="5"/>
      <c r="E3315" s="5"/>
      <c r="F3315" s="22">
        <f>IFERROR(__xludf.DUMMYFUNCTION("""COMPUTED_VALUE"""),369042.8734185)</f>
        <v>369042.8734</v>
      </c>
      <c r="G3315" s="22">
        <f>IFERROR(__xludf.DUMMYFUNCTION("""COMPUTED_VALUE"""),0.0)</f>
        <v>0</v>
      </c>
      <c r="H3315" s="22">
        <f>IFERROR(__xludf.DUMMYFUNCTION("""COMPUTED_VALUE"""),488868.3940986)</f>
        <v>488868.3941</v>
      </c>
      <c r="I3315" s="24">
        <f>IFERROR(__xludf.DUMMYFUNCTION("""COMPUTED_VALUE"""),-0.022263211802799998)</f>
        <v>-0.0222632118</v>
      </c>
    </row>
    <row r="3316">
      <c r="A3316" s="5" t="str">
        <f>IFERROR(__xludf.DUMMYFUNCTION("""COMPUTED_VALUE"""),"40158")</f>
        <v>40158</v>
      </c>
      <c r="B3316" s="64">
        <f>IFERROR(__xludf.DUMMYFUNCTION("""COMPUTED_VALUE"""),44625.0)</f>
        <v>44625</v>
      </c>
      <c r="C3316" s="5"/>
      <c r="D3316" s="5"/>
      <c r="E3316" s="5"/>
      <c r="F3316" s="22">
        <f>IFERROR(__xludf.DUMMYFUNCTION("""COMPUTED_VALUE"""),369042.8734185)</f>
        <v>369042.8734</v>
      </c>
      <c r="G3316" s="22">
        <f>IFERROR(__xludf.DUMMYFUNCTION("""COMPUTED_VALUE"""),0.0)</f>
        <v>0</v>
      </c>
      <c r="H3316" s="22">
        <f>IFERROR(__xludf.DUMMYFUNCTION("""COMPUTED_VALUE"""),488868.3940986)</f>
        <v>488868.3941</v>
      </c>
      <c r="I3316" s="24">
        <f>IFERROR(__xludf.DUMMYFUNCTION("""COMPUTED_VALUE"""),-0.022263211802799998)</f>
        <v>-0.0222632118</v>
      </c>
    </row>
    <row r="3317">
      <c r="A3317" s="5" t="str">
        <f>IFERROR(__xludf.DUMMYFUNCTION("""COMPUTED_VALUE"""),"40158")</f>
        <v>40158</v>
      </c>
      <c r="B3317" s="64">
        <f>IFERROR(__xludf.DUMMYFUNCTION("""COMPUTED_VALUE"""),44626.0)</f>
        <v>44626</v>
      </c>
      <c r="C3317" s="5"/>
      <c r="D3317" s="5"/>
      <c r="E3317" s="5"/>
      <c r="F3317" s="22">
        <f>IFERROR(__xludf.DUMMYFUNCTION("""COMPUTED_VALUE"""),369042.8734185)</f>
        <v>369042.8734</v>
      </c>
      <c r="G3317" s="22">
        <f>IFERROR(__xludf.DUMMYFUNCTION("""COMPUTED_VALUE"""),0.0)</f>
        <v>0</v>
      </c>
      <c r="H3317" s="22">
        <f>IFERROR(__xludf.DUMMYFUNCTION("""COMPUTED_VALUE"""),488868.3940986)</f>
        <v>488868.3941</v>
      </c>
      <c r="I3317" s="24">
        <f>IFERROR(__xludf.DUMMYFUNCTION("""COMPUTED_VALUE"""),-0.022263211802799998)</f>
        <v>-0.0222632118</v>
      </c>
    </row>
    <row r="3318">
      <c r="A3318" s="5" t="str">
        <f>IFERROR(__xludf.DUMMYFUNCTION("""COMPUTED_VALUE"""),"40158")</f>
        <v>40158</v>
      </c>
      <c r="B3318" s="64">
        <f>IFERROR(__xludf.DUMMYFUNCTION("""COMPUTED_VALUE"""),44627.0)</f>
        <v>44627</v>
      </c>
      <c r="C3318" s="5"/>
      <c r="D3318" s="5"/>
      <c r="E3318" s="5"/>
      <c r="F3318" s="22">
        <f>IFERROR(__xludf.DUMMYFUNCTION("""COMPUTED_VALUE"""),369042.8734185)</f>
        <v>369042.8734</v>
      </c>
      <c r="G3318" s="22">
        <f>IFERROR(__xludf.DUMMYFUNCTION("""COMPUTED_VALUE"""),0.0)</f>
        <v>0</v>
      </c>
      <c r="H3318" s="22">
        <f>IFERROR(__xludf.DUMMYFUNCTION("""COMPUTED_VALUE"""),483614.5450987)</f>
        <v>483614.5451</v>
      </c>
      <c r="I3318" s="24">
        <f>IFERROR(__xludf.DUMMYFUNCTION("""COMPUTED_VALUE"""),-0.0327709098026)</f>
        <v>-0.0327709098</v>
      </c>
    </row>
    <row r="3319">
      <c r="A3319" s="5" t="str">
        <f>IFERROR(__xludf.DUMMYFUNCTION("""COMPUTED_VALUE"""),"40158")</f>
        <v>40158</v>
      </c>
      <c r="B3319" s="64">
        <f>IFERROR(__xludf.DUMMYFUNCTION("""COMPUTED_VALUE"""),44628.0)</f>
        <v>44628</v>
      </c>
      <c r="C3319" s="5"/>
      <c r="D3319" s="5"/>
      <c r="E3319" s="5"/>
      <c r="F3319" s="22">
        <f>IFERROR(__xludf.DUMMYFUNCTION("""COMPUTED_VALUE"""),369042.8734185)</f>
        <v>369042.8734</v>
      </c>
      <c r="G3319" s="22">
        <f>IFERROR(__xludf.DUMMYFUNCTION("""COMPUTED_VALUE"""),0.0)</f>
        <v>0</v>
      </c>
      <c r="H3319" s="22">
        <f>IFERROR(__xludf.DUMMYFUNCTION("""COMPUTED_VALUE"""),481572.6158545)</f>
        <v>481572.6159</v>
      </c>
      <c r="I3319" s="24">
        <f>IFERROR(__xludf.DUMMYFUNCTION("""COMPUTED_VALUE"""),-0.036854768291000095)</f>
        <v>-0.03685476829</v>
      </c>
    </row>
    <row r="3320">
      <c r="A3320" s="5" t="str">
        <f>IFERROR(__xludf.DUMMYFUNCTION("""COMPUTED_VALUE"""),"40158")</f>
        <v>40158</v>
      </c>
      <c r="B3320" s="64">
        <f>IFERROR(__xludf.DUMMYFUNCTION("""COMPUTED_VALUE"""),44629.0)</f>
        <v>44629</v>
      </c>
      <c r="C3320" s="5"/>
      <c r="D3320" s="5"/>
      <c r="E3320" s="5"/>
      <c r="F3320" s="22">
        <f>IFERROR(__xludf.DUMMYFUNCTION("""COMPUTED_VALUE"""),369042.8734185)</f>
        <v>369042.8734</v>
      </c>
      <c r="G3320" s="22">
        <f>IFERROR(__xludf.DUMMYFUNCTION("""COMPUTED_VALUE"""),0.0)</f>
        <v>0</v>
      </c>
      <c r="H3320" s="22">
        <f>IFERROR(__xludf.DUMMYFUNCTION("""COMPUTED_VALUE"""),477711.0582878)</f>
        <v>477711.0583</v>
      </c>
      <c r="I3320" s="24">
        <f>IFERROR(__xludf.DUMMYFUNCTION("""COMPUTED_VALUE"""),-0.044577883424400055)</f>
        <v>-0.04457788342</v>
      </c>
    </row>
    <row r="3321">
      <c r="A3321" s="5" t="str">
        <f>IFERROR(__xludf.DUMMYFUNCTION("""COMPUTED_VALUE"""),"40158")</f>
        <v>40158</v>
      </c>
      <c r="B3321" s="64">
        <f>IFERROR(__xludf.DUMMYFUNCTION("""COMPUTED_VALUE"""),44630.0)</f>
        <v>44630</v>
      </c>
      <c r="C3321" s="5"/>
      <c r="D3321" s="5"/>
      <c r="E3321" s="5"/>
      <c r="F3321" s="22">
        <f>IFERROR(__xludf.DUMMYFUNCTION("""COMPUTED_VALUE"""),369042.8734185)</f>
        <v>369042.8734</v>
      </c>
      <c r="G3321" s="22">
        <f>IFERROR(__xludf.DUMMYFUNCTION("""COMPUTED_VALUE"""),0.0)</f>
        <v>0</v>
      </c>
      <c r="H3321" s="22">
        <f>IFERROR(__xludf.DUMMYFUNCTION("""COMPUTED_VALUE"""),480220.90828780003)</f>
        <v>480220.9083</v>
      </c>
      <c r="I3321" s="24">
        <f>IFERROR(__xludf.DUMMYFUNCTION("""COMPUTED_VALUE"""),-0.039558183424399984)</f>
        <v>-0.03955818342</v>
      </c>
    </row>
    <row r="3322">
      <c r="A3322" s="5" t="str">
        <f>IFERROR(__xludf.DUMMYFUNCTION("""COMPUTED_VALUE"""),"40158")</f>
        <v>40158</v>
      </c>
      <c r="B3322" s="64">
        <f>IFERROR(__xludf.DUMMYFUNCTION("""COMPUTED_VALUE"""),44631.0)</f>
        <v>44631</v>
      </c>
      <c r="C3322" s="5"/>
      <c r="D3322" s="5"/>
      <c r="E3322" s="5"/>
      <c r="F3322" s="22">
        <f>IFERROR(__xludf.DUMMYFUNCTION("""COMPUTED_VALUE"""),369042.8734185)</f>
        <v>369042.8734</v>
      </c>
      <c r="G3322" s="22">
        <f>IFERROR(__xludf.DUMMYFUNCTION("""COMPUTED_VALUE"""),0.0)</f>
        <v>0</v>
      </c>
      <c r="H3322" s="22">
        <f>IFERROR(__xludf.DUMMYFUNCTION("""COMPUTED_VALUE"""),475440.98011)</f>
        <v>475440.9801</v>
      </c>
      <c r="I3322" s="24">
        <f>IFERROR(__xludf.DUMMYFUNCTION("""COMPUTED_VALUE"""),-0.049118039779999956)</f>
        <v>-0.04911803978</v>
      </c>
    </row>
    <row r="3323">
      <c r="A3323" s="5" t="str">
        <f>IFERROR(__xludf.DUMMYFUNCTION("""COMPUTED_VALUE"""),"40158")</f>
        <v>40158</v>
      </c>
      <c r="B3323" s="64">
        <f>IFERROR(__xludf.DUMMYFUNCTION("""COMPUTED_VALUE"""),44632.0)</f>
        <v>44632</v>
      </c>
      <c r="C3323" s="5"/>
      <c r="D3323" s="5"/>
      <c r="E3323" s="5"/>
      <c r="F3323" s="22">
        <f>IFERROR(__xludf.DUMMYFUNCTION("""COMPUTED_VALUE"""),369042.8734185)</f>
        <v>369042.8734</v>
      </c>
      <c r="G3323" s="22">
        <f>IFERROR(__xludf.DUMMYFUNCTION("""COMPUTED_VALUE"""),0.0)</f>
        <v>0</v>
      </c>
      <c r="H3323" s="22">
        <f>IFERROR(__xludf.DUMMYFUNCTION("""COMPUTED_VALUE"""),475440.98011)</f>
        <v>475440.9801</v>
      </c>
      <c r="I3323" s="24">
        <f>IFERROR(__xludf.DUMMYFUNCTION("""COMPUTED_VALUE"""),-0.049118039779999956)</f>
        <v>-0.04911803978</v>
      </c>
    </row>
    <row r="3324">
      <c r="A3324" s="5" t="str">
        <f>IFERROR(__xludf.DUMMYFUNCTION("""COMPUTED_VALUE"""),"40158")</f>
        <v>40158</v>
      </c>
      <c r="B3324" s="64">
        <f>IFERROR(__xludf.DUMMYFUNCTION("""COMPUTED_VALUE"""),44633.0)</f>
        <v>44633</v>
      </c>
      <c r="C3324" s="5"/>
      <c r="D3324" s="5"/>
      <c r="E3324" s="5"/>
      <c r="F3324" s="22">
        <f>IFERROR(__xludf.DUMMYFUNCTION("""COMPUTED_VALUE"""),369042.8734185)</f>
        <v>369042.8734</v>
      </c>
      <c r="G3324" s="22">
        <f>IFERROR(__xludf.DUMMYFUNCTION("""COMPUTED_VALUE"""),0.0)</f>
        <v>0</v>
      </c>
      <c r="H3324" s="22">
        <f>IFERROR(__xludf.DUMMYFUNCTION("""COMPUTED_VALUE"""),475440.98011)</f>
        <v>475440.9801</v>
      </c>
      <c r="I3324" s="24">
        <f>IFERROR(__xludf.DUMMYFUNCTION("""COMPUTED_VALUE"""),-0.049118039779999956)</f>
        <v>-0.04911803978</v>
      </c>
    </row>
    <row r="3325">
      <c r="A3325" s="5" t="str">
        <f>IFERROR(__xludf.DUMMYFUNCTION("""COMPUTED_VALUE"""),"40158")</f>
        <v>40158</v>
      </c>
      <c r="B3325" s="64">
        <f>IFERROR(__xludf.DUMMYFUNCTION("""COMPUTED_VALUE"""),44634.0)</f>
        <v>44634</v>
      </c>
      <c r="C3325" s="5"/>
      <c r="D3325" s="5"/>
      <c r="E3325" s="5"/>
      <c r="F3325" s="22">
        <f>IFERROR(__xludf.DUMMYFUNCTION("""COMPUTED_VALUE"""),369042.8734185)</f>
        <v>369042.8734</v>
      </c>
      <c r="G3325" s="22">
        <f>IFERROR(__xludf.DUMMYFUNCTION("""COMPUTED_VALUE"""),0.0)</f>
        <v>0</v>
      </c>
      <c r="H3325" s="22">
        <f>IFERROR(__xludf.DUMMYFUNCTION("""COMPUTED_VALUE"""),466131.11999379995)</f>
        <v>466131.12</v>
      </c>
      <c r="I3325" s="24">
        <f>IFERROR(__xludf.DUMMYFUNCTION("""COMPUTED_VALUE"""),-0.06773776001240006)</f>
        <v>-0.06773776001</v>
      </c>
    </row>
    <row r="3326">
      <c r="A3326" s="5" t="str">
        <f>IFERROR(__xludf.DUMMYFUNCTION("""COMPUTED_VALUE"""),"40158")</f>
        <v>40158</v>
      </c>
      <c r="B3326" s="64">
        <f>IFERROR(__xludf.DUMMYFUNCTION("""COMPUTED_VALUE"""),44635.0)</f>
        <v>44635</v>
      </c>
      <c r="C3326" s="5"/>
      <c r="D3326" s="5"/>
      <c r="E3326" s="5"/>
      <c r="F3326" s="22">
        <f>IFERROR(__xludf.DUMMYFUNCTION("""COMPUTED_VALUE"""),369042.8734185)</f>
        <v>369042.8734</v>
      </c>
      <c r="G3326" s="22">
        <f>IFERROR(__xludf.DUMMYFUNCTION("""COMPUTED_VALUE"""),0.0)</f>
        <v>0</v>
      </c>
      <c r="H3326" s="22">
        <f>IFERROR(__xludf.DUMMYFUNCTION("""COMPUTED_VALUE"""),468464.9173826)</f>
        <v>468464.9174</v>
      </c>
      <c r="I3326" s="24">
        <f>IFERROR(__xludf.DUMMYFUNCTION("""COMPUTED_VALUE"""),-0.06307016523479991)</f>
        <v>-0.06307016523</v>
      </c>
    </row>
    <row r="3327">
      <c r="A3327" s="5" t="str">
        <f>IFERROR(__xludf.DUMMYFUNCTION("""COMPUTED_VALUE"""),"40158")</f>
        <v>40158</v>
      </c>
      <c r="B3327" s="64">
        <f>IFERROR(__xludf.DUMMYFUNCTION("""COMPUTED_VALUE"""),44636.0)</f>
        <v>44636</v>
      </c>
      <c r="C3327" s="5"/>
      <c r="D3327" s="5"/>
      <c r="E3327" s="5"/>
      <c r="F3327" s="22">
        <f>IFERROR(__xludf.DUMMYFUNCTION("""COMPUTED_VALUE"""),369042.8734185)</f>
        <v>369042.8734</v>
      </c>
      <c r="G3327" s="22">
        <f>IFERROR(__xludf.DUMMYFUNCTION("""COMPUTED_VALUE"""),0.0)</f>
        <v>0</v>
      </c>
      <c r="H3327" s="22">
        <f>IFERROR(__xludf.DUMMYFUNCTION("""COMPUTED_VALUE"""),479025.82579719997)</f>
        <v>479025.8258</v>
      </c>
      <c r="I3327" s="24">
        <f>IFERROR(__xludf.DUMMYFUNCTION("""COMPUTED_VALUE"""),-0.04194834840560002)</f>
        <v>-0.04194834841</v>
      </c>
    </row>
    <row r="3328">
      <c r="A3328" s="5" t="str">
        <f>IFERROR(__xludf.DUMMYFUNCTION("""COMPUTED_VALUE"""),"40158")</f>
        <v>40158</v>
      </c>
      <c r="B3328" s="64">
        <f>IFERROR(__xludf.DUMMYFUNCTION("""COMPUTED_VALUE"""),44637.0)</f>
        <v>44637</v>
      </c>
      <c r="C3328" s="5"/>
      <c r="D3328" s="5"/>
      <c r="E3328" s="5"/>
      <c r="F3328" s="22">
        <f>IFERROR(__xludf.DUMMYFUNCTION("""COMPUTED_VALUE"""),369042.8734185)</f>
        <v>369042.8734</v>
      </c>
      <c r="G3328" s="22">
        <f>IFERROR(__xludf.DUMMYFUNCTION("""COMPUTED_VALUE"""),0.0)</f>
        <v>0</v>
      </c>
      <c r="H3328" s="22">
        <f>IFERROR(__xludf.DUMMYFUNCTION("""COMPUTED_VALUE"""),483710.6252225)</f>
        <v>483710.6252</v>
      </c>
      <c r="I3328" s="24">
        <f>IFERROR(__xludf.DUMMYFUNCTION("""COMPUTED_VALUE"""),-0.03257874955499995)</f>
        <v>-0.03257874956</v>
      </c>
    </row>
    <row r="3329">
      <c r="A3329" s="5" t="str">
        <f>IFERROR(__xludf.DUMMYFUNCTION("""COMPUTED_VALUE"""),"40158")</f>
        <v>40158</v>
      </c>
      <c r="B3329" s="64">
        <f>IFERROR(__xludf.DUMMYFUNCTION("""COMPUTED_VALUE"""),44638.0)</f>
        <v>44638</v>
      </c>
      <c r="C3329" s="5"/>
      <c r="D3329" s="5"/>
      <c r="E3329" s="5"/>
      <c r="F3329" s="22">
        <f>IFERROR(__xludf.DUMMYFUNCTION("""COMPUTED_VALUE"""),369042.8734185)</f>
        <v>369042.8734</v>
      </c>
      <c r="G3329" s="22">
        <f>IFERROR(__xludf.DUMMYFUNCTION("""COMPUTED_VALUE"""),0.0)</f>
        <v>0</v>
      </c>
      <c r="H3329" s="22">
        <f>IFERROR(__xludf.DUMMYFUNCTION("""COMPUTED_VALUE"""),482675.9177976)</f>
        <v>482675.9178</v>
      </c>
      <c r="I3329" s="24">
        <f>IFERROR(__xludf.DUMMYFUNCTION("""COMPUTED_VALUE"""),-0.03464816440480001)</f>
        <v>-0.0346481644</v>
      </c>
    </row>
    <row r="3330">
      <c r="A3330" s="5" t="str">
        <f>IFERROR(__xludf.DUMMYFUNCTION("""COMPUTED_VALUE"""),"40158")</f>
        <v>40158</v>
      </c>
      <c r="B3330" s="64">
        <f>IFERROR(__xludf.DUMMYFUNCTION("""COMPUTED_VALUE"""),44639.0)</f>
        <v>44639</v>
      </c>
      <c r="C3330" s="5"/>
      <c r="D3330" s="5"/>
      <c r="E3330" s="5"/>
      <c r="F3330" s="22">
        <f>IFERROR(__xludf.DUMMYFUNCTION("""COMPUTED_VALUE"""),369042.8734185)</f>
        <v>369042.8734</v>
      </c>
      <c r="G3330" s="22">
        <f>IFERROR(__xludf.DUMMYFUNCTION("""COMPUTED_VALUE"""),0.0)</f>
        <v>0</v>
      </c>
      <c r="H3330" s="22">
        <f>IFERROR(__xludf.DUMMYFUNCTION("""COMPUTED_VALUE"""),482675.9177976)</f>
        <v>482675.9178</v>
      </c>
      <c r="I3330" s="24">
        <f>IFERROR(__xludf.DUMMYFUNCTION("""COMPUTED_VALUE"""),-0.03464816440480001)</f>
        <v>-0.0346481644</v>
      </c>
    </row>
    <row r="3331">
      <c r="A3331" s="5" t="str">
        <f>IFERROR(__xludf.DUMMYFUNCTION("""COMPUTED_VALUE"""),"40158")</f>
        <v>40158</v>
      </c>
      <c r="B3331" s="64">
        <f>IFERROR(__xludf.DUMMYFUNCTION("""COMPUTED_VALUE"""),44640.0)</f>
        <v>44640</v>
      </c>
      <c r="C3331" s="5"/>
      <c r="D3331" s="5"/>
      <c r="E3331" s="5"/>
      <c r="F3331" s="22">
        <f>IFERROR(__xludf.DUMMYFUNCTION("""COMPUTED_VALUE"""),369042.8734185)</f>
        <v>369042.8734</v>
      </c>
      <c r="G3331" s="22">
        <f>IFERROR(__xludf.DUMMYFUNCTION("""COMPUTED_VALUE"""),0.0)</f>
        <v>0</v>
      </c>
      <c r="H3331" s="22">
        <f>IFERROR(__xludf.DUMMYFUNCTION("""COMPUTED_VALUE"""),482675.9177976)</f>
        <v>482675.9178</v>
      </c>
      <c r="I3331" s="24">
        <f>IFERROR(__xludf.DUMMYFUNCTION("""COMPUTED_VALUE"""),-0.03464816440480001)</f>
        <v>-0.0346481644</v>
      </c>
    </row>
    <row r="3332">
      <c r="A3332" s="5" t="str">
        <f>IFERROR(__xludf.DUMMYFUNCTION("""COMPUTED_VALUE"""),"40158")</f>
        <v>40158</v>
      </c>
      <c r="B3332" s="64">
        <f>IFERROR(__xludf.DUMMYFUNCTION("""COMPUTED_VALUE"""),44641.0)</f>
        <v>44641</v>
      </c>
      <c r="C3332" s="5"/>
      <c r="D3332" s="5"/>
      <c r="E3332" s="5"/>
      <c r="F3332" s="22">
        <f>IFERROR(__xludf.DUMMYFUNCTION("""COMPUTED_VALUE"""),369042.8734185)</f>
        <v>369042.8734</v>
      </c>
      <c r="G3332" s="22">
        <f>IFERROR(__xludf.DUMMYFUNCTION("""COMPUTED_VALUE"""),0.0)</f>
        <v>0</v>
      </c>
      <c r="H3332" s="22">
        <f>IFERROR(__xludf.DUMMYFUNCTION("""COMPUTED_VALUE"""),483201.7700589)</f>
        <v>483201.7701</v>
      </c>
      <c r="I3332" s="24">
        <f>IFERROR(__xludf.DUMMYFUNCTION("""COMPUTED_VALUE"""),-0.03359645988219995)</f>
        <v>-0.03359645988</v>
      </c>
    </row>
    <row r="3333">
      <c r="A3333" s="5" t="str">
        <f>IFERROR(__xludf.DUMMYFUNCTION("""COMPUTED_VALUE"""),"40158")</f>
        <v>40158</v>
      </c>
      <c r="B3333" s="64">
        <f>IFERROR(__xludf.DUMMYFUNCTION("""COMPUTED_VALUE"""),44642.0)</f>
        <v>44642</v>
      </c>
      <c r="C3333" s="5"/>
      <c r="D3333" s="5"/>
      <c r="E3333" s="5"/>
      <c r="F3333" s="22">
        <f>IFERROR(__xludf.DUMMYFUNCTION("""COMPUTED_VALUE"""),369042.8734185)</f>
        <v>369042.8734</v>
      </c>
      <c r="G3333" s="22">
        <f>IFERROR(__xludf.DUMMYFUNCTION("""COMPUTED_VALUE"""),0.0)</f>
        <v>0</v>
      </c>
      <c r="H3333" s="22">
        <f>IFERROR(__xludf.DUMMYFUNCTION("""COMPUTED_VALUE"""),490073.6593847)</f>
        <v>490073.6594</v>
      </c>
      <c r="I3333" s="24">
        <f>IFERROR(__xludf.DUMMYFUNCTION("""COMPUTED_VALUE"""),-0.019852681230600022)</f>
        <v>-0.01985268123</v>
      </c>
    </row>
    <row r="3334">
      <c r="A3334" s="5" t="str">
        <f>IFERROR(__xludf.DUMMYFUNCTION("""COMPUTED_VALUE"""),"40158")</f>
        <v>40158</v>
      </c>
      <c r="B3334" s="64">
        <f>IFERROR(__xludf.DUMMYFUNCTION("""COMPUTED_VALUE"""),44643.0)</f>
        <v>44643</v>
      </c>
      <c r="C3334" s="5"/>
      <c r="D3334" s="5"/>
      <c r="E3334" s="5"/>
      <c r="F3334" s="22">
        <f>IFERROR(__xludf.DUMMYFUNCTION("""COMPUTED_VALUE"""),369042.8734185)</f>
        <v>369042.8734</v>
      </c>
      <c r="G3334" s="22">
        <f>IFERROR(__xludf.DUMMYFUNCTION("""COMPUTED_VALUE"""),0.0)</f>
        <v>0</v>
      </c>
      <c r="H3334" s="22">
        <f>IFERROR(__xludf.DUMMYFUNCTION("""COMPUTED_VALUE"""),485011.2161444)</f>
        <v>485011.2161</v>
      </c>
      <c r="I3334" s="24">
        <f>IFERROR(__xludf.DUMMYFUNCTION("""COMPUTED_VALUE"""),-0.02997756771119997)</f>
        <v>-0.02997756771</v>
      </c>
    </row>
    <row r="3335">
      <c r="A3335" s="5" t="str">
        <f>IFERROR(__xludf.DUMMYFUNCTION("""COMPUTED_VALUE"""),"40158")</f>
        <v>40158</v>
      </c>
      <c r="B3335" s="64">
        <f>IFERROR(__xludf.DUMMYFUNCTION("""COMPUTED_VALUE"""),44644.0)</f>
        <v>44644</v>
      </c>
      <c r="C3335" s="5"/>
      <c r="D3335" s="5"/>
      <c r="E3335" s="5"/>
      <c r="F3335" s="22">
        <f>IFERROR(__xludf.DUMMYFUNCTION("""COMPUTED_VALUE"""),369042.8734185)</f>
        <v>369042.8734</v>
      </c>
      <c r="G3335" s="22">
        <f>IFERROR(__xludf.DUMMYFUNCTION("""COMPUTED_VALUE"""),0.0)</f>
        <v>0</v>
      </c>
      <c r="H3335" s="22">
        <f>IFERROR(__xludf.DUMMYFUNCTION("""COMPUTED_VALUE"""),488010.84550329996)</f>
        <v>488010.8455</v>
      </c>
      <c r="I3335" s="24">
        <f>IFERROR(__xludf.DUMMYFUNCTION("""COMPUTED_VALUE"""),-0.023978308993400033)</f>
        <v>-0.02397830899</v>
      </c>
    </row>
    <row r="3336">
      <c r="A3336" s="5" t="str">
        <f>IFERROR(__xludf.DUMMYFUNCTION("""COMPUTED_VALUE"""),"40158")</f>
        <v>40158</v>
      </c>
      <c r="B3336" s="64">
        <f>IFERROR(__xludf.DUMMYFUNCTION("""COMPUTED_VALUE"""),44645.0)</f>
        <v>44645</v>
      </c>
      <c r="C3336" s="5"/>
      <c r="D3336" s="5"/>
      <c r="E3336" s="5"/>
      <c r="F3336" s="22">
        <f>IFERROR(__xludf.DUMMYFUNCTION("""COMPUTED_VALUE"""),369042.8734185)</f>
        <v>369042.8734</v>
      </c>
      <c r="G3336" s="22">
        <f>IFERROR(__xludf.DUMMYFUNCTION("""COMPUTED_VALUE"""),0.0)</f>
        <v>0</v>
      </c>
      <c r="H3336" s="22">
        <f>IFERROR(__xludf.DUMMYFUNCTION("""COMPUTED_VALUE"""),484737.2589201)</f>
        <v>484737.2589</v>
      </c>
      <c r="I3336" s="24">
        <f>IFERROR(__xludf.DUMMYFUNCTION("""COMPUTED_VALUE"""),-0.0305254821598)</f>
        <v>-0.03052548216</v>
      </c>
    </row>
    <row r="3337">
      <c r="A3337" s="5" t="str">
        <f>IFERROR(__xludf.DUMMYFUNCTION("""COMPUTED_VALUE"""),"40158")</f>
        <v>40158</v>
      </c>
      <c r="B3337" s="64">
        <f>IFERROR(__xludf.DUMMYFUNCTION("""COMPUTED_VALUE"""),44646.0)</f>
        <v>44646</v>
      </c>
      <c r="C3337" s="5"/>
      <c r="D3337" s="5"/>
      <c r="E3337" s="5"/>
      <c r="F3337" s="22">
        <f>IFERROR(__xludf.DUMMYFUNCTION("""COMPUTED_VALUE"""),369042.8734185)</f>
        <v>369042.8734</v>
      </c>
      <c r="G3337" s="22">
        <f>IFERROR(__xludf.DUMMYFUNCTION("""COMPUTED_VALUE"""),0.0)</f>
        <v>0</v>
      </c>
      <c r="H3337" s="22">
        <f>IFERROR(__xludf.DUMMYFUNCTION("""COMPUTED_VALUE"""),484737.2589201)</f>
        <v>484737.2589</v>
      </c>
      <c r="I3337" s="24">
        <f>IFERROR(__xludf.DUMMYFUNCTION("""COMPUTED_VALUE"""),-0.0305254821598)</f>
        <v>-0.03052548216</v>
      </c>
    </row>
    <row r="3338">
      <c r="A3338" s="5" t="str">
        <f>IFERROR(__xludf.DUMMYFUNCTION("""COMPUTED_VALUE"""),"40158")</f>
        <v>40158</v>
      </c>
      <c r="B3338" s="64">
        <f>IFERROR(__xludf.DUMMYFUNCTION("""COMPUTED_VALUE"""),44647.0)</f>
        <v>44647</v>
      </c>
      <c r="C3338" s="5"/>
      <c r="D3338" s="5"/>
      <c r="E3338" s="5"/>
      <c r="F3338" s="22">
        <f>IFERROR(__xludf.DUMMYFUNCTION("""COMPUTED_VALUE"""),369042.8734185)</f>
        <v>369042.8734</v>
      </c>
      <c r="G3338" s="22">
        <f>IFERROR(__xludf.DUMMYFUNCTION("""COMPUTED_VALUE"""),0.0)</f>
        <v>0</v>
      </c>
      <c r="H3338" s="22">
        <f>IFERROR(__xludf.DUMMYFUNCTION("""COMPUTED_VALUE"""),484737.2589201)</f>
        <v>484737.2589</v>
      </c>
      <c r="I3338" s="24">
        <f>IFERROR(__xludf.DUMMYFUNCTION("""COMPUTED_VALUE"""),-0.0305254821598)</f>
        <v>-0.03052548216</v>
      </c>
    </row>
    <row r="3339">
      <c r="A3339" s="5" t="str">
        <f>IFERROR(__xludf.DUMMYFUNCTION("""COMPUTED_VALUE"""),"40158")</f>
        <v>40158</v>
      </c>
      <c r="B3339" s="64">
        <f>IFERROR(__xludf.DUMMYFUNCTION("""COMPUTED_VALUE"""),44648.0)</f>
        <v>44648</v>
      </c>
      <c r="C3339" s="5"/>
      <c r="D3339" s="5"/>
      <c r="E3339" s="5"/>
      <c r="F3339" s="22">
        <f>IFERROR(__xludf.DUMMYFUNCTION("""COMPUTED_VALUE"""),369042.8734185)</f>
        <v>369042.8734</v>
      </c>
      <c r="G3339" s="22">
        <f>IFERROR(__xludf.DUMMYFUNCTION("""COMPUTED_VALUE"""),0.0)</f>
        <v>0</v>
      </c>
      <c r="H3339" s="22">
        <f>IFERROR(__xludf.DUMMYFUNCTION("""COMPUTED_VALUE"""),487237.8877481)</f>
        <v>487237.8877</v>
      </c>
      <c r="I3339" s="24">
        <f>IFERROR(__xludf.DUMMYFUNCTION("""COMPUTED_VALUE"""),-0.025524224503799986)</f>
        <v>-0.0255242245</v>
      </c>
    </row>
    <row r="3340">
      <c r="A3340" s="5" t="str">
        <f>IFERROR(__xludf.DUMMYFUNCTION("""COMPUTED_VALUE"""),"40158")</f>
        <v>40158</v>
      </c>
      <c r="B3340" s="64">
        <f>IFERROR(__xludf.DUMMYFUNCTION("""COMPUTED_VALUE"""),44649.0)</f>
        <v>44649</v>
      </c>
      <c r="C3340" s="5"/>
      <c r="D3340" s="5"/>
      <c r="E3340" s="5"/>
      <c r="F3340" s="22">
        <f>IFERROR(__xludf.DUMMYFUNCTION("""COMPUTED_VALUE"""),369042.8734185)</f>
        <v>369042.8734</v>
      </c>
      <c r="G3340" s="22">
        <f>IFERROR(__xludf.DUMMYFUNCTION("""COMPUTED_VALUE"""),0.0)</f>
        <v>0</v>
      </c>
      <c r="H3340" s="22">
        <f>IFERROR(__xludf.DUMMYFUNCTION("""COMPUTED_VALUE"""),489284.3107018)</f>
        <v>489284.3107</v>
      </c>
      <c r="I3340" s="24">
        <f>IFERROR(__xludf.DUMMYFUNCTION("""COMPUTED_VALUE"""),-0.021431378596399986)</f>
        <v>-0.0214313786</v>
      </c>
    </row>
    <row r="3341">
      <c r="A3341" s="5" t="str">
        <f>IFERROR(__xludf.DUMMYFUNCTION("""COMPUTED_VALUE"""),"40158")</f>
        <v>40158</v>
      </c>
      <c r="B3341" s="64">
        <f>IFERROR(__xludf.DUMMYFUNCTION("""COMPUTED_VALUE"""),44650.0)</f>
        <v>44650</v>
      </c>
      <c r="C3341" s="5"/>
      <c r="D3341" s="5"/>
      <c r="E3341" s="5"/>
      <c r="F3341" s="22">
        <f>IFERROR(__xludf.DUMMYFUNCTION("""COMPUTED_VALUE"""),369042.8734185)</f>
        <v>369042.8734</v>
      </c>
      <c r="G3341" s="22">
        <f>IFERROR(__xludf.DUMMYFUNCTION("""COMPUTED_VALUE"""),0.0)</f>
        <v>0</v>
      </c>
      <c r="H3341" s="22">
        <f>IFERROR(__xludf.DUMMYFUNCTION("""COMPUTED_VALUE"""),491349.29633160005)</f>
        <v>491349.2963</v>
      </c>
      <c r="I3341" s="24">
        <f>IFERROR(__xludf.DUMMYFUNCTION("""COMPUTED_VALUE"""),-0.017301407336799857)</f>
        <v>-0.01730140734</v>
      </c>
    </row>
    <row r="3342">
      <c r="A3342" s="5" t="str">
        <f>IFERROR(__xludf.DUMMYFUNCTION("""COMPUTED_VALUE"""),"40158")</f>
        <v>40158</v>
      </c>
      <c r="B3342" s="64">
        <f>IFERROR(__xludf.DUMMYFUNCTION("""COMPUTED_VALUE"""),44651.0)</f>
        <v>44651</v>
      </c>
      <c r="C3342" s="5"/>
      <c r="D3342" s="5"/>
      <c r="E3342" s="5"/>
      <c r="F3342" s="22">
        <f>IFERROR(__xludf.DUMMYFUNCTION("""COMPUTED_VALUE"""),369042.8734185)</f>
        <v>369042.8734</v>
      </c>
      <c r="G3342" s="22">
        <f>IFERROR(__xludf.DUMMYFUNCTION("""COMPUTED_VALUE"""),0.0)</f>
        <v>0</v>
      </c>
      <c r="H3342" s="22">
        <f>IFERROR(__xludf.DUMMYFUNCTION("""COMPUTED_VALUE"""),488917.6313625)</f>
        <v>488917.6314</v>
      </c>
      <c r="I3342" s="24">
        <f>IFERROR(__xludf.DUMMYFUNCTION("""COMPUTED_VALUE"""),-0.022164737275000013)</f>
        <v>-0.02216473728</v>
      </c>
    </row>
    <row r="3343">
      <c r="A3343" s="5" t="str">
        <f>IFERROR(__xludf.DUMMYFUNCTION("""COMPUTED_VALUE"""),"40158")</f>
        <v>40158</v>
      </c>
      <c r="B3343" s="64">
        <f>IFERROR(__xludf.DUMMYFUNCTION("""COMPUTED_VALUE"""),44652.0)</f>
        <v>44652</v>
      </c>
      <c r="C3343" s="5"/>
      <c r="D3343" s="5"/>
      <c r="E3343" s="5"/>
      <c r="F3343" s="22">
        <f>IFERROR(__xludf.DUMMYFUNCTION("""COMPUTED_VALUE"""),369042.8734185)</f>
        <v>369042.8734</v>
      </c>
      <c r="G3343" s="22">
        <f>IFERROR(__xludf.DUMMYFUNCTION("""COMPUTED_VALUE"""),0.0)</f>
        <v>0</v>
      </c>
      <c r="H3343" s="22">
        <f>IFERROR(__xludf.DUMMYFUNCTION("""COMPUTED_VALUE"""),488587.0262456)</f>
        <v>488587.0262</v>
      </c>
      <c r="I3343" s="24">
        <f>IFERROR(__xludf.DUMMYFUNCTION("""COMPUTED_VALUE"""),-0.02282594750879996)</f>
        <v>-0.02282594751</v>
      </c>
    </row>
    <row r="3344">
      <c r="A3344" s="5" t="str">
        <f>IFERROR(__xludf.DUMMYFUNCTION("""COMPUTED_VALUE"""),"40158")</f>
        <v>40158</v>
      </c>
      <c r="B3344" s="64">
        <f>IFERROR(__xludf.DUMMYFUNCTION("""COMPUTED_VALUE"""),44653.0)</f>
        <v>44653</v>
      </c>
      <c r="C3344" s="5"/>
      <c r="D3344" s="5"/>
      <c r="E3344" s="5"/>
      <c r="F3344" s="22">
        <f>IFERROR(__xludf.DUMMYFUNCTION("""COMPUTED_VALUE"""),369042.8734185)</f>
        <v>369042.8734</v>
      </c>
      <c r="G3344" s="22">
        <f>IFERROR(__xludf.DUMMYFUNCTION("""COMPUTED_VALUE"""),0.0)</f>
        <v>0</v>
      </c>
      <c r="H3344" s="22">
        <f>IFERROR(__xludf.DUMMYFUNCTION("""COMPUTED_VALUE"""),488587.0262456)</f>
        <v>488587.0262</v>
      </c>
      <c r="I3344" s="24">
        <f>IFERROR(__xludf.DUMMYFUNCTION("""COMPUTED_VALUE"""),-0.02282594750879996)</f>
        <v>-0.02282594751</v>
      </c>
    </row>
    <row r="3345">
      <c r="A3345" s="5" t="str">
        <f>IFERROR(__xludf.DUMMYFUNCTION("""COMPUTED_VALUE"""),"40158")</f>
        <v>40158</v>
      </c>
      <c r="B3345" s="64">
        <f>IFERROR(__xludf.DUMMYFUNCTION("""COMPUTED_VALUE"""),44654.0)</f>
        <v>44654</v>
      </c>
      <c r="C3345" s="5"/>
      <c r="D3345" s="5"/>
      <c r="E3345" s="5"/>
      <c r="F3345" s="22">
        <f>IFERROR(__xludf.DUMMYFUNCTION("""COMPUTED_VALUE"""),369042.8734185)</f>
        <v>369042.8734</v>
      </c>
      <c r="G3345" s="22">
        <f>IFERROR(__xludf.DUMMYFUNCTION("""COMPUTED_VALUE"""),0.0)</f>
        <v>0</v>
      </c>
      <c r="H3345" s="22">
        <f>IFERROR(__xludf.DUMMYFUNCTION("""COMPUTED_VALUE"""),488587.0262456)</f>
        <v>488587.0262</v>
      </c>
      <c r="I3345" s="24">
        <f>IFERROR(__xludf.DUMMYFUNCTION("""COMPUTED_VALUE"""),-0.02282594750879996)</f>
        <v>-0.02282594751</v>
      </c>
    </row>
    <row r="3346">
      <c r="A3346" s="5" t="str">
        <f>IFERROR(__xludf.DUMMYFUNCTION("""COMPUTED_VALUE"""),"40158")</f>
        <v>40158</v>
      </c>
      <c r="B3346" s="64">
        <f>IFERROR(__xludf.DUMMYFUNCTION("""COMPUTED_VALUE"""),44655.0)</f>
        <v>44655</v>
      </c>
      <c r="C3346" s="5"/>
      <c r="D3346" s="5"/>
      <c r="E3346" s="5"/>
      <c r="F3346" s="22">
        <f>IFERROR(__xludf.DUMMYFUNCTION("""COMPUTED_VALUE"""),369042.8734185)</f>
        <v>369042.8734</v>
      </c>
      <c r="G3346" s="22">
        <f>IFERROR(__xludf.DUMMYFUNCTION("""COMPUTED_VALUE"""),0.0)</f>
        <v>0</v>
      </c>
      <c r="H3346" s="22">
        <f>IFERROR(__xludf.DUMMYFUNCTION("""COMPUTED_VALUE"""),492483.35107900004)</f>
        <v>492483.3511</v>
      </c>
      <c r="I3346" s="24">
        <f>IFERROR(__xludf.DUMMYFUNCTION("""COMPUTED_VALUE"""),-0.015033297841999915)</f>
        <v>-0.01503329784</v>
      </c>
    </row>
    <row r="3347">
      <c r="A3347" s="5" t="str">
        <f>IFERROR(__xludf.DUMMYFUNCTION("""COMPUTED_VALUE"""),"40158")</f>
        <v>40158</v>
      </c>
      <c r="B3347" s="64">
        <f>IFERROR(__xludf.DUMMYFUNCTION("""COMPUTED_VALUE"""),44656.0)</f>
        <v>44656</v>
      </c>
      <c r="C3347" s="5"/>
      <c r="D3347" s="5"/>
      <c r="E3347" s="5"/>
      <c r="F3347" s="22">
        <f>IFERROR(__xludf.DUMMYFUNCTION("""COMPUTED_VALUE"""),369042.8734185)</f>
        <v>369042.8734</v>
      </c>
      <c r="G3347" s="22">
        <f>IFERROR(__xludf.DUMMYFUNCTION("""COMPUTED_VALUE"""),0.0)</f>
        <v>0</v>
      </c>
      <c r="H3347" s="22">
        <f>IFERROR(__xludf.DUMMYFUNCTION("""COMPUTED_VALUE"""),489947.54682790005)</f>
        <v>489947.5468</v>
      </c>
      <c r="I3347" s="24">
        <f>IFERROR(__xludf.DUMMYFUNCTION("""COMPUTED_VALUE"""),-0.020104906344199924)</f>
        <v>-0.02010490634</v>
      </c>
    </row>
    <row r="3348">
      <c r="A3348" s="5" t="str">
        <f>IFERROR(__xludf.DUMMYFUNCTION("""COMPUTED_VALUE"""),"40158")</f>
        <v>40158</v>
      </c>
      <c r="B3348" s="64">
        <f>IFERROR(__xludf.DUMMYFUNCTION("""COMPUTED_VALUE"""),44657.0)</f>
        <v>44657</v>
      </c>
      <c r="C3348" s="5"/>
      <c r="D3348" s="5"/>
      <c r="E3348" s="5"/>
      <c r="F3348" s="22">
        <f>IFERROR(__xludf.DUMMYFUNCTION("""COMPUTED_VALUE"""),369042.8734185)</f>
        <v>369042.8734</v>
      </c>
      <c r="G3348" s="22">
        <f>IFERROR(__xludf.DUMMYFUNCTION("""COMPUTED_VALUE"""),0.0)</f>
        <v>0</v>
      </c>
      <c r="H3348" s="22">
        <f>IFERROR(__xludf.DUMMYFUNCTION("""COMPUTED_VALUE"""),484448.0384329)</f>
        <v>484448.0384</v>
      </c>
      <c r="I3348" s="24">
        <f>IFERROR(__xludf.DUMMYFUNCTION("""COMPUTED_VALUE"""),-0.031103923134200073)</f>
        <v>-0.03110392313</v>
      </c>
    </row>
    <row r="3349">
      <c r="A3349" s="5" t="str">
        <f>IFERROR(__xludf.DUMMYFUNCTION("""COMPUTED_VALUE"""),"40158")</f>
        <v>40158</v>
      </c>
      <c r="B3349" s="64">
        <f>IFERROR(__xludf.DUMMYFUNCTION("""COMPUTED_VALUE"""),44658.0)</f>
        <v>44658</v>
      </c>
      <c r="C3349" s="5"/>
      <c r="D3349" s="5"/>
      <c r="E3349" s="5"/>
      <c r="F3349" s="22">
        <f>IFERROR(__xludf.DUMMYFUNCTION("""COMPUTED_VALUE"""),369042.8734185)</f>
        <v>369042.8734</v>
      </c>
      <c r="G3349" s="22">
        <f>IFERROR(__xludf.DUMMYFUNCTION("""COMPUTED_VALUE"""),0.0)</f>
        <v>0</v>
      </c>
      <c r="H3349" s="22">
        <f>IFERROR(__xludf.DUMMYFUNCTION("""COMPUTED_VALUE"""),484787.1273679)</f>
        <v>484787.1274</v>
      </c>
      <c r="I3349" s="24">
        <f>IFERROR(__xludf.DUMMYFUNCTION("""COMPUTED_VALUE"""),-0.030425745264200055)</f>
        <v>-0.03042574526</v>
      </c>
    </row>
    <row r="3350">
      <c r="A3350" s="5" t="str">
        <f>IFERROR(__xludf.DUMMYFUNCTION("""COMPUTED_VALUE"""),"40158")</f>
        <v>40158</v>
      </c>
      <c r="B3350" s="64">
        <f>IFERROR(__xludf.DUMMYFUNCTION("""COMPUTED_VALUE"""),44659.0)</f>
        <v>44659</v>
      </c>
      <c r="C3350" s="5"/>
      <c r="D3350" s="5"/>
      <c r="E3350" s="5"/>
      <c r="F3350" s="22">
        <f>IFERROR(__xludf.DUMMYFUNCTION("""COMPUTED_VALUE"""),369042.8734185)</f>
        <v>369042.8734</v>
      </c>
      <c r="G3350" s="22">
        <f>IFERROR(__xludf.DUMMYFUNCTION("""COMPUTED_VALUE"""),0.0)</f>
        <v>0</v>
      </c>
      <c r="H3350" s="22">
        <f>IFERROR(__xludf.DUMMYFUNCTION("""COMPUTED_VALUE"""),480040.8100666)</f>
        <v>480040.8101</v>
      </c>
      <c r="I3350" s="24">
        <f>IFERROR(__xludf.DUMMYFUNCTION("""COMPUTED_VALUE"""),-0.039918379866800024)</f>
        <v>-0.03991837987</v>
      </c>
    </row>
    <row r="3351">
      <c r="A3351" s="5" t="str">
        <f>IFERROR(__xludf.DUMMYFUNCTION("""COMPUTED_VALUE"""),"40158")</f>
        <v>40158</v>
      </c>
      <c r="B3351" s="64">
        <f>IFERROR(__xludf.DUMMYFUNCTION("""COMPUTED_VALUE"""),44660.0)</f>
        <v>44660</v>
      </c>
      <c r="C3351" s="5"/>
      <c r="D3351" s="5"/>
      <c r="E3351" s="5"/>
      <c r="F3351" s="22">
        <f>IFERROR(__xludf.DUMMYFUNCTION("""COMPUTED_VALUE"""),369042.8734185)</f>
        <v>369042.8734</v>
      </c>
      <c r="G3351" s="22">
        <f>IFERROR(__xludf.DUMMYFUNCTION("""COMPUTED_VALUE"""),0.0)</f>
        <v>0</v>
      </c>
      <c r="H3351" s="22">
        <f>IFERROR(__xludf.DUMMYFUNCTION("""COMPUTED_VALUE"""),480040.8100666)</f>
        <v>480040.8101</v>
      </c>
      <c r="I3351" s="24">
        <f>IFERROR(__xludf.DUMMYFUNCTION("""COMPUTED_VALUE"""),-0.039918379866800024)</f>
        <v>-0.03991837987</v>
      </c>
    </row>
    <row r="3352">
      <c r="A3352" s="5" t="str">
        <f>IFERROR(__xludf.DUMMYFUNCTION("""COMPUTED_VALUE"""),"40158")</f>
        <v>40158</v>
      </c>
      <c r="B3352" s="64">
        <f>IFERROR(__xludf.DUMMYFUNCTION("""COMPUTED_VALUE"""),44661.0)</f>
        <v>44661</v>
      </c>
      <c r="C3352" s="5"/>
      <c r="D3352" s="5"/>
      <c r="E3352" s="5"/>
      <c r="F3352" s="22">
        <f>IFERROR(__xludf.DUMMYFUNCTION("""COMPUTED_VALUE"""),369042.8734185)</f>
        <v>369042.8734</v>
      </c>
      <c r="G3352" s="22">
        <f>IFERROR(__xludf.DUMMYFUNCTION("""COMPUTED_VALUE"""),0.0)</f>
        <v>0</v>
      </c>
      <c r="H3352" s="22">
        <f>IFERROR(__xludf.DUMMYFUNCTION("""COMPUTED_VALUE"""),480040.8100666)</f>
        <v>480040.8101</v>
      </c>
      <c r="I3352" s="24">
        <f>IFERROR(__xludf.DUMMYFUNCTION("""COMPUTED_VALUE"""),-0.039918379866800024)</f>
        <v>-0.03991837987</v>
      </c>
    </row>
    <row r="3353">
      <c r="A3353" s="5" t="str">
        <f>IFERROR(__xludf.DUMMYFUNCTION("""COMPUTED_VALUE"""),"40158")</f>
        <v>40158</v>
      </c>
      <c r="B3353" s="64">
        <f>IFERROR(__xludf.DUMMYFUNCTION("""COMPUTED_VALUE"""),44662.0)</f>
        <v>44662</v>
      </c>
      <c r="C3353" s="5"/>
      <c r="D3353" s="5"/>
      <c r="E3353" s="5"/>
      <c r="F3353" s="22">
        <f>IFERROR(__xludf.DUMMYFUNCTION("""COMPUTED_VALUE"""),369042.8734185)</f>
        <v>369042.8734</v>
      </c>
      <c r="G3353" s="22">
        <f>IFERROR(__xludf.DUMMYFUNCTION("""COMPUTED_VALUE"""),0.0)</f>
        <v>0</v>
      </c>
      <c r="H3353" s="22">
        <f>IFERROR(__xludf.DUMMYFUNCTION("""COMPUTED_VALUE"""),473822.96523020003)</f>
        <v>473822.9652</v>
      </c>
      <c r="I3353" s="24">
        <f>IFERROR(__xludf.DUMMYFUNCTION("""COMPUTED_VALUE"""),-0.05235406953959998)</f>
        <v>-0.05235406954</v>
      </c>
    </row>
    <row r="3354">
      <c r="A3354" s="5" t="str">
        <f>IFERROR(__xludf.DUMMYFUNCTION("""COMPUTED_VALUE"""),"40158")</f>
        <v>40158</v>
      </c>
      <c r="B3354" s="64">
        <f>IFERROR(__xludf.DUMMYFUNCTION("""COMPUTED_VALUE"""),44663.0)</f>
        <v>44663</v>
      </c>
      <c r="C3354" s="5"/>
      <c r="D3354" s="5"/>
      <c r="E3354" s="5"/>
      <c r="F3354" s="22">
        <f>IFERROR(__xludf.DUMMYFUNCTION("""COMPUTED_VALUE"""),369042.8734185)</f>
        <v>369042.8734</v>
      </c>
      <c r="G3354" s="22">
        <f>IFERROR(__xludf.DUMMYFUNCTION("""COMPUTED_VALUE"""),0.0)</f>
        <v>0</v>
      </c>
      <c r="H3354" s="22">
        <f>IFERROR(__xludf.DUMMYFUNCTION("""COMPUTED_VALUE"""),478194.59271399997)</f>
        <v>478194.5927</v>
      </c>
      <c r="I3354" s="24">
        <f>IFERROR(__xludf.DUMMYFUNCTION("""COMPUTED_VALUE"""),-0.04361081457200011)</f>
        <v>-0.04361081457</v>
      </c>
    </row>
    <row r="3355">
      <c r="A3355" s="5" t="str">
        <f>IFERROR(__xludf.DUMMYFUNCTION("""COMPUTED_VALUE"""),"40318")</f>
        <v>40318</v>
      </c>
      <c r="B3355" s="64">
        <f>IFERROR(__xludf.DUMMYFUNCTION("""COMPUTED_VALUE"""),44597.0)</f>
        <v>44597</v>
      </c>
      <c r="C3355" s="5"/>
      <c r="D3355" s="5"/>
      <c r="E3355" s="5"/>
      <c r="F3355" s="22">
        <f>IFERROR(__xludf.DUMMYFUNCTION("""COMPUTED_VALUE"""),500000.0)</f>
        <v>500000</v>
      </c>
      <c r="G3355" s="22">
        <f>IFERROR(__xludf.DUMMYFUNCTION("""COMPUTED_VALUE"""),0.0)</f>
        <v>0</v>
      </c>
      <c r="H3355" s="22">
        <f>IFERROR(__xludf.DUMMYFUNCTION("""COMPUTED_VALUE"""),500000.0)</f>
        <v>500000</v>
      </c>
      <c r="I3355" s="24">
        <f>IFERROR(__xludf.DUMMYFUNCTION("""COMPUTED_VALUE"""),0.0)</f>
        <v>0</v>
      </c>
    </row>
    <row r="3356">
      <c r="A3356" s="5" t="str">
        <f>IFERROR(__xludf.DUMMYFUNCTION("""COMPUTED_VALUE"""),"40318")</f>
        <v>40318</v>
      </c>
      <c r="B3356" s="64">
        <f>IFERROR(__xludf.DUMMYFUNCTION("""COMPUTED_VALUE"""),44598.0)</f>
        <v>44598</v>
      </c>
      <c r="C3356" s="5"/>
      <c r="D3356" s="5"/>
      <c r="E3356" s="5"/>
      <c r="F3356" s="22">
        <f>IFERROR(__xludf.DUMMYFUNCTION("""COMPUTED_VALUE"""),500000.0)</f>
        <v>500000</v>
      </c>
      <c r="G3356" s="22">
        <f>IFERROR(__xludf.DUMMYFUNCTION("""COMPUTED_VALUE"""),0.0)</f>
        <v>0</v>
      </c>
      <c r="H3356" s="22">
        <f>IFERROR(__xludf.DUMMYFUNCTION("""COMPUTED_VALUE"""),500000.0)</f>
        <v>500000</v>
      </c>
      <c r="I3356" s="24">
        <f>IFERROR(__xludf.DUMMYFUNCTION("""COMPUTED_VALUE"""),0.0)</f>
        <v>0</v>
      </c>
    </row>
    <row r="3357">
      <c r="A3357" s="5" t="str">
        <f>IFERROR(__xludf.DUMMYFUNCTION("""COMPUTED_VALUE"""),"40318")</f>
        <v>40318</v>
      </c>
      <c r="B3357" s="64">
        <f>IFERROR(__xludf.DUMMYFUNCTION("""COMPUTED_VALUE"""),44599.0)</f>
        <v>44599</v>
      </c>
      <c r="C3357" s="5"/>
      <c r="D3357" s="5"/>
      <c r="E3357" s="5"/>
      <c r="F3357" s="22">
        <f>IFERROR(__xludf.DUMMYFUNCTION("""COMPUTED_VALUE"""),500000.0)</f>
        <v>500000</v>
      </c>
      <c r="G3357" s="22">
        <f>IFERROR(__xludf.DUMMYFUNCTION("""COMPUTED_VALUE"""),0.0)</f>
        <v>0</v>
      </c>
      <c r="H3357" s="22">
        <f>IFERROR(__xludf.DUMMYFUNCTION("""COMPUTED_VALUE"""),500000.0)</f>
        <v>500000</v>
      </c>
      <c r="I3357" s="24">
        <f>IFERROR(__xludf.DUMMYFUNCTION("""COMPUTED_VALUE"""),0.0)</f>
        <v>0</v>
      </c>
    </row>
    <row r="3358">
      <c r="A3358" s="5" t="str">
        <f>IFERROR(__xludf.DUMMYFUNCTION("""COMPUTED_VALUE"""),"40318")</f>
        <v>40318</v>
      </c>
      <c r="B3358" s="64">
        <f>IFERROR(__xludf.DUMMYFUNCTION("""COMPUTED_VALUE"""),44600.0)</f>
        <v>44600</v>
      </c>
      <c r="C3358" s="5"/>
      <c r="D3358" s="5"/>
      <c r="E3358" s="5"/>
      <c r="F3358" s="22">
        <f>IFERROR(__xludf.DUMMYFUNCTION("""COMPUTED_VALUE"""),500000.0)</f>
        <v>500000</v>
      </c>
      <c r="G3358" s="22">
        <f>IFERROR(__xludf.DUMMYFUNCTION("""COMPUTED_VALUE"""),0.0)</f>
        <v>0</v>
      </c>
      <c r="H3358" s="22">
        <f>IFERROR(__xludf.DUMMYFUNCTION("""COMPUTED_VALUE"""),500000.0)</f>
        <v>500000</v>
      </c>
      <c r="I3358" s="24">
        <f>IFERROR(__xludf.DUMMYFUNCTION("""COMPUTED_VALUE"""),0.0)</f>
        <v>0</v>
      </c>
    </row>
    <row r="3359">
      <c r="A3359" s="5" t="str">
        <f>IFERROR(__xludf.DUMMYFUNCTION("""COMPUTED_VALUE"""),"40318")</f>
        <v>40318</v>
      </c>
      <c r="B3359" s="64">
        <f>IFERROR(__xludf.DUMMYFUNCTION("""COMPUTED_VALUE"""),44601.0)</f>
        <v>44601</v>
      </c>
      <c r="C3359" s="5"/>
      <c r="D3359" s="5"/>
      <c r="E3359" s="5"/>
      <c r="F3359" s="22">
        <f>IFERROR(__xludf.DUMMYFUNCTION("""COMPUTED_VALUE"""),500000.0)</f>
        <v>500000</v>
      </c>
      <c r="G3359" s="22">
        <f>IFERROR(__xludf.DUMMYFUNCTION("""COMPUTED_VALUE"""),0.0)</f>
        <v>0</v>
      </c>
      <c r="H3359" s="22">
        <f>IFERROR(__xludf.DUMMYFUNCTION("""COMPUTED_VALUE"""),500000.0)</f>
        <v>500000</v>
      </c>
      <c r="I3359" s="24">
        <f>IFERROR(__xludf.DUMMYFUNCTION("""COMPUTED_VALUE"""),0.0)</f>
        <v>0</v>
      </c>
    </row>
    <row r="3360">
      <c r="A3360" s="5" t="str">
        <f>IFERROR(__xludf.DUMMYFUNCTION("""COMPUTED_VALUE"""),"40318")</f>
        <v>40318</v>
      </c>
      <c r="B3360" s="64">
        <f>IFERROR(__xludf.DUMMYFUNCTION("""COMPUTED_VALUE"""),44602.0)</f>
        <v>44602</v>
      </c>
      <c r="C3360" s="5"/>
      <c r="D3360" s="5"/>
      <c r="E3360" s="5"/>
      <c r="F3360" s="22">
        <f>IFERROR(__xludf.DUMMYFUNCTION("""COMPUTED_VALUE"""),500000.0)</f>
        <v>500000</v>
      </c>
      <c r="G3360" s="22">
        <f>IFERROR(__xludf.DUMMYFUNCTION("""COMPUTED_VALUE"""),0.0)</f>
        <v>0</v>
      </c>
      <c r="H3360" s="22">
        <f>IFERROR(__xludf.DUMMYFUNCTION("""COMPUTED_VALUE"""),500000.0)</f>
        <v>500000</v>
      </c>
      <c r="I3360" s="24">
        <f>IFERROR(__xludf.DUMMYFUNCTION("""COMPUTED_VALUE"""),0.0)</f>
        <v>0</v>
      </c>
    </row>
    <row r="3361">
      <c r="A3361" s="5" t="str">
        <f>IFERROR(__xludf.DUMMYFUNCTION("""COMPUTED_VALUE"""),"40318")</f>
        <v>40318</v>
      </c>
      <c r="B3361" s="64">
        <f>IFERROR(__xludf.DUMMYFUNCTION("""COMPUTED_VALUE"""),44603.0)</f>
        <v>44603</v>
      </c>
      <c r="C3361" s="5"/>
      <c r="D3361" s="5"/>
      <c r="E3361" s="5"/>
      <c r="F3361" s="22">
        <f>IFERROR(__xludf.DUMMYFUNCTION("""COMPUTED_VALUE"""),500000.0)</f>
        <v>500000</v>
      </c>
      <c r="G3361" s="22">
        <f>IFERROR(__xludf.DUMMYFUNCTION("""COMPUTED_VALUE"""),0.0)</f>
        <v>0</v>
      </c>
      <c r="H3361" s="22">
        <f>IFERROR(__xludf.DUMMYFUNCTION("""COMPUTED_VALUE"""),500000.0)</f>
        <v>500000</v>
      </c>
      <c r="I3361" s="24">
        <f>IFERROR(__xludf.DUMMYFUNCTION("""COMPUTED_VALUE"""),0.0)</f>
        <v>0</v>
      </c>
    </row>
    <row r="3362">
      <c r="A3362" s="5" t="str">
        <f>IFERROR(__xludf.DUMMYFUNCTION("""COMPUTED_VALUE"""),"40318")</f>
        <v>40318</v>
      </c>
      <c r="B3362" s="64">
        <f>IFERROR(__xludf.DUMMYFUNCTION("""COMPUTED_VALUE"""),44604.0)</f>
        <v>44604</v>
      </c>
      <c r="C3362" s="5"/>
      <c r="D3362" s="5"/>
      <c r="E3362" s="5"/>
      <c r="F3362" s="22">
        <f>IFERROR(__xludf.DUMMYFUNCTION("""COMPUTED_VALUE"""),500000.0)</f>
        <v>500000</v>
      </c>
      <c r="G3362" s="22">
        <f>IFERROR(__xludf.DUMMYFUNCTION("""COMPUTED_VALUE"""),0.0)</f>
        <v>0</v>
      </c>
      <c r="H3362" s="22">
        <f>IFERROR(__xludf.DUMMYFUNCTION("""COMPUTED_VALUE"""),500000.0)</f>
        <v>500000</v>
      </c>
      <c r="I3362" s="24">
        <f>IFERROR(__xludf.DUMMYFUNCTION("""COMPUTED_VALUE"""),0.0)</f>
        <v>0</v>
      </c>
    </row>
    <row r="3363">
      <c r="A3363" s="5" t="str">
        <f>IFERROR(__xludf.DUMMYFUNCTION("""COMPUTED_VALUE"""),"40318")</f>
        <v>40318</v>
      </c>
      <c r="B3363" s="64">
        <f>IFERROR(__xludf.DUMMYFUNCTION("""COMPUTED_VALUE"""),44605.0)</f>
        <v>44605</v>
      </c>
      <c r="C3363" s="5"/>
      <c r="D3363" s="5"/>
      <c r="E3363" s="5"/>
      <c r="F3363" s="22">
        <f>IFERROR(__xludf.DUMMYFUNCTION("""COMPUTED_VALUE"""),500000.0)</f>
        <v>500000</v>
      </c>
      <c r="G3363" s="22">
        <f>IFERROR(__xludf.DUMMYFUNCTION("""COMPUTED_VALUE"""),0.0)</f>
        <v>0</v>
      </c>
      <c r="H3363" s="22">
        <f>IFERROR(__xludf.DUMMYFUNCTION("""COMPUTED_VALUE"""),500000.0)</f>
        <v>500000</v>
      </c>
      <c r="I3363" s="24">
        <f>IFERROR(__xludf.DUMMYFUNCTION("""COMPUTED_VALUE"""),0.0)</f>
        <v>0</v>
      </c>
    </row>
    <row r="3364">
      <c r="A3364" s="5" t="str">
        <f>IFERROR(__xludf.DUMMYFUNCTION("""COMPUTED_VALUE"""),"40318")</f>
        <v>40318</v>
      </c>
      <c r="B3364" s="64">
        <f>IFERROR(__xludf.DUMMYFUNCTION("""COMPUTED_VALUE"""),44606.0)</f>
        <v>44606</v>
      </c>
      <c r="C3364" s="5"/>
      <c r="D3364" s="5"/>
      <c r="E3364" s="5"/>
      <c r="F3364" s="22">
        <f>IFERROR(__xludf.DUMMYFUNCTION("""COMPUTED_VALUE"""),500000.0)</f>
        <v>500000</v>
      </c>
      <c r="G3364" s="22">
        <f>IFERROR(__xludf.DUMMYFUNCTION("""COMPUTED_VALUE"""),0.0)</f>
        <v>0</v>
      </c>
      <c r="H3364" s="22">
        <f>IFERROR(__xludf.DUMMYFUNCTION("""COMPUTED_VALUE"""),500000.0)</f>
        <v>500000</v>
      </c>
      <c r="I3364" s="24">
        <f>IFERROR(__xludf.DUMMYFUNCTION("""COMPUTED_VALUE"""),0.0)</f>
        <v>0</v>
      </c>
    </row>
    <row r="3365">
      <c r="A3365" s="5" t="str">
        <f>IFERROR(__xludf.DUMMYFUNCTION("""COMPUTED_VALUE"""),"40318")</f>
        <v>40318</v>
      </c>
      <c r="B3365" s="64">
        <f>IFERROR(__xludf.DUMMYFUNCTION("""COMPUTED_VALUE"""),44607.0)</f>
        <v>44607</v>
      </c>
      <c r="C3365" s="5"/>
      <c r="D3365" s="5"/>
      <c r="E3365" s="5"/>
      <c r="F3365" s="22">
        <f>IFERROR(__xludf.DUMMYFUNCTION("""COMPUTED_VALUE"""),500000.0)</f>
        <v>500000</v>
      </c>
      <c r="G3365" s="22">
        <f>IFERROR(__xludf.DUMMYFUNCTION("""COMPUTED_VALUE"""),0.0)</f>
        <v>0</v>
      </c>
      <c r="H3365" s="22">
        <f>IFERROR(__xludf.DUMMYFUNCTION("""COMPUTED_VALUE"""),500000.0)</f>
        <v>500000</v>
      </c>
      <c r="I3365" s="24">
        <f>IFERROR(__xludf.DUMMYFUNCTION("""COMPUTED_VALUE"""),0.0)</f>
        <v>0</v>
      </c>
    </row>
    <row r="3366">
      <c r="A3366" s="5" t="str">
        <f>IFERROR(__xludf.DUMMYFUNCTION("""COMPUTED_VALUE"""),"40318")</f>
        <v>40318</v>
      </c>
      <c r="B3366" s="64">
        <f>IFERROR(__xludf.DUMMYFUNCTION("""COMPUTED_VALUE"""),44608.0)</f>
        <v>44608</v>
      </c>
      <c r="C3366" s="5"/>
      <c r="D3366" s="5"/>
      <c r="E3366" s="5"/>
      <c r="F3366" s="22">
        <f>IFERROR(__xludf.DUMMYFUNCTION("""COMPUTED_VALUE"""),500000.0)</f>
        <v>500000</v>
      </c>
      <c r="G3366" s="22">
        <f>IFERROR(__xludf.DUMMYFUNCTION("""COMPUTED_VALUE"""),0.0)</f>
        <v>0</v>
      </c>
      <c r="H3366" s="22">
        <f>IFERROR(__xludf.DUMMYFUNCTION("""COMPUTED_VALUE"""),500000.0)</f>
        <v>500000</v>
      </c>
      <c r="I3366" s="24">
        <f>IFERROR(__xludf.DUMMYFUNCTION("""COMPUTED_VALUE"""),0.0)</f>
        <v>0</v>
      </c>
    </row>
    <row r="3367">
      <c r="A3367" s="5" t="str">
        <f>IFERROR(__xludf.DUMMYFUNCTION("""COMPUTED_VALUE"""),"40318")</f>
        <v>40318</v>
      </c>
      <c r="B3367" s="64">
        <f>IFERROR(__xludf.DUMMYFUNCTION("""COMPUTED_VALUE"""),44609.0)</f>
        <v>44609</v>
      </c>
      <c r="C3367" s="5"/>
      <c r="D3367" s="5"/>
      <c r="E3367" s="5"/>
      <c r="F3367" s="22">
        <f>IFERROR(__xludf.DUMMYFUNCTION("""COMPUTED_VALUE"""),500000.0)</f>
        <v>500000</v>
      </c>
      <c r="G3367" s="22">
        <f>IFERROR(__xludf.DUMMYFUNCTION("""COMPUTED_VALUE"""),0.0)</f>
        <v>0</v>
      </c>
      <c r="H3367" s="22">
        <f>IFERROR(__xludf.DUMMYFUNCTION("""COMPUTED_VALUE"""),500000.0)</f>
        <v>500000</v>
      </c>
      <c r="I3367" s="24">
        <f>IFERROR(__xludf.DUMMYFUNCTION("""COMPUTED_VALUE"""),0.0)</f>
        <v>0</v>
      </c>
    </row>
    <row r="3368">
      <c r="A3368" s="5" t="str">
        <f>IFERROR(__xludf.DUMMYFUNCTION("""COMPUTED_VALUE"""),"40318")</f>
        <v>40318</v>
      </c>
      <c r="B3368" s="64">
        <f>IFERROR(__xludf.DUMMYFUNCTION("""COMPUTED_VALUE"""),44610.0)</f>
        <v>44610</v>
      </c>
      <c r="C3368" s="5"/>
      <c r="D3368" s="5"/>
      <c r="E3368" s="5"/>
      <c r="F3368" s="22">
        <f>IFERROR(__xludf.DUMMYFUNCTION("""COMPUTED_VALUE"""),500000.0)</f>
        <v>500000</v>
      </c>
      <c r="G3368" s="22">
        <f>IFERROR(__xludf.DUMMYFUNCTION("""COMPUTED_VALUE"""),0.0)</f>
        <v>0</v>
      </c>
      <c r="H3368" s="22">
        <f>IFERROR(__xludf.DUMMYFUNCTION("""COMPUTED_VALUE"""),500000.0)</f>
        <v>500000</v>
      </c>
      <c r="I3368" s="24">
        <f>IFERROR(__xludf.DUMMYFUNCTION("""COMPUTED_VALUE"""),0.0)</f>
        <v>0</v>
      </c>
    </row>
    <row r="3369">
      <c r="A3369" s="5" t="str">
        <f>IFERROR(__xludf.DUMMYFUNCTION("""COMPUTED_VALUE"""),"40318")</f>
        <v>40318</v>
      </c>
      <c r="B3369" s="64">
        <f>IFERROR(__xludf.DUMMYFUNCTION("""COMPUTED_VALUE"""),44611.0)</f>
        <v>44611</v>
      </c>
      <c r="C3369" s="5"/>
      <c r="D3369" s="5"/>
      <c r="E3369" s="5"/>
      <c r="F3369" s="22">
        <f>IFERROR(__xludf.DUMMYFUNCTION("""COMPUTED_VALUE"""),500000.0)</f>
        <v>500000</v>
      </c>
      <c r="G3369" s="22">
        <f>IFERROR(__xludf.DUMMYFUNCTION("""COMPUTED_VALUE"""),0.0)</f>
        <v>0</v>
      </c>
      <c r="H3369" s="22">
        <f>IFERROR(__xludf.DUMMYFUNCTION("""COMPUTED_VALUE"""),500000.0)</f>
        <v>500000</v>
      </c>
      <c r="I3369" s="24">
        <f>IFERROR(__xludf.DUMMYFUNCTION("""COMPUTED_VALUE"""),0.0)</f>
        <v>0</v>
      </c>
    </row>
    <row r="3370">
      <c r="A3370" s="5" t="str">
        <f>IFERROR(__xludf.DUMMYFUNCTION("""COMPUTED_VALUE"""),"40318")</f>
        <v>40318</v>
      </c>
      <c r="B3370" s="64">
        <f>IFERROR(__xludf.DUMMYFUNCTION("""COMPUTED_VALUE"""),44612.0)</f>
        <v>44612</v>
      </c>
      <c r="C3370" s="5"/>
      <c r="D3370" s="5"/>
      <c r="E3370" s="5"/>
      <c r="F3370" s="22">
        <f>IFERROR(__xludf.DUMMYFUNCTION("""COMPUTED_VALUE"""),500000.0)</f>
        <v>500000</v>
      </c>
      <c r="G3370" s="22">
        <f>IFERROR(__xludf.DUMMYFUNCTION("""COMPUTED_VALUE"""),0.0)</f>
        <v>0</v>
      </c>
      <c r="H3370" s="22">
        <f>IFERROR(__xludf.DUMMYFUNCTION("""COMPUTED_VALUE"""),500000.0)</f>
        <v>500000</v>
      </c>
      <c r="I3370" s="24">
        <f>IFERROR(__xludf.DUMMYFUNCTION("""COMPUTED_VALUE"""),0.0)</f>
        <v>0</v>
      </c>
    </row>
    <row r="3371">
      <c r="A3371" s="5" t="str">
        <f>IFERROR(__xludf.DUMMYFUNCTION("""COMPUTED_VALUE"""),"40318")</f>
        <v>40318</v>
      </c>
      <c r="B3371" s="64">
        <f>IFERROR(__xludf.DUMMYFUNCTION("""COMPUTED_VALUE"""),44613.0)</f>
        <v>44613</v>
      </c>
      <c r="C3371" s="5"/>
      <c r="D3371" s="5"/>
      <c r="E3371" s="5"/>
      <c r="F3371" s="22">
        <f>IFERROR(__xludf.DUMMYFUNCTION("""COMPUTED_VALUE"""),500000.0)</f>
        <v>500000</v>
      </c>
      <c r="G3371" s="22">
        <f>IFERROR(__xludf.DUMMYFUNCTION("""COMPUTED_VALUE"""),0.0)</f>
        <v>0</v>
      </c>
      <c r="H3371" s="22">
        <f>IFERROR(__xludf.DUMMYFUNCTION("""COMPUTED_VALUE"""),500000.0)</f>
        <v>500000</v>
      </c>
      <c r="I3371" s="24">
        <f>IFERROR(__xludf.DUMMYFUNCTION("""COMPUTED_VALUE"""),0.0)</f>
        <v>0</v>
      </c>
    </row>
    <row r="3372">
      <c r="A3372" s="5" t="str">
        <f>IFERROR(__xludf.DUMMYFUNCTION("""COMPUTED_VALUE"""),"40318")</f>
        <v>40318</v>
      </c>
      <c r="B3372" s="64">
        <f>IFERROR(__xludf.DUMMYFUNCTION("""COMPUTED_VALUE"""),44614.0)</f>
        <v>44614</v>
      </c>
      <c r="C3372" s="5"/>
      <c r="D3372" s="5"/>
      <c r="E3372" s="5"/>
      <c r="F3372" s="22">
        <f>IFERROR(__xludf.DUMMYFUNCTION("""COMPUTED_VALUE"""),500000.0)</f>
        <v>500000</v>
      </c>
      <c r="G3372" s="22">
        <f>IFERROR(__xludf.DUMMYFUNCTION("""COMPUTED_VALUE"""),0.0)</f>
        <v>0</v>
      </c>
      <c r="H3372" s="22">
        <f>IFERROR(__xludf.DUMMYFUNCTION("""COMPUTED_VALUE"""),500000.0)</f>
        <v>500000</v>
      </c>
      <c r="I3372" s="24">
        <f>IFERROR(__xludf.DUMMYFUNCTION("""COMPUTED_VALUE"""),0.0)</f>
        <v>0</v>
      </c>
    </row>
    <row r="3373">
      <c r="A3373" s="5" t="str">
        <f>IFERROR(__xludf.DUMMYFUNCTION("""COMPUTED_VALUE"""),"40318")</f>
        <v>40318</v>
      </c>
      <c r="B3373" s="64">
        <f>IFERROR(__xludf.DUMMYFUNCTION("""COMPUTED_VALUE"""),44615.0)</f>
        <v>44615</v>
      </c>
      <c r="C3373" s="5"/>
      <c r="D3373" s="5"/>
      <c r="E3373" s="5"/>
      <c r="F3373" s="22">
        <f>IFERROR(__xludf.DUMMYFUNCTION("""COMPUTED_VALUE"""),500000.0)</f>
        <v>500000</v>
      </c>
      <c r="G3373" s="22">
        <f>IFERROR(__xludf.DUMMYFUNCTION("""COMPUTED_VALUE"""),0.0)</f>
        <v>0</v>
      </c>
      <c r="H3373" s="22">
        <f>IFERROR(__xludf.DUMMYFUNCTION("""COMPUTED_VALUE"""),500000.0)</f>
        <v>500000</v>
      </c>
      <c r="I3373" s="24">
        <f>IFERROR(__xludf.DUMMYFUNCTION("""COMPUTED_VALUE"""),0.0)</f>
        <v>0</v>
      </c>
    </row>
    <row r="3374">
      <c r="A3374" s="5" t="str">
        <f>IFERROR(__xludf.DUMMYFUNCTION("""COMPUTED_VALUE"""),"40318")</f>
        <v>40318</v>
      </c>
      <c r="B3374" s="64">
        <f>IFERROR(__xludf.DUMMYFUNCTION("""COMPUTED_VALUE"""),44616.0)</f>
        <v>44616</v>
      </c>
      <c r="C3374" s="5"/>
      <c r="D3374" s="5"/>
      <c r="E3374" s="5"/>
      <c r="F3374" s="22">
        <f>IFERROR(__xludf.DUMMYFUNCTION("""COMPUTED_VALUE"""),500000.0)</f>
        <v>500000</v>
      </c>
      <c r="G3374" s="22">
        <f>IFERROR(__xludf.DUMMYFUNCTION("""COMPUTED_VALUE"""),0.0)</f>
        <v>0</v>
      </c>
      <c r="H3374" s="22">
        <f>IFERROR(__xludf.DUMMYFUNCTION("""COMPUTED_VALUE"""),500000.0)</f>
        <v>500000</v>
      </c>
      <c r="I3374" s="24">
        <f>IFERROR(__xludf.DUMMYFUNCTION("""COMPUTED_VALUE"""),0.0)</f>
        <v>0</v>
      </c>
    </row>
    <row r="3375">
      <c r="A3375" s="5" t="str">
        <f>IFERROR(__xludf.DUMMYFUNCTION("""COMPUTED_VALUE"""),"40318")</f>
        <v>40318</v>
      </c>
      <c r="B3375" s="64">
        <f>IFERROR(__xludf.DUMMYFUNCTION("""COMPUTED_VALUE"""),44617.0)</f>
        <v>44617</v>
      </c>
      <c r="C3375" s="5"/>
      <c r="D3375" s="5"/>
      <c r="E3375" s="5"/>
      <c r="F3375" s="22">
        <f>IFERROR(__xludf.DUMMYFUNCTION("""COMPUTED_VALUE"""),500000.0)</f>
        <v>500000</v>
      </c>
      <c r="G3375" s="22">
        <f>IFERROR(__xludf.DUMMYFUNCTION("""COMPUTED_VALUE"""),0.0)</f>
        <v>0</v>
      </c>
      <c r="H3375" s="22">
        <f>IFERROR(__xludf.DUMMYFUNCTION("""COMPUTED_VALUE"""),500000.0)</f>
        <v>500000</v>
      </c>
      <c r="I3375" s="24">
        <f>IFERROR(__xludf.DUMMYFUNCTION("""COMPUTED_VALUE"""),0.0)</f>
        <v>0</v>
      </c>
    </row>
    <row r="3376">
      <c r="A3376" s="5" t="str">
        <f>IFERROR(__xludf.DUMMYFUNCTION("""COMPUTED_VALUE"""),"40318")</f>
        <v>40318</v>
      </c>
      <c r="B3376" s="64">
        <f>IFERROR(__xludf.DUMMYFUNCTION("""COMPUTED_VALUE"""),44618.0)</f>
        <v>44618</v>
      </c>
      <c r="C3376" s="5"/>
      <c r="D3376" s="5"/>
      <c r="E3376" s="5"/>
      <c r="F3376" s="22">
        <f>IFERROR(__xludf.DUMMYFUNCTION("""COMPUTED_VALUE"""),500000.0)</f>
        <v>500000</v>
      </c>
      <c r="G3376" s="22">
        <f>IFERROR(__xludf.DUMMYFUNCTION("""COMPUTED_VALUE"""),0.0)</f>
        <v>0</v>
      </c>
      <c r="H3376" s="22">
        <f>IFERROR(__xludf.DUMMYFUNCTION("""COMPUTED_VALUE"""),500000.0)</f>
        <v>500000</v>
      </c>
      <c r="I3376" s="24">
        <f>IFERROR(__xludf.DUMMYFUNCTION("""COMPUTED_VALUE"""),0.0)</f>
        <v>0</v>
      </c>
    </row>
    <row r="3377">
      <c r="A3377" s="5" t="str">
        <f>IFERROR(__xludf.DUMMYFUNCTION("""COMPUTED_VALUE"""),"40318")</f>
        <v>40318</v>
      </c>
      <c r="B3377" s="64">
        <f>IFERROR(__xludf.DUMMYFUNCTION("""COMPUTED_VALUE"""),44619.0)</f>
        <v>44619</v>
      </c>
      <c r="C3377" s="5"/>
      <c r="D3377" s="5"/>
      <c r="E3377" s="5"/>
      <c r="F3377" s="22">
        <f>IFERROR(__xludf.DUMMYFUNCTION("""COMPUTED_VALUE"""),500000.0)</f>
        <v>500000</v>
      </c>
      <c r="G3377" s="22">
        <f>IFERROR(__xludf.DUMMYFUNCTION("""COMPUTED_VALUE"""),0.0)</f>
        <v>0</v>
      </c>
      <c r="H3377" s="22">
        <f>IFERROR(__xludf.DUMMYFUNCTION("""COMPUTED_VALUE"""),500000.0)</f>
        <v>500000</v>
      </c>
      <c r="I3377" s="24">
        <f>IFERROR(__xludf.DUMMYFUNCTION("""COMPUTED_VALUE"""),0.0)</f>
        <v>0</v>
      </c>
    </row>
    <row r="3378">
      <c r="A3378" s="5" t="str">
        <f>IFERROR(__xludf.DUMMYFUNCTION("""COMPUTED_VALUE"""),"40318")</f>
        <v>40318</v>
      </c>
      <c r="B3378" s="64">
        <f>IFERROR(__xludf.DUMMYFUNCTION("""COMPUTED_VALUE"""),44620.0)</f>
        <v>44620</v>
      </c>
      <c r="C3378" s="5"/>
      <c r="D3378" s="5"/>
      <c r="E3378" s="5"/>
      <c r="F3378" s="22">
        <f>IFERROR(__xludf.DUMMYFUNCTION("""COMPUTED_VALUE"""),500000.0)</f>
        <v>500000</v>
      </c>
      <c r="G3378" s="22">
        <f>IFERROR(__xludf.DUMMYFUNCTION("""COMPUTED_VALUE"""),0.0)</f>
        <v>0</v>
      </c>
      <c r="H3378" s="22">
        <f>IFERROR(__xludf.DUMMYFUNCTION("""COMPUTED_VALUE"""),500000.0)</f>
        <v>500000</v>
      </c>
      <c r="I3378" s="24">
        <f>IFERROR(__xludf.DUMMYFUNCTION("""COMPUTED_VALUE"""),0.0)</f>
        <v>0</v>
      </c>
    </row>
    <row r="3379">
      <c r="A3379" s="5" t="str">
        <f>IFERROR(__xludf.DUMMYFUNCTION("""COMPUTED_VALUE"""),"40318")</f>
        <v>40318</v>
      </c>
      <c r="B3379" s="64">
        <f>IFERROR(__xludf.DUMMYFUNCTION("""COMPUTED_VALUE"""),44621.0)</f>
        <v>44621</v>
      </c>
      <c r="C3379" s="5"/>
      <c r="D3379" s="5"/>
      <c r="E3379" s="5"/>
      <c r="F3379" s="22">
        <f>IFERROR(__xludf.DUMMYFUNCTION("""COMPUTED_VALUE"""),500000.0)</f>
        <v>500000</v>
      </c>
      <c r="G3379" s="22">
        <f>IFERROR(__xludf.DUMMYFUNCTION("""COMPUTED_VALUE"""),0.0)</f>
        <v>0</v>
      </c>
      <c r="H3379" s="22">
        <f>IFERROR(__xludf.DUMMYFUNCTION("""COMPUTED_VALUE"""),500000.0)</f>
        <v>500000</v>
      </c>
      <c r="I3379" s="24">
        <f>IFERROR(__xludf.DUMMYFUNCTION("""COMPUTED_VALUE"""),0.0)</f>
        <v>0</v>
      </c>
    </row>
    <row r="3380">
      <c r="A3380" s="5" t="str">
        <f>IFERROR(__xludf.DUMMYFUNCTION("""COMPUTED_VALUE"""),"40318")</f>
        <v>40318</v>
      </c>
      <c r="B3380" s="64">
        <f>IFERROR(__xludf.DUMMYFUNCTION("""COMPUTED_VALUE"""),44622.0)</f>
        <v>44622</v>
      </c>
      <c r="C3380" s="5"/>
      <c r="D3380" s="5"/>
      <c r="E3380" s="5"/>
      <c r="F3380" s="22">
        <f>IFERROR(__xludf.DUMMYFUNCTION("""COMPUTED_VALUE"""),500000.0)</f>
        <v>500000</v>
      </c>
      <c r="G3380" s="22">
        <f>IFERROR(__xludf.DUMMYFUNCTION("""COMPUTED_VALUE"""),0.0)</f>
        <v>0</v>
      </c>
      <c r="H3380" s="22">
        <f>IFERROR(__xludf.DUMMYFUNCTION("""COMPUTED_VALUE"""),500000.0)</f>
        <v>500000</v>
      </c>
      <c r="I3380" s="24">
        <f>IFERROR(__xludf.DUMMYFUNCTION("""COMPUTED_VALUE"""),0.0)</f>
        <v>0</v>
      </c>
    </row>
    <row r="3381">
      <c r="A3381" s="5" t="str">
        <f>IFERROR(__xludf.DUMMYFUNCTION("""COMPUTED_VALUE"""),"40318")</f>
        <v>40318</v>
      </c>
      <c r="B3381" s="64">
        <f>IFERROR(__xludf.DUMMYFUNCTION("""COMPUTED_VALUE"""),44623.0)</f>
        <v>44623</v>
      </c>
      <c r="C3381" s="5"/>
      <c r="D3381" s="5"/>
      <c r="E3381" s="5"/>
      <c r="F3381" s="22">
        <f>IFERROR(__xludf.DUMMYFUNCTION("""COMPUTED_VALUE"""),500000.0)</f>
        <v>500000</v>
      </c>
      <c r="G3381" s="22">
        <f>IFERROR(__xludf.DUMMYFUNCTION("""COMPUTED_VALUE"""),0.0)</f>
        <v>0</v>
      </c>
      <c r="H3381" s="22">
        <f>IFERROR(__xludf.DUMMYFUNCTION("""COMPUTED_VALUE"""),500000.0)</f>
        <v>500000</v>
      </c>
      <c r="I3381" s="24">
        <f>IFERROR(__xludf.DUMMYFUNCTION("""COMPUTED_VALUE"""),0.0)</f>
        <v>0</v>
      </c>
    </row>
    <row r="3382">
      <c r="A3382" s="5" t="str">
        <f>IFERROR(__xludf.DUMMYFUNCTION("""COMPUTED_VALUE"""),"40318")</f>
        <v>40318</v>
      </c>
      <c r="B3382" s="64">
        <f>IFERROR(__xludf.DUMMYFUNCTION("""COMPUTED_VALUE"""),44624.0)</f>
        <v>44624</v>
      </c>
      <c r="C3382" s="5"/>
      <c r="D3382" s="5"/>
      <c r="E3382" s="5"/>
      <c r="F3382" s="22">
        <f>IFERROR(__xludf.DUMMYFUNCTION("""COMPUTED_VALUE"""),500000.0)</f>
        <v>500000</v>
      </c>
      <c r="G3382" s="22">
        <f>IFERROR(__xludf.DUMMYFUNCTION("""COMPUTED_VALUE"""),0.0)</f>
        <v>0</v>
      </c>
      <c r="H3382" s="22">
        <f>IFERROR(__xludf.DUMMYFUNCTION("""COMPUTED_VALUE"""),500000.0)</f>
        <v>500000</v>
      </c>
      <c r="I3382" s="24">
        <f>IFERROR(__xludf.DUMMYFUNCTION("""COMPUTED_VALUE"""),0.0)</f>
        <v>0</v>
      </c>
    </row>
    <row r="3383">
      <c r="A3383" s="5" t="str">
        <f>IFERROR(__xludf.DUMMYFUNCTION("""COMPUTED_VALUE"""),"40318")</f>
        <v>40318</v>
      </c>
      <c r="B3383" s="64">
        <f>IFERROR(__xludf.DUMMYFUNCTION("""COMPUTED_VALUE"""),44625.0)</f>
        <v>44625</v>
      </c>
      <c r="C3383" s="5"/>
      <c r="D3383" s="5"/>
      <c r="E3383" s="5"/>
      <c r="F3383" s="22">
        <f>IFERROR(__xludf.DUMMYFUNCTION("""COMPUTED_VALUE"""),500000.0)</f>
        <v>500000</v>
      </c>
      <c r="G3383" s="22">
        <f>IFERROR(__xludf.DUMMYFUNCTION("""COMPUTED_VALUE"""),0.0)</f>
        <v>0</v>
      </c>
      <c r="H3383" s="22">
        <f>IFERROR(__xludf.DUMMYFUNCTION("""COMPUTED_VALUE"""),500000.0)</f>
        <v>500000</v>
      </c>
      <c r="I3383" s="24">
        <f>IFERROR(__xludf.DUMMYFUNCTION("""COMPUTED_VALUE"""),0.0)</f>
        <v>0</v>
      </c>
    </row>
    <row r="3384">
      <c r="A3384" s="5" t="str">
        <f>IFERROR(__xludf.DUMMYFUNCTION("""COMPUTED_VALUE"""),"40318")</f>
        <v>40318</v>
      </c>
      <c r="B3384" s="64">
        <f>IFERROR(__xludf.DUMMYFUNCTION("""COMPUTED_VALUE"""),44626.0)</f>
        <v>44626</v>
      </c>
      <c r="C3384" s="5"/>
      <c r="D3384" s="5"/>
      <c r="E3384" s="5"/>
      <c r="F3384" s="22">
        <f>IFERROR(__xludf.DUMMYFUNCTION("""COMPUTED_VALUE"""),500000.0)</f>
        <v>500000</v>
      </c>
      <c r="G3384" s="22">
        <f>IFERROR(__xludf.DUMMYFUNCTION("""COMPUTED_VALUE"""),0.0)</f>
        <v>0</v>
      </c>
      <c r="H3384" s="22">
        <f>IFERROR(__xludf.DUMMYFUNCTION("""COMPUTED_VALUE"""),500000.0)</f>
        <v>500000</v>
      </c>
      <c r="I3384" s="24">
        <f>IFERROR(__xludf.DUMMYFUNCTION("""COMPUTED_VALUE"""),0.0)</f>
        <v>0</v>
      </c>
    </row>
    <row r="3385">
      <c r="A3385" s="5" t="str">
        <f>IFERROR(__xludf.DUMMYFUNCTION("""COMPUTED_VALUE"""),"40318")</f>
        <v>40318</v>
      </c>
      <c r="B3385" s="64">
        <f>IFERROR(__xludf.DUMMYFUNCTION("""COMPUTED_VALUE"""),44627.0)</f>
        <v>44627</v>
      </c>
      <c r="C3385" s="5"/>
      <c r="D3385" s="5"/>
      <c r="E3385" s="5"/>
      <c r="F3385" s="22">
        <f>IFERROR(__xludf.DUMMYFUNCTION("""COMPUTED_VALUE"""),500000.0)</f>
        <v>500000</v>
      </c>
      <c r="G3385" s="22">
        <f>IFERROR(__xludf.DUMMYFUNCTION("""COMPUTED_VALUE"""),0.0)</f>
        <v>0</v>
      </c>
      <c r="H3385" s="22">
        <f>IFERROR(__xludf.DUMMYFUNCTION("""COMPUTED_VALUE"""),500000.0)</f>
        <v>500000</v>
      </c>
      <c r="I3385" s="24">
        <f>IFERROR(__xludf.DUMMYFUNCTION("""COMPUTED_VALUE"""),0.0)</f>
        <v>0</v>
      </c>
    </row>
    <row r="3386">
      <c r="A3386" s="5" t="str">
        <f>IFERROR(__xludf.DUMMYFUNCTION("""COMPUTED_VALUE"""),"40318")</f>
        <v>40318</v>
      </c>
      <c r="B3386" s="64">
        <f>IFERROR(__xludf.DUMMYFUNCTION("""COMPUTED_VALUE"""),44628.0)</f>
        <v>44628</v>
      </c>
      <c r="C3386" s="5"/>
      <c r="D3386" s="5"/>
      <c r="E3386" s="5"/>
      <c r="F3386" s="22">
        <f>IFERROR(__xludf.DUMMYFUNCTION("""COMPUTED_VALUE"""),500000.0)</f>
        <v>500000</v>
      </c>
      <c r="G3386" s="22">
        <f>IFERROR(__xludf.DUMMYFUNCTION("""COMPUTED_VALUE"""),0.0)</f>
        <v>0</v>
      </c>
      <c r="H3386" s="22">
        <f>IFERROR(__xludf.DUMMYFUNCTION("""COMPUTED_VALUE"""),500000.0)</f>
        <v>500000</v>
      </c>
      <c r="I3386" s="24">
        <f>IFERROR(__xludf.DUMMYFUNCTION("""COMPUTED_VALUE"""),0.0)</f>
        <v>0</v>
      </c>
    </row>
    <row r="3387">
      <c r="A3387" s="5" t="str">
        <f>IFERROR(__xludf.DUMMYFUNCTION("""COMPUTED_VALUE"""),"40318")</f>
        <v>40318</v>
      </c>
      <c r="B3387" s="64">
        <f>IFERROR(__xludf.DUMMYFUNCTION("""COMPUTED_VALUE"""),44629.0)</f>
        <v>44629</v>
      </c>
      <c r="C3387" s="5"/>
      <c r="D3387" s="5"/>
      <c r="E3387" s="5"/>
      <c r="F3387" s="22">
        <f>IFERROR(__xludf.DUMMYFUNCTION("""COMPUTED_VALUE"""),327892.97875999997)</f>
        <v>327892.9788</v>
      </c>
      <c r="G3387" s="22">
        <f>IFERROR(__xludf.DUMMYFUNCTION("""COMPUTED_VALUE"""),0.0)</f>
        <v>0</v>
      </c>
      <c r="H3387" s="22">
        <f>IFERROR(__xludf.DUMMYFUNCTION("""COMPUTED_VALUE"""),500000.0)</f>
        <v>500000</v>
      </c>
      <c r="I3387" s="24">
        <f>IFERROR(__xludf.DUMMYFUNCTION("""COMPUTED_VALUE"""),0.0)</f>
        <v>0</v>
      </c>
    </row>
    <row r="3388">
      <c r="A3388" s="5" t="str">
        <f>IFERROR(__xludf.DUMMYFUNCTION("""COMPUTED_VALUE"""),"40318")</f>
        <v>40318</v>
      </c>
      <c r="B3388" s="64">
        <f>IFERROR(__xludf.DUMMYFUNCTION("""COMPUTED_VALUE"""),44630.0)</f>
        <v>44630</v>
      </c>
      <c r="C3388" s="5"/>
      <c r="D3388" s="5"/>
      <c r="E3388" s="5"/>
      <c r="F3388" s="22">
        <f>IFERROR(__xludf.DUMMYFUNCTION("""COMPUTED_VALUE"""),327892.97875999997)</f>
        <v>327892.9788</v>
      </c>
      <c r="G3388" s="22">
        <f>IFERROR(__xludf.DUMMYFUNCTION("""COMPUTED_VALUE"""),0.0)</f>
        <v>0</v>
      </c>
      <c r="H3388" s="22">
        <f>IFERROR(__xludf.DUMMYFUNCTION("""COMPUTED_VALUE"""),501637.37189)</f>
        <v>501637.3719</v>
      </c>
      <c r="I3388" s="24">
        <f>IFERROR(__xludf.DUMMYFUNCTION("""COMPUTED_VALUE"""),0.0032747437800000334)</f>
        <v>0.00327474378</v>
      </c>
    </row>
    <row r="3389">
      <c r="A3389" s="5" t="str">
        <f>IFERROR(__xludf.DUMMYFUNCTION("""COMPUTED_VALUE"""),"40318")</f>
        <v>40318</v>
      </c>
      <c r="B3389" s="64">
        <f>IFERROR(__xludf.DUMMYFUNCTION("""COMPUTED_VALUE"""),44631.0)</f>
        <v>44631</v>
      </c>
      <c r="C3389" s="5"/>
      <c r="D3389" s="5"/>
      <c r="E3389" s="5"/>
      <c r="F3389" s="22">
        <f>IFERROR(__xludf.DUMMYFUNCTION("""COMPUTED_VALUE"""),327892.97875999997)</f>
        <v>327892.9788</v>
      </c>
      <c r="G3389" s="22">
        <f>IFERROR(__xludf.DUMMYFUNCTION("""COMPUTED_VALUE"""),0.0)</f>
        <v>0</v>
      </c>
      <c r="H3389" s="22">
        <f>IFERROR(__xludf.DUMMYFUNCTION("""COMPUTED_VALUE"""),491856.92891)</f>
        <v>491856.9289</v>
      </c>
      <c r="I3389" s="24">
        <f>IFERROR(__xludf.DUMMYFUNCTION("""COMPUTED_VALUE"""),-0.01628614218000002)</f>
        <v>-0.01628614218</v>
      </c>
    </row>
    <row r="3390">
      <c r="A3390" s="5" t="str">
        <f>IFERROR(__xludf.DUMMYFUNCTION("""COMPUTED_VALUE"""),"40318")</f>
        <v>40318</v>
      </c>
      <c r="B3390" s="64">
        <f>IFERROR(__xludf.DUMMYFUNCTION("""COMPUTED_VALUE"""),44632.0)</f>
        <v>44632</v>
      </c>
      <c r="C3390" s="5"/>
      <c r="D3390" s="5"/>
      <c r="E3390" s="5"/>
      <c r="F3390" s="22">
        <f>IFERROR(__xludf.DUMMYFUNCTION("""COMPUTED_VALUE"""),327892.97875999997)</f>
        <v>327892.9788</v>
      </c>
      <c r="G3390" s="22">
        <f>IFERROR(__xludf.DUMMYFUNCTION("""COMPUTED_VALUE"""),0.0)</f>
        <v>0</v>
      </c>
      <c r="H3390" s="22">
        <f>IFERROR(__xludf.DUMMYFUNCTION("""COMPUTED_VALUE"""),491856.92891)</f>
        <v>491856.9289</v>
      </c>
      <c r="I3390" s="24">
        <f>IFERROR(__xludf.DUMMYFUNCTION("""COMPUTED_VALUE"""),-0.01628614218000002)</f>
        <v>-0.01628614218</v>
      </c>
    </row>
    <row r="3391">
      <c r="A3391" s="5" t="str">
        <f>IFERROR(__xludf.DUMMYFUNCTION("""COMPUTED_VALUE"""),"40318")</f>
        <v>40318</v>
      </c>
      <c r="B3391" s="64">
        <f>IFERROR(__xludf.DUMMYFUNCTION("""COMPUTED_VALUE"""),44633.0)</f>
        <v>44633</v>
      </c>
      <c r="C3391" s="5"/>
      <c r="D3391" s="5"/>
      <c r="E3391" s="5"/>
      <c r="F3391" s="22">
        <f>IFERROR(__xludf.DUMMYFUNCTION("""COMPUTED_VALUE"""),327892.97875999997)</f>
        <v>327892.9788</v>
      </c>
      <c r="G3391" s="22">
        <f>IFERROR(__xludf.DUMMYFUNCTION("""COMPUTED_VALUE"""),0.0)</f>
        <v>0</v>
      </c>
      <c r="H3391" s="22">
        <f>IFERROR(__xludf.DUMMYFUNCTION("""COMPUTED_VALUE"""),491856.92891)</f>
        <v>491856.9289</v>
      </c>
      <c r="I3391" s="24">
        <f>IFERROR(__xludf.DUMMYFUNCTION("""COMPUTED_VALUE"""),-0.01628614218000002)</f>
        <v>-0.01628614218</v>
      </c>
    </row>
    <row r="3392">
      <c r="A3392" s="5" t="str">
        <f>IFERROR(__xludf.DUMMYFUNCTION("""COMPUTED_VALUE"""),"40318")</f>
        <v>40318</v>
      </c>
      <c r="B3392" s="64">
        <f>IFERROR(__xludf.DUMMYFUNCTION("""COMPUTED_VALUE"""),44634.0)</f>
        <v>44634</v>
      </c>
      <c r="C3392" s="5"/>
      <c r="D3392" s="5"/>
      <c r="E3392" s="5"/>
      <c r="F3392" s="22">
        <f>IFERROR(__xludf.DUMMYFUNCTION("""COMPUTED_VALUE"""),327892.97875999997)</f>
        <v>327892.9788</v>
      </c>
      <c r="G3392" s="22">
        <f>IFERROR(__xludf.DUMMYFUNCTION("""COMPUTED_VALUE"""),0.0)</f>
        <v>0</v>
      </c>
      <c r="H3392" s="22">
        <f>IFERROR(__xludf.DUMMYFUNCTION("""COMPUTED_VALUE"""),487016.75126)</f>
        <v>487016.7513</v>
      </c>
      <c r="I3392" s="24">
        <f>IFERROR(__xludf.DUMMYFUNCTION("""COMPUTED_VALUE"""),-0.025966497480000017)</f>
        <v>-0.02596649748</v>
      </c>
    </row>
    <row r="3393">
      <c r="A3393" s="5" t="str">
        <f>IFERROR(__xludf.DUMMYFUNCTION("""COMPUTED_VALUE"""),"40318")</f>
        <v>40318</v>
      </c>
      <c r="B3393" s="64">
        <f>IFERROR(__xludf.DUMMYFUNCTION("""COMPUTED_VALUE"""),44635.0)</f>
        <v>44635</v>
      </c>
      <c r="C3393" s="5"/>
      <c r="D3393" s="5"/>
      <c r="E3393" s="5"/>
      <c r="F3393" s="22">
        <f>IFERROR(__xludf.DUMMYFUNCTION("""COMPUTED_VALUE"""),327892.97875999997)</f>
        <v>327892.9788</v>
      </c>
      <c r="G3393" s="22">
        <f>IFERROR(__xludf.DUMMYFUNCTION("""COMPUTED_VALUE"""),0.0)</f>
        <v>0</v>
      </c>
      <c r="H3393" s="22">
        <f>IFERROR(__xludf.DUMMYFUNCTION("""COMPUTED_VALUE"""),493029.83141)</f>
        <v>493029.8314</v>
      </c>
      <c r="I3393" s="24">
        <f>IFERROR(__xludf.DUMMYFUNCTION("""COMPUTED_VALUE"""),-0.013940337179999984)</f>
        <v>-0.01394033718</v>
      </c>
    </row>
    <row r="3394">
      <c r="A3394" s="5" t="str">
        <f>IFERROR(__xludf.DUMMYFUNCTION("""COMPUTED_VALUE"""),"40318")</f>
        <v>40318</v>
      </c>
      <c r="B3394" s="64">
        <f>IFERROR(__xludf.DUMMYFUNCTION("""COMPUTED_VALUE"""),44636.0)</f>
        <v>44636</v>
      </c>
      <c r="C3394" s="5"/>
      <c r="D3394" s="5"/>
      <c r="E3394" s="5"/>
      <c r="F3394" s="22">
        <f>IFERROR(__xludf.DUMMYFUNCTION("""COMPUTED_VALUE"""),327892.97875999997)</f>
        <v>327892.9788</v>
      </c>
      <c r="G3394" s="22">
        <f>IFERROR(__xludf.DUMMYFUNCTION("""COMPUTED_VALUE"""),0.0)</f>
        <v>0</v>
      </c>
      <c r="H3394" s="22">
        <f>IFERROR(__xludf.DUMMYFUNCTION("""COMPUTED_VALUE"""),497106.84050000005)</f>
        <v>497106.8405</v>
      </c>
      <c r="I3394" s="24">
        <f>IFERROR(__xludf.DUMMYFUNCTION("""COMPUTED_VALUE"""),-0.005786318999999929)</f>
        <v>-0.005786319</v>
      </c>
    </row>
    <row r="3395">
      <c r="A3395" s="5" t="str">
        <f>IFERROR(__xludf.DUMMYFUNCTION("""COMPUTED_VALUE"""),"40318")</f>
        <v>40318</v>
      </c>
      <c r="B3395" s="64">
        <f>IFERROR(__xludf.DUMMYFUNCTION("""COMPUTED_VALUE"""),44637.0)</f>
        <v>44637</v>
      </c>
      <c r="C3395" s="5"/>
      <c r="D3395" s="5"/>
      <c r="E3395" s="5"/>
      <c r="F3395" s="22">
        <f>IFERROR(__xludf.DUMMYFUNCTION("""COMPUTED_VALUE"""),327892.97875999997)</f>
        <v>327892.9788</v>
      </c>
      <c r="G3395" s="22">
        <f>IFERROR(__xludf.DUMMYFUNCTION("""COMPUTED_VALUE"""),0.0)</f>
        <v>0</v>
      </c>
      <c r="H3395" s="22">
        <f>IFERROR(__xludf.DUMMYFUNCTION("""COMPUTED_VALUE"""),499729.4504900001)</f>
        <v>499729.4505</v>
      </c>
      <c r="I3395" s="24">
        <f>IFERROR(__xludf.DUMMYFUNCTION("""COMPUTED_VALUE"""),-5.4109901999988E-4)</f>
        <v>-0.00054109902</v>
      </c>
    </row>
    <row r="3396">
      <c r="A3396" s="5" t="str">
        <f>IFERROR(__xludf.DUMMYFUNCTION("""COMPUTED_VALUE"""),"40318")</f>
        <v>40318</v>
      </c>
      <c r="B3396" s="64">
        <f>IFERROR(__xludf.DUMMYFUNCTION("""COMPUTED_VALUE"""),44638.0)</f>
        <v>44638</v>
      </c>
      <c r="C3396" s="5"/>
      <c r="D3396" s="5"/>
      <c r="E3396" s="5"/>
      <c r="F3396" s="22">
        <f>IFERROR(__xludf.DUMMYFUNCTION("""COMPUTED_VALUE"""),327892.97875999997)</f>
        <v>327892.9788</v>
      </c>
      <c r="G3396" s="22">
        <f>IFERROR(__xludf.DUMMYFUNCTION("""COMPUTED_VALUE"""),0.0)</f>
        <v>0</v>
      </c>
      <c r="H3396" s="22">
        <f>IFERROR(__xludf.DUMMYFUNCTION("""COMPUTED_VALUE"""),503786.346998)</f>
        <v>503786.347</v>
      </c>
      <c r="I3396" s="24">
        <f>IFERROR(__xludf.DUMMYFUNCTION("""COMPUTED_VALUE"""),0.007572693995999913)</f>
        <v>0.007572693996</v>
      </c>
    </row>
    <row r="3397">
      <c r="A3397" s="5" t="str">
        <f>IFERROR(__xludf.DUMMYFUNCTION("""COMPUTED_VALUE"""),"40318")</f>
        <v>40318</v>
      </c>
      <c r="B3397" s="64">
        <f>IFERROR(__xludf.DUMMYFUNCTION("""COMPUTED_VALUE"""),44639.0)</f>
        <v>44639</v>
      </c>
      <c r="C3397" s="5"/>
      <c r="D3397" s="5"/>
      <c r="E3397" s="5"/>
      <c r="F3397" s="22">
        <f>IFERROR(__xludf.DUMMYFUNCTION("""COMPUTED_VALUE"""),327892.97875999997)</f>
        <v>327892.9788</v>
      </c>
      <c r="G3397" s="22">
        <f>IFERROR(__xludf.DUMMYFUNCTION("""COMPUTED_VALUE"""),0.0)</f>
        <v>0</v>
      </c>
      <c r="H3397" s="22">
        <f>IFERROR(__xludf.DUMMYFUNCTION("""COMPUTED_VALUE"""),503786.346998)</f>
        <v>503786.347</v>
      </c>
      <c r="I3397" s="24">
        <f>IFERROR(__xludf.DUMMYFUNCTION("""COMPUTED_VALUE"""),0.007572693995999913)</f>
        <v>0.007572693996</v>
      </c>
    </row>
    <row r="3398">
      <c r="A3398" s="5" t="str">
        <f>IFERROR(__xludf.DUMMYFUNCTION("""COMPUTED_VALUE"""),"40318")</f>
        <v>40318</v>
      </c>
      <c r="B3398" s="64">
        <f>IFERROR(__xludf.DUMMYFUNCTION("""COMPUTED_VALUE"""),44640.0)</f>
        <v>44640</v>
      </c>
      <c r="C3398" s="5"/>
      <c r="D3398" s="5"/>
      <c r="E3398" s="5"/>
      <c r="F3398" s="22">
        <f>IFERROR(__xludf.DUMMYFUNCTION("""COMPUTED_VALUE"""),327892.97875999997)</f>
        <v>327892.9788</v>
      </c>
      <c r="G3398" s="22">
        <f>IFERROR(__xludf.DUMMYFUNCTION("""COMPUTED_VALUE"""),0.0)</f>
        <v>0</v>
      </c>
      <c r="H3398" s="22">
        <f>IFERROR(__xludf.DUMMYFUNCTION("""COMPUTED_VALUE"""),503786.346998)</f>
        <v>503786.347</v>
      </c>
      <c r="I3398" s="24">
        <f>IFERROR(__xludf.DUMMYFUNCTION("""COMPUTED_VALUE"""),0.007572693995999913)</f>
        <v>0.007572693996</v>
      </c>
    </row>
    <row r="3399">
      <c r="A3399" s="5" t="str">
        <f>IFERROR(__xludf.DUMMYFUNCTION("""COMPUTED_VALUE"""),"40318")</f>
        <v>40318</v>
      </c>
      <c r="B3399" s="64">
        <f>IFERROR(__xludf.DUMMYFUNCTION("""COMPUTED_VALUE"""),44641.0)</f>
        <v>44641</v>
      </c>
      <c r="C3399" s="5"/>
      <c r="D3399" s="5"/>
      <c r="E3399" s="5"/>
      <c r="F3399" s="22">
        <f>IFERROR(__xludf.DUMMYFUNCTION("""COMPUTED_VALUE"""),327892.97875999997)</f>
        <v>327892.9788</v>
      </c>
      <c r="G3399" s="22">
        <f>IFERROR(__xludf.DUMMYFUNCTION("""COMPUTED_VALUE"""),0.0)</f>
        <v>0</v>
      </c>
      <c r="H3399" s="22">
        <f>IFERROR(__xludf.DUMMYFUNCTION("""COMPUTED_VALUE"""),503508.068858)</f>
        <v>503508.0689</v>
      </c>
      <c r="I3399" s="24">
        <f>IFERROR(__xludf.DUMMYFUNCTION("""COMPUTED_VALUE"""),0.00701613771600007)</f>
        <v>0.007016137716</v>
      </c>
    </row>
    <row r="3400">
      <c r="A3400" s="5" t="str">
        <f>IFERROR(__xludf.DUMMYFUNCTION("""COMPUTED_VALUE"""),"40318")</f>
        <v>40318</v>
      </c>
      <c r="B3400" s="64">
        <f>IFERROR(__xludf.DUMMYFUNCTION("""COMPUTED_VALUE"""),44642.0)</f>
        <v>44642</v>
      </c>
      <c r="C3400" s="5"/>
      <c r="D3400" s="5"/>
      <c r="E3400" s="5"/>
      <c r="F3400" s="22">
        <f>IFERROR(__xludf.DUMMYFUNCTION("""COMPUTED_VALUE"""),327892.97875999997)</f>
        <v>327892.9788</v>
      </c>
      <c r="G3400" s="22">
        <f>IFERROR(__xludf.DUMMYFUNCTION("""COMPUTED_VALUE"""),0.0)</f>
        <v>0</v>
      </c>
      <c r="H3400" s="22">
        <f>IFERROR(__xludf.DUMMYFUNCTION("""COMPUTED_VALUE"""),505777.46714)</f>
        <v>505777.4671</v>
      </c>
      <c r="I3400" s="24">
        <f>IFERROR(__xludf.DUMMYFUNCTION("""COMPUTED_VALUE"""),0.011554934280000095)</f>
        <v>0.01155493428</v>
      </c>
    </row>
    <row r="3401">
      <c r="A3401" s="5" t="str">
        <f>IFERROR(__xludf.DUMMYFUNCTION("""COMPUTED_VALUE"""),"40318")</f>
        <v>40318</v>
      </c>
      <c r="B3401" s="64">
        <f>IFERROR(__xludf.DUMMYFUNCTION("""COMPUTED_VALUE"""),44643.0)</f>
        <v>44643</v>
      </c>
      <c r="C3401" s="5"/>
      <c r="D3401" s="5"/>
      <c r="E3401" s="5"/>
      <c r="F3401" s="22">
        <f>IFERROR(__xludf.DUMMYFUNCTION("""COMPUTED_VALUE"""),327892.97875999997)</f>
        <v>327892.9788</v>
      </c>
      <c r="G3401" s="22">
        <f>IFERROR(__xludf.DUMMYFUNCTION("""COMPUTED_VALUE"""),0.0)</f>
        <v>0</v>
      </c>
      <c r="H3401" s="22">
        <f>IFERROR(__xludf.DUMMYFUNCTION("""COMPUTED_VALUE"""),505436.63355200004)</f>
        <v>505436.6336</v>
      </c>
      <c r="I3401" s="24">
        <f>IFERROR(__xludf.DUMMYFUNCTION("""COMPUTED_VALUE"""),0.010873267104000162)</f>
        <v>0.0108732671</v>
      </c>
    </row>
    <row r="3402">
      <c r="A3402" s="5" t="str">
        <f>IFERROR(__xludf.DUMMYFUNCTION("""COMPUTED_VALUE"""),"40318")</f>
        <v>40318</v>
      </c>
      <c r="B3402" s="64">
        <f>IFERROR(__xludf.DUMMYFUNCTION("""COMPUTED_VALUE"""),44644.0)</f>
        <v>44644</v>
      </c>
      <c r="C3402" s="5"/>
      <c r="D3402" s="5"/>
      <c r="E3402" s="5"/>
      <c r="F3402" s="22">
        <f>IFERROR(__xludf.DUMMYFUNCTION("""COMPUTED_VALUE"""),327892.97875999997)</f>
        <v>327892.9788</v>
      </c>
      <c r="G3402" s="22">
        <f>IFERROR(__xludf.DUMMYFUNCTION("""COMPUTED_VALUE"""),0.0)</f>
        <v>0</v>
      </c>
      <c r="H3402" s="22">
        <f>IFERROR(__xludf.DUMMYFUNCTION("""COMPUTED_VALUE"""),509266.80131)</f>
        <v>509266.8013</v>
      </c>
      <c r="I3402" s="24">
        <f>IFERROR(__xludf.DUMMYFUNCTION("""COMPUTED_VALUE"""),0.018533602620000034)</f>
        <v>0.01853360262</v>
      </c>
    </row>
    <row r="3403">
      <c r="A3403" s="5" t="str">
        <f>IFERROR(__xludf.DUMMYFUNCTION("""COMPUTED_VALUE"""),"40318")</f>
        <v>40318</v>
      </c>
      <c r="B3403" s="64">
        <f>IFERROR(__xludf.DUMMYFUNCTION("""COMPUTED_VALUE"""),44645.0)</f>
        <v>44645</v>
      </c>
      <c r="C3403" s="5"/>
      <c r="D3403" s="5"/>
      <c r="E3403" s="5"/>
      <c r="F3403" s="22">
        <f>IFERROR(__xludf.DUMMYFUNCTION("""COMPUTED_VALUE"""),327892.97875999997)</f>
        <v>327892.9788</v>
      </c>
      <c r="G3403" s="22">
        <f>IFERROR(__xludf.DUMMYFUNCTION("""COMPUTED_VALUE"""),0.0)</f>
        <v>0</v>
      </c>
      <c r="H3403" s="22">
        <f>IFERROR(__xludf.DUMMYFUNCTION("""COMPUTED_VALUE"""),508187.77313)</f>
        <v>508187.7731</v>
      </c>
      <c r="I3403" s="24">
        <f>IFERROR(__xludf.DUMMYFUNCTION("""COMPUTED_VALUE"""),0.01637554625999993)</f>
        <v>0.01637554626</v>
      </c>
    </row>
    <row r="3404">
      <c r="A3404" s="5" t="str">
        <f>IFERROR(__xludf.DUMMYFUNCTION("""COMPUTED_VALUE"""),"40318")</f>
        <v>40318</v>
      </c>
      <c r="B3404" s="64">
        <f>IFERROR(__xludf.DUMMYFUNCTION("""COMPUTED_VALUE"""),44646.0)</f>
        <v>44646</v>
      </c>
      <c r="C3404" s="5"/>
      <c r="D3404" s="5"/>
      <c r="E3404" s="5"/>
      <c r="F3404" s="22">
        <f>IFERROR(__xludf.DUMMYFUNCTION("""COMPUTED_VALUE"""),327892.97875999997)</f>
        <v>327892.9788</v>
      </c>
      <c r="G3404" s="22">
        <f>IFERROR(__xludf.DUMMYFUNCTION("""COMPUTED_VALUE"""),0.0)</f>
        <v>0</v>
      </c>
      <c r="H3404" s="22">
        <f>IFERROR(__xludf.DUMMYFUNCTION("""COMPUTED_VALUE"""),508187.77313)</f>
        <v>508187.7731</v>
      </c>
      <c r="I3404" s="24">
        <f>IFERROR(__xludf.DUMMYFUNCTION("""COMPUTED_VALUE"""),0.01637554625999993)</f>
        <v>0.01637554626</v>
      </c>
    </row>
    <row r="3405">
      <c r="A3405" s="5" t="str">
        <f>IFERROR(__xludf.DUMMYFUNCTION("""COMPUTED_VALUE"""),"40318")</f>
        <v>40318</v>
      </c>
      <c r="B3405" s="64">
        <f>IFERROR(__xludf.DUMMYFUNCTION("""COMPUTED_VALUE"""),44647.0)</f>
        <v>44647</v>
      </c>
      <c r="C3405" s="5"/>
      <c r="D3405" s="5"/>
      <c r="E3405" s="5"/>
      <c r="F3405" s="22">
        <f>IFERROR(__xludf.DUMMYFUNCTION("""COMPUTED_VALUE"""),327892.97875999997)</f>
        <v>327892.9788</v>
      </c>
      <c r="G3405" s="22">
        <f>IFERROR(__xludf.DUMMYFUNCTION("""COMPUTED_VALUE"""),0.0)</f>
        <v>0</v>
      </c>
      <c r="H3405" s="22">
        <f>IFERROR(__xludf.DUMMYFUNCTION("""COMPUTED_VALUE"""),508187.77313)</f>
        <v>508187.7731</v>
      </c>
      <c r="I3405" s="24">
        <f>IFERROR(__xludf.DUMMYFUNCTION("""COMPUTED_VALUE"""),0.01637554625999993)</f>
        <v>0.01637554626</v>
      </c>
    </row>
    <row r="3406">
      <c r="A3406" s="5" t="str">
        <f>IFERROR(__xludf.DUMMYFUNCTION("""COMPUTED_VALUE"""),"40318")</f>
        <v>40318</v>
      </c>
      <c r="B3406" s="64">
        <f>IFERROR(__xludf.DUMMYFUNCTION("""COMPUTED_VALUE"""),44648.0)</f>
        <v>44648</v>
      </c>
      <c r="C3406" s="5"/>
      <c r="D3406" s="5"/>
      <c r="E3406" s="5"/>
      <c r="F3406" s="22">
        <f>IFERROR(__xludf.DUMMYFUNCTION("""COMPUTED_VALUE"""),327892.97875999997)</f>
        <v>327892.9788</v>
      </c>
      <c r="G3406" s="22">
        <f>IFERROR(__xludf.DUMMYFUNCTION("""COMPUTED_VALUE"""),0.0)</f>
        <v>0</v>
      </c>
      <c r="H3406" s="22">
        <f>IFERROR(__xludf.DUMMYFUNCTION("""COMPUTED_VALUE"""),507032.1302240001)</f>
        <v>507032.1302</v>
      </c>
      <c r="I3406" s="24">
        <f>IFERROR(__xludf.DUMMYFUNCTION("""COMPUTED_VALUE"""),0.014064260448000132)</f>
        <v>0.01406426045</v>
      </c>
    </row>
    <row r="3407">
      <c r="A3407" s="5" t="str">
        <f>IFERROR(__xludf.DUMMYFUNCTION("""COMPUTED_VALUE"""),"40318")</f>
        <v>40318</v>
      </c>
      <c r="B3407" s="64">
        <f>IFERROR(__xludf.DUMMYFUNCTION("""COMPUTED_VALUE"""),44649.0)</f>
        <v>44649</v>
      </c>
      <c r="C3407" s="5"/>
      <c r="D3407" s="5"/>
      <c r="E3407" s="5"/>
      <c r="F3407" s="22">
        <f>IFERROR(__xludf.DUMMYFUNCTION("""COMPUTED_VALUE"""),327892.97875999997)</f>
        <v>327892.9788</v>
      </c>
      <c r="G3407" s="22">
        <f>IFERROR(__xludf.DUMMYFUNCTION("""COMPUTED_VALUE"""),0.0)</f>
        <v>0</v>
      </c>
      <c r="H3407" s="22">
        <f>IFERROR(__xludf.DUMMYFUNCTION("""COMPUTED_VALUE"""),509500.13481200003)</f>
        <v>509500.1348</v>
      </c>
      <c r="I3407" s="24">
        <f>IFERROR(__xludf.DUMMYFUNCTION("""COMPUTED_VALUE"""),0.019000269624000143)</f>
        <v>0.01900026962</v>
      </c>
    </row>
    <row r="3408">
      <c r="A3408" s="5" t="str">
        <f>IFERROR(__xludf.DUMMYFUNCTION("""COMPUTED_VALUE"""),"40318")</f>
        <v>40318</v>
      </c>
      <c r="B3408" s="64">
        <f>IFERROR(__xludf.DUMMYFUNCTION("""COMPUTED_VALUE"""),44650.0)</f>
        <v>44650</v>
      </c>
      <c r="C3408" s="5"/>
      <c r="D3408" s="5"/>
      <c r="E3408" s="5"/>
      <c r="F3408" s="22">
        <f>IFERROR(__xludf.DUMMYFUNCTION("""COMPUTED_VALUE"""),327892.97875999997)</f>
        <v>327892.9788</v>
      </c>
      <c r="G3408" s="22">
        <f>IFERROR(__xludf.DUMMYFUNCTION("""COMPUTED_VALUE"""),0.0)</f>
        <v>0</v>
      </c>
      <c r="H3408" s="22">
        <f>IFERROR(__xludf.DUMMYFUNCTION("""COMPUTED_VALUE"""),509989.54901)</f>
        <v>509989.549</v>
      </c>
      <c r="I3408" s="24">
        <f>IFERROR(__xludf.DUMMYFUNCTION("""COMPUTED_VALUE"""),0.019979098020000086)</f>
        <v>0.01997909802</v>
      </c>
    </row>
    <row r="3409">
      <c r="A3409" s="5" t="str">
        <f>IFERROR(__xludf.DUMMYFUNCTION("""COMPUTED_VALUE"""),"40318")</f>
        <v>40318</v>
      </c>
      <c r="B3409" s="64">
        <f>IFERROR(__xludf.DUMMYFUNCTION("""COMPUTED_VALUE"""),44651.0)</f>
        <v>44651</v>
      </c>
      <c r="C3409" s="5"/>
      <c r="D3409" s="5"/>
      <c r="E3409" s="5"/>
      <c r="F3409" s="22">
        <f>IFERROR(__xludf.DUMMYFUNCTION("""COMPUTED_VALUE"""),327892.97875999997)</f>
        <v>327892.9788</v>
      </c>
      <c r="G3409" s="22">
        <f>IFERROR(__xludf.DUMMYFUNCTION("""COMPUTED_VALUE"""),0.0)</f>
        <v>0</v>
      </c>
      <c r="H3409" s="22">
        <f>IFERROR(__xludf.DUMMYFUNCTION("""COMPUTED_VALUE"""),508400.45232200006)</f>
        <v>508400.4523</v>
      </c>
      <c r="I3409" s="24">
        <f>IFERROR(__xludf.DUMMYFUNCTION("""COMPUTED_VALUE"""),0.01680090464400008)</f>
        <v>0.01680090464</v>
      </c>
    </row>
    <row r="3410">
      <c r="A3410" s="5" t="str">
        <f>IFERROR(__xludf.DUMMYFUNCTION("""COMPUTED_VALUE"""),"40318")</f>
        <v>40318</v>
      </c>
      <c r="B3410" s="64">
        <f>IFERROR(__xludf.DUMMYFUNCTION("""COMPUTED_VALUE"""),44652.0)</f>
        <v>44652</v>
      </c>
      <c r="C3410" s="5"/>
      <c r="D3410" s="5"/>
      <c r="E3410" s="5"/>
      <c r="F3410" s="22">
        <f>IFERROR(__xludf.DUMMYFUNCTION("""COMPUTED_VALUE"""),327892.97875999997)</f>
        <v>327892.9788</v>
      </c>
      <c r="G3410" s="22">
        <f>IFERROR(__xludf.DUMMYFUNCTION("""COMPUTED_VALUE"""),0.0)</f>
        <v>0</v>
      </c>
      <c r="H3410" s="22">
        <f>IFERROR(__xludf.DUMMYFUNCTION("""COMPUTED_VALUE"""),509731.286252)</f>
        <v>509731.2863</v>
      </c>
      <c r="I3410" s="24">
        <f>IFERROR(__xludf.DUMMYFUNCTION("""COMPUTED_VALUE"""),0.019462572504000075)</f>
        <v>0.0194625725</v>
      </c>
    </row>
    <row r="3411">
      <c r="A3411" s="5" t="str">
        <f>IFERROR(__xludf.DUMMYFUNCTION("""COMPUTED_VALUE"""),"40318")</f>
        <v>40318</v>
      </c>
      <c r="B3411" s="64">
        <f>IFERROR(__xludf.DUMMYFUNCTION("""COMPUTED_VALUE"""),44653.0)</f>
        <v>44653</v>
      </c>
      <c r="C3411" s="5"/>
      <c r="D3411" s="5"/>
      <c r="E3411" s="5"/>
      <c r="F3411" s="22">
        <f>IFERROR(__xludf.DUMMYFUNCTION("""COMPUTED_VALUE"""),327892.97875999997)</f>
        <v>327892.9788</v>
      </c>
      <c r="G3411" s="22">
        <f>IFERROR(__xludf.DUMMYFUNCTION("""COMPUTED_VALUE"""),0.0)</f>
        <v>0</v>
      </c>
      <c r="H3411" s="22">
        <f>IFERROR(__xludf.DUMMYFUNCTION("""COMPUTED_VALUE"""),509731.286252)</f>
        <v>509731.2863</v>
      </c>
      <c r="I3411" s="24">
        <f>IFERROR(__xludf.DUMMYFUNCTION("""COMPUTED_VALUE"""),0.019462572504000075)</f>
        <v>0.0194625725</v>
      </c>
    </row>
    <row r="3412">
      <c r="A3412" s="5" t="str">
        <f>IFERROR(__xludf.DUMMYFUNCTION("""COMPUTED_VALUE"""),"40318")</f>
        <v>40318</v>
      </c>
      <c r="B3412" s="64">
        <f>IFERROR(__xludf.DUMMYFUNCTION("""COMPUTED_VALUE"""),44654.0)</f>
        <v>44654</v>
      </c>
      <c r="C3412" s="5"/>
      <c r="D3412" s="5"/>
      <c r="E3412" s="5"/>
      <c r="F3412" s="22">
        <f>IFERROR(__xludf.DUMMYFUNCTION("""COMPUTED_VALUE"""),327892.97875999997)</f>
        <v>327892.9788</v>
      </c>
      <c r="G3412" s="22">
        <f>IFERROR(__xludf.DUMMYFUNCTION("""COMPUTED_VALUE"""),0.0)</f>
        <v>0</v>
      </c>
      <c r="H3412" s="22">
        <f>IFERROR(__xludf.DUMMYFUNCTION("""COMPUTED_VALUE"""),509731.286252)</f>
        <v>509731.2863</v>
      </c>
      <c r="I3412" s="24">
        <f>IFERROR(__xludf.DUMMYFUNCTION("""COMPUTED_VALUE"""),0.019462572504000075)</f>
        <v>0.0194625725</v>
      </c>
    </row>
    <row r="3413">
      <c r="A3413" s="5" t="str">
        <f>IFERROR(__xludf.DUMMYFUNCTION("""COMPUTED_VALUE"""),"40318")</f>
        <v>40318</v>
      </c>
      <c r="B3413" s="64">
        <f>IFERROR(__xludf.DUMMYFUNCTION("""COMPUTED_VALUE"""),44655.0)</f>
        <v>44655</v>
      </c>
      <c r="C3413" s="5"/>
      <c r="D3413" s="5"/>
      <c r="E3413" s="5"/>
      <c r="F3413" s="22">
        <f>IFERROR(__xludf.DUMMYFUNCTION("""COMPUTED_VALUE"""),327892.97875999997)</f>
        <v>327892.9788</v>
      </c>
      <c r="G3413" s="22">
        <f>IFERROR(__xludf.DUMMYFUNCTION("""COMPUTED_VALUE"""),0.0)</f>
        <v>0</v>
      </c>
      <c r="H3413" s="22">
        <f>IFERROR(__xludf.DUMMYFUNCTION("""COMPUTED_VALUE"""),511276.65743600007)</f>
        <v>511276.6574</v>
      </c>
      <c r="I3413" s="24">
        <f>IFERROR(__xludf.DUMMYFUNCTION("""COMPUTED_VALUE"""),0.022553314872000074)</f>
        <v>0.02255331487</v>
      </c>
    </row>
    <row r="3414">
      <c r="A3414" s="5" t="str">
        <f>IFERROR(__xludf.DUMMYFUNCTION("""COMPUTED_VALUE"""),"40318")</f>
        <v>40318</v>
      </c>
      <c r="B3414" s="64">
        <f>IFERROR(__xludf.DUMMYFUNCTION("""COMPUTED_VALUE"""),44656.0)</f>
        <v>44656</v>
      </c>
      <c r="C3414" s="5"/>
      <c r="D3414" s="5"/>
      <c r="E3414" s="5"/>
      <c r="F3414" s="22">
        <f>IFERROR(__xludf.DUMMYFUNCTION("""COMPUTED_VALUE"""),327892.97875999997)</f>
        <v>327892.9788</v>
      </c>
      <c r="G3414" s="22">
        <f>IFERROR(__xludf.DUMMYFUNCTION("""COMPUTED_VALUE"""),0.0)</f>
        <v>0</v>
      </c>
      <c r="H3414" s="22">
        <f>IFERROR(__xludf.DUMMYFUNCTION("""COMPUTED_VALUE"""),509055.743012)</f>
        <v>509055.743</v>
      </c>
      <c r="I3414" s="24">
        <f>IFERROR(__xludf.DUMMYFUNCTION("""COMPUTED_VALUE"""),0.018111486023999923)</f>
        <v>0.01811148602</v>
      </c>
    </row>
    <row r="3415">
      <c r="A3415" s="5" t="str">
        <f>IFERROR(__xludf.DUMMYFUNCTION("""COMPUTED_VALUE"""),"40318")</f>
        <v>40318</v>
      </c>
      <c r="B3415" s="64">
        <f>IFERROR(__xludf.DUMMYFUNCTION("""COMPUTED_VALUE"""),44657.0)</f>
        <v>44657</v>
      </c>
      <c r="C3415" s="5"/>
      <c r="D3415" s="5"/>
      <c r="E3415" s="5"/>
      <c r="F3415" s="22">
        <f>IFERROR(__xludf.DUMMYFUNCTION("""COMPUTED_VALUE"""),327892.97875999997)</f>
        <v>327892.9788</v>
      </c>
      <c r="G3415" s="22">
        <f>IFERROR(__xludf.DUMMYFUNCTION("""COMPUTED_VALUE"""),0.0)</f>
        <v>0</v>
      </c>
      <c r="H3415" s="22">
        <f>IFERROR(__xludf.DUMMYFUNCTION("""COMPUTED_VALUE"""),507130.409738)</f>
        <v>507130.4097</v>
      </c>
      <c r="I3415" s="24">
        <f>IFERROR(__xludf.DUMMYFUNCTION("""COMPUTED_VALUE"""),0.014260819476000108)</f>
        <v>0.01426081948</v>
      </c>
    </row>
    <row r="3416">
      <c r="A3416" s="5" t="str">
        <f>IFERROR(__xludf.DUMMYFUNCTION("""COMPUTED_VALUE"""),"40318")</f>
        <v>40318</v>
      </c>
      <c r="B3416" s="64">
        <f>IFERROR(__xludf.DUMMYFUNCTION("""COMPUTED_VALUE"""),44658.0)</f>
        <v>44658</v>
      </c>
      <c r="C3416" s="5"/>
      <c r="D3416" s="5"/>
      <c r="E3416" s="5"/>
      <c r="F3416" s="22">
        <f>IFERROR(__xludf.DUMMYFUNCTION("""COMPUTED_VALUE"""),327892.97875999997)</f>
        <v>327892.9788</v>
      </c>
      <c r="G3416" s="22">
        <f>IFERROR(__xludf.DUMMYFUNCTION("""COMPUTED_VALUE"""),0.0)</f>
        <v>0</v>
      </c>
      <c r="H3416" s="22">
        <f>IFERROR(__xludf.DUMMYFUNCTION("""COMPUTED_VALUE"""),509404.28579)</f>
        <v>509404.2858</v>
      </c>
      <c r="I3416" s="24">
        <f>IFERROR(__xludf.DUMMYFUNCTION("""COMPUTED_VALUE"""),0.018808571579999933)</f>
        <v>0.01880857158</v>
      </c>
    </row>
    <row r="3417">
      <c r="A3417" s="5" t="str">
        <f>IFERROR(__xludf.DUMMYFUNCTION("""COMPUTED_VALUE"""),"40318")</f>
        <v>40318</v>
      </c>
      <c r="B3417" s="64">
        <f>IFERROR(__xludf.DUMMYFUNCTION("""COMPUTED_VALUE"""),44659.0)</f>
        <v>44659</v>
      </c>
      <c r="C3417" s="5"/>
      <c r="D3417" s="5"/>
      <c r="E3417" s="5"/>
      <c r="F3417" s="22">
        <f>IFERROR(__xludf.DUMMYFUNCTION("""COMPUTED_VALUE"""),327892.97875999997)</f>
        <v>327892.9788</v>
      </c>
      <c r="G3417" s="22">
        <f>IFERROR(__xludf.DUMMYFUNCTION("""COMPUTED_VALUE"""),0.0)</f>
        <v>0</v>
      </c>
      <c r="H3417" s="22">
        <f>IFERROR(__xludf.DUMMYFUNCTION("""COMPUTED_VALUE"""),508805.550311)</f>
        <v>508805.5503</v>
      </c>
      <c r="I3417" s="24">
        <f>IFERROR(__xludf.DUMMYFUNCTION("""COMPUTED_VALUE"""),0.01761110062200011)</f>
        <v>0.01761110062</v>
      </c>
    </row>
    <row r="3418">
      <c r="A3418" s="5" t="str">
        <f>IFERROR(__xludf.DUMMYFUNCTION("""COMPUTED_VALUE"""),"40318")</f>
        <v>40318</v>
      </c>
      <c r="B3418" s="64">
        <f>IFERROR(__xludf.DUMMYFUNCTION("""COMPUTED_VALUE"""),44660.0)</f>
        <v>44660</v>
      </c>
      <c r="C3418" s="5"/>
      <c r="D3418" s="5"/>
      <c r="E3418" s="5"/>
      <c r="F3418" s="22">
        <f>IFERROR(__xludf.DUMMYFUNCTION("""COMPUTED_VALUE"""),327892.97875999997)</f>
        <v>327892.9788</v>
      </c>
      <c r="G3418" s="22">
        <f>IFERROR(__xludf.DUMMYFUNCTION("""COMPUTED_VALUE"""),0.0)</f>
        <v>0</v>
      </c>
      <c r="H3418" s="22">
        <f>IFERROR(__xludf.DUMMYFUNCTION("""COMPUTED_VALUE"""),508805.550311)</f>
        <v>508805.5503</v>
      </c>
      <c r="I3418" s="24">
        <f>IFERROR(__xludf.DUMMYFUNCTION("""COMPUTED_VALUE"""),0.01761110062200011)</f>
        <v>0.01761110062</v>
      </c>
    </row>
    <row r="3419">
      <c r="A3419" s="5" t="str">
        <f>IFERROR(__xludf.DUMMYFUNCTION("""COMPUTED_VALUE"""),"40318")</f>
        <v>40318</v>
      </c>
      <c r="B3419" s="64">
        <f>IFERROR(__xludf.DUMMYFUNCTION("""COMPUTED_VALUE"""),44661.0)</f>
        <v>44661</v>
      </c>
      <c r="C3419" s="5"/>
      <c r="D3419" s="5"/>
      <c r="E3419" s="5"/>
      <c r="F3419" s="22">
        <f>IFERROR(__xludf.DUMMYFUNCTION("""COMPUTED_VALUE"""),327892.97875999997)</f>
        <v>327892.9788</v>
      </c>
      <c r="G3419" s="22">
        <f>IFERROR(__xludf.DUMMYFUNCTION("""COMPUTED_VALUE"""),0.0)</f>
        <v>0</v>
      </c>
      <c r="H3419" s="22">
        <f>IFERROR(__xludf.DUMMYFUNCTION("""COMPUTED_VALUE"""),508805.550311)</f>
        <v>508805.5503</v>
      </c>
      <c r="I3419" s="24">
        <f>IFERROR(__xludf.DUMMYFUNCTION("""COMPUTED_VALUE"""),0.01761110062200011)</f>
        <v>0.01761110062</v>
      </c>
    </row>
    <row r="3420">
      <c r="A3420" s="5" t="str">
        <f>IFERROR(__xludf.DUMMYFUNCTION("""COMPUTED_VALUE"""),"40318")</f>
        <v>40318</v>
      </c>
      <c r="B3420" s="64">
        <f>IFERROR(__xludf.DUMMYFUNCTION("""COMPUTED_VALUE"""),44662.0)</f>
        <v>44662</v>
      </c>
      <c r="C3420" s="5"/>
      <c r="D3420" s="5"/>
      <c r="E3420" s="5"/>
      <c r="F3420" s="22">
        <f>IFERROR(__xludf.DUMMYFUNCTION("""COMPUTED_VALUE"""),327892.97875999997)</f>
        <v>327892.9788</v>
      </c>
      <c r="G3420" s="22">
        <f>IFERROR(__xludf.DUMMYFUNCTION("""COMPUTED_VALUE"""),0.0)</f>
        <v>0</v>
      </c>
      <c r="H3420" s="22">
        <f>IFERROR(__xludf.DUMMYFUNCTION("""COMPUTED_VALUE"""),509234.602676)</f>
        <v>509234.6027</v>
      </c>
      <c r="I3420" s="24">
        <f>IFERROR(__xludf.DUMMYFUNCTION("""COMPUTED_VALUE"""),0.018469205351999918)</f>
        <v>0.01846920535</v>
      </c>
    </row>
    <row r="3421">
      <c r="A3421" s="5" t="str">
        <f>IFERROR(__xludf.DUMMYFUNCTION("""COMPUTED_VALUE"""),"40318")</f>
        <v>40318</v>
      </c>
      <c r="B3421" s="64">
        <f>IFERROR(__xludf.DUMMYFUNCTION("""COMPUTED_VALUE"""),44663.0)</f>
        <v>44663</v>
      </c>
      <c r="C3421" s="5"/>
      <c r="D3421" s="5"/>
      <c r="E3421" s="5"/>
      <c r="F3421" s="22">
        <f>IFERROR(__xludf.DUMMYFUNCTION("""COMPUTED_VALUE"""),327892.97875999997)</f>
        <v>327892.9788</v>
      </c>
      <c r="G3421" s="22">
        <f>IFERROR(__xludf.DUMMYFUNCTION("""COMPUTED_VALUE"""),0.0)</f>
        <v>0</v>
      </c>
      <c r="H3421" s="22">
        <f>IFERROR(__xludf.DUMMYFUNCTION("""COMPUTED_VALUE"""),520851.17730200005)</f>
        <v>520851.1773</v>
      </c>
      <c r="I3421" s="24">
        <f>IFERROR(__xludf.DUMMYFUNCTION("""COMPUTED_VALUE"""),0.04170235460400007)</f>
        <v>0.0417023546</v>
      </c>
    </row>
    <row r="3422">
      <c r="A3422" s="5" t="str">
        <f>IFERROR(__xludf.DUMMYFUNCTION("""COMPUTED_VALUE"""),"40433")</f>
        <v>40433</v>
      </c>
      <c r="B3422" s="64">
        <f>IFERROR(__xludf.DUMMYFUNCTION("""COMPUTED_VALUE"""),44597.0)</f>
        <v>44597</v>
      </c>
      <c r="C3422" s="5"/>
      <c r="D3422" s="5"/>
      <c r="E3422" s="5"/>
      <c r="F3422" s="22">
        <f>IFERROR(__xludf.DUMMYFUNCTION("""COMPUTED_VALUE"""),500000.0)</f>
        <v>500000</v>
      </c>
      <c r="G3422" s="22">
        <f>IFERROR(__xludf.DUMMYFUNCTION("""COMPUTED_VALUE"""),0.0)</f>
        <v>0</v>
      </c>
      <c r="H3422" s="22">
        <f>IFERROR(__xludf.DUMMYFUNCTION("""COMPUTED_VALUE"""),500000.0)</f>
        <v>500000</v>
      </c>
      <c r="I3422" s="24">
        <f>IFERROR(__xludf.DUMMYFUNCTION("""COMPUTED_VALUE"""),0.0)</f>
        <v>0</v>
      </c>
    </row>
    <row r="3423">
      <c r="A3423" s="5" t="str">
        <f>IFERROR(__xludf.DUMMYFUNCTION("""COMPUTED_VALUE"""),"40433")</f>
        <v>40433</v>
      </c>
      <c r="B3423" s="64">
        <f>IFERROR(__xludf.DUMMYFUNCTION("""COMPUTED_VALUE"""),44598.0)</f>
        <v>44598</v>
      </c>
      <c r="C3423" s="5"/>
      <c r="D3423" s="5"/>
      <c r="E3423" s="5"/>
      <c r="F3423" s="22">
        <f>IFERROR(__xludf.DUMMYFUNCTION("""COMPUTED_VALUE"""),500000.0)</f>
        <v>500000</v>
      </c>
      <c r="G3423" s="22">
        <f>IFERROR(__xludf.DUMMYFUNCTION("""COMPUTED_VALUE"""),0.0)</f>
        <v>0</v>
      </c>
      <c r="H3423" s="22">
        <f>IFERROR(__xludf.DUMMYFUNCTION("""COMPUTED_VALUE"""),500000.0)</f>
        <v>500000</v>
      </c>
      <c r="I3423" s="24">
        <f>IFERROR(__xludf.DUMMYFUNCTION("""COMPUTED_VALUE"""),0.0)</f>
        <v>0</v>
      </c>
    </row>
    <row r="3424">
      <c r="A3424" s="5" t="str">
        <f>IFERROR(__xludf.DUMMYFUNCTION("""COMPUTED_VALUE"""),"40433")</f>
        <v>40433</v>
      </c>
      <c r="B3424" s="64">
        <f>IFERROR(__xludf.DUMMYFUNCTION("""COMPUTED_VALUE"""),44599.0)</f>
        <v>44599</v>
      </c>
      <c r="C3424" s="5"/>
      <c r="D3424" s="5"/>
      <c r="E3424" s="5"/>
      <c r="F3424" s="22">
        <f>IFERROR(__xludf.DUMMYFUNCTION("""COMPUTED_VALUE"""),500000.0)</f>
        <v>500000</v>
      </c>
      <c r="G3424" s="22">
        <f>IFERROR(__xludf.DUMMYFUNCTION("""COMPUTED_VALUE"""),0.0)</f>
        <v>0</v>
      </c>
      <c r="H3424" s="22">
        <f>IFERROR(__xludf.DUMMYFUNCTION("""COMPUTED_VALUE"""),500000.0)</f>
        <v>500000</v>
      </c>
      <c r="I3424" s="24">
        <f>IFERROR(__xludf.DUMMYFUNCTION("""COMPUTED_VALUE"""),0.0)</f>
        <v>0</v>
      </c>
    </row>
    <row r="3425">
      <c r="A3425" s="5" t="str">
        <f>IFERROR(__xludf.DUMMYFUNCTION("""COMPUTED_VALUE"""),"40433")</f>
        <v>40433</v>
      </c>
      <c r="B3425" s="64">
        <f>IFERROR(__xludf.DUMMYFUNCTION("""COMPUTED_VALUE"""),44600.0)</f>
        <v>44600</v>
      </c>
      <c r="C3425" s="5"/>
      <c r="D3425" s="5"/>
      <c r="E3425" s="5"/>
      <c r="F3425" s="22">
        <f>IFERROR(__xludf.DUMMYFUNCTION("""COMPUTED_VALUE"""),500000.0)</f>
        <v>500000</v>
      </c>
      <c r="G3425" s="22">
        <f>IFERROR(__xludf.DUMMYFUNCTION("""COMPUTED_VALUE"""),0.0)</f>
        <v>0</v>
      </c>
      <c r="H3425" s="22">
        <f>IFERROR(__xludf.DUMMYFUNCTION("""COMPUTED_VALUE"""),500000.0)</f>
        <v>500000</v>
      </c>
      <c r="I3425" s="24">
        <f>IFERROR(__xludf.DUMMYFUNCTION("""COMPUTED_VALUE"""),0.0)</f>
        <v>0</v>
      </c>
    </row>
    <row r="3426">
      <c r="A3426" s="5" t="str">
        <f>IFERROR(__xludf.DUMMYFUNCTION("""COMPUTED_VALUE"""),"40433")</f>
        <v>40433</v>
      </c>
      <c r="B3426" s="64">
        <f>IFERROR(__xludf.DUMMYFUNCTION("""COMPUTED_VALUE"""),44601.0)</f>
        <v>44601</v>
      </c>
      <c r="C3426" s="5"/>
      <c r="D3426" s="5"/>
      <c r="E3426" s="5"/>
      <c r="F3426" s="22">
        <f>IFERROR(__xludf.DUMMYFUNCTION("""COMPUTED_VALUE"""),500000.0)</f>
        <v>500000</v>
      </c>
      <c r="G3426" s="22">
        <f>IFERROR(__xludf.DUMMYFUNCTION("""COMPUTED_VALUE"""),0.0)</f>
        <v>0</v>
      </c>
      <c r="H3426" s="22">
        <f>IFERROR(__xludf.DUMMYFUNCTION("""COMPUTED_VALUE"""),500000.0)</f>
        <v>500000</v>
      </c>
      <c r="I3426" s="24">
        <f>IFERROR(__xludf.DUMMYFUNCTION("""COMPUTED_VALUE"""),0.0)</f>
        <v>0</v>
      </c>
    </row>
    <row r="3427">
      <c r="A3427" s="5" t="str">
        <f>IFERROR(__xludf.DUMMYFUNCTION("""COMPUTED_VALUE"""),"40433")</f>
        <v>40433</v>
      </c>
      <c r="B3427" s="64">
        <f>IFERROR(__xludf.DUMMYFUNCTION("""COMPUTED_VALUE"""),44602.0)</f>
        <v>44602</v>
      </c>
      <c r="C3427" s="5"/>
      <c r="D3427" s="5"/>
      <c r="E3427" s="5"/>
      <c r="F3427" s="22">
        <f>IFERROR(__xludf.DUMMYFUNCTION("""COMPUTED_VALUE"""),500000.0)</f>
        <v>500000</v>
      </c>
      <c r="G3427" s="22">
        <f>IFERROR(__xludf.DUMMYFUNCTION("""COMPUTED_VALUE"""),0.0)</f>
        <v>0</v>
      </c>
      <c r="H3427" s="22">
        <f>IFERROR(__xludf.DUMMYFUNCTION("""COMPUTED_VALUE"""),500000.0)</f>
        <v>500000</v>
      </c>
      <c r="I3427" s="24">
        <f>IFERROR(__xludf.DUMMYFUNCTION("""COMPUTED_VALUE"""),0.0)</f>
        <v>0</v>
      </c>
    </row>
    <row r="3428">
      <c r="A3428" s="5" t="str">
        <f>IFERROR(__xludf.DUMMYFUNCTION("""COMPUTED_VALUE"""),"40433")</f>
        <v>40433</v>
      </c>
      <c r="B3428" s="64">
        <f>IFERROR(__xludf.DUMMYFUNCTION("""COMPUTED_VALUE"""),44603.0)</f>
        <v>44603</v>
      </c>
      <c r="C3428" s="5"/>
      <c r="D3428" s="5"/>
      <c r="E3428" s="5"/>
      <c r="F3428" s="22">
        <f>IFERROR(__xludf.DUMMYFUNCTION("""COMPUTED_VALUE"""),500000.0)</f>
        <v>500000</v>
      </c>
      <c r="G3428" s="22">
        <f>IFERROR(__xludf.DUMMYFUNCTION("""COMPUTED_VALUE"""),0.0)</f>
        <v>0</v>
      </c>
      <c r="H3428" s="22">
        <f>IFERROR(__xludf.DUMMYFUNCTION("""COMPUTED_VALUE"""),500000.0)</f>
        <v>500000</v>
      </c>
      <c r="I3428" s="24">
        <f>IFERROR(__xludf.DUMMYFUNCTION("""COMPUTED_VALUE"""),0.0)</f>
        <v>0</v>
      </c>
    </row>
    <row r="3429">
      <c r="A3429" s="5" t="str">
        <f>IFERROR(__xludf.DUMMYFUNCTION("""COMPUTED_VALUE"""),"40433")</f>
        <v>40433</v>
      </c>
      <c r="B3429" s="64">
        <f>IFERROR(__xludf.DUMMYFUNCTION("""COMPUTED_VALUE"""),44604.0)</f>
        <v>44604</v>
      </c>
      <c r="C3429" s="5"/>
      <c r="D3429" s="5"/>
      <c r="E3429" s="5"/>
      <c r="F3429" s="22">
        <f>IFERROR(__xludf.DUMMYFUNCTION("""COMPUTED_VALUE"""),500000.0)</f>
        <v>500000</v>
      </c>
      <c r="G3429" s="22">
        <f>IFERROR(__xludf.DUMMYFUNCTION("""COMPUTED_VALUE"""),0.0)</f>
        <v>0</v>
      </c>
      <c r="H3429" s="22">
        <f>IFERROR(__xludf.DUMMYFUNCTION("""COMPUTED_VALUE"""),500000.0)</f>
        <v>500000</v>
      </c>
      <c r="I3429" s="24">
        <f>IFERROR(__xludf.DUMMYFUNCTION("""COMPUTED_VALUE"""),0.0)</f>
        <v>0</v>
      </c>
    </row>
    <row r="3430">
      <c r="A3430" s="5" t="str">
        <f>IFERROR(__xludf.DUMMYFUNCTION("""COMPUTED_VALUE"""),"40433")</f>
        <v>40433</v>
      </c>
      <c r="B3430" s="64">
        <f>IFERROR(__xludf.DUMMYFUNCTION("""COMPUTED_VALUE"""),44605.0)</f>
        <v>44605</v>
      </c>
      <c r="C3430" s="5"/>
      <c r="D3430" s="5"/>
      <c r="E3430" s="5"/>
      <c r="F3430" s="22">
        <f>IFERROR(__xludf.DUMMYFUNCTION("""COMPUTED_VALUE"""),500000.0)</f>
        <v>500000</v>
      </c>
      <c r="G3430" s="22">
        <f>IFERROR(__xludf.DUMMYFUNCTION("""COMPUTED_VALUE"""),0.0)</f>
        <v>0</v>
      </c>
      <c r="H3430" s="22">
        <f>IFERROR(__xludf.DUMMYFUNCTION("""COMPUTED_VALUE"""),500000.0)</f>
        <v>500000</v>
      </c>
      <c r="I3430" s="24">
        <f>IFERROR(__xludf.DUMMYFUNCTION("""COMPUTED_VALUE"""),0.0)</f>
        <v>0</v>
      </c>
    </row>
    <row r="3431">
      <c r="A3431" s="5" t="str">
        <f>IFERROR(__xludf.DUMMYFUNCTION("""COMPUTED_VALUE"""),"40433")</f>
        <v>40433</v>
      </c>
      <c r="B3431" s="64">
        <f>IFERROR(__xludf.DUMMYFUNCTION("""COMPUTED_VALUE"""),44606.0)</f>
        <v>44606</v>
      </c>
      <c r="C3431" s="5"/>
      <c r="D3431" s="5"/>
      <c r="E3431" s="5"/>
      <c r="F3431" s="22">
        <f>IFERROR(__xludf.DUMMYFUNCTION("""COMPUTED_VALUE"""),500000.0)</f>
        <v>500000</v>
      </c>
      <c r="G3431" s="22">
        <f>IFERROR(__xludf.DUMMYFUNCTION("""COMPUTED_VALUE"""),0.0)</f>
        <v>0</v>
      </c>
      <c r="H3431" s="22">
        <f>IFERROR(__xludf.DUMMYFUNCTION("""COMPUTED_VALUE"""),500000.0)</f>
        <v>500000</v>
      </c>
      <c r="I3431" s="24">
        <f>IFERROR(__xludf.DUMMYFUNCTION("""COMPUTED_VALUE"""),0.0)</f>
        <v>0</v>
      </c>
    </row>
    <row r="3432">
      <c r="A3432" s="5" t="str">
        <f>IFERROR(__xludf.DUMMYFUNCTION("""COMPUTED_VALUE"""),"40433")</f>
        <v>40433</v>
      </c>
      <c r="B3432" s="64">
        <f>IFERROR(__xludf.DUMMYFUNCTION("""COMPUTED_VALUE"""),44607.0)</f>
        <v>44607</v>
      </c>
      <c r="C3432" s="5"/>
      <c r="D3432" s="5"/>
      <c r="E3432" s="5"/>
      <c r="F3432" s="22">
        <f>IFERROR(__xludf.DUMMYFUNCTION("""COMPUTED_VALUE"""),500000.0)</f>
        <v>500000</v>
      </c>
      <c r="G3432" s="22">
        <f>IFERROR(__xludf.DUMMYFUNCTION("""COMPUTED_VALUE"""),0.0)</f>
        <v>0</v>
      </c>
      <c r="H3432" s="22">
        <f>IFERROR(__xludf.DUMMYFUNCTION("""COMPUTED_VALUE"""),500000.0)</f>
        <v>500000</v>
      </c>
      <c r="I3432" s="24">
        <f>IFERROR(__xludf.DUMMYFUNCTION("""COMPUTED_VALUE"""),0.0)</f>
        <v>0</v>
      </c>
    </row>
    <row r="3433">
      <c r="A3433" s="5" t="str">
        <f>IFERROR(__xludf.DUMMYFUNCTION("""COMPUTED_VALUE"""),"40433")</f>
        <v>40433</v>
      </c>
      <c r="B3433" s="64">
        <f>IFERROR(__xludf.DUMMYFUNCTION("""COMPUTED_VALUE"""),44608.0)</f>
        <v>44608</v>
      </c>
      <c r="C3433" s="5"/>
      <c r="D3433" s="5"/>
      <c r="E3433" s="5"/>
      <c r="F3433" s="22">
        <f>IFERROR(__xludf.DUMMYFUNCTION("""COMPUTED_VALUE"""),500000.0)</f>
        <v>500000</v>
      </c>
      <c r="G3433" s="22">
        <f>IFERROR(__xludf.DUMMYFUNCTION("""COMPUTED_VALUE"""),0.0)</f>
        <v>0</v>
      </c>
      <c r="H3433" s="22">
        <f>IFERROR(__xludf.DUMMYFUNCTION("""COMPUTED_VALUE"""),500000.0)</f>
        <v>500000</v>
      </c>
      <c r="I3433" s="24">
        <f>IFERROR(__xludf.DUMMYFUNCTION("""COMPUTED_VALUE"""),0.0)</f>
        <v>0</v>
      </c>
    </row>
    <row r="3434">
      <c r="A3434" s="5" t="str">
        <f>IFERROR(__xludf.DUMMYFUNCTION("""COMPUTED_VALUE"""),"40433")</f>
        <v>40433</v>
      </c>
      <c r="B3434" s="64">
        <f>IFERROR(__xludf.DUMMYFUNCTION("""COMPUTED_VALUE"""),44609.0)</f>
        <v>44609</v>
      </c>
      <c r="C3434" s="5"/>
      <c r="D3434" s="5"/>
      <c r="E3434" s="5"/>
      <c r="F3434" s="22">
        <f>IFERROR(__xludf.DUMMYFUNCTION("""COMPUTED_VALUE"""),500000.0)</f>
        <v>500000</v>
      </c>
      <c r="G3434" s="22">
        <f>IFERROR(__xludf.DUMMYFUNCTION("""COMPUTED_VALUE"""),0.0)</f>
        <v>0</v>
      </c>
      <c r="H3434" s="22">
        <f>IFERROR(__xludf.DUMMYFUNCTION("""COMPUTED_VALUE"""),500000.0)</f>
        <v>500000</v>
      </c>
      <c r="I3434" s="24">
        <f>IFERROR(__xludf.DUMMYFUNCTION("""COMPUTED_VALUE"""),0.0)</f>
        <v>0</v>
      </c>
    </row>
    <row r="3435">
      <c r="A3435" s="5" t="str">
        <f>IFERROR(__xludf.DUMMYFUNCTION("""COMPUTED_VALUE"""),"40433")</f>
        <v>40433</v>
      </c>
      <c r="B3435" s="64">
        <f>IFERROR(__xludf.DUMMYFUNCTION("""COMPUTED_VALUE"""),44610.0)</f>
        <v>44610</v>
      </c>
      <c r="C3435" s="5"/>
      <c r="D3435" s="5"/>
      <c r="E3435" s="5"/>
      <c r="F3435" s="22">
        <f>IFERROR(__xludf.DUMMYFUNCTION("""COMPUTED_VALUE"""),500000.0)</f>
        <v>500000</v>
      </c>
      <c r="G3435" s="22">
        <f>IFERROR(__xludf.DUMMYFUNCTION("""COMPUTED_VALUE"""),0.0)</f>
        <v>0</v>
      </c>
      <c r="H3435" s="22">
        <f>IFERROR(__xludf.DUMMYFUNCTION("""COMPUTED_VALUE"""),500000.0)</f>
        <v>500000</v>
      </c>
      <c r="I3435" s="24">
        <f>IFERROR(__xludf.DUMMYFUNCTION("""COMPUTED_VALUE"""),0.0)</f>
        <v>0</v>
      </c>
    </row>
    <row r="3436">
      <c r="A3436" s="5" t="str">
        <f>IFERROR(__xludf.DUMMYFUNCTION("""COMPUTED_VALUE"""),"40433")</f>
        <v>40433</v>
      </c>
      <c r="B3436" s="64">
        <f>IFERROR(__xludf.DUMMYFUNCTION("""COMPUTED_VALUE"""),44611.0)</f>
        <v>44611</v>
      </c>
      <c r="C3436" s="5"/>
      <c r="D3436" s="5"/>
      <c r="E3436" s="5"/>
      <c r="F3436" s="22">
        <f>IFERROR(__xludf.DUMMYFUNCTION("""COMPUTED_VALUE"""),500000.0)</f>
        <v>500000</v>
      </c>
      <c r="G3436" s="22">
        <f>IFERROR(__xludf.DUMMYFUNCTION("""COMPUTED_VALUE"""),0.0)</f>
        <v>0</v>
      </c>
      <c r="H3436" s="22">
        <f>IFERROR(__xludf.DUMMYFUNCTION("""COMPUTED_VALUE"""),500000.0)</f>
        <v>500000</v>
      </c>
      <c r="I3436" s="24">
        <f>IFERROR(__xludf.DUMMYFUNCTION("""COMPUTED_VALUE"""),0.0)</f>
        <v>0</v>
      </c>
    </row>
    <row r="3437">
      <c r="A3437" s="5" t="str">
        <f>IFERROR(__xludf.DUMMYFUNCTION("""COMPUTED_VALUE"""),"40433")</f>
        <v>40433</v>
      </c>
      <c r="B3437" s="64">
        <f>IFERROR(__xludf.DUMMYFUNCTION("""COMPUTED_VALUE"""),44612.0)</f>
        <v>44612</v>
      </c>
      <c r="C3437" s="5"/>
      <c r="D3437" s="5"/>
      <c r="E3437" s="5"/>
      <c r="F3437" s="22">
        <f>IFERROR(__xludf.DUMMYFUNCTION("""COMPUTED_VALUE"""),500000.0)</f>
        <v>500000</v>
      </c>
      <c r="G3437" s="22">
        <f>IFERROR(__xludf.DUMMYFUNCTION("""COMPUTED_VALUE"""),0.0)</f>
        <v>0</v>
      </c>
      <c r="H3437" s="22">
        <f>IFERROR(__xludf.DUMMYFUNCTION("""COMPUTED_VALUE"""),500000.0)</f>
        <v>500000</v>
      </c>
      <c r="I3437" s="24">
        <f>IFERROR(__xludf.DUMMYFUNCTION("""COMPUTED_VALUE"""),0.0)</f>
        <v>0</v>
      </c>
    </row>
    <row r="3438">
      <c r="A3438" s="5" t="str">
        <f>IFERROR(__xludf.DUMMYFUNCTION("""COMPUTED_VALUE"""),"40433")</f>
        <v>40433</v>
      </c>
      <c r="B3438" s="64">
        <f>IFERROR(__xludf.DUMMYFUNCTION("""COMPUTED_VALUE"""),44613.0)</f>
        <v>44613</v>
      </c>
      <c r="C3438" s="5"/>
      <c r="D3438" s="5"/>
      <c r="E3438" s="5"/>
      <c r="F3438" s="22">
        <f>IFERROR(__xludf.DUMMYFUNCTION("""COMPUTED_VALUE"""),500000.0)</f>
        <v>500000</v>
      </c>
      <c r="G3438" s="22">
        <f>IFERROR(__xludf.DUMMYFUNCTION("""COMPUTED_VALUE"""),0.0)</f>
        <v>0</v>
      </c>
      <c r="H3438" s="22">
        <f>IFERROR(__xludf.DUMMYFUNCTION("""COMPUTED_VALUE"""),500000.0)</f>
        <v>500000</v>
      </c>
      <c r="I3438" s="24">
        <f>IFERROR(__xludf.DUMMYFUNCTION("""COMPUTED_VALUE"""),0.0)</f>
        <v>0</v>
      </c>
    </row>
    <row r="3439">
      <c r="A3439" s="5" t="str">
        <f>IFERROR(__xludf.DUMMYFUNCTION("""COMPUTED_VALUE"""),"40433")</f>
        <v>40433</v>
      </c>
      <c r="B3439" s="64">
        <f>IFERROR(__xludf.DUMMYFUNCTION("""COMPUTED_VALUE"""),44614.0)</f>
        <v>44614</v>
      </c>
      <c r="C3439" s="5"/>
      <c r="D3439" s="5"/>
      <c r="E3439" s="5"/>
      <c r="F3439" s="22">
        <f>IFERROR(__xludf.DUMMYFUNCTION("""COMPUTED_VALUE"""),500000.0)</f>
        <v>500000</v>
      </c>
      <c r="G3439" s="22">
        <f>IFERROR(__xludf.DUMMYFUNCTION("""COMPUTED_VALUE"""),0.0)</f>
        <v>0</v>
      </c>
      <c r="H3439" s="22">
        <f>IFERROR(__xludf.DUMMYFUNCTION("""COMPUTED_VALUE"""),499038.197117)</f>
        <v>499038.1971</v>
      </c>
      <c r="I3439" s="24">
        <f>IFERROR(__xludf.DUMMYFUNCTION("""COMPUTED_VALUE"""),-0.001923605766000036)</f>
        <v>-0.001923605766</v>
      </c>
    </row>
    <row r="3440">
      <c r="A3440" s="5" t="str">
        <f>IFERROR(__xludf.DUMMYFUNCTION("""COMPUTED_VALUE"""),"40433")</f>
        <v>40433</v>
      </c>
      <c r="B3440" s="64">
        <f>IFERROR(__xludf.DUMMYFUNCTION("""COMPUTED_VALUE"""),44615.0)</f>
        <v>44615</v>
      </c>
      <c r="C3440" s="5"/>
      <c r="D3440" s="5"/>
      <c r="E3440" s="5"/>
      <c r="F3440" s="22">
        <f>IFERROR(__xludf.DUMMYFUNCTION("""COMPUTED_VALUE"""),500000.0)</f>
        <v>500000</v>
      </c>
      <c r="G3440" s="22">
        <f>IFERROR(__xludf.DUMMYFUNCTION("""COMPUTED_VALUE"""),0.0)</f>
        <v>0</v>
      </c>
      <c r="H3440" s="22">
        <f>IFERROR(__xludf.DUMMYFUNCTION("""COMPUTED_VALUE"""),498963.0002006)</f>
        <v>498963.0002</v>
      </c>
      <c r="I3440" s="24">
        <f>IFERROR(__xludf.DUMMYFUNCTION("""COMPUTED_VALUE"""),-0.002073999598799947)</f>
        <v>-0.002073999599</v>
      </c>
    </row>
    <row r="3441">
      <c r="A3441" s="5" t="str">
        <f>IFERROR(__xludf.DUMMYFUNCTION("""COMPUTED_VALUE"""),"40433")</f>
        <v>40433</v>
      </c>
      <c r="B3441" s="64">
        <f>IFERROR(__xludf.DUMMYFUNCTION("""COMPUTED_VALUE"""),44616.0)</f>
        <v>44616</v>
      </c>
      <c r="C3441" s="5"/>
      <c r="D3441" s="5"/>
      <c r="E3441" s="5"/>
      <c r="F3441" s="22">
        <f>IFERROR(__xludf.DUMMYFUNCTION("""COMPUTED_VALUE"""),500000.0)</f>
        <v>500000</v>
      </c>
      <c r="G3441" s="22">
        <f>IFERROR(__xludf.DUMMYFUNCTION("""COMPUTED_VALUE"""),0.0)</f>
        <v>0</v>
      </c>
      <c r="H3441" s="22">
        <f>IFERROR(__xludf.DUMMYFUNCTION("""COMPUTED_VALUE"""),498408.0719192)</f>
        <v>498408.0719</v>
      </c>
      <c r="I3441" s="24">
        <f>IFERROR(__xludf.DUMMYFUNCTION("""COMPUTED_VALUE"""),-0.003183856161599996)</f>
        <v>-0.003183856162</v>
      </c>
    </row>
    <row r="3442">
      <c r="A3442" s="5" t="str">
        <f>IFERROR(__xludf.DUMMYFUNCTION("""COMPUTED_VALUE"""),"40433")</f>
        <v>40433</v>
      </c>
      <c r="B3442" s="64">
        <f>IFERROR(__xludf.DUMMYFUNCTION("""COMPUTED_VALUE"""),44617.0)</f>
        <v>44617</v>
      </c>
      <c r="C3442" s="5"/>
      <c r="D3442" s="5"/>
      <c r="E3442" s="5"/>
      <c r="F3442" s="22">
        <f>IFERROR(__xludf.DUMMYFUNCTION("""COMPUTED_VALUE"""),500000.0)</f>
        <v>500000</v>
      </c>
      <c r="G3442" s="22">
        <f>IFERROR(__xludf.DUMMYFUNCTION("""COMPUTED_VALUE"""),0.0)</f>
        <v>0</v>
      </c>
      <c r="H3442" s="22">
        <f>IFERROR(__xludf.DUMMYFUNCTION("""COMPUTED_VALUE"""),499134.2994002)</f>
        <v>499134.2994</v>
      </c>
      <c r="I3442" s="24">
        <f>IFERROR(__xludf.DUMMYFUNCTION("""COMPUTED_VALUE"""),-0.0017314011995999135)</f>
        <v>-0.0017314012</v>
      </c>
    </row>
    <row r="3443">
      <c r="A3443" s="5" t="str">
        <f>IFERROR(__xludf.DUMMYFUNCTION("""COMPUTED_VALUE"""),"40433")</f>
        <v>40433</v>
      </c>
      <c r="B3443" s="64">
        <f>IFERROR(__xludf.DUMMYFUNCTION("""COMPUTED_VALUE"""),44618.0)</f>
        <v>44618</v>
      </c>
      <c r="C3443" s="5"/>
      <c r="D3443" s="5"/>
      <c r="E3443" s="5"/>
      <c r="F3443" s="22">
        <f>IFERROR(__xludf.DUMMYFUNCTION("""COMPUTED_VALUE"""),500000.0)</f>
        <v>500000</v>
      </c>
      <c r="G3443" s="22">
        <f>IFERROR(__xludf.DUMMYFUNCTION("""COMPUTED_VALUE"""),0.0)</f>
        <v>0</v>
      </c>
      <c r="H3443" s="22">
        <f>IFERROR(__xludf.DUMMYFUNCTION("""COMPUTED_VALUE"""),499134.2994002)</f>
        <v>499134.2994</v>
      </c>
      <c r="I3443" s="24">
        <f>IFERROR(__xludf.DUMMYFUNCTION("""COMPUTED_VALUE"""),-0.0017314011995999135)</f>
        <v>-0.0017314012</v>
      </c>
    </row>
    <row r="3444">
      <c r="A3444" s="5" t="str">
        <f>IFERROR(__xludf.DUMMYFUNCTION("""COMPUTED_VALUE"""),"40433")</f>
        <v>40433</v>
      </c>
      <c r="B3444" s="64">
        <f>IFERROR(__xludf.DUMMYFUNCTION("""COMPUTED_VALUE"""),44619.0)</f>
        <v>44619</v>
      </c>
      <c r="C3444" s="5"/>
      <c r="D3444" s="5"/>
      <c r="E3444" s="5"/>
      <c r="F3444" s="22">
        <f>IFERROR(__xludf.DUMMYFUNCTION("""COMPUTED_VALUE"""),500000.0)</f>
        <v>500000</v>
      </c>
      <c r="G3444" s="22">
        <f>IFERROR(__xludf.DUMMYFUNCTION("""COMPUTED_VALUE"""),0.0)</f>
        <v>0</v>
      </c>
      <c r="H3444" s="22">
        <f>IFERROR(__xludf.DUMMYFUNCTION("""COMPUTED_VALUE"""),499134.2994002)</f>
        <v>499134.2994</v>
      </c>
      <c r="I3444" s="24">
        <f>IFERROR(__xludf.DUMMYFUNCTION("""COMPUTED_VALUE"""),-0.0017314011995999135)</f>
        <v>-0.0017314012</v>
      </c>
    </row>
    <row r="3445">
      <c r="A3445" s="5" t="str">
        <f>IFERROR(__xludf.DUMMYFUNCTION("""COMPUTED_VALUE"""),"40433")</f>
        <v>40433</v>
      </c>
      <c r="B3445" s="64">
        <f>IFERROR(__xludf.DUMMYFUNCTION("""COMPUTED_VALUE"""),44620.0)</f>
        <v>44620</v>
      </c>
      <c r="C3445" s="5"/>
      <c r="D3445" s="5"/>
      <c r="E3445" s="5"/>
      <c r="F3445" s="22">
        <f>IFERROR(__xludf.DUMMYFUNCTION("""COMPUTED_VALUE"""),500000.0)</f>
        <v>500000</v>
      </c>
      <c r="G3445" s="22">
        <f>IFERROR(__xludf.DUMMYFUNCTION("""COMPUTED_VALUE"""),0.0)</f>
        <v>0</v>
      </c>
      <c r="H3445" s="22">
        <f>IFERROR(__xludf.DUMMYFUNCTION("""COMPUTED_VALUE"""),498272.96708599996)</f>
        <v>498272.9671</v>
      </c>
      <c r="I3445" s="24">
        <f>IFERROR(__xludf.DUMMYFUNCTION("""COMPUTED_VALUE"""),-0.003454065828000119)</f>
        <v>-0.003454065828</v>
      </c>
    </row>
    <row r="3446">
      <c r="A3446" s="5" t="str">
        <f>IFERROR(__xludf.DUMMYFUNCTION("""COMPUTED_VALUE"""),"40433")</f>
        <v>40433</v>
      </c>
      <c r="B3446" s="64">
        <f>IFERROR(__xludf.DUMMYFUNCTION("""COMPUTED_VALUE"""),44621.0)</f>
        <v>44621</v>
      </c>
      <c r="C3446" s="5"/>
      <c r="D3446" s="5"/>
      <c r="E3446" s="5"/>
      <c r="F3446" s="22">
        <f>IFERROR(__xludf.DUMMYFUNCTION("""COMPUTED_VALUE"""),500000.0)</f>
        <v>500000</v>
      </c>
      <c r="G3446" s="22">
        <f>IFERROR(__xludf.DUMMYFUNCTION("""COMPUTED_VALUE"""),0.0)</f>
        <v>0</v>
      </c>
      <c r="H3446" s="22">
        <f>IFERROR(__xludf.DUMMYFUNCTION("""COMPUTED_VALUE"""),496898.2052036)</f>
        <v>496898.2052</v>
      </c>
      <c r="I3446" s="24">
        <f>IFERROR(__xludf.DUMMYFUNCTION("""COMPUTED_VALUE"""),-0.006203589592799985)</f>
        <v>-0.006203589593</v>
      </c>
    </row>
    <row r="3447">
      <c r="A3447" s="5" t="str">
        <f>IFERROR(__xludf.DUMMYFUNCTION("""COMPUTED_VALUE"""),"40433")</f>
        <v>40433</v>
      </c>
      <c r="B3447" s="64">
        <f>IFERROR(__xludf.DUMMYFUNCTION("""COMPUTED_VALUE"""),44622.0)</f>
        <v>44622</v>
      </c>
      <c r="C3447" s="5"/>
      <c r="D3447" s="5"/>
      <c r="E3447" s="5"/>
      <c r="F3447" s="22">
        <f>IFERROR(__xludf.DUMMYFUNCTION("""COMPUTED_VALUE"""),500000.0)</f>
        <v>500000</v>
      </c>
      <c r="G3447" s="22">
        <f>IFERROR(__xludf.DUMMYFUNCTION("""COMPUTED_VALUE"""),0.0)</f>
        <v>0</v>
      </c>
      <c r="H3447" s="22">
        <f>IFERROR(__xludf.DUMMYFUNCTION("""COMPUTED_VALUE"""),497567.800982)</f>
        <v>497567.801</v>
      </c>
      <c r="I3447" s="24">
        <f>IFERROR(__xludf.DUMMYFUNCTION("""COMPUTED_VALUE"""),-0.004864398035999917)</f>
        <v>-0.004864398036</v>
      </c>
    </row>
    <row r="3448">
      <c r="A3448" s="5" t="str">
        <f>IFERROR(__xludf.DUMMYFUNCTION("""COMPUTED_VALUE"""),"40433")</f>
        <v>40433</v>
      </c>
      <c r="B3448" s="64">
        <f>IFERROR(__xludf.DUMMYFUNCTION("""COMPUTED_VALUE"""),44623.0)</f>
        <v>44623</v>
      </c>
      <c r="C3448" s="5"/>
      <c r="D3448" s="5"/>
      <c r="E3448" s="5"/>
      <c r="F3448" s="22">
        <f>IFERROR(__xludf.DUMMYFUNCTION("""COMPUTED_VALUE"""),500000.0)</f>
        <v>500000</v>
      </c>
      <c r="G3448" s="22">
        <f>IFERROR(__xludf.DUMMYFUNCTION("""COMPUTED_VALUE"""),0.0)</f>
        <v>0</v>
      </c>
      <c r="H3448" s="22">
        <f>IFERROR(__xludf.DUMMYFUNCTION("""COMPUTED_VALUE"""),496913.6502134)</f>
        <v>496913.6502</v>
      </c>
      <c r="I3448" s="24">
        <f>IFERROR(__xludf.DUMMYFUNCTION("""COMPUTED_VALUE"""),-0.006172699573199991)</f>
        <v>-0.006172699573</v>
      </c>
    </row>
    <row r="3449">
      <c r="A3449" s="5" t="str">
        <f>IFERROR(__xludf.DUMMYFUNCTION("""COMPUTED_VALUE"""),"40433")</f>
        <v>40433</v>
      </c>
      <c r="B3449" s="64">
        <f>IFERROR(__xludf.DUMMYFUNCTION("""COMPUTED_VALUE"""),44624.0)</f>
        <v>44624</v>
      </c>
      <c r="C3449" s="5"/>
      <c r="D3449" s="5"/>
      <c r="E3449" s="5"/>
      <c r="F3449" s="22">
        <f>IFERROR(__xludf.DUMMYFUNCTION("""COMPUTED_VALUE"""),500000.0)</f>
        <v>500000</v>
      </c>
      <c r="G3449" s="22">
        <f>IFERROR(__xludf.DUMMYFUNCTION("""COMPUTED_VALUE"""),0.0)</f>
        <v>0</v>
      </c>
      <c r="H3449" s="22">
        <f>IFERROR(__xludf.DUMMYFUNCTION("""COMPUTED_VALUE"""),495193.6377584)</f>
        <v>495193.6378</v>
      </c>
      <c r="I3449" s="24">
        <f>IFERROR(__xludf.DUMMYFUNCTION("""COMPUTED_VALUE"""),-0.009612724483200052)</f>
        <v>-0.009612724483</v>
      </c>
    </row>
    <row r="3450">
      <c r="A3450" s="5" t="str">
        <f>IFERROR(__xludf.DUMMYFUNCTION("""COMPUTED_VALUE"""),"40433")</f>
        <v>40433</v>
      </c>
      <c r="B3450" s="64">
        <f>IFERROR(__xludf.DUMMYFUNCTION("""COMPUTED_VALUE"""),44625.0)</f>
        <v>44625</v>
      </c>
      <c r="C3450" s="5"/>
      <c r="D3450" s="5"/>
      <c r="E3450" s="5"/>
      <c r="F3450" s="22">
        <f>IFERROR(__xludf.DUMMYFUNCTION("""COMPUTED_VALUE"""),500000.0)</f>
        <v>500000</v>
      </c>
      <c r="G3450" s="22">
        <f>IFERROR(__xludf.DUMMYFUNCTION("""COMPUTED_VALUE"""),0.0)</f>
        <v>0</v>
      </c>
      <c r="H3450" s="22">
        <f>IFERROR(__xludf.DUMMYFUNCTION("""COMPUTED_VALUE"""),495193.6377584)</f>
        <v>495193.6378</v>
      </c>
      <c r="I3450" s="24">
        <f>IFERROR(__xludf.DUMMYFUNCTION("""COMPUTED_VALUE"""),-0.009612724483200052)</f>
        <v>-0.009612724483</v>
      </c>
    </row>
    <row r="3451">
      <c r="A3451" s="5" t="str">
        <f>IFERROR(__xludf.DUMMYFUNCTION("""COMPUTED_VALUE"""),"40433")</f>
        <v>40433</v>
      </c>
      <c r="B3451" s="64">
        <f>IFERROR(__xludf.DUMMYFUNCTION("""COMPUTED_VALUE"""),44626.0)</f>
        <v>44626</v>
      </c>
      <c r="C3451" s="5"/>
      <c r="D3451" s="5"/>
      <c r="E3451" s="5"/>
      <c r="F3451" s="22">
        <f>IFERROR(__xludf.DUMMYFUNCTION("""COMPUTED_VALUE"""),500000.0)</f>
        <v>500000</v>
      </c>
      <c r="G3451" s="22">
        <f>IFERROR(__xludf.DUMMYFUNCTION("""COMPUTED_VALUE"""),0.0)</f>
        <v>0</v>
      </c>
      <c r="H3451" s="22">
        <f>IFERROR(__xludf.DUMMYFUNCTION("""COMPUTED_VALUE"""),495193.6377584)</f>
        <v>495193.6378</v>
      </c>
      <c r="I3451" s="24">
        <f>IFERROR(__xludf.DUMMYFUNCTION("""COMPUTED_VALUE"""),-0.009612724483200052)</f>
        <v>-0.009612724483</v>
      </c>
    </row>
    <row r="3452">
      <c r="A3452" s="5" t="str">
        <f>IFERROR(__xludf.DUMMYFUNCTION("""COMPUTED_VALUE"""),"40433")</f>
        <v>40433</v>
      </c>
      <c r="B3452" s="64">
        <f>IFERROR(__xludf.DUMMYFUNCTION("""COMPUTED_VALUE"""),44627.0)</f>
        <v>44627</v>
      </c>
      <c r="C3452" s="5"/>
      <c r="D3452" s="5"/>
      <c r="E3452" s="5"/>
      <c r="F3452" s="22">
        <f>IFERROR(__xludf.DUMMYFUNCTION("""COMPUTED_VALUE"""),500000.0)</f>
        <v>500000</v>
      </c>
      <c r="G3452" s="22">
        <f>IFERROR(__xludf.DUMMYFUNCTION("""COMPUTED_VALUE"""),0.0)</f>
        <v>0</v>
      </c>
      <c r="H3452" s="22">
        <f>IFERROR(__xludf.DUMMYFUNCTION("""COMPUTED_VALUE"""),493841.0293244)</f>
        <v>493841.0293</v>
      </c>
      <c r="I3452" s="24">
        <f>IFERROR(__xludf.DUMMYFUNCTION("""COMPUTED_VALUE"""),-0.012317941351200012)</f>
        <v>-0.01231794135</v>
      </c>
    </row>
    <row r="3453">
      <c r="A3453" s="5" t="str">
        <f>IFERROR(__xludf.DUMMYFUNCTION("""COMPUTED_VALUE"""),"40433")</f>
        <v>40433</v>
      </c>
      <c r="B3453" s="64">
        <f>IFERROR(__xludf.DUMMYFUNCTION("""COMPUTED_VALUE"""),44628.0)</f>
        <v>44628</v>
      </c>
      <c r="C3453" s="5"/>
      <c r="D3453" s="5"/>
      <c r="E3453" s="5"/>
      <c r="F3453" s="22">
        <f>IFERROR(__xludf.DUMMYFUNCTION("""COMPUTED_VALUE"""),500000.0)</f>
        <v>500000</v>
      </c>
      <c r="G3453" s="22">
        <f>IFERROR(__xludf.DUMMYFUNCTION("""COMPUTED_VALUE"""),0.0)</f>
        <v>0</v>
      </c>
      <c r="H3453" s="22">
        <f>IFERROR(__xludf.DUMMYFUNCTION("""COMPUTED_VALUE"""),494051.0190536)</f>
        <v>494051.0191</v>
      </c>
      <c r="I3453" s="24">
        <f>IFERROR(__xludf.DUMMYFUNCTION("""COMPUTED_VALUE"""),-0.011897961892800013)</f>
        <v>-0.01189796189</v>
      </c>
    </row>
    <row r="3454">
      <c r="A3454" s="5" t="str">
        <f>IFERROR(__xludf.DUMMYFUNCTION("""COMPUTED_VALUE"""),"40433")</f>
        <v>40433</v>
      </c>
      <c r="B3454" s="64">
        <f>IFERROR(__xludf.DUMMYFUNCTION("""COMPUTED_VALUE"""),44629.0)</f>
        <v>44629</v>
      </c>
      <c r="C3454" s="5"/>
      <c r="D3454" s="5"/>
      <c r="E3454" s="5"/>
      <c r="F3454" s="22">
        <f>IFERROR(__xludf.DUMMYFUNCTION("""COMPUTED_VALUE"""),500000.0)</f>
        <v>500000</v>
      </c>
      <c r="G3454" s="22">
        <f>IFERROR(__xludf.DUMMYFUNCTION("""COMPUTED_VALUE"""),0.0)</f>
        <v>0</v>
      </c>
      <c r="H3454" s="22">
        <f>IFERROR(__xludf.DUMMYFUNCTION("""COMPUTED_VALUE"""),495622.97782880004)</f>
        <v>495622.9778</v>
      </c>
      <c r="I3454" s="24">
        <f>IFERROR(__xludf.DUMMYFUNCTION("""COMPUTED_VALUE"""),-0.008754044342399903)</f>
        <v>-0.008754044342</v>
      </c>
    </row>
    <row r="3455">
      <c r="A3455" s="5" t="str">
        <f>IFERROR(__xludf.DUMMYFUNCTION("""COMPUTED_VALUE"""),"40433")</f>
        <v>40433</v>
      </c>
      <c r="B3455" s="64">
        <f>IFERROR(__xludf.DUMMYFUNCTION("""COMPUTED_VALUE"""),44630.0)</f>
        <v>44630</v>
      </c>
      <c r="C3455" s="5"/>
      <c r="D3455" s="5"/>
      <c r="E3455" s="5"/>
      <c r="F3455" s="22">
        <f>IFERROR(__xludf.DUMMYFUNCTION("""COMPUTED_VALUE"""),500000.0)</f>
        <v>500000</v>
      </c>
      <c r="G3455" s="22">
        <f>IFERROR(__xludf.DUMMYFUNCTION("""COMPUTED_VALUE"""),0.0)</f>
        <v>0</v>
      </c>
      <c r="H3455" s="22">
        <f>IFERROR(__xludf.DUMMYFUNCTION("""COMPUTED_VALUE"""),495239.9727878)</f>
        <v>495239.9728</v>
      </c>
      <c r="I3455" s="24">
        <f>IFERROR(__xludf.DUMMYFUNCTION("""COMPUTED_VALUE"""),-0.00952005442439996)</f>
        <v>-0.009520054424</v>
      </c>
    </row>
    <row r="3456">
      <c r="A3456" s="5" t="str">
        <f>IFERROR(__xludf.DUMMYFUNCTION("""COMPUTED_VALUE"""),"40433")</f>
        <v>40433</v>
      </c>
      <c r="B3456" s="64">
        <f>IFERROR(__xludf.DUMMYFUNCTION("""COMPUTED_VALUE"""),44631.0)</f>
        <v>44631</v>
      </c>
      <c r="C3456" s="5"/>
      <c r="D3456" s="5"/>
      <c r="E3456" s="5"/>
      <c r="F3456" s="22">
        <f>IFERROR(__xludf.DUMMYFUNCTION("""COMPUTED_VALUE"""),500000.0)</f>
        <v>500000</v>
      </c>
      <c r="G3456" s="22">
        <f>IFERROR(__xludf.DUMMYFUNCTION("""COMPUTED_VALUE"""),0.0)</f>
        <v>0</v>
      </c>
      <c r="H3456" s="22">
        <f>IFERROR(__xludf.DUMMYFUNCTION("""COMPUTED_VALUE"""),495057.12883339997)</f>
        <v>495057.1288</v>
      </c>
      <c r="I3456" s="24">
        <f>IFERROR(__xludf.DUMMYFUNCTION("""COMPUTED_VALUE"""),-0.009885742333200054)</f>
        <v>-0.009885742333</v>
      </c>
    </row>
    <row r="3457">
      <c r="A3457" s="5" t="str">
        <f>IFERROR(__xludf.DUMMYFUNCTION("""COMPUTED_VALUE"""),"40433")</f>
        <v>40433</v>
      </c>
      <c r="B3457" s="64">
        <f>IFERROR(__xludf.DUMMYFUNCTION("""COMPUTED_VALUE"""),44632.0)</f>
        <v>44632</v>
      </c>
      <c r="C3457" s="5"/>
      <c r="D3457" s="5"/>
      <c r="E3457" s="5"/>
      <c r="F3457" s="22">
        <f>IFERROR(__xludf.DUMMYFUNCTION("""COMPUTED_VALUE"""),500000.0)</f>
        <v>500000</v>
      </c>
      <c r="G3457" s="22">
        <f>IFERROR(__xludf.DUMMYFUNCTION("""COMPUTED_VALUE"""),0.0)</f>
        <v>0</v>
      </c>
      <c r="H3457" s="22">
        <f>IFERROR(__xludf.DUMMYFUNCTION("""COMPUTED_VALUE"""),495057.12883339997)</f>
        <v>495057.1288</v>
      </c>
      <c r="I3457" s="24">
        <f>IFERROR(__xludf.DUMMYFUNCTION("""COMPUTED_VALUE"""),-0.009885742333200054)</f>
        <v>-0.009885742333</v>
      </c>
    </row>
    <row r="3458">
      <c r="A3458" s="5" t="str">
        <f>IFERROR(__xludf.DUMMYFUNCTION("""COMPUTED_VALUE"""),"40433")</f>
        <v>40433</v>
      </c>
      <c r="B3458" s="64">
        <f>IFERROR(__xludf.DUMMYFUNCTION("""COMPUTED_VALUE"""),44633.0)</f>
        <v>44633</v>
      </c>
      <c r="C3458" s="5"/>
      <c r="D3458" s="5"/>
      <c r="E3458" s="5"/>
      <c r="F3458" s="22">
        <f>IFERROR(__xludf.DUMMYFUNCTION("""COMPUTED_VALUE"""),500000.0)</f>
        <v>500000</v>
      </c>
      <c r="G3458" s="22">
        <f>IFERROR(__xludf.DUMMYFUNCTION("""COMPUTED_VALUE"""),0.0)</f>
        <v>0</v>
      </c>
      <c r="H3458" s="22">
        <f>IFERROR(__xludf.DUMMYFUNCTION("""COMPUTED_VALUE"""),495057.12883339997)</f>
        <v>495057.1288</v>
      </c>
      <c r="I3458" s="24">
        <f>IFERROR(__xludf.DUMMYFUNCTION("""COMPUTED_VALUE"""),-0.009885742333200054)</f>
        <v>-0.009885742333</v>
      </c>
    </row>
    <row r="3459">
      <c r="A3459" s="5" t="str">
        <f>IFERROR(__xludf.DUMMYFUNCTION("""COMPUTED_VALUE"""),"40433")</f>
        <v>40433</v>
      </c>
      <c r="B3459" s="64">
        <f>IFERROR(__xludf.DUMMYFUNCTION("""COMPUTED_VALUE"""),44634.0)</f>
        <v>44634</v>
      </c>
      <c r="C3459" s="5"/>
      <c r="D3459" s="5"/>
      <c r="E3459" s="5"/>
      <c r="F3459" s="22">
        <f>IFERROR(__xludf.DUMMYFUNCTION("""COMPUTED_VALUE"""),500000.0)</f>
        <v>500000</v>
      </c>
      <c r="G3459" s="22">
        <f>IFERROR(__xludf.DUMMYFUNCTION("""COMPUTED_VALUE"""),0.0)</f>
        <v>0</v>
      </c>
      <c r="H3459" s="22">
        <f>IFERROR(__xludf.DUMMYFUNCTION("""COMPUTED_VALUE"""),494511.0931334)</f>
        <v>494511.0931</v>
      </c>
      <c r="I3459" s="24">
        <f>IFERROR(__xludf.DUMMYFUNCTION("""COMPUTED_VALUE"""),-0.010977813733199948)</f>
        <v>-0.01097781373</v>
      </c>
    </row>
    <row r="3460">
      <c r="A3460" s="5" t="str">
        <f>IFERROR(__xludf.DUMMYFUNCTION("""COMPUTED_VALUE"""),"40433")</f>
        <v>40433</v>
      </c>
      <c r="B3460" s="64">
        <f>IFERROR(__xludf.DUMMYFUNCTION("""COMPUTED_VALUE"""),44635.0)</f>
        <v>44635</v>
      </c>
      <c r="C3460" s="5"/>
      <c r="D3460" s="5"/>
      <c r="E3460" s="5"/>
      <c r="F3460" s="22">
        <f>IFERROR(__xludf.DUMMYFUNCTION("""COMPUTED_VALUE"""),500000.0)</f>
        <v>500000</v>
      </c>
      <c r="G3460" s="22">
        <f>IFERROR(__xludf.DUMMYFUNCTION("""COMPUTED_VALUE"""),0.0)</f>
        <v>0</v>
      </c>
      <c r="H3460" s="22">
        <f>IFERROR(__xludf.DUMMYFUNCTION("""COMPUTED_VALUE"""),495002.0572328)</f>
        <v>495002.0572</v>
      </c>
      <c r="I3460" s="24">
        <f>IFERROR(__xludf.DUMMYFUNCTION("""COMPUTED_VALUE"""),-0.009995885534400006)</f>
        <v>-0.009995885534</v>
      </c>
    </row>
    <row r="3461">
      <c r="A3461" s="5" t="str">
        <f>IFERROR(__xludf.DUMMYFUNCTION("""COMPUTED_VALUE"""),"40433")</f>
        <v>40433</v>
      </c>
      <c r="B3461" s="64">
        <f>IFERROR(__xludf.DUMMYFUNCTION("""COMPUTED_VALUE"""),44636.0)</f>
        <v>44636</v>
      </c>
      <c r="C3461" s="5"/>
      <c r="D3461" s="5"/>
      <c r="E3461" s="5"/>
      <c r="F3461" s="22">
        <f>IFERROR(__xludf.DUMMYFUNCTION("""COMPUTED_VALUE"""),500000.0)</f>
        <v>500000</v>
      </c>
      <c r="G3461" s="22">
        <f>IFERROR(__xludf.DUMMYFUNCTION("""COMPUTED_VALUE"""),0.0)</f>
        <v>0</v>
      </c>
      <c r="H3461" s="22">
        <f>IFERROR(__xludf.DUMMYFUNCTION("""COMPUTED_VALUE"""),496932.839468)</f>
        <v>496932.8395</v>
      </c>
      <c r="I3461" s="24">
        <f>IFERROR(__xludf.DUMMYFUNCTION("""COMPUTED_VALUE"""),-0.006134321064000026)</f>
        <v>-0.006134321064</v>
      </c>
    </row>
    <row r="3462">
      <c r="A3462" s="5" t="str">
        <f>IFERROR(__xludf.DUMMYFUNCTION("""COMPUTED_VALUE"""),"40433")</f>
        <v>40433</v>
      </c>
      <c r="B3462" s="64">
        <f>IFERROR(__xludf.DUMMYFUNCTION("""COMPUTED_VALUE"""),44637.0)</f>
        <v>44637</v>
      </c>
      <c r="C3462" s="5"/>
      <c r="D3462" s="5"/>
      <c r="E3462" s="5"/>
      <c r="F3462" s="22">
        <f>IFERROR(__xludf.DUMMYFUNCTION("""COMPUTED_VALUE"""),500000.0)</f>
        <v>500000</v>
      </c>
      <c r="G3462" s="22">
        <f>IFERROR(__xludf.DUMMYFUNCTION("""COMPUTED_VALUE"""),0.0)</f>
        <v>0</v>
      </c>
      <c r="H3462" s="22">
        <f>IFERROR(__xludf.DUMMYFUNCTION("""COMPUTED_VALUE"""),497045.32282219996)</f>
        <v>497045.3228</v>
      </c>
      <c r="I3462" s="24">
        <f>IFERROR(__xludf.DUMMYFUNCTION("""COMPUTED_VALUE"""),-0.005909354355600027)</f>
        <v>-0.005909354356</v>
      </c>
    </row>
    <row r="3463">
      <c r="A3463" s="5" t="str">
        <f>IFERROR(__xludf.DUMMYFUNCTION("""COMPUTED_VALUE"""),"40433")</f>
        <v>40433</v>
      </c>
      <c r="B3463" s="64">
        <f>IFERROR(__xludf.DUMMYFUNCTION("""COMPUTED_VALUE"""),44638.0)</f>
        <v>44638</v>
      </c>
      <c r="C3463" s="5"/>
      <c r="D3463" s="5"/>
      <c r="E3463" s="5"/>
      <c r="F3463" s="22">
        <f>IFERROR(__xludf.DUMMYFUNCTION("""COMPUTED_VALUE"""),500000.0)</f>
        <v>500000</v>
      </c>
      <c r="G3463" s="22">
        <f>IFERROR(__xludf.DUMMYFUNCTION("""COMPUTED_VALUE"""),0.0)</f>
        <v>0</v>
      </c>
      <c r="H3463" s="22">
        <f>IFERROR(__xludf.DUMMYFUNCTION("""COMPUTED_VALUE"""),497420.52735319996)</f>
        <v>497420.5274</v>
      </c>
      <c r="I3463" s="24">
        <f>IFERROR(__xludf.DUMMYFUNCTION("""COMPUTED_VALUE"""),-0.005158945293600059)</f>
        <v>-0.005158945294</v>
      </c>
    </row>
    <row r="3464">
      <c r="A3464" s="5" t="str">
        <f>IFERROR(__xludf.DUMMYFUNCTION("""COMPUTED_VALUE"""),"40433")</f>
        <v>40433</v>
      </c>
      <c r="B3464" s="64">
        <f>IFERROR(__xludf.DUMMYFUNCTION("""COMPUTED_VALUE"""),44639.0)</f>
        <v>44639</v>
      </c>
      <c r="C3464" s="5"/>
      <c r="D3464" s="5"/>
      <c r="E3464" s="5"/>
      <c r="F3464" s="22">
        <f>IFERROR(__xludf.DUMMYFUNCTION("""COMPUTED_VALUE"""),500000.0)</f>
        <v>500000</v>
      </c>
      <c r="G3464" s="22">
        <f>IFERROR(__xludf.DUMMYFUNCTION("""COMPUTED_VALUE"""),0.0)</f>
        <v>0</v>
      </c>
      <c r="H3464" s="22">
        <f>IFERROR(__xludf.DUMMYFUNCTION("""COMPUTED_VALUE"""),497420.52735319996)</f>
        <v>497420.5274</v>
      </c>
      <c r="I3464" s="24">
        <f>IFERROR(__xludf.DUMMYFUNCTION("""COMPUTED_VALUE"""),-0.005158945293600059)</f>
        <v>-0.005158945294</v>
      </c>
    </row>
    <row r="3465">
      <c r="A3465" s="5" t="str">
        <f>IFERROR(__xludf.DUMMYFUNCTION("""COMPUTED_VALUE"""),"40433")</f>
        <v>40433</v>
      </c>
      <c r="B3465" s="64">
        <f>IFERROR(__xludf.DUMMYFUNCTION("""COMPUTED_VALUE"""),44640.0)</f>
        <v>44640</v>
      </c>
      <c r="C3465" s="5"/>
      <c r="D3465" s="5"/>
      <c r="E3465" s="5"/>
      <c r="F3465" s="22">
        <f>IFERROR(__xludf.DUMMYFUNCTION("""COMPUTED_VALUE"""),500000.0)</f>
        <v>500000</v>
      </c>
      <c r="G3465" s="22">
        <f>IFERROR(__xludf.DUMMYFUNCTION("""COMPUTED_VALUE"""),0.0)</f>
        <v>0</v>
      </c>
      <c r="H3465" s="22">
        <f>IFERROR(__xludf.DUMMYFUNCTION("""COMPUTED_VALUE"""),497420.52735319996)</f>
        <v>497420.5274</v>
      </c>
      <c r="I3465" s="24">
        <f>IFERROR(__xludf.DUMMYFUNCTION("""COMPUTED_VALUE"""),-0.005158945293600059)</f>
        <v>-0.005158945294</v>
      </c>
    </row>
    <row r="3466">
      <c r="A3466" s="5" t="str">
        <f>IFERROR(__xludf.DUMMYFUNCTION("""COMPUTED_VALUE"""),"40433")</f>
        <v>40433</v>
      </c>
      <c r="B3466" s="64">
        <f>IFERROR(__xludf.DUMMYFUNCTION("""COMPUTED_VALUE"""),44641.0)</f>
        <v>44641</v>
      </c>
      <c r="C3466" s="5"/>
      <c r="D3466" s="5"/>
      <c r="E3466" s="5"/>
      <c r="F3466" s="22">
        <f>IFERROR(__xludf.DUMMYFUNCTION("""COMPUTED_VALUE"""),500000.0)</f>
        <v>500000</v>
      </c>
      <c r="G3466" s="22">
        <f>IFERROR(__xludf.DUMMYFUNCTION("""COMPUTED_VALUE"""),0.0)</f>
        <v>0</v>
      </c>
      <c r="H3466" s="22">
        <f>IFERROR(__xludf.DUMMYFUNCTION("""COMPUTED_VALUE"""),496571.2078244)</f>
        <v>496571.2078</v>
      </c>
      <c r="I3466" s="24">
        <f>IFERROR(__xludf.DUMMYFUNCTION("""COMPUTED_VALUE"""),-0.006857584351199986)</f>
        <v>-0.006857584351</v>
      </c>
    </row>
    <row r="3467">
      <c r="A3467" s="5" t="str">
        <f>IFERROR(__xludf.DUMMYFUNCTION("""COMPUTED_VALUE"""),"40433")</f>
        <v>40433</v>
      </c>
      <c r="B3467" s="64">
        <f>IFERROR(__xludf.DUMMYFUNCTION("""COMPUTED_VALUE"""),44642.0)</f>
        <v>44642</v>
      </c>
      <c r="C3467" s="5"/>
      <c r="D3467" s="5"/>
      <c r="E3467" s="5"/>
      <c r="F3467" s="22">
        <f>IFERROR(__xludf.DUMMYFUNCTION("""COMPUTED_VALUE"""),500000.0)</f>
        <v>500000</v>
      </c>
      <c r="G3467" s="22">
        <f>IFERROR(__xludf.DUMMYFUNCTION("""COMPUTED_VALUE"""),0.0)</f>
        <v>0</v>
      </c>
      <c r="H3467" s="22">
        <f>IFERROR(__xludf.DUMMYFUNCTION("""COMPUTED_VALUE"""),497293.47447435)</f>
        <v>497293.4745</v>
      </c>
      <c r="I3467" s="24">
        <f>IFERROR(__xludf.DUMMYFUNCTION("""COMPUTED_VALUE"""),-0.005413051051299966)</f>
        <v>-0.005413051051</v>
      </c>
    </row>
    <row r="3468">
      <c r="A3468" s="5" t="str">
        <f>IFERROR(__xludf.DUMMYFUNCTION("""COMPUTED_VALUE"""),"40433")</f>
        <v>40433</v>
      </c>
      <c r="B3468" s="64">
        <f>IFERROR(__xludf.DUMMYFUNCTION("""COMPUTED_VALUE"""),44643.0)</f>
        <v>44643</v>
      </c>
      <c r="C3468" s="5"/>
      <c r="D3468" s="5"/>
      <c r="E3468" s="5"/>
      <c r="F3468" s="22">
        <f>IFERROR(__xludf.DUMMYFUNCTION("""COMPUTED_VALUE"""),500000.0)</f>
        <v>500000</v>
      </c>
      <c r="G3468" s="22">
        <f>IFERROR(__xludf.DUMMYFUNCTION("""COMPUTED_VALUE"""),0.0)</f>
        <v>0</v>
      </c>
      <c r="H3468" s="22">
        <f>IFERROR(__xludf.DUMMYFUNCTION("""COMPUTED_VALUE"""),496399.49123285)</f>
        <v>496399.4912</v>
      </c>
      <c r="I3468" s="24">
        <f>IFERROR(__xludf.DUMMYFUNCTION("""COMPUTED_VALUE"""),-0.007201017534300025)</f>
        <v>-0.007201017534</v>
      </c>
    </row>
    <row r="3469">
      <c r="A3469" s="5" t="str">
        <f>IFERROR(__xludf.DUMMYFUNCTION("""COMPUTED_VALUE"""),"40433")</f>
        <v>40433</v>
      </c>
      <c r="B3469" s="64">
        <f>IFERROR(__xludf.DUMMYFUNCTION("""COMPUTED_VALUE"""),44644.0)</f>
        <v>44644</v>
      </c>
      <c r="C3469" s="5"/>
      <c r="D3469" s="5"/>
      <c r="E3469" s="5"/>
      <c r="F3469" s="22">
        <f>IFERROR(__xludf.DUMMYFUNCTION("""COMPUTED_VALUE"""),500000.0)</f>
        <v>500000</v>
      </c>
      <c r="G3469" s="22">
        <f>IFERROR(__xludf.DUMMYFUNCTION("""COMPUTED_VALUE"""),0.0)</f>
        <v>0</v>
      </c>
      <c r="H3469" s="22">
        <f>IFERROR(__xludf.DUMMYFUNCTION("""COMPUTED_VALUE"""),496534.97736255004)</f>
        <v>496534.9774</v>
      </c>
      <c r="I3469" s="24">
        <f>IFERROR(__xludf.DUMMYFUNCTION("""COMPUTED_VALUE"""),-0.006930045274899932)</f>
        <v>-0.006930045275</v>
      </c>
    </row>
    <row r="3470">
      <c r="A3470" s="5" t="str">
        <f>IFERROR(__xludf.DUMMYFUNCTION("""COMPUTED_VALUE"""),"40433")</f>
        <v>40433</v>
      </c>
      <c r="B3470" s="64">
        <f>IFERROR(__xludf.DUMMYFUNCTION("""COMPUTED_VALUE"""),44645.0)</f>
        <v>44645</v>
      </c>
      <c r="C3470" s="5"/>
      <c r="D3470" s="5"/>
      <c r="E3470" s="5"/>
      <c r="F3470" s="22">
        <f>IFERROR(__xludf.DUMMYFUNCTION("""COMPUTED_VALUE"""),500000.0)</f>
        <v>500000</v>
      </c>
      <c r="G3470" s="22">
        <f>IFERROR(__xludf.DUMMYFUNCTION("""COMPUTED_VALUE"""),0.0)</f>
        <v>0</v>
      </c>
      <c r="H3470" s="22">
        <f>IFERROR(__xludf.DUMMYFUNCTION("""COMPUTED_VALUE"""),496547.46316655003)</f>
        <v>496547.4632</v>
      </c>
      <c r="I3470" s="24">
        <f>IFERROR(__xludf.DUMMYFUNCTION("""COMPUTED_VALUE"""),-0.0069050736668999635)</f>
        <v>-0.006905073667</v>
      </c>
    </row>
    <row r="3471">
      <c r="A3471" s="5" t="str">
        <f>IFERROR(__xludf.DUMMYFUNCTION("""COMPUTED_VALUE"""),"40433")</f>
        <v>40433</v>
      </c>
      <c r="B3471" s="64">
        <f>IFERROR(__xludf.DUMMYFUNCTION("""COMPUTED_VALUE"""),44646.0)</f>
        <v>44646</v>
      </c>
      <c r="C3471" s="5"/>
      <c r="D3471" s="5"/>
      <c r="E3471" s="5"/>
      <c r="F3471" s="22">
        <f>IFERROR(__xludf.DUMMYFUNCTION("""COMPUTED_VALUE"""),500000.0)</f>
        <v>500000</v>
      </c>
      <c r="G3471" s="22">
        <f>IFERROR(__xludf.DUMMYFUNCTION("""COMPUTED_VALUE"""),0.0)</f>
        <v>0</v>
      </c>
      <c r="H3471" s="22">
        <f>IFERROR(__xludf.DUMMYFUNCTION("""COMPUTED_VALUE"""),496547.46316655003)</f>
        <v>496547.4632</v>
      </c>
      <c r="I3471" s="24">
        <f>IFERROR(__xludf.DUMMYFUNCTION("""COMPUTED_VALUE"""),-0.0069050736668999635)</f>
        <v>-0.006905073667</v>
      </c>
    </row>
    <row r="3472">
      <c r="A3472" s="5" t="str">
        <f>IFERROR(__xludf.DUMMYFUNCTION("""COMPUTED_VALUE"""),"40433")</f>
        <v>40433</v>
      </c>
      <c r="B3472" s="64">
        <f>IFERROR(__xludf.DUMMYFUNCTION("""COMPUTED_VALUE"""),44647.0)</f>
        <v>44647</v>
      </c>
      <c r="C3472" s="5"/>
      <c r="D3472" s="5"/>
      <c r="E3472" s="5"/>
      <c r="F3472" s="22">
        <f>IFERROR(__xludf.DUMMYFUNCTION("""COMPUTED_VALUE"""),500000.0)</f>
        <v>500000</v>
      </c>
      <c r="G3472" s="22">
        <f>IFERROR(__xludf.DUMMYFUNCTION("""COMPUTED_VALUE"""),0.0)</f>
        <v>0</v>
      </c>
      <c r="H3472" s="22">
        <f>IFERROR(__xludf.DUMMYFUNCTION("""COMPUTED_VALUE"""),496547.46316655003)</f>
        <v>496547.4632</v>
      </c>
      <c r="I3472" s="24">
        <f>IFERROR(__xludf.DUMMYFUNCTION("""COMPUTED_VALUE"""),-0.0069050736668999635)</f>
        <v>-0.006905073667</v>
      </c>
    </row>
    <row r="3473">
      <c r="A3473" s="5" t="str">
        <f>IFERROR(__xludf.DUMMYFUNCTION("""COMPUTED_VALUE"""),"40433")</f>
        <v>40433</v>
      </c>
      <c r="B3473" s="64">
        <f>IFERROR(__xludf.DUMMYFUNCTION("""COMPUTED_VALUE"""),44648.0)</f>
        <v>44648</v>
      </c>
      <c r="C3473" s="5"/>
      <c r="D3473" s="5"/>
      <c r="E3473" s="5"/>
      <c r="F3473" s="22">
        <f>IFERROR(__xludf.DUMMYFUNCTION("""COMPUTED_VALUE"""),500000.0)</f>
        <v>500000</v>
      </c>
      <c r="G3473" s="22">
        <f>IFERROR(__xludf.DUMMYFUNCTION("""COMPUTED_VALUE"""),0.0)</f>
        <v>0</v>
      </c>
      <c r="H3473" s="22">
        <f>IFERROR(__xludf.DUMMYFUNCTION("""COMPUTED_VALUE"""),497414.8233138)</f>
        <v>497414.8233</v>
      </c>
      <c r="I3473" s="24">
        <f>IFERROR(__xludf.DUMMYFUNCTION("""COMPUTED_VALUE"""),-0.005170353372400016)</f>
        <v>-0.005170353372</v>
      </c>
    </row>
    <row r="3474">
      <c r="A3474" s="5" t="str">
        <f>IFERROR(__xludf.DUMMYFUNCTION("""COMPUTED_VALUE"""),"40433")</f>
        <v>40433</v>
      </c>
      <c r="B3474" s="64">
        <f>IFERROR(__xludf.DUMMYFUNCTION("""COMPUTED_VALUE"""),44649.0)</f>
        <v>44649</v>
      </c>
      <c r="C3474" s="5"/>
      <c r="D3474" s="5"/>
      <c r="E3474" s="5"/>
      <c r="F3474" s="22">
        <f>IFERROR(__xludf.DUMMYFUNCTION("""COMPUTED_VALUE"""),500000.0)</f>
        <v>500000</v>
      </c>
      <c r="G3474" s="22">
        <f>IFERROR(__xludf.DUMMYFUNCTION("""COMPUTED_VALUE"""),0.0)</f>
        <v>0</v>
      </c>
      <c r="H3474" s="22">
        <f>IFERROR(__xludf.DUMMYFUNCTION("""COMPUTED_VALUE"""),498447.46607955)</f>
        <v>498447.4661</v>
      </c>
      <c r="I3474" s="24">
        <f>IFERROR(__xludf.DUMMYFUNCTION("""COMPUTED_VALUE"""),-0.003105067840900033)</f>
        <v>-0.003105067841</v>
      </c>
    </row>
    <row r="3475">
      <c r="A3475" s="5" t="str">
        <f>IFERROR(__xludf.DUMMYFUNCTION("""COMPUTED_VALUE"""),"40433")</f>
        <v>40433</v>
      </c>
      <c r="B3475" s="64">
        <f>IFERROR(__xludf.DUMMYFUNCTION("""COMPUTED_VALUE"""),44650.0)</f>
        <v>44650</v>
      </c>
      <c r="C3475" s="5"/>
      <c r="D3475" s="5"/>
      <c r="E3475" s="5"/>
      <c r="F3475" s="22">
        <f>IFERROR(__xludf.DUMMYFUNCTION("""COMPUTED_VALUE"""),500000.0)</f>
        <v>500000</v>
      </c>
      <c r="G3475" s="22">
        <f>IFERROR(__xludf.DUMMYFUNCTION("""COMPUTED_VALUE"""),0.0)</f>
        <v>0</v>
      </c>
      <c r="H3475" s="22">
        <f>IFERROR(__xludf.DUMMYFUNCTION("""COMPUTED_VALUE"""),498021.25123975)</f>
        <v>498021.2512</v>
      </c>
      <c r="I3475" s="24">
        <f>IFERROR(__xludf.DUMMYFUNCTION("""COMPUTED_VALUE"""),-0.0039574975205000085)</f>
        <v>-0.003957497521</v>
      </c>
    </row>
    <row r="3476">
      <c r="A3476" s="5" t="str">
        <f>IFERROR(__xludf.DUMMYFUNCTION("""COMPUTED_VALUE"""),"40433")</f>
        <v>40433</v>
      </c>
      <c r="B3476" s="64">
        <f>IFERROR(__xludf.DUMMYFUNCTION("""COMPUTED_VALUE"""),44651.0)</f>
        <v>44651</v>
      </c>
      <c r="C3476" s="5"/>
      <c r="D3476" s="5"/>
      <c r="E3476" s="5"/>
      <c r="F3476" s="22">
        <f>IFERROR(__xludf.DUMMYFUNCTION("""COMPUTED_VALUE"""),500000.0)</f>
        <v>500000</v>
      </c>
      <c r="G3476" s="22">
        <f>IFERROR(__xludf.DUMMYFUNCTION("""COMPUTED_VALUE"""),0.0)</f>
        <v>0</v>
      </c>
      <c r="H3476" s="22">
        <f>IFERROR(__xludf.DUMMYFUNCTION("""COMPUTED_VALUE"""),497466.37118595)</f>
        <v>497466.3712</v>
      </c>
      <c r="I3476" s="24">
        <f>IFERROR(__xludf.DUMMYFUNCTION("""COMPUTED_VALUE"""),-0.005067257628100008)</f>
        <v>-0.005067257628</v>
      </c>
    </row>
    <row r="3477">
      <c r="A3477" s="5" t="str">
        <f>IFERROR(__xludf.DUMMYFUNCTION("""COMPUTED_VALUE"""),"40433")</f>
        <v>40433</v>
      </c>
      <c r="B3477" s="64">
        <f>IFERROR(__xludf.DUMMYFUNCTION("""COMPUTED_VALUE"""),44652.0)</f>
        <v>44652</v>
      </c>
      <c r="C3477" s="5"/>
      <c r="D3477" s="5"/>
      <c r="E3477" s="5"/>
      <c r="F3477" s="22">
        <f>IFERROR(__xludf.DUMMYFUNCTION("""COMPUTED_VALUE"""),500000.0)</f>
        <v>500000</v>
      </c>
      <c r="G3477" s="22">
        <f>IFERROR(__xludf.DUMMYFUNCTION("""COMPUTED_VALUE"""),0.0)</f>
        <v>0</v>
      </c>
      <c r="H3477" s="22">
        <f>IFERROR(__xludf.DUMMYFUNCTION("""COMPUTED_VALUE"""),497652.77649684995)</f>
        <v>497652.7765</v>
      </c>
      <c r="I3477" s="24">
        <f>IFERROR(__xludf.DUMMYFUNCTION("""COMPUTED_VALUE"""),-0.004694447006300062)</f>
        <v>-0.004694447006</v>
      </c>
    </row>
    <row r="3478">
      <c r="A3478" s="5" t="str">
        <f>IFERROR(__xludf.DUMMYFUNCTION("""COMPUTED_VALUE"""),"40433")</f>
        <v>40433</v>
      </c>
      <c r="B3478" s="64">
        <f>IFERROR(__xludf.DUMMYFUNCTION("""COMPUTED_VALUE"""),44653.0)</f>
        <v>44653</v>
      </c>
      <c r="C3478" s="5"/>
      <c r="D3478" s="5"/>
      <c r="E3478" s="5"/>
      <c r="F3478" s="22">
        <f>IFERROR(__xludf.DUMMYFUNCTION("""COMPUTED_VALUE"""),500000.0)</f>
        <v>500000</v>
      </c>
      <c r="G3478" s="22">
        <f>IFERROR(__xludf.DUMMYFUNCTION("""COMPUTED_VALUE"""),0.0)</f>
        <v>0</v>
      </c>
      <c r="H3478" s="22">
        <f>IFERROR(__xludf.DUMMYFUNCTION("""COMPUTED_VALUE"""),497652.77649684995)</f>
        <v>497652.7765</v>
      </c>
      <c r="I3478" s="24">
        <f>IFERROR(__xludf.DUMMYFUNCTION("""COMPUTED_VALUE"""),-0.004694447006300062)</f>
        <v>-0.004694447006</v>
      </c>
    </row>
    <row r="3479">
      <c r="A3479" s="5" t="str">
        <f>IFERROR(__xludf.DUMMYFUNCTION("""COMPUTED_VALUE"""),"40433")</f>
        <v>40433</v>
      </c>
      <c r="B3479" s="64">
        <f>IFERROR(__xludf.DUMMYFUNCTION("""COMPUTED_VALUE"""),44654.0)</f>
        <v>44654</v>
      </c>
      <c r="C3479" s="5"/>
      <c r="D3479" s="5"/>
      <c r="E3479" s="5"/>
      <c r="F3479" s="22">
        <f>IFERROR(__xludf.DUMMYFUNCTION("""COMPUTED_VALUE"""),500000.0)</f>
        <v>500000</v>
      </c>
      <c r="G3479" s="22">
        <f>IFERROR(__xludf.DUMMYFUNCTION("""COMPUTED_VALUE"""),0.0)</f>
        <v>0</v>
      </c>
      <c r="H3479" s="22">
        <f>IFERROR(__xludf.DUMMYFUNCTION("""COMPUTED_VALUE"""),497652.77649684995)</f>
        <v>497652.7765</v>
      </c>
      <c r="I3479" s="24">
        <f>IFERROR(__xludf.DUMMYFUNCTION("""COMPUTED_VALUE"""),-0.004694447006300062)</f>
        <v>-0.004694447006</v>
      </c>
    </row>
    <row r="3480">
      <c r="A3480" s="5" t="str">
        <f>IFERROR(__xludf.DUMMYFUNCTION("""COMPUTED_VALUE"""),"40433")</f>
        <v>40433</v>
      </c>
      <c r="B3480" s="64">
        <f>IFERROR(__xludf.DUMMYFUNCTION("""COMPUTED_VALUE"""),44655.0)</f>
        <v>44655</v>
      </c>
      <c r="C3480" s="5"/>
      <c r="D3480" s="5"/>
      <c r="E3480" s="5"/>
      <c r="F3480" s="22">
        <f>IFERROR(__xludf.DUMMYFUNCTION("""COMPUTED_VALUE"""),500000.0)</f>
        <v>500000</v>
      </c>
      <c r="G3480" s="22">
        <f>IFERROR(__xludf.DUMMYFUNCTION("""COMPUTED_VALUE"""),0.0)</f>
        <v>0</v>
      </c>
      <c r="H3480" s="22">
        <f>IFERROR(__xludf.DUMMYFUNCTION("""COMPUTED_VALUE"""),497825.92040415003)</f>
        <v>497825.9204</v>
      </c>
      <c r="I3480" s="24">
        <f>IFERROR(__xludf.DUMMYFUNCTION("""COMPUTED_VALUE"""),-0.004348159191699952)</f>
        <v>-0.004348159192</v>
      </c>
    </row>
    <row r="3481">
      <c r="A3481" s="5" t="str">
        <f>IFERROR(__xludf.DUMMYFUNCTION("""COMPUTED_VALUE"""),"40433")</f>
        <v>40433</v>
      </c>
      <c r="B3481" s="64">
        <f>IFERROR(__xludf.DUMMYFUNCTION("""COMPUTED_VALUE"""),44656.0)</f>
        <v>44656</v>
      </c>
      <c r="C3481" s="5"/>
      <c r="D3481" s="5"/>
      <c r="E3481" s="5"/>
      <c r="F3481" s="22">
        <f>IFERROR(__xludf.DUMMYFUNCTION("""COMPUTED_VALUE"""),500000.0)</f>
        <v>500000</v>
      </c>
      <c r="G3481" s="22">
        <f>IFERROR(__xludf.DUMMYFUNCTION("""COMPUTED_VALUE"""),0.0)</f>
        <v>0</v>
      </c>
      <c r="H3481" s="22">
        <f>IFERROR(__xludf.DUMMYFUNCTION("""COMPUTED_VALUE"""),497400.58671895)</f>
        <v>497400.5867</v>
      </c>
      <c r="I3481" s="24">
        <f>IFERROR(__xludf.DUMMYFUNCTION("""COMPUTED_VALUE"""),-0.005198826562100023)</f>
        <v>-0.005198826562</v>
      </c>
    </row>
    <row r="3482">
      <c r="A3482" s="5" t="str">
        <f>IFERROR(__xludf.DUMMYFUNCTION("""COMPUTED_VALUE"""),"40433")</f>
        <v>40433</v>
      </c>
      <c r="B3482" s="64">
        <f>IFERROR(__xludf.DUMMYFUNCTION("""COMPUTED_VALUE"""),44657.0)</f>
        <v>44657</v>
      </c>
      <c r="C3482" s="5"/>
      <c r="D3482" s="5"/>
      <c r="E3482" s="5"/>
      <c r="F3482" s="22">
        <f>IFERROR(__xludf.DUMMYFUNCTION("""COMPUTED_VALUE"""),500000.0)</f>
        <v>500000</v>
      </c>
      <c r="G3482" s="22">
        <f>IFERROR(__xludf.DUMMYFUNCTION("""COMPUTED_VALUE"""),0.0)</f>
        <v>0</v>
      </c>
      <c r="H3482" s="22">
        <f>IFERROR(__xludf.DUMMYFUNCTION("""COMPUTED_VALUE"""),496296.44323345)</f>
        <v>496296.4432</v>
      </c>
      <c r="I3482" s="24">
        <f>IFERROR(__xludf.DUMMYFUNCTION("""COMPUTED_VALUE"""),-0.007407113533099974)</f>
        <v>-0.007407113533</v>
      </c>
    </row>
    <row r="3483">
      <c r="A3483" s="5" t="str">
        <f>IFERROR(__xludf.DUMMYFUNCTION("""COMPUTED_VALUE"""),"40433")</f>
        <v>40433</v>
      </c>
      <c r="B3483" s="64">
        <f>IFERROR(__xludf.DUMMYFUNCTION("""COMPUTED_VALUE"""),44658.0)</f>
        <v>44658</v>
      </c>
      <c r="C3483" s="5"/>
      <c r="D3483" s="5"/>
      <c r="E3483" s="5"/>
      <c r="F3483" s="22">
        <f>IFERROR(__xludf.DUMMYFUNCTION("""COMPUTED_VALUE"""),500000.0)</f>
        <v>500000</v>
      </c>
      <c r="G3483" s="22">
        <f>IFERROR(__xludf.DUMMYFUNCTION("""COMPUTED_VALUE"""),0.0)</f>
        <v>0</v>
      </c>
      <c r="H3483" s="22">
        <f>IFERROR(__xludf.DUMMYFUNCTION("""COMPUTED_VALUE"""),496358.4647989)</f>
        <v>496358.4648</v>
      </c>
      <c r="I3483" s="24">
        <f>IFERROR(__xludf.DUMMYFUNCTION("""COMPUTED_VALUE"""),-0.007283070402199998)</f>
        <v>-0.007283070402</v>
      </c>
    </row>
    <row r="3484">
      <c r="A3484" s="5" t="str">
        <f>IFERROR(__xludf.DUMMYFUNCTION("""COMPUTED_VALUE"""),"40433")</f>
        <v>40433</v>
      </c>
      <c r="B3484" s="64">
        <f>IFERROR(__xludf.DUMMYFUNCTION("""COMPUTED_VALUE"""),44659.0)</f>
        <v>44659</v>
      </c>
      <c r="C3484" s="5"/>
      <c r="D3484" s="5"/>
      <c r="E3484" s="5"/>
      <c r="F3484" s="22">
        <f>IFERROR(__xludf.DUMMYFUNCTION("""COMPUTED_VALUE"""),500000.0)</f>
        <v>500000</v>
      </c>
      <c r="G3484" s="22">
        <f>IFERROR(__xludf.DUMMYFUNCTION("""COMPUTED_VALUE"""),0.0)</f>
        <v>0</v>
      </c>
      <c r="H3484" s="22">
        <f>IFERROR(__xludf.DUMMYFUNCTION("""COMPUTED_VALUE"""),495977.0079458)</f>
        <v>495977.0079</v>
      </c>
      <c r="I3484" s="24">
        <f>IFERROR(__xludf.DUMMYFUNCTION("""COMPUTED_VALUE"""),-0.008045984108399962)</f>
        <v>-0.008045984108</v>
      </c>
    </row>
    <row r="3485">
      <c r="A3485" s="5" t="str">
        <f>IFERROR(__xludf.DUMMYFUNCTION("""COMPUTED_VALUE"""),"40433")</f>
        <v>40433</v>
      </c>
      <c r="B3485" s="64">
        <f>IFERROR(__xludf.DUMMYFUNCTION("""COMPUTED_VALUE"""),44660.0)</f>
        <v>44660</v>
      </c>
      <c r="C3485" s="5"/>
      <c r="D3485" s="5"/>
      <c r="E3485" s="5"/>
      <c r="F3485" s="22">
        <f>IFERROR(__xludf.DUMMYFUNCTION("""COMPUTED_VALUE"""),500000.0)</f>
        <v>500000</v>
      </c>
      <c r="G3485" s="22">
        <f>IFERROR(__xludf.DUMMYFUNCTION("""COMPUTED_VALUE"""),0.0)</f>
        <v>0</v>
      </c>
      <c r="H3485" s="22">
        <f>IFERROR(__xludf.DUMMYFUNCTION("""COMPUTED_VALUE"""),495977.0079458)</f>
        <v>495977.0079</v>
      </c>
      <c r="I3485" s="24">
        <f>IFERROR(__xludf.DUMMYFUNCTION("""COMPUTED_VALUE"""),-0.008045984108399962)</f>
        <v>-0.008045984108</v>
      </c>
    </row>
    <row r="3486">
      <c r="A3486" s="5" t="str">
        <f>IFERROR(__xludf.DUMMYFUNCTION("""COMPUTED_VALUE"""),"40433")</f>
        <v>40433</v>
      </c>
      <c r="B3486" s="64">
        <f>IFERROR(__xludf.DUMMYFUNCTION("""COMPUTED_VALUE"""),44661.0)</f>
        <v>44661</v>
      </c>
      <c r="C3486" s="5"/>
      <c r="D3486" s="5"/>
      <c r="E3486" s="5"/>
      <c r="F3486" s="22">
        <f>IFERROR(__xludf.DUMMYFUNCTION("""COMPUTED_VALUE"""),500000.0)</f>
        <v>500000</v>
      </c>
      <c r="G3486" s="22">
        <f>IFERROR(__xludf.DUMMYFUNCTION("""COMPUTED_VALUE"""),0.0)</f>
        <v>0</v>
      </c>
      <c r="H3486" s="22">
        <f>IFERROR(__xludf.DUMMYFUNCTION("""COMPUTED_VALUE"""),495977.0079458)</f>
        <v>495977.0079</v>
      </c>
      <c r="I3486" s="24">
        <f>IFERROR(__xludf.DUMMYFUNCTION("""COMPUTED_VALUE"""),-0.008045984108399962)</f>
        <v>-0.008045984108</v>
      </c>
    </row>
    <row r="3487">
      <c r="A3487" s="5" t="str">
        <f>IFERROR(__xludf.DUMMYFUNCTION("""COMPUTED_VALUE"""),"40433")</f>
        <v>40433</v>
      </c>
      <c r="B3487" s="64">
        <f>IFERROR(__xludf.DUMMYFUNCTION("""COMPUTED_VALUE"""),44662.0)</f>
        <v>44662</v>
      </c>
      <c r="C3487" s="5"/>
      <c r="D3487" s="5"/>
      <c r="E3487" s="5"/>
      <c r="F3487" s="22">
        <f>IFERROR(__xludf.DUMMYFUNCTION("""COMPUTED_VALUE"""),500000.0)</f>
        <v>500000</v>
      </c>
      <c r="G3487" s="22">
        <f>IFERROR(__xludf.DUMMYFUNCTION("""COMPUTED_VALUE"""),0.0)</f>
        <v>0</v>
      </c>
      <c r="H3487" s="22">
        <f>IFERROR(__xludf.DUMMYFUNCTION("""COMPUTED_VALUE"""),495641.48060565)</f>
        <v>495641.4806</v>
      </c>
      <c r="I3487" s="24">
        <f>IFERROR(__xludf.DUMMYFUNCTION("""COMPUTED_VALUE"""),-0.008717038788700004)</f>
        <v>-0.008717038789</v>
      </c>
    </row>
    <row r="3488">
      <c r="A3488" s="5" t="str">
        <f>IFERROR(__xludf.DUMMYFUNCTION("""COMPUTED_VALUE"""),"40433")</f>
        <v>40433</v>
      </c>
      <c r="B3488" s="64">
        <f>IFERROR(__xludf.DUMMYFUNCTION("""COMPUTED_VALUE"""),44663.0)</f>
        <v>44663</v>
      </c>
      <c r="C3488" s="5"/>
      <c r="D3488" s="5"/>
      <c r="E3488" s="5"/>
      <c r="F3488" s="22">
        <f>IFERROR(__xludf.DUMMYFUNCTION("""COMPUTED_VALUE"""),500000.0)</f>
        <v>500000</v>
      </c>
      <c r="G3488" s="22">
        <f>IFERROR(__xludf.DUMMYFUNCTION("""COMPUTED_VALUE"""),0.0)</f>
        <v>0</v>
      </c>
      <c r="H3488" s="22">
        <f>IFERROR(__xludf.DUMMYFUNCTION("""COMPUTED_VALUE"""),496246.70147555)</f>
        <v>496246.7015</v>
      </c>
      <c r="I3488" s="24">
        <f>IFERROR(__xludf.DUMMYFUNCTION("""COMPUTED_VALUE"""),-0.007506597048899999)</f>
        <v>-0.007506597049</v>
      </c>
    </row>
    <row r="3489">
      <c r="A3489" s="5" t="str">
        <f>IFERROR(__xludf.DUMMYFUNCTION("""COMPUTED_VALUE"""),"40658")</f>
        <v>40658</v>
      </c>
      <c r="B3489" s="64">
        <f>IFERROR(__xludf.DUMMYFUNCTION("""COMPUTED_VALUE"""),44597.0)</f>
        <v>44597</v>
      </c>
      <c r="C3489" s="5"/>
      <c r="D3489" s="5"/>
      <c r="E3489" s="5"/>
      <c r="F3489" s="22">
        <f>IFERROR(__xludf.DUMMYFUNCTION("""COMPUTED_VALUE"""),500000.0)</f>
        <v>500000</v>
      </c>
      <c r="G3489" s="22">
        <f>IFERROR(__xludf.DUMMYFUNCTION("""COMPUTED_VALUE"""),0.0)</f>
        <v>0</v>
      </c>
      <c r="H3489" s="22">
        <f>IFERROR(__xludf.DUMMYFUNCTION("""COMPUTED_VALUE"""),500000.0)</f>
        <v>500000</v>
      </c>
      <c r="I3489" s="24">
        <f>IFERROR(__xludf.DUMMYFUNCTION("""COMPUTED_VALUE"""),0.0)</f>
        <v>0</v>
      </c>
    </row>
    <row r="3490">
      <c r="A3490" s="5" t="str">
        <f>IFERROR(__xludf.DUMMYFUNCTION("""COMPUTED_VALUE"""),"40658")</f>
        <v>40658</v>
      </c>
      <c r="B3490" s="64">
        <f>IFERROR(__xludf.DUMMYFUNCTION("""COMPUTED_VALUE"""),44598.0)</f>
        <v>44598</v>
      </c>
      <c r="C3490" s="5"/>
      <c r="D3490" s="5"/>
      <c r="E3490" s="5"/>
      <c r="F3490" s="22">
        <f>IFERROR(__xludf.DUMMYFUNCTION("""COMPUTED_VALUE"""),500000.0)</f>
        <v>500000</v>
      </c>
      <c r="G3490" s="22">
        <f>IFERROR(__xludf.DUMMYFUNCTION("""COMPUTED_VALUE"""),0.0)</f>
        <v>0</v>
      </c>
      <c r="H3490" s="22">
        <f>IFERROR(__xludf.DUMMYFUNCTION("""COMPUTED_VALUE"""),500000.0)</f>
        <v>500000</v>
      </c>
      <c r="I3490" s="24">
        <f>IFERROR(__xludf.DUMMYFUNCTION("""COMPUTED_VALUE"""),0.0)</f>
        <v>0</v>
      </c>
    </row>
    <row r="3491">
      <c r="A3491" s="5" t="str">
        <f>IFERROR(__xludf.DUMMYFUNCTION("""COMPUTED_VALUE"""),"40658")</f>
        <v>40658</v>
      </c>
      <c r="B3491" s="64">
        <f>IFERROR(__xludf.DUMMYFUNCTION("""COMPUTED_VALUE"""),44599.0)</f>
        <v>44599</v>
      </c>
      <c r="C3491" s="5"/>
      <c r="D3491" s="5"/>
      <c r="E3491" s="5"/>
      <c r="F3491" s="22">
        <f>IFERROR(__xludf.DUMMYFUNCTION("""COMPUTED_VALUE"""),500000.0)</f>
        <v>500000</v>
      </c>
      <c r="G3491" s="22">
        <f>IFERROR(__xludf.DUMMYFUNCTION("""COMPUTED_VALUE"""),0.0)</f>
        <v>0</v>
      </c>
      <c r="H3491" s="22">
        <f>IFERROR(__xludf.DUMMYFUNCTION("""COMPUTED_VALUE"""),500000.0)</f>
        <v>500000</v>
      </c>
      <c r="I3491" s="24">
        <f>IFERROR(__xludf.DUMMYFUNCTION("""COMPUTED_VALUE"""),0.0)</f>
        <v>0</v>
      </c>
    </row>
    <row r="3492">
      <c r="A3492" s="5" t="str">
        <f>IFERROR(__xludf.DUMMYFUNCTION("""COMPUTED_VALUE"""),"40658")</f>
        <v>40658</v>
      </c>
      <c r="B3492" s="64">
        <f>IFERROR(__xludf.DUMMYFUNCTION("""COMPUTED_VALUE"""),44600.0)</f>
        <v>44600</v>
      </c>
      <c r="C3492" s="5"/>
      <c r="D3492" s="5"/>
      <c r="E3492" s="5"/>
      <c r="F3492" s="22">
        <f>IFERROR(__xludf.DUMMYFUNCTION("""COMPUTED_VALUE"""),500000.0)</f>
        <v>500000</v>
      </c>
      <c r="G3492" s="22">
        <f>IFERROR(__xludf.DUMMYFUNCTION("""COMPUTED_VALUE"""),0.0)</f>
        <v>0</v>
      </c>
      <c r="H3492" s="22">
        <f>IFERROR(__xludf.DUMMYFUNCTION("""COMPUTED_VALUE"""),500000.0)</f>
        <v>500000</v>
      </c>
      <c r="I3492" s="24">
        <f>IFERROR(__xludf.DUMMYFUNCTION("""COMPUTED_VALUE"""),0.0)</f>
        <v>0</v>
      </c>
    </row>
    <row r="3493">
      <c r="A3493" s="5" t="str">
        <f>IFERROR(__xludf.DUMMYFUNCTION("""COMPUTED_VALUE"""),"40658")</f>
        <v>40658</v>
      </c>
      <c r="B3493" s="64">
        <f>IFERROR(__xludf.DUMMYFUNCTION("""COMPUTED_VALUE"""),44601.0)</f>
        <v>44601</v>
      </c>
      <c r="C3493" s="5"/>
      <c r="D3493" s="5"/>
      <c r="E3493" s="5"/>
      <c r="F3493" s="22">
        <f>IFERROR(__xludf.DUMMYFUNCTION("""COMPUTED_VALUE"""),500000.0)</f>
        <v>500000</v>
      </c>
      <c r="G3493" s="22">
        <f>IFERROR(__xludf.DUMMYFUNCTION("""COMPUTED_VALUE"""),0.0)</f>
        <v>0</v>
      </c>
      <c r="H3493" s="22">
        <f>IFERROR(__xludf.DUMMYFUNCTION("""COMPUTED_VALUE"""),500000.0)</f>
        <v>500000</v>
      </c>
      <c r="I3493" s="24">
        <f>IFERROR(__xludf.DUMMYFUNCTION("""COMPUTED_VALUE"""),0.0)</f>
        <v>0</v>
      </c>
    </row>
    <row r="3494">
      <c r="A3494" s="5" t="str">
        <f>IFERROR(__xludf.DUMMYFUNCTION("""COMPUTED_VALUE"""),"40658")</f>
        <v>40658</v>
      </c>
      <c r="B3494" s="64">
        <f>IFERROR(__xludf.DUMMYFUNCTION("""COMPUTED_VALUE"""),44602.0)</f>
        <v>44602</v>
      </c>
      <c r="C3494" s="5"/>
      <c r="D3494" s="5"/>
      <c r="E3494" s="5"/>
      <c r="F3494" s="22">
        <f>IFERROR(__xludf.DUMMYFUNCTION("""COMPUTED_VALUE"""),500000.0)</f>
        <v>500000</v>
      </c>
      <c r="G3494" s="22">
        <f>IFERROR(__xludf.DUMMYFUNCTION("""COMPUTED_VALUE"""),0.0)</f>
        <v>0</v>
      </c>
      <c r="H3494" s="22">
        <f>IFERROR(__xludf.DUMMYFUNCTION("""COMPUTED_VALUE"""),500000.0)</f>
        <v>500000</v>
      </c>
      <c r="I3494" s="24">
        <f>IFERROR(__xludf.DUMMYFUNCTION("""COMPUTED_VALUE"""),0.0)</f>
        <v>0</v>
      </c>
    </row>
    <row r="3495">
      <c r="A3495" s="5" t="str">
        <f>IFERROR(__xludf.DUMMYFUNCTION("""COMPUTED_VALUE"""),"40658")</f>
        <v>40658</v>
      </c>
      <c r="B3495" s="64">
        <f>IFERROR(__xludf.DUMMYFUNCTION("""COMPUTED_VALUE"""),44603.0)</f>
        <v>44603</v>
      </c>
      <c r="C3495" s="5"/>
      <c r="D3495" s="5"/>
      <c r="E3495" s="5"/>
      <c r="F3495" s="22">
        <f>IFERROR(__xludf.DUMMYFUNCTION("""COMPUTED_VALUE"""),500000.0)</f>
        <v>500000</v>
      </c>
      <c r="G3495" s="22">
        <f>IFERROR(__xludf.DUMMYFUNCTION("""COMPUTED_VALUE"""),0.0)</f>
        <v>0</v>
      </c>
      <c r="H3495" s="22">
        <f>IFERROR(__xludf.DUMMYFUNCTION("""COMPUTED_VALUE"""),500000.0)</f>
        <v>500000</v>
      </c>
      <c r="I3495" s="24">
        <f>IFERROR(__xludf.DUMMYFUNCTION("""COMPUTED_VALUE"""),0.0)</f>
        <v>0</v>
      </c>
    </row>
    <row r="3496">
      <c r="A3496" s="5" t="str">
        <f>IFERROR(__xludf.DUMMYFUNCTION("""COMPUTED_VALUE"""),"40658")</f>
        <v>40658</v>
      </c>
      <c r="B3496" s="64">
        <f>IFERROR(__xludf.DUMMYFUNCTION("""COMPUTED_VALUE"""),44604.0)</f>
        <v>44604</v>
      </c>
      <c r="C3496" s="5"/>
      <c r="D3496" s="5"/>
      <c r="E3496" s="5"/>
      <c r="F3496" s="22">
        <f>IFERROR(__xludf.DUMMYFUNCTION("""COMPUTED_VALUE"""),500000.0)</f>
        <v>500000</v>
      </c>
      <c r="G3496" s="22">
        <f>IFERROR(__xludf.DUMMYFUNCTION("""COMPUTED_VALUE"""),0.0)</f>
        <v>0</v>
      </c>
      <c r="H3496" s="22">
        <f>IFERROR(__xludf.DUMMYFUNCTION("""COMPUTED_VALUE"""),500000.0)</f>
        <v>500000</v>
      </c>
      <c r="I3496" s="24">
        <f>IFERROR(__xludf.DUMMYFUNCTION("""COMPUTED_VALUE"""),0.0)</f>
        <v>0</v>
      </c>
    </row>
    <row r="3497">
      <c r="A3497" s="5" t="str">
        <f>IFERROR(__xludf.DUMMYFUNCTION("""COMPUTED_VALUE"""),"40658")</f>
        <v>40658</v>
      </c>
      <c r="B3497" s="64">
        <f>IFERROR(__xludf.DUMMYFUNCTION("""COMPUTED_VALUE"""),44605.0)</f>
        <v>44605</v>
      </c>
      <c r="C3497" s="5"/>
      <c r="D3497" s="5"/>
      <c r="E3497" s="5"/>
      <c r="F3497" s="22">
        <f>IFERROR(__xludf.DUMMYFUNCTION("""COMPUTED_VALUE"""),500000.0)</f>
        <v>500000</v>
      </c>
      <c r="G3497" s="22">
        <f>IFERROR(__xludf.DUMMYFUNCTION("""COMPUTED_VALUE"""),0.0)</f>
        <v>0</v>
      </c>
      <c r="H3497" s="22">
        <f>IFERROR(__xludf.DUMMYFUNCTION("""COMPUTED_VALUE"""),500000.0)</f>
        <v>500000</v>
      </c>
      <c r="I3497" s="24">
        <f>IFERROR(__xludf.DUMMYFUNCTION("""COMPUTED_VALUE"""),0.0)</f>
        <v>0</v>
      </c>
    </row>
    <row r="3498">
      <c r="A3498" s="5" t="str">
        <f>IFERROR(__xludf.DUMMYFUNCTION("""COMPUTED_VALUE"""),"40658")</f>
        <v>40658</v>
      </c>
      <c r="B3498" s="64">
        <f>IFERROR(__xludf.DUMMYFUNCTION("""COMPUTED_VALUE"""),44606.0)</f>
        <v>44606</v>
      </c>
      <c r="C3498" s="5"/>
      <c r="D3498" s="5"/>
      <c r="E3498" s="5"/>
      <c r="F3498" s="22">
        <f>IFERROR(__xludf.DUMMYFUNCTION("""COMPUTED_VALUE"""),500000.0)</f>
        <v>500000</v>
      </c>
      <c r="G3498" s="22">
        <f>IFERROR(__xludf.DUMMYFUNCTION("""COMPUTED_VALUE"""),0.0)</f>
        <v>0</v>
      </c>
      <c r="H3498" s="22">
        <f>IFERROR(__xludf.DUMMYFUNCTION("""COMPUTED_VALUE"""),500000.0)</f>
        <v>500000</v>
      </c>
      <c r="I3498" s="24">
        <f>IFERROR(__xludf.DUMMYFUNCTION("""COMPUTED_VALUE"""),0.0)</f>
        <v>0</v>
      </c>
    </row>
    <row r="3499">
      <c r="A3499" s="5" t="str">
        <f>IFERROR(__xludf.DUMMYFUNCTION("""COMPUTED_VALUE"""),"40658")</f>
        <v>40658</v>
      </c>
      <c r="B3499" s="64">
        <f>IFERROR(__xludf.DUMMYFUNCTION("""COMPUTED_VALUE"""),44607.0)</f>
        <v>44607</v>
      </c>
      <c r="C3499" s="5"/>
      <c r="D3499" s="5"/>
      <c r="E3499" s="5"/>
      <c r="F3499" s="22">
        <f>IFERROR(__xludf.DUMMYFUNCTION("""COMPUTED_VALUE"""),500000.0)</f>
        <v>500000</v>
      </c>
      <c r="G3499" s="22">
        <f>IFERROR(__xludf.DUMMYFUNCTION("""COMPUTED_VALUE"""),0.0)</f>
        <v>0</v>
      </c>
      <c r="H3499" s="22">
        <f>IFERROR(__xludf.DUMMYFUNCTION("""COMPUTED_VALUE"""),500000.0)</f>
        <v>500000</v>
      </c>
      <c r="I3499" s="24">
        <f>IFERROR(__xludf.DUMMYFUNCTION("""COMPUTED_VALUE"""),0.0)</f>
        <v>0</v>
      </c>
    </row>
    <row r="3500">
      <c r="A3500" s="5" t="str">
        <f>IFERROR(__xludf.DUMMYFUNCTION("""COMPUTED_VALUE"""),"40658")</f>
        <v>40658</v>
      </c>
      <c r="B3500" s="64">
        <f>IFERROR(__xludf.DUMMYFUNCTION("""COMPUTED_VALUE"""),44608.0)</f>
        <v>44608</v>
      </c>
      <c r="C3500" s="5"/>
      <c r="D3500" s="5"/>
      <c r="E3500" s="5"/>
      <c r="F3500" s="22">
        <f>IFERROR(__xludf.DUMMYFUNCTION("""COMPUTED_VALUE"""),500000.0)</f>
        <v>500000</v>
      </c>
      <c r="G3500" s="22">
        <f>IFERROR(__xludf.DUMMYFUNCTION("""COMPUTED_VALUE"""),0.0)</f>
        <v>0</v>
      </c>
      <c r="H3500" s="22">
        <f>IFERROR(__xludf.DUMMYFUNCTION("""COMPUTED_VALUE"""),500000.0)</f>
        <v>500000</v>
      </c>
      <c r="I3500" s="24">
        <f>IFERROR(__xludf.DUMMYFUNCTION("""COMPUTED_VALUE"""),0.0)</f>
        <v>0</v>
      </c>
    </row>
    <row r="3501">
      <c r="A3501" s="5" t="str">
        <f>IFERROR(__xludf.DUMMYFUNCTION("""COMPUTED_VALUE"""),"40658")</f>
        <v>40658</v>
      </c>
      <c r="B3501" s="64">
        <f>IFERROR(__xludf.DUMMYFUNCTION("""COMPUTED_VALUE"""),44609.0)</f>
        <v>44609</v>
      </c>
      <c r="C3501" s="5"/>
      <c r="D3501" s="5"/>
      <c r="E3501" s="5"/>
      <c r="F3501" s="22">
        <f>IFERROR(__xludf.DUMMYFUNCTION("""COMPUTED_VALUE"""),500000.0)</f>
        <v>500000</v>
      </c>
      <c r="G3501" s="22">
        <f>IFERROR(__xludf.DUMMYFUNCTION("""COMPUTED_VALUE"""),0.0)</f>
        <v>0</v>
      </c>
      <c r="H3501" s="22">
        <f>IFERROR(__xludf.DUMMYFUNCTION("""COMPUTED_VALUE"""),500000.0)</f>
        <v>500000</v>
      </c>
      <c r="I3501" s="24">
        <f>IFERROR(__xludf.DUMMYFUNCTION("""COMPUTED_VALUE"""),0.0)</f>
        <v>0</v>
      </c>
    </row>
    <row r="3502">
      <c r="A3502" s="5" t="str">
        <f>IFERROR(__xludf.DUMMYFUNCTION("""COMPUTED_VALUE"""),"40658")</f>
        <v>40658</v>
      </c>
      <c r="B3502" s="64">
        <f>IFERROR(__xludf.DUMMYFUNCTION("""COMPUTED_VALUE"""),44610.0)</f>
        <v>44610</v>
      </c>
      <c r="C3502" s="5"/>
      <c r="D3502" s="5"/>
      <c r="E3502" s="5"/>
      <c r="F3502" s="22">
        <f>IFERROR(__xludf.DUMMYFUNCTION("""COMPUTED_VALUE"""),500000.0)</f>
        <v>500000</v>
      </c>
      <c r="G3502" s="22">
        <f>IFERROR(__xludf.DUMMYFUNCTION("""COMPUTED_VALUE"""),0.0)</f>
        <v>0</v>
      </c>
      <c r="H3502" s="22">
        <f>IFERROR(__xludf.DUMMYFUNCTION("""COMPUTED_VALUE"""),500000.0)</f>
        <v>500000</v>
      </c>
      <c r="I3502" s="24">
        <f>IFERROR(__xludf.DUMMYFUNCTION("""COMPUTED_VALUE"""),0.0)</f>
        <v>0</v>
      </c>
    </row>
    <row r="3503">
      <c r="A3503" s="5" t="str">
        <f>IFERROR(__xludf.DUMMYFUNCTION("""COMPUTED_VALUE"""),"40658")</f>
        <v>40658</v>
      </c>
      <c r="B3503" s="64">
        <f>IFERROR(__xludf.DUMMYFUNCTION("""COMPUTED_VALUE"""),44611.0)</f>
        <v>44611</v>
      </c>
      <c r="C3503" s="5"/>
      <c r="D3503" s="5"/>
      <c r="E3503" s="5"/>
      <c r="F3503" s="22">
        <f>IFERROR(__xludf.DUMMYFUNCTION("""COMPUTED_VALUE"""),500000.0)</f>
        <v>500000</v>
      </c>
      <c r="G3503" s="22">
        <f>IFERROR(__xludf.DUMMYFUNCTION("""COMPUTED_VALUE"""),0.0)</f>
        <v>0</v>
      </c>
      <c r="H3503" s="22">
        <f>IFERROR(__xludf.DUMMYFUNCTION("""COMPUTED_VALUE"""),500000.0)</f>
        <v>500000</v>
      </c>
      <c r="I3503" s="24">
        <f>IFERROR(__xludf.DUMMYFUNCTION("""COMPUTED_VALUE"""),0.0)</f>
        <v>0</v>
      </c>
    </row>
    <row r="3504">
      <c r="A3504" s="5" t="str">
        <f>IFERROR(__xludf.DUMMYFUNCTION("""COMPUTED_VALUE"""),"40658")</f>
        <v>40658</v>
      </c>
      <c r="B3504" s="64">
        <f>IFERROR(__xludf.DUMMYFUNCTION("""COMPUTED_VALUE"""),44612.0)</f>
        <v>44612</v>
      </c>
      <c r="C3504" s="5"/>
      <c r="D3504" s="5"/>
      <c r="E3504" s="5"/>
      <c r="F3504" s="22">
        <f>IFERROR(__xludf.DUMMYFUNCTION("""COMPUTED_VALUE"""),500000.0)</f>
        <v>500000</v>
      </c>
      <c r="G3504" s="22">
        <f>IFERROR(__xludf.DUMMYFUNCTION("""COMPUTED_VALUE"""),0.0)</f>
        <v>0</v>
      </c>
      <c r="H3504" s="22">
        <f>IFERROR(__xludf.DUMMYFUNCTION("""COMPUTED_VALUE"""),500000.0)</f>
        <v>500000</v>
      </c>
      <c r="I3504" s="24">
        <f>IFERROR(__xludf.DUMMYFUNCTION("""COMPUTED_VALUE"""),0.0)</f>
        <v>0</v>
      </c>
    </row>
    <row r="3505">
      <c r="A3505" s="5" t="str">
        <f>IFERROR(__xludf.DUMMYFUNCTION("""COMPUTED_VALUE"""),"40658")</f>
        <v>40658</v>
      </c>
      <c r="B3505" s="64">
        <f>IFERROR(__xludf.DUMMYFUNCTION("""COMPUTED_VALUE"""),44613.0)</f>
        <v>44613</v>
      </c>
      <c r="C3505" s="5"/>
      <c r="D3505" s="5"/>
      <c r="E3505" s="5"/>
      <c r="F3505" s="22">
        <f>IFERROR(__xludf.DUMMYFUNCTION("""COMPUTED_VALUE"""),500000.0)</f>
        <v>500000</v>
      </c>
      <c r="G3505" s="22">
        <f>IFERROR(__xludf.DUMMYFUNCTION("""COMPUTED_VALUE"""),0.0)</f>
        <v>0</v>
      </c>
      <c r="H3505" s="22">
        <f>IFERROR(__xludf.DUMMYFUNCTION("""COMPUTED_VALUE"""),500000.0)</f>
        <v>500000</v>
      </c>
      <c r="I3505" s="24">
        <f>IFERROR(__xludf.DUMMYFUNCTION("""COMPUTED_VALUE"""),0.0)</f>
        <v>0</v>
      </c>
    </row>
    <row r="3506">
      <c r="A3506" s="5" t="str">
        <f>IFERROR(__xludf.DUMMYFUNCTION("""COMPUTED_VALUE"""),"40658")</f>
        <v>40658</v>
      </c>
      <c r="B3506" s="64">
        <f>IFERROR(__xludf.DUMMYFUNCTION("""COMPUTED_VALUE"""),44614.0)</f>
        <v>44614</v>
      </c>
      <c r="C3506" s="5"/>
      <c r="D3506" s="5"/>
      <c r="E3506" s="5"/>
      <c r="F3506" s="22">
        <f>IFERROR(__xludf.DUMMYFUNCTION("""COMPUTED_VALUE"""),500000.0)</f>
        <v>500000</v>
      </c>
      <c r="G3506" s="22">
        <f>IFERROR(__xludf.DUMMYFUNCTION("""COMPUTED_VALUE"""),0.0)</f>
        <v>0</v>
      </c>
      <c r="H3506" s="22">
        <f>IFERROR(__xludf.DUMMYFUNCTION("""COMPUTED_VALUE"""),500000.0)</f>
        <v>500000</v>
      </c>
      <c r="I3506" s="24">
        <f>IFERROR(__xludf.DUMMYFUNCTION("""COMPUTED_VALUE"""),0.0)</f>
        <v>0</v>
      </c>
    </row>
    <row r="3507">
      <c r="A3507" s="5" t="str">
        <f>IFERROR(__xludf.DUMMYFUNCTION("""COMPUTED_VALUE"""),"40658")</f>
        <v>40658</v>
      </c>
      <c r="B3507" s="64">
        <f>IFERROR(__xludf.DUMMYFUNCTION("""COMPUTED_VALUE"""),44615.0)</f>
        <v>44615</v>
      </c>
      <c r="C3507" s="5"/>
      <c r="D3507" s="5"/>
      <c r="E3507" s="5"/>
      <c r="F3507" s="22">
        <f>IFERROR(__xludf.DUMMYFUNCTION("""COMPUTED_VALUE"""),500000.0)</f>
        <v>500000</v>
      </c>
      <c r="G3507" s="22">
        <f>IFERROR(__xludf.DUMMYFUNCTION("""COMPUTED_VALUE"""),0.0)</f>
        <v>0</v>
      </c>
      <c r="H3507" s="22">
        <f>IFERROR(__xludf.DUMMYFUNCTION("""COMPUTED_VALUE"""),500000.0)</f>
        <v>500000</v>
      </c>
      <c r="I3507" s="24">
        <f>IFERROR(__xludf.DUMMYFUNCTION("""COMPUTED_VALUE"""),0.0)</f>
        <v>0</v>
      </c>
    </row>
    <row r="3508">
      <c r="A3508" s="5" t="str">
        <f>IFERROR(__xludf.DUMMYFUNCTION("""COMPUTED_VALUE"""),"40658")</f>
        <v>40658</v>
      </c>
      <c r="B3508" s="64">
        <f>IFERROR(__xludf.DUMMYFUNCTION("""COMPUTED_VALUE"""),44616.0)</f>
        <v>44616</v>
      </c>
      <c r="C3508" s="5"/>
      <c r="D3508" s="5"/>
      <c r="E3508" s="5"/>
      <c r="F3508" s="22">
        <f>IFERROR(__xludf.DUMMYFUNCTION("""COMPUTED_VALUE"""),500000.0)</f>
        <v>500000</v>
      </c>
      <c r="G3508" s="22">
        <f>IFERROR(__xludf.DUMMYFUNCTION("""COMPUTED_VALUE"""),0.0)</f>
        <v>0</v>
      </c>
      <c r="H3508" s="22">
        <f>IFERROR(__xludf.DUMMYFUNCTION("""COMPUTED_VALUE"""),500000.0)</f>
        <v>500000</v>
      </c>
      <c r="I3508" s="24">
        <f>IFERROR(__xludf.DUMMYFUNCTION("""COMPUTED_VALUE"""),0.0)</f>
        <v>0</v>
      </c>
    </row>
    <row r="3509">
      <c r="A3509" s="5" t="str">
        <f>IFERROR(__xludf.DUMMYFUNCTION("""COMPUTED_VALUE"""),"40658")</f>
        <v>40658</v>
      </c>
      <c r="B3509" s="64">
        <f>IFERROR(__xludf.DUMMYFUNCTION("""COMPUTED_VALUE"""),44617.0)</f>
        <v>44617</v>
      </c>
      <c r="C3509" s="5"/>
      <c r="D3509" s="5"/>
      <c r="E3509" s="5"/>
      <c r="F3509" s="22">
        <f>IFERROR(__xludf.DUMMYFUNCTION("""COMPUTED_VALUE"""),500000.0)</f>
        <v>500000</v>
      </c>
      <c r="G3509" s="22">
        <f>IFERROR(__xludf.DUMMYFUNCTION("""COMPUTED_VALUE"""),0.0)</f>
        <v>0</v>
      </c>
      <c r="H3509" s="22">
        <f>IFERROR(__xludf.DUMMYFUNCTION("""COMPUTED_VALUE"""),500000.0)</f>
        <v>500000</v>
      </c>
      <c r="I3509" s="24">
        <f>IFERROR(__xludf.DUMMYFUNCTION("""COMPUTED_VALUE"""),0.0)</f>
        <v>0</v>
      </c>
    </row>
    <row r="3510">
      <c r="A3510" s="5" t="str">
        <f>IFERROR(__xludf.DUMMYFUNCTION("""COMPUTED_VALUE"""),"40658")</f>
        <v>40658</v>
      </c>
      <c r="B3510" s="64">
        <f>IFERROR(__xludf.DUMMYFUNCTION("""COMPUTED_VALUE"""),44618.0)</f>
        <v>44618</v>
      </c>
      <c r="C3510" s="5"/>
      <c r="D3510" s="5"/>
      <c r="E3510" s="5"/>
      <c r="F3510" s="22">
        <f>IFERROR(__xludf.DUMMYFUNCTION("""COMPUTED_VALUE"""),500000.0)</f>
        <v>500000</v>
      </c>
      <c r="G3510" s="22">
        <f>IFERROR(__xludf.DUMMYFUNCTION("""COMPUTED_VALUE"""),0.0)</f>
        <v>0</v>
      </c>
      <c r="H3510" s="22">
        <f>IFERROR(__xludf.DUMMYFUNCTION("""COMPUTED_VALUE"""),500000.0)</f>
        <v>500000</v>
      </c>
      <c r="I3510" s="24">
        <f>IFERROR(__xludf.DUMMYFUNCTION("""COMPUTED_VALUE"""),0.0)</f>
        <v>0</v>
      </c>
    </row>
    <row r="3511">
      <c r="A3511" s="5" t="str">
        <f>IFERROR(__xludf.DUMMYFUNCTION("""COMPUTED_VALUE"""),"40658")</f>
        <v>40658</v>
      </c>
      <c r="B3511" s="64">
        <f>IFERROR(__xludf.DUMMYFUNCTION("""COMPUTED_VALUE"""),44619.0)</f>
        <v>44619</v>
      </c>
      <c r="C3511" s="5"/>
      <c r="D3511" s="5"/>
      <c r="E3511" s="5"/>
      <c r="F3511" s="22">
        <f>IFERROR(__xludf.DUMMYFUNCTION("""COMPUTED_VALUE"""),500000.0)</f>
        <v>500000</v>
      </c>
      <c r="G3511" s="22">
        <f>IFERROR(__xludf.DUMMYFUNCTION("""COMPUTED_VALUE"""),0.0)</f>
        <v>0</v>
      </c>
      <c r="H3511" s="22">
        <f>IFERROR(__xludf.DUMMYFUNCTION("""COMPUTED_VALUE"""),500000.0)</f>
        <v>500000</v>
      </c>
      <c r="I3511" s="24">
        <f>IFERROR(__xludf.DUMMYFUNCTION("""COMPUTED_VALUE"""),0.0)</f>
        <v>0</v>
      </c>
    </row>
    <row r="3512">
      <c r="A3512" s="5" t="str">
        <f>IFERROR(__xludf.DUMMYFUNCTION("""COMPUTED_VALUE"""),"40658")</f>
        <v>40658</v>
      </c>
      <c r="B3512" s="64">
        <f>IFERROR(__xludf.DUMMYFUNCTION("""COMPUTED_VALUE"""),44620.0)</f>
        <v>44620</v>
      </c>
      <c r="C3512" s="5"/>
      <c r="D3512" s="5"/>
      <c r="E3512" s="5"/>
      <c r="F3512" s="22">
        <f>IFERROR(__xludf.DUMMYFUNCTION("""COMPUTED_VALUE"""),500000.0)</f>
        <v>500000</v>
      </c>
      <c r="G3512" s="22">
        <f>IFERROR(__xludf.DUMMYFUNCTION("""COMPUTED_VALUE"""),0.0)</f>
        <v>0</v>
      </c>
      <c r="H3512" s="22">
        <f>IFERROR(__xludf.DUMMYFUNCTION("""COMPUTED_VALUE"""),500000.0)</f>
        <v>500000</v>
      </c>
      <c r="I3512" s="24">
        <f>IFERROR(__xludf.DUMMYFUNCTION("""COMPUTED_VALUE"""),0.0)</f>
        <v>0</v>
      </c>
    </row>
    <row r="3513">
      <c r="A3513" s="5" t="str">
        <f>IFERROR(__xludf.DUMMYFUNCTION("""COMPUTED_VALUE"""),"40658")</f>
        <v>40658</v>
      </c>
      <c r="B3513" s="64">
        <f>IFERROR(__xludf.DUMMYFUNCTION("""COMPUTED_VALUE"""),44621.0)</f>
        <v>44621</v>
      </c>
      <c r="C3513" s="5"/>
      <c r="D3513" s="5"/>
      <c r="E3513" s="5"/>
      <c r="F3513" s="22">
        <f>IFERROR(__xludf.DUMMYFUNCTION("""COMPUTED_VALUE"""),500000.0)</f>
        <v>500000</v>
      </c>
      <c r="G3513" s="22">
        <f>IFERROR(__xludf.DUMMYFUNCTION("""COMPUTED_VALUE"""),0.0)</f>
        <v>0</v>
      </c>
      <c r="H3513" s="22">
        <f>IFERROR(__xludf.DUMMYFUNCTION("""COMPUTED_VALUE"""),500000.0)</f>
        <v>500000</v>
      </c>
      <c r="I3513" s="24">
        <f>IFERROR(__xludf.DUMMYFUNCTION("""COMPUTED_VALUE"""),0.0)</f>
        <v>0</v>
      </c>
    </row>
    <row r="3514">
      <c r="A3514" s="5" t="str">
        <f>IFERROR(__xludf.DUMMYFUNCTION("""COMPUTED_VALUE"""),"40658")</f>
        <v>40658</v>
      </c>
      <c r="B3514" s="64">
        <f>IFERROR(__xludf.DUMMYFUNCTION("""COMPUTED_VALUE"""),44622.0)</f>
        <v>44622</v>
      </c>
      <c r="C3514" s="5"/>
      <c r="D3514" s="5"/>
      <c r="E3514" s="5"/>
      <c r="F3514" s="22">
        <f>IFERROR(__xludf.DUMMYFUNCTION("""COMPUTED_VALUE"""),500000.0)</f>
        <v>500000</v>
      </c>
      <c r="G3514" s="22">
        <f>IFERROR(__xludf.DUMMYFUNCTION("""COMPUTED_VALUE"""),0.0)</f>
        <v>0</v>
      </c>
      <c r="H3514" s="22">
        <f>IFERROR(__xludf.DUMMYFUNCTION("""COMPUTED_VALUE"""),500000.0)</f>
        <v>500000</v>
      </c>
      <c r="I3514" s="24">
        <f>IFERROR(__xludf.DUMMYFUNCTION("""COMPUTED_VALUE"""),0.0)</f>
        <v>0</v>
      </c>
    </row>
    <row r="3515">
      <c r="A3515" s="5" t="str">
        <f>IFERROR(__xludf.DUMMYFUNCTION("""COMPUTED_VALUE"""),"40658")</f>
        <v>40658</v>
      </c>
      <c r="B3515" s="64">
        <f>IFERROR(__xludf.DUMMYFUNCTION("""COMPUTED_VALUE"""),44623.0)</f>
        <v>44623</v>
      </c>
      <c r="C3515" s="5"/>
      <c r="D3515" s="5"/>
      <c r="E3515" s="5"/>
      <c r="F3515" s="22">
        <f>IFERROR(__xludf.DUMMYFUNCTION("""COMPUTED_VALUE"""),500000.0)</f>
        <v>500000</v>
      </c>
      <c r="G3515" s="22">
        <f>IFERROR(__xludf.DUMMYFUNCTION("""COMPUTED_VALUE"""),0.0)</f>
        <v>0</v>
      </c>
      <c r="H3515" s="22">
        <f>IFERROR(__xludf.DUMMYFUNCTION("""COMPUTED_VALUE"""),500000.0)</f>
        <v>500000</v>
      </c>
      <c r="I3515" s="24">
        <f>IFERROR(__xludf.DUMMYFUNCTION("""COMPUTED_VALUE"""),0.0)</f>
        <v>0</v>
      </c>
    </row>
    <row r="3516">
      <c r="A3516" s="5" t="str">
        <f>IFERROR(__xludf.DUMMYFUNCTION("""COMPUTED_VALUE"""),"40658")</f>
        <v>40658</v>
      </c>
      <c r="B3516" s="64">
        <f>IFERROR(__xludf.DUMMYFUNCTION("""COMPUTED_VALUE"""),44624.0)</f>
        <v>44624</v>
      </c>
      <c r="C3516" s="5"/>
      <c r="D3516" s="5"/>
      <c r="E3516" s="5"/>
      <c r="F3516" s="22">
        <f>IFERROR(__xludf.DUMMYFUNCTION("""COMPUTED_VALUE"""),500000.0)</f>
        <v>500000</v>
      </c>
      <c r="G3516" s="22">
        <f>IFERROR(__xludf.DUMMYFUNCTION("""COMPUTED_VALUE"""),0.0)</f>
        <v>0</v>
      </c>
      <c r="H3516" s="22">
        <f>IFERROR(__xludf.DUMMYFUNCTION("""COMPUTED_VALUE"""),500000.0)</f>
        <v>500000</v>
      </c>
      <c r="I3516" s="24">
        <f>IFERROR(__xludf.DUMMYFUNCTION("""COMPUTED_VALUE"""),0.0)</f>
        <v>0</v>
      </c>
    </row>
    <row r="3517">
      <c r="A3517" s="5" t="str">
        <f>IFERROR(__xludf.DUMMYFUNCTION("""COMPUTED_VALUE"""),"40658")</f>
        <v>40658</v>
      </c>
      <c r="B3517" s="64">
        <f>IFERROR(__xludf.DUMMYFUNCTION("""COMPUTED_VALUE"""),44625.0)</f>
        <v>44625</v>
      </c>
      <c r="C3517" s="5"/>
      <c r="D3517" s="5"/>
      <c r="E3517" s="5"/>
      <c r="F3517" s="22">
        <f>IFERROR(__xludf.DUMMYFUNCTION("""COMPUTED_VALUE"""),500000.0)</f>
        <v>500000</v>
      </c>
      <c r="G3517" s="22">
        <f>IFERROR(__xludf.DUMMYFUNCTION("""COMPUTED_VALUE"""),0.0)</f>
        <v>0</v>
      </c>
      <c r="H3517" s="22">
        <f>IFERROR(__xludf.DUMMYFUNCTION("""COMPUTED_VALUE"""),500000.0)</f>
        <v>500000</v>
      </c>
      <c r="I3517" s="24">
        <f>IFERROR(__xludf.DUMMYFUNCTION("""COMPUTED_VALUE"""),0.0)</f>
        <v>0</v>
      </c>
    </row>
    <row r="3518">
      <c r="A3518" s="5" t="str">
        <f>IFERROR(__xludf.DUMMYFUNCTION("""COMPUTED_VALUE"""),"40658")</f>
        <v>40658</v>
      </c>
      <c r="B3518" s="64">
        <f>IFERROR(__xludf.DUMMYFUNCTION("""COMPUTED_VALUE"""),44626.0)</f>
        <v>44626</v>
      </c>
      <c r="C3518" s="5"/>
      <c r="D3518" s="5"/>
      <c r="E3518" s="5"/>
      <c r="F3518" s="22">
        <f>IFERROR(__xludf.DUMMYFUNCTION("""COMPUTED_VALUE"""),500000.0)</f>
        <v>500000</v>
      </c>
      <c r="G3518" s="22">
        <f>IFERROR(__xludf.DUMMYFUNCTION("""COMPUTED_VALUE"""),0.0)</f>
        <v>0</v>
      </c>
      <c r="H3518" s="22">
        <f>IFERROR(__xludf.DUMMYFUNCTION("""COMPUTED_VALUE"""),500000.0)</f>
        <v>500000</v>
      </c>
      <c r="I3518" s="24">
        <f>IFERROR(__xludf.DUMMYFUNCTION("""COMPUTED_VALUE"""),0.0)</f>
        <v>0</v>
      </c>
    </row>
    <row r="3519">
      <c r="A3519" s="5" t="str">
        <f>IFERROR(__xludf.DUMMYFUNCTION("""COMPUTED_VALUE"""),"40658")</f>
        <v>40658</v>
      </c>
      <c r="B3519" s="64">
        <f>IFERROR(__xludf.DUMMYFUNCTION("""COMPUTED_VALUE"""),44627.0)</f>
        <v>44627</v>
      </c>
      <c r="C3519" s="5"/>
      <c r="D3519" s="5"/>
      <c r="E3519" s="5"/>
      <c r="F3519" s="22">
        <f>IFERROR(__xludf.DUMMYFUNCTION("""COMPUTED_VALUE"""),500000.0)</f>
        <v>500000</v>
      </c>
      <c r="G3519" s="22">
        <f>IFERROR(__xludf.DUMMYFUNCTION("""COMPUTED_VALUE"""),0.0)</f>
        <v>0</v>
      </c>
      <c r="H3519" s="22">
        <f>IFERROR(__xludf.DUMMYFUNCTION("""COMPUTED_VALUE"""),500000.0)</f>
        <v>500000</v>
      </c>
      <c r="I3519" s="24">
        <f>IFERROR(__xludf.DUMMYFUNCTION("""COMPUTED_VALUE"""),0.0)</f>
        <v>0</v>
      </c>
    </row>
    <row r="3520">
      <c r="A3520" s="5" t="str">
        <f>IFERROR(__xludf.DUMMYFUNCTION("""COMPUTED_VALUE"""),"40658")</f>
        <v>40658</v>
      </c>
      <c r="B3520" s="64">
        <f>IFERROR(__xludf.DUMMYFUNCTION("""COMPUTED_VALUE"""),44628.0)</f>
        <v>44628</v>
      </c>
      <c r="C3520" s="5"/>
      <c r="D3520" s="5"/>
      <c r="E3520" s="5"/>
      <c r="F3520" s="22">
        <f>IFERROR(__xludf.DUMMYFUNCTION("""COMPUTED_VALUE"""),500000.0)</f>
        <v>500000</v>
      </c>
      <c r="G3520" s="22">
        <f>IFERROR(__xludf.DUMMYFUNCTION("""COMPUTED_VALUE"""),0.0)</f>
        <v>0</v>
      </c>
      <c r="H3520" s="22">
        <f>IFERROR(__xludf.DUMMYFUNCTION("""COMPUTED_VALUE"""),500000.0)</f>
        <v>500000</v>
      </c>
      <c r="I3520" s="24">
        <f>IFERROR(__xludf.DUMMYFUNCTION("""COMPUTED_VALUE"""),0.0)</f>
        <v>0</v>
      </c>
    </row>
    <row r="3521">
      <c r="A3521" s="5" t="str">
        <f>IFERROR(__xludf.DUMMYFUNCTION("""COMPUTED_VALUE"""),"40658")</f>
        <v>40658</v>
      </c>
      <c r="B3521" s="64">
        <f>IFERROR(__xludf.DUMMYFUNCTION("""COMPUTED_VALUE"""),44629.0)</f>
        <v>44629</v>
      </c>
      <c r="C3521" s="5"/>
      <c r="D3521" s="5"/>
      <c r="E3521" s="5"/>
      <c r="F3521" s="22">
        <f>IFERROR(__xludf.DUMMYFUNCTION("""COMPUTED_VALUE"""),500000.0)</f>
        <v>500000</v>
      </c>
      <c r="G3521" s="22">
        <f>IFERROR(__xludf.DUMMYFUNCTION("""COMPUTED_VALUE"""),0.0)</f>
        <v>0</v>
      </c>
      <c r="H3521" s="22">
        <f>IFERROR(__xludf.DUMMYFUNCTION("""COMPUTED_VALUE"""),500000.0)</f>
        <v>500000</v>
      </c>
      <c r="I3521" s="24">
        <f>IFERROR(__xludf.DUMMYFUNCTION("""COMPUTED_VALUE"""),0.0)</f>
        <v>0</v>
      </c>
    </row>
    <row r="3522">
      <c r="A3522" s="5" t="str">
        <f>IFERROR(__xludf.DUMMYFUNCTION("""COMPUTED_VALUE"""),"40658")</f>
        <v>40658</v>
      </c>
      <c r="B3522" s="64">
        <f>IFERROR(__xludf.DUMMYFUNCTION("""COMPUTED_VALUE"""),44630.0)</f>
        <v>44630</v>
      </c>
      <c r="C3522" s="5"/>
      <c r="D3522" s="5"/>
      <c r="E3522" s="5"/>
      <c r="F3522" s="22">
        <f>IFERROR(__xludf.DUMMYFUNCTION("""COMPUTED_VALUE"""),500000.0)</f>
        <v>500000</v>
      </c>
      <c r="G3522" s="22">
        <f>IFERROR(__xludf.DUMMYFUNCTION("""COMPUTED_VALUE"""),0.0)</f>
        <v>0</v>
      </c>
      <c r="H3522" s="22">
        <f>IFERROR(__xludf.DUMMYFUNCTION("""COMPUTED_VALUE"""),500000.0)</f>
        <v>500000</v>
      </c>
      <c r="I3522" s="24">
        <f>IFERROR(__xludf.DUMMYFUNCTION("""COMPUTED_VALUE"""),0.0)</f>
        <v>0</v>
      </c>
    </row>
    <row r="3523">
      <c r="A3523" s="5" t="str">
        <f>IFERROR(__xludf.DUMMYFUNCTION("""COMPUTED_VALUE"""),"40658")</f>
        <v>40658</v>
      </c>
      <c r="B3523" s="64">
        <f>IFERROR(__xludf.DUMMYFUNCTION("""COMPUTED_VALUE"""),44631.0)</f>
        <v>44631</v>
      </c>
      <c r="C3523" s="5"/>
      <c r="D3523" s="5"/>
      <c r="E3523" s="5"/>
      <c r="F3523" s="22">
        <f>IFERROR(__xludf.DUMMYFUNCTION("""COMPUTED_VALUE"""),500000.0)</f>
        <v>500000</v>
      </c>
      <c r="G3523" s="22">
        <f>IFERROR(__xludf.DUMMYFUNCTION("""COMPUTED_VALUE"""),0.0)</f>
        <v>0</v>
      </c>
      <c r="H3523" s="22">
        <f>IFERROR(__xludf.DUMMYFUNCTION("""COMPUTED_VALUE"""),500000.0)</f>
        <v>500000</v>
      </c>
      <c r="I3523" s="24">
        <f>IFERROR(__xludf.DUMMYFUNCTION("""COMPUTED_VALUE"""),0.0)</f>
        <v>0</v>
      </c>
    </row>
    <row r="3524">
      <c r="A3524" s="5" t="str">
        <f>IFERROR(__xludf.DUMMYFUNCTION("""COMPUTED_VALUE"""),"40658")</f>
        <v>40658</v>
      </c>
      <c r="B3524" s="64">
        <f>IFERROR(__xludf.DUMMYFUNCTION("""COMPUTED_VALUE"""),44632.0)</f>
        <v>44632</v>
      </c>
      <c r="C3524" s="5"/>
      <c r="D3524" s="5"/>
      <c r="E3524" s="5"/>
      <c r="F3524" s="22">
        <f>IFERROR(__xludf.DUMMYFUNCTION("""COMPUTED_VALUE"""),500000.0)</f>
        <v>500000</v>
      </c>
      <c r="G3524" s="22">
        <f>IFERROR(__xludf.DUMMYFUNCTION("""COMPUTED_VALUE"""),0.0)</f>
        <v>0</v>
      </c>
      <c r="H3524" s="22">
        <f>IFERROR(__xludf.DUMMYFUNCTION("""COMPUTED_VALUE"""),500000.0)</f>
        <v>500000</v>
      </c>
      <c r="I3524" s="24">
        <f>IFERROR(__xludf.DUMMYFUNCTION("""COMPUTED_VALUE"""),0.0)</f>
        <v>0</v>
      </c>
    </row>
    <row r="3525">
      <c r="A3525" s="5" t="str">
        <f>IFERROR(__xludf.DUMMYFUNCTION("""COMPUTED_VALUE"""),"40658")</f>
        <v>40658</v>
      </c>
      <c r="B3525" s="64">
        <f>IFERROR(__xludf.DUMMYFUNCTION("""COMPUTED_VALUE"""),44633.0)</f>
        <v>44633</v>
      </c>
      <c r="C3525" s="5"/>
      <c r="D3525" s="5"/>
      <c r="E3525" s="5"/>
      <c r="F3525" s="22">
        <f>IFERROR(__xludf.DUMMYFUNCTION("""COMPUTED_VALUE"""),500000.0)</f>
        <v>500000</v>
      </c>
      <c r="G3525" s="22">
        <f>IFERROR(__xludf.DUMMYFUNCTION("""COMPUTED_VALUE"""),0.0)</f>
        <v>0</v>
      </c>
      <c r="H3525" s="22">
        <f>IFERROR(__xludf.DUMMYFUNCTION("""COMPUTED_VALUE"""),500000.0)</f>
        <v>500000</v>
      </c>
      <c r="I3525" s="24">
        <f>IFERROR(__xludf.DUMMYFUNCTION("""COMPUTED_VALUE"""),0.0)</f>
        <v>0</v>
      </c>
    </row>
    <row r="3526">
      <c r="A3526" s="5" t="str">
        <f>IFERROR(__xludf.DUMMYFUNCTION("""COMPUTED_VALUE"""),"40658")</f>
        <v>40658</v>
      </c>
      <c r="B3526" s="64">
        <f>IFERROR(__xludf.DUMMYFUNCTION("""COMPUTED_VALUE"""),44634.0)</f>
        <v>44634</v>
      </c>
      <c r="C3526" s="5"/>
      <c r="D3526" s="5"/>
      <c r="E3526" s="5"/>
      <c r="F3526" s="22">
        <f>IFERROR(__xludf.DUMMYFUNCTION("""COMPUTED_VALUE"""),500000.0)</f>
        <v>500000</v>
      </c>
      <c r="G3526" s="22">
        <f>IFERROR(__xludf.DUMMYFUNCTION("""COMPUTED_VALUE"""),0.0)</f>
        <v>0</v>
      </c>
      <c r="H3526" s="22">
        <f>IFERROR(__xludf.DUMMYFUNCTION("""COMPUTED_VALUE"""),500000.0)</f>
        <v>500000</v>
      </c>
      <c r="I3526" s="24">
        <f>IFERROR(__xludf.DUMMYFUNCTION("""COMPUTED_VALUE"""),0.0)</f>
        <v>0</v>
      </c>
    </row>
    <row r="3527">
      <c r="A3527" s="5" t="str">
        <f>IFERROR(__xludf.DUMMYFUNCTION("""COMPUTED_VALUE"""),"40658")</f>
        <v>40658</v>
      </c>
      <c r="B3527" s="64">
        <f>IFERROR(__xludf.DUMMYFUNCTION("""COMPUTED_VALUE"""),44635.0)</f>
        <v>44635</v>
      </c>
      <c r="C3527" s="5"/>
      <c r="D3527" s="5"/>
      <c r="E3527" s="5"/>
      <c r="F3527" s="22">
        <f>IFERROR(__xludf.DUMMYFUNCTION("""COMPUTED_VALUE"""),500000.0)</f>
        <v>500000</v>
      </c>
      <c r="G3527" s="22">
        <f>IFERROR(__xludf.DUMMYFUNCTION("""COMPUTED_VALUE"""),0.0)</f>
        <v>0</v>
      </c>
      <c r="H3527" s="22">
        <f>IFERROR(__xludf.DUMMYFUNCTION("""COMPUTED_VALUE"""),500000.0)</f>
        <v>500000</v>
      </c>
      <c r="I3527" s="24">
        <f>IFERROR(__xludf.DUMMYFUNCTION("""COMPUTED_VALUE"""),0.0)</f>
        <v>0</v>
      </c>
    </row>
    <row r="3528">
      <c r="A3528" s="5" t="str">
        <f>IFERROR(__xludf.DUMMYFUNCTION("""COMPUTED_VALUE"""),"40658")</f>
        <v>40658</v>
      </c>
      <c r="B3528" s="64">
        <f>IFERROR(__xludf.DUMMYFUNCTION("""COMPUTED_VALUE"""),44636.0)</f>
        <v>44636</v>
      </c>
      <c r="C3528" s="5"/>
      <c r="D3528" s="5"/>
      <c r="E3528" s="5"/>
      <c r="F3528" s="22">
        <f>IFERROR(__xludf.DUMMYFUNCTION("""COMPUTED_VALUE"""),500000.0)</f>
        <v>500000</v>
      </c>
      <c r="G3528" s="22">
        <f>IFERROR(__xludf.DUMMYFUNCTION("""COMPUTED_VALUE"""),0.0)</f>
        <v>0</v>
      </c>
      <c r="H3528" s="22">
        <f>IFERROR(__xludf.DUMMYFUNCTION("""COMPUTED_VALUE"""),500000.0)</f>
        <v>500000</v>
      </c>
      <c r="I3528" s="24">
        <f>IFERROR(__xludf.DUMMYFUNCTION("""COMPUTED_VALUE"""),0.0)</f>
        <v>0</v>
      </c>
    </row>
    <row r="3529">
      <c r="A3529" s="5" t="str">
        <f>IFERROR(__xludf.DUMMYFUNCTION("""COMPUTED_VALUE"""),"40658")</f>
        <v>40658</v>
      </c>
      <c r="B3529" s="64">
        <f>IFERROR(__xludf.DUMMYFUNCTION("""COMPUTED_VALUE"""),44637.0)</f>
        <v>44637</v>
      </c>
      <c r="C3529" s="5"/>
      <c r="D3529" s="5"/>
      <c r="E3529" s="5"/>
      <c r="F3529" s="22">
        <f>IFERROR(__xludf.DUMMYFUNCTION("""COMPUTED_VALUE"""),500000.0)</f>
        <v>500000</v>
      </c>
      <c r="G3529" s="22">
        <f>IFERROR(__xludf.DUMMYFUNCTION("""COMPUTED_VALUE"""),0.0)</f>
        <v>0</v>
      </c>
      <c r="H3529" s="22">
        <f>IFERROR(__xludf.DUMMYFUNCTION("""COMPUTED_VALUE"""),500000.0)</f>
        <v>500000</v>
      </c>
      <c r="I3529" s="24">
        <f>IFERROR(__xludf.DUMMYFUNCTION("""COMPUTED_VALUE"""),0.0)</f>
        <v>0</v>
      </c>
    </row>
    <row r="3530">
      <c r="A3530" s="5" t="str">
        <f>IFERROR(__xludf.DUMMYFUNCTION("""COMPUTED_VALUE"""),"40658")</f>
        <v>40658</v>
      </c>
      <c r="B3530" s="64">
        <f>IFERROR(__xludf.DUMMYFUNCTION("""COMPUTED_VALUE"""),44638.0)</f>
        <v>44638</v>
      </c>
      <c r="C3530" s="5"/>
      <c r="D3530" s="5"/>
      <c r="E3530" s="5"/>
      <c r="F3530" s="22">
        <f>IFERROR(__xludf.DUMMYFUNCTION("""COMPUTED_VALUE"""),500000.0)</f>
        <v>500000</v>
      </c>
      <c r="G3530" s="22">
        <f>IFERROR(__xludf.DUMMYFUNCTION("""COMPUTED_VALUE"""),0.0)</f>
        <v>0</v>
      </c>
      <c r="H3530" s="22">
        <f>IFERROR(__xludf.DUMMYFUNCTION("""COMPUTED_VALUE"""),500000.0)</f>
        <v>500000</v>
      </c>
      <c r="I3530" s="24">
        <f>IFERROR(__xludf.DUMMYFUNCTION("""COMPUTED_VALUE"""),0.0)</f>
        <v>0</v>
      </c>
    </row>
    <row r="3531">
      <c r="A3531" s="5" t="str">
        <f>IFERROR(__xludf.DUMMYFUNCTION("""COMPUTED_VALUE"""),"40658")</f>
        <v>40658</v>
      </c>
      <c r="B3531" s="64">
        <f>IFERROR(__xludf.DUMMYFUNCTION("""COMPUTED_VALUE"""),44639.0)</f>
        <v>44639</v>
      </c>
      <c r="C3531" s="5"/>
      <c r="D3531" s="5"/>
      <c r="E3531" s="5"/>
      <c r="F3531" s="22">
        <f>IFERROR(__xludf.DUMMYFUNCTION("""COMPUTED_VALUE"""),500000.0)</f>
        <v>500000</v>
      </c>
      <c r="G3531" s="22">
        <f>IFERROR(__xludf.DUMMYFUNCTION("""COMPUTED_VALUE"""),0.0)</f>
        <v>0</v>
      </c>
      <c r="H3531" s="22">
        <f>IFERROR(__xludf.DUMMYFUNCTION("""COMPUTED_VALUE"""),500000.0)</f>
        <v>500000</v>
      </c>
      <c r="I3531" s="24">
        <f>IFERROR(__xludf.DUMMYFUNCTION("""COMPUTED_VALUE"""),0.0)</f>
        <v>0</v>
      </c>
    </row>
    <row r="3532">
      <c r="A3532" s="5" t="str">
        <f>IFERROR(__xludf.DUMMYFUNCTION("""COMPUTED_VALUE"""),"40658")</f>
        <v>40658</v>
      </c>
      <c r="B3532" s="64">
        <f>IFERROR(__xludf.DUMMYFUNCTION("""COMPUTED_VALUE"""),44640.0)</f>
        <v>44640</v>
      </c>
      <c r="C3532" s="5"/>
      <c r="D3532" s="5"/>
      <c r="E3532" s="5"/>
      <c r="F3532" s="22">
        <f>IFERROR(__xludf.DUMMYFUNCTION("""COMPUTED_VALUE"""),500000.0)</f>
        <v>500000</v>
      </c>
      <c r="G3532" s="22">
        <f>IFERROR(__xludf.DUMMYFUNCTION("""COMPUTED_VALUE"""),0.0)</f>
        <v>0</v>
      </c>
      <c r="H3532" s="22">
        <f>IFERROR(__xludf.DUMMYFUNCTION("""COMPUTED_VALUE"""),500000.0)</f>
        <v>500000</v>
      </c>
      <c r="I3532" s="24">
        <f>IFERROR(__xludf.DUMMYFUNCTION("""COMPUTED_VALUE"""),0.0)</f>
        <v>0</v>
      </c>
    </row>
    <row r="3533">
      <c r="A3533" s="5" t="str">
        <f>IFERROR(__xludf.DUMMYFUNCTION("""COMPUTED_VALUE"""),"40658")</f>
        <v>40658</v>
      </c>
      <c r="B3533" s="64">
        <f>IFERROR(__xludf.DUMMYFUNCTION("""COMPUTED_VALUE"""),44641.0)</f>
        <v>44641</v>
      </c>
      <c r="C3533" s="5"/>
      <c r="D3533" s="5"/>
      <c r="E3533" s="5"/>
      <c r="F3533" s="22">
        <f>IFERROR(__xludf.DUMMYFUNCTION("""COMPUTED_VALUE"""),500000.0)</f>
        <v>500000</v>
      </c>
      <c r="G3533" s="22">
        <f>IFERROR(__xludf.DUMMYFUNCTION("""COMPUTED_VALUE"""),0.0)</f>
        <v>0</v>
      </c>
      <c r="H3533" s="22">
        <f>IFERROR(__xludf.DUMMYFUNCTION("""COMPUTED_VALUE"""),500000.0)</f>
        <v>500000</v>
      </c>
      <c r="I3533" s="24">
        <f>IFERROR(__xludf.DUMMYFUNCTION("""COMPUTED_VALUE"""),0.0)</f>
        <v>0</v>
      </c>
    </row>
    <row r="3534">
      <c r="A3534" s="5" t="str">
        <f>IFERROR(__xludf.DUMMYFUNCTION("""COMPUTED_VALUE"""),"40658")</f>
        <v>40658</v>
      </c>
      <c r="B3534" s="64">
        <f>IFERROR(__xludf.DUMMYFUNCTION("""COMPUTED_VALUE"""),44642.0)</f>
        <v>44642</v>
      </c>
      <c r="C3534" s="5"/>
      <c r="D3534" s="5"/>
      <c r="E3534" s="5"/>
      <c r="F3534" s="22">
        <f>IFERROR(__xludf.DUMMYFUNCTION("""COMPUTED_VALUE"""),500000.0)</f>
        <v>500000</v>
      </c>
      <c r="G3534" s="22">
        <f>IFERROR(__xludf.DUMMYFUNCTION("""COMPUTED_VALUE"""),0.0)</f>
        <v>0</v>
      </c>
      <c r="H3534" s="22">
        <f>IFERROR(__xludf.DUMMYFUNCTION("""COMPUTED_VALUE"""),500000.0)</f>
        <v>500000</v>
      </c>
      <c r="I3534" s="24">
        <f>IFERROR(__xludf.DUMMYFUNCTION("""COMPUTED_VALUE"""),0.0)</f>
        <v>0</v>
      </c>
    </row>
    <row r="3535">
      <c r="A3535" s="5" t="str">
        <f>IFERROR(__xludf.DUMMYFUNCTION("""COMPUTED_VALUE"""),"40658")</f>
        <v>40658</v>
      </c>
      <c r="B3535" s="64">
        <f>IFERROR(__xludf.DUMMYFUNCTION("""COMPUTED_VALUE"""),44643.0)</f>
        <v>44643</v>
      </c>
      <c r="C3535" s="5"/>
      <c r="D3535" s="5"/>
      <c r="E3535" s="5"/>
      <c r="F3535" s="22">
        <f>IFERROR(__xludf.DUMMYFUNCTION("""COMPUTED_VALUE"""),500000.0)</f>
        <v>500000</v>
      </c>
      <c r="G3535" s="22">
        <f>IFERROR(__xludf.DUMMYFUNCTION("""COMPUTED_VALUE"""),0.0)</f>
        <v>0</v>
      </c>
      <c r="H3535" s="22">
        <f>IFERROR(__xludf.DUMMYFUNCTION("""COMPUTED_VALUE"""),500000.0)</f>
        <v>500000</v>
      </c>
      <c r="I3535" s="24">
        <f>IFERROR(__xludf.DUMMYFUNCTION("""COMPUTED_VALUE"""),0.0)</f>
        <v>0</v>
      </c>
    </row>
    <row r="3536">
      <c r="A3536" s="5" t="str">
        <f>IFERROR(__xludf.DUMMYFUNCTION("""COMPUTED_VALUE"""),"40658")</f>
        <v>40658</v>
      </c>
      <c r="B3536" s="64">
        <f>IFERROR(__xludf.DUMMYFUNCTION("""COMPUTED_VALUE"""),44644.0)</f>
        <v>44644</v>
      </c>
      <c r="C3536" s="5"/>
      <c r="D3536" s="5"/>
      <c r="E3536" s="5"/>
      <c r="F3536" s="22">
        <f>IFERROR(__xludf.DUMMYFUNCTION("""COMPUTED_VALUE"""),500000.0)</f>
        <v>500000</v>
      </c>
      <c r="G3536" s="22">
        <f>IFERROR(__xludf.DUMMYFUNCTION("""COMPUTED_VALUE"""),0.0)</f>
        <v>0</v>
      </c>
      <c r="H3536" s="22">
        <f>IFERROR(__xludf.DUMMYFUNCTION("""COMPUTED_VALUE"""),500000.0)</f>
        <v>500000</v>
      </c>
      <c r="I3536" s="24">
        <f>IFERROR(__xludf.DUMMYFUNCTION("""COMPUTED_VALUE"""),0.0)</f>
        <v>0</v>
      </c>
    </row>
    <row r="3537">
      <c r="A3537" s="5" t="str">
        <f>IFERROR(__xludf.DUMMYFUNCTION("""COMPUTED_VALUE"""),"40658")</f>
        <v>40658</v>
      </c>
      <c r="B3537" s="64">
        <f>IFERROR(__xludf.DUMMYFUNCTION("""COMPUTED_VALUE"""),44645.0)</f>
        <v>44645</v>
      </c>
      <c r="C3537" s="5"/>
      <c r="D3537" s="5"/>
      <c r="E3537" s="5"/>
      <c r="F3537" s="22">
        <f>IFERROR(__xludf.DUMMYFUNCTION("""COMPUTED_VALUE"""),500000.0)</f>
        <v>500000</v>
      </c>
      <c r="G3537" s="22">
        <f>IFERROR(__xludf.DUMMYFUNCTION("""COMPUTED_VALUE"""),0.0)</f>
        <v>0</v>
      </c>
      <c r="H3537" s="22">
        <f>IFERROR(__xludf.DUMMYFUNCTION("""COMPUTED_VALUE"""),500000.0)</f>
        <v>500000</v>
      </c>
      <c r="I3537" s="24">
        <f>IFERROR(__xludf.DUMMYFUNCTION("""COMPUTED_VALUE"""),0.0)</f>
        <v>0</v>
      </c>
    </row>
    <row r="3538">
      <c r="A3538" s="5" t="str">
        <f>IFERROR(__xludf.DUMMYFUNCTION("""COMPUTED_VALUE"""),"40658")</f>
        <v>40658</v>
      </c>
      <c r="B3538" s="64">
        <f>IFERROR(__xludf.DUMMYFUNCTION("""COMPUTED_VALUE"""),44646.0)</f>
        <v>44646</v>
      </c>
      <c r="C3538" s="5"/>
      <c r="D3538" s="5"/>
      <c r="E3538" s="5"/>
      <c r="F3538" s="22">
        <f>IFERROR(__xludf.DUMMYFUNCTION("""COMPUTED_VALUE"""),500000.0)</f>
        <v>500000</v>
      </c>
      <c r="G3538" s="22">
        <f>IFERROR(__xludf.DUMMYFUNCTION("""COMPUTED_VALUE"""),0.0)</f>
        <v>0</v>
      </c>
      <c r="H3538" s="22">
        <f>IFERROR(__xludf.DUMMYFUNCTION("""COMPUTED_VALUE"""),500000.0)</f>
        <v>500000</v>
      </c>
      <c r="I3538" s="24">
        <f>IFERROR(__xludf.DUMMYFUNCTION("""COMPUTED_VALUE"""),0.0)</f>
        <v>0</v>
      </c>
    </row>
    <row r="3539">
      <c r="A3539" s="5" t="str">
        <f>IFERROR(__xludf.DUMMYFUNCTION("""COMPUTED_VALUE"""),"40658")</f>
        <v>40658</v>
      </c>
      <c r="B3539" s="64">
        <f>IFERROR(__xludf.DUMMYFUNCTION("""COMPUTED_VALUE"""),44647.0)</f>
        <v>44647</v>
      </c>
      <c r="C3539" s="5"/>
      <c r="D3539" s="5"/>
      <c r="E3539" s="5"/>
      <c r="F3539" s="22">
        <f>IFERROR(__xludf.DUMMYFUNCTION("""COMPUTED_VALUE"""),500000.0)</f>
        <v>500000</v>
      </c>
      <c r="G3539" s="22">
        <f>IFERROR(__xludf.DUMMYFUNCTION("""COMPUTED_VALUE"""),0.0)</f>
        <v>0</v>
      </c>
      <c r="H3539" s="22">
        <f>IFERROR(__xludf.DUMMYFUNCTION("""COMPUTED_VALUE"""),500000.0)</f>
        <v>500000</v>
      </c>
      <c r="I3539" s="24">
        <f>IFERROR(__xludf.DUMMYFUNCTION("""COMPUTED_VALUE"""),0.0)</f>
        <v>0</v>
      </c>
    </row>
    <row r="3540">
      <c r="A3540" s="5" t="str">
        <f>IFERROR(__xludf.DUMMYFUNCTION("""COMPUTED_VALUE"""),"40658")</f>
        <v>40658</v>
      </c>
      <c r="B3540" s="64">
        <f>IFERROR(__xludf.DUMMYFUNCTION("""COMPUTED_VALUE"""),44648.0)</f>
        <v>44648</v>
      </c>
      <c r="C3540" s="5"/>
      <c r="D3540" s="5"/>
      <c r="E3540" s="5"/>
      <c r="F3540" s="22">
        <f>IFERROR(__xludf.DUMMYFUNCTION("""COMPUTED_VALUE"""),500000.0)</f>
        <v>500000</v>
      </c>
      <c r="G3540" s="22">
        <f>IFERROR(__xludf.DUMMYFUNCTION("""COMPUTED_VALUE"""),0.0)</f>
        <v>0</v>
      </c>
      <c r="H3540" s="22">
        <f>IFERROR(__xludf.DUMMYFUNCTION("""COMPUTED_VALUE"""),500000.0)</f>
        <v>500000</v>
      </c>
      <c r="I3540" s="24">
        <f>IFERROR(__xludf.DUMMYFUNCTION("""COMPUTED_VALUE"""),0.0)</f>
        <v>0</v>
      </c>
    </row>
    <row r="3541">
      <c r="A3541" s="5" t="str">
        <f>IFERROR(__xludf.DUMMYFUNCTION("""COMPUTED_VALUE"""),"40658")</f>
        <v>40658</v>
      </c>
      <c r="B3541" s="64">
        <f>IFERROR(__xludf.DUMMYFUNCTION("""COMPUTED_VALUE"""),44649.0)</f>
        <v>44649</v>
      </c>
      <c r="C3541" s="5"/>
      <c r="D3541" s="5"/>
      <c r="E3541" s="5"/>
      <c r="F3541" s="22">
        <f>IFERROR(__xludf.DUMMYFUNCTION("""COMPUTED_VALUE"""),500000.0)</f>
        <v>500000</v>
      </c>
      <c r="G3541" s="22">
        <f>IFERROR(__xludf.DUMMYFUNCTION("""COMPUTED_VALUE"""),0.0)</f>
        <v>0</v>
      </c>
      <c r="H3541" s="22">
        <f>IFERROR(__xludf.DUMMYFUNCTION("""COMPUTED_VALUE"""),500000.0)</f>
        <v>500000</v>
      </c>
      <c r="I3541" s="24">
        <f>IFERROR(__xludf.DUMMYFUNCTION("""COMPUTED_VALUE"""),0.0)</f>
        <v>0</v>
      </c>
    </row>
    <row r="3542">
      <c r="A3542" s="5" t="str">
        <f>IFERROR(__xludf.DUMMYFUNCTION("""COMPUTED_VALUE"""),"40658")</f>
        <v>40658</v>
      </c>
      <c r="B3542" s="64">
        <f>IFERROR(__xludf.DUMMYFUNCTION("""COMPUTED_VALUE"""),44650.0)</f>
        <v>44650</v>
      </c>
      <c r="C3542" s="5"/>
      <c r="D3542" s="5"/>
      <c r="E3542" s="5"/>
      <c r="F3542" s="22">
        <f>IFERROR(__xludf.DUMMYFUNCTION("""COMPUTED_VALUE"""),500000.0)</f>
        <v>500000</v>
      </c>
      <c r="G3542" s="22">
        <f>IFERROR(__xludf.DUMMYFUNCTION("""COMPUTED_VALUE"""),0.0)</f>
        <v>0</v>
      </c>
      <c r="H3542" s="22">
        <f>IFERROR(__xludf.DUMMYFUNCTION("""COMPUTED_VALUE"""),500000.0)</f>
        <v>500000</v>
      </c>
      <c r="I3542" s="24">
        <f>IFERROR(__xludf.DUMMYFUNCTION("""COMPUTED_VALUE"""),0.0)</f>
        <v>0</v>
      </c>
    </row>
    <row r="3543">
      <c r="A3543" s="5" t="str">
        <f>IFERROR(__xludf.DUMMYFUNCTION("""COMPUTED_VALUE"""),"40658")</f>
        <v>40658</v>
      </c>
      <c r="B3543" s="64">
        <f>IFERROR(__xludf.DUMMYFUNCTION("""COMPUTED_VALUE"""),44651.0)</f>
        <v>44651</v>
      </c>
      <c r="C3543" s="5"/>
      <c r="D3543" s="5"/>
      <c r="E3543" s="5"/>
      <c r="F3543" s="22">
        <f>IFERROR(__xludf.DUMMYFUNCTION("""COMPUTED_VALUE"""),500000.0)</f>
        <v>500000</v>
      </c>
      <c r="G3543" s="22">
        <f>IFERROR(__xludf.DUMMYFUNCTION("""COMPUTED_VALUE"""),0.0)</f>
        <v>0</v>
      </c>
      <c r="H3543" s="22">
        <f>IFERROR(__xludf.DUMMYFUNCTION("""COMPUTED_VALUE"""),500000.0)</f>
        <v>500000</v>
      </c>
      <c r="I3543" s="24">
        <f>IFERROR(__xludf.DUMMYFUNCTION("""COMPUTED_VALUE"""),0.0)</f>
        <v>0</v>
      </c>
    </row>
    <row r="3544">
      <c r="A3544" s="5" t="str">
        <f>IFERROR(__xludf.DUMMYFUNCTION("""COMPUTED_VALUE"""),"40658")</f>
        <v>40658</v>
      </c>
      <c r="B3544" s="64">
        <f>IFERROR(__xludf.DUMMYFUNCTION("""COMPUTED_VALUE"""),44652.0)</f>
        <v>44652</v>
      </c>
      <c r="C3544" s="5"/>
      <c r="D3544" s="5"/>
      <c r="E3544" s="5"/>
      <c r="F3544" s="22">
        <f>IFERROR(__xludf.DUMMYFUNCTION("""COMPUTED_VALUE"""),500000.0)</f>
        <v>500000</v>
      </c>
      <c r="G3544" s="22">
        <f>IFERROR(__xludf.DUMMYFUNCTION("""COMPUTED_VALUE"""),0.0)</f>
        <v>0</v>
      </c>
      <c r="H3544" s="22">
        <f>IFERROR(__xludf.DUMMYFUNCTION("""COMPUTED_VALUE"""),500000.0)</f>
        <v>500000</v>
      </c>
      <c r="I3544" s="24">
        <f>IFERROR(__xludf.DUMMYFUNCTION("""COMPUTED_VALUE"""),0.0)</f>
        <v>0</v>
      </c>
    </row>
    <row r="3545">
      <c r="A3545" s="5" t="str">
        <f>IFERROR(__xludf.DUMMYFUNCTION("""COMPUTED_VALUE"""),"40658")</f>
        <v>40658</v>
      </c>
      <c r="B3545" s="64">
        <f>IFERROR(__xludf.DUMMYFUNCTION("""COMPUTED_VALUE"""),44653.0)</f>
        <v>44653</v>
      </c>
      <c r="C3545" s="5"/>
      <c r="D3545" s="5"/>
      <c r="E3545" s="5"/>
      <c r="F3545" s="22">
        <f>IFERROR(__xludf.DUMMYFUNCTION("""COMPUTED_VALUE"""),500000.0)</f>
        <v>500000</v>
      </c>
      <c r="G3545" s="22">
        <f>IFERROR(__xludf.DUMMYFUNCTION("""COMPUTED_VALUE"""),0.0)</f>
        <v>0</v>
      </c>
      <c r="H3545" s="22">
        <f>IFERROR(__xludf.DUMMYFUNCTION("""COMPUTED_VALUE"""),500000.0)</f>
        <v>500000</v>
      </c>
      <c r="I3545" s="24">
        <f>IFERROR(__xludf.DUMMYFUNCTION("""COMPUTED_VALUE"""),0.0)</f>
        <v>0</v>
      </c>
    </row>
    <row r="3546">
      <c r="A3546" s="5" t="str">
        <f>IFERROR(__xludf.DUMMYFUNCTION("""COMPUTED_VALUE"""),"40658")</f>
        <v>40658</v>
      </c>
      <c r="B3546" s="64">
        <f>IFERROR(__xludf.DUMMYFUNCTION("""COMPUTED_VALUE"""),44654.0)</f>
        <v>44654</v>
      </c>
      <c r="C3546" s="5"/>
      <c r="D3546" s="5"/>
      <c r="E3546" s="5"/>
      <c r="F3546" s="22">
        <f>IFERROR(__xludf.DUMMYFUNCTION("""COMPUTED_VALUE"""),500000.0)</f>
        <v>500000</v>
      </c>
      <c r="G3546" s="22">
        <f>IFERROR(__xludf.DUMMYFUNCTION("""COMPUTED_VALUE"""),0.0)</f>
        <v>0</v>
      </c>
      <c r="H3546" s="22">
        <f>IFERROR(__xludf.DUMMYFUNCTION("""COMPUTED_VALUE"""),500000.0)</f>
        <v>500000</v>
      </c>
      <c r="I3546" s="24">
        <f>IFERROR(__xludf.DUMMYFUNCTION("""COMPUTED_VALUE"""),0.0)</f>
        <v>0</v>
      </c>
    </row>
    <row r="3547">
      <c r="A3547" s="5" t="str">
        <f>IFERROR(__xludf.DUMMYFUNCTION("""COMPUTED_VALUE"""),"40658")</f>
        <v>40658</v>
      </c>
      <c r="B3547" s="64">
        <f>IFERROR(__xludf.DUMMYFUNCTION("""COMPUTED_VALUE"""),44655.0)</f>
        <v>44655</v>
      </c>
      <c r="C3547" s="5"/>
      <c r="D3547" s="5"/>
      <c r="E3547" s="5"/>
      <c r="F3547" s="22">
        <f>IFERROR(__xludf.DUMMYFUNCTION("""COMPUTED_VALUE"""),500000.0)</f>
        <v>500000</v>
      </c>
      <c r="G3547" s="22">
        <f>IFERROR(__xludf.DUMMYFUNCTION("""COMPUTED_VALUE"""),0.0)</f>
        <v>0</v>
      </c>
      <c r="H3547" s="22">
        <f>IFERROR(__xludf.DUMMYFUNCTION("""COMPUTED_VALUE"""),500000.0)</f>
        <v>500000</v>
      </c>
      <c r="I3547" s="24">
        <f>IFERROR(__xludf.DUMMYFUNCTION("""COMPUTED_VALUE"""),0.0)</f>
        <v>0</v>
      </c>
    </row>
    <row r="3548">
      <c r="A3548" s="5" t="str">
        <f>IFERROR(__xludf.DUMMYFUNCTION("""COMPUTED_VALUE"""),"40658")</f>
        <v>40658</v>
      </c>
      <c r="B3548" s="64">
        <f>IFERROR(__xludf.DUMMYFUNCTION("""COMPUTED_VALUE"""),44656.0)</f>
        <v>44656</v>
      </c>
      <c r="C3548" s="5"/>
      <c r="D3548" s="5"/>
      <c r="E3548" s="5"/>
      <c r="F3548" s="22">
        <f>IFERROR(__xludf.DUMMYFUNCTION("""COMPUTED_VALUE"""),500000.0)</f>
        <v>500000</v>
      </c>
      <c r="G3548" s="22">
        <f>IFERROR(__xludf.DUMMYFUNCTION("""COMPUTED_VALUE"""),0.0)</f>
        <v>0</v>
      </c>
      <c r="H3548" s="22">
        <f>IFERROR(__xludf.DUMMYFUNCTION("""COMPUTED_VALUE"""),500000.0)</f>
        <v>500000</v>
      </c>
      <c r="I3548" s="24">
        <f>IFERROR(__xludf.DUMMYFUNCTION("""COMPUTED_VALUE"""),0.0)</f>
        <v>0</v>
      </c>
    </row>
    <row r="3549">
      <c r="A3549" s="5" t="str">
        <f>IFERROR(__xludf.DUMMYFUNCTION("""COMPUTED_VALUE"""),"40658")</f>
        <v>40658</v>
      </c>
      <c r="B3549" s="64">
        <f>IFERROR(__xludf.DUMMYFUNCTION("""COMPUTED_VALUE"""),44657.0)</f>
        <v>44657</v>
      </c>
      <c r="C3549" s="5"/>
      <c r="D3549" s="5"/>
      <c r="E3549" s="5"/>
      <c r="F3549" s="22">
        <f>IFERROR(__xludf.DUMMYFUNCTION("""COMPUTED_VALUE"""),500000.0)</f>
        <v>500000</v>
      </c>
      <c r="G3549" s="22">
        <f>IFERROR(__xludf.DUMMYFUNCTION("""COMPUTED_VALUE"""),0.0)</f>
        <v>0</v>
      </c>
      <c r="H3549" s="22">
        <f>IFERROR(__xludf.DUMMYFUNCTION("""COMPUTED_VALUE"""),500000.0)</f>
        <v>500000</v>
      </c>
      <c r="I3549" s="24">
        <f>IFERROR(__xludf.DUMMYFUNCTION("""COMPUTED_VALUE"""),0.0)</f>
        <v>0</v>
      </c>
    </row>
    <row r="3550">
      <c r="A3550" s="5" t="str">
        <f>IFERROR(__xludf.DUMMYFUNCTION("""COMPUTED_VALUE"""),"40658")</f>
        <v>40658</v>
      </c>
      <c r="B3550" s="64">
        <f>IFERROR(__xludf.DUMMYFUNCTION("""COMPUTED_VALUE"""),44658.0)</f>
        <v>44658</v>
      </c>
      <c r="C3550" s="5"/>
      <c r="D3550" s="5"/>
      <c r="E3550" s="5"/>
      <c r="F3550" s="22">
        <f>IFERROR(__xludf.DUMMYFUNCTION("""COMPUTED_VALUE"""),500000.0)</f>
        <v>500000</v>
      </c>
      <c r="G3550" s="22">
        <f>IFERROR(__xludf.DUMMYFUNCTION("""COMPUTED_VALUE"""),0.0)</f>
        <v>0</v>
      </c>
      <c r="H3550" s="22">
        <f>IFERROR(__xludf.DUMMYFUNCTION("""COMPUTED_VALUE"""),500000.0)</f>
        <v>500000</v>
      </c>
      <c r="I3550" s="24">
        <f>IFERROR(__xludf.DUMMYFUNCTION("""COMPUTED_VALUE"""),0.0)</f>
        <v>0</v>
      </c>
    </row>
    <row r="3551">
      <c r="A3551" s="5" t="str">
        <f>IFERROR(__xludf.DUMMYFUNCTION("""COMPUTED_VALUE"""),"40658")</f>
        <v>40658</v>
      </c>
      <c r="B3551" s="64">
        <f>IFERROR(__xludf.DUMMYFUNCTION("""COMPUTED_VALUE"""),44659.0)</f>
        <v>44659</v>
      </c>
      <c r="C3551" s="5"/>
      <c r="D3551" s="5"/>
      <c r="E3551" s="5"/>
      <c r="F3551" s="22">
        <f>IFERROR(__xludf.DUMMYFUNCTION("""COMPUTED_VALUE"""),500000.0)</f>
        <v>500000</v>
      </c>
      <c r="G3551" s="22">
        <f>IFERROR(__xludf.DUMMYFUNCTION("""COMPUTED_VALUE"""),0.0)</f>
        <v>0</v>
      </c>
      <c r="H3551" s="22">
        <f>IFERROR(__xludf.DUMMYFUNCTION("""COMPUTED_VALUE"""),500000.0)</f>
        <v>500000</v>
      </c>
      <c r="I3551" s="24">
        <f>IFERROR(__xludf.DUMMYFUNCTION("""COMPUTED_VALUE"""),0.0)</f>
        <v>0</v>
      </c>
    </row>
    <row r="3552">
      <c r="A3552" s="5" t="str">
        <f>IFERROR(__xludf.DUMMYFUNCTION("""COMPUTED_VALUE"""),"40658")</f>
        <v>40658</v>
      </c>
      <c r="B3552" s="64">
        <f>IFERROR(__xludf.DUMMYFUNCTION("""COMPUTED_VALUE"""),44660.0)</f>
        <v>44660</v>
      </c>
      <c r="C3552" s="5"/>
      <c r="D3552" s="5"/>
      <c r="E3552" s="5"/>
      <c r="F3552" s="22">
        <f>IFERROR(__xludf.DUMMYFUNCTION("""COMPUTED_VALUE"""),500000.0)</f>
        <v>500000</v>
      </c>
      <c r="G3552" s="22">
        <f>IFERROR(__xludf.DUMMYFUNCTION("""COMPUTED_VALUE"""),0.0)</f>
        <v>0</v>
      </c>
      <c r="H3552" s="22">
        <f>IFERROR(__xludf.DUMMYFUNCTION("""COMPUTED_VALUE"""),500000.0)</f>
        <v>500000</v>
      </c>
      <c r="I3552" s="24">
        <f>IFERROR(__xludf.DUMMYFUNCTION("""COMPUTED_VALUE"""),0.0)</f>
        <v>0</v>
      </c>
    </row>
    <row r="3553">
      <c r="A3553" s="5" t="str">
        <f>IFERROR(__xludf.DUMMYFUNCTION("""COMPUTED_VALUE"""),"40658")</f>
        <v>40658</v>
      </c>
      <c r="B3553" s="64">
        <f>IFERROR(__xludf.DUMMYFUNCTION("""COMPUTED_VALUE"""),44661.0)</f>
        <v>44661</v>
      </c>
      <c r="C3553" s="5"/>
      <c r="D3553" s="5"/>
      <c r="E3553" s="5"/>
      <c r="F3553" s="22">
        <f>IFERROR(__xludf.DUMMYFUNCTION("""COMPUTED_VALUE"""),500000.0)</f>
        <v>500000</v>
      </c>
      <c r="G3553" s="22">
        <f>IFERROR(__xludf.DUMMYFUNCTION("""COMPUTED_VALUE"""),0.0)</f>
        <v>0</v>
      </c>
      <c r="H3553" s="22">
        <f>IFERROR(__xludf.DUMMYFUNCTION("""COMPUTED_VALUE"""),500000.0)</f>
        <v>500000</v>
      </c>
      <c r="I3553" s="24">
        <f>IFERROR(__xludf.DUMMYFUNCTION("""COMPUTED_VALUE"""),0.0)</f>
        <v>0</v>
      </c>
    </row>
    <row r="3554">
      <c r="A3554" s="5" t="str">
        <f>IFERROR(__xludf.DUMMYFUNCTION("""COMPUTED_VALUE"""),"40658")</f>
        <v>40658</v>
      </c>
      <c r="B3554" s="64">
        <f>IFERROR(__xludf.DUMMYFUNCTION("""COMPUTED_VALUE"""),44662.0)</f>
        <v>44662</v>
      </c>
      <c r="C3554" s="5"/>
      <c r="D3554" s="5"/>
      <c r="E3554" s="5"/>
      <c r="F3554" s="22">
        <f>IFERROR(__xludf.DUMMYFUNCTION("""COMPUTED_VALUE"""),500000.0)</f>
        <v>500000</v>
      </c>
      <c r="G3554" s="22">
        <f>IFERROR(__xludf.DUMMYFUNCTION("""COMPUTED_VALUE"""),0.0)</f>
        <v>0</v>
      </c>
      <c r="H3554" s="22">
        <f>IFERROR(__xludf.DUMMYFUNCTION("""COMPUTED_VALUE"""),500000.0)</f>
        <v>500000</v>
      </c>
      <c r="I3554" s="24">
        <f>IFERROR(__xludf.DUMMYFUNCTION("""COMPUTED_VALUE"""),0.0)</f>
        <v>0</v>
      </c>
    </row>
    <row r="3555">
      <c r="A3555" s="5" t="str">
        <f>IFERROR(__xludf.DUMMYFUNCTION("""COMPUTED_VALUE"""),"40658")</f>
        <v>40658</v>
      </c>
      <c r="B3555" s="64">
        <f>IFERROR(__xludf.DUMMYFUNCTION("""COMPUTED_VALUE"""),44663.0)</f>
        <v>44663</v>
      </c>
      <c r="C3555" s="5"/>
      <c r="D3555" s="5"/>
      <c r="E3555" s="5"/>
      <c r="F3555" s="22">
        <f>IFERROR(__xludf.DUMMYFUNCTION("""COMPUTED_VALUE"""),500000.0)</f>
        <v>500000</v>
      </c>
      <c r="G3555" s="22">
        <f>IFERROR(__xludf.DUMMYFUNCTION("""COMPUTED_VALUE"""),0.0)</f>
        <v>0</v>
      </c>
      <c r="H3555" s="22">
        <f>IFERROR(__xludf.DUMMYFUNCTION("""COMPUTED_VALUE"""),500000.0)</f>
        <v>500000</v>
      </c>
      <c r="I3555" s="24">
        <f>IFERROR(__xludf.DUMMYFUNCTION("""COMPUTED_VALUE"""),0.0)</f>
        <v>0</v>
      </c>
    </row>
    <row r="3556">
      <c r="A3556" s="5" t="str">
        <f>IFERROR(__xludf.DUMMYFUNCTION("""COMPUTED_VALUE"""),"40776")</f>
        <v>40776</v>
      </c>
      <c r="B3556" s="64">
        <f>IFERROR(__xludf.DUMMYFUNCTION("""COMPUTED_VALUE"""),44597.0)</f>
        <v>44597</v>
      </c>
      <c r="C3556" s="5"/>
      <c r="D3556" s="5"/>
      <c r="E3556" s="5"/>
      <c r="F3556" s="22">
        <f>IFERROR(__xludf.DUMMYFUNCTION("""COMPUTED_VALUE"""),500000.0)</f>
        <v>500000</v>
      </c>
      <c r="G3556" s="22">
        <f>IFERROR(__xludf.DUMMYFUNCTION("""COMPUTED_VALUE"""),0.0)</f>
        <v>0</v>
      </c>
      <c r="H3556" s="22">
        <f>IFERROR(__xludf.DUMMYFUNCTION("""COMPUTED_VALUE"""),500000.0)</f>
        <v>500000</v>
      </c>
      <c r="I3556" s="24">
        <f>IFERROR(__xludf.DUMMYFUNCTION("""COMPUTED_VALUE"""),0.0)</f>
        <v>0</v>
      </c>
    </row>
    <row r="3557">
      <c r="A3557" s="5" t="str">
        <f>IFERROR(__xludf.DUMMYFUNCTION("""COMPUTED_VALUE"""),"40776")</f>
        <v>40776</v>
      </c>
      <c r="B3557" s="64">
        <f>IFERROR(__xludf.DUMMYFUNCTION("""COMPUTED_VALUE"""),44598.0)</f>
        <v>44598</v>
      </c>
      <c r="C3557" s="5"/>
      <c r="D3557" s="5"/>
      <c r="E3557" s="5"/>
      <c r="F3557" s="22">
        <f>IFERROR(__xludf.DUMMYFUNCTION("""COMPUTED_VALUE"""),500000.0)</f>
        <v>500000</v>
      </c>
      <c r="G3557" s="22">
        <f>IFERROR(__xludf.DUMMYFUNCTION("""COMPUTED_VALUE"""),0.0)</f>
        <v>0</v>
      </c>
      <c r="H3557" s="22">
        <f>IFERROR(__xludf.DUMMYFUNCTION("""COMPUTED_VALUE"""),500000.0)</f>
        <v>500000</v>
      </c>
      <c r="I3557" s="24">
        <f>IFERROR(__xludf.DUMMYFUNCTION("""COMPUTED_VALUE"""),0.0)</f>
        <v>0</v>
      </c>
    </row>
    <row r="3558">
      <c r="A3558" s="5" t="str">
        <f>IFERROR(__xludf.DUMMYFUNCTION("""COMPUTED_VALUE"""),"40776")</f>
        <v>40776</v>
      </c>
      <c r="B3558" s="64">
        <f>IFERROR(__xludf.DUMMYFUNCTION("""COMPUTED_VALUE"""),44599.0)</f>
        <v>44599</v>
      </c>
      <c r="C3558" s="5"/>
      <c r="D3558" s="5"/>
      <c r="E3558" s="5"/>
      <c r="F3558" s="22">
        <f>IFERROR(__xludf.DUMMYFUNCTION("""COMPUTED_VALUE"""),500000.0)</f>
        <v>500000</v>
      </c>
      <c r="G3558" s="22">
        <f>IFERROR(__xludf.DUMMYFUNCTION("""COMPUTED_VALUE"""),0.0)</f>
        <v>0</v>
      </c>
      <c r="H3558" s="22">
        <f>IFERROR(__xludf.DUMMYFUNCTION("""COMPUTED_VALUE"""),500000.0)</f>
        <v>500000</v>
      </c>
      <c r="I3558" s="24">
        <f>IFERROR(__xludf.DUMMYFUNCTION("""COMPUTED_VALUE"""),0.0)</f>
        <v>0</v>
      </c>
    </row>
    <row r="3559">
      <c r="A3559" s="5" t="str">
        <f>IFERROR(__xludf.DUMMYFUNCTION("""COMPUTED_VALUE"""),"40776")</f>
        <v>40776</v>
      </c>
      <c r="B3559" s="64">
        <f>IFERROR(__xludf.DUMMYFUNCTION("""COMPUTED_VALUE"""),44600.0)</f>
        <v>44600</v>
      </c>
      <c r="C3559" s="5"/>
      <c r="D3559" s="5"/>
      <c r="E3559" s="5"/>
      <c r="F3559" s="22">
        <f>IFERROR(__xludf.DUMMYFUNCTION("""COMPUTED_VALUE"""),500000.0)</f>
        <v>500000</v>
      </c>
      <c r="G3559" s="22">
        <f>IFERROR(__xludf.DUMMYFUNCTION("""COMPUTED_VALUE"""),0.0)</f>
        <v>0</v>
      </c>
      <c r="H3559" s="22">
        <f>IFERROR(__xludf.DUMMYFUNCTION("""COMPUTED_VALUE"""),500000.0)</f>
        <v>500000</v>
      </c>
      <c r="I3559" s="24">
        <f>IFERROR(__xludf.DUMMYFUNCTION("""COMPUTED_VALUE"""),0.0)</f>
        <v>0</v>
      </c>
    </row>
    <row r="3560">
      <c r="A3560" s="5" t="str">
        <f>IFERROR(__xludf.DUMMYFUNCTION("""COMPUTED_VALUE"""),"40776")</f>
        <v>40776</v>
      </c>
      <c r="B3560" s="64">
        <f>IFERROR(__xludf.DUMMYFUNCTION("""COMPUTED_VALUE"""),44601.0)</f>
        <v>44601</v>
      </c>
      <c r="C3560" s="5"/>
      <c r="D3560" s="5"/>
      <c r="E3560" s="5"/>
      <c r="F3560" s="22">
        <f>IFERROR(__xludf.DUMMYFUNCTION("""COMPUTED_VALUE"""),500000.0)</f>
        <v>500000</v>
      </c>
      <c r="G3560" s="22">
        <f>IFERROR(__xludf.DUMMYFUNCTION("""COMPUTED_VALUE"""),0.0)</f>
        <v>0</v>
      </c>
      <c r="H3560" s="22">
        <f>IFERROR(__xludf.DUMMYFUNCTION("""COMPUTED_VALUE"""),500000.0)</f>
        <v>500000</v>
      </c>
      <c r="I3560" s="24">
        <f>IFERROR(__xludf.DUMMYFUNCTION("""COMPUTED_VALUE"""),0.0)</f>
        <v>0</v>
      </c>
    </row>
    <row r="3561">
      <c r="A3561" s="5" t="str">
        <f>IFERROR(__xludf.DUMMYFUNCTION("""COMPUTED_VALUE"""),"40776")</f>
        <v>40776</v>
      </c>
      <c r="B3561" s="64">
        <f>IFERROR(__xludf.DUMMYFUNCTION("""COMPUTED_VALUE"""),44602.0)</f>
        <v>44602</v>
      </c>
      <c r="C3561" s="5"/>
      <c r="D3561" s="5"/>
      <c r="E3561" s="5"/>
      <c r="F3561" s="22">
        <f>IFERROR(__xludf.DUMMYFUNCTION("""COMPUTED_VALUE"""),500000.0)</f>
        <v>500000</v>
      </c>
      <c r="G3561" s="22">
        <f>IFERROR(__xludf.DUMMYFUNCTION("""COMPUTED_VALUE"""),0.0)</f>
        <v>0</v>
      </c>
      <c r="H3561" s="22">
        <f>IFERROR(__xludf.DUMMYFUNCTION("""COMPUTED_VALUE"""),500000.0)</f>
        <v>500000</v>
      </c>
      <c r="I3561" s="24">
        <f>IFERROR(__xludf.DUMMYFUNCTION("""COMPUTED_VALUE"""),0.0)</f>
        <v>0</v>
      </c>
    </row>
    <row r="3562">
      <c r="A3562" s="5" t="str">
        <f>IFERROR(__xludf.DUMMYFUNCTION("""COMPUTED_VALUE"""),"40776")</f>
        <v>40776</v>
      </c>
      <c r="B3562" s="64">
        <f>IFERROR(__xludf.DUMMYFUNCTION("""COMPUTED_VALUE"""),44603.0)</f>
        <v>44603</v>
      </c>
      <c r="C3562" s="5"/>
      <c r="D3562" s="5"/>
      <c r="E3562" s="5"/>
      <c r="F3562" s="22">
        <f>IFERROR(__xludf.DUMMYFUNCTION("""COMPUTED_VALUE"""),500000.0)</f>
        <v>500000</v>
      </c>
      <c r="G3562" s="22">
        <f>IFERROR(__xludf.DUMMYFUNCTION("""COMPUTED_VALUE"""),0.0)</f>
        <v>0</v>
      </c>
      <c r="H3562" s="22">
        <f>IFERROR(__xludf.DUMMYFUNCTION("""COMPUTED_VALUE"""),500000.0)</f>
        <v>500000</v>
      </c>
      <c r="I3562" s="24">
        <f>IFERROR(__xludf.DUMMYFUNCTION("""COMPUTED_VALUE"""),0.0)</f>
        <v>0</v>
      </c>
    </row>
    <row r="3563">
      <c r="A3563" s="5" t="str">
        <f>IFERROR(__xludf.DUMMYFUNCTION("""COMPUTED_VALUE"""),"40776")</f>
        <v>40776</v>
      </c>
      <c r="B3563" s="64">
        <f>IFERROR(__xludf.DUMMYFUNCTION("""COMPUTED_VALUE"""),44604.0)</f>
        <v>44604</v>
      </c>
      <c r="C3563" s="5"/>
      <c r="D3563" s="5"/>
      <c r="E3563" s="5"/>
      <c r="F3563" s="22">
        <f>IFERROR(__xludf.DUMMYFUNCTION("""COMPUTED_VALUE"""),500000.0)</f>
        <v>500000</v>
      </c>
      <c r="G3563" s="22">
        <f>IFERROR(__xludf.DUMMYFUNCTION("""COMPUTED_VALUE"""),0.0)</f>
        <v>0</v>
      </c>
      <c r="H3563" s="22">
        <f>IFERROR(__xludf.DUMMYFUNCTION("""COMPUTED_VALUE"""),500000.0)</f>
        <v>500000</v>
      </c>
      <c r="I3563" s="24">
        <f>IFERROR(__xludf.DUMMYFUNCTION("""COMPUTED_VALUE"""),0.0)</f>
        <v>0</v>
      </c>
    </row>
    <row r="3564">
      <c r="A3564" s="5" t="str">
        <f>IFERROR(__xludf.DUMMYFUNCTION("""COMPUTED_VALUE"""),"40776")</f>
        <v>40776</v>
      </c>
      <c r="B3564" s="64">
        <f>IFERROR(__xludf.DUMMYFUNCTION("""COMPUTED_VALUE"""),44605.0)</f>
        <v>44605</v>
      </c>
      <c r="C3564" s="5"/>
      <c r="D3564" s="5"/>
      <c r="E3564" s="5"/>
      <c r="F3564" s="22">
        <f>IFERROR(__xludf.DUMMYFUNCTION("""COMPUTED_VALUE"""),500000.0)</f>
        <v>500000</v>
      </c>
      <c r="G3564" s="22">
        <f>IFERROR(__xludf.DUMMYFUNCTION("""COMPUTED_VALUE"""),0.0)</f>
        <v>0</v>
      </c>
      <c r="H3564" s="22">
        <f>IFERROR(__xludf.DUMMYFUNCTION("""COMPUTED_VALUE"""),500000.0)</f>
        <v>500000</v>
      </c>
      <c r="I3564" s="24">
        <f>IFERROR(__xludf.DUMMYFUNCTION("""COMPUTED_VALUE"""),0.0)</f>
        <v>0</v>
      </c>
    </row>
    <row r="3565">
      <c r="A3565" s="5" t="str">
        <f>IFERROR(__xludf.DUMMYFUNCTION("""COMPUTED_VALUE"""),"40776")</f>
        <v>40776</v>
      </c>
      <c r="B3565" s="64">
        <f>IFERROR(__xludf.DUMMYFUNCTION("""COMPUTED_VALUE"""),44606.0)</f>
        <v>44606</v>
      </c>
      <c r="C3565" s="5"/>
      <c r="D3565" s="5"/>
      <c r="E3565" s="5"/>
      <c r="F3565" s="22">
        <f>IFERROR(__xludf.DUMMYFUNCTION("""COMPUTED_VALUE"""),500000.0)</f>
        <v>500000</v>
      </c>
      <c r="G3565" s="22">
        <f>IFERROR(__xludf.DUMMYFUNCTION("""COMPUTED_VALUE"""),0.0)</f>
        <v>0</v>
      </c>
      <c r="H3565" s="22">
        <f>IFERROR(__xludf.DUMMYFUNCTION("""COMPUTED_VALUE"""),500000.0)</f>
        <v>500000</v>
      </c>
      <c r="I3565" s="24">
        <f>IFERROR(__xludf.DUMMYFUNCTION("""COMPUTED_VALUE"""),0.0)</f>
        <v>0</v>
      </c>
    </row>
    <row r="3566">
      <c r="A3566" s="5" t="str">
        <f>IFERROR(__xludf.DUMMYFUNCTION("""COMPUTED_VALUE"""),"40776")</f>
        <v>40776</v>
      </c>
      <c r="B3566" s="64">
        <f>IFERROR(__xludf.DUMMYFUNCTION("""COMPUTED_VALUE"""),44607.0)</f>
        <v>44607</v>
      </c>
      <c r="C3566" s="5"/>
      <c r="D3566" s="5"/>
      <c r="E3566" s="5"/>
      <c r="F3566" s="22">
        <f>IFERROR(__xludf.DUMMYFUNCTION("""COMPUTED_VALUE"""),500000.0)</f>
        <v>500000</v>
      </c>
      <c r="G3566" s="22">
        <f>IFERROR(__xludf.DUMMYFUNCTION("""COMPUTED_VALUE"""),0.0)</f>
        <v>0</v>
      </c>
      <c r="H3566" s="22">
        <f>IFERROR(__xludf.DUMMYFUNCTION("""COMPUTED_VALUE"""),500000.0)</f>
        <v>500000</v>
      </c>
      <c r="I3566" s="24">
        <f>IFERROR(__xludf.DUMMYFUNCTION("""COMPUTED_VALUE"""),0.0)</f>
        <v>0</v>
      </c>
    </row>
    <row r="3567">
      <c r="A3567" s="5" t="str">
        <f>IFERROR(__xludf.DUMMYFUNCTION("""COMPUTED_VALUE"""),"40776")</f>
        <v>40776</v>
      </c>
      <c r="B3567" s="64">
        <f>IFERROR(__xludf.DUMMYFUNCTION("""COMPUTED_VALUE"""),44608.0)</f>
        <v>44608</v>
      </c>
      <c r="C3567" s="5"/>
      <c r="D3567" s="5"/>
      <c r="E3567" s="5"/>
      <c r="F3567" s="22">
        <f>IFERROR(__xludf.DUMMYFUNCTION("""COMPUTED_VALUE"""),500000.0)</f>
        <v>500000</v>
      </c>
      <c r="G3567" s="22">
        <f>IFERROR(__xludf.DUMMYFUNCTION("""COMPUTED_VALUE"""),0.0)</f>
        <v>0</v>
      </c>
      <c r="H3567" s="22">
        <f>IFERROR(__xludf.DUMMYFUNCTION("""COMPUTED_VALUE"""),500000.0)</f>
        <v>500000</v>
      </c>
      <c r="I3567" s="24">
        <f>IFERROR(__xludf.DUMMYFUNCTION("""COMPUTED_VALUE"""),0.0)</f>
        <v>0</v>
      </c>
    </row>
    <row r="3568">
      <c r="A3568" s="5" t="str">
        <f>IFERROR(__xludf.DUMMYFUNCTION("""COMPUTED_VALUE"""),"40776")</f>
        <v>40776</v>
      </c>
      <c r="B3568" s="64">
        <f>IFERROR(__xludf.DUMMYFUNCTION("""COMPUTED_VALUE"""),44609.0)</f>
        <v>44609</v>
      </c>
      <c r="C3568" s="5"/>
      <c r="D3568" s="5"/>
      <c r="E3568" s="5"/>
      <c r="F3568" s="22">
        <f>IFERROR(__xludf.DUMMYFUNCTION("""COMPUTED_VALUE"""),500000.0)</f>
        <v>500000</v>
      </c>
      <c r="G3568" s="22">
        <f>IFERROR(__xludf.DUMMYFUNCTION("""COMPUTED_VALUE"""),0.0)</f>
        <v>0</v>
      </c>
      <c r="H3568" s="22">
        <f>IFERROR(__xludf.DUMMYFUNCTION("""COMPUTED_VALUE"""),500000.0)</f>
        <v>500000</v>
      </c>
      <c r="I3568" s="24">
        <f>IFERROR(__xludf.DUMMYFUNCTION("""COMPUTED_VALUE"""),0.0)</f>
        <v>0</v>
      </c>
    </row>
    <row r="3569">
      <c r="A3569" s="5" t="str">
        <f>IFERROR(__xludf.DUMMYFUNCTION("""COMPUTED_VALUE"""),"40776")</f>
        <v>40776</v>
      </c>
      <c r="B3569" s="64">
        <f>IFERROR(__xludf.DUMMYFUNCTION("""COMPUTED_VALUE"""),44610.0)</f>
        <v>44610</v>
      </c>
      <c r="C3569" s="5"/>
      <c r="D3569" s="5"/>
      <c r="E3569" s="5"/>
      <c r="F3569" s="22">
        <f>IFERROR(__xludf.DUMMYFUNCTION("""COMPUTED_VALUE"""),500000.0)</f>
        <v>500000</v>
      </c>
      <c r="G3569" s="22">
        <f>IFERROR(__xludf.DUMMYFUNCTION("""COMPUTED_VALUE"""),0.0)</f>
        <v>0</v>
      </c>
      <c r="H3569" s="22">
        <f>IFERROR(__xludf.DUMMYFUNCTION("""COMPUTED_VALUE"""),500000.0)</f>
        <v>500000</v>
      </c>
      <c r="I3569" s="24">
        <f>IFERROR(__xludf.DUMMYFUNCTION("""COMPUTED_VALUE"""),0.0)</f>
        <v>0</v>
      </c>
    </row>
    <row r="3570">
      <c r="A3570" s="5" t="str">
        <f>IFERROR(__xludf.DUMMYFUNCTION("""COMPUTED_VALUE"""),"40776")</f>
        <v>40776</v>
      </c>
      <c r="B3570" s="64">
        <f>IFERROR(__xludf.DUMMYFUNCTION("""COMPUTED_VALUE"""),44611.0)</f>
        <v>44611</v>
      </c>
      <c r="C3570" s="5"/>
      <c r="D3570" s="5"/>
      <c r="E3570" s="5"/>
      <c r="F3570" s="22">
        <f>IFERROR(__xludf.DUMMYFUNCTION("""COMPUTED_VALUE"""),500000.0)</f>
        <v>500000</v>
      </c>
      <c r="G3570" s="22">
        <f>IFERROR(__xludf.DUMMYFUNCTION("""COMPUTED_VALUE"""),0.0)</f>
        <v>0</v>
      </c>
      <c r="H3570" s="22">
        <f>IFERROR(__xludf.DUMMYFUNCTION("""COMPUTED_VALUE"""),500000.0)</f>
        <v>500000</v>
      </c>
      <c r="I3570" s="24">
        <f>IFERROR(__xludf.DUMMYFUNCTION("""COMPUTED_VALUE"""),0.0)</f>
        <v>0</v>
      </c>
    </row>
    <row r="3571">
      <c r="A3571" s="5" t="str">
        <f>IFERROR(__xludf.DUMMYFUNCTION("""COMPUTED_VALUE"""),"40776")</f>
        <v>40776</v>
      </c>
      <c r="B3571" s="64">
        <f>IFERROR(__xludf.DUMMYFUNCTION("""COMPUTED_VALUE"""),44612.0)</f>
        <v>44612</v>
      </c>
      <c r="C3571" s="5"/>
      <c r="D3571" s="5"/>
      <c r="E3571" s="5"/>
      <c r="F3571" s="22">
        <f>IFERROR(__xludf.DUMMYFUNCTION("""COMPUTED_VALUE"""),500000.0)</f>
        <v>500000</v>
      </c>
      <c r="G3571" s="22">
        <f>IFERROR(__xludf.DUMMYFUNCTION("""COMPUTED_VALUE"""),0.0)</f>
        <v>0</v>
      </c>
      <c r="H3571" s="22">
        <f>IFERROR(__xludf.DUMMYFUNCTION("""COMPUTED_VALUE"""),500000.0)</f>
        <v>500000</v>
      </c>
      <c r="I3571" s="24">
        <f>IFERROR(__xludf.DUMMYFUNCTION("""COMPUTED_VALUE"""),0.0)</f>
        <v>0</v>
      </c>
    </row>
    <row r="3572">
      <c r="A3572" s="5" t="str">
        <f>IFERROR(__xludf.DUMMYFUNCTION("""COMPUTED_VALUE"""),"40776")</f>
        <v>40776</v>
      </c>
      <c r="B3572" s="64">
        <f>IFERROR(__xludf.DUMMYFUNCTION("""COMPUTED_VALUE"""),44613.0)</f>
        <v>44613</v>
      </c>
      <c r="C3572" s="5"/>
      <c r="D3572" s="5"/>
      <c r="E3572" s="5"/>
      <c r="F3572" s="22">
        <f>IFERROR(__xludf.DUMMYFUNCTION("""COMPUTED_VALUE"""),500000.0)</f>
        <v>500000</v>
      </c>
      <c r="G3572" s="22">
        <f>IFERROR(__xludf.DUMMYFUNCTION("""COMPUTED_VALUE"""),0.0)</f>
        <v>0</v>
      </c>
      <c r="H3572" s="22">
        <f>IFERROR(__xludf.DUMMYFUNCTION("""COMPUTED_VALUE"""),500000.0)</f>
        <v>500000</v>
      </c>
      <c r="I3572" s="24">
        <f>IFERROR(__xludf.DUMMYFUNCTION("""COMPUTED_VALUE"""),0.0)</f>
        <v>0</v>
      </c>
    </row>
    <row r="3573">
      <c r="A3573" s="5" t="str">
        <f>IFERROR(__xludf.DUMMYFUNCTION("""COMPUTED_VALUE"""),"40776")</f>
        <v>40776</v>
      </c>
      <c r="B3573" s="64">
        <f>IFERROR(__xludf.DUMMYFUNCTION("""COMPUTED_VALUE"""),44614.0)</f>
        <v>44614</v>
      </c>
      <c r="C3573" s="5"/>
      <c r="D3573" s="5"/>
      <c r="E3573" s="5"/>
      <c r="F3573" s="22">
        <f>IFERROR(__xludf.DUMMYFUNCTION("""COMPUTED_VALUE"""),500000.0)</f>
        <v>500000</v>
      </c>
      <c r="G3573" s="22">
        <f>IFERROR(__xludf.DUMMYFUNCTION("""COMPUTED_VALUE"""),0.0)</f>
        <v>0</v>
      </c>
      <c r="H3573" s="22">
        <f>IFERROR(__xludf.DUMMYFUNCTION("""COMPUTED_VALUE"""),500000.0)</f>
        <v>500000</v>
      </c>
      <c r="I3573" s="24">
        <f>IFERROR(__xludf.DUMMYFUNCTION("""COMPUTED_VALUE"""),0.0)</f>
        <v>0</v>
      </c>
    </row>
    <row r="3574">
      <c r="A3574" s="5" t="str">
        <f>IFERROR(__xludf.DUMMYFUNCTION("""COMPUTED_VALUE"""),"40776")</f>
        <v>40776</v>
      </c>
      <c r="B3574" s="64">
        <f>IFERROR(__xludf.DUMMYFUNCTION("""COMPUTED_VALUE"""),44615.0)</f>
        <v>44615</v>
      </c>
      <c r="C3574" s="5"/>
      <c r="D3574" s="5"/>
      <c r="E3574" s="5"/>
      <c r="F3574" s="22">
        <f>IFERROR(__xludf.DUMMYFUNCTION("""COMPUTED_VALUE"""),500000.0)</f>
        <v>500000</v>
      </c>
      <c r="G3574" s="22">
        <f>IFERROR(__xludf.DUMMYFUNCTION("""COMPUTED_VALUE"""),0.0)</f>
        <v>0</v>
      </c>
      <c r="H3574" s="22">
        <f>IFERROR(__xludf.DUMMYFUNCTION("""COMPUTED_VALUE"""),500000.0)</f>
        <v>500000</v>
      </c>
      <c r="I3574" s="24">
        <f>IFERROR(__xludf.DUMMYFUNCTION("""COMPUTED_VALUE"""),0.0)</f>
        <v>0</v>
      </c>
    </row>
    <row r="3575">
      <c r="A3575" s="5" t="str">
        <f>IFERROR(__xludf.DUMMYFUNCTION("""COMPUTED_VALUE"""),"40776")</f>
        <v>40776</v>
      </c>
      <c r="B3575" s="64">
        <f>IFERROR(__xludf.DUMMYFUNCTION("""COMPUTED_VALUE"""),44616.0)</f>
        <v>44616</v>
      </c>
      <c r="C3575" s="5"/>
      <c r="D3575" s="5"/>
      <c r="E3575" s="5"/>
      <c r="F3575" s="22">
        <f>IFERROR(__xludf.DUMMYFUNCTION("""COMPUTED_VALUE"""),500000.0)</f>
        <v>500000</v>
      </c>
      <c r="G3575" s="22">
        <f>IFERROR(__xludf.DUMMYFUNCTION("""COMPUTED_VALUE"""),0.0)</f>
        <v>0</v>
      </c>
      <c r="H3575" s="22">
        <f>IFERROR(__xludf.DUMMYFUNCTION("""COMPUTED_VALUE"""),500000.0)</f>
        <v>500000</v>
      </c>
      <c r="I3575" s="24">
        <f>IFERROR(__xludf.DUMMYFUNCTION("""COMPUTED_VALUE"""),0.0)</f>
        <v>0</v>
      </c>
    </row>
    <row r="3576">
      <c r="A3576" s="5" t="str">
        <f>IFERROR(__xludf.DUMMYFUNCTION("""COMPUTED_VALUE"""),"40776")</f>
        <v>40776</v>
      </c>
      <c r="B3576" s="64">
        <f>IFERROR(__xludf.DUMMYFUNCTION("""COMPUTED_VALUE"""),44617.0)</f>
        <v>44617</v>
      </c>
      <c r="C3576" s="5"/>
      <c r="D3576" s="5"/>
      <c r="E3576" s="5"/>
      <c r="F3576" s="22">
        <f>IFERROR(__xludf.DUMMYFUNCTION("""COMPUTED_VALUE"""),500000.0)</f>
        <v>500000</v>
      </c>
      <c r="G3576" s="22">
        <f>IFERROR(__xludf.DUMMYFUNCTION("""COMPUTED_VALUE"""),0.0)</f>
        <v>0</v>
      </c>
      <c r="H3576" s="22">
        <f>IFERROR(__xludf.DUMMYFUNCTION("""COMPUTED_VALUE"""),500000.0)</f>
        <v>500000</v>
      </c>
      <c r="I3576" s="24">
        <f>IFERROR(__xludf.DUMMYFUNCTION("""COMPUTED_VALUE"""),0.0)</f>
        <v>0</v>
      </c>
    </row>
    <row r="3577">
      <c r="A3577" s="5" t="str">
        <f>IFERROR(__xludf.DUMMYFUNCTION("""COMPUTED_VALUE"""),"40776")</f>
        <v>40776</v>
      </c>
      <c r="B3577" s="64">
        <f>IFERROR(__xludf.DUMMYFUNCTION("""COMPUTED_VALUE"""),44618.0)</f>
        <v>44618</v>
      </c>
      <c r="C3577" s="5"/>
      <c r="D3577" s="5"/>
      <c r="E3577" s="5"/>
      <c r="F3577" s="22">
        <f>IFERROR(__xludf.DUMMYFUNCTION("""COMPUTED_VALUE"""),500000.0)</f>
        <v>500000</v>
      </c>
      <c r="G3577" s="22">
        <f>IFERROR(__xludf.DUMMYFUNCTION("""COMPUTED_VALUE"""),0.0)</f>
        <v>0</v>
      </c>
      <c r="H3577" s="22">
        <f>IFERROR(__xludf.DUMMYFUNCTION("""COMPUTED_VALUE"""),500000.0)</f>
        <v>500000</v>
      </c>
      <c r="I3577" s="24">
        <f>IFERROR(__xludf.DUMMYFUNCTION("""COMPUTED_VALUE"""),0.0)</f>
        <v>0</v>
      </c>
    </row>
    <row r="3578">
      <c r="A3578" s="5" t="str">
        <f>IFERROR(__xludf.DUMMYFUNCTION("""COMPUTED_VALUE"""),"40776")</f>
        <v>40776</v>
      </c>
      <c r="B3578" s="64">
        <f>IFERROR(__xludf.DUMMYFUNCTION("""COMPUTED_VALUE"""),44619.0)</f>
        <v>44619</v>
      </c>
      <c r="C3578" s="5"/>
      <c r="D3578" s="5"/>
      <c r="E3578" s="5"/>
      <c r="F3578" s="22">
        <f>IFERROR(__xludf.DUMMYFUNCTION("""COMPUTED_VALUE"""),500000.0)</f>
        <v>500000</v>
      </c>
      <c r="G3578" s="22">
        <f>IFERROR(__xludf.DUMMYFUNCTION("""COMPUTED_VALUE"""),0.0)</f>
        <v>0</v>
      </c>
      <c r="H3578" s="22">
        <f>IFERROR(__xludf.DUMMYFUNCTION("""COMPUTED_VALUE"""),500000.0)</f>
        <v>500000</v>
      </c>
      <c r="I3578" s="24">
        <f>IFERROR(__xludf.DUMMYFUNCTION("""COMPUTED_VALUE"""),0.0)</f>
        <v>0</v>
      </c>
    </row>
    <row r="3579">
      <c r="A3579" s="5" t="str">
        <f>IFERROR(__xludf.DUMMYFUNCTION("""COMPUTED_VALUE"""),"40776")</f>
        <v>40776</v>
      </c>
      <c r="B3579" s="64">
        <f>IFERROR(__xludf.DUMMYFUNCTION("""COMPUTED_VALUE"""),44620.0)</f>
        <v>44620</v>
      </c>
      <c r="C3579" s="5"/>
      <c r="D3579" s="5"/>
      <c r="E3579" s="5"/>
      <c r="F3579" s="22">
        <f>IFERROR(__xludf.DUMMYFUNCTION("""COMPUTED_VALUE"""),500000.0)</f>
        <v>500000</v>
      </c>
      <c r="G3579" s="22">
        <f>IFERROR(__xludf.DUMMYFUNCTION("""COMPUTED_VALUE"""),0.0)</f>
        <v>0</v>
      </c>
      <c r="H3579" s="22">
        <f>IFERROR(__xludf.DUMMYFUNCTION("""COMPUTED_VALUE"""),500000.0)</f>
        <v>500000</v>
      </c>
      <c r="I3579" s="24">
        <f>IFERROR(__xludf.DUMMYFUNCTION("""COMPUTED_VALUE"""),0.0)</f>
        <v>0</v>
      </c>
    </row>
    <row r="3580">
      <c r="A3580" s="5" t="str">
        <f>IFERROR(__xludf.DUMMYFUNCTION("""COMPUTED_VALUE"""),"40776")</f>
        <v>40776</v>
      </c>
      <c r="B3580" s="64">
        <f>IFERROR(__xludf.DUMMYFUNCTION("""COMPUTED_VALUE"""),44621.0)</f>
        <v>44621</v>
      </c>
      <c r="C3580" s="5"/>
      <c r="D3580" s="5"/>
      <c r="E3580" s="5"/>
      <c r="F3580" s="22">
        <f>IFERROR(__xludf.DUMMYFUNCTION("""COMPUTED_VALUE"""),500000.0)</f>
        <v>500000</v>
      </c>
      <c r="G3580" s="22">
        <f>IFERROR(__xludf.DUMMYFUNCTION("""COMPUTED_VALUE"""),0.0)</f>
        <v>0</v>
      </c>
      <c r="H3580" s="22">
        <f>IFERROR(__xludf.DUMMYFUNCTION("""COMPUTED_VALUE"""),500000.0)</f>
        <v>500000</v>
      </c>
      <c r="I3580" s="24">
        <f>IFERROR(__xludf.DUMMYFUNCTION("""COMPUTED_VALUE"""),0.0)</f>
        <v>0</v>
      </c>
    </row>
    <row r="3581">
      <c r="A3581" s="5" t="str">
        <f>IFERROR(__xludf.DUMMYFUNCTION("""COMPUTED_VALUE"""),"40776")</f>
        <v>40776</v>
      </c>
      <c r="B3581" s="64">
        <f>IFERROR(__xludf.DUMMYFUNCTION("""COMPUTED_VALUE"""),44622.0)</f>
        <v>44622</v>
      </c>
      <c r="C3581" s="5"/>
      <c r="D3581" s="5"/>
      <c r="E3581" s="5"/>
      <c r="F3581" s="22">
        <f>IFERROR(__xludf.DUMMYFUNCTION("""COMPUTED_VALUE"""),500000.0)</f>
        <v>500000</v>
      </c>
      <c r="G3581" s="22">
        <f>IFERROR(__xludf.DUMMYFUNCTION("""COMPUTED_VALUE"""),0.0)</f>
        <v>0</v>
      </c>
      <c r="H3581" s="22">
        <f>IFERROR(__xludf.DUMMYFUNCTION("""COMPUTED_VALUE"""),500000.0)</f>
        <v>500000</v>
      </c>
      <c r="I3581" s="24">
        <f>IFERROR(__xludf.DUMMYFUNCTION("""COMPUTED_VALUE"""),0.0)</f>
        <v>0</v>
      </c>
    </row>
    <row r="3582">
      <c r="A3582" s="5" t="str">
        <f>IFERROR(__xludf.DUMMYFUNCTION("""COMPUTED_VALUE"""),"40776")</f>
        <v>40776</v>
      </c>
      <c r="B3582" s="64">
        <f>IFERROR(__xludf.DUMMYFUNCTION("""COMPUTED_VALUE"""),44623.0)</f>
        <v>44623</v>
      </c>
      <c r="C3582" s="5"/>
      <c r="D3582" s="5"/>
      <c r="E3582" s="5"/>
      <c r="F3582" s="22">
        <f>IFERROR(__xludf.DUMMYFUNCTION("""COMPUTED_VALUE"""),500000.0)</f>
        <v>500000</v>
      </c>
      <c r="G3582" s="22">
        <f>IFERROR(__xludf.DUMMYFUNCTION("""COMPUTED_VALUE"""),0.0)</f>
        <v>0</v>
      </c>
      <c r="H3582" s="22">
        <f>IFERROR(__xludf.DUMMYFUNCTION("""COMPUTED_VALUE"""),500000.0)</f>
        <v>500000</v>
      </c>
      <c r="I3582" s="24">
        <f>IFERROR(__xludf.DUMMYFUNCTION("""COMPUTED_VALUE"""),0.0)</f>
        <v>0</v>
      </c>
    </row>
    <row r="3583">
      <c r="A3583" s="5" t="str">
        <f>IFERROR(__xludf.DUMMYFUNCTION("""COMPUTED_VALUE"""),"40776")</f>
        <v>40776</v>
      </c>
      <c r="B3583" s="64">
        <f>IFERROR(__xludf.DUMMYFUNCTION("""COMPUTED_VALUE"""),44624.0)</f>
        <v>44624</v>
      </c>
      <c r="C3583" s="5"/>
      <c r="D3583" s="5"/>
      <c r="E3583" s="5"/>
      <c r="F3583" s="22">
        <f>IFERROR(__xludf.DUMMYFUNCTION("""COMPUTED_VALUE"""),500000.0)</f>
        <v>500000</v>
      </c>
      <c r="G3583" s="22">
        <f>IFERROR(__xludf.DUMMYFUNCTION("""COMPUTED_VALUE"""),0.0)</f>
        <v>0</v>
      </c>
      <c r="H3583" s="22">
        <f>IFERROR(__xludf.DUMMYFUNCTION("""COMPUTED_VALUE"""),500000.0)</f>
        <v>500000</v>
      </c>
      <c r="I3583" s="24">
        <f>IFERROR(__xludf.DUMMYFUNCTION("""COMPUTED_VALUE"""),0.0)</f>
        <v>0</v>
      </c>
    </row>
    <row r="3584">
      <c r="A3584" s="5" t="str">
        <f>IFERROR(__xludf.DUMMYFUNCTION("""COMPUTED_VALUE"""),"40776")</f>
        <v>40776</v>
      </c>
      <c r="B3584" s="64">
        <f>IFERROR(__xludf.DUMMYFUNCTION("""COMPUTED_VALUE"""),44625.0)</f>
        <v>44625</v>
      </c>
      <c r="C3584" s="5"/>
      <c r="D3584" s="5"/>
      <c r="E3584" s="5"/>
      <c r="F3584" s="22">
        <f>IFERROR(__xludf.DUMMYFUNCTION("""COMPUTED_VALUE"""),500000.0)</f>
        <v>500000</v>
      </c>
      <c r="G3584" s="22">
        <f>IFERROR(__xludf.DUMMYFUNCTION("""COMPUTED_VALUE"""),0.0)</f>
        <v>0</v>
      </c>
      <c r="H3584" s="22">
        <f>IFERROR(__xludf.DUMMYFUNCTION("""COMPUTED_VALUE"""),500000.0)</f>
        <v>500000</v>
      </c>
      <c r="I3584" s="24">
        <f>IFERROR(__xludf.DUMMYFUNCTION("""COMPUTED_VALUE"""),0.0)</f>
        <v>0</v>
      </c>
    </row>
    <row r="3585">
      <c r="A3585" s="5" t="str">
        <f>IFERROR(__xludf.DUMMYFUNCTION("""COMPUTED_VALUE"""),"40776")</f>
        <v>40776</v>
      </c>
      <c r="B3585" s="64">
        <f>IFERROR(__xludf.DUMMYFUNCTION("""COMPUTED_VALUE"""),44626.0)</f>
        <v>44626</v>
      </c>
      <c r="C3585" s="5"/>
      <c r="D3585" s="5"/>
      <c r="E3585" s="5"/>
      <c r="F3585" s="22">
        <f>IFERROR(__xludf.DUMMYFUNCTION("""COMPUTED_VALUE"""),500000.0)</f>
        <v>500000</v>
      </c>
      <c r="G3585" s="22">
        <f>IFERROR(__xludf.DUMMYFUNCTION("""COMPUTED_VALUE"""),0.0)</f>
        <v>0</v>
      </c>
      <c r="H3585" s="22">
        <f>IFERROR(__xludf.DUMMYFUNCTION("""COMPUTED_VALUE"""),500000.0)</f>
        <v>500000</v>
      </c>
      <c r="I3585" s="24">
        <f>IFERROR(__xludf.DUMMYFUNCTION("""COMPUTED_VALUE"""),0.0)</f>
        <v>0</v>
      </c>
    </row>
    <row r="3586">
      <c r="A3586" s="5" t="str">
        <f>IFERROR(__xludf.DUMMYFUNCTION("""COMPUTED_VALUE"""),"40776")</f>
        <v>40776</v>
      </c>
      <c r="B3586" s="64">
        <f>IFERROR(__xludf.DUMMYFUNCTION("""COMPUTED_VALUE"""),44627.0)</f>
        <v>44627</v>
      </c>
      <c r="C3586" s="5"/>
      <c r="D3586" s="5"/>
      <c r="E3586" s="5"/>
      <c r="F3586" s="22">
        <f>IFERROR(__xludf.DUMMYFUNCTION("""COMPUTED_VALUE"""),500000.0)</f>
        <v>500000</v>
      </c>
      <c r="G3586" s="22">
        <f>IFERROR(__xludf.DUMMYFUNCTION("""COMPUTED_VALUE"""),0.0)</f>
        <v>0</v>
      </c>
      <c r="H3586" s="22">
        <f>IFERROR(__xludf.DUMMYFUNCTION("""COMPUTED_VALUE"""),500000.0)</f>
        <v>500000</v>
      </c>
      <c r="I3586" s="24">
        <f>IFERROR(__xludf.DUMMYFUNCTION("""COMPUTED_VALUE"""),0.0)</f>
        <v>0</v>
      </c>
    </row>
    <row r="3587">
      <c r="A3587" s="5" t="str">
        <f>IFERROR(__xludf.DUMMYFUNCTION("""COMPUTED_VALUE"""),"40776")</f>
        <v>40776</v>
      </c>
      <c r="B3587" s="64">
        <f>IFERROR(__xludf.DUMMYFUNCTION("""COMPUTED_VALUE"""),44628.0)</f>
        <v>44628</v>
      </c>
      <c r="C3587" s="5"/>
      <c r="D3587" s="5"/>
      <c r="E3587" s="5"/>
      <c r="F3587" s="22">
        <f>IFERROR(__xludf.DUMMYFUNCTION("""COMPUTED_VALUE"""),500000.0)</f>
        <v>500000</v>
      </c>
      <c r="G3587" s="22">
        <f>IFERROR(__xludf.DUMMYFUNCTION("""COMPUTED_VALUE"""),0.0)</f>
        <v>0</v>
      </c>
      <c r="H3587" s="22">
        <f>IFERROR(__xludf.DUMMYFUNCTION("""COMPUTED_VALUE"""),500000.0)</f>
        <v>500000</v>
      </c>
      <c r="I3587" s="24">
        <f>IFERROR(__xludf.DUMMYFUNCTION("""COMPUTED_VALUE"""),0.0)</f>
        <v>0</v>
      </c>
    </row>
    <row r="3588">
      <c r="A3588" s="5" t="str">
        <f>IFERROR(__xludf.DUMMYFUNCTION("""COMPUTED_VALUE"""),"40776")</f>
        <v>40776</v>
      </c>
      <c r="B3588" s="64">
        <f>IFERROR(__xludf.DUMMYFUNCTION("""COMPUTED_VALUE"""),44629.0)</f>
        <v>44629</v>
      </c>
      <c r="C3588" s="5"/>
      <c r="D3588" s="5"/>
      <c r="E3588" s="5"/>
      <c r="F3588" s="22">
        <f>IFERROR(__xludf.DUMMYFUNCTION("""COMPUTED_VALUE"""),500000.0)</f>
        <v>500000</v>
      </c>
      <c r="G3588" s="22">
        <f>IFERROR(__xludf.DUMMYFUNCTION("""COMPUTED_VALUE"""),0.0)</f>
        <v>0</v>
      </c>
      <c r="H3588" s="22">
        <f>IFERROR(__xludf.DUMMYFUNCTION("""COMPUTED_VALUE"""),500000.0)</f>
        <v>500000</v>
      </c>
      <c r="I3588" s="24">
        <f>IFERROR(__xludf.DUMMYFUNCTION("""COMPUTED_VALUE"""),0.0)</f>
        <v>0</v>
      </c>
    </row>
    <row r="3589">
      <c r="A3589" s="5" t="str">
        <f>IFERROR(__xludf.DUMMYFUNCTION("""COMPUTED_VALUE"""),"40776")</f>
        <v>40776</v>
      </c>
      <c r="B3589" s="64">
        <f>IFERROR(__xludf.DUMMYFUNCTION("""COMPUTED_VALUE"""),44630.0)</f>
        <v>44630</v>
      </c>
      <c r="C3589" s="5"/>
      <c r="D3589" s="5"/>
      <c r="E3589" s="5"/>
      <c r="F3589" s="22">
        <f>IFERROR(__xludf.DUMMYFUNCTION("""COMPUTED_VALUE"""),500000.0)</f>
        <v>500000</v>
      </c>
      <c r="G3589" s="22">
        <f>IFERROR(__xludf.DUMMYFUNCTION("""COMPUTED_VALUE"""),0.0)</f>
        <v>0</v>
      </c>
      <c r="H3589" s="22">
        <f>IFERROR(__xludf.DUMMYFUNCTION("""COMPUTED_VALUE"""),500000.0)</f>
        <v>500000</v>
      </c>
      <c r="I3589" s="24">
        <f>IFERROR(__xludf.DUMMYFUNCTION("""COMPUTED_VALUE"""),0.0)</f>
        <v>0</v>
      </c>
    </row>
    <row r="3590">
      <c r="A3590" s="5" t="str">
        <f>IFERROR(__xludf.DUMMYFUNCTION("""COMPUTED_VALUE"""),"40776")</f>
        <v>40776</v>
      </c>
      <c r="B3590" s="64">
        <f>IFERROR(__xludf.DUMMYFUNCTION("""COMPUTED_VALUE"""),44631.0)</f>
        <v>44631</v>
      </c>
      <c r="C3590" s="5"/>
      <c r="D3590" s="5"/>
      <c r="E3590" s="5"/>
      <c r="F3590" s="22">
        <f>IFERROR(__xludf.DUMMYFUNCTION("""COMPUTED_VALUE"""),500000.0)</f>
        <v>500000</v>
      </c>
      <c r="G3590" s="22">
        <f>IFERROR(__xludf.DUMMYFUNCTION("""COMPUTED_VALUE"""),0.0)</f>
        <v>0</v>
      </c>
      <c r="H3590" s="22">
        <f>IFERROR(__xludf.DUMMYFUNCTION("""COMPUTED_VALUE"""),500000.0)</f>
        <v>500000</v>
      </c>
      <c r="I3590" s="24">
        <f>IFERROR(__xludf.DUMMYFUNCTION("""COMPUTED_VALUE"""),0.0)</f>
        <v>0</v>
      </c>
    </row>
    <row r="3591">
      <c r="A3591" s="5" t="str">
        <f>IFERROR(__xludf.DUMMYFUNCTION("""COMPUTED_VALUE"""),"40776")</f>
        <v>40776</v>
      </c>
      <c r="B3591" s="64">
        <f>IFERROR(__xludf.DUMMYFUNCTION("""COMPUTED_VALUE"""),44632.0)</f>
        <v>44632</v>
      </c>
      <c r="C3591" s="5"/>
      <c r="D3591" s="5"/>
      <c r="E3591" s="5"/>
      <c r="F3591" s="22">
        <f>IFERROR(__xludf.DUMMYFUNCTION("""COMPUTED_VALUE"""),500000.0)</f>
        <v>500000</v>
      </c>
      <c r="G3591" s="22">
        <f>IFERROR(__xludf.DUMMYFUNCTION("""COMPUTED_VALUE"""),0.0)</f>
        <v>0</v>
      </c>
      <c r="H3591" s="22">
        <f>IFERROR(__xludf.DUMMYFUNCTION("""COMPUTED_VALUE"""),500000.0)</f>
        <v>500000</v>
      </c>
      <c r="I3591" s="24">
        <f>IFERROR(__xludf.DUMMYFUNCTION("""COMPUTED_VALUE"""),0.0)</f>
        <v>0</v>
      </c>
    </row>
    <row r="3592">
      <c r="A3592" s="5" t="str">
        <f>IFERROR(__xludf.DUMMYFUNCTION("""COMPUTED_VALUE"""),"40776")</f>
        <v>40776</v>
      </c>
      <c r="B3592" s="64">
        <f>IFERROR(__xludf.DUMMYFUNCTION("""COMPUTED_VALUE"""),44633.0)</f>
        <v>44633</v>
      </c>
      <c r="C3592" s="5"/>
      <c r="D3592" s="5"/>
      <c r="E3592" s="5"/>
      <c r="F3592" s="22">
        <f>IFERROR(__xludf.DUMMYFUNCTION("""COMPUTED_VALUE"""),500000.0)</f>
        <v>500000</v>
      </c>
      <c r="G3592" s="22">
        <f>IFERROR(__xludf.DUMMYFUNCTION("""COMPUTED_VALUE"""),0.0)</f>
        <v>0</v>
      </c>
      <c r="H3592" s="22">
        <f>IFERROR(__xludf.DUMMYFUNCTION("""COMPUTED_VALUE"""),500000.0)</f>
        <v>500000</v>
      </c>
      <c r="I3592" s="24">
        <f>IFERROR(__xludf.DUMMYFUNCTION("""COMPUTED_VALUE"""),0.0)</f>
        <v>0</v>
      </c>
    </row>
    <row r="3593">
      <c r="A3593" s="5" t="str">
        <f>IFERROR(__xludf.DUMMYFUNCTION("""COMPUTED_VALUE"""),"40776")</f>
        <v>40776</v>
      </c>
      <c r="B3593" s="64">
        <f>IFERROR(__xludf.DUMMYFUNCTION("""COMPUTED_VALUE"""),44634.0)</f>
        <v>44634</v>
      </c>
      <c r="C3593" s="5"/>
      <c r="D3593" s="5"/>
      <c r="E3593" s="5"/>
      <c r="F3593" s="22">
        <f>IFERROR(__xludf.DUMMYFUNCTION("""COMPUTED_VALUE"""),500000.0)</f>
        <v>500000</v>
      </c>
      <c r="G3593" s="22">
        <f>IFERROR(__xludf.DUMMYFUNCTION("""COMPUTED_VALUE"""),0.0)</f>
        <v>0</v>
      </c>
      <c r="H3593" s="22">
        <f>IFERROR(__xludf.DUMMYFUNCTION("""COMPUTED_VALUE"""),500000.0)</f>
        <v>500000</v>
      </c>
      <c r="I3593" s="24">
        <f>IFERROR(__xludf.DUMMYFUNCTION("""COMPUTED_VALUE"""),0.0)</f>
        <v>0</v>
      </c>
    </row>
    <row r="3594">
      <c r="A3594" s="5" t="str">
        <f>IFERROR(__xludf.DUMMYFUNCTION("""COMPUTED_VALUE"""),"40776")</f>
        <v>40776</v>
      </c>
      <c r="B3594" s="64">
        <f>IFERROR(__xludf.DUMMYFUNCTION("""COMPUTED_VALUE"""),44635.0)</f>
        <v>44635</v>
      </c>
      <c r="C3594" s="5"/>
      <c r="D3594" s="5"/>
      <c r="E3594" s="5"/>
      <c r="F3594" s="22">
        <f>IFERROR(__xludf.DUMMYFUNCTION("""COMPUTED_VALUE"""),500000.0)</f>
        <v>500000</v>
      </c>
      <c r="G3594" s="22">
        <f>IFERROR(__xludf.DUMMYFUNCTION("""COMPUTED_VALUE"""),0.0)</f>
        <v>0</v>
      </c>
      <c r="H3594" s="22">
        <f>IFERROR(__xludf.DUMMYFUNCTION("""COMPUTED_VALUE"""),500000.0)</f>
        <v>500000</v>
      </c>
      <c r="I3594" s="24">
        <f>IFERROR(__xludf.DUMMYFUNCTION("""COMPUTED_VALUE"""),0.0)</f>
        <v>0</v>
      </c>
    </row>
    <row r="3595">
      <c r="A3595" s="5" t="str">
        <f>IFERROR(__xludf.DUMMYFUNCTION("""COMPUTED_VALUE"""),"40776")</f>
        <v>40776</v>
      </c>
      <c r="B3595" s="64">
        <f>IFERROR(__xludf.DUMMYFUNCTION("""COMPUTED_VALUE"""),44636.0)</f>
        <v>44636</v>
      </c>
      <c r="C3595" s="5"/>
      <c r="D3595" s="5"/>
      <c r="E3595" s="5"/>
      <c r="F3595" s="22">
        <f>IFERROR(__xludf.DUMMYFUNCTION("""COMPUTED_VALUE"""),500000.0)</f>
        <v>500000</v>
      </c>
      <c r="G3595" s="22">
        <f>IFERROR(__xludf.DUMMYFUNCTION("""COMPUTED_VALUE"""),0.0)</f>
        <v>0</v>
      </c>
      <c r="H3595" s="22">
        <f>IFERROR(__xludf.DUMMYFUNCTION("""COMPUTED_VALUE"""),500000.0)</f>
        <v>500000</v>
      </c>
      <c r="I3595" s="24">
        <f>IFERROR(__xludf.DUMMYFUNCTION("""COMPUTED_VALUE"""),0.0)</f>
        <v>0</v>
      </c>
    </row>
    <row r="3596">
      <c r="A3596" s="5" t="str">
        <f>IFERROR(__xludf.DUMMYFUNCTION("""COMPUTED_VALUE"""),"40776")</f>
        <v>40776</v>
      </c>
      <c r="B3596" s="64">
        <f>IFERROR(__xludf.DUMMYFUNCTION("""COMPUTED_VALUE"""),44637.0)</f>
        <v>44637</v>
      </c>
      <c r="C3596" s="5"/>
      <c r="D3596" s="5"/>
      <c r="E3596" s="5"/>
      <c r="F3596" s="22">
        <f>IFERROR(__xludf.DUMMYFUNCTION("""COMPUTED_VALUE"""),500000.0)</f>
        <v>500000</v>
      </c>
      <c r="G3596" s="22">
        <f>IFERROR(__xludf.DUMMYFUNCTION("""COMPUTED_VALUE"""),0.0)</f>
        <v>0</v>
      </c>
      <c r="H3596" s="22">
        <f>IFERROR(__xludf.DUMMYFUNCTION("""COMPUTED_VALUE"""),500000.0)</f>
        <v>500000</v>
      </c>
      <c r="I3596" s="24">
        <f>IFERROR(__xludf.DUMMYFUNCTION("""COMPUTED_VALUE"""),0.0)</f>
        <v>0</v>
      </c>
    </row>
    <row r="3597">
      <c r="A3597" s="5" t="str">
        <f>IFERROR(__xludf.DUMMYFUNCTION("""COMPUTED_VALUE"""),"40776")</f>
        <v>40776</v>
      </c>
      <c r="B3597" s="64">
        <f>IFERROR(__xludf.DUMMYFUNCTION("""COMPUTED_VALUE"""),44638.0)</f>
        <v>44638</v>
      </c>
      <c r="C3597" s="5"/>
      <c r="D3597" s="5"/>
      <c r="E3597" s="5"/>
      <c r="F3597" s="22">
        <f>IFERROR(__xludf.DUMMYFUNCTION("""COMPUTED_VALUE"""),500000.0)</f>
        <v>500000</v>
      </c>
      <c r="G3597" s="22">
        <f>IFERROR(__xludf.DUMMYFUNCTION("""COMPUTED_VALUE"""),0.0)</f>
        <v>0</v>
      </c>
      <c r="H3597" s="22">
        <f>IFERROR(__xludf.DUMMYFUNCTION("""COMPUTED_VALUE"""),500000.0)</f>
        <v>500000</v>
      </c>
      <c r="I3597" s="24">
        <f>IFERROR(__xludf.DUMMYFUNCTION("""COMPUTED_VALUE"""),0.0)</f>
        <v>0</v>
      </c>
    </row>
    <row r="3598">
      <c r="A3598" s="5" t="str">
        <f>IFERROR(__xludf.DUMMYFUNCTION("""COMPUTED_VALUE"""),"40776")</f>
        <v>40776</v>
      </c>
      <c r="B3598" s="64">
        <f>IFERROR(__xludf.DUMMYFUNCTION("""COMPUTED_VALUE"""),44639.0)</f>
        <v>44639</v>
      </c>
      <c r="C3598" s="5"/>
      <c r="D3598" s="5"/>
      <c r="E3598" s="5"/>
      <c r="F3598" s="22">
        <f>IFERROR(__xludf.DUMMYFUNCTION("""COMPUTED_VALUE"""),500000.0)</f>
        <v>500000</v>
      </c>
      <c r="G3598" s="22">
        <f>IFERROR(__xludf.DUMMYFUNCTION("""COMPUTED_VALUE"""),0.0)</f>
        <v>0</v>
      </c>
      <c r="H3598" s="22">
        <f>IFERROR(__xludf.DUMMYFUNCTION("""COMPUTED_VALUE"""),500000.0)</f>
        <v>500000</v>
      </c>
      <c r="I3598" s="24">
        <f>IFERROR(__xludf.DUMMYFUNCTION("""COMPUTED_VALUE"""),0.0)</f>
        <v>0</v>
      </c>
    </row>
    <row r="3599">
      <c r="A3599" s="5" t="str">
        <f>IFERROR(__xludf.DUMMYFUNCTION("""COMPUTED_VALUE"""),"40776")</f>
        <v>40776</v>
      </c>
      <c r="B3599" s="64">
        <f>IFERROR(__xludf.DUMMYFUNCTION("""COMPUTED_VALUE"""),44640.0)</f>
        <v>44640</v>
      </c>
      <c r="C3599" s="5"/>
      <c r="D3599" s="5"/>
      <c r="E3599" s="5"/>
      <c r="F3599" s="22">
        <f>IFERROR(__xludf.DUMMYFUNCTION("""COMPUTED_VALUE"""),500000.0)</f>
        <v>500000</v>
      </c>
      <c r="G3599" s="22">
        <f>IFERROR(__xludf.DUMMYFUNCTION("""COMPUTED_VALUE"""),0.0)</f>
        <v>0</v>
      </c>
      <c r="H3599" s="22">
        <f>IFERROR(__xludf.DUMMYFUNCTION("""COMPUTED_VALUE"""),500000.0)</f>
        <v>500000</v>
      </c>
      <c r="I3599" s="24">
        <f>IFERROR(__xludf.DUMMYFUNCTION("""COMPUTED_VALUE"""),0.0)</f>
        <v>0</v>
      </c>
    </row>
    <row r="3600">
      <c r="A3600" s="5" t="str">
        <f>IFERROR(__xludf.DUMMYFUNCTION("""COMPUTED_VALUE"""),"40776")</f>
        <v>40776</v>
      </c>
      <c r="B3600" s="64">
        <f>IFERROR(__xludf.DUMMYFUNCTION("""COMPUTED_VALUE"""),44641.0)</f>
        <v>44641</v>
      </c>
      <c r="C3600" s="5"/>
      <c r="D3600" s="5"/>
      <c r="E3600" s="5"/>
      <c r="F3600" s="22">
        <f>IFERROR(__xludf.DUMMYFUNCTION("""COMPUTED_VALUE"""),500000.0)</f>
        <v>500000</v>
      </c>
      <c r="G3600" s="22">
        <f>IFERROR(__xludf.DUMMYFUNCTION("""COMPUTED_VALUE"""),0.0)</f>
        <v>0</v>
      </c>
      <c r="H3600" s="22">
        <f>IFERROR(__xludf.DUMMYFUNCTION("""COMPUTED_VALUE"""),500000.0)</f>
        <v>500000</v>
      </c>
      <c r="I3600" s="24">
        <f>IFERROR(__xludf.DUMMYFUNCTION("""COMPUTED_VALUE"""),0.0)</f>
        <v>0</v>
      </c>
    </row>
    <row r="3601">
      <c r="A3601" s="5" t="str">
        <f>IFERROR(__xludf.DUMMYFUNCTION("""COMPUTED_VALUE"""),"40776")</f>
        <v>40776</v>
      </c>
      <c r="B3601" s="64">
        <f>IFERROR(__xludf.DUMMYFUNCTION("""COMPUTED_VALUE"""),44642.0)</f>
        <v>44642</v>
      </c>
      <c r="C3601" s="5"/>
      <c r="D3601" s="5"/>
      <c r="E3601" s="5"/>
      <c r="F3601" s="22">
        <f>IFERROR(__xludf.DUMMYFUNCTION("""COMPUTED_VALUE"""),500000.0)</f>
        <v>500000</v>
      </c>
      <c r="G3601" s="22">
        <f>IFERROR(__xludf.DUMMYFUNCTION("""COMPUTED_VALUE"""),0.0)</f>
        <v>0</v>
      </c>
      <c r="H3601" s="22">
        <f>IFERROR(__xludf.DUMMYFUNCTION("""COMPUTED_VALUE"""),500000.0)</f>
        <v>500000</v>
      </c>
      <c r="I3601" s="24">
        <f>IFERROR(__xludf.DUMMYFUNCTION("""COMPUTED_VALUE"""),0.0)</f>
        <v>0</v>
      </c>
    </row>
    <row r="3602">
      <c r="A3602" s="5" t="str">
        <f>IFERROR(__xludf.DUMMYFUNCTION("""COMPUTED_VALUE"""),"40776")</f>
        <v>40776</v>
      </c>
      <c r="B3602" s="64">
        <f>IFERROR(__xludf.DUMMYFUNCTION("""COMPUTED_VALUE"""),44643.0)</f>
        <v>44643</v>
      </c>
      <c r="C3602" s="5"/>
      <c r="D3602" s="5"/>
      <c r="E3602" s="5"/>
      <c r="F3602" s="22">
        <f>IFERROR(__xludf.DUMMYFUNCTION("""COMPUTED_VALUE"""),500000.0)</f>
        <v>500000</v>
      </c>
      <c r="G3602" s="22">
        <f>IFERROR(__xludf.DUMMYFUNCTION("""COMPUTED_VALUE"""),0.0)</f>
        <v>0</v>
      </c>
      <c r="H3602" s="22">
        <f>IFERROR(__xludf.DUMMYFUNCTION("""COMPUTED_VALUE"""),500000.0)</f>
        <v>500000</v>
      </c>
      <c r="I3602" s="24">
        <f>IFERROR(__xludf.DUMMYFUNCTION("""COMPUTED_VALUE"""),0.0)</f>
        <v>0</v>
      </c>
    </row>
    <row r="3603">
      <c r="A3603" s="5" t="str">
        <f>IFERROR(__xludf.DUMMYFUNCTION("""COMPUTED_VALUE"""),"40776")</f>
        <v>40776</v>
      </c>
      <c r="B3603" s="64">
        <f>IFERROR(__xludf.DUMMYFUNCTION("""COMPUTED_VALUE"""),44644.0)</f>
        <v>44644</v>
      </c>
      <c r="C3603" s="5"/>
      <c r="D3603" s="5"/>
      <c r="E3603" s="5"/>
      <c r="F3603" s="22">
        <f>IFERROR(__xludf.DUMMYFUNCTION("""COMPUTED_VALUE"""),500000.0)</f>
        <v>500000</v>
      </c>
      <c r="G3603" s="22">
        <f>IFERROR(__xludf.DUMMYFUNCTION("""COMPUTED_VALUE"""),0.0)</f>
        <v>0</v>
      </c>
      <c r="H3603" s="22">
        <f>IFERROR(__xludf.DUMMYFUNCTION("""COMPUTED_VALUE"""),500000.0)</f>
        <v>500000</v>
      </c>
      <c r="I3603" s="24">
        <f>IFERROR(__xludf.DUMMYFUNCTION("""COMPUTED_VALUE"""),0.0)</f>
        <v>0</v>
      </c>
    </row>
    <row r="3604">
      <c r="A3604" s="5" t="str">
        <f>IFERROR(__xludf.DUMMYFUNCTION("""COMPUTED_VALUE"""),"40776")</f>
        <v>40776</v>
      </c>
      <c r="B3604" s="64">
        <f>IFERROR(__xludf.DUMMYFUNCTION("""COMPUTED_VALUE"""),44645.0)</f>
        <v>44645</v>
      </c>
      <c r="C3604" s="5"/>
      <c r="D3604" s="5"/>
      <c r="E3604" s="5"/>
      <c r="F3604" s="22">
        <f>IFERROR(__xludf.DUMMYFUNCTION("""COMPUTED_VALUE"""),500000.0)</f>
        <v>500000</v>
      </c>
      <c r="G3604" s="22">
        <f>IFERROR(__xludf.DUMMYFUNCTION("""COMPUTED_VALUE"""),0.0)</f>
        <v>0</v>
      </c>
      <c r="H3604" s="22">
        <f>IFERROR(__xludf.DUMMYFUNCTION("""COMPUTED_VALUE"""),500000.0)</f>
        <v>500000</v>
      </c>
      <c r="I3604" s="24">
        <f>IFERROR(__xludf.DUMMYFUNCTION("""COMPUTED_VALUE"""),0.0)</f>
        <v>0</v>
      </c>
    </row>
    <row r="3605">
      <c r="A3605" s="5" t="str">
        <f>IFERROR(__xludf.DUMMYFUNCTION("""COMPUTED_VALUE"""),"40776")</f>
        <v>40776</v>
      </c>
      <c r="B3605" s="64">
        <f>IFERROR(__xludf.DUMMYFUNCTION("""COMPUTED_VALUE"""),44646.0)</f>
        <v>44646</v>
      </c>
      <c r="C3605" s="5"/>
      <c r="D3605" s="5"/>
      <c r="E3605" s="5"/>
      <c r="F3605" s="22">
        <f>IFERROR(__xludf.DUMMYFUNCTION("""COMPUTED_VALUE"""),500000.0)</f>
        <v>500000</v>
      </c>
      <c r="G3605" s="22">
        <f>IFERROR(__xludf.DUMMYFUNCTION("""COMPUTED_VALUE"""),0.0)</f>
        <v>0</v>
      </c>
      <c r="H3605" s="22">
        <f>IFERROR(__xludf.DUMMYFUNCTION("""COMPUTED_VALUE"""),500000.0)</f>
        <v>500000</v>
      </c>
      <c r="I3605" s="24">
        <f>IFERROR(__xludf.DUMMYFUNCTION("""COMPUTED_VALUE"""),0.0)</f>
        <v>0</v>
      </c>
    </row>
    <row r="3606">
      <c r="A3606" s="5" t="str">
        <f>IFERROR(__xludf.DUMMYFUNCTION("""COMPUTED_VALUE"""),"40776")</f>
        <v>40776</v>
      </c>
      <c r="B3606" s="64">
        <f>IFERROR(__xludf.DUMMYFUNCTION("""COMPUTED_VALUE"""),44647.0)</f>
        <v>44647</v>
      </c>
      <c r="C3606" s="5"/>
      <c r="D3606" s="5"/>
      <c r="E3606" s="5"/>
      <c r="F3606" s="22">
        <f>IFERROR(__xludf.DUMMYFUNCTION("""COMPUTED_VALUE"""),500000.0)</f>
        <v>500000</v>
      </c>
      <c r="G3606" s="22">
        <f>IFERROR(__xludf.DUMMYFUNCTION("""COMPUTED_VALUE"""),0.0)</f>
        <v>0</v>
      </c>
      <c r="H3606" s="22">
        <f>IFERROR(__xludf.DUMMYFUNCTION("""COMPUTED_VALUE"""),500000.0)</f>
        <v>500000</v>
      </c>
      <c r="I3606" s="24">
        <f>IFERROR(__xludf.DUMMYFUNCTION("""COMPUTED_VALUE"""),0.0)</f>
        <v>0</v>
      </c>
    </row>
    <row r="3607">
      <c r="A3607" s="5" t="str">
        <f>IFERROR(__xludf.DUMMYFUNCTION("""COMPUTED_VALUE"""),"40776")</f>
        <v>40776</v>
      </c>
      <c r="B3607" s="64">
        <f>IFERROR(__xludf.DUMMYFUNCTION("""COMPUTED_VALUE"""),44648.0)</f>
        <v>44648</v>
      </c>
      <c r="C3607" s="5"/>
      <c r="D3607" s="5"/>
      <c r="E3607" s="5"/>
      <c r="F3607" s="22">
        <f>IFERROR(__xludf.DUMMYFUNCTION("""COMPUTED_VALUE"""),500000.0)</f>
        <v>500000</v>
      </c>
      <c r="G3607" s="22">
        <f>IFERROR(__xludf.DUMMYFUNCTION("""COMPUTED_VALUE"""),0.0)</f>
        <v>0</v>
      </c>
      <c r="H3607" s="22">
        <f>IFERROR(__xludf.DUMMYFUNCTION("""COMPUTED_VALUE"""),500000.0)</f>
        <v>500000</v>
      </c>
      <c r="I3607" s="24">
        <f>IFERROR(__xludf.DUMMYFUNCTION("""COMPUTED_VALUE"""),0.0)</f>
        <v>0</v>
      </c>
    </row>
    <row r="3608">
      <c r="A3608" s="5" t="str">
        <f>IFERROR(__xludf.DUMMYFUNCTION("""COMPUTED_VALUE"""),"40776")</f>
        <v>40776</v>
      </c>
      <c r="B3608" s="64">
        <f>IFERROR(__xludf.DUMMYFUNCTION("""COMPUTED_VALUE"""),44649.0)</f>
        <v>44649</v>
      </c>
      <c r="C3608" s="5"/>
      <c r="D3608" s="5"/>
      <c r="E3608" s="5"/>
      <c r="F3608" s="22">
        <f>IFERROR(__xludf.DUMMYFUNCTION("""COMPUTED_VALUE"""),500000.0)</f>
        <v>500000</v>
      </c>
      <c r="G3608" s="22">
        <f>IFERROR(__xludf.DUMMYFUNCTION("""COMPUTED_VALUE"""),0.0)</f>
        <v>0</v>
      </c>
      <c r="H3608" s="22">
        <f>IFERROR(__xludf.DUMMYFUNCTION("""COMPUTED_VALUE"""),500000.0)</f>
        <v>500000</v>
      </c>
      <c r="I3608" s="24">
        <f>IFERROR(__xludf.DUMMYFUNCTION("""COMPUTED_VALUE"""),0.0)</f>
        <v>0</v>
      </c>
    </row>
    <row r="3609">
      <c r="A3609" s="5" t="str">
        <f>IFERROR(__xludf.DUMMYFUNCTION("""COMPUTED_VALUE"""),"40776")</f>
        <v>40776</v>
      </c>
      <c r="B3609" s="64">
        <f>IFERROR(__xludf.DUMMYFUNCTION("""COMPUTED_VALUE"""),44650.0)</f>
        <v>44650</v>
      </c>
      <c r="C3609" s="5"/>
      <c r="D3609" s="5"/>
      <c r="E3609" s="5"/>
      <c r="F3609" s="22">
        <f>IFERROR(__xludf.DUMMYFUNCTION("""COMPUTED_VALUE"""),500000.0)</f>
        <v>500000</v>
      </c>
      <c r="G3609" s="22">
        <f>IFERROR(__xludf.DUMMYFUNCTION("""COMPUTED_VALUE"""),0.0)</f>
        <v>0</v>
      </c>
      <c r="H3609" s="22">
        <f>IFERROR(__xludf.DUMMYFUNCTION("""COMPUTED_VALUE"""),500000.0)</f>
        <v>500000</v>
      </c>
      <c r="I3609" s="24">
        <f>IFERROR(__xludf.DUMMYFUNCTION("""COMPUTED_VALUE"""),0.0)</f>
        <v>0</v>
      </c>
    </row>
    <row r="3610">
      <c r="A3610" s="5" t="str">
        <f>IFERROR(__xludf.DUMMYFUNCTION("""COMPUTED_VALUE"""),"40776")</f>
        <v>40776</v>
      </c>
      <c r="B3610" s="64">
        <f>IFERROR(__xludf.DUMMYFUNCTION("""COMPUTED_VALUE"""),44651.0)</f>
        <v>44651</v>
      </c>
      <c r="C3610" s="5"/>
      <c r="D3610" s="5"/>
      <c r="E3610" s="5"/>
      <c r="F3610" s="22">
        <f>IFERROR(__xludf.DUMMYFUNCTION("""COMPUTED_VALUE"""),500000.0)</f>
        <v>500000</v>
      </c>
      <c r="G3610" s="22">
        <f>IFERROR(__xludf.DUMMYFUNCTION("""COMPUTED_VALUE"""),0.0)</f>
        <v>0</v>
      </c>
      <c r="H3610" s="22">
        <f>IFERROR(__xludf.DUMMYFUNCTION("""COMPUTED_VALUE"""),500000.0)</f>
        <v>500000</v>
      </c>
      <c r="I3610" s="24">
        <f>IFERROR(__xludf.DUMMYFUNCTION("""COMPUTED_VALUE"""),0.0)</f>
        <v>0</v>
      </c>
    </row>
    <row r="3611">
      <c r="A3611" s="5" t="str">
        <f>IFERROR(__xludf.DUMMYFUNCTION("""COMPUTED_VALUE"""),"40776")</f>
        <v>40776</v>
      </c>
      <c r="B3611" s="64">
        <f>IFERROR(__xludf.DUMMYFUNCTION("""COMPUTED_VALUE"""),44652.0)</f>
        <v>44652</v>
      </c>
      <c r="C3611" s="5"/>
      <c r="D3611" s="5"/>
      <c r="E3611" s="5"/>
      <c r="F3611" s="22">
        <f>IFERROR(__xludf.DUMMYFUNCTION("""COMPUTED_VALUE"""),500000.0)</f>
        <v>500000</v>
      </c>
      <c r="G3611" s="22">
        <f>IFERROR(__xludf.DUMMYFUNCTION("""COMPUTED_VALUE"""),0.0)</f>
        <v>0</v>
      </c>
      <c r="H3611" s="22">
        <f>IFERROR(__xludf.DUMMYFUNCTION("""COMPUTED_VALUE"""),500000.0)</f>
        <v>500000</v>
      </c>
      <c r="I3611" s="24">
        <f>IFERROR(__xludf.DUMMYFUNCTION("""COMPUTED_VALUE"""),0.0)</f>
        <v>0</v>
      </c>
    </row>
    <row r="3612">
      <c r="A3612" s="5" t="str">
        <f>IFERROR(__xludf.DUMMYFUNCTION("""COMPUTED_VALUE"""),"40776")</f>
        <v>40776</v>
      </c>
      <c r="B3612" s="64">
        <f>IFERROR(__xludf.DUMMYFUNCTION("""COMPUTED_VALUE"""),44653.0)</f>
        <v>44653</v>
      </c>
      <c r="C3612" s="5"/>
      <c r="D3612" s="5"/>
      <c r="E3612" s="5"/>
      <c r="F3612" s="22">
        <f>IFERROR(__xludf.DUMMYFUNCTION("""COMPUTED_VALUE"""),500000.0)</f>
        <v>500000</v>
      </c>
      <c r="G3612" s="22">
        <f>IFERROR(__xludf.DUMMYFUNCTION("""COMPUTED_VALUE"""),0.0)</f>
        <v>0</v>
      </c>
      <c r="H3612" s="22">
        <f>IFERROR(__xludf.DUMMYFUNCTION("""COMPUTED_VALUE"""),500000.0)</f>
        <v>500000</v>
      </c>
      <c r="I3612" s="24">
        <f>IFERROR(__xludf.DUMMYFUNCTION("""COMPUTED_VALUE"""),0.0)</f>
        <v>0</v>
      </c>
    </row>
    <row r="3613">
      <c r="A3613" s="5" t="str">
        <f>IFERROR(__xludf.DUMMYFUNCTION("""COMPUTED_VALUE"""),"40776")</f>
        <v>40776</v>
      </c>
      <c r="B3613" s="64">
        <f>IFERROR(__xludf.DUMMYFUNCTION("""COMPUTED_VALUE"""),44654.0)</f>
        <v>44654</v>
      </c>
      <c r="C3613" s="5"/>
      <c r="D3613" s="5"/>
      <c r="E3613" s="5"/>
      <c r="F3613" s="22">
        <f>IFERROR(__xludf.DUMMYFUNCTION("""COMPUTED_VALUE"""),500000.0)</f>
        <v>500000</v>
      </c>
      <c r="G3613" s="22">
        <f>IFERROR(__xludf.DUMMYFUNCTION("""COMPUTED_VALUE"""),0.0)</f>
        <v>0</v>
      </c>
      <c r="H3613" s="22">
        <f>IFERROR(__xludf.DUMMYFUNCTION("""COMPUTED_VALUE"""),500000.0)</f>
        <v>500000</v>
      </c>
      <c r="I3613" s="24">
        <f>IFERROR(__xludf.DUMMYFUNCTION("""COMPUTED_VALUE"""),0.0)</f>
        <v>0</v>
      </c>
    </row>
    <row r="3614">
      <c r="A3614" s="5" t="str">
        <f>IFERROR(__xludf.DUMMYFUNCTION("""COMPUTED_VALUE"""),"40776")</f>
        <v>40776</v>
      </c>
      <c r="B3614" s="64">
        <f>IFERROR(__xludf.DUMMYFUNCTION("""COMPUTED_VALUE"""),44655.0)</f>
        <v>44655</v>
      </c>
      <c r="C3614" s="5"/>
      <c r="D3614" s="5"/>
      <c r="E3614" s="5"/>
      <c r="F3614" s="22">
        <f>IFERROR(__xludf.DUMMYFUNCTION("""COMPUTED_VALUE"""),500000.0)</f>
        <v>500000</v>
      </c>
      <c r="G3614" s="22">
        <f>IFERROR(__xludf.DUMMYFUNCTION("""COMPUTED_VALUE"""),0.0)</f>
        <v>0</v>
      </c>
      <c r="H3614" s="22">
        <f>IFERROR(__xludf.DUMMYFUNCTION("""COMPUTED_VALUE"""),500000.0)</f>
        <v>500000</v>
      </c>
      <c r="I3614" s="24">
        <f>IFERROR(__xludf.DUMMYFUNCTION("""COMPUTED_VALUE"""),0.0)</f>
        <v>0</v>
      </c>
    </row>
    <row r="3615">
      <c r="A3615" s="5" t="str">
        <f>IFERROR(__xludf.DUMMYFUNCTION("""COMPUTED_VALUE"""),"40776")</f>
        <v>40776</v>
      </c>
      <c r="B3615" s="64">
        <f>IFERROR(__xludf.DUMMYFUNCTION("""COMPUTED_VALUE"""),44656.0)</f>
        <v>44656</v>
      </c>
      <c r="C3615" s="5"/>
      <c r="D3615" s="5"/>
      <c r="E3615" s="5"/>
      <c r="F3615" s="22">
        <f>IFERROR(__xludf.DUMMYFUNCTION("""COMPUTED_VALUE"""),500000.0)</f>
        <v>500000</v>
      </c>
      <c r="G3615" s="22">
        <f>IFERROR(__xludf.DUMMYFUNCTION("""COMPUTED_VALUE"""),0.0)</f>
        <v>0</v>
      </c>
      <c r="H3615" s="22">
        <f>IFERROR(__xludf.DUMMYFUNCTION("""COMPUTED_VALUE"""),500000.0)</f>
        <v>500000</v>
      </c>
      <c r="I3615" s="24">
        <f>IFERROR(__xludf.DUMMYFUNCTION("""COMPUTED_VALUE"""),0.0)</f>
        <v>0</v>
      </c>
    </row>
    <row r="3616">
      <c r="A3616" s="5" t="str">
        <f>IFERROR(__xludf.DUMMYFUNCTION("""COMPUTED_VALUE"""),"40776")</f>
        <v>40776</v>
      </c>
      <c r="B3616" s="64">
        <f>IFERROR(__xludf.DUMMYFUNCTION("""COMPUTED_VALUE"""),44657.0)</f>
        <v>44657</v>
      </c>
      <c r="C3616" s="5"/>
      <c r="D3616" s="5"/>
      <c r="E3616" s="5"/>
      <c r="F3616" s="22">
        <f>IFERROR(__xludf.DUMMYFUNCTION("""COMPUTED_VALUE"""),500000.0)</f>
        <v>500000</v>
      </c>
      <c r="G3616" s="22">
        <f>IFERROR(__xludf.DUMMYFUNCTION("""COMPUTED_VALUE"""),0.0)</f>
        <v>0</v>
      </c>
      <c r="H3616" s="22">
        <f>IFERROR(__xludf.DUMMYFUNCTION("""COMPUTED_VALUE"""),500000.0)</f>
        <v>500000</v>
      </c>
      <c r="I3616" s="24">
        <f>IFERROR(__xludf.DUMMYFUNCTION("""COMPUTED_VALUE"""),0.0)</f>
        <v>0</v>
      </c>
    </row>
    <row r="3617">
      <c r="A3617" s="5" t="str">
        <f>IFERROR(__xludf.DUMMYFUNCTION("""COMPUTED_VALUE"""),"40776")</f>
        <v>40776</v>
      </c>
      <c r="B3617" s="64">
        <f>IFERROR(__xludf.DUMMYFUNCTION("""COMPUTED_VALUE"""),44658.0)</f>
        <v>44658</v>
      </c>
      <c r="C3617" s="5"/>
      <c r="D3617" s="5"/>
      <c r="E3617" s="5"/>
      <c r="F3617" s="22">
        <f>IFERROR(__xludf.DUMMYFUNCTION("""COMPUTED_VALUE"""),500000.0)</f>
        <v>500000</v>
      </c>
      <c r="G3617" s="22">
        <f>IFERROR(__xludf.DUMMYFUNCTION("""COMPUTED_VALUE"""),0.0)</f>
        <v>0</v>
      </c>
      <c r="H3617" s="22">
        <f>IFERROR(__xludf.DUMMYFUNCTION("""COMPUTED_VALUE"""),500000.0)</f>
        <v>500000</v>
      </c>
      <c r="I3617" s="24">
        <f>IFERROR(__xludf.DUMMYFUNCTION("""COMPUTED_VALUE"""),0.0)</f>
        <v>0</v>
      </c>
    </row>
    <row r="3618">
      <c r="A3618" s="5" t="str">
        <f>IFERROR(__xludf.DUMMYFUNCTION("""COMPUTED_VALUE"""),"40776")</f>
        <v>40776</v>
      </c>
      <c r="B3618" s="64">
        <f>IFERROR(__xludf.DUMMYFUNCTION("""COMPUTED_VALUE"""),44659.0)</f>
        <v>44659</v>
      </c>
      <c r="C3618" s="5"/>
      <c r="D3618" s="5"/>
      <c r="E3618" s="5"/>
      <c r="F3618" s="22">
        <f>IFERROR(__xludf.DUMMYFUNCTION("""COMPUTED_VALUE"""),500000.0)</f>
        <v>500000</v>
      </c>
      <c r="G3618" s="22">
        <f>IFERROR(__xludf.DUMMYFUNCTION("""COMPUTED_VALUE"""),0.0)</f>
        <v>0</v>
      </c>
      <c r="H3618" s="22">
        <f>IFERROR(__xludf.DUMMYFUNCTION("""COMPUTED_VALUE"""),500000.0)</f>
        <v>500000</v>
      </c>
      <c r="I3618" s="24">
        <f>IFERROR(__xludf.DUMMYFUNCTION("""COMPUTED_VALUE"""),0.0)</f>
        <v>0</v>
      </c>
    </row>
    <row r="3619">
      <c r="A3619" s="5" t="str">
        <f>IFERROR(__xludf.DUMMYFUNCTION("""COMPUTED_VALUE"""),"40776")</f>
        <v>40776</v>
      </c>
      <c r="B3619" s="64">
        <f>IFERROR(__xludf.DUMMYFUNCTION("""COMPUTED_VALUE"""),44660.0)</f>
        <v>44660</v>
      </c>
      <c r="C3619" s="5"/>
      <c r="D3619" s="5"/>
      <c r="E3619" s="5"/>
      <c r="F3619" s="22">
        <f>IFERROR(__xludf.DUMMYFUNCTION("""COMPUTED_VALUE"""),98045.60675749998)</f>
        <v>98045.60676</v>
      </c>
      <c r="G3619" s="22">
        <f>IFERROR(__xludf.DUMMYFUNCTION("""COMPUTED_VALUE"""),0.0)</f>
        <v>0</v>
      </c>
      <c r="H3619" s="22">
        <f>IFERROR(__xludf.DUMMYFUNCTION("""COMPUTED_VALUE"""),500000.0)</f>
        <v>500000</v>
      </c>
      <c r="I3619" s="24">
        <f>IFERROR(__xludf.DUMMYFUNCTION("""COMPUTED_VALUE"""),0.0)</f>
        <v>0</v>
      </c>
    </row>
    <row r="3620">
      <c r="A3620" s="5" t="str">
        <f>IFERROR(__xludf.DUMMYFUNCTION("""COMPUTED_VALUE"""),"40776")</f>
        <v>40776</v>
      </c>
      <c r="B3620" s="64">
        <f>IFERROR(__xludf.DUMMYFUNCTION("""COMPUTED_VALUE"""),44661.0)</f>
        <v>44661</v>
      </c>
      <c r="C3620" s="5"/>
      <c r="D3620" s="5"/>
      <c r="E3620" s="5"/>
      <c r="F3620" s="22">
        <f>IFERROR(__xludf.DUMMYFUNCTION("""COMPUTED_VALUE"""),98045.60675749998)</f>
        <v>98045.60676</v>
      </c>
      <c r="G3620" s="22">
        <f>IFERROR(__xludf.DUMMYFUNCTION("""COMPUTED_VALUE"""),0.0)</f>
        <v>0</v>
      </c>
      <c r="H3620" s="22">
        <f>IFERROR(__xludf.DUMMYFUNCTION("""COMPUTED_VALUE"""),500000.0)</f>
        <v>500000</v>
      </c>
      <c r="I3620" s="24">
        <f>IFERROR(__xludf.DUMMYFUNCTION("""COMPUTED_VALUE"""),0.0)</f>
        <v>0</v>
      </c>
    </row>
    <row r="3621">
      <c r="A3621" s="5" t="str">
        <f>IFERROR(__xludf.DUMMYFUNCTION("""COMPUTED_VALUE"""),"40776")</f>
        <v>40776</v>
      </c>
      <c r="B3621" s="64">
        <f>IFERROR(__xludf.DUMMYFUNCTION("""COMPUTED_VALUE"""),44662.0)</f>
        <v>44662</v>
      </c>
      <c r="C3621" s="5"/>
      <c r="D3621" s="5"/>
      <c r="E3621" s="5"/>
      <c r="F3621" s="22">
        <f>IFERROR(__xludf.DUMMYFUNCTION("""COMPUTED_VALUE"""),-54940.20411250001)</f>
        <v>-54940.20411</v>
      </c>
      <c r="G3621" s="22">
        <f>IFERROR(__xludf.DUMMYFUNCTION("""COMPUTED_VALUE"""),54940.20411250001)</f>
        <v>54940.20411</v>
      </c>
      <c r="H3621" s="22">
        <f>IFERROR(__xludf.DUMMYFUNCTION("""COMPUTED_VALUE"""),480574.30132999993)</f>
        <v>480574.3013</v>
      </c>
      <c r="I3621" s="24">
        <f>IFERROR(__xludf.DUMMYFUNCTION("""COMPUTED_VALUE"""),-0.03885139734000009)</f>
        <v>-0.03885139734</v>
      </c>
    </row>
    <row r="3622">
      <c r="A3622" s="5" t="str">
        <f>IFERROR(__xludf.DUMMYFUNCTION("""COMPUTED_VALUE"""),"40776")</f>
        <v>40776</v>
      </c>
      <c r="B3622" s="64">
        <f>IFERROR(__xludf.DUMMYFUNCTION("""COMPUTED_VALUE"""),44663.0)</f>
        <v>44663</v>
      </c>
      <c r="C3622" s="5"/>
      <c r="D3622" s="5"/>
      <c r="E3622" s="5"/>
      <c r="F3622" s="22">
        <f>IFERROR(__xludf.DUMMYFUNCTION("""COMPUTED_VALUE"""),99757.2997375)</f>
        <v>99757.29974</v>
      </c>
      <c r="G3622" s="22">
        <f>IFERROR(__xludf.DUMMYFUNCTION("""COMPUTED_VALUE"""),0.0)</f>
        <v>0</v>
      </c>
      <c r="H3622" s="22">
        <f>IFERROR(__xludf.DUMMYFUNCTION("""COMPUTED_VALUE"""),486621.2205249999)</f>
        <v>486621.2205</v>
      </c>
      <c r="I3622" s="24">
        <f>IFERROR(__xludf.DUMMYFUNCTION("""COMPUTED_VALUE"""),-0.026757558950000204)</f>
        <v>-0.02675755895</v>
      </c>
    </row>
    <row r="3623">
      <c r="A3623" s="5" t="str">
        <f>IFERROR(__xludf.DUMMYFUNCTION("""COMPUTED_VALUE"""),"45962")</f>
        <v>45962</v>
      </c>
      <c r="B3623" s="64">
        <f>IFERROR(__xludf.DUMMYFUNCTION("""COMPUTED_VALUE"""),44597.0)</f>
        <v>44597</v>
      </c>
      <c r="C3623" s="5"/>
      <c r="D3623" s="5"/>
      <c r="E3623" s="5"/>
      <c r="F3623" s="22">
        <f>IFERROR(__xludf.DUMMYFUNCTION("""COMPUTED_VALUE"""),500000.0)</f>
        <v>500000</v>
      </c>
      <c r="G3623" s="22">
        <f>IFERROR(__xludf.DUMMYFUNCTION("""COMPUTED_VALUE"""),0.0)</f>
        <v>0</v>
      </c>
      <c r="H3623" s="22">
        <f>IFERROR(__xludf.DUMMYFUNCTION("""COMPUTED_VALUE"""),500000.0)</f>
        <v>500000</v>
      </c>
      <c r="I3623" s="24">
        <f>IFERROR(__xludf.DUMMYFUNCTION("""COMPUTED_VALUE"""),0.0)</f>
        <v>0</v>
      </c>
    </row>
    <row r="3624">
      <c r="A3624" s="5" t="str">
        <f>IFERROR(__xludf.DUMMYFUNCTION("""COMPUTED_VALUE"""),"45962")</f>
        <v>45962</v>
      </c>
      <c r="B3624" s="64">
        <f>IFERROR(__xludf.DUMMYFUNCTION("""COMPUTED_VALUE"""),44598.0)</f>
        <v>44598</v>
      </c>
      <c r="C3624" s="5"/>
      <c r="D3624" s="5"/>
      <c r="E3624" s="5"/>
      <c r="F3624" s="22">
        <f>IFERROR(__xludf.DUMMYFUNCTION("""COMPUTED_VALUE"""),500000.0)</f>
        <v>500000</v>
      </c>
      <c r="G3624" s="22">
        <f>IFERROR(__xludf.DUMMYFUNCTION("""COMPUTED_VALUE"""),0.0)</f>
        <v>0</v>
      </c>
      <c r="H3624" s="22">
        <f>IFERROR(__xludf.DUMMYFUNCTION("""COMPUTED_VALUE"""),500000.0)</f>
        <v>500000</v>
      </c>
      <c r="I3624" s="24">
        <f>IFERROR(__xludf.DUMMYFUNCTION("""COMPUTED_VALUE"""),0.0)</f>
        <v>0</v>
      </c>
    </row>
    <row r="3625">
      <c r="A3625" s="5" t="str">
        <f>IFERROR(__xludf.DUMMYFUNCTION("""COMPUTED_VALUE"""),"45962")</f>
        <v>45962</v>
      </c>
      <c r="B3625" s="64">
        <f>IFERROR(__xludf.DUMMYFUNCTION("""COMPUTED_VALUE"""),44599.0)</f>
        <v>44599</v>
      </c>
      <c r="C3625" s="5"/>
      <c r="D3625" s="5"/>
      <c r="E3625" s="5"/>
      <c r="F3625" s="22">
        <f>IFERROR(__xludf.DUMMYFUNCTION("""COMPUTED_VALUE"""),500000.0)</f>
        <v>500000</v>
      </c>
      <c r="G3625" s="22">
        <f>IFERROR(__xludf.DUMMYFUNCTION("""COMPUTED_VALUE"""),0.0)</f>
        <v>0</v>
      </c>
      <c r="H3625" s="22">
        <f>IFERROR(__xludf.DUMMYFUNCTION("""COMPUTED_VALUE"""),500000.0)</f>
        <v>500000</v>
      </c>
      <c r="I3625" s="24">
        <f>IFERROR(__xludf.DUMMYFUNCTION("""COMPUTED_VALUE"""),0.0)</f>
        <v>0</v>
      </c>
    </row>
    <row r="3626">
      <c r="A3626" s="5" t="str">
        <f>IFERROR(__xludf.DUMMYFUNCTION("""COMPUTED_VALUE"""),"45962")</f>
        <v>45962</v>
      </c>
      <c r="B3626" s="64">
        <f>IFERROR(__xludf.DUMMYFUNCTION("""COMPUTED_VALUE"""),44600.0)</f>
        <v>44600</v>
      </c>
      <c r="C3626" s="5"/>
      <c r="D3626" s="5"/>
      <c r="E3626" s="5"/>
      <c r="F3626" s="22">
        <f>IFERROR(__xludf.DUMMYFUNCTION("""COMPUTED_VALUE"""),500000.0)</f>
        <v>500000</v>
      </c>
      <c r="G3626" s="22">
        <f>IFERROR(__xludf.DUMMYFUNCTION("""COMPUTED_VALUE"""),0.0)</f>
        <v>0</v>
      </c>
      <c r="H3626" s="22">
        <f>IFERROR(__xludf.DUMMYFUNCTION("""COMPUTED_VALUE"""),500000.0)</f>
        <v>500000</v>
      </c>
      <c r="I3626" s="24">
        <f>IFERROR(__xludf.DUMMYFUNCTION("""COMPUTED_VALUE"""),0.0)</f>
        <v>0</v>
      </c>
    </row>
    <row r="3627">
      <c r="A3627" s="5" t="str">
        <f>IFERROR(__xludf.DUMMYFUNCTION("""COMPUTED_VALUE"""),"45962")</f>
        <v>45962</v>
      </c>
      <c r="B3627" s="64">
        <f>IFERROR(__xludf.DUMMYFUNCTION("""COMPUTED_VALUE"""),44601.0)</f>
        <v>44601</v>
      </c>
      <c r="C3627" s="5"/>
      <c r="D3627" s="5"/>
      <c r="E3627" s="5"/>
      <c r="F3627" s="22">
        <f>IFERROR(__xludf.DUMMYFUNCTION("""COMPUTED_VALUE"""),500000.0)</f>
        <v>500000</v>
      </c>
      <c r="G3627" s="22">
        <f>IFERROR(__xludf.DUMMYFUNCTION("""COMPUTED_VALUE"""),0.0)</f>
        <v>0</v>
      </c>
      <c r="H3627" s="22">
        <f>IFERROR(__xludf.DUMMYFUNCTION("""COMPUTED_VALUE"""),500000.0)</f>
        <v>500000</v>
      </c>
      <c r="I3627" s="24">
        <f>IFERROR(__xludf.DUMMYFUNCTION("""COMPUTED_VALUE"""),0.0)</f>
        <v>0</v>
      </c>
    </row>
    <row r="3628">
      <c r="A3628" s="5" t="str">
        <f>IFERROR(__xludf.DUMMYFUNCTION("""COMPUTED_VALUE"""),"45962")</f>
        <v>45962</v>
      </c>
      <c r="B3628" s="64">
        <f>IFERROR(__xludf.DUMMYFUNCTION("""COMPUTED_VALUE"""),44602.0)</f>
        <v>44602</v>
      </c>
      <c r="C3628" s="5"/>
      <c r="D3628" s="5"/>
      <c r="E3628" s="5"/>
      <c r="F3628" s="22">
        <f>IFERROR(__xludf.DUMMYFUNCTION("""COMPUTED_VALUE"""),500000.0)</f>
        <v>500000</v>
      </c>
      <c r="G3628" s="22">
        <f>IFERROR(__xludf.DUMMYFUNCTION("""COMPUTED_VALUE"""),0.0)</f>
        <v>0</v>
      </c>
      <c r="H3628" s="22">
        <f>IFERROR(__xludf.DUMMYFUNCTION("""COMPUTED_VALUE"""),500000.0)</f>
        <v>500000</v>
      </c>
      <c r="I3628" s="24">
        <f>IFERROR(__xludf.DUMMYFUNCTION("""COMPUTED_VALUE"""),0.0)</f>
        <v>0</v>
      </c>
    </row>
    <row r="3629">
      <c r="A3629" s="5" t="str">
        <f>IFERROR(__xludf.DUMMYFUNCTION("""COMPUTED_VALUE"""),"45962")</f>
        <v>45962</v>
      </c>
      <c r="B3629" s="64">
        <f>IFERROR(__xludf.DUMMYFUNCTION("""COMPUTED_VALUE"""),44603.0)</f>
        <v>44603</v>
      </c>
      <c r="C3629" s="5"/>
      <c r="D3629" s="5"/>
      <c r="E3629" s="5"/>
      <c r="F3629" s="22">
        <f>IFERROR(__xludf.DUMMYFUNCTION("""COMPUTED_VALUE"""),500000.0)</f>
        <v>500000</v>
      </c>
      <c r="G3629" s="22">
        <f>IFERROR(__xludf.DUMMYFUNCTION("""COMPUTED_VALUE"""),0.0)</f>
        <v>0</v>
      </c>
      <c r="H3629" s="22">
        <f>IFERROR(__xludf.DUMMYFUNCTION("""COMPUTED_VALUE"""),500000.0)</f>
        <v>500000</v>
      </c>
      <c r="I3629" s="24">
        <f>IFERROR(__xludf.DUMMYFUNCTION("""COMPUTED_VALUE"""),0.0)</f>
        <v>0</v>
      </c>
    </row>
    <row r="3630">
      <c r="A3630" s="5" t="str">
        <f>IFERROR(__xludf.DUMMYFUNCTION("""COMPUTED_VALUE"""),"45962")</f>
        <v>45962</v>
      </c>
      <c r="B3630" s="64">
        <f>IFERROR(__xludf.DUMMYFUNCTION("""COMPUTED_VALUE"""),44604.0)</f>
        <v>44604</v>
      </c>
      <c r="C3630" s="5"/>
      <c r="D3630" s="5"/>
      <c r="E3630" s="5"/>
      <c r="F3630" s="22">
        <f>IFERROR(__xludf.DUMMYFUNCTION("""COMPUTED_VALUE"""),500000.0)</f>
        <v>500000</v>
      </c>
      <c r="G3630" s="22">
        <f>IFERROR(__xludf.DUMMYFUNCTION("""COMPUTED_VALUE"""),0.0)</f>
        <v>0</v>
      </c>
      <c r="H3630" s="22">
        <f>IFERROR(__xludf.DUMMYFUNCTION("""COMPUTED_VALUE"""),500000.0)</f>
        <v>500000</v>
      </c>
      <c r="I3630" s="24">
        <f>IFERROR(__xludf.DUMMYFUNCTION("""COMPUTED_VALUE"""),0.0)</f>
        <v>0</v>
      </c>
    </row>
    <row r="3631">
      <c r="A3631" s="5" t="str">
        <f>IFERROR(__xludf.DUMMYFUNCTION("""COMPUTED_VALUE"""),"45962")</f>
        <v>45962</v>
      </c>
      <c r="B3631" s="64">
        <f>IFERROR(__xludf.DUMMYFUNCTION("""COMPUTED_VALUE"""),44605.0)</f>
        <v>44605</v>
      </c>
      <c r="C3631" s="5"/>
      <c r="D3631" s="5"/>
      <c r="E3631" s="5"/>
      <c r="F3631" s="22">
        <f>IFERROR(__xludf.DUMMYFUNCTION("""COMPUTED_VALUE"""),500000.0)</f>
        <v>500000</v>
      </c>
      <c r="G3631" s="22">
        <f>IFERROR(__xludf.DUMMYFUNCTION("""COMPUTED_VALUE"""),0.0)</f>
        <v>0</v>
      </c>
      <c r="H3631" s="22">
        <f>IFERROR(__xludf.DUMMYFUNCTION("""COMPUTED_VALUE"""),500000.0)</f>
        <v>500000</v>
      </c>
      <c r="I3631" s="24">
        <f>IFERROR(__xludf.DUMMYFUNCTION("""COMPUTED_VALUE"""),0.0)</f>
        <v>0</v>
      </c>
    </row>
    <row r="3632">
      <c r="A3632" s="5" t="str">
        <f>IFERROR(__xludf.DUMMYFUNCTION("""COMPUTED_VALUE"""),"45962")</f>
        <v>45962</v>
      </c>
      <c r="B3632" s="64">
        <f>IFERROR(__xludf.DUMMYFUNCTION("""COMPUTED_VALUE"""),44606.0)</f>
        <v>44606</v>
      </c>
      <c r="C3632" s="5"/>
      <c r="D3632" s="5"/>
      <c r="E3632" s="5"/>
      <c r="F3632" s="22">
        <f>IFERROR(__xludf.DUMMYFUNCTION("""COMPUTED_VALUE"""),500000.0)</f>
        <v>500000</v>
      </c>
      <c r="G3632" s="22">
        <f>IFERROR(__xludf.DUMMYFUNCTION("""COMPUTED_VALUE"""),0.0)</f>
        <v>0</v>
      </c>
      <c r="H3632" s="22">
        <f>IFERROR(__xludf.DUMMYFUNCTION("""COMPUTED_VALUE"""),500000.0)</f>
        <v>500000</v>
      </c>
      <c r="I3632" s="24">
        <f>IFERROR(__xludf.DUMMYFUNCTION("""COMPUTED_VALUE"""),0.0)</f>
        <v>0</v>
      </c>
    </row>
    <row r="3633">
      <c r="A3633" s="5" t="str">
        <f>IFERROR(__xludf.DUMMYFUNCTION("""COMPUTED_VALUE"""),"45962")</f>
        <v>45962</v>
      </c>
      <c r="B3633" s="64">
        <f>IFERROR(__xludf.DUMMYFUNCTION("""COMPUTED_VALUE"""),44607.0)</f>
        <v>44607</v>
      </c>
      <c r="C3633" s="5"/>
      <c r="D3633" s="5"/>
      <c r="E3633" s="5"/>
      <c r="F3633" s="22">
        <f>IFERROR(__xludf.DUMMYFUNCTION("""COMPUTED_VALUE"""),500000.0)</f>
        <v>500000</v>
      </c>
      <c r="G3633" s="22">
        <f>IFERROR(__xludf.DUMMYFUNCTION("""COMPUTED_VALUE"""),0.0)</f>
        <v>0</v>
      </c>
      <c r="H3633" s="22">
        <f>IFERROR(__xludf.DUMMYFUNCTION("""COMPUTED_VALUE"""),500000.0)</f>
        <v>500000</v>
      </c>
      <c r="I3633" s="24">
        <f>IFERROR(__xludf.DUMMYFUNCTION("""COMPUTED_VALUE"""),0.0)</f>
        <v>0</v>
      </c>
    </row>
    <row r="3634">
      <c r="A3634" s="5" t="str">
        <f>IFERROR(__xludf.DUMMYFUNCTION("""COMPUTED_VALUE"""),"45962")</f>
        <v>45962</v>
      </c>
      <c r="B3634" s="64">
        <f>IFERROR(__xludf.DUMMYFUNCTION("""COMPUTED_VALUE"""),44608.0)</f>
        <v>44608</v>
      </c>
      <c r="C3634" s="5"/>
      <c r="D3634" s="5"/>
      <c r="E3634" s="5"/>
      <c r="F3634" s="22">
        <f>IFERROR(__xludf.DUMMYFUNCTION("""COMPUTED_VALUE"""),500000.0)</f>
        <v>500000</v>
      </c>
      <c r="G3634" s="22">
        <f>IFERROR(__xludf.DUMMYFUNCTION("""COMPUTED_VALUE"""),0.0)</f>
        <v>0</v>
      </c>
      <c r="H3634" s="22">
        <f>IFERROR(__xludf.DUMMYFUNCTION("""COMPUTED_VALUE"""),500000.0)</f>
        <v>500000</v>
      </c>
      <c r="I3634" s="24">
        <f>IFERROR(__xludf.DUMMYFUNCTION("""COMPUTED_VALUE"""),0.0)</f>
        <v>0</v>
      </c>
    </row>
    <row r="3635">
      <c r="A3635" s="5" t="str">
        <f>IFERROR(__xludf.DUMMYFUNCTION("""COMPUTED_VALUE"""),"45962")</f>
        <v>45962</v>
      </c>
      <c r="B3635" s="64">
        <f>IFERROR(__xludf.DUMMYFUNCTION("""COMPUTED_VALUE"""),44609.0)</f>
        <v>44609</v>
      </c>
      <c r="C3635" s="5"/>
      <c r="D3635" s="5"/>
      <c r="E3635" s="5"/>
      <c r="F3635" s="22">
        <f>IFERROR(__xludf.DUMMYFUNCTION("""COMPUTED_VALUE"""),500000.0)</f>
        <v>500000</v>
      </c>
      <c r="G3635" s="22">
        <f>IFERROR(__xludf.DUMMYFUNCTION("""COMPUTED_VALUE"""),0.0)</f>
        <v>0</v>
      </c>
      <c r="H3635" s="22">
        <f>IFERROR(__xludf.DUMMYFUNCTION("""COMPUTED_VALUE"""),500000.0)</f>
        <v>500000</v>
      </c>
      <c r="I3635" s="24">
        <f>IFERROR(__xludf.DUMMYFUNCTION("""COMPUTED_VALUE"""),0.0)</f>
        <v>0</v>
      </c>
    </row>
    <row r="3636">
      <c r="A3636" s="5" t="str">
        <f>IFERROR(__xludf.DUMMYFUNCTION("""COMPUTED_VALUE"""),"45962")</f>
        <v>45962</v>
      </c>
      <c r="B3636" s="64">
        <f>IFERROR(__xludf.DUMMYFUNCTION("""COMPUTED_VALUE"""),44610.0)</f>
        <v>44610</v>
      </c>
      <c r="C3636" s="5"/>
      <c r="D3636" s="5"/>
      <c r="E3636" s="5"/>
      <c r="F3636" s="22">
        <f>IFERROR(__xludf.DUMMYFUNCTION("""COMPUTED_VALUE"""),500000.0)</f>
        <v>500000</v>
      </c>
      <c r="G3636" s="22">
        <f>IFERROR(__xludf.DUMMYFUNCTION("""COMPUTED_VALUE"""),0.0)</f>
        <v>0</v>
      </c>
      <c r="H3636" s="22">
        <f>IFERROR(__xludf.DUMMYFUNCTION("""COMPUTED_VALUE"""),500000.0)</f>
        <v>500000</v>
      </c>
      <c r="I3636" s="24">
        <f>IFERROR(__xludf.DUMMYFUNCTION("""COMPUTED_VALUE"""),0.0)</f>
        <v>0</v>
      </c>
    </row>
    <row r="3637">
      <c r="A3637" s="5" t="str">
        <f>IFERROR(__xludf.DUMMYFUNCTION("""COMPUTED_VALUE"""),"45962")</f>
        <v>45962</v>
      </c>
      <c r="B3637" s="64">
        <f>IFERROR(__xludf.DUMMYFUNCTION("""COMPUTED_VALUE"""),44611.0)</f>
        <v>44611</v>
      </c>
      <c r="C3637" s="5"/>
      <c r="D3637" s="5"/>
      <c r="E3637" s="5"/>
      <c r="F3637" s="22">
        <f>IFERROR(__xludf.DUMMYFUNCTION("""COMPUTED_VALUE"""),500000.0)</f>
        <v>500000</v>
      </c>
      <c r="G3637" s="22">
        <f>IFERROR(__xludf.DUMMYFUNCTION("""COMPUTED_VALUE"""),0.0)</f>
        <v>0</v>
      </c>
      <c r="H3637" s="22">
        <f>IFERROR(__xludf.DUMMYFUNCTION("""COMPUTED_VALUE"""),500000.0)</f>
        <v>500000</v>
      </c>
      <c r="I3637" s="24">
        <f>IFERROR(__xludf.DUMMYFUNCTION("""COMPUTED_VALUE"""),0.0)</f>
        <v>0</v>
      </c>
    </row>
    <row r="3638">
      <c r="A3638" s="5" t="str">
        <f>IFERROR(__xludf.DUMMYFUNCTION("""COMPUTED_VALUE"""),"45962")</f>
        <v>45962</v>
      </c>
      <c r="B3638" s="64">
        <f>IFERROR(__xludf.DUMMYFUNCTION("""COMPUTED_VALUE"""),44612.0)</f>
        <v>44612</v>
      </c>
      <c r="C3638" s="5"/>
      <c r="D3638" s="5"/>
      <c r="E3638" s="5"/>
      <c r="F3638" s="22">
        <f>IFERROR(__xludf.DUMMYFUNCTION("""COMPUTED_VALUE"""),500000.0)</f>
        <v>500000</v>
      </c>
      <c r="G3638" s="22">
        <f>IFERROR(__xludf.DUMMYFUNCTION("""COMPUTED_VALUE"""),0.0)</f>
        <v>0</v>
      </c>
      <c r="H3638" s="22">
        <f>IFERROR(__xludf.DUMMYFUNCTION("""COMPUTED_VALUE"""),500000.0)</f>
        <v>500000</v>
      </c>
      <c r="I3638" s="24">
        <f>IFERROR(__xludf.DUMMYFUNCTION("""COMPUTED_VALUE"""),0.0)</f>
        <v>0</v>
      </c>
    </row>
    <row r="3639">
      <c r="A3639" s="5" t="str">
        <f>IFERROR(__xludf.DUMMYFUNCTION("""COMPUTED_VALUE"""),"45962")</f>
        <v>45962</v>
      </c>
      <c r="B3639" s="64">
        <f>IFERROR(__xludf.DUMMYFUNCTION("""COMPUTED_VALUE"""),44613.0)</f>
        <v>44613</v>
      </c>
      <c r="C3639" s="5"/>
      <c r="D3639" s="5"/>
      <c r="E3639" s="5"/>
      <c r="F3639" s="22">
        <f>IFERROR(__xludf.DUMMYFUNCTION("""COMPUTED_VALUE"""),500000.0)</f>
        <v>500000</v>
      </c>
      <c r="G3639" s="22">
        <f>IFERROR(__xludf.DUMMYFUNCTION("""COMPUTED_VALUE"""),0.0)</f>
        <v>0</v>
      </c>
      <c r="H3639" s="22">
        <f>IFERROR(__xludf.DUMMYFUNCTION("""COMPUTED_VALUE"""),500000.0)</f>
        <v>500000</v>
      </c>
      <c r="I3639" s="24">
        <f>IFERROR(__xludf.DUMMYFUNCTION("""COMPUTED_VALUE"""),0.0)</f>
        <v>0</v>
      </c>
    </row>
    <row r="3640">
      <c r="A3640" s="5" t="str">
        <f>IFERROR(__xludf.DUMMYFUNCTION("""COMPUTED_VALUE"""),"45962")</f>
        <v>45962</v>
      </c>
      <c r="B3640" s="64">
        <f>IFERROR(__xludf.DUMMYFUNCTION("""COMPUTED_VALUE"""),44614.0)</f>
        <v>44614</v>
      </c>
      <c r="C3640" s="5"/>
      <c r="D3640" s="5"/>
      <c r="E3640" s="5"/>
      <c r="F3640" s="22">
        <f>IFERROR(__xludf.DUMMYFUNCTION("""COMPUTED_VALUE"""),500000.0)</f>
        <v>500000</v>
      </c>
      <c r="G3640" s="22">
        <f>IFERROR(__xludf.DUMMYFUNCTION("""COMPUTED_VALUE"""),0.0)</f>
        <v>0</v>
      </c>
      <c r="H3640" s="22">
        <f>IFERROR(__xludf.DUMMYFUNCTION("""COMPUTED_VALUE"""),500000.0)</f>
        <v>500000</v>
      </c>
      <c r="I3640" s="24">
        <f>IFERROR(__xludf.DUMMYFUNCTION("""COMPUTED_VALUE"""),0.0)</f>
        <v>0</v>
      </c>
    </row>
    <row r="3641">
      <c r="A3641" s="5" t="str">
        <f>IFERROR(__xludf.DUMMYFUNCTION("""COMPUTED_VALUE"""),"45962")</f>
        <v>45962</v>
      </c>
      <c r="B3641" s="64">
        <f>IFERROR(__xludf.DUMMYFUNCTION("""COMPUTED_VALUE"""),44615.0)</f>
        <v>44615</v>
      </c>
      <c r="C3641" s="5"/>
      <c r="D3641" s="5"/>
      <c r="E3641" s="5"/>
      <c r="F3641" s="22">
        <f>IFERROR(__xludf.DUMMYFUNCTION("""COMPUTED_VALUE"""),500000.0)</f>
        <v>500000</v>
      </c>
      <c r="G3641" s="22">
        <f>IFERROR(__xludf.DUMMYFUNCTION("""COMPUTED_VALUE"""),0.0)</f>
        <v>0</v>
      </c>
      <c r="H3641" s="22">
        <f>IFERROR(__xludf.DUMMYFUNCTION("""COMPUTED_VALUE"""),500000.0)</f>
        <v>500000</v>
      </c>
      <c r="I3641" s="24">
        <f>IFERROR(__xludf.DUMMYFUNCTION("""COMPUTED_VALUE"""),0.0)</f>
        <v>0</v>
      </c>
    </row>
    <row r="3642">
      <c r="A3642" s="5" t="str">
        <f>IFERROR(__xludf.DUMMYFUNCTION("""COMPUTED_VALUE"""),"45962")</f>
        <v>45962</v>
      </c>
      <c r="B3642" s="64">
        <f>IFERROR(__xludf.DUMMYFUNCTION("""COMPUTED_VALUE"""),44616.0)</f>
        <v>44616</v>
      </c>
      <c r="C3642" s="5"/>
      <c r="D3642" s="5"/>
      <c r="E3642" s="5"/>
      <c r="F3642" s="22">
        <f>IFERROR(__xludf.DUMMYFUNCTION("""COMPUTED_VALUE"""),500000.0)</f>
        <v>500000</v>
      </c>
      <c r="G3642" s="22">
        <f>IFERROR(__xludf.DUMMYFUNCTION("""COMPUTED_VALUE"""),0.0)</f>
        <v>0</v>
      </c>
      <c r="H3642" s="22">
        <f>IFERROR(__xludf.DUMMYFUNCTION("""COMPUTED_VALUE"""),500000.0)</f>
        <v>500000</v>
      </c>
      <c r="I3642" s="24">
        <f>IFERROR(__xludf.DUMMYFUNCTION("""COMPUTED_VALUE"""),0.0)</f>
        <v>0</v>
      </c>
    </row>
    <row r="3643">
      <c r="A3643" s="5" t="str">
        <f>IFERROR(__xludf.DUMMYFUNCTION("""COMPUTED_VALUE"""),"45962")</f>
        <v>45962</v>
      </c>
      <c r="B3643" s="64">
        <f>IFERROR(__xludf.DUMMYFUNCTION("""COMPUTED_VALUE"""),44617.0)</f>
        <v>44617</v>
      </c>
      <c r="C3643" s="5"/>
      <c r="D3643" s="5"/>
      <c r="E3643" s="5"/>
      <c r="F3643" s="22">
        <f>IFERROR(__xludf.DUMMYFUNCTION("""COMPUTED_VALUE"""),500000.0)</f>
        <v>500000</v>
      </c>
      <c r="G3643" s="22">
        <f>IFERROR(__xludf.DUMMYFUNCTION("""COMPUTED_VALUE"""),0.0)</f>
        <v>0</v>
      </c>
      <c r="H3643" s="22">
        <f>IFERROR(__xludf.DUMMYFUNCTION("""COMPUTED_VALUE"""),500000.0)</f>
        <v>500000</v>
      </c>
      <c r="I3643" s="24">
        <f>IFERROR(__xludf.DUMMYFUNCTION("""COMPUTED_VALUE"""),0.0)</f>
        <v>0</v>
      </c>
    </row>
    <row r="3644">
      <c r="A3644" s="5" t="str">
        <f>IFERROR(__xludf.DUMMYFUNCTION("""COMPUTED_VALUE"""),"45962")</f>
        <v>45962</v>
      </c>
      <c r="B3644" s="64">
        <f>IFERROR(__xludf.DUMMYFUNCTION("""COMPUTED_VALUE"""),44618.0)</f>
        <v>44618</v>
      </c>
      <c r="C3644" s="5"/>
      <c r="D3644" s="5"/>
      <c r="E3644" s="5"/>
      <c r="F3644" s="22">
        <f>IFERROR(__xludf.DUMMYFUNCTION("""COMPUTED_VALUE"""),500000.0)</f>
        <v>500000</v>
      </c>
      <c r="G3644" s="22">
        <f>IFERROR(__xludf.DUMMYFUNCTION("""COMPUTED_VALUE"""),0.0)</f>
        <v>0</v>
      </c>
      <c r="H3644" s="22">
        <f>IFERROR(__xludf.DUMMYFUNCTION("""COMPUTED_VALUE"""),500000.0)</f>
        <v>500000</v>
      </c>
      <c r="I3644" s="24">
        <f>IFERROR(__xludf.DUMMYFUNCTION("""COMPUTED_VALUE"""),0.0)</f>
        <v>0</v>
      </c>
    </row>
    <row r="3645">
      <c r="A3645" s="5" t="str">
        <f>IFERROR(__xludf.DUMMYFUNCTION("""COMPUTED_VALUE"""),"45962")</f>
        <v>45962</v>
      </c>
      <c r="B3645" s="64">
        <f>IFERROR(__xludf.DUMMYFUNCTION("""COMPUTED_VALUE"""),44619.0)</f>
        <v>44619</v>
      </c>
      <c r="C3645" s="5"/>
      <c r="D3645" s="5"/>
      <c r="E3645" s="5"/>
      <c r="F3645" s="22">
        <f>IFERROR(__xludf.DUMMYFUNCTION("""COMPUTED_VALUE"""),500000.0)</f>
        <v>500000</v>
      </c>
      <c r="G3645" s="22">
        <f>IFERROR(__xludf.DUMMYFUNCTION("""COMPUTED_VALUE"""),0.0)</f>
        <v>0</v>
      </c>
      <c r="H3645" s="22">
        <f>IFERROR(__xludf.DUMMYFUNCTION("""COMPUTED_VALUE"""),500000.0)</f>
        <v>500000</v>
      </c>
      <c r="I3645" s="24">
        <f>IFERROR(__xludf.DUMMYFUNCTION("""COMPUTED_VALUE"""),0.0)</f>
        <v>0</v>
      </c>
    </row>
    <row r="3646">
      <c r="A3646" s="5" t="str">
        <f>IFERROR(__xludf.DUMMYFUNCTION("""COMPUTED_VALUE"""),"45962")</f>
        <v>45962</v>
      </c>
      <c r="B3646" s="64">
        <f>IFERROR(__xludf.DUMMYFUNCTION("""COMPUTED_VALUE"""),44620.0)</f>
        <v>44620</v>
      </c>
      <c r="C3646" s="5"/>
      <c r="D3646" s="5"/>
      <c r="E3646" s="5"/>
      <c r="F3646" s="22">
        <f>IFERROR(__xludf.DUMMYFUNCTION("""COMPUTED_VALUE"""),500000.0)</f>
        <v>500000</v>
      </c>
      <c r="G3646" s="22">
        <f>IFERROR(__xludf.DUMMYFUNCTION("""COMPUTED_VALUE"""),0.0)</f>
        <v>0</v>
      </c>
      <c r="H3646" s="22">
        <f>IFERROR(__xludf.DUMMYFUNCTION("""COMPUTED_VALUE"""),500000.0)</f>
        <v>500000</v>
      </c>
      <c r="I3646" s="24">
        <f>IFERROR(__xludf.DUMMYFUNCTION("""COMPUTED_VALUE"""),0.0)</f>
        <v>0</v>
      </c>
    </row>
    <row r="3647">
      <c r="A3647" s="5" t="str">
        <f>IFERROR(__xludf.DUMMYFUNCTION("""COMPUTED_VALUE"""),"45962")</f>
        <v>45962</v>
      </c>
      <c r="B3647" s="64">
        <f>IFERROR(__xludf.DUMMYFUNCTION("""COMPUTED_VALUE"""),44621.0)</f>
        <v>44621</v>
      </c>
      <c r="C3647" s="5"/>
      <c r="D3647" s="5"/>
      <c r="E3647" s="5"/>
      <c r="F3647" s="22">
        <f>IFERROR(__xludf.DUMMYFUNCTION("""COMPUTED_VALUE"""),500000.0)</f>
        <v>500000</v>
      </c>
      <c r="G3647" s="22">
        <f>IFERROR(__xludf.DUMMYFUNCTION("""COMPUTED_VALUE"""),0.0)</f>
        <v>0</v>
      </c>
      <c r="H3647" s="22">
        <f>IFERROR(__xludf.DUMMYFUNCTION("""COMPUTED_VALUE"""),509800.0)</f>
        <v>509800</v>
      </c>
      <c r="I3647" s="24">
        <f>IFERROR(__xludf.DUMMYFUNCTION("""COMPUTED_VALUE"""),0.019600000000000062)</f>
        <v>0.0196</v>
      </c>
    </row>
    <row r="3648">
      <c r="A3648" s="5" t="str">
        <f>IFERROR(__xludf.DUMMYFUNCTION("""COMPUTED_VALUE"""),"45962")</f>
        <v>45962</v>
      </c>
      <c r="B3648" s="64">
        <f>IFERROR(__xludf.DUMMYFUNCTION("""COMPUTED_VALUE"""),44622.0)</f>
        <v>44622</v>
      </c>
      <c r="C3648" s="5"/>
      <c r="D3648" s="5"/>
      <c r="E3648" s="5"/>
      <c r="F3648" s="22">
        <f>IFERROR(__xludf.DUMMYFUNCTION("""COMPUTED_VALUE"""),500000.0)</f>
        <v>500000</v>
      </c>
      <c r="G3648" s="22">
        <f>IFERROR(__xludf.DUMMYFUNCTION("""COMPUTED_VALUE"""),0.0)</f>
        <v>0</v>
      </c>
      <c r="H3648" s="22">
        <f>IFERROR(__xludf.DUMMYFUNCTION("""COMPUTED_VALUE"""),502200.0)</f>
        <v>502200</v>
      </c>
      <c r="I3648" s="24">
        <f>IFERROR(__xludf.DUMMYFUNCTION("""COMPUTED_VALUE"""),0.0043999999999999595)</f>
        <v>0.0044</v>
      </c>
    </row>
    <row r="3649">
      <c r="A3649" s="5" t="str">
        <f>IFERROR(__xludf.DUMMYFUNCTION("""COMPUTED_VALUE"""),"45962")</f>
        <v>45962</v>
      </c>
      <c r="B3649" s="64">
        <f>IFERROR(__xludf.DUMMYFUNCTION("""COMPUTED_VALUE"""),44623.0)</f>
        <v>44623</v>
      </c>
      <c r="C3649" s="5"/>
      <c r="D3649" s="5"/>
      <c r="E3649" s="5"/>
      <c r="F3649" s="22">
        <f>IFERROR(__xludf.DUMMYFUNCTION("""COMPUTED_VALUE"""),500000.0)</f>
        <v>500000</v>
      </c>
      <c r="G3649" s="22">
        <f>IFERROR(__xludf.DUMMYFUNCTION("""COMPUTED_VALUE"""),0.0)</f>
        <v>0</v>
      </c>
      <c r="H3649" s="22">
        <f>IFERROR(__xludf.DUMMYFUNCTION("""COMPUTED_VALUE"""),497600.0)</f>
        <v>497600</v>
      </c>
      <c r="I3649" s="24">
        <f>IFERROR(__xludf.DUMMYFUNCTION("""COMPUTED_VALUE"""),-0.0048000000000000265)</f>
        <v>-0.0048</v>
      </c>
    </row>
    <row r="3650">
      <c r="A3650" s="5" t="str">
        <f>IFERROR(__xludf.DUMMYFUNCTION("""COMPUTED_VALUE"""),"45962")</f>
        <v>45962</v>
      </c>
      <c r="B3650" s="64">
        <f>IFERROR(__xludf.DUMMYFUNCTION("""COMPUTED_VALUE"""),44624.0)</f>
        <v>44624</v>
      </c>
      <c r="C3650" s="5"/>
      <c r="D3650" s="5"/>
      <c r="E3650" s="5"/>
      <c r="F3650" s="22">
        <f>IFERROR(__xludf.DUMMYFUNCTION("""COMPUTED_VALUE"""),500000.0)</f>
        <v>500000</v>
      </c>
      <c r="G3650" s="22">
        <f>IFERROR(__xludf.DUMMYFUNCTION("""COMPUTED_VALUE"""),0.0)</f>
        <v>0</v>
      </c>
      <c r="H3650" s="22">
        <f>IFERROR(__xludf.DUMMYFUNCTION("""COMPUTED_VALUE"""),482000.0)</f>
        <v>482000</v>
      </c>
      <c r="I3650" s="24">
        <f>IFERROR(__xludf.DUMMYFUNCTION("""COMPUTED_VALUE"""),-0.03600000000000003)</f>
        <v>-0.036</v>
      </c>
    </row>
    <row r="3651">
      <c r="A3651" s="5" t="str">
        <f>IFERROR(__xludf.DUMMYFUNCTION("""COMPUTED_VALUE"""),"45962")</f>
        <v>45962</v>
      </c>
      <c r="B3651" s="64">
        <f>IFERROR(__xludf.DUMMYFUNCTION("""COMPUTED_VALUE"""),44625.0)</f>
        <v>44625</v>
      </c>
      <c r="C3651" s="5"/>
      <c r="D3651" s="5"/>
      <c r="E3651" s="5"/>
      <c r="F3651" s="22">
        <f>IFERROR(__xludf.DUMMYFUNCTION("""COMPUTED_VALUE"""),500000.0)</f>
        <v>500000</v>
      </c>
      <c r="G3651" s="22">
        <f>IFERROR(__xludf.DUMMYFUNCTION("""COMPUTED_VALUE"""),0.0)</f>
        <v>0</v>
      </c>
      <c r="H3651" s="22">
        <f>IFERROR(__xludf.DUMMYFUNCTION("""COMPUTED_VALUE"""),482000.0)</f>
        <v>482000</v>
      </c>
      <c r="I3651" s="24">
        <f>IFERROR(__xludf.DUMMYFUNCTION("""COMPUTED_VALUE"""),-0.03600000000000003)</f>
        <v>-0.036</v>
      </c>
    </row>
    <row r="3652">
      <c r="A3652" s="5" t="str">
        <f>IFERROR(__xludf.DUMMYFUNCTION("""COMPUTED_VALUE"""),"45962")</f>
        <v>45962</v>
      </c>
      <c r="B3652" s="64">
        <f>IFERROR(__xludf.DUMMYFUNCTION("""COMPUTED_VALUE"""),44626.0)</f>
        <v>44626</v>
      </c>
      <c r="C3652" s="5"/>
      <c r="D3652" s="5"/>
      <c r="E3652" s="5"/>
      <c r="F3652" s="22">
        <f>IFERROR(__xludf.DUMMYFUNCTION("""COMPUTED_VALUE"""),500000.0)</f>
        <v>500000</v>
      </c>
      <c r="G3652" s="22">
        <f>IFERROR(__xludf.DUMMYFUNCTION("""COMPUTED_VALUE"""),0.0)</f>
        <v>0</v>
      </c>
      <c r="H3652" s="22">
        <f>IFERROR(__xludf.DUMMYFUNCTION("""COMPUTED_VALUE"""),482000.0)</f>
        <v>482000</v>
      </c>
      <c r="I3652" s="24">
        <f>IFERROR(__xludf.DUMMYFUNCTION("""COMPUTED_VALUE"""),-0.03600000000000003)</f>
        <v>-0.036</v>
      </c>
    </row>
    <row r="3653">
      <c r="A3653" s="5" t="str">
        <f>IFERROR(__xludf.DUMMYFUNCTION("""COMPUTED_VALUE"""),"45962")</f>
        <v>45962</v>
      </c>
      <c r="B3653" s="64">
        <f>IFERROR(__xludf.DUMMYFUNCTION("""COMPUTED_VALUE"""),44627.0)</f>
        <v>44627</v>
      </c>
      <c r="C3653" s="5"/>
      <c r="D3653" s="5"/>
      <c r="E3653" s="5"/>
      <c r="F3653" s="22">
        <f>IFERROR(__xludf.DUMMYFUNCTION("""COMPUTED_VALUE"""),500000.0)</f>
        <v>500000</v>
      </c>
      <c r="G3653" s="22">
        <f>IFERROR(__xludf.DUMMYFUNCTION("""COMPUTED_VALUE"""),0.0)</f>
        <v>0</v>
      </c>
      <c r="H3653" s="22">
        <f>IFERROR(__xludf.DUMMYFUNCTION("""COMPUTED_VALUE"""),466800.0)</f>
        <v>466800</v>
      </c>
      <c r="I3653" s="24">
        <f>IFERROR(__xludf.DUMMYFUNCTION("""COMPUTED_VALUE"""),-0.06640000000000001)</f>
        <v>-0.0664</v>
      </c>
    </row>
    <row r="3654">
      <c r="A3654" s="5" t="str">
        <f>IFERROR(__xludf.DUMMYFUNCTION("""COMPUTED_VALUE"""),"45962")</f>
        <v>45962</v>
      </c>
      <c r="B3654" s="64">
        <f>IFERROR(__xludf.DUMMYFUNCTION("""COMPUTED_VALUE"""),44628.0)</f>
        <v>44628</v>
      </c>
      <c r="C3654" s="5"/>
      <c r="D3654" s="5"/>
      <c r="E3654" s="5"/>
      <c r="F3654" s="22">
        <f>IFERROR(__xludf.DUMMYFUNCTION("""COMPUTED_VALUE"""),500000.0)</f>
        <v>500000</v>
      </c>
      <c r="G3654" s="22">
        <f>IFERROR(__xludf.DUMMYFUNCTION("""COMPUTED_VALUE"""),0.0)</f>
        <v>0</v>
      </c>
      <c r="H3654" s="22">
        <f>IFERROR(__xludf.DUMMYFUNCTION("""COMPUTED_VALUE"""),462000.0)</f>
        <v>462000</v>
      </c>
      <c r="I3654" s="24">
        <f>IFERROR(__xludf.DUMMYFUNCTION("""COMPUTED_VALUE"""),-0.07599999999999996)</f>
        <v>-0.076</v>
      </c>
    </row>
    <row r="3655">
      <c r="A3655" s="5" t="str">
        <f>IFERROR(__xludf.DUMMYFUNCTION("""COMPUTED_VALUE"""),"45962")</f>
        <v>45962</v>
      </c>
      <c r="B3655" s="64">
        <f>IFERROR(__xludf.DUMMYFUNCTION("""COMPUTED_VALUE"""),44629.0)</f>
        <v>44629</v>
      </c>
      <c r="C3655" s="5"/>
      <c r="D3655" s="5"/>
      <c r="E3655" s="5"/>
      <c r="F3655" s="22">
        <f>IFERROR(__xludf.DUMMYFUNCTION("""COMPUTED_VALUE"""),500000.0)</f>
        <v>500000</v>
      </c>
      <c r="G3655" s="22">
        <f>IFERROR(__xludf.DUMMYFUNCTION("""COMPUTED_VALUE"""),0.0)</f>
        <v>0</v>
      </c>
      <c r="H3655" s="22">
        <f>IFERROR(__xludf.DUMMYFUNCTION("""COMPUTED_VALUE"""),463600.0)</f>
        <v>463600</v>
      </c>
      <c r="I3655" s="24">
        <f>IFERROR(__xludf.DUMMYFUNCTION("""COMPUTED_VALUE"""),-0.07279999999999998)</f>
        <v>-0.0728</v>
      </c>
    </row>
    <row r="3656">
      <c r="A3656" s="5" t="str">
        <f>IFERROR(__xludf.DUMMYFUNCTION("""COMPUTED_VALUE"""),"45962")</f>
        <v>45962</v>
      </c>
      <c r="B3656" s="64">
        <f>IFERROR(__xludf.DUMMYFUNCTION("""COMPUTED_VALUE"""),44630.0)</f>
        <v>44630</v>
      </c>
      <c r="C3656" s="5"/>
      <c r="D3656" s="5"/>
      <c r="E3656" s="5"/>
      <c r="F3656" s="22">
        <f>IFERROR(__xludf.DUMMYFUNCTION("""COMPUTED_VALUE"""),500000.0)</f>
        <v>500000</v>
      </c>
      <c r="G3656" s="22">
        <f>IFERROR(__xludf.DUMMYFUNCTION("""COMPUTED_VALUE"""),0.0)</f>
        <v>0</v>
      </c>
      <c r="H3656" s="22">
        <f>IFERROR(__xludf.DUMMYFUNCTION("""COMPUTED_VALUE"""),463800.0)</f>
        <v>463800</v>
      </c>
      <c r="I3656" s="24">
        <f>IFERROR(__xludf.DUMMYFUNCTION("""COMPUTED_VALUE"""),-0.07240000000000002)</f>
        <v>-0.0724</v>
      </c>
    </row>
    <row r="3657">
      <c r="A3657" s="5" t="str">
        <f>IFERROR(__xludf.DUMMYFUNCTION("""COMPUTED_VALUE"""),"45962")</f>
        <v>45962</v>
      </c>
      <c r="B3657" s="64">
        <f>IFERROR(__xludf.DUMMYFUNCTION("""COMPUTED_VALUE"""),44631.0)</f>
        <v>44631</v>
      </c>
      <c r="C3657" s="5"/>
      <c r="D3657" s="5"/>
      <c r="E3657" s="5"/>
      <c r="F3657" s="22">
        <f>IFERROR(__xludf.DUMMYFUNCTION("""COMPUTED_VALUE"""),500000.0)</f>
        <v>500000</v>
      </c>
      <c r="G3657" s="22">
        <f>IFERROR(__xludf.DUMMYFUNCTION("""COMPUTED_VALUE"""),0.0)</f>
        <v>0</v>
      </c>
      <c r="H3657" s="22">
        <f>IFERROR(__xludf.DUMMYFUNCTION("""COMPUTED_VALUE"""),446600.0)</f>
        <v>446600</v>
      </c>
      <c r="I3657" s="24">
        <f>IFERROR(__xludf.DUMMYFUNCTION("""COMPUTED_VALUE"""),-0.1068)</f>
        <v>-0.1068</v>
      </c>
    </row>
    <row r="3658">
      <c r="A3658" s="5" t="str">
        <f>IFERROR(__xludf.DUMMYFUNCTION("""COMPUTED_VALUE"""),"45962")</f>
        <v>45962</v>
      </c>
      <c r="B3658" s="64">
        <f>IFERROR(__xludf.DUMMYFUNCTION("""COMPUTED_VALUE"""),44632.0)</f>
        <v>44632</v>
      </c>
      <c r="C3658" s="5"/>
      <c r="D3658" s="5"/>
      <c r="E3658" s="5"/>
      <c r="F3658" s="22">
        <f>IFERROR(__xludf.DUMMYFUNCTION("""COMPUTED_VALUE"""),500000.0)</f>
        <v>500000</v>
      </c>
      <c r="G3658" s="22">
        <f>IFERROR(__xludf.DUMMYFUNCTION("""COMPUTED_VALUE"""),0.0)</f>
        <v>0</v>
      </c>
      <c r="H3658" s="22">
        <f>IFERROR(__xludf.DUMMYFUNCTION("""COMPUTED_VALUE"""),446600.0)</f>
        <v>446600</v>
      </c>
      <c r="I3658" s="24">
        <f>IFERROR(__xludf.DUMMYFUNCTION("""COMPUTED_VALUE"""),-0.1068)</f>
        <v>-0.1068</v>
      </c>
    </row>
    <row r="3659">
      <c r="A3659" s="5" t="str">
        <f>IFERROR(__xludf.DUMMYFUNCTION("""COMPUTED_VALUE"""),"45962")</f>
        <v>45962</v>
      </c>
      <c r="B3659" s="64">
        <f>IFERROR(__xludf.DUMMYFUNCTION("""COMPUTED_VALUE"""),44633.0)</f>
        <v>44633</v>
      </c>
      <c r="C3659" s="5"/>
      <c r="D3659" s="5"/>
      <c r="E3659" s="5"/>
      <c r="F3659" s="22">
        <f>IFERROR(__xludf.DUMMYFUNCTION("""COMPUTED_VALUE"""),500000.0)</f>
        <v>500000</v>
      </c>
      <c r="G3659" s="22">
        <f>IFERROR(__xludf.DUMMYFUNCTION("""COMPUTED_VALUE"""),0.0)</f>
        <v>0</v>
      </c>
      <c r="H3659" s="22">
        <f>IFERROR(__xludf.DUMMYFUNCTION("""COMPUTED_VALUE"""),446600.0)</f>
        <v>446600</v>
      </c>
      <c r="I3659" s="24">
        <f>IFERROR(__xludf.DUMMYFUNCTION("""COMPUTED_VALUE"""),-0.1068)</f>
        <v>-0.1068</v>
      </c>
    </row>
    <row r="3660">
      <c r="A3660" s="5" t="str">
        <f>IFERROR(__xludf.DUMMYFUNCTION("""COMPUTED_VALUE"""),"45962")</f>
        <v>45962</v>
      </c>
      <c r="B3660" s="64">
        <f>IFERROR(__xludf.DUMMYFUNCTION("""COMPUTED_VALUE"""),44634.0)</f>
        <v>44634</v>
      </c>
      <c r="C3660" s="5"/>
      <c r="D3660" s="5"/>
      <c r="E3660" s="5"/>
      <c r="F3660" s="22">
        <f>IFERROR(__xludf.DUMMYFUNCTION("""COMPUTED_VALUE"""),500000.0)</f>
        <v>500000</v>
      </c>
      <c r="G3660" s="22">
        <f>IFERROR(__xludf.DUMMYFUNCTION("""COMPUTED_VALUE"""),0.0)</f>
        <v>0</v>
      </c>
      <c r="H3660" s="22">
        <f>IFERROR(__xludf.DUMMYFUNCTION("""COMPUTED_VALUE"""),410600.0)</f>
        <v>410600</v>
      </c>
      <c r="I3660" s="24">
        <f>IFERROR(__xludf.DUMMYFUNCTION("""COMPUTED_VALUE"""),-0.17879999999999996)</f>
        <v>-0.1788</v>
      </c>
    </row>
    <row r="3661">
      <c r="A3661" s="5" t="str">
        <f>IFERROR(__xludf.DUMMYFUNCTION("""COMPUTED_VALUE"""),"45962")</f>
        <v>45962</v>
      </c>
      <c r="B3661" s="64">
        <f>IFERROR(__xludf.DUMMYFUNCTION("""COMPUTED_VALUE"""),44635.0)</f>
        <v>44635</v>
      </c>
      <c r="C3661" s="5"/>
      <c r="D3661" s="5"/>
      <c r="E3661" s="5"/>
      <c r="F3661" s="22">
        <f>IFERROR(__xludf.DUMMYFUNCTION("""COMPUTED_VALUE"""),500000.0)</f>
        <v>500000</v>
      </c>
      <c r="G3661" s="22">
        <f>IFERROR(__xludf.DUMMYFUNCTION("""COMPUTED_VALUE"""),0.0)</f>
        <v>0</v>
      </c>
      <c r="H3661" s="22">
        <f>IFERROR(__xludf.DUMMYFUNCTION("""COMPUTED_VALUE"""),376800.0)</f>
        <v>376800</v>
      </c>
      <c r="I3661" s="24">
        <f>IFERROR(__xludf.DUMMYFUNCTION("""COMPUTED_VALUE"""),-0.24639999999999995)</f>
        <v>-0.2464</v>
      </c>
    </row>
    <row r="3662">
      <c r="A3662" s="5" t="str">
        <f>IFERROR(__xludf.DUMMYFUNCTION("""COMPUTED_VALUE"""),"45962")</f>
        <v>45962</v>
      </c>
      <c r="B3662" s="64">
        <f>IFERROR(__xludf.DUMMYFUNCTION("""COMPUTED_VALUE"""),44636.0)</f>
        <v>44636</v>
      </c>
      <c r="C3662" s="5"/>
      <c r="D3662" s="5"/>
      <c r="E3662" s="5"/>
      <c r="F3662" s="22">
        <f>IFERROR(__xludf.DUMMYFUNCTION("""COMPUTED_VALUE"""),500000.0)</f>
        <v>500000</v>
      </c>
      <c r="G3662" s="22">
        <f>IFERROR(__xludf.DUMMYFUNCTION("""COMPUTED_VALUE"""),0.0)</f>
        <v>0</v>
      </c>
      <c r="H3662" s="22">
        <f>IFERROR(__xludf.DUMMYFUNCTION("""COMPUTED_VALUE"""),445800.0)</f>
        <v>445800</v>
      </c>
      <c r="I3662" s="24">
        <f>IFERROR(__xludf.DUMMYFUNCTION("""COMPUTED_VALUE"""),-0.10840000000000005)</f>
        <v>-0.1084</v>
      </c>
    </row>
    <row r="3663">
      <c r="A3663" s="5" t="str">
        <f>IFERROR(__xludf.DUMMYFUNCTION("""COMPUTED_VALUE"""),"45962")</f>
        <v>45962</v>
      </c>
      <c r="B3663" s="64">
        <f>IFERROR(__xludf.DUMMYFUNCTION("""COMPUTED_VALUE"""),44637.0)</f>
        <v>44637</v>
      </c>
      <c r="C3663" s="5"/>
      <c r="D3663" s="5"/>
      <c r="E3663" s="5"/>
      <c r="F3663" s="22">
        <f>IFERROR(__xludf.DUMMYFUNCTION("""COMPUTED_VALUE"""),500000.0)</f>
        <v>500000</v>
      </c>
      <c r="G3663" s="22">
        <f>IFERROR(__xludf.DUMMYFUNCTION("""COMPUTED_VALUE"""),0.0)</f>
        <v>0</v>
      </c>
      <c r="H3663" s="22">
        <f>IFERROR(__xludf.DUMMYFUNCTION("""COMPUTED_VALUE"""),473400.0)</f>
        <v>473400</v>
      </c>
      <c r="I3663" s="24">
        <f>IFERROR(__xludf.DUMMYFUNCTION("""COMPUTED_VALUE"""),-0.053200000000000025)</f>
        <v>-0.0532</v>
      </c>
    </row>
    <row r="3664">
      <c r="A3664" s="5" t="str">
        <f>IFERROR(__xludf.DUMMYFUNCTION("""COMPUTED_VALUE"""),"45962")</f>
        <v>45962</v>
      </c>
      <c r="B3664" s="64">
        <f>IFERROR(__xludf.DUMMYFUNCTION("""COMPUTED_VALUE"""),44638.0)</f>
        <v>44638</v>
      </c>
      <c r="C3664" s="5"/>
      <c r="D3664" s="5"/>
      <c r="E3664" s="5"/>
      <c r="F3664" s="22">
        <f>IFERROR(__xludf.DUMMYFUNCTION("""COMPUTED_VALUE"""),500000.0)</f>
        <v>500000</v>
      </c>
      <c r="G3664" s="22">
        <f>IFERROR(__xludf.DUMMYFUNCTION("""COMPUTED_VALUE"""),0.0)</f>
        <v>0</v>
      </c>
      <c r="H3664" s="22">
        <f>IFERROR(__xludf.DUMMYFUNCTION("""COMPUTED_VALUE"""),462600.0)</f>
        <v>462600</v>
      </c>
      <c r="I3664" s="24">
        <f>IFERROR(__xludf.DUMMYFUNCTION("""COMPUTED_VALUE"""),-0.07479999999999998)</f>
        <v>-0.0748</v>
      </c>
    </row>
    <row r="3665">
      <c r="A3665" s="5" t="str">
        <f>IFERROR(__xludf.DUMMYFUNCTION("""COMPUTED_VALUE"""),"45962")</f>
        <v>45962</v>
      </c>
      <c r="B3665" s="64">
        <f>IFERROR(__xludf.DUMMYFUNCTION("""COMPUTED_VALUE"""),44639.0)</f>
        <v>44639</v>
      </c>
      <c r="C3665" s="5"/>
      <c r="D3665" s="5"/>
      <c r="E3665" s="5"/>
      <c r="F3665" s="22">
        <f>IFERROR(__xludf.DUMMYFUNCTION("""COMPUTED_VALUE"""),500000.0)</f>
        <v>500000</v>
      </c>
      <c r="G3665" s="22">
        <f>IFERROR(__xludf.DUMMYFUNCTION("""COMPUTED_VALUE"""),0.0)</f>
        <v>0</v>
      </c>
      <c r="H3665" s="22">
        <f>IFERROR(__xludf.DUMMYFUNCTION("""COMPUTED_VALUE"""),462600.0)</f>
        <v>462600</v>
      </c>
      <c r="I3665" s="24">
        <f>IFERROR(__xludf.DUMMYFUNCTION("""COMPUTED_VALUE"""),-0.07479999999999998)</f>
        <v>-0.0748</v>
      </c>
    </row>
    <row r="3666">
      <c r="A3666" s="5" t="str">
        <f>IFERROR(__xludf.DUMMYFUNCTION("""COMPUTED_VALUE"""),"45962")</f>
        <v>45962</v>
      </c>
      <c r="B3666" s="64">
        <f>IFERROR(__xludf.DUMMYFUNCTION("""COMPUTED_VALUE"""),44640.0)</f>
        <v>44640</v>
      </c>
      <c r="C3666" s="5"/>
      <c r="D3666" s="5"/>
      <c r="E3666" s="5"/>
      <c r="F3666" s="22">
        <f>IFERROR(__xludf.DUMMYFUNCTION("""COMPUTED_VALUE"""),500000.0)</f>
        <v>500000</v>
      </c>
      <c r="G3666" s="22">
        <f>IFERROR(__xludf.DUMMYFUNCTION("""COMPUTED_VALUE"""),0.0)</f>
        <v>0</v>
      </c>
      <c r="H3666" s="22">
        <f>IFERROR(__xludf.DUMMYFUNCTION("""COMPUTED_VALUE"""),462600.0)</f>
        <v>462600</v>
      </c>
      <c r="I3666" s="24">
        <f>IFERROR(__xludf.DUMMYFUNCTION("""COMPUTED_VALUE"""),-0.07479999999999998)</f>
        <v>-0.0748</v>
      </c>
    </row>
    <row r="3667">
      <c r="A3667" s="5" t="str">
        <f>IFERROR(__xludf.DUMMYFUNCTION("""COMPUTED_VALUE"""),"45962")</f>
        <v>45962</v>
      </c>
      <c r="B3667" s="64">
        <f>IFERROR(__xludf.DUMMYFUNCTION("""COMPUTED_VALUE"""),44641.0)</f>
        <v>44641</v>
      </c>
      <c r="C3667" s="5"/>
      <c r="D3667" s="5"/>
      <c r="E3667" s="5"/>
      <c r="F3667" s="22">
        <f>IFERROR(__xludf.DUMMYFUNCTION("""COMPUTED_VALUE"""),500000.0)</f>
        <v>500000</v>
      </c>
      <c r="G3667" s="22">
        <f>IFERROR(__xludf.DUMMYFUNCTION("""COMPUTED_VALUE"""),0.0)</f>
        <v>0</v>
      </c>
      <c r="H3667" s="22">
        <f>IFERROR(__xludf.DUMMYFUNCTION("""COMPUTED_VALUE"""),452280.0)</f>
        <v>452280</v>
      </c>
      <c r="I3667" s="24">
        <f>IFERROR(__xludf.DUMMYFUNCTION("""COMPUTED_VALUE"""),-0.09543999999999997)</f>
        <v>-0.09544</v>
      </c>
    </row>
    <row r="3668">
      <c r="A3668" s="5" t="str">
        <f>IFERROR(__xludf.DUMMYFUNCTION("""COMPUTED_VALUE"""),"45962")</f>
        <v>45962</v>
      </c>
      <c r="B3668" s="64">
        <f>IFERROR(__xludf.DUMMYFUNCTION("""COMPUTED_VALUE"""),44642.0)</f>
        <v>44642</v>
      </c>
      <c r="C3668" s="5"/>
      <c r="D3668" s="5"/>
      <c r="E3668" s="5"/>
      <c r="F3668" s="22">
        <f>IFERROR(__xludf.DUMMYFUNCTION("""COMPUTED_VALUE"""),500000.0)</f>
        <v>500000</v>
      </c>
      <c r="G3668" s="22">
        <f>IFERROR(__xludf.DUMMYFUNCTION("""COMPUTED_VALUE"""),0.0)</f>
        <v>0</v>
      </c>
      <c r="H3668" s="22">
        <f>IFERROR(__xludf.DUMMYFUNCTION("""COMPUTED_VALUE"""),471000.0)</f>
        <v>471000</v>
      </c>
      <c r="I3668" s="24">
        <f>IFERROR(__xludf.DUMMYFUNCTION("""COMPUTED_VALUE"""),-0.05800000000000005)</f>
        <v>-0.058</v>
      </c>
    </row>
    <row r="3669">
      <c r="A3669" s="5" t="str">
        <f>IFERROR(__xludf.DUMMYFUNCTION("""COMPUTED_VALUE"""),"45962")</f>
        <v>45962</v>
      </c>
      <c r="B3669" s="64">
        <f>IFERROR(__xludf.DUMMYFUNCTION("""COMPUTED_VALUE"""),44643.0)</f>
        <v>44643</v>
      </c>
      <c r="C3669" s="5"/>
      <c r="D3669" s="5"/>
      <c r="E3669" s="5"/>
      <c r="F3669" s="22">
        <f>IFERROR(__xludf.DUMMYFUNCTION("""COMPUTED_VALUE"""),500000.0)</f>
        <v>500000</v>
      </c>
      <c r="G3669" s="22">
        <f>IFERROR(__xludf.DUMMYFUNCTION("""COMPUTED_VALUE"""),0.0)</f>
        <v>0</v>
      </c>
      <c r="H3669" s="22">
        <f>IFERROR(__xludf.DUMMYFUNCTION("""COMPUTED_VALUE"""),472200.0)</f>
        <v>472200</v>
      </c>
      <c r="I3669" s="24">
        <f>IFERROR(__xludf.DUMMYFUNCTION("""COMPUTED_VALUE"""),-0.05559999999999998)</f>
        <v>-0.0556</v>
      </c>
    </row>
    <row r="3670">
      <c r="A3670" s="5" t="str">
        <f>IFERROR(__xludf.DUMMYFUNCTION("""COMPUTED_VALUE"""),"45962")</f>
        <v>45962</v>
      </c>
      <c r="B3670" s="64">
        <f>IFERROR(__xludf.DUMMYFUNCTION("""COMPUTED_VALUE"""),44644.0)</f>
        <v>44644</v>
      </c>
      <c r="C3670" s="5"/>
      <c r="D3670" s="5"/>
      <c r="E3670" s="5"/>
      <c r="F3670" s="22">
        <f>IFERROR(__xludf.DUMMYFUNCTION("""COMPUTED_VALUE"""),500000.0)</f>
        <v>500000</v>
      </c>
      <c r="G3670" s="22">
        <f>IFERROR(__xludf.DUMMYFUNCTION("""COMPUTED_VALUE"""),0.0)</f>
        <v>0</v>
      </c>
      <c r="H3670" s="22">
        <f>IFERROR(__xludf.DUMMYFUNCTION("""COMPUTED_VALUE"""),444600.0)</f>
        <v>444600</v>
      </c>
      <c r="I3670" s="24">
        <f>IFERROR(__xludf.DUMMYFUNCTION("""COMPUTED_VALUE"""),-0.11080000000000001)</f>
        <v>-0.1108</v>
      </c>
    </row>
    <row r="3671">
      <c r="A3671" s="5" t="str">
        <f>IFERROR(__xludf.DUMMYFUNCTION("""COMPUTED_VALUE"""),"45962")</f>
        <v>45962</v>
      </c>
      <c r="B3671" s="64">
        <f>IFERROR(__xludf.DUMMYFUNCTION("""COMPUTED_VALUE"""),44645.0)</f>
        <v>44645</v>
      </c>
      <c r="C3671" s="5"/>
      <c r="D3671" s="5"/>
      <c r="E3671" s="5"/>
      <c r="F3671" s="22">
        <f>IFERROR(__xludf.DUMMYFUNCTION("""COMPUTED_VALUE"""),500000.0)</f>
        <v>500000</v>
      </c>
      <c r="G3671" s="22">
        <f>IFERROR(__xludf.DUMMYFUNCTION("""COMPUTED_VALUE"""),0.0)</f>
        <v>0</v>
      </c>
      <c r="H3671" s="22">
        <f>IFERROR(__xludf.DUMMYFUNCTION("""COMPUTED_VALUE"""),433080.0)</f>
        <v>433080</v>
      </c>
      <c r="I3671" s="24">
        <f>IFERROR(__xludf.DUMMYFUNCTION("""COMPUTED_VALUE"""),-0.13383999999999996)</f>
        <v>-0.13384</v>
      </c>
    </row>
    <row r="3672">
      <c r="A3672" s="5" t="str">
        <f>IFERROR(__xludf.DUMMYFUNCTION("""COMPUTED_VALUE"""),"45962")</f>
        <v>45962</v>
      </c>
      <c r="B3672" s="64">
        <f>IFERROR(__xludf.DUMMYFUNCTION("""COMPUTED_VALUE"""),44646.0)</f>
        <v>44646</v>
      </c>
      <c r="C3672" s="5"/>
      <c r="D3672" s="5"/>
      <c r="E3672" s="5"/>
      <c r="F3672" s="22">
        <f>IFERROR(__xludf.DUMMYFUNCTION("""COMPUTED_VALUE"""),500000.0)</f>
        <v>500000</v>
      </c>
      <c r="G3672" s="22">
        <f>IFERROR(__xludf.DUMMYFUNCTION("""COMPUTED_VALUE"""),0.0)</f>
        <v>0</v>
      </c>
      <c r="H3672" s="22">
        <f>IFERROR(__xludf.DUMMYFUNCTION("""COMPUTED_VALUE"""),433080.0)</f>
        <v>433080</v>
      </c>
      <c r="I3672" s="24">
        <f>IFERROR(__xludf.DUMMYFUNCTION("""COMPUTED_VALUE"""),-0.13383999999999996)</f>
        <v>-0.13384</v>
      </c>
    </row>
    <row r="3673">
      <c r="A3673" s="5" t="str">
        <f>IFERROR(__xludf.DUMMYFUNCTION("""COMPUTED_VALUE"""),"45962")</f>
        <v>45962</v>
      </c>
      <c r="B3673" s="64">
        <f>IFERROR(__xludf.DUMMYFUNCTION("""COMPUTED_VALUE"""),44647.0)</f>
        <v>44647</v>
      </c>
      <c r="C3673" s="5"/>
      <c r="D3673" s="5"/>
      <c r="E3673" s="5"/>
      <c r="F3673" s="22">
        <f>IFERROR(__xludf.DUMMYFUNCTION("""COMPUTED_VALUE"""),500000.0)</f>
        <v>500000</v>
      </c>
      <c r="G3673" s="22">
        <f>IFERROR(__xludf.DUMMYFUNCTION("""COMPUTED_VALUE"""),0.0)</f>
        <v>0</v>
      </c>
      <c r="H3673" s="22">
        <f>IFERROR(__xludf.DUMMYFUNCTION("""COMPUTED_VALUE"""),433080.0)</f>
        <v>433080</v>
      </c>
      <c r="I3673" s="24">
        <f>IFERROR(__xludf.DUMMYFUNCTION("""COMPUTED_VALUE"""),-0.13383999999999996)</f>
        <v>-0.13384</v>
      </c>
    </row>
    <row r="3674">
      <c r="A3674" s="5" t="str">
        <f>IFERROR(__xludf.DUMMYFUNCTION("""COMPUTED_VALUE"""),"45962")</f>
        <v>45962</v>
      </c>
      <c r="B3674" s="64">
        <f>IFERROR(__xludf.DUMMYFUNCTION("""COMPUTED_VALUE"""),44648.0)</f>
        <v>44648</v>
      </c>
      <c r="C3674" s="5"/>
      <c r="D3674" s="5"/>
      <c r="E3674" s="5"/>
      <c r="F3674" s="22">
        <f>IFERROR(__xludf.DUMMYFUNCTION("""COMPUTED_VALUE"""),500000.0)</f>
        <v>500000</v>
      </c>
      <c r="G3674" s="22">
        <f>IFERROR(__xludf.DUMMYFUNCTION("""COMPUTED_VALUE"""),0.0)</f>
        <v>0</v>
      </c>
      <c r="H3674" s="22">
        <f>IFERROR(__xludf.DUMMYFUNCTION("""COMPUTED_VALUE"""),445080.0)</f>
        <v>445080</v>
      </c>
      <c r="I3674" s="24">
        <f>IFERROR(__xludf.DUMMYFUNCTION("""COMPUTED_VALUE"""),-0.10984000000000005)</f>
        <v>-0.10984</v>
      </c>
    </row>
    <row r="3675">
      <c r="A3675" s="5" t="str">
        <f>IFERROR(__xludf.DUMMYFUNCTION("""COMPUTED_VALUE"""),"45962")</f>
        <v>45962</v>
      </c>
      <c r="B3675" s="64">
        <f>IFERROR(__xludf.DUMMYFUNCTION("""COMPUTED_VALUE"""),44649.0)</f>
        <v>44649</v>
      </c>
      <c r="C3675" s="5"/>
      <c r="D3675" s="5"/>
      <c r="E3675" s="5"/>
      <c r="F3675" s="22">
        <f>IFERROR(__xludf.DUMMYFUNCTION("""COMPUTED_VALUE"""),500000.0)</f>
        <v>500000</v>
      </c>
      <c r="G3675" s="22">
        <f>IFERROR(__xludf.DUMMYFUNCTION("""COMPUTED_VALUE"""),0.0)</f>
        <v>0</v>
      </c>
      <c r="H3675" s="22">
        <f>IFERROR(__xludf.DUMMYFUNCTION("""COMPUTED_VALUE"""),458040.0)</f>
        <v>458040</v>
      </c>
      <c r="I3675" s="24">
        <f>IFERROR(__xludf.DUMMYFUNCTION("""COMPUTED_VALUE"""),-0.08392)</f>
        <v>-0.08392</v>
      </c>
    </row>
    <row r="3676">
      <c r="A3676" s="5" t="str">
        <f>IFERROR(__xludf.DUMMYFUNCTION("""COMPUTED_VALUE"""),"45962")</f>
        <v>45962</v>
      </c>
      <c r="B3676" s="64">
        <f>IFERROR(__xludf.DUMMYFUNCTION("""COMPUTED_VALUE"""),44650.0)</f>
        <v>44650</v>
      </c>
      <c r="C3676" s="5"/>
      <c r="D3676" s="5"/>
      <c r="E3676" s="5"/>
      <c r="F3676" s="22">
        <f>IFERROR(__xludf.DUMMYFUNCTION("""COMPUTED_VALUE"""),500000.0)</f>
        <v>500000</v>
      </c>
      <c r="G3676" s="22">
        <f>IFERROR(__xludf.DUMMYFUNCTION("""COMPUTED_VALUE"""),0.0)</f>
        <v>0</v>
      </c>
      <c r="H3676" s="22">
        <f>IFERROR(__xludf.DUMMYFUNCTION("""COMPUTED_VALUE"""),462120.0)</f>
        <v>462120</v>
      </c>
      <c r="I3676" s="24">
        <f>IFERROR(__xludf.DUMMYFUNCTION("""COMPUTED_VALUE"""),-0.07576000000000005)</f>
        <v>-0.07576</v>
      </c>
    </row>
    <row r="3677">
      <c r="A3677" s="5" t="str">
        <f>IFERROR(__xludf.DUMMYFUNCTION("""COMPUTED_VALUE"""),"45962")</f>
        <v>45962</v>
      </c>
      <c r="B3677" s="64">
        <f>IFERROR(__xludf.DUMMYFUNCTION("""COMPUTED_VALUE"""),44651.0)</f>
        <v>44651</v>
      </c>
      <c r="C3677" s="5"/>
      <c r="D3677" s="5"/>
      <c r="E3677" s="5"/>
      <c r="F3677" s="22">
        <f>IFERROR(__xludf.DUMMYFUNCTION("""COMPUTED_VALUE"""),500000.0)</f>
        <v>500000</v>
      </c>
      <c r="G3677" s="22">
        <f>IFERROR(__xludf.DUMMYFUNCTION("""COMPUTED_VALUE"""),0.0)</f>
        <v>0</v>
      </c>
      <c r="H3677" s="22">
        <f>IFERROR(__xludf.DUMMYFUNCTION("""COMPUTED_VALUE"""),454440.0)</f>
        <v>454440</v>
      </c>
      <c r="I3677" s="24">
        <f>IFERROR(__xludf.DUMMYFUNCTION("""COMPUTED_VALUE"""),-0.09111999999999998)</f>
        <v>-0.09112</v>
      </c>
    </row>
    <row r="3678">
      <c r="A3678" s="5" t="str">
        <f>IFERROR(__xludf.DUMMYFUNCTION("""COMPUTED_VALUE"""),"45962")</f>
        <v>45962</v>
      </c>
      <c r="B3678" s="64">
        <f>IFERROR(__xludf.DUMMYFUNCTION("""COMPUTED_VALUE"""),44652.0)</f>
        <v>44652</v>
      </c>
      <c r="C3678" s="5"/>
      <c r="D3678" s="5"/>
      <c r="E3678" s="5"/>
      <c r="F3678" s="22">
        <f>IFERROR(__xludf.DUMMYFUNCTION("""COMPUTED_VALUE"""),500000.0)</f>
        <v>500000</v>
      </c>
      <c r="G3678" s="22">
        <f>IFERROR(__xludf.DUMMYFUNCTION("""COMPUTED_VALUE"""),0.0)</f>
        <v>0</v>
      </c>
      <c r="H3678" s="22">
        <f>IFERROR(__xludf.DUMMYFUNCTION("""COMPUTED_VALUE"""),459960.0)</f>
        <v>459960</v>
      </c>
      <c r="I3678" s="24">
        <f>IFERROR(__xludf.DUMMYFUNCTION("""COMPUTED_VALUE"""),-0.08008000000000004)</f>
        <v>-0.08008</v>
      </c>
    </row>
    <row r="3679">
      <c r="A3679" s="5" t="str">
        <f>IFERROR(__xludf.DUMMYFUNCTION("""COMPUTED_VALUE"""),"45962")</f>
        <v>45962</v>
      </c>
      <c r="B3679" s="64">
        <f>IFERROR(__xludf.DUMMYFUNCTION("""COMPUTED_VALUE"""),44653.0)</f>
        <v>44653</v>
      </c>
      <c r="C3679" s="5"/>
      <c r="D3679" s="5"/>
      <c r="E3679" s="5"/>
      <c r="F3679" s="22">
        <f>IFERROR(__xludf.DUMMYFUNCTION("""COMPUTED_VALUE"""),500000.0)</f>
        <v>500000</v>
      </c>
      <c r="G3679" s="22">
        <f>IFERROR(__xludf.DUMMYFUNCTION("""COMPUTED_VALUE"""),0.0)</f>
        <v>0</v>
      </c>
      <c r="H3679" s="22">
        <f>IFERROR(__xludf.DUMMYFUNCTION("""COMPUTED_VALUE"""),459960.0)</f>
        <v>459960</v>
      </c>
      <c r="I3679" s="24">
        <f>IFERROR(__xludf.DUMMYFUNCTION("""COMPUTED_VALUE"""),-0.08008000000000004)</f>
        <v>-0.08008</v>
      </c>
    </row>
    <row r="3680">
      <c r="A3680" s="5" t="str">
        <f>IFERROR(__xludf.DUMMYFUNCTION("""COMPUTED_VALUE"""),"45962")</f>
        <v>45962</v>
      </c>
      <c r="B3680" s="64">
        <f>IFERROR(__xludf.DUMMYFUNCTION("""COMPUTED_VALUE"""),44654.0)</f>
        <v>44654</v>
      </c>
      <c r="C3680" s="5"/>
      <c r="D3680" s="5"/>
      <c r="E3680" s="5"/>
      <c r="F3680" s="22">
        <f>IFERROR(__xludf.DUMMYFUNCTION("""COMPUTED_VALUE"""),500000.0)</f>
        <v>500000</v>
      </c>
      <c r="G3680" s="22">
        <f>IFERROR(__xludf.DUMMYFUNCTION("""COMPUTED_VALUE"""),0.0)</f>
        <v>0</v>
      </c>
      <c r="H3680" s="22">
        <f>IFERROR(__xludf.DUMMYFUNCTION("""COMPUTED_VALUE"""),459960.0)</f>
        <v>459960</v>
      </c>
      <c r="I3680" s="24">
        <f>IFERROR(__xludf.DUMMYFUNCTION("""COMPUTED_VALUE"""),-0.08008000000000004)</f>
        <v>-0.08008</v>
      </c>
    </row>
    <row r="3681">
      <c r="A3681" s="5" t="str">
        <f>IFERROR(__xludf.DUMMYFUNCTION("""COMPUTED_VALUE"""),"45962")</f>
        <v>45962</v>
      </c>
      <c r="B3681" s="64">
        <f>IFERROR(__xludf.DUMMYFUNCTION("""COMPUTED_VALUE"""),44655.0)</f>
        <v>44655</v>
      </c>
      <c r="C3681" s="5"/>
      <c r="D3681" s="5"/>
      <c r="E3681" s="5"/>
      <c r="F3681" s="22">
        <f>IFERROR(__xludf.DUMMYFUNCTION("""COMPUTED_VALUE"""),500000.0)</f>
        <v>500000</v>
      </c>
      <c r="G3681" s="22">
        <f>IFERROR(__xludf.DUMMYFUNCTION("""COMPUTED_VALUE"""),0.0)</f>
        <v>0</v>
      </c>
      <c r="H3681" s="22">
        <f>IFERROR(__xludf.DUMMYFUNCTION("""COMPUTED_VALUE"""),473400.0)</f>
        <v>473400</v>
      </c>
      <c r="I3681" s="24">
        <f>IFERROR(__xludf.DUMMYFUNCTION("""COMPUTED_VALUE"""),-0.053200000000000025)</f>
        <v>-0.0532</v>
      </c>
    </row>
    <row r="3682">
      <c r="A3682" s="5" t="str">
        <f>IFERROR(__xludf.DUMMYFUNCTION("""COMPUTED_VALUE"""),"45962")</f>
        <v>45962</v>
      </c>
      <c r="B3682" s="64">
        <f>IFERROR(__xludf.DUMMYFUNCTION("""COMPUTED_VALUE"""),44656.0)</f>
        <v>44656</v>
      </c>
      <c r="C3682" s="5"/>
      <c r="D3682" s="5"/>
      <c r="E3682" s="5"/>
      <c r="F3682" s="22">
        <f>IFERROR(__xludf.DUMMYFUNCTION("""COMPUTED_VALUE"""),500000.0)</f>
        <v>500000</v>
      </c>
      <c r="G3682" s="22">
        <f>IFERROR(__xludf.DUMMYFUNCTION("""COMPUTED_VALUE"""),0.0)</f>
        <v>0</v>
      </c>
      <c r="H3682" s="22">
        <f>IFERROR(__xludf.DUMMYFUNCTION("""COMPUTED_VALUE"""),473400.0)</f>
        <v>473400</v>
      </c>
      <c r="I3682" s="24">
        <f>IFERROR(__xludf.DUMMYFUNCTION("""COMPUTED_VALUE"""),-0.053200000000000025)</f>
        <v>-0.0532</v>
      </c>
    </row>
    <row r="3683">
      <c r="A3683" s="5" t="str">
        <f>IFERROR(__xludf.DUMMYFUNCTION("""COMPUTED_VALUE"""),"45962")</f>
        <v>45962</v>
      </c>
      <c r="B3683" s="64">
        <f>IFERROR(__xludf.DUMMYFUNCTION("""COMPUTED_VALUE"""),44657.0)</f>
        <v>44657</v>
      </c>
      <c r="C3683" s="5"/>
      <c r="D3683" s="5"/>
      <c r="E3683" s="5"/>
      <c r="F3683" s="22">
        <f>IFERROR(__xludf.DUMMYFUNCTION("""COMPUTED_VALUE"""),500000.0)</f>
        <v>500000</v>
      </c>
      <c r="G3683" s="22">
        <f>IFERROR(__xludf.DUMMYFUNCTION("""COMPUTED_VALUE"""),0.0)</f>
        <v>0</v>
      </c>
      <c r="H3683" s="22">
        <f>IFERROR(__xludf.DUMMYFUNCTION("""COMPUTED_VALUE"""),462600.0)</f>
        <v>462600</v>
      </c>
      <c r="I3683" s="24">
        <f>IFERROR(__xludf.DUMMYFUNCTION("""COMPUTED_VALUE"""),-0.07479999999999998)</f>
        <v>-0.0748</v>
      </c>
    </row>
    <row r="3684">
      <c r="A3684" s="5" t="str">
        <f>IFERROR(__xludf.DUMMYFUNCTION("""COMPUTED_VALUE"""),"45962")</f>
        <v>45962</v>
      </c>
      <c r="B3684" s="64">
        <f>IFERROR(__xludf.DUMMYFUNCTION("""COMPUTED_VALUE"""),44658.0)</f>
        <v>44658</v>
      </c>
      <c r="C3684" s="5"/>
      <c r="D3684" s="5"/>
      <c r="E3684" s="5"/>
      <c r="F3684" s="22">
        <f>IFERROR(__xludf.DUMMYFUNCTION("""COMPUTED_VALUE"""),500000.0)</f>
        <v>500000</v>
      </c>
      <c r="G3684" s="22">
        <f>IFERROR(__xludf.DUMMYFUNCTION("""COMPUTED_VALUE"""),0.0)</f>
        <v>0</v>
      </c>
      <c r="H3684" s="22">
        <f>IFERROR(__xludf.DUMMYFUNCTION("""COMPUTED_VALUE"""),454680.0)</f>
        <v>454680</v>
      </c>
      <c r="I3684" s="24">
        <f>IFERROR(__xludf.DUMMYFUNCTION("""COMPUTED_VALUE"""),-0.09064000000000005)</f>
        <v>-0.09064</v>
      </c>
    </row>
    <row r="3685">
      <c r="A3685" s="5" t="str">
        <f>IFERROR(__xludf.DUMMYFUNCTION("""COMPUTED_VALUE"""),"45962")</f>
        <v>45962</v>
      </c>
      <c r="B3685" s="64">
        <f>IFERROR(__xludf.DUMMYFUNCTION("""COMPUTED_VALUE"""),44659.0)</f>
        <v>44659</v>
      </c>
      <c r="C3685" s="5"/>
      <c r="D3685" s="5"/>
      <c r="E3685" s="5"/>
      <c r="F3685" s="22">
        <f>IFERROR(__xludf.DUMMYFUNCTION("""COMPUTED_VALUE"""),500000.0)</f>
        <v>500000</v>
      </c>
      <c r="G3685" s="22">
        <f>IFERROR(__xludf.DUMMYFUNCTION("""COMPUTED_VALUE"""),0.0)</f>
        <v>0</v>
      </c>
      <c r="H3685" s="22">
        <f>IFERROR(__xludf.DUMMYFUNCTION("""COMPUTED_VALUE"""),448920.0)</f>
        <v>448920</v>
      </c>
      <c r="I3685" s="24">
        <f>IFERROR(__xludf.DUMMYFUNCTION("""COMPUTED_VALUE"""),-0.10216000000000003)</f>
        <v>-0.10216</v>
      </c>
    </row>
    <row r="3686">
      <c r="A3686" s="5" t="str">
        <f>IFERROR(__xludf.DUMMYFUNCTION("""COMPUTED_VALUE"""),"45962")</f>
        <v>45962</v>
      </c>
      <c r="B3686" s="64">
        <f>IFERROR(__xludf.DUMMYFUNCTION("""COMPUTED_VALUE"""),44660.0)</f>
        <v>44660</v>
      </c>
      <c r="C3686" s="5"/>
      <c r="D3686" s="5"/>
      <c r="E3686" s="5"/>
      <c r="F3686" s="22">
        <f>IFERROR(__xludf.DUMMYFUNCTION("""COMPUTED_VALUE"""),500000.0)</f>
        <v>500000</v>
      </c>
      <c r="G3686" s="22">
        <f>IFERROR(__xludf.DUMMYFUNCTION("""COMPUTED_VALUE"""),0.0)</f>
        <v>0</v>
      </c>
      <c r="H3686" s="22">
        <f>IFERROR(__xludf.DUMMYFUNCTION("""COMPUTED_VALUE"""),448920.0)</f>
        <v>448920</v>
      </c>
      <c r="I3686" s="24">
        <f>IFERROR(__xludf.DUMMYFUNCTION("""COMPUTED_VALUE"""),-0.10216000000000003)</f>
        <v>-0.10216</v>
      </c>
    </row>
    <row r="3687">
      <c r="A3687" s="5" t="str">
        <f>IFERROR(__xludf.DUMMYFUNCTION("""COMPUTED_VALUE"""),"45962")</f>
        <v>45962</v>
      </c>
      <c r="B3687" s="64">
        <f>IFERROR(__xludf.DUMMYFUNCTION("""COMPUTED_VALUE"""),44661.0)</f>
        <v>44661</v>
      </c>
      <c r="C3687" s="5"/>
      <c r="D3687" s="5"/>
      <c r="E3687" s="5"/>
      <c r="F3687" s="22">
        <f>IFERROR(__xludf.DUMMYFUNCTION("""COMPUTED_VALUE"""),500000.0)</f>
        <v>500000</v>
      </c>
      <c r="G3687" s="22">
        <f>IFERROR(__xludf.DUMMYFUNCTION("""COMPUTED_VALUE"""),0.0)</f>
        <v>0</v>
      </c>
      <c r="H3687" s="22">
        <f>IFERROR(__xludf.DUMMYFUNCTION("""COMPUTED_VALUE"""),448920.0)</f>
        <v>448920</v>
      </c>
      <c r="I3687" s="24">
        <f>IFERROR(__xludf.DUMMYFUNCTION("""COMPUTED_VALUE"""),-0.10216000000000003)</f>
        <v>-0.10216</v>
      </c>
    </row>
    <row r="3688">
      <c r="A3688" s="5" t="str">
        <f>IFERROR(__xludf.DUMMYFUNCTION("""COMPUTED_VALUE"""),"45962")</f>
        <v>45962</v>
      </c>
      <c r="B3688" s="64">
        <f>IFERROR(__xludf.DUMMYFUNCTION("""COMPUTED_VALUE"""),44662.0)</f>
        <v>44662</v>
      </c>
      <c r="C3688" s="5"/>
      <c r="D3688" s="5"/>
      <c r="E3688" s="5"/>
      <c r="F3688" s="22">
        <f>IFERROR(__xludf.DUMMYFUNCTION("""COMPUTED_VALUE"""),500000.0)</f>
        <v>500000</v>
      </c>
      <c r="G3688" s="22">
        <f>IFERROR(__xludf.DUMMYFUNCTION("""COMPUTED_VALUE"""),0.0)</f>
        <v>0</v>
      </c>
      <c r="H3688" s="22">
        <f>IFERROR(__xludf.DUMMYFUNCTION("""COMPUTED_VALUE"""),429720.0)</f>
        <v>429720</v>
      </c>
      <c r="I3688" s="24">
        <f>IFERROR(__xludf.DUMMYFUNCTION("""COMPUTED_VALUE"""),-0.14056000000000002)</f>
        <v>-0.14056</v>
      </c>
    </row>
    <row r="3689">
      <c r="A3689" s="5" t="str">
        <f>IFERROR(__xludf.DUMMYFUNCTION("""COMPUTED_VALUE"""),"45962")</f>
        <v>45962</v>
      </c>
      <c r="B3689" s="64">
        <f>IFERROR(__xludf.DUMMYFUNCTION("""COMPUTED_VALUE"""),44663.0)</f>
        <v>44663</v>
      </c>
      <c r="C3689" s="5"/>
      <c r="D3689" s="5"/>
      <c r="E3689" s="5"/>
      <c r="F3689" s="22">
        <f>IFERROR(__xludf.DUMMYFUNCTION("""COMPUTED_VALUE"""),500000.0)</f>
        <v>500000</v>
      </c>
      <c r="G3689" s="22">
        <f>IFERROR(__xludf.DUMMYFUNCTION("""COMPUTED_VALUE"""),0.0)</f>
        <v>0</v>
      </c>
      <c r="H3689" s="22">
        <f>IFERROR(__xludf.DUMMYFUNCTION("""COMPUTED_VALUE"""),445080.0)</f>
        <v>445080</v>
      </c>
      <c r="I3689" s="24">
        <f>IFERROR(__xludf.DUMMYFUNCTION("""COMPUTED_VALUE"""),-0.10984000000000005)</f>
        <v>-0.10984</v>
      </c>
    </row>
    <row r="3690">
      <c r="A3690" s="5" t="str">
        <f>IFERROR(__xludf.DUMMYFUNCTION("""COMPUTED_VALUE"""),"45969")</f>
        <v>45969</v>
      </c>
      <c r="B3690" s="64">
        <f>IFERROR(__xludf.DUMMYFUNCTION("""COMPUTED_VALUE"""),44597.0)</f>
        <v>44597</v>
      </c>
      <c r="C3690" s="5"/>
      <c r="D3690" s="5"/>
      <c r="E3690" s="5"/>
      <c r="F3690" s="22">
        <f>IFERROR(__xludf.DUMMYFUNCTION("""COMPUTED_VALUE"""),500000.0)</f>
        <v>500000</v>
      </c>
      <c r="G3690" s="22">
        <f>IFERROR(__xludf.DUMMYFUNCTION("""COMPUTED_VALUE"""),0.0)</f>
        <v>0</v>
      </c>
      <c r="H3690" s="22">
        <f>IFERROR(__xludf.DUMMYFUNCTION("""COMPUTED_VALUE"""),500000.0)</f>
        <v>500000</v>
      </c>
      <c r="I3690" s="24">
        <f>IFERROR(__xludf.DUMMYFUNCTION("""COMPUTED_VALUE"""),0.0)</f>
        <v>0</v>
      </c>
    </row>
    <row r="3691">
      <c r="A3691" s="5" t="str">
        <f>IFERROR(__xludf.DUMMYFUNCTION("""COMPUTED_VALUE"""),"45969")</f>
        <v>45969</v>
      </c>
      <c r="B3691" s="64">
        <f>IFERROR(__xludf.DUMMYFUNCTION("""COMPUTED_VALUE"""),44598.0)</f>
        <v>44598</v>
      </c>
      <c r="C3691" s="5"/>
      <c r="D3691" s="5"/>
      <c r="E3691" s="5"/>
      <c r="F3691" s="22">
        <f>IFERROR(__xludf.DUMMYFUNCTION("""COMPUTED_VALUE"""),500000.0)</f>
        <v>500000</v>
      </c>
      <c r="G3691" s="22">
        <f>IFERROR(__xludf.DUMMYFUNCTION("""COMPUTED_VALUE"""),0.0)</f>
        <v>0</v>
      </c>
      <c r="H3691" s="22">
        <f>IFERROR(__xludf.DUMMYFUNCTION("""COMPUTED_VALUE"""),500000.0)</f>
        <v>500000</v>
      </c>
      <c r="I3691" s="24">
        <f>IFERROR(__xludf.DUMMYFUNCTION("""COMPUTED_VALUE"""),0.0)</f>
        <v>0</v>
      </c>
    </row>
    <row r="3692">
      <c r="A3692" s="5" t="str">
        <f>IFERROR(__xludf.DUMMYFUNCTION("""COMPUTED_VALUE"""),"45969")</f>
        <v>45969</v>
      </c>
      <c r="B3692" s="64">
        <f>IFERROR(__xludf.DUMMYFUNCTION("""COMPUTED_VALUE"""),44599.0)</f>
        <v>44599</v>
      </c>
      <c r="C3692" s="5"/>
      <c r="D3692" s="5"/>
      <c r="E3692" s="5"/>
      <c r="F3692" s="22">
        <f>IFERROR(__xludf.DUMMYFUNCTION("""COMPUTED_VALUE"""),500000.0)</f>
        <v>500000</v>
      </c>
      <c r="G3692" s="22">
        <f>IFERROR(__xludf.DUMMYFUNCTION("""COMPUTED_VALUE"""),0.0)</f>
        <v>0</v>
      </c>
      <c r="H3692" s="22">
        <f>IFERROR(__xludf.DUMMYFUNCTION("""COMPUTED_VALUE"""),500000.0)</f>
        <v>500000</v>
      </c>
      <c r="I3692" s="24">
        <f>IFERROR(__xludf.DUMMYFUNCTION("""COMPUTED_VALUE"""),0.0)</f>
        <v>0</v>
      </c>
    </row>
    <row r="3693">
      <c r="A3693" s="5" t="str">
        <f>IFERROR(__xludf.DUMMYFUNCTION("""COMPUTED_VALUE"""),"45969")</f>
        <v>45969</v>
      </c>
      <c r="B3693" s="64">
        <f>IFERROR(__xludf.DUMMYFUNCTION("""COMPUTED_VALUE"""),44600.0)</f>
        <v>44600</v>
      </c>
      <c r="C3693" s="5"/>
      <c r="D3693" s="5"/>
      <c r="E3693" s="5"/>
      <c r="F3693" s="22">
        <f>IFERROR(__xludf.DUMMYFUNCTION("""COMPUTED_VALUE"""),500000.0)</f>
        <v>500000</v>
      </c>
      <c r="G3693" s="22">
        <f>IFERROR(__xludf.DUMMYFUNCTION("""COMPUTED_VALUE"""),0.0)</f>
        <v>0</v>
      </c>
      <c r="H3693" s="22">
        <f>IFERROR(__xludf.DUMMYFUNCTION("""COMPUTED_VALUE"""),500000.0)</f>
        <v>500000</v>
      </c>
      <c r="I3693" s="24">
        <f>IFERROR(__xludf.DUMMYFUNCTION("""COMPUTED_VALUE"""),0.0)</f>
        <v>0</v>
      </c>
    </row>
    <row r="3694">
      <c r="A3694" s="5" t="str">
        <f>IFERROR(__xludf.DUMMYFUNCTION("""COMPUTED_VALUE"""),"45969")</f>
        <v>45969</v>
      </c>
      <c r="B3694" s="64">
        <f>IFERROR(__xludf.DUMMYFUNCTION("""COMPUTED_VALUE"""),44601.0)</f>
        <v>44601</v>
      </c>
      <c r="C3694" s="5"/>
      <c r="D3694" s="5"/>
      <c r="E3694" s="5"/>
      <c r="F3694" s="22">
        <f>IFERROR(__xludf.DUMMYFUNCTION("""COMPUTED_VALUE"""),500000.0)</f>
        <v>500000</v>
      </c>
      <c r="G3694" s="22">
        <f>IFERROR(__xludf.DUMMYFUNCTION("""COMPUTED_VALUE"""),0.0)</f>
        <v>0</v>
      </c>
      <c r="H3694" s="22">
        <f>IFERROR(__xludf.DUMMYFUNCTION("""COMPUTED_VALUE"""),426054.84504)</f>
        <v>426054.845</v>
      </c>
      <c r="I3694" s="24">
        <f>IFERROR(__xludf.DUMMYFUNCTION("""COMPUTED_VALUE"""),-0.14789030992000007)</f>
        <v>-0.1478903099</v>
      </c>
    </row>
    <row r="3695">
      <c r="A3695" s="5" t="str">
        <f>IFERROR(__xludf.DUMMYFUNCTION("""COMPUTED_VALUE"""),"45969")</f>
        <v>45969</v>
      </c>
      <c r="B3695" s="64">
        <f>IFERROR(__xludf.DUMMYFUNCTION("""COMPUTED_VALUE"""),44602.0)</f>
        <v>44602</v>
      </c>
      <c r="C3695" s="5"/>
      <c r="D3695" s="5"/>
      <c r="E3695" s="5"/>
      <c r="F3695" s="22">
        <f>IFERROR(__xludf.DUMMYFUNCTION("""COMPUTED_VALUE"""),500000.0)</f>
        <v>500000</v>
      </c>
      <c r="G3695" s="22">
        <f>IFERROR(__xludf.DUMMYFUNCTION("""COMPUTED_VALUE"""),0.0)</f>
        <v>0</v>
      </c>
      <c r="H3695" s="22">
        <f>IFERROR(__xludf.DUMMYFUNCTION("""COMPUTED_VALUE"""),440550.83874000004)</f>
        <v>440550.8387</v>
      </c>
      <c r="I3695" s="24">
        <f>IFERROR(__xludf.DUMMYFUNCTION("""COMPUTED_VALUE"""),-0.11889832251999988)</f>
        <v>-0.1188983225</v>
      </c>
    </row>
    <row r="3696">
      <c r="A3696" s="5" t="str">
        <f>IFERROR(__xludf.DUMMYFUNCTION("""COMPUTED_VALUE"""),"45969")</f>
        <v>45969</v>
      </c>
      <c r="B3696" s="64">
        <f>IFERROR(__xludf.DUMMYFUNCTION("""COMPUTED_VALUE"""),44603.0)</f>
        <v>44603</v>
      </c>
      <c r="C3696" s="5"/>
      <c r="D3696" s="5"/>
      <c r="E3696" s="5"/>
      <c r="F3696" s="22">
        <f>IFERROR(__xludf.DUMMYFUNCTION("""COMPUTED_VALUE"""),500000.0)</f>
        <v>500000</v>
      </c>
      <c r="G3696" s="22">
        <f>IFERROR(__xludf.DUMMYFUNCTION("""COMPUTED_VALUE"""),0.0)</f>
        <v>0</v>
      </c>
      <c r="H3696" s="22">
        <f>IFERROR(__xludf.DUMMYFUNCTION("""COMPUTED_VALUE"""),450277.18289999996)</f>
        <v>450277.1829</v>
      </c>
      <c r="I3696" s="24">
        <f>IFERROR(__xludf.DUMMYFUNCTION("""COMPUTED_VALUE"""),-0.09944563420000008)</f>
        <v>-0.0994456342</v>
      </c>
    </row>
    <row r="3697">
      <c r="A3697" s="5" t="str">
        <f>IFERROR(__xludf.DUMMYFUNCTION("""COMPUTED_VALUE"""),"45969")</f>
        <v>45969</v>
      </c>
      <c r="B3697" s="64">
        <f>IFERROR(__xludf.DUMMYFUNCTION("""COMPUTED_VALUE"""),44604.0)</f>
        <v>44604</v>
      </c>
      <c r="C3697" s="5"/>
      <c r="D3697" s="5"/>
      <c r="E3697" s="5"/>
      <c r="F3697" s="22">
        <f>IFERROR(__xludf.DUMMYFUNCTION("""COMPUTED_VALUE"""),500000.0)</f>
        <v>500000</v>
      </c>
      <c r="G3697" s="22">
        <f>IFERROR(__xludf.DUMMYFUNCTION("""COMPUTED_VALUE"""),0.0)</f>
        <v>0</v>
      </c>
      <c r="H3697" s="22">
        <f>IFERROR(__xludf.DUMMYFUNCTION("""COMPUTED_VALUE"""),450277.18289999996)</f>
        <v>450277.1829</v>
      </c>
      <c r="I3697" s="24">
        <f>IFERROR(__xludf.DUMMYFUNCTION("""COMPUTED_VALUE"""),-0.09944563420000008)</f>
        <v>-0.0994456342</v>
      </c>
    </row>
    <row r="3698">
      <c r="A3698" s="5" t="str">
        <f>IFERROR(__xludf.DUMMYFUNCTION("""COMPUTED_VALUE"""),"45969")</f>
        <v>45969</v>
      </c>
      <c r="B3698" s="64">
        <f>IFERROR(__xludf.DUMMYFUNCTION("""COMPUTED_VALUE"""),44605.0)</f>
        <v>44605</v>
      </c>
      <c r="C3698" s="5"/>
      <c r="D3698" s="5"/>
      <c r="E3698" s="5"/>
      <c r="F3698" s="22">
        <f>IFERROR(__xludf.DUMMYFUNCTION("""COMPUTED_VALUE"""),500000.0)</f>
        <v>500000</v>
      </c>
      <c r="G3698" s="22">
        <f>IFERROR(__xludf.DUMMYFUNCTION("""COMPUTED_VALUE"""),0.0)</f>
        <v>0</v>
      </c>
      <c r="H3698" s="22">
        <f>IFERROR(__xludf.DUMMYFUNCTION("""COMPUTED_VALUE"""),450277.18289999996)</f>
        <v>450277.1829</v>
      </c>
      <c r="I3698" s="24">
        <f>IFERROR(__xludf.DUMMYFUNCTION("""COMPUTED_VALUE"""),-0.09944563420000008)</f>
        <v>-0.0994456342</v>
      </c>
    </row>
    <row r="3699">
      <c r="A3699" s="5" t="str">
        <f>IFERROR(__xludf.DUMMYFUNCTION("""COMPUTED_VALUE"""),"45969")</f>
        <v>45969</v>
      </c>
      <c r="B3699" s="64">
        <f>IFERROR(__xludf.DUMMYFUNCTION("""COMPUTED_VALUE"""),44606.0)</f>
        <v>44606</v>
      </c>
      <c r="C3699" s="5"/>
      <c r="D3699" s="5"/>
      <c r="E3699" s="5"/>
      <c r="F3699" s="22">
        <f>IFERROR(__xludf.DUMMYFUNCTION("""COMPUTED_VALUE"""),500000.0)</f>
        <v>500000</v>
      </c>
      <c r="G3699" s="22">
        <f>IFERROR(__xludf.DUMMYFUNCTION("""COMPUTED_VALUE"""),0.0)</f>
        <v>0</v>
      </c>
      <c r="H3699" s="22">
        <f>IFERROR(__xludf.DUMMYFUNCTION("""COMPUTED_VALUE"""),467306.078725)</f>
        <v>467306.0787</v>
      </c>
      <c r="I3699" s="24">
        <f>IFERROR(__xludf.DUMMYFUNCTION("""COMPUTED_VALUE"""),-0.06538784254999996)</f>
        <v>-0.06538784255</v>
      </c>
    </row>
    <row r="3700">
      <c r="A3700" s="5" t="str">
        <f>IFERROR(__xludf.DUMMYFUNCTION("""COMPUTED_VALUE"""),"45969")</f>
        <v>45969</v>
      </c>
      <c r="B3700" s="64">
        <f>IFERROR(__xludf.DUMMYFUNCTION("""COMPUTED_VALUE"""),44607.0)</f>
        <v>44607</v>
      </c>
      <c r="C3700" s="5"/>
      <c r="D3700" s="5"/>
      <c r="E3700" s="5"/>
      <c r="F3700" s="22">
        <f>IFERROR(__xludf.DUMMYFUNCTION("""COMPUTED_VALUE"""),500000.0)</f>
        <v>500000</v>
      </c>
      <c r="G3700" s="22">
        <f>IFERROR(__xludf.DUMMYFUNCTION("""COMPUTED_VALUE"""),0.0)</f>
        <v>0</v>
      </c>
      <c r="H3700" s="22">
        <f>IFERROR(__xludf.DUMMYFUNCTION("""COMPUTED_VALUE"""),425657.37424499996)</f>
        <v>425657.3742</v>
      </c>
      <c r="I3700" s="24">
        <f>IFERROR(__xludf.DUMMYFUNCTION("""COMPUTED_VALUE"""),-0.14868525151000012)</f>
        <v>-0.1486852515</v>
      </c>
    </row>
    <row r="3701">
      <c r="A3701" s="5" t="str">
        <f>IFERROR(__xludf.DUMMYFUNCTION("""COMPUTED_VALUE"""),"45969")</f>
        <v>45969</v>
      </c>
      <c r="B3701" s="64">
        <f>IFERROR(__xludf.DUMMYFUNCTION("""COMPUTED_VALUE"""),44608.0)</f>
        <v>44608</v>
      </c>
      <c r="C3701" s="5"/>
      <c r="D3701" s="5"/>
      <c r="E3701" s="5"/>
      <c r="F3701" s="22">
        <f>IFERROR(__xludf.DUMMYFUNCTION("""COMPUTED_VALUE"""),500000.0)</f>
        <v>500000</v>
      </c>
      <c r="G3701" s="22">
        <f>IFERROR(__xludf.DUMMYFUNCTION("""COMPUTED_VALUE"""),0.0)</f>
        <v>0</v>
      </c>
      <c r="H3701" s="22">
        <f>IFERROR(__xludf.DUMMYFUNCTION("""COMPUTED_VALUE"""),426491.28356)</f>
        <v>426491.2836</v>
      </c>
      <c r="I3701" s="24">
        <f>IFERROR(__xludf.DUMMYFUNCTION("""COMPUTED_VALUE"""),-0.14701743288000002)</f>
        <v>-0.1470174329</v>
      </c>
    </row>
    <row r="3702">
      <c r="A3702" s="5" t="str">
        <f>IFERROR(__xludf.DUMMYFUNCTION("""COMPUTED_VALUE"""),"45969")</f>
        <v>45969</v>
      </c>
      <c r="B3702" s="64">
        <f>IFERROR(__xludf.DUMMYFUNCTION("""COMPUTED_VALUE"""),44609.0)</f>
        <v>44609</v>
      </c>
      <c r="C3702" s="5"/>
      <c r="D3702" s="5"/>
      <c r="E3702" s="5"/>
      <c r="F3702" s="22">
        <f>IFERROR(__xludf.DUMMYFUNCTION("""COMPUTED_VALUE"""),500000.0)</f>
        <v>500000</v>
      </c>
      <c r="G3702" s="22">
        <f>IFERROR(__xludf.DUMMYFUNCTION("""COMPUTED_VALUE"""),0.0)</f>
        <v>0</v>
      </c>
      <c r="H3702" s="22">
        <f>IFERROR(__xludf.DUMMYFUNCTION("""COMPUTED_VALUE"""),471553.56075)</f>
        <v>471553.5608</v>
      </c>
      <c r="I3702" s="24">
        <f>IFERROR(__xludf.DUMMYFUNCTION("""COMPUTED_VALUE"""),-0.05689287850000002)</f>
        <v>-0.0568928785</v>
      </c>
    </row>
    <row r="3703">
      <c r="A3703" s="5" t="str">
        <f>IFERROR(__xludf.DUMMYFUNCTION("""COMPUTED_VALUE"""),"45969")</f>
        <v>45969</v>
      </c>
      <c r="B3703" s="64">
        <f>IFERROR(__xludf.DUMMYFUNCTION("""COMPUTED_VALUE"""),44610.0)</f>
        <v>44610</v>
      </c>
      <c r="C3703" s="5"/>
      <c r="D3703" s="5"/>
      <c r="E3703" s="5"/>
      <c r="F3703" s="22">
        <f>IFERROR(__xludf.DUMMYFUNCTION("""COMPUTED_VALUE"""),500000.0)</f>
        <v>500000</v>
      </c>
      <c r="G3703" s="22">
        <f>IFERROR(__xludf.DUMMYFUNCTION("""COMPUTED_VALUE"""),0.0)</f>
        <v>0</v>
      </c>
      <c r="H3703" s="22">
        <f>IFERROR(__xludf.DUMMYFUNCTION("""COMPUTED_VALUE"""),478583.33834)</f>
        <v>478583.3383</v>
      </c>
      <c r="I3703" s="24">
        <f>IFERROR(__xludf.DUMMYFUNCTION("""COMPUTED_VALUE"""),-0.042833323320000005)</f>
        <v>-0.04283332332</v>
      </c>
    </row>
    <row r="3704">
      <c r="A3704" s="5" t="str">
        <f>IFERROR(__xludf.DUMMYFUNCTION("""COMPUTED_VALUE"""),"45969")</f>
        <v>45969</v>
      </c>
      <c r="B3704" s="64">
        <f>IFERROR(__xludf.DUMMYFUNCTION("""COMPUTED_VALUE"""),44611.0)</f>
        <v>44611</v>
      </c>
      <c r="C3704" s="5"/>
      <c r="D3704" s="5"/>
      <c r="E3704" s="5"/>
      <c r="F3704" s="22">
        <f>IFERROR(__xludf.DUMMYFUNCTION("""COMPUTED_VALUE"""),500000.0)</f>
        <v>500000</v>
      </c>
      <c r="G3704" s="22">
        <f>IFERROR(__xludf.DUMMYFUNCTION("""COMPUTED_VALUE"""),0.0)</f>
        <v>0</v>
      </c>
      <c r="H3704" s="22">
        <f>IFERROR(__xludf.DUMMYFUNCTION("""COMPUTED_VALUE"""),478583.33834)</f>
        <v>478583.3383</v>
      </c>
      <c r="I3704" s="24">
        <f>IFERROR(__xludf.DUMMYFUNCTION("""COMPUTED_VALUE"""),-0.042833323320000005)</f>
        <v>-0.04283332332</v>
      </c>
    </row>
    <row r="3705">
      <c r="A3705" s="5" t="str">
        <f>IFERROR(__xludf.DUMMYFUNCTION("""COMPUTED_VALUE"""),"45969")</f>
        <v>45969</v>
      </c>
      <c r="B3705" s="64">
        <f>IFERROR(__xludf.DUMMYFUNCTION("""COMPUTED_VALUE"""),44612.0)</f>
        <v>44612</v>
      </c>
      <c r="C3705" s="5"/>
      <c r="D3705" s="5"/>
      <c r="E3705" s="5"/>
      <c r="F3705" s="22">
        <f>IFERROR(__xludf.DUMMYFUNCTION("""COMPUTED_VALUE"""),500000.0)</f>
        <v>500000</v>
      </c>
      <c r="G3705" s="22">
        <f>IFERROR(__xludf.DUMMYFUNCTION("""COMPUTED_VALUE"""),0.0)</f>
        <v>0</v>
      </c>
      <c r="H3705" s="22">
        <f>IFERROR(__xludf.DUMMYFUNCTION("""COMPUTED_VALUE"""),478583.33834)</f>
        <v>478583.3383</v>
      </c>
      <c r="I3705" s="24">
        <f>IFERROR(__xludf.DUMMYFUNCTION("""COMPUTED_VALUE"""),-0.042833323320000005)</f>
        <v>-0.04283332332</v>
      </c>
    </row>
    <row r="3706">
      <c r="A3706" s="5" t="str">
        <f>IFERROR(__xludf.DUMMYFUNCTION("""COMPUTED_VALUE"""),"45969")</f>
        <v>45969</v>
      </c>
      <c r="B3706" s="64">
        <f>IFERROR(__xludf.DUMMYFUNCTION("""COMPUTED_VALUE"""),44613.0)</f>
        <v>44613</v>
      </c>
      <c r="C3706" s="5"/>
      <c r="D3706" s="5"/>
      <c r="E3706" s="5"/>
      <c r="F3706" s="22">
        <f>IFERROR(__xludf.DUMMYFUNCTION("""COMPUTED_VALUE"""),500000.0)</f>
        <v>500000</v>
      </c>
      <c r="G3706" s="22">
        <f>IFERROR(__xludf.DUMMYFUNCTION("""COMPUTED_VALUE"""),0.0)</f>
        <v>0</v>
      </c>
      <c r="H3706" s="22">
        <f>IFERROR(__xludf.DUMMYFUNCTION("""COMPUTED_VALUE"""),478583.33834)</f>
        <v>478583.3383</v>
      </c>
      <c r="I3706" s="24">
        <f>IFERROR(__xludf.DUMMYFUNCTION("""COMPUTED_VALUE"""),-0.042833323320000005)</f>
        <v>-0.04283332332</v>
      </c>
    </row>
    <row r="3707">
      <c r="A3707" s="5" t="str">
        <f>IFERROR(__xludf.DUMMYFUNCTION("""COMPUTED_VALUE"""),"45969")</f>
        <v>45969</v>
      </c>
      <c r="B3707" s="64">
        <f>IFERROR(__xludf.DUMMYFUNCTION("""COMPUTED_VALUE"""),44614.0)</f>
        <v>44614</v>
      </c>
      <c r="C3707" s="5"/>
      <c r="D3707" s="5"/>
      <c r="E3707" s="5"/>
      <c r="F3707" s="22">
        <f>IFERROR(__xludf.DUMMYFUNCTION("""COMPUTED_VALUE"""),500000.0)</f>
        <v>500000</v>
      </c>
      <c r="G3707" s="22">
        <f>IFERROR(__xludf.DUMMYFUNCTION("""COMPUTED_VALUE"""),0.0)</f>
        <v>0</v>
      </c>
      <c r="H3707" s="22">
        <f>IFERROR(__xludf.DUMMYFUNCTION("""COMPUTED_VALUE"""),488761.70811)</f>
        <v>488761.7081</v>
      </c>
      <c r="I3707" s="24">
        <f>IFERROR(__xludf.DUMMYFUNCTION("""COMPUTED_VALUE"""),-0.022476583779999948)</f>
        <v>-0.02247658378</v>
      </c>
    </row>
    <row r="3708">
      <c r="A3708" s="5" t="str">
        <f>IFERROR(__xludf.DUMMYFUNCTION("""COMPUTED_VALUE"""),"45969")</f>
        <v>45969</v>
      </c>
      <c r="B3708" s="64">
        <f>IFERROR(__xludf.DUMMYFUNCTION("""COMPUTED_VALUE"""),44615.0)</f>
        <v>44615</v>
      </c>
      <c r="C3708" s="5"/>
      <c r="D3708" s="5"/>
      <c r="E3708" s="5"/>
      <c r="F3708" s="22">
        <f>IFERROR(__xludf.DUMMYFUNCTION("""COMPUTED_VALUE"""),500000.0)</f>
        <v>500000</v>
      </c>
      <c r="G3708" s="22">
        <f>IFERROR(__xludf.DUMMYFUNCTION("""COMPUTED_VALUE"""),0.0)</f>
        <v>0</v>
      </c>
      <c r="H3708" s="22">
        <f>IFERROR(__xludf.DUMMYFUNCTION("""COMPUTED_VALUE"""),516561.283125)</f>
        <v>516561.2831</v>
      </c>
      <c r="I3708" s="24">
        <f>IFERROR(__xludf.DUMMYFUNCTION("""COMPUTED_VALUE"""),0.033122566250000096)</f>
        <v>0.03312256625</v>
      </c>
    </row>
    <row r="3709">
      <c r="A3709" s="5" t="str">
        <f>IFERROR(__xludf.DUMMYFUNCTION("""COMPUTED_VALUE"""),"45969")</f>
        <v>45969</v>
      </c>
      <c r="B3709" s="64">
        <f>IFERROR(__xludf.DUMMYFUNCTION("""COMPUTED_VALUE"""),44616.0)</f>
        <v>44616</v>
      </c>
      <c r="C3709" s="5"/>
      <c r="D3709" s="5"/>
      <c r="E3709" s="5"/>
      <c r="F3709" s="22">
        <f>IFERROR(__xludf.DUMMYFUNCTION("""COMPUTED_VALUE"""),500000.0)</f>
        <v>500000</v>
      </c>
      <c r="G3709" s="22">
        <f>IFERROR(__xludf.DUMMYFUNCTION("""COMPUTED_VALUE"""),0.0)</f>
        <v>0</v>
      </c>
      <c r="H3709" s="22">
        <f>IFERROR(__xludf.DUMMYFUNCTION("""COMPUTED_VALUE"""),438446.58158999996)</f>
        <v>438446.5816</v>
      </c>
      <c r="I3709" s="24">
        <f>IFERROR(__xludf.DUMMYFUNCTION("""COMPUTED_VALUE"""),-0.12310683682000012)</f>
        <v>-0.1231068368</v>
      </c>
    </row>
    <row r="3710">
      <c r="A3710" s="5" t="str">
        <f>IFERROR(__xludf.DUMMYFUNCTION("""COMPUTED_VALUE"""),"45969")</f>
        <v>45969</v>
      </c>
      <c r="B3710" s="64">
        <f>IFERROR(__xludf.DUMMYFUNCTION("""COMPUTED_VALUE"""),44617.0)</f>
        <v>44617</v>
      </c>
      <c r="C3710" s="5"/>
      <c r="D3710" s="5"/>
      <c r="E3710" s="5"/>
      <c r="F3710" s="22">
        <f>IFERROR(__xludf.DUMMYFUNCTION("""COMPUTED_VALUE"""),500000.0)</f>
        <v>500000</v>
      </c>
      <c r="G3710" s="22">
        <f>IFERROR(__xludf.DUMMYFUNCTION("""COMPUTED_VALUE"""),0.0)</f>
        <v>0</v>
      </c>
      <c r="H3710" s="22">
        <f>IFERROR(__xludf.DUMMYFUNCTION("""COMPUTED_VALUE"""),428283.79890999995)</f>
        <v>428283.7989</v>
      </c>
      <c r="I3710" s="24">
        <f>IFERROR(__xludf.DUMMYFUNCTION("""COMPUTED_VALUE"""),-0.14343240218000008)</f>
        <v>-0.1434324022</v>
      </c>
    </row>
    <row r="3711">
      <c r="A3711" s="5" t="str">
        <f>IFERROR(__xludf.DUMMYFUNCTION("""COMPUTED_VALUE"""),"45969")</f>
        <v>45969</v>
      </c>
      <c r="B3711" s="64">
        <f>IFERROR(__xludf.DUMMYFUNCTION("""COMPUTED_VALUE"""),44618.0)</f>
        <v>44618</v>
      </c>
      <c r="C3711" s="5"/>
      <c r="D3711" s="5"/>
      <c r="E3711" s="5"/>
      <c r="F3711" s="22">
        <f>IFERROR(__xludf.DUMMYFUNCTION("""COMPUTED_VALUE"""),500000.0)</f>
        <v>500000</v>
      </c>
      <c r="G3711" s="22">
        <f>IFERROR(__xludf.DUMMYFUNCTION("""COMPUTED_VALUE"""),0.0)</f>
        <v>0</v>
      </c>
      <c r="H3711" s="22">
        <f>IFERROR(__xludf.DUMMYFUNCTION("""COMPUTED_VALUE"""),428283.79890999995)</f>
        <v>428283.7989</v>
      </c>
      <c r="I3711" s="24">
        <f>IFERROR(__xludf.DUMMYFUNCTION("""COMPUTED_VALUE"""),-0.14343240218000008)</f>
        <v>-0.1434324022</v>
      </c>
    </row>
    <row r="3712">
      <c r="A3712" s="5" t="str">
        <f>IFERROR(__xludf.DUMMYFUNCTION("""COMPUTED_VALUE"""),"45969")</f>
        <v>45969</v>
      </c>
      <c r="B3712" s="64">
        <f>IFERROR(__xludf.DUMMYFUNCTION("""COMPUTED_VALUE"""),44619.0)</f>
        <v>44619</v>
      </c>
      <c r="C3712" s="5"/>
      <c r="D3712" s="5"/>
      <c r="E3712" s="5"/>
      <c r="F3712" s="22">
        <f>IFERROR(__xludf.DUMMYFUNCTION("""COMPUTED_VALUE"""),500000.0)</f>
        <v>500000</v>
      </c>
      <c r="G3712" s="22">
        <f>IFERROR(__xludf.DUMMYFUNCTION("""COMPUTED_VALUE"""),0.0)</f>
        <v>0</v>
      </c>
      <c r="H3712" s="22">
        <f>IFERROR(__xludf.DUMMYFUNCTION("""COMPUTED_VALUE"""),428283.79890999995)</f>
        <v>428283.7989</v>
      </c>
      <c r="I3712" s="24">
        <f>IFERROR(__xludf.DUMMYFUNCTION("""COMPUTED_VALUE"""),-0.14343240218000008)</f>
        <v>-0.1434324022</v>
      </c>
    </row>
    <row r="3713">
      <c r="A3713" s="5" t="str">
        <f>IFERROR(__xludf.DUMMYFUNCTION("""COMPUTED_VALUE"""),"45969")</f>
        <v>45969</v>
      </c>
      <c r="B3713" s="64">
        <f>IFERROR(__xludf.DUMMYFUNCTION("""COMPUTED_VALUE"""),44620.0)</f>
        <v>44620</v>
      </c>
      <c r="C3713" s="5"/>
      <c r="D3713" s="5"/>
      <c r="E3713" s="5"/>
      <c r="F3713" s="22">
        <f>IFERROR(__xludf.DUMMYFUNCTION("""COMPUTED_VALUE"""),500000.0)</f>
        <v>500000</v>
      </c>
      <c r="G3713" s="22">
        <f>IFERROR(__xludf.DUMMYFUNCTION("""COMPUTED_VALUE"""),0.0)</f>
        <v>0</v>
      </c>
      <c r="H3713" s="22">
        <f>IFERROR(__xludf.DUMMYFUNCTION("""COMPUTED_VALUE"""),429936.03045)</f>
        <v>429936.0305</v>
      </c>
      <c r="I3713" s="24">
        <f>IFERROR(__xludf.DUMMYFUNCTION("""COMPUTED_VALUE"""),-0.1401279391)</f>
        <v>-0.1401279391</v>
      </c>
    </row>
    <row r="3714">
      <c r="A3714" s="5" t="str">
        <f>IFERROR(__xludf.DUMMYFUNCTION("""COMPUTED_VALUE"""),"45969")</f>
        <v>45969</v>
      </c>
      <c r="B3714" s="64">
        <f>IFERROR(__xludf.DUMMYFUNCTION("""COMPUTED_VALUE"""),44621.0)</f>
        <v>44621</v>
      </c>
      <c r="C3714" s="5"/>
      <c r="D3714" s="5"/>
      <c r="E3714" s="5"/>
      <c r="F3714" s="22">
        <f>IFERROR(__xludf.DUMMYFUNCTION("""COMPUTED_VALUE"""),500000.0)</f>
        <v>500000</v>
      </c>
      <c r="G3714" s="22">
        <f>IFERROR(__xludf.DUMMYFUNCTION("""COMPUTED_VALUE"""),0.0)</f>
        <v>0</v>
      </c>
      <c r="H3714" s="22">
        <f>IFERROR(__xludf.DUMMYFUNCTION("""COMPUTED_VALUE"""),461733.69405)</f>
        <v>461733.6941</v>
      </c>
      <c r="I3714" s="24">
        <f>IFERROR(__xludf.DUMMYFUNCTION("""COMPUTED_VALUE"""),-0.07653261190000005)</f>
        <v>-0.0765326119</v>
      </c>
    </row>
    <row r="3715">
      <c r="A3715" s="5" t="str">
        <f>IFERROR(__xludf.DUMMYFUNCTION("""COMPUTED_VALUE"""),"45969")</f>
        <v>45969</v>
      </c>
      <c r="B3715" s="64">
        <f>IFERROR(__xludf.DUMMYFUNCTION("""COMPUTED_VALUE"""),44622.0)</f>
        <v>44622</v>
      </c>
      <c r="C3715" s="5"/>
      <c r="D3715" s="5"/>
      <c r="E3715" s="5"/>
      <c r="F3715" s="22">
        <f>IFERROR(__xludf.DUMMYFUNCTION("""COMPUTED_VALUE"""),500000.0)</f>
        <v>500000</v>
      </c>
      <c r="G3715" s="22">
        <f>IFERROR(__xludf.DUMMYFUNCTION("""COMPUTED_VALUE"""),0.0)</f>
        <v>0</v>
      </c>
      <c r="H3715" s="22">
        <f>IFERROR(__xludf.DUMMYFUNCTION("""COMPUTED_VALUE"""),420498.047455)</f>
        <v>420498.0475</v>
      </c>
      <c r="I3715" s="24">
        <f>IFERROR(__xludf.DUMMYFUNCTION("""COMPUTED_VALUE"""),-0.15900390509000006)</f>
        <v>-0.1590039051</v>
      </c>
    </row>
    <row r="3716">
      <c r="A3716" s="5" t="str">
        <f>IFERROR(__xludf.DUMMYFUNCTION("""COMPUTED_VALUE"""),"45969")</f>
        <v>45969</v>
      </c>
      <c r="B3716" s="64">
        <f>IFERROR(__xludf.DUMMYFUNCTION("""COMPUTED_VALUE"""),44623.0)</f>
        <v>44623</v>
      </c>
      <c r="C3716" s="5"/>
      <c r="D3716" s="5"/>
      <c r="E3716" s="5"/>
      <c r="F3716" s="22">
        <f>IFERROR(__xludf.DUMMYFUNCTION("""COMPUTED_VALUE"""),500000.0)</f>
        <v>500000</v>
      </c>
      <c r="G3716" s="22">
        <f>IFERROR(__xludf.DUMMYFUNCTION("""COMPUTED_VALUE"""),0.0)</f>
        <v>0</v>
      </c>
      <c r="H3716" s="22">
        <f>IFERROR(__xludf.DUMMYFUNCTION("""COMPUTED_VALUE"""),457143.29604499997)</f>
        <v>457143.296</v>
      </c>
      <c r="I3716" s="24">
        <f>IFERROR(__xludf.DUMMYFUNCTION("""COMPUTED_VALUE"""),-0.08571340791000004)</f>
        <v>-0.08571340791</v>
      </c>
    </row>
    <row r="3717">
      <c r="A3717" s="5" t="str">
        <f>IFERROR(__xludf.DUMMYFUNCTION("""COMPUTED_VALUE"""),"45969")</f>
        <v>45969</v>
      </c>
      <c r="B3717" s="64">
        <f>IFERROR(__xludf.DUMMYFUNCTION("""COMPUTED_VALUE"""),44624.0)</f>
        <v>44624</v>
      </c>
      <c r="C3717" s="5"/>
      <c r="D3717" s="5"/>
      <c r="E3717" s="5"/>
      <c r="F3717" s="22">
        <f>IFERROR(__xludf.DUMMYFUNCTION("""COMPUTED_VALUE"""),500000.0)</f>
        <v>500000</v>
      </c>
      <c r="G3717" s="22">
        <f>IFERROR(__xludf.DUMMYFUNCTION("""COMPUTED_VALUE"""),0.0)</f>
        <v>0</v>
      </c>
      <c r="H3717" s="22">
        <f>IFERROR(__xludf.DUMMYFUNCTION("""COMPUTED_VALUE"""),493500.18346999993)</f>
        <v>493500.1835</v>
      </c>
      <c r="I3717" s="24">
        <f>IFERROR(__xludf.DUMMYFUNCTION("""COMPUTED_VALUE"""),-0.012999633060000182)</f>
        <v>-0.01299963306</v>
      </c>
    </row>
    <row r="3718">
      <c r="A3718" s="5" t="str">
        <f>IFERROR(__xludf.DUMMYFUNCTION("""COMPUTED_VALUE"""),"45969")</f>
        <v>45969</v>
      </c>
      <c r="B3718" s="64">
        <f>IFERROR(__xludf.DUMMYFUNCTION("""COMPUTED_VALUE"""),44625.0)</f>
        <v>44625</v>
      </c>
      <c r="C3718" s="5"/>
      <c r="D3718" s="5"/>
      <c r="E3718" s="5"/>
      <c r="F3718" s="22">
        <f>IFERROR(__xludf.DUMMYFUNCTION("""COMPUTED_VALUE"""),500000.0)</f>
        <v>500000</v>
      </c>
      <c r="G3718" s="22">
        <f>IFERROR(__xludf.DUMMYFUNCTION("""COMPUTED_VALUE"""),0.0)</f>
        <v>0</v>
      </c>
      <c r="H3718" s="22">
        <f>IFERROR(__xludf.DUMMYFUNCTION("""COMPUTED_VALUE"""),493500.18346999993)</f>
        <v>493500.1835</v>
      </c>
      <c r="I3718" s="24">
        <f>IFERROR(__xludf.DUMMYFUNCTION("""COMPUTED_VALUE"""),-0.012999633060000182)</f>
        <v>-0.01299963306</v>
      </c>
    </row>
    <row r="3719">
      <c r="A3719" s="5" t="str">
        <f>IFERROR(__xludf.DUMMYFUNCTION("""COMPUTED_VALUE"""),"45969")</f>
        <v>45969</v>
      </c>
      <c r="B3719" s="64">
        <f>IFERROR(__xludf.DUMMYFUNCTION("""COMPUTED_VALUE"""),44626.0)</f>
        <v>44626</v>
      </c>
      <c r="C3719" s="5"/>
      <c r="D3719" s="5"/>
      <c r="E3719" s="5"/>
      <c r="F3719" s="22">
        <f>IFERROR(__xludf.DUMMYFUNCTION("""COMPUTED_VALUE"""),500000.0)</f>
        <v>500000</v>
      </c>
      <c r="G3719" s="22">
        <f>IFERROR(__xludf.DUMMYFUNCTION("""COMPUTED_VALUE"""),0.0)</f>
        <v>0</v>
      </c>
      <c r="H3719" s="22">
        <f>IFERROR(__xludf.DUMMYFUNCTION("""COMPUTED_VALUE"""),493500.18346999993)</f>
        <v>493500.1835</v>
      </c>
      <c r="I3719" s="24">
        <f>IFERROR(__xludf.DUMMYFUNCTION("""COMPUTED_VALUE"""),-0.012999633060000182)</f>
        <v>-0.01299963306</v>
      </c>
    </row>
    <row r="3720">
      <c r="A3720" s="5" t="str">
        <f>IFERROR(__xludf.DUMMYFUNCTION("""COMPUTED_VALUE"""),"45969")</f>
        <v>45969</v>
      </c>
      <c r="B3720" s="64">
        <f>IFERROR(__xludf.DUMMYFUNCTION("""COMPUTED_VALUE"""),44627.0)</f>
        <v>44627</v>
      </c>
      <c r="C3720" s="5"/>
      <c r="D3720" s="5"/>
      <c r="E3720" s="5"/>
      <c r="F3720" s="22">
        <f>IFERROR(__xludf.DUMMYFUNCTION("""COMPUTED_VALUE"""),500000.0)</f>
        <v>500000</v>
      </c>
      <c r="G3720" s="22">
        <f>IFERROR(__xludf.DUMMYFUNCTION("""COMPUTED_VALUE"""),0.0)</f>
        <v>0</v>
      </c>
      <c r="H3720" s="22">
        <f>IFERROR(__xludf.DUMMYFUNCTION("""COMPUTED_VALUE"""),600762.743305)</f>
        <v>600762.7433</v>
      </c>
      <c r="I3720" s="24">
        <f>IFERROR(__xludf.DUMMYFUNCTION("""COMPUTED_VALUE"""),0.20152548661000003)</f>
        <v>0.2015254866</v>
      </c>
    </row>
    <row r="3721">
      <c r="A3721" s="5" t="str">
        <f>IFERROR(__xludf.DUMMYFUNCTION("""COMPUTED_VALUE"""),"45969")</f>
        <v>45969</v>
      </c>
      <c r="B3721" s="64">
        <f>IFERROR(__xludf.DUMMYFUNCTION("""COMPUTED_VALUE"""),44628.0)</f>
        <v>44628</v>
      </c>
      <c r="C3721" s="5"/>
      <c r="D3721" s="5"/>
      <c r="E3721" s="5"/>
      <c r="F3721" s="22">
        <f>IFERROR(__xludf.DUMMYFUNCTION("""COMPUTED_VALUE"""),724637.471975)</f>
        <v>724637.472</v>
      </c>
      <c r="G3721" s="22">
        <f>IFERROR(__xludf.DUMMYFUNCTION("""COMPUTED_VALUE"""),0.0)</f>
        <v>0</v>
      </c>
      <c r="H3721" s="22">
        <f>IFERROR(__xludf.DUMMYFUNCTION("""COMPUTED_VALUE"""),567655.764145)</f>
        <v>567655.7641</v>
      </c>
      <c r="I3721" s="24">
        <f>IFERROR(__xludf.DUMMYFUNCTION("""COMPUTED_VALUE"""),0.13531152829000015)</f>
        <v>0.1353115283</v>
      </c>
    </row>
    <row r="3722">
      <c r="A3722" s="5" t="str">
        <f>IFERROR(__xludf.DUMMYFUNCTION("""COMPUTED_VALUE"""),"45969")</f>
        <v>45969</v>
      </c>
      <c r="B3722" s="64">
        <f>IFERROR(__xludf.DUMMYFUNCTION("""COMPUTED_VALUE"""),44629.0)</f>
        <v>44629</v>
      </c>
      <c r="C3722" s="5"/>
      <c r="D3722" s="5"/>
      <c r="E3722" s="5"/>
      <c r="F3722" s="22">
        <f>IFERROR(__xludf.DUMMYFUNCTION("""COMPUTED_VALUE"""),724637.471975)</f>
        <v>724637.472</v>
      </c>
      <c r="G3722" s="22">
        <f>IFERROR(__xludf.DUMMYFUNCTION("""COMPUTED_VALUE"""),0.0)</f>
        <v>0</v>
      </c>
      <c r="H3722" s="22">
        <f>IFERROR(__xludf.DUMMYFUNCTION("""COMPUTED_VALUE"""),571284.516515)</f>
        <v>571284.5165</v>
      </c>
      <c r="I3722" s="24">
        <f>IFERROR(__xludf.DUMMYFUNCTION("""COMPUTED_VALUE"""),0.14256903303000001)</f>
        <v>0.142569033</v>
      </c>
    </row>
    <row r="3723">
      <c r="A3723" s="5" t="str">
        <f>IFERROR(__xludf.DUMMYFUNCTION("""COMPUTED_VALUE"""),"45969")</f>
        <v>45969</v>
      </c>
      <c r="B3723" s="64">
        <f>IFERROR(__xludf.DUMMYFUNCTION("""COMPUTED_VALUE"""),44630.0)</f>
        <v>44630</v>
      </c>
      <c r="C3723" s="5"/>
      <c r="D3723" s="5"/>
      <c r="E3723" s="5"/>
      <c r="F3723" s="22">
        <f>IFERROR(__xludf.DUMMYFUNCTION("""COMPUTED_VALUE"""),724637.471975)</f>
        <v>724637.472</v>
      </c>
      <c r="G3723" s="22">
        <f>IFERROR(__xludf.DUMMYFUNCTION("""COMPUTED_VALUE"""),0.0)</f>
        <v>0</v>
      </c>
      <c r="H3723" s="22">
        <f>IFERROR(__xludf.DUMMYFUNCTION("""COMPUTED_VALUE"""),569175.427665)</f>
        <v>569175.4277</v>
      </c>
      <c r="I3723" s="24">
        <f>IFERROR(__xludf.DUMMYFUNCTION("""COMPUTED_VALUE"""),0.1383508553299999)</f>
        <v>0.1383508553</v>
      </c>
    </row>
    <row r="3724">
      <c r="A3724" s="5" t="str">
        <f>IFERROR(__xludf.DUMMYFUNCTION("""COMPUTED_VALUE"""),"45969")</f>
        <v>45969</v>
      </c>
      <c r="B3724" s="64">
        <f>IFERROR(__xludf.DUMMYFUNCTION("""COMPUTED_VALUE"""),44631.0)</f>
        <v>44631</v>
      </c>
      <c r="C3724" s="5"/>
      <c r="D3724" s="5"/>
      <c r="E3724" s="5"/>
      <c r="F3724" s="22">
        <f>IFERROR(__xludf.DUMMYFUNCTION("""COMPUTED_VALUE"""),724637.471975)</f>
        <v>724637.472</v>
      </c>
      <c r="G3724" s="22">
        <f>IFERROR(__xludf.DUMMYFUNCTION("""COMPUTED_VALUE"""),0.0)</f>
        <v>0</v>
      </c>
      <c r="H3724" s="22">
        <f>IFERROR(__xludf.DUMMYFUNCTION("""COMPUTED_VALUE"""),568018.122075)</f>
        <v>568018.1221</v>
      </c>
      <c r="I3724" s="24">
        <f>IFERROR(__xludf.DUMMYFUNCTION("""COMPUTED_VALUE"""),0.13603624414999982)</f>
        <v>0.1360362442</v>
      </c>
    </row>
    <row r="3725">
      <c r="A3725" s="5" t="str">
        <f>IFERROR(__xludf.DUMMYFUNCTION("""COMPUTED_VALUE"""),"45969")</f>
        <v>45969</v>
      </c>
      <c r="B3725" s="64">
        <f>IFERROR(__xludf.DUMMYFUNCTION("""COMPUTED_VALUE"""),44632.0)</f>
        <v>44632</v>
      </c>
      <c r="C3725" s="5"/>
      <c r="D3725" s="5"/>
      <c r="E3725" s="5"/>
      <c r="F3725" s="22">
        <f>IFERROR(__xludf.DUMMYFUNCTION("""COMPUTED_VALUE"""),724637.471975)</f>
        <v>724637.472</v>
      </c>
      <c r="G3725" s="22">
        <f>IFERROR(__xludf.DUMMYFUNCTION("""COMPUTED_VALUE"""),0.0)</f>
        <v>0</v>
      </c>
      <c r="H3725" s="22">
        <f>IFERROR(__xludf.DUMMYFUNCTION("""COMPUTED_VALUE"""),568018.122075)</f>
        <v>568018.1221</v>
      </c>
      <c r="I3725" s="24">
        <f>IFERROR(__xludf.DUMMYFUNCTION("""COMPUTED_VALUE"""),0.13603624414999982)</f>
        <v>0.1360362442</v>
      </c>
    </row>
    <row r="3726">
      <c r="A3726" s="5" t="str">
        <f>IFERROR(__xludf.DUMMYFUNCTION("""COMPUTED_VALUE"""),"45969")</f>
        <v>45969</v>
      </c>
      <c r="B3726" s="64">
        <f>IFERROR(__xludf.DUMMYFUNCTION("""COMPUTED_VALUE"""),44633.0)</f>
        <v>44633</v>
      </c>
      <c r="C3726" s="5"/>
      <c r="D3726" s="5"/>
      <c r="E3726" s="5"/>
      <c r="F3726" s="22">
        <f>IFERROR(__xludf.DUMMYFUNCTION("""COMPUTED_VALUE"""),724637.471975)</f>
        <v>724637.472</v>
      </c>
      <c r="G3726" s="22">
        <f>IFERROR(__xludf.DUMMYFUNCTION("""COMPUTED_VALUE"""),0.0)</f>
        <v>0</v>
      </c>
      <c r="H3726" s="22">
        <f>IFERROR(__xludf.DUMMYFUNCTION("""COMPUTED_VALUE"""),568018.122075)</f>
        <v>568018.1221</v>
      </c>
      <c r="I3726" s="24">
        <f>IFERROR(__xludf.DUMMYFUNCTION("""COMPUTED_VALUE"""),0.13603624414999982)</f>
        <v>0.1360362442</v>
      </c>
    </row>
    <row r="3727">
      <c r="A3727" s="5" t="str">
        <f>IFERROR(__xludf.DUMMYFUNCTION("""COMPUTED_VALUE"""),"45969")</f>
        <v>45969</v>
      </c>
      <c r="B3727" s="64">
        <f>IFERROR(__xludf.DUMMYFUNCTION("""COMPUTED_VALUE"""),44634.0)</f>
        <v>44634</v>
      </c>
      <c r="C3727" s="5"/>
      <c r="D3727" s="5"/>
      <c r="E3727" s="5"/>
      <c r="F3727" s="22">
        <f>IFERROR(__xludf.DUMMYFUNCTION("""COMPUTED_VALUE"""),724637.471975)</f>
        <v>724637.472</v>
      </c>
      <c r="G3727" s="22">
        <f>IFERROR(__xludf.DUMMYFUNCTION("""COMPUTED_VALUE"""),0.0)</f>
        <v>0</v>
      </c>
      <c r="H3727" s="22">
        <f>IFERROR(__xludf.DUMMYFUNCTION("""COMPUTED_VALUE"""),601456.968575)</f>
        <v>601456.9686</v>
      </c>
      <c r="I3727" s="24">
        <f>IFERROR(__xludf.DUMMYFUNCTION("""COMPUTED_VALUE"""),0.20291393714999995)</f>
        <v>0.2029139372</v>
      </c>
    </row>
    <row r="3728">
      <c r="A3728" s="5" t="str">
        <f>IFERROR(__xludf.DUMMYFUNCTION("""COMPUTED_VALUE"""),"45969")</f>
        <v>45969</v>
      </c>
      <c r="B3728" s="64">
        <f>IFERROR(__xludf.DUMMYFUNCTION("""COMPUTED_VALUE"""),44635.0)</f>
        <v>44635</v>
      </c>
      <c r="C3728" s="5"/>
      <c r="D3728" s="5"/>
      <c r="E3728" s="5"/>
      <c r="F3728" s="22">
        <f>IFERROR(__xludf.DUMMYFUNCTION("""COMPUTED_VALUE"""),724637.471975)</f>
        <v>724637.472</v>
      </c>
      <c r="G3728" s="22">
        <f>IFERROR(__xludf.DUMMYFUNCTION("""COMPUTED_VALUE"""),0.0)</f>
        <v>0</v>
      </c>
      <c r="H3728" s="22">
        <f>IFERROR(__xludf.DUMMYFUNCTION("""COMPUTED_VALUE"""),568791.5186150001)</f>
        <v>568791.5186</v>
      </c>
      <c r="I3728" s="24">
        <f>IFERROR(__xludf.DUMMYFUNCTION("""COMPUTED_VALUE"""),0.1375830372300002)</f>
        <v>0.1375830372</v>
      </c>
    </row>
    <row r="3729">
      <c r="A3729" s="5" t="str">
        <f>IFERROR(__xludf.DUMMYFUNCTION("""COMPUTED_VALUE"""),"45969")</f>
        <v>45969</v>
      </c>
      <c r="B3729" s="64">
        <f>IFERROR(__xludf.DUMMYFUNCTION("""COMPUTED_VALUE"""),44636.0)</f>
        <v>44636</v>
      </c>
      <c r="C3729" s="5"/>
      <c r="D3729" s="5"/>
      <c r="E3729" s="5"/>
      <c r="F3729" s="22">
        <f>IFERROR(__xludf.DUMMYFUNCTION("""COMPUTED_VALUE"""),724637.471975)</f>
        <v>724637.472</v>
      </c>
      <c r="G3729" s="22">
        <f>IFERROR(__xludf.DUMMYFUNCTION("""COMPUTED_VALUE"""),0.0)</f>
        <v>0</v>
      </c>
      <c r="H3729" s="22">
        <f>IFERROR(__xludf.DUMMYFUNCTION("""COMPUTED_VALUE"""),519846.30067499995)</f>
        <v>519846.3007</v>
      </c>
      <c r="I3729" s="24">
        <f>IFERROR(__xludf.DUMMYFUNCTION("""COMPUTED_VALUE"""),0.039692601349999856)</f>
        <v>0.03969260135</v>
      </c>
    </row>
    <row r="3730">
      <c r="A3730" s="5" t="str">
        <f>IFERROR(__xludf.DUMMYFUNCTION("""COMPUTED_VALUE"""),"45969")</f>
        <v>45969</v>
      </c>
      <c r="B3730" s="64">
        <f>IFERROR(__xludf.DUMMYFUNCTION("""COMPUTED_VALUE"""),44637.0)</f>
        <v>44637</v>
      </c>
      <c r="C3730" s="5"/>
      <c r="D3730" s="5"/>
      <c r="E3730" s="5"/>
      <c r="F3730" s="22">
        <f>IFERROR(__xludf.DUMMYFUNCTION("""COMPUTED_VALUE"""),724637.471975)</f>
        <v>724637.472</v>
      </c>
      <c r="G3730" s="22">
        <f>IFERROR(__xludf.DUMMYFUNCTION("""COMPUTED_VALUE"""),0.0)</f>
        <v>0</v>
      </c>
      <c r="H3730" s="22">
        <f>IFERROR(__xludf.DUMMYFUNCTION("""COMPUTED_VALUE"""),527600.6475649999)</f>
        <v>527600.6476</v>
      </c>
      <c r="I3730" s="24">
        <f>IFERROR(__xludf.DUMMYFUNCTION("""COMPUTED_VALUE"""),0.05520129512999983)</f>
        <v>0.05520129513</v>
      </c>
    </row>
    <row r="3731">
      <c r="A3731" s="5" t="str">
        <f>IFERROR(__xludf.DUMMYFUNCTION("""COMPUTED_VALUE"""),"45969")</f>
        <v>45969</v>
      </c>
      <c r="B3731" s="64">
        <f>IFERROR(__xludf.DUMMYFUNCTION("""COMPUTED_VALUE"""),44638.0)</f>
        <v>44638</v>
      </c>
      <c r="C3731" s="5"/>
      <c r="D3731" s="5"/>
      <c r="E3731" s="5"/>
      <c r="F3731" s="22">
        <f>IFERROR(__xludf.DUMMYFUNCTION("""COMPUTED_VALUE"""),724637.471975)</f>
        <v>724637.472</v>
      </c>
      <c r="G3731" s="22">
        <f>IFERROR(__xludf.DUMMYFUNCTION("""COMPUTED_VALUE"""),0.0)</f>
        <v>0</v>
      </c>
      <c r="H3731" s="22">
        <f>IFERROR(__xludf.DUMMYFUNCTION("""COMPUTED_VALUE"""),512366.2824449999)</f>
        <v>512366.2824</v>
      </c>
      <c r="I3731" s="24">
        <f>IFERROR(__xludf.DUMMYFUNCTION("""COMPUTED_VALUE"""),0.024732564889999864)</f>
        <v>0.02473256489</v>
      </c>
    </row>
    <row r="3732">
      <c r="A3732" s="5" t="str">
        <f>IFERROR(__xludf.DUMMYFUNCTION("""COMPUTED_VALUE"""),"45969")</f>
        <v>45969</v>
      </c>
      <c r="B3732" s="64">
        <f>IFERROR(__xludf.DUMMYFUNCTION("""COMPUTED_VALUE"""),44639.0)</f>
        <v>44639</v>
      </c>
      <c r="C3732" s="5"/>
      <c r="D3732" s="5"/>
      <c r="E3732" s="5"/>
      <c r="F3732" s="22">
        <f>IFERROR(__xludf.DUMMYFUNCTION("""COMPUTED_VALUE"""),724637.471975)</f>
        <v>724637.472</v>
      </c>
      <c r="G3732" s="22">
        <f>IFERROR(__xludf.DUMMYFUNCTION("""COMPUTED_VALUE"""),0.0)</f>
        <v>0</v>
      </c>
      <c r="H3732" s="22">
        <f>IFERROR(__xludf.DUMMYFUNCTION("""COMPUTED_VALUE"""),512366.2824449999)</f>
        <v>512366.2824</v>
      </c>
      <c r="I3732" s="24">
        <f>IFERROR(__xludf.DUMMYFUNCTION("""COMPUTED_VALUE"""),0.024732564889999864)</f>
        <v>0.02473256489</v>
      </c>
    </row>
    <row r="3733">
      <c r="A3733" s="5" t="str">
        <f>IFERROR(__xludf.DUMMYFUNCTION("""COMPUTED_VALUE"""),"45969")</f>
        <v>45969</v>
      </c>
      <c r="B3733" s="64">
        <f>IFERROR(__xludf.DUMMYFUNCTION("""COMPUTED_VALUE"""),44640.0)</f>
        <v>44640</v>
      </c>
      <c r="C3733" s="5"/>
      <c r="D3733" s="5"/>
      <c r="E3733" s="5"/>
      <c r="F3733" s="22">
        <f>IFERROR(__xludf.DUMMYFUNCTION("""COMPUTED_VALUE"""),724637.471975)</f>
        <v>724637.472</v>
      </c>
      <c r="G3733" s="22">
        <f>IFERROR(__xludf.DUMMYFUNCTION("""COMPUTED_VALUE"""),0.0)</f>
        <v>0</v>
      </c>
      <c r="H3733" s="22">
        <f>IFERROR(__xludf.DUMMYFUNCTION("""COMPUTED_VALUE"""),512366.2824449999)</f>
        <v>512366.2824</v>
      </c>
      <c r="I3733" s="24">
        <f>IFERROR(__xludf.DUMMYFUNCTION("""COMPUTED_VALUE"""),0.024732564889999864)</f>
        <v>0.02473256489</v>
      </c>
    </row>
    <row r="3734">
      <c r="A3734" s="5" t="str">
        <f>IFERROR(__xludf.DUMMYFUNCTION("""COMPUTED_VALUE"""),"45969")</f>
        <v>45969</v>
      </c>
      <c r="B3734" s="64">
        <f>IFERROR(__xludf.DUMMYFUNCTION("""COMPUTED_VALUE"""),44641.0)</f>
        <v>44641</v>
      </c>
      <c r="C3734" s="5"/>
      <c r="D3734" s="5"/>
      <c r="E3734" s="5"/>
      <c r="F3734" s="22">
        <f>IFERROR(__xludf.DUMMYFUNCTION("""COMPUTED_VALUE"""),724637.471975)</f>
        <v>724637.472</v>
      </c>
      <c r="G3734" s="22">
        <f>IFERROR(__xludf.DUMMYFUNCTION("""COMPUTED_VALUE"""),0.0)</f>
        <v>0</v>
      </c>
      <c r="H3734" s="22">
        <f>IFERROR(__xludf.DUMMYFUNCTION("""COMPUTED_VALUE"""),516549.2754749999)</f>
        <v>516549.2755</v>
      </c>
      <c r="I3734" s="24">
        <f>IFERROR(__xludf.DUMMYFUNCTION("""COMPUTED_VALUE"""),0.033098550949999916)</f>
        <v>0.03309855095</v>
      </c>
    </row>
    <row r="3735">
      <c r="A3735" s="5" t="str">
        <f>IFERROR(__xludf.DUMMYFUNCTION("""COMPUTED_VALUE"""),"45969")</f>
        <v>45969</v>
      </c>
      <c r="B3735" s="64">
        <f>IFERROR(__xludf.DUMMYFUNCTION("""COMPUTED_VALUE"""),44642.0)</f>
        <v>44642</v>
      </c>
      <c r="C3735" s="5"/>
      <c r="D3735" s="5"/>
      <c r="E3735" s="5"/>
      <c r="F3735" s="22">
        <f>IFERROR(__xludf.DUMMYFUNCTION("""COMPUTED_VALUE"""),724637.471975)</f>
        <v>724637.472</v>
      </c>
      <c r="G3735" s="22">
        <f>IFERROR(__xludf.DUMMYFUNCTION("""COMPUTED_VALUE"""),0.0)</f>
        <v>0</v>
      </c>
      <c r="H3735" s="22">
        <f>IFERROR(__xludf.DUMMYFUNCTION("""COMPUTED_VALUE"""),509106.5542149999)</f>
        <v>509106.5542</v>
      </c>
      <c r="I3735" s="24">
        <f>IFERROR(__xludf.DUMMYFUNCTION("""COMPUTED_VALUE"""),0.01821310842999968)</f>
        <v>0.01821310843</v>
      </c>
    </row>
    <row r="3736">
      <c r="A3736" s="5" t="str">
        <f>IFERROR(__xludf.DUMMYFUNCTION("""COMPUTED_VALUE"""),"45969")</f>
        <v>45969</v>
      </c>
      <c r="B3736" s="64">
        <f>IFERROR(__xludf.DUMMYFUNCTION("""COMPUTED_VALUE"""),44643.0)</f>
        <v>44643</v>
      </c>
      <c r="C3736" s="5"/>
      <c r="D3736" s="5"/>
      <c r="E3736" s="5"/>
      <c r="F3736" s="22">
        <f>IFERROR(__xludf.DUMMYFUNCTION("""COMPUTED_VALUE"""),724637.471975)</f>
        <v>724637.472</v>
      </c>
      <c r="G3736" s="22">
        <f>IFERROR(__xludf.DUMMYFUNCTION("""COMPUTED_VALUE"""),0.0)</f>
        <v>0</v>
      </c>
      <c r="H3736" s="22">
        <f>IFERROR(__xludf.DUMMYFUNCTION("""COMPUTED_VALUE"""),503650.63638499996)</f>
        <v>503650.6364</v>
      </c>
      <c r="I3736" s="24">
        <f>IFERROR(__xludf.DUMMYFUNCTION("""COMPUTED_VALUE"""),0.0073012727699999225)</f>
        <v>0.00730127277</v>
      </c>
    </row>
    <row r="3737">
      <c r="A3737" s="5" t="str">
        <f>IFERROR(__xludf.DUMMYFUNCTION("""COMPUTED_VALUE"""),"45969")</f>
        <v>45969</v>
      </c>
      <c r="B3737" s="64">
        <f>IFERROR(__xludf.DUMMYFUNCTION("""COMPUTED_VALUE"""),44644.0)</f>
        <v>44644</v>
      </c>
      <c r="C3737" s="5"/>
      <c r="D3737" s="5"/>
      <c r="E3737" s="5"/>
      <c r="F3737" s="22">
        <f>IFERROR(__xludf.DUMMYFUNCTION("""COMPUTED_VALUE"""),724637.471975)</f>
        <v>724637.472</v>
      </c>
      <c r="G3737" s="22">
        <f>IFERROR(__xludf.DUMMYFUNCTION("""COMPUTED_VALUE"""),0.0)</f>
        <v>0</v>
      </c>
      <c r="H3737" s="22">
        <f>IFERROR(__xludf.DUMMYFUNCTION("""COMPUTED_VALUE"""),504881.74060499994)</f>
        <v>504881.7406</v>
      </c>
      <c r="I3737" s="24">
        <f>IFERROR(__xludf.DUMMYFUNCTION("""COMPUTED_VALUE"""),0.009763481209999814)</f>
        <v>0.00976348121</v>
      </c>
    </row>
    <row r="3738">
      <c r="A3738" s="5" t="str">
        <f>IFERROR(__xludf.DUMMYFUNCTION("""COMPUTED_VALUE"""),"45969")</f>
        <v>45969</v>
      </c>
      <c r="B3738" s="64">
        <f>IFERROR(__xludf.DUMMYFUNCTION("""COMPUTED_VALUE"""),44645.0)</f>
        <v>44645</v>
      </c>
      <c r="C3738" s="5"/>
      <c r="D3738" s="5"/>
      <c r="E3738" s="5"/>
      <c r="F3738" s="22">
        <f>IFERROR(__xludf.DUMMYFUNCTION("""COMPUTED_VALUE"""),724637.471975)</f>
        <v>724637.472</v>
      </c>
      <c r="G3738" s="22">
        <f>IFERROR(__xludf.DUMMYFUNCTION("""COMPUTED_VALUE"""),0.0)</f>
        <v>0</v>
      </c>
      <c r="H3738" s="22">
        <f>IFERROR(__xludf.DUMMYFUNCTION("""COMPUTED_VALUE"""),503946.53429499996)</f>
        <v>503946.5343</v>
      </c>
      <c r="I3738" s="24">
        <f>IFERROR(__xludf.DUMMYFUNCTION("""COMPUTED_VALUE"""),0.00789306858999983)</f>
        <v>0.00789306859</v>
      </c>
    </row>
    <row r="3739">
      <c r="A3739" s="5" t="str">
        <f>IFERROR(__xludf.DUMMYFUNCTION("""COMPUTED_VALUE"""),"45969")</f>
        <v>45969</v>
      </c>
      <c r="B3739" s="64">
        <f>IFERROR(__xludf.DUMMYFUNCTION("""COMPUTED_VALUE"""),44646.0)</f>
        <v>44646</v>
      </c>
      <c r="C3739" s="5"/>
      <c r="D3739" s="5"/>
      <c r="E3739" s="5"/>
      <c r="F3739" s="22">
        <f>IFERROR(__xludf.DUMMYFUNCTION("""COMPUTED_VALUE"""),724637.471975)</f>
        <v>724637.472</v>
      </c>
      <c r="G3739" s="22">
        <f>IFERROR(__xludf.DUMMYFUNCTION("""COMPUTED_VALUE"""),0.0)</f>
        <v>0</v>
      </c>
      <c r="H3739" s="22">
        <f>IFERROR(__xludf.DUMMYFUNCTION("""COMPUTED_VALUE"""),503946.53429499996)</f>
        <v>503946.5343</v>
      </c>
      <c r="I3739" s="24">
        <f>IFERROR(__xludf.DUMMYFUNCTION("""COMPUTED_VALUE"""),0.00789306858999983)</f>
        <v>0.00789306859</v>
      </c>
    </row>
    <row r="3740">
      <c r="A3740" s="5" t="str">
        <f>IFERROR(__xludf.DUMMYFUNCTION("""COMPUTED_VALUE"""),"45969")</f>
        <v>45969</v>
      </c>
      <c r="B3740" s="64">
        <f>IFERROR(__xludf.DUMMYFUNCTION("""COMPUTED_VALUE"""),44647.0)</f>
        <v>44647</v>
      </c>
      <c r="C3740" s="5"/>
      <c r="D3740" s="5"/>
      <c r="E3740" s="5"/>
      <c r="F3740" s="22">
        <f>IFERROR(__xludf.DUMMYFUNCTION("""COMPUTED_VALUE"""),724637.471975)</f>
        <v>724637.472</v>
      </c>
      <c r="G3740" s="22">
        <f>IFERROR(__xludf.DUMMYFUNCTION("""COMPUTED_VALUE"""),0.0)</f>
        <v>0</v>
      </c>
      <c r="H3740" s="22">
        <f>IFERROR(__xludf.DUMMYFUNCTION("""COMPUTED_VALUE"""),503946.53429499996)</f>
        <v>503946.5343</v>
      </c>
      <c r="I3740" s="24">
        <f>IFERROR(__xludf.DUMMYFUNCTION("""COMPUTED_VALUE"""),0.00789306858999983)</f>
        <v>0.00789306859</v>
      </c>
    </row>
    <row r="3741">
      <c r="A3741" s="5" t="str">
        <f>IFERROR(__xludf.DUMMYFUNCTION("""COMPUTED_VALUE"""),"45969")</f>
        <v>45969</v>
      </c>
      <c r="B3741" s="64">
        <f>IFERROR(__xludf.DUMMYFUNCTION("""COMPUTED_VALUE"""),44648.0)</f>
        <v>44648</v>
      </c>
      <c r="C3741" s="5"/>
      <c r="D3741" s="5"/>
      <c r="E3741" s="5"/>
      <c r="F3741" s="22">
        <f>IFERROR(__xludf.DUMMYFUNCTION("""COMPUTED_VALUE"""),724637.471975)</f>
        <v>724637.472</v>
      </c>
      <c r="G3741" s="22">
        <f>IFERROR(__xludf.DUMMYFUNCTION("""COMPUTED_VALUE"""),0.0)</f>
        <v>0</v>
      </c>
      <c r="H3741" s="22">
        <f>IFERROR(__xludf.DUMMYFUNCTION("""COMPUTED_VALUE"""),501832.56929499994)</f>
        <v>501832.5693</v>
      </c>
      <c r="I3741" s="24">
        <f>IFERROR(__xludf.DUMMYFUNCTION("""COMPUTED_VALUE"""),0.00366513858999995)</f>
        <v>0.00366513859</v>
      </c>
    </row>
    <row r="3742">
      <c r="A3742" s="5" t="str">
        <f>IFERROR(__xludf.DUMMYFUNCTION("""COMPUTED_VALUE"""),"45969")</f>
        <v>45969</v>
      </c>
      <c r="B3742" s="64">
        <f>IFERROR(__xludf.DUMMYFUNCTION("""COMPUTED_VALUE"""),44649.0)</f>
        <v>44649</v>
      </c>
      <c r="C3742" s="5"/>
      <c r="D3742" s="5"/>
      <c r="E3742" s="5"/>
      <c r="F3742" s="22">
        <f>IFERROR(__xludf.DUMMYFUNCTION("""COMPUTED_VALUE"""),724637.471975)</f>
        <v>724637.472</v>
      </c>
      <c r="G3742" s="22">
        <f>IFERROR(__xludf.DUMMYFUNCTION("""COMPUTED_VALUE"""),0.0)</f>
        <v>0</v>
      </c>
      <c r="H3742" s="22">
        <f>IFERROR(__xludf.DUMMYFUNCTION("""COMPUTED_VALUE"""),501832.56929499994)</f>
        <v>501832.5693</v>
      </c>
      <c r="I3742" s="24">
        <f>IFERROR(__xludf.DUMMYFUNCTION("""COMPUTED_VALUE"""),0.00366513858999995)</f>
        <v>0.00366513859</v>
      </c>
    </row>
    <row r="3743">
      <c r="A3743" s="5" t="str">
        <f>IFERROR(__xludf.DUMMYFUNCTION("""COMPUTED_VALUE"""),"45969")</f>
        <v>45969</v>
      </c>
      <c r="B3743" s="64">
        <f>IFERROR(__xludf.DUMMYFUNCTION("""COMPUTED_VALUE"""),44650.0)</f>
        <v>44650</v>
      </c>
      <c r="C3743" s="5"/>
      <c r="D3743" s="5"/>
      <c r="E3743" s="5"/>
      <c r="F3743" s="22">
        <f>IFERROR(__xludf.DUMMYFUNCTION("""COMPUTED_VALUE"""),370748.46447500004)</f>
        <v>370748.4645</v>
      </c>
      <c r="G3743" s="22">
        <f>IFERROR(__xludf.DUMMYFUNCTION("""COMPUTED_VALUE"""),0.0)</f>
        <v>0</v>
      </c>
      <c r="H3743" s="22">
        <f>IFERROR(__xludf.DUMMYFUNCTION("""COMPUTED_VALUE"""),501832.56929499994)</f>
        <v>501832.5693</v>
      </c>
      <c r="I3743" s="24">
        <f>IFERROR(__xludf.DUMMYFUNCTION("""COMPUTED_VALUE"""),0.00366513858999995)</f>
        <v>0.00366513859</v>
      </c>
    </row>
    <row r="3744">
      <c r="A3744" s="5" t="str">
        <f>IFERROR(__xludf.DUMMYFUNCTION("""COMPUTED_VALUE"""),"45969")</f>
        <v>45969</v>
      </c>
      <c r="B3744" s="64">
        <f>IFERROR(__xludf.DUMMYFUNCTION("""COMPUTED_VALUE"""),44651.0)</f>
        <v>44651</v>
      </c>
      <c r="C3744" s="5"/>
      <c r="D3744" s="5"/>
      <c r="E3744" s="5"/>
      <c r="F3744" s="22">
        <f>IFERROR(__xludf.DUMMYFUNCTION("""COMPUTED_VALUE"""),370748.46447500004)</f>
        <v>370748.4645</v>
      </c>
      <c r="G3744" s="22">
        <f>IFERROR(__xludf.DUMMYFUNCTION("""COMPUTED_VALUE"""),0.0)</f>
        <v>0</v>
      </c>
      <c r="H3744" s="22">
        <f>IFERROR(__xludf.DUMMYFUNCTION("""COMPUTED_VALUE"""),526255.0073249999)</f>
        <v>526255.0073</v>
      </c>
      <c r="I3744" s="24">
        <f>IFERROR(__xludf.DUMMYFUNCTION("""COMPUTED_VALUE"""),0.052510014649999714)</f>
        <v>0.05251001465</v>
      </c>
    </row>
    <row r="3745">
      <c r="A3745" s="5" t="str">
        <f>IFERROR(__xludf.DUMMYFUNCTION("""COMPUTED_VALUE"""),"45969")</f>
        <v>45969</v>
      </c>
      <c r="B3745" s="64">
        <f>IFERROR(__xludf.DUMMYFUNCTION("""COMPUTED_VALUE"""),44652.0)</f>
        <v>44652</v>
      </c>
      <c r="C3745" s="5"/>
      <c r="D3745" s="5"/>
      <c r="E3745" s="5"/>
      <c r="F3745" s="22">
        <f>IFERROR(__xludf.DUMMYFUNCTION("""COMPUTED_VALUE"""),370748.46447500004)</f>
        <v>370748.4645</v>
      </c>
      <c r="G3745" s="22">
        <f>IFERROR(__xludf.DUMMYFUNCTION("""COMPUTED_VALUE"""),0.0)</f>
        <v>0</v>
      </c>
      <c r="H3745" s="22">
        <f>IFERROR(__xludf.DUMMYFUNCTION("""COMPUTED_VALUE"""),588168.554825)</f>
        <v>588168.5548</v>
      </c>
      <c r="I3745" s="24">
        <f>IFERROR(__xludf.DUMMYFUNCTION("""COMPUTED_VALUE"""),0.17633710964999993)</f>
        <v>0.1763371097</v>
      </c>
    </row>
    <row r="3746">
      <c r="A3746" s="5" t="str">
        <f>IFERROR(__xludf.DUMMYFUNCTION("""COMPUTED_VALUE"""),"45969")</f>
        <v>45969</v>
      </c>
      <c r="B3746" s="64">
        <f>IFERROR(__xludf.DUMMYFUNCTION("""COMPUTED_VALUE"""),44653.0)</f>
        <v>44653</v>
      </c>
      <c r="C3746" s="5"/>
      <c r="D3746" s="5"/>
      <c r="E3746" s="5"/>
      <c r="F3746" s="22">
        <f>IFERROR(__xludf.DUMMYFUNCTION("""COMPUTED_VALUE"""),370748.46447500004)</f>
        <v>370748.4645</v>
      </c>
      <c r="G3746" s="22">
        <f>IFERROR(__xludf.DUMMYFUNCTION("""COMPUTED_VALUE"""),0.0)</f>
        <v>0</v>
      </c>
      <c r="H3746" s="22">
        <f>IFERROR(__xludf.DUMMYFUNCTION("""COMPUTED_VALUE"""),588168.554825)</f>
        <v>588168.5548</v>
      </c>
      <c r="I3746" s="24">
        <f>IFERROR(__xludf.DUMMYFUNCTION("""COMPUTED_VALUE"""),0.17633710964999993)</f>
        <v>0.1763371097</v>
      </c>
    </row>
    <row r="3747">
      <c r="A3747" s="5" t="str">
        <f>IFERROR(__xludf.DUMMYFUNCTION("""COMPUTED_VALUE"""),"45969")</f>
        <v>45969</v>
      </c>
      <c r="B3747" s="64">
        <f>IFERROR(__xludf.DUMMYFUNCTION("""COMPUTED_VALUE"""),44654.0)</f>
        <v>44654</v>
      </c>
      <c r="C3747" s="5"/>
      <c r="D3747" s="5"/>
      <c r="E3747" s="5"/>
      <c r="F3747" s="22">
        <f>IFERROR(__xludf.DUMMYFUNCTION("""COMPUTED_VALUE"""),370748.46447500004)</f>
        <v>370748.4645</v>
      </c>
      <c r="G3747" s="22">
        <f>IFERROR(__xludf.DUMMYFUNCTION("""COMPUTED_VALUE"""),0.0)</f>
        <v>0</v>
      </c>
      <c r="H3747" s="22">
        <f>IFERROR(__xludf.DUMMYFUNCTION("""COMPUTED_VALUE"""),588168.554825)</f>
        <v>588168.5548</v>
      </c>
      <c r="I3747" s="24">
        <f>IFERROR(__xludf.DUMMYFUNCTION("""COMPUTED_VALUE"""),0.17633710964999993)</f>
        <v>0.1763371097</v>
      </c>
    </row>
    <row r="3748">
      <c r="A3748" s="5" t="str">
        <f>IFERROR(__xludf.DUMMYFUNCTION("""COMPUTED_VALUE"""),"45969")</f>
        <v>45969</v>
      </c>
      <c r="B3748" s="64">
        <f>IFERROR(__xludf.DUMMYFUNCTION("""COMPUTED_VALUE"""),44655.0)</f>
        <v>44655</v>
      </c>
      <c r="C3748" s="5"/>
      <c r="D3748" s="5"/>
      <c r="E3748" s="5"/>
      <c r="F3748" s="22">
        <f>IFERROR(__xludf.DUMMYFUNCTION("""COMPUTED_VALUE"""),370748.46447500004)</f>
        <v>370748.4645</v>
      </c>
      <c r="G3748" s="22">
        <f>IFERROR(__xludf.DUMMYFUNCTION("""COMPUTED_VALUE"""),0.0)</f>
        <v>0</v>
      </c>
      <c r="H3748" s="22">
        <f>IFERROR(__xludf.DUMMYFUNCTION("""COMPUTED_VALUE"""),441329.3448249999)</f>
        <v>441329.3448</v>
      </c>
      <c r="I3748" s="24">
        <f>IFERROR(__xludf.DUMMYFUNCTION("""COMPUTED_VALUE"""),-0.11734131035000017)</f>
        <v>-0.1173413104</v>
      </c>
    </row>
    <row r="3749">
      <c r="A3749" s="5" t="str">
        <f>IFERROR(__xludf.DUMMYFUNCTION("""COMPUTED_VALUE"""),"45969")</f>
        <v>45969</v>
      </c>
      <c r="B3749" s="64">
        <f>IFERROR(__xludf.DUMMYFUNCTION("""COMPUTED_VALUE"""),44656.0)</f>
        <v>44656</v>
      </c>
      <c r="C3749" s="5"/>
      <c r="D3749" s="5"/>
      <c r="E3749" s="5"/>
      <c r="F3749" s="22">
        <f>IFERROR(__xludf.DUMMYFUNCTION("""COMPUTED_VALUE"""),370748.46447500004)</f>
        <v>370748.4645</v>
      </c>
      <c r="G3749" s="22">
        <f>IFERROR(__xludf.DUMMYFUNCTION("""COMPUTED_VALUE"""),0.0)</f>
        <v>0</v>
      </c>
      <c r="H3749" s="22">
        <f>IFERROR(__xludf.DUMMYFUNCTION("""COMPUTED_VALUE"""),602962.057325)</f>
        <v>602962.0573</v>
      </c>
      <c r="I3749" s="24">
        <f>IFERROR(__xludf.DUMMYFUNCTION("""COMPUTED_VALUE"""),0.20592411464999993)</f>
        <v>0.2059241147</v>
      </c>
    </row>
    <row r="3750">
      <c r="A3750" s="5" t="str">
        <f>IFERROR(__xludf.DUMMYFUNCTION("""COMPUTED_VALUE"""),"45969")</f>
        <v>45969</v>
      </c>
      <c r="B3750" s="64">
        <f>IFERROR(__xludf.DUMMYFUNCTION("""COMPUTED_VALUE"""),44657.0)</f>
        <v>44657</v>
      </c>
      <c r="C3750" s="5"/>
      <c r="D3750" s="5"/>
      <c r="E3750" s="5"/>
      <c r="F3750" s="22">
        <f>IFERROR(__xludf.DUMMYFUNCTION("""COMPUTED_VALUE"""),370748.46447500004)</f>
        <v>370748.4645</v>
      </c>
      <c r="G3750" s="22">
        <f>IFERROR(__xludf.DUMMYFUNCTION("""COMPUTED_VALUE"""),0.0)</f>
        <v>0</v>
      </c>
      <c r="H3750" s="22">
        <f>IFERROR(__xludf.DUMMYFUNCTION("""COMPUTED_VALUE"""),745965.9148250001)</f>
        <v>745965.9148</v>
      </c>
      <c r="I3750" s="24">
        <f>IFERROR(__xludf.DUMMYFUNCTION("""COMPUTED_VALUE"""),0.49193182965000015)</f>
        <v>0.4919318297</v>
      </c>
    </row>
    <row r="3751">
      <c r="A3751" s="5" t="str">
        <f>IFERROR(__xludf.DUMMYFUNCTION("""COMPUTED_VALUE"""),"45969")</f>
        <v>45969</v>
      </c>
      <c r="B3751" s="64">
        <f>IFERROR(__xludf.DUMMYFUNCTION("""COMPUTED_VALUE"""),44658.0)</f>
        <v>44658</v>
      </c>
      <c r="C3751" s="5"/>
      <c r="D3751" s="5"/>
      <c r="E3751" s="5"/>
      <c r="F3751" s="22">
        <f>IFERROR(__xludf.DUMMYFUNCTION("""COMPUTED_VALUE"""),978558.650675)</f>
        <v>978558.6507</v>
      </c>
      <c r="G3751" s="22">
        <f>IFERROR(__xludf.DUMMYFUNCTION("""COMPUTED_VALUE"""),0.0)</f>
        <v>0</v>
      </c>
      <c r="H3751" s="22">
        <f>IFERROR(__xludf.DUMMYFUNCTION("""COMPUTED_VALUE"""),819854.8173250001)</f>
        <v>819854.8173</v>
      </c>
      <c r="I3751" s="24">
        <f>IFERROR(__xludf.DUMMYFUNCTION("""COMPUTED_VALUE"""),0.6397096346500002)</f>
        <v>0.6397096347</v>
      </c>
    </row>
    <row r="3752">
      <c r="A3752" s="5" t="str">
        <f>IFERROR(__xludf.DUMMYFUNCTION("""COMPUTED_VALUE"""),"45969")</f>
        <v>45969</v>
      </c>
      <c r="B3752" s="64">
        <f>IFERROR(__xludf.DUMMYFUNCTION("""COMPUTED_VALUE"""),44659.0)</f>
        <v>44659</v>
      </c>
      <c r="C3752" s="5"/>
      <c r="D3752" s="5"/>
      <c r="E3752" s="5"/>
      <c r="F3752" s="22">
        <f>IFERROR(__xludf.DUMMYFUNCTION("""COMPUTED_VALUE"""),978558.650675)</f>
        <v>978558.6507</v>
      </c>
      <c r="G3752" s="22">
        <f>IFERROR(__xludf.DUMMYFUNCTION("""COMPUTED_VALUE"""),0.0)</f>
        <v>0</v>
      </c>
      <c r="H3752" s="22">
        <f>IFERROR(__xludf.DUMMYFUNCTION("""COMPUTED_VALUE"""),819809.4394749999)</f>
        <v>819809.4395</v>
      </c>
      <c r="I3752" s="24">
        <f>IFERROR(__xludf.DUMMYFUNCTION("""COMPUTED_VALUE"""),0.6396188789499999)</f>
        <v>0.639618879</v>
      </c>
    </row>
    <row r="3753">
      <c r="A3753" s="5" t="str">
        <f>IFERROR(__xludf.DUMMYFUNCTION("""COMPUTED_VALUE"""),"45969")</f>
        <v>45969</v>
      </c>
      <c r="B3753" s="64">
        <f>IFERROR(__xludf.DUMMYFUNCTION("""COMPUTED_VALUE"""),44660.0)</f>
        <v>44660</v>
      </c>
      <c r="C3753" s="5"/>
      <c r="D3753" s="5"/>
      <c r="E3753" s="5"/>
      <c r="F3753" s="22">
        <f>IFERROR(__xludf.DUMMYFUNCTION("""COMPUTED_VALUE"""),978558.650675)</f>
        <v>978558.6507</v>
      </c>
      <c r="G3753" s="22">
        <f>IFERROR(__xludf.DUMMYFUNCTION("""COMPUTED_VALUE"""),0.0)</f>
        <v>0</v>
      </c>
      <c r="H3753" s="22">
        <f>IFERROR(__xludf.DUMMYFUNCTION("""COMPUTED_VALUE"""),819809.4394749999)</f>
        <v>819809.4395</v>
      </c>
      <c r="I3753" s="24">
        <f>IFERROR(__xludf.DUMMYFUNCTION("""COMPUTED_VALUE"""),0.6396188789499999)</f>
        <v>0.639618879</v>
      </c>
    </row>
    <row r="3754">
      <c r="A3754" s="5" t="str">
        <f>IFERROR(__xludf.DUMMYFUNCTION("""COMPUTED_VALUE"""),"45969")</f>
        <v>45969</v>
      </c>
      <c r="B3754" s="64">
        <f>IFERROR(__xludf.DUMMYFUNCTION("""COMPUTED_VALUE"""),44661.0)</f>
        <v>44661</v>
      </c>
      <c r="C3754" s="5"/>
      <c r="D3754" s="5"/>
      <c r="E3754" s="5"/>
      <c r="F3754" s="22">
        <f>IFERROR(__xludf.DUMMYFUNCTION("""COMPUTED_VALUE"""),978558.650675)</f>
        <v>978558.6507</v>
      </c>
      <c r="G3754" s="22">
        <f>IFERROR(__xludf.DUMMYFUNCTION("""COMPUTED_VALUE"""),0.0)</f>
        <v>0</v>
      </c>
      <c r="H3754" s="22">
        <f>IFERROR(__xludf.DUMMYFUNCTION("""COMPUTED_VALUE"""),819809.4394749999)</f>
        <v>819809.4395</v>
      </c>
      <c r="I3754" s="24">
        <f>IFERROR(__xludf.DUMMYFUNCTION("""COMPUTED_VALUE"""),0.6396188789499999)</f>
        <v>0.639618879</v>
      </c>
    </row>
    <row r="3755">
      <c r="A3755" s="5" t="str">
        <f>IFERROR(__xludf.DUMMYFUNCTION("""COMPUTED_VALUE"""),"45969")</f>
        <v>45969</v>
      </c>
      <c r="B3755" s="64">
        <f>IFERROR(__xludf.DUMMYFUNCTION("""COMPUTED_VALUE"""),44662.0)</f>
        <v>44662</v>
      </c>
      <c r="C3755" s="5"/>
      <c r="D3755" s="5"/>
      <c r="E3755" s="5"/>
      <c r="F3755" s="22">
        <f>IFERROR(__xludf.DUMMYFUNCTION("""COMPUTED_VALUE"""),978558.650675)</f>
        <v>978558.6507</v>
      </c>
      <c r="G3755" s="22">
        <f>IFERROR(__xludf.DUMMYFUNCTION("""COMPUTED_VALUE"""),0.0)</f>
        <v>0</v>
      </c>
      <c r="H3755" s="22">
        <f>IFERROR(__xludf.DUMMYFUNCTION("""COMPUTED_VALUE"""),819583.2078750001)</f>
        <v>819583.2079</v>
      </c>
      <c r="I3755" s="24">
        <f>IFERROR(__xludf.DUMMYFUNCTION("""COMPUTED_VALUE"""),0.6391664157500001)</f>
        <v>0.6391664158</v>
      </c>
    </row>
    <row r="3756">
      <c r="A3756" s="5" t="str">
        <f>IFERROR(__xludf.DUMMYFUNCTION("""COMPUTED_VALUE"""),"45969")</f>
        <v>45969</v>
      </c>
      <c r="B3756" s="64">
        <f>IFERROR(__xludf.DUMMYFUNCTION("""COMPUTED_VALUE"""),44663.0)</f>
        <v>44663</v>
      </c>
      <c r="C3756" s="5"/>
      <c r="D3756" s="5"/>
      <c r="E3756" s="5"/>
      <c r="F3756" s="22">
        <f>IFERROR(__xludf.DUMMYFUNCTION("""COMPUTED_VALUE"""),978558.650675)</f>
        <v>978558.6507</v>
      </c>
      <c r="G3756" s="22">
        <f>IFERROR(__xludf.DUMMYFUNCTION("""COMPUTED_VALUE"""),0.0)</f>
        <v>0</v>
      </c>
      <c r="H3756" s="22">
        <f>IFERROR(__xludf.DUMMYFUNCTION("""COMPUTED_VALUE"""),819504.9475249999)</f>
        <v>819504.9475</v>
      </c>
      <c r="I3756" s="24">
        <f>IFERROR(__xludf.DUMMYFUNCTION("""COMPUTED_VALUE"""),0.6390098950499996)</f>
        <v>0.6390098951</v>
      </c>
    </row>
    <row r="3757">
      <c r="A3757" s="5" t="str">
        <f>IFERROR(__xludf.DUMMYFUNCTION("""COMPUTED_VALUE"""),"46104")</f>
        <v>46104</v>
      </c>
      <c r="B3757" s="64">
        <f>IFERROR(__xludf.DUMMYFUNCTION("""COMPUTED_VALUE"""),44597.0)</f>
        <v>44597</v>
      </c>
      <c r="C3757" s="5"/>
      <c r="D3757" s="5"/>
      <c r="E3757" s="5"/>
      <c r="F3757" s="22">
        <f>IFERROR(__xludf.DUMMYFUNCTION("""COMPUTED_VALUE"""),500000.0)</f>
        <v>500000</v>
      </c>
      <c r="G3757" s="22">
        <f>IFERROR(__xludf.DUMMYFUNCTION("""COMPUTED_VALUE"""),0.0)</f>
        <v>0</v>
      </c>
      <c r="H3757" s="22">
        <f>IFERROR(__xludf.DUMMYFUNCTION("""COMPUTED_VALUE"""),500000.0)</f>
        <v>500000</v>
      </c>
      <c r="I3757" s="24">
        <f>IFERROR(__xludf.DUMMYFUNCTION("""COMPUTED_VALUE"""),0.0)</f>
        <v>0</v>
      </c>
    </row>
    <row r="3758">
      <c r="A3758" s="5" t="str">
        <f>IFERROR(__xludf.DUMMYFUNCTION("""COMPUTED_VALUE"""),"46104")</f>
        <v>46104</v>
      </c>
      <c r="B3758" s="64">
        <f>IFERROR(__xludf.DUMMYFUNCTION("""COMPUTED_VALUE"""),44598.0)</f>
        <v>44598</v>
      </c>
      <c r="C3758" s="5"/>
      <c r="D3758" s="5"/>
      <c r="E3758" s="5"/>
      <c r="F3758" s="22">
        <f>IFERROR(__xludf.DUMMYFUNCTION("""COMPUTED_VALUE"""),500000.0)</f>
        <v>500000</v>
      </c>
      <c r="G3758" s="22">
        <f>IFERROR(__xludf.DUMMYFUNCTION("""COMPUTED_VALUE"""),0.0)</f>
        <v>0</v>
      </c>
      <c r="H3758" s="22">
        <f>IFERROR(__xludf.DUMMYFUNCTION("""COMPUTED_VALUE"""),500000.0)</f>
        <v>500000</v>
      </c>
      <c r="I3758" s="24">
        <f>IFERROR(__xludf.DUMMYFUNCTION("""COMPUTED_VALUE"""),0.0)</f>
        <v>0</v>
      </c>
    </row>
    <row r="3759">
      <c r="A3759" s="5" t="str">
        <f>IFERROR(__xludf.DUMMYFUNCTION("""COMPUTED_VALUE"""),"46104")</f>
        <v>46104</v>
      </c>
      <c r="B3759" s="64">
        <f>IFERROR(__xludf.DUMMYFUNCTION("""COMPUTED_VALUE"""),44599.0)</f>
        <v>44599</v>
      </c>
      <c r="C3759" s="5"/>
      <c r="D3759" s="5"/>
      <c r="E3759" s="5"/>
      <c r="F3759" s="22">
        <f>IFERROR(__xludf.DUMMYFUNCTION("""COMPUTED_VALUE"""),500000.0)</f>
        <v>500000</v>
      </c>
      <c r="G3759" s="22">
        <f>IFERROR(__xludf.DUMMYFUNCTION("""COMPUTED_VALUE"""),0.0)</f>
        <v>0</v>
      </c>
      <c r="H3759" s="22">
        <f>IFERROR(__xludf.DUMMYFUNCTION("""COMPUTED_VALUE"""),500000.0)</f>
        <v>500000</v>
      </c>
      <c r="I3759" s="24">
        <f>IFERROR(__xludf.DUMMYFUNCTION("""COMPUTED_VALUE"""),0.0)</f>
        <v>0</v>
      </c>
    </row>
    <row r="3760">
      <c r="A3760" s="5" t="str">
        <f>IFERROR(__xludf.DUMMYFUNCTION("""COMPUTED_VALUE"""),"46104")</f>
        <v>46104</v>
      </c>
      <c r="B3760" s="64">
        <f>IFERROR(__xludf.DUMMYFUNCTION("""COMPUTED_VALUE"""),44600.0)</f>
        <v>44600</v>
      </c>
      <c r="C3760" s="5"/>
      <c r="D3760" s="5"/>
      <c r="E3760" s="5"/>
      <c r="F3760" s="22">
        <f>IFERROR(__xludf.DUMMYFUNCTION("""COMPUTED_VALUE"""),500000.0)</f>
        <v>500000</v>
      </c>
      <c r="G3760" s="22">
        <f>IFERROR(__xludf.DUMMYFUNCTION("""COMPUTED_VALUE"""),0.0)</f>
        <v>0</v>
      </c>
      <c r="H3760" s="22">
        <f>IFERROR(__xludf.DUMMYFUNCTION("""COMPUTED_VALUE"""),500000.0)</f>
        <v>500000</v>
      </c>
      <c r="I3760" s="24">
        <f>IFERROR(__xludf.DUMMYFUNCTION("""COMPUTED_VALUE"""),0.0)</f>
        <v>0</v>
      </c>
    </row>
    <row r="3761">
      <c r="A3761" s="5" t="str">
        <f>IFERROR(__xludf.DUMMYFUNCTION("""COMPUTED_VALUE"""),"46104")</f>
        <v>46104</v>
      </c>
      <c r="B3761" s="64">
        <f>IFERROR(__xludf.DUMMYFUNCTION("""COMPUTED_VALUE"""),44601.0)</f>
        <v>44601</v>
      </c>
      <c r="C3761" s="5"/>
      <c r="D3761" s="5"/>
      <c r="E3761" s="5"/>
      <c r="F3761" s="22">
        <f>IFERROR(__xludf.DUMMYFUNCTION("""COMPUTED_VALUE"""),500000.0)</f>
        <v>500000</v>
      </c>
      <c r="G3761" s="22">
        <f>IFERROR(__xludf.DUMMYFUNCTION("""COMPUTED_VALUE"""),0.0)</f>
        <v>0</v>
      </c>
      <c r="H3761" s="22">
        <f>IFERROR(__xludf.DUMMYFUNCTION("""COMPUTED_VALUE"""),500000.0)</f>
        <v>500000</v>
      </c>
      <c r="I3761" s="24">
        <f>IFERROR(__xludf.DUMMYFUNCTION("""COMPUTED_VALUE"""),0.0)</f>
        <v>0</v>
      </c>
    </row>
    <row r="3762">
      <c r="A3762" s="5" t="str">
        <f>IFERROR(__xludf.DUMMYFUNCTION("""COMPUTED_VALUE"""),"46104")</f>
        <v>46104</v>
      </c>
      <c r="B3762" s="64">
        <f>IFERROR(__xludf.DUMMYFUNCTION("""COMPUTED_VALUE"""),44602.0)</f>
        <v>44602</v>
      </c>
      <c r="C3762" s="5"/>
      <c r="D3762" s="5"/>
      <c r="E3762" s="5"/>
      <c r="F3762" s="22">
        <f>IFERROR(__xludf.DUMMYFUNCTION("""COMPUTED_VALUE"""),500000.0)</f>
        <v>500000</v>
      </c>
      <c r="G3762" s="22">
        <f>IFERROR(__xludf.DUMMYFUNCTION("""COMPUTED_VALUE"""),0.0)</f>
        <v>0</v>
      </c>
      <c r="H3762" s="22">
        <f>IFERROR(__xludf.DUMMYFUNCTION("""COMPUTED_VALUE"""),500000.0)</f>
        <v>500000</v>
      </c>
      <c r="I3762" s="24">
        <f>IFERROR(__xludf.DUMMYFUNCTION("""COMPUTED_VALUE"""),0.0)</f>
        <v>0</v>
      </c>
    </row>
    <row r="3763">
      <c r="A3763" s="5" t="str">
        <f>IFERROR(__xludf.DUMMYFUNCTION("""COMPUTED_VALUE"""),"46104")</f>
        <v>46104</v>
      </c>
      <c r="B3763" s="64">
        <f>IFERROR(__xludf.DUMMYFUNCTION("""COMPUTED_VALUE"""),44603.0)</f>
        <v>44603</v>
      </c>
      <c r="C3763" s="5"/>
      <c r="D3763" s="5"/>
      <c r="E3763" s="5"/>
      <c r="F3763" s="22">
        <f>IFERROR(__xludf.DUMMYFUNCTION("""COMPUTED_VALUE"""),500000.0)</f>
        <v>500000</v>
      </c>
      <c r="G3763" s="22">
        <f>IFERROR(__xludf.DUMMYFUNCTION("""COMPUTED_VALUE"""),0.0)</f>
        <v>0</v>
      </c>
      <c r="H3763" s="22">
        <f>IFERROR(__xludf.DUMMYFUNCTION("""COMPUTED_VALUE"""),500000.0)</f>
        <v>500000</v>
      </c>
      <c r="I3763" s="24">
        <f>IFERROR(__xludf.DUMMYFUNCTION("""COMPUTED_VALUE"""),0.0)</f>
        <v>0</v>
      </c>
    </row>
    <row r="3764">
      <c r="A3764" s="5" t="str">
        <f>IFERROR(__xludf.DUMMYFUNCTION("""COMPUTED_VALUE"""),"46104")</f>
        <v>46104</v>
      </c>
      <c r="B3764" s="64">
        <f>IFERROR(__xludf.DUMMYFUNCTION("""COMPUTED_VALUE"""),44604.0)</f>
        <v>44604</v>
      </c>
      <c r="C3764" s="5"/>
      <c r="D3764" s="5"/>
      <c r="E3764" s="5"/>
      <c r="F3764" s="22">
        <f>IFERROR(__xludf.DUMMYFUNCTION("""COMPUTED_VALUE"""),500000.0)</f>
        <v>500000</v>
      </c>
      <c r="G3764" s="22">
        <f>IFERROR(__xludf.DUMMYFUNCTION("""COMPUTED_VALUE"""),0.0)</f>
        <v>0</v>
      </c>
      <c r="H3764" s="22">
        <f>IFERROR(__xludf.DUMMYFUNCTION("""COMPUTED_VALUE"""),500000.0)</f>
        <v>500000</v>
      </c>
      <c r="I3764" s="24">
        <f>IFERROR(__xludf.DUMMYFUNCTION("""COMPUTED_VALUE"""),0.0)</f>
        <v>0</v>
      </c>
    </row>
    <row r="3765">
      <c r="A3765" s="5" t="str">
        <f>IFERROR(__xludf.DUMMYFUNCTION("""COMPUTED_VALUE"""),"46104")</f>
        <v>46104</v>
      </c>
      <c r="B3765" s="64">
        <f>IFERROR(__xludf.DUMMYFUNCTION("""COMPUTED_VALUE"""),44605.0)</f>
        <v>44605</v>
      </c>
      <c r="C3765" s="5"/>
      <c r="D3765" s="5"/>
      <c r="E3765" s="5"/>
      <c r="F3765" s="22">
        <f>IFERROR(__xludf.DUMMYFUNCTION("""COMPUTED_VALUE"""),500000.0)</f>
        <v>500000</v>
      </c>
      <c r="G3765" s="22">
        <f>IFERROR(__xludf.DUMMYFUNCTION("""COMPUTED_VALUE"""),0.0)</f>
        <v>0</v>
      </c>
      <c r="H3765" s="22">
        <f>IFERROR(__xludf.DUMMYFUNCTION("""COMPUTED_VALUE"""),500000.0)</f>
        <v>500000</v>
      </c>
      <c r="I3765" s="24">
        <f>IFERROR(__xludf.DUMMYFUNCTION("""COMPUTED_VALUE"""),0.0)</f>
        <v>0</v>
      </c>
    </row>
    <row r="3766">
      <c r="A3766" s="5" t="str">
        <f>IFERROR(__xludf.DUMMYFUNCTION("""COMPUTED_VALUE"""),"46104")</f>
        <v>46104</v>
      </c>
      <c r="B3766" s="64">
        <f>IFERROR(__xludf.DUMMYFUNCTION("""COMPUTED_VALUE"""),44606.0)</f>
        <v>44606</v>
      </c>
      <c r="C3766" s="5"/>
      <c r="D3766" s="5"/>
      <c r="E3766" s="5"/>
      <c r="F3766" s="22">
        <f>IFERROR(__xludf.DUMMYFUNCTION("""COMPUTED_VALUE"""),500000.0)</f>
        <v>500000</v>
      </c>
      <c r="G3766" s="22">
        <f>IFERROR(__xludf.DUMMYFUNCTION("""COMPUTED_VALUE"""),0.0)</f>
        <v>0</v>
      </c>
      <c r="H3766" s="22">
        <f>IFERROR(__xludf.DUMMYFUNCTION("""COMPUTED_VALUE"""),500000.0)</f>
        <v>500000</v>
      </c>
      <c r="I3766" s="24">
        <f>IFERROR(__xludf.DUMMYFUNCTION("""COMPUTED_VALUE"""),0.0)</f>
        <v>0</v>
      </c>
    </row>
    <row r="3767">
      <c r="A3767" s="5" t="str">
        <f>IFERROR(__xludf.DUMMYFUNCTION("""COMPUTED_VALUE"""),"46104")</f>
        <v>46104</v>
      </c>
      <c r="B3767" s="64">
        <f>IFERROR(__xludf.DUMMYFUNCTION("""COMPUTED_VALUE"""),44607.0)</f>
        <v>44607</v>
      </c>
      <c r="C3767" s="5"/>
      <c r="D3767" s="5"/>
      <c r="E3767" s="5"/>
      <c r="F3767" s="22">
        <f>IFERROR(__xludf.DUMMYFUNCTION("""COMPUTED_VALUE"""),500000.0)</f>
        <v>500000</v>
      </c>
      <c r="G3767" s="22">
        <f>IFERROR(__xludf.DUMMYFUNCTION("""COMPUTED_VALUE"""),0.0)</f>
        <v>0</v>
      </c>
      <c r="H3767" s="22">
        <f>IFERROR(__xludf.DUMMYFUNCTION("""COMPUTED_VALUE"""),500000.0)</f>
        <v>500000</v>
      </c>
      <c r="I3767" s="24">
        <f>IFERROR(__xludf.DUMMYFUNCTION("""COMPUTED_VALUE"""),0.0)</f>
        <v>0</v>
      </c>
    </row>
    <row r="3768">
      <c r="A3768" s="5" t="str">
        <f>IFERROR(__xludf.DUMMYFUNCTION("""COMPUTED_VALUE"""),"46104")</f>
        <v>46104</v>
      </c>
      <c r="B3768" s="64">
        <f>IFERROR(__xludf.DUMMYFUNCTION("""COMPUTED_VALUE"""),44608.0)</f>
        <v>44608</v>
      </c>
      <c r="C3768" s="5"/>
      <c r="D3768" s="5"/>
      <c r="E3768" s="5"/>
      <c r="F3768" s="22">
        <f>IFERROR(__xludf.DUMMYFUNCTION("""COMPUTED_VALUE"""),500000.0)</f>
        <v>500000</v>
      </c>
      <c r="G3768" s="22">
        <f>IFERROR(__xludf.DUMMYFUNCTION("""COMPUTED_VALUE"""),0.0)</f>
        <v>0</v>
      </c>
      <c r="H3768" s="22">
        <f>IFERROR(__xludf.DUMMYFUNCTION("""COMPUTED_VALUE"""),500000.0)</f>
        <v>500000</v>
      </c>
      <c r="I3768" s="24">
        <f>IFERROR(__xludf.DUMMYFUNCTION("""COMPUTED_VALUE"""),0.0)</f>
        <v>0</v>
      </c>
    </row>
    <row r="3769">
      <c r="A3769" s="5" t="str">
        <f>IFERROR(__xludf.DUMMYFUNCTION("""COMPUTED_VALUE"""),"46104")</f>
        <v>46104</v>
      </c>
      <c r="B3769" s="64">
        <f>IFERROR(__xludf.DUMMYFUNCTION("""COMPUTED_VALUE"""),44609.0)</f>
        <v>44609</v>
      </c>
      <c r="C3769" s="5"/>
      <c r="D3769" s="5"/>
      <c r="E3769" s="5"/>
      <c r="F3769" s="22">
        <f>IFERROR(__xludf.DUMMYFUNCTION("""COMPUTED_VALUE"""),500000.0)</f>
        <v>500000</v>
      </c>
      <c r="G3769" s="22">
        <f>IFERROR(__xludf.DUMMYFUNCTION("""COMPUTED_VALUE"""),0.0)</f>
        <v>0</v>
      </c>
      <c r="H3769" s="22">
        <f>IFERROR(__xludf.DUMMYFUNCTION("""COMPUTED_VALUE"""),500000.0)</f>
        <v>500000</v>
      </c>
      <c r="I3769" s="24">
        <f>IFERROR(__xludf.DUMMYFUNCTION("""COMPUTED_VALUE"""),0.0)</f>
        <v>0</v>
      </c>
    </row>
    <row r="3770">
      <c r="A3770" s="5" t="str">
        <f>IFERROR(__xludf.DUMMYFUNCTION("""COMPUTED_VALUE"""),"46104")</f>
        <v>46104</v>
      </c>
      <c r="B3770" s="64">
        <f>IFERROR(__xludf.DUMMYFUNCTION("""COMPUTED_VALUE"""),44610.0)</f>
        <v>44610</v>
      </c>
      <c r="C3770" s="5"/>
      <c r="D3770" s="5"/>
      <c r="E3770" s="5"/>
      <c r="F3770" s="22">
        <f>IFERROR(__xludf.DUMMYFUNCTION("""COMPUTED_VALUE"""),500000.0)</f>
        <v>500000</v>
      </c>
      <c r="G3770" s="22">
        <f>IFERROR(__xludf.DUMMYFUNCTION("""COMPUTED_VALUE"""),0.0)</f>
        <v>0</v>
      </c>
      <c r="H3770" s="22">
        <f>IFERROR(__xludf.DUMMYFUNCTION("""COMPUTED_VALUE"""),500000.0)</f>
        <v>500000</v>
      </c>
      <c r="I3770" s="24">
        <f>IFERROR(__xludf.DUMMYFUNCTION("""COMPUTED_VALUE"""),0.0)</f>
        <v>0</v>
      </c>
    </row>
    <row r="3771">
      <c r="A3771" s="5" t="str">
        <f>IFERROR(__xludf.DUMMYFUNCTION("""COMPUTED_VALUE"""),"46104")</f>
        <v>46104</v>
      </c>
      <c r="B3771" s="64">
        <f>IFERROR(__xludf.DUMMYFUNCTION("""COMPUTED_VALUE"""),44611.0)</f>
        <v>44611</v>
      </c>
      <c r="C3771" s="5"/>
      <c r="D3771" s="5"/>
      <c r="E3771" s="5"/>
      <c r="F3771" s="22">
        <f>IFERROR(__xludf.DUMMYFUNCTION("""COMPUTED_VALUE"""),500000.0)</f>
        <v>500000</v>
      </c>
      <c r="G3771" s="22">
        <f>IFERROR(__xludf.DUMMYFUNCTION("""COMPUTED_VALUE"""),0.0)</f>
        <v>0</v>
      </c>
      <c r="H3771" s="22">
        <f>IFERROR(__xludf.DUMMYFUNCTION("""COMPUTED_VALUE"""),500000.0)</f>
        <v>500000</v>
      </c>
      <c r="I3771" s="24">
        <f>IFERROR(__xludf.DUMMYFUNCTION("""COMPUTED_VALUE"""),0.0)</f>
        <v>0</v>
      </c>
    </row>
    <row r="3772">
      <c r="A3772" s="5" t="str">
        <f>IFERROR(__xludf.DUMMYFUNCTION("""COMPUTED_VALUE"""),"46104")</f>
        <v>46104</v>
      </c>
      <c r="B3772" s="64">
        <f>IFERROR(__xludf.DUMMYFUNCTION("""COMPUTED_VALUE"""),44612.0)</f>
        <v>44612</v>
      </c>
      <c r="C3772" s="5"/>
      <c r="D3772" s="5"/>
      <c r="E3772" s="5"/>
      <c r="F3772" s="22">
        <f>IFERROR(__xludf.DUMMYFUNCTION("""COMPUTED_VALUE"""),500000.0)</f>
        <v>500000</v>
      </c>
      <c r="G3772" s="22">
        <f>IFERROR(__xludf.DUMMYFUNCTION("""COMPUTED_VALUE"""),0.0)</f>
        <v>0</v>
      </c>
      <c r="H3772" s="22">
        <f>IFERROR(__xludf.DUMMYFUNCTION("""COMPUTED_VALUE"""),500000.0)</f>
        <v>500000</v>
      </c>
      <c r="I3772" s="24">
        <f>IFERROR(__xludf.DUMMYFUNCTION("""COMPUTED_VALUE"""),0.0)</f>
        <v>0</v>
      </c>
    </row>
    <row r="3773">
      <c r="A3773" s="5" t="str">
        <f>IFERROR(__xludf.DUMMYFUNCTION("""COMPUTED_VALUE"""),"46104")</f>
        <v>46104</v>
      </c>
      <c r="B3773" s="64">
        <f>IFERROR(__xludf.DUMMYFUNCTION("""COMPUTED_VALUE"""),44613.0)</f>
        <v>44613</v>
      </c>
      <c r="C3773" s="5"/>
      <c r="D3773" s="5"/>
      <c r="E3773" s="5"/>
      <c r="F3773" s="22">
        <f>IFERROR(__xludf.DUMMYFUNCTION("""COMPUTED_VALUE"""),500000.0)</f>
        <v>500000</v>
      </c>
      <c r="G3773" s="22">
        <f>IFERROR(__xludf.DUMMYFUNCTION("""COMPUTED_VALUE"""),0.0)</f>
        <v>0</v>
      </c>
      <c r="H3773" s="22">
        <f>IFERROR(__xludf.DUMMYFUNCTION("""COMPUTED_VALUE"""),500000.0)</f>
        <v>500000</v>
      </c>
      <c r="I3773" s="24">
        <f>IFERROR(__xludf.DUMMYFUNCTION("""COMPUTED_VALUE"""),0.0)</f>
        <v>0</v>
      </c>
    </row>
    <row r="3774">
      <c r="A3774" s="5" t="str">
        <f>IFERROR(__xludf.DUMMYFUNCTION("""COMPUTED_VALUE"""),"46104")</f>
        <v>46104</v>
      </c>
      <c r="B3774" s="64">
        <f>IFERROR(__xludf.DUMMYFUNCTION("""COMPUTED_VALUE"""),44614.0)</f>
        <v>44614</v>
      </c>
      <c r="C3774" s="5"/>
      <c r="D3774" s="5"/>
      <c r="E3774" s="5"/>
      <c r="F3774" s="22">
        <f>IFERROR(__xludf.DUMMYFUNCTION("""COMPUTED_VALUE"""),500000.0)</f>
        <v>500000</v>
      </c>
      <c r="G3774" s="22">
        <f>IFERROR(__xludf.DUMMYFUNCTION("""COMPUTED_VALUE"""),0.0)</f>
        <v>0</v>
      </c>
      <c r="H3774" s="22">
        <f>IFERROR(__xludf.DUMMYFUNCTION("""COMPUTED_VALUE"""),500000.0)</f>
        <v>500000</v>
      </c>
      <c r="I3774" s="24">
        <f>IFERROR(__xludf.DUMMYFUNCTION("""COMPUTED_VALUE"""),0.0)</f>
        <v>0</v>
      </c>
    </row>
    <row r="3775">
      <c r="A3775" s="5" t="str">
        <f>IFERROR(__xludf.DUMMYFUNCTION("""COMPUTED_VALUE"""),"46104")</f>
        <v>46104</v>
      </c>
      <c r="B3775" s="64">
        <f>IFERROR(__xludf.DUMMYFUNCTION("""COMPUTED_VALUE"""),44615.0)</f>
        <v>44615</v>
      </c>
      <c r="C3775" s="5"/>
      <c r="D3775" s="5"/>
      <c r="E3775" s="5"/>
      <c r="F3775" s="22">
        <f>IFERROR(__xludf.DUMMYFUNCTION("""COMPUTED_VALUE"""),500000.0)</f>
        <v>500000</v>
      </c>
      <c r="G3775" s="22">
        <f>IFERROR(__xludf.DUMMYFUNCTION("""COMPUTED_VALUE"""),0.0)</f>
        <v>0</v>
      </c>
      <c r="H3775" s="22">
        <f>IFERROR(__xludf.DUMMYFUNCTION("""COMPUTED_VALUE"""),500000.0)</f>
        <v>500000</v>
      </c>
      <c r="I3775" s="24">
        <f>IFERROR(__xludf.DUMMYFUNCTION("""COMPUTED_VALUE"""),0.0)</f>
        <v>0</v>
      </c>
    </row>
    <row r="3776">
      <c r="A3776" s="5" t="str">
        <f>IFERROR(__xludf.DUMMYFUNCTION("""COMPUTED_VALUE"""),"46104")</f>
        <v>46104</v>
      </c>
      <c r="B3776" s="64">
        <f>IFERROR(__xludf.DUMMYFUNCTION("""COMPUTED_VALUE"""),44616.0)</f>
        <v>44616</v>
      </c>
      <c r="C3776" s="5"/>
      <c r="D3776" s="5"/>
      <c r="E3776" s="5"/>
      <c r="F3776" s="22">
        <f>IFERROR(__xludf.DUMMYFUNCTION("""COMPUTED_VALUE"""),500000.0)</f>
        <v>500000</v>
      </c>
      <c r="G3776" s="22">
        <f>IFERROR(__xludf.DUMMYFUNCTION("""COMPUTED_VALUE"""),0.0)</f>
        <v>0</v>
      </c>
      <c r="H3776" s="22">
        <f>IFERROR(__xludf.DUMMYFUNCTION("""COMPUTED_VALUE"""),500000.0)</f>
        <v>500000</v>
      </c>
      <c r="I3776" s="24">
        <f>IFERROR(__xludf.DUMMYFUNCTION("""COMPUTED_VALUE"""),0.0)</f>
        <v>0</v>
      </c>
    </row>
    <row r="3777">
      <c r="A3777" s="5" t="str">
        <f>IFERROR(__xludf.DUMMYFUNCTION("""COMPUTED_VALUE"""),"46104")</f>
        <v>46104</v>
      </c>
      <c r="B3777" s="64">
        <f>IFERROR(__xludf.DUMMYFUNCTION("""COMPUTED_VALUE"""),44617.0)</f>
        <v>44617</v>
      </c>
      <c r="C3777" s="5"/>
      <c r="D3777" s="5"/>
      <c r="E3777" s="5"/>
      <c r="F3777" s="22">
        <f>IFERROR(__xludf.DUMMYFUNCTION("""COMPUTED_VALUE"""),500000.0)</f>
        <v>500000</v>
      </c>
      <c r="G3777" s="22">
        <f>IFERROR(__xludf.DUMMYFUNCTION("""COMPUTED_VALUE"""),0.0)</f>
        <v>0</v>
      </c>
      <c r="H3777" s="22">
        <f>IFERROR(__xludf.DUMMYFUNCTION("""COMPUTED_VALUE"""),500000.0)</f>
        <v>500000</v>
      </c>
      <c r="I3777" s="24">
        <f>IFERROR(__xludf.DUMMYFUNCTION("""COMPUTED_VALUE"""),0.0)</f>
        <v>0</v>
      </c>
    </row>
    <row r="3778">
      <c r="A3778" s="5" t="str">
        <f>IFERROR(__xludf.DUMMYFUNCTION("""COMPUTED_VALUE"""),"46104")</f>
        <v>46104</v>
      </c>
      <c r="B3778" s="64">
        <f>IFERROR(__xludf.DUMMYFUNCTION("""COMPUTED_VALUE"""),44618.0)</f>
        <v>44618</v>
      </c>
      <c r="C3778" s="5"/>
      <c r="D3778" s="5"/>
      <c r="E3778" s="5"/>
      <c r="F3778" s="22">
        <f>IFERROR(__xludf.DUMMYFUNCTION("""COMPUTED_VALUE"""),500000.0)</f>
        <v>500000</v>
      </c>
      <c r="G3778" s="22">
        <f>IFERROR(__xludf.DUMMYFUNCTION("""COMPUTED_VALUE"""),0.0)</f>
        <v>0</v>
      </c>
      <c r="H3778" s="22">
        <f>IFERROR(__xludf.DUMMYFUNCTION("""COMPUTED_VALUE"""),500000.0)</f>
        <v>500000</v>
      </c>
      <c r="I3778" s="24">
        <f>IFERROR(__xludf.DUMMYFUNCTION("""COMPUTED_VALUE"""),0.0)</f>
        <v>0</v>
      </c>
    </row>
    <row r="3779">
      <c r="A3779" s="5" t="str">
        <f>IFERROR(__xludf.DUMMYFUNCTION("""COMPUTED_VALUE"""),"46104")</f>
        <v>46104</v>
      </c>
      <c r="B3779" s="64">
        <f>IFERROR(__xludf.DUMMYFUNCTION("""COMPUTED_VALUE"""),44619.0)</f>
        <v>44619</v>
      </c>
      <c r="C3779" s="5"/>
      <c r="D3779" s="5"/>
      <c r="E3779" s="5"/>
      <c r="F3779" s="22">
        <f>IFERROR(__xludf.DUMMYFUNCTION("""COMPUTED_VALUE"""),500000.0)</f>
        <v>500000</v>
      </c>
      <c r="G3779" s="22">
        <f>IFERROR(__xludf.DUMMYFUNCTION("""COMPUTED_VALUE"""),0.0)</f>
        <v>0</v>
      </c>
      <c r="H3779" s="22">
        <f>IFERROR(__xludf.DUMMYFUNCTION("""COMPUTED_VALUE"""),500000.0)</f>
        <v>500000</v>
      </c>
      <c r="I3779" s="24">
        <f>IFERROR(__xludf.DUMMYFUNCTION("""COMPUTED_VALUE"""),0.0)</f>
        <v>0</v>
      </c>
    </row>
    <row r="3780">
      <c r="A3780" s="5" t="str">
        <f>IFERROR(__xludf.DUMMYFUNCTION("""COMPUTED_VALUE"""),"46104")</f>
        <v>46104</v>
      </c>
      <c r="B3780" s="64">
        <f>IFERROR(__xludf.DUMMYFUNCTION("""COMPUTED_VALUE"""),44620.0)</f>
        <v>44620</v>
      </c>
      <c r="C3780" s="5"/>
      <c r="D3780" s="5"/>
      <c r="E3780" s="5"/>
      <c r="F3780" s="22">
        <f>IFERROR(__xludf.DUMMYFUNCTION("""COMPUTED_VALUE"""),500000.0)</f>
        <v>500000</v>
      </c>
      <c r="G3780" s="22">
        <f>IFERROR(__xludf.DUMMYFUNCTION("""COMPUTED_VALUE"""),0.0)</f>
        <v>0</v>
      </c>
      <c r="H3780" s="22">
        <f>IFERROR(__xludf.DUMMYFUNCTION("""COMPUTED_VALUE"""),500000.0)</f>
        <v>500000</v>
      </c>
      <c r="I3780" s="24">
        <f>IFERROR(__xludf.DUMMYFUNCTION("""COMPUTED_VALUE"""),0.0)</f>
        <v>0</v>
      </c>
    </row>
    <row r="3781">
      <c r="A3781" s="5" t="str">
        <f>IFERROR(__xludf.DUMMYFUNCTION("""COMPUTED_VALUE"""),"46104")</f>
        <v>46104</v>
      </c>
      <c r="B3781" s="64">
        <f>IFERROR(__xludf.DUMMYFUNCTION("""COMPUTED_VALUE"""),44621.0)</f>
        <v>44621</v>
      </c>
      <c r="C3781" s="5"/>
      <c r="D3781" s="5"/>
      <c r="E3781" s="5"/>
      <c r="F3781" s="22">
        <f>IFERROR(__xludf.DUMMYFUNCTION("""COMPUTED_VALUE"""),500000.0)</f>
        <v>500000</v>
      </c>
      <c r="G3781" s="22">
        <f>IFERROR(__xludf.DUMMYFUNCTION("""COMPUTED_VALUE"""),0.0)</f>
        <v>0</v>
      </c>
      <c r="H3781" s="22">
        <f>IFERROR(__xludf.DUMMYFUNCTION("""COMPUTED_VALUE"""),500000.0)</f>
        <v>500000</v>
      </c>
      <c r="I3781" s="24">
        <f>IFERROR(__xludf.DUMMYFUNCTION("""COMPUTED_VALUE"""),0.0)</f>
        <v>0</v>
      </c>
    </row>
    <row r="3782">
      <c r="A3782" s="5" t="str">
        <f>IFERROR(__xludf.DUMMYFUNCTION("""COMPUTED_VALUE"""),"46104")</f>
        <v>46104</v>
      </c>
      <c r="B3782" s="64">
        <f>IFERROR(__xludf.DUMMYFUNCTION("""COMPUTED_VALUE"""),44622.0)</f>
        <v>44622</v>
      </c>
      <c r="C3782" s="5"/>
      <c r="D3782" s="5"/>
      <c r="E3782" s="5"/>
      <c r="F3782" s="22">
        <f>IFERROR(__xludf.DUMMYFUNCTION("""COMPUTED_VALUE"""),500000.0)</f>
        <v>500000</v>
      </c>
      <c r="G3782" s="22">
        <f>IFERROR(__xludf.DUMMYFUNCTION("""COMPUTED_VALUE"""),0.0)</f>
        <v>0</v>
      </c>
      <c r="H3782" s="22">
        <f>IFERROR(__xludf.DUMMYFUNCTION("""COMPUTED_VALUE"""),500000.0)</f>
        <v>500000</v>
      </c>
      <c r="I3782" s="24">
        <f>IFERROR(__xludf.DUMMYFUNCTION("""COMPUTED_VALUE"""),0.0)</f>
        <v>0</v>
      </c>
    </row>
    <row r="3783">
      <c r="A3783" s="5" t="str">
        <f>IFERROR(__xludf.DUMMYFUNCTION("""COMPUTED_VALUE"""),"46104")</f>
        <v>46104</v>
      </c>
      <c r="B3783" s="64">
        <f>IFERROR(__xludf.DUMMYFUNCTION("""COMPUTED_VALUE"""),44623.0)</f>
        <v>44623</v>
      </c>
      <c r="C3783" s="5"/>
      <c r="D3783" s="5"/>
      <c r="E3783" s="5"/>
      <c r="F3783" s="22">
        <f>IFERROR(__xludf.DUMMYFUNCTION("""COMPUTED_VALUE"""),500000.0)</f>
        <v>500000</v>
      </c>
      <c r="G3783" s="22">
        <f>IFERROR(__xludf.DUMMYFUNCTION("""COMPUTED_VALUE"""),0.0)</f>
        <v>0</v>
      </c>
      <c r="H3783" s="22">
        <f>IFERROR(__xludf.DUMMYFUNCTION("""COMPUTED_VALUE"""),500000.0)</f>
        <v>500000</v>
      </c>
      <c r="I3783" s="24">
        <f>IFERROR(__xludf.DUMMYFUNCTION("""COMPUTED_VALUE"""),0.0)</f>
        <v>0</v>
      </c>
    </row>
    <row r="3784">
      <c r="A3784" s="5" t="str">
        <f>IFERROR(__xludf.DUMMYFUNCTION("""COMPUTED_VALUE"""),"46104")</f>
        <v>46104</v>
      </c>
      <c r="B3784" s="64">
        <f>IFERROR(__xludf.DUMMYFUNCTION("""COMPUTED_VALUE"""),44624.0)</f>
        <v>44624</v>
      </c>
      <c r="C3784" s="5"/>
      <c r="D3784" s="5"/>
      <c r="E3784" s="5"/>
      <c r="F3784" s="22">
        <f>IFERROR(__xludf.DUMMYFUNCTION("""COMPUTED_VALUE"""),500000.0)</f>
        <v>500000</v>
      </c>
      <c r="G3784" s="22">
        <f>IFERROR(__xludf.DUMMYFUNCTION("""COMPUTED_VALUE"""),0.0)</f>
        <v>0</v>
      </c>
      <c r="H3784" s="22">
        <f>IFERROR(__xludf.DUMMYFUNCTION("""COMPUTED_VALUE"""),500000.0)</f>
        <v>500000</v>
      </c>
      <c r="I3784" s="24">
        <f>IFERROR(__xludf.DUMMYFUNCTION("""COMPUTED_VALUE"""),0.0)</f>
        <v>0</v>
      </c>
    </row>
    <row r="3785">
      <c r="A3785" s="5" t="str">
        <f>IFERROR(__xludf.DUMMYFUNCTION("""COMPUTED_VALUE"""),"46104")</f>
        <v>46104</v>
      </c>
      <c r="B3785" s="64">
        <f>IFERROR(__xludf.DUMMYFUNCTION("""COMPUTED_VALUE"""),44625.0)</f>
        <v>44625</v>
      </c>
      <c r="C3785" s="5"/>
      <c r="D3785" s="5"/>
      <c r="E3785" s="5"/>
      <c r="F3785" s="22">
        <f>IFERROR(__xludf.DUMMYFUNCTION("""COMPUTED_VALUE"""),500000.0)</f>
        <v>500000</v>
      </c>
      <c r="G3785" s="22">
        <f>IFERROR(__xludf.DUMMYFUNCTION("""COMPUTED_VALUE"""),0.0)</f>
        <v>0</v>
      </c>
      <c r="H3785" s="22">
        <f>IFERROR(__xludf.DUMMYFUNCTION("""COMPUTED_VALUE"""),500000.0)</f>
        <v>500000</v>
      </c>
      <c r="I3785" s="24">
        <f>IFERROR(__xludf.DUMMYFUNCTION("""COMPUTED_VALUE"""),0.0)</f>
        <v>0</v>
      </c>
    </row>
    <row r="3786">
      <c r="A3786" s="5" t="str">
        <f>IFERROR(__xludf.DUMMYFUNCTION("""COMPUTED_VALUE"""),"46104")</f>
        <v>46104</v>
      </c>
      <c r="B3786" s="64">
        <f>IFERROR(__xludf.DUMMYFUNCTION("""COMPUTED_VALUE"""),44626.0)</f>
        <v>44626</v>
      </c>
      <c r="C3786" s="5"/>
      <c r="D3786" s="5"/>
      <c r="E3786" s="5"/>
      <c r="F3786" s="22">
        <f>IFERROR(__xludf.DUMMYFUNCTION("""COMPUTED_VALUE"""),500000.0)</f>
        <v>500000</v>
      </c>
      <c r="G3786" s="22">
        <f>IFERROR(__xludf.DUMMYFUNCTION("""COMPUTED_VALUE"""),0.0)</f>
        <v>0</v>
      </c>
      <c r="H3786" s="22">
        <f>IFERROR(__xludf.DUMMYFUNCTION("""COMPUTED_VALUE"""),500000.0)</f>
        <v>500000</v>
      </c>
      <c r="I3786" s="24">
        <f>IFERROR(__xludf.DUMMYFUNCTION("""COMPUTED_VALUE"""),0.0)</f>
        <v>0</v>
      </c>
    </row>
    <row r="3787">
      <c r="A3787" s="5" t="str">
        <f>IFERROR(__xludf.DUMMYFUNCTION("""COMPUTED_VALUE"""),"46104")</f>
        <v>46104</v>
      </c>
      <c r="B3787" s="64">
        <f>IFERROR(__xludf.DUMMYFUNCTION("""COMPUTED_VALUE"""),44627.0)</f>
        <v>44627</v>
      </c>
      <c r="C3787" s="5"/>
      <c r="D3787" s="5"/>
      <c r="E3787" s="5"/>
      <c r="F3787" s="22">
        <f>IFERROR(__xludf.DUMMYFUNCTION("""COMPUTED_VALUE"""),500000.0)</f>
        <v>500000</v>
      </c>
      <c r="G3787" s="22">
        <f>IFERROR(__xludf.DUMMYFUNCTION("""COMPUTED_VALUE"""),0.0)</f>
        <v>0</v>
      </c>
      <c r="H3787" s="22">
        <f>IFERROR(__xludf.DUMMYFUNCTION("""COMPUTED_VALUE"""),500000.0)</f>
        <v>500000</v>
      </c>
      <c r="I3787" s="24">
        <f>IFERROR(__xludf.DUMMYFUNCTION("""COMPUTED_VALUE"""),0.0)</f>
        <v>0</v>
      </c>
    </row>
    <row r="3788">
      <c r="A3788" s="5" t="str">
        <f>IFERROR(__xludf.DUMMYFUNCTION("""COMPUTED_VALUE"""),"46104")</f>
        <v>46104</v>
      </c>
      <c r="B3788" s="64">
        <f>IFERROR(__xludf.DUMMYFUNCTION("""COMPUTED_VALUE"""),44628.0)</f>
        <v>44628</v>
      </c>
      <c r="C3788" s="5"/>
      <c r="D3788" s="5"/>
      <c r="E3788" s="5"/>
      <c r="F3788" s="22">
        <f>IFERROR(__xludf.DUMMYFUNCTION("""COMPUTED_VALUE"""),500000.0)</f>
        <v>500000</v>
      </c>
      <c r="G3788" s="22">
        <f>IFERROR(__xludf.DUMMYFUNCTION("""COMPUTED_VALUE"""),0.0)</f>
        <v>0</v>
      </c>
      <c r="H3788" s="22">
        <f>IFERROR(__xludf.DUMMYFUNCTION("""COMPUTED_VALUE"""),500000.0)</f>
        <v>500000</v>
      </c>
      <c r="I3788" s="24">
        <f>IFERROR(__xludf.DUMMYFUNCTION("""COMPUTED_VALUE"""),0.0)</f>
        <v>0</v>
      </c>
    </row>
    <row r="3789">
      <c r="A3789" s="5" t="str">
        <f>IFERROR(__xludf.DUMMYFUNCTION("""COMPUTED_VALUE"""),"46104")</f>
        <v>46104</v>
      </c>
      <c r="B3789" s="64">
        <f>IFERROR(__xludf.DUMMYFUNCTION("""COMPUTED_VALUE"""),44629.0)</f>
        <v>44629</v>
      </c>
      <c r="C3789" s="5"/>
      <c r="D3789" s="5"/>
      <c r="E3789" s="5"/>
      <c r="F3789" s="22">
        <f>IFERROR(__xludf.DUMMYFUNCTION("""COMPUTED_VALUE"""),500000.0)</f>
        <v>500000</v>
      </c>
      <c r="G3789" s="22">
        <f>IFERROR(__xludf.DUMMYFUNCTION("""COMPUTED_VALUE"""),0.0)</f>
        <v>0</v>
      </c>
      <c r="H3789" s="22">
        <f>IFERROR(__xludf.DUMMYFUNCTION("""COMPUTED_VALUE"""),500000.0)</f>
        <v>500000</v>
      </c>
      <c r="I3789" s="24">
        <f>IFERROR(__xludf.DUMMYFUNCTION("""COMPUTED_VALUE"""),0.0)</f>
        <v>0</v>
      </c>
    </row>
    <row r="3790">
      <c r="A3790" s="5" t="str">
        <f>IFERROR(__xludf.DUMMYFUNCTION("""COMPUTED_VALUE"""),"46104")</f>
        <v>46104</v>
      </c>
      <c r="B3790" s="64">
        <f>IFERROR(__xludf.DUMMYFUNCTION("""COMPUTED_VALUE"""),44630.0)</f>
        <v>44630</v>
      </c>
      <c r="C3790" s="5"/>
      <c r="D3790" s="5"/>
      <c r="E3790" s="5"/>
      <c r="F3790" s="22">
        <f>IFERROR(__xludf.DUMMYFUNCTION("""COMPUTED_VALUE"""),500000.0)</f>
        <v>500000</v>
      </c>
      <c r="G3790" s="22">
        <f>IFERROR(__xludf.DUMMYFUNCTION("""COMPUTED_VALUE"""),0.0)</f>
        <v>0</v>
      </c>
      <c r="H3790" s="22">
        <f>IFERROR(__xludf.DUMMYFUNCTION("""COMPUTED_VALUE"""),500000.0)</f>
        <v>500000</v>
      </c>
      <c r="I3790" s="24">
        <f>IFERROR(__xludf.DUMMYFUNCTION("""COMPUTED_VALUE"""),0.0)</f>
        <v>0</v>
      </c>
    </row>
    <row r="3791">
      <c r="A3791" s="5" t="str">
        <f>IFERROR(__xludf.DUMMYFUNCTION("""COMPUTED_VALUE"""),"46104")</f>
        <v>46104</v>
      </c>
      <c r="B3791" s="64">
        <f>IFERROR(__xludf.DUMMYFUNCTION("""COMPUTED_VALUE"""),44631.0)</f>
        <v>44631</v>
      </c>
      <c r="C3791" s="5"/>
      <c r="D3791" s="5"/>
      <c r="E3791" s="5"/>
      <c r="F3791" s="22">
        <f>IFERROR(__xludf.DUMMYFUNCTION("""COMPUTED_VALUE"""),500000.0)</f>
        <v>500000</v>
      </c>
      <c r="G3791" s="22">
        <f>IFERROR(__xludf.DUMMYFUNCTION("""COMPUTED_VALUE"""),0.0)</f>
        <v>0</v>
      </c>
      <c r="H3791" s="22">
        <f>IFERROR(__xludf.DUMMYFUNCTION("""COMPUTED_VALUE"""),500000.0)</f>
        <v>500000</v>
      </c>
      <c r="I3791" s="24">
        <f>IFERROR(__xludf.DUMMYFUNCTION("""COMPUTED_VALUE"""),0.0)</f>
        <v>0</v>
      </c>
    </row>
    <row r="3792">
      <c r="A3792" s="5" t="str">
        <f>IFERROR(__xludf.DUMMYFUNCTION("""COMPUTED_VALUE"""),"46104")</f>
        <v>46104</v>
      </c>
      <c r="B3792" s="64">
        <f>IFERROR(__xludf.DUMMYFUNCTION("""COMPUTED_VALUE"""),44632.0)</f>
        <v>44632</v>
      </c>
      <c r="C3792" s="5"/>
      <c r="D3792" s="5"/>
      <c r="E3792" s="5"/>
      <c r="F3792" s="22">
        <f>IFERROR(__xludf.DUMMYFUNCTION("""COMPUTED_VALUE"""),500000.0)</f>
        <v>500000</v>
      </c>
      <c r="G3792" s="22">
        <f>IFERROR(__xludf.DUMMYFUNCTION("""COMPUTED_VALUE"""),0.0)</f>
        <v>0</v>
      </c>
      <c r="H3792" s="22">
        <f>IFERROR(__xludf.DUMMYFUNCTION("""COMPUTED_VALUE"""),500000.0)</f>
        <v>500000</v>
      </c>
      <c r="I3792" s="24">
        <f>IFERROR(__xludf.DUMMYFUNCTION("""COMPUTED_VALUE"""),0.0)</f>
        <v>0</v>
      </c>
    </row>
    <row r="3793">
      <c r="A3793" s="5" t="str">
        <f>IFERROR(__xludf.DUMMYFUNCTION("""COMPUTED_VALUE"""),"46104")</f>
        <v>46104</v>
      </c>
      <c r="B3793" s="64">
        <f>IFERROR(__xludf.DUMMYFUNCTION("""COMPUTED_VALUE"""),44633.0)</f>
        <v>44633</v>
      </c>
      <c r="C3793" s="5"/>
      <c r="D3793" s="5"/>
      <c r="E3793" s="5"/>
      <c r="F3793" s="22">
        <f>IFERROR(__xludf.DUMMYFUNCTION("""COMPUTED_VALUE"""),500000.0)</f>
        <v>500000</v>
      </c>
      <c r="G3793" s="22">
        <f>IFERROR(__xludf.DUMMYFUNCTION("""COMPUTED_VALUE"""),0.0)</f>
        <v>0</v>
      </c>
      <c r="H3793" s="22">
        <f>IFERROR(__xludf.DUMMYFUNCTION("""COMPUTED_VALUE"""),500000.0)</f>
        <v>500000</v>
      </c>
      <c r="I3793" s="24">
        <f>IFERROR(__xludf.DUMMYFUNCTION("""COMPUTED_VALUE"""),0.0)</f>
        <v>0</v>
      </c>
    </row>
    <row r="3794">
      <c r="A3794" s="5" t="str">
        <f>IFERROR(__xludf.DUMMYFUNCTION("""COMPUTED_VALUE"""),"46104")</f>
        <v>46104</v>
      </c>
      <c r="B3794" s="64">
        <f>IFERROR(__xludf.DUMMYFUNCTION("""COMPUTED_VALUE"""),44634.0)</f>
        <v>44634</v>
      </c>
      <c r="C3794" s="5"/>
      <c r="D3794" s="5"/>
      <c r="E3794" s="5"/>
      <c r="F3794" s="22">
        <f>IFERROR(__xludf.DUMMYFUNCTION("""COMPUTED_VALUE"""),500000.0)</f>
        <v>500000</v>
      </c>
      <c r="G3794" s="22">
        <f>IFERROR(__xludf.DUMMYFUNCTION("""COMPUTED_VALUE"""),0.0)</f>
        <v>0</v>
      </c>
      <c r="H3794" s="22">
        <f>IFERROR(__xludf.DUMMYFUNCTION("""COMPUTED_VALUE"""),500000.0)</f>
        <v>500000</v>
      </c>
      <c r="I3794" s="24">
        <f>IFERROR(__xludf.DUMMYFUNCTION("""COMPUTED_VALUE"""),0.0)</f>
        <v>0</v>
      </c>
    </row>
    <row r="3795">
      <c r="A3795" s="5" t="str">
        <f>IFERROR(__xludf.DUMMYFUNCTION("""COMPUTED_VALUE"""),"46104")</f>
        <v>46104</v>
      </c>
      <c r="B3795" s="64">
        <f>IFERROR(__xludf.DUMMYFUNCTION("""COMPUTED_VALUE"""),44635.0)</f>
        <v>44635</v>
      </c>
      <c r="C3795" s="5"/>
      <c r="D3795" s="5"/>
      <c r="E3795" s="5"/>
      <c r="F3795" s="22">
        <f>IFERROR(__xludf.DUMMYFUNCTION("""COMPUTED_VALUE"""),500000.0)</f>
        <v>500000</v>
      </c>
      <c r="G3795" s="22">
        <f>IFERROR(__xludf.DUMMYFUNCTION("""COMPUTED_VALUE"""),0.0)</f>
        <v>0</v>
      </c>
      <c r="H3795" s="22">
        <f>IFERROR(__xludf.DUMMYFUNCTION("""COMPUTED_VALUE"""),500000.0)</f>
        <v>500000</v>
      </c>
      <c r="I3795" s="24">
        <f>IFERROR(__xludf.DUMMYFUNCTION("""COMPUTED_VALUE"""),0.0)</f>
        <v>0</v>
      </c>
    </row>
    <row r="3796">
      <c r="A3796" s="5" t="str">
        <f>IFERROR(__xludf.DUMMYFUNCTION("""COMPUTED_VALUE"""),"46104")</f>
        <v>46104</v>
      </c>
      <c r="B3796" s="64">
        <f>IFERROR(__xludf.DUMMYFUNCTION("""COMPUTED_VALUE"""),44636.0)</f>
        <v>44636</v>
      </c>
      <c r="C3796" s="5"/>
      <c r="D3796" s="5"/>
      <c r="E3796" s="5"/>
      <c r="F3796" s="22">
        <f>IFERROR(__xludf.DUMMYFUNCTION("""COMPUTED_VALUE"""),500000.0)</f>
        <v>500000</v>
      </c>
      <c r="G3796" s="22">
        <f>IFERROR(__xludf.DUMMYFUNCTION("""COMPUTED_VALUE"""),0.0)</f>
        <v>0</v>
      </c>
      <c r="H3796" s="22">
        <f>IFERROR(__xludf.DUMMYFUNCTION("""COMPUTED_VALUE"""),500000.0)</f>
        <v>500000</v>
      </c>
      <c r="I3796" s="24">
        <f>IFERROR(__xludf.DUMMYFUNCTION("""COMPUTED_VALUE"""),0.0)</f>
        <v>0</v>
      </c>
    </row>
    <row r="3797">
      <c r="A3797" s="5" t="str">
        <f>IFERROR(__xludf.DUMMYFUNCTION("""COMPUTED_VALUE"""),"46104")</f>
        <v>46104</v>
      </c>
      <c r="B3797" s="64">
        <f>IFERROR(__xludf.DUMMYFUNCTION("""COMPUTED_VALUE"""),44637.0)</f>
        <v>44637</v>
      </c>
      <c r="C3797" s="5"/>
      <c r="D3797" s="5"/>
      <c r="E3797" s="5"/>
      <c r="F3797" s="22">
        <f>IFERROR(__xludf.DUMMYFUNCTION("""COMPUTED_VALUE"""),500000.0)</f>
        <v>500000</v>
      </c>
      <c r="G3797" s="22">
        <f>IFERROR(__xludf.DUMMYFUNCTION("""COMPUTED_VALUE"""),0.0)</f>
        <v>0</v>
      </c>
      <c r="H3797" s="22">
        <f>IFERROR(__xludf.DUMMYFUNCTION("""COMPUTED_VALUE"""),500000.0)</f>
        <v>500000</v>
      </c>
      <c r="I3797" s="24">
        <f>IFERROR(__xludf.DUMMYFUNCTION("""COMPUTED_VALUE"""),0.0)</f>
        <v>0</v>
      </c>
    </row>
    <row r="3798">
      <c r="A3798" s="5" t="str">
        <f>IFERROR(__xludf.DUMMYFUNCTION("""COMPUTED_VALUE"""),"46104")</f>
        <v>46104</v>
      </c>
      <c r="B3798" s="64">
        <f>IFERROR(__xludf.DUMMYFUNCTION("""COMPUTED_VALUE"""),44638.0)</f>
        <v>44638</v>
      </c>
      <c r="C3798" s="5"/>
      <c r="D3798" s="5"/>
      <c r="E3798" s="5"/>
      <c r="F3798" s="22">
        <f>IFERROR(__xludf.DUMMYFUNCTION("""COMPUTED_VALUE"""),500000.0)</f>
        <v>500000</v>
      </c>
      <c r="G3798" s="22">
        <f>IFERROR(__xludf.DUMMYFUNCTION("""COMPUTED_VALUE"""),0.0)</f>
        <v>0</v>
      </c>
      <c r="H3798" s="22">
        <f>IFERROR(__xludf.DUMMYFUNCTION("""COMPUTED_VALUE"""),500000.0)</f>
        <v>500000</v>
      </c>
      <c r="I3798" s="24">
        <f>IFERROR(__xludf.DUMMYFUNCTION("""COMPUTED_VALUE"""),0.0)</f>
        <v>0</v>
      </c>
    </row>
    <row r="3799">
      <c r="A3799" s="5" t="str">
        <f>IFERROR(__xludf.DUMMYFUNCTION("""COMPUTED_VALUE"""),"46104")</f>
        <v>46104</v>
      </c>
      <c r="B3799" s="64">
        <f>IFERROR(__xludf.DUMMYFUNCTION("""COMPUTED_VALUE"""),44639.0)</f>
        <v>44639</v>
      </c>
      <c r="C3799" s="5"/>
      <c r="D3799" s="5"/>
      <c r="E3799" s="5"/>
      <c r="F3799" s="22">
        <f>IFERROR(__xludf.DUMMYFUNCTION("""COMPUTED_VALUE"""),500000.0)</f>
        <v>500000</v>
      </c>
      <c r="G3799" s="22">
        <f>IFERROR(__xludf.DUMMYFUNCTION("""COMPUTED_VALUE"""),0.0)</f>
        <v>0</v>
      </c>
      <c r="H3799" s="22">
        <f>IFERROR(__xludf.DUMMYFUNCTION("""COMPUTED_VALUE"""),500000.0)</f>
        <v>500000</v>
      </c>
      <c r="I3799" s="24">
        <f>IFERROR(__xludf.DUMMYFUNCTION("""COMPUTED_VALUE"""),0.0)</f>
        <v>0</v>
      </c>
    </row>
    <row r="3800">
      <c r="A3800" s="5" t="str">
        <f>IFERROR(__xludf.DUMMYFUNCTION("""COMPUTED_VALUE"""),"46104")</f>
        <v>46104</v>
      </c>
      <c r="B3800" s="64">
        <f>IFERROR(__xludf.DUMMYFUNCTION("""COMPUTED_VALUE"""),44640.0)</f>
        <v>44640</v>
      </c>
      <c r="C3800" s="5"/>
      <c r="D3800" s="5"/>
      <c r="E3800" s="5"/>
      <c r="F3800" s="22">
        <f>IFERROR(__xludf.DUMMYFUNCTION("""COMPUTED_VALUE"""),500000.0)</f>
        <v>500000</v>
      </c>
      <c r="G3800" s="22">
        <f>IFERROR(__xludf.DUMMYFUNCTION("""COMPUTED_VALUE"""),0.0)</f>
        <v>0</v>
      </c>
      <c r="H3800" s="22">
        <f>IFERROR(__xludf.DUMMYFUNCTION("""COMPUTED_VALUE"""),500000.0)</f>
        <v>500000</v>
      </c>
      <c r="I3800" s="24">
        <f>IFERROR(__xludf.DUMMYFUNCTION("""COMPUTED_VALUE"""),0.0)</f>
        <v>0</v>
      </c>
    </row>
    <row r="3801">
      <c r="A3801" s="5" t="str">
        <f>IFERROR(__xludf.DUMMYFUNCTION("""COMPUTED_VALUE"""),"46104")</f>
        <v>46104</v>
      </c>
      <c r="B3801" s="64">
        <f>IFERROR(__xludf.DUMMYFUNCTION("""COMPUTED_VALUE"""),44641.0)</f>
        <v>44641</v>
      </c>
      <c r="C3801" s="5"/>
      <c r="D3801" s="5"/>
      <c r="E3801" s="5"/>
      <c r="F3801" s="22">
        <f>IFERROR(__xludf.DUMMYFUNCTION("""COMPUTED_VALUE"""),500000.0)</f>
        <v>500000</v>
      </c>
      <c r="G3801" s="22">
        <f>IFERROR(__xludf.DUMMYFUNCTION("""COMPUTED_VALUE"""),0.0)</f>
        <v>0</v>
      </c>
      <c r="H3801" s="22">
        <f>IFERROR(__xludf.DUMMYFUNCTION("""COMPUTED_VALUE"""),500000.0)</f>
        <v>500000</v>
      </c>
      <c r="I3801" s="24">
        <f>IFERROR(__xludf.DUMMYFUNCTION("""COMPUTED_VALUE"""),0.0)</f>
        <v>0</v>
      </c>
    </row>
    <row r="3802">
      <c r="A3802" s="5" t="str">
        <f>IFERROR(__xludf.DUMMYFUNCTION("""COMPUTED_VALUE"""),"46104")</f>
        <v>46104</v>
      </c>
      <c r="B3802" s="64">
        <f>IFERROR(__xludf.DUMMYFUNCTION("""COMPUTED_VALUE"""),44642.0)</f>
        <v>44642</v>
      </c>
      <c r="C3802" s="5"/>
      <c r="D3802" s="5"/>
      <c r="E3802" s="5"/>
      <c r="F3802" s="22">
        <f>IFERROR(__xludf.DUMMYFUNCTION("""COMPUTED_VALUE"""),500000.0)</f>
        <v>500000</v>
      </c>
      <c r="G3802" s="22">
        <f>IFERROR(__xludf.DUMMYFUNCTION("""COMPUTED_VALUE"""),0.0)</f>
        <v>0</v>
      </c>
      <c r="H3802" s="22">
        <f>IFERROR(__xludf.DUMMYFUNCTION("""COMPUTED_VALUE"""),500000.0)</f>
        <v>500000</v>
      </c>
      <c r="I3802" s="24">
        <f>IFERROR(__xludf.DUMMYFUNCTION("""COMPUTED_VALUE"""),0.0)</f>
        <v>0</v>
      </c>
    </row>
    <row r="3803">
      <c r="A3803" s="5" t="str">
        <f>IFERROR(__xludf.DUMMYFUNCTION("""COMPUTED_VALUE"""),"46104")</f>
        <v>46104</v>
      </c>
      <c r="B3803" s="64">
        <f>IFERROR(__xludf.DUMMYFUNCTION("""COMPUTED_VALUE"""),44643.0)</f>
        <v>44643</v>
      </c>
      <c r="C3803" s="5"/>
      <c r="D3803" s="5"/>
      <c r="E3803" s="5"/>
      <c r="F3803" s="22">
        <f>IFERROR(__xludf.DUMMYFUNCTION("""COMPUTED_VALUE"""),500000.0)</f>
        <v>500000</v>
      </c>
      <c r="G3803" s="22">
        <f>IFERROR(__xludf.DUMMYFUNCTION("""COMPUTED_VALUE"""),0.0)</f>
        <v>0</v>
      </c>
      <c r="H3803" s="22">
        <f>IFERROR(__xludf.DUMMYFUNCTION("""COMPUTED_VALUE"""),500000.0)</f>
        <v>500000</v>
      </c>
      <c r="I3803" s="24">
        <f>IFERROR(__xludf.DUMMYFUNCTION("""COMPUTED_VALUE"""),0.0)</f>
        <v>0</v>
      </c>
    </row>
    <row r="3804">
      <c r="A3804" s="5" t="str">
        <f>IFERROR(__xludf.DUMMYFUNCTION("""COMPUTED_VALUE"""),"46104")</f>
        <v>46104</v>
      </c>
      <c r="B3804" s="64">
        <f>IFERROR(__xludf.DUMMYFUNCTION("""COMPUTED_VALUE"""),44644.0)</f>
        <v>44644</v>
      </c>
      <c r="C3804" s="5"/>
      <c r="D3804" s="5"/>
      <c r="E3804" s="5"/>
      <c r="F3804" s="22">
        <f>IFERROR(__xludf.DUMMYFUNCTION("""COMPUTED_VALUE"""),500000.0)</f>
        <v>500000</v>
      </c>
      <c r="G3804" s="22">
        <f>IFERROR(__xludf.DUMMYFUNCTION("""COMPUTED_VALUE"""),0.0)</f>
        <v>0</v>
      </c>
      <c r="H3804" s="22">
        <f>IFERROR(__xludf.DUMMYFUNCTION("""COMPUTED_VALUE"""),500000.0)</f>
        <v>500000</v>
      </c>
      <c r="I3804" s="24">
        <f>IFERROR(__xludf.DUMMYFUNCTION("""COMPUTED_VALUE"""),0.0)</f>
        <v>0</v>
      </c>
    </row>
    <row r="3805">
      <c r="A3805" s="5" t="str">
        <f>IFERROR(__xludf.DUMMYFUNCTION("""COMPUTED_VALUE"""),"46104")</f>
        <v>46104</v>
      </c>
      <c r="B3805" s="64">
        <f>IFERROR(__xludf.DUMMYFUNCTION("""COMPUTED_VALUE"""),44645.0)</f>
        <v>44645</v>
      </c>
      <c r="C3805" s="5"/>
      <c r="D3805" s="5"/>
      <c r="E3805" s="5"/>
      <c r="F3805" s="22">
        <f>IFERROR(__xludf.DUMMYFUNCTION("""COMPUTED_VALUE"""),500000.0)</f>
        <v>500000</v>
      </c>
      <c r="G3805" s="22">
        <f>IFERROR(__xludf.DUMMYFUNCTION("""COMPUTED_VALUE"""),0.0)</f>
        <v>0</v>
      </c>
      <c r="H3805" s="22">
        <f>IFERROR(__xludf.DUMMYFUNCTION("""COMPUTED_VALUE"""),500000.0)</f>
        <v>500000</v>
      </c>
      <c r="I3805" s="24">
        <f>IFERROR(__xludf.DUMMYFUNCTION("""COMPUTED_VALUE"""),0.0)</f>
        <v>0</v>
      </c>
    </row>
    <row r="3806">
      <c r="A3806" s="5" t="str">
        <f>IFERROR(__xludf.DUMMYFUNCTION("""COMPUTED_VALUE"""),"46104")</f>
        <v>46104</v>
      </c>
      <c r="B3806" s="64">
        <f>IFERROR(__xludf.DUMMYFUNCTION("""COMPUTED_VALUE"""),44646.0)</f>
        <v>44646</v>
      </c>
      <c r="C3806" s="5"/>
      <c r="D3806" s="5"/>
      <c r="E3806" s="5"/>
      <c r="F3806" s="22">
        <f>IFERROR(__xludf.DUMMYFUNCTION("""COMPUTED_VALUE"""),500000.0)</f>
        <v>500000</v>
      </c>
      <c r="G3806" s="22">
        <f>IFERROR(__xludf.DUMMYFUNCTION("""COMPUTED_VALUE"""),0.0)</f>
        <v>0</v>
      </c>
      <c r="H3806" s="22">
        <f>IFERROR(__xludf.DUMMYFUNCTION("""COMPUTED_VALUE"""),500000.0)</f>
        <v>500000</v>
      </c>
      <c r="I3806" s="24">
        <f>IFERROR(__xludf.DUMMYFUNCTION("""COMPUTED_VALUE"""),0.0)</f>
        <v>0</v>
      </c>
    </row>
    <row r="3807">
      <c r="A3807" s="5" t="str">
        <f>IFERROR(__xludf.DUMMYFUNCTION("""COMPUTED_VALUE"""),"46104")</f>
        <v>46104</v>
      </c>
      <c r="B3807" s="64">
        <f>IFERROR(__xludf.DUMMYFUNCTION("""COMPUTED_VALUE"""),44647.0)</f>
        <v>44647</v>
      </c>
      <c r="C3807" s="5"/>
      <c r="D3807" s="5"/>
      <c r="E3807" s="5"/>
      <c r="F3807" s="22">
        <f>IFERROR(__xludf.DUMMYFUNCTION("""COMPUTED_VALUE"""),500000.0)</f>
        <v>500000</v>
      </c>
      <c r="G3807" s="22">
        <f>IFERROR(__xludf.DUMMYFUNCTION("""COMPUTED_VALUE"""),0.0)</f>
        <v>0</v>
      </c>
      <c r="H3807" s="22">
        <f>IFERROR(__xludf.DUMMYFUNCTION("""COMPUTED_VALUE"""),500000.0)</f>
        <v>500000</v>
      </c>
      <c r="I3807" s="24">
        <f>IFERROR(__xludf.DUMMYFUNCTION("""COMPUTED_VALUE"""),0.0)</f>
        <v>0</v>
      </c>
    </row>
    <row r="3808">
      <c r="A3808" s="5" t="str">
        <f>IFERROR(__xludf.DUMMYFUNCTION("""COMPUTED_VALUE"""),"46104")</f>
        <v>46104</v>
      </c>
      <c r="B3808" s="64">
        <f>IFERROR(__xludf.DUMMYFUNCTION("""COMPUTED_VALUE"""),44648.0)</f>
        <v>44648</v>
      </c>
      <c r="C3808" s="5"/>
      <c r="D3808" s="5"/>
      <c r="E3808" s="5"/>
      <c r="F3808" s="22">
        <f>IFERROR(__xludf.DUMMYFUNCTION("""COMPUTED_VALUE"""),500000.0)</f>
        <v>500000</v>
      </c>
      <c r="G3808" s="22">
        <f>IFERROR(__xludf.DUMMYFUNCTION("""COMPUTED_VALUE"""),0.0)</f>
        <v>0</v>
      </c>
      <c r="H3808" s="22">
        <f>IFERROR(__xludf.DUMMYFUNCTION("""COMPUTED_VALUE"""),500000.0)</f>
        <v>500000</v>
      </c>
      <c r="I3808" s="24">
        <f>IFERROR(__xludf.DUMMYFUNCTION("""COMPUTED_VALUE"""),0.0)</f>
        <v>0</v>
      </c>
    </row>
    <row r="3809">
      <c r="A3809" s="5" t="str">
        <f>IFERROR(__xludf.DUMMYFUNCTION("""COMPUTED_VALUE"""),"46104")</f>
        <v>46104</v>
      </c>
      <c r="B3809" s="64">
        <f>IFERROR(__xludf.DUMMYFUNCTION("""COMPUTED_VALUE"""),44649.0)</f>
        <v>44649</v>
      </c>
      <c r="C3809" s="5"/>
      <c r="D3809" s="5"/>
      <c r="E3809" s="5"/>
      <c r="F3809" s="22">
        <f>IFERROR(__xludf.DUMMYFUNCTION("""COMPUTED_VALUE"""),500000.0)</f>
        <v>500000</v>
      </c>
      <c r="G3809" s="22">
        <f>IFERROR(__xludf.DUMMYFUNCTION("""COMPUTED_VALUE"""),0.0)</f>
        <v>0</v>
      </c>
      <c r="H3809" s="22">
        <f>IFERROR(__xludf.DUMMYFUNCTION("""COMPUTED_VALUE"""),500000.0)</f>
        <v>500000</v>
      </c>
      <c r="I3809" s="24">
        <f>IFERROR(__xludf.DUMMYFUNCTION("""COMPUTED_VALUE"""),0.0)</f>
        <v>0</v>
      </c>
    </row>
    <row r="3810">
      <c r="A3810" s="5" t="str">
        <f>IFERROR(__xludf.DUMMYFUNCTION("""COMPUTED_VALUE"""),"46104")</f>
        <v>46104</v>
      </c>
      <c r="B3810" s="64">
        <f>IFERROR(__xludf.DUMMYFUNCTION("""COMPUTED_VALUE"""),44650.0)</f>
        <v>44650</v>
      </c>
      <c r="C3810" s="5"/>
      <c r="D3810" s="5"/>
      <c r="E3810" s="5"/>
      <c r="F3810" s="22">
        <f>IFERROR(__xludf.DUMMYFUNCTION("""COMPUTED_VALUE"""),500000.0)</f>
        <v>500000</v>
      </c>
      <c r="G3810" s="22">
        <f>IFERROR(__xludf.DUMMYFUNCTION("""COMPUTED_VALUE"""),0.0)</f>
        <v>0</v>
      </c>
      <c r="H3810" s="22">
        <f>IFERROR(__xludf.DUMMYFUNCTION("""COMPUTED_VALUE"""),500000.0)</f>
        <v>500000</v>
      </c>
      <c r="I3810" s="24">
        <f>IFERROR(__xludf.DUMMYFUNCTION("""COMPUTED_VALUE"""),0.0)</f>
        <v>0</v>
      </c>
    </row>
    <row r="3811">
      <c r="A3811" s="5" t="str">
        <f>IFERROR(__xludf.DUMMYFUNCTION("""COMPUTED_VALUE"""),"46104")</f>
        <v>46104</v>
      </c>
      <c r="B3811" s="64">
        <f>IFERROR(__xludf.DUMMYFUNCTION("""COMPUTED_VALUE"""),44651.0)</f>
        <v>44651</v>
      </c>
      <c r="C3811" s="5"/>
      <c r="D3811" s="5"/>
      <c r="E3811" s="5"/>
      <c r="F3811" s="22">
        <f>IFERROR(__xludf.DUMMYFUNCTION("""COMPUTED_VALUE"""),500000.0)</f>
        <v>500000</v>
      </c>
      <c r="G3811" s="22">
        <f>IFERROR(__xludf.DUMMYFUNCTION("""COMPUTED_VALUE"""),0.0)</f>
        <v>0</v>
      </c>
      <c r="H3811" s="22">
        <f>IFERROR(__xludf.DUMMYFUNCTION("""COMPUTED_VALUE"""),500000.0)</f>
        <v>500000</v>
      </c>
      <c r="I3811" s="24">
        <f>IFERROR(__xludf.DUMMYFUNCTION("""COMPUTED_VALUE"""),0.0)</f>
        <v>0</v>
      </c>
    </row>
    <row r="3812">
      <c r="A3812" s="5" t="str">
        <f>IFERROR(__xludf.DUMMYFUNCTION("""COMPUTED_VALUE"""),"46104")</f>
        <v>46104</v>
      </c>
      <c r="B3812" s="64">
        <f>IFERROR(__xludf.DUMMYFUNCTION("""COMPUTED_VALUE"""),44652.0)</f>
        <v>44652</v>
      </c>
      <c r="C3812" s="5"/>
      <c r="D3812" s="5"/>
      <c r="E3812" s="5"/>
      <c r="F3812" s="22">
        <f>IFERROR(__xludf.DUMMYFUNCTION("""COMPUTED_VALUE"""),500000.0)</f>
        <v>500000</v>
      </c>
      <c r="G3812" s="22">
        <f>IFERROR(__xludf.DUMMYFUNCTION("""COMPUTED_VALUE"""),0.0)</f>
        <v>0</v>
      </c>
      <c r="H3812" s="22">
        <f>IFERROR(__xludf.DUMMYFUNCTION("""COMPUTED_VALUE"""),500000.0)</f>
        <v>500000</v>
      </c>
      <c r="I3812" s="24">
        <f>IFERROR(__xludf.DUMMYFUNCTION("""COMPUTED_VALUE"""),0.0)</f>
        <v>0</v>
      </c>
    </row>
    <row r="3813">
      <c r="A3813" s="5" t="str">
        <f>IFERROR(__xludf.DUMMYFUNCTION("""COMPUTED_VALUE"""),"46104")</f>
        <v>46104</v>
      </c>
      <c r="B3813" s="64">
        <f>IFERROR(__xludf.DUMMYFUNCTION("""COMPUTED_VALUE"""),44653.0)</f>
        <v>44653</v>
      </c>
      <c r="C3813" s="5"/>
      <c r="D3813" s="5"/>
      <c r="E3813" s="5"/>
      <c r="F3813" s="22">
        <f>IFERROR(__xludf.DUMMYFUNCTION("""COMPUTED_VALUE"""),500000.0)</f>
        <v>500000</v>
      </c>
      <c r="G3813" s="22">
        <f>IFERROR(__xludf.DUMMYFUNCTION("""COMPUTED_VALUE"""),0.0)</f>
        <v>0</v>
      </c>
      <c r="H3813" s="22">
        <f>IFERROR(__xludf.DUMMYFUNCTION("""COMPUTED_VALUE"""),500000.0)</f>
        <v>500000</v>
      </c>
      <c r="I3813" s="24">
        <f>IFERROR(__xludf.DUMMYFUNCTION("""COMPUTED_VALUE"""),0.0)</f>
        <v>0</v>
      </c>
    </row>
    <row r="3814">
      <c r="A3814" s="5" t="str">
        <f>IFERROR(__xludf.DUMMYFUNCTION("""COMPUTED_VALUE"""),"46104")</f>
        <v>46104</v>
      </c>
      <c r="B3814" s="64">
        <f>IFERROR(__xludf.DUMMYFUNCTION("""COMPUTED_VALUE"""),44654.0)</f>
        <v>44654</v>
      </c>
      <c r="C3814" s="5"/>
      <c r="D3814" s="5"/>
      <c r="E3814" s="5"/>
      <c r="F3814" s="22">
        <f>IFERROR(__xludf.DUMMYFUNCTION("""COMPUTED_VALUE"""),500000.0)</f>
        <v>500000</v>
      </c>
      <c r="G3814" s="22">
        <f>IFERROR(__xludf.DUMMYFUNCTION("""COMPUTED_VALUE"""),0.0)</f>
        <v>0</v>
      </c>
      <c r="H3814" s="22">
        <f>IFERROR(__xludf.DUMMYFUNCTION("""COMPUTED_VALUE"""),500000.0)</f>
        <v>500000</v>
      </c>
      <c r="I3814" s="24">
        <f>IFERROR(__xludf.DUMMYFUNCTION("""COMPUTED_VALUE"""),0.0)</f>
        <v>0</v>
      </c>
    </row>
    <row r="3815">
      <c r="A3815" s="5" t="str">
        <f>IFERROR(__xludf.DUMMYFUNCTION("""COMPUTED_VALUE"""),"46104")</f>
        <v>46104</v>
      </c>
      <c r="B3815" s="64">
        <f>IFERROR(__xludf.DUMMYFUNCTION("""COMPUTED_VALUE"""),44655.0)</f>
        <v>44655</v>
      </c>
      <c r="C3815" s="5"/>
      <c r="D3815" s="5"/>
      <c r="E3815" s="5"/>
      <c r="F3815" s="22">
        <f>IFERROR(__xludf.DUMMYFUNCTION("""COMPUTED_VALUE"""),500000.0)</f>
        <v>500000</v>
      </c>
      <c r="G3815" s="22">
        <f>IFERROR(__xludf.DUMMYFUNCTION("""COMPUTED_VALUE"""),0.0)</f>
        <v>0</v>
      </c>
      <c r="H3815" s="22">
        <f>IFERROR(__xludf.DUMMYFUNCTION("""COMPUTED_VALUE"""),500000.0)</f>
        <v>500000</v>
      </c>
      <c r="I3815" s="24">
        <f>IFERROR(__xludf.DUMMYFUNCTION("""COMPUTED_VALUE"""),0.0)</f>
        <v>0</v>
      </c>
    </row>
    <row r="3816">
      <c r="A3816" s="5" t="str">
        <f>IFERROR(__xludf.DUMMYFUNCTION("""COMPUTED_VALUE"""),"46104")</f>
        <v>46104</v>
      </c>
      <c r="B3816" s="64">
        <f>IFERROR(__xludf.DUMMYFUNCTION("""COMPUTED_VALUE"""),44656.0)</f>
        <v>44656</v>
      </c>
      <c r="C3816" s="5"/>
      <c r="D3816" s="5"/>
      <c r="E3816" s="5"/>
      <c r="F3816" s="22">
        <f>IFERROR(__xludf.DUMMYFUNCTION("""COMPUTED_VALUE"""),500000.0)</f>
        <v>500000</v>
      </c>
      <c r="G3816" s="22">
        <f>IFERROR(__xludf.DUMMYFUNCTION("""COMPUTED_VALUE"""),0.0)</f>
        <v>0</v>
      </c>
      <c r="H3816" s="22">
        <f>IFERROR(__xludf.DUMMYFUNCTION("""COMPUTED_VALUE"""),500000.0)</f>
        <v>500000</v>
      </c>
      <c r="I3816" s="24">
        <f>IFERROR(__xludf.DUMMYFUNCTION("""COMPUTED_VALUE"""),0.0)</f>
        <v>0</v>
      </c>
    </row>
    <row r="3817">
      <c r="A3817" s="5" t="str">
        <f>IFERROR(__xludf.DUMMYFUNCTION("""COMPUTED_VALUE"""),"46104")</f>
        <v>46104</v>
      </c>
      <c r="B3817" s="64">
        <f>IFERROR(__xludf.DUMMYFUNCTION("""COMPUTED_VALUE"""),44657.0)</f>
        <v>44657</v>
      </c>
      <c r="C3817" s="5"/>
      <c r="D3817" s="5"/>
      <c r="E3817" s="5"/>
      <c r="F3817" s="22">
        <f>IFERROR(__xludf.DUMMYFUNCTION("""COMPUTED_VALUE"""),500000.0)</f>
        <v>500000</v>
      </c>
      <c r="G3817" s="22">
        <f>IFERROR(__xludf.DUMMYFUNCTION("""COMPUTED_VALUE"""),0.0)</f>
        <v>0</v>
      </c>
      <c r="H3817" s="22">
        <f>IFERROR(__xludf.DUMMYFUNCTION("""COMPUTED_VALUE"""),500000.0)</f>
        <v>500000</v>
      </c>
      <c r="I3817" s="24">
        <f>IFERROR(__xludf.DUMMYFUNCTION("""COMPUTED_VALUE"""),0.0)</f>
        <v>0</v>
      </c>
    </row>
    <row r="3818">
      <c r="A3818" s="5" t="str">
        <f>IFERROR(__xludf.DUMMYFUNCTION("""COMPUTED_VALUE"""),"46104")</f>
        <v>46104</v>
      </c>
      <c r="B3818" s="64">
        <f>IFERROR(__xludf.DUMMYFUNCTION("""COMPUTED_VALUE"""),44658.0)</f>
        <v>44658</v>
      </c>
      <c r="C3818" s="5"/>
      <c r="D3818" s="5"/>
      <c r="E3818" s="5"/>
      <c r="F3818" s="22">
        <f>IFERROR(__xludf.DUMMYFUNCTION("""COMPUTED_VALUE"""),500000.0)</f>
        <v>500000</v>
      </c>
      <c r="G3818" s="22">
        <f>IFERROR(__xludf.DUMMYFUNCTION("""COMPUTED_VALUE"""),0.0)</f>
        <v>0</v>
      </c>
      <c r="H3818" s="22">
        <f>IFERROR(__xludf.DUMMYFUNCTION("""COMPUTED_VALUE"""),500000.0)</f>
        <v>500000</v>
      </c>
      <c r="I3818" s="24">
        <f>IFERROR(__xludf.DUMMYFUNCTION("""COMPUTED_VALUE"""),0.0)</f>
        <v>0</v>
      </c>
    </row>
    <row r="3819">
      <c r="A3819" s="5" t="str">
        <f>IFERROR(__xludf.DUMMYFUNCTION("""COMPUTED_VALUE"""),"46104")</f>
        <v>46104</v>
      </c>
      <c r="B3819" s="64">
        <f>IFERROR(__xludf.DUMMYFUNCTION("""COMPUTED_VALUE"""),44659.0)</f>
        <v>44659</v>
      </c>
      <c r="C3819" s="5"/>
      <c r="D3819" s="5"/>
      <c r="E3819" s="5"/>
      <c r="F3819" s="22">
        <f>IFERROR(__xludf.DUMMYFUNCTION("""COMPUTED_VALUE"""),500000.0)</f>
        <v>500000</v>
      </c>
      <c r="G3819" s="22">
        <f>IFERROR(__xludf.DUMMYFUNCTION("""COMPUTED_VALUE"""),0.0)</f>
        <v>0</v>
      </c>
      <c r="H3819" s="22">
        <f>IFERROR(__xludf.DUMMYFUNCTION("""COMPUTED_VALUE"""),500000.0)</f>
        <v>500000</v>
      </c>
      <c r="I3819" s="24">
        <f>IFERROR(__xludf.DUMMYFUNCTION("""COMPUTED_VALUE"""),0.0)</f>
        <v>0</v>
      </c>
    </row>
    <row r="3820">
      <c r="A3820" s="5" t="str">
        <f>IFERROR(__xludf.DUMMYFUNCTION("""COMPUTED_VALUE"""),"46104")</f>
        <v>46104</v>
      </c>
      <c r="B3820" s="64">
        <f>IFERROR(__xludf.DUMMYFUNCTION("""COMPUTED_VALUE"""),44660.0)</f>
        <v>44660</v>
      </c>
      <c r="C3820" s="5"/>
      <c r="D3820" s="5"/>
      <c r="E3820" s="5"/>
      <c r="F3820" s="22">
        <f>IFERROR(__xludf.DUMMYFUNCTION("""COMPUTED_VALUE"""),500000.0)</f>
        <v>500000</v>
      </c>
      <c r="G3820" s="22">
        <f>IFERROR(__xludf.DUMMYFUNCTION("""COMPUTED_VALUE"""),0.0)</f>
        <v>0</v>
      </c>
      <c r="H3820" s="22">
        <f>IFERROR(__xludf.DUMMYFUNCTION("""COMPUTED_VALUE"""),500000.0)</f>
        <v>500000</v>
      </c>
      <c r="I3820" s="24">
        <f>IFERROR(__xludf.DUMMYFUNCTION("""COMPUTED_VALUE"""),0.0)</f>
        <v>0</v>
      </c>
    </row>
    <row r="3821">
      <c r="A3821" s="5" t="str">
        <f>IFERROR(__xludf.DUMMYFUNCTION("""COMPUTED_VALUE"""),"46104")</f>
        <v>46104</v>
      </c>
      <c r="B3821" s="64">
        <f>IFERROR(__xludf.DUMMYFUNCTION("""COMPUTED_VALUE"""),44661.0)</f>
        <v>44661</v>
      </c>
      <c r="C3821" s="5"/>
      <c r="D3821" s="5"/>
      <c r="E3821" s="5"/>
      <c r="F3821" s="22">
        <f>IFERROR(__xludf.DUMMYFUNCTION("""COMPUTED_VALUE"""),500000.0)</f>
        <v>500000</v>
      </c>
      <c r="G3821" s="22">
        <f>IFERROR(__xludf.DUMMYFUNCTION("""COMPUTED_VALUE"""),0.0)</f>
        <v>0</v>
      </c>
      <c r="H3821" s="22">
        <f>IFERROR(__xludf.DUMMYFUNCTION("""COMPUTED_VALUE"""),500000.0)</f>
        <v>500000</v>
      </c>
      <c r="I3821" s="24">
        <f>IFERROR(__xludf.DUMMYFUNCTION("""COMPUTED_VALUE"""),0.0)</f>
        <v>0</v>
      </c>
    </row>
    <row r="3822">
      <c r="A3822" s="5" t="str">
        <f>IFERROR(__xludf.DUMMYFUNCTION("""COMPUTED_VALUE"""),"46104")</f>
        <v>46104</v>
      </c>
      <c r="B3822" s="64">
        <f>IFERROR(__xludf.DUMMYFUNCTION("""COMPUTED_VALUE"""),44662.0)</f>
        <v>44662</v>
      </c>
      <c r="C3822" s="5"/>
      <c r="D3822" s="5"/>
      <c r="E3822" s="5"/>
      <c r="F3822" s="22">
        <f>IFERROR(__xludf.DUMMYFUNCTION("""COMPUTED_VALUE"""),500000.0)</f>
        <v>500000</v>
      </c>
      <c r="G3822" s="22">
        <f>IFERROR(__xludf.DUMMYFUNCTION("""COMPUTED_VALUE"""),0.0)</f>
        <v>0</v>
      </c>
      <c r="H3822" s="22">
        <f>IFERROR(__xludf.DUMMYFUNCTION("""COMPUTED_VALUE"""),500000.0)</f>
        <v>500000</v>
      </c>
      <c r="I3822" s="24">
        <f>IFERROR(__xludf.DUMMYFUNCTION("""COMPUTED_VALUE"""),0.0)</f>
        <v>0</v>
      </c>
    </row>
    <row r="3823">
      <c r="A3823" s="5" t="str">
        <f>IFERROR(__xludf.DUMMYFUNCTION("""COMPUTED_VALUE"""),"46104")</f>
        <v>46104</v>
      </c>
      <c r="B3823" s="64">
        <f>IFERROR(__xludf.DUMMYFUNCTION("""COMPUTED_VALUE"""),44663.0)</f>
        <v>44663</v>
      </c>
      <c r="C3823" s="5"/>
      <c r="D3823" s="5"/>
      <c r="E3823" s="5"/>
      <c r="F3823" s="22">
        <f>IFERROR(__xludf.DUMMYFUNCTION("""COMPUTED_VALUE"""),500000.0)</f>
        <v>500000</v>
      </c>
      <c r="G3823" s="22">
        <f>IFERROR(__xludf.DUMMYFUNCTION("""COMPUTED_VALUE"""),0.0)</f>
        <v>0</v>
      </c>
      <c r="H3823" s="22">
        <f>IFERROR(__xludf.DUMMYFUNCTION("""COMPUTED_VALUE"""),500000.0)</f>
        <v>500000</v>
      </c>
      <c r="I3823" s="24">
        <f>IFERROR(__xludf.DUMMYFUNCTION("""COMPUTED_VALUE"""),0.0)</f>
        <v>0</v>
      </c>
    </row>
    <row r="3824">
      <c r="A3824" s="5" t="str">
        <f>IFERROR(__xludf.DUMMYFUNCTION("""COMPUTED_VALUE"""),"46220")</f>
        <v>46220</v>
      </c>
      <c r="B3824" s="64">
        <f>IFERROR(__xludf.DUMMYFUNCTION("""COMPUTED_VALUE"""),44597.0)</f>
        <v>44597</v>
      </c>
      <c r="C3824" s="5"/>
      <c r="D3824" s="5"/>
      <c r="E3824" s="5"/>
      <c r="F3824" s="22">
        <f>IFERROR(__xludf.DUMMYFUNCTION("""COMPUTED_VALUE"""),500000.0)</f>
        <v>500000</v>
      </c>
      <c r="G3824" s="22">
        <f>IFERROR(__xludf.DUMMYFUNCTION("""COMPUTED_VALUE"""),0.0)</f>
        <v>0</v>
      </c>
      <c r="H3824" s="22">
        <f>IFERROR(__xludf.DUMMYFUNCTION("""COMPUTED_VALUE"""),500000.0)</f>
        <v>500000</v>
      </c>
      <c r="I3824" s="24">
        <f>IFERROR(__xludf.DUMMYFUNCTION("""COMPUTED_VALUE"""),0.0)</f>
        <v>0</v>
      </c>
    </row>
    <row r="3825">
      <c r="A3825" s="5" t="str">
        <f>IFERROR(__xludf.DUMMYFUNCTION("""COMPUTED_VALUE"""),"46220")</f>
        <v>46220</v>
      </c>
      <c r="B3825" s="64">
        <f>IFERROR(__xludf.DUMMYFUNCTION("""COMPUTED_VALUE"""),44598.0)</f>
        <v>44598</v>
      </c>
      <c r="C3825" s="5"/>
      <c r="D3825" s="5"/>
      <c r="E3825" s="5"/>
      <c r="F3825" s="22">
        <f>IFERROR(__xludf.DUMMYFUNCTION("""COMPUTED_VALUE"""),500000.0)</f>
        <v>500000</v>
      </c>
      <c r="G3825" s="22">
        <f>IFERROR(__xludf.DUMMYFUNCTION("""COMPUTED_VALUE"""),0.0)</f>
        <v>0</v>
      </c>
      <c r="H3825" s="22">
        <f>IFERROR(__xludf.DUMMYFUNCTION("""COMPUTED_VALUE"""),500000.0)</f>
        <v>500000</v>
      </c>
      <c r="I3825" s="24">
        <f>IFERROR(__xludf.DUMMYFUNCTION("""COMPUTED_VALUE"""),0.0)</f>
        <v>0</v>
      </c>
    </row>
    <row r="3826">
      <c r="A3826" s="5" t="str">
        <f>IFERROR(__xludf.DUMMYFUNCTION("""COMPUTED_VALUE"""),"46220")</f>
        <v>46220</v>
      </c>
      <c r="B3826" s="64">
        <f>IFERROR(__xludf.DUMMYFUNCTION("""COMPUTED_VALUE"""),44599.0)</f>
        <v>44599</v>
      </c>
      <c r="C3826" s="5"/>
      <c r="D3826" s="5"/>
      <c r="E3826" s="5"/>
      <c r="F3826" s="22">
        <f>IFERROR(__xludf.DUMMYFUNCTION("""COMPUTED_VALUE"""),456187.2508625)</f>
        <v>456187.2509</v>
      </c>
      <c r="G3826" s="22">
        <f>IFERROR(__xludf.DUMMYFUNCTION("""COMPUTED_VALUE"""),0.0)</f>
        <v>0</v>
      </c>
      <c r="H3826" s="22">
        <f>IFERROR(__xludf.DUMMYFUNCTION("""COMPUTED_VALUE"""),500000.0)</f>
        <v>500000</v>
      </c>
      <c r="I3826" s="24">
        <f>IFERROR(__xludf.DUMMYFUNCTION("""COMPUTED_VALUE"""),0.0)</f>
        <v>0</v>
      </c>
    </row>
    <row r="3827">
      <c r="A3827" s="5" t="str">
        <f>IFERROR(__xludf.DUMMYFUNCTION("""COMPUTED_VALUE"""),"46220")</f>
        <v>46220</v>
      </c>
      <c r="B3827" s="64">
        <f>IFERROR(__xludf.DUMMYFUNCTION("""COMPUTED_VALUE"""),44600.0)</f>
        <v>44600</v>
      </c>
      <c r="C3827" s="5"/>
      <c r="D3827" s="5"/>
      <c r="E3827" s="5"/>
      <c r="F3827" s="22">
        <f>IFERROR(__xludf.DUMMYFUNCTION("""COMPUTED_VALUE"""),421671.7961005)</f>
        <v>421671.7961</v>
      </c>
      <c r="G3827" s="22">
        <f>IFERROR(__xludf.DUMMYFUNCTION("""COMPUTED_VALUE"""),0.0)</f>
        <v>0</v>
      </c>
      <c r="H3827" s="22">
        <f>IFERROR(__xludf.DUMMYFUNCTION("""COMPUTED_VALUE"""),499078.5900875)</f>
        <v>499078.5901</v>
      </c>
      <c r="I3827" s="24">
        <f>IFERROR(__xludf.DUMMYFUNCTION("""COMPUTED_VALUE"""),-0.0018428198250000083)</f>
        <v>-0.001842819825</v>
      </c>
    </row>
    <row r="3828">
      <c r="A3828" s="5" t="str">
        <f>IFERROR(__xludf.DUMMYFUNCTION("""COMPUTED_VALUE"""),"46220")</f>
        <v>46220</v>
      </c>
      <c r="B3828" s="64">
        <f>IFERROR(__xludf.DUMMYFUNCTION("""COMPUTED_VALUE"""),44601.0)</f>
        <v>44601</v>
      </c>
      <c r="C3828" s="5"/>
      <c r="D3828" s="5"/>
      <c r="E3828" s="5"/>
      <c r="F3828" s="22">
        <f>IFERROR(__xludf.DUMMYFUNCTION("""COMPUTED_VALUE"""),373417.238578)</f>
        <v>373417.2386</v>
      </c>
      <c r="G3828" s="22">
        <f>IFERROR(__xludf.DUMMYFUNCTION("""COMPUTED_VALUE"""),0.0)</f>
        <v>0</v>
      </c>
      <c r="H3828" s="22">
        <f>IFERROR(__xludf.DUMMYFUNCTION("""COMPUTED_VALUE"""),503224.9349005)</f>
        <v>503224.9349</v>
      </c>
      <c r="I3828" s="24">
        <f>IFERROR(__xludf.DUMMYFUNCTION("""COMPUTED_VALUE"""),0.006449869801000041)</f>
        <v>0.006449869801</v>
      </c>
    </row>
    <row r="3829">
      <c r="A3829" s="5" t="str">
        <f>IFERROR(__xludf.DUMMYFUNCTION("""COMPUTED_VALUE"""),"46220")</f>
        <v>46220</v>
      </c>
      <c r="B3829" s="64">
        <f>IFERROR(__xludf.DUMMYFUNCTION("""COMPUTED_VALUE"""),44602.0)</f>
        <v>44602</v>
      </c>
      <c r="C3829" s="5"/>
      <c r="D3829" s="5"/>
      <c r="E3829" s="5"/>
      <c r="F3829" s="22">
        <f>IFERROR(__xludf.DUMMYFUNCTION("""COMPUTED_VALUE"""),373417.238578)</f>
        <v>373417.2386</v>
      </c>
      <c r="G3829" s="22">
        <f>IFERROR(__xludf.DUMMYFUNCTION("""COMPUTED_VALUE"""),0.0)</f>
        <v>0</v>
      </c>
      <c r="H3829" s="22">
        <f>IFERROR(__xludf.DUMMYFUNCTION("""COMPUTED_VALUE"""),501073.112296)</f>
        <v>501073.1123</v>
      </c>
      <c r="I3829" s="24">
        <f>IFERROR(__xludf.DUMMYFUNCTION("""COMPUTED_VALUE"""),0.00214622459200009)</f>
        <v>0.002146224592</v>
      </c>
    </row>
    <row r="3830">
      <c r="A3830" s="5" t="str">
        <f>IFERROR(__xludf.DUMMYFUNCTION("""COMPUTED_VALUE"""),"46220")</f>
        <v>46220</v>
      </c>
      <c r="B3830" s="64">
        <f>IFERROR(__xludf.DUMMYFUNCTION("""COMPUTED_VALUE"""),44603.0)</f>
        <v>44603</v>
      </c>
      <c r="C3830" s="5"/>
      <c r="D3830" s="5"/>
      <c r="E3830" s="5"/>
      <c r="F3830" s="22">
        <f>IFERROR(__xludf.DUMMYFUNCTION("""COMPUTED_VALUE"""),252763.40613549994)</f>
        <v>252763.4061</v>
      </c>
      <c r="G3830" s="22">
        <f>IFERROR(__xludf.DUMMYFUNCTION("""COMPUTED_VALUE"""),0.0)</f>
        <v>0</v>
      </c>
      <c r="H3830" s="22">
        <f>IFERROR(__xludf.DUMMYFUNCTION("""COMPUTED_VALUE"""),496205.4817855)</f>
        <v>496205.4818</v>
      </c>
      <c r="I3830" s="24">
        <f>IFERROR(__xludf.DUMMYFUNCTION("""COMPUTED_VALUE"""),-0.007589036428999996)</f>
        <v>-0.007589036429</v>
      </c>
    </row>
    <row r="3831">
      <c r="A3831" s="5" t="str">
        <f>IFERROR(__xludf.DUMMYFUNCTION("""COMPUTED_VALUE"""),"46220")</f>
        <v>46220</v>
      </c>
      <c r="B3831" s="64">
        <f>IFERROR(__xludf.DUMMYFUNCTION("""COMPUTED_VALUE"""),44604.0)</f>
        <v>44604</v>
      </c>
      <c r="C3831" s="5"/>
      <c r="D3831" s="5"/>
      <c r="E3831" s="5"/>
      <c r="F3831" s="22">
        <f>IFERROR(__xludf.DUMMYFUNCTION("""COMPUTED_VALUE"""),252763.40613549994)</f>
        <v>252763.4061</v>
      </c>
      <c r="G3831" s="22">
        <f>IFERROR(__xludf.DUMMYFUNCTION("""COMPUTED_VALUE"""),0.0)</f>
        <v>0</v>
      </c>
      <c r="H3831" s="22">
        <f>IFERROR(__xludf.DUMMYFUNCTION("""COMPUTED_VALUE"""),496205.4817855)</f>
        <v>496205.4818</v>
      </c>
      <c r="I3831" s="24">
        <f>IFERROR(__xludf.DUMMYFUNCTION("""COMPUTED_VALUE"""),-0.007589036428999996)</f>
        <v>-0.007589036429</v>
      </c>
    </row>
    <row r="3832">
      <c r="A3832" s="5" t="str">
        <f>IFERROR(__xludf.DUMMYFUNCTION("""COMPUTED_VALUE"""),"46220")</f>
        <v>46220</v>
      </c>
      <c r="B3832" s="64">
        <f>IFERROR(__xludf.DUMMYFUNCTION("""COMPUTED_VALUE"""),44605.0)</f>
        <v>44605</v>
      </c>
      <c r="C3832" s="5"/>
      <c r="D3832" s="5"/>
      <c r="E3832" s="5"/>
      <c r="F3832" s="22">
        <f>IFERROR(__xludf.DUMMYFUNCTION("""COMPUTED_VALUE"""),252763.40613549994)</f>
        <v>252763.4061</v>
      </c>
      <c r="G3832" s="22">
        <f>IFERROR(__xludf.DUMMYFUNCTION("""COMPUTED_VALUE"""),0.0)</f>
        <v>0</v>
      </c>
      <c r="H3832" s="22">
        <f>IFERROR(__xludf.DUMMYFUNCTION("""COMPUTED_VALUE"""),496205.4817855)</f>
        <v>496205.4818</v>
      </c>
      <c r="I3832" s="24">
        <f>IFERROR(__xludf.DUMMYFUNCTION("""COMPUTED_VALUE"""),-0.007589036428999996)</f>
        <v>-0.007589036429</v>
      </c>
    </row>
    <row r="3833">
      <c r="A3833" s="5" t="str">
        <f>IFERROR(__xludf.DUMMYFUNCTION("""COMPUTED_VALUE"""),"46220")</f>
        <v>46220</v>
      </c>
      <c r="B3833" s="64">
        <f>IFERROR(__xludf.DUMMYFUNCTION("""COMPUTED_VALUE"""),44606.0)</f>
        <v>44606</v>
      </c>
      <c r="C3833" s="5"/>
      <c r="D3833" s="5"/>
      <c r="E3833" s="5"/>
      <c r="F3833" s="22">
        <f>IFERROR(__xludf.DUMMYFUNCTION("""COMPUTED_VALUE"""),252763.40613549994)</f>
        <v>252763.4061</v>
      </c>
      <c r="G3833" s="22">
        <f>IFERROR(__xludf.DUMMYFUNCTION("""COMPUTED_VALUE"""),0.0)</f>
        <v>0</v>
      </c>
      <c r="H3833" s="22">
        <f>IFERROR(__xludf.DUMMYFUNCTION("""COMPUTED_VALUE"""),497877.70755950006)</f>
        <v>497877.7076</v>
      </c>
      <c r="I3833" s="24">
        <f>IFERROR(__xludf.DUMMYFUNCTION("""COMPUTED_VALUE"""),-0.00424458488099988)</f>
        <v>-0.004244584881</v>
      </c>
    </row>
    <row r="3834">
      <c r="A3834" s="5" t="str">
        <f>IFERROR(__xludf.DUMMYFUNCTION("""COMPUTED_VALUE"""),"46220")</f>
        <v>46220</v>
      </c>
      <c r="B3834" s="64">
        <f>IFERROR(__xludf.DUMMYFUNCTION("""COMPUTED_VALUE"""),44607.0)</f>
        <v>44607</v>
      </c>
      <c r="C3834" s="5"/>
      <c r="D3834" s="5"/>
      <c r="E3834" s="5"/>
      <c r="F3834" s="22">
        <f>IFERROR(__xludf.DUMMYFUNCTION("""COMPUTED_VALUE"""),252763.40613549994)</f>
        <v>252763.4061</v>
      </c>
      <c r="G3834" s="22">
        <f>IFERROR(__xludf.DUMMYFUNCTION("""COMPUTED_VALUE"""),0.0)</f>
        <v>0</v>
      </c>
      <c r="H3834" s="22">
        <f>IFERROR(__xludf.DUMMYFUNCTION("""COMPUTED_VALUE"""),505795.91865625)</f>
        <v>505795.9187</v>
      </c>
      <c r="I3834" s="24">
        <f>IFERROR(__xludf.DUMMYFUNCTION("""COMPUTED_VALUE"""),0.011591837312499909)</f>
        <v>0.01159183731</v>
      </c>
    </row>
    <row r="3835">
      <c r="A3835" s="5" t="str">
        <f>IFERROR(__xludf.DUMMYFUNCTION("""COMPUTED_VALUE"""),"46220")</f>
        <v>46220</v>
      </c>
      <c r="B3835" s="64">
        <f>IFERROR(__xludf.DUMMYFUNCTION("""COMPUTED_VALUE"""),44608.0)</f>
        <v>44608</v>
      </c>
      <c r="C3835" s="5"/>
      <c r="D3835" s="5"/>
      <c r="E3835" s="5"/>
      <c r="F3835" s="22">
        <f>IFERROR(__xludf.DUMMYFUNCTION("""COMPUTED_VALUE"""),252763.40613549994)</f>
        <v>252763.4061</v>
      </c>
      <c r="G3835" s="22">
        <f>IFERROR(__xludf.DUMMYFUNCTION("""COMPUTED_VALUE"""),0.0)</f>
        <v>0</v>
      </c>
      <c r="H3835" s="22">
        <f>IFERROR(__xludf.DUMMYFUNCTION("""COMPUTED_VALUE"""),503194.26812625)</f>
        <v>503194.2681</v>
      </c>
      <c r="I3835" s="24">
        <f>IFERROR(__xludf.DUMMYFUNCTION("""COMPUTED_VALUE"""),0.006388536252500021)</f>
        <v>0.006388536253</v>
      </c>
    </row>
    <row r="3836">
      <c r="A3836" s="5" t="str">
        <f>IFERROR(__xludf.DUMMYFUNCTION("""COMPUTED_VALUE"""),"46220")</f>
        <v>46220</v>
      </c>
      <c r="B3836" s="64">
        <f>IFERROR(__xludf.DUMMYFUNCTION("""COMPUTED_VALUE"""),44609.0)</f>
        <v>44609</v>
      </c>
      <c r="C3836" s="5"/>
      <c r="D3836" s="5"/>
      <c r="E3836" s="5"/>
      <c r="F3836" s="22">
        <f>IFERROR(__xludf.DUMMYFUNCTION("""COMPUTED_VALUE"""),252763.40613549994)</f>
        <v>252763.4061</v>
      </c>
      <c r="G3836" s="22">
        <f>IFERROR(__xludf.DUMMYFUNCTION("""COMPUTED_VALUE"""),0.0)</f>
        <v>0</v>
      </c>
      <c r="H3836" s="22">
        <f>IFERROR(__xludf.DUMMYFUNCTION("""COMPUTED_VALUE"""),476932.39513325)</f>
        <v>476932.3951</v>
      </c>
      <c r="I3836" s="24">
        <f>IFERROR(__xludf.DUMMYFUNCTION("""COMPUTED_VALUE"""),-0.04613520973350005)</f>
        <v>-0.04613520973</v>
      </c>
    </row>
    <row r="3837">
      <c r="A3837" s="5" t="str">
        <f>IFERROR(__xludf.DUMMYFUNCTION("""COMPUTED_VALUE"""),"46220")</f>
        <v>46220</v>
      </c>
      <c r="B3837" s="64">
        <f>IFERROR(__xludf.DUMMYFUNCTION("""COMPUTED_VALUE"""),44610.0)</f>
        <v>44610</v>
      </c>
      <c r="C3837" s="5"/>
      <c r="D3837" s="5"/>
      <c r="E3837" s="5"/>
      <c r="F3837" s="22">
        <f>IFERROR(__xludf.DUMMYFUNCTION("""COMPUTED_VALUE"""),252763.40613549994)</f>
        <v>252763.4061</v>
      </c>
      <c r="G3837" s="22">
        <f>IFERROR(__xludf.DUMMYFUNCTION("""COMPUTED_VALUE"""),0.0)</f>
        <v>0</v>
      </c>
      <c r="H3837" s="22">
        <f>IFERROR(__xludf.DUMMYFUNCTION("""COMPUTED_VALUE"""),467032.2564539999)</f>
        <v>467032.2565</v>
      </c>
      <c r="I3837" s="24">
        <f>IFERROR(__xludf.DUMMYFUNCTION("""COMPUTED_VALUE"""),-0.06593548709200014)</f>
        <v>-0.06593548709</v>
      </c>
    </row>
    <row r="3838">
      <c r="A3838" s="5" t="str">
        <f>IFERROR(__xludf.DUMMYFUNCTION("""COMPUTED_VALUE"""),"46220")</f>
        <v>46220</v>
      </c>
      <c r="B3838" s="64">
        <f>IFERROR(__xludf.DUMMYFUNCTION("""COMPUTED_VALUE"""),44611.0)</f>
        <v>44611</v>
      </c>
      <c r="C3838" s="5"/>
      <c r="D3838" s="5"/>
      <c r="E3838" s="5"/>
      <c r="F3838" s="22">
        <f>IFERROR(__xludf.DUMMYFUNCTION("""COMPUTED_VALUE"""),252763.40613549994)</f>
        <v>252763.4061</v>
      </c>
      <c r="G3838" s="22">
        <f>IFERROR(__xludf.DUMMYFUNCTION("""COMPUTED_VALUE"""),0.0)</f>
        <v>0</v>
      </c>
      <c r="H3838" s="22">
        <f>IFERROR(__xludf.DUMMYFUNCTION("""COMPUTED_VALUE"""),467032.2564539999)</f>
        <v>467032.2565</v>
      </c>
      <c r="I3838" s="24">
        <f>IFERROR(__xludf.DUMMYFUNCTION("""COMPUTED_VALUE"""),-0.06593548709200014)</f>
        <v>-0.06593548709</v>
      </c>
    </row>
    <row r="3839">
      <c r="A3839" s="5" t="str">
        <f>IFERROR(__xludf.DUMMYFUNCTION("""COMPUTED_VALUE"""),"46220")</f>
        <v>46220</v>
      </c>
      <c r="B3839" s="64">
        <f>IFERROR(__xludf.DUMMYFUNCTION("""COMPUTED_VALUE"""),44612.0)</f>
        <v>44612</v>
      </c>
      <c r="C3839" s="5"/>
      <c r="D3839" s="5"/>
      <c r="E3839" s="5"/>
      <c r="F3839" s="22">
        <f>IFERROR(__xludf.DUMMYFUNCTION("""COMPUTED_VALUE"""),252763.40613549994)</f>
        <v>252763.4061</v>
      </c>
      <c r="G3839" s="22">
        <f>IFERROR(__xludf.DUMMYFUNCTION("""COMPUTED_VALUE"""),0.0)</f>
        <v>0</v>
      </c>
      <c r="H3839" s="22">
        <f>IFERROR(__xludf.DUMMYFUNCTION("""COMPUTED_VALUE"""),467032.2564539999)</f>
        <v>467032.2565</v>
      </c>
      <c r="I3839" s="24">
        <f>IFERROR(__xludf.DUMMYFUNCTION("""COMPUTED_VALUE"""),-0.06593548709200014)</f>
        <v>-0.06593548709</v>
      </c>
    </row>
    <row r="3840">
      <c r="A3840" s="5" t="str">
        <f>IFERROR(__xludf.DUMMYFUNCTION("""COMPUTED_VALUE"""),"46220")</f>
        <v>46220</v>
      </c>
      <c r="B3840" s="64">
        <f>IFERROR(__xludf.DUMMYFUNCTION("""COMPUTED_VALUE"""),44613.0)</f>
        <v>44613</v>
      </c>
      <c r="C3840" s="5"/>
      <c r="D3840" s="5"/>
      <c r="E3840" s="5"/>
      <c r="F3840" s="22">
        <f>IFERROR(__xludf.DUMMYFUNCTION("""COMPUTED_VALUE"""),252763.40613549994)</f>
        <v>252763.4061</v>
      </c>
      <c r="G3840" s="22">
        <f>IFERROR(__xludf.DUMMYFUNCTION("""COMPUTED_VALUE"""),0.0)</f>
        <v>0</v>
      </c>
      <c r="H3840" s="22">
        <f>IFERROR(__xludf.DUMMYFUNCTION("""COMPUTED_VALUE"""),467032.2564539999)</f>
        <v>467032.2565</v>
      </c>
      <c r="I3840" s="24">
        <f>IFERROR(__xludf.DUMMYFUNCTION("""COMPUTED_VALUE"""),-0.06593548709200014)</f>
        <v>-0.06593548709</v>
      </c>
    </row>
    <row r="3841">
      <c r="A3841" s="5" t="str">
        <f>IFERROR(__xludf.DUMMYFUNCTION("""COMPUTED_VALUE"""),"46220")</f>
        <v>46220</v>
      </c>
      <c r="B3841" s="64">
        <f>IFERROR(__xludf.DUMMYFUNCTION("""COMPUTED_VALUE"""),44614.0)</f>
        <v>44614</v>
      </c>
      <c r="C3841" s="5"/>
      <c r="D3841" s="5"/>
      <c r="E3841" s="5"/>
      <c r="F3841" s="22">
        <f>IFERROR(__xludf.DUMMYFUNCTION("""COMPUTED_VALUE"""),252763.40613549994)</f>
        <v>252763.4061</v>
      </c>
      <c r="G3841" s="22">
        <f>IFERROR(__xludf.DUMMYFUNCTION("""COMPUTED_VALUE"""),0.0)</f>
        <v>0</v>
      </c>
      <c r="H3841" s="22">
        <f>IFERROR(__xludf.DUMMYFUNCTION("""COMPUTED_VALUE"""),456079.82709825004)</f>
        <v>456079.8271</v>
      </c>
      <c r="I3841" s="24">
        <f>IFERROR(__xludf.DUMMYFUNCTION("""COMPUTED_VALUE"""),-0.08784034580349998)</f>
        <v>-0.0878403458</v>
      </c>
    </row>
    <row r="3842">
      <c r="A3842" s="5" t="str">
        <f>IFERROR(__xludf.DUMMYFUNCTION("""COMPUTED_VALUE"""),"46220")</f>
        <v>46220</v>
      </c>
      <c r="B3842" s="64">
        <f>IFERROR(__xludf.DUMMYFUNCTION("""COMPUTED_VALUE"""),44615.0)</f>
        <v>44615</v>
      </c>
      <c r="C3842" s="5"/>
      <c r="D3842" s="5"/>
      <c r="E3842" s="5"/>
      <c r="F3842" s="22">
        <f>IFERROR(__xludf.DUMMYFUNCTION("""COMPUTED_VALUE"""),-200102.95308200005)</f>
        <v>-200102.9531</v>
      </c>
      <c r="G3842" s="22">
        <f>IFERROR(__xludf.DUMMYFUNCTION("""COMPUTED_VALUE"""),200102.95308200005)</f>
        <v>200102.9531</v>
      </c>
      <c r="H3842" s="22">
        <f>IFERROR(__xludf.DUMMYFUNCTION("""COMPUTED_VALUE"""),439880.4128739999)</f>
        <v>439880.4129</v>
      </c>
      <c r="I3842" s="24">
        <f>IFERROR(__xludf.DUMMYFUNCTION("""COMPUTED_VALUE"""),-0.12023917425200015)</f>
        <v>-0.1202391743</v>
      </c>
    </row>
    <row r="3843">
      <c r="A3843" s="5" t="str">
        <f>IFERROR(__xludf.DUMMYFUNCTION("""COMPUTED_VALUE"""),"46220")</f>
        <v>46220</v>
      </c>
      <c r="B3843" s="64">
        <f>IFERROR(__xludf.DUMMYFUNCTION("""COMPUTED_VALUE"""),44616.0)</f>
        <v>44616</v>
      </c>
      <c r="C3843" s="5"/>
      <c r="D3843" s="5"/>
      <c r="E3843" s="5"/>
      <c r="F3843" s="22">
        <f>IFERROR(__xludf.DUMMYFUNCTION("""COMPUTED_VALUE"""),-200102.95308200005)</f>
        <v>-200102.9531</v>
      </c>
      <c r="G3843" s="22">
        <f>IFERROR(__xludf.DUMMYFUNCTION("""COMPUTED_VALUE"""),200102.95308200005)</f>
        <v>200102.9531</v>
      </c>
      <c r="H3843" s="22">
        <f>IFERROR(__xludf.DUMMYFUNCTION("""COMPUTED_VALUE"""),467339.8038747499)</f>
        <v>467339.8039</v>
      </c>
      <c r="I3843" s="24">
        <f>IFERROR(__xludf.DUMMYFUNCTION("""COMPUTED_VALUE"""),-0.06532039225050013)</f>
        <v>-0.06532039225</v>
      </c>
    </row>
    <row r="3844">
      <c r="A3844" s="5" t="str">
        <f>IFERROR(__xludf.DUMMYFUNCTION("""COMPUTED_VALUE"""),"46220")</f>
        <v>46220</v>
      </c>
      <c r="B3844" s="64">
        <f>IFERROR(__xludf.DUMMYFUNCTION("""COMPUTED_VALUE"""),44617.0)</f>
        <v>44617</v>
      </c>
      <c r="C3844" s="5"/>
      <c r="D3844" s="5"/>
      <c r="E3844" s="5"/>
      <c r="F3844" s="22">
        <f>IFERROR(__xludf.DUMMYFUNCTION("""COMPUTED_VALUE"""),-200102.95308200005)</f>
        <v>-200102.9531</v>
      </c>
      <c r="G3844" s="22">
        <f>IFERROR(__xludf.DUMMYFUNCTION("""COMPUTED_VALUE"""),200102.95308200005)</f>
        <v>200102.9531</v>
      </c>
      <c r="H3844" s="22">
        <f>IFERROR(__xludf.DUMMYFUNCTION("""COMPUTED_VALUE"""),475628.53207925)</f>
        <v>475628.5321</v>
      </c>
      <c r="I3844" s="24">
        <f>IFERROR(__xludf.DUMMYFUNCTION("""COMPUTED_VALUE"""),-0.04874293584149991)</f>
        <v>-0.04874293584</v>
      </c>
    </row>
    <row r="3845">
      <c r="A3845" s="5" t="str">
        <f>IFERROR(__xludf.DUMMYFUNCTION("""COMPUTED_VALUE"""),"46220")</f>
        <v>46220</v>
      </c>
      <c r="B3845" s="64">
        <f>IFERROR(__xludf.DUMMYFUNCTION("""COMPUTED_VALUE"""),44618.0)</f>
        <v>44618</v>
      </c>
      <c r="C3845" s="5"/>
      <c r="D3845" s="5"/>
      <c r="E3845" s="5"/>
      <c r="F3845" s="22">
        <f>IFERROR(__xludf.DUMMYFUNCTION("""COMPUTED_VALUE"""),-200102.95308200005)</f>
        <v>-200102.9531</v>
      </c>
      <c r="G3845" s="22">
        <f>IFERROR(__xludf.DUMMYFUNCTION("""COMPUTED_VALUE"""),200102.95308200005)</f>
        <v>200102.9531</v>
      </c>
      <c r="H3845" s="22">
        <f>IFERROR(__xludf.DUMMYFUNCTION("""COMPUTED_VALUE"""),475628.53207925)</f>
        <v>475628.5321</v>
      </c>
      <c r="I3845" s="24">
        <f>IFERROR(__xludf.DUMMYFUNCTION("""COMPUTED_VALUE"""),-0.04874293584149991)</f>
        <v>-0.04874293584</v>
      </c>
    </row>
    <row r="3846">
      <c r="A3846" s="5" t="str">
        <f>IFERROR(__xludf.DUMMYFUNCTION("""COMPUTED_VALUE"""),"46220")</f>
        <v>46220</v>
      </c>
      <c r="B3846" s="64">
        <f>IFERROR(__xludf.DUMMYFUNCTION("""COMPUTED_VALUE"""),44619.0)</f>
        <v>44619</v>
      </c>
      <c r="C3846" s="5"/>
      <c r="D3846" s="5"/>
      <c r="E3846" s="5"/>
      <c r="F3846" s="22">
        <f>IFERROR(__xludf.DUMMYFUNCTION("""COMPUTED_VALUE"""),-200102.95308200005)</f>
        <v>-200102.9531</v>
      </c>
      <c r="G3846" s="22">
        <f>IFERROR(__xludf.DUMMYFUNCTION("""COMPUTED_VALUE"""),200102.95308200005)</f>
        <v>200102.9531</v>
      </c>
      <c r="H3846" s="22">
        <f>IFERROR(__xludf.DUMMYFUNCTION("""COMPUTED_VALUE"""),475628.53207925)</f>
        <v>475628.5321</v>
      </c>
      <c r="I3846" s="24">
        <f>IFERROR(__xludf.DUMMYFUNCTION("""COMPUTED_VALUE"""),-0.04874293584149991)</f>
        <v>-0.04874293584</v>
      </c>
    </row>
    <row r="3847">
      <c r="A3847" s="5" t="str">
        <f>IFERROR(__xludf.DUMMYFUNCTION("""COMPUTED_VALUE"""),"46220")</f>
        <v>46220</v>
      </c>
      <c r="B3847" s="64">
        <f>IFERROR(__xludf.DUMMYFUNCTION("""COMPUTED_VALUE"""),44620.0)</f>
        <v>44620</v>
      </c>
      <c r="C3847" s="5"/>
      <c r="D3847" s="5"/>
      <c r="E3847" s="5"/>
      <c r="F3847" s="22">
        <f>IFERROR(__xludf.DUMMYFUNCTION("""COMPUTED_VALUE"""),-200102.95308200005)</f>
        <v>-200102.9531</v>
      </c>
      <c r="G3847" s="22">
        <f>IFERROR(__xludf.DUMMYFUNCTION("""COMPUTED_VALUE"""),200102.95308200005)</f>
        <v>200102.9531</v>
      </c>
      <c r="H3847" s="22">
        <f>IFERROR(__xludf.DUMMYFUNCTION("""COMPUTED_VALUE"""),484639.35496075)</f>
        <v>484639.355</v>
      </c>
      <c r="I3847" s="24">
        <f>IFERROR(__xludf.DUMMYFUNCTION("""COMPUTED_VALUE"""),-0.030721290078500108)</f>
        <v>-0.03072129008</v>
      </c>
    </row>
    <row r="3848">
      <c r="A3848" s="5" t="str">
        <f>IFERROR(__xludf.DUMMYFUNCTION("""COMPUTED_VALUE"""),"46220")</f>
        <v>46220</v>
      </c>
      <c r="B3848" s="64">
        <f>IFERROR(__xludf.DUMMYFUNCTION("""COMPUTED_VALUE"""),44621.0)</f>
        <v>44621</v>
      </c>
      <c r="C3848" s="5"/>
      <c r="D3848" s="5"/>
      <c r="E3848" s="5"/>
      <c r="F3848" s="22">
        <f>IFERROR(__xludf.DUMMYFUNCTION("""COMPUTED_VALUE"""),-200102.95308200005)</f>
        <v>-200102.9531</v>
      </c>
      <c r="G3848" s="22">
        <f>IFERROR(__xludf.DUMMYFUNCTION("""COMPUTED_VALUE"""),200102.95308200005)</f>
        <v>200102.9531</v>
      </c>
      <c r="H3848" s="22">
        <f>IFERROR(__xludf.DUMMYFUNCTION("""COMPUTED_VALUE"""),477119.8271957499)</f>
        <v>477119.8272</v>
      </c>
      <c r="I3848" s="24">
        <f>IFERROR(__xludf.DUMMYFUNCTION("""COMPUTED_VALUE"""),-0.045760345608500175)</f>
        <v>-0.04576034561</v>
      </c>
    </row>
    <row r="3849">
      <c r="A3849" s="5" t="str">
        <f>IFERROR(__xludf.DUMMYFUNCTION("""COMPUTED_VALUE"""),"46220")</f>
        <v>46220</v>
      </c>
      <c r="B3849" s="64">
        <f>IFERROR(__xludf.DUMMYFUNCTION("""COMPUTED_VALUE"""),44622.0)</f>
        <v>44622</v>
      </c>
      <c r="C3849" s="5"/>
      <c r="D3849" s="5"/>
      <c r="E3849" s="5"/>
      <c r="F3849" s="22">
        <f>IFERROR(__xludf.DUMMYFUNCTION("""COMPUTED_VALUE"""),-200102.95308200005)</f>
        <v>-200102.9531</v>
      </c>
      <c r="G3849" s="22">
        <f>IFERROR(__xludf.DUMMYFUNCTION("""COMPUTED_VALUE"""),200102.95308200005)</f>
        <v>200102.9531</v>
      </c>
      <c r="H3849" s="22">
        <f>IFERROR(__xludf.DUMMYFUNCTION("""COMPUTED_VALUE"""),481011.93853425)</f>
        <v>481011.9385</v>
      </c>
      <c r="I3849" s="24">
        <f>IFERROR(__xludf.DUMMYFUNCTION("""COMPUTED_VALUE"""),-0.03797612293149999)</f>
        <v>-0.03797612293</v>
      </c>
    </row>
    <row r="3850">
      <c r="A3850" s="5" t="str">
        <f>IFERROR(__xludf.DUMMYFUNCTION("""COMPUTED_VALUE"""),"46220")</f>
        <v>46220</v>
      </c>
      <c r="B3850" s="64">
        <f>IFERROR(__xludf.DUMMYFUNCTION("""COMPUTED_VALUE"""),44623.0)</f>
        <v>44623</v>
      </c>
      <c r="C3850" s="5"/>
      <c r="D3850" s="5"/>
      <c r="E3850" s="5"/>
      <c r="F3850" s="22">
        <f>IFERROR(__xludf.DUMMYFUNCTION("""COMPUTED_VALUE"""),-200102.95308200005)</f>
        <v>-200102.9531</v>
      </c>
      <c r="G3850" s="22">
        <f>IFERROR(__xludf.DUMMYFUNCTION("""COMPUTED_VALUE"""),200102.95308200005)</f>
        <v>200102.9531</v>
      </c>
      <c r="H3850" s="22">
        <f>IFERROR(__xludf.DUMMYFUNCTION("""COMPUTED_VALUE"""),469899.9382982499)</f>
        <v>469899.9383</v>
      </c>
      <c r="I3850" s="24">
        <f>IFERROR(__xludf.DUMMYFUNCTION("""COMPUTED_VALUE"""),-0.06020012340350023)</f>
        <v>-0.0602001234</v>
      </c>
    </row>
    <row r="3851">
      <c r="A3851" s="5" t="str">
        <f>IFERROR(__xludf.DUMMYFUNCTION("""COMPUTED_VALUE"""),"46220")</f>
        <v>46220</v>
      </c>
      <c r="B3851" s="64">
        <f>IFERROR(__xludf.DUMMYFUNCTION("""COMPUTED_VALUE"""),44624.0)</f>
        <v>44624</v>
      </c>
      <c r="C3851" s="5"/>
      <c r="D3851" s="5"/>
      <c r="E3851" s="5"/>
      <c r="F3851" s="22">
        <f>IFERROR(__xludf.DUMMYFUNCTION("""COMPUTED_VALUE"""),-200102.95308200005)</f>
        <v>-200102.9531</v>
      </c>
      <c r="G3851" s="22">
        <f>IFERROR(__xludf.DUMMYFUNCTION("""COMPUTED_VALUE"""),200102.95308200005)</f>
        <v>200102.9531</v>
      </c>
      <c r="H3851" s="22">
        <f>IFERROR(__xludf.DUMMYFUNCTION("""COMPUTED_VALUE"""),459813.17820925)</f>
        <v>459813.1782</v>
      </c>
      <c r="I3851" s="24">
        <f>IFERROR(__xludf.DUMMYFUNCTION("""COMPUTED_VALUE"""),-0.08037364358150001)</f>
        <v>-0.08037364358</v>
      </c>
    </row>
    <row r="3852">
      <c r="A3852" s="5" t="str">
        <f>IFERROR(__xludf.DUMMYFUNCTION("""COMPUTED_VALUE"""),"46220")</f>
        <v>46220</v>
      </c>
      <c r="B3852" s="64">
        <f>IFERROR(__xludf.DUMMYFUNCTION("""COMPUTED_VALUE"""),44625.0)</f>
        <v>44625</v>
      </c>
      <c r="C3852" s="5"/>
      <c r="D3852" s="5"/>
      <c r="E3852" s="5"/>
      <c r="F3852" s="22">
        <f>IFERROR(__xludf.DUMMYFUNCTION("""COMPUTED_VALUE"""),-200102.95308200005)</f>
        <v>-200102.9531</v>
      </c>
      <c r="G3852" s="22">
        <f>IFERROR(__xludf.DUMMYFUNCTION("""COMPUTED_VALUE"""),200102.95308200005)</f>
        <v>200102.9531</v>
      </c>
      <c r="H3852" s="22">
        <f>IFERROR(__xludf.DUMMYFUNCTION("""COMPUTED_VALUE"""),459813.17820925)</f>
        <v>459813.1782</v>
      </c>
      <c r="I3852" s="24">
        <f>IFERROR(__xludf.DUMMYFUNCTION("""COMPUTED_VALUE"""),-0.08037364358150001)</f>
        <v>-0.08037364358</v>
      </c>
    </row>
    <row r="3853">
      <c r="A3853" s="5" t="str">
        <f>IFERROR(__xludf.DUMMYFUNCTION("""COMPUTED_VALUE"""),"46220")</f>
        <v>46220</v>
      </c>
      <c r="B3853" s="64">
        <f>IFERROR(__xludf.DUMMYFUNCTION("""COMPUTED_VALUE"""),44626.0)</f>
        <v>44626</v>
      </c>
      <c r="C3853" s="5"/>
      <c r="D3853" s="5"/>
      <c r="E3853" s="5"/>
      <c r="F3853" s="22">
        <f>IFERROR(__xludf.DUMMYFUNCTION("""COMPUTED_VALUE"""),-200102.95308200005)</f>
        <v>-200102.9531</v>
      </c>
      <c r="G3853" s="22">
        <f>IFERROR(__xludf.DUMMYFUNCTION("""COMPUTED_VALUE"""),200102.95308200005)</f>
        <v>200102.9531</v>
      </c>
      <c r="H3853" s="22">
        <f>IFERROR(__xludf.DUMMYFUNCTION("""COMPUTED_VALUE"""),459813.17820925)</f>
        <v>459813.1782</v>
      </c>
      <c r="I3853" s="24">
        <f>IFERROR(__xludf.DUMMYFUNCTION("""COMPUTED_VALUE"""),-0.08037364358150001)</f>
        <v>-0.08037364358</v>
      </c>
    </row>
    <row r="3854">
      <c r="A3854" s="5" t="str">
        <f>IFERROR(__xludf.DUMMYFUNCTION("""COMPUTED_VALUE"""),"46220")</f>
        <v>46220</v>
      </c>
      <c r="B3854" s="64">
        <f>IFERROR(__xludf.DUMMYFUNCTION("""COMPUTED_VALUE"""),44627.0)</f>
        <v>44627</v>
      </c>
      <c r="C3854" s="5"/>
      <c r="D3854" s="5"/>
      <c r="E3854" s="5"/>
      <c r="F3854" s="22">
        <f>IFERROR(__xludf.DUMMYFUNCTION("""COMPUTED_VALUE"""),-200102.95308200005)</f>
        <v>-200102.9531</v>
      </c>
      <c r="G3854" s="22">
        <f>IFERROR(__xludf.DUMMYFUNCTION("""COMPUTED_VALUE"""),200102.95308200005)</f>
        <v>200102.9531</v>
      </c>
      <c r="H3854" s="22">
        <f>IFERROR(__xludf.DUMMYFUNCTION("""COMPUTED_VALUE"""),430929.9669705)</f>
        <v>430929.967</v>
      </c>
      <c r="I3854" s="24">
        <f>IFERROR(__xludf.DUMMYFUNCTION("""COMPUTED_VALUE"""),-0.13814006605899998)</f>
        <v>-0.1381400661</v>
      </c>
    </row>
    <row r="3855">
      <c r="A3855" s="5" t="str">
        <f>IFERROR(__xludf.DUMMYFUNCTION("""COMPUTED_VALUE"""),"46220")</f>
        <v>46220</v>
      </c>
      <c r="B3855" s="64">
        <f>IFERROR(__xludf.DUMMYFUNCTION("""COMPUTED_VALUE"""),44628.0)</f>
        <v>44628</v>
      </c>
      <c r="C3855" s="5"/>
      <c r="D3855" s="5"/>
      <c r="E3855" s="5"/>
      <c r="F3855" s="22">
        <f>IFERROR(__xludf.DUMMYFUNCTION("""COMPUTED_VALUE"""),-200102.95308200005)</f>
        <v>-200102.9531</v>
      </c>
      <c r="G3855" s="22">
        <f>IFERROR(__xludf.DUMMYFUNCTION("""COMPUTED_VALUE"""),200102.95308200005)</f>
        <v>200102.9531</v>
      </c>
      <c r="H3855" s="22">
        <f>IFERROR(__xludf.DUMMYFUNCTION("""COMPUTED_VALUE"""),435816.33502149995)</f>
        <v>435816.335</v>
      </c>
      <c r="I3855" s="24">
        <f>IFERROR(__xludf.DUMMYFUNCTION("""COMPUTED_VALUE"""),-0.12836732995700006)</f>
        <v>-0.12836733</v>
      </c>
    </row>
    <row r="3856">
      <c r="A3856" s="5" t="str">
        <f>IFERROR(__xludf.DUMMYFUNCTION("""COMPUTED_VALUE"""),"46220")</f>
        <v>46220</v>
      </c>
      <c r="B3856" s="64">
        <f>IFERROR(__xludf.DUMMYFUNCTION("""COMPUTED_VALUE"""),44629.0)</f>
        <v>44629</v>
      </c>
      <c r="C3856" s="5"/>
      <c r="D3856" s="5"/>
      <c r="E3856" s="5"/>
      <c r="F3856" s="22">
        <f>IFERROR(__xludf.DUMMYFUNCTION("""COMPUTED_VALUE"""),-200102.95308200005)</f>
        <v>-200102.9531</v>
      </c>
      <c r="G3856" s="22">
        <f>IFERROR(__xludf.DUMMYFUNCTION("""COMPUTED_VALUE"""),200102.95308200005)</f>
        <v>200102.9531</v>
      </c>
      <c r="H3856" s="22">
        <f>IFERROR(__xludf.DUMMYFUNCTION("""COMPUTED_VALUE"""),466305.11531225004)</f>
        <v>466305.1153</v>
      </c>
      <c r="I3856" s="24">
        <f>IFERROR(__xludf.DUMMYFUNCTION("""COMPUTED_VALUE"""),-0.0673897693754999)</f>
        <v>-0.06738976938</v>
      </c>
    </row>
    <row r="3857">
      <c r="A3857" s="5" t="str">
        <f>IFERROR(__xludf.DUMMYFUNCTION("""COMPUTED_VALUE"""),"46220")</f>
        <v>46220</v>
      </c>
      <c r="B3857" s="64">
        <f>IFERROR(__xludf.DUMMYFUNCTION("""COMPUTED_VALUE"""),44630.0)</f>
        <v>44630</v>
      </c>
      <c r="C3857" s="5"/>
      <c r="D3857" s="5"/>
      <c r="E3857" s="5"/>
      <c r="F3857" s="22">
        <f>IFERROR(__xludf.DUMMYFUNCTION("""COMPUTED_VALUE"""),-200102.95308200005)</f>
        <v>-200102.9531</v>
      </c>
      <c r="G3857" s="22">
        <f>IFERROR(__xludf.DUMMYFUNCTION("""COMPUTED_VALUE"""),200102.95308200005)</f>
        <v>200102.9531</v>
      </c>
      <c r="H3857" s="22">
        <f>IFERROR(__xludf.DUMMYFUNCTION("""COMPUTED_VALUE"""),465159.20505125006)</f>
        <v>465159.2051</v>
      </c>
      <c r="I3857" s="24">
        <f>IFERROR(__xludf.DUMMYFUNCTION("""COMPUTED_VALUE"""),-0.06968158989749984)</f>
        <v>-0.0696815899</v>
      </c>
    </row>
    <row r="3858">
      <c r="A3858" s="5" t="str">
        <f>IFERROR(__xludf.DUMMYFUNCTION("""COMPUTED_VALUE"""),"46220")</f>
        <v>46220</v>
      </c>
      <c r="B3858" s="64">
        <f>IFERROR(__xludf.DUMMYFUNCTION("""COMPUTED_VALUE"""),44631.0)</f>
        <v>44631</v>
      </c>
      <c r="C3858" s="5"/>
      <c r="D3858" s="5"/>
      <c r="E3858" s="5"/>
      <c r="F3858" s="22">
        <f>IFERROR(__xludf.DUMMYFUNCTION("""COMPUTED_VALUE"""),-200102.95308200005)</f>
        <v>-200102.9531</v>
      </c>
      <c r="G3858" s="22">
        <f>IFERROR(__xludf.DUMMYFUNCTION("""COMPUTED_VALUE"""),200102.95308200005)</f>
        <v>200102.9531</v>
      </c>
      <c r="H3858" s="22">
        <f>IFERROR(__xludf.DUMMYFUNCTION("""COMPUTED_VALUE"""),440155.50172825)</f>
        <v>440155.5017</v>
      </c>
      <c r="I3858" s="24">
        <f>IFERROR(__xludf.DUMMYFUNCTION("""COMPUTED_VALUE"""),-0.11968899654349996)</f>
        <v>-0.1196889965</v>
      </c>
    </row>
    <row r="3859">
      <c r="A3859" s="5" t="str">
        <f>IFERROR(__xludf.DUMMYFUNCTION("""COMPUTED_VALUE"""),"46220")</f>
        <v>46220</v>
      </c>
      <c r="B3859" s="64">
        <f>IFERROR(__xludf.DUMMYFUNCTION("""COMPUTED_VALUE"""),44632.0)</f>
        <v>44632</v>
      </c>
      <c r="C3859" s="5"/>
      <c r="D3859" s="5"/>
      <c r="E3859" s="5"/>
      <c r="F3859" s="22">
        <f>IFERROR(__xludf.DUMMYFUNCTION("""COMPUTED_VALUE"""),-200102.95308200005)</f>
        <v>-200102.9531</v>
      </c>
      <c r="G3859" s="22">
        <f>IFERROR(__xludf.DUMMYFUNCTION("""COMPUTED_VALUE"""),200102.95308200005)</f>
        <v>200102.9531</v>
      </c>
      <c r="H3859" s="22">
        <f>IFERROR(__xludf.DUMMYFUNCTION("""COMPUTED_VALUE"""),440155.50172825)</f>
        <v>440155.5017</v>
      </c>
      <c r="I3859" s="24">
        <f>IFERROR(__xludf.DUMMYFUNCTION("""COMPUTED_VALUE"""),-0.11968899654349996)</f>
        <v>-0.1196889965</v>
      </c>
    </row>
    <row r="3860">
      <c r="A3860" s="5" t="str">
        <f>IFERROR(__xludf.DUMMYFUNCTION("""COMPUTED_VALUE"""),"46220")</f>
        <v>46220</v>
      </c>
      <c r="B3860" s="64">
        <f>IFERROR(__xludf.DUMMYFUNCTION("""COMPUTED_VALUE"""),44633.0)</f>
        <v>44633</v>
      </c>
      <c r="C3860" s="5"/>
      <c r="D3860" s="5"/>
      <c r="E3860" s="5"/>
      <c r="F3860" s="22">
        <f>IFERROR(__xludf.DUMMYFUNCTION("""COMPUTED_VALUE"""),-200102.95308200005)</f>
        <v>-200102.9531</v>
      </c>
      <c r="G3860" s="22">
        <f>IFERROR(__xludf.DUMMYFUNCTION("""COMPUTED_VALUE"""),200102.95308200005)</f>
        <v>200102.9531</v>
      </c>
      <c r="H3860" s="22">
        <f>IFERROR(__xludf.DUMMYFUNCTION("""COMPUTED_VALUE"""),440155.50172825)</f>
        <v>440155.5017</v>
      </c>
      <c r="I3860" s="24">
        <f>IFERROR(__xludf.DUMMYFUNCTION("""COMPUTED_VALUE"""),-0.11968899654349996)</f>
        <v>-0.1196889965</v>
      </c>
    </row>
    <row r="3861">
      <c r="A3861" s="5" t="str">
        <f>IFERROR(__xludf.DUMMYFUNCTION("""COMPUTED_VALUE"""),"46220")</f>
        <v>46220</v>
      </c>
      <c r="B3861" s="64">
        <f>IFERROR(__xludf.DUMMYFUNCTION("""COMPUTED_VALUE"""),44634.0)</f>
        <v>44634</v>
      </c>
      <c r="C3861" s="5"/>
      <c r="D3861" s="5"/>
      <c r="E3861" s="5"/>
      <c r="F3861" s="22">
        <f>IFERROR(__xludf.DUMMYFUNCTION("""COMPUTED_VALUE"""),-200102.95308200005)</f>
        <v>-200102.9531</v>
      </c>
      <c r="G3861" s="22">
        <f>IFERROR(__xludf.DUMMYFUNCTION("""COMPUTED_VALUE"""),200102.95308200005)</f>
        <v>200102.9531</v>
      </c>
      <c r="H3861" s="22">
        <f>IFERROR(__xludf.DUMMYFUNCTION("""COMPUTED_VALUE"""),422320.1235217499)</f>
        <v>422320.1235</v>
      </c>
      <c r="I3861" s="24">
        <f>IFERROR(__xludf.DUMMYFUNCTION("""COMPUTED_VALUE"""),-0.15535975295650017)</f>
        <v>-0.155359753</v>
      </c>
    </row>
    <row r="3862">
      <c r="A3862" s="5" t="str">
        <f>IFERROR(__xludf.DUMMYFUNCTION("""COMPUTED_VALUE"""),"46220")</f>
        <v>46220</v>
      </c>
      <c r="B3862" s="64">
        <f>IFERROR(__xludf.DUMMYFUNCTION("""COMPUTED_VALUE"""),44635.0)</f>
        <v>44635</v>
      </c>
      <c r="C3862" s="5"/>
      <c r="D3862" s="5"/>
      <c r="E3862" s="5"/>
      <c r="F3862" s="22">
        <f>IFERROR(__xludf.DUMMYFUNCTION("""COMPUTED_VALUE"""),-200102.95308200005)</f>
        <v>-200102.9531</v>
      </c>
      <c r="G3862" s="22">
        <f>IFERROR(__xludf.DUMMYFUNCTION("""COMPUTED_VALUE"""),200102.95308200005)</f>
        <v>200102.9531</v>
      </c>
      <c r="H3862" s="22">
        <f>IFERROR(__xludf.DUMMYFUNCTION("""COMPUTED_VALUE"""),439918.75551474997)</f>
        <v>439918.7555</v>
      </c>
      <c r="I3862" s="24">
        <f>IFERROR(__xludf.DUMMYFUNCTION("""COMPUTED_VALUE"""),-0.12016248897050008)</f>
        <v>-0.120162489</v>
      </c>
    </row>
    <row r="3863">
      <c r="A3863" s="5" t="str">
        <f>IFERROR(__xludf.DUMMYFUNCTION("""COMPUTED_VALUE"""),"46220")</f>
        <v>46220</v>
      </c>
      <c r="B3863" s="64">
        <f>IFERROR(__xludf.DUMMYFUNCTION("""COMPUTED_VALUE"""),44636.0)</f>
        <v>44636</v>
      </c>
      <c r="C3863" s="5"/>
      <c r="D3863" s="5"/>
      <c r="E3863" s="5"/>
      <c r="F3863" s="22">
        <f>IFERROR(__xludf.DUMMYFUNCTION("""COMPUTED_VALUE"""),-200102.95308200005)</f>
        <v>-200102.9531</v>
      </c>
      <c r="G3863" s="22">
        <f>IFERROR(__xludf.DUMMYFUNCTION("""COMPUTED_VALUE"""),200102.95308200005)</f>
        <v>200102.9531</v>
      </c>
      <c r="H3863" s="22">
        <f>IFERROR(__xludf.DUMMYFUNCTION("""COMPUTED_VALUE"""),465295.65644575)</f>
        <v>465295.6564</v>
      </c>
      <c r="I3863" s="24">
        <f>IFERROR(__xludf.DUMMYFUNCTION("""COMPUTED_VALUE"""),-0.06940868710850001)</f>
        <v>-0.06940868711</v>
      </c>
    </row>
    <row r="3864">
      <c r="A3864" s="5" t="str">
        <f>IFERROR(__xludf.DUMMYFUNCTION("""COMPUTED_VALUE"""),"46220")</f>
        <v>46220</v>
      </c>
      <c r="B3864" s="64">
        <f>IFERROR(__xludf.DUMMYFUNCTION("""COMPUTED_VALUE"""),44637.0)</f>
        <v>44637</v>
      </c>
      <c r="C3864" s="5"/>
      <c r="D3864" s="5"/>
      <c r="E3864" s="5"/>
      <c r="F3864" s="22">
        <f>IFERROR(__xludf.DUMMYFUNCTION("""COMPUTED_VALUE"""),-200102.95308200005)</f>
        <v>-200102.9531</v>
      </c>
      <c r="G3864" s="22">
        <f>IFERROR(__xludf.DUMMYFUNCTION("""COMPUTED_VALUE"""),200102.95308200005)</f>
        <v>200102.9531</v>
      </c>
      <c r="H3864" s="22">
        <f>IFERROR(__xludf.DUMMYFUNCTION("""COMPUTED_VALUE"""),476515.56889399997)</f>
        <v>476515.5689</v>
      </c>
      <c r="I3864" s="24">
        <f>IFERROR(__xludf.DUMMYFUNCTION("""COMPUTED_VALUE"""),-0.04696886221200003)</f>
        <v>-0.04696886221</v>
      </c>
    </row>
    <row r="3865">
      <c r="A3865" s="5" t="str">
        <f>IFERROR(__xludf.DUMMYFUNCTION("""COMPUTED_VALUE"""),"46220")</f>
        <v>46220</v>
      </c>
      <c r="B3865" s="64">
        <f>IFERROR(__xludf.DUMMYFUNCTION("""COMPUTED_VALUE"""),44638.0)</f>
        <v>44638</v>
      </c>
      <c r="C3865" s="5"/>
      <c r="D3865" s="5"/>
      <c r="E3865" s="5"/>
      <c r="F3865" s="22">
        <f>IFERROR(__xludf.DUMMYFUNCTION("""COMPUTED_VALUE"""),-200102.95308200005)</f>
        <v>-200102.9531</v>
      </c>
      <c r="G3865" s="22">
        <f>IFERROR(__xludf.DUMMYFUNCTION("""COMPUTED_VALUE"""),200102.95308200005)</f>
        <v>200102.9531</v>
      </c>
      <c r="H3865" s="22">
        <f>IFERROR(__xludf.DUMMYFUNCTION("""COMPUTED_VALUE"""),493102.8218787501)</f>
        <v>493102.8219</v>
      </c>
      <c r="I3865" s="24">
        <f>IFERROR(__xludf.DUMMYFUNCTION("""COMPUTED_VALUE"""),-0.013794356242499806)</f>
        <v>-0.01379435624</v>
      </c>
    </row>
    <row r="3866">
      <c r="A3866" s="5" t="str">
        <f>IFERROR(__xludf.DUMMYFUNCTION("""COMPUTED_VALUE"""),"46220")</f>
        <v>46220</v>
      </c>
      <c r="B3866" s="64">
        <f>IFERROR(__xludf.DUMMYFUNCTION("""COMPUTED_VALUE"""),44639.0)</f>
        <v>44639</v>
      </c>
      <c r="C3866" s="5"/>
      <c r="D3866" s="5"/>
      <c r="E3866" s="5"/>
      <c r="F3866" s="22">
        <f>IFERROR(__xludf.DUMMYFUNCTION("""COMPUTED_VALUE"""),-200102.95308200005)</f>
        <v>-200102.9531</v>
      </c>
      <c r="G3866" s="22">
        <f>IFERROR(__xludf.DUMMYFUNCTION("""COMPUTED_VALUE"""),200102.95308200005)</f>
        <v>200102.9531</v>
      </c>
      <c r="H3866" s="22">
        <f>IFERROR(__xludf.DUMMYFUNCTION("""COMPUTED_VALUE"""),493102.8218787501)</f>
        <v>493102.8219</v>
      </c>
      <c r="I3866" s="24">
        <f>IFERROR(__xludf.DUMMYFUNCTION("""COMPUTED_VALUE"""),-0.013794356242499806)</f>
        <v>-0.01379435624</v>
      </c>
    </row>
    <row r="3867">
      <c r="A3867" s="5" t="str">
        <f>IFERROR(__xludf.DUMMYFUNCTION("""COMPUTED_VALUE"""),"46220")</f>
        <v>46220</v>
      </c>
      <c r="B3867" s="64">
        <f>IFERROR(__xludf.DUMMYFUNCTION("""COMPUTED_VALUE"""),44640.0)</f>
        <v>44640</v>
      </c>
      <c r="C3867" s="5"/>
      <c r="D3867" s="5"/>
      <c r="E3867" s="5"/>
      <c r="F3867" s="22">
        <f>IFERROR(__xludf.DUMMYFUNCTION("""COMPUTED_VALUE"""),-200102.95308200005)</f>
        <v>-200102.9531</v>
      </c>
      <c r="G3867" s="22">
        <f>IFERROR(__xludf.DUMMYFUNCTION("""COMPUTED_VALUE"""),200102.95308200005)</f>
        <v>200102.9531</v>
      </c>
      <c r="H3867" s="22">
        <f>IFERROR(__xludf.DUMMYFUNCTION("""COMPUTED_VALUE"""),493102.8218787501)</f>
        <v>493102.8219</v>
      </c>
      <c r="I3867" s="24">
        <f>IFERROR(__xludf.DUMMYFUNCTION("""COMPUTED_VALUE"""),-0.013794356242499806)</f>
        <v>-0.01379435624</v>
      </c>
    </row>
    <row r="3868">
      <c r="A3868" s="5" t="str">
        <f>IFERROR(__xludf.DUMMYFUNCTION("""COMPUTED_VALUE"""),"46220")</f>
        <v>46220</v>
      </c>
      <c r="B3868" s="64">
        <f>IFERROR(__xludf.DUMMYFUNCTION("""COMPUTED_VALUE"""),44641.0)</f>
        <v>44641</v>
      </c>
      <c r="C3868" s="5"/>
      <c r="D3868" s="5"/>
      <c r="E3868" s="5"/>
      <c r="F3868" s="22">
        <f>IFERROR(__xludf.DUMMYFUNCTION("""COMPUTED_VALUE"""),-200102.95308200005)</f>
        <v>-200102.9531</v>
      </c>
      <c r="G3868" s="22">
        <f>IFERROR(__xludf.DUMMYFUNCTION("""COMPUTED_VALUE"""),200102.95308200005)</f>
        <v>200102.9531</v>
      </c>
      <c r="H3868" s="22">
        <f>IFERROR(__xludf.DUMMYFUNCTION("""COMPUTED_VALUE"""),489780.2227779999)</f>
        <v>489780.2228</v>
      </c>
      <c r="I3868" s="24">
        <f>IFERROR(__xludf.DUMMYFUNCTION("""COMPUTED_VALUE"""),-0.020439554444000252)</f>
        <v>-0.02043955444</v>
      </c>
    </row>
    <row r="3869">
      <c r="A3869" s="5" t="str">
        <f>IFERROR(__xludf.DUMMYFUNCTION("""COMPUTED_VALUE"""),"46220")</f>
        <v>46220</v>
      </c>
      <c r="B3869" s="64">
        <f>IFERROR(__xludf.DUMMYFUNCTION("""COMPUTED_VALUE"""),44642.0)</f>
        <v>44642</v>
      </c>
      <c r="C3869" s="5"/>
      <c r="D3869" s="5"/>
      <c r="E3869" s="5"/>
      <c r="F3869" s="22">
        <f>IFERROR(__xludf.DUMMYFUNCTION("""COMPUTED_VALUE"""),-200102.95308200005)</f>
        <v>-200102.9531</v>
      </c>
      <c r="G3869" s="22">
        <f>IFERROR(__xludf.DUMMYFUNCTION("""COMPUTED_VALUE"""),200102.95308200005)</f>
        <v>200102.9531</v>
      </c>
      <c r="H3869" s="22">
        <f>IFERROR(__xludf.DUMMYFUNCTION("""COMPUTED_VALUE"""),514891.11998749996)</f>
        <v>514891.12</v>
      </c>
      <c r="I3869" s="24">
        <f>IFERROR(__xludf.DUMMYFUNCTION("""COMPUTED_VALUE"""),0.029782239974999847)</f>
        <v>0.02978223997</v>
      </c>
    </row>
    <row r="3870">
      <c r="A3870" s="5" t="str">
        <f>IFERROR(__xludf.DUMMYFUNCTION("""COMPUTED_VALUE"""),"46220")</f>
        <v>46220</v>
      </c>
      <c r="B3870" s="64">
        <f>IFERROR(__xludf.DUMMYFUNCTION("""COMPUTED_VALUE"""),44643.0)</f>
        <v>44643</v>
      </c>
      <c r="C3870" s="5"/>
      <c r="D3870" s="5"/>
      <c r="E3870" s="5"/>
      <c r="F3870" s="22">
        <f>IFERROR(__xludf.DUMMYFUNCTION("""COMPUTED_VALUE"""),-200102.95308200005)</f>
        <v>-200102.9531</v>
      </c>
      <c r="G3870" s="22">
        <f>IFERROR(__xludf.DUMMYFUNCTION("""COMPUTED_VALUE"""),200102.95308200005)</f>
        <v>200102.9531</v>
      </c>
      <c r="H3870" s="22">
        <f>IFERROR(__xludf.DUMMYFUNCTION("""COMPUTED_VALUE"""),507750.91144225)</f>
        <v>507750.9114</v>
      </c>
      <c r="I3870" s="24">
        <f>IFERROR(__xludf.DUMMYFUNCTION("""COMPUTED_VALUE"""),0.015501822884500083)</f>
        <v>0.01550182288</v>
      </c>
    </row>
    <row r="3871">
      <c r="A3871" s="5" t="str">
        <f>IFERROR(__xludf.DUMMYFUNCTION("""COMPUTED_VALUE"""),"46220")</f>
        <v>46220</v>
      </c>
      <c r="B3871" s="64">
        <f>IFERROR(__xludf.DUMMYFUNCTION("""COMPUTED_VALUE"""),44644.0)</f>
        <v>44644</v>
      </c>
      <c r="C3871" s="5"/>
      <c r="D3871" s="5"/>
      <c r="E3871" s="5"/>
      <c r="F3871" s="22">
        <f>IFERROR(__xludf.DUMMYFUNCTION("""COMPUTED_VALUE"""),-200102.95308200005)</f>
        <v>-200102.9531</v>
      </c>
      <c r="G3871" s="22">
        <f>IFERROR(__xludf.DUMMYFUNCTION("""COMPUTED_VALUE"""),200102.95308200005)</f>
        <v>200102.9531</v>
      </c>
      <c r="H3871" s="22">
        <f>IFERROR(__xludf.DUMMYFUNCTION("""COMPUTED_VALUE"""),520827.5014964999)</f>
        <v>520827.5015</v>
      </c>
      <c r="I3871" s="24">
        <f>IFERROR(__xludf.DUMMYFUNCTION("""COMPUTED_VALUE"""),0.041655002992999846)</f>
        <v>0.04165500299</v>
      </c>
    </row>
    <row r="3872">
      <c r="A3872" s="5" t="str">
        <f>IFERROR(__xludf.DUMMYFUNCTION("""COMPUTED_VALUE"""),"46220")</f>
        <v>46220</v>
      </c>
      <c r="B3872" s="64">
        <f>IFERROR(__xludf.DUMMYFUNCTION("""COMPUTED_VALUE"""),44645.0)</f>
        <v>44645</v>
      </c>
      <c r="C3872" s="5"/>
      <c r="D3872" s="5"/>
      <c r="E3872" s="5"/>
      <c r="F3872" s="22">
        <f>IFERROR(__xludf.DUMMYFUNCTION("""COMPUTED_VALUE"""),-200102.95308200005)</f>
        <v>-200102.9531</v>
      </c>
      <c r="G3872" s="22">
        <f>IFERROR(__xludf.DUMMYFUNCTION("""COMPUTED_VALUE"""),200102.95308200005)</f>
        <v>200102.9531</v>
      </c>
      <c r="H3872" s="22">
        <f>IFERROR(__xludf.DUMMYFUNCTION("""COMPUTED_VALUE"""),520241.8552969999)</f>
        <v>520241.8553</v>
      </c>
      <c r="I3872" s="24">
        <f>IFERROR(__xludf.DUMMYFUNCTION("""COMPUTED_VALUE"""),0.04048371059399991)</f>
        <v>0.04048371059</v>
      </c>
    </row>
    <row r="3873">
      <c r="A3873" s="5" t="str">
        <f>IFERROR(__xludf.DUMMYFUNCTION("""COMPUTED_VALUE"""),"46220")</f>
        <v>46220</v>
      </c>
      <c r="B3873" s="64">
        <f>IFERROR(__xludf.DUMMYFUNCTION("""COMPUTED_VALUE"""),44646.0)</f>
        <v>44646</v>
      </c>
      <c r="C3873" s="5"/>
      <c r="D3873" s="5"/>
      <c r="E3873" s="5"/>
      <c r="F3873" s="22">
        <f>IFERROR(__xludf.DUMMYFUNCTION("""COMPUTED_VALUE"""),-200102.95308200005)</f>
        <v>-200102.9531</v>
      </c>
      <c r="G3873" s="22">
        <f>IFERROR(__xludf.DUMMYFUNCTION("""COMPUTED_VALUE"""),200102.95308200005)</f>
        <v>200102.9531</v>
      </c>
      <c r="H3873" s="22">
        <f>IFERROR(__xludf.DUMMYFUNCTION("""COMPUTED_VALUE"""),520241.8552969999)</f>
        <v>520241.8553</v>
      </c>
      <c r="I3873" s="24">
        <f>IFERROR(__xludf.DUMMYFUNCTION("""COMPUTED_VALUE"""),0.04048371059399991)</f>
        <v>0.04048371059</v>
      </c>
    </row>
    <row r="3874">
      <c r="A3874" s="5" t="str">
        <f>IFERROR(__xludf.DUMMYFUNCTION("""COMPUTED_VALUE"""),"46220")</f>
        <v>46220</v>
      </c>
      <c r="B3874" s="64">
        <f>IFERROR(__xludf.DUMMYFUNCTION("""COMPUTED_VALUE"""),44647.0)</f>
        <v>44647</v>
      </c>
      <c r="C3874" s="5"/>
      <c r="D3874" s="5"/>
      <c r="E3874" s="5"/>
      <c r="F3874" s="22">
        <f>IFERROR(__xludf.DUMMYFUNCTION("""COMPUTED_VALUE"""),-200102.95308200005)</f>
        <v>-200102.9531</v>
      </c>
      <c r="G3874" s="22">
        <f>IFERROR(__xludf.DUMMYFUNCTION("""COMPUTED_VALUE"""),200102.95308200005)</f>
        <v>200102.9531</v>
      </c>
      <c r="H3874" s="22">
        <f>IFERROR(__xludf.DUMMYFUNCTION("""COMPUTED_VALUE"""),520241.8552969999)</f>
        <v>520241.8553</v>
      </c>
      <c r="I3874" s="24">
        <f>IFERROR(__xludf.DUMMYFUNCTION("""COMPUTED_VALUE"""),0.04048371059399991)</f>
        <v>0.04048371059</v>
      </c>
    </row>
    <row r="3875">
      <c r="A3875" s="5" t="str">
        <f>IFERROR(__xludf.DUMMYFUNCTION("""COMPUTED_VALUE"""),"46220")</f>
        <v>46220</v>
      </c>
      <c r="B3875" s="64">
        <f>IFERROR(__xludf.DUMMYFUNCTION("""COMPUTED_VALUE"""),44648.0)</f>
        <v>44648</v>
      </c>
      <c r="C3875" s="5"/>
      <c r="D3875" s="5"/>
      <c r="E3875" s="5"/>
      <c r="F3875" s="22">
        <f>IFERROR(__xludf.DUMMYFUNCTION("""COMPUTED_VALUE"""),-200102.95308200005)</f>
        <v>-200102.9531</v>
      </c>
      <c r="G3875" s="22">
        <f>IFERROR(__xludf.DUMMYFUNCTION("""COMPUTED_VALUE"""),200102.95308200005)</f>
        <v>200102.9531</v>
      </c>
      <c r="H3875" s="22">
        <f>IFERROR(__xludf.DUMMYFUNCTION("""COMPUTED_VALUE"""),532932.4804100001)</f>
        <v>532932.4804</v>
      </c>
      <c r="I3875" s="24">
        <f>IFERROR(__xludf.DUMMYFUNCTION("""COMPUTED_VALUE"""),0.06586496082000015)</f>
        <v>0.06586496082</v>
      </c>
    </row>
    <row r="3876">
      <c r="A3876" s="5" t="str">
        <f>IFERROR(__xludf.DUMMYFUNCTION("""COMPUTED_VALUE"""),"46220")</f>
        <v>46220</v>
      </c>
      <c r="B3876" s="64">
        <f>IFERROR(__xludf.DUMMYFUNCTION("""COMPUTED_VALUE"""),44649.0)</f>
        <v>44649</v>
      </c>
      <c r="C3876" s="5"/>
      <c r="D3876" s="5"/>
      <c r="E3876" s="5"/>
      <c r="F3876" s="22">
        <f>IFERROR(__xludf.DUMMYFUNCTION("""COMPUTED_VALUE"""),-200102.95308200005)</f>
        <v>-200102.9531</v>
      </c>
      <c r="G3876" s="22">
        <f>IFERROR(__xludf.DUMMYFUNCTION("""COMPUTED_VALUE"""),200102.95308200005)</f>
        <v>200102.9531</v>
      </c>
      <c r="H3876" s="22">
        <f>IFERROR(__xludf.DUMMYFUNCTION("""COMPUTED_VALUE"""),543168.21652625)</f>
        <v>543168.2165</v>
      </c>
      <c r="I3876" s="24">
        <f>IFERROR(__xludf.DUMMYFUNCTION("""COMPUTED_VALUE"""),0.08633643305250005)</f>
        <v>0.08633643305</v>
      </c>
    </row>
    <row r="3877">
      <c r="A3877" s="5" t="str">
        <f>IFERROR(__xludf.DUMMYFUNCTION("""COMPUTED_VALUE"""),"46220")</f>
        <v>46220</v>
      </c>
      <c r="B3877" s="64">
        <f>IFERROR(__xludf.DUMMYFUNCTION("""COMPUTED_VALUE"""),44650.0)</f>
        <v>44650</v>
      </c>
      <c r="C3877" s="5"/>
      <c r="D3877" s="5"/>
      <c r="E3877" s="5"/>
      <c r="F3877" s="22">
        <f>IFERROR(__xludf.DUMMYFUNCTION("""COMPUTED_VALUE"""),-200102.95308200005)</f>
        <v>-200102.9531</v>
      </c>
      <c r="G3877" s="22">
        <f>IFERROR(__xludf.DUMMYFUNCTION("""COMPUTED_VALUE"""),200102.95308200005)</f>
        <v>200102.9531</v>
      </c>
      <c r="H3877" s="22">
        <f>IFERROR(__xludf.DUMMYFUNCTION("""COMPUTED_VALUE"""),537659.03381275)</f>
        <v>537659.0338</v>
      </c>
      <c r="I3877" s="24">
        <f>IFERROR(__xludf.DUMMYFUNCTION("""COMPUTED_VALUE"""),0.07531806762550008)</f>
        <v>0.07531806763</v>
      </c>
    </row>
    <row r="3878">
      <c r="A3878" s="5" t="str">
        <f>IFERROR(__xludf.DUMMYFUNCTION("""COMPUTED_VALUE"""),"46220")</f>
        <v>46220</v>
      </c>
      <c r="B3878" s="64">
        <f>IFERROR(__xludf.DUMMYFUNCTION("""COMPUTED_VALUE"""),44651.0)</f>
        <v>44651</v>
      </c>
      <c r="C3878" s="5"/>
      <c r="D3878" s="5"/>
      <c r="E3878" s="5"/>
      <c r="F3878" s="22">
        <f>IFERROR(__xludf.DUMMYFUNCTION("""COMPUTED_VALUE"""),-200102.95308200005)</f>
        <v>-200102.9531</v>
      </c>
      <c r="G3878" s="22">
        <f>IFERROR(__xludf.DUMMYFUNCTION("""COMPUTED_VALUE"""),200102.95308200005)</f>
        <v>200102.9531</v>
      </c>
      <c r="H3878" s="22">
        <f>IFERROR(__xludf.DUMMYFUNCTION("""COMPUTED_VALUE"""),522588.5206295)</f>
        <v>522588.5206</v>
      </c>
      <c r="I3878" s="24">
        <f>IFERROR(__xludf.DUMMYFUNCTION("""COMPUTED_VALUE"""),0.04517704125900002)</f>
        <v>0.04517704126</v>
      </c>
    </row>
    <row r="3879">
      <c r="A3879" s="5" t="str">
        <f>IFERROR(__xludf.DUMMYFUNCTION("""COMPUTED_VALUE"""),"46220")</f>
        <v>46220</v>
      </c>
      <c r="B3879" s="64">
        <f>IFERROR(__xludf.DUMMYFUNCTION("""COMPUTED_VALUE"""),44652.0)</f>
        <v>44652</v>
      </c>
      <c r="C3879" s="5"/>
      <c r="D3879" s="5"/>
      <c r="E3879" s="5"/>
      <c r="F3879" s="22">
        <f>IFERROR(__xludf.DUMMYFUNCTION("""COMPUTED_VALUE"""),-200102.95308200005)</f>
        <v>-200102.9531</v>
      </c>
      <c r="G3879" s="22">
        <f>IFERROR(__xludf.DUMMYFUNCTION("""COMPUTED_VALUE"""),200102.95308200005)</f>
        <v>200102.9531</v>
      </c>
      <c r="H3879" s="22">
        <f>IFERROR(__xludf.DUMMYFUNCTION("""COMPUTED_VALUE"""),527691.7930077501)</f>
        <v>527691.793</v>
      </c>
      <c r="I3879" s="24">
        <f>IFERROR(__xludf.DUMMYFUNCTION("""COMPUTED_VALUE"""),0.055383586015500086)</f>
        <v>0.05538358602</v>
      </c>
    </row>
    <row r="3880">
      <c r="A3880" s="5" t="str">
        <f>IFERROR(__xludf.DUMMYFUNCTION("""COMPUTED_VALUE"""),"46220")</f>
        <v>46220</v>
      </c>
      <c r="B3880" s="64">
        <f>IFERROR(__xludf.DUMMYFUNCTION("""COMPUTED_VALUE"""),44653.0)</f>
        <v>44653</v>
      </c>
      <c r="C3880" s="5"/>
      <c r="D3880" s="5"/>
      <c r="E3880" s="5"/>
      <c r="F3880" s="22">
        <f>IFERROR(__xludf.DUMMYFUNCTION("""COMPUTED_VALUE"""),-200102.95308200005)</f>
        <v>-200102.9531</v>
      </c>
      <c r="G3880" s="22">
        <f>IFERROR(__xludf.DUMMYFUNCTION("""COMPUTED_VALUE"""),200102.95308200005)</f>
        <v>200102.9531</v>
      </c>
      <c r="H3880" s="22">
        <f>IFERROR(__xludf.DUMMYFUNCTION("""COMPUTED_VALUE"""),527691.7930077501)</f>
        <v>527691.793</v>
      </c>
      <c r="I3880" s="24">
        <f>IFERROR(__xludf.DUMMYFUNCTION("""COMPUTED_VALUE"""),0.055383586015500086)</f>
        <v>0.05538358602</v>
      </c>
    </row>
    <row r="3881">
      <c r="A3881" s="5" t="str">
        <f>IFERROR(__xludf.DUMMYFUNCTION("""COMPUTED_VALUE"""),"46220")</f>
        <v>46220</v>
      </c>
      <c r="B3881" s="64">
        <f>IFERROR(__xludf.DUMMYFUNCTION("""COMPUTED_VALUE"""),44654.0)</f>
        <v>44654</v>
      </c>
      <c r="C3881" s="5"/>
      <c r="D3881" s="5"/>
      <c r="E3881" s="5"/>
      <c r="F3881" s="22">
        <f>IFERROR(__xludf.DUMMYFUNCTION("""COMPUTED_VALUE"""),-200102.95308200005)</f>
        <v>-200102.9531</v>
      </c>
      <c r="G3881" s="22">
        <f>IFERROR(__xludf.DUMMYFUNCTION("""COMPUTED_VALUE"""),200102.95308200005)</f>
        <v>200102.9531</v>
      </c>
      <c r="H3881" s="22">
        <f>IFERROR(__xludf.DUMMYFUNCTION("""COMPUTED_VALUE"""),527691.7930077501)</f>
        <v>527691.793</v>
      </c>
      <c r="I3881" s="24">
        <f>IFERROR(__xludf.DUMMYFUNCTION("""COMPUTED_VALUE"""),0.055383586015500086)</f>
        <v>0.05538358602</v>
      </c>
    </row>
    <row r="3882">
      <c r="A3882" s="5" t="str">
        <f>IFERROR(__xludf.DUMMYFUNCTION("""COMPUTED_VALUE"""),"46220")</f>
        <v>46220</v>
      </c>
      <c r="B3882" s="64">
        <f>IFERROR(__xludf.DUMMYFUNCTION("""COMPUTED_VALUE"""),44655.0)</f>
        <v>44655</v>
      </c>
      <c r="C3882" s="5"/>
      <c r="D3882" s="5"/>
      <c r="E3882" s="5"/>
      <c r="F3882" s="22">
        <f>IFERROR(__xludf.DUMMYFUNCTION("""COMPUTED_VALUE"""),-200102.95308200005)</f>
        <v>-200102.9531</v>
      </c>
      <c r="G3882" s="22">
        <f>IFERROR(__xludf.DUMMYFUNCTION("""COMPUTED_VALUE"""),200102.95308200005)</f>
        <v>200102.9531</v>
      </c>
      <c r="H3882" s="22">
        <f>IFERROR(__xludf.DUMMYFUNCTION("""COMPUTED_VALUE"""),550845.27657775)</f>
        <v>550845.2766</v>
      </c>
      <c r="I3882" s="24">
        <f>IFERROR(__xludf.DUMMYFUNCTION("""COMPUTED_VALUE"""),0.10169055315549991)</f>
        <v>0.1016905532</v>
      </c>
    </row>
    <row r="3883">
      <c r="A3883" s="5" t="str">
        <f>IFERROR(__xludf.DUMMYFUNCTION("""COMPUTED_VALUE"""),"46220")</f>
        <v>46220</v>
      </c>
      <c r="B3883" s="64">
        <f>IFERROR(__xludf.DUMMYFUNCTION("""COMPUTED_VALUE"""),44656.0)</f>
        <v>44656</v>
      </c>
      <c r="C3883" s="5"/>
      <c r="D3883" s="5"/>
      <c r="E3883" s="5"/>
      <c r="F3883" s="22">
        <f>IFERROR(__xludf.DUMMYFUNCTION("""COMPUTED_VALUE"""),-200102.95308200005)</f>
        <v>-200102.9531</v>
      </c>
      <c r="G3883" s="22">
        <f>IFERROR(__xludf.DUMMYFUNCTION("""COMPUTED_VALUE"""),200102.95308200005)</f>
        <v>200102.9531</v>
      </c>
      <c r="H3883" s="22">
        <f>IFERROR(__xludf.DUMMYFUNCTION("""COMPUTED_VALUE"""),533987.8536530001)</f>
        <v>533987.8537</v>
      </c>
      <c r="I3883" s="24">
        <f>IFERROR(__xludf.DUMMYFUNCTION("""COMPUTED_VALUE"""),0.06797570730600011)</f>
        <v>0.06797570731</v>
      </c>
    </row>
    <row r="3884">
      <c r="A3884" s="5" t="str">
        <f>IFERROR(__xludf.DUMMYFUNCTION("""COMPUTED_VALUE"""),"46220")</f>
        <v>46220</v>
      </c>
      <c r="B3884" s="64">
        <f>IFERROR(__xludf.DUMMYFUNCTION("""COMPUTED_VALUE"""),44657.0)</f>
        <v>44657</v>
      </c>
      <c r="C3884" s="5"/>
      <c r="D3884" s="5"/>
      <c r="E3884" s="5"/>
      <c r="F3884" s="22">
        <f>IFERROR(__xludf.DUMMYFUNCTION("""COMPUTED_VALUE"""),-200102.95308200005)</f>
        <v>-200102.9531</v>
      </c>
      <c r="G3884" s="22">
        <f>IFERROR(__xludf.DUMMYFUNCTION("""COMPUTED_VALUE"""),200102.95308200005)</f>
        <v>200102.9531</v>
      </c>
      <c r="H3884" s="22">
        <f>IFERROR(__xludf.DUMMYFUNCTION("""COMPUTED_VALUE"""),511044.850012)</f>
        <v>511044.85</v>
      </c>
      <c r="I3884" s="24">
        <f>IFERROR(__xludf.DUMMYFUNCTION("""COMPUTED_VALUE"""),0.022089700024000125)</f>
        <v>0.02208970002</v>
      </c>
    </row>
    <row r="3885">
      <c r="A3885" s="5" t="str">
        <f>IFERROR(__xludf.DUMMYFUNCTION("""COMPUTED_VALUE"""),"46220")</f>
        <v>46220</v>
      </c>
      <c r="B3885" s="64">
        <f>IFERROR(__xludf.DUMMYFUNCTION("""COMPUTED_VALUE"""),44658.0)</f>
        <v>44658</v>
      </c>
      <c r="C3885" s="5"/>
      <c r="D3885" s="5"/>
      <c r="E3885" s="5"/>
      <c r="F3885" s="22">
        <f>IFERROR(__xludf.DUMMYFUNCTION("""COMPUTED_VALUE"""),-200102.95308200005)</f>
        <v>-200102.9531</v>
      </c>
      <c r="G3885" s="22">
        <f>IFERROR(__xludf.DUMMYFUNCTION("""COMPUTED_VALUE"""),200102.95308200005)</f>
        <v>200102.9531</v>
      </c>
      <c r="H3885" s="22">
        <f>IFERROR(__xludf.DUMMYFUNCTION("""COMPUTED_VALUE"""),508870.2538785)</f>
        <v>508870.2539</v>
      </c>
      <c r="I3885" s="24">
        <f>IFERROR(__xludf.DUMMYFUNCTION("""COMPUTED_VALUE"""),0.01774050775700009)</f>
        <v>0.01774050776</v>
      </c>
    </row>
    <row r="3886">
      <c r="A3886" s="5" t="str">
        <f>IFERROR(__xludf.DUMMYFUNCTION("""COMPUTED_VALUE"""),"46220")</f>
        <v>46220</v>
      </c>
      <c r="B3886" s="64">
        <f>IFERROR(__xludf.DUMMYFUNCTION("""COMPUTED_VALUE"""),44659.0)</f>
        <v>44659</v>
      </c>
      <c r="C3886" s="5"/>
      <c r="D3886" s="5"/>
      <c r="E3886" s="5"/>
      <c r="F3886" s="22">
        <f>IFERROR(__xludf.DUMMYFUNCTION("""COMPUTED_VALUE"""),-200102.95308200005)</f>
        <v>-200102.9531</v>
      </c>
      <c r="G3886" s="22">
        <f>IFERROR(__xludf.DUMMYFUNCTION("""COMPUTED_VALUE"""),200102.95308200005)</f>
        <v>200102.9531</v>
      </c>
      <c r="H3886" s="22">
        <f>IFERROR(__xludf.DUMMYFUNCTION("""COMPUTED_VALUE"""),495836.36440225)</f>
        <v>495836.3644</v>
      </c>
      <c r="I3886" s="24">
        <f>IFERROR(__xludf.DUMMYFUNCTION("""COMPUTED_VALUE"""),-0.00832727119550003)</f>
        <v>-0.008327271196</v>
      </c>
    </row>
    <row r="3887">
      <c r="A3887" s="5" t="str">
        <f>IFERROR(__xludf.DUMMYFUNCTION("""COMPUTED_VALUE"""),"46220")</f>
        <v>46220</v>
      </c>
      <c r="B3887" s="64">
        <f>IFERROR(__xludf.DUMMYFUNCTION("""COMPUTED_VALUE"""),44660.0)</f>
        <v>44660</v>
      </c>
      <c r="C3887" s="5"/>
      <c r="D3887" s="5"/>
      <c r="E3887" s="5"/>
      <c r="F3887" s="22">
        <f>IFERROR(__xludf.DUMMYFUNCTION("""COMPUTED_VALUE"""),-200102.95308200005)</f>
        <v>-200102.9531</v>
      </c>
      <c r="G3887" s="22">
        <f>IFERROR(__xludf.DUMMYFUNCTION("""COMPUTED_VALUE"""),200102.95308200005)</f>
        <v>200102.9531</v>
      </c>
      <c r="H3887" s="22">
        <f>IFERROR(__xludf.DUMMYFUNCTION("""COMPUTED_VALUE"""),495836.36440225)</f>
        <v>495836.3644</v>
      </c>
      <c r="I3887" s="24">
        <f>IFERROR(__xludf.DUMMYFUNCTION("""COMPUTED_VALUE"""),-0.00832727119550003)</f>
        <v>-0.008327271196</v>
      </c>
    </row>
    <row r="3888">
      <c r="A3888" s="5" t="str">
        <f>IFERROR(__xludf.DUMMYFUNCTION("""COMPUTED_VALUE"""),"46220")</f>
        <v>46220</v>
      </c>
      <c r="B3888" s="64">
        <f>IFERROR(__xludf.DUMMYFUNCTION("""COMPUTED_VALUE"""),44661.0)</f>
        <v>44661</v>
      </c>
      <c r="C3888" s="5"/>
      <c r="D3888" s="5"/>
      <c r="E3888" s="5"/>
      <c r="F3888" s="22">
        <f>IFERROR(__xludf.DUMMYFUNCTION("""COMPUTED_VALUE"""),-200102.95308200005)</f>
        <v>-200102.9531</v>
      </c>
      <c r="G3888" s="22">
        <f>IFERROR(__xludf.DUMMYFUNCTION("""COMPUTED_VALUE"""),200102.95308200005)</f>
        <v>200102.9531</v>
      </c>
      <c r="H3888" s="22">
        <f>IFERROR(__xludf.DUMMYFUNCTION("""COMPUTED_VALUE"""),495836.36440225)</f>
        <v>495836.3644</v>
      </c>
      <c r="I3888" s="24">
        <f>IFERROR(__xludf.DUMMYFUNCTION("""COMPUTED_VALUE"""),-0.00832727119550003)</f>
        <v>-0.008327271196</v>
      </c>
    </row>
    <row r="3889">
      <c r="A3889" s="5" t="str">
        <f>IFERROR(__xludf.DUMMYFUNCTION("""COMPUTED_VALUE"""),"46220")</f>
        <v>46220</v>
      </c>
      <c r="B3889" s="64">
        <f>IFERROR(__xludf.DUMMYFUNCTION("""COMPUTED_VALUE"""),44662.0)</f>
        <v>44662</v>
      </c>
      <c r="C3889" s="5"/>
      <c r="D3889" s="5"/>
      <c r="E3889" s="5"/>
      <c r="F3889" s="22">
        <f>IFERROR(__xludf.DUMMYFUNCTION("""COMPUTED_VALUE"""),-200102.95308200005)</f>
        <v>-200102.9531</v>
      </c>
      <c r="G3889" s="22">
        <f>IFERROR(__xludf.DUMMYFUNCTION("""COMPUTED_VALUE"""),200102.95308200005)</f>
        <v>200102.9531</v>
      </c>
      <c r="H3889" s="22">
        <f>IFERROR(__xludf.DUMMYFUNCTION("""COMPUTED_VALUE"""),474070.00262524997)</f>
        <v>474070.0026</v>
      </c>
      <c r="I3889" s="24">
        <f>IFERROR(__xludf.DUMMYFUNCTION("""COMPUTED_VALUE"""),-0.05185999474950009)</f>
        <v>-0.05185999475</v>
      </c>
    </row>
    <row r="3890">
      <c r="A3890" s="5" t="str">
        <f>IFERROR(__xludf.DUMMYFUNCTION("""COMPUTED_VALUE"""),"46220")</f>
        <v>46220</v>
      </c>
      <c r="B3890" s="64">
        <f>IFERROR(__xludf.DUMMYFUNCTION("""COMPUTED_VALUE"""),44663.0)</f>
        <v>44663</v>
      </c>
      <c r="C3890" s="5"/>
      <c r="D3890" s="5"/>
      <c r="E3890" s="5"/>
      <c r="F3890" s="22">
        <f>IFERROR(__xludf.DUMMYFUNCTION("""COMPUTED_VALUE"""),-200102.95308200005)</f>
        <v>-200102.9531</v>
      </c>
      <c r="G3890" s="22">
        <f>IFERROR(__xludf.DUMMYFUNCTION("""COMPUTED_VALUE"""),200102.95308200005)</f>
        <v>200102.9531</v>
      </c>
      <c r="H3890" s="22">
        <f>IFERROR(__xludf.DUMMYFUNCTION("""COMPUTED_VALUE"""),469127.77237275004)</f>
        <v>469127.7724</v>
      </c>
      <c r="I3890" s="24">
        <f>IFERROR(__xludf.DUMMYFUNCTION("""COMPUTED_VALUE"""),-0.0617444552544999)</f>
        <v>-0.06174445525</v>
      </c>
    </row>
    <row r="3891">
      <c r="A3891" s="5" t="str">
        <f>IFERROR(__xludf.DUMMYFUNCTION("""COMPUTED_VALUE"""),"46225")</f>
        <v>46225</v>
      </c>
      <c r="B3891" s="64">
        <f>IFERROR(__xludf.DUMMYFUNCTION("""COMPUTED_VALUE"""),44597.0)</f>
        <v>44597</v>
      </c>
      <c r="C3891" s="5"/>
      <c r="D3891" s="5"/>
      <c r="E3891" s="5"/>
      <c r="F3891" s="22">
        <f>IFERROR(__xludf.DUMMYFUNCTION("""COMPUTED_VALUE"""),500000.0)</f>
        <v>500000</v>
      </c>
      <c r="G3891" s="22">
        <f>IFERROR(__xludf.DUMMYFUNCTION("""COMPUTED_VALUE"""),0.0)</f>
        <v>0</v>
      </c>
      <c r="H3891" s="22">
        <f>IFERROR(__xludf.DUMMYFUNCTION("""COMPUTED_VALUE"""),500000.0)</f>
        <v>500000</v>
      </c>
      <c r="I3891" s="24">
        <f>IFERROR(__xludf.DUMMYFUNCTION("""COMPUTED_VALUE"""),0.0)</f>
        <v>0</v>
      </c>
    </row>
    <row r="3892">
      <c r="A3892" s="5" t="str">
        <f>IFERROR(__xludf.DUMMYFUNCTION("""COMPUTED_VALUE"""),"46225")</f>
        <v>46225</v>
      </c>
      <c r="B3892" s="64">
        <f>IFERROR(__xludf.DUMMYFUNCTION("""COMPUTED_VALUE"""),44598.0)</f>
        <v>44598</v>
      </c>
      <c r="C3892" s="5"/>
      <c r="D3892" s="5"/>
      <c r="E3892" s="5"/>
      <c r="F3892" s="22">
        <f>IFERROR(__xludf.DUMMYFUNCTION("""COMPUTED_VALUE"""),500000.0)</f>
        <v>500000</v>
      </c>
      <c r="G3892" s="22">
        <f>IFERROR(__xludf.DUMMYFUNCTION("""COMPUTED_VALUE"""),0.0)</f>
        <v>0</v>
      </c>
      <c r="H3892" s="22">
        <f>IFERROR(__xludf.DUMMYFUNCTION("""COMPUTED_VALUE"""),500000.0)</f>
        <v>500000</v>
      </c>
      <c r="I3892" s="24">
        <f>IFERROR(__xludf.DUMMYFUNCTION("""COMPUTED_VALUE"""),0.0)</f>
        <v>0</v>
      </c>
    </row>
    <row r="3893">
      <c r="A3893" s="5" t="str">
        <f>IFERROR(__xludf.DUMMYFUNCTION("""COMPUTED_VALUE"""),"46225")</f>
        <v>46225</v>
      </c>
      <c r="B3893" s="64">
        <f>IFERROR(__xludf.DUMMYFUNCTION("""COMPUTED_VALUE"""),44599.0)</f>
        <v>44599</v>
      </c>
      <c r="C3893" s="5"/>
      <c r="D3893" s="5"/>
      <c r="E3893" s="5"/>
      <c r="F3893" s="22">
        <f>IFERROR(__xludf.DUMMYFUNCTION("""COMPUTED_VALUE"""),500000.0)</f>
        <v>500000</v>
      </c>
      <c r="G3893" s="22">
        <f>IFERROR(__xludf.DUMMYFUNCTION("""COMPUTED_VALUE"""),0.0)</f>
        <v>0</v>
      </c>
      <c r="H3893" s="22">
        <f>IFERROR(__xludf.DUMMYFUNCTION("""COMPUTED_VALUE"""),500000.0)</f>
        <v>500000</v>
      </c>
      <c r="I3893" s="24">
        <f>IFERROR(__xludf.DUMMYFUNCTION("""COMPUTED_VALUE"""),0.0)</f>
        <v>0</v>
      </c>
    </row>
    <row r="3894">
      <c r="A3894" s="5" t="str">
        <f>IFERROR(__xludf.DUMMYFUNCTION("""COMPUTED_VALUE"""),"46225")</f>
        <v>46225</v>
      </c>
      <c r="B3894" s="64">
        <f>IFERROR(__xludf.DUMMYFUNCTION("""COMPUTED_VALUE"""),44600.0)</f>
        <v>44600</v>
      </c>
      <c r="C3894" s="5"/>
      <c r="D3894" s="5"/>
      <c r="E3894" s="5"/>
      <c r="F3894" s="22">
        <f>IFERROR(__xludf.DUMMYFUNCTION("""COMPUTED_VALUE"""),500000.0)</f>
        <v>500000</v>
      </c>
      <c r="G3894" s="22">
        <f>IFERROR(__xludf.DUMMYFUNCTION("""COMPUTED_VALUE"""),0.0)</f>
        <v>0</v>
      </c>
      <c r="H3894" s="22">
        <f>IFERROR(__xludf.DUMMYFUNCTION("""COMPUTED_VALUE"""),500000.0)</f>
        <v>500000</v>
      </c>
      <c r="I3894" s="24">
        <f>IFERROR(__xludf.DUMMYFUNCTION("""COMPUTED_VALUE"""),0.0)</f>
        <v>0</v>
      </c>
    </row>
    <row r="3895">
      <c r="A3895" s="5" t="str">
        <f>IFERROR(__xludf.DUMMYFUNCTION("""COMPUTED_VALUE"""),"46225")</f>
        <v>46225</v>
      </c>
      <c r="B3895" s="64">
        <f>IFERROR(__xludf.DUMMYFUNCTION("""COMPUTED_VALUE"""),44601.0)</f>
        <v>44601</v>
      </c>
      <c r="C3895" s="5"/>
      <c r="D3895" s="5"/>
      <c r="E3895" s="5"/>
      <c r="F3895" s="22">
        <f>IFERROR(__xludf.DUMMYFUNCTION("""COMPUTED_VALUE"""),500000.0)</f>
        <v>500000</v>
      </c>
      <c r="G3895" s="22">
        <f>IFERROR(__xludf.DUMMYFUNCTION("""COMPUTED_VALUE"""),0.0)</f>
        <v>0</v>
      </c>
      <c r="H3895" s="22">
        <f>IFERROR(__xludf.DUMMYFUNCTION("""COMPUTED_VALUE"""),500000.0)</f>
        <v>500000</v>
      </c>
      <c r="I3895" s="24">
        <f>IFERROR(__xludf.DUMMYFUNCTION("""COMPUTED_VALUE"""),0.0)</f>
        <v>0</v>
      </c>
    </row>
    <row r="3896">
      <c r="A3896" s="5" t="str">
        <f>IFERROR(__xludf.DUMMYFUNCTION("""COMPUTED_VALUE"""),"46225")</f>
        <v>46225</v>
      </c>
      <c r="B3896" s="64">
        <f>IFERROR(__xludf.DUMMYFUNCTION("""COMPUTED_VALUE"""),44602.0)</f>
        <v>44602</v>
      </c>
      <c r="C3896" s="5"/>
      <c r="D3896" s="5"/>
      <c r="E3896" s="5"/>
      <c r="F3896" s="22">
        <f>IFERROR(__xludf.DUMMYFUNCTION("""COMPUTED_VALUE"""),500000.0)</f>
        <v>500000</v>
      </c>
      <c r="G3896" s="22">
        <f>IFERROR(__xludf.DUMMYFUNCTION("""COMPUTED_VALUE"""),0.0)</f>
        <v>0</v>
      </c>
      <c r="H3896" s="22">
        <f>IFERROR(__xludf.DUMMYFUNCTION("""COMPUTED_VALUE"""),500000.0)</f>
        <v>500000</v>
      </c>
      <c r="I3896" s="24">
        <f>IFERROR(__xludf.DUMMYFUNCTION("""COMPUTED_VALUE"""),0.0)</f>
        <v>0</v>
      </c>
    </row>
    <row r="3897">
      <c r="A3897" s="5" t="str">
        <f>IFERROR(__xludf.DUMMYFUNCTION("""COMPUTED_VALUE"""),"46225")</f>
        <v>46225</v>
      </c>
      <c r="B3897" s="64">
        <f>IFERROR(__xludf.DUMMYFUNCTION("""COMPUTED_VALUE"""),44603.0)</f>
        <v>44603</v>
      </c>
      <c r="C3897" s="5"/>
      <c r="D3897" s="5"/>
      <c r="E3897" s="5"/>
      <c r="F3897" s="22">
        <f>IFERROR(__xludf.DUMMYFUNCTION("""COMPUTED_VALUE"""),500000.0)</f>
        <v>500000</v>
      </c>
      <c r="G3897" s="22">
        <f>IFERROR(__xludf.DUMMYFUNCTION("""COMPUTED_VALUE"""),0.0)</f>
        <v>0</v>
      </c>
      <c r="H3897" s="22">
        <f>IFERROR(__xludf.DUMMYFUNCTION("""COMPUTED_VALUE"""),500000.0)</f>
        <v>500000</v>
      </c>
      <c r="I3897" s="24">
        <f>IFERROR(__xludf.DUMMYFUNCTION("""COMPUTED_VALUE"""),0.0)</f>
        <v>0</v>
      </c>
    </row>
    <row r="3898">
      <c r="A3898" s="5" t="str">
        <f>IFERROR(__xludf.DUMMYFUNCTION("""COMPUTED_VALUE"""),"46225")</f>
        <v>46225</v>
      </c>
      <c r="B3898" s="64">
        <f>IFERROR(__xludf.DUMMYFUNCTION("""COMPUTED_VALUE"""),44604.0)</f>
        <v>44604</v>
      </c>
      <c r="C3898" s="5"/>
      <c r="D3898" s="5"/>
      <c r="E3898" s="5"/>
      <c r="F3898" s="22">
        <f>IFERROR(__xludf.DUMMYFUNCTION("""COMPUTED_VALUE"""),500000.0)</f>
        <v>500000</v>
      </c>
      <c r="G3898" s="22">
        <f>IFERROR(__xludf.DUMMYFUNCTION("""COMPUTED_VALUE"""),0.0)</f>
        <v>0</v>
      </c>
      <c r="H3898" s="22">
        <f>IFERROR(__xludf.DUMMYFUNCTION("""COMPUTED_VALUE"""),500000.0)</f>
        <v>500000</v>
      </c>
      <c r="I3898" s="24">
        <f>IFERROR(__xludf.DUMMYFUNCTION("""COMPUTED_VALUE"""),0.0)</f>
        <v>0</v>
      </c>
    </row>
    <row r="3899">
      <c r="A3899" s="5" t="str">
        <f>IFERROR(__xludf.DUMMYFUNCTION("""COMPUTED_VALUE"""),"46225")</f>
        <v>46225</v>
      </c>
      <c r="B3899" s="64">
        <f>IFERROR(__xludf.DUMMYFUNCTION("""COMPUTED_VALUE"""),44605.0)</f>
        <v>44605</v>
      </c>
      <c r="C3899" s="5"/>
      <c r="D3899" s="5"/>
      <c r="E3899" s="5"/>
      <c r="F3899" s="22">
        <f>IFERROR(__xludf.DUMMYFUNCTION("""COMPUTED_VALUE"""),500000.0)</f>
        <v>500000</v>
      </c>
      <c r="G3899" s="22">
        <f>IFERROR(__xludf.DUMMYFUNCTION("""COMPUTED_VALUE"""),0.0)</f>
        <v>0</v>
      </c>
      <c r="H3899" s="22">
        <f>IFERROR(__xludf.DUMMYFUNCTION("""COMPUTED_VALUE"""),500000.0)</f>
        <v>500000</v>
      </c>
      <c r="I3899" s="24">
        <f>IFERROR(__xludf.DUMMYFUNCTION("""COMPUTED_VALUE"""),0.0)</f>
        <v>0</v>
      </c>
    </row>
    <row r="3900">
      <c r="A3900" s="5" t="str">
        <f>IFERROR(__xludf.DUMMYFUNCTION("""COMPUTED_VALUE"""),"46225")</f>
        <v>46225</v>
      </c>
      <c r="B3900" s="64">
        <f>IFERROR(__xludf.DUMMYFUNCTION("""COMPUTED_VALUE"""),44606.0)</f>
        <v>44606</v>
      </c>
      <c r="C3900" s="5"/>
      <c r="D3900" s="5"/>
      <c r="E3900" s="5"/>
      <c r="F3900" s="22">
        <f>IFERROR(__xludf.DUMMYFUNCTION("""COMPUTED_VALUE"""),500000.0)</f>
        <v>500000</v>
      </c>
      <c r="G3900" s="22">
        <f>IFERROR(__xludf.DUMMYFUNCTION("""COMPUTED_VALUE"""),0.0)</f>
        <v>0</v>
      </c>
      <c r="H3900" s="22">
        <f>IFERROR(__xludf.DUMMYFUNCTION("""COMPUTED_VALUE"""),500000.0)</f>
        <v>500000</v>
      </c>
      <c r="I3900" s="24">
        <f>IFERROR(__xludf.DUMMYFUNCTION("""COMPUTED_VALUE"""),0.0)</f>
        <v>0</v>
      </c>
    </row>
    <row r="3901">
      <c r="A3901" s="5" t="str">
        <f>IFERROR(__xludf.DUMMYFUNCTION("""COMPUTED_VALUE"""),"46225")</f>
        <v>46225</v>
      </c>
      <c r="B3901" s="64">
        <f>IFERROR(__xludf.DUMMYFUNCTION("""COMPUTED_VALUE"""),44607.0)</f>
        <v>44607</v>
      </c>
      <c r="C3901" s="5"/>
      <c r="D3901" s="5"/>
      <c r="E3901" s="5"/>
      <c r="F3901" s="22">
        <f>IFERROR(__xludf.DUMMYFUNCTION("""COMPUTED_VALUE"""),500000.0)</f>
        <v>500000</v>
      </c>
      <c r="G3901" s="22">
        <f>IFERROR(__xludf.DUMMYFUNCTION("""COMPUTED_VALUE"""),0.0)</f>
        <v>0</v>
      </c>
      <c r="H3901" s="22">
        <f>IFERROR(__xludf.DUMMYFUNCTION("""COMPUTED_VALUE"""),500000.0)</f>
        <v>500000</v>
      </c>
      <c r="I3901" s="24">
        <f>IFERROR(__xludf.DUMMYFUNCTION("""COMPUTED_VALUE"""),0.0)</f>
        <v>0</v>
      </c>
    </row>
    <row r="3902">
      <c r="A3902" s="5" t="str">
        <f>IFERROR(__xludf.DUMMYFUNCTION("""COMPUTED_VALUE"""),"46225")</f>
        <v>46225</v>
      </c>
      <c r="B3902" s="64">
        <f>IFERROR(__xludf.DUMMYFUNCTION("""COMPUTED_VALUE"""),44608.0)</f>
        <v>44608</v>
      </c>
      <c r="C3902" s="5"/>
      <c r="D3902" s="5"/>
      <c r="E3902" s="5"/>
      <c r="F3902" s="22">
        <f>IFERROR(__xludf.DUMMYFUNCTION("""COMPUTED_VALUE"""),500000.0)</f>
        <v>500000</v>
      </c>
      <c r="G3902" s="22">
        <f>IFERROR(__xludf.DUMMYFUNCTION("""COMPUTED_VALUE"""),0.0)</f>
        <v>0</v>
      </c>
      <c r="H3902" s="22">
        <f>IFERROR(__xludf.DUMMYFUNCTION("""COMPUTED_VALUE"""),500000.0)</f>
        <v>500000</v>
      </c>
      <c r="I3902" s="24">
        <f>IFERROR(__xludf.DUMMYFUNCTION("""COMPUTED_VALUE"""),0.0)</f>
        <v>0</v>
      </c>
    </row>
    <row r="3903">
      <c r="A3903" s="5" t="str">
        <f>IFERROR(__xludf.DUMMYFUNCTION("""COMPUTED_VALUE"""),"46225")</f>
        <v>46225</v>
      </c>
      <c r="B3903" s="64">
        <f>IFERROR(__xludf.DUMMYFUNCTION("""COMPUTED_VALUE"""),44609.0)</f>
        <v>44609</v>
      </c>
      <c r="C3903" s="5"/>
      <c r="D3903" s="5"/>
      <c r="E3903" s="5"/>
      <c r="F3903" s="22">
        <f>IFERROR(__xludf.DUMMYFUNCTION("""COMPUTED_VALUE"""),500000.0)</f>
        <v>500000</v>
      </c>
      <c r="G3903" s="22">
        <f>IFERROR(__xludf.DUMMYFUNCTION("""COMPUTED_VALUE"""),0.0)</f>
        <v>0</v>
      </c>
      <c r="H3903" s="22">
        <f>IFERROR(__xludf.DUMMYFUNCTION("""COMPUTED_VALUE"""),500000.0)</f>
        <v>500000</v>
      </c>
      <c r="I3903" s="24">
        <f>IFERROR(__xludf.DUMMYFUNCTION("""COMPUTED_VALUE"""),0.0)</f>
        <v>0</v>
      </c>
    </row>
    <row r="3904">
      <c r="A3904" s="5" t="str">
        <f>IFERROR(__xludf.DUMMYFUNCTION("""COMPUTED_VALUE"""),"46225")</f>
        <v>46225</v>
      </c>
      <c r="B3904" s="64">
        <f>IFERROR(__xludf.DUMMYFUNCTION("""COMPUTED_VALUE"""),44610.0)</f>
        <v>44610</v>
      </c>
      <c r="C3904" s="5"/>
      <c r="D3904" s="5"/>
      <c r="E3904" s="5"/>
      <c r="F3904" s="22">
        <f>IFERROR(__xludf.DUMMYFUNCTION("""COMPUTED_VALUE"""),500000.0)</f>
        <v>500000</v>
      </c>
      <c r="G3904" s="22">
        <f>IFERROR(__xludf.DUMMYFUNCTION("""COMPUTED_VALUE"""),0.0)</f>
        <v>0</v>
      </c>
      <c r="H3904" s="22">
        <f>IFERROR(__xludf.DUMMYFUNCTION("""COMPUTED_VALUE"""),500000.0)</f>
        <v>500000</v>
      </c>
      <c r="I3904" s="24">
        <f>IFERROR(__xludf.DUMMYFUNCTION("""COMPUTED_VALUE"""),0.0)</f>
        <v>0</v>
      </c>
    </row>
    <row r="3905">
      <c r="A3905" s="5" t="str">
        <f>IFERROR(__xludf.DUMMYFUNCTION("""COMPUTED_VALUE"""),"46225")</f>
        <v>46225</v>
      </c>
      <c r="B3905" s="64">
        <f>IFERROR(__xludf.DUMMYFUNCTION("""COMPUTED_VALUE"""),44611.0)</f>
        <v>44611</v>
      </c>
      <c r="C3905" s="5"/>
      <c r="D3905" s="5"/>
      <c r="E3905" s="5"/>
      <c r="F3905" s="22">
        <f>IFERROR(__xludf.DUMMYFUNCTION("""COMPUTED_VALUE"""),500000.0)</f>
        <v>500000</v>
      </c>
      <c r="G3905" s="22">
        <f>IFERROR(__xludf.DUMMYFUNCTION("""COMPUTED_VALUE"""),0.0)</f>
        <v>0</v>
      </c>
      <c r="H3905" s="22">
        <f>IFERROR(__xludf.DUMMYFUNCTION("""COMPUTED_VALUE"""),500000.0)</f>
        <v>500000</v>
      </c>
      <c r="I3905" s="24">
        <f>IFERROR(__xludf.DUMMYFUNCTION("""COMPUTED_VALUE"""),0.0)</f>
        <v>0</v>
      </c>
    </row>
    <row r="3906">
      <c r="A3906" s="5" t="str">
        <f>IFERROR(__xludf.DUMMYFUNCTION("""COMPUTED_VALUE"""),"46225")</f>
        <v>46225</v>
      </c>
      <c r="B3906" s="64">
        <f>IFERROR(__xludf.DUMMYFUNCTION("""COMPUTED_VALUE"""),44612.0)</f>
        <v>44612</v>
      </c>
      <c r="C3906" s="5"/>
      <c r="D3906" s="5"/>
      <c r="E3906" s="5"/>
      <c r="F3906" s="22">
        <f>IFERROR(__xludf.DUMMYFUNCTION("""COMPUTED_VALUE"""),500000.0)</f>
        <v>500000</v>
      </c>
      <c r="G3906" s="22">
        <f>IFERROR(__xludf.DUMMYFUNCTION("""COMPUTED_VALUE"""),0.0)</f>
        <v>0</v>
      </c>
      <c r="H3906" s="22">
        <f>IFERROR(__xludf.DUMMYFUNCTION("""COMPUTED_VALUE"""),500000.0)</f>
        <v>500000</v>
      </c>
      <c r="I3906" s="24">
        <f>IFERROR(__xludf.DUMMYFUNCTION("""COMPUTED_VALUE"""),0.0)</f>
        <v>0</v>
      </c>
    </row>
    <row r="3907">
      <c r="A3907" s="5" t="str">
        <f>IFERROR(__xludf.DUMMYFUNCTION("""COMPUTED_VALUE"""),"46225")</f>
        <v>46225</v>
      </c>
      <c r="B3907" s="64">
        <f>IFERROR(__xludf.DUMMYFUNCTION("""COMPUTED_VALUE"""),44613.0)</f>
        <v>44613</v>
      </c>
      <c r="C3907" s="5"/>
      <c r="D3907" s="5"/>
      <c r="E3907" s="5"/>
      <c r="F3907" s="22">
        <f>IFERROR(__xludf.DUMMYFUNCTION("""COMPUTED_VALUE"""),500000.0)</f>
        <v>500000</v>
      </c>
      <c r="G3907" s="22">
        <f>IFERROR(__xludf.DUMMYFUNCTION("""COMPUTED_VALUE"""),0.0)</f>
        <v>0</v>
      </c>
      <c r="H3907" s="22">
        <f>IFERROR(__xludf.DUMMYFUNCTION("""COMPUTED_VALUE"""),500000.0)</f>
        <v>500000</v>
      </c>
      <c r="I3907" s="24">
        <f>IFERROR(__xludf.DUMMYFUNCTION("""COMPUTED_VALUE"""),0.0)</f>
        <v>0</v>
      </c>
    </row>
    <row r="3908">
      <c r="A3908" s="5" t="str">
        <f>IFERROR(__xludf.DUMMYFUNCTION("""COMPUTED_VALUE"""),"46225")</f>
        <v>46225</v>
      </c>
      <c r="B3908" s="64">
        <f>IFERROR(__xludf.DUMMYFUNCTION("""COMPUTED_VALUE"""),44614.0)</f>
        <v>44614</v>
      </c>
      <c r="C3908" s="5"/>
      <c r="D3908" s="5"/>
      <c r="E3908" s="5"/>
      <c r="F3908" s="22">
        <f>IFERROR(__xludf.DUMMYFUNCTION("""COMPUTED_VALUE"""),500000.0)</f>
        <v>500000</v>
      </c>
      <c r="G3908" s="22">
        <f>IFERROR(__xludf.DUMMYFUNCTION("""COMPUTED_VALUE"""),0.0)</f>
        <v>0</v>
      </c>
      <c r="H3908" s="22">
        <f>IFERROR(__xludf.DUMMYFUNCTION("""COMPUTED_VALUE"""),500000.0)</f>
        <v>500000</v>
      </c>
      <c r="I3908" s="24">
        <f>IFERROR(__xludf.DUMMYFUNCTION("""COMPUTED_VALUE"""),0.0)</f>
        <v>0</v>
      </c>
    </row>
    <row r="3909">
      <c r="A3909" s="5" t="str">
        <f>IFERROR(__xludf.DUMMYFUNCTION("""COMPUTED_VALUE"""),"46225")</f>
        <v>46225</v>
      </c>
      <c r="B3909" s="64">
        <f>IFERROR(__xludf.DUMMYFUNCTION("""COMPUTED_VALUE"""),44615.0)</f>
        <v>44615</v>
      </c>
      <c r="C3909" s="5"/>
      <c r="D3909" s="5"/>
      <c r="E3909" s="5"/>
      <c r="F3909" s="22">
        <f>IFERROR(__xludf.DUMMYFUNCTION("""COMPUTED_VALUE"""),500000.0)</f>
        <v>500000</v>
      </c>
      <c r="G3909" s="22">
        <f>IFERROR(__xludf.DUMMYFUNCTION("""COMPUTED_VALUE"""),0.0)</f>
        <v>0</v>
      </c>
      <c r="H3909" s="22">
        <f>IFERROR(__xludf.DUMMYFUNCTION("""COMPUTED_VALUE"""),500000.0)</f>
        <v>500000</v>
      </c>
      <c r="I3909" s="24">
        <f>IFERROR(__xludf.DUMMYFUNCTION("""COMPUTED_VALUE"""),0.0)</f>
        <v>0</v>
      </c>
    </row>
    <row r="3910">
      <c r="A3910" s="5" t="str">
        <f>IFERROR(__xludf.DUMMYFUNCTION("""COMPUTED_VALUE"""),"46225")</f>
        <v>46225</v>
      </c>
      <c r="B3910" s="64">
        <f>IFERROR(__xludf.DUMMYFUNCTION("""COMPUTED_VALUE"""),44616.0)</f>
        <v>44616</v>
      </c>
      <c r="C3910" s="5"/>
      <c r="D3910" s="5"/>
      <c r="E3910" s="5"/>
      <c r="F3910" s="22">
        <f>IFERROR(__xludf.DUMMYFUNCTION("""COMPUTED_VALUE"""),500000.0)</f>
        <v>500000</v>
      </c>
      <c r="G3910" s="22">
        <f>IFERROR(__xludf.DUMMYFUNCTION("""COMPUTED_VALUE"""),0.0)</f>
        <v>0</v>
      </c>
      <c r="H3910" s="22">
        <f>IFERROR(__xludf.DUMMYFUNCTION("""COMPUTED_VALUE"""),500000.0)</f>
        <v>500000</v>
      </c>
      <c r="I3910" s="24">
        <f>IFERROR(__xludf.DUMMYFUNCTION("""COMPUTED_VALUE"""),0.0)</f>
        <v>0</v>
      </c>
    </row>
    <row r="3911">
      <c r="A3911" s="5" t="str">
        <f>IFERROR(__xludf.DUMMYFUNCTION("""COMPUTED_VALUE"""),"46225")</f>
        <v>46225</v>
      </c>
      <c r="B3911" s="64">
        <f>IFERROR(__xludf.DUMMYFUNCTION("""COMPUTED_VALUE"""),44617.0)</f>
        <v>44617</v>
      </c>
      <c r="C3911" s="5"/>
      <c r="D3911" s="5"/>
      <c r="E3911" s="5"/>
      <c r="F3911" s="22">
        <f>IFERROR(__xludf.DUMMYFUNCTION("""COMPUTED_VALUE"""),500000.0)</f>
        <v>500000</v>
      </c>
      <c r="G3911" s="22">
        <f>IFERROR(__xludf.DUMMYFUNCTION("""COMPUTED_VALUE"""),0.0)</f>
        <v>0</v>
      </c>
      <c r="H3911" s="22">
        <f>IFERROR(__xludf.DUMMYFUNCTION("""COMPUTED_VALUE"""),500000.0)</f>
        <v>500000</v>
      </c>
      <c r="I3911" s="24">
        <f>IFERROR(__xludf.DUMMYFUNCTION("""COMPUTED_VALUE"""),0.0)</f>
        <v>0</v>
      </c>
    </row>
    <row r="3912">
      <c r="A3912" s="5" t="str">
        <f>IFERROR(__xludf.DUMMYFUNCTION("""COMPUTED_VALUE"""),"46225")</f>
        <v>46225</v>
      </c>
      <c r="B3912" s="64">
        <f>IFERROR(__xludf.DUMMYFUNCTION("""COMPUTED_VALUE"""),44618.0)</f>
        <v>44618</v>
      </c>
      <c r="C3912" s="5"/>
      <c r="D3912" s="5"/>
      <c r="E3912" s="5"/>
      <c r="F3912" s="22">
        <f>IFERROR(__xludf.DUMMYFUNCTION("""COMPUTED_VALUE"""),500000.0)</f>
        <v>500000</v>
      </c>
      <c r="G3912" s="22">
        <f>IFERROR(__xludf.DUMMYFUNCTION("""COMPUTED_VALUE"""),0.0)</f>
        <v>0</v>
      </c>
      <c r="H3912" s="22">
        <f>IFERROR(__xludf.DUMMYFUNCTION("""COMPUTED_VALUE"""),500000.0)</f>
        <v>500000</v>
      </c>
      <c r="I3912" s="24">
        <f>IFERROR(__xludf.DUMMYFUNCTION("""COMPUTED_VALUE"""),0.0)</f>
        <v>0</v>
      </c>
    </row>
    <row r="3913">
      <c r="A3913" s="5" t="str">
        <f>IFERROR(__xludf.DUMMYFUNCTION("""COMPUTED_VALUE"""),"46225")</f>
        <v>46225</v>
      </c>
      <c r="B3913" s="64">
        <f>IFERROR(__xludf.DUMMYFUNCTION("""COMPUTED_VALUE"""),44619.0)</f>
        <v>44619</v>
      </c>
      <c r="C3913" s="5"/>
      <c r="D3913" s="5"/>
      <c r="E3913" s="5"/>
      <c r="F3913" s="22">
        <f>IFERROR(__xludf.DUMMYFUNCTION("""COMPUTED_VALUE"""),500000.0)</f>
        <v>500000</v>
      </c>
      <c r="G3913" s="22">
        <f>IFERROR(__xludf.DUMMYFUNCTION("""COMPUTED_VALUE"""),0.0)</f>
        <v>0</v>
      </c>
      <c r="H3913" s="22">
        <f>IFERROR(__xludf.DUMMYFUNCTION("""COMPUTED_VALUE"""),500000.0)</f>
        <v>500000</v>
      </c>
      <c r="I3913" s="24">
        <f>IFERROR(__xludf.DUMMYFUNCTION("""COMPUTED_VALUE"""),0.0)</f>
        <v>0</v>
      </c>
    </row>
    <row r="3914">
      <c r="A3914" s="5" t="str">
        <f>IFERROR(__xludf.DUMMYFUNCTION("""COMPUTED_VALUE"""),"46225")</f>
        <v>46225</v>
      </c>
      <c r="B3914" s="64">
        <f>IFERROR(__xludf.DUMMYFUNCTION("""COMPUTED_VALUE"""),44620.0)</f>
        <v>44620</v>
      </c>
      <c r="C3914" s="5"/>
      <c r="D3914" s="5"/>
      <c r="E3914" s="5"/>
      <c r="F3914" s="22">
        <f>IFERROR(__xludf.DUMMYFUNCTION("""COMPUTED_VALUE"""),500000.0)</f>
        <v>500000</v>
      </c>
      <c r="G3914" s="22">
        <f>IFERROR(__xludf.DUMMYFUNCTION("""COMPUTED_VALUE"""),0.0)</f>
        <v>0</v>
      </c>
      <c r="H3914" s="22">
        <f>IFERROR(__xludf.DUMMYFUNCTION("""COMPUTED_VALUE"""),500000.0)</f>
        <v>500000</v>
      </c>
      <c r="I3914" s="24">
        <f>IFERROR(__xludf.DUMMYFUNCTION("""COMPUTED_VALUE"""),0.0)</f>
        <v>0</v>
      </c>
    </row>
    <row r="3915">
      <c r="A3915" s="5" t="str">
        <f>IFERROR(__xludf.DUMMYFUNCTION("""COMPUTED_VALUE"""),"46225")</f>
        <v>46225</v>
      </c>
      <c r="B3915" s="64">
        <f>IFERROR(__xludf.DUMMYFUNCTION("""COMPUTED_VALUE"""),44621.0)</f>
        <v>44621</v>
      </c>
      <c r="C3915" s="5"/>
      <c r="D3915" s="5"/>
      <c r="E3915" s="5"/>
      <c r="F3915" s="22">
        <f>IFERROR(__xludf.DUMMYFUNCTION("""COMPUTED_VALUE"""),500000.0)</f>
        <v>500000</v>
      </c>
      <c r="G3915" s="22">
        <f>IFERROR(__xludf.DUMMYFUNCTION("""COMPUTED_VALUE"""),0.0)</f>
        <v>0</v>
      </c>
      <c r="H3915" s="22">
        <f>IFERROR(__xludf.DUMMYFUNCTION("""COMPUTED_VALUE"""),500000.0)</f>
        <v>500000</v>
      </c>
      <c r="I3915" s="24">
        <f>IFERROR(__xludf.DUMMYFUNCTION("""COMPUTED_VALUE"""),0.0)</f>
        <v>0</v>
      </c>
    </row>
    <row r="3916">
      <c r="A3916" s="5" t="str">
        <f>IFERROR(__xludf.DUMMYFUNCTION("""COMPUTED_VALUE"""),"46225")</f>
        <v>46225</v>
      </c>
      <c r="B3916" s="64">
        <f>IFERROR(__xludf.DUMMYFUNCTION("""COMPUTED_VALUE"""),44622.0)</f>
        <v>44622</v>
      </c>
      <c r="C3916" s="5"/>
      <c r="D3916" s="5"/>
      <c r="E3916" s="5"/>
      <c r="F3916" s="22">
        <f>IFERROR(__xludf.DUMMYFUNCTION("""COMPUTED_VALUE"""),500000.0)</f>
        <v>500000</v>
      </c>
      <c r="G3916" s="22">
        <f>IFERROR(__xludf.DUMMYFUNCTION("""COMPUTED_VALUE"""),0.0)</f>
        <v>0</v>
      </c>
      <c r="H3916" s="22">
        <f>IFERROR(__xludf.DUMMYFUNCTION("""COMPUTED_VALUE"""),500000.0)</f>
        <v>500000</v>
      </c>
      <c r="I3916" s="24">
        <f>IFERROR(__xludf.DUMMYFUNCTION("""COMPUTED_VALUE"""),0.0)</f>
        <v>0</v>
      </c>
    </row>
    <row r="3917">
      <c r="A3917" s="5" t="str">
        <f>IFERROR(__xludf.DUMMYFUNCTION("""COMPUTED_VALUE"""),"46225")</f>
        <v>46225</v>
      </c>
      <c r="B3917" s="64">
        <f>IFERROR(__xludf.DUMMYFUNCTION("""COMPUTED_VALUE"""),44623.0)</f>
        <v>44623</v>
      </c>
      <c r="C3917" s="5"/>
      <c r="D3917" s="5"/>
      <c r="E3917" s="5"/>
      <c r="F3917" s="22">
        <f>IFERROR(__xludf.DUMMYFUNCTION("""COMPUTED_VALUE"""),500000.0)</f>
        <v>500000</v>
      </c>
      <c r="G3917" s="22">
        <f>IFERROR(__xludf.DUMMYFUNCTION("""COMPUTED_VALUE"""),0.0)</f>
        <v>0</v>
      </c>
      <c r="H3917" s="22">
        <f>IFERROR(__xludf.DUMMYFUNCTION("""COMPUTED_VALUE"""),500000.0)</f>
        <v>500000</v>
      </c>
      <c r="I3917" s="24">
        <f>IFERROR(__xludf.DUMMYFUNCTION("""COMPUTED_VALUE"""),0.0)</f>
        <v>0</v>
      </c>
    </row>
    <row r="3918">
      <c r="A3918" s="5" t="str">
        <f>IFERROR(__xludf.DUMMYFUNCTION("""COMPUTED_VALUE"""),"46225")</f>
        <v>46225</v>
      </c>
      <c r="B3918" s="64">
        <f>IFERROR(__xludf.DUMMYFUNCTION("""COMPUTED_VALUE"""),44624.0)</f>
        <v>44624</v>
      </c>
      <c r="C3918" s="5"/>
      <c r="D3918" s="5"/>
      <c r="E3918" s="5"/>
      <c r="F3918" s="22">
        <f>IFERROR(__xludf.DUMMYFUNCTION("""COMPUTED_VALUE"""),500000.0)</f>
        <v>500000</v>
      </c>
      <c r="G3918" s="22">
        <f>IFERROR(__xludf.DUMMYFUNCTION("""COMPUTED_VALUE"""),0.0)</f>
        <v>0</v>
      </c>
      <c r="H3918" s="22">
        <f>IFERROR(__xludf.DUMMYFUNCTION("""COMPUTED_VALUE"""),500000.0)</f>
        <v>500000</v>
      </c>
      <c r="I3918" s="24">
        <f>IFERROR(__xludf.DUMMYFUNCTION("""COMPUTED_VALUE"""),0.0)</f>
        <v>0</v>
      </c>
    </row>
    <row r="3919">
      <c r="A3919" s="5" t="str">
        <f>IFERROR(__xludf.DUMMYFUNCTION("""COMPUTED_VALUE"""),"46225")</f>
        <v>46225</v>
      </c>
      <c r="B3919" s="64">
        <f>IFERROR(__xludf.DUMMYFUNCTION("""COMPUTED_VALUE"""),44625.0)</f>
        <v>44625</v>
      </c>
      <c r="C3919" s="5"/>
      <c r="D3919" s="5"/>
      <c r="E3919" s="5"/>
      <c r="F3919" s="22">
        <f>IFERROR(__xludf.DUMMYFUNCTION("""COMPUTED_VALUE"""),500000.0)</f>
        <v>500000</v>
      </c>
      <c r="G3919" s="22">
        <f>IFERROR(__xludf.DUMMYFUNCTION("""COMPUTED_VALUE"""),0.0)</f>
        <v>0</v>
      </c>
      <c r="H3919" s="22">
        <f>IFERROR(__xludf.DUMMYFUNCTION("""COMPUTED_VALUE"""),500000.0)</f>
        <v>500000</v>
      </c>
      <c r="I3919" s="24">
        <f>IFERROR(__xludf.DUMMYFUNCTION("""COMPUTED_VALUE"""),0.0)</f>
        <v>0</v>
      </c>
    </row>
    <row r="3920">
      <c r="A3920" s="5" t="str">
        <f>IFERROR(__xludf.DUMMYFUNCTION("""COMPUTED_VALUE"""),"46225")</f>
        <v>46225</v>
      </c>
      <c r="B3920" s="64">
        <f>IFERROR(__xludf.DUMMYFUNCTION("""COMPUTED_VALUE"""),44626.0)</f>
        <v>44626</v>
      </c>
      <c r="C3920" s="5"/>
      <c r="D3920" s="5"/>
      <c r="E3920" s="5"/>
      <c r="F3920" s="22">
        <f>IFERROR(__xludf.DUMMYFUNCTION("""COMPUTED_VALUE"""),500000.0)</f>
        <v>500000</v>
      </c>
      <c r="G3920" s="22">
        <f>IFERROR(__xludf.DUMMYFUNCTION("""COMPUTED_VALUE"""),0.0)</f>
        <v>0</v>
      </c>
      <c r="H3920" s="22">
        <f>IFERROR(__xludf.DUMMYFUNCTION("""COMPUTED_VALUE"""),500000.0)</f>
        <v>500000</v>
      </c>
      <c r="I3920" s="24">
        <f>IFERROR(__xludf.DUMMYFUNCTION("""COMPUTED_VALUE"""),0.0)</f>
        <v>0</v>
      </c>
    </row>
    <row r="3921">
      <c r="A3921" s="5" t="str">
        <f>IFERROR(__xludf.DUMMYFUNCTION("""COMPUTED_VALUE"""),"46225")</f>
        <v>46225</v>
      </c>
      <c r="B3921" s="64">
        <f>IFERROR(__xludf.DUMMYFUNCTION("""COMPUTED_VALUE"""),44627.0)</f>
        <v>44627</v>
      </c>
      <c r="C3921" s="5"/>
      <c r="D3921" s="5"/>
      <c r="E3921" s="5"/>
      <c r="F3921" s="22">
        <f>IFERROR(__xludf.DUMMYFUNCTION("""COMPUTED_VALUE"""),500000.0)</f>
        <v>500000</v>
      </c>
      <c r="G3921" s="22">
        <f>IFERROR(__xludf.DUMMYFUNCTION("""COMPUTED_VALUE"""),0.0)</f>
        <v>0</v>
      </c>
      <c r="H3921" s="22">
        <f>IFERROR(__xludf.DUMMYFUNCTION("""COMPUTED_VALUE"""),500000.0)</f>
        <v>500000</v>
      </c>
      <c r="I3921" s="24">
        <f>IFERROR(__xludf.DUMMYFUNCTION("""COMPUTED_VALUE"""),0.0)</f>
        <v>0</v>
      </c>
    </row>
    <row r="3922">
      <c r="A3922" s="5" t="str">
        <f>IFERROR(__xludf.DUMMYFUNCTION("""COMPUTED_VALUE"""),"46225")</f>
        <v>46225</v>
      </c>
      <c r="B3922" s="64">
        <f>IFERROR(__xludf.DUMMYFUNCTION("""COMPUTED_VALUE"""),44628.0)</f>
        <v>44628</v>
      </c>
      <c r="C3922" s="5"/>
      <c r="D3922" s="5"/>
      <c r="E3922" s="5"/>
      <c r="F3922" s="22">
        <f>IFERROR(__xludf.DUMMYFUNCTION("""COMPUTED_VALUE"""),500000.0)</f>
        <v>500000</v>
      </c>
      <c r="G3922" s="22">
        <f>IFERROR(__xludf.DUMMYFUNCTION("""COMPUTED_VALUE"""),0.0)</f>
        <v>0</v>
      </c>
      <c r="H3922" s="22">
        <f>IFERROR(__xludf.DUMMYFUNCTION("""COMPUTED_VALUE"""),500000.0)</f>
        <v>500000</v>
      </c>
      <c r="I3922" s="24">
        <f>IFERROR(__xludf.DUMMYFUNCTION("""COMPUTED_VALUE"""),0.0)</f>
        <v>0</v>
      </c>
    </row>
    <row r="3923">
      <c r="A3923" s="5" t="str">
        <f>IFERROR(__xludf.DUMMYFUNCTION("""COMPUTED_VALUE"""),"46225")</f>
        <v>46225</v>
      </c>
      <c r="B3923" s="64">
        <f>IFERROR(__xludf.DUMMYFUNCTION("""COMPUTED_VALUE"""),44629.0)</f>
        <v>44629</v>
      </c>
      <c r="C3923" s="5"/>
      <c r="D3923" s="5"/>
      <c r="E3923" s="5"/>
      <c r="F3923" s="22">
        <f>IFERROR(__xludf.DUMMYFUNCTION("""COMPUTED_VALUE"""),500000.0)</f>
        <v>500000</v>
      </c>
      <c r="G3923" s="22">
        <f>IFERROR(__xludf.DUMMYFUNCTION("""COMPUTED_VALUE"""),0.0)</f>
        <v>0</v>
      </c>
      <c r="H3923" s="22">
        <f>IFERROR(__xludf.DUMMYFUNCTION("""COMPUTED_VALUE"""),500000.0)</f>
        <v>500000</v>
      </c>
      <c r="I3923" s="24">
        <f>IFERROR(__xludf.DUMMYFUNCTION("""COMPUTED_VALUE"""),0.0)</f>
        <v>0</v>
      </c>
    </row>
    <row r="3924">
      <c r="A3924" s="5" t="str">
        <f>IFERROR(__xludf.DUMMYFUNCTION("""COMPUTED_VALUE"""),"46225")</f>
        <v>46225</v>
      </c>
      <c r="B3924" s="64">
        <f>IFERROR(__xludf.DUMMYFUNCTION("""COMPUTED_VALUE"""),44630.0)</f>
        <v>44630</v>
      </c>
      <c r="C3924" s="5"/>
      <c r="D3924" s="5"/>
      <c r="E3924" s="5"/>
      <c r="F3924" s="22">
        <f>IFERROR(__xludf.DUMMYFUNCTION("""COMPUTED_VALUE"""),500000.0)</f>
        <v>500000</v>
      </c>
      <c r="G3924" s="22">
        <f>IFERROR(__xludf.DUMMYFUNCTION("""COMPUTED_VALUE"""),0.0)</f>
        <v>0</v>
      </c>
      <c r="H3924" s="22">
        <f>IFERROR(__xludf.DUMMYFUNCTION("""COMPUTED_VALUE"""),500000.0)</f>
        <v>500000</v>
      </c>
      <c r="I3924" s="24">
        <f>IFERROR(__xludf.DUMMYFUNCTION("""COMPUTED_VALUE"""),0.0)</f>
        <v>0</v>
      </c>
    </row>
    <row r="3925">
      <c r="A3925" s="5" t="str">
        <f>IFERROR(__xludf.DUMMYFUNCTION("""COMPUTED_VALUE"""),"46225")</f>
        <v>46225</v>
      </c>
      <c r="B3925" s="64">
        <f>IFERROR(__xludf.DUMMYFUNCTION("""COMPUTED_VALUE"""),44631.0)</f>
        <v>44631</v>
      </c>
      <c r="C3925" s="5"/>
      <c r="D3925" s="5"/>
      <c r="E3925" s="5"/>
      <c r="F3925" s="22">
        <f>IFERROR(__xludf.DUMMYFUNCTION("""COMPUTED_VALUE"""),500000.0)</f>
        <v>500000</v>
      </c>
      <c r="G3925" s="22">
        <f>IFERROR(__xludf.DUMMYFUNCTION("""COMPUTED_VALUE"""),0.0)</f>
        <v>0</v>
      </c>
      <c r="H3925" s="22">
        <f>IFERROR(__xludf.DUMMYFUNCTION("""COMPUTED_VALUE"""),500000.0)</f>
        <v>500000</v>
      </c>
      <c r="I3925" s="24">
        <f>IFERROR(__xludf.DUMMYFUNCTION("""COMPUTED_VALUE"""),0.0)</f>
        <v>0</v>
      </c>
    </row>
    <row r="3926">
      <c r="A3926" s="5" t="str">
        <f>IFERROR(__xludf.DUMMYFUNCTION("""COMPUTED_VALUE"""),"46225")</f>
        <v>46225</v>
      </c>
      <c r="B3926" s="64">
        <f>IFERROR(__xludf.DUMMYFUNCTION("""COMPUTED_VALUE"""),44632.0)</f>
        <v>44632</v>
      </c>
      <c r="C3926" s="5"/>
      <c r="D3926" s="5"/>
      <c r="E3926" s="5"/>
      <c r="F3926" s="22">
        <f>IFERROR(__xludf.DUMMYFUNCTION("""COMPUTED_VALUE"""),500000.0)</f>
        <v>500000</v>
      </c>
      <c r="G3926" s="22">
        <f>IFERROR(__xludf.DUMMYFUNCTION("""COMPUTED_VALUE"""),0.0)</f>
        <v>0</v>
      </c>
      <c r="H3926" s="22">
        <f>IFERROR(__xludf.DUMMYFUNCTION("""COMPUTED_VALUE"""),500000.0)</f>
        <v>500000</v>
      </c>
      <c r="I3926" s="24">
        <f>IFERROR(__xludf.DUMMYFUNCTION("""COMPUTED_VALUE"""),0.0)</f>
        <v>0</v>
      </c>
    </row>
    <row r="3927">
      <c r="A3927" s="5" t="str">
        <f>IFERROR(__xludf.DUMMYFUNCTION("""COMPUTED_VALUE"""),"46225")</f>
        <v>46225</v>
      </c>
      <c r="B3927" s="64">
        <f>IFERROR(__xludf.DUMMYFUNCTION("""COMPUTED_VALUE"""),44633.0)</f>
        <v>44633</v>
      </c>
      <c r="C3927" s="5"/>
      <c r="D3927" s="5"/>
      <c r="E3927" s="5"/>
      <c r="F3927" s="22">
        <f>IFERROR(__xludf.DUMMYFUNCTION("""COMPUTED_VALUE"""),500000.0)</f>
        <v>500000</v>
      </c>
      <c r="G3927" s="22">
        <f>IFERROR(__xludf.DUMMYFUNCTION("""COMPUTED_VALUE"""),0.0)</f>
        <v>0</v>
      </c>
      <c r="H3927" s="22">
        <f>IFERROR(__xludf.DUMMYFUNCTION("""COMPUTED_VALUE"""),500000.0)</f>
        <v>500000</v>
      </c>
      <c r="I3927" s="24">
        <f>IFERROR(__xludf.DUMMYFUNCTION("""COMPUTED_VALUE"""),0.0)</f>
        <v>0</v>
      </c>
    </row>
    <row r="3928">
      <c r="A3928" s="5" t="str">
        <f>IFERROR(__xludf.DUMMYFUNCTION("""COMPUTED_VALUE"""),"46225")</f>
        <v>46225</v>
      </c>
      <c r="B3928" s="64">
        <f>IFERROR(__xludf.DUMMYFUNCTION("""COMPUTED_VALUE"""),44634.0)</f>
        <v>44634</v>
      </c>
      <c r="C3928" s="5"/>
      <c r="D3928" s="5"/>
      <c r="E3928" s="5"/>
      <c r="F3928" s="22">
        <f>IFERROR(__xludf.DUMMYFUNCTION("""COMPUTED_VALUE"""),500000.0)</f>
        <v>500000</v>
      </c>
      <c r="G3928" s="22">
        <f>IFERROR(__xludf.DUMMYFUNCTION("""COMPUTED_VALUE"""),0.0)</f>
        <v>0</v>
      </c>
      <c r="H3928" s="22">
        <f>IFERROR(__xludf.DUMMYFUNCTION("""COMPUTED_VALUE"""),500000.0)</f>
        <v>500000</v>
      </c>
      <c r="I3928" s="24">
        <f>IFERROR(__xludf.DUMMYFUNCTION("""COMPUTED_VALUE"""),0.0)</f>
        <v>0</v>
      </c>
    </row>
    <row r="3929">
      <c r="A3929" s="5" t="str">
        <f>IFERROR(__xludf.DUMMYFUNCTION("""COMPUTED_VALUE"""),"46225")</f>
        <v>46225</v>
      </c>
      <c r="B3929" s="64">
        <f>IFERROR(__xludf.DUMMYFUNCTION("""COMPUTED_VALUE"""),44635.0)</f>
        <v>44635</v>
      </c>
      <c r="C3929" s="5"/>
      <c r="D3929" s="5"/>
      <c r="E3929" s="5"/>
      <c r="F3929" s="22">
        <f>IFERROR(__xludf.DUMMYFUNCTION("""COMPUTED_VALUE"""),500000.0)</f>
        <v>500000</v>
      </c>
      <c r="G3929" s="22">
        <f>IFERROR(__xludf.DUMMYFUNCTION("""COMPUTED_VALUE"""),0.0)</f>
        <v>0</v>
      </c>
      <c r="H3929" s="22">
        <f>IFERROR(__xludf.DUMMYFUNCTION("""COMPUTED_VALUE"""),500000.0)</f>
        <v>500000</v>
      </c>
      <c r="I3929" s="24">
        <f>IFERROR(__xludf.DUMMYFUNCTION("""COMPUTED_VALUE"""),0.0)</f>
        <v>0</v>
      </c>
    </row>
    <row r="3930">
      <c r="A3930" s="5" t="str">
        <f>IFERROR(__xludf.DUMMYFUNCTION("""COMPUTED_VALUE"""),"46225")</f>
        <v>46225</v>
      </c>
      <c r="B3930" s="64">
        <f>IFERROR(__xludf.DUMMYFUNCTION("""COMPUTED_VALUE"""),44636.0)</f>
        <v>44636</v>
      </c>
      <c r="C3930" s="5"/>
      <c r="D3930" s="5"/>
      <c r="E3930" s="5"/>
      <c r="F3930" s="22">
        <f>IFERROR(__xludf.DUMMYFUNCTION("""COMPUTED_VALUE"""),500000.0)</f>
        <v>500000</v>
      </c>
      <c r="G3930" s="22">
        <f>IFERROR(__xludf.DUMMYFUNCTION("""COMPUTED_VALUE"""),0.0)</f>
        <v>0</v>
      </c>
      <c r="H3930" s="22">
        <f>IFERROR(__xludf.DUMMYFUNCTION("""COMPUTED_VALUE"""),500000.0)</f>
        <v>500000</v>
      </c>
      <c r="I3930" s="24">
        <f>IFERROR(__xludf.DUMMYFUNCTION("""COMPUTED_VALUE"""),0.0)</f>
        <v>0</v>
      </c>
    </row>
    <row r="3931">
      <c r="A3931" s="5" t="str">
        <f>IFERROR(__xludf.DUMMYFUNCTION("""COMPUTED_VALUE"""),"46225")</f>
        <v>46225</v>
      </c>
      <c r="B3931" s="64">
        <f>IFERROR(__xludf.DUMMYFUNCTION("""COMPUTED_VALUE"""),44637.0)</f>
        <v>44637</v>
      </c>
      <c r="C3931" s="5"/>
      <c r="D3931" s="5"/>
      <c r="E3931" s="5"/>
      <c r="F3931" s="22">
        <f>IFERROR(__xludf.DUMMYFUNCTION("""COMPUTED_VALUE"""),500000.0)</f>
        <v>500000</v>
      </c>
      <c r="G3931" s="22">
        <f>IFERROR(__xludf.DUMMYFUNCTION("""COMPUTED_VALUE"""),0.0)</f>
        <v>0</v>
      </c>
      <c r="H3931" s="22">
        <f>IFERROR(__xludf.DUMMYFUNCTION("""COMPUTED_VALUE"""),500000.0)</f>
        <v>500000</v>
      </c>
      <c r="I3931" s="24">
        <f>IFERROR(__xludf.DUMMYFUNCTION("""COMPUTED_VALUE"""),0.0)</f>
        <v>0</v>
      </c>
    </row>
    <row r="3932">
      <c r="A3932" s="5" t="str">
        <f>IFERROR(__xludf.DUMMYFUNCTION("""COMPUTED_VALUE"""),"46225")</f>
        <v>46225</v>
      </c>
      <c r="B3932" s="64">
        <f>IFERROR(__xludf.DUMMYFUNCTION("""COMPUTED_VALUE"""),44638.0)</f>
        <v>44638</v>
      </c>
      <c r="C3932" s="5"/>
      <c r="D3932" s="5"/>
      <c r="E3932" s="5"/>
      <c r="F3932" s="22">
        <f>IFERROR(__xludf.DUMMYFUNCTION("""COMPUTED_VALUE"""),500000.0)</f>
        <v>500000</v>
      </c>
      <c r="G3932" s="22">
        <f>IFERROR(__xludf.DUMMYFUNCTION("""COMPUTED_VALUE"""),0.0)</f>
        <v>0</v>
      </c>
      <c r="H3932" s="22">
        <f>IFERROR(__xludf.DUMMYFUNCTION("""COMPUTED_VALUE"""),500000.0)</f>
        <v>500000</v>
      </c>
      <c r="I3932" s="24">
        <f>IFERROR(__xludf.DUMMYFUNCTION("""COMPUTED_VALUE"""),0.0)</f>
        <v>0</v>
      </c>
    </row>
    <row r="3933">
      <c r="A3933" s="5" t="str">
        <f>IFERROR(__xludf.DUMMYFUNCTION("""COMPUTED_VALUE"""),"46225")</f>
        <v>46225</v>
      </c>
      <c r="B3933" s="64">
        <f>IFERROR(__xludf.DUMMYFUNCTION("""COMPUTED_VALUE"""),44639.0)</f>
        <v>44639</v>
      </c>
      <c r="C3933" s="5"/>
      <c r="D3933" s="5"/>
      <c r="E3933" s="5"/>
      <c r="F3933" s="22">
        <f>IFERROR(__xludf.DUMMYFUNCTION("""COMPUTED_VALUE"""),500000.0)</f>
        <v>500000</v>
      </c>
      <c r="G3933" s="22">
        <f>IFERROR(__xludf.DUMMYFUNCTION("""COMPUTED_VALUE"""),0.0)</f>
        <v>0</v>
      </c>
      <c r="H3933" s="22">
        <f>IFERROR(__xludf.DUMMYFUNCTION("""COMPUTED_VALUE"""),500000.0)</f>
        <v>500000</v>
      </c>
      <c r="I3933" s="24">
        <f>IFERROR(__xludf.DUMMYFUNCTION("""COMPUTED_VALUE"""),0.0)</f>
        <v>0</v>
      </c>
    </row>
    <row r="3934">
      <c r="A3934" s="5" t="str">
        <f>IFERROR(__xludf.DUMMYFUNCTION("""COMPUTED_VALUE"""),"46225")</f>
        <v>46225</v>
      </c>
      <c r="B3934" s="64">
        <f>IFERROR(__xludf.DUMMYFUNCTION("""COMPUTED_VALUE"""),44640.0)</f>
        <v>44640</v>
      </c>
      <c r="C3934" s="5"/>
      <c r="D3934" s="5"/>
      <c r="E3934" s="5"/>
      <c r="F3934" s="22">
        <f>IFERROR(__xludf.DUMMYFUNCTION("""COMPUTED_VALUE"""),500000.0)</f>
        <v>500000</v>
      </c>
      <c r="G3934" s="22">
        <f>IFERROR(__xludf.DUMMYFUNCTION("""COMPUTED_VALUE"""),0.0)</f>
        <v>0</v>
      </c>
      <c r="H3934" s="22">
        <f>IFERROR(__xludf.DUMMYFUNCTION("""COMPUTED_VALUE"""),500000.0)</f>
        <v>500000</v>
      </c>
      <c r="I3934" s="24">
        <f>IFERROR(__xludf.DUMMYFUNCTION("""COMPUTED_VALUE"""),0.0)</f>
        <v>0</v>
      </c>
    </row>
    <row r="3935">
      <c r="A3935" s="5" t="str">
        <f>IFERROR(__xludf.DUMMYFUNCTION("""COMPUTED_VALUE"""),"46225")</f>
        <v>46225</v>
      </c>
      <c r="B3935" s="64">
        <f>IFERROR(__xludf.DUMMYFUNCTION("""COMPUTED_VALUE"""),44641.0)</f>
        <v>44641</v>
      </c>
      <c r="C3935" s="5"/>
      <c r="D3935" s="5"/>
      <c r="E3935" s="5"/>
      <c r="F3935" s="22">
        <f>IFERROR(__xludf.DUMMYFUNCTION("""COMPUTED_VALUE"""),500000.0)</f>
        <v>500000</v>
      </c>
      <c r="G3935" s="22">
        <f>IFERROR(__xludf.DUMMYFUNCTION("""COMPUTED_VALUE"""),0.0)</f>
        <v>0</v>
      </c>
      <c r="H3935" s="22">
        <f>IFERROR(__xludf.DUMMYFUNCTION("""COMPUTED_VALUE"""),500000.0)</f>
        <v>500000</v>
      </c>
      <c r="I3935" s="24">
        <f>IFERROR(__xludf.DUMMYFUNCTION("""COMPUTED_VALUE"""),0.0)</f>
        <v>0</v>
      </c>
    </row>
    <row r="3936">
      <c r="A3936" s="5" t="str">
        <f>IFERROR(__xludf.DUMMYFUNCTION("""COMPUTED_VALUE"""),"46225")</f>
        <v>46225</v>
      </c>
      <c r="B3936" s="64">
        <f>IFERROR(__xludf.DUMMYFUNCTION("""COMPUTED_VALUE"""),44642.0)</f>
        <v>44642</v>
      </c>
      <c r="C3936" s="5"/>
      <c r="D3936" s="5"/>
      <c r="E3936" s="5"/>
      <c r="F3936" s="22">
        <f>IFERROR(__xludf.DUMMYFUNCTION("""COMPUTED_VALUE"""),500000.0)</f>
        <v>500000</v>
      </c>
      <c r="G3936" s="22">
        <f>IFERROR(__xludf.DUMMYFUNCTION("""COMPUTED_VALUE"""),0.0)</f>
        <v>0</v>
      </c>
      <c r="H3936" s="22">
        <f>IFERROR(__xludf.DUMMYFUNCTION("""COMPUTED_VALUE"""),500000.0)</f>
        <v>500000</v>
      </c>
      <c r="I3936" s="24">
        <f>IFERROR(__xludf.DUMMYFUNCTION("""COMPUTED_VALUE"""),0.0)</f>
        <v>0</v>
      </c>
    </row>
    <row r="3937">
      <c r="A3937" s="5" t="str">
        <f>IFERROR(__xludf.DUMMYFUNCTION("""COMPUTED_VALUE"""),"46225")</f>
        <v>46225</v>
      </c>
      <c r="B3937" s="64">
        <f>IFERROR(__xludf.DUMMYFUNCTION("""COMPUTED_VALUE"""),44643.0)</f>
        <v>44643</v>
      </c>
      <c r="C3937" s="5"/>
      <c r="D3937" s="5"/>
      <c r="E3937" s="5"/>
      <c r="F3937" s="22">
        <f>IFERROR(__xludf.DUMMYFUNCTION("""COMPUTED_VALUE"""),500000.0)</f>
        <v>500000</v>
      </c>
      <c r="G3937" s="22">
        <f>IFERROR(__xludf.DUMMYFUNCTION("""COMPUTED_VALUE"""),0.0)</f>
        <v>0</v>
      </c>
      <c r="H3937" s="22">
        <f>IFERROR(__xludf.DUMMYFUNCTION("""COMPUTED_VALUE"""),500000.0)</f>
        <v>500000</v>
      </c>
      <c r="I3937" s="24">
        <f>IFERROR(__xludf.DUMMYFUNCTION("""COMPUTED_VALUE"""),0.0)</f>
        <v>0</v>
      </c>
    </row>
    <row r="3938">
      <c r="A3938" s="5" t="str">
        <f>IFERROR(__xludf.DUMMYFUNCTION("""COMPUTED_VALUE"""),"46225")</f>
        <v>46225</v>
      </c>
      <c r="B3938" s="64">
        <f>IFERROR(__xludf.DUMMYFUNCTION("""COMPUTED_VALUE"""),44644.0)</f>
        <v>44644</v>
      </c>
      <c r="C3938" s="5"/>
      <c r="D3938" s="5"/>
      <c r="E3938" s="5"/>
      <c r="F3938" s="22">
        <f>IFERROR(__xludf.DUMMYFUNCTION("""COMPUTED_VALUE"""),500000.0)</f>
        <v>500000</v>
      </c>
      <c r="G3938" s="22">
        <f>IFERROR(__xludf.DUMMYFUNCTION("""COMPUTED_VALUE"""),0.0)</f>
        <v>0</v>
      </c>
      <c r="H3938" s="22">
        <f>IFERROR(__xludf.DUMMYFUNCTION("""COMPUTED_VALUE"""),500000.0)</f>
        <v>500000</v>
      </c>
      <c r="I3938" s="24">
        <f>IFERROR(__xludf.DUMMYFUNCTION("""COMPUTED_VALUE"""),0.0)</f>
        <v>0</v>
      </c>
    </row>
    <row r="3939">
      <c r="A3939" s="5" t="str">
        <f>IFERROR(__xludf.DUMMYFUNCTION("""COMPUTED_VALUE"""),"46225")</f>
        <v>46225</v>
      </c>
      <c r="B3939" s="64">
        <f>IFERROR(__xludf.DUMMYFUNCTION("""COMPUTED_VALUE"""),44645.0)</f>
        <v>44645</v>
      </c>
      <c r="C3939" s="5"/>
      <c r="D3939" s="5"/>
      <c r="E3939" s="5"/>
      <c r="F3939" s="22">
        <f>IFERROR(__xludf.DUMMYFUNCTION("""COMPUTED_VALUE"""),500000.0)</f>
        <v>500000</v>
      </c>
      <c r="G3939" s="22">
        <f>IFERROR(__xludf.DUMMYFUNCTION("""COMPUTED_VALUE"""),0.0)</f>
        <v>0</v>
      </c>
      <c r="H3939" s="22">
        <f>IFERROR(__xludf.DUMMYFUNCTION("""COMPUTED_VALUE"""),500000.0)</f>
        <v>500000</v>
      </c>
      <c r="I3939" s="24">
        <f>IFERROR(__xludf.DUMMYFUNCTION("""COMPUTED_VALUE"""),0.0)</f>
        <v>0</v>
      </c>
    </row>
    <row r="3940">
      <c r="A3940" s="5" t="str">
        <f>IFERROR(__xludf.DUMMYFUNCTION("""COMPUTED_VALUE"""),"46225")</f>
        <v>46225</v>
      </c>
      <c r="B3940" s="64">
        <f>IFERROR(__xludf.DUMMYFUNCTION("""COMPUTED_VALUE"""),44646.0)</f>
        <v>44646</v>
      </c>
      <c r="C3940" s="5"/>
      <c r="D3940" s="5"/>
      <c r="E3940" s="5"/>
      <c r="F3940" s="22">
        <f>IFERROR(__xludf.DUMMYFUNCTION("""COMPUTED_VALUE"""),500000.0)</f>
        <v>500000</v>
      </c>
      <c r="G3940" s="22">
        <f>IFERROR(__xludf.DUMMYFUNCTION("""COMPUTED_VALUE"""),0.0)</f>
        <v>0</v>
      </c>
      <c r="H3940" s="22">
        <f>IFERROR(__xludf.DUMMYFUNCTION("""COMPUTED_VALUE"""),500000.0)</f>
        <v>500000</v>
      </c>
      <c r="I3940" s="24">
        <f>IFERROR(__xludf.DUMMYFUNCTION("""COMPUTED_VALUE"""),0.0)</f>
        <v>0</v>
      </c>
    </row>
    <row r="3941">
      <c r="A3941" s="5" t="str">
        <f>IFERROR(__xludf.DUMMYFUNCTION("""COMPUTED_VALUE"""),"46225")</f>
        <v>46225</v>
      </c>
      <c r="B3941" s="64">
        <f>IFERROR(__xludf.DUMMYFUNCTION("""COMPUTED_VALUE"""),44647.0)</f>
        <v>44647</v>
      </c>
      <c r="C3941" s="5"/>
      <c r="D3941" s="5"/>
      <c r="E3941" s="5"/>
      <c r="F3941" s="22">
        <f>IFERROR(__xludf.DUMMYFUNCTION("""COMPUTED_VALUE"""),500000.0)</f>
        <v>500000</v>
      </c>
      <c r="G3941" s="22">
        <f>IFERROR(__xludf.DUMMYFUNCTION("""COMPUTED_VALUE"""),0.0)</f>
        <v>0</v>
      </c>
      <c r="H3941" s="22">
        <f>IFERROR(__xludf.DUMMYFUNCTION("""COMPUTED_VALUE"""),500000.0)</f>
        <v>500000</v>
      </c>
      <c r="I3941" s="24">
        <f>IFERROR(__xludf.DUMMYFUNCTION("""COMPUTED_VALUE"""),0.0)</f>
        <v>0</v>
      </c>
    </row>
    <row r="3942">
      <c r="A3942" s="5" t="str">
        <f>IFERROR(__xludf.DUMMYFUNCTION("""COMPUTED_VALUE"""),"46225")</f>
        <v>46225</v>
      </c>
      <c r="B3942" s="64">
        <f>IFERROR(__xludf.DUMMYFUNCTION("""COMPUTED_VALUE"""),44648.0)</f>
        <v>44648</v>
      </c>
      <c r="C3942" s="5"/>
      <c r="D3942" s="5"/>
      <c r="E3942" s="5"/>
      <c r="F3942" s="22">
        <f>IFERROR(__xludf.DUMMYFUNCTION("""COMPUTED_VALUE"""),500000.0)</f>
        <v>500000</v>
      </c>
      <c r="G3942" s="22">
        <f>IFERROR(__xludf.DUMMYFUNCTION("""COMPUTED_VALUE"""),0.0)</f>
        <v>0</v>
      </c>
      <c r="H3942" s="22">
        <f>IFERROR(__xludf.DUMMYFUNCTION("""COMPUTED_VALUE"""),500000.0)</f>
        <v>500000</v>
      </c>
      <c r="I3942" s="24">
        <f>IFERROR(__xludf.DUMMYFUNCTION("""COMPUTED_VALUE"""),0.0)</f>
        <v>0</v>
      </c>
    </row>
    <row r="3943">
      <c r="A3943" s="5" t="str">
        <f>IFERROR(__xludf.DUMMYFUNCTION("""COMPUTED_VALUE"""),"46225")</f>
        <v>46225</v>
      </c>
      <c r="B3943" s="64">
        <f>IFERROR(__xludf.DUMMYFUNCTION("""COMPUTED_VALUE"""),44649.0)</f>
        <v>44649</v>
      </c>
      <c r="C3943" s="5"/>
      <c r="D3943" s="5"/>
      <c r="E3943" s="5"/>
      <c r="F3943" s="22">
        <f>IFERROR(__xludf.DUMMYFUNCTION("""COMPUTED_VALUE"""),500000.0)</f>
        <v>500000</v>
      </c>
      <c r="G3943" s="22">
        <f>IFERROR(__xludf.DUMMYFUNCTION("""COMPUTED_VALUE"""),0.0)</f>
        <v>0</v>
      </c>
      <c r="H3943" s="22">
        <f>IFERROR(__xludf.DUMMYFUNCTION("""COMPUTED_VALUE"""),500000.0)</f>
        <v>500000</v>
      </c>
      <c r="I3943" s="24">
        <f>IFERROR(__xludf.DUMMYFUNCTION("""COMPUTED_VALUE"""),0.0)</f>
        <v>0</v>
      </c>
    </row>
    <row r="3944">
      <c r="A3944" s="5" t="str">
        <f>IFERROR(__xludf.DUMMYFUNCTION("""COMPUTED_VALUE"""),"46225")</f>
        <v>46225</v>
      </c>
      <c r="B3944" s="64">
        <f>IFERROR(__xludf.DUMMYFUNCTION("""COMPUTED_VALUE"""),44650.0)</f>
        <v>44650</v>
      </c>
      <c r="C3944" s="5"/>
      <c r="D3944" s="5"/>
      <c r="E3944" s="5"/>
      <c r="F3944" s="22">
        <f>IFERROR(__xludf.DUMMYFUNCTION("""COMPUTED_VALUE"""),500000.0)</f>
        <v>500000</v>
      </c>
      <c r="G3944" s="22">
        <f>IFERROR(__xludf.DUMMYFUNCTION("""COMPUTED_VALUE"""),0.0)</f>
        <v>0</v>
      </c>
      <c r="H3944" s="22">
        <f>IFERROR(__xludf.DUMMYFUNCTION("""COMPUTED_VALUE"""),500000.0)</f>
        <v>500000</v>
      </c>
      <c r="I3944" s="24">
        <f>IFERROR(__xludf.DUMMYFUNCTION("""COMPUTED_VALUE"""),0.0)</f>
        <v>0</v>
      </c>
    </row>
    <row r="3945">
      <c r="A3945" s="5" t="str">
        <f>IFERROR(__xludf.DUMMYFUNCTION("""COMPUTED_VALUE"""),"46225")</f>
        <v>46225</v>
      </c>
      <c r="B3945" s="64">
        <f>IFERROR(__xludf.DUMMYFUNCTION("""COMPUTED_VALUE"""),44651.0)</f>
        <v>44651</v>
      </c>
      <c r="C3945" s="5"/>
      <c r="D3945" s="5"/>
      <c r="E3945" s="5"/>
      <c r="F3945" s="22">
        <f>IFERROR(__xludf.DUMMYFUNCTION("""COMPUTED_VALUE"""),500000.0)</f>
        <v>500000</v>
      </c>
      <c r="G3945" s="22">
        <f>IFERROR(__xludf.DUMMYFUNCTION("""COMPUTED_VALUE"""),0.0)</f>
        <v>0</v>
      </c>
      <c r="H3945" s="22">
        <f>IFERROR(__xludf.DUMMYFUNCTION("""COMPUTED_VALUE"""),500000.0)</f>
        <v>500000</v>
      </c>
      <c r="I3945" s="24">
        <f>IFERROR(__xludf.DUMMYFUNCTION("""COMPUTED_VALUE"""),0.0)</f>
        <v>0</v>
      </c>
    </row>
    <row r="3946">
      <c r="A3946" s="5" t="str">
        <f>IFERROR(__xludf.DUMMYFUNCTION("""COMPUTED_VALUE"""),"46225")</f>
        <v>46225</v>
      </c>
      <c r="B3946" s="64">
        <f>IFERROR(__xludf.DUMMYFUNCTION("""COMPUTED_VALUE"""),44652.0)</f>
        <v>44652</v>
      </c>
      <c r="C3946" s="5"/>
      <c r="D3946" s="5"/>
      <c r="E3946" s="5"/>
      <c r="F3946" s="22">
        <f>IFERROR(__xludf.DUMMYFUNCTION("""COMPUTED_VALUE"""),500000.0)</f>
        <v>500000</v>
      </c>
      <c r="G3946" s="22">
        <f>IFERROR(__xludf.DUMMYFUNCTION("""COMPUTED_VALUE"""),0.0)</f>
        <v>0</v>
      </c>
      <c r="H3946" s="22">
        <f>IFERROR(__xludf.DUMMYFUNCTION("""COMPUTED_VALUE"""),500000.0)</f>
        <v>500000</v>
      </c>
      <c r="I3946" s="24">
        <f>IFERROR(__xludf.DUMMYFUNCTION("""COMPUTED_VALUE"""),0.0)</f>
        <v>0</v>
      </c>
    </row>
    <row r="3947">
      <c r="A3947" s="5" t="str">
        <f>IFERROR(__xludf.DUMMYFUNCTION("""COMPUTED_VALUE"""),"46225")</f>
        <v>46225</v>
      </c>
      <c r="B3947" s="64">
        <f>IFERROR(__xludf.DUMMYFUNCTION("""COMPUTED_VALUE"""),44653.0)</f>
        <v>44653</v>
      </c>
      <c r="C3947" s="5"/>
      <c r="D3947" s="5"/>
      <c r="E3947" s="5"/>
      <c r="F3947" s="22">
        <f>IFERROR(__xludf.DUMMYFUNCTION("""COMPUTED_VALUE"""),500000.0)</f>
        <v>500000</v>
      </c>
      <c r="G3947" s="22">
        <f>IFERROR(__xludf.DUMMYFUNCTION("""COMPUTED_VALUE"""),0.0)</f>
        <v>0</v>
      </c>
      <c r="H3947" s="22">
        <f>IFERROR(__xludf.DUMMYFUNCTION("""COMPUTED_VALUE"""),500000.0)</f>
        <v>500000</v>
      </c>
      <c r="I3947" s="24">
        <f>IFERROR(__xludf.DUMMYFUNCTION("""COMPUTED_VALUE"""),0.0)</f>
        <v>0</v>
      </c>
    </row>
    <row r="3948">
      <c r="A3948" s="5" t="str">
        <f>IFERROR(__xludf.DUMMYFUNCTION("""COMPUTED_VALUE"""),"46225")</f>
        <v>46225</v>
      </c>
      <c r="B3948" s="64">
        <f>IFERROR(__xludf.DUMMYFUNCTION("""COMPUTED_VALUE"""),44654.0)</f>
        <v>44654</v>
      </c>
      <c r="C3948" s="5"/>
      <c r="D3948" s="5"/>
      <c r="E3948" s="5"/>
      <c r="F3948" s="22">
        <f>IFERROR(__xludf.DUMMYFUNCTION("""COMPUTED_VALUE"""),500000.0)</f>
        <v>500000</v>
      </c>
      <c r="G3948" s="22">
        <f>IFERROR(__xludf.DUMMYFUNCTION("""COMPUTED_VALUE"""),0.0)</f>
        <v>0</v>
      </c>
      <c r="H3948" s="22">
        <f>IFERROR(__xludf.DUMMYFUNCTION("""COMPUTED_VALUE"""),500000.0)</f>
        <v>500000</v>
      </c>
      <c r="I3948" s="24">
        <f>IFERROR(__xludf.DUMMYFUNCTION("""COMPUTED_VALUE"""),0.0)</f>
        <v>0</v>
      </c>
    </row>
    <row r="3949">
      <c r="A3949" s="5" t="str">
        <f>IFERROR(__xludf.DUMMYFUNCTION("""COMPUTED_VALUE"""),"46225")</f>
        <v>46225</v>
      </c>
      <c r="B3949" s="64">
        <f>IFERROR(__xludf.DUMMYFUNCTION("""COMPUTED_VALUE"""),44655.0)</f>
        <v>44655</v>
      </c>
      <c r="C3949" s="5"/>
      <c r="D3949" s="5"/>
      <c r="E3949" s="5"/>
      <c r="F3949" s="22">
        <f>IFERROR(__xludf.DUMMYFUNCTION("""COMPUTED_VALUE"""),500000.0)</f>
        <v>500000</v>
      </c>
      <c r="G3949" s="22">
        <f>IFERROR(__xludf.DUMMYFUNCTION("""COMPUTED_VALUE"""),0.0)</f>
        <v>0</v>
      </c>
      <c r="H3949" s="22">
        <f>IFERROR(__xludf.DUMMYFUNCTION("""COMPUTED_VALUE"""),500000.0)</f>
        <v>500000</v>
      </c>
      <c r="I3949" s="24">
        <f>IFERROR(__xludf.DUMMYFUNCTION("""COMPUTED_VALUE"""),0.0)</f>
        <v>0</v>
      </c>
    </row>
    <row r="3950">
      <c r="A3950" s="5" t="str">
        <f>IFERROR(__xludf.DUMMYFUNCTION("""COMPUTED_VALUE"""),"46225")</f>
        <v>46225</v>
      </c>
      <c r="B3950" s="64">
        <f>IFERROR(__xludf.DUMMYFUNCTION("""COMPUTED_VALUE"""),44656.0)</f>
        <v>44656</v>
      </c>
      <c r="C3950" s="5"/>
      <c r="D3950" s="5"/>
      <c r="E3950" s="5"/>
      <c r="F3950" s="22">
        <f>IFERROR(__xludf.DUMMYFUNCTION("""COMPUTED_VALUE"""),500000.0)</f>
        <v>500000</v>
      </c>
      <c r="G3950" s="22">
        <f>IFERROR(__xludf.DUMMYFUNCTION("""COMPUTED_VALUE"""),0.0)</f>
        <v>0</v>
      </c>
      <c r="H3950" s="22">
        <f>IFERROR(__xludf.DUMMYFUNCTION("""COMPUTED_VALUE"""),500000.0)</f>
        <v>500000</v>
      </c>
      <c r="I3950" s="24">
        <f>IFERROR(__xludf.DUMMYFUNCTION("""COMPUTED_VALUE"""),0.0)</f>
        <v>0</v>
      </c>
    </row>
    <row r="3951">
      <c r="A3951" s="5" t="str">
        <f>IFERROR(__xludf.DUMMYFUNCTION("""COMPUTED_VALUE"""),"46225")</f>
        <v>46225</v>
      </c>
      <c r="B3951" s="64">
        <f>IFERROR(__xludf.DUMMYFUNCTION("""COMPUTED_VALUE"""),44657.0)</f>
        <v>44657</v>
      </c>
      <c r="C3951" s="5"/>
      <c r="D3951" s="5"/>
      <c r="E3951" s="5"/>
      <c r="F3951" s="22">
        <f>IFERROR(__xludf.DUMMYFUNCTION("""COMPUTED_VALUE"""),500000.0)</f>
        <v>500000</v>
      </c>
      <c r="G3951" s="22">
        <f>IFERROR(__xludf.DUMMYFUNCTION("""COMPUTED_VALUE"""),0.0)</f>
        <v>0</v>
      </c>
      <c r="H3951" s="22">
        <f>IFERROR(__xludf.DUMMYFUNCTION("""COMPUTED_VALUE"""),500000.0)</f>
        <v>500000</v>
      </c>
      <c r="I3951" s="24">
        <f>IFERROR(__xludf.DUMMYFUNCTION("""COMPUTED_VALUE"""),0.0)</f>
        <v>0</v>
      </c>
    </row>
    <row r="3952">
      <c r="A3952" s="5" t="str">
        <f>IFERROR(__xludf.DUMMYFUNCTION("""COMPUTED_VALUE"""),"46225")</f>
        <v>46225</v>
      </c>
      <c r="B3952" s="64">
        <f>IFERROR(__xludf.DUMMYFUNCTION("""COMPUTED_VALUE"""),44658.0)</f>
        <v>44658</v>
      </c>
      <c r="C3952" s="5"/>
      <c r="D3952" s="5"/>
      <c r="E3952" s="5"/>
      <c r="F3952" s="22">
        <f>IFERROR(__xludf.DUMMYFUNCTION("""COMPUTED_VALUE"""),-245434.2110319999)</f>
        <v>-245434.211</v>
      </c>
      <c r="G3952" s="22">
        <f>IFERROR(__xludf.DUMMYFUNCTION("""COMPUTED_VALUE"""),245434.2110319999)</f>
        <v>245434.211</v>
      </c>
      <c r="H3952" s="22">
        <f>IFERROR(__xludf.DUMMYFUNCTION("""COMPUTED_VALUE"""),500000.0)</f>
        <v>500000</v>
      </c>
      <c r="I3952" s="24">
        <f>IFERROR(__xludf.DUMMYFUNCTION("""COMPUTED_VALUE"""),0.0)</f>
        <v>0</v>
      </c>
    </row>
    <row r="3953">
      <c r="A3953" s="5" t="str">
        <f>IFERROR(__xludf.DUMMYFUNCTION("""COMPUTED_VALUE"""),"46225")</f>
        <v>46225</v>
      </c>
      <c r="B3953" s="64">
        <f>IFERROR(__xludf.DUMMYFUNCTION("""COMPUTED_VALUE"""),44659.0)</f>
        <v>44659</v>
      </c>
      <c r="C3953" s="5"/>
      <c r="D3953" s="5"/>
      <c r="E3953" s="5"/>
      <c r="F3953" s="22">
        <f>IFERROR(__xludf.DUMMYFUNCTION("""COMPUTED_VALUE"""),129025.05772010019)</f>
        <v>129025.0577</v>
      </c>
      <c r="G3953" s="22">
        <f>IFERROR(__xludf.DUMMYFUNCTION("""COMPUTED_VALUE"""),0.0)</f>
        <v>0</v>
      </c>
      <c r="H3953" s="22">
        <f>IFERROR(__xludf.DUMMYFUNCTION("""COMPUTED_VALUE"""),494694.34389320016)</f>
        <v>494694.3439</v>
      </c>
      <c r="I3953" s="24">
        <f>IFERROR(__xludf.DUMMYFUNCTION("""COMPUTED_VALUE"""),-0.010611312213599677)</f>
        <v>-0.01061131221</v>
      </c>
    </row>
    <row r="3954">
      <c r="A3954" s="5" t="str">
        <f>IFERROR(__xludf.DUMMYFUNCTION("""COMPUTED_VALUE"""),"46225")</f>
        <v>46225</v>
      </c>
      <c r="B3954" s="64">
        <f>IFERROR(__xludf.DUMMYFUNCTION("""COMPUTED_VALUE"""),44660.0)</f>
        <v>44660</v>
      </c>
      <c r="C3954" s="5"/>
      <c r="D3954" s="5"/>
      <c r="E3954" s="5"/>
      <c r="F3954" s="22">
        <f>IFERROR(__xludf.DUMMYFUNCTION("""COMPUTED_VALUE"""),129025.05772010019)</f>
        <v>129025.0577</v>
      </c>
      <c r="G3954" s="22">
        <f>IFERROR(__xludf.DUMMYFUNCTION("""COMPUTED_VALUE"""),0.0)</f>
        <v>0</v>
      </c>
      <c r="H3954" s="22">
        <f>IFERROR(__xludf.DUMMYFUNCTION("""COMPUTED_VALUE"""),494694.34389320016)</f>
        <v>494694.3439</v>
      </c>
      <c r="I3954" s="24">
        <f>IFERROR(__xludf.DUMMYFUNCTION("""COMPUTED_VALUE"""),-0.010611312213599677)</f>
        <v>-0.01061131221</v>
      </c>
    </row>
    <row r="3955">
      <c r="A3955" s="5" t="str">
        <f>IFERROR(__xludf.DUMMYFUNCTION("""COMPUTED_VALUE"""),"46225")</f>
        <v>46225</v>
      </c>
      <c r="B3955" s="64">
        <f>IFERROR(__xludf.DUMMYFUNCTION("""COMPUTED_VALUE"""),44661.0)</f>
        <v>44661</v>
      </c>
      <c r="C3955" s="5"/>
      <c r="D3955" s="5"/>
      <c r="E3955" s="5"/>
      <c r="F3955" s="22">
        <f>IFERROR(__xludf.DUMMYFUNCTION("""COMPUTED_VALUE"""),129025.05772010019)</f>
        <v>129025.0577</v>
      </c>
      <c r="G3955" s="22">
        <f>IFERROR(__xludf.DUMMYFUNCTION("""COMPUTED_VALUE"""),0.0)</f>
        <v>0</v>
      </c>
      <c r="H3955" s="22">
        <f>IFERROR(__xludf.DUMMYFUNCTION("""COMPUTED_VALUE"""),494694.34389320016)</f>
        <v>494694.3439</v>
      </c>
      <c r="I3955" s="24">
        <f>IFERROR(__xludf.DUMMYFUNCTION("""COMPUTED_VALUE"""),-0.010611312213599677)</f>
        <v>-0.01061131221</v>
      </c>
    </row>
    <row r="3956">
      <c r="A3956" s="5" t="str">
        <f>IFERROR(__xludf.DUMMYFUNCTION("""COMPUTED_VALUE"""),"46225")</f>
        <v>46225</v>
      </c>
      <c r="B3956" s="64">
        <f>IFERROR(__xludf.DUMMYFUNCTION("""COMPUTED_VALUE"""),44662.0)</f>
        <v>44662</v>
      </c>
      <c r="C3956" s="5"/>
      <c r="D3956" s="5"/>
      <c r="E3956" s="5"/>
      <c r="F3956" s="22">
        <f>IFERROR(__xludf.DUMMYFUNCTION("""COMPUTED_VALUE"""),129025.05772010019)</f>
        <v>129025.0577</v>
      </c>
      <c r="G3956" s="22">
        <f>IFERROR(__xludf.DUMMYFUNCTION("""COMPUTED_VALUE"""),0.0)</f>
        <v>0</v>
      </c>
      <c r="H3956" s="22">
        <f>IFERROR(__xludf.DUMMYFUNCTION("""COMPUTED_VALUE"""),474680.4927024501)</f>
        <v>474680.4927</v>
      </c>
      <c r="I3956" s="24">
        <f>IFERROR(__xludf.DUMMYFUNCTION("""COMPUTED_VALUE"""),-0.050639014595099896)</f>
        <v>-0.0506390146</v>
      </c>
    </row>
    <row r="3957">
      <c r="A3957" s="5" t="str">
        <f>IFERROR(__xludf.DUMMYFUNCTION("""COMPUTED_VALUE"""),"46225")</f>
        <v>46225</v>
      </c>
      <c r="B3957" s="64">
        <f>IFERROR(__xludf.DUMMYFUNCTION("""COMPUTED_VALUE"""),44663.0)</f>
        <v>44663</v>
      </c>
      <c r="C3957" s="5"/>
      <c r="D3957" s="5"/>
      <c r="E3957" s="5"/>
      <c r="F3957" s="22">
        <f>IFERROR(__xludf.DUMMYFUNCTION("""COMPUTED_VALUE"""),129025.05772010019)</f>
        <v>129025.0577</v>
      </c>
      <c r="G3957" s="22">
        <f>IFERROR(__xludf.DUMMYFUNCTION("""COMPUTED_VALUE"""),0.0)</f>
        <v>0</v>
      </c>
      <c r="H3957" s="22">
        <f>IFERROR(__xludf.DUMMYFUNCTION("""COMPUTED_VALUE"""),475031.44599275)</f>
        <v>475031.446</v>
      </c>
      <c r="I3957" s="24">
        <f>IFERROR(__xludf.DUMMYFUNCTION("""COMPUTED_VALUE"""),-0.04993710801450002)</f>
        <v>-0.04993710801</v>
      </c>
    </row>
    <row r="3958">
      <c r="A3958" s="5" t="str">
        <f>IFERROR(__xludf.DUMMYFUNCTION("""COMPUTED_VALUE"""),"46276")</f>
        <v>46276</v>
      </c>
      <c r="B3958" s="64">
        <f>IFERROR(__xludf.DUMMYFUNCTION("""COMPUTED_VALUE"""),44597.0)</f>
        <v>44597</v>
      </c>
      <c r="C3958" s="5"/>
      <c r="D3958" s="5"/>
      <c r="E3958" s="5"/>
      <c r="F3958" s="22">
        <f>IFERROR(__xludf.DUMMYFUNCTION("""COMPUTED_VALUE"""),500000.0)</f>
        <v>500000</v>
      </c>
      <c r="G3958" s="22">
        <f>IFERROR(__xludf.DUMMYFUNCTION("""COMPUTED_VALUE"""),0.0)</f>
        <v>0</v>
      </c>
      <c r="H3958" s="22">
        <f>IFERROR(__xludf.DUMMYFUNCTION("""COMPUTED_VALUE"""),500000.0)</f>
        <v>500000</v>
      </c>
      <c r="I3958" s="24">
        <f>IFERROR(__xludf.DUMMYFUNCTION("""COMPUTED_VALUE"""),0.0)</f>
        <v>0</v>
      </c>
    </row>
    <row r="3959">
      <c r="A3959" s="5" t="str">
        <f>IFERROR(__xludf.DUMMYFUNCTION("""COMPUTED_VALUE"""),"46276")</f>
        <v>46276</v>
      </c>
      <c r="B3959" s="64">
        <f>IFERROR(__xludf.DUMMYFUNCTION("""COMPUTED_VALUE"""),44598.0)</f>
        <v>44598</v>
      </c>
      <c r="C3959" s="5"/>
      <c r="D3959" s="5"/>
      <c r="E3959" s="5"/>
      <c r="F3959" s="22">
        <f>IFERROR(__xludf.DUMMYFUNCTION("""COMPUTED_VALUE"""),500000.0)</f>
        <v>500000</v>
      </c>
      <c r="G3959" s="22">
        <f>IFERROR(__xludf.DUMMYFUNCTION("""COMPUTED_VALUE"""),0.0)</f>
        <v>0</v>
      </c>
      <c r="H3959" s="22">
        <f>IFERROR(__xludf.DUMMYFUNCTION("""COMPUTED_VALUE"""),500000.0)</f>
        <v>500000</v>
      </c>
      <c r="I3959" s="24">
        <f>IFERROR(__xludf.DUMMYFUNCTION("""COMPUTED_VALUE"""),0.0)</f>
        <v>0</v>
      </c>
    </row>
    <row r="3960">
      <c r="A3960" s="5" t="str">
        <f>IFERROR(__xludf.DUMMYFUNCTION("""COMPUTED_VALUE"""),"46276")</f>
        <v>46276</v>
      </c>
      <c r="B3960" s="64">
        <f>IFERROR(__xludf.DUMMYFUNCTION("""COMPUTED_VALUE"""),44599.0)</f>
        <v>44599</v>
      </c>
      <c r="C3960" s="5"/>
      <c r="D3960" s="5"/>
      <c r="E3960" s="5"/>
      <c r="F3960" s="22">
        <f>IFERROR(__xludf.DUMMYFUNCTION("""COMPUTED_VALUE"""),500000.0)</f>
        <v>500000</v>
      </c>
      <c r="G3960" s="22">
        <f>IFERROR(__xludf.DUMMYFUNCTION("""COMPUTED_VALUE"""),0.0)</f>
        <v>0</v>
      </c>
      <c r="H3960" s="22">
        <f>IFERROR(__xludf.DUMMYFUNCTION("""COMPUTED_VALUE"""),500000.0)</f>
        <v>500000</v>
      </c>
      <c r="I3960" s="24">
        <f>IFERROR(__xludf.DUMMYFUNCTION("""COMPUTED_VALUE"""),0.0)</f>
        <v>0</v>
      </c>
    </row>
    <row r="3961">
      <c r="A3961" s="5" t="str">
        <f>IFERROR(__xludf.DUMMYFUNCTION("""COMPUTED_VALUE"""),"46276")</f>
        <v>46276</v>
      </c>
      <c r="B3961" s="64">
        <f>IFERROR(__xludf.DUMMYFUNCTION("""COMPUTED_VALUE"""),44600.0)</f>
        <v>44600</v>
      </c>
      <c r="C3961" s="5"/>
      <c r="D3961" s="5"/>
      <c r="E3961" s="5"/>
      <c r="F3961" s="22">
        <f>IFERROR(__xludf.DUMMYFUNCTION("""COMPUTED_VALUE"""),500000.0)</f>
        <v>500000</v>
      </c>
      <c r="G3961" s="22">
        <f>IFERROR(__xludf.DUMMYFUNCTION("""COMPUTED_VALUE"""),0.0)</f>
        <v>0</v>
      </c>
      <c r="H3961" s="22">
        <f>IFERROR(__xludf.DUMMYFUNCTION("""COMPUTED_VALUE"""),500000.0)</f>
        <v>500000</v>
      </c>
      <c r="I3961" s="24">
        <f>IFERROR(__xludf.DUMMYFUNCTION("""COMPUTED_VALUE"""),0.0)</f>
        <v>0</v>
      </c>
    </row>
    <row r="3962">
      <c r="A3962" s="5" t="str">
        <f>IFERROR(__xludf.DUMMYFUNCTION("""COMPUTED_VALUE"""),"46276")</f>
        <v>46276</v>
      </c>
      <c r="B3962" s="64">
        <f>IFERROR(__xludf.DUMMYFUNCTION("""COMPUTED_VALUE"""),44601.0)</f>
        <v>44601</v>
      </c>
      <c r="C3962" s="5"/>
      <c r="D3962" s="5"/>
      <c r="E3962" s="5"/>
      <c r="F3962" s="22">
        <f>IFERROR(__xludf.DUMMYFUNCTION("""COMPUTED_VALUE"""),500000.0)</f>
        <v>500000</v>
      </c>
      <c r="G3962" s="22">
        <f>IFERROR(__xludf.DUMMYFUNCTION("""COMPUTED_VALUE"""),0.0)</f>
        <v>0</v>
      </c>
      <c r="H3962" s="22">
        <f>IFERROR(__xludf.DUMMYFUNCTION("""COMPUTED_VALUE"""),500000.0)</f>
        <v>500000</v>
      </c>
      <c r="I3962" s="24">
        <f>IFERROR(__xludf.DUMMYFUNCTION("""COMPUTED_VALUE"""),0.0)</f>
        <v>0</v>
      </c>
    </row>
    <row r="3963">
      <c r="A3963" s="5" t="str">
        <f>IFERROR(__xludf.DUMMYFUNCTION("""COMPUTED_VALUE"""),"46276")</f>
        <v>46276</v>
      </c>
      <c r="B3963" s="64">
        <f>IFERROR(__xludf.DUMMYFUNCTION("""COMPUTED_VALUE"""),44602.0)</f>
        <v>44602</v>
      </c>
      <c r="C3963" s="5"/>
      <c r="D3963" s="5"/>
      <c r="E3963" s="5"/>
      <c r="F3963" s="22">
        <f>IFERROR(__xludf.DUMMYFUNCTION("""COMPUTED_VALUE"""),500000.0)</f>
        <v>500000</v>
      </c>
      <c r="G3963" s="22">
        <f>IFERROR(__xludf.DUMMYFUNCTION("""COMPUTED_VALUE"""),0.0)</f>
        <v>0</v>
      </c>
      <c r="H3963" s="22">
        <f>IFERROR(__xludf.DUMMYFUNCTION("""COMPUTED_VALUE"""),500000.0)</f>
        <v>500000</v>
      </c>
      <c r="I3963" s="24">
        <f>IFERROR(__xludf.DUMMYFUNCTION("""COMPUTED_VALUE"""),0.0)</f>
        <v>0</v>
      </c>
    </row>
    <row r="3964">
      <c r="A3964" s="5" t="str">
        <f>IFERROR(__xludf.DUMMYFUNCTION("""COMPUTED_VALUE"""),"46276")</f>
        <v>46276</v>
      </c>
      <c r="B3964" s="64">
        <f>IFERROR(__xludf.DUMMYFUNCTION("""COMPUTED_VALUE"""),44603.0)</f>
        <v>44603</v>
      </c>
      <c r="C3964" s="5"/>
      <c r="D3964" s="5"/>
      <c r="E3964" s="5"/>
      <c r="F3964" s="22">
        <f>IFERROR(__xludf.DUMMYFUNCTION("""COMPUTED_VALUE"""),500000.0)</f>
        <v>500000</v>
      </c>
      <c r="G3964" s="22">
        <f>IFERROR(__xludf.DUMMYFUNCTION("""COMPUTED_VALUE"""),0.0)</f>
        <v>0</v>
      </c>
      <c r="H3964" s="22">
        <f>IFERROR(__xludf.DUMMYFUNCTION("""COMPUTED_VALUE"""),500000.0)</f>
        <v>500000</v>
      </c>
      <c r="I3964" s="24">
        <f>IFERROR(__xludf.DUMMYFUNCTION("""COMPUTED_VALUE"""),0.0)</f>
        <v>0</v>
      </c>
    </row>
    <row r="3965">
      <c r="A3965" s="5" t="str">
        <f>IFERROR(__xludf.DUMMYFUNCTION("""COMPUTED_VALUE"""),"46276")</f>
        <v>46276</v>
      </c>
      <c r="B3965" s="64">
        <f>IFERROR(__xludf.DUMMYFUNCTION("""COMPUTED_VALUE"""),44604.0)</f>
        <v>44604</v>
      </c>
      <c r="C3965" s="5"/>
      <c r="D3965" s="5"/>
      <c r="E3965" s="5"/>
      <c r="F3965" s="22">
        <f>IFERROR(__xludf.DUMMYFUNCTION("""COMPUTED_VALUE"""),500000.0)</f>
        <v>500000</v>
      </c>
      <c r="G3965" s="22">
        <f>IFERROR(__xludf.DUMMYFUNCTION("""COMPUTED_VALUE"""),0.0)</f>
        <v>0</v>
      </c>
      <c r="H3965" s="22">
        <f>IFERROR(__xludf.DUMMYFUNCTION("""COMPUTED_VALUE"""),500000.0)</f>
        <v>500000</v>
      </c>
      <c r="I3965" s="24">
        <f>IFERROR(__xludf.DUMMYFUNCTION("""COMPUTED_VALUE"""),0.0)</f>
        <v>0</v>
      </c>
    </row>
    <row r="3966">
      <c r="A3966" s="5" t="str">
        <f>IFERROR(__xludf.DUMMYFUNCTION("""COMPUTED_VALUE"""),"46276")</f>
        <v>46276</v>
      </c>
      <c r="B3966" s="64">
        <f>IFERROR(__xludf.DUMMYFUNCTION("""COMPUTED_VALUE"""),44605.0)</f>
        <v>44605</v>
      </c>
      <c r="C3966" s="5"/>
      <c r="D3966" s="5"/>
      <c r="E3966" s="5"/>
      <c r="F3966" s="22">
        <f>IFERROR(__xludf.DUMMYFUNCTION("""COMPUTED_VALUE"""),500000.0)</f>
        <v>500000</v>
      </c>
      <c r="G3966" s="22">
        <f>IFERROR(__xludf.DUMMYFUNCTION("""COMPUTED_VALUE"""),0.0)</f>
        <v>0</v>
      </c>
      <c r="H3966" s="22">
        <f>IFERROR(__xludf.DUMMYFUNCTION("""COMPUTED_VALUE"""),500000.0)</f>
        <v>500000</v>
      </c>
      <c r="I3966" s="24">
        <f>IFERROR(__xludf.DUMMYFUNCTION("""COMPUTED_VALUE"""),0.0)</f>
        <v>0</v>
      </c>
    </row>
    <row r="3967">
      <c r="A3967" s="5" t="str">
        <f>IFERROR(__xludf.DUMMYFUNCTION("""COMPUTED_VALUE"""),"46276")</f>
        <v>46276</v>
      </c>
      <c r="B3967" s="64">
        <f>IFERROR(__xludf.DUMMYFUNCTION("""COMPUTED_VALUE"""),44606.0)</f>
        <v>44606</v>
      </c>
      <c r="C3967" s="5"/>
      <c r="D3967" s="5"/>
      <c r="E3967" s="5"/>
      <c r="F3967" s="22">
        <f>IFERROR(__xludf.DUMMYFUNCTION("""COMPUTED_VALUE"""),500000.0)</f>
        <v>500000</v>
      </c>
      <c r="G3967" s="22">
        <f>IFERROR(__xludf.DUMMYFUNCTION("""COMPUTED_VALUE"""),0.0)</f>
        <v>0</v>
      </c>
      <c r="H3967" s="22">
        <f>IFERROR(__xludf.DUMMYFUNCTION("""COMPUTED_VALUE"""),500000.0)</f>
        <v>500000</v>
      </c>
      <c r="I3967" s="24">
        <f>IFERROR(__xludf.DUMMYFUNCTION("""COMPUTED_VALUE"""),0.0)</f>
        <v>0</v>
      </c>
    </row>
    <row r="3968">
      <c r="A3968" s="5" t="str">
        <f>IFERROR(__xludf.DUMMYFUNCTION("""COMPUTED_VALUE"""),"46276")</f>
        <v>46276</v>
      </c>
      <c r="B3968" s="64">
        <f>IFERROR(__xludf.DUMMYFUNCTION("""COMPUTED_VALUE"""),44607.0)</f>
        <v>44607</v>
      </c>
      <c r="C3968" s="5"/>
      <c r="D3968" s="5"/>
      <c r="E3968" s="5"/>
      <c r="F3968" s="22">
        <f>IFERROR(__xludf.DUMMYFUNCTION("""COMPUTED_VALUE"""),500000.0)</f>
        <v>500000</v>
      </c>
      <c r="G3968" s="22">
        <f>IFERROR(__xludf.DUMMYFUNCTION("""COMPUTED_VALUE"""),0.0)</f>
        <v>0</v>
      </c>
      <c r="H3968" s="22">
        <f>IFERROR(__xludf.DUMMYFUNCTION("""COMPUTED_VALUE"""),500000.0)</f>
        <v>500000</v>
      </c>
      <c r="I3968" s="24">
        <f>IFERROR(__xludf.DUMMYFUNCTION("""COMPUTED_VALUE"""),0.0)</f>
        <v>0</v>
      </c>
    </row>
    <row r="3969">
      <c r="A3969" s="5" t="str">
        <f>IFERROR(__xludf.DUMMYFUNCTION("""COMPUTED_VALUE"""),"46276")</f>
        <v>46276</v>
      </c>
      <c r="B3969" s="64">
        <f>IFERROR(__xludf.DUMMYFUNCTION("""COMPUTED_VALUE"""),44608.0)</f>
        <v>44608</v>
      </c>
      <c r="C3969" s="5"/>
      <c r="D3969" s="5"/>
      <c r="E3969" s="5"/>
      <c r="F3969" s="22">
        <f>IFERROR(__xludf.DUMMYFUNCTION("""COMPUTED_VALUE"""),500000.0)</f>
        <v>500000</v>
      </c>
      <c r="G3969" s="22">
        <f>IFERROR(__xludf.DUMMYFUNCTION("""COMPUTED_VALUE"""),0.0)</f>
        <v>0</v>
      </c>
      <c r="H3969" s="22">
        <f>IFERROR(__xludf.DUMMYFUNCTION("""COMPUTED_VALUE"""),499377.84193875)</f>
        <v>499377.8419</v>
      </c>
      <c r="I3969" s="24">
        <f>IFERROR(__xludf.DUMMYFUNCTION("""COMPUTED_VALUE"""),-0.0012443161224999777)</f>
        <v>-0.001244316122</v>
      </c>
    </row>
    <row r="3970">
      <c r="A3970" s="5" t="str">
        <f>IFERROR(__xludf.DUMMYFUNCTION("""COMPUTED_VALUE"""),"46276")</f>
        <v>46276</v>
      </c>
      <c r="B3970" s="64">
        <f>IFERROR(__xludf.DUMMYFUNCTION("""COMPUTED_VALUE"""),44609.0)</f>
        <v>44609</v>
      </c>
      <c r="C3970" s="5"/>
      <c r="D3970" s="5"/>
      <c r="E3970" s="5"/>
      <c r="F3970" s="22">
        <f>IFERROR(__xludf.DUMMYFUNCTION("""COMPUTED_VALUE"""),500000.0)</f>
        <v>500000</v>
      </c>
      <c r="G3970" s="22">
        <f>IFERROR(__xludf.DUMMYFUNCTION("""COMPUTED_VALUE"""),0.0)</f>
        <v>0</v>
      </c>
      <c r="H3970" s="22">
        <f>IFERROR(__xludf.DUMMYFUNCTION("""COMPUTED_VALUE"""),493288.88436125003)</f>
        <v>493288.8844</v>
      </c>
      <c r="I3970" s="24">
        <f>IFERROR(__xludf.DUMMYFUNCTION("""COMPUTED_VALUE"""),-0.013422231277499974)</f>
        <v>-0.01342223128</v>
      </c>
    </row>
    <row r="3971">
      <c r="A3971" s="5" t="str">
        <f>IFERROR(__xludf.DUMMYFUNCTION("""COMPUTED_VALUE"""),"46276")</f>
        <v>46276</v>
      </c>
      <c r="B3971" s="64">
        <f>IFERROR(__xludf.DUMMYFUNCTION("""COMPUTED_VALUE"""),44610.0)</f>
        <v>44610</v>
      </c>
      <c r="C3971" s="5"/>
      <c r="D3971" s="5"/>
      <c r="E3971" s="5"/>
      <c r="F3971" s="22">
        <f>IFERROR(__xludf.DUMMYFUNCTION("""COMPUTED_VALUE"""),500000.0)</f>
        <v>500000</v>
      </c>
      <c r="G3971" s="22">
        <f>IFERROR(__xludf.DUMMYFUNCTION("""COMPUTED_VALUE"""),0.0)</f>
        <v>0</v>
      </c>
      <c r="H3971" s="22">
        <f>IFERROR(__xludf.DUMMYFUNCTION("""COMPUTED_VALUE"""),493579.484835)</f>
        <v>493579.4848</v>
      </c>
      <c r="I3971" s="24">
        <f>IFERROR(__xludf.DUMMYFUNCTION("""COMPUTED_VALUE"""),-0.012841030329999947)</f>
        <v>-0.01284103033</v>
      </c>
    </row>
    <row r="3972">
      <c r="A3972" s="5" t="str">
        <f>IFERROR(__xludf.DUMMYFUNCTION("""COMPUTED_VALUE"""),"46276")</f>
        <v>46276</v>
      </c>
      <c r="B3972" s="64">
        <f>IFERROR(__xludf.DUMMYFUNCTION("""COMPUTED_VALUE"""),44611.0)</f>
        <v>44611</v>
      </c>
      <c r="C3972" s="5"/>
      <c r="D3972" s="5"/>
      <c r="E3972" s="5"/>
      <c r="F3972" s="22">
        <f>IFERROR(__xludf.DUMMYFUNCTION("""COMPUTED_VALUE"""),500000.0)</f>
        <v>500000</v>
      </c>
      <c r="G3972" s="22">
        <f>IFERROR(__xludf.DUMMYFUNCTION("""COMPUTED_VALUE"""),0.0)</f>
        <v>0</v>
      </c>
      <c r="H3972" s="22">
        <f>IFERROR(__xludf.DUMMYFUNCTION("""COMPUTED_VALUE"""),493579.484835)</f>
        <v>493579.4848</v>
      </c>
      <c r="I3972" s="24">
        <f>IFERROR(__xludf.DUMMYFUNCTION("""COMPUTED_VALUE"""),-0.012841030329999947)</f>
        <v>-0.01284103033</v>
      </c>
    </row>
    <row r="3973">
      <c r="A3973" s="5" t="str">
        <f>IFERROR(__xludf.DUMMYFUNCTION("""COMPUTED_VALUE"""),"46276")</f>
        <v>46276</v>
      </c>
      <c r="B3973" s="64">
        <f>IFERROR(__xludf.DUMMYFUNCTION("""COMPUTED_VALUE"""),44612.0)</f>
        <v>44612</v>
      </c>
      <c r="C3973" s="5"/>
      <c r="D3973" s="5"/>
      <c r="E3973" s="5"/>
      <c r="F3973" s="22">
        <f>IFERROR(__xludf.DUMMYFUNCTION("""COMPUTED_VALUE"""),500000.0)</f>
        <v>500000</v>
      </c>
      <c r="G3973" s="22">
        <f>IFERROR(__xludf.DUMMYFUNCTION("""COMPUTED_VALUE"""),0.0)</f>
        <v>0</v>
      </c>
      <c r="H3973" s="22">
        <f>IFERROR(__xludf.DUMMYFUNCTION("""COMPUTED_VALUE"""),493579.484835)</f>
        <v>493579.4848</v>
      </c>
      <c r="I3973" s="24">
        <f>IFERROR(__xludf.DUMMYFUNCTION("""COMPUTED_VALUE"""),-0.012841030329999947)</f>
        <v>-0.01284103033</v>
      </c>
    </row>
    <row r="3974">
      <c r="A3974" s="5" t="str">
        <f>IFERROR(__xludf.DUMMYFUNCTION("""COMPUTED_VALUE"""),"46276")</f>
        <v>46276</v>
      </c>
      <c r="B3974" s="64">
        <f>IFERROR(__xludf.DUMMYFUNCTION("""COMPUTED_VALUE"""),44613.0)</f>
        <v>44613</v>
      </c>
      <c r="C3974" s="5"/>
      <c r="D3974" s="5"/>
      <c r="E3974" s="5"/>
      <c r="F3974" s="22">
        <f>IFERROR(__xludf.DUMMYFUNCTION("""COMPUTED_VALUE"""),500000.0)</f>
        <v>500000</v>
      </c>
      <c r="G3974" s="22">
        <f>IFERROR(__xludf.DUMMYFUNCTION("""COMPUTED_VALUE"""),0.0)</f>
        <v>0</v>
      </c>
      <c r="H3974" s="22">
        <f>IFERROR(__xludf.DUMMYFUNCTION("""COMPUTED_VALUE"""),493579.484835)</f>
        <v>493579.4848</v>
      </c>
      <c r="I3974" s="24">
        <f>IFERROR(__xludf.DUMMYFUNCTION("""COMPUTED_VALUE"""),-0.012841030329999947)</f>
        <v>-0.01284103033</v>
      </c>
    </row>
    <row r="3975">
      <c r="A3975" s="5" t="str">
        <f>IFERROR(__xludf.DUMMYFUNCTION("""COMPUTED_VALUE"""),"46276")</f>
        <v>46276</v>
      </c>
      <c r="B3975" s="64">
        <f>IFERROR(__xludf.DUMMYFUNCTION("""COMPUTED_VALUE"""),44614.0)</f>
        <v>44614</v>
      </c>
      <c r="C3975" s="5"/>
      <c r="D3975" s="5"/>
      <c r="E3975" s="5"/>
      <c r="F3975" s="22">
        <f>IFERROR(__xludf.DUMMYFUNCTION("""COMPUTED_VALUE"""),500000.0)</f>
        <v>500000</v>
      </c>
      <c r="G3975" s="22">
        <f>IFERROR(__xludf.DUMMYFUNCTION("""COMPUTED_VALUE"""),0.0)</f>
        <v>0</v>
      </c>
      <c r="H3975" s="22">
        <f>IFERROR(__xludf.DUMMYFUNCTION("""COMPUTED_VALUE"""),491956.80840300006)</f>
        <v>491956.8084</v>
      </c>
      <c r="I3975" s="24">
        <f>IFERROR(__xludf.DUMMYFUNCTION("""COMPUTED_VALUE"""),-0.01608638319399991)</f>
        <v>-0.01608638319</v>
      </c>
    </row>
    <row r="3976">
      <c r="A3976" s="5" t="str">
        <f>IFERROR(__xludf.DUMMYFUNCTION("""COMPUTED_VALUE"""),"46276")</f>
        <v>46276</v>
      </c>
      <c r="B3976" s="64">
        <f>IFERROR(__xludf.DUMMYFUNCTION("""COMPUTED_VALUE"""),44615.0)</f>
        <v>44615</v>
      </c>
      <c r="C3976" s="5"/>
      <c r="D3976" s="5"/>
      <c r="E3976" s="5"/>
      <c r="F3976" s="22">
        <f>IFERROR(__xludf.DUMMYFUNCTION("""COMPUTED_VALUE"""),500000.0)</f>
        <v>500000</v>
      </c>
      <c r="G3976" s="22">
        <f>IFERROR(__xludf.DUMMYFUNCTION("""COMPUTED_VALUE"""),0.0)</f>
        <v>0</v>
      </c>
      <c r="H3976" s="22">
        <f>IFERROR(__xludf.DUMMYFUNCTION("""COMPUTED_VALUE"""),487082.94710325)</f>
        <v>487082.9471</v>
      </c>
      <c r="I3976" s="24">
        <f>IFERROR(__xludf.DUMMYFUNCTION("""COMPUTED_VALUE"""),-0.025834105793499984)</f>
        <v>-0.02583410579</v>
      </c>
    </row>
    <row r="3977">
      <c r="A3977" s="5" t="str">
        <f>IFERROR(__xludf.DUMMYFUNCTION("""COMPUTED_VALUE"""),"46276")</f>
        <v>46276</v>
      </c>
      <c r="B3977" s="64">
        <f>IFERROR(__xludf.DUMMYFUNCTION("""COMPUTED_VALUE"""),44616.0)</f>
        <v>44616</v>
      </c>
      <c r="C3977" s="5"/>
      <c r="D3977" s="5"/>
      <c r="E3977" s="5"/>
      <c r="F3977" s="22">
        <f>IFERROR(__xludf.DUMMYFUNCTION("""COMPUTED_VALUE"""),500000.0)</f>
        <v>500000</v>
      </c>
      <c r="G3977" s="22">
        <f>IFERROR(__xludf.DUMMYFUNCTION("""COMPUTED_VALUE"""),0.0)</f>
        <v>0</v>
      </c>
      <c r="H3977" s="22">
        <f>IFERROR(__xludf.DUMMYFUNCTION("""COMPUTED_VALUE"""),482400.198214)</f>
        <v>482400.1982</v>
      </c>
      <c r="I3977" s="24">
        <f>IFERROR(__xludf.DUMMYFUNCTION("""COMPUTED_VALUE"""),-0.03519960357200003)</f>
        <v>-0.03519960357</v>
      </c>
    </row>
    <row r="3978">
      <c r="A3978" s="5" t="str">
        <f>IFERROR(__xludf.DUMMYFUNCTION("""COMPUTED_VALUE"""),"46276")</f>
        <v>46276</v>
      </c>
      <c r="B3978" s="64">
        <f>IFERROR(__xludf.DUMMYFUNCTION("""COMPUTED_VALUE"""),44617.0)</f>
        <v>44617</v>
      </c>
      <c r="C3978" s="5"/>
      <c r="D3978" s="5"/>
      <c r="E3978" s="5"/>
      <c r="F3978" s="22">
        <f>IFERROR(__xludf.DUMMYFUNCTION("""COMPUTED_VALUE"""),500000.0)</f>
        <v>500000</v>
      </c>
      <c r="G3978" s="22">
        <f>IFERROR(__xludf.DUMMYFUNCTION("""COMPUTED_VALUE"""),0.0)</f>
        <v>0</v>
      </c>
      <c r="H3978" s="22">
        <f>IFERROR(__xludf.DUMMYFUNCTION("""COMPUTED_VALUE"""),493243.98905200005)</f>
        <v>493243.9891</v>
      </c>
      <c r="I3978" s="24">
        <f>IFERROR(__xludf.DUMMYFUNCTION("""COMPUTED_VALUE"""),-0.01351202189599987)</f>
        <v>-0.0135120219</v>
      </c>
    </row>
    <row r="3979">
      <c r="A3979" s="5" t="str">
        <f>IFERROR(__xludf.DUMMYFUNCTION("""COMPUTED_VALUE"""),"46276")</f>
        <v>46276</v>
      </c>
      <c r="B3979" s="64">
        <f>IFERROR(__xludf.DUMMYFUNCTION("""COMPUTED_VALUE"""),44618.0)</f>
        <v>44618</v>
      </c>
      <c r="C3979" s="5"/>
      <c r="D3979" s="5"/>
      <c r="E3979" s="5"/>
      <c r="F3979" s="22">
        <f>IFERROR(__xludf.DUMMYFUNCTION("""COMPUTED_VALUE"""),500000.0)</f>
        <v>500000</v>
      </c>
      <c r="G3979" s="22">
        <f>IFERROR(__xludf.DUMMYFUNCTION("""COMPUTED_VALUE"""),0.0)</f>
        <v>0</v>
      </c>
      <c r="H3979" s="22">
        <f>IFERROR(__xludf.DUMMYFUNCTION("""COMPUTED_VALUE"""),493243.98905200005)</f>
        <v>493243.9891</v>
      </c>
      <c r="I3979" s="24">
        <f>IFERROR(__xludf.DUMMYFUNCTION("""COMPUTED_VALUE"""),-0.01351202189599987)</f>
        <v>-0.0135120219</v>
      </c>
    </row>
    <row r="3980">
      <c r="A3980" s="5" t="str">
        <f>IFERROR(__xludf.DUMMYFUNCTION("""COMPUTED_VALUE"""),"46276")</f>
        <v>46276</v>
      </c>
      <c r="B3980" s="64">
        <f>IFERROR(__xludf.DUMMYFUNCTION("""COMPUTED_VALUE"""),44619.0)</f>
        <v>44619</v>
      </c>
      <c r="C3980" s="5"/>
      <c r="D3980" s="5"/>
      <c r="E3980" s="5"/>
      <c r="F3980" s="22">
        <f>IFERROR(__xludf.DUMMYFUNCTION("""COMPUTED_VALUE"""),500000.0)</f>
        <v>500000</v>
      </c>
      <c r="G3980" s="22">
        <f>IFERROR(__xludf.DUMMYFUNCTION("""COMPUTED_VALUE"""),0.0)</f>
        <v>0</v>
      </c>
      <c r="H3980" s="22">
        <f>IFERROR(__xludf.DUMMYFUNCTION("""COMPUTED_VALUE"""),493243.98905200005)</f>
        <v>493243.9891</v>
      </c>
      <c r="I3980" s="24">
        <f>IFERROR(__xludf.DUMMYFUNCTION("""COMPUTED_VALUE"""),-0.01351202189599987)</f>
        <v>-0.0135120219</v>
      </c>
    </row>
    <row r="3981">
      <c r="A3981" s="5" t="str">
        <f>IFERROR(__xludf.DUMMYFUNCTION("""COMPUTED_VALUE"""),"46276")</f>
        <v>46276</v>
      </c>
      <c r="B3981" s="64">
        <f>IFERROR(__xludf.DUMMYFUNCTION("""COMPUTED_VALUE"""),44620.0)</f>
        <v>44620</v>
      </c>
      <c r="C3981" s="5"/>
      <c r="D3981" s="5"/>
      <c r="E3981" s="5"/>
      <c r="F3981" s="22">
        <f>IFERROR(__xludf.DUMMYFUNCTION("""COMPUTED_VALUE"""),500000.0)</f>
        <v>500000</v>
      </c>
      <c r="G3981" s="22">
        <f>IFERROR(__xludf.DUMMYFUNCTION("""COMPUTED_VALUE"""),0.0)</f>
        <v>0</v>
      </c>
      <c r="H3981" s="22">
        <f>IFERROR(__xludf.DUMMYFUNCTION("""COMPUTED_VALUE"""),491978.20052875)</f>
        <v>491978.2005</v>
      </c>
      <c r="I3981" s="24">
        <f>IFERROR(__xludf.DUMMYFUNCTION("""COMPUTED_VALUE"""),-0.01604359894249996)</f>
        <v>-0.01604359894</v>
      </c>
    </row>
    <row r="3982">
      <c r="A3982" s="5" t="str">
        <f>IFERROR(__xludf.DUMMYFUNCTION("""COMPUTED_VALUE"""),"46276")</f>
        <v>46276</v>
      </c>
      <c r="B3982" s="64">
        <f>IFERROR(__xludf.DUMMYFUNCTION("""COMPUTED_VALUE"""),44621.0)</f>
        <v>44621</v>
      </c>
      <c r="C3982" s="5"/>
      <c r="D3982" s="5"/>
      <c r="E3982" s="5"/>
      <c r="F3982" s="22">
        <f>IFERROR(__xludf.DUMMYFUNCTION("""COMPUTED_VALUE"""),500000.0)</f>
        <v>500000</v>
      </c>
      <c r="G3982" s="22">
        <f>IFERROR(__xludf.DUMMYFUNCTION("""COMPUTED_VALUE"""),0.0)</f>
        <v>0</v>
      </c>
      <c r="H3982" s="22">
        <f>IFERROR(__xludf.DUMMYFUNCTION("""COMPUTED_VALUE"""),483882.383332)</f>
        <v>483882.3833</v>
      </c>
      <c r="I3982" s="24">
        <f>IFERROR(__xludf.DUMMYFUNCTION("""COMPUTED_VALUE"""),-0.03223523333599998)</f>
        <v>-0.03223523334</v>
      </c>
    </row>
    <row r="3983">
      <c r="A3983" s="5" t="str">
        <f>IFERROR(__xludf.DUMMYFUNCTION("""COMPUTED_VALUE"""),"46276")</f>
        <v>46276</v>
      </c>
      <c r="B3983" s="64">
        <f>IFERROR(__xludf.DUMMYFUNCTION("""COMPUTED_VALUE"""),44622.0)</f>
        <v>44622</v>
      </c>
      <c r="C3983" s="5"/>
      <c r="D3983" s="5"/>
      <c r="E3983" s="5"/>
      <c r="F3983" s="22">
        <f>IFERROR(__xludf.DUMMYFUNCTION("""COMPUTED_VALUE"""),500000.0)</f>
        <v>500000</v>
      </c>
      <c r="G3983" s="22">
        <f>IFERROR(__xludf.DUMMYFUNCTION("""COMPUTED_VALUE"""),0.0)</f>
        <v>0</v>
      </c>
      <c r="H3983" s="22">
        <f>IFERROR(__xludf.DUMMYFUNCTION("""COMPUTED_VALUE"""),490014.190902)</f>
        <v>490014.1909</v>
      </c>
      <c r="I3983" s="24">
        <f>IFERROR(__xludf.DUMMYFUNCTION("""COMPUTED_VALUE"""),-0.01997161819600002)</f>
        <v>-0.0199716182</v>
      </c>
    </row>
    <row r="3984">
      <c r="A3984" s="5" t="str">
        <f>IFERROR(__xludf.DUMMYFUNCTION("""COMPUTED_VALUE"""),"46276")</f>
        <v>46276</v>
      </c>
      <c r="B3984" s="64">
        <f>IFERROR(__xludf.DUMMYFUNCTION("""COMPUTED_VALUE"""),44623.0)</f>
        <v>44623</v>
      </c>
      <c r="C3984" s="5"/>
      <c r="D3984" s="5"/>
      <c r="E3984" s="5"/>
      <c r="F3984" s="22">
        <f>IFERROR(__xludf.DUMMYFUNCTION("""COMPUTED_VALUE"""),500000.0)</f>
        <v>500000</v>
      </c>
      <c r="G3984" s="22">
        <f>IFERROR(__xludf.DUMMYFUNCTION("""COMPUTED_VALUE"""),0.0)</f>
        <v>0</v>
      </c>
      <c r="H3984" s="22">
        <f>IFERROR(__xludf.DUMMYFUNCTION("""COMPUTED_VALUE"""),490322.3097795)</f>
        <v>490322.3098</v>
      </c>
      <c r="I3984" s="24">
        <f>IFERROR(__xludf.DUMMYFUNCTION("""COMPUTED_VALUE"""),-0.019355380440999936)</f>
        <v>-0.01935538044</v>
      </c>
    </row>
    <row r="3985">
      <c r="A3985" s="5" t="str">
        <f>IFERROR(__xludf.DUMMYFUNCTION("""COMPUTED_VALUE"""),"46276")</f>
        <v>46276</v>
      </c>
      <c r="B3985" s="64">
        <f>IFERROR(__xludf.DUMMYFUNCTION("""COMPUTED_VALUE"""),44624.0)</f>
        <v>44624</v>
      </c>
      <c r="C3985" s="5"/>
      <c r="D3985" s="5"/>
      <c r="E3985" s="5"/>
      <c r="F3985" s="22">
        <f>IFERROR(__xludf.DUMMYFUNCTION("""COMPUTED_VALUE"""),500000.0)</f>
        <v>500000</v>
      </c>
      <c r="G3985" s="22">
        <f>IFERROR(__xludf.DUMMYFUNCTION("""COMPUTED_VALUE"""),0.0)</f>
        <v>0</v>
      </c>
      <c r="H3985" s="22">
        <f>IFERROR(__xludf.DUMMYFUNCTION("""COMPUTED_VALUE"""),484112.45147950004)</f>
        <v>484112.4515</v>
      </c>
      <c r="I3985" s="24">
        <f>IFERROR(__xludf.DUMMYFUNCTION("""COMPUTED_VALUE"""),-0.0317750970409999)</f>
        <v>-0.03177509704</v>
      </c>
    </row>
    <row r="3986">
      <c r="A3986" s="5" t="str">
        <f>IFERROR(__xludf.DUMMYFUNCTION("""COMPUTED_VALUE"""),"46276")</f>
        <v>46276</v>
      </c>
      <c r="B3986" s="64">
        <f>IFERROR(__xludf.DUMMYFUNCTION("""COMPUTED_VALUE"""),44625.0)</f>
        <v>44625</v>
      </c>
      <c r="C3986" s="5"/>
      <c r="D3986" s="5"/>
      <c r="E3986" s="5"/>
      <c r="F3986" s="22">
        <f>IFERROR(__xludf.DUMMYFUNCTION("""COMPUTED_VALUE"""),500000.0)</f>
        <v>500000</v>
      </c>
      <c r="G3986" s="22">
        <f>IFERROR(__xludf.DUMMYFUNCTION("""COMPUTED_VALUE"""),0.0)</f>
        <v>0</v>
      </c>
      <c r="H3986" s="22">
        <f>IFERROR(__xludf.DUMMYFUNCTION("""COMPUTED_VALUE"""),484112.45147950004)</f>
        <v>484112.4515</v>
      </c>
      <c r="I3986" s="24">
        <f>IFERROR(__xludf.DUMMYFUNCTION("""COMPUTED_VALUE"""),-0.0317750970409999)</f>
        <v>-0.03177509704</v>
      </c>
    </row>
    <row r="3987">
      <c r="A3987" s="5" t="str">
        <f>IFERROR(__xludf.DUMMYFUNCTION("""COMPUTED_VALUE"""),"46276")</f>
        <v>46276</v>
      </c>
      <c r="B3987" s="64">
        <f>IFERROR(__xludf.DUMMYFUNCTION("""COMPUTED_VALUE"""),44626.0)</f>
        <v>44626</v>
      </c>
      <c r="C3987" s="5"/>
      <c r="D3987" s="5"/>
      <c r="E3987" s="5"/>
      <c r="F3987" s="22">
        <f>IFERROR(__xludf.DUMMYFUNCTION("""COMPUTED_VALUE"""),500000.0)</f>
        <v>500000</v>
      </c>
      <c r="G3987" s="22">
        <f>IFERROR(__xludf.DUMMYFUNCTION("""COMPUTED_VALUE"""),0.0)</f>
        <v>0</v>
      </c>
      <c r="H3987" s="22">
        <f>IFERROR(__xludf.DUMMYFUNCTION("""COMPUTED_VALUE"""),484112.45147950004)</f>
        <v>484112.4515</v>
      </c>
      <c r="I3987" s="24">
        <f>IFERROR(__xludf.DUMMYFUNCTION("""COMPUTED_VALUE"""),-0.0317750970409999)</f>
        <v>-0.03177509704</v>
      </c>
    </row>
    <row r="3988">
      <c r="A3988" s="5" t="str">
        <f>IFERROR(__xludf.DUMMYFUNCTION("""COMPUTED_VALUE"""),"46276")</f>
        <v>46276</v>
      </c>
      <c r="B3988" s="64">
        <f>IFERROR(__xludf.DUMMYFUNCTION("""COMPUTED_VALUE"""),44627.0)</f>
        <v>44627</v>
      </c>
      <c r="C3988" s="5"/>
      <c r="D3988" s="5"/>
      <c r="E3988" s="5"/>
      <c r="F3988" s="22">
        <f>IFERROR(__xludf.DUMMYFUNCTION("""COMPUTED_VALUE"""),500000.0)</f>
        <v>500000</v>
      </c>
      <c r="G3988" s="22">
        <f>IFERROR(__xludf.DUMMYFUNCTION("""COMPUTED_VALUE"""),0.0)</f>
        <v>0</v>
      </c>
      <c r="H3988" s="22">
        <f>IFERROR(__xludf.DUMMYFUNCTION("""COMPUTED_VALUE"""),474434.89274100005)</f>
        <v>474434.8927</v>
      </c>
      <c r="I3988" s="24">
        <f>IFERROR(__xludf.DUMMYFUNCTION("""COMPUTED_VALUE"""),-0.05113021451799993)</f>
        <v>-0.05113021452</v>
      </c>
    </row>
    <row r="3989">
      <c r="A3989" s="5" t="str">
        <f>IFERROR(__xludf.DUMMYFUNCTION("""COMPUTED_VALUE"""),"46276")</f>
        <v>46276</v>
      </c>
      <c r="B3989" s="64">
        <f>IFERROR(__xludf.DUMMYFUNCTION("""COMPUTED_VALUE"""),44628.0)</f>
        <v>44628</v>
      </c>
      <c r="C3989" s="5"/>
      <c r="D3989" s="5"/>
      <c r="E3989" s="5"/>
      <c r="F3989" s="22">
        <f>IFERROR(__xludf.DUMMYFUNCTION("""COMPUTED_VALUE"""),500000.0)</f>
        <v>500000</v>
      </c>
      <c r="G3989" s="22">
        <f>IFERROR(__xludf.DUMMYFUNCTION("""COMPUTED_VALUE"""),0.0)</f>
        <v>0</v>
      </c>
      <c r="H3989" s="22">
        <f>IFERROR(__xludf.DUMMYFUNCTION("""COMPUTED_VALUE"""),472757.636906)</f>
        <v>472757.6369</v>
      </c>
      <c r="I3989" s="24">
        <f>IFERROR(__xludf.DUMMYFUNCTION("""COMPUTED_VALUE"""),-0.05448472618799993)</f>
        <v>-0.05448472619</v>
      </c>
    </row>
    <row r="3990">
      <c r="A3990" s="5" t="str">
        <f>IFERROR(__xludf.DUMMYFUNCTION("""COMPUTED_VALUE"""),"46276")</f>
        <v>46276</v>
      </c>
      <c r="B3990" s="64">
        <f>IFERROR(__xludf.DUMMYFUNCTION("""COMPUTED_VALUE"""),44629.0)</f>
        <v>44629</v>
      </c>
      <c r="C3990" s="5"/>
      <c r="D3990" s="5"/>
      <c r="E3990" s="5"/>
      <c r="F3990" s="22">
        <f>IFERROR(__xludf.DUMMYFUNCTION("""COMPUTED_VALUE"""),500000.0)</f>
        <v>500000</v>
      </c>
      <c r="G3990" s="22">
        <f>IFERROR(__xludf.DUMMYFUNCTION("""COMPUTED_VALUE"""),0.0)</f>
        <v>0</v>
      </c>
      <c r="H3990" s="22">
        <f>IFERROR(__xludf.DUMMYFUNCTION("""COMPUTED_VALUE"""),484399.15119125)</f>
        <v>484399.1512</v>
      </c>
      <c r="I3990" s="24">
        <f>IFERROR(__xludf.DUMMYFUNCTION("""COMPUTED_VALUE"""),-0.031201697617500024)</f>
        <v>-0.03120169762</v>
      </c>
    </row>
    <row r="3991">
      <c r="A3991" s="5" t="str">
        <f>IFERROR(__xludf.DUMMYFUNCTION("""COMPUTED_VALUE"""),"46276")</f>
        <v>46276</v>
      </c>
      <c r="B3991" s="64">
        <f>IFERROR(__xludf.DUMMYFUNCTION("""COMPUTED_VALUE"""),44630.0)</f>
        <v>44630</v>
      </c>
      <c r="C3991" s="5"/>
      <c r="D3991" s="5"/>
      <c r="E3991" s="5"/>
      <c r="F3991" s="22">
        <f>IFERROR(__xludf.DUMMYFUNCTION("""COMPUTED_VALUE"""),500000.0)</f>
        <v>500000</v>
      </c>
      <c r="G3991" s="22">
        <f>IFERROR(__xludf.DUMMYFUNCTION("""COMPUTED_VALUE"""),0.0)</f>
        <v>0</v>
      </c>
      <c r="H3991" s="22">
        <f>IFERROR(__xludf.DUMMYFUNCTION("""COMPUTED_VALUE"""),356302.85285250004)</f>
        <v>356302.8529</v>
      </c>
      <c r="I3991" s="24">
        <f>IFERROR(__xludf.DUMMYFUNCTION("""COMPUTED_VALUE"""),-0.28739429429499996)</f>
        <v>-0.2873942943</v>
      </c>
    </row>
    <row r="3992">
      <c r="A3992" s="5" t="str">
        <f>IFERROR(__xludf.DUMMYFUNCTION("""COMPUTED_VALUE"""),"46276")</f>
        <v>46276</v>
      </c>
      <c r="B3992" s="64">
        <f>IFERROR(__xludf.DUMMYFUNCTION("""COMPUTED_VALUE"""),44631.0)</f>
        <v>44631</v>
      </c>
      <c r="C3992" s="5"/>
      <c r="D3992" s="5"/>
      <c r="E3992" s="5"/>
      <c r="F3992" s="22">
        <f>IFERROR(__xludf.DUMMYFUNCTION("""COMPUTED_VALUE"""),500000.0)</f>
        <v>500000</v>
      </c>
      <c r="G3992" s="22">
        <f>IFERROR(__xludf.DUMMYFUNCTION("""COMPUTED_VALUE"""),0.0)</f>
        <v>0</v>
      </c>
      <c r="H3992" s="22">
        <f>IFERROR(__xludf.DUMMYFUNCTION("""COMPUTED_VALUE"""),482914.93284)</f>
        <v>482914.9328</v>
      </c>
      <c r="I3992" s="24">
        <f>IFERROR(__xludf.DUMMYFUNCTION("""COMPUTED_VALUE"""),-0.034170134319999934)</f>
        <v>-0.03417013432</v>
      </c>
    </row>
    <row r="3993">
      <c r="A3993" s="5" t="str">
        <f>IFERROR(__xludf.DUMMYFUNCTION("""COMPUTED_VALUE"""),"46276")</f>
        <v>46276</v>
      </c>
      <c r="B3993" s="64">
        <f>IFERROR(__xludf.DUMMYFUNCTION("""COMPUTED_VALUE"""),44632.0)</f>
        <v>44632</v>
      </c>
      <c r="C3993" s="5"/>
      <c r="D3993" s="5"/>
      <c r="E3993" s="5"/>
      <c r="F3993" s="22">
        <f>IFERROR(__xludf.DUMMYFUNCTION("""COMPUTED_VALUE"""),500000.0)</f>
        <v>500000</v>
      </c>
      <c r="G3993" s="22">
        <f>IFERROR(__xludf.DUMMYFUNCTION("""COMPUTED_VALUE"""),0.0)</f>
        <v>0</v>
      </c>
      <c r="H3993" s="22">
        <f>IFERROR(__xludf.DUMMYFUNCTION("""COMPUTED_VALUE"""),482914.93284)</f>
        <v>482914.9328</v>
      </c>
      <c r="I3993" s="24">
        <f>IFERROR(__xludf.DUMMYFUNCTION("""COMPUTED_VALUE"""),-0.034170134319999934)</f>
        <v>-0.03417013432</v>
      </c>
    </row>
    <row r="3994">
      <c r="A3994" s="5" t="str">
        <f>IFERROR(__xludf.DUMMYFUNCTION("""COMPUTED_VALUE"""),"46276")</f>
        <v>46276</v>
      </c>
      <c r="B3994" s="64">
        <f>IFERROR(__xludf.DUMMYFUNCTION("""COMPUTED_VALUE"""),44633.0)</f>
        <v>44633</v>
      </c>
      <c r="C3994" s="5"/>
      <c r="D3994" s="5"/>
      <c r="E3994" s="5"/>
      <c r="F3994" s="22">
        <f>IFERROR(__xludf.DUMMYFUNCTION("""COMPUTED_VALUE"""),500000.0)</f>
        <v>500000</v>
      </c>
      <c r="G3994" s="22">
        <f>IFERROR(__xludf.DUMMYFUNCTION("""COMPUTED_VALUE"""),0.0)</f>
        <v>0</v>
      </c>
      <c r="H3994" s="22">
        <f>IFERROR(__xludf.DUMMYFUNCTION("""COMPUTED_VALUE"""),482914.93284)</f>
        <v>482914.9328</v>
      </c>
      <c r="I3994" s="24">
        <f>IFERROR(__xludf.DUMMYFUNCTION("""COMPUTED_VALUE"""),-0.034170134319999934)</f>
        <v>-0.03417013432</v>
      </c>
    </row>
    <row r="3995">
      <c r="A3995" s="5" t="str">
        <f>IFERROR(__xludf.DUMMYFUNCTION("""COMPUTED_VALUE"""),"46276")</f>
        <v>46276</v>
      </c>
      <c r="B3995" s="64">
        <f>IFERROR(__xludf.DUMMYFUNCTION("""COMPUTED_VALUE"""),44634.0)</f>
        <v>44634</v>
      </c>
      <c r="C3995" s="5"/>
      <c r="D3995" s="5"/>
      <c r="E3995" s="5"/>
      <c r="F3995" s="22">
        <f>IFERROR(__xludf.DUMMYFUNCTION("""COMPUTED_VALUE"""),500000.0)</f>
        <v>500000</v>
      </c>
      <c r="G3995" s="22">
        <f>IFERROR(__xludf.DUMMYFUNCTION("""COMPUTED_VALUE"""),0.0)</f>
        <v>0</v>
      </c>
      <c r="H3995" s="22">
        <f>IFERROR(__xludf.DUMMYFUNCTION("""COMPUTED_VALUE"""),487607.41931150004)</f>
        <v>487607.4193</v>
      </c>
      <c r="I3995" s="24">
        <f>IFERROR(__xludf.DUMMYFUNCTION("""COMPUTED_VALUE"""),-0.02478516137699993)</f>
        <v>-0.02478516138</v>
      </c>
    </row>
    <row r="3996">
      <c r="A3996" s="5" t="str">
        <f>IFERROR(__xludf.DUMMYFUNCTION("""COMPUTED_VALUE"""),"46276")</f>
        <v>46276</v>
      </c>
      <c r="B3996" s="64">
        <f>IFERROR(__xludf.DUMMYFUNCTION("""COMPUTED_VALUE"""),44635.0)</f>
        <v>44635</v>
      </c>
      <c r="C3996" s="5"/>
      <c r="D3996" s="5"/>
      <c r="E3996" s="5"/>
      <c r="F3996" s="22">
        <f>IFERROR(__xludf.DUMMYFUNCTION("""COMPUTED_VALUE"""),500000.0)</f>
        <v>500000</v>
      </c>
      <c r="G3996" s="22">
        <f>IFERROR(__xludf.DUMMYFUNCTION("""COMPUTED_VALUE"""),0.0)</f>
        <v>0</v>
      </c>
      <c r="H3996" s="22">
        <f>IFERROR(__xludf.DUMMYFUNCTION("""COMPUTED_VALUE"""),490047.27137125004)</f>
        <v>490047.2714</v>
      </c>
      <c r="I3996" s="24">
        <f>IFERROR(__xludf.DUMMYFUNCTION("""COMPUTED_VALUE"""),-0.019905457257499926)</f>
        <v>-0.01990545726</v>
      </c>
    </row>
    <row r="3997">
      <c r="A3997" s="5" t="str">
        <f>IFERROR(__xludf.DUMMYFUNCTION("""COMPUTED_VALUE"""),"46276")</f>
        <v>46276</v>
      </c>
      <c r="B3997" s="64">
        <f>IFERROR(__xludf.DUMMYFUNCTION("""COMPUTED_VALUE"""),44636.0)</f>
        <v>44636</v>
      </c>
      <c r="C3997" s="5"/>
      <c r="D3997" s="5"/>
      <c r="E3997" s="5"/>
      <c r="F3997" s="22">
        <f>IFERROR(__xludf.DUMMYFUNCTION("""COMPUTED_VALUE"""),500000.0)</f>
        <v>500000</v>
      </c>
      <c r="G3997" s="22">
        <f>IFERROR(__xludf.DUMMYFUNCTION("""COMPUTED_VALUE"""),0.0)</f>
        <v>0</v>
      </c>
      <c r="H3997" s="22">
        <f>IFERROR(__xludf.DUMMYFUNCTION("""COMPUTED_VALUE"""),496186.90767425)</f>
        <v>496186.9077</v>
      </c>
      <c r="I3997" s="24">
        <f>IFERROR(__xludf.DUMMYFUNCTION("""COMPUTED_VALUE"""),-0.007626184651500001)</f>
        <v>-0.007626184652</v>
      </c>
    </row>
    <row r="3998">
      <c r="A3998" s="5" t="str">
        <f>IFERROR(__xludf.DUMMYFUNCTION("""COMPUTED_VALUE"""),"46276")</f>
        <v>46276</v>
      </c>
      <c r="B3998" s="64">
        <f>IFERROR(__xludf.DUMMYFUNCTION("""COMPUTED_VALUE"""),44637.0)</f>
        <v>44637</v>
      </c>
      <c r="C3998" s="5"/>
      <c r="D3998" s="5"/>
      <c r="E3998" s="5"/>
      <c r="F3998" s="22">
        <f>IFERROR(__xludf.DUMMYFUNCTION("""COMPUTED_VALUE"""),500000.0)</f>
        <v>500000</v>
      </c>
      <c r="G3998" s="22">
        <f>IFERROR(__xludf.DUMMYFUNCTION("""COMPUTED_VALUE"""),0.0)</f>
        <v>0</v>
      </c>
      <c r="H3998" s="22">
        <f>IFERROR(__xludf.DUMMYFUNCTION("""COMPUTED_VALUE"""),502088.55786475004)</f>
        <v>502088.5579</v>
      </c>
      <c r="I3998" s="24">
        <f>IFERROR(__xludf.DUMMYFUNCTION("""COMPUTED_VALUE"""),0.0041771157295000805)</f>
        <v>0.00417711573</v>
      </c>
    </row>
    <row r="3999">
      <c r="A3999" s="5" t="str">
        <f>IFERROR(__xludf.DUMMYFUNCTION("""COMPUTED_VALUE"""),"46276")</f>
        <v>46276</v>
      </c>
      <c r="B3999" s="64">
        <f>IFERROR(__xludf.DUMMYFUNCTION("""COMPUTED_VALUE"""),44638.0)</f>
        <v>44638</v>
      </c>
      <c r="C3999" s="5"/>
      <c r="D3999" s="5"/>
      <c r="E3999" s="5"/>
      <c r="F3999" s="22">
        <f>IFERROR(__xludf.DUMMYFUNCTION("""COMPUTED_VALUE"""),500000.0)</f>
        <v>500000</v>
      </c>
      <c r="G3999" s="22">
        <f>IFERROR(__xludf.DUMMYFUNCTION("""COMPUTED_VALUE"""),0.0)</f>
        <v>0</v>
      </c>
      <c r="H3999" s="22">
        <f>IFERROR(__xludf.DUMMYFUNCTION("""COMPUTED_VALUE"""),500185.04887675005)</f>
        <v>500185.0489</v>
      </c>
      <c r="I3999" s="24">
        <f>IFERROR(__xludf.DUMMYFUNCTION("""COMPUTED_VALUE"""),3.7009775350016483E-4)</f>
        <v>0.0003700977535</v>
      </c>
    </row>
    <row r="4000">
      <c r="A4000" s="5" t="str">
        <f>IFERROR(__xludf.DUMMYFUNCTION("""COMPUTED_VALUE"""),"46276")</f>
        <v>46276</v>
      </c>
      <c r="B4000" s="64">
        <f>IFERROR(__xludf.DUMMYFUNCTION("""COMPUTED_VALUE"""),44639.0)</f>
        <v>44639</v>
      </c>
      <c r="C4000" s="5"/>
      <c r="D4000" s="5"/>
      <c r="E4000" s="5"/>
      <c r="F4000" s="22">
        <f>IFERROR(__xludf.DUMMYFUNCTION("""COMPUTED_VALUE"""),500000.0)</f>
        <v>500000</v>
      </c>
      <c r="G4000" s="22">
        <f>IFERROR(__xludf.DUMMYFUNCTION("""COMPUTED_VALUE"""),0.0)</f>
        <v>0</v>
      </c>
      <c r="H4000" s="22">
        <f>IFERROR(__xludf.DUMMYFUNCTION("""COMPUTED_VALUE"""),500185.04887675005)</f>
        <v>500185.0489</v>
      </c>
      <c r="I4000" s="24">
        <f>IFERROR(__xludf.DUMMYFUNCTION("""COMPUTED_VALUE"""),3.7009775350016483E-4)</f>
        <v>0.0003700977535</v>
      </c>
    </row>
    <row r="4001">
      <c r="A4001" s="5" t="str">
        <f>IFERROR(__xludf.DUMMYFUNCTION("""COMPUTED_VALUE"""),"46276")</f>
        <v>46276</v>
      </c>
      <c r="B4001" s="64">
        <f>IFERROR(__xludf.DUMMYFUNCTION("""COMPUTED_VALUE"""),44640.0)</f>
        <v>44640</v>
      </c>
      <c r="C4001" s="5"/>
      <c r="D4001" s="5"/>
      <c r="E4001" s="5"/>
      <c r="F4001" s="22">
        <f>IFERROR(__xludf.DUMMYFUNCTION("""COMPUTED_VALUE"""),500000.0)</f>
        <v>500000</v>
      </c>
      <c r="G4001" s="22">
        <f>IFERROR(__xludf.DUMMYFUNCTION("""COMPUTED_VALUE"""),0.0)</f>
        <v>0</v>
      </c>
      <c r="H4001" s="22">
        <f>IFERROR(__xludf.DUMMYFUNCTION("""COMPUTED_VALUE"""),500185.04887675005)</f>
        <v>500185.0489</v>
      </c>
      <c r="I4001" s="24">
        <f>IFERROR(__xludf.DUMMYFUNCTION("""COMPUTED_VALUE"""),3.7009775350016483E-4)</f>
        <v>0.0003700977535</v>
      </c>
    </row>
    <row r="4002">
      <c r="A4002" s="5" t="str">
        <f>IFERROR(__xludf.DUMMYFUNCTION("""COMPUTED_VALUE"""),"46276")</f>
        <v>46276</v>
      </c>
      <c r="B4002" s="64">
        <f>IFERROR(__xludf.DUMMYFUNCTION("""COMPUTED_VALUE"""),44641.0)</f>
        <v>44641</v>
      </c>
      <c r="C4002" s="5"/>
      <c r="D4002" s="5"/>
      <c r="E4002" s="5"/>
      <c r="F4002" s="22">
        <f>IFERROR(__xludf.DUMMYFUNCTION("""COMPUTED_VALUE"""),500000.0)</f>
        <v>500000</v>
      </c>
      <c r="G4002" s="22">
        <f>IFERROR(__xludf.DUMMYFUNCTION("""COMPUTED_VALUE"""),0.0)</f>
        <v>0</v>
      </c>
      <c r="H4002" s="22">
        <f>IFERROR(__xludf.DUMMYFUNCTION("""COMPUTED_VALUE"""),504239.74187550007)</f>
        <v>504239.7419</v>
      </c>
      <c r="I4002" s="24">
        <f>IFERROR(__xludf.DUMMYFUNCTION("""COMPUTED_VALUE"""),0.00847948375100005)</f>
        <v>0.008479483751</v>
      </c>
    </row>
    <row r="4003">
      <c r="A4003" s="5" t="str">
        <f>IFERROR(__xludf.DUMMYFUNCTION("""COMPUTED_VALUE"""),"46276")</f>
        <v>46276</v>
      </c>
      <c r="B4003" s="64">
        <f>IFERROR(__xludf.DUMMYFUNCTION("""COMPUTED_VALUE"""),44642.0)</f>
        <v>44642</v>
      </c>
      <c r="C4003" s="5"/>
      <c r="D4003" s="5"/>
      <c r="E4003" s="5"/>
      <c r="F4003" s="22">
        <f>IFERROR(__xludf.DUMMYFUNCTION("""COMPUTED_VALUE"""),500000.0)</f>
        <v>500000</v>
      </c>
      <c r="G4003" s="22">
        <f>IFERROR(__xludf.DUMMYFUNCTION("""COMPUTED_VALUE"""),0.0)</f>
        <v>0</v>
      </c>
      <c r="H4003" s="22">
        <f>IFERROR(__xludf.DUMMYFUNCTION("""COMPUTED_VALUE"""),508579.24331275)</f>
        <v>508579.2433</v>
      </c>
      <c r="I4003" s="24">
        <f>IFERROR(__xludf.DUMMYFUNCTION("""COMPUTED_VALUE"""),0.017158486625500124)</f>
        <v>0.01715848663</v>
      </c>
    </row>
    <row r="4004">
      <c r="A4004" s="5" t="str">
        <f>IFERROR(__xludf.DUMMYFUNCTION("""COMPUTED_VALUE"""),"46276")</f>
        <v>46276</v>
      </c>
      <c r="B4004" s="64">
        <f>IFERROR(__xludf.DUMMYFUNCTION("""COMPUTED_VALUE"""),44643.0)</f>
        <v>44643</v>
      </c>
      <c r="C4004" s="5"/>
      <c r="D4004" s="5"/>
      <c r="E4004" s="5"/>
      <c r="F4004" s="22">
        <f>IFERROR(__xludf.DUMMYFUNCTION("""COMPUTED_VALUE"""),500000.0)</f>
        <v>500000</v>
      </c>
      <c r="G4004" s="22">
        <f>IFERROR(__xludf.DUMMYFUNCTION("""COMPUTED_VALUE"""),0.0)</f>
        <v>0</v>
      </c>
      <c r="H4004" s="22">
        <f>IFERROR(__xludf.DUMMYFUNCTION("""COMPUTED_VALUE"""),504142.2376130001)</f>
        <v>504142.2376</v>
      </c>
      <c r="I4004" s="24">
        <f>IFERROR(__xludf.DUMMYFUNCTION("""COMPUTED_VALUE"""),0.008284475226000287)</f>
        <v>0.008284475226</v>
      </c>
    </row>
    <row r="4005">
      <c r="A4005" s="5" t="str">
        <f>IFERROR(__xludf.DUMMYFUNCTION("""COMPUTED_VALUE"""),"46276")</f>
        <v>46276</v>
      </c>
      <c r="B4005" s="64">
        <f>IFERROR(__xludf.DUMMYFUNCTION("""COMPUTED_VALUE"""),44644.0)</f>
        <v>44644</v>
      </c>
      <c r="C4005" s="5"/>
      <c r="D4005" s="5"/>
      <c r="E4005" s="5"/>
      <c r="F4005" s="22">
        <f>IFERROR(__xludf.DUMMYFUNCTION("""COMPUTED_VALUE"""),500000.0)</f>
        <v>500000</v>
      </c>
      <c r="G4005" s="22">
        <f>IFERROR(__xludf.DUMMYFUNCTION("""COMPUTED_VALUE"""),0.0)</f>
        <v>0</v>
      </c>
      <c r="H4005" s="22">
        <f>IFERROR(__xludf.DUMMYFUNCTION("""COMPUTED_VALUE"""),506543.06903975003)</f>
        <v>506543.069</v>
      </c>
      <c r="I4005" s="24">
        <f>IFERROR(__xludf.DUMMYFUNCTION("""COMPUTED_VALUE"""),0.013086138079499987)</f>
        <v>0.01308613808</v>
      </c>
    </row>
    <row r="4006">
      <c r="A4006" s="5" t="str">
        <f>IFERROR(__xludf.DUMMYFUNCTION("""COMPUTED_VALUE"""),"46276")</f>
        <v>46276</v>
      </c>
      <c r="B4006" s="64">
        <f>IFERROR(__xludf.DUMMYFUNCTION("""COMPUTED_VALUE"""),44645.0)</f>
        <v>44645</v>
      </c>
      <c r="C4006" s="5"/>
      <c r="D4006" s="5"/>
      <c r="E4006" s="5"/>
      <c r="F4006" s="22">
        <f>IFERROR(__xludf.DUMMYFUNCTION("""COMPUTED_VALUE"""),500000.0)</f>
        <v>500000</v>
      </c>
      <c r="G4006" s="22">
        <f>IFERROR(__xludf.DUMMYFUNCTION("""COMPUTED_VALUE"""),0.0)</f>
        <v>0</v>
      </c>
      <c r="H4006" s="22">
        <f>IFERROR(__xludf.DUMMYFUNCTION("""COMPUTED_VALUE"""),512341.372148)</f>
        <v>512341.3721</v>
      </c>
      <c r="I4006" s="24">
        <f>IFERROR(__xludf.DUMMYFUNCTION("""COMPUTED_VALUE"""),0.024682744296000036)</f>
        <v>0.0246827443</v>
      </c>
    </row>
    <row r="4007">
      <c r="A4007" s="5" t="str">
        <f>IFERROR(__xludf.DUMMYFUNCTION("""COMPUTED_VALUE"""),"46276")</f>
        <v>46276</v>
      </c>
      <c r="B4007" s="64">
        <f>IFERROR(__xludf.DUMMYFUNCTION("""COMPUTED_VALUE"""),44646.0)</f>
        <v>44646</v>
      </c>
      <c r="C4007" s="5"/>
      <c r="D4007" s="5"/>
      <c r="E4007" s="5"/>
      <c r="F4007" s="22">
        <f>IFERROR(__xludf.DUMMYFUNCTION("""COMPUTED_VALUE"""),500000.0)</f>
        <v>500000</v>
      </c>
      <c r="G4007" s="22">
        <f>IFERROR(__xludf.DUMMYFUNCTION("""COMPUTED_VALUE"""),0.0)</f>
        <v>0</v>
      </c>
      <c r="H4007" s="22">
        <f>IFERROR(__xludf.DUMMYFUNCTION("""COMPUTED_VALUE"""),512341.372148)</f>
        <v>512341.3721</v>
      </c>
      <c r="I4007" s="24">
        <f>IFERROR(__xludf.DUMMYFUNCTION("""COMPUTED_VALUE"""),0.024682744296000036)</f>
        <v>0.0246827443</v>
      </c>
    </row>
    <row r="4008">
      <c r="A4008" s="5" t="str">
        <f>IFERROR(__xludf.DUMMYFUNCTION("""COMPUTED_VALUE"""),"46276")</f>
        <v>46276</v>
      </c>
      <c r="B4008" s="64">
        <f>IFERROR(__xludf.DUMMYFUNCTION("""COMPUTED_VALUE"""),44647.0)</f>
        <v>44647</v>
      </c>
      <c r="C4008" s="5"/>
      <c r="D4008" s="5"/>
      <c r="E4008" s="5"/>
      <c r="F4008" s="22">
        <f>IFERROR(__xludf.DUMMYFUNCTION("""COMPUTED_VALUE"""),500000.0)</f>
        <v>500000</v>
      </c>
      <c r="G4008" s="22">
        <f>IFERROR(__xludf.DUMMYFUNCTION("""COMPUTED_VALUE"""),0.0)</f>
        <v>0</v>
      </c>
      <c r="H4008" s="22">
        <f>IFERROR(__xludf.DUMMYFUNCTION("""COMPUTED_VALUE"""),512341.372148)</f>
        <v>512341.3721</v>
      </c>
      <c r="I4008" s="24">
        <f>IFERROR(__xludf.DUMMYFUNCTION("""COMPUTED_VALUE"""),0.024682744296000036)</f>
        <v>0.0246827443</v>
      </c>
    </row>
    <row r="4009">
      <c r="A4009" s="5" t="str">
        <f>IFERROR(__xludf.DUMMYFUNCTION("""COMPUTED_VALUE"""),"46276")</f>
        <v>46276</v>
      </c>
      <c r="B4009" s="64">
        <f>IFERROR(__xludf.DUMMYFUNCTION("""COMPUTED_VALUE"""),44648.0)</f>
        <v>44648</v>
      </c>
      <c r="C4009" s="5"/>
      <c r="D4009" s="5"/>
      <c r="E4009" s="5"/>
      <c r="F4009" s="22">
        <f>IFERROR(__xludf.DUMMYFUNCTION("""COMPUTED_VALUE"""),500000.0)</f>
        <v>500000</v>
      </c>
      <c r="G4009" s="22">
        <f>IFERROR(__xludf.DUMMYFUNCTION("""COMPUTED_VALUE"""),0.0)</f>
        <v>0</v>
      </c>
      <c r="H4009" s="22">
        <f>IFERROR(__xludf.DUMMYFUNCTION("""COMPUTED_VALUE"""),512253.60005975)</f>
        <v>512253.6001</v>
      </c>
      <c r="I4009" s="24">
        <f>IFERROR(__xludf.DUMMYFUNCTION("""COMPUTED_VALUE"""),0.02450720011950014)</f>
        <v>0.02450720012</v>
      </c>
    </row>
    <row r="4010">
      <c r="A4010" s="5" t="str">
        <f>IFERROR(__xludf.DUMMYFUNCTION("""COMPUTED_VALUE"""),"46276")</f>
        <v>46276</v>
      </c>
      <c r="B4010" s="64">
        <f>IFERROR(__xludf.DUMMYFUNCTION("""COMPUTED_VALUE"""),44649.0)</f>
        <v>44649</v>
      </c>
      <c r="C4010" s="5"/>
      <c r="D4010" s="5"/>
      <c r="E4010" s="5"/>
      <c r="F4010" s="22">
        <f>IFERROR(__xludf.DUMMYFUNCTION("""COMPUTED_VALUE"""),500000.0)</f>
        <v>500000</v>
      </c>
      <c r="G4010" s="22">
        <f>IFERROR(__xludf.DUMMYFUNCTION("""COMPUTED_VALUE"""),0.0)</f>
        <v>0</v>
      </c>
      <c r="H4010" s="22">
        <f>IFERROR(__xludf.DUMMYFUNCTION("""COMPUTED_VALUE"""),509306.67581100005)</f>
        <v>509306.6758</v>
      </c>
      <c r="I4010" s="24">
        <f>IFERROR(__xludf.DUMMYFUNCTION("""COMPUTED_VALUE"""),0.018613351622000174)</f>
        <v>0.01861335162</v>
      </c>
    </row>
    <row r="4011">
      <c r="A4011" s="5" t="str">
        <f>IFERROR(__xludf.DUMMYFUNCTION("""COMPUTED_VALUE"""),"46276")</f>
        <v>46276</v>
      </c>
      <c r="B4011" s="64">
        <f>IFERROR(__xludf.DUMMYFUNCTION("""COMPUTED_VALUE"""),44650.0)</f>
        <v>44650</v>
      </c>
      <c r="C4011" s="5"/>
      <c r="D4011" s="5"/>
      <c r="E4011" s="5"/>
      <c r="F4011" s="22">
        <f>IFERROR(__xludf.DUMMYFUNCTION("""COMPUTED_VALUE"""),500000.0)</f>
        <v>500000</v>
      </c>
      <c r="G4011" s="22">
        <f>IFERROR(__xludf.DUMMYFUNCTION("""COMPUTED_VALUE"""),0.0)</f>
        <v>0</v>
      </c>
      <c r="H4011" s="22">
        <f>IFERROR(__xludf.DUMMYFUNCTION("""COMPUTED_VALUE"""),509390.51933675003)</f>
        <v>509390.5193</v>
      </c>
      <c r="I4011" s="24">
        <f>IFERROR(__xludf.DUMMYFUNCTION("""COMPUTED_VALUE"""),0.018781038673500117)</f>
        <v>0.01878103867</v>
      </c>
    </row>
    <row r="4012">
      <c r="A4012" s="5" t="str">
        <f>IFERROR(__xludf.DUMMYFUNCTION("""COMPUTED_VALUE"""),"46276")</f>
        <v>46276</v>
      </c>
      <c r="B4012" s="64">
        <f>IFERROR(__xludf.DUMMYFUNCTION("""COMPUTED_VALUE"""),44651.0)</f>
        <v>44651</v>
      </c>
      <c r="C4012" s="5"/>
      <c r="D4012" s="5"/>
      <c r="E4012" s="5"/>
      <c r="F4012" s="22">
        <f>IFERROR(__xludf.DUMMYFUNCTION("""COMPUTED_VALUE"""),500000.0)</f>
        <v>500000</v>
      </c>
      <c r="G4012" s="22">
        <f>IFERROR(__xludf.DUMMYFUNCTION("""COMPUTED_VALUE"""),0.0)</f>
        <v>0</v>
      </c>
      <c r="H4012" s="22">
        <f>IFERROR(__xludf.DUMMYFUNCTION("""COMPUTED_VALUE"""),501086.01665425004)</f>
        <v>501086.0167</v>
      </c>
      <c r="I4012" s="24">
        <f>IFERROR(__xludf.DUMMYFUNCTION("""COMPUTED_VALUE"""),0.002172033308500021)</f>
        <v>0.002172033309</v>
      </c>
    </row>
    <row r="4013">
      <c r="A4013" s="5" t="str">
        <f>IFERROR(__xludf.DUMMYFUNCTION("""COMPUTED_VALUE"""),"46276")</f>
        <v>46276</v>
      </c>
      <c r="B4013" s="64">
        <f>IFERROR(__xludf.DUMMYFUNCTION("""COMPUTED_VALUE"""),44652.0)</f>
        <v>44652</v>
      </c>
      <c r="C4013" s="5"/>
      <c r="D4013" s="5"/>
      <c r="E4013" s="5"/>
      <c r="F4013" s="22">
        <f>IFERROR(__xludf.DUMMYFUNCTION("""COMPUTED_VALUE"""),500000.0)</f>
        <v>500000</v>
      </c>
      <c r="G4013" s="22">
        <f>IFERROR(__xludf.DUMMYFUNCTION("""COMPUTED_VALUE"""),0.0)</f>
        <v>0</v>
      </c>
      <c r="H4013" s="22">
        <f>IFERROR(__xludf.DUMMYFUNCTION("""COMPUTED_VALUE"""),499484.797244)</f>
        <v>499484.7972</v>
      </c>
      <c r="I4013" s="24">
        <f>IFERROR(__xludf.DUMMYFUNCTION("""COMPUTED_VALUE"""),-0.0010304055119999544)</f>
        <v>-0.001030405512</v>
      </c>
    </row>
    <row r="4014">
      <c r="A4014" s="5" t="str">
        <f>IFERROR(__xludf.DUMMYFUNCTION("""COMPUTED_VALUE"""),"46276")</f>
        <v>46276</v>
      </c>
      <c r="B4014" s="64">
        <f>IFERROR(__xludf.DUMMYFUNCTION("""COMPUTED_VALUE"""),44653.0)</f>
        <v>44653</v>
      </c>
      <c r="C4014" s="5"/>
      <c r="D4014" s="5"/>
      <c r="E4014" s="5"/>
      <c r="F4014" s="22">
        <f>IFERROR(__xludf.DUMMYFUNCTION("""COMPUTED_VALUE"""),500000.0)</f>
        <v>500000</v>
      </c>
      <c r="G4014" s="22">
        <f>IFERROR(__xludf.DUMMYFUNCTION("""COMPUTED_VALUE"""),0.0)</f>
        <v>0</v>
      </c>
      <c r="H4014" s="22">
        <f>IFERROR(__xludf.DUMMYFUNCTION("""COMPUTED_VALUE"""),499484.797244)</f>
        <v>499484.7972</v>
      </c>
      <c r="I4014" s="24">
        <f>IFERROR(__xludf.DUMMYFUNCTION("""COMPUTED_VALUE"""),-0.0010304055119999544)</f>
        <v>-0.001030405512</v>
      </c>
    </row>
    <row r="4015">
      <c r="A4015" s="5" t="str">
        <f>IFERROR(__xludf.DUMMYFUNCTION("""COMPUTED_VALUE"""),"46276")</f>
        <v>46276</v>
      </c>
      <c r="B4015" s="64">
        <f>IFERROR(__xludf.DUMMYFUNCTION("""COMPUTED_VALUE"""),44654.0)</f>
        <v>44654</v>
      </c>
      <c r="C4015" s="5"/>
      <c r="D4015" s="5"/>
      <c r="E4015" s="5"/>
      <c r="F4015" s="22">
        <f>IFERROR(__xludf.DUMMYFUNCTION("""COMPUTED_VALUE"""),500000.0)</f>
        <v>500000</v>
      </c>
      <c r="G4015" s="22">
        <f>IFERROR(__xludf.DUMMYFUNCTION("""COMPUTED_VALUE"""),0.0)</f>
        <v>0</v>
      </c>
      <c r="H4015" s="22">
        <f>IFERROR(__xludf.DUMMYFUNCTION("""COMPUTED_VALUE"""),499484.797244)</f>
        <v>499484.7972</v>
      </c>
      <c r="I4015" s="24">
        <f>IFERROR(__xludf.DUMMYFUNCTION("""COMPUTED_VALUE"""),-0.0010304055119999544)</f>
        <v>-0.001030405512</v>
      </c>
    </row>
    <row r="4016">
      <c r="A4016" s="5" t="str">
        <f>IFERROR(__xludf.DUMMYFUNCTION("""COMPUTED_VALUE"""),"46276")</f>
        <v>46276</v>
      </c>
      <c r="B4016" s="64">
        <f>IFERROR(__xludf.DUMMYFUNCTION("""COMPUTED_VALUE"""),44655.0)</f>
        <v>44655</v>
      </c>
      <c r="C4016" s="5"/>
      <c r="D4016" s="5"/>
      <c r="E4016" s="5"/>
      <c r="F4016" s="22">
        <f>IFERROR(__xludf.DUMMYFUNCTION("""COMPUTED_VALUE"""),500000.0)</f>
        <v>500000</v>
      </c>
      <c r="G4016" s="22">
        <f>IFERROR(__xludf.DUMMYFUNCTION("""COMPUTED_VALUE"""),0.0)</f>
        <v>0</v>
      </c>
      <c r="H4016" s="22">
        <f>IFERROR(__xludf.DUMMYFUNCTION("""COMPUTED_VALUE"""),495492.50832525)</f>
        <v>495492.5083</v>
      </c>
      <c r="I4016" s="24">
        <f>IFERROR(__xludf.DUMMYFUNCTION("""COMPUTED_VALUE"""),-0.009014983349500016)</f>
        <v>-0.00901498335</v>
      </c>
    </row>
    <row r="4017">
      <c r="A4017" s="5" t="str">
        <f>IFERROR(__xludf.DUMMYFUNCTION("""COMPUTED_VALUE"""),"46276")</f>
        <v>46276</v>
      </c>
      <c r="B4017" s="64">
        <f>IFERROR(__xludf.DUMMYFUNCTION("""COMPUTED_VALUE"""),44656.0)</f>
        <v>44656</v>
      </c>
      <c r="C4017" s="5"/>
      <c r="D4017" s="5"/>
      <c r="E4017" s="5"/>
      <c r="F4017" s="22">
        <f>IFERROR(__xludf.DUMMYFUNCTION("""COMPUTED_VALUE"""),500000.0)</f>
        <v>500000</v>
      </c>
      <c r="G4017" s="22">
        <f>IFERROR(__xludf.DUMMYFUNCTION("""COMPUTED_VALUE"""),0.0)</f>
        <v>0</v>
      </c>
      <c r="H4017" s="22">
        <f>IFERROR(__xludf.DUMMYFUNCTION("""COMPUTED_VALUE"""),492970.725645)</f>
        <v>492970.7256</v>
      </c>
      <c r="I4017" s="24">
        <f>IFERROR(__xludf.DUMMYFUNCTION("""COMPUTED_VALUE"""),-0.014058548710000007)</f>
        <v>-0.01405854871</v>
      </c>
    </row>
    <row r="4018">
      <c r="A4018" s="5" t="str">
        <f>IFERROR(__xludf.DUMMYFUNCTION("""COMPUTED_VALUE"""),"46276")</f>
        <v>46276</v>
      </c>
      <c r="B4018" s="64">
        <f>IFERROR(__xludf.DUMMYFUNCTION("""COMPUTED_VALUE"""),44657.0)</f>
        <v>44657</v>
      </c>
      <c r="C4018" s="5"/>
      <c r="D4018" s="5"/>
      <c r="E4018" s="5"/>
      <c r="F4018" s="22">
        <f>IFERROR(__xludf.DUMMYFUNCTION("""COMPUTED_VALUE"""),500000.0)</f>
        <v>500000</v>
      </c>
      <c r="G4018" s="22">
        <f>IFERROR(__xludf.DUMMYFUNCTION("""COMPUTED_VALUE"""),0.0)</f>
        <v>0</v>
      </c>
      <c r="H4018" s="22">
        <f>IFERROR(__xludf.DUMMYFUNCTION("""COMPUTED_VALUE"""),491545.02877925)</f>
        <v>491545.0288</v>
      </c>
      <c r="I4018" s="24">
        <f>IFERROR(__xludf.DUMMYFUNCTION("""COMPUTED_VALUE"""),-0.016909942441500014)</f>
        <v>-0.01690994244</v>
      </c>
    </row>
    <row r="4019">
      <c r="A4019" s="5" t="str">
        <f>IFERROR(__xludf.DUMMYFUNCTION("""COMPUTED_VALUE"""),"46276")</f>
        <v>46276</v>
      </c>
      <c r="B4019" s="64">
        <f>IFERROR(__xludf.DUMMYFUNCTION("""COMPUTED_VALUE"""),44658.0)</f>
        <v>44658</v>
      </c>
      <c r="C4019" s="5"/>
      <c r="D4019" s="5"/>
      <c r="E4019" s="5"/>
      <c r="F4019" s="22">
        <f>IFERROR(__xludf.DUMMYFUNCTION("""COMPUTED_VALUE"""),500000.0)</f>
        <v>500000</v>
      </c>
      <c r="G4019" s="22">
        <f>IFERROR(__xludf.DUMMYFUNCTION("""COMPUTED_VALUE"""),0.0)</f>
        <v>0</v>
      </c>
      <c r="H4019" s="22">
        <f>IFERROR(__xludf.DUMMYFUNCTION("""COMPUTED_VALUE"""),491755.64880225004)</f>
        <v>491755.6488</v>
      </c>
      <c r="I4019" s="24">
        <f>IFERROR(__xludf.DUMMYFUNCTION("""COMPUTED_VALUE"""),-0.016488702395499932)</f>
        <v>-0.0164887024</v>
      </c>
    </row>
    <row r="4020">
      <c r="A4020" s="5" t="str">
        <f>IFERROR(__xludf.DUMMYFUNCTION("""COMPUTED_VALUE"""),"46276")</f>
        <v>46276</v>
      </c>
      <c r="B4020" s="64">
        <f>IFERROR(__xludf.DUMMYFUNCTION("""COMPUTED_VALUE"""),44659.0)</f>
        <v>44659</v>
      </c>
      <c r="C4020" s="5"/>
      <c r="D4020" s="5"/>
      <c r="E4020" s="5"/>
      <c r="F4020" s="22">
        <f>IFERROR(__xludf.DUMMYFUNCTION("""COMPUTED_VALUE"""),500000.0)</f>
        <v>500000</v>
      </c>
      <c r="G4020" s="22">
        <f>IFERROR(__xludf.DUMMYFUNCTION("""COMPUTED_VALUE"""),0.0)</f>
        <v>0</v>
      </c>
      <c r="H4020" s="22">
        <f>IFERROR(__xludf.DUMMYFUNCTION("""COMPUTED_VALUE"""),496360.3442575)</f>
        <v>496360.3443</v>
      </c>
      <c r="I4020" s="24">
        <f>IFERROR(__xludf.DUMMYFUNCTION("""COMPUTED_VALUE"""),-0.00727931148499994)</f>
        <v>-0.007279311485</v>
      </c>
    </row>
    <row r="4021">
      <c r="A4021" s="5" t="str">
        <f>IFERROR(__xludf.DUMMYFUNCTION("""COMPUTED_VALUE"""),"46276")</f>
        <v>46276</v>
      </c>
      <c r="B4021" s="64">
        <f>IFERROR(__xludf.DUMMYFUNCTION("""COMPUTED_VALUE"""),44660.0)</f>
        <v>44660</v>
      </c>
      <c r="C4021" s="5"/>
      <c r="D4021" s="5"/>
      <c r="E4021" s="5"/>
      <c r="F4021" s="22">
        <f>IFERROR(__xludf.DUMMYFUNCTION("""COMPUTED_VALUE"""),500000.0)</f>
        <v>500000</v>
      </c>
      <c r="G4021" s="22">
        <f>IFERROR(__xludf.DUMMYFUNCTION("""COMPUTED_VALUE"""),0.0)</f>
        <v>0</v>
      </c>
      <c r="H4021" s="22">
        <f>IFERROR(__xludf.DUMMYFUNCTION("""COMPUTED_VALUE"""),496360.3442575)</f>
        <v>496360.3443</v>
      </c>
      <c r="I4021" s="24">
        <f>IFERROR(__xludf.DUMMYFUNCTION("""COMPUTED_VALUE"""),-0.00727931148499994)</f>
        <v>-0.007279311485</v>
      </c>
    </row>
    <row r="4022">
      <c r="A4022" s="5" t="str">
        <f>IFERROR(__xludf.DUMMYFUNCTION("""COMPUTED_VALUE"""),"46276")</f>
        <v>46276</v>
      </c>
      <c r="B4022" s="64">
        <f>IFERROR(__xludf.DUMMYFUNCTION("""COMPUTED_VALUE"""),44661.0)</f>
        <v>44661</v>
      </c>
      <c r="C4022" s="5"/>
      <c r="D4022" s="5"/>
      <c r="E4022" s="5"/>
      <c r="F4022" s="22">
        <f>IFERROR(__xludf.DUMMYFUNCTION("""COMPUTED_VALUE"""),500000.0)</f>
        <v>500000</v>
      </c>
      <c r="G4022" s="22">
        <f>IFERROR(__xludf.DUMMYFUNCTION("""COMPUTED_VALUE"""),0.0)</f>
        <v>0</v>
      </c>
      <c r="H4022" s="22">
        <f>IFERROR(__xludf.DUMMYFUNCTION("""COMPUTED_VALUE"""),496360.3442575)</f>
        <v>496360.3443</v>
      </c>
      <c r="I4022" s="24">
        <f>IFERROR(__xludf.DUMMYFUNCTION("""COMPUTED_VALUE"""),-0.00727931148499994)</f>
        <v>-0.007279311485</v>
      </c>
    </row>
    <row r="4023">
      <c r="A4023" s="5" t="str">
        <f>IFERROR(__xludf.DUMMYFUNCTION("""COMPUTED_VALUE"""),"46276")</f>
        <v>46276</v>
      </c>
      <c r="B4023" s="64">
        <f>IFERROR(__xludf.DUMMYFUNCTION("""COMPUTED_VALUE"""),44662.0)</f>
        <v>44662</v>
      </c>
      <c r="C4023" s="5"/>
      <c r="D4023" s="5"/>
      <c r="E4023" s="5"/>
      <c r="F4023" s="22">
        <f>IFERROR(__xludf.DUMMYFUNCTION("""COMPUTED_VALUE"""),500000.0)</f>
        <v>500000</v>
      </c>
      <c r="G4023" s="22">
        <f>IFERROR(__xludf.DUMMYFUNCTION("""COMPUTED_VALUE"""),0.0)</f>
        <v>0</v>
      </c>
      <c r="H4023" s="22">
        <f>IFERROR(__xludf.DUMMYFUNCTION("""COMPUTED_VALUE"""),495478.8002685)</f>
        <v>495478.8003</v>
      </c>
      <c r="I4023" s="24">
        <f>IFERROR(__xludf.DUMMYFUNCTION("""COMPUTED_VALUE"""),-0.009042399463000006)</f>
        <v>-0.009042399463</v>
      </c>
    </row>
    <row r="4024">
      <c r="A4024" s="5" t="str">
        <f>IFERROR(__xludf.DUMMYFUNCTION("""COMPUTED_VALUE"""),"46276")</f>
        <v>46276</v>
      </c>
      <c r="B4024" s="64">
        <f>IFERROR(__xludf.DUMMYFUNCTION("""COMPUTED_VALUE"""),44663.0)</f>
        <v>44663</v>
      </c>
      <c r="C4024" s="5"/>
      <c r="D4024" s="5"/>
      <c r="E4024" s="5"/>
      <c r="F4024" s="22">
        <f>IFERROR(__xludf.DUMMYFUNCTION("""COMPUTED_VALUE"""),500000.0)</f>
        <v>500000</v>
      </c>
      <c r="G4024" s="22">
        <f>IFERROR(__xludf.DUMMYFUNCTION("""COMPUTED_VALUE"""),0.0)</f>
        <v>0</v>
      </c>
      <c r="H4024" s="22">
        <f>IFERROR(__xludf.DUMMYFUNCTION("""COMPUTED_VALUE"""),492834.1601895)</f>
        <v>492834.1602</v>
      </c>
      <c r="I4024" s="24">
        <f>IFERROR(__xludf.DUMMYFUNCTION("""COMPUTED_VALUE"""),-0.014331679620999904)</f>
        <v>-0.01433167962</v>
      </c>
    </row>
    <row r="4025">
      <c r="A4025" s="5" t="str">
        <f>IFERROR(__xludf.DUMMYFUNCTION("""COMPUTED_VALUE"""),"46322")</f>
        <v>46322</v>
      </c>
      <c r="B4025" s="64">
        <f>IFERROR(__xludf.DUMMYFUNCTION("""COMPUTED_VALUE"""),44597.0)</f>
        <v>44597</v>
      </c>
      <c r="C4025" s="5"/>
      <c r="D4025" s="5"/>
      <c r="E4025" s="5"/>
      <c r="F4025" s="22">
        <f>IFERROR(__xludf.DUMMYFUNCTION("""COMPUTED_VALUE"""),500000.0)</f>
        <v>500000</v>
      </c>
      <c r="G4025" s="22">
        <f>IFERROR(__xludf.DUMMYFUNCTION("""COMPUTED_VALUE"""),0.0)</f>
        <v>0</v>
      </c>
      <c r="H4025" s="22">
        <f>IFERROR(__xludf.DUMMYFUNCTION("""COMPUTED_VALUE"""),500000.0)</f>
        <v>500000</v>
      </c>
      <c r="I4025" s="24">
        <f>IFERROR(__xludf.DUMMYFUNCTION("""COMPUTED_VALUE"""),0.0)</f>
        <v>0</v>
      </c>
    </row>
    <row r="4026">
      <c r="A4026" s="5" t="str">
        <f>IFERROR(__xludf.DUMMYFUNCTION("""COMPUTED_VALUE"""),"46322")</f>
        <v>46322</v>
      </c>
      <c r="B4026" s="64">
        <f>IFERROR(__xludf.DUMMYFUNCTION("""COMPUTED_VALUE"""),44598.0)</f>
        <v>44598</v>
      </c>
      <c r="C4026" s="5"/>
      <c r="D4026" s="5"/>
      <c r="E4026" s="5"/>
      <c r="F4026" s="22">
        <f>IFERROR(__xludf.DUMMYFUNCTION("""COMPUTED_VALUE"""),500000.0)</f>
        <v>500000</v>
      </c>
      <c r="G4026" s="22">
        <f>IFERROR(__xludf.DUMMYFUNCTION("""COMPUTED_VALUE"""),0.0)</f>
        <v>0</v>
      </c>
      <c r="H4026" s="22">
        <f>IFERROR(__xludf.DUMMYFUNCTION("""COMPUTED_VALUE"""),500000.0)</f>
        <v>500000</v>
      </c>
      <c r="I4026" s="24">
        <f>IFERROR(__xludf.DUMMYFUNCTION("""COMPUTED_VALUE"""),0.0)</f>
        <v>0</v>
      </c>
    </row>
    <row r="4027">
      <c r="A4027" s="5" t="str">
        <f>IFERROR(__xludf.DUMMYFUNCTION("""COMPUTED_VALUE"""),"46322")</f>
        <v>46322</v>
      </c>
      <c r="B4027" s="64">
        <f>IFERROR(__xludf.DUMMYFUNCTION("""COMPUTED_VALUE"""),44599.0)</f>
        <v>44599</v>
      </c>
      <c r="C4027" s="5"/>
      <c r="D4027" s="5"/>
      <c r="E4027" s="5"/>
      <c r="F4027" s="22">
        <f>IFERROR(__xludf.DUMMYFUNCTION("""COMPUTED_VALUE"""),500000.0)</f>
        <v>500000</v>
      </c>
      <c r="G4027" s="22">
        <f>IFERROR(__xludf.DUMMYFUNCTION("""COMPUTED_VALUE"""),0.0)</f>
        <v>0</v>
      </c>
      <c r="H4027" s="22">
        <f>IFERROR(__xludf.DUMMYFUNCTION("""COMPUTED_VALUE"""),500000.0)</f>
        <v>500000</v>
      </c>
      <c r="I4027" s="24">
        <f>IFERROR(__xludf.DUMMYFUNCTION("""COMPUTED_VALUE"""),0.0)</f>
        <v>0</v>
      </c>
    </row>
    <row r="4028">
      <c r="A4028" s="5" t="str">
        <f>IFERROR(__xludf.DUMMYFUNCTION("""COMPUTED_VALUE"""),"46322")</f>
        <v>46322</v>
      </c>
      <c r="B4028" s="64">
        <f>IFERROR(__xludf.DUMMYFUNCTION("""COMPUTED_VALUE"""),44600.0)</f>
        <v>44600</v>
      </c>
      <c r="C4028" s="5"/>
      <c r="D4028" s="5"/>
      <c r="E4028" s="5"/>
      <c r="F4028" s="22">
        <f>IFERROR(__xludf.DUMMYFUNCTION("""COMPUTED_VALUE"""),500000.0)</f>
        <v>500000</v>
      </c>
      <c r="G4028" s="22">
        <f>IFERROR(__xludf.DUMMYFUNCTION("""COMPUTED_VALUE"""),0.0)</f>
        <v>0</v>
      </c>
      <c r="H4028" s="22">
        <f>IFERROR(__xludf.DUMMYFUNCTION("""COMPUTED_VALUE"""),500000.0)</f>
        <v>500000</v>
      </c>
      <c r="I4028" s="24">
        <f>IFERROR(__xludf.DUMMYFUNCTION("""COMPUTED_VALUE"""),0.0)</f>
        <v>0</v>
      </c>
    </row>
    <row r="4029">
      <c r="A4029" s="5" t="str">
        <f>IFERROR(__xludf.DUMMYFUNCTION("""COMPUTED_VALUE"""),"46322")</f>
        <v>46322</v>
      </c>
      <c r="B4029" s="64">
        <f>IFERROR(__xludf.DUMMYFUNCTION("""COMPUTED_VALUE"""),44601.0)</f>
        <v>44601</v>
      </c>
      <c r="C4029" s="5"/>
      <c r="D4029" s="5"/>
      <c r="E4029" s="5"/>
      <c r="F4029" s="22">
        <f>IFERROR(__xludf.DUMMYFUNCTION("""COMPUTED_VALUE"""),500000.0)</f>
        <v>500000</v>
      </c>
      <c r="G4029" s="22">
        <f>IFERROR(__xludf.DUMMYFUNCTION("""COMPUTED_VALUE"""),0.0)</f>
        <v>0</v>
      </c>
      <c r="H4029" s="22">
        <f>IFERROR(__xludf.DUMMYFUNCTION("""COMPUTED_VALUE"""),500000.0)</f>
        <v>500000</v>
      </c>
      <c r="I4029" s="24">
        <f>IFERROR(__xludf.DUMMYFUNCTION("""COMPUTED_VALUE"""),0.0)</f>
        <v>0</v>
      </c>
    </row>
    <row r="4030">
      <c r="A4030" s="5" t="str">
        <f>IFERROR(__xludf.DUMMYFUNCTION("""COMPUTED_VALUE"""),"46322")</f>
        <v>46322</v>
      </c>
      <c r="B4030" s="64">
        <f>IFERROR(__xludf.DUMMYFUNCTION("""COMPUTED_VALUE"""),44602.0)</f>
        <v>44602</v>
      </c>
      <c r="C4030" s="5"/>
      <c r="D4030" s="5"/>
      <c r="E4030" s="5"/>
      <c r="F4030" s="22">
        <f>IFERROR(__xludf.DUMMYFUNCTION("""COMPUTED_VALUE"""),500000.0)</f>
        <v>500000</v>
      </c>
      <c r="G4030" s="22">
        <f>IFERROR(__xludf.DUMMYFUNCTION("""COMPUTED_VALUE"""),0.0)</f>
        <v>0</v>
      </c>
      <c r="H4030" s="22">
        <f>IFERROR(__xludf.DUMMYFUNCTION("""COMPUTED_VALUE"""),500000.0)</f>
        <v>500000</v>
      </c>
      <c r="I4030" s="24">
        <f>IFERROR(__xludf.DUMMYFUNCTION("""COMPUTED_VALUE"""),0.0)</f>
        <v>0</v>
      </c>
    </row>
    <row r="4031">
      <c r="A4031" s="5" t="str">
        <f>IFERROR(__xludf.DUMMYFUNCTION("""COMPUTED_VALUE"""),"46322")</f>
        <v>46322</v>
      </c>
      <c r="B4031" s="64">
        <f>IFERROR(__xludf.DUMMYFUNCTION("""COMPUTED_VALUE"""),44603.0)</f>
        <v>44603</v>
      </c>
      <c r="C4031" s="5"/>
      <c r="D4031" s="5"/>
      <c r="E4031" s="5"/>
      <c r="F4031" s="22">
        <f>IFERROR(__xludf.DUMMYFUNCTION("""COMPUTED_VALUE"""),500000.0)</f>
        <v>500000</v>
      </c>
      <c r="G4031" s="22">
        <f>IFERROR(__xludf.DUMMYFUNCTION("""COMPUTED_VALUE"""),0.0)</f>
        <v>0</v>
      </c>
      <c r="H4031" s="22">
        <f>IFERROR(__xludf.DUMMYFUNCTION("""COMPUTED_VALUE"""),500000.0)</f>
        <v>500000</v>
      </c>
      <c r="I4031" s="24">
        <f>IFERROR(__xludf.DUMMYFUNCTION("""COMPUTED_VALUE"""),0.0)</f>
        <v>0</v>
      </c>
    </row>
    <row r="4032">
      <c r="A4032" s="5" t="str">
        <f>IFERROR(__xludf.DUMMYFUNCTION("""COMPUTED_VALUE"""),"46322")</f>
        <v>46322</v>
      </c>
      <c r="B4032" s="64">
        <f>IFERROR(__xludf.DUMMYFUNCTION("""COMPUTED_VALUE"""),44604.0)</f>
        <v>44604</v>
      </c>
      <c r="C4032" s="5"/>
      <c r="D4032" s="5"/>
      <c r="E4032" s="5"/>
      <c r="F4032" s="22">
        <f>IFERROR(__xludf.DUMMYFUNCTION("""COMPUTED_VALUE"""),500000.0)</f>
        <v>500000</v>
      </c>
      <c r="G4032" s="22">
        <f>IFERROR(__xludf.DUMMYFUNCTION("""COMPUTED_VALUE"""),0.0)</f>
        <v>0</v>
      </c>
      <c r="H4032" s="22">
        <f>IFERROR(__xludf.DUMMYFUNCTION("""COMPUTED_VALUE"""),500000.0)</f>
        <v>500000</v>
      </c>
      <c r="I4032" s="24">
        <f>IFERROR(__xludf.DUMMYFUNCTION("""COMPUTED_VALUE"""),0.0)</f>
        <v>0</v>
      </c>
    </row>
    <row r="4033">
      <c r="A4033" s="5" t="str">
        <f>IFERROR(__xludf.DUMMYFUNCTION("""COMPUTED_VALUE"""),"46322")</f>
        <v>46322</v>
      </c>
      <c r="B4033" s="64">
        <f>IFERROR(__xludf.DUMMYFUNCTION("""COMPUTED_VALUE"""),44605.0)</f>
        <v>44605</v>
      </c>
      <c r="C4033" s="5"/>
      <c r="D4033" s="5"/>
      <c r="E4033" s="5"/>
      <c r="F4033" s="22">
        <f>IFERROR(__xludf.DUMMYFUNCTION("""COMPUTED_VALUE"""),500000.0)</f>
        <v>500000</v>
      </c>
      <c r="G4033" s="22">
        <f>IFERROR(__xludf.DUMMYFUNCTION("""COMPUTED_VALUE"""),0.0)</f>
        <v>0</v>
      </c>
      <c r="H4033" s="22">
        <f>IFERROR(__xludf.DUMMYFUNCTION("""COMPUTED_VALUE"""),500000.0)</f>
        <v>500000</v>
      </c>
      <c r="I4033" s="24">
        <f>IFERROR(__xludf.DUMMYFUNCTION("""COMPUTED_VALUE"""),0.0)</f>
        <v>0</v>
      </c>
    </row>
    <row r="4034">
      <c r="A4034" s="5" t="str">
        <f>IFERROR(__xludf.DUMMYFUNCTION("""COMPUTED_VALUE"""),"46322")</f>
        <v>46322</v>
      </c>
      <c r="B4034" s="64">
        <f>IFERROR(__xludf.DUMMYFUNCTION("""COMPUTED_VALUE"""),44606.0)</f>
        <v>44606</v>
      </c>
      <c r="C4034" s="5"/>
      <c r="D4034" s="5"/>
      <c r="E4034" s="5"/>
      <c r="F4034" s="22">
        <f>IFERROR(__xludf.DUMMYFUNCTION("""COMPUTED_VALUE"""),500000.0)</f>
        <v>500000</v>
      </c>
      <c r="G4034" s="22">
        <f>IFERROR(__xludf.DUMMYFUNCTION("""COMPUTED_VALUE"""),0.0)</f>
        <v>0</v>
      </c>
      <c r="H4034" s="22">
        <f>IFERROR(__xludf.DUMMYFUNCTION("""COMPUTED_VALUE"""),500000.0)</f>
        <v>500000</v>
      </c>
      <c r="I4034" s="24">
        <f>IFERROR(__xludf.DUMMYFUNCTION("""COMPUTED_VALUE"""),0.0)</f>
        <v>0</v>
      </c>
    </row>
    <row r="4035">
      <c r="A4035" s="5" t="str">
        <f>IFERROR(__xludf.DUMMYFUNCTION("""COMPUTED_VALUE"""),"46322")</f>
        <v>46322</v>
      </c>
      <c r="B4035" s="64">
        <f>IFERROR(__xludf.DUMMYFUNCTION("""COMPUTED_VALUE"""),44607.0)</f>
        <v>44607</v>
      </c>
      <c r="C4035" s="5"/>
      <c r="D4035" s="5"/>
      <c r="E4035" s="5"/>
      <c r="F4035" s="22">
        <f>IFERROR(__xludf.DUMMYFUNCTION("""COMPUTED_VALUE"""),500000.0)</f>
        <v>500000</v>
      </c>
      <c r="G4035" s="22">
        <f>IFERROR(__xludf.DUMMYFUNCTION("""COMPUTED_VALUE"""),0.0)</f>
        <v>0</v>
      </c>
      <c r="H4035" s="22">
        <f>IFERROR(__xludf.DUMMYFUNCTION("""COMPUTED_VALUE"""),500000.0)</f>
        <v>500000</v>
      </c>
      <c r="I4035" s="24">
        <f>IFERROR(__xludf.DUMMYFUNCTION("""COMPUTED_VALUE"""),0.0)</f>
        <v>0</v>
      </c>
    </row>
    <row r="4036">
      <c r="A4036" s="5" t="str">
        <f>IFERROR(__xludf.DUMMYFUNCTION("""COMPUTED_VALUE"""),"46322")</f>
        <v>46322</v>
      </c>
      <c r="B4036" s="64">
        <f>IFERROR(__xludf.DUMMYFUNCTION("""COMPUTED_VALUE"""),44608.0)</f>
        <v>44608</v>
      </c>
      <c r="C4036" s="5"/>
      <c r="D4036" s="5"/>
      <c r="E4036" s="5"/>
      <c r="F4036" s="22">
        <f>IFERROR(__xludf.DUMMYFUNCTION("""COMPUTED_VALUE"""),500000.0)</f>
        <v>500000</v>
      </c>
      <c r="G4036" s="22">
        <f>IFERROR(__xludf.DUMMYFUNCTION("""COMPUTED_VALUE"""),0.0)</f>
        <v>0</v>
      </c>
      <c r="H4036" s="22">
        <f>IFERROR(__xludf.DUMMYFUNCTION("""COMPUTED_VALUE"""),500000.0)</f>
        <v>500000</v>
      </c>
      <c r="I4036" s="24">
        <f>IFERROR(__xludf.DUMMYFUNCTION("""COMPUTED_VALUE"""),0.0)</f>
        <v>0</v>
      </c>
    </row>
    <row r="4037">
      <c r="A4037" s="5" t="str">
        <f>IFERROR(__xludf.DUMMYFUNCTION("""COMPUTED_VALUE"""),"46322")</f>
        <v>46322</v>
      </c>
      <c r="B4037" s="64">
        <f>IFERROR(__xludf.DUMMYFUNCTION("""COMPUTED_VALUE"""),44609.0)</f>
        <v>44609</v>
      </c>
      <c r="C4037" s="5"/>
      <c r="D4037" s="5"/>
      <c r="E4037" s="5"/>
      <c r="F4037" s="22">
        <f>IFERROR(__xludf.DUMMYFUNCTION("""COMPUTED_VALUE"""),500000.0)</f>
        <v>500000</v>
      </c>
      <c r="G4037" s="22">
        <f>IFERROR(__xludf.DUMMYFUNCTION("""COMPUTED_VALUE"""),0.0)</f>
        <v>0</v>
      </c>
      <c r="H4037" s="22">
        <f>IFERROR(__xludf.DUMMYFUNCTION("""COMPUTED_VALUE"""),500000.0)</f>
        <v>500000</v>
      </c>
      <c r="I4037" s="24">
        <f>IFERROR(__xludf.DUMMYFUNCTION("""COMPUTED_VALUE"""),0.0)</f>
        <v>0</v>
      </c>
    </row>
    <row r="4038">
      <c r="A4038" s="5" t="str">
        <f>IFERROR(__xludf.DUMMYFUNCTION("""COMPUTED_VALUE"""),"46322")</f>
        <v>46322</v>
      </c>
      <c r="B4038" s="64">
        <f>IFERROR(__xludf.DUMMYFUNCTION("""COMPUTED_VALUE"""),44610.0)</f>
        <v>44610</v>
      </c>
      <c r="C4038" s="5"/>
      <c r="D4038" s="5"/>
      <c r="E4038" s="5"/>
      <c r="F4038" s="22">
        <f>IFERROR(__xludf.DUMMYFUNCTION("""COMPUTED_VALUE"""),500000.0)</f>
        <v>500000</v>
      </c>
      <c r="G4038" s="22">
        <f>IFERROR(__xludf.DUMMYFUNCTION("""COMPUTED_VALUE"""),0.0)</f>
        <v>0</v>
      </c>
      <c r="H4038" s="22">
        <f>IFERROR(__xludf.DUMMYFUNCTION("""COMPUTED_VALUE"""),500000.0)</f>
        <v>500000</v>
      </c>
      <c r="I4038" s="24">
        <f>IFERROR(__xludf.DUMMYFUNCTION("""COMPUTED_VALUE"""),0.0)</f>
        <v>0</v>
      </c>
    </row>
    <row r="4039">
      <c r="A4039" s="5" t="str">
        <f>IFERROR(__xludf.DUMMYFUNCTION("""COMPUTED_VALUE"""),"46322")</f>
        <v>46322</v>
      </c>
      <c r="B4039" s="64">
        <f>IFERROR(__xludf.DUMMYFUNCTION("""COMPUTED_VALUE"""),44611.0)</f>
        <v>44611</v>
      </c>
      <c r="C4039" s="5"/>
      <c r="D4039" s="5"/>
      <c r="E4039" s="5"/>
      <c r="F4039" s="22">
        <f>IFERROR(__xludf.DUMMYFUNCTION("""COMPUTED_VALUE"""),500000.0)</f>
        <v>500000</v>
      </c>
      <c r="G4039" s="22">
        <f>IFERROR(__xludf.DUMMYFUNCTION("""COMPUTED_VALUE"""),0.0)</f>
        <v>0</v>
      </c>
      <c r="H4039" s="22">
        <f>IFERROR(__xludf.DUMMYFUNCTION("""COMPUTED_VALUE"""),500000.0)</f>
        <v>500000</v>
      </c>
      <c r="I4039" s="24">
        <f>IFERROR(__xludf.DUMMYFUNCTION("""COMPUTED_VALUE"""),0.0)</f>
        <v>0</v>
      </c>
    </row>
    <row r="4040">
      <c r="A4040" s="5" t="str">
        <f>IFERROR(__xludf.DUMMYFUNCTION("""COMPUTED_VALUE"""),"46322")</f>
        <v>46322</v>
      </c>
      <c r="B4040" s="64">
        <f>IFERROR(__xludf.DUMMYFUNCTION("""COMPUTED_VALUE"""),44612.0)</f>
        <v>44612</v>
      </c>
      <c r="C4040" s="5"/>
      <c r="D4040" s="5"/>
      <c r="E4040" s="5"/>
      <c r="F4040" s="22">
        <f>IFERROR(__xludf.DUMMYFUNCTION("""COMPUTED_VALUE"""),500000.0)</f>
        <v>500000</v>
      </c>
      <c r="G4040" s="22">
        <f>IFERROR(__xludf.DUMMYFUNCTION("""COMPUTED_VALUE"""),0.0)</f>
        <v>0</v>
      </c>
      <c r="H4040" s="22">
        <f>IFERROR(__xludf.DUMMYFUNCTION("""COMPUTED_VALUE"""),500000.0)</f>
        <v>500000</v>
      </c>
      <c r="I4040" s="24">
        <f>IFERROR(__xludf.DUMMYFUNCTION("""COMPUTED_VALUE"""),0.0)</f>
        <v>0</v>
      </c>
    </row>
    <row r="4041">
      <c r="A4041" s="5" t="str">
        <f>IFERROR(__xludf.DUMMYFUNCTION("""COMPUTED_VALUE"""),"46322")</f>
        <v>46322</v>
      </c>
      <c r="B4041" s="64">
        <f>IFERROR(__xludf.DUMMYFUNCTION("""COMPUTED_VALUE"""),44613.0)</f>
        <v>44613</v>
      </c>
      <c r="C4041" s="5"/>
      <c r="D4041" s="5"/>
      <c r="E4041" s="5"/>
      <c r="F4041" s="22">
        <f>IFERROR(__xludf.DUMMYFUNCTION("""COMPUTED_VALUE"""),500000.0)</f>
        <v>500000</v>
      </c>
      <c r="G4041" s="22">
        <f>IFERROR(__xludf.DUMMYFUNCTION("""COMPUTED_VALUE"""),0.0)</f>
        <v>0</v>
      </c>
      <c r="H4041" s="22">
        <f>IFERROR(__xludf.DUMMYFUNCTION("""COMPUTED_VALUE"""),500000.0)</f>
        <v>500000</v>
      </c>
      <c r="I4041" s="24">
        <f>IFERROR(__xludf.DUMMYFUNCTION("""COMPUTED_VALUE"""),0.0)</f>
        <v>0</v>
      </c>
    </row>
    <row r="4042">
      <c r="A4042" s="5" t="str">
        <f>IFERROR(__xludf.DUMMYFUNCTION("""COMPUTED_VALUE"""),"46322")</f>
        <v>46322</v>
      </c>
      <c r="B4042" s="64">
        <f>IFERROR(__xludf.DUMMYFUNCTION("""COMPUTED_VALUE"""),44614.0)</f>
        <v>44614</v>
      </c>
      <c r="C4042" s="5"/>
      <c r="D4042" s="5"/>
      <c r="E4042" s="5"/>
      <c r="F4042" s="22">
        <f>IFERROR(__xludf.DUMMYFUNCTION("""COMPUTED_VALUE"""),500000.0)</f>
        <v>500000</v>
      </c>
      <c r="G4042" s="22">
        <f>IFERROR(__xludf.DUMMYFUNCTION("""COMPUTED_VALUE"""),0.0)</f>
        <v>0</v>
      </c>
      <c r="H4042" s="22">
        <f>IFERROR(__xludf.DUMMYFUNCTION("""COMPUTED_VALUE"""),500000.0)</f>
        <v>500000</v>
      </c>
      <c r="I4042" s="24">
        <f>IFERROR(__xludf.DUMMYFUNCTION("""COMPUTED_VALUE"""),0.0)</f>
        <v>0</v>
      </c>
    </row>
    <row r="4043">
      <c r="A4043" s="5" t="str">
        <f>IFERROR(__xludf.DUMMYFUNCTION("""COMPUTED_VALUE"""),"46322")</f>
        <v>46322</v>
      </c>
      <c r="B4043" s="64">
        <f>IFERROR(__xludf.DUMMYFUNCTION("""COMPUTED_VALUE"""),44615.0)</f>
        <v>44615</v>
      </c>
      <c r="C4043" s="5"/>
      <c r="D4043" s="5"/>
      <c r="E4043" s="5"/>
      <c r="F4043" s="22">
        <f>IFERROR(__xludf.DUMMYFUNCTION("""COMPUTED_VALUE"""),500000.0)</f>
        <v>500000</v>
      </c>
      <c r="G4043" s="22">
        <f>IFERROR(__xludf.DUMMYFUNCTION("""COMPUTED_VALUE"""),0.0)</f>
        <v>0</v>
      </c>
      <c r="H4043" s="22">
        <f>IFERROR(__xludf.DUMMYFUNCTION("""COMPUTED_VALUE"""),500000.0)</f>
        <v>500000</v>
      </c>
      <c r="I4043" s="24">
        <f>IFERROR(__xludf.DUMMYFUNCTION("""COMPUTED_VALUE"""),0.0)</f>
        <v>0</v>
      </c>
    </row>
    <row r="4044">
      <c r="A4044" s="5" t="str">
        <f>IFERROR(__xludf.DUMMYFUNCTION("""COMPUTED_VALUE"""),"46322")</f>
        <v>46322</v>
      </c>
      <c r="B4044" s="64">
        <f>IFERROR(__xludf.DUMMYFUNCTION("""COMPUTED_VALUE"""),44616.0)</f>
        <v>44616</v>
      </c>
      <c r="C4044" s="5"/>
      <c r="D4044" s="5"/>
      <c r="E4044" s="5"/>
      <c r="F4044" s="22">
        <f>IFERROR(__xludf.DUMMYFUNCTION("""COMPUTED_VALUE"""),500000.0)</f>
        <v>500000</v>
      </c>
      <c r="G4044" s="22">
        <f>IFERROR(__xludf.DUMMYFUNCTION("""COMPUTED_VALUE"""),0.0)</f>
        <v>0</v>
      </c>
      <c r="H4044" s="22">
        <f>IFERROR(__xludf.DUMMYFUNCTION("""COMPUTED_VALUE"""),500000.0)</f>
        <v>500000</v>
      </c>
      <c r="I4044" s="24">
        <f>IFERROR(__xludf.DUMMYFUNCTION("""COMPUTED_VALUE"""),0.0)</f>
        <v>0</v>
      </c>
    </row>
    <row r="4045">
      <c r="A4045" s="5" t="str">
        <f>IFERROR(__xludf.DUMMYFUNCTION("""COMPUTED_VALUE"""),"46322")</f>
        <v>46322</v>
      </c>
      <c r="B4045" s="64">
        <f>IFERROR(__xludf.DUMMYFUNCTION("""COMPUTED_VALUE"""),44617.0)</f>
        <v>44617</v>
      </c>
      <c r="C4045" s="5"/>
      <c r="D4045" s="5"/>
      <c r="E4045" s="5"/>
      <c r="F4045" s="22">
        <f>IFERROR(__xludf.DUMMYFUNCTION("""COMPUTED_VALUE"""),424656.608)</f>
        <v>424656.608</v>
      </c>
      <c r="G4045" s="22">
        <f>IFERROR(__xludf.DUMMYFUNCTION("""COMPUTED_VALUE"""),0.0)</f>
        <v>0</v>
      </c>
      <c r="H4045" s="22">
        <f>IFERROR(__xludf.DUMMYFUNCTION("""COMPUTED_VALUE"""),499997.6)</f>
        <v>499997.6</v>
      </c>
      <c r="I4045" s="24">
        <f>IFERROR(__xludf.DUMMYFUNCTION("""COMPUTED_VALUE"""),-4.800000000027005E-6)</f>
        <v>-0.0000048</v>
      </c>
    </row>
    <row r="4046">
      <c r="A4046" s="5" t="str">
        <f>IFERROR(__xludf.DUMMYFUNCTION("""COMPUTED_VALUE"""),"46322")</f>
        <v>46322</v>
      </c>
      <c r="B4046" s="64">
        <f>IFERROR(__xludf.DUMMYFUNCTION("""COMPUTED_VALUE"""),44618.0)</f>
        <v>44618</v>
      </c>
      <c r="C4046" s="5"/>
      <c r="D4046" s="5"/>
      <c r="E4046" s="5"/>
      <c r="F4046" s="22">
        <f>IFERROR(__xludf.DUMMYFUNCTION("""COMPUTED_VALUE"""),424656.608)</f>
        <v>424656.608</v>
      </c>
      <c r="G4046" s="22">
        <f>IFERROR(__xludf.DUMMYFUNCTION("""COMPUTED_VALUE"""),0.0)</f>
        <v>0</v>
      </c>
      <c r="H4046" s="22">
        <f>IFERROR(__xludf.DUMMYFUNCTION("""COMPUTED_VALUE"""),499997.6)</f>
        <v>499997.6</v>
      </c>
      <c r="I4046" s="24">
        <f>IFERROR(__xludf.DUMMYFUNCTION("""COMPUTED_VALUE"""),-4.800000000027005E-6)</f>
        <v>-0.0000048</v>
      </c>
    </row>
    <row r="4047">
      <c r="A4047" s="5" t="str">
        <f>IFERROR(__xludf.DUMMYFUNCTION("""COMPUTED_VALUE"""),"46322")</f>
        <v>46322</v>
      </c>
      <c r="B4047" s="64">
        <f>IFERROR(__xludf.DUMMYFUNCTION("""COMPUTED_VALUE"""),44619.0)</f>
        <v>44619</v>
      </c>
      <c r="C4047" s="5"/>
      <c r="D4047" s="5"/>
      <c r="E4047" s="5"/>
      <c r="F4047" s="22">
        <f>IFERROR(__xludf.DUMMYFUNCTION("""COMPUTED_VALUE"""),424656.608)</f>
        <v>424656.608</v>
      </c>
      <c r="G4047" s="22">
        <f>IFERROR(__xludf.DUMMYFUNCTION("""COMPUTED_VALUE"""),0.0)</f>
        <v>0</v>
      </c>
      <c r="H4047" s="22">
        <f>IFERROR(__xludf.DUMMYFUNCTION("""COMPUTED_VALUE"""),389949.07920000004)</f>
        <v>389949.0792</v>
      </c>
      <c r="I4047" s="24">
        <f>IFERROR(__xludf.DUMMYFUNCTION("""COMPUTED_VALUE"""),-0.2201018415999999)</f>
        <v>-0.2201018416</v>
      </c>
    </row>
    <row r="4048">
      <c r="A4048" s="5" t="str">
        <f>IFERROR(__xludf.DUMMYFUNCTION("""COMPUTED_VALUE"""),"46322")</f>
        <v>46322</v>
      </c>
      <c r="B4048" s="64">
        <f>IFERROR(__xludf.DUMMYFUNCTION("""COMPUTED_VALUE"""),44620.0)</f>
        <v>44620</v>
      </c>
      <c r="C4048" s="5"/>
      <c r="D4048" s="5"/>
      <c r="E4048" s="5"/>
      <c r="F4048" s="22">
        <f>IFERROR(__xludf.DUMMYFUNCTION("""COMPUTED_VALUE"""),424656.608)</f>
        <v>424656.608</v>
      </c>
      <c r="G4048" s="22">
        <f>IFERROR(__xludf.DUMMYFUNCTION("""COMPUTED_VALUE"""),0.0)</f>
        <v>0</v>
      </c>
      <c r="H4048" s="22">
        <f>IFERROR(__xludf.DUMMYFUNCTION("""COMPUTED_VALUE"""),496810.62484)</f>
        <v>496810.6248</v>
      </c>
      <c r="I4048" s="24">
        <f>IFERROR(__xludf.DUMMYFUNCTION("""COMPUTED_VALUE"""),-0.006378750320000015)</f>
        <v>-0.00637875032</v>
      </c>
    </row>
    <row r="4049">
      <c r="A4049" s="5" t="str">
        <f>IFERROR(__xludf.DUMMYFUNCTION("""COMPUTED_VALUE"""),"46322")</f>
        <v>46322</v>
      </c>
      <c r="B4049" s="64">
        <f>IFERROR(__xludf.DUMMYFUNCTION("""COMPUTED_VALUE"""),44621.0)</f>
        <v>44621</v>
      </c>
      <c r="C4049" s="5"/>
      <c r="D4049" s="5"/>
      <c r="E4049" s="5"/>
      <c r="F4049" s="22">
        <f>IFERROR(__xludf.DUMMYFUNCTION("""COMPUTED_VALUE"""),424656.608)</f>
        <v>424656.608</v>
      </c>
      <c r="G4049" s="22">
        <f>IFERROR(__xludf.DUMMYFUNCTION("""COMPUTED_VALUE"""),0.0)</f>
        <v>0</v>
      </c>
      <c r="H4049" s="22">
        <f>IFERROR(__xludf.DUMMYFUNCTION("""COMPUTED_VALUE"""),495782.45094)</f>
        <v>495782.4509</v>
      </c>
      <c r="I4049" s="24">
        <f>IFERROR(__xludf.DUMMYFUNCTION("""COMPUTED_VALUE"""),-0.008435098119999984)</f>
        <v>-0.00843509812</v>
      </c>
    </row>
    <row r="4050">
      <c r="A4050" s="5" t="str">
        <f>IFERROR(__xludf.DUMMYFUNCTION("""COMPUTED_VALUE"""),"46322")</f>
        <v>46322</v>
      </c>
      <c r="B4050" s="64">
        <f>IFERROR(__xludf.DUMMYFUNCTION("""COMPUTED_VALUE"""),44622.0)</f>
        <v>44622</v>
      </c>
      <c r="C4050" s="5"/>
      <c r="D4050" s="5"/>
      <c r="E4050" s="5"/>
      <c r="F4050" s="22">
        <f>IFERROR(__xludf.DUMMYFUNCTION("""COMPUTED_VALUE"""),424656.608)</f>
        <v>424656.608</v>
      </c>
      <c r="G4050" s="22">
        <f>IFERROR(__xludf.DUMMYFUNCTION("""COMPUTED_VALUE"""),0.0)</f>
        <v>0</v>
      </c>
      <c r="H4050" s="22">
        <f>IFERROR(__xludf.DUMMYFUNCTION("""COMPUTED_VALUE"""),495251.60933)</f>
        <v>495251.6093</v>
      </c>
      <c r="I4050" s="24">
        <f>IFERROR(__xludf.DUMMYFUNCTION("""COMPUTED_VALUE"""),-0.009496781339999982)</f>
        <v>-0.00949678134</v>
      </c>
    </row>
    <row r="4051">
      <c r="A4051" s="5" t="str">
        <f>IFERROR(__xludf.DUMMYFUNCTION("""COMPUTED_VALUE"""),"46322")</f>
        <v>46322</v>
      </c>
      <c r="B4051" s="64">
        <f>IFERROR(__xludf.DUMMYFUNCTION("""COMPUTED_VALUE"""),44623.0)</f>
        <v>44623</v>
      </c>
      <c r="C4051" s="5"/>
      <c r="D4051" s="5"/>
      <c r="E4051" s="5"/>
      <c r="F4051" s="22">
        <f>IFERROR(__xludf.DUMMYFUNCTION("""COMPUTED_VALUE"""),424656.608)</f>
        <v>424656.608</v>
      </c>
      <c r="G4051" s="22">
        <f>IFERROR(__xludf.DUMMYFUNCTION("""COMPUTED_VALUE"""),0.0)</f>
        <v>0</v>
      </c>
      <c r="H4051" s="22">
        <f>IFERROR(__xludf.DUMMYFUNCTION("""COMPUTED_VALUE"""),500088.14244)</f>
        <v>500088.1424</v>
      </c>
      <c r="I4051" s="24">
        <f>IFERROR(__xludf.DUMMYFUNCTION("""COMPUTED_VALUE"""),1.7628487999998832E-4)</f>
        <v>0.00017628488</v>
      </c>
    </row>
    <row r="4052">
      <c r="A4052" s="5" t="str">
        <f>IFERROR(__xludf.DUMMYFUNCTION("""COMPUTED_VALUE"""),"46322")</f>
        <v>46322</v>
      </c>
      <c r="B4052" s="64">
        <f>IFERROR(__xludf.DUMMYFUNCTION("""COMPUTED_VALUE"""),44624.0)</f>
        <v>44624</v>
      </c>
      <c r="C4052" s="5"/>
      <c r="D4052" s="5"/>
      <c r="E4052" s="5"/>
      <c r="F4052" s="22">
        <f>IFERROR(__xludf.DUMMYFUNCTION("""COMPUTED_VALUE"""),424656.608)</f>
        <v>424656.608</v>
      </c>
      <c r="G4052" s="22">
        <f>IFERROR(__xludf.DUMMYFUNCTION("""COMPUTED_VALUE"""),0.0)</f>
        <v>0</v>
      </c>
      <c r="H4052" s="22">
        <f>IFERROR(__xludf.DUMMYFUNCTION("""COMPUTED_VALUE"""),503983.82444)</f>
        <v>503983.8244</v>
      </c>
      <c r="I4052" s="24">
        <f>IFERROR(__xludf.DUMMYFUNCTION("""COMPUTED_VALUE"""),0.007967648880000011)</f>
        <v>0.00796764888</v>
      </c>
    </row>
    <row r="4053">
      <c r="A4053" s="5" t="str">
        <f>IFERROR(__xludf.DUMMYFUNCTION("""COMPUTED_VALUE"""),"46322")</f>
        <v>46322</v>
      </c>
      <c r="B4053" s="64">
        <f>IFERROR(__xludf.DUMMYFUNCTION("""COMPUTED_VALUE"""),44625.0)</f>
        <v>44625</v>
      </c>
      <c r="C4053" s="5"/>
      <c r="D4053" s="5"/>
      <c r="E4053" s="5"/>
      <c r="F4053" s="22">
        <f>IFERROR(__xludf.DUMMYFUNCTION("""COMPUTED_VALUE"""),424656.608)</f>
        <v>424656.608</v>
      </c>
      <c r="G4053" s="22">
        <f>IFERROR(__xludf.DUMMYFUNCTION("""COMPUTED_VALUE"""),0.0)</f>
        <v>0</v>
      </c>
      <c r="H4053" s="22">
        <f>IFERROR(__xludf.DUMMYFUNCTION("""COMPUTED_VALUE"""),503983.82444)</f>
        <v>503983.8244</v>
      </c>
      <c r="I4053" s="24">
        <f>IFERROR(__xludf.DUMMYFUNCTION("""COMPUTED_VALUE"""),0.007967648880000011)</f>
        <v>0.00796764888</v>
      </c>
    </row>
    <row r="4054">
      <c r="A4054" s="5" t="str">
        <f>IFERROR(__xludf.DUMMYFUNCTION("""COMPUTED_VALUE"""),"46322")</f>
        <v>46322</v>
      </c>
      <c r="B4054" s="64">
        <f>IFERROR(__xludf.DUMMYFUNCTION("""COMPUTED_VALUE"""),44626.0)</f>
        <v>44626</v>
      </c>
      <c r="C4054" s="5"/>
      <c r="D4054" s="5"/>
      <c r="E4054" s="5"/>
      <c r="F4054" s="22">
        <f>IFERROR(__xludf.DUMMYFUNCTION("""COMPUTED_VALUE"""),424656.608)</f>
        <v>424656.608</v>
      </c>
      <c r="G4054" s="22">
        <f>IFERROR(__xludf.DUMMYFUNCTION("""COMPUTED_VALUE"""),0.0)</f>
        <v>0</v>
      </c>
      <c r="H4054" s="22">
        <f>IFERROR(__xludf.DUMMYFUNCTION("""COMPUTED_VALUE"""),503983.82444)</f>
        <v>503983.8244</v>
      </c>
      <c r="I4054" s="24">
        <f>IFERROR(__xludf.DUMMYFUNCTION("""COMPUTED_VALUE"""),0.007967648880000011)</f>
        <v>0.00796764888</v>
      </c>
    </row>
    <row r="4055">
      <c r="A4055" s="5" t="str">
        <f>IFERROR(__xludf.DUMMYFUNCTION("""COMPUTED_VALUE"""),"46322")</f>
        <v>46322</v>
      </c>
      <c r="B4055" s="64">
        <f>IFERROR(__xludf.DUMMYFUNCTION("""COMPUTED_VALUE"""),44627.0)</f>
        <v>44627</v>
      </c>
      <c r="C4055" s="5"/>
      <c r="D4055" s="5"/>
      <c r="E4055" s="5"/>
      <c r="F4055" s="22">
        <f>IFERROR(__xludf.DUMMYFUNCTION("""COMPUTED_VALUE"""),290597.46335000003)</f>
        <v>290597.4634</v>
      </c>
      <c r="G4055" s="22">
        <f>IFERROR(__xludf.DUMMYFUNCTION("""COMPUTED_VALUE"""),0.0)</f>
        <v>0</v>
      </c>
      <c r="H4055" s="22">
        <f>IFERROR(__xludf.DUMMYFUNCTION("""COMPUTED_VALUE"""),506779.13685)</f>
        <v>506779.1369</v>
      </c>
      <c r="I4055" s="24">
        <f>IFERROR(__xludf.DUMMYFUNCTION("""COMPUTED_VALUE"""),0.013558273699999956)</f>
        <v>0.0135582737</v>
      </c>
    </row>
    <row r="4056">
      <c r="A4056" s="5" t="str">
        <f>IFERROR(__xludf.DUMMYFUNCTION("""COMPUTED_VALUE"""),"46322")</f>
        <v>46322</v>
      </c>
      <c r="B4056" s="64">
        <f>IFERROR(__xludf.DUMMYFUNCTION("""COMPUTED_VALUE"""),44628.0)</f>
        <v>44628</v>
      </c>
      <c r="C4056" s="5"/>
      <c r="D4056" s="5"/>
      <c r="E4056" s="5"/>
      <c r="F4056" s="22">
        <f>IFERROR(__xludf.DUMMYFUNCTION("""COMPUTED_VALUE"""),290597.46335000003)</f>
        <v>290597.4634</v>
      </c>
      <c r="G4056" s="22">
        <f>IFERROR(__xludf.DUMMYFUNCTION("""COMPUTED_VALUE"""),0.0)</f>
        <v>0</v>
      </c>
      <c r="H4056" s="22">
        <f>IFERROR(__xludf.DUMMYFUNCTION("""COMPUTED_VALUE"""),506052.59715000005)</f>
        <v>506052.5972</v>
      </c>
      <c r="I4056" s="24">
        <f>IFERROR(__xludf.DUMMYFUNCTION("""COMPUTED_VALUE"""),0.012105194300000122)</f>
        <v>0.0121051943</v>
      </c>
    </row>
    <row r="4057">
      <c r="A4057" s="5" t="str">
        <f>IFERROR(__xludf.DUMMYFUNCTION("""COMPUTED_VALUE"""),"46322")</f>
        <v>46322</v>
      </c>
      <c r="B4057" s="64">
        <f>IFERROR(__xludf.DUMMYFUNCTION("""COMPUTED_VALUE"""),44629.0)</f>
        <v>44629</v>
      </c>
      <c r="C4057" s="5"/>
      <c r="D4057" s="5"/>
      <c r="E4057" s="5"/>
      <c r="F4057" s="22">
        <f>IFERROR(__xludf.DUMMYFUNCTION("""COMPUTED_VALUE"""),290597.46335000003)</f>
        <v>290597.4634</v>
      </c>
      <c r="G4057" s="22">
        <f>IFERROR(__xludf.DUMMYFUNCTION("""COMPUTED_VALUE"""),0.0)</f>
        <v>0</v>
      </c>
      <c r="H4057" s="22">
        <f>IFERROR(__xludf.DUMMYFUNCTION("""COMPUTED_VALUE"""),495179.99052999995)</f>
        <v>495179.9905</v>
      </c>
      <c r="I4057" s="24">
        <f>IFERROR(__xludf.DUMMYFUNCTION("""COMPUTED_VALUE"""),-0.009640018940000106)</f>
        <v>-0.00964001894</v>
      </c>
    </row>
    <row r="4058">
      <c r="A4058" s="5" t="str">
        <f>IFERROR(__xludf.DUMMYFUNCTION("""COMPUTED_VALUE"""),"46322")</f>
        <v>46322</v>
      </c>
      <c r="B4058" s="64">
        <f>IFERROR(__xludf.DUMMYFUNCTION("""COMPUTED_VALUE"""),44630.0)</f>
        <v>44630</v>
      </c>
      <c r="C4058" s="5"/>
      <c r="D4058" s="5"/>
      <c r="E4058" s="5"/>
      <c r="F4058" s="22">
        <f>IFERROR(__xludf.DUMMYFUNCTION("""COMPUTED_VALUE"""),290597.46335000003)</f>
        <v>290597.4634</v>
      </c>
      <c r="G4058" s="22">
        <f>IFERROR(__xludf.DUMMYFUNCTION("""COMPUTED_VALUE"""),0.0)</f>
        <v>0</v>
      </c>
      <c r="H4058" s="22">
        <f>IFERROR(__xludf.DUMMYFUNCTION("""COMPUTED_VALUE"""),501819.85477)</f>
        <v>501819.8548</v>
      </c>
      <c r="I4058" s="24">
        <f>IFERROR(__xludf.DUMMYFUNCTION("""COMPUTED_VALUE"""),0.0036397095400000357)</f>
        <v>0.00363970954</v>
      </c>
    </row>
    <row r="4059">
      <c r="A4059" s="5" t="str">
        <f>IFERROR(__xludf.DUMMYFUNCTION("""COMPUTED_VALUE"""),"46322")</f>
        <v>46322</v>
      </c>
      <c r="B4059" s="64">
        <f>IFERROR(__xludf.DUMMYFUNCTION("""COMPUTED_VALUE"""),44631.0)</f>
        <v>44631</v>
      </c>
      <c r="C4059" s="5"/>
      <c r="D4059" s="5"/>
      <c r="E4059" s="5"/>
      <c r="F4059" s="22">
        <f>IFERROR(__xludf.DUMMYFUNCTION("""COMPUTED_VALUE"""),290597.46335000003)</f>
        <v>290597.4634</v>
      </c>
      <c r="G4059" s="22">
        <f>IFERROR(__xludf.DUMMYFUNCTION("""COMPUTED_VALUE"""),0.0)</f>
        <v>0</v>
      </c>
      <c r="H4059" s="22">
        <f>IFERROR(__xludf.DUMMYFUNCTION("""COMPUTED_VALUE"""),514175.46534999995)</f>
        <v>514175.4654</v>
      </c>
      <c r="I4059" s="24">
        <f>IFERROR(__xludf.DUMMYFUNCTION("""COMPUTED_VALUE"""),0.028350930699999832)</f>
        <v>0.0283509307</v>
      </c>
    </row>
    <row r="4060">
      <c r="A4060" s="5" t="str">
        <f>IFERROR(__xludf.DUMMYFUNCTION("""COMPUTED_VALUE"""),"46322")</f>
        <v>46322</v>
      </c>
      <c r="B4060" s="64">
        <f>IFERROR(__xludf.DUMMYFUNCTION("""COMPUTED_VALUE"""),44632.0)</f>
        <v>44632</v>
      </c>
      <c r="C4060" s="5"/>
      <c r="D4060" s="5"/>
      <c r="E4060" s="5"/>
      <c r="F4060" s="22">
        <f>IFERROR(__xludf.DUMMYFUNCTION("""COMPUTED_VALUE"""),290597.46335000003)</f>
        <v>290597.4634</v>
      </c>
      <c r="G4060" s="22">
        <f>IFERROR(__xludf.DUMMYFUNCTION("""COMPUTED_VALUE"""),0.0)</f>
        <v>0</v>
      </c>
      <c r="H4060" s="22">
        <f>IFERROR(__xludf.DUMMYFUNCTION("""COMPUTED_VALUE"""),514175.46534999995)</f>
        <v>514175.4654</v>
      </c>
      <c r="I4060" s="24">
        <f>IFERROR(__xludf.DUMMYFUNCTION("""COMPUTED_VALUE"""),0.028350930699999832)</f>
        <v>0.0283509307</v>
      </c>
    </row>
    <row r="4061">
      <c r="A4061" s="5" t="str">
        <f>IFERROR(__xludf.DUMMYFUNCTION("""COMPUTED_VALUE"""),"46322")</f>
        <v>46322</v>
      </c>
      <c r="B4061" s="64">
        <f>IFERROR(__xludf.DUMMYFUNCTION("""COMPUTED_VALUE"""),44633.0)</f>
        <v>44633</v>
      </c>
      <c r="C4061" s="5"/>
      <c r="D4061" s="5"/>
      <c r="E4061" s="5"/>
      <c r="F4061" s="22">
        <f>IFERROR(__xludf.DUMMYFUNCTION("""COMPUTED_VALUE"""),290597.46335000003)</f>
        <v>290597.4634</v>
      </c>
      <c r="G4061" s="22">
        <f>IFERROR(__xludf.DUMMYFUNCTION("""COMPUTED_VALUE"""),0.0)</f>
        <v>0</v>
      </c>
      <c r="H4061" s="22">
        <f>IFERROR(__xludf.DUMMYFUNCTION("""COMPUTED_VALUE"""),514175.46534999995)</f>
        <v>514175.4654</v>
      </c>
      <c r="I4061" s="24">
        <f>IFERROR(__xludf.DUMMYFUNCTION("""COMPUTED_VALUE"""),0.028350930699999832)</f>
        <v>0.0283509307</v>
      </c>
    </row>
    <row r="4062">
      <c r="A4062" s="5" t="str">
        <f>IFERROR(__xludf.DUMMYFUNCTION("""COMPUTED_VALUE"""),"46322")</f>
        <v>46322</v>
      </c>
      <c r="B4062" s="64">
        <f>IFERROR(__xludf.DUMMYFUNCTION("""COMPUTED_VALUE"""),44634.0)</f>
        <v>44634</v>
      </c>
      <c r="C4062" s="5"/>
      <c r="D4062" s="5"/>
      <c r="E4062" s="5"/>
      <c r="F4062" s="22">
        <f>IFERROR(__xludf.DUMMYFUNCTION("""COMPUTED_VALUE"""),167968.29485)</f>
        <v>167968.2949</v>
      </c>
      <c r="G4062" s="22">
        <f>IFERROR(__xludf.DUMMYFUNCTION("""COMPUTED_VALUE"""),0.0)</f>
        <v>0</v>
      </c>
      <c r="H4062" s="22">
        <f>IFERROR(__xludf.DUMMYFUNCTION("""COMPUTED_VALUE"""),524305.0886899999)</f>
        <v>524305.0887</v>
      </c>
      <c r="I4062" s="24">
        <f>IFERROR(__xludf.DUMMYFUNCTION("""COMPUTED_VALUE"""),0.04861017737999984)</f>
        <v>0.04861017738</v>
      </c>
    </row>
    <row r="4063">
      <c r="A4063" s="5" t="str">
        <f>IFERROR(__xludf.DUMMYFUNCTION("""COMPUTED_VALUE"""),"46322")</f>
        <v>46322</v>
      </c>
      <c r="B4063" s="64">
        <f>IFERROR(__xludf.DUMMYFUNCTION("""COMPUTED_VALUE"""),44635.0)</f>
        <v>44635</v>
      </c>
      <c r="C4063" s="5"/>
      <c r="D4063" s="5"/>
      <c r="E4063" s="5"/>
      <c r="F4063" s="22">
        <f>IFERROR(__xludf.DUMMYFUNCTION("""COMPUTED_VALUE"""),167968.29485)</f>
        <v>167968.2949</v>
      </c>
      <c r="G4063" s="22">
        <f>IFERROR(__xludf.DUMMYFUNCTION("""COMPUTED_VALUE"""),0.0)</f>
        <v>0</v>
      </c>
      <c r="H4063" s="22">
        <f>IFERROR(__xludf.DUMMYFUNCTION("""COMPUTED_VALUE"""),508028.72432999994)</f>
        <v>508028.7243</v>
      </c>
      <c r="I4063" s="24">
        <f>IFERROR(__xludf.DUMMYFUNCTION("""COMPUTED_VALUE"""),0.016057448659999807)</f>
        <v>0.01605744866</v>
      </c>
    </row>
    <row r="4064">
      <c r="A4064" s="5" t="str">
        <f>IFERROR(__xludf.DUMMYFUNCTION("""COMPUTED_VALUE"""),"46322")</f>
        <v>46322</v>
      </c>
      <c r="B4064" s="64">
        <f>IFERROR(__xludf.DUMMYFUNCTION("""COMPUTED_VALUE"""),44636.0)</f>
        <v>44636</v>
      </c>
      <c r="C4064" s="5"/>
      <c r="D4064" s="5"/>
      <c r="E4064" s="5"/>
      <c r="F4064" s="22">
        <f>IFERROR(__xludf.DUMMYFUNCTION("""COMPUTED_VALUE"""),167968.29485)</f>
        <v>167968.2949</v>
      </c>
      <c r="G4064" s="22">
        <f>IFERROR(__xludf.DUMMYFUNCTION("""COMPUTED_VALUE"""),0.0)</f>
        <v>0</v>
      </c>
      <c r="H4064" s="22">
        <f>IFERROR(__xludf.DUMMYFUNCTION("""COMPUTED_VALUE"""),481616.77223000006)</f>
        <v>481616.7722</v>
      </c>
      <c r="I4064" s="24">
        <f>IFERROR(__xludf.DUMMYFUNCTION("""COMPUTED_VALUE"""),-0.03676645553999991)</f>
        <v>-0.03676645554</v>
      </c>
    </row>
    <row r="4065">
      <c r="A4065" s="5" t="str">
        <f>IFERROR(__xludf.DUMMYFUNCTION("""COMPUTED_VALUE"""),"46322")</f>
        <v>46322</v>
      </c>
      <c r="B4065" s="64">
        <f>IFERROR(__xludf.DUMMYFUNCTION("""COMPUTED_VALUE"""),44637.0)</f>
        <v>44637</v>
      </c>
      <c r="C4065" s="5"/>
      <c r="D4065" s="5"/>
      <c r="E4065" s="5"/>
      <c r="F4065" s="22">
        <f>IFERROR(__xludf.DUMMYFUNCTION("""COMPUTED_VALUE"""),167968.29485)</f>
        <v>167968.2949</v>
      </c>
      <c r="G4065" s="22">
        <f>IFERROR(__xludf.DUMMYFUNCTION("""COMPUTED_VALUE"""),0.0)</f>
        <v>0</v>
      </c>
      <c r="H4065" s="22">
        <f>IFERROR(__xludf.DUMMYFUNCTION("""COMPUTED_VALUE"""),470744.57339)</f>
        <v>470744.5734</v>
      </c>
      <c r="I4065" s="24">
        <f>IFERROR(__xludf.DUMMYFUNCTION("""COMPUTED_VALUE"""),-0.05851085322000005)</f>
        <v>-0.05851085322</v>
      </c>
    </row>
    <row r="4066">
      <c r="A4066" s="5" t="str">
        <f>IFERROR(__xludf.DUMMYFUNCTION("""COMPUTED_VALUE"""),"46322")</f>
        <v>46322</v>
      </c>
      <c r="B4066" s="64">
        <f>IFERROR(__xludf.DUMMYFUNCTION("""COMPUTED_VALUE"""),44638.0)</f>
        <v>44638</v>
      </c>
      <c r="C4066" s="5"/>
      <c r="D4066" s="5"/>
      <c r="E4066" s="5"/>
      <c r="F4066" s="22">
        <f>IFERROR(__xludf.DUMMYFUNCTION("""COMPUTED_VALUE"""),-128566.01035)</f>
        <v>-128566.0104</v>
      </c>
      <c r="G4066" s="22">
        <f>IFERROR(__xludf.DUMMYFUNCTION("""COMPUTED_VALUE"""),128566.01035)</f>
        <v>128566.0104</v>
      </c>
      <c r="H4066" s="22">
        <f>IFERROR(__xludf.DUMMYFUNCTION("""COMPUTED_VALUE"""),457111.02213000006)</f>
        <v>457111.0221</v>
      </c>
      <c r="I4066" s="24">
        <f>IFERROR(__xludf.DUMMYFUNCTION("""COMPUTED_VALUE"""),-0.08577795573999991)</f>
        <v>-0.08577795574</v>
      </c>
    </row>
    <row r="4067">
      <c r="A4067" s="5" t="str">
        <f>IFERROR(__xludf.DUMMYFUNCTION("""COMPUTED_VALUE"""),"46322")</f>
        <v>46322</v>
      </c>
      <c r="B4067" s="64">
        <f>IFERROR(__xludf.DUMMYFUNCTION("""COMPUTED_VALUE"""),44639.0)</f>
        <v>44639</v>
      </c>
      <c r="C4067" s="5"/>
      <c r="D4067" s="5"/>
      <c r="E4067" s="5"/>
      <c r="F4067" s="22">
        <f>IFERROR(__xludf.DUMMYFUNCTION("""COMPUTED_VALUE"""),-128566.01035)</f>
        <v>-128566.0104</v>
      </c>
      <c r="G4067" s="22">
        <f>IFERROR(__xludf.DUMMYFUNCTION("""COMPUTED_VALUE"""),128566.01035)</f>
        <v>128566.0104</v>
      </c>
      <c r="H4067" s="22">
        <f>IFERROR(__xludf.DUMMYFUNCTION("""COMPUTED_VALUE"""),457111.02213000006)</f>
        <v>457111.0221</v>
      </c>
      <c r="I4067" s="24">
        <f>IFERROR(__xludf.DUMMYFUNCTION("""COMPUTED_VALUE"""),-0.08577795573999991)</f>
        <v>-0.08577795574</v>
      </c>
    </row>
    <row r="4068">
      <c r="A4068" s="5" t="str">
        <f>IFERROR(__xludf.DUMMYFUNCTION("""COMPUTED_VALUE"""),"46322")</f>
        <v>46322</v>
      </c>
      <c r="B4068" s="64">
        <f>IFERROR(__xludf.DUMMYFUNCTION("""COMPUTED_VALUE"""),44640.0)</f>
        <v>44640</v>
      </c>
      <c r="C4068" s="5"/>
      <c r="D4068" s="5"/>
      <c r="E4068" s="5"/>
      <c r="F4068" s="22">
        <f>IFERROR(__xludf.DUMMYFUNCTION("""COMPUTED_VALUE"""),-128566.01035)</f>
        <v>-128566.0104</v>
      </c>
      <c r="G4068" s="22">
        <f>IFERROR(__xludf.DUMMYFUNCTION("""COMPUTED_VALUE"""),128566.01035)</f>
        <v>128566.0104</v>
      </c>
      <c r="H4068" s="22">
        <f>IFERROR(__xludf.DUMMYFUNCTION("""COMPUTED_VALUE"""),457111.02213000006)</f>
        <v>457111.0221</v>
      </c>
      <c r="I4068" s="24">
        <f>IFERROR(__xludf.DUMMYFUNCTION("""COMPUTED_VALUE"""),-0.08577795573999991)</f>
        <v>-0.08577795574</v>
      </c>
    </row>
    <row r="4069">
      <c r="A4069" s="5" t="str">
        <f>IFERROR(__xludf.DUMMYFUNCTION("""COMPUTED_VALUE"""),"46322")</f>
        <v>46322</v>
      </c>
      <c r="B4069" s="64">
        <f>IFERROR(__xludf.DUMMYFUNCTION("""COMPUTED_VALUE"""),44641.0)</f>
        <v>44641</v>
      </c>
      <c r="C4069" s="5"/>
      <c r="D4069" s="5"/>
      <c r="E4069" s="5"/>
      <c r="F4069" s="22">
        <f>IFERROR(__xludf.DUMMYFUNCTION("""COMPUTED_VALUE"""),-128566.01035)</f>
        <v>-128566.0104</v>
      </c>
      <c r="G4069" s="22">
        <f>IFERROR(__xludf.DUMMYFUNCTION("""COMPUTED_VALUE"""),128566.01035)</f>
        <v>128566.0104</v>
      </c>
      <c r="H4069" s="22">
        <f>IFERROR(__xludf.DUMMYFUNCTION("""COMPUTED_VALUE"""),472007.0981300002)</f>
        <v>472007.0981</v>
      </c>
      <c r="I4069" s="24">
        <f>IFERROR(__xludf.DUMMYFUNCTION("""COMPUTED_VALUE"""),-0.05598580373999962)</f>
        <v>-0.05598580374</v>
      </c>
    </row>
    <row r="4070">
      <c r="A4070" s="5" t="str">
        <f>IFERROR(__xludf.DUMMYFUNCTION("""COMPUTED_VALUE"""),"46322")</f>
        <v>46322</v>
      </c>
      <c r="B4070" s="64">
        <f>IFERROR(__xludf.DUMMYFUNCTION("""COMPUTED_VALUE"""),44642.0)</f>
        <v>44642</v>
      </c>
      <c r="C4070" s="5"/>
      <c r="D4070" s="5"/>
      <c r="E4070" s="5"/>
      <c r="F4070" s="22">
        <f>IFERROR(__xludf.DUMMYFUNCTION("""COMPUTED_VALUE"""),-128566.01035)</f>
        <v>-128566.0104</v>
      </c>
      <c r="G4070" s="22">
        <f>IFERROR(__xludf.DUMMYFUNCTION("""COMPUTED_VALUE"""),128566.01035)</f>
        <v>128566.0104</v>
      </c>
      <c r="H4070" s="22">
        <f>IFERROR(__xludf.DUMMYFUNCTION("""COMPUTED_VALUE"""),448602.39651000005)</f>
        <v>448602.3965</v>
      </c>
      <c r="I4070" s="24">
        <f>IFERROR(__xludf.DUMMYFUNCTION("""COMPUTED_VALUE"""),-0.10279520697999989)</f>
        <v>-0.102795207</v>
      </c>
    </row>
    <row r="4071">
      <c r="A4071" s="5" t="str">
        <f>IFERROR(__xludf.DUMMYFUNCTION("""COMPUTED_VALUE"""),"46322")</f>
        <v>46322</v>
      </c>
      <c r="B4071" s="64">
        <f>IFERROR(__xludf.DUMMYFUNCTION("""COMPUTED_VALUE"""),44643.0)</f>
        <v>44643</v>
      </c>
      <c r="C4071" s="5"/>
      <c r="D4071" s="5"/>
      <c r="E4071" s="5"/>
      <c r="F4071" s="22">
        <f>IFERROR(__xludf.DUMMYFUNCTION("""COMPUTED_VALUE"""),-128566.01035)</f>
        <v>-128566.0104</v>
      </c>
      <c r="G4071" s="22">
        <f>IFERROR(__xludf.DUMMYFUNCTION("""COMPUTED_VALUE"""),128566.01035)</f>
        <v>128566.0104</v>
      </c>
      <c r="H4071" s="22">
        <f>IFERROR(__xludf.DUMMYFUNCTION("""COMPUTED_VALUE"""),460579.52633000014)</f>
        <v>460579.5263</v>
      </c>
      <c r="I4071" s="24">
        <f>IFERROR(__xludf.DUMMYFUNCTION("""COMPUTED_VALUE"""),-0.07884094733999969)</f>
        <v>-0.07884094734</v>
      </c>
    </row>
    <row r="4072">
      <c r="A4072" s="5" t="str">
        <f>IFERROR(__xludf.DUMMYFUNCTION("""COMPUTED_VALUE"""),"46322")</f>
        <v>46322</v>
      </c>
      <c r="B4072" s="64">
        <f>IFERROR(__xludf.DUMMYFUNCTION("""COMPUTED_VALUE"""),44644.0)</f>
        <v>44644</v>
      </c>
      <c r="C4072" s="5"/>
      <c r="D4072" s="5"/>
      <c r="E4072" s="5"/>
      <c r="F4072" s="22">
        <f>IFERROR(__xludf.DUMMYFUNCTION("""COMPUTED_VALUE"""),-128566.01035)</f>
        <v>-128566.0104</v>
      </c>
      <c r="G4072" s="22">
        <f>IFERROR(__xludf.DUMMYFUNCTION("""COMPUTED_VALUE"""),128566.01035)</f>
        <v>128566.0104</v>
      </c>
      <c r="H4072" s="22">
        <f>IFERROR(__xludf.DUMMYFUNCTION("""COMPUTED_VALUE"""),453858.58767000015)</f>
        <v>453858.5877</v>
      </c>
      <c r="I4072" s="24">
        <f>IFERROR(__xludf.DUMMYFUNCTION("""COMPUTED_VALUE"""),-0.09228282465999971)</f>
        <v>-0.09228282466</v>
      </c>
    </row>
    <row r="4073">
      <c r="A4073" s="5" t="str">
        <f>IFERROR(__xludf.DUMMYFUNCTION("""COMPUTED_VALUE"""),"46322")</f>
        <v>46322</v>
      </c>
      <c r="B4073" s="64">
        <f>IFERROR(__xludf.DUMMYFUNCTION("""COMPUTED_VALUE"""),44645.0)</f>
        <v>44645</v>
      </c>
      <c r="C4073" s="5"/>
      <c r="D4073" s="5"/>
      <c r="E4073" s="5"/>
      <c r="F4073" s="22">
        <f>IFERROR(__xludf.DUMMYFUNCTION("""COMPUTED_VALUE"""),-128566.01035)</f>
        <v>-128566.0104</v>
      </c>
      <c r="G4073" s="22">
        <f>IFERROR(__xludf.DUMMYFUNCTION("""COMPUTED_VALUE"""),128566.01035)</f>
        <v>128566.0104</v>
      </c>
      <c r="H4073" s="22">
        <f>IFERROR(__xludf.DUMMYFUNCTION("""COMPUTED_VALUE"""),469400.3256900001)</f>
        <v>469400.3257</v>
      </c>
      <c r="I4073" s="24">
        <f>IFERROR(__xludf.DUMMYFUNCTION("""COMPUTED_VALUE"""),-0.06119934861999987)</f>
        <v>-0.06119934862</v>
      </c>
    </row>
    <row r="4074">
      <c r="A4074" s="5" t="str">
        <f>IFERROR(__xludf.DUMMYFUNCTION("""COMPUTED_VALUE"""),"46322")</f>
        <v>46322</v>
      </c>
      <c r="B4074" s="64">
        <f>IFERROR(__xludf.DUMMYFUNCTION("""COMPUTED_VALUE"""),44646.0)</f>
        <v>44646</v>
      </c>
      <c r="C4074" s="5"/>
      <c r="D4074" s="5"/>
      <c r="E4074" s="5"/>
      <c r="F4074" s="22">
        <f>IFERROR(__xludf.DUMMYFUNCTION("""COMPUTED_VALUE"""),-128566.01035)</f>
        <v>-128566.0104</v>
      </c>
      <c r="G4074" s="22">
        <f>IFERROR(__xludf.DUMMYFUNCTION("""COMPUTED_VALUE"""),128566.01035)</f>
        <v>128566.0104</v>
      </c>
      <c r="H4074" s="22">
        <f>IFERROR(__xludf.DUMMYFUNCTION("""COMPUTED_VALUE"""),469400.3256900001)</f>
        <v>469400.3257</v>
      </c>
      <c r="I4074" s="24">
        <f>IFERROR(__xludf.DUMMYFUNCTION("""COMPUTED_VALUE"""),-0.06119934861999987)</f>
        <v>-0.06119934862</v>
      </c>
    </row>
    <row r="4075">
      <c r="A4075" s="5" t="str">
        <f>IFERROR(__xludf.DUMMYFUNCTION("""COMPUTED_VALUE"""),"46322")</f>
        <v>46322</v>
      </c>
      <c r="B4075" s="64">
        <f>IFERROR(__xludf.DUMMYFUNCTION("""COMPUTED_VALUE"""),44647.0)</f>
        <v>44647</v>
      </c>
      <c r="C4075" s="5"/>
      <c r="D4075" s="5"/>
      <c r="E4075" s="5"/>
      <c r="F4075" s="22">
        <f>IFERROR(__xludf.DUMMYFUNCTION("""COMPUTED_VALUE"""),-128566.01035)</f>
        <v>-128566.0104</v>
      </c>
      <c r="G4075" s="22">
        <f>IFERROR(__xludf.DUMMYFUNCTION("""COMPUTED_VALUE"""),128566.01035)</f>
        <v>128566.0104</v>
      </c>
      <c r="H4075" s="22">
        <f>IFERROR(__xludf.DUMMYFUNCTION("""COMPUTED_VALUE"""),469400.3256900001)</f>
        <v>469400.3257</v>
      </c>
      <c r="I4075" s="24">
        <f>IFERROR(__xludf.DUMMYFUNCTION("""COMPUTED_VALUE"""),-0.06119934861999987)</f>
        <v>-0.06119934862</v>
      </c>
    </row>
    <row r="4076">
      <c r="A4076" s="5" t="str">
        <f>IFERROR(__xludf.DUMMYFUNCTION("""COMPUTED_VALUE"""),"46322")</f>
        <v>46322</v>
      </c>
      <c r="B4076" s="64">
        <f>IFERROR(__xludf.DUMMYFUNCTION("""COMPUTED_VALUE"""),44648.0)</f>
        <v>44648</v>
      </c>
      <c r="C4076" s="5"/>
      <c r="D4076" s="5"/>
      <c r="E4076" s="5"/>
      <c r="F4076" s="22">
        <f>IFERROR(__xludf.DUMMYFUNCTION("""COMPUTED_VALUE"""),-128566.01035)</f>
        <v>-128566.0104</v>
      </c>
      <c r="G4076" s="22">
        <f>IFERROR(__xludf.DUMMYFUNCTION("""COMPUTED_VALUE"""),128566.01035)</f>
        <v>128566.0104</v>
      </c>
      <c r="H4076" s="22">
        <f>IFERROR(__xludf.DUMMYFUNCTION("""COMPUTED_VALUE"""),447133.04896999995)</f>
        <v>447133.049</v>
      </c>
      <c r="I4076" s="24">
        <f>IFERROR(__xludf.DUMMYFUNCTION("""COMPUTED_VALUE"""),-0.1057339020600001)</f>
        <v>-0.1057339021</v>
      </c>
    </row>
    <row r="4077">
      <c r="A4077" s="5" t="str">
        <f>IFERROR(__xludf.DUMMYFUNCTION("""COMPUTED_VALUE"""),"46322")</f>
        <v>46322</v>
      </c>
      <c r="B4077" s="64">
        <f>IFERROR(__xludf.DUMMYFUNCTION("""COMPUTED_VALUE"""),44649.0)</f>
        <v>44649</v>
      </c>
      <c r="C4077" s="5"/>
      <c r="D4077" s="5"/>
      <c r="E4077" s="5"/>
      <c r="F4077" s="22">
        <f>IFERROR(__xludf.DUMMYFUNCTION("""COMPUTED_VALUE"""),-128566.01035)</f>
        <v>-128566.0104</v>
      </c>
      <c r="G4077" s="22">
        <f>IFERROR(__xludf.DUMMYFUNCTION("""COMPUTED_VALUE"""),128566.01035)</f>
        <v>128566.0104</v>
      </c>
      <c r="H4077" s="22">
        <f>IFERROR(__xludf.DUMMYFUNCTION("""COMPUTED_VALUE"""),412290.28801)</f>
        <v>412290.288</v>
      </c>
      <c r="I4077" s="24">
        <f>IFERROR(__xludf.DUMMYFUNCTION("""COMPUTED_VALUE"""),-0.17541942398)</f>
        <v>-0.175419424</v>
      </c>
    </row>
    <row r="4078">
      <c r="A4078" s="5" t="str">
        <f>IFERROR(__xludf.DUMMYFUNCTION("""COMPUTED_VALUE"""),"46322")</f>
        <v>46322</v>
      </c>
      <c r="B4078" s="64">
        <f>IFERROR(__xludf.DUMMYFUNCTION("""COMPUTED_VALUE"""),44650.0)</f>
        <v>44650</v>
      </c>
      <c r="C4078" s="5"/>
      <c r="D4078" s="5"/>
      <c r="E4078" s="5"/>
      <c r="F4078" s="22">
        <f>IFERROR(__xludf.DUMMYFUNCTION("""COMPUTED_VALUE"""),-128566.01035)</f>
        <v>-128566.0104</v>
      </c>
      <c r="G4078" s="22">
        <f>IFERROR(__xludf.DUMMYFUNCTION("""COMPUTED_VALUE"""),128566.01035)</f>
        <v>128566.0104</v>
      </c>
      <c r="H4078" s="22">
        <f>IFERROR(__xludf.DUMMYFUNCTION("""COMPUTED_VALUE"""),431108.1909100001)</f>
        <v>431108.1909</v>
      </c>
      <c r="I4078" s="24">
        <f>IFERROR(__xludf.DUMMYFUNCTION("""COMPUTED_VALUE"""),-0.13778361817999973)</f>
        <v>-0.1377836182</v>
      </c>
    </row>
    <row r="4079">
      <c r="A4079" s="5" t="str">
        <f>IFERROR(__xludf.DUMMYFUNCTION("""COMPUTED_VALUE"""),"46322")</f>
        <v>46322</v>
      </c>
      <c r="B4079" s="64">
        <f>IFERROR(__xludf.DUMMYFUNCTION("""COMPUTED_VALUE"""),44651.0)</f>
        <v>44651</v>
      </c>
      <c r="C4079" s="5"/>
      <c r="D4079" s="5"/>
      <c r="E4079" s="5"/>
      <c r="F4079" s="22">
        <f>IFERROR(__xludf.DUMMYFUNCTION("""COMPUTED_VALUE"""),-128566.01035)</f>
        <v>-128566.0104</v>
      </c>
      <c r="G4079" s="22">
        <f>IFERROR(__xludf.DUMMYFUNCTION("""COMPUTED_VALUE"""),128566.01035)</f>
        <v>128566.0104</v>
      </c>
      <c r="H4079" s="22">
        <f>IFERROR(__xludf.DUMMYFUNCTION("""COMPUTED_VALUE"""),449346.73419)</f>
        <v>449346.7342</v>
      </c>
      <c r="I4079" s="24">
        <f>IFERROR(__xludf.DUMMYFUNCTION("""COMPUTED_VALUE"""),-0.10130653162000003)</f>
        <v>-0.1013065316</v>
      </c>
    </row>
    <row r="4080">
      <c r="A4080" s="5" t="str">
        <f>IFERROR(__xludf.DUMMYFUNCTION("""COMPUTED_VALUE"""),"46322")</f>
        <v>46322</v>
      </c>
      <c r="B4080" s="64">
        <f>IFERROR(__xludf.DUMMYFUNCTION("""COMPUTED_VALUE"""),44652.0)</f>
        <v>44652</v>
      </c>
      <c r="C4080" s="5"/>
      <c r="D4080" s="5"/>
      <c r="E4080" s="5"/>
      <c r="F4080" s="22">
        <f>IFERROR(__xludf.DUMMYFUNCTION("""COMPUTED_VALUE"""),-128566.01035)</f>
        <v>-128566.0104</v>
      </c>
      <c r="G4080" s="22">
        <f>IFERROR(__xludf.DUMMYFUNCTION("""COMPUTED_VALUE"""),128566.01035)</f>
        <v>128566.0104</v>
      </c>
      <c r="H4080" s="22">
        <f>IFERROR(__xludf.DUMMYFUNCTION("""COMPUTED_VALUE"""),438543.84809000004)</f>
        <v>438543.8481</v>
      </c>
      <c r="I4080" s="24">
        <f>IFERROR(__xludf.DUMMYFUNCTION("""COMPUTED_VALUE"""),-0.12291230381999996)</f>
        <v>-0.1229123038</v>
      </c>
    </row>
    <row r="4081">
      <c r="A4081" s="5" t="str">
        <f>IFERROR(__xludf.DUMMYFUNCTION("""COMPUTED_VALUE"""),"46322")</f>
        <v>46322</v>
      </c>
      <c r="B4081" s="64">
        <f>IFERROR(__xludf.DUMMYFUNCTION("""COMPUTED_VALUE"""),44653.0)</f>
        <v>44653</v>
      </c>
      <c r="C4081" s="5"/>
      <c r="D4081" s="5"/>
      <c r="E4081" s="5"/>
      <c r="F4081" s="22">
        <f>IFERROR(__xludf.DUMMYFUNCTION("""COMPUTED_VALUE"""),-128566.01035)</f>
        <v>-128566.0104</v>
      </c>
      <c r="G4081" s="22">
        <f>IFERROR(__xludf.DUMMYFUNCTION("""COMPUTED_VALUE"""),128566.01035)</f>
        <v>128566.0104</v>
      </c>
      <c r="H4081" s="22">
        <f>IFERROR(__xludf.DUMMYFUNCTION("""COMPUTED_VALUE"""),438543.84809000004)</f>
        <v>438543.8481</v>
      </c>
      <c r="I4081" s="24">
        <f>IFERROR(__xludf.DUMMYFUNCTION("""COMPUTED_VALUE"""),-0.12291230381999996)</f>
        <v>-0.1229123038</v>
      </c>
    </row>
    <row r="4082">
      <c r="A4082" s="5" t="str">
        <f>IFERROR(__xludf.DUMMYFUNCTION("""COMPUTED_VALUE"""),"46322")</f>
        <v>46322</v>
      </c>
      <c r="B4082" s="64">
        <f>IFERROR(__xludf.DUMMYFUNCTION("""COMPUTED_VALUE"""),44654.0)</f>
        <v>44654</v>
      </c>
      <c r="C4082" s="5"/>
      <c r="D4082" s="5"/>
      <c r="E4082" s="5"/>
      <c r="F4082" s="22">
        <f>IFERROR(__xludf.DUMMYFUNCTION("""COMPUTED_VALUE"""),-128566.01035)</f>
        <v>-128566.0104</v>
      </c>
      <c r="G4082" s="22">
        <f>IFERROR(__xludf.DUMMYFUNCTION("""COMPUTED_VALUE"""),128566.01035)</f>
        <v>128566.0104</v>
      </c>
      <c r="H4082" s="22">
        <f>IFERROR(__xludf.DUMMYFUNCTION("""COMPUTED_VALUE"""),438543.84809000004)</f>
        <v>438543.8481</v>
      </c>
      <c r="I4082" s="24">
        <f>IFERROR(__xludf.DUMMYFUNCTION("""COMPUTED_VALUE"""),-0.12291230381999996)</f>
        <v>-0.1229123038</v>
      </c>
    </row>
    <row r="4083">
      <c r="A4083" s="5" t="str">
        <f>IFERROR(__xludf.DUMMYFUNCTION("""COMPUTED_VALUE"""),"46322")</f>
        <v>46322</v>
      </c>
      <c r="B4083" s="64">
        <f>IFERROR(__xludf.DUMMYFUNCTION("""COMPUTED_VALUE"""),44655.0)</f>
        <v>44655</v>
      </c>
      <c r="C4083" s="5"/>
      <c r="D4083" s="5"/>
      <c r="E4083" s="5"/>
      <c r="F4083" s="22">
        <f>IFERROR(__xludf.DUMMYFUNCTION("""COMPUTED_VALUE"""),-128566.01035)</f>
        <v>-128566.0104</v>
      </c>
      <c r="G4083" s="22">
        <f>IFERROR(__xludf.DUMMYFUNCTION("""COMPUTED_VALUE"""),128566.01035)</f>
        <v>128566.0104</v>
      </c>
      <c r="H4083" s="22">
        <f>IFERROR(__xludf.DUMMYFUNCTION("""COMPUTED_VALUE"""),415834.7777100001)</f>
        <v>415834.7777</v>
      </c>
      <c r="I4083" s="24">
        <f>IFERROR(__xludf.DUMMYFUNCTION("""COMPUTED_VALUE"""),-0.1683304445799998)</f>
        <v>-0.1683304446</v>
      </c>
    </row>
    <row r="4084">
      <c r="A4084" s="5" t="str">
        <f>IFERROR(__xludf.DUMMYFUNCTION("""COMPUTED_VALUE"""),"46322")</f>
        <v>46322</v>
      </c>
      <c r="B4084" s="64">
        <f>IFERROR(__xludf.DUMMYFUNCTION("""COMPUTED_VALUE"""),44656.0)</f>
        <v>44656</v>
      </c>
      <c r="C4084" s="5"/>
      <c r="D4084" s="5"/>
      <c r="E4084" s="5"/>
      <c r="F4084" s="22">
        <f>IFERROR(__xludf.DUMMYFUNCTION("""COMPUTED_VALUE"""),-128566.01035)</f>
        <v>-128566.0104</v>
      </c>
      <c r="G4084" s="22">
        <f>IFERROR(__xludf.DUMMYFUNCTION("""COMPUTED_VALUE"""),128566.01035)</f>
        <v>128566.0104</v>
      </c>
      <c r="H4084" s="22">
        <f>IFERROR(__xludf.DUMMYFUNCTION("""COMPUTED_VALUE"""),445054.70517000003)</f>
        <v>445054.7052</v>
      </c>
      <c r="I4084" s="24">
        <f>IFERROR(__xludf.DUMMYFUNCTION("""COMPUTED_VALUE"""),-0.10989058965999998)</f>
        <v>-0.1098905897</v>
      </c>
    </row>
    <row r="4085">
      <c r="A4085" s="5" t="str">
        <f>IFERROR(__xludf.DUMMYFUNCTION("""COMPUTED_VALUE"""),"46322")</f>
        <v>46322</v>
      </c>
      <c r="B4085" s="64">
        <f>IFERROR(__xludf.DUMMYFUNCTION("""COMPUTED_VALUE"""),44657.0)</f>
        <v>44657</v>
      </c>
      <c r="C4085" s="5"/>
      <c r="D4085" s="5"/>
      <c r="E4085" s="5"/>
      <c r="F4085" s="22">
        <f>IFERROR(__xludf.DUMMYFUNCTION("""COMPUTED_VALUE"""),-128566.01035)</f>
        <v>-128566.0104</v>
      </c>
      <c r="G4085" s="22">
        <f>IFERROR(__xludf.DUMMYFUNCTION("""COMPUTED_VALUE"""),128566.01035)</f>
        <v>128566.0104</v>
      </c>
      <c r="H4085" s="22">
        <f>IFERROR(__xludf.DUMMYFUNCTION("""COMPUTED_VALUE"""),468607.7884100001)</f>
        <v>468607.7884</v>
      </c>
      <c r="I4085" s="24">
        <f>IFERROR(__xludf.DUMMYFUNCTION("""COMPUTED_VALUE"""),-0.06278442317999977)</f>
        <v>-0.06278442318</v>
      </c>
    </row>
    <row r="4086">
      <c r="A4086" s="5" t="str">
        <f>IFERROR(__xludf.DUMMYFUNCTION("""COMPUTED_VALUE"""),"46322")</f>
        <v>46322</v>
      </c>
      <c r="B4086" s="64">
        <f>IFERROR(__xludf.DUMMYFUNCTION("""COMPUTED_VALUE"""),44658.0)</f>
        <v>44658</v>
      </c>
      <c r="C4086" s="5"/>
      <c r="D4086" s="5"/>
      <c r="E4086" s="5"/>
      <c r="F4086" s="22">
        <f>IFERROR(__xludf.DUMMYFUNCTION("""COMPUTED_VALUE"""),-128566.01035)</f>
        <v>-128566.0104</v>
      </c>
      <c r="G4086" s="22">
        <f>IFERROR(__xludf.DUMMYFUNCTION("""COMPUTED_VALUE"""),128566.01035)</f>
        <v>128566.0104</v>
      </c>
      <c r="H4086" s="22">
        <f>IFERROR(__xludf.DUMMYFUNCTION("""COMPUTED_VALUE"""),474347.31245000014)</f>
        <v>474347.3125</v>
      </c>
      <c r="I4086" s="24">
        <f>IFERROR(__xludf.DUMMYFUNCTION("""COMPUTED_VALUE"""),-0.05130537509999966)</f>
        <v>-0.0513053751</v>
      </c>
    </row>
    <row r="4087">
      <c r="A4087" s="5" t="str">
        <f>IFERROR(__xludf.DUMMYFUNCTION("""COMPUTED_VALUE"""),"46322")</f>
        <v>46322</v>
      </c>
      <c r="B4087" s="64">
        <f>IFERROR(__xludf.DUMMYFUNCTION("""COMPUTED_VALUE"""),44659.0)</f>
        <v>44659</v>
      </c>
      <c r="C4087" s="5"/>
      <c r="D4087" s="5"/>
      <c r="E4087" s="5"/>
      <c r="F4087" s="22">
        <f>IFERROR(__xludf.DUMMYFUNCTION("""COMPUTED_VALUE"""),-128566.01035)</f>
        <v>-128566.0104</v>
      </c>
      <c r="G4087" s="22">
        <f>IFERROR(__xludf.DUMMYFUNCTION("""COMPUTED_VALUE"""),128566.01035)</f>
        <v>128566.0104</v>
      </c>
      <c r="H4087" s="22">
        <f>IFERROR(__xludf.DUMMYFUNCTION("""COMPUTED_VALUE"""),492746.53377)</f>
        <v>492746.5338</v>
      </c>
      <c r="I4087" s="24">
        <f>IFERROR(__xludf.DUMMYFUNCTION("""COMPUTED_VALUE"""),-0.01450693246000001)</f>
        <v>-0.01450693246</v>
      </c>
    </row>
    <row r="4088">
      <c r="A4088" s="5" t="str">
        <f>IFERROR(__xludf.DUMMYFUNCTION("""COMPUTED_VALUE"""),"46322")</f>
        <v>46322</v>
      </c>
      <c r="B4088" s="64">
        <f>IFERROR(__xludf.DUMMYFUNCTION("""COMPUTED_VALUE"""),44660.0)</f>
        <v>44660</v>
      </c>
      <c r="C4088" s="5"/>
      <c r="D4088" s="5"/>
      <c r="E4088" s="5"/>
      <c r="F4088" s="22">
        <f>IFERROR(__xludf.DUMMYFUNCTION("""COMPUTED_VALUE"""),-128566.01035)</f>
        <v>-128566.0104</v>
      </c>
      <c r="G4088" s="22">
        <f>IFERROR(__xludf.DUMMYFUNCTION("""COMPUTED_VALUE"""),128566.01035)</f>
        <v>128566.0104</v>
      </c>
      <c r="H4088" s="22">
        <f>IFERROR(__xludf.DUMMYFUNCTION("""COMPUTED_VALUE"""),492746.53377)</f>
        <v>492746.5338</v>
      </c>
      <c r="I4088" s="24">
        <f>IFERROR(__xludf.DUMMYFUNCTION("""COMPUTED_VALUE"""),-0.01450693246000001)</f>
        <v>-0.01450693246</v>
      </c>
    </row>
    <row r="4089">
      <c r="A4089" s="5" t="str">
        <f>IFERROR(__xludf.DUMMYFUNCTION("""COMPUTED_VALUE"""),"46322")</f>
        <v>46322</v>
      </c>
      <c r="B4089" s="64">
        <f>IFERROR(__xludf.DUMMYFUNCTION("""COMPUTED_VALUE"""),44661.0)</f>
        <v>44661</v>
      </c>
      <c r="C4089" s="5"/>
      <c r="D4089" s="5"/>
      <c r="E4089" s="5"/>
      <c r="F4089" s="22">
        <f>IFERROR(__xludf.DUMMYFUNCTION("""COMPUTED_VALUE"""),-104971.51035)</f>
        <v>-104971.5104</v>
      </c>
      <c r="G4089" s="22">
        <f>IFERROR(__xludf.DUMMYFUNCTION("""COMPUTED_VALUE"""),104971.51035)</f>
        <v>104971.5104</v>
      </c>
      <c r="H4089" s="22">
        <f>IFERROR(__xludf.DUMMYFUNCTION("""COMPUTED_VALUE"""),492746.53377)</f>
        <v>492746.5338</v>
      </c>
      <c r="I4089" s="24">
        <f>IFERROR(__xludf.DUMMYFUNCTION("""COMPUTED_VALUE"""),-0.01450693246000001)</f>
        <v>-0.01450693246</v>
      </c>
    </row>
    <row r="4090">
      <c r="A4090" s="5" t="str">
        <f>IFERROR(__xludf.DUMMYFUNCTION("""COMPUTED_VALUE"""),"46322")</f>
        <v>46322</v>
      </c>
      <c r="B4090" s="64">
        <f>IFERROR(__xludf.DUMMYFUNCTION("""COMPUTED_VALUE"""),44662.0)</f>
        <v>44662</v>
      </c>
      <c r="C4090" s="5"/>
      <c r="D4090" s="5"/>
      <c r="E4090" s="5"/>
      <c r="F4090" s="22">
        <f>IFERROR(__xludf.DUMMYFUNCTION("""COMPUTED_VALUE"""),-104971.51035)</f>
        <v>-104971.5104</v>
      </c>
      <c r="G4090" s="22">
        <f>IFERROR(__xludf.DUMMYFUNCTION("""COMPUTED_VALUE"""),104971.51035)</f>
        <v>104971.5104</v>
      </c>
      <c r="H4090" s="22">
        <f>IFERROR(__xludf.DUMMYFUNCTION("""COMPUTED_VALUE"""),498888.28705000016)</f>
        <v>498888.2871</v>
      </c>
      <c r="I4090" s="24">
        <f>IFERROR(__xludf.DUMMYFUNCTION("""COMPUTED_VALUE"""),-0.002223425899999687)</f>
        <v>-0.0022234259</v>
      </c>
    </row>
    <row r="4091">
      <c r="A4091" s="5" t="str">
        <f>IFERROR(__xludf.DUMMYFUNCTION("""COMPUTED_VALUE"""),"46322")</f>
        <v>46322</v>
      </c>
      <c r="B4091" s="64">
        <f>IFERROR(__xludf.DUMMYFUNCTION("""COMPUTED_VALUE"""),44663.0)</f>
        <v>44663</v>
      </c>
      <c r="C4091" s="5"/>
      <c r="D4091" s="5"/>
      <c r="E4091" s="5"/>
      <c r="F4091" s="22">
        <f>IFERROR(__xludf.DUMMYFUNCTION("""COMPUTED_VALUE"""),-104971.51035)</f>
        <v>-104971.5104</v>
      </c>
      <c r="G4091" s="22">
        <f>IFERROR(__xludf.DUMMYFUNCTION("""COMPUTED_VALUE"""),104971.51035)</f>
        <v>104971.5104</v>
      </c>
      <c r="H4091" s="22">
        <f>IFERROR(__xludf.DUMMYFUNCTION("""COMPUTED_VALUE"""),499765.36583000014)</f>
        <v>499765.3658</v>
      </c>
      <c r="I4091" s="24">
        <f>IFERROR(__xludf.DUMMYFUNCTION("""COMPUTED_VALUE"""),-4.6926833999971773E-4)</f>
        <v>-0.00046926834</v>
      </c>
    </row>
    <row r="4092">
      <c r="A4092" s="5" t="str">
        <f>IFERROR(__xludf.DUMMYFUNCTION("""COMPUTED_VALUE"""),"46446")</f>
        <v>46446</v>
      </c>
      <c r="B4092" s="64">
        <f>IFERROR(__xludf.DUMMYFUNCTION("""COMPUTED_VALUE"""),44597.0)</f>
        <v>44597</v>
      </c>
      <c r="C4092" s="5"/>
      <c r="D4092" s="5"/>
      <c r="E4092" s="5"/>
      <c r="F4092" s="22">
        <f>IFERROR(__xludf.DUMMYFUNCTION("""COMPUTED_VALUE"""),500000.0)</f>
        <v>500000</v>
      </c>
      <c r="G4092" s="22">
        <f>IFERROR(__xludf.DUMMYFUNCTION("""COMPUTED_VALUE"""),0.0)</f>
        <v>0</v>
      </c>
      <c r="H4092" s="22">
        <f>IFERROR(__xludf.DUMMYFUNCTION("""COMPUTED_VALUE"""),500000.0)</f>
        <v>500000</v>
      </c>
      <c r="I4092" s="24">
        <f>IFERROR(__xludf.DUMMYFUNCTION("""COMPUTED_VALUE"""),0.0)</f>
        <v>0</v>
      </c>
    </row>
    <row r="4093">
      <c r="A4093" s="5" t="str">
        <f>IFERROR(__xludf.DUMMYFUNCTION("""COMPUTED_VALUE"""),"46446")</f>
        <v>46446</v>
      </c>
      <c r="B4093" s="64">
        <f>IFERROR(__xludf.DUMMYFUNCTION("""COMPUTED_VALUE"""),44598.0)</f>
        <v>44598</v>
      </c>
      <c r="C4093" s="5"/>
      <c r="D4093" s="5"/>
      <c r="E4093" s="5"/>
      <c r="F4093" s="22">
        <f>IFERROR(__xludf.DUMMYFUNCTION("""COMPUTED_VALUE"""),500000.0)</f>
        <v>500000</v>
      </c>
      <c r="G4093" s="22">
        <f>IFERROR(__xludf.DUMMYFUNCTION("""COMPUTED_VALUE"""),0.0)</f>
        <v>0</v>
      </c>
      <c r="H4093" s="22">
        <f>IFERROR(__xludf.DUMMYFUNCTION("""COMPUTED_VALUE"""),500000.0)</f>
        <v>500000</v>
      </c>
      <c r="I4093" s="24">
        <f>IFERROR(__xludf.DUMMYFUNCTION("""COMPUTED_VALUE"""),0.0)</f>
        <v>0</v>
      </c>
    </row>
    <row r="4094">
      <c r="A4094" s="5" t="str">
        <f>IFERROR(__xludf.DUMMYFUNCTION("""COMPUTED_VALUE"""),"46446")</f>
        <v>46446</v>
      </c>
      <c r="B4094" s="64">
        <f>IFERROR(__xludf.DUMMYFUNCTION("""COMPUTED_VALUE"""),44599.0)</f>
        <v>44599</v>
      </c>
      <c r="C4094" s="5"/>
      <c r="D4094" s="5"/>
      <c r="E4094" s="5"/>
      <c r="F4094" s="22">
        <f>IFERROR(__xludf.DUMMYFUNCTION("""COMPUTED_VALUE"""),500000.0)</f>
        <v>500000</v>
      </c>
      <c r="G4094" s="22">
        <f>IFERROR(__xludf.DUMMYFUNCTION("""COMPUTED_VALUE"""),0.0)</f>
        <v>0</v>
      </c>
      <c r="H4094" s="22">
        <f>IFERROR(__xludf.DUMMYFUNCTION("""COMPUTED_VALUE"""),500000.0)</f>
        <v>500000</v>
      </c>
      <c r="I4094" s="24">
        <f>IFERROR(__xludf.DUMMYFUNCTION("""COMPUTED_VALUE"""),0.0)</f>
        <v>0</v>
      </c>
    </row>
    <row r="4095">
      <c r="A4095" s="5" t="str">
        <f>IFERROR(__xludf.DUMMYFUNCTION("""COMPUTED_VALUE"""),"46446")</f>
        <v>46446</v>
      </c>
      <c r="B4095" s="64">
        <f>IFERROR(__xludf.DUMMYFUNCTION("""COMPUTED_VALUE"""),44600.0)</f>
        <v>44600</v>
      </c>
      <c r="C4095" s="5"/>
      <c r="D4095" s="5"/>
      <c r="E4095" s="5"/>
      <c r="F4095" s="22">
        <f>IFERROR(__xludf.DUMMYFUNCTION("""COMPUTED_VALUE"""),500000.0)</f>
        <v>500000</v>
      </c>
      <c r="G4095" s="22">
        <f>IFERROR(__xludf.DUMMYFUNCTION("""COMPUTED_VALUE"""),0.0)</f>
        <v>0</v>
      </c>
      <c r="H4095" s="22">
        <f>IFERROR(__xludf.DUMMYFUNCTION("""COMPUTED_VALUE"""),500000.0)</f>
        <v>500000</v>
      </c>
      <c r="I4095" s="24">
        <f>IFERROR(__xludf.DUMMYFUNCTION("""COMPUTED_VALUE"""),0.0)</f>
        <v>0</v>
      </c>
    </row>
    <row r="4096">
      <c r="A4096" s="5" t="str">
        <f>IFERROR(__xludf.DUMMYFUNCTION("""COMPUTED_VALUE"""),"46446")</f>
        <v>46446</v>
      </c>
      <c r="B4096" s="64">
        <f>IFERROR(__xludf.DUMMYFUNCTION("""COMPUTED_VALUE"""),44601.0)</f>
        <v>44601</v>
      </c>
      <c r="C4096" s="5"/>
      <c r="D4096" s="5"/>
      <c r="E4096" s="5"/>
      <c r="F4096" s="22">
        <f>IFERROR(__xludf.DUMMYFUNCTION("""COMPUTED_VALUE"""),500000.0)</f>
        <v>500000</v>
      </c>
      <c r="G4096" s="22">
        <f>IFERROR(__xludf.DUMMYFUNCTION("""COMPUTED_VALUE"""),0.0)</f>
        <v>0</v>
      </c>
      <c r="H4096" s="22">
        <f>IFERROR(__xludf.DUMMYFUNCTION("""COMPUTED_VALUE"""),500000.0)</f>
        <v>500000</v>
      </c>
      <c r="I4096" s="24">
        <f>IFERROR(__xludf.DUMMYFUNCTION("""COMPUTED_VALUE"""),0.0)</f>
        <v>0</v>
      </c>
    </row>
    <row r="4097">
      <c r="A4097" s="5" t="str">
        <f>IFERROR(__xludf.DUMMYFUNCTION("""COMPUTED_VALUE"""),"46446")</f>
        <v>46446</v>
      </c>
      <c r="B4097" s="64">
        <f>IFERROR(__xludf.DUMMYFUNCTION("""COMPUTED_VALUE"""),44602.0)</f>
        <v>44602</v>
      </c>
      <c r="C4097" s="5"/>
      <c r="D4097" s="5"/>
      <c r="E4097" s="5"/>
      <c r="F4097" s="22">
        <f>IFERROR(__xludf.DUMMYFUNCTION("""COMPUTED_VALUE"""),500000.0)</f>
        <v>500000</v>
      </c>
      <c r="G4097" s="22">
        <f>IFERROR(__xludf.DUMMYFUNCTION("""COMPUTED_VALUE"""),0.0)</f>
        <v>0</v>
      </c>
      <c r="H4097" s="22">
        <f>IFERROR(__xludf.DUMMYFUNCTION("""COMPUTED_VALUE"""),500000.0)</f>
        <v>500000</v>
      </c>
      <c r="I4097" s="24">
        <f>IFERROR(__xludf.DUMMYFUNCTION("""COMPUTED_VALUE"""),0.0)</f>
        <v>0</v>
      </c>
    </row>
    <row r="4098">
      <c r="A4098" s="5" t="str">
        <f>IFERROR(__xludf.DUMMYFUNCTION("""COMPUTED_VALUE"""),"46446")</f>
        <v>46446</v>
      </c>
      <c r="B4098" s="64">
        <f>IFERROR(__xludf.DUMMYFUNCTION("""COMPUTED_VALUE"""),44603.0)</f>
        <v>44603</v>
      </c>
      <c r="C4098" s="5"/>
      <c r="D4098" s="5"/>
      <c r="E4098" s="5"/>
      <c r="F4098" s="22">
        <f>IFERROR(__xludf.DUMMYFUNCTION("""COMPUTED_VALUE"""),500000.0)</f>
        <v>500000</v>
      </c>
      <c r="G4098" s="22">
        <f>IFERROR(__xludf.DUMMYFUNCTION("""COMPUTED_VALUE"""),0.0)</f>
        <v>0</v>
      </c>
      <c r="H4098" s="22">
        <f>IFERROR(__xludf.DUMMYFUNCTION("""COMPUTED_VALUE"""),500000.0)</f>
        <v>500000</v>
      </c>
      <c r="I4098" s="24">
        <f>IFERROR(__xludf.DUMMYFUNCTION("""COMPUTED_VALUE"""),0.0)</f>
        <v>0</v>
      </c>
    </row>
    <row r="4099">
      <c r="A4099" s="5" t="str">
        <f>IFERROR(__xludf.DUMMYFUNCTION("""COMPUTED_VALUE"""),"46446")</f>
        <v>46446</v>
      </c>
      <c r="B4099" s="64">
        <f>IFERROR(__xludf.DUMMYFUNCTION("""COMPUTED_VALUE"""),44604.0)</f>
        <v>44604</v>
      </c>
      <c r="C4099" s="5"/>
      <c r="D4099" s="5"/>
      <c r="E4099" s="5"/>
      <c r="F4099" s="22">
        <f>IFERROR(__xludf.DUMMYFUNCTION("""COMPUTED_VALUE"""),500000.0)</f>
        <v>500000</v>
      </c>
      <c r="G4099" s="22">
        <f>IFERROR(__xludf.DUMMYFUNCTION("""COMPUTED_VALUE"""),0.0)</f>
        <v>0</v>
      </c>
      <c r="H4099" s="22">
        <f>IFERROR(__xludf.DUMMYFUNCTION("""COMPUTED_VALUE"""),500000.0)</f>
        <v>500000</v>
      </c>
      <c r="I4099" s="24">
        <f>IFERROR(__xludf.DUMMYFUNCTION("""COMPUTED_VALUE"""),0.0)</f>
        <v>0</v>
      </c>
    </row>
    <row r="4100">
      <c r="A4100" s="5" t="str">
        <f>IFERROR(__xludf.DUMMYFUNCTION("""COMPUTED_VALUE"""),"46446")</f>
        <v>46446</v>
      </c>
      <c r="B4100" s="64">
        <f>IFERROR(__xludf.DUMMYFUNCTION("""COMPUTED_VALUE"""),44605.0)</f>
        <v>44605</v>
      </c>
      <c r="C4100" s="5"/>
      <c r="D4100" s="5"/>
      <c r="E4100" s="5"/>
      <c r="F4100" s="22">
        <f>IFERROR(__xludf.DUMMYFUNCTION("""COMPUTED_VALUE"""),500000.0)</f>
        <v>500000</v>
      </c>
      <c r="G4100" s="22">
        <f>IFERROR(__xludf.DUMMYFUNCTION("""COMPUTED_VALUE"""),0.0)</f>
        <v>0</v>
      </c>
      <c r="H4100" s="22">
        <f>IFERROR(__xludf.DUMMYFUNCTION("""COMPUTED_VALUE"""),500000.0)</f>
        <v>500000</v>
      </c>
      <c r="I4100" s="24">
        <f>IFERROR(__xludf.DUMMYFUNCTION("""COMPUTED_VALUE"""),0.0)</f>
        <v>0</v>
      </c>
    </row>
    <row r="4101">
      <c r="A4101" s="5" t="str">
        <f>IFERROR(__xludf.DUMMYFUNCTION("""COMPUTED_VALUE"""),"46446")</f>
        <v>46446</v>
      </c>
      <c r="B4101" s="64">
        <f>IFERROR(__xludf.DUMMYFUNCTION("""COMPUTED_VALUE"""),44606.0)</f>
        <v>44606</v>
      </c>
      <c r="C4101" s="5"/>
      <c r="D4101" s="5"/>
      <c r="E4101" s="5"/>
      <c r="F4101" s="22">
        <f>IFERROR(__xludf.DUMMYFUNCTION("""COMPUTED_VALUE"""),500000.0)</f>
        <v>500000</v>
      </c>
      <c r="G4101" s="22">
        <f>IFERROR(__xludf.DUMMYFUNCTION("""COMPUTED_VALUE"""),0.0)</f>
        <v>0</v>
      </c>
      <c r="H4101" s="22">
        <f>IFERROR(__xludf.DUMMYFUNCTION("""COMPUTED_VALUE"""),500000.0)</f>
        <v>500000</v>
      </c>
      <c r="I4101" s="24">
        <f>IFERROR(__xludf.DUMMYFUNCTION("""COMPUTED_VALUE"""),0.0)</f>
        <v>0</v>
      </c>
    </row>
    <row r="4102">
      <c r="A4102" s="5" t="str">
        <f>IFERROR(__xludf.DUMMYFUNCTION("""COMPUTED_VALUE"""),"46446")</f>
        <v>46446</v>
      </c>
      <c r="B4102" s="64">
        <f>IFERROR(__xludf.DUMMYFUNCTION("""COMPUTED_VALUE"""),44607.0)</f>
        <v>44607</v>
      </c>
      <c r="C4102" s="5"/>
      <c r="D4102" s="5"/>
      <c r="E4102" s="5"/>
      <c r="F4102" s="22">
        <f>IFERROR(__xludf.DUMMYFUNCTION("""COMPUTED_VALUE"""),500000.0)</f>
        <v>500000</v>
      </c>
      <c r="G4102" s="22">
        <f>IFERROR(__xludf.DUMMYFUNCTION("""COMPUTED_VALUE"""),0.0)</f>
        <v>0</v>
      </c>
      <c r="H4102" s="22">
        <f>IFERROR(__xludf.DUMMYFUNCTION("""COMPUTED_VALUE"""),500000.0)</f>
        <v>500000</v>
      </c>
      <c r="I4102" s="24">
        <f>IFERROR(__xludf.DUMMYFUNCTION("""COMPUTED_VALUE"""),0.0)</f>
        <v>0</v>
      </c>
    </row>
    <row r="4103">
      <c r="A4103" s="5" t="str">
        <f>IFERROR(__xludf.DUMMYFUNCTION("""COMPUTED_VALUE"""),"46446")</f>
        <v>46446</v>
      </c>
      <c r="B4103" s="64">
        <f>IFERROR(__xludf.DUMMYFUNCTION("""COMPUTED_VALUE"""),44608.0)</f>
        <v>44608</v>
      </c>
      <c r="C4103" s="5"/>
      <c r="D4103" s="5"/>
      <c r="E4103" s="5"/>
      <c r="F4103" s="22">
        <f>IFERROR(__xludf.DUMMYFUNCTION("""COMPUTED_VALUE"""),500000.0)</f>
        <v>500000</v>
      </c>
      <c r="G4103" s="22">
        <f>IFERROR(__xludf.DUMMYFUNCTION("""COMPUTED_VALUE"""),0.0)</f>
        <v>0</v>
      </c>
      <c r="H4103" s="22">
        <f>IFERROR(__xludf.DUMMYFUNCTION("""COMPUTED_VALUE"""),500000.0)</f>
        <v>500000</v>
      </c>
      <c r="I4103" s="24">
        <f>IFERROR(__xludf.DUMMYFUNCTION("""COMPUTED_VALUE"""),0.0)</f>
        <v>0</v>
      </c>
    </row>
    <row r="4104">
      <c r="A4104" s="5" t="str">
        <f>IFERROR(__xludf.DUMMYFUNCTION("""COMPUTED_VALUE"""),"46446")</f>
        <v>46446</v>
      </c>
      <c r="B4104" s="64">
        <f>IFERROR(__xludf.DUMMYFUNCTION("""COMPUTED_VALUE"""),44609.0)</f>
        <v>44609</v>
      </c>
      <c r="C4104" s="5"/>
      <c r="D4104" s="5"/>
      <c r="E4104" s="5"/>
      <c r="F4104" s="22">
        <f>IFERROR(__xludf.DUMMYFUNCTION("""COMPUTED_VALUE"""),500000.0)</f>
        <v>500000</v>
      </c>
      <c r="G4104" s="22">
        <f>IFERROR(__xludf.DUMMYFUNCTION("""COMPUTED_VALUE"""),0.0)</f>
        <v>0</v>
      </c>
      <c r="H4104" s="22">
        <f>IFERROR(__xludf.DUMMYFUNCTION("""COMPUTED_VALUE"""),500000.0)</f>
        <v>500000</v>
      </c>
      <c r="I4104" s="24">
        <f>IFERROR(__xludf.DUMMYFUNCTION("""COMPUTED_VALUE"""),0.0)</f>
        <v>0</v>
      </c>
    </row>
    <row r="4105">
      <c r="A4105" s="5" t="str">
        <f>IFERROR(__xludf.DUMMYFUNCTION("""COMPUTED_VALUE"""),"46446")</f>
        <v>46446</v>
      </c>
      <c r="B4105" s="64">
        <f>IFERROR(__xludf.DUMMYFUNCTION("""COMPUTED_VALUE"""),44610.0)</f>
        <v>44610</v>
      </c>
      <c r="C4105" s="5"/>
      <c r="D4105" s="5"/>
      <c r="E4105" s="5"/>
      <c r="F4105" s="22">
        <f>IFERROR(__xludf.DUMMYFUNCTION("""COMPUTED_VALUE"""),500000.0)</f>
        <v>500000</v>
      </c>
      <c r="G4105" s="22">
        <f>IFERROR(__xludf.DUMMYFUNCTION("""COMPUTED_VALUE"""),0.0)</f>
        <v>0</v>
      </c>
      <c r="H4105" s="22">
        <f>IFERROR(__xludf.DUMMYFUNCTION("""COMPUTED_VALUE"""),500000.0)</f>
        <v>500000</v>
      </c>
      <c r="I4105" s="24">
        <f>IFERROR(__xludf.DUMMYFUNCTION("""COMPUTED_VALUE"""),0.0)</f>
        <v>0</v>
      </c>
    </row>
    <row r="4106">
      <c r="A4106" s="5" t="str">
        <f>IFERROR(__xludf.DUMMYFUNCTION("""COMPUTED_VALUE"""),"46446")</f>
        <v>46446</v>
      </c>
      <c r="B4106" s="64">
        <f>IFERROR(__xludf.DUMMYFUNCTION("""COMPUTED_VALUE"""),44611.0)</f>
        <v>44611</v>
      </c>
      <c r="C4106" s="5"/>
      <c r="D4106" s="5"/>
      <c r="E4106" s="5"/>
      <c r="F4106" s="22">
        <f>IFERROR(__xludf.DUMMYFUNCTION("""COMPUTED_VALUE"""),500000.0)</f>
        <v>500000</v>
      </c>
      <c r="G4106" s="22">
        <f>IFERROR(__xludf.DUMMYFUNCTION("""COMPUTED_VALUE"""),0.0)</f>
        <v>0</v>
      </c>
      <c r="H4106" s="22">
        <f>IFERROR(__xludf.DUMMYFUNCTION("""COMPUTED_VALUE"""),500000.0)</f>
        <v>500000</v>
      </c>
      <c r="I4106" s="24">
        <f>IFERROR(__xludf.DUMMYFUNCTION("""COMPUTED_VALUE"""),0.0)</f>
        <v>0</v>
      </c>
    </row>
    <row r="4107">
      <c r="A4107" s="5" t="str">
        <f>IFERROR(__xludf.DUMMYFUNCTION("""COMPUTED_VALUE"""),"46446")</f>
        <v>46446</v>
      </c>
      <c r="B4107" s="64">
        <f>IFERROR(__xludf.DUMMYFUNCTION("""COMPUTED_VALUE"""),44612.0)</f>
        <v>44612</v>
      </c>
      <c r="C4107" s="5"/>
      <c r="D4107" s="5"/>
      <c r="E4107" s="5"/>
      <c r="F4107" s="22">
        <f>IFERROR(__xludf.DUMMYFUNCTION("""COMPUTED_VALUE"""),500000.0)</f>
        <v>500000</v>
      </c>
      <c r="G4107" s="22">
        <f>IFERROR(__xludf.DUMMYFUNCTION("""COMPUTED_VALUE"""),0.0)</f>
        <v>0</v>
      </c>
      <c r="H4107" s="22">
        <f>IFERROR(__xludf.DUMMYFUNCTION("""COMPUTED_VALUE"""),500000.0)</f>
        <v>500000</v>
      </c>
      <c r="I4107" s="24">
        <f>IFERROR(__xludf.DUMMYFUNCTION("""COMPUTED_VALUE"""),0.0)</f>
        <v>0</v>
      </c>
    </row>
    <row r="4108">
      <c r="A4108" s="5" t="str">
        <f>IFERROR(__xludf.DUMMYFUNCTION("""COMPUTED_VALUE"""),"46446")</f>
        <v>46446</v>
      </c>
      <c r="B4108" s="64">
        <f>IFERROR(__xludf.DUMMYFUNCTION("""COMPUTED_VALUE"""),44613.0)</f>
        <v>44613</v>
      </c>
      <c r="C4108" s="5"/>
      <c r="D4108" s="5"/>
      <c r="E4108" s="5"/>
      <c r="F4108" s="22">
        <f>IFERROR(__xludf.DUMMYFUNCTION("""COMPUTED_VALUE"""),500000.0)</f>
        <v>500000</v>
      </c>
      <c r="G4108" s="22">
        <f>IFERROR(__xludf.DUMMYFUNCTION("""COMPUTED_VALUE"""),0.0)</f>
        <v>0</v>
      </c>
      <c r="H4108" s="22">
        <f>IFERROR(__xludf.DUMMYFUNCTION("""COMPUTED_VALUE"""),500000.0)</f>
        <v>500000</v>
      </c>
      <c r="I4108" s="24">
        <f>IFERROR(__xludf.DUMMYFUNCTION("""COMPUTED_VALUE"""),0.0)</f>
        <v>0</v>
      </c>
    </row>
    <row r="4109">
      <c r="A4109" s="5" t="str">
        <f>IFERROR(__xludf.DUMMYFUNCTION("""COMPUTED_VALUE"""),"46446")</f>
        <v>46446</v>
      </c>
      <c r="B4109" s="64">
        <f>IFERROR(__xludf.DUMMYFUNCTION("""COMPUTED_VALUE"""),44614.0)</f>
        <v>44614</v>
      </c>
      <c r="C4109" s="5"/>
      <c r="D4109" s="5"/>
      <c r="E4109" s="5"/>
      <c r="F4109" s="22">
        <f>IFERROR(__xludf.DUMMYFUNCTION("""COMPUTED_VALUE"""),500000.0)</f>
        <v>500000</v>
      </c>
      <c r="G4109" s="22">
        <f>IFERROR(__xludf.DUMMYFUNCTION("""COMPUTED_VALUE"""),0.0)</f>
        <v>0</v>
      </c>
      <c r="H4109" s="22">
        <f>IFERROR(__xludf.DUMMYFUNCTION("""COMPUTED_VALUE"""),500000.0)</f>
        <v>500000</v>
      </c>
      <c r="I4109" s="24">
        <f>IFERROR(__xludf.DUMMYFUNCTION("""COMPUTED_VALUE"""),0.0)</f>
        <v>0</v>
      </c>
    </row>
    <row r="4110">
      <c r="A4110" s="5" t="str">
        <f>IFERROR(__xludf.DUMMYFUNCTION("""COMPUTED_VALUE"""),"46446")</f>
        <v>46446</v>
      </c>
      <c r="B4110" s="64">
        <f>IFERROR(__xludf.DUMMYFUNCTION("""COMPUTED_VALUE"""),44615.0)</f>
        <v>44615</v>
      </c>
      <c r="C4110" s="5"/>
      <c r="D4110" s="5"/>
      <c r="E4110" s="5"/>
      <c r="F4110" s="22">
        <f>IFERROR(__xludf.DUMMYFUNCTION("""COMPUTED_VALUE"""),500000.0)</f>
        <v>500000</v>
      </c>
      <c r="G4110" s="22">
        <f>IFERROR(__xludf.DUMMYFUNCTION("""COMPUTED_VALUE"""),0.0)</f>
        <v>0</v>
      </c>
      <c r="H4110" s="22">
        <f>IFERROR(__xludf.DUMMYFUNCTION("""COMPUTED_VALUE"""),500000.0)</f>
        <v>500000</v>
      </c>
      <c r="I4110" s="24">
        <f>IFERROR(__xludf.DUMMYFUNCTION("""COMPUTED_VALUE"""),0.0)</f>
        <v>0</v>
      </c>
    </row>
    <row r="4111">
      <c r="A4111" s="5" t="str">
        <f>IFERROR(__xludf.DUMMYFUNCTION("""COMPUTED_VALUE"""),"46446")</f>
        <v>46446</v>
      </c>
      <c r="B4111" s="64">
        <f>IFERROR(__xludf.DUMMYFUNCTION("""COMPUTED_VALUE"""),44616.0)</f>
        <v>44616</v>
      </c>
      <c r="C4111" s="5"/>
      <c r="D4111" s="5"/>
      <c r="E4111" s="5"/>
      <c r="F4111" s="22">
        <f>IFERROR(__xludf.DUMMYFUNCTION("""COMPUTED_VALUE"""),500000.0)</f>
        <v>500000</v>
      </c>
      <c r="G4111" s="22">
        <f>IFERROR(__xludf.DUMMYFUNCTION("""COMPUTED_VALUE"""),0.0)</f>
        <v>0</v>
      </c>
      <c r="H4111" s="22">
        <f>IFERROR(__xludf.DUMMYFUNCTION("""COMPUTED_VALUE"""),500000.0)</f>
        <v>500000</v>
      </c>
      <c r="I4111" s="24">
        <f>IFERROR(__xludf.DUMMYFUNCTION("""COMPUTED_VALUE"""),0.0)</f>
        <v>0</v>
      </c>
    </row>
    <row r="4112">
      <c r="A4112" s="5" t="str">
        <f>IFERROR(__xludf.DUMMYFUNCTION("""COMPUTED_VALUE"""),"46446")</f>
        <v>46446</v>
      </c>
      <c r="B4112" s="64">
        <f>IFERROR(__xludf.DUMMYFUNCTION("""COMPUTED_VALUE"""),44617.0)</f>
        <v>44617</v>
      </c>
      <c r="C4112" s="5"/>
      <c r="D4112" s="5"/>
      <c r="E4112" s="5"/>
      <c r="F4112" s="22">
        <f>IFERROR(__xludf.DUMMYFUNCTION("""COMPUTED_VALUE"""),500000.0)</f>
        <v>500000</v>
      </c>
      <c r="G4112" s="22">
        <f>IFERROR(__xludf.DUMMYFUNCTION("""COMPUTED_VALUE"""),0.0)</f>
        <v>0</v>
      </c>
      <c r="H4112" s="22">
        <f>IFERROR(__xludf.DUMMYFUNCTION("""COMPUTED_VALUE"""),500000.0)</f>
        <v>500000</v>
      </c>
      <c r="I4112" s="24">
        <f>IFERROR(__xludf.DUMMYFUNCTION("""COMPUTED_VALUE"""),0.0)</f>
        <v>0</v>
      </c>
    </row>
    <row r="4113">
      <c r="A4113" s="5" t="str">
        <f>IFERROR(__xludf.DUMMYFUNCTION("""COMPUTED_VALUE"""),"46446")</f>
        <v>46446</v>
      </c>
      <c r="B4113" s="64">
        <f>IFERROR(__xludf.DUMMYFUNCTION("""COMPUTED_VALUE"""),44618.0)</f>
        <v>44618</v>
      </c>
      <c r="C4113" s="5"/>
      <c r="D4113" s="5"/>
      <c r="E4113" s="5"/>
      <c r="F4113" s="22">
        <f>IFERROR(__xludf.DUMMYFUNCTION("""COMPUTED_VALUE"""),500000.0)</f>
        <v>500000</v>
      </c>
      <c r="G4113" s="22">
        <f>IFERROR(__xludf.DUMMYFUNCTION("""COMPUTED_VALUE"""),0.0)</f>
        <v>0</v>
      </c>
      <c r="H4113" s="22">
        <f>IFERROR(__xludf.DUMMYFUNCTION("""COMPUTED_VALUE"""),500000.0)</f>
        <v>500000</v>
      </c>
      <c r="I4113" s="24">
        <f>IFERROR(__xludf.DUMMYFUNCTION("""COMPUTED_VALUE"""),0.0)</f>
        <v>0</v>
      </c>
    </row>
    <row r="4114">
      <c r="A4114" s="5" t="str">
        <f>IFERROR(__xludf.DUMMYFUNCTION("""COMPUTED_VALUE"""),"46446")</f>
        <v>46446</v>
      </c>
      <c r="B4114" s="64">
        <f>IFERROR(__xludf.DUMMYFUNCTION("""COMPUTED_VALUE"""),44619.0)</f>
        <v>44619</v>
      </c>
      <c r="C4114" s="5"/>
      <c r="D4114" s="5"/>
      <c r="E4114" s="5"/>
      <c r="F4114" s="22">
        <f>IFERROR(__xludf.DUMMYFUNCTION("""COMPUTED_VALUE"""),500000.0)</f>
        <v>500000</v>
      </c>
      <c r="G4114" s="22">
        <f>IFERROR(__xludf.DUMMYFUNCTION("""COMPUTED_VALUE"""),0.0)</f>
        <v>0</v>
      </c>
      <c r="H4114" s="22">
        <f>IFERROR(__xludf.DUMMYFUNCTION("""COMPUTED_VALUE"""),500000.0)</f>
        <v>500000</v>
      </c>
      <c r="I4114" s="24">
        <f>IFERROR(__xludf.DUMMYFUNCTION("""COMPUTED_VALUE"""),0.0)</f>
        <v>0</v>
      </c>
    </row>
    <row r="4115">
      <c r="A4115" s="5" t="str">
        <f>IFERROR(__xludf.DUMMYFUNCTION("""COMPUTED_VALUE"""),"46446")</f>
        <v>46446</v>
      </c>
      <c r="B4115" s="64">
        <f>IFERROR(__xludf.DUMMYFUNCTION("""COMPUTED_VALUE"""),44620.0)</f>
        <v>44620</v>
      </c>
      <c r="C4115" s="5"/>
      <c r="D4115" s="5"/>
      <c r="E4115" s="5"/>
      <c r="F4115" s="22">
        <f>IFERROR(__xludf.DUMMYFUNCTION("""COMPUTED_VALUE"""),500000.0)</f>
        <v>500000</v>
      </c>
      <c r="G4115" s="22">
        <f>IFERROR(__xludf.DUMMYFUNCTION("""COMPUTED_VALUE"""),0.0)</f>
        <v>0</v>
      </c>
      <c r="H4115" s="22">
        <f>IFERROR(__xludf.DUMMYFUNCTION("""COMPUTED_VALUE"""),500000.0)</f>
        <v>500000</v>
      </c>
      <c r="I4115" s="24">
        <f>IFERROR(__xludf.DUMMYFUNCTION("""COMPUTED_VALUE"""),0.0)</f>
        <v>0</v>
      </c>
    </row>
    <row r="4116">
      <c r="A4116" s="5" t="str">
        <f>IFERROR(__xludf.DUMMYFUNCTION("""COMPUTED_VALUE"""),"46446")</f>
        <v>46446</v>
      </c>
      <c r="B4116" s="64">
        <f>IFERROR(__xludf.DUMMYFUNCTION("""COMPUTED_VALUE"""),44621.0)</f>
        <v>44621</v>
      </c>
      <c r="C4116" s="5"/>
      <c r="D4116" s="5"/>
      <c r="E4116" s="5"/>
      <c r="F4116" s="22">
        <f>IFERROR(__xludf.DUMMYFUNCTION("""COMPUTED_VALUE"""),500000.0)</f>
        <v>500000</v>
      </c>
      <c r="G4116" s="22">
        <f>IFERROR(__xludf.DUMMYFUNCTION("""COMPUTED_VALUE"""),0.0)</f>
        <v>0</v>
      </c>
      <c r="H4116" s="22">
        <f>IFERROR(__xludf.DUMMYFUNCTION("""COMPUTED_VALUE"""),500000.0)</f>
        <v>500000</v>
      </c>
      <c r="I4116" s="24">
        <f>IFERROR(__xludf.DUMMYFUNCTION("""COMPUTED_VALUE"""),0.0)</f>
        <v>0</v>
      </c>
    </row>
    <row r="4117">
      <c r="A4117" s="5" t="str">
        <f>IFERROR(__xludf.DUMMYFUNCTION("""COMPUTED_VALUE"""),"46446")</f>
        <v>46446</v>
      </c>
      <c r="B4117" s="64">
        <f>IFERROR(__xludf.DUMMYFUNCTION("""COMPUTED_VALUE"""),44622.0)</f>
        <v>44622</v>
      </c>
      <c r="C4117" s="5"/>
      <c r="D4117" s="5"/>
      <c r="E4117" s="5"/>
      <c r="F4117" s="22">
        <f>IFERROR(__xludf.DUMMYFUNCTION("""COMPUTED_VALUE"""),500000.0)</f>
        <v>500000</v>
      </c>
      <c r="G4117" s="22">
        <f>IFERROR(__xludf.DUMMYFUNCTION("""COMPUTED_VALUE"""),0.0)</f>
        <v>0</v>
      </c>
      <c r="H4117" s="22">
        <f>IFERROR(__xludf.DUMMYFUNCTION("""COMPUTED_VALUE"""),500000.0)</f>
        <v>500000</v>
      </c>
      <c r="I4117" s="24">
        <f>IFERROR(__xludf.DUMMYFUNCTION("""COMPUTED_VALUE"""),0.0)</f>
        <v>0</v>
      </c>
    </row>
    <row r="4118">
      <c r="A4118" s="5" t="str">
        <f>IFERROR(__xludf.DUMMYFUNCTION("""COMPUTED_VALUE"""),"46446")</f>
        <v>46446</v>
      </c>
      <c r="B4118" s="64">
        <f>IFERROR(__xludf.DUMMYFUNCTION("""COMPUTED_VALUE"""),44623.0)</f>
        <v>44623</v>
      </c>
      <c r="C4118" s="5"/>
      <c r="D4118" s="5"/>
      <c r="E4118" s="5"/>
      <c r="F4118" s="22">
        <f>IFERROR(__xludf.DUMMYFUNCTION("""COMPUTED_VALUE"""),500000.0)</f>
        <v>500000</v>
      </c>
      <c r="G4118" s="22">
        <f>IFERROR(__xludf.DUMMYFUNCTION("""COMPUTED_VALUE"""),0.0)</f>
        <v>0</v>
      </c>
      <c r="H4118" s="22">
        <f>IFERROR(__xludf.DUMMYFUNCTION("""COMPUTED_VALUE"""),500000.0)</f>
        <v>500000</v>
      </c>
      <c r="I4118" s="24">
        <f>IFERROR(__xludf.DUMMYFUNCTION("""COMPUTED_VALUE"""),0.0)</f>
        <v>0</v>
      </c>
    </row>
    <row r="4119">
      <c r="A4119" s="5" t="str">
        <f>IFERROR(__xludf.DUMMYFUNCTION("""COMPUTED_VALUE"""),"46446")</f>
        <v>46446</v>
      </c>
      <c r="B4119" s="64">
        <f>IFERROR(__xludf.DUMMYFUNCTION("""COMPUTED_VALUE"""),44624.0)</f>
        <v>44624</v>
      </c>
      <c r="C4119" s="5"/>
      <c r="D4119" s="5"/>
      <c r="E4119" s="5"/>
      <c r="F4119" s="22">
        <f>IFERROR(__xludf.DUMMYFUNCTION("""COMPUTED_VALUE"""),500000.0)</f>
        <v>500000</v>
      </c>
      <c r="G4119" s="22">
        <f>IFERROR(__xludf.DUMMYFUNCTION("""COMPUTED_VALUE"""),0.0)</f>
        <v>0</v>
      </c>
      <c r="H4119" s="22">
        <f>IFERROR(__xludf.DUMMYFUNCTION("""COMPUTED_VALUE"""),500000.0)</f>
        <v>500000</v>
      </c>
      <c r="I4119" s="24">
        <f>IFERROR(__xludf.DUMMYFUNCTION("""COMPUTED_VALUE"""),0.0)</f>
        <v>0</v>
      </c>
    </row>
    <row r="4120">
      <c r="A4120" s="5" t="str">
        <f>IFERROR(__xludf.DUMMYFUNCTION("""COMPUTED_VALUE"""),"46446")</f>
        <v>46446</v>
      </c>
      <c r="B4120" s="64">
        <f>IFERROR(__xludf.DUMMYFUNCTION("""COMPUTED_VALUE"""),44625.0)</f>
        <v>44625</v>
      </c>
      <c r="C4120" s="5"/>
      <c r="D4120" s="5"/>
      <c r="E4120" s="5"/>
      <c r="F4120" s="22">
        <f>IFERROR(__xludf.DUMMYFUNCTION("""COMPUTED_VALUE"""),500000.0)</f>
        <v>500000</v>
      </c>
      <c r="G4120" s="22">
        <f>IFERROR(__xludf.DUMMYFUNCTION("""COMPUTED_VALUE"""),0.0)</f>
        <v>0</v>
      </c>
      <c r="H4120" s="22">
        <f>IFERROR(__xludf.DUMMYFUNCTION("""COMPUTED_VALUE"""),500000.0)</f>
        <v>500000</v>
      </c>
      <c r="I4120" s="24">
        <f>IFERROR(__xludf.DUMMYFUNCTION("""COMPUTED_VALUE"""),0.0)</f>
        <v>0</v>
      </c>
    </row>
    <row r="4121">
      <c r="A4121" s="5" t="str">
        <f>IFERROR(__xludf.DUMMYFUNCTION("""COMPUTED_VALUE"""),"46446")</f>
        <v>46446</v>
      </c>
      <c r="B4121" s="64">
        <f>IFERROR(__xludf.DUMMYFUNCTION("""COMPUTED_VALUE"""),44626.0)</f>
        <v>44626</v>
      </c>
      <c r="C4121" s="5"/>
      <c r="D4121" s="5"/>
      <c r="E4121" s="5"/>
      <c r="F4121" s="22">
        <f>IFERROR(__xludf.DUMMYFUNCTION("""COMPUTED_VALUE"""),500000.0)</f>
        <v>500000</v>
      </c>
      <c r="G4121" s="22">
        <f>IFERROR(__xludf.DUMMYFUNCTION("""COMPUTED_VALUE"""),0.0)</f>
        <v>0</v>
      </c>
      <c r="H4121" s="22">
        <f>IFERROR(__xludf.DUMMYFUNCTION("""COMPUTED_VALUE"""),500000.0)</f>
        <v>500000</v>
      </c>
      <c r="I4121" s="24">
        <f>IFERROR(__xludf.DUMMYFUNCTION("""COMPUTED_VALUE"""),0.0)</f>
        <v>0</v>
      </c>
    </row>
    <row r="4122">
      <c r="A4122" s="5" t="str">
        <f>IFERROR(__xludf.DUMMYFUNCTION("""COMPUTED_VALUE"""),"46446")</f>
        <v>46446</v>
      </c>
      <c r="B4122" s="64">
        <f>IFERROR(__xludf.DUMMYFUNCTION("""COMPUTED_VALUE"""),44627.0)</f>
        <v>44627</v>
      </c>
      <c r="C4122" s="5"/>
      <c r="D4122" s="5"/>
      <c r="E4122" s="5"/>
      <c r="F4122" s="22">
        <f>IFERROR(__xludf.DUMMYFUNCTION("""COMPUTED_VALUE"""),500000.0)</f>
        <v>500000</v>
      </c>
      <c r="G4122" s="22">
        <f>IFERROR(__xludf.DUMMYFUNCTION("""COMPUTED_VALUE"""),0.0)</f>
        <v>0</v>
      </c>
      <c r="H4122" s="22">
        <f>IFERROR(__xludf.DUMMYFUNCTION("""COMPUTED_VALUE"""),500000.0)</f>
        <v>500000</v>
      </c>
      <c r="I4122" s="24">
        <f>IFERROR(__xludf.DUMMYFUNCTION("""COMPUTED_VALUE"""),0.0)</f>
        <v>0</v>
      </c>
    </row>
    <row r="4123">
      <c r="A4123" s="5" t="str">
        <f>IFERROR(__xludf.DUMMYFUNCTION("""COMPUTED_VALUE"""),"46446")</f>
        <v>46446</v>
      </c>
      <c r="B4123" s="64">
        <f>IFERROR(__xludf.DUMMYFUNCTION("""COMPUTED_VALUE"""),44628.0)</f>
        <v>44628</v>
      </c>
      <c r="C4123" s="5"/>
      <c r="D4123" s="5"/>
      <c r="E4123" s="5"/>
      <c r="F4123" s="22">
        <f>IFERROR(__xludf.DUMMYFUNCTION("""COMPUTED_VALUE"""),500000.0)</f>
        <v>500000</v>
      </c>
      <c r="G4123" s="22">
        <f>IFERROR(__xludf.DUMMYFUNCTION("""COMPUTED_VALUE"""),0.0)</f>
        <v>0</v>
      </c>
      <c r="H4123" s="22">
        <f>IFERROR(__xludf.DUMMYFUNCTION("""COMPUTED_VALUE"""),500000.0)</f>
        <v>500000</v>
      </c>
      <c r="I4123" s="24">
        <f>IFERROR(__xludf.DUMMYFUNCTION("""COMPUTED_VALUE"""),0.0)</f>
        <v>0</v>
      </c>
    </row>
    <row r="4124">
      <c r="A4124" s="5" t="str">
        <f>IFERROR(__xludf.DUMMYFUNCTION("""COMPUTED_VALUE"""),"46446")</f>
        <v>46446</v>
      </c>
      <c r="B4124" s="64">
        <f>IFERROR(__xludf.DUMMYFUNCTION("""COMPUTED_VALUE"""),44629.0)</f>
        <v>44629</v>
      </c>
      <c r="C4124" s="5"/>
      <c r="D4124" s="5"/>
      <c r="E4124" s="5"/>
      <c r="F4124" s="22">
        <f>IFERROR(__xludf.DUMMYFUNCTION("""COMPUTED_VALUE"""),500000.0)</f>
        <v>500000</v>
      </c>
      <c r="G4124" s="22">
        <f>IFERROR(__xludf.DUMMYFUNCTION("""COMPUTED_VALUE"""),0.0)</f>
        <v>0</v>
      </c>
      <c r="H4124" s="22">
        <f>IFERROR(__xludf.DUMMYFUNCTION("""COMPUTED_VALUE"""),500000.0)</f>
        <v>500000</v>
      </c>
      <c r="I4124" s="24">
        <f>IFERROR(__xludf.DUMMYFUNCTION("""COMPUTED_VALUE"""),0.0)</f>
        <v>0</v>
      </c>
    </row>
    <row r="4125">
      <c r="A4125" s="5" t="str">
        <f>IFERROR(__xludf.DUMMYFUNCTION("""COMPUTED_VALUE"""),"46446")</f>
        <v>46446</v>
      </c>
      <c r="B4125" s="64">
        <f>IFERROR(__xludf.DUMMYFUNCTION("""COMPUTED_VALUE"""),44630.0)</f>
        <v>44630</v>
      </c>
      <c r="C4125" s="5"/>
      <c r="D4125" s="5"/>
      <c r="E4125" s="5"/>
      <c r="F4125" s="22">
        <f>IFERROR(__xludf.DUMMYFUNCTION("""COMPUTED_VALUE"""),500000.0)</f>
        <v>500000</v>
      </c>
      <c r="G4125" s="22">
        <f>IFERROR(__xludf.DUMMYFUNCTION("""COMPUTED_VALUE"""),0.0)</f>
        <v>0</v>
      </c>
      <c r="H4125" s="22">
        <f>IFERROR(__xludf.DUMMYFUNCTION("""COMPUTED_VALUE"""),500000.0)</f>
        <v>500000</v>
      </c>
      <c r="I4125" s="24">
        <f>IFERROR(__xludf.DUMMYFUNCTION("""COMPUTED_VALUE"""),0.0)</f>
        <v>0</v>
      </c>
    </row>
    <row r="4126">
      <c r="A4126" s="5" t="str">
        <f>IFERROR(__xludf.DUMMYFUNCTION("""COMPUTED_VALUE"""),"46446")</f>
        <v>46446</v>
      </c>
      <c r="B4126" s="64">
        <f>IFERROR(__xludf.DUMMYFUNCTION("""COMPUTED_VALUE"""),44631.0)</f>
        <v>44631</v>
      </c>
      <c r="C4126" s="5"/>
      <c r="D4126" s="5"/>
      <c r="E4126" s="5"/>
      <c r="F4126" s="22">
        <f>IFERROR(__xludf.DUMMYFUNCTION("""COMPUTED_VALUE"""),500000.0)</f>
        <v>500000</v>
      </c>
      <c r="G4126" s="22">
        <f>IFERROR(__xludf.DUMMYFUNCTION("""COMPUTED_VALUE"""),0.0)</f>
        <v>0</v>
      </c>
      <c r="H4126" s="22">
        <f>IFERROR(__xludf.DUMMYFUNCTION("""COMPUTED_VALUE"""),500000.0)</f>
        <v>500000</v>
      </c>
      <c r="I4126" s="24">
        <f>IFERROR(__xludf.DUMMYFUNCTION("""COMPUTED_VALUE"""),0.0)</f>
        <v>0</v>
      </c>
    </row>
    <row r="4127">
      <c r="A4127" s="5" t="str">
        <f>IFERROR(__xludf.DUMMYFUNCTION("""COMPUTED_VALUE"""),"46446")</f>
        <v>46446</v>
      </c>
      <c r="B4127" s="64">
        <f>IFERROR(__xludf.DUMMYFUNCTION("""COMPUTED_VALUE"""),44632.0)</f>
        <v>44632</v>
      </c>
      <c r="C4127" s="5"/>
      <c r="D4127" s="5"/>
      <c r="E4127" s="5"/>
      <c r="F4127" s="22">
        <f>IFERROR(__xludf.DUMMYFUNCTION("""COMPUTED_VALUE"""),500000.0)</f>
        <v>500000</v>
      </c>
      <c r="G4127" s="22">
        <f>IFERROR(__xludf.DUMMYFUNCTION("""COMPUTED_VALUE"""),0.0)</f>
        <v>0</v>
      </c>
      <c r="H4127" s="22">
        <f>IFERROR(__xludf.DUMMYFUNCTION("""COMPUTED_VALUE"""),500000.0)</f>
        <v>500000</v>
      </c>
      <c r="I4127" s="24">
        <f>IFERROR(__xludf.DUMMYFUNCTION("""COMPUTED_VALUE"""),0.0)</f>
        <v>0</v>
      </c>
    </row>
    <row r="4128">
      <c r="A4128" s="5" t="str">
        <f>IFERROR(__xludf.DUMMYFUNCTION("""COMPUTED_VALUE"""),"46446")</f>
        <v>46446</v>
      </c>
      <c r="B4128" s="64">
        <f>IFERROR(__xludf.DUMMYFUNCTION("""COMPUTED_VALUE"""),44633.0)</f>
        <v>44633</v>
      </c>
      <c r="C4128" s="5"/>
      <c r="D4128" s="5"/>
      <c r="E4128" s="5"/>
      <c r="F4128" s="22">
        <f>IFERROR(__xludf.DUMMYFUNCTION("""COMPUTED_VALUE"""),500000.0)</f>
        <v>500000</v>
      </c>
      <c r="G4128" s="22">
        <f>IFERROR(__xludf.DUMMYFUNCTION("""COMPUTED_VALUE"""),0.0)</f>
        <v>0</v>
      </c>
      <c r="H4128" s="22">
        <f>IFERROR(__xludf.DUMMYFUNCTION("""COMPUTED_VALUE"""),500000.0)</f>
        <v>500000</v>
      </c>
      <c r="I4128" s="24">
        <f>IFERROR(__xludf.DUMMYFUNCTION("""COMPUTED_VALUE"""),0.0)</f>
        <v>0</v>
      </c>
    </row>
    <row r="4129">
      <c r="A4129" s="5" t="str">
        <f>IFERROR(__xludf.DUMMYFUNCTION("""COMPUTED_VALUE"""),"46446")</f>
        <v>46446</v>
      </c>
      <c r="B4129" s="64">
        <f>IFERROR(__xludf.DUMMYFUNCTION("""COMPUTED_VALUE"""),44634.0)</f>
        <v>44634</v>
      </c>
      <c r="C4129" s="5"/>
      <c r="D4129" s="5"/>
      <c r="E4129" s="5"/>
      <c r="F4129" s="22">
        <f>IFERROR(__xludf.DUMMYFUNCTION("""COMPUTED_VALUE"""),500000.0)</f>
        <v>500000</v>
      </c>
      <c r="G4129" s="22">
        <f>IFERROR(__xludf.DUMMYFUNCTION("""COMPUTED_VALUE"""),0.0)</f>
        <v>0</v>
      </c>
      <c r="H4129" s="22">
        <f>IFERROR(__xludf.DUMMYFUNCTION("""COMPUTED_VALUE"""),500000.0)</f>
        <v>500000</v>
      </c>
      <c r="I4129" s="24">
        <f>IFERROR(__xludf.DUMMYFUNCTION("""COMPUTED_VALUE"""),0.0)</f>
        <v>0</v>
      </c>
    </row>
    <row r="4130">
      <c r="A4130" s="5" t="str">
        <f>IFERROR(__xludf.DUMMYFUNCTION("""COMPUTED_VALUE"""),"46446")</f>
        <v>46446</v>
      </c>
      <c r="B4130" s="64">
        <f>IFERROR(__xludf.DUMMYFUNCTION("""COMPUTED_VALUE"""),44635.0)</f>
        <v>44635</v>
      </c>
      <c r="C4130" s="5"/>
      <c r="D4130" s="5"/>
      <c r="E4130" s="5"/>
      <c r="F4130" s="22">
        <f>IFERROR(__xludf.DUMMYFUNCTION("""COMPUTED_VALUE"""),500000.0)</f>
        <v>500000</v>
      </c>
      <c r="G4130" s="22">
        <f>IFERROR(__xludf.DUMMYFUNCTION("""COMPUTED_VALUE"""),0.0)</f>
        <v>0</v>
      </c>
      <c r="H4130" s="22">
        <f>IFERROR(__xludf.DUMMYFUNCTION("""COMPUTED_VALUE"""),500000.0)</f>
        <v>500000</v>
      </c>
      <c r="I4130" s="24">
        <f>IFERROR(__xludf.DUMMYFUNCTION("""COMPUTED_VALUE"""),0.0)</f>
        <v>0</v>
      </c>
    </row>
    <row r="4131">
      <c r="A4131" s="5" t="str">
        <f>IFERROR(__xludf.DUMMYFUNCTION("""COMPUTED_VALUE"""),"46446")</f>
        <v>46446</v>
      </c>
      <c r="B4131" s="64">
        <f>IFERROR(__xludf.DUMMYFUNCTION("""COMPUTED_VALUE"""),44636.0)</f>
        <v>44636</v>
      </c>
      <c r="C4131" s="5"/>
      <c r="D4131" s="5"/>
      <c r="E4131" s="5"/>
      <c r="F4131" s="22">
        <f>IFERROR(__xludf.DUMMYFUNCTION("""COMPUTED_VALUE"""),500000.0)</f>
        <v>500000</v>
      </c>
      <c r="G4131" s="22">
        <f>IFERROR(__xludf.DUMMYFUNCTION("""COMPUTED_VALUE"""),0.0)</f>
        <v>0</v>
      </c>
      <c r="H4131" s="22">
        <f>IFERROR(__xludf.DUMMYFUNCTION("""COMPUTED_VALUE"""),500000.0)</f>
        <v>500000</v>
      </c>
      <c r="I4131" s="24">
        <f>IFERROR(__xludf.DUMMYFUNCTION("""COMPUTED_VALUE"""),0.0)</f>
        <v>0</v>
      </c>
    </row>
    <row r="4132">
      <c r="A4132" s="5" t="str">
        <f>IFERROR(__xludf.DUMMYFUNCTION("""COMPUTED_VALUE"""),"46446")</f>
        <v>46446</v>
      </c>
      <c r="B4132" s="64">
        <f>IFERROR(__xludf.DUMMYFUNCTION("""COMPUTED_VALUE"""),44637.0)</f>
        <v>44637</v>
      </c>
      <c r="C4132" s="5"/>
      <c r="D4132" s="5"/>
      <c r="E4132" s="5"/>
      <c r="F4132" s="22">
        <f>IFERROR(__xludf.DUMMYFUNCTION("""COMPUTED_VALUE"""),500000.0)</f>
        <v>500000</v>
      </c>
      <c r="G4132" s="22">
        <f>IFERROR(__xludf.DUMMYFUNCTION("""COMPUTED_VALUE"""),0.0)</f>
        <v>0</v>
      </c>
      <c r="H4132" s="22">
        <f>IFERROR(__xludf.DUMMYFUNCTION("""COMPUTED_VALUE"""),500000.0)</f>
        <v>500000</v>
      </c>
      <c r="I4132" s="24">
        <f>IFERROR(__xludf.DUMMYFUNCTION("""COMPUTED_VALUE"""),0.0)</f>
        <v>0</v>
      </c>
    </row>
    <row r="4133">
      <c r="A4133" s="5" t="str">
        <f>IFERROR(__xludf.DUMMYFUNCTION("""COMPUTED_VALUE"""),"46446")</f>
        <v>46446</v>
      </c>
      <c r="B4133" s="64">
        <f>IFERROR(__xludf.DUMMYFUNCTION("""COMPUTED_VALUE"""),44638.0)</f>
        <v>44638</v>
      </c>
      <c r="C4133" s="5"/>
      <c r="D4133" s="5"/>
      <c r="E4133" s="5"/>
      <c r="F4133" s="22">
        <f>IFERROR(__xludf.DUMMYFUNCTION("""COMPUTED_VALUE"""),500000.0)</f>
        <v>500000</v>
      </c>
      <c r="G4133" s="22">
        <f>IFERROR(__xludf.DUMMYFUNCTION("""COMPUTED_VALUE"""),0.0)</f>
        <v>0</v>
      </c>
      <c r="H4133" s="22">
        <f>IFERROR(__xludf.DUMMYFUNCTION("""COMPUTED_VALUE"""),500000.0)</f>
        <v>500000</v>
      </c>
      <c r="I4133" s="24">
        <f>IFERROR(__xludf.DUMMYFUNCTION("""COMPUTED_VALUE"""),0.0)</f>
        <v>0</v>
      </c>
    </row>
    <row r="4134">
      <c r="A4134" s="5" t="str">
        <f>IFERROR(__xludf.DUMMYFUNCTION("""COMPUTED_VALUE"""),"46446")</f>
        <v>46446</v>
      </c>
      <c r="B4134" s="64">
        <f>IFERROR(__xludf.DUMMYFUNCTION("""COMPUTED_VALUE"""),44639.0)</f>
        <v>44639</v>
      </c>
      <c r="C4134" s="5"/>
      <c r="D4134" s="5"/>
      <c r="E4134" s="5"/>
      <c r="F4134" s="22">
        <f>IFERROR(__xludf.DUMMYFUNCTION("""COMPUTED_VALUE"""),500000.0)</f>
        <v>500000</v>
      </c>
      <c r="G4134" s="22">
        <f>IFERROR(__xludf.DUMMYFUNCTION("""COMPUTED_VALUE"""),0.0)</f>
        <v>0</v>
      </c>
      <c r="H4134" s="22">
        <f>IFERROR(__xludf.DUMMYFUNCTION("""COMPUTED_VALUE"""),500000.0)</f>
        <v>500000</v>
      </c>
      <c r="I4134" s="24">
        <f>IFERROR(__xludf.DUMMYFUNCTION("""COMPUTED_VALUE"""),0.0)</f>
        <v>0</v>
      </c>
    </row>
    <row r="4135">
      <c r="A4135" s="5" t="str">
        <f>IFERROR(__xludf.DUMMYFUNCTION("""COMPUTED_VALUE"""),"46446")</f>
        <v>46446</v>
      </c>
      <c r="B4135" s="64">
        <f>IFERROR(__xludf.DUMMYFUNCTION("""COMPUTED_VALUE"""),44640.0)</f>
        <v>44640</v>
      </c>
      <c r="C4135" s="5"/>
      <c r="D4135" s="5"/>
      <c r="E4135" s="5"/>
      <c r="F4135" s="22">
        <f>IFERROR(__xludf.DUMMYFUNCTION("""COMPUTED_VALUE"""),500000.0)</f>
        <v>500000</v>
      </c>
      <c r="G4135" s="22">
        <f>IFERROR(__xludf.DUMMYFUNCTION("""COMPUTED_VALUE"""),0.0)</f>
        <v>0</v>
      </c>
      <c r="H4135" s="22">
        <f>IFERROR(__xludf.DUMMYFUNCTION("""COMPUTED_VALUE"""),500000.0)</f>
        <v>500000</v>
      </c>
      <c r="I4135" s="24">
        <f>IFERROR(__xludf.DUMMYFUNCTION("""COMPUTED_VALUE"""),0.0)</f>
        <v>0</v>
      </c>
    </row>
    <row r="4136">
      <c r="A4136" s="5" t="str">
        <f>IFERROR(__xludf.DUMMYFUNCTION("""COMPUTED_VALUE"""),"46446")</f>
        <v>46446</v>
      </c>
      <c r="B4136" s="64">
        <f>IFERROR(__xludf.DUMMYFUNCTION("""COMPUTED_VALUE"""),44641.0)</f>
        <v>44641</v>
      </c>
      <c r="C4136" s="5"/>
      <c r="D4136" s="5"/>
      <c r="E4136" s="5"/>
      <c r="F4136" s="22">
        <f>IFERROR(__xludf.DUMMYFUNCTION("""COMPUTED_VALUE"""),500000.0)</f>
        <v>500000</v>
      </c>
      <c r="G4136" s="22">
        <f>IFERROR(__xludf.DUMMYFUNCTION("""COMPUTED_VALUE"""),0.0)</f>
        <v>0</v>
      </c>
      <c r="H4136" s="22">
        <f>IFERROR(__xludf.DUMMYFUNCTION("""COMPUTED_VALUE"""),500000.0)</f>
        <v>500000</v>
      </c>
      <c r="I4136" s="24">
        <f>IFERROR(__xludf.DUMMYFUNCTION("""COMPUTED_VALUE"""),0.0)</f>
        <v>0</v>
      </c>
    </row>
    <row r="4137">
      <c r="A4137" s="5" t="str">
        <f>IFERROR(__xludf.DUMMYFUNCTION("""COMPUTED_VALUE"""),"46446")</f>
        <v>46446</v>
      </c>
      <c r="B4137" s="64">
        <f>IFERROR(__xludf.DUMMYFUNCTION("""COMPUTED_VALUE"""),44642.0)</f>
        <v>44642</v>
      </c>
      <c r="C4137" s="5"/>
      <c r="D4137" s="5"/>
      <c r="E4137" s="5"/>
      <c r="F4137" s="22">
        <f>IFERROR(__xludf.DUMMYFUNCTION("""COMPUTED_VALUE"""),500000.0)</f>
        <v>500000</v>
      </c>
      <c r="G4137" s="22">
        <f>IFERROR(__xludf.DUMMYFUNCTION("""COMPUTED_VALUE"""),0.0)</f>
        <v>0</v>
      </c>
      <c r="H4137" s="22">
        <f>IFERROR(__xludf.DUMMYFUNCTION("""COMPUTED_VALUE"""),500000.0)</f>
        <v>500000</v>
      </c>
      <c r="I4137" s="24">
        <f>IFERROR(__xludf.DUMMYFUNCTION("""COMPUTED_VALUE"""),0.0)</f>
        <v>0</v>
      </c>
    </row>
    <row r="4138">
      <c r="A4138" s="5" t="str">
        <f>IFERROR(__xludf.DUMMYFUNCTION("""COMPUTED_VALUE"""),"46446")</f>
        <v>46446</v>
      </c>
      <c r="B4138" s="64">
        <f>IFERROR(__xludf.DUMMYFUNCTION("""COMPUTED_VALUE"""),44643.0)</f>
        <v>44643</v>
      </c>
      <c r="C4138" s="5"/>
      <c r="D4138" s="5"/>
      <c r="E4138" s="5"/>
      <c r="F4138" s="22">
        <f>IFERROR(__xludf.DUMMYFUNCTION("""COMPUTED_VALUE"""),500000.0)</f>
        <v>500000</v>
      </c>
      <c r="G4138" s="22">
        <f>IFERROR(__xludf.DUMMYFUNCTION("""COMPUTED_VALUE"""),0.0)</f>
        <v>0</v>
      </c>
      <c r="H4138" s="22">
        <f>IFERROR(__xludf.DUMMYFUNCTION("""COMPUTED_VALUE"""),500000.0)</f>
        <v>500000</v>
      </c>
      <c r="I4138" s="24">
        <f>IFERROR(__xludf.DUMMYFUNCTION("""COMPUTED_VALUE"""),0.0)</f>
        <v>0</v>
      </c>
    </row>
    <row r="4139">
      <c r="A4139" s="5" t="str">
        <f>IFERROR(__xludf.DUMMYFUNCTION("""COMPUTED_VALUE"""),"46446")</f>
        <v>46446</v>
      </c>
      <c r="B4139" s="64">
        <f>IFERROR(__xludf.DUMMYFUNCTION("""COMPUTED_VALUE"""),44644.0)</f>
        <v>44644</v>
      </c>
      <c r="C4139" s="5"/>
      <c r="D4139" s="5"/>
      <c r="E4139" s="5"/>
      <c r="F4139" s="22">
        <f>IFERROR(__xludf.DUMMYFUNCTION("""COMPUTED_VALUE"""),500000.0)</f>
        <v>500000</v>
      </c>
      <c r="G4139" s="22">
        <f>IFERROR(__xludf.DUMMYFUNCTION("""COMPUTED_VALUE"""),0.0)</f>
        <v>0</v>
      </c>
      <c r="H4139" s="22">
        <f>IFERROR(__xludf.DUMMYFUNCTION("""COMPUTED_VALUE"""),500000.0)</f>
        <v>500000</v>
      </c>
      <c r="I4139" s="24">
        <f>IFERROR(__xludf.DUMMYFUNCTION("""COMPUTED_VALUE"""),0.0)</f>
        <v>0</v>
      </c>
    </row>
    <row r="4140">
      <c r="A4140" s="5" t="str">
        <f>IFERROR(__xludf.DUMMYFUNCTION("""COMPUTED_VALUE"""),"46446")</f>
        <v>46446</v>
      </c>
      <c r="B4140" s="64">
        <f>IFERROR(__xludf.DUMMYFUNCTION("""COMPUTED_VALUE"""),44645.0)</f>
        <v>44645</v>
      </c>
      <c r="C4140" s="5"/>
      <c r="D4140" s="5"/>
      <c r="E4140" s="5"/>
      <c r="F4140" s="22">
        <f>IFERROR(__xludf.DUMMYFUNCTION("""COMPUTED_VALUE"""),500000.0)</f>
        <v>500000</v>
      </c>
      <c r="G4140" s="22">
        <f>IFERROR(__xludf.DUMMYFUNCTION("""COMPUTED_VALUE"""),0.0)</f>
        <v>0</v>
      </c>
      <c r="H4140" s="22">
        <f>IFERROR(__xludf.DUMMYFUNCTION("""COMPUTED_VALUE"""),500000.0)</f>
        <v>500000</v>
      </c>
      <c r="I4140" s="24">
        <f>IFERROR(__xludf.DUMMYFUNCTION("""COMPUTED_VALUE"""),0.0)</f>
        <v>0</v>
      </c>
    </row>
    <row r="4141">
      <c r="A4141" s="5" t="str">
        <f>IFERROR(__xludf.DUMMYFUNCTION("""COMPUTED_VALUE"""),"46446")</f>
        <v>46446</v>
      </c>
      <c r="B4141" s="64">
        <f>IFERROR(__xludf.DUMMYFUNCTION("""COMPUTED_VALUE"""),44646.0)</f>
        <v>44646</v>
      </c>
      <c r="C4141" s="5"/>
      <c r="D4141" s="5"/>
      <c r="E4141" s="5"/>
      <c r="F4141" s="22">
        <f>IFERROR(__xludf.DUMMYFUNCTION("""COMPUTED_VALUE"""),500000.0)</f>
        <v>500000</v>
      </c>
      <c r="G4141" s="22">
        <f>IFERROR(__xludf.DUMMYFUNCTION("""COMPUTED_VALUE"""),0.0)</f>
        <v>0</v>
      </c>
      <c r="H4141" s="22">
        <f>IFERROR(__xludf.DUMMYFUNCTION("""COMPUTED_VALUE"""),500000.0)</f>
        <v>500000</v>
      </c>
      <c r="I4141" s="24">
        <f>IFERROR(__xludf.DUMMYFUNCTION("""COMPUTED_VALUE"""),0.0)</f>
        <v>0</v>
      </c>
    </row>
    <row r="4142">
      <c r="A4142" s="5" t="str">
        <f>IFERROR(__xludf.DUMMYFUNCTION("""COMPUTED_VALUE"""),"46446")</f>
        <v>46446</v>
      </c>
      <c r="B4142" s="64">
        <f>IFERROR(__xludf.DUMMYFUNCTION("""COMPUTED_VALUE"""),44647.0)</f>
        <v>44647</v>
      </c>
      <c r="C4142" s="5"/>
      <c r="D4142" s="5"/>
      <c r="E4142" s="5"/>
      <c r="F4142" s="22">
        <f>IFERROR(__xludf.DUMMYFUNCTION("""COMPUTED_VALUE"""),500000.0)</f>
        <v>500000</v>
      </c>
      <c r="G4142" s="22">
        <f>IFERROR(__xludf.DUMMYFUNCTION("""COMPUTED_VALUE"""),0.0)</f>
        <v>0</v>
      </c>
      <c r="H4142" s="22">
        <f>IFERROR(__xludf.DUMMYFUNCTION("""COMPUTED_VALUE"""),500000.0)</f>
        <v>500000</v>
      </c>
      <c r="I4142" s="24">
        <f>IFERROR(__xludf.DUMMYFUNCTION("""COMPUTED_VALUE"""),0.0)</f>
        <v>0</v>
      </c>
    </row>
    <row r="4143">
      <c r="A4143" s="5" t="str">
        <f>IFERROR(__xludf.DUMMYFUNCTION("""COMPUTED_VALUE"""),"46446")</f>
        <v>46446</v>
      </c>
      <c r="B4143" s="64">
        <f>IFERROR(__xludf.DUMMYFUNCTION("""COMPUTED_VALUE"""),44648.0)</f>
        <v>44648</v>
      </c>
      <c r="C4143" s="5"/>
      <c r="D4143" s="5"/>
      <c r="E4143" s="5"/>
      <c r="F4143" s="22">
        <f>IFERROR(__xludf.DUMMYFUNCTION("""COMPUTED_VALUE"""),500000.0)</f>
        <v>500000</v>
      </c>
      <c r="G4143" s="22">
        <f>IFERROR(__xludf.DUMMYFUNCTION("""COMPUTED_VALUE"""),0.0)</f>
        <v>0</v>
      </c>
      <c r="H4143" s="22">
        <f>IFERROR(__xludf.DUMMYFUNCTION("""COMPUTED_VALUE"""),500000.0)</f>
        <v>500000</v>
      </c>
      <c r="I4143" s="24">
        <f>IFERROR(__xludf.DUMMYFUNCTION("""COMPUTED_VALUE"""),0.0)</f>
        <v>0</v>
      </c>
    </row>
    <row r="4144">
      <c r="A4144" s="5" t="str">
        <f>IFERROR(__xludf.DUMMYFUNCTION("""COMPUTED_VALUE"""),"46446")</f>
        <v>46446</v>
      </c>
      <c r="B4144" s="64">
        <f>IFERROR(__xludf.DUMMYFUNCTION("""COMPUTED_VALUE"""),44649.0)</f>
        <v>44649</v>
      </c>
      <c r="C4144" s="5"/>
      <c r="D4144" s="5"/>
      <c r="E4144" s="5"/>
      <c r="F4144" s="22">
        <f>IFERROR(__xludf.DUMMYFUNCTION("""COMPUTED_VALUE"""),500000.0)</f>
        <v>500000</v>
      </c>
      <c r="G4144" s="22">
        <f>IFERROR(__xludf.DUMMYFUNCTION("""COMPUTED_VALUE"""),0.0)</f>
        <v>0</v>
      </c>
      <c r="H4144" s="22">
        <f>IFERROR(__xludf.DUMMYFUNCTION("""COMPUTED_VALUE"""),500000.0)</f>
        <v>500000</v>
      </c>
      <c r="I4144" s="24">
        <f>IFERROR(__xludf.DUMMYFUNCTION("""COMPUTED_VALUE"""),0.0)</f>
        <v>0</v>
      </c>
    </row>
    <row r="4145">
      <c r="A4145" s="5" t="str">
        <f>IFERROR(__xludf.DUMMYFUNCTION("""COMPUTED_VALUE"""),"46446")</f>
        <v>46446</v>
      </c>
      <c r="B4145" s="64">
        <f>IFERROR(__xludf.DUMMYFUNCTION("""COMPUTED_VALUE"""),44650.0)</f>
        <v>44650</v>
      </c>
      <c r="C4145" s="5"/>
      <c r="D4145" s="5"/>
      <c r="E4145" s="5"/>
      <c r="F4145" s="22">
        <f>IFERROR(__xludf.DUMMYFUNCTION("""COMPUTED_VALUE"""),500000.0)</f>
        <v>500000</v>
      </c>
      <c r="G4145" s="22">
        <f>IFERROR(__xludf.DUMMYFUNCTION("""COMPUTED_VALUE"""),0.0)</f>
        <v>0</v>
      </c>
      <c r="H4145" s="22">
        <f>IFERROR(__xludf.DUMMYFUNCTION("""COMPUTED_VALUE"""),500000.0)</f>
        <v>500000</v>
      </c>
      <c r="I4145" s="24">
        <f>IFERROR(__xludf.DUMMYFUNCTION("""COMPUTED_VALUE"""),0.0)</f>
        <v>0</v>
      </c>
    </row>
    <row r="4146">
      <c r="A4146" s="5" t="str">
        <f>IFERROR(__xludf.DUMMYFUNCTION("""COMPUTED_VALUE"""),"46446")</f>
        <v>46446</v>
      </c>
      <c r="B4146" s="64">
        <f>IFERROR(__xludf.DUMMYFUNCTION("""COMPUTED_VALUE"""),44651.0)</f>
        <v>44651</v>
      </c>
      <c r="C4146" s="5"/>
      <c r="D4146" s="5"/>
      <c r="E4146" s="5"/>
      <c r="F4146" s="22">
        <f>IFERROR(__xludf.DUMMYFUNCTION("""COMPUTED_VALUE"""),500000.0)</f>
        <v>500000</v>
      </c>
      <c r="G4146" s="22">
        <f>IFERROR(__xludf.DUMMYFUNCTION("""COMPUTED_VALUE"""),0.0)</f>
        <v>0</v>
      </c>
      <c r="H4146" s="22">
        <f>IFERROR(__xludf.DUMMYFUNCTION("""COMPUTED_VALUE"""),500000.0)</f>
        <v>500000</v>
      </c>
      <c r="I4146" s="24">
        <f>IFERROR(__xludf.DUMMYFUNCTION("""COMPUTED_VALUE"""),0.0)</f>
        <v>0</v>
      </c>
    </row>
    <row r="4147">
      <c r="A4147" s="5" t="str">
        <f>IFERROR(__xludf.DUMMYFUNCTION("""COMPUTED_VALUE"""),"46446")</f>
        <v>46446</v>
      </c>
      <c r="B4147" s="64">
        <f>IFERROR(__xludf.DUMMYFUNCTION("""COMPUTED_VALUE"""),44652.0)</f>
        <v>44652</v>
      </c>
      <c r="C4147" s="5"/>
      <c r="D4147" s="5"/>
      <c r="E4147" s="5"/>
      <c r="F4147" s="22">
        <f>IFERROR(__xludf.DUMMYFUNCTION("""COMPUTED_VALUE"""),500000.0)</f>
        <v>500000</v>
      </c>
      <c r="G4147" s="22">
        <f>IFERROR(__xludf.DUMMYFUNCTION("""COMPUTED_VALUE"""),0.0)</f>
        <v>0</v>
      </c>
      <c r="H4147" s="22">
        <f>IFERROR(__xludf.DUMMYFUNCTION("""COMPUTED_VALUE"""),500000.0)</f>
        <v>500000</v>
      </c>
      <c r="I4147" s="24">
        <f>IFERROR(__xludf.DUMMYFUNCTION("""COMPUTED_VALUE"""),0.0)</f>
        <v>0</v>
      </c>
    </row>
    <row r="4148">
      <c r="A4148" s="5" t="str">
        <f>IFERROR(__xludf.DUMMYFUNCTION("""COMPUTED_VALUE"""),"46446")</f>
        <v>46446</v>
      </c>
      <c r="B4148" s="64">
        <f>IFERROR(__xludf.DUMMYFUNCTION("""COMPUTED_VALUE"""),44653.0)</f>
        <v>44653</v>
      </c>
      <c r="C4148" s="5"/>
      <c r="D4148" s="5"/>
      <c r="E4148" s="5"/>
      <c r="F4148" s="22">
        <f>IFERROR(__xludf.DUMMYFUNCTION("""COMPUTED_VALUE"""),500000.0)</f>
        <v>500000</v>
      </c>
      <c r="G4148" s="22">
        <f>IFERROR(__xludf.DUMMYFUNCTION("""COMPUTED_VALUE"""),0.0)</f>
        <v>0</v>
      </c>
      <c r="H4148" s="22">
        <f>IFERROR(__xludf.DUMMYFUNCTION("""COMPUTED_VALUE"""),500000.0)</f>
        <v>500000</v>
      </c>
      <c r="I4148" s="24">
        <f>IFERROR(__xludf.DUMMYFUNCTION("""COMPUTED_VALUE"""),0.0)</f>
        <v>0</v>
      </c>
    </row>
    <row r="4149">
      <c r="A4149" s="5" t="str">
        <f>IFERROR(__xludf.DUMMYFUNCTION("""COMPUTED_VALUE"""),"46446")</f>
        <v>46446</v>
      </c>
      <c r="B4149" s="64">
        <f>IFERROR(__xludf.DUMMYFUNCTION("""COMPUTED_VALUE"""),44654.0)</f>
        <v>44654</v>
      </c>
      <c r="C4149" s="5"/>
      <c r="D4149" s="5"/>
      <c r="E4149" s="5"/>
      <c r="F4149" s="22">
        <f>IFERROR(__xludf.DUMMYFUNCTION("""COMPUTED_VALUE"""),500000.0)</f>
        <v>500000</v>
      </c>
      <c r="G4149" s="22">
        <f>IFERROR(__xludf.DUMMYFUNCTION("""COMPUTED_VALUE"""),0.0)</f>
        <v>0</v>
      </c>
      <c r="H4149" s="22">
        <f>IFERROR(__xludf.DUMMYFUNCTION("""COMPUTED_VALUE"""),500000.0)</f>
        <v>500000</v>
      </c>
      <c r="I4149" s="24">
        <f>IFERROR(__xludf.DUMMYFUNCTION("""COMPUTED_VALUE"""),0.0)</f>
        <v>0</v>
      </c>
    </row>
    <row r="4150">
      <c r="A4150" s="5" t="str">
        <f>IFERROR(__xludf.DUMMYFUNCTION("""COMPUTED_VALUE"""),"46446")</f>
        <v>46446</v>
      </c>
      <c r="B4150" s="64">
        <f>IFERROR(__xludf.DUMMYFUNCTION("""COMPUTED_VALUE"""),44655.0)</f>
        <v>44655</v>
      </c>
      <c r="C4150" s="5"/>
      <c r="D4150" s="5"/>
      <c r="E4150" s="5"/>
      <c r="F4150" s="22">
        <f>IFERROR(__xludf.DUMMYFUNCTION("""COMPUTED_VALUE"""),500000.0)</f>
        <v>500000</v>
      </c>
      <c r="G4150" s="22">
        <f>IFERROR(__xludf.DUMMYFUNCTION("""COMPUTED_VALUE"""),0.0)</f>
        <v>0</v>
      </c>
      <c r="H4150" s="22">
        <f>IFERROR(__xludf.DUMMYFUNCTION("""COMPUTED_VALUE"""),500000.0)</f>
        <v>500000</v>
      </c>
      <c r="I4150" s="24">
        <f>IFERROR(__xludf.DUMMYFUNCTION("""COMPUTED_VALUE"""),0.0)</f>
        <v>0</v>
      </c>
    </row>
    <row r="4151">
      <c r="A4151" s="5" t="str">
        <f>IFERROR(__xludf.DUMMYFUNCTION("""COMPUTED_VALUE"""),"46446")</f>
        <v>46446</v>
      </c>
      <c r="B4151" s="64">
        <f>IFERROR(__xludf.DUMMYFUNCTION("""COMPUTED_VALUE"""),44656.0)</f>
        <v>44656</v>
      </c>
      <c r="C4151" s="5"/>
      <c r="D4151" s="5"/>
      <c r="E4151" s="5"/>
      <c r="F4151" s="22">
        <f>IFERROR(__xludf.DUMMYFUNCTION("""COMPUTED_VALUE"""),500000.0)</f>
        <v>500000</v>
      </c>
      <c r="G4151" s="22">
        <f>IFERROR(__xludf.DUMMYFUNCTION("""COMPUTED_VALUE"""),0.0)</f>
        <v>0</v>
      </c>
      <c r="H4151" s="22">
        <f>IFERROR(__xludf.DUMMYFUNCTION("""COMPUTED_VALUE"""),500000.0)</f>
        <v>500000</v>
      </c>
      <c r="I4151" s="24">
        <f>IFERROR(__xludf.DUMMYFUNCTION("""COMPUTED_VALUE"""),0.0)</f>
        <v>0</v>
      </c>
    </row>
    <row r="4152">
      <c r="A4152" s="5" t="str">
        <f>IFERROR(__xludf.DUMMYFUNCTION("""COMPUTED_VALUE"""),"46446")</f>
        <v>46446</v>
      </c>
      <c r="B4152" s="64">
        <f>IFERROR(__xludf.DUMMYFUNCTION("""COMPUTED_VALUE"""),44657.0)</f>
        <v>44657</v>
      </c>
      <c r="C4152" s="5"/>
      <c r="D4152" s="5"/>
      <c r="E4152" s="5"/>
      <c r="F4152" s="22">
        <f>IFERROR(__xludf.DUMMYFUNCTION("""COMPUTED_VALUE"""),500000.0)</f>
        <v>500000</v>
      </c>
      <c r="G4152" s="22">
        <f>IFERROR(__xludf.DUMMYFUNCTION("""COMPUTED_VALUE"""),0.0)</f>
        <v>0</v>
      </c>
      <c r="H4152" s="22">
        <f>IFERROR(__xludf.DUMMYFUNCTION("""COMPUTED_VALUE"""),500000.0)</f>
        <v>500000</v>
      </c>
      <c r="I4152" s="24">
        <f>IFERROR(__xludf.DUMMYFUNCTION("""COMPUTED_VALUE"""),0.0)</f>
        <v>0</v>
      </c>
    </row>
    <row r="4153">
      <c r="A4153" s="5" t="str">
        <f>IFERROR(__xludf.DUMMYFUNCTION("""COMPUTED_VALUE"""),"46446")</f>
        <v>46446</v>
      </c>
      <c r="B4153" s="64">
        <f>IFERROR(__xludf.DUMMYFUNCTION("""COMPUTED_VALUE"""),44658.0)</f>
        <v>44658</v>
      </c>
      <c r="C4153" s="5"/>
      <c r="D4153" s="5"/>
      <c r="E4153" s="5"/>
      <c r="F4153" s="22">
        <f>IFERROR(__xludf.DUMMYFUNCTION("""COMPUTED_VALUE"""),500000.0)</f>
        <v>500000</v>
      </c>
      <c r="G4153" s="22">
        <f>IFERROR(__xludf.DUMMYFUNCTION("""COMPUTED_VALUE"""),0.0)</f>
        <v>0</v>
      </c>
      <c r="H4153" s="22">
        <f>IFERROR(__xludf.DUMMYFUNCTION("""COMPUTED_VALUE"""),500000.0)</f>
        <v>500000</v>
      </c>
      <c r="I4153" s="24">
        <f>IFERROR(__xludf.DUMMYFUNCTION("""COMPUTED_VALUE"""),0.0)</f>
        <v>0</v>
      </c>
    </row>
    <row r="4154">
      <c r="A4154" s="5" t="str">
        <f>IFERROR(__xludf.DUMMYFUNCTION("""COMPUTED_VALUE"""),"46446")</f>
        <v>46446</v>
      </c>
      <c r="B4154" s="64">
        <f>IFERROR(__xludf.DUMMYFUNCTION("""COMPUTED_VALUE"""),44659.0)</f>
        <v>44659</v>
      </c>
      <c r="C4154" s="5"/>
      <c r="D4154" s="5"/>
      <c r="E4154" s="5"/>
      <c r="F4154" s="22">
        <f>IFERROR(__xludf.DUMMYFUNCTION("""COMPUTED_VALUE"""),500000.0)</f>
        <v>500000</v>
      </c>
      <c r="G4154" s="22">
        <f>IFERROR(__xludf.DUMMYFUNCTION("""COMPUTED_VALUE"""),0.0)</f>
        <v>0</v>
      </c>
      <c r="H4154" s="22">
        <f>IFERROR(__xludf.DUMMYFUNCTION("""COMPUTED_VALUE"""),500000.0)</f>
        <v>500000</v>
      </c>
      <c r="I4154" s="24">
        <f>IFERROR(__xludf.DUMMYFUNCTION("""COMPUTED_VALUE"""),0.0)</f>
        <v>0</v>
      </c>
    </row>
    <row r="4155">
      <c r="A4155" s="5" t="str">
        <f>IFERROR(__xludf.DUMMYFUNCTION("""COMPUTED_VALUE"""),"46446")</f>
        <v>46446</v>
      </c>
      <c r="B4155" s="64">
        <f>IFERROR(__xludf.DUMMYFUNCTION("""COMPUTED_VALUE"""),44660.0)</f>
        <v>44660</v>
      </c>
      <c r="C4155" s="5"/>
      <c r="D4155" s="5"/>
      <c r="E4155" s="5"/>
      <c r="F4155" s="22">
        <f>IFERROR(__xludf.DUMMYFUNCTION("""COMPUTED_VALUE"""),500000.0)</f>
        <v>500000</v>
      </c>
      <c r="G4155" s="22">
        <f>IFERROR(__xludf.DUMMYFUNCTION("""COMPUTED_VALUE"""),0.0)</f>
        <v>0</v>
      </c>
      <c r="H4155" s="22">
        <f>IFERROR(__xludf.DUMMYFUNCTION("""COMPUTED_VALUE"""),500000.0)</f>
        <v>500000</v>
      </c>
      <c r="I4155" s="24">
        <f>IFERROR(__xludf.DUMMYFUNCTION("""COMPUTED_VALUE"""),0.0)</f>
        <v>0</v>
      </c>
    </row>
    <row r="4156">
      <c r="A4156" s="5" t="str">
        <f>IFERROR(__xludf.DUMMYFUNCTION("""COMPUTED_VALUE"""),"46446")</f>
        <v>46446</v>
      </c>
      <c r="B4156" s="64">
        <f>IFERROR(__xludf.DUMMYFUNCTION("""COMPUTED_VALUE"""),44661.0)</f>
        <v>44661</v>
      </c>
      <c r="C4156" s="5"/>
      <c r="D4156" s="5"/>
      <c r="E4156" s="5"/>
      <c r="F4156" s="22">
        <f>IFERROR(__xludf.DUMMYFUNCTION("""COMPUTED_VALUE"""),500000.0)</f>
        <v>500000</v>
      </c>
      <c r="G4156" s="22">
        <f>IFERROR(__xludf.DUMMYFUNCTION("""COMPUTED_VALUE"""),0.0)</f>
        <v>0</v>
      </c>
      <c r="H4156" s="22">
        <f>IFERROR(__xludf.DUMMYFUNCTION("""COMPUTED_VALUE"""),500000.0)</f>
        <v>500000</v>
      </c>
      <c r="I4156" s="24">
        <f>IFERROR(__xludf.DUMMYFUNCTION("""COMPUTED_VALUE"""),0.0)</f>
        <v>0</v>
      </c>
    </row>
    <row r="4157">
      <c r="A4157" s="5" t="str">
        <f>IFERROR(__xludf.DUMMYFUNCTION("""COMPUTED_VALUE"""),"46446")</f>
        <v>46446</v>
      </c>
      <c r="B4157" s="64">
        <f>IFERROR(__xludf.DUMMYFUNCTION("""COMPUTED_VALUE"""),44662.0)</f>
        <v>44662</v>
      </c>
      <c r="C4157" s="5"/>
      <c r="D4157" s="5"/>
      <c r="E4157" s="5"/>
      <c r="F4157" s="22">
        <f>IFERROR(__xludf.DUMMYFUNCTION("""COMPUTED_VALUE"""),500000.0)</f>
        <v>500000</v>
      </c>
      <c r="G4157" s="22">
        <f>IFERROR(__xludf.DUMMYFUNCTION("""COMPUTED_VALUE"""),0.0)</f>
        <v>0</v>
      </c>
      <c r="H4157" s="22">
        <f>IFERROR(__xludf.DUMMYFUNCTION("""COMPUTED_VALUE"""),500000.0)</f>
        <v>500000</v>
      </c>
      <c r="I4157" s="24">
        <f>IFERROR(__xludf.DUMMYFUNCTION("""COMPUTED_VALUE"""),0.0)</f>
        <v>0</v>
      </c>
    </row>
    <row r="4158">
      <c r="A4158" s="5" t="str">
        <f>IFERROR(__xludf.DUMMYFUNCTION("""COMPUTED_VALUE"""),"46446")</f>
        <v>46446</v>
      </c>
      <c r="B4158" s="64">
        <f>IFERROR(__xludf.DUMMYFUNCTION("""COMPUTED_VALUE"""),44663.0)</f>
        <v>44663</v>
      </c>
      <c r="C4158" s="5"/>
      <c r="D4158" s="5"/>
      <c r="E4158" s="5"/>
      <c r="F4158" s="22">
        <f>IFERROR(__xludf.DUMMYFUNCTION("""COMPUTED_VALUE"""),500000.0)</f>
        <v>500000</v>
      </c>
      <c r="G4158" s="22">
        <f>IFERROR(__xludf.DUMMYFUNCTION("""COMPUTED_VALUE"""),0.0)</f>
        <v>0</v>
      </c>
      <c r="H4158" s="22">
        <f>IFERROR(__xludf.DUMMYFUNCTION("""COMPUTED_VALUE"""),500000.0)</f>
        <v>500000</v>
      </c>
      <c r="I4158" s="24">
        <f>IFERROR(__xludf.DUMMYFUNCTION("""COMPUTED_VALUE"""),0.0)</f>
        <v>0</v>
      </c>
    </row>
    <row r="4159">
      <c r="A4159" s="5" t="str">
        <f>IFERROR(__xludf.DUMMYFUNCTION("""COMPUTED_VALUE"""),"46600")</f>
        <v>46600</v>
      </c>
      <c r="B4159" s="64">
        <f>IFERROR(__xludf.DUMMYFUNCTION("""COMPUTED_VALUE"""),44597.0)</f>
        <v>44597</v>
      </c>
      <c r="C4159" s="5"/>
      <c r="D4159" s="5"/>
      <c r="E4159" s="5"/>
      <c r="F4159" s="22">
        <f>IFERROR(__xludf.DUMMYFUNCTION("""COMPUTED_VALUE"""),500000.0)</f>
        <v>500000</v>
      </c>
      <c r="G4159" s="22">
        <f>IFERROR(__xludf.DUMMYFUNCTION("""COMPUTED_VALUE"""),0.0)</f>
        <v>0</v>
      </c>
      <c r="H4159" s="22">
        <f>IFERROR(__xludf.DUMMYFUNCTION("""COMPUTED_VALUE"""),500000.0)</f>
        <v>500000</v>
      </c>
      <c r="I4159" s="24">
        <f>IFERROR(__xludf.DUMMYFUNCTION("""COMPUTED_VALUE"""),0.0)</f>
        <v>0</v>
      </c>
    </row>
    <row r="4160">
      <c r="A4160" s="5" t="str">
        <f>IFERROR(__xludf.DUMMYFUNCTION("""COMPUTED_VALUE"""),"46600")</f>
        <v>46600</v>
      </c>
      <c r="B4160" s="64">
        <f>IFERROR(__xludf.DUMMYFUNCTION("""COMPUTED_VALUE"""),44598.0)</f>
        <v>44598</v>
      </c>
      <c r="C4160" s="5"/>
      <c r="D4160" s="5"/>
      <c r="E4160" s="5"/>
      <c r="F4160" s="22">
        <f>IFERROR(__xludf.DUMMYFUNCTION("""COMPUTED_VALUE"""),500000.0)</f>
        <v>500000</v>
      </c>
      <c r="G4160" s="22">
        <f>IFERROR(__xludf.DUMMYFUNCTION("""COMPUTED_VALUE"""),0.0)</f>
        <v>0</v>
      </c>
      <c r="H4160" s="22">
        <f>IFERROR(__xludf.DUMMYFUNCTION("""COMPUTED_VALUE"""),500000.0)</f>
        <v>500000</v>
      </c>
      <c r="I4160" s="24">
        <f>IFERROR(__xludf.DUMMYFUNCTION("""COMPUTED_VALUE"""),0.0)</f>
        <v>0</v>
      </c>
    </row>
    <row r="4161">
      <c r="A4161" s="5" t="str">
        <f>IFERROR(__xludf.DUMMYFUNCTION("""COMPUTED_VALUE"""),"46600")</f>
        <v>46600</v>
      </c>
      <c r="B4161" s="64">
        <f>IFERROR(__xludf.DUMMYFUNCTION("""COMPUTED_VALUE"""),44599.0)</f>
        <v>44599</v>
      </c>
      <c r="C4161" s="5"/>
      <c r="D4161" s="5"/>
      <c r="E4161" s="5"/>
      <c r="F4161" s="22">
        <f>IFERROR(__xludf.DUMMYFUNCTION("""COMPUTED_VALUE"""),500000.0)</f>
        <v>500000</v>
      </c>
      <c r="G4161" s="22">
        <f>IFERROR(__xludf.DUMMYFUNCTION("""COMPUTED_VALUE"""),0.0)</f>
        <v>0</v>
      </c>
      <c r="H4161" s="22">
        <f>IFERROR(__xludf.DUMMYFUNCTION("""COMPUTED_VALUE"""),500000.0)</f>
        <v>500000</v>
      </c>
      <c r="I4161" s="24">
        <f>IFERROR(__xludf.DUMMYFUNCTION("""COMPUTED_VALUE"""),0.0)</f>
        <v>0</v>
      </c>
    </row>
    <row r="4162">
      <c r="A4162" s="5" t="str">
        <f>IFERROR(__xludf.DUMMYFUNCTION("""COMPUTED_VALUE"""),"46600")</f>
        <v>46600</v>
      </c>
      <c r="B4162" s="64">
        <f>IFERROR(__xludf.DUMMYFUNCTION("""COMPUTED_VALUE"""),44600.0)</f>
        <v>44600</v>
      </c>
      <c r="C4162" s="5"/>
      <c r="D4162" s="5"/>
      <c r="E4162" s="5"/>
      <c r="F4162" s="22">
        <f>IFERROR(__xludf.DUMMYFUNCTION("""COMPUTED_VALUE"""),500000.0)</f>
        <v>500000</v>
      </c>
      <c r="G4162" s="22">
        <f>IFERROR(__xludf.DUMMYFUNCTION("""COMPUTED_VALUE"""),0.0)</f>
        <v>0</v>
      </c>
      <c r="H4162" s="22">
        <f>IFERROR(__xludf.DUMMYFUNCTION("""COMPUTED_VALUE"""),500000.0)</f>
        <v>500000</v>
      </c>
      <c r="I4162" s="24">
        <f>IFERROR(__xludf.DUMMYFUNCTION("""COMPUTED_VALUE"""),0.0)</f>
        <v>0</v>
      </c>
    </row>
    <row r="4163">
      <c r="A4163" s="5" t="str">
        <f>IFERROR(__xludf.DUMMYFUNCTION("""COMPUTED_VALUE"""),"46600")</f>
        <v>46600</v>
      </c>
      <c r="B4163" s="64">
        <f>IFERROR(__xludf.DUMMYFUNCTION("""COMPUTED_VALUE"""),44601.0)</f>
        <v>44601</v>
      </c>
      <c r="C4163" s="5"/>
      <c r="D4163" s="5"/>
      <c r="E4163" s="5"/>
      <c r="F4163" s="22">
        <f>IFERROR(__xludf.DUMMYFUNCTION("""COMPUTED_VALUE"""),500000.0)</f>
        <v>500000</v>
      </c>
      <c r="G4163" s="22">
        <f>IFERROR(__xludf.DUMMYFUNCTION("""COMPUTED_VALUE"""),0.0)</f>
        <v>0</v>
      </c>
      <c r="H4163" s="22">
        <f>IFERROR(__xludf.DUMMYFUNCTION("""COMPUTED_VALUE"""),500000.0)</f>
        <v>500000</v>
      </c>
      <c r="I4163" s="24">
        <f>IFERROR(__xludf.DUMMYFUNCTION("""COMPUTED_VALUE"""),0.0)</f>
        <v>0</v>
      </c>
    </row>
    <row r="4164">
      <c r="A4164" s="5" t="str">
        <f>IFERROR(__xludf.DUMMYFUNCTION("""COMPUTED_VALUE"""),"46600")</f>
        <v>46600</v>
      </c>
      <c r="B4164" s="64">
        <f>IFERROR(__xludf.DUMMYFUNCTION("""COMPUTED_VALUE"""),44602.0)</f>
        <v>44602</v>
      </c>
      <c r="C4164" s="5"/>
      <c r="D4164" s="5"/>
      <c r="E4164" s="5"/>
      <c r="F4164" s="22">
        <f>IFERROR(__xludf.DUMMYFUNCTION("""COMPUTED_VALUE"""),500000.0)</f>
        <v>500000</v>
      </c>
      <c r="G4164" s="22">
        <f>IFERROR(__xludf.DUMMYFUNCTION("""COMPUTED_VALUE"""),0.0)</f>
        <v>0</v>
      </c>
      <c r="H4164" s="22">
        <f>IFERROR(__xludf.DUMMYFUNCTION("""COMPUTED_VALUE"""),500000.0)</f>
        <v>500000</v>
      </c>
      <c r="I4164" s="24">
        <f>IFERROR(__xludf.DUMMYFUNCTION("""COMPUTED_VALUE"""),0.0)</f>
        <v>0</v>
      </c>
    </row>
    <row r="4165">
      <c r="A4165" s="5" t="str">
        <f>IFERROR(__xludf.DUMMYFUNCTION("""COMPUTED_VALUE"""),"46600")</f>
        <v>46600</v>
      </c>
      <c r="B4165" s="64">
        <f>IFERROR(__xludf.DUMMYFUNCTION("""COMPUTED_VALUE"""),44603.0)</f>
        <v>44603</v>
      </c>
      <c r="C4165" s="5"/>
      <c r="D4165" s="5"/>
      <c r="E4165" s="5"/>
      <c r="F4165" s="22">
        <f>IFERROR(__xludf.DUMMYFUNCTION("""COMPUTED_VALUE"""),500000.0)</f>
        <v>500000</v>
      </c>
      <c r="G4165" s="22">
        <f>IFERROR(__xludf.DUMMYFUNCTION("""COMPUTED_VALUE"""),0.0)</f>
        <v>0</v>
      </c>
      <c r="H4165" s="22">
        <f>IFERROR(__xludf.DUMMYFUNCTION("""COMPUTED_VALUE"""),500000.0)</f>
        <v>500000</v>
      </c>
      <c r="I4165" s="24">
        <f>IFERROR(__xludf.DUMMYFUNCTION("""COMPUTED_VALUE"""),0.0)</f>
        <v>0</v>
      </c>
    </row>
    <row r="4166">
      <c r="A4166" s="5" t="str">
        <f>IFERROR(__xludf.DUMMYFUNCTION("""COMPUTED_VALUE"""),"46600")</f>
        <v>46600</v>
      </c>
      <c r="B4166" s="64">
        <f>IFERROR(__xludf.DUMMYFUNCTION("""COMPUTED_VALUE"""),44604.0)</f>
        <v>44604</v>
      </c>
      <c r="C4166" s="5"/>
      <c r="D4166" s="5"/>
      <c r="E4166" s="5"/>
      <c r="F4166" s="22">
        <f>IFERROR(__xludf.DUMMYFUNCTION("""COMPUTED_VALUE"""),500000.0)</f>
        <v>500000</v>
      </c>
      <c r="G4166" s="22">
        <f>IFERROR(__xludf.DUMMYFUNCTION("""COMPUTED_VALUE"""),0.0)</f>
        <v>0</v>
      </c>
      <c r="H4166" s="22">
        <f>IFERROR(__xludf.DUMMYFUNCTION("""COMPUTED_VALUE"""),500000.0)</f>
        <v>500000</v>
      </c>
      <c r="I4166" s="24">
        <f>IFERROR(__xludf.DUMMYFUNCTION("""COMPUTED_VALUE"""),0.0)</f>
        <v>0</v>
      </c>
    </row>
    <row r="4167">
      <c r="A4167" s="5" t="str">
        <f>IFERROR(__xludf.DUMMYFUNCTION("""COMPUTED_VALUE"""),"46600")</f>
        <v>46600</v>
      </c>
      <c r="B4167" s="64">
        <f>IFERROR(__xludf.DUMMYFUNCTION("""COMPUTED_VALUE"""),44605.0)</f>
        <v>44605</v>
      </c>
      <c r="C4167" s="5"/>
      <c r="D4167" s="5"/>
      <c r="E4167" s="5"/>
      <c r="F4167" s="22">
        <f>IFERROR(__xludf.DUMMYFUNCTION("""COMPUTED_VALUE"""),500000.0)</f>
        <v>500000</v>
      </c>
      <c r="G4167" s="22">
        <f>IFERROR(__xludf.DUMMYFUNCTION("""COMPUTED_VALUE"""),0.0)</f>
        <v>0</v>
      </c>
      <c r="H4167" s="22">
        <f>IFERROR(__xludf.DUMMYFUNCTION("""COMPUTED_VALUE"""),500000.0)</f>
        <v>500000</v>
      </c>
      <c r="I4167" s="24">
        <f>IFERROR(__xludf.DUMMYFUNCTION("""COMPUTED_VALUE"""),0.0)</f>
        <v>0</v>
      </c>
    </row>
    <row r="4168">
      <c r="A4168" s="5" t="str">
        <f>IFERROR(__xludf.DUMMYFUNCTION("""COMPUTED_VALUE"""),"46600")</f>
        <v>46600</v>
      </c>
      <c r="B4168" s="64">
        <f>IFERROR(__xludf.DUMMYFUNCTION("""COMPUTED_VALUE"""),44606.0)</f>
        <v>44606</v>
      </c>
      <c r="C4168" s="5"/>
      <c r="D4168" s="5"/>
      <c r="E4168" s="5"/>
      <c r="F4168" s="22">
        <f>IFERROR(__xludf.DUMMYFUNCTION("""COMPUTED_VALUE"""),500000.0)</f>
        <v>500000</v>
      </c>
      <c r="G4168" s="22">
        <f>IFERROR(__xludf.DUMMYFUNCTION("""COMPUTED_VALUE"""),0.0)</f>
        <v>0</v>
      </c>
      <c r="H4168" s="22">
        <f>IFERROR(__xludf.DUMMYFUNCTION("""COMPUTED_VALUE"""),500000.0)</f>
        <v>500000</v>
      </c>
      <c r="I4168" s="24">
        <f>IFERROR(__xludf.DUMMYFUNCTION("""COMPUTED_VALUE"""),0.0)</f>
        <v>0</v>
      </c>
    </row>
    <row r="4169">
      <c r="A4169" s="5" t="str">
        <f>IFERROR(__xludf.DUMMYFUNCTION("""COMPUTED_VALUE"""),"46600")</f>
        <v>46600</v>
      </c>
      <c r="B4169" s="64">
        <f>IFERROR(__xludf.DUMMYFUNCTION("""COMPUTED_VALUE"""),44607.0)</f>
        <v>44607</v>
      </c>
      <c r="C4169" s="5"/>
      <c r="D4169" s="5"/>
      <c r="E4169" s="5"/>
      <c r="F4169" s="22">
        <f>IFERROR(__xludf.DUMMYFUNCTION("""COMPUTED_VALUE"""),500000.0)</f>
        <v>500000</v>
      </c>
      <c r="G4169" s="22">
        <f>IFERROR(__xludf.DUMMYFUNCTION("""COMPUTED_VALUE"""),0.0)</f>
        <v>0</v>
      </c>
      <c r="H4169" s="22">
        <f>IFERROR(__xludf.DUMMYFUNCTION("""COMPUTED_VALUE"""),500000.0)</f>
        <v>500000</v>
      </c>
      <c r="I4169" s="24">
        <f>IFERROR(__xludf.DUMMYFUNCTION("""COMPUTED_VALUE"""),0.0)</f>
        <v>0</v>
      </c>
    </row>
    <row r="4170">
      <c r="A4170" s="5" t="str">
        <f>IFERROR(__xludf.DUMMYFUNCTION("""COMPUTED_VALUE"""),"46600")</f>
        <v>46600</v>
      </c>
      <c r="B4170" s="64">
        <f>IFERROR(__xludf.DUMMYFUNCTION("""COMPUTED_VALUE"""),44608.0)</f>
        <v>44608</v>
      </c>
      <c r="C4170" s="5"/>
      <c r="D4170" s="5"/>
      <c r="E4170" s="5"/>
      <c r="F4170" s="22">
        <f>IFERROR(__xludf.DUMMYFUNCTION("""COMPUTED_VALUE"""),500000.0)</f>
        <v>500000</v>
      </c>
      <c r="G4170" s="22">
        <f>IFERROR(__xludf.DUMMYFUNCTION("""COMPUTED_VALUE"""),0.0)</f>
        <v>0</v>
      </c>
      <c r="H4170" s="22">
        <f>IFERROR(__xludf.DUMMYFUNCTION("""COMPUTED_VALUE"""),500000.0)</f>
        <v>500000</v>
      </c>
      <c r="I4170" s="24">
        <f>IFERROR(__xludf.DUMMYFUNCTION("""COMPUTED_VALUE"""),0.0)</f>
        <v>0</v>
      </c>
    </row>
    <row r="4171">
      <c r="A4171" s="5" t="str">
        <f>IFERROR(__xludf.DUMMYFUNCTION("""COMPUTED_VALUE"""),"46600")</f>
        <v>46600</v>
      </c>
      <c r="B4171" s="64">
        <f>IFERROR(__xludf.DUMMYFUNCTION("""COMPUTED_VALUE"""),44609.0)</f>
        <v>44609</v>
      </c>
      <c r="C4171" s="5"/>
      <c r="D4171" s="5"/>
      <c r="E4171" s="5"/>
      <c r="F4171" s="22">
        <f>IFERROR(__xludf.DUMMYFUNCTION("""COMPUTED_VALUE"""),500000.0)</f>
        <v>500000</v>
      </c>
      <c r="G4171" s="22">
        <f>IFERROR(__xludf.DUMMYFUNCTION("""COMPUTED_VALUE"""),0.0)</f>
        <v>0</v>
      </c>
      <c r="H4171" s="22">
        <f>IFERROR(__xludf.DUMMYFUNCTION("""COMPUTED_VALUE"""),500000.0)</f>
        <v>500000</v>
      </c>
      <c r="I4171" s="24">
        <f>IFERROR(__xludf.DUMMYFUNCTION("""COMPUTED_VALUE"""),0.0)</f>
        <v>0</v>
      </c>
    </row>
    <row r="4172">
      <c r="A4172" s="5" t="str">
        <f>IFERROR(__xludf.DUMMYFUNCTION("""COMPUTED_VALUE"""),"46600")</f>
        <v>46600</v>
      </c>
      <c r="B4172" s="64">
        <f>IFERROR(__xludf.DUMMYFUNCTION("""COMPUTED_VALUE"""),44610.0)</f>
        <v>44610</v>
      </c>
      <c r="C4172" s="5"/>
      <c r="D4172" s="5"/>
      <c r="E4172" s="5"/>
      <c r="F4172" s="22">
        <f>IFERROR(__xludf.DUMMYFUNCTION("""COMPUTED_VALUE"""),500000.0)</f>
        <v>500000</v>
      </c>
      <c r="G4172" s="22">
        <f>IFERROR(__xludf.DUMMYFUNCTION("""COMPUTED_VALUE"""),0.0)</f>
        <v>0</v>
      </c>
      <c r="H4172" s="22">
        <f>IFERROR(__xludf.DUMMYFUNCTION("""COMPUTED_VALUE"""),500000.0)</f>
        <v>500000</v>
      </c>
      <c r="I4172" s="24">
        <f>IFERROR(__xludf.DUMMYFUNCTION("""COMPUTED_VALUE"""),0.0)</f>
        <v>0</v>
      </c>
    </row>
    <row r="4173">
      <c r="A4173" s="5" t="str">
        <f>IFERROR(__xludf.DUMMYFUNCTION("""COMPUTED_VALUE"""),"46600")</f>
        <v>46600</v>
      </c>
      <c r="B4173" s="64">
        <f>IFERROR(__xludf.DUMMYFUNCTION("""COMPUTED_VALUE"""),44611.0)</f>
        <v>44611</v>
      </c>
      <c r="C4173" s="5"/>
      <c r="D4173" s="5"/>
      <c r="E4173" s="5"/>
      <c r="F4173" s="22">
        <f>IFERROR(__xludf.DUMMYFUNCTION("""COMPUTED_VALUE"""),500000.0)</f>
        <v>500000</v>
      </c>
      <c r="G4173" s="22">
        <f>IFERROR(__xludf.DUMMYFUNCTION("""COMPUTED_VALUE"""),0.0)</f>
        <v>0</v>
      </c>
      <c r="H4173" s="22">
        <f>IFERROR(__xludf.DUMMYFUNCTION("""COMPUTED_VALUE"""),500000.0)</f>
        <v>500000</v>
      </c>
      <c r="I4173" s="24">
        <f>IFERROR(__xludf.DUMMYFUNCTION("""COMPUTED_VALUE"""),0.0)</f>
        <v>0</v>
      </c>
    </row>
    <row r="4174">
      <c r="A4174" s="5" t="str">
        <f>IFERROR(__xludf.DUMMYFUNCTION("""COMPUTED_VALUE"""),"46600")</f>
        <v>46600</v>
      </c>
      <c r="B4174" s="64">
        <f>IFERROR(__xludf.DUMMYFUNCTION("""COMPUTED_VALUE"""),44612.0)</f>
        <v>44612</v>
      </c>
      <c r="C4174" s="5"/>
      <c r="D4174" s="5"/>
      <c r="E4174" s="5"/>
      <c r="F4174" s="22">
        <f>IFERROR(__xludf.DUMMYFUNCTION("""COMPUTED_VALUE"""),500000.0)</f>
        <v>500000</v>
      </c>
      <c r="G4174" s="22">
        <f>IFERROR(__xludf.DUMMYFUNCTION("""COMPUTED_VALUE"""),0.0)</f>
        <v>0</v>
      </c>
      <c r="H4174" s="22">
        <f>IFERROR(__xludf.DUMMYFUNCTION("""COMPUTED_VALUE"""),500000.0)</f>
        <v>500000</v>
      </c>
      <c r="I4174" s="24">
        <f>IFERROR(__xludf.DUMMYFUNCTION("""COMPUTED_VALUE"""),0.0)</f>
        <v>0</v>
      </c>
    </row>
    <row r="4175">
      <c r="A4175" s="5" t="str">
        <f>IFERROR(__xludf.DUMMYFUNCTION("""COMPUTED_VALUE"""),"46600")</f>
        <v>46600</v>
      </c>
      <c r="B4175" s="64">
        <f>IFERROR(__xludf.DUMMYFUNCTION("""COMPUTED_VALUE"""),44613.0)</f>
        <v>44613</v>
      </c>
      <c r="C4175" s="5"/>
      <c r="D4175" s="5"/>
      <c r="E4175" s="5"/>
      <c r="F4175" s="22">
        <f>IFERROR(__xludf.DUMMYFUNCTION("""COMPUTED_VALUE"""),500000.0)</f>
        <v>500000</v>
      </c>
      <c r="G4175" s="22">
        <f>IFERROR(__xludf.DUMMYFUNCTION("""COMPUTED_VALUE"""),0.0)</f>
        <v>0</v>
      </c>
      <c r="H4175" s="22">
        <f>IFERROR(__xludf.DUMMYFUNCTION("""COMPUTED_VALUE"""),500000.0)</f>
        <v>500000</v>
      </c>
      <c r="I4175" s="24">
        <f>IFERROR(__xludf.DUMMYFUNCTION("""COMPUTED_VALUE"""),0.0)</f>
        <v>0</v>
      </c>
    </row>
    <row r="4176">
      <c r="A4176" s="5" t="str">
        <f>IFERROR(__xludf.DUMMYFUNCTION("""COMPUTED_VALUE"""),"46600")</f>
        <v>46600</v>
      </c>
      <c r="B4176" s="64">
        <f>IFERROR(__xludf.DUMMYFUNCTION("""COMPUTED_VALUE"""),44614.0)</f>
        <v>44614</v>
      </c>
      <c r="C4176" s="5"/>
      <c r="D4176" s="5"/>
      <c r="E4176" s="5"/>
      <c r="F4176" s="22">
        <f>IFERROR(__xludf.DUMMYFUNCTION("""COMPUTED_VALUE"""),500000.0)</f>
        <v>500000</v>
      </c>
      <c r="G4176" s="22">
        <f>IFERROR(__xludf.DUMMYFUNCTION("""COMPUTED_VALUE"""),0.0)</f>
        <v>0</v>
      </c>
      <c r="H4176" s="22">
        <f>IFERROR(__xludf.DUMMYFUNCTION("""COMPUTED_VALUE"""),500000.0)</f>
        <v>500000</v>
      </c>
      <c r="I4176" s="24">
        <f>IFERROR(__xludf.DUMMYFUNCTION("""COMPUTED_VALUE"""),0.0)</f>
        <v>0</v>
      </c>
    </row>
    <row r="4177">
      <c r="A4177" s="5" t="str">
        <f>IFERROR(__xludf.DUMMYFUNCTION("""COMPUTED_VALUE"""),"46600")</f>
        <v>46600</v>
      </c>
      <c r="B4177" s="64">
        <f>IFERROR(__xludf.DUMMYFUNCTION("""COMPUTED_VALUE"""),44615.0)</f>
        <v>44615</v>
      </c>
      <c r="C4177" s="5"/>
      <c r="D4177" s="5"/>
      <c r="E4177" s="5"/>
      <c r="F4177" s="22">
        <f>IFERROR(__xludf.DUMMYFUNCTION("""COMPUTED_VALUE"""),500000.0)</f>
        <v>500000</v>
      </c>
      <c r="G4177" s="22">
        <f>IFERROR(__xludf.DUMMYFUNCTION("""COMPUTED_VALUE"""),0.0)</f>
        <v>0</v>
      </c>
      <c r="H4177" s="22">
        <f>IFERROR(__xludf.DUMMYFUNCTION("""COMPUTED_VALUE"""),500000.0)</f>
        <v>500000</v>
      </c>
      <c r="I4177" s="24">
        <f>IFERROR(__xludf.DUMMYFUNCTION("""COMPUTED_VALUE"""),0.0)</f>
        <v>0</v>
      </c>
    </row>
    <row r="4178">
      <c r="A4178" s="5" t="str">
        <f>IFERROR(__xludf.DUMMYFUNCTION("""COMPUTED_VALUE"""),"46600")</f>
        <v>46600</v>
      </c>
      <c r="B4178" s="64">
        <f>IFERROR(__xludf.DUMMYFUNCTION("""COMPUTED_VALUE"""),44616.0)</f>
        <v>44616</v>
      </c>
      <c r="C4178" s="5"/>
      <c r="D4178" s="5"/>
      <c r="E4178" s="5"/>
      <c r="F4178" s="22">
        <f>IFERROR(__xludf.DUMMYFUNCTION("""COMPUTED_VALUE"""),500000.0)</f>
        <v>500000</v>
      </c>
      <c r="G4178" s="22">
        <f>IFERROR(__xludf.DUMMYFUNCTION("""COMPUTED_VALUE"""),0.0)</f>
        <v>0</v>
      </c>
      <c r="H4178" s="22">
        <f>IFERROR(__xludf.DUMMYFUNCTION("""COMPUTED_VALUE"""),500000.0)</f>
        <v>500000</v>
      </c>
      <c r="I4178" s="24">
        <f>IFERROR(__xludf.DUMMYFUNCTION("""COMPUTED_VALUE"""),0.0)</f>
        <v>0</v>
      </c>
    </row>
    <row r="4179">
      <c r="A4179" s="5" t="str">
        <f>IFERROR(__xludf.DUMMYFUNCTION("""COMPUTED_VALUE"""),"46600")</f>
        <v>46600</v>
      </c>
      <c r="B4179" s="64">
        <f>IFERROR(__xludf.DUMMYFUNCTION("""COMPUTED_VALUE"""),44617.0)</f>
        <v>44617</v>
      </c>
      <c r="C4179" s="5"/>
      <c r="D4179" s="5"/>
      <c r="E4179" s="5"/>
      <c r="F4179" s="22">
        <f>IFERROR(__xludf.DUMMYFUNCTION("""COMPUTED_VALUE"""),500000.0)</f>
        <v>500000</v>
      </c>
      <c r="G4179" s="22">
        <f>IFERROR(__xludf.DUMMYFUNCTION("""COMPUTED_VALUE"""),0.0)</f>
        <v>0</v>
      </c>
      <c r="H4179" s="22">
        <f>IFERROR(__xludf.DUMMYFUNCTION("""COMPUTED_VALUE"""),500000.0)</f>
        <v>500000</v>
      </c>
      <c r="I4179" s="24">
        <f>IFERROR(__xludf.DUMMYFUNCTION("""COMPUTED_VALUE"""),0.0)</f>
        <v>0</v>
      </c>
    </row>
    <row r="4180">
      <c r="A4180" s="5" t="str">
        <f>IFERROR(__xludf.DUMMYFUNCTION("""COMPUTED_VALUE"""),"46600")</f>
        <v>46600</v>
      </c>
      <c r="B4180" s="64">
        <f>IFERROR(__xludf.DUMMYFUNCTION("""COMPUTED_VALUE"""),44618.0)</f>
        <v>44618</v>
      </c>
      <c r="C4180" s="5"/>
      <c r="D4180" s="5"/>
      <c r="E4180" s="5"/>
      <c r="F4180" s="22">
        <f>IFERROR(__xludf.DUMMYFUNCTION("""COMPUTED_VALUE"""),500000.0)</f>
        <v>500000</v>
      </c>
      <c r="G4180" s="22">
        <f>IFERROR(__xludf.DUMMYFUNCTION("""COMPUTED_VALUE"""),0.0)</f>
        <v>0</v>
      </c>
      <c r="H4180" s="22">
        <f>IFERROR(__xludf.DUMMYFUNCTION("""COMPUTED_VALUE"""),500000.0)</f>
        <v>500000</v>
      </c>
      <c r="I4180" s="24">
        <f>IFERROR(__xludf.DUMMYFUNCTION("""COMPUTED_VALUE"""),0.0)</f>
        <v>0</v>
      </c>
    </row>
    <row r="4181">
      <c r="A4181" s="5" t="str">
        <f>IFERROR(__xludf.DUMMYFUNCTION("""COMPUTED_VALUE"""),"46600")</f>
        <v>46600</v>
      </c>
      <c r="B4181" s="64">
        <f>IFERROR(__xludf.DUMMYFUNCTION("""COMPUTED_VALUE"""),44619.0)</f>
        <v>44619</v>
      </c>
      <c r="C4181" s="5"/>
      <c r="D4181" s="5"/>
      <c r="E4181" s="5"/>
      <c r="F4181" s="22">
        <f>IFERROR(__xludf.DUMMYFUNCTION("""COMPUTED_VALUE"""),500000.0)</f>
        <v>500000</v>
      </c>
      <c r="G4181" s="22">
        <f>IFERROR(__xludf.DUMMYFUNCTION("""COMPUTED_VALUE"""),0.0)</f>
        <v>0</v>
      </c>
      <c r="H4181" s="22">
        <f>IFERROR(__xludf.DUMMYFUNCTION("""COMPUTED_VALUE"""),500000.0)</f>
        <v>500000</v>
      </c>
      <c r="I4181" s="24">
        <f>IFERROR(__xludf.DUMMYFUNCTION("""COMPUTED_VALUE"""),0.0)</f>
        <v>0</v>
      </c>
    </row>
    <row r="4182">
      <c r="A4182" s="5" t="str">
        <f>IFERROR(__xludf.DUMMYFUNCTION("""COMPUTED_VALUE"""),"46600")</f>
        <v>46600</v>
      </c>
      <c r="B4182" s="64">
        <f>IFERROR(__xludf.DUMMYFUNCTION("""COMPUTED_VALUE"""),44620.0)</f>
        <v>44620</v>
      </c>
      <c r="C4182" s="5"/>
      <c r="D4182" s="5"/>
      <c r="E4182" s="5"/>
      <c r="F4182" s="22">
        <f>IFERROR(__xludf.DUMMYFUNCTION("""COMPUTED_VALUE"""),500000.0)</f>
        <v>500000</v>
      </c>
      <c r="G4182" s="22">
        <f>IFERROR(__xludf.DUMMYFUNCTION("""COMPUTED_VALUE"""),0.0)</f>
        <v>0</v>
      </c>
      <c r="H4182" s="22">
        <f>IFERROR(__xludf.DUMMYFUNCTION("""COMPUTED_VALUE"""),500000.0)</f>
        <v>500000</v>
      </c>
      <c r="I4182" s="24">
        <f>IFERROR(__xludf.DUMMYFUNCTION("""COMPUTED_VALUE"""),0.0)</f>
        <v>0</v>
      </c>
    </row>
    <row r="4183">
      <c r="A4183" s="5" t="str">
        <f>IFERROR(__xludf.DUMMYFUNCTION("""COMPUTED_VALUE"""),"46600")</f>
        <v>46600</v>
      </c>
      <c r="B4183" s="64">
        <f>IFERROR(__xludf.DUMMYFUNCTION("""COMPUTED_VALUE"""),44621.0)</f>
        <v>44621</v>
      </c>
      <c r="C4183" s="5"/>
      <c r="D4183" s="5"/>
      <c r="E4183" s="5"/>
      <c r="F4183" s="22">
        <f>IFERROR(__xludf.DUMMYFUNCTION("""COMPUTED_VALUE"""),500000.0)</f>
        <v>500000</v>
      </c>
      <c r="G4183" s="22">
        <f>IFERROR(__xludf.DUMMYFUNCTION("""COMPUTED_VALUE"""),0.0)</f>
        <v>0</v>
      </c>
      <c r="H4183" s="22">
        <f>IFERROR(__xludf.DUMMYFUNCTION("""COMPUTED_VALUE"""),500000.0)</f>
        <v>500000</v>
      </c>
      <c r="I4183" s="24">
        <f>IFERROR(__xludf.DUMMYFUNCTION("""COMPUTED_VALUE"""),0.0)</f>
        <v>0</v>
      </c>
    </row>
    <row r="4184">
      <c r="A4184" s="5" t="str">
        <f>IFERROR(__xludf.DUMMYFUNCTION("""COMPUTED_VALUE"""),"46600")</f>
        <v>46600</v>
      </c>
      <c r="B4184" s="64">
        <f>IFERROR(__xludf.DUMMYFUNCTION("""COMPUTED_VALUE"""),44622.0)</f>
        <v>44622</v>
      </c>
      <c r="C4184" s="5"/>
      <c r="D4184" s="5"/>
      <c r="E4184" s="5"/>
      <c r="F4184" s="22">
        <f>IFERROR(__xludf.DUMMYFUNCTION("""COMPUTED_VALUE"""),500000.0)</f>
        <v>500000</v>
      </c>
      <c r="G4184" s="22">
        <f>IFERROR(__xludf.DUMMYFUNCTION("""COMPUTED_VALUE"""),0.0)</f>
        <v>0</v>
      </c>
      <c r="H4184" s="22">
        <f>IFERROR(__xludf.DUMMYFUNCTION("""COMPUTED_VALUE"""),500000.0)</f>
        <v>500000</v>
      </c>
      <c r="I4184" s="24">
        <f>IFERROR(__xludf.DUMMYFUNCTION("""COMPUTED_VALUE"""),0.0)</f>
        <v>0</v>
      </c>
    </row>
    <row r="4185">
      <c r="A4185" s="5" t="str">
        <f>IFERROR(__xludf.DUMMYFUNCTION("""COMPUTED_VALUE"""),"46600")</f>
        <v>46600</v>
      </c>
      <c r="B4185" s="64">
        <f>IFERROR(__xludf.DUMMYFUNCTION("""COMPUTED_VALUE"""),44623.0)</f>
        <v>44623</v>
      </c>
      <c r="C4185" s="5"/>
      <c r="D4185" s="5"/>
      <c r="E4185" s="5"/>
      <c r="F4185" s="22">
        <f>IFERROR(__xludf.DUMMYFUNCTION("""COMPUTED_VALUE"""),500000.0)</f>
        <v>500000</v>
      </c>
      <c r="G4185" s="22">
        <f>IFERROR(__xludf.DUMMYFUNCTION("""COMPUTED_VALUE"""),0.0)</f>
        <v>0</v>
      </c>
      <c r="H4185" s="22">
        <f>IFERROR(__xludf.DUMMYFUNCTION("""COMPUTED_VALUE"""),500000.0)</f>
        <v>500000</v>
      </c>
      <c r="I4185" s="24">
        <f>IFERROR(__xludf.DUMMYFUNCTION("""COMPUTED_VALUE"""),0.0)</f>
        <v>0</v>
      </c>
    </row>
    <row r="4186">
      <c r="A4186" s="5" t="str">
        <f>IFERROR(__xludf.DUMMYFUNCTION("""COMPUTED_VALUE"""),"46600")</f>
        <v>46600</v>
      </c>
      <c r="B4186" s="64">
        <f>IFERROR(__xludf.DUMMYFUNCTION("""COMPUTED_VALUE"""),44624.0)</f>
        <v>44624</v>
      </c>
      <c r="C4186" s="5"/>
      <c r="D4186" s="5"/>
      <c r="E4186" s="5"/>
      <c r="F4186" s="22">
        <f>IFERROR(__xludf.DUMMYFUNCTION("""COMPUTED_VALUE"""),500000.0)</f>
        <v>500000</v>
      </c>
      <c r="G4186" s="22">
        <f>IFERROR(__xludf.DUMMYFUNCTION("""COMPUTED_VALUE"""),0.0)</f>
        <v>0</v>
      </c>
      <c r="H4186" s="22">
        <f>IFERROR(__xludf.DUMMYFUNCTION("""COMPUTED_VALUE"""),500000.0)</f>
        <v>500000</v>
      </c>
      <c r="I4186" s="24">
        <f>IFERROR(__xludf.DUMMYFUNCTION("""COMPUTED_VALUE"""),0.0)</f>
        <v>0</v>
      </c>
    </row>
    <row r="4187">
      <c r="A4187" s="5" t="str">
        <f>IFERROR(__xludf.DUMMYFUNCTION("""COMPUTED_VALUE"""),"46600")</f>
        <v>46600</v>
      </c>
      <c r="B4187" s="64">
        <f>IFERROR(__xludf.DUMMYFUNCTION("""COMPUTED_VALUE"""),44625.0)</f>
        <v>44625</v>
      </c>
      <c r="C4187" s="5"/>
      <c r="D4187" s="5"/>
      <c r="E4187" s="5"/>
      <c r="F4187" s="22">
        <f>IFERROR(__xludf.DUMMYFUNCTION("""COMPUTED_VALUE"""),500000.0)</f>
        <v>500000</v>
      </c>
      <c r="G4187" s="22">
        <f>IFERROR(__xludf.DUMMYFUNCTION("""COMPUTED_VALUE"""),0.0)</f>
        <v>0</v>
      </c>
      <c r="H4187" s="22">
        <f>IFERROR(__xludf.DUMMYFUNCTION("""COMPUTED_VALUE"""),500000.0)</f>
        <v>500000</v>
      </c>
      <c r="I4187" s="24">
        <f>IFERROR(__xludf.DUMMYFUNCTION("""COMPUTED_VALUE"""),0.0)</f>
        <v>0</v>
      </c>
    </row>
    <row r="4188">
      <c r="A4188" s="5" t="str">
        <f>IFERROR(__xludf.DUMMYFUNCTION("""COMPUTED_VALUE"""),"46600")</f>
        <v>46600</v>
      </c>
      <c r="B4188" s="64">
        <f>IFERROR(__xludf.DUMMYFUNCTION("""COMPUTED_VALUE"""),44626.0)</f>
        <v>44626</v>
      </c>
      <c r="C4188" s="5"/>
      <c r="D4188" s="5"/>
      <c r="E4188" s="5"/>
      <c r="F4188" s="22">
        <f>IFERROR(__xludf.DUMMYFUNCTION("""COMPUTED_VALUE"""),500000.0)</f>
        <v>500000</v>
      </c>
      <c r="G4188" s="22">
        <f>IFERROR(__xludf.DUMMYFUNCTION("""COMPUTED_VALUE"""),0.0)</f>
        <v>0</v>
      </c>
      <c r="H4188" s="22">
        <f>IFERROR(__xludf.DUMMYFUNCTION("""COMPUTED_VALUE"""),500000.0)</f>
        <v>500000</v>
      </c>
      <c r="I4188" s="24">
        <f>IFERROR(__xludf.DUMMYFUNCTION("""COMPUTED_VALUE"""),0.0)</f>
        <v>0</v>
      </c>
    </row>
    <row r="4189">
      <c r="A4189" s="5" t="str">
        <f>IFERROR(__xludf.DUMMYFUNCTION("""COMPUTED_VALUE"""),"46600")</f>
        <v>46600</v>
      </c>
      <c r="B4189" s="64">
        <f>IFERROR(__xludf.DUMMYFUNCTION("""COMPUTED_VALUE"""),44627.0)</f>
        <v>44627</v>
      </c>
      <c r="C4189" s="5"/>
      <c r="D4189" s="5"/>
      <c r="E4189" s="5"/>
      <c r="F4189" s="22">
        <f>IFERROR(__xludf.DUMMYFUNCTION("""COMPUTED_VALUE"""),500000.0)</f>
        <v>500000</v>
      </c>
      <c r="G4189" s="22">
        <f>IFERROR(__xludf.DUMMYFUNCTION("""COMPUTED_VALUE"""),0.0)</f>
        <v>0</v>
      </c>
      <c r="H4189" s="22">
        <f>IFERROR(__xludf.DUMMYFUNCTION("""COMPUTED_VALUE"""),500000.0)</f>
        <v>500000</v>
      </c>
      <c r="I4189" s="24">
        <f>IFERROR(__xludf.DUMMYFUNCTION("""COMPUTED_VALUE"""),0.0)</f>
        <v>0</v>
      </c>
    </row>
    <row r="4190">
      <c r="A4190" s="5" t="str">
        <f>IFERROR(__xludf.DUMMYFUNCTION("""COMPUTED_VALUE"""),"46600")</f>
        <v>46600</v>
      </c>
      <c r="B4190" s="64">
        <f>IFERROR(__xludf.DUMMYFUNCTION("""COMPUTED_VALUE"""),44628.0)</f>
        <v>44628</v>
      </c>
      <c r="C4190" s="5"/>
      <c r="D4190" s="5"/>
      <c r="E4190" s="5"/>
      <c r="F4190" s="22">
        <f>IFERROR(__xludf.DUMMYFUNCTION("""COMPUTED_VALUE"""),500000.0)</f>
        <v>500000</v>
      </c>
      <c r="G4190" s="22">
        <f>IFERROR(__xludf.DUMMYFUNCTION("""COMPUTED_VALUE"""),0.0)</f>
        <v>0</v>
      </c>
      <c r="H4190" s="22">
        <f>IFERROR(__xludf.DUMMYFUNCTION("""COMPUTED_VALUE"""),500000.0)</f>
        <v>500000</v>
      </c>
      <c r="I4190" s="24">
        <f>IFERROR(__xludf.DUMMYFUNCTION("""COMPUTED_VALUE"""),0.0)</f>
        <v>0</v>
      </c>
    </row>
    <row r="4191">
      <c r="A4191" s="5" t="str">
        <f>IFERROR(__xludf.DUMMYFUNCTION("""COMPUTED_VALUE"""),"46600")</f>
        <v>46600</v>
      </c>
      <c r="B4191" s="64">
        <f>IFERROR(__xludf.DUMMYFUNCTION("""COMPUTED_VALUE"""),44629.0)</f>
        <v>44629</v>
      </c>
      <c r="C4191" s="5"/>
      <c r="D4191" s="5"/>
      <c r="E4191" s="5"/>
      <c r="F4191" s="22">
        <f>IFERROR(__xludf.DUMMYFUNCTION("""COMPUTED_VALUE"""),500000.0)</f>
        <v>500000</v>
      </c>
      <c r="G4191" s="22">
        <f>IFERROR(__xludf.DUMMYFUNCTION("""COMPUTED_VALUE"""),0.0)</f>
        <v>0</v>
      </c>
      <c r="H4191" s="22">
        <f>IFERROR(__xludf.DUMMYFUNCTION("""COMPUTED_VALUE"""),500000.0)</f>
        <v>500000</v>
      </c>
      <c r="I4191" s="24">
        <f>IFERROR(__xludf.DUMMYFUNCTION("""COMPUTED_VALUE"""),0.0)</f>
        <v>0</v>
      </c>
    </row>
    <row r="4192">
      <c r="A4192" s="5" t="str">
        <f>IFERROR(__xludf.DUMMYFUNCTION("""COMPUTED_VALUE"""),"46600")</f>
        <v>46600</v>
      </c>
      <c r="B4192" s="64">
        <f>IFERROR(__xludf.DUMMYFUNCTION("""COMPUTED_VALUE"""),44630.0)</f>
        <v>44630</v>
      </c>
      <c r="C4192" s="5"/>
      <c r="D4192" s="5"/>
      <c r="E4192" s="5"/>
      <c r="F4192" s="22">
        <f>IFERROR(__xludf.DUMMYFUNCTION("""COMPUTED_VALUE"""),500000.0)</f>
        <v>500000</v>
      </c>
      <c r="G4192" s="22">
        <f>IFERROR(__xludf.DUMMYFUNCTION("""COMPUTED_VALUE"""),0.0)</f>
        <v>0</v>
      </c>
      <c r="H4192" s="22">
        <f>IFERROR(__xludf.DUMMYFUNCTION("""COMPUTED_VALUE"""),500000.0)</f>
        <v>500000</v>
      </c>
      <c r="I4192" s="24">
        <f>IFERROR(__xludf.DUMMYFUNCTION("""COMPUTED_VALUE"""),0.0)</f>
        <v>0</v>
      </c>
    </row>
    <row r="4193">
      <c r="A4193" s="5" t="str">
        <f>IFERROR(__xludf.DUMMYFUNCTION("""COMPUTED_VALUE"""),"46600")</f>
        <v>46600</v>
      </c>
      <c r="B4193" s="64">
        <f>IFERROR(__xludf.DUMMYFUNCTION("""COMPUTED_VALUE"""),44631.0)</f>
        <v>44631</v>
      </c>
      <c r="C4193" s="5"/>
      <c r="D4193" s="5"/>
      <c r="E4193" s="5"/>
      <c r="F4193" s="22">
        <f>IFERROR(__xludf.DUMMYFUNCTION("""COMPUTED_VALUE"""),500000.0)</f>
        <v>500000</v>
      </c>
      <c r="G4193" s="22">
        <f>IFERROR(__xludf.DUMMYFUNCTION("""COMPUTED_VALUE"""),0.0)</f>
        <v>0</v>
      </c>
      <c r="H4193" s="22">
        <f>IFERROR(__xludf.DUMMYFUNCTION("""COMPUTED_VALUE"""),500000.0)</f>
        <v>500000</v>
      </c>
      <c r="I4193" s="24">
        <f>IFERROR(__xludf.DUMMYFUNCTION("""COMPUTED_VALUE"""),0.0)</f>
        <v>0</v>
      </c>
    </row>
    <row r="4194">
      <c r="A4194" s="5" t="str">
        <f>IFERROR(__xludf.DUMMYFUNCTION("""COMPUTED_VALUE"""),"46600")</f>
        <v>46600</v>
      </c>
      <c r="B4194" s="64">
        <f>IFERROR(__xludf.DUMMYFUNCTION("""COMPUTED_VALUE"""),44632.0)</f>
        <v>44632</v>
      </c>
      <c r="C4194" s="5"/>
      <c r="D4194" s="5"/>
      <c r="E4194" s="5"/>
      <c r="F4194" s="22">
        <f>IFERROR(__xludf.DUMMYFUNCTION("""COMPUTED_VALUE"""),500000.0)</f>
        <v>500000</v>
      </c>
      <c r="G4194" s="22">
        <f>IFERROR(__xludf.DUMMYFUNCTION("""COMPUTED_VALUE"""),0.0)</f>
        <v>0</v>
      </c>
      <c r="H4194" s="22">
        <f>IFERROR(__xludf.DUMMYFUNCTION("""COMPUTED_VALUE"""),500000.0)</f>
        <v>500000</v>
      </c>
      <c r="I4194" s="24">
        <f>IFERROR(__xludf.DUMMYFUNCTION("""COMPUTED_VALUE"""),0.0)</f>
        <v>0</v>
      </c>
    </row>
    <row r="4195">
      <c r="A4195" s="5" t="str">
        <f>IFERROR(__xludf.DUMMYFUNCTION("""COMPUTED_VALUE"""),"46600")</f>
        <v>46600</v>
      </c>
      <c r="B4195" s="64">
        <f>IFERROR(__xludf.DUMMYFUNCTION("""COMPUTED_VALUE"""),44633.0)</f>
        <v>44633</v>
      </c>
      <c r="C4195" s="5"/>
      <c r="D4195" s="5"/>
      <c r="E4195" s="5"/>
      <c r="F4195" s="22">
        <f>IFERROR(__xludf.DUMMYFUNCTION("""COMPUTED_VALUE"""),500000.0)</f>
        <v>500000</v>
      </c>
      <c r="G4195" s="22">
        <f>IFERROR(__xludf.DUMMYFUNCTION("""COMPUTED_VALUE"""),0.0)</f>
        <v>0</v>
      </c>
      <c r="H4195" s="22">
        <f>IFERROR(__xludf.DUMMYFUNCTION("""COMPUTED_VALUE"""),500000.0)</f>
        <v>500000</v>
      </c>
      <c r="I4195" s="24">
        <f>IFERROR(__xludf.DUMMYFUNCTION("""COMPUTED_VALUE"""),0.0)</f>
        <v>0</v>
      </c>
    </row>
    <row r="4196">
      <c r="A4196" s="5" t="str">
        <f>IFERROR(__xludf.DUMMYFUNCTION("""COMPUTED_VALUE"""),"46600")</f>
        <v>46600</v>
      </c>
      <c r="B4196" s="64">
        <f>IFERROR(__xludf.DUMMYFUNCTION("""COMPUTED_VALUE"""),44634.0)</f>
        <v>44634</v>
      </c>
      <c r="C4196" s="5"/>
      <c r="D4196" s="5"/>
      <c r="E4196" s="5"/>
      <c r="F4196" s="22">
        <f>IFERROR(__xludf.DUMMYFUNCTION("""COMPUTED_VALUE"""),500000.0)</f>
        <v>500000</v>
      </c>
      <c r="G4196" s="22">
        <f>IFERROR(__xludf.DUMMYFUNCTION("""COMPUTED_VALUE"""),0.0)</f>
        <v>0</v>
      </c>
      <c r="H4196" s="22">
        <f>IFERROR(__xludf.DUMMYFUNCTION("""COMPUTED_VALUE"""),500000.0)</f>
        <v>500000</v>
      </c>
      <c r="I4196" s="24">
        <f>IFERROR(__xludf.DUMMYFUNCTION("""COMPUTED_VALUE"""),0.0)</f>
        <v>0</v>
      </c>
    </row>
    <row r="4197">
      <c r="A4197" s="5" t="str">
        <f>IFERROR(__xludf.DUMMYFUNCTION("""COMPUTED_VALUE"""),"46600")</f>
        <v>46600</v>
      </c>
      <c r="B4197" s="64">
        <f>IFERROR(__xludf.DUMMYFUNCTION("""COMPUTED_VALUE"""),44635.0)</f>
        <v>44635</v>
      </c>
      <c r="C4197" s="5"/>
      <c r="D4197" s="5"/>
      <c r="E4197" s="5"/>
      <c r="F4197" s="22">
        <f>IFERROR(__xludf.DUMMYFUNCTION("""COMPUTED_VALUE"""),500000.0)</f>
        <v>500000</v>
      </c>
      <c r="G4197" s="22">
        <f>IFERROR(__xludf.DUMMYFUNCTION("""COMPUTED_VALUE"""),0.0)</f>
        <v>0</v>
      </c>
      <c r="H4197" s="22">
        <f>IFERROR(__xludf.DUMMYFUNCTION("""COMPUTED_VALUE"""),500000.0)</f>
        <v>500000</v>
      </c>
      <c r="I4197" s="24">
        <f>IFERROR(__xludf.DUMMYFUNCTION("""COMPUTED_VALUE"""),0.0)</f>
        <v>0</v>
      </c>
    </row>
    <row r="4198">
      <c r="A4198" s="5" t="str">
        <f>IFERROR(__xludf.DUMMYFUNCTION("""COMPUTED_VALUE"""),"46600")</f>
        <v>46600</v>
      </c>
      <c r="B4198" s="64">
        <f>IFERROR(__xludf.DUMMYFUNCTION("""COMPUTED_VALUE"""),44636.0)</f>
        <v>44636</v>
      </c>
      <c r="C4198" s="5"/>
      <c r="D4198" s="5"/>
      <c r="E4198" s="5"/>
      <c r="F4198" s="22">
        <f>IFERROR(__xludf.DUMMYFUNCTION("""COMPUTED_VALUE"""),500000.0)</f>
        <v>500000</v>
      </c>
      <c r="G4198" s="22">
        <f>IFERROR(__xludf.DUMMYFUNCTION("""COMPUTED_VALUE"""),0.0)</f>
        <v>0</v>
      </c>
      <c r="H4198" s="22">
        <f>IFERROR(__xludf.DUMMYFUNCTION("""COMPUTED_VALUE"""),513800.0)</f>
        <v>513800</v>
      </c>
      <c r="I4198" s="24">
        <f>IFERROR(__xludf.DUMMYFUNCTION("""COMPUTED_VALUE"""),0.02760000000000007)</f>
        <v>0.0276</v>
      </c>
    </row>
    <row r="4199">
      <c r="A4199" s="5" t="str">
        <f>IFERROR(__xludf.DUMMYFUNCTION("""COMPUTED_VALUE"""),"46600")</f>
        <v>46600</v>
      </c>
      <c r="B4199" s="64">
        <f>IFERROR(__xludf.DUMMYFUNCTION("""COMPUTED_VALUE"""),44637.0)</f>
        <v>44637</v>
      </c>
      <c r="C4199" s="5"/>
      <c r="D4199" s="5"/>
      <c r="E4199" s="5"/>
      <c r="F4199" s="22">
        <f>IFERROR(__xludf.DUMMYFUNCTION("""COMPUTED_VALUE"""),500000.0)</f>
        <v>500000</v>
      </c>
      <c r="G4199" s="22">
        <f>IFERROR(__xludf.DUMMYFUNCTION("""COMPUTED_VALUE"""),0.0)</f>
        <v>0</v>
      </c>
      <c r="H4199" s="22">
        <f>IFERROR(__xludf.DUMMYFUNCTION("""COMPUTED_VALUE"""),518400.0)</f>
        <v>518400</v>
      </c>
      <c r="I4199" s="24">
        <f>IFERROR(__xludf.DUMMYFUNCTION("""COMPUTED_VALUE"""),0.036799999999999944)</f>
        <v>0.0368</v>
      </c>
    </row>
    <row r="4200">
      <c r="A4200" s="5" t="str">
        <f>IFERROR(__xludf.DUMMYFUNCTION("""COMPUTED_VALUE"""),"46600")</f>
        <v>46600</v>
      </c>
      <c r="B4200" s="64">
        <f>IFERROR(__xludf.DUMMYFUNCTION("""COMPUTED_VALUE"""),44638.0)</f>
        <v>44638</v>
      </c>
      <c r="C4200" s="5"/>
      <c r="D4200" s="5"/>
      <c r="E4200" s="5"/>
      <c r="F4200" s="22">
        <f>IFERROR(__xludf.DUMMYFUNCTION("""COMPUTED_VALUE"""),500000.0)</f>
        <v>500000</v>
      </c>
      <c r="G4200" s="22">
        <f>IFERROR(__xludf.DUMMYFUNCTION("""COMPUTED_VALUE"""),0.0)</f>
        <v>0</v>
      </c>
      <c r="H4200" s="22">
        <f>IFERROR(__xludf.DUMMYFUNCTION("""COMPUTED_VALUE"""),516600.0)</f>
        <v>516600</v>
      </c>
      <c r="I4200" s="24">
        <f>IFERROR(__xludf.DUMMYFUNCTION("""COMPUTED_VALUE"""),0.033199999999999896)</f>
        <v>0.0332</v>
      </c>
    </row>
    <row r="4201">
      <c r="A4201" s="5" t="str">
        <f>IFERROR(__xludf.DUMMYFUNCTION("""COMPUTED_VALUE"""),"46600")</f>
        <v>46600</v>
      </c>
      <c r="B4201" s="64">
        <f>IFERROR(__xludf.DUMMYFUNCTION("""COMPUTED_VALUE"""),44639.0)</f>
        <v>44639</v>
      </c>
      <c r="C4201" s="5"/>
      <c r="D4201" s="5"/>
      <c r="E4201" s="5"/>
      <c r="F4201" s="22">
        <f>IFERROR(__xludf.DUMMYFUNCTION("""COMPUTED_VALUE"""),500000.0)</f>
        <v>500000</v>
      </c>
      <c r="G4201" s="22">
        <f>IFERROR(__xludf.DUMMYFUNCTION("""COMPUTED_VALUE"""),0.0)</f>
        <v>0</v>
      </c>
      <c r="H4201" s="22">
        <f>IFERROR(__xludf.DUMMYFUNCTION("""COMPUTED_VALUE"""),516600.0)</f>
        <v>516600</v>
      </c>
      <c r="I4201" s="24">
        <f>IFERROR(__xludf.DUMMYFUNCTION("""COMPUTED_VALUE"""),0.033199999999999896)</f>
        <v>0.0332</v>
      </c>
    </row>
    <row r="4202">
      <c r="A4202" s="5" t="str">
        <f>IFERROR(__xludf.DUMMYFUNCTION("""COMPUTED_VALUE"""),"46600")</f>
        <v>46600</v>
      </c>
      <c r="B4202" s="64">
        <f>IFERROR(__xludf.DUMMYFUNCTION("""COMPUTED_VALUE"""),44640.0)</f>
        <v>44640</v>
      </c>
      <c r="C4202" s="5"/>
      <c r="D4202" s="5"/>
      <c r="E4202" s="5"/>
      <c r="F4202" s="22">
        <f>IFERROR(__xludf.DUMMYFUNCTION("""COMPUTED_VALUE"""),500000.0)</f>
        <v>500000</v>
      </c>
      <c r="G4202" s="22">
        <f>IFERROR(__xludf.DUMMYFUNCTION("""COMPUTED_VALUE"""),0.0)</f>
        <v>0</v>
      </c>
      <c r="H4202" s="22">
        <f>IFERROR(__xludf.DUMMYFUNCTION("""COMPUTED_VALUE"""),516600.0)</f>
        <v>516600</v>
      </c>
      <c r="I4202" s="24">
        <f>IFERROR(__xludf.DUMMYFUNCTION("""COMPUTED_VALUE"""),0.033199999999999896)</f>
        <v>0.0332</v>
      </c>
    </row>
    <row r="4203">
      <c r="A4203" s="5" t="str">
        <f>IFERROR(__xludf.DUMMYFUNCTION("""COMPUTED_VALUE"""),"46600")</f>
        <v>46600</v>
      </c>
      <c r="B4203" s="64">
        <f>IFERROR(__xludf.DUMMYFUNCTION("""COMPUTED_VALUE"""),44641.0)</f>
        <v>44641</v>
      </c>
      <c r="C4203" s="5"/>
      <c r="D4203" s="5"/>
      <c r="E4203" s="5"/>
      <c r="F4203" s="22">
        <f>IFERROR(__xludf.DUMMYFUNCTION("""COMPUTED_VALUE"""),500000.0)</f>
        <v>500000</v>
      </c>
      <c r="G4203" s="22">
        <f>IFERROR(__xludf.DUMMYFUNCTION("""COMPUTED_VALUE"""),0.0)</f>
        <v>0</v>
      </c>
      <c r="H4203" s="22">
        <f>IFERROR(__xludf.DUMMYFUNCTION("""COMPUTED_VALUE"""),514472.5)</f>
        <v>514472.5</v>
      </c>
      <c r="I4203" s="24">
        <f>IFERROR(__xludf.DUMMYFUNCTION("""COMPUTED_VALUE"""),0.028945)</f>
        <v>0.028945</v>
      </c>
    </row>
    <row r="4204">
      <c r="A4204" s="5" t="str">
        <f>IFERROR(__xludf.DUMMYFUNCTION("""COMPUTED_VALUE"""),"46600")</f>
        <v>46600</v>
      </c>
      <c r="B4204" s="64">
        <f>IFERROR(__xludf.DUMMYFUNCTION("""COMPUTED_VALUE"""),44642.0)</f>
        <v>44642</v>
      </c>
      <c r="C4204" s="5"/>
      <c r="D4204" s="5"/>
      <c r="E4204" s="5"/>
      <c r="F4204" s="22">
        <f>IFERROR(__xludf.DUMMYFUNCTION("""COMPUTED_VALUE"""),500000.0)</f>
        <v>500000</v>
      </c>
      <c r="G4204" s="22">
        <f>IFERROR(__xludf.DUMMYFUNCTION("""COMPUTED_VALUE"""),0.0)</f>
        <v>0</v>
      </c>
      <c r="H4204" s="22">
        <f>IFERROR(__xludf.DUMMYFUNCTION("""COMPUTED_VALUE"""),519815.5)</f>
        <v>519815.5</v>
      </c>
      <c r="I4204" s="24">
        <f>IFERROR(__xludf.DUMMYFUNCTION("""COMPUTED_VALUE"""),0.03963099999999997)</f>
        <v>0.039631</v>
      </c>
    </row>
    <row r="4205">
      <c r="A4205" s="5" t="str">
        <f>IFERROR(__xludf.DUMMYFUNCTION("""COMPUTED_VALUE"""),"46600")</f>
        <v>46600</v>
      </c>
      <c r="B4205" s="64">
        <f>IFERROR(__xludf.DUMMYFUNCTION("""COMPUTED_VALUE"""),44643.0)</f>
        <v>44643</v>
      </c>
      <c r="C4205" s="5"/>
      <c r="D4205" s="5"/>
      <c r="E4205" s="5"/>
      <c r="F4205" s="22">
        <f>IFERROR(__xludf.DUMMYFUNCTION("""COMPUTED_VALUE"""),500000.0)</f>
        <v>500000</v>
      </c>
      <c r="G4205" s="22">
        <f>IFERROR(__xludf.DUMMYFUNCTION("""COMPUTED_VALUE"""),0.0)</f>
        <v>0</v>
      </c>
      <c r="H4205" s="22">
        <f>IFERROR(__xludf.DUMMYFUNCTION("""COMPUTED_VALUE"""),521027.5)</f>
        <v>521027.5</v>
      </c>
      <c r="I4205" s="24">
        <f>IFERROR(__xludf.DUMMYFUNCTION("""COMPUTED_VALUE"""),0.042054999999999954)</f>
        <v>0.042055</v>
      </c>
    </row>
    <row r="4206">
      <c r="A4206" s="5" t="str">
        <f>IFERROR(__xludf.DUMMYFUNCTION("""COMPUTED_VALUE"""),"46600")</f>
        <v>46600</v>
      </c>
      <c r="B4206" s="64">
        <f>IFERROR(__xludf.DUMMYFUNCTION("""COMPUTED_VALUE"""),44644.0)</f>
        <v>44644</v>
      </c>
      <c r="C4206" s="5"/>
      <c r="D4206" s="5"/>
      <c r="E4206" s="5"/>
      <c r="F4206" s="22">
        <f>IFERROR(__xludf.DUMMYFUNCTION("""COMPUTED_VALUE"""),500000.0)</f>
        <v>500000</v>
      </c>
      <c r="G4206" s="22">
        <f>IFERROR(__xludf.DUMMYFUNCTION("""COMPUTED_VALUE"""),0.0)</f>
        <v>0</v>
      </c>
      <c r="H4206" s="22">
        <f>IFERROR(__xludf.DUMMYFUNCTION("""COMPUTED_VALUE"""),520853.5)</f>
        <v>520853.5</v>
      </c>
      <c r="I4206" s="24">
        <f>IFERROR(__xludf.DUMMYFUNCTION("""COMPUTED_VALUE"""),0.04170699999999994)</f>
        <v>0.041707</v>
      </c>
    </row>
    <row r="4207">
      <c r="A4207" s="5" t="str">
        <f>IFERROR(__xludf.DUMMYFUNCTION("""COMPUTED_VALUE"""),"46600")</f>
        <v>46600</v>
      </c>
      <c r="B4207" s="64">
        <f>IFERROR(__xludf.DUMMYFUNCTION("""COMPUTED_VALUE"""),44645.0)</f>
        <v>44645</v>
      </c>
      <c r="C4207" s="5"/>
      <c r="D4207" s="5"/>
      <c r="E4207" s="5"/>
      <c r="F4207" s="22">
        <f>IFERROR(__xludf.DUMMYFUNCTION("""COMPUTED_VALUE"""),500000.0)</f>
        <v>500000</v>
      </c>
      <c r="G4207" s="22">
        <f>IFERROR(__xludf.DUMMYFUNCTION("""COMPUTED_VALUE"""),0.0)</f>
        <v>0</v>
      </c>
      <c r="H4207" s="22">
        <f>IFERROR(__xludf.DUMMYFUNCTION("""COMPUTED_VALUE"""),516469.5)</f>
        <v>516469.5</v>
      </c>
      <c r="I4207" s="24">
        <f>IFERROR(__xludf.DUMMYFUNCTION("""COMPUTED_VALUE"""),0.03293900000000005)</f>
        <v>0.032939</v>
      </c>
    </row>
    <row r="4208">
      <c r="A4208" s="5" t="str">
        <f>IFERROR(__xludf.DUMMYFUNCTION("""COMPUTED_VALUE"""),"46600")</f>
        <v>46600</v>
      </c>
      <c r="B4208" s="64">
        <f>IFERROR(__xludf.DUMMYFUNCTION("""COMPUTED_VALUE"""),44646.0)</f>
        <v>44646</v>
      </c>
      <c r="C4208" s="5"/>
      <c r="D4208" s="5"/>
      <c r="E4208" s="5"/>
      <c r="F4208" s="22">
        <f>IFERROR(__xludf.DUMMYFUNCTION("""COMPUTED_VALUE"""),500000.0)</f>
        <v>500000</v>
      </c>
      <c r="G4208" s="22">
        <f>IFERROR(__xludf.DUMMYFUNCTION("""COMPUTED_VALUE"""),0.0)</f>
        <v>0</v>
      </c>
      <c r="H4208" s="22">
        <f>IFERROR(__xludf.DUMMYFUNCTION("""COMPUTED_VALUE"""),516469.5)</f>
        <v>516469.5</v>
      </c>
      <c r="I4208" s="24">
        <f>IFERROR(__xludf.DUMMYFUNCTION("""COMPUTED_VALUE"""),0.03293900000000005)</f>
        <v>0.032939</v>
      </c>
    </row>
    <row r="4209">
      <c r="A4209" s="5" t="str">
        <f>IFERROR(__xludf.DUMMYFUNCTION("""COMPUTED_VALUE"""),"46600")</f>
        <v>46600</v>
      </c>
      <c r="B4209" s="64">
        <f>IFERROR(__xludf.DUMMYFUNCTION("""COMPUTED_VALUE"""),44647.0)</f>
        <v>44647</v>
      </c>
      <c r="C4209" s="5"/>
      <c r="D4209" s="5"/>
      <c r="E4209" s="5"/>
      <c r="F4209" s="22">
        <f>IFERROR(__xludf.DUMMYFUNCTION("""COMPUTED_VALUE"""),500000.0)</f>
        <v>500000</v>
      </c>
      <c r="G4209" s="22">
        <f>IFERROR(__xludf.DUMMYFUNCTION("""COMPUTED_VALUE"""),0.0)</f>
        <v>0</v>
      </c>
      <c r="H4209" s="22">
        <f>IFERROR(__xludf.DUMMYFUNCTION("""COMPUTED_VALUE"""),516469.5)</f>
        <v>516469.5</v>
      </c>
      <c r="I4209" s="24">
        <f>IFERROR(__xludf.DUMMYFUNCTION("""COMPUTED_VALUE"""),0.03293900000000005)</f>
        <v>0.032939</v>
      </c>
    </row>
    <row r="4210">
      <c r="A4210" s="5" t="str">
        <f>IFERROR(__xludf.DUMMYFUNCTION("""COMPUTED_VALUE"""),"46600")</f>
        <v>46600</v>
      </c>
      <c r="B4210" s="64">
        <f>IFERROR(__xludf.DUMMYFUNCTION("""COMPUTED_VALUE"""),44648.0)</f>
        <v>44648</v>
      </c>
      <c r="C4210" s="5"/>
      <c r="D4210" s="5"/>
      <c r="E4210" s="5"/>
      <c r="F4210" s="22">
        <f>IFERROR(__xludf.DUMMYFUNCTION("""COMPUTED_VALUE"""),373073.5)</f>
        <v>373073.5</v>
      </c>
      <c r="G4210" s="22">
        <f>IFERROR(__xludf.DUMMYFUNCTION("""COMPUTED_VALUE"""),0.0)</f>
        <v>0</v>
      </c>
      <c r="H4210" s="22">
        <f>IFERROR(__xludf.DUMMYFUNCTION("""COMPUTED_VALUE"""),520092.5)</f>
        <v>520092.5</v>
      </c>
      <c r="I4210" s="24">
        <f>IFERROR(__xludf.DUMMYFUNCTION("""COMPUTED_VALUE"""),0.040184999999999915)</f>
        <v>0.040185</v>
      </c>
    </row>
    <row r="4211">
      <c r="A4211" s="5" t="str">
        <f>IFERROR(__xludf.DUMMYFUNCTION("""COMPUTED_VALUE"""),"46600")</f>
        <v>46600</v>
      </c>
      <c r="B4211" s="64">
        <f>IFERROR(__xludf.DUMMYFUNCTION("""COMPUTED_VALUE"""),44649.0)</f>
        <v>44649</v>
      </c>
      <c r="C4211" s="5"/>
      <c r="D4211" s="5"/>
      <c r="E4211" s="5"/>
      <c r="F4211" s="22">
        <f>IFERROR(__xludf.DUMMYFUNCTION("""COMPUTED_VALUE"""),373073.5)</f>
        <v>373073.5</v>
      </c>
      <c r="G4211" s="22">
        <f>IFERROR(__xludf.DUMMYFUNCTION("""COMPUTED_VALUE"""),0.0)</f>
        <v>0</v>
      </c>
      <c r="H4211" s="22">
        <f>IFERROR(__xludf.DUMMYFUNCTION("""COMPUTED_VALUE"""),528945.6216)</f>
        <v>528945.6216</v>
      </c>
      <c r="I4211" s="24">
        <f>IFERROR(__xludf.DUMMYFUNCTION("""COMPUTED_VALUE"""),0.05789124319999983)</f>
        <v>0.0578912432</v>
      </c>
    </row>
    <row r="4212">
      <c r="A4212" s="5" t="str">
        <f>IFERROR(__xludf.DUMMYFUNCTION("""COMPUTED_VALUE"""),"46600")</f>
        <v>46600</v>
      </c>
      <c r="B4212" s="64">
        <f>IFERROR(__xludf.DUMMYFUNCTION("""COMPUTED_VALUE"""),44650.0)</f>
        <v>44650</v>
      </c>
      <c r="C4212" s="5"/>
      <c r="D4212" s="5"/>
      <c r="E4212" s="5"/>
      <c r="F4212" s="22">
        <f>IFERROR(__xludf.DUMMYFUNCTION("""COMPUTED_VALUE"""),373073.5)</f>
        <v>373073.5</v>
      </c>
      <c r="G4212" s="22">
        <f>IFERROR(__xludf.DUMMYFUNCTION("""COMPUTED_VALUE"""),0.0)</f>
        <v>0</v>
      </c>
      <c r="H4212" s="22">
        <f>IFERROR(__xludf.DUMMYFUNCTION("""COMPUTED_VALUE"""),527464.3077)</f>
        <v>527464.3077</v>
      </c>
      <c r="I4212" s="24">
        <f>IFERROR(__xludf.DUMMYFUNCTION("""COMPUTED_VALUE"""),0.054928615399999936)</f>
        <v>0.0549286154</v>
      </c>
    </row>
    <row r="4213">
      <c r="A4213" s="5" t="str">
        <f>IFERROR(__xludf.DUMMYFUNCTION("""COMPUTED_VALUE"""),"46600")</f>
        <v>46600</v>
      </c>
      <c r="B4213" s="64">
        <f>IFERROR(__xludf.DUMMYFUNCTION("""COMPUTED_VALUE"""),44651.0)</f>
        <v>44651</v>
      </c>
      <c r="C4213" s="5"/>
      <c r="D4213" s="5"/>
      <c r="E4213" s="5"/>
      <c r="F4213" s="22">
        <f>IFERROR(__xludf.DUMMYFUNCTION("""COMPUTED_VALUE"""),373073.5)</f>
        <v>373073.5</v>
      </c>
      <c r="G4213" s="22">
        <f>IFERROR(__xludf.DUMMYFUNCTION("""COMPUTED_VALUE"""),0.0)</f>
        <v>0</v>
      </c>
      <c r="H4213" s="22">
        <f>IFERROR(__xludf.DUMMYFUNCTION("""COMPUTED_VALUE"""),522170.34810000006)</f>
        <v>522170.3481</v>
      </c>
      <c r="I4213" s="24">
        <f>IFERROR(__xludf.DUMMYFUNCTION("""COMPUTED_VALUE"""),0.04434069620000014)</f>
        <v>0.0443406962</v>
      </c>
    </row>
    <row r="4214">
      <c r="A4214" s="5" t="str">
        <f>IFERROR(__xludf.DUMMYFUNCTION("""COMPUTED_VALUE"""),"46600")</f>
        <v>46600</v>
      </c>
      <c r="B4214" s="64">
        <f>IFERROR(__xludf.DUMMYFUNCTION("""COMPUTED_VALUE"""),44652.0)</f>
        <v>44652</v>
      </c>
      <c r="C4214" s="5"/>
      <c r="D4214" s="5"/>
      <c r="E4214" s="5"/>
      <c r="F4214" s="22">
        <f>IFERROR(__xludf.DUMMYFUNCTION("""COMPUTED_VALUE"""),373073.5)</f>
        <v>373073.5</v>
      </c>
      <c r="G4214" s="22">
        <f>IFERROR(__xludf.DUMMYFUNCTION("""COMPUTED_VALUE"""),0.0)</f>
        <v>0</v>
      </c>
      <c r="H4214" s="22">
        <f>IFERROR(__xludf.DUMMYFUNCTION("""COMPUTED_VALUE"""),521412.60510000004)</f>
        <v>521412.6051</v>
      </c>
      <c r="I4214" s="24">
        <f>IFERROR(__xludf.DUMMYFUNCTION("""COMPUTED_VALUE"""),0.042825210200000186)</f>
        <v>0.0428252102</v>
      </c>
    </row>
    <row r="4215">
      <c r="A4215" s="5" t="str">
        <f>IFERROR(__xludf.DUMMYFUNCTION("""COMPUTED_VALUE"""),"46600")</f>
        <v>46600</v>
      </c>
      <c r="B4215" s="64">
        <f>IFERROR(__xludf.DUMMYFUNCTION("""COMPUTED_VALUE"""),44653.0)</f>
        <v>44653</v>
      </c>
      <c r="C4215" s="5"/>
      <c r="D4215" s="5"/>
      <c r="E4215" s="5"/>
      <c r="F4215" s="22">
        <f>IFERROR(__xludf.DUMMYFUNCTION("""COMPUTED_VALUE"""),373073.5)</f>
        <v>373073.5</v>
      </c>
      <c r="G4215" s="22">
        <f>IFERROR(__xludf.DUMMYFUNCTION("""COMPUTED_VALUE"""),0.0)</f>
        <v>0</v>
      </c>
      <c r="H4215" s="22">
        <f>IFERROR(__xludf.DUMMYFUNCTION("""COMPUTED_VALUE"""),521412.60510000004)</f>
        <v>521412.6051</v>
      </c>
      <c r="I4215" s="24">
        <f>IFERROR(__xludf.DUMMYFUNCTION("""COMPUTED_VALUE"""),0.042825210200000186)</f>
        <v>0.0428252102</v>
      </c>
    </row>
    <row r="4216">
      <c r="A4216" s="5" t="str">
        <f>IFERROR(__xludf.DUMMYFUNCTION("""COMPUTED_VALUE"""),"46600")</f>
        <v>46600</v>
      </c>
      <c r="B4216" s="64">
        <f>IFERROR(__xludf.DUMMYFUNCTION("""COMPUTED_VALUE"""),44654.0)</f>
        <v>44654</v>
      </c>
      <c r="C4216" s="5"/>
      <c r="D4216" s="5"/>
      <c r="E4216" s="5"/>
      <c r="F4216" s="22">
        <f>IFERROR(__xludf.DUMMYFUNCTION("""COMPUTED_VALUE"""),373073.5)</f>
        <v>373073.5</v>
      </c>
      <c r="G4216" s="22">
        <f>IFERROR(__xludf.DUMMYFUNCTION("""COMPUTED_VALUE"""),0.0)</f>
        <v>0</v>
      </c>
      <c r="H4216" s="22">
        <f>IFERROR(__xludf.DUMMYFUNCTION("""COMPUTED_VALUE"""),521412.60510000004)</f>
        <v>521412.6051</v>
      </c>
      <c r="I4216" s="24">
        <f>IFERROR(__xludf.DUMMYFUNCTION("""COMPUTED_VALUE"""),0.042825210200000186)</f>
        <v>0.0428252102</v>
      </c>
    </row>
    <row r="4217">
      <c r="A4217" s="5" t="str">
        <f>IFERROR(__xludf.DUMMYFUNCTION("""COMPUTED_VALUE"""),"46600")</f>
        <v>46600</v>
      </c>
      <c r="B4217" s="64">
        <f>IFERROR(__xludf.DUMMYFUNCTION("""COMPUTED_VALUE"""),44655.0)</f>
        <v>44655</v>
      </c>
      <c r="C4217" s="5"/>
      <c r="D4217" s="5"/>
      <c r="E4217" s="5"/>
      <c r="F4217" s="22">
        <f>IFERROR(__xludf.DUMMYFUNCTION("""COMPUTED_VALUE"""),373073.5)</f>
        <v>373073.5</v>
      </c>
      <c r="G4217" s="22">
        <f>IFERROR(__xludf.DUMMYFUNCTION("""COMPUTED_VALUE"""),0.0)</f>
        <v>0</v>
      </c>
      <c r="H4217" s="22">
        <f>IFERROR(__xludf.DUMMYFUNCTION("""COMPUTED_VALUE"""),528727.4003999999)</f>
        <v>528727.4004</v>
      </c>
      <c r="I4217" s="24">
        <f>IFERROR(__xludf.DUMMYFUNCTION("""COMPUTED_VALUE"""),0.05745480079999976)</f>
        <v>0.0574548008</v>
      </c>
    </row>
    <row r="4218">
      <c r="A4218" s="5" t="str">
        <f>IFERROR(__xludf.DUMMYFUNCTION("""COMPUTED_VALUE"""),"46600")</f>
        <v>46600</v>
      </c>
      <c r="B4218" s="64">
        <f>IFERROR(__xludf.DUMMYFUNCTION("""COMPUTED_VALUE"""),44656.0)</f>
        <v>44656</v>
      </c>
      <c r="C4218" s="5"/>
      <c r="D4218" s="5"/>
      <c r="E4218" s="5"/>
      <c r="F4218" s="22">
        <f>IFERROR(__xludf.DUMMYFUNCTION("""COMPUTED_VALUE"""),373073.5)</f>
        <v>373073.5</v>
      </c>
      <c r="G4218" s="22">
        <f>IFERROR(__xludf.DUMMYFUNCTION("""COMPUTED_VALUE"""),0.0)</f>
        <v>0</v>
      </c>
      <c r="H4218" s="22">
        <f>IFERROR(__xludf.DUMMYFUNCTION("""COMPUTED_VALUE"""),523434.9626)</f>
        <v>523434.9626</v>
      </c>
      <c r="I4218" s="24">
        <f>IFERROR(__xludf.DUMMYFUNCTION("""COMPUTED_VALUE"""),0.046869925199999996)</f>
        <v>0.0468699252</v>
      </c>
    </row>
    <row r="4219">
      <c r="A4219" s="5" t="str">
        <f>IFERROR(__xludf.DUMMYFUNCTION("""COMPUTED_VALUE"""),"46600")</f>
        <v>46600</v>
      </c>
      <c r="B4219" s="64">
        <f>IFERROR(__xludf.DUMMYFUNCTION("""COMPUTED_VALUE"""),44657.0)</f>
        <v>44657</v>
      </c>
      <c r="C4219" s="5"/>
      <c r="D4219" s="5"/>
      <c r="E4219" s="5"/>
      <c r="F4219" s="22">
        <f>IFERROR(__xludf.DUMMYFUNCTION("""COMPUTED_VALUE"""),373073.5)</f>
        <v>373073.5</v>
      </c>
      <c r="G4219" s="22">
        <f>IFERROR(__xludf.DUMMYFUNCTION("""COMPUTED_VALUE"""),0.0)</f>
        <v>0</v>
      </c>
      <c r="H4219" s="22">
        <f>IFERROR(__xludf.DUMMYFUNCTION("""COMPUTED_VALUE"""),517068.3963)</f>
        <v>517068.3963</v>
      </c>
      <c r="I4219" s="24">
        <f>IFERROR(__xludf.DUMMYFUNCTION("""COMPUTED_VALUE"""),0.03413679260000002)</f>
        <v>0.0341367926</v>
      </c>
    </row>
    <row r="4220">
      <c r="A4220" s="5" t="str">
        <f>IFERROR(__xludf.DUMMYFUNCTION("""COMPUTED_VALUE"""),"46600")</f>
        <v>46600</v>
      </c>
      <c r="B4220" s="64">
        <f>IFERROR(__xludf.DUMMYFUNCTION("""COMPUTED_VALUE"""),44658.0)</f>
        <v>44658</v>
      </c>
      <c r="C4220" s="5"/>
      <c r="D4220" s="5"/>
      <c r="E4220" s="5"/>
      <c r="F4220" s="22">
        <f>IFERROR(__xludf.DUMMYFUNCTION("""COMPUTED_VALUE"""),373073.5)</f>
        <v>373073.5</v>
      </c>
      <c r="G4220" s="22">
        <f>IFERROR(__xludf.DUMMYFUNCTION("""COMPUTED_VALUE"""),0.0)</f>
        <v>0</v>
      </c>
      <c r="H4220" s="22">
        <f>IFERROR(__xludf.DUMMYFUNCTION("""COMPUTED_VALUE"""),520775.60970000003)</f>
        <v>520775.6097</v>
      </c>
      <c r="I4220" s="24">
        <f>IFERROR(__xludf.DUMMYFUNCTION("""COMPUTED_VALUE"""),0.04155121940000006)</f>
        <v>0.0415512194</v>
      </c>
    </row>
    <row r="4221">
      <c r="A4221" s="5" t="str">
        <f>IFERROR(__xludf.DUMMYFUNCTION("""COMPUTED_VALUE"""),"46600")</f>
        <v>46600</v>
      </c>
      <c r="B4221" s="64">
        <f>IFERROR(__xludf.DUMMYFUNCTION("""COMPUTED_VALUE"""),44659.0)</f>
        <v>44659</v>
      </c>
      <c r="C4221" s="5"/>
      <c r="D4221" s="5"/>
      <c r="E4221" s="5"/>
      <c r="F4221" s="22">
        <f>IFERROR(__xludf.DUMMYFUNCTION("""COMPUTED_VALUE"""),373073.5)</f>
        <v>373073.5</v>
      </c>
      <c r="G4221" s="22">
        <f>IFERROR(__xludf.DUMMYFUNCTION("""COMPUTED_VALUE"""),0.0)</f>
        <v>0</v>
      </c>
      <c r="H4221" s="22">
        <f>IFERROR(__xludf.DUMMYFUNCTION("""COMPUTED_VALUE"""),517975.88690000004)</f>
        <v>517975.8869</v>
      </c>
      <c r="I4221" s="24">
        <f>IFERROR(__xludf.DUMMYFUNCTION("""COMPUTED_VALUE"""),0.03595177380000014)</f>
        <v>0.0359517738</v>
      </c>
    </row>
    <row r="4222">
      <c r="A4222" s="5" t="str">
        <f>IFERROR(__xludf.DUMMYFUNCTION("""COMPUTED_VALUE"""),"46600")</f>
        <v>46600</v>
      </c>
      <c r="B4222" s="64">
        <f>IFERROR(__xludf.DUMMYFUNCTION("""COMPUTED_VALUE"""),44660.0)</f>
        <v>44660</v>
      </c>
      <c r="C4222" s="5"/>
      <c r="D4222" s="5"/>
      <c r="E4222" s="5"/>
      <c r="F4222" s="22">
        <f>IFERROR(__xludf.DUMMYFUNCTION("""COMPUTED_VALUE"""),373073.5)</f>
        <v>373073.5</v>
      </c>
      <c r="G4222" s="22">
        <f>IFERROR(__xludf.DUMMYFUNCTION("""COMPUTED_VALUE"""),0.0)</f>
        <v>0</v>
      </c>
      <c r="H4222" s="22">
        <f>IFERROR(__xludf.DUMMYFUNCTION("""COMPUTED_VALUE"""),517975.88690000004)</f>
        <v>517975.8869</v>
      </c>
      <c r="I4222" s="24">
        <f>IFERROR(__xludf.DUMMYFUNCTION("""COMPUTED_VALUE"""),0.03595177380000014)</f>
        <v>0.0359517738</v>
      </c>
    </row>
    <row r="4223">
      <c r="A4223" s="5" t="str">
        <f>IFERROR(__xludf.DUMMYFUNCTION("""COMPUTED_VALUE"""),"46600")</f>
        <v>46600</v>
      </c>
      <c r="B4223" s="64">
        <f>IFERROR(__xludf.DUMMYFUNCTION("""COMPUTED_VALUE"""),44661.0)</f>
        <v>44661</v>
      </c>
      <c r="C4223" s="5"/>
      <c r="D4223" s="5"/>
      <c r="E4223" s="5"/>
      <c r="F4223" s="22">
        <f>IFERROR(__xludf.DUMMYFUNCTION("""COMPUTED_VALUE"""),373073.5)</f>
        <v>373073.5</v>
      </c>
      <c r="G4223" s="22">
        <f>IFERROR(__xludf.DUMMYFUNCTION("""COMPUTED_VALUE"""),0.0)</f>
        <v>0</v>
      </c>
      <c r="H4223" s="22">
        <f>IFERROR(__xludf.DUMMYFUNCTION("""COMPUTED_VALUE"""),517975.88690000004)</f>
        <v>517975.8869</v>
      </c>
      <c r="I4223" s="24">
        <f>IFERROR(__xludf.DUMMYFUNCTION("""COMPUTED_VALUE"""),0.03595177380000014)</f>
        <v>0.0359517738</v>
      </c>
    </row>
    <row r="4224">
      <c r="A4224" s="5" t="str">
        <f>IFERROR(__xludf.DUMMYFUNCTION("""COMPUTED_VALUE"""),"46600")</f>
        <v>46600</v>
      </c>
      <c r="B4224" s="64">
        <f>IFERROR(__xludf.DUMMYFUNCTION("""COMPUTED_VALUE"""),44662.0)</f>
        <v>44662</v>
      </c>
      <c r="C4224" s="5"/>
      <c r="D4224" s="5"/>
      <c r="E4224" s="5"/>
      <c r="F4224" s="22">
        <f>IFERROR(__xludf.DUMMYFUNCTION("""COMPUTED_VALUE"""),116897.26400000002)</f>
        <v>116897.264</v>
      </c>
      <c r="G4224" s="22">
        <f>IFERROR(__xludf.DUMMYFUNCTION("""COMPUTED_VALUE"""),0.0)</f>
        <v>0</v>
      </c>
      <c r="H4224" s="22">
        <f>IFERROR(__xludf.DUMMYFUNCTION("""COMPUTED_VALUE"""),509593.27150000003)</f>
        <v>509593.2715</v>
      </c>
      <c r="I4224" s="24">
        <f>IFERROR(__xludf.DUMMYFUNCTION("""COMPUTED_VALUE"""),0.019186543)</f>
        <v>0.019186543</v>
      </c>
    </row>
    <row r="4225">
      <c r="A4225" s="5" t="str">
        <f>IFERROR(__xludf.DUMMYFUNCTION("""COMPUTED_VALUE"""),"46600")</f>
        <v>46600</v>
      </c>
      <c r="B4225" s="64">
        <f>IFERROR(__xludf.DUMMYFUNCTION("""COMPUTED_VALUE"""),44663.0)</f>
        <v>44663</v>
      </c>
      <c r="C4225" s="5"/>
      <c r="D4225" s="5"/>
      <c r="E4225" s="5"/>
      <c r="F4225" s="22">
        <f>IFERROR(__xludf.DUMMYFUNCTION("""COMPUTED_VALUE"""),116897.26400000002)</f>
        <v>116897.264</v>
      </c>
      <c r="G4225" s="22">
        <f>IFERROR(__xludf.DUMMYFUNCTION("""COMPUTED_VALUE"""),0.0)</f>
        <v>0</v>
      </c>
      <c r="H4225" s="22">
        <f>IFERROR(__xludf.DUMMYFUNCTION("""COMPUTED_VALUE"""),515136.9686)</f>
        <v>515136.9686</v>
      </c>
      <c r="I4225" s="24">
        <f>IFERROR(__xludf.DUMMYFUNCTION("""COMPUTED_VALUE"""),0.030273937200000045)</f>
        <v>0.0302739372</v>
      </c>
    </row>
    <row r="4226">
      <c r="A4226" s="5" t="str">
        <f>IFERROR(__xludf.DUMMYFUNCTION("""COMPUTED_VALUE"""),"46699")</f>
        <v>46699</v>
      </c>
      <c r="B4226" s="64">
        <f>IFERROR(__xludf.DUMMYFUNCTION("""COMPUTED_VALUE"""),44597.0)</f>
        <v>44597</v>
      </c>
      <c r="C4226" s="5"/>
      <c r="D4226" s="5"/>
      <c r="E4226" s="5"/>
      <c r="F4226" s="22">
        <f>IFERROR(__xludf.DUMMYFUNCTION("""COMPUTED_VALUE"""),500000.0)</f>
        <v>500000</v>
      </c>
      <c r="G4226" s="22">
        <f>IFERROR(__xludf.DUMMYFUNCTION("""COMPUTED_VALUE"""),0.0)</f>
        <v>0</v>
      </c>
      <c r="H4226" s="22">
        <f>IFERROR(__xludf.DUMMYFUNCTION("""COMPUTED_VALUE"""),500000.0)</f>
        <v>500000</v>
      </c>
      <c r="I4226" s="24">
        <f>IFERROR(__xludf.DUMMYFUNCTION("""COMPUTED_VALUE"""),0.0)</f>
        <v>0</v>
      </c>
    </row>
    <row r="4227">
      <c r="A4227" s="5" t="str">
        <f>IFERROR(__xludf.DUMMYFUNCTION("""COMPUTED_VALUE"""),"46699")</f>
        <v>46699</v>
      </c>
      <c r="B4227" s="64">
        <f>IFERROR(__xludf.DUMMYFUNCTION("""COMPUTED_VALUE"""),44598.0)</f>
        <v>44598</v>
      </c>
      <c r="C4227" s="5"/>
      <c r="D4227" s="5"/>
      <c r="E4227" s="5"/>
      <c r="F4227" s="22">
        <f>IFERROR(__xludf.DUMMYFUNCTION("""COMPUTED_VALUE"""),500000.0)</f>
        <v>500000</v>
      </c>
      <c r="G4227" s="22">
        <f>IFERROR(__xludf.DUMMYFUNCTION("""COMPUTED_VALUE"""),0.0)</f>
        <v>0</v>
      </c>
      <c r="H4227" s="22">
        <f>IFERROR(__xludf.DUMMYFUNCTION("""COMPUTED_VALUE"""),500000.0)</f>
        <v>500000</v>
      </c>
      <c r="I4227" s="24">
        <f>IFERROR(__xludf.DUMMYFUNCTION("""COMPUTED_VALUE"""),0.0)</f>
        <v>0</v>
      </c>
    </row>
    <row r="4228">
      <c r="A4228" s="5" t="str">
        <f>IFERROR(__xludf.DUMMYFUNCTION("""COMPUTED_VALUE"""),"46699")</f>
        <v>46699</v>
      </c>
      <c r="B4228" s="64">
        <f>IFERROR(__xludf.DUMMYFUNCTION("""COMPUTED_VALUE"""),44599.0)</f>
        <v>44599</v>
      </c>
      <c r="C4228" s="5"/>
      <c r="D4228" s="5"/>
      <c r="E4228" s="5"/>
      <c r="F4228" s="22">
        <f>IFERROR(__xludf.DUMMYFUNCTION("""COMPUTED_VALUE"""),500000.0)</f>
        <v>500000</v>
      </c>
      <c r="G4228" s="22">
        <f>IFERROR(__xludf.DUMMYFUNCTION("""COMPUTED_VALUE"""),0.0)</f>
        <v>0</v>
      </c>
      <c r="H4228" s="22">
        <f>IFERROR(__xludf.DUMMYFUNCTION("""COMPUTED_VALUE"""),500000.0)</f>
        <v>500000</v>
      </c>
      <c r="I4228" s="24">
        <f>IFERROR(__xludf.DUMMYFUNCTION("""COMPUTED_VALUE"""),0.0)</f>
        <v>0</v>
      </c>
    </row>
    <row r="4229">
      <c r="A4229" s="5" t="str">
        <f>IFERROR(__xludf.DUMMYFUNCTION("""COMPUTED_VALUE"""),"46699")</f>
        <v>46699</v>
      </c>
      <c r="B4229" s="64">
        <f>IFERROR(__xludf.DUMMYFUNCTION("""COMPUTED_VALUE"""),44600.0)</f>
        <v>44600</v>
      </c>
      <c r="C4229" s="5"/>
      <c r="D4229" s="5"/>
      <c r="E4229" s="5"/>
      <c r="F4229" s="22">
        <f>IFERROR(__xludf.DUMMYFUNCTION("""COMPUTED_VALUE"""),500000.0)</f>
        <v>500000</v>
      </c>
      <c r="G4229" s="22">
        <f>IFERROR(__xludf.DUMMYFUNCTION("""COMPUTED_VALUE"""),0.0)</f>
        <v>0</v>
      </c>
      <c r="H4229" s="22">
        <f>IFERROR(__xludf.DUMMYFUNCTION("""COMPUTED_VALUE"""),500000.0)</f>
        <v>500000</v>
      </c>
      <c r="I4229" s="24">
        <f>IFERROR(__xludf.DUMMYFUNCTION("""COMPUTED_VALUE"""),0.0)</f>
        <v>0</v>
      </c>
    </row>
    <row r="4230">
      <c r="A4230" s="5" t="str">
        <f>IFERROR(__xludf.DUMMYFUNCTION("""COMPUTED_VALUE"""),"46699")</f>
        <v>46699</v>
      </c>
      <c r="B4230" s="64">
        <f>IFERROR(__xludf.DUMMYFUNCTION("""COMPUTED_VALUE"""),44601.0)</f>
        <v>44601</v>
      </c>
      <c r="C4230" s="5"/>
      <c r="D4230" s="5"/>
      <c r="E4230" s="5"/>
      <c r="F4230" s="22">
        <f>IFERROR(__xludf.DUMMYFUNCTION("""COMPUTED_VALUE"""),500000.0)</f>
        <v>500000</v>
      </c>
      <c r="G4230" s="22">
        <f>IFERROR(__xludf.DUMMYFUNCTION("""COMPUTED_VALUE"""),0.0)</f>
        <v>0</v>
      </c>
      <c r="H4230" s="22">
        <f>IFERROR(__xludf.DUMMYFUNCTION("""COMPUTED_VALUE"""),500226.012805)</f>
        <v>500226.0128</v>
      </c>
      <c r="I4230" s="24">
        <f>IFERROR(__xludf.DUMMYFUNCTION("""COMPUTED_VALUE"""),4.520256100000175E-4)</f>
        <v>0.00045202561</v>
      </c>
    </row>
    <row r="4231">
      <c r="A4231" s="5" t="str">
        <f>IFERROR(__xludf.DUMMYFUNCTION("""COMPUTED_VALUE"""),"46699")</f>
        <v>46699</v>
      </c>
      <c r="B4231" s="64">
        <f>IFERROR(__xludf.DUMMYFUNCTION("""COMPUTED_VALUE"""),44602.0)</f>
        <v>44602</v>
      </c>
      <c r="C4231" s="5"/>
      <c r="D4231" s="5"/>
      <c r="E4231" s="5"/>
      <c r="F4231" s="22">
        <f>IFERROR(__xludf.DUMMYFUNCTION("""COMPUTED_VALUE"""),500000.0)</f>
        <v>500000</v>
      </c>
      <c r="G4231" s="22">
        <f>IFERROR(__xludf.DUMMYFUNCTION("""COMPUTED_VALUE"""),0.0)</f>
        <v>0</v>
      </c>
      <c r="H4231" s="22">
        <f>IFERROR(__xludf.DUMMYFUNCTION("""COMPUTED_VALUE"""),499577.589861)</f>
        <v>499577.5899</v>
      </c>
      <c r="I4231" s="24">
        <f>IFERROR(__xludf.DUMMYFUNCTION("""COMPUTED_VALUE"""),-8.448202779999248E-4)</f>
        <v>-0.000844820278</v>
      </c>
    </row>
    <row r="4232">
      <c r="A4232" s="5" t="str">
        <f>IFERROR(__xludf.DUMMYFUNCTION("""COMPUTED_VALUE"""),"46699")</f>
        <v>46699</v>
      </c>
      <c r="B4232" s="64">
        <f>IFERROR(__xludf.DUMMYFUNCTION("""COMPUTED_VALUE"""),44603.0)</f>
        <v>44603</v>
      </c>
      <c r="C4232" s="5"/>
      <c r="D4232" s="5"/>
      <c r="E4232" s="5"/>
      <c r="F4232" s="22">
        <f>IFERROR(__xludf.DUMMYFUNCTION("""COMPUTED_VALUE"""),411700.934846)</f>
        <v>411700.9348</v>
      </c>
      <c r="G4232" s="22">
        <f>IFERROR(__xludf.DUMMYFUNCTION("""COMPUTED_VALUE"""),0.0)</f>
        <v>0</v>
      </c>
      <c r="H4232" s="22">
        <f>IFERROR(__xludf.DUMMYFUNCTION("""COMPUTED_VALUE"""),499035.159129)</f>
        <v>499035.1591</v>
      </c>
      <c r="I4232" s="24">
        <f>IFERROR(__xludf.DUMMYFUNCTION("""COMPUTED_VALUE"""),-0.0019296817420000334)</f>
        <v>-0.001929681742</v>
      </c>
    </row>
    <row r="4233">
      <c r="A4233" s="5" t="str">
        <f>IFERROR(__xludf.DUMMYFUNCTION("""COMPUTED_VALUE"""),"46699")</f>
        <v>46699</v>
      </c>
      <c r="B4233" s="64">
        <f>IFERROR(__xludf.DUMMYFUNCTION("""COMPUTED_VALUE"""),44604.0)</f>
        <v>44604</v>
      </c>
      <c r="C4233" s="5"/>
      <c r="D4233" s="5"/>
      <c r="E4233" s="5"/>
      <c r="F4233" s="22">
        <f>IFERROR(__xludf.DUMMYFUNCTION("""COMPUTED_VALUE"""),411700.934846)</f>
        <v>411700.9348</v>
      </c>
      <c r="G4233" s="22">
        <f>IFERROR(__xludf.DUMMYFUNCTION("""COMPUTED_VALUE"""),0.0)</f>
        <v>0</v>
      </c>
      <c r="H4233" s="22">
        <f>IFERROR(__xludf.DUMMYFUNCTION("""COMPUTED_VALUE"""),499035.159129)</f>
        <v>499035.1591</v>
      </c>
      <c r="I4233" s="24">
        <f>IFERROR(__xludf.DUMMYFUNCTION("""COMPUTED_VALUE"""),-0.0019296817420000334)</f>
        <v>-0.001929681742</v>
      </c>
    </row>
    <row r="4234">
      <c r="A4234" s="5" t="str">
        <f>IFERROR(__xludf.DUMMYFUNCTION("""COMPUTED_VALUE"""),"46699")</f>
        <v>46699</v>
      </c>
      <c r="B4234" s="64">
        <f>IFERROR(__xludf.DUMMYFUNCTION("""COMPUTED_VALUE"""),44605.0)</f>
        <v>44605</v>
      </c>
      <c r="C4234" s="5"/>
      <c r="D4234" s="5"/>
      <c r="E4234" s="5"/>
      <c r="F4234" s="22">
        <f>IFERROR(__xludf.DUMMYFUNCTION("""COMPUTED_VALUE"""),411700.934846)</f>
        <v>411700.9348</v>
      </c>
      <c r="G4234" s="22">
        <f>IFERROR(__xludf.DUMMYFUNCTION("""COMPUTED_VALUE"""),0.0)</f>
        <v>0</v>
      </c>
      <c r="H4234" s="22">
        <f>IFERROR(__xludf.DUMMYFUNCTION("""COMPUTED_VALUE"""),499035.159129)</f>
        <v>499035.1591</v>
      </c>
      <c r="I4234" s="24">
        <f>IFERROR(__xludf.DUMMYFUNCTION("""COMPUTED_VALUE"""),-0.0019296817420000334)</f>
        <v>-0.001929681742</v>
      </c>
    </row>
    <row r="4235">
      <c r="A4235" s="5" t="str">
        <f>IFERROR(__xludf.DUMMYFUNCTION("""COMPUTED_VALUE"""),"46699")</f>
        <v>46699</v>
      </c>
      <c r="B4235" s="64">
        <f>IFERROR(__xludf.DUMMYFUNCTION("""COMPUTED_VALUE"""),44606.0)</f>
        <v>44606</v>
      </c>
      <c r="C4235" s="5"/>
      <c r="D4235" s="5"/>
      <c r="E4235" s="5"/>
      <c r="F4235" s="22">
        <f>IFERROR(__xludf.DUMMYFUNCTION("""COMPUTED_VALUE"""),411700.934846)</f>
        <v>411700.9348</v>
      </c>
      <c r="G4235" s="22">
        <f>IFERROR(__xludf.DUMMYFUNCTION("""COMPUTED_VALUE"""),0.0)</f>
        <v>0</v>
      </c>
      <c r="H4235" s="22">
        <f>IFERROR(__xludf.DUMMYFUNCTION("""COMPUTED_VALUE"""),499893.179167)</f>
        <v>499893.1792</v>
      </c>
      <c r="I4235" s="24">
        <f>IFERROR(__xludf.DUMMYFUNCTION("""COMPUTED_VALUE"""),-2.1364166600001955E-4)</f>
        <v>-0.000213641666</v>
      </c>
    </row>
    <row r="4236">
      <c r="A4236" s="5" t="str">
        <f>IFERROR(__xludf.DUMMYFUNCTION("""COMPUTED_VALUE"""),"46699")</f>
        <v>46699</v>
      </c>
      <c r="B4236" s="64">
        <f>IFERROR(__xludf.DUMMYFUNCTION("""COMPUTED_VALUE"""),44607.0)</f>
        <v>44607</v>
      </c>
      <c r="C4236" s="5"/>
      <c r="D4236" s="5"/>
      <c r="E4236" s="5"/>
      <c r="F4236" s="22">
        <f>IFERROR(__xludf.DUMMYFUNCTION("""COMPUTED_VALUE"""),411700.934846)</f>
        <v>411700.9348</v>
      </c>
      <c r="G4236" s="22">
        <f>IFERROR(__xludf.DUMMYFUNCTION("""COMPUTED_VALUE"""),0.0)</f>
        <v>0</v>
      </c>
      <c r="H4236" s="22">
        <f>IFERROR(__xludf.DUMMYFUNCTION("""COMPUTED_VALUE"""),502201.580019)</f>
        <v>502201.58</v>
      </c>
      <c r="I4236" s="24">
        <f>IFERROR(__xludf.DUMMYFUNCTION("""COMPUTED_VALUE"""),0.004403160037999898)</f>
        <v>0.004403160038</v>
      </c>
    </row>
    <row r="4237">
      <c r="A4237" s="5" t="str">
        <f>IFERROR(__xludf.DUMMYFUNCTION("""COMPUTED_VALUE"""),"46699")</f>
        <v>46699</v>
      </c>
      <c r="B4237" s="64">
        <f>IFERROR(__xludf.DUMMYFUNCTION("""COMPUTED_VALUE"""),44608.0)</f>
        <v>44608</v>
      </c>
      <c r="C4237" s="5"/>
      <c r="D4237" s="5"/>
      <c r="E4237" s="5"/>
      <c r="F4237" s="22">
        <f>IFERROR(__xludf.DUMMYFUNCTION("""COMPUTED_VALUE"""),411700.934846)</f>
        <v>411700.9348</v>
      </c>
      <c r="G4237" s="22">
        <f>IFERROR(__xludf.DUMMYFUNCTION("""COMPUTED_VALUE"""),0.0)</f>
        <v>0</v>
      </c>
      <c r="H4237" s="22">
        <f>IFERROR(__xludf.DUMMYFUNCTION("""COMPUTED_VALUE"""),500700.80001700006)</f>
        <v>500700.8</v>
      </c>
      <c r="I4237" s="24">
        <f>IFERROR(__xludf.DUMMYFUNCTION("""COMPUTED_VALUE"""),0.0014016000340000279)</f>
        <v>0.001401600034</v>
      </c>
    </row>
    <row r="4238">
      <c r="A4238" s="5" t="str">
        <f>IFERROR(__xludf.DUMMYFUNCTION("""COMPUTED_VALUE"""),"46699")</f>
        <v>46699</v>
      </c>
      <c r="B4238" s="64">
        <f>IFERROR(__xludf.DUMMYFUNCTION("""COMPUTED_VALUE"""),44609.0)</f>
        <v>44609</v>
      </c>
      <c r="C4238" s="5"/>
      <c r="D4238" s="5"/>
      <c r="E4238" s="5"/>
      <c r="F4238" s="22">
        <f>IFERROR(__xludf.DUMMYFUNCTION("""COMPUTED_VALUE"""),411700.934846)</f>
        <v>411700.9348</v>
      </c>
      <c r="G4238" s="22">
        <f>IFERROR(__xludf.DUMMYFUNCTION("""COMPUTED_VALUE"""),0.0)</f>
        <v>0</v>
      </c>
      <c r="H4238" s="22">
        <f>IFERROR(__xludf.DUMMYFUNCTION("""COMPUTED_VALUE"""),498348.683137)</f>
        <v>498348.6831</v>
      </c>
      <c r="I4238" s="24">
        <f>IFERROR(__xludf.DUMMYFUNCTION("""COMPUTED_VALUE"""),-0.003302633725999926)</f>
        <v>-0.003302633726</v>
      </c>
    </row>
    <row r="4239">
      <c r="A4239" s="5" t="str">
        <f>IFERROR(__xludf.DUMMYFUNCTION("""COMPUTED_VALUE"""),"46699")</f>
        <v>46699</v>
      </c>
      <c r="B4239" s="64">
        <f>IFERROR(__xludf.DUMMYFUNCTION("""COMPUTED_VALUE"""),44610.0)</f>
        <v>44610</v>
      </c>
      <c r="C4239" s="5"/>
      <c r="D4239" s="5"/>
      <c r="E4239" s="5"/>
      <c r="F4239" s="22">
        <f>IFERROR(__xludf.DUMMYFUNCTION("""COMPUTED_VALUE"""),411700.934846)</f>
        <v>411700.9348</v>
      </c>
      <c r="G4239" s="22">
        <f>IFERROR(__xludf.DUMMYFUNCTION("""COMPUTED_VALUE"""),0.0)</f>
        <v>0</v>
      </c>
      <c r="H4239" s="22">
        <f>IFERROR(__xludf.DUMMYFUNCTION("""COMPUTED_VALUE"""),498823.171929)</f>
        <v>498823.1719</v>
      </c>
      <c r="I4239" s="24">
        <f>IFERROR(__xludf.DUMMYFUNCTION("""COMPUTED_VALUE"""),-0.0023536561420000046)</f>
        <v>-0.002353656142</v>
      </c>
    </row>
    <row r="4240">
      <c r="A4240" s="5" t="str">
        <f>IFERROR(__xludf.DUMMYFUNCTION("""COMPUTED_VALUE"""),"46699")</f>
        <v>46699</v>
      </c>
      <c r="B4240" s="64">
        <f>IFERROR(__xludf.DUMMYFUNCTION("""COMPUTED_VALUE"""),44611.0)</f>
        <v>44611</v>
      </c>
      <c r="C4240" s="5"/>
      <c r="D4240" s="5"/>
      <c r="E4240" s="5"/>
      <c r="F4240" s="22">
        <f>IFERROR(__xludf.DUMMYFUNCTION("""COMPUTED_VALUE"""),411700.934846)</f>
        <v>411700.9348</v>
      </c>
      <c r="G4240" s="22">
        <f>IFERROR(__xludf.DUMMYFUNCTION("""COMPUTED_VALUE"""),0.0)</f>
        <v>0</v>
      </c>
      <c r="H4240" s="22">
        <f>IFERROR(__xludf.DUMMYFUNCTION("""COMPUTED_VALUE"""),498823.171929)</f>
        <v>498823.1719</v>
      </c>
      <c r="I4240" s="24">
        <f>IFERROR(__xludf.DUMMYFUNCTION("""COMPUTED_VALUE"""),-0.0023536561420000046)</f>
        <v>-0.002353656142</v>
      </c>
    </row>
    <row r="4241">
      <c r="A4241" s="5" t="str">
        <f>IFERROR(__xludf.DUMMYFUNCTION("""COMPUTED_VALUE"""),"46699")</f>
        <v>46699</v>
      </c>
      <c r="B4241" s="64">
        <f>IFERROR(__xludf.DUMMYFUNCTION("""COMPUTED_VALUE"""),44612.0)</f>
        <v>44612</v>
      </c>
      <c r="C4241" s="5"/>
      <c r="D4241" s="5"/>
      <c r="E4241" s="5"/>
      <c r="F4241" s="22">
        <f>IFERROR(__xludf.DUMMYFUNCTION("""COMPUTED_VALUE"""),411700.934846)</f>
        <v>411700.9348</v>
      </c>
      <c r="G4241" s="22">
        <f>IFERROR(__xludf.DUMMYFUNCTION("""COMPUTED_VALUE"""),0.0)</f>
        <v>0</v>
      </c>
      <c r="H4241" s="22">
        <f>IFERROR(__xludf.DUMMYFUNCTION("""COMPUTED_VALUE"""),498823.171929)</f>
        <v>498823.1719</v>
      </c>
      <c r="I4241" s="24">
        <f>IFERROR(__xludf.DUMMYFUNCTION("""COMPUTED_VALUE"""),-0.0023536561420000046)</f>
        <v>-0.002353656142</v>
      </c>
    </row>
    <row r="4242">
      <c r="A4242" s="5" t="str">
        <f>IFERROR(__xludf.DUMMYFUNCTION("""COMPUTED_VALUE"""),"46699")</f>
        <v>46699</v>
      </c>
      <c r="B4242" s="64">
        <f>IFERROR(__xludf.DUMMYFUNCTION("""COMPUTED_VALUE"""),44613.0)</f>
        <v>44613</v>
      </c>
      <c r="C4242" s="5"/>
      <c r="D4242" s="5"/>
      <c r="E4242" s="5"/>
      <c r="F4242" s="22">
        <f>IFERROR(__xludf.DUMMYFUNCTION("""COMPUTED_VALUE"""),411700.934846)</f>
        <v>411700.9348</v>
      </c>
      <c r="G4242" s="22">
        <f>IFERROR(__xludf.DUMMYFUNCTION("""COMPUTED_VALUE"""),0.0)</f>
        <v>0</v>
      </c>
      <c r="H4242" s="22">
        <f>IFERROR(__xludf.DUMMYFUNCTION("""COMPUTED_VALUE"""),498823.171929)</f>
        <v>498823.1719</v>
      </c>
      <c r="I4242" s="24">
        <f>IFERROR(__xludf.DUMMYFUNCTION("""COMPUTED_VALUE"""),-0.0023536561420000046)</f>
        <v>-0.002353656142</v>
      </c>
    </row>
    <row r="4243">
      <c r="A4243" s="5" t="str">
        <f>IFERROR(__xludf.DUMMYFUNCTION("""COMPUTED_VALUE"""),"46699")</f>
        <v>46699</v>
      </c>
      <c r="B4243" s="64">
        <f>IFERROR(__xludf.DUMMYFUNCTION("""COMPUTED_VALUE"""),44614.0)</f>
        <v>44614</v>
      </c>
      <c r="C4243" s="5"/>
      <c r="D4243" s="5"/>
      <c r="E4243" s="5"/>
      <c r="F4243" s="22">
        <f>IFERROR(__xludf.DUMMYFUNCTION("""COMPUTED_VALUE"""),411700.934846)</f>
        <v>411700.9348</v>
      </c>
      <c r="G4243" s="22">
        <f>IFERROR(__xludf.DUMMYFUNCTION("""COMPUTED_VALUE"""),0.0)</f>
        <v>0</v>
      </c>
      <c r="H4243" s="22">
        <f>IFERROR(__xludf.DUMMYFUNCTION("""COMPUTED_VALUE"""),496188.58171999996)</f>
        <v>496188.5817</v>
      </c>
      <c r="I4243" s="24">
        <f>IFERROR(__xludf.DUMMYFUNCTION("""COMPUTED_VALUE"""),-0.007622836560000068)</f>
        <v>-0.00762283656</v>
      </c>
    </row>
    <row r="4244">
      <c r="A4244" s="5" t="str">
        <f>IFERROR(__xludf.DUMMYFUNCTION("""COMPUTED_VALUE"""),"46699")</f>
        <v>46699</v>
      </c>
      <c r="B4244" s="64">
        <f>IFERROR(__xludf.DUMMYFUNCTION("""COMPUTED_VALUE"""),44615.0)</f>
        <v>44615</v>
      </c>
      <c r="C4244" s="5"/>
      <c r="D4244" s="5"/>
      <c r="E4244" s="5"/>
      <c r="F4244" s="22">
        <f>IFERROR(__xludf.DUMMYFUNCTION("""COMPUTED_VALUE"""),411700.934846)</f>
        <v>411700.9348</v>
      </c>
      <c r="G4244" s="22">
        <f>IFERROR(__xludf.DUMMYFUNCTION("""COMPUTED_VALUE"""),0.0)</f>
        <v>0</v>
      </c>
      <c r="H4244" s="22">
        <f>IFERROR(__xludf.DUMMYFUNCTION("""COMPUTED_VALUE"""),493978.514171)</f>
        <v>493978.5142</v>
      </c>
      <c r="I4244" s="24">
        <f>IFERROR(__xludf.DUMMYFUNCTION("""COMPUTED_VALUE"""),-0.012042971658000057)</f>
        <v>-0.01204297166</v>
      </c>
    </row>
    <row r="4245">
      <c r="A4245" s="5" t="str">
        <f>IFERROR(__xludf.DUMMYFUNCTION("""COMPUTED_VALUE"""),"46699")</f>
        <v>46699</v>
      </c>
      <c r="B4245" s="64">
        <f>IFERROR(__xludf.DUMMYFUNCTION("""COMPUTED_VALUE"""),44616.0)</f>
        <v>44616</v>
      </c>
      <c r="C4245" s="5"/>
      <c r="D4245" s="5"/>
      <c r="E4245" s="5"/>
      <c r="F4245" s="22">
        <f>IFERROR(__xludf.DUMMYFUNCTION("""COMPUTED_VALUE"""),411700.934846)</f>
        <v>411700.9348</v>
      </c>
      <c r="G4245" s="22">
        <f>IFERROR(__xludf.DUMMYFUNCTION("""COMPUTED_VALUE"""),0.0)</f>
        <v>0</v>
      </c>
      <c r="H4245" s="22">
        <f>IFERROR(__xludf.DUMMYFUNCTION("""COMPUTED_VALUE"""),497915.828403)</f>
        <v>497915.8284</v>
      </c>
      <c r="I4245" s="24">
        <f>IFERROR(__xludf.DUMMYFUNCTION("""COMPUTED_VALUE"""),-0.004168343193999946)</f>
        <v>-0.004168343194</v>
      </c>
    </row>
    <row r="4246">
      <c r="A4246" s="5" t="str">
        <f>IFERROR(__xludf.DUMMYFUNCTION("""COMPUTED_VALUE"""),"46699")</f>
        <v>46699</v>
      </c>
      <c r="B4246" s="64">
        <f>IFERROR(__xludf.DUMMYFUNCTION("""COMPUTED_VALUE"""),44617.0)</f>
        <v>44617</v>
      </c>
      <c r="C4246" s="5"/>
      <c r="D4246" s="5"/>
      <c r="E4246" s="5"/>
      <c r="F4246" s="22">
        <f>IFERROR(__xludf.DUMMYFUNCTION("""COMPUTED_VALUE"""),411700.934846)</f>
        <v>411700.9348</v>
      </c>
      <c r="G4246" s="22">
        <f>IFERROR(__xludf.DUMMYFUNCTION("""COMPUTED_VALUE"""),0.0)</f>
        <v>0</v>
      </c>
      <c r="H4246" s="22">
        <f>IFERROR(__xludf.DUMMYFUNCTION("""COMPUTED_VALUE"""),498364.843471)</f>
        <v>498364.8435</v>
      </c>
      <c r="I4246" s="24">
        <f>IFERROR(__xludf.DUMMYFUNCTION("""COMPUTED_VALUE"""),-0.003270313058000074)</f>
        <v>-0.003270313058</v>
      </c>
    </row>
    <row r="4247">
      <c r="A4247" s="5" t="str">
        <f>IFERROR(__xludf.DUMMYFUNCTION("""COMPUTED_VALUE"""),"46699")</f>
        <v>46699</v>
      </c>
      <c r="B4247" s="64">
        <f>IFERROR(__xludf.DUMMYFUNCTION("""COMPUTED_VALUE"""),44618.0)</f>
        <v>44618</v>
      </c>
      <c r="C4247" s="5"/>
      <c r="D4247" s="5"/>
      <c r="E4247" s="5"/>
      <c r="F4247" s="22">
        <f>IFERROR(__xludf.DUMMYFUNCTION("""COMPUTED_VALUE"""),411700.934846)</f>
        <v>411700.9348</v>
      </c>
      <c r="G4247" s="22">
        <f>IFERROR(__xludf.DUMMYFUNCTION("""COMPUTED_VALUE"""),0.0)</f>
        <v>0</v>
      </c>
      <c r="H4247" s="22">
        <f>IFERROR(__xludf.DUMMYFUNCTION("""COMPUTED_VALUE"""),498364.843471)</f>
        <v>498364.8435</v>
      </c>
      <c r="I4247" s="24">
        <f>IFERROR(__xludf.DUMMYFUNCTION("""COMPUTED_VALUE"""),-0.003270313058000074)</f>
        <v>-0.003270313058</v>
      </c>
    </row>
    <row r="4248">
      <c r="A4248" s="5" t="str">
        <f>IFERROR(__xludf.DUMMYFUNCTION("""COMPUTED_VALUE"""),"46699")</f>
        <v>46699</v>
      </c>
      <c r="B4248" s="64">
        <f>IFERROR(__xludf.DUMMYFUNCTION("""COMPUTED_VALUE"""),44619.0)</f>
        <v>44619</v>
      </c>
      <c r="C4248" s="5"/>
      <c r="D4248" s="5"/>
      <c r="E4248" s="5"/>
      <c r="F4248" s="22">
        <f>IFERROR(__xludf.DUMMYFUNCTION("""COMPUTED_VALUE"""),411700.934846)</f>
        <v>411700.9348</v>
      </c>
      <c r="G4248" s="22">
        <f>IFERROR(__xludf.DUMMYFUNCTION("""COMPUTED_VALUE"""),0.0)</f>
        <v>0</v>
      </c>
      <c r="H4248" s="22">
        <f>IFERROR(__xludf.DUMMYFUNCTION("""COMPUTED_VALUE"""),498364.843471)</f>
        <v>498364.8435</v>
      </c>
      <c r="I4248" s="24">
        <f>IFERROR(__xludf.DUMMYFUNCTION("""COMPUTED_VALUE"""),-0.003270313058000074)</f>
        <v>-0.003270313058</v>
      </c>
    </row>
    <row r="4249">
      <c r="A4249" s="5" t="str">
        <f>IFERROR(__xludf.DUMMYFUNCTION("""COMPUTED_VALUE"""),"46699")</f>
        <v>46699</v>
      </c>
      <c r="B4249" s="64">
        <f>IFERROR(__xludf.DUMMYFUNCTION("""COMPUTED_VALUE"""),44620.0)</f>
        <v>44620</v>
      </c>
      <c r="C4249" s="5"/>
      <c r="D4249" s="5"/>
      <c r="E4249" s="5"/>
      <c r="F4249" s="22">
        <f>IFERROR(__xludf.DUMMYFUNCTION("""COMPUTED_VALUE"""),411700.934846)</f>
        <v>411700.9348</v>
      </c>
      <c r="G4249" s="22">
        <f>IFERROR(__xludf.DUMMYFUNCTION("""COMPUTED_VALUE"""),0.0)</f>
        <v>0</v>
      </c>
      <c r="H4249" s="22">
        <f>IFERROR(__xludf.DUMMYFUNCTION("""COMPUTED_VALUE"""),498987.28469799994)</f>
        <v>498987.2847</v>
      </c>
      <c r="I4249" s="24">
        <f>IFERROR(__xludf.DUMMYFUNCTION("""COMPUTED_VALUE"""),-0.002025430604000067)</f>
        <v>-0.002025430604</v>
      </c>
    </row>
    <row r="4250">
      <c r="A4250" s="5" t="str">
        <f>IFERROR(__xludf.DUMMYFUNCTION("""COMPUTED_VALUE"""),"46699")</f>
        <v>46699</v>
      </c>
      <c r="B4250" s="64">
        <f>IFERROR(__xludf.DUMMYFUNCTION("""COMPUTED_VALUE"""),44621.0)</f>
        <v>44621</v>
      </c>
      <c r="C4250" s="5"/>
      <c r="D4250" s="5"/>
      <c r="E4250" s="5"/>
      <c r="F4250" s="22">
        <f>IFERROR(__xludf.DUMMYFUNCTION("""COMPUTED_VALUE"""),411700.934846)</f>
        <v>411700.9348</v>
      </c>
      <c r="G4250" s="22">
        <f>IFERROR(__xludf.DUMMYFUNCTION("""COMPUTED_VALUE"""),0.0)</f>
        <v>0</v>
      </c>
      <c r="H4250" s="22">
        <f>IFERROR(__xludf.DUMMYFUNCTION("""COMPUTED_VALUE"""),497396.252254)</f>
        <v>497396.2523</v>
      </c>
      <c r="I4250" s="24">
        <f>IFERROR(__xludf.DUMMYFUNCTION("""COMPUTED_VALUE"""),-0.005207495492000058)</f>
        <v>-0.005207495492</v>
      </c>
    </row>
    <row r="4251">
      <c r="A4251" s="5" t="str">
        <f>IFERROR(__xludf.DUMMYFUNCTION("""COMPUTED_VALUE"""),"46699")</f>
        <v>46699</v>
      </c>
      <c r="B4251" s="64">
        <f>IFERROR(__xludf.DUMMYFUNCTION("""COMPUTED_VALUE"""),44622.0)</f>
        <v>44622</v>
      </c>
      <c r="C4251" s="5"/>
      <c r="D4251" s="5"/>
      <c r="E4251" s="5"/>
      <c r="F4251" s="22">
        <f>IFERROR(__xludf.DUMMYFUNCTION("""COMPUTED_VALUE"""),411700.934846)</f>
        <v>411700.9348</v>
      </c>
      <c r="G4251" s="22">
        <f>IFERROR(__xludf.DUMMYFUNCTION("""COMPUTED_VALUE"""),0.0)</f>
        <v>0</v>
      </c>
      <c r="H4251" s="22">
        <f>IFERROR(__xludf.DUMMYFUNCTION("""COMPUTED_VALUE"""),496951.15824099997)</f>
        <v>496951.1582</v>
      </c>
      <c r="I4251" s="24">
        <f>IFERROR(__xludf.DUMMYFUNCTION("""COMPUTED_VALUE"""),-0.006097683518000108)</f>
        <v>-0.006097683518</v>
      </c>
    </row>
    <row r="4252">
      <c r="A4252" s="5" t="str">
        <f>IFERROR(__xludf.DUMMYFUNCTION("""COMPUTED_VALUE"""),"46699")</f>
        <v>46699</v>
      </c>
      <c r="B4252" s="64">
        <f>IFERROR(__xludf.DUMMYFUNCTION("""COMPUTED_VALUE"""),44623.0)</f>
        <v>44623</v>
      </c>
      <c r="C4252" s="5"/>
      <c r="D4252" s="5"/>
      <c r="E4252" s="5"/>
      <c r="F4252" s="22">
        <f>IFERROR(__xludf.DUMMYFUNCTION("""COMPUTED_VALUE"""),411700.934846)</f>
        <v>411700.9348</v>
      </c>
      <c r="G4252" s="22">
        <f>IFERROR(__xludf.DUMMYFUNCTION("""COMPUTED_VALUE"""),0.0)</f>
        <v>0</v>
      </c>
      <c r="H4252" s="22">
        <f>IFERROR(__xludf.DUMMYFUNCTION("""COMPUTED_VALUE"""),495033.84483200003)</f>
        <v>495033.8448</v>
      </c>
      <c r="I4252" s="24">
        <f>IFERROR(__xludf.DUMMYFUNCTION("""COMPUTED_VALUE"""),-0.00993231033599995)</f>
        <v>-0.009932310336</v>
      </c>
    </row>
    <row r="4253">
      <c r="A4253" s="5" t="str">
        <f>IFERROR(__xludf.DUMMYFUNCTION("""COMPUTED_VALUE"""),"46699")</f>
        <v>46699</v>
      </c>
      <c r="B4253" s="64">
        <f>IFERROR(__xludf.DUMMYFUNCTION("""COMPUTED_VALUE"""),44624.0)</f>
        <v>44624</v>
      </c>
      <c r="C4253" s="5"/>
      <c r="D4253" s="5"/>
      <c r="E4253" s="5"/>
      <c r="F4253" s="22">
        <f>IFERROR(__xludf.DUMMYFUNCTION("""COMPUTED_VALUE"""),411700.934846)</f>
        <v>411700.9348</v>
      </c>
      <c r="G4253" s="22">
        <f>IFERROR(__xludf.DUMMYFUNCTION("""COMPUTED_VALUE"""),0.0)</f>
        <v>0</v>
      </c>
      <c r="H4253" s="22">
        <f>IFERROR(__xludf.DUMMYFUNCTION("""COMPUTED_VALUE"""),493567.77838)</f>
        <v>493567.7784</v>
      </c>
      <c r="I4253" s="24">
        <f>IFERROR(__xludf.DUMMYFUNCTION("""COMPUTED_VALUE"""),-0.012864443240000023)</f>
        <v>-0.01286444324</v>
      </c>
    </row>
    <row r="4254">
      <c r="A4254" s="5" t="str">
        <f>IFERROR(__xludf.DUMMYFUNCTION("""COMPUTED_VALUE"""),"46699")</f>
        <v>46699</v>
      </c>
      <c r="B4254" s="64">
        <f>IFERROR(__xludf.DUMMYFUNCTION("""COMPUTED_VALUE"""),44625.0)</f>
        <v>44625</v>
      </c>
      <c r="C4254" s="5"/>
      <c r="D4254" s="5"/>
      <c r="E4254" s="5"/>
      <c r="F4254" s="22">
        <f>IFERROR(__xludf.DUMMYFUNCTION("""COMPUTED_VALUE"""),411700.934846)</f>
        <v>411700.9348</v>
      </c>
      <c r="G4254" s="22">
        <f>IFERROR(__xludf.DUMMYFUNCTION("""COMPUTED_VALUE"""),0.0)</f>
        <v>0</v>
      </c>
      <c r="H4254" s="22">
        <f>IFERROR(__xludf.DUMMYFUNCTION("""COMPUTED_VALUE"""),493567.77838)</f>
        <v>493567.7784</v>
      </c>
      <c r="I4254" s="24">
        <f>IFERROR(__xludf.DUMMYFUNCTION("""COMPUTED_VALUE"""),-0.012864443240000023)</f>
        <v>-0.01286444324</v>
      </c>
    </row>
    <row r="4255">
      <c r="A4255" s="5" t="str">
        <f>IFERROR(__xludf.DUMMYFUNCTION("""COMPUTED_VALUE"""),"46699")</f>
        <v>46699</v>
      </c>
      <c r="B4255" s="64">
        <f>IFERROR(__xludf.DUMMYFUNCTION("""COMPUTED_VALUE"""),44626.0)</f>
        <v>44626</v>
      </c>
      <c r="C4255" s="5"/>
      <c r="D4255" s="5"/>
      <c r="E4255" s="5"/>
      <c r="F4255" s="22">
        <f>IFERROR(__xludf.DUMMYFUNCTION("""COMPUTED_VALUE"""),411700.934846)</f>
        <v>411700.9348</v>
      </c>
      <c r="G4255" s="22">
        <f>IFERROR(__xludf.DUMMYFUNCTION("""COMPUTED_VALUE"""),0.0)</f>
        <v>0</v>
      </c>
      <c r="H4255" s="22">
        <f>IFERROR(__xludf.DUMMYFUNCTION("""COMPUTED_VALUE"""),493567.77838)</f>
        <v>493567.7784</v>
      </c>
      <c r="I4255" s="24">
        <f>IFERROR(__xludf.DUMMYFUNCTION("""COMPUTED_VALUE"""),-0.012864443240000023)</f>
        <v>-0.01286444324</v>
      </c>
    </row>
    <row r="4256">
      <c r="A4256" s="5" t="str">
        <f>IFERROR(__xludf.DUMMYFUNCTION("""COMPUTED_VALUE"""),"46699")</f>
        <v>46699</v>
      </c>
      <c r="B4256" s="64">
        <f>IFERROR(__xludf.DUMMYFUNCTION("""COMPUTED_VALUE"""),44627.0)</f>
        <v>44627</v>
      </c>
      <c r="C4256" s="5"/>
      <c r="D4256" s="5"/>
      <c r="E4256" s="5"/>
      <c r="F4256" s="22">
        <f>IFERROR(__xludf.DUMMYFUNCTION("""COMPUTED_VALUE"""),411700.934846)</f>
        <v>411700.9348</v>
      </c>
      <c r="G4256" s="22">
        <f>IFERROR(__xludf.DUMMYFUNCTION("""COMPUTED_VALUE"""),0.0)</f>
        <v>0</v>
      </c>
      <c r="H4256" s="22">
        <f>IFERROR(__xludf.DUMMYFUNCTION("""COMPUTED_VALUE"""),491175.126738)</f>
        <v>491175.1267</v>
      </c>
      <c r="I4256" s="24">
        <f>IFERROR(__xludf.DUMMYFUNCTION("""COMPUTED_VALUE"""),-0.017649746523999976)</f>
        <v>-0.01764974652</v>
      </c>
    </row>
    <row r="4257">
      <c r="A4257" s="5" t="str">
        <f>IFERROR(__xludf.DUMMYFUNCTION("""COMPUTED_VALUE"""),"46699")</f>
        <v>46699</v>
      </c>
      <c r="B4257" s="64">
        <f>IFERROR(__xludf.DUMMYFUNCTION("""COMPUTED_VALUE"""),44628.0)</f>
        <v>44628</v>
      </c>
      <c r="C4257" s="5"/>
      <c r="D4257" s="5"/>
      <c r="E4257" s="5"/>
      <c r="F4257" s="22">
        <f>IFERROR(__xludf.DUMMYFUNCTION("""COMPUTED_VALUE"""),411700.934846)</f>
        <v>411700.9348</v>
      </c>
      <c r="G4257" s="22">
        <f>IFERROR(__xludf.DUMMYFUNCTION("""COMPUTED_VALUE"""),0.0)</f>
        <v>0</v>
      </c>
      <c r="H4257" s="22">
        <f>IFERROR(__xludf.DUMMYFUNCTION("""COMPUTED_VALUE"""),489559.12441399996)</f>
        <v>489559.1244</v>
      </c>
      <c r="I4257" s="24">
        <f>IFERROR(__xludf.DUMMYFUNCTION("""COMPUTED_VALUE"""),-0.020881751172000085)</f>
        <v>-0.02088175117</v>
      </c>
    </row>
    <row r="4258">
      <c r="A4258" s="5" t="str">
        <f>IFERROR(__xludf.DUMMYFUNCTION("""COMPUTED_VALUE"""),"46699")</f>
        <v>46699</v>
      </c>
      <c r="B4258" s="64">
        <f>IFERROR(__xludf.DUMMYFUNCTION("""COMPUTED_VALUE"""),44629.0)</f>
        <v>44629</v>
      </c>
      <c r="C4258" s="5"/>
      <c r="D4258" s="5"/>
      <c r="E4258" s="5"/>
      <c r="F4258" s="22">
        <f>IFERROR(__xludf.DUMMYFUNCTION("""COMPUTED_VALUE"""),411700.934846)</f>
        <v>411700.9348</v>
      </c>
      <c r="G4258" s="22">
        <f>IFERROR(__xludf.DUMMYFUNCTION("""COMPUTED_VALUE"""),0.0)</f>
        <v>0</v>
      </c>
      <c r="H4258" s="22">
        <f>IFERROR(__xludf.DUMMYFUNCTION("""COMPUTED_VALUE"""),493074.818264)</f>
        <v>493074.8183</v>
      </c>
      <c r="I4258" s="24">
        <f>IFERROR(__xludf.DUMMYFUNCTION("""COMPUTED_VALUE"""),-0.013850363471999971)</f>
        <v>-0.01385036347</v>
      </c>
    </row>
    <row r="4259">
      <c r="A4259" s="5" t="str">
        <f>IFERROR(__xludf.DUMMYFUNCTION("""COMPUTED_VALUE"""),"46699")</f>
        <v>46699</v>
      </c>
      <c r="B4259" s="64">
        <f>IFERROR(__xludf.DUMMYFUNCTION("""COMPUTED_VALUE"""),44630.0)</f>
        <v>44630</v>
      </c>
      <c r="C4259" s="5"/>
      <c r="D4259" s="5"/>
      <c r="E4259" s="5"/>
      <c r="F4259" s="22">
        <f>IFERROR(__xludf.DUMMYFUNCTION("""COMPUTED_VALUE"""),411700.934846)</f>
        <v>411700.9348</v>
      </c>
      <c r="G4259" s="22">
        <f>IFERROR(__xludf.DUMMYFUNCTION("""COMPUTED_VALUE"""),0.0)</f>
        <v>0</v>
      </c>
      <c r="H4259" s="22">
        <f>IFERROR(__xludf.DUMMYFUNCTION("""COMPUTED_VALUE"""),493074.818264)</f>
        <v>493074.8183</v>
      </c>
      <c r="I4259" s="24">
        <f>IFERROR(__xludf.DUMMYFUNCTION("""COMPUTED_VALUE"""),-0.013850363471999971)</f>
        <v>-0.01385036347</v>
      </c>
    </row>
    <row r="4260">
      <c r="A4260" s="5" t="str">
        <f>IFERROR(__xludf.DUMMYFUNCTION("""COMPUTED_VALUE"""),"46699")</f>
        <v>46699</v>
      </c>
      <c r="B4260" s="64">
        <f>IFERROR(__xludf.DUMMYFUNCTION("""COMPUTED_VALUE"""),44631.0)</f>
        <v>44631</v>
      </c>
      <c r="C4260" s="5"/>
      <c r="D4260" s="5"/>
      <c r="E4260" s="5"/>
      <c r="F4260" s="22">
        <f>IFERROR(__xludf.DUMMYFUNCTION("""COMPUTED_VALUE"""),411700.934846)</f>
        <v>411700.9348</v>
      </c>
      <c r="G4260" s="22">
        <f>IFERROR(__xludf.DUMMYFUNCTION("""COMPUTED_VALUE"""),0.0)</f>
        <v>0</v>
      </c>
      <c r="H4260" s="22">
        <f>IFERROR(__xludf.DUMMYFUNCTION("""COMPUTED_VALUE"""),488912.060307)</f>
        <v>488912.0603</v>
      </c>
      <c r="I4260" s="24">
        <f>IFERROR(__xludf.DUMMYFUNCTION("""COMPUTED_VALUE"""),-0.022175879385999964)</f>
        <v>-0.02217587939</v>
      </c>
    </row>
    <row r="4261">
      <c r="A4261" s="5" t="str">
        <f>IFERROR(__xludf.DUMMYFUNCTION("""COMPUTED_VALUE"""),"46699")</f>
        <v>46699</v>
      </c>
      <c r="B4261" s="64">
        <f>IFERROR(__xludf.DUMMYFUNCTION("""COMPUTED_VALUE"""),44632.0)</f>
        <v>44632</v>
      </c>
      <c r="C4261" s="5"/>
      <c r="D4261" s="5"/>
      <c r="E4261" s="5"/>
      <c r="F4261" s="22">
        <f>IFERROR(__xludf.DUMMYFUNCTION("""COMPUTED_VALUE"""),411700.934846)</f>
        <v>411700.9348</v>
      </c>
      <c r="G4261" s="22">
        <f>IFERROR(__xludf.DUMMYFUNCTION("""COMPUTED_VALUE"""),0.0)</f>
        <v>0</v>
      </c>
      <c r="H4261" s="22">
        <f>IFERROR(__xludf.DUMMYFUNCTION("""COMPUTED_VALUE"""),488912.060307)</f>
        <v>488912.0603</v>
      </c>
      <c r="I4261" s="24">
        <f>IFERROR(__xludf.DUMMYFUNCTION("""COMPUTED_VALUE"""),-0.022175879385999964)</f>
        <v>-0.02217587939</v>
      </c>
    </row>
    <row r="4262">
      <c r="A4262" s="5" t="str">
        <f>IFERROR(__xludf.DUMMYFUNCTION("""COMPUTED_VALUE"""),"46699")</f>
        <v>46699</v>
      </c>
      <c r="B4262" s="64">
        <f>IFERROR(__xludf.DUMMYFUNCTION("""COMPUTED_VALUE"""),44633.0)</f>
        <v>44633</v>
      </c>
      <c r="C4262" s="5"/>
      <c r="D4262" s="5"/>
      <c r="E4262" s="5"/>
      <c r="F4262" s="22">
        <f>IFERROR(__xludf.DUMMYFUNCTION("""COMPUTED_VALUE"""),411700.934846)</f>
        <v>411700.9348</v>
      </c>
      <c r="G4262" s="22">
        <f>IFERROR(__xludf.DUMMYFUNCTION("""COMPUTED_VALUE"""),0.0)</f>
        <v>0</v>
      </c>
      <c r="H4262" s="22">
        <f>IFERROR(__xludf.DUMMYFUNCTION("""COMPUTED_VALUE"""),488912.060307)</f>
        <v>488912.0603</v>
      </c>
      <c r="I4262" s="24">
        <f>IFERROR(__xludf.DUMMYFUNCTION("""COMPUTED_VALUE"""),-0.022175879385999964)</f>
        <v>-0.02217587939</v>
      </c>
    </row>
    <row r="4263">
      <c r="A4263" s="5" t="str">
        <f>IFERROR(__xludf.DUMMYFUNCTION("""COMPUTED_VALUE"""),"46699")</f>
        <v>46699</v>
      </c>
      <c r="B4263" s="64">
        <f>IFERROR(__xludf.DUMMYFUNCTION("""COMPUTED_VALUE"""),44634.0)</f>
        <v>44634</v>
      </c>
      <c r="C4263" s="5"/>
      <c r="D4263" s="5"/>
      <c r="E4263" s="5"/>
      <c r="F4263" s="22">
        <f>IFERROR(__xludf.DUMMYFUNCTION("""COMPUTED_VALUE"""),411700.934846)</f>
        <v>411700.9348</v>
      </c>
      <c r="G4263" s="22">
        <f>IFERROR(__xludf.DUMMYFUNCTION("""COMPUTED_VALUE"""),0.0)</f>
        <v>0</v>
      </c>
      <c r="H4263" s="22">
        <f>IFERROR(__xludf.DUMMYFUNCTION("""COMPUTED_VALUE"""),486818.98060099996)</f>
        <v>486818.9806</v>
      </c>
      <c r="I4263" s="24">
        <f>IFERROR(__xludf.DUMMYFUNCTION("""COMPUTED_VALUE"""),-0.02636203879800003)</f>
        <v>-0.0263620388</v>
      </c>
    </row>
    <row r="4264">
      <c r="A4264" s="5" t="str">
        <f>IFERROR(__xludf.DUMMYFUNCTION("""COMPUTED_VALUE"""),"46699")</f>
        <v>46699</v>
      </c>
      <c r="B4264" s="64">
        <f>IFERROR(__xludf.DUMMYFUNCTION("""COMPUTED_VALUE"""),44635.0)</f>
        <v>44635</v>
      </c>
      <c r="C4264" s="5"/>
      <c r="D4264" s="5"/>
      <c r="E4264" s="5"/>
      <c r="F4264" s="22">
        <f>IFERROR(__xludf.DUMMYFUNCTION("""COMPUTED_VALUE"""),411700.934846)</f>
        <v>411700.9348</v>
      </c>
      <c r="G4264" s="22">
        <f>IFERROR(__xludf.DUMMYFUNCTION("""COMPUTED_VALUE"""),0.0)</f>
        <v>0</v>
      </c>
      <c r="H4264" s="22">
        <f>IFERROR(__xludf.DUMMYFUNCTION("""COMPUTED_VALUE"""),489503.287102)</f>
        <v>489503.2871</v>
      </c>
      <c r="I4264" s="24">
        <f>IFERROR(__xludf.DUMMYFUNCTION("""COMPUTED_VALUE"""),-0.020993425796000054)</f>
        <v>-0.0209934258</v>
      </c>
    </row>
    <row r="4265">
      <c r="A4265" s="5" t="str">
        <f>IFERROR(__xludf.DUMMYFUNCTION("""COMPUTED_VALUE"""),"46699")</f>
        <v>46699</v>
      </c>
      <c r="B4265" s="64">
        <f>IFERROR(__xludf.DUMMYFUNCTION("""COMPUTED_VALUE"""),44636.0)</f>
        <v>44636</v>
      </c>
      <c r="C4265" s="5"/>
      <c r="D4265" s="5"/>
      <c r="E4265" s="5"/>
      <c r="F4265" s="22">
        <f>IFERROR(__xludf.DUMMYFUNCTION("""COMPUTED_VALUE"""),411700.934846)</f>
        <v>411700.9348</v>
      </c>
      <c r="G4265" s="22">
        <f>IFERROR(__xludf.DUMMYFUNCTION("""COMPUTED_VALUE"""),0.0)</f>
        <v>0</v>
      </c>
      <c r="H4265" s="22">
        <f>IFERROR(__xludf.DUMMYFUNCTION("""COMPUTED_VALUE"""),492354.51981800003)</f>
        <v>492354.5198</v>
      </c>
      <c r="I4265" s="24">
        <f>IFERROR(__xludf.DUMMYFUNCTION("""COMPUTED_VALUE"""),-0.015290960363999906)</f>
        <v>-0.01529096036</v>
      </c>
    </row>
    <row r="4266">
      <c r="A4266" s="5" t="str">
        <f>IFERROR(__xludf.DUMMYFUNCTION("""COMPUTED_VALUE"""),"46699")</f>
        <v>46699</v>
      </c>
      <c r="B4266" s="64">
        <f>IFERROR(__xludf.DUMMYFUNCTION("""COMPUTED_VALUE"""),44637.0)</f>
        <v>44637</v>
      </c>
      <c r="C4266" s="5"/>
      <c r="D4266" s="5"/>
      <c r="E4266" s="5"/>
      <c r="F4266" s="22">
        <f>IFERROR(__xludf.DUMMYFUNCTION("""COMPUTED_VALUE"""),411700.934846)</f>
        <v>411700.9348</v>
      </c>
      <c r="G4266" s="22">
        <f>IFERROR(__xludf.DUMMYFUNCTION("""COMPUTED_VALUE"""),0.0)</f>
        <v>0</v>
      </c>
      <c r="H4266" s="22">
        <f>IFERROR(__xludf.DUMMYFUNCTION("""COMPUTED_VALUE"""),494678.921384)</f>
        <v>494678.9214</v>
      </c>
      <c r="I4266" s="24">
        <f>IFERROR(__xludf.DUMMYFUNCTION("""COMPUTED_VALUE"""),-0.010642157232000016)</f>
        <v>-0.01064215723</v>
      </c>
    </row>
    <row r="4267">
      <c r="A4267" s="5" t="str">
        <f>IFERROR(__xludf.DUMMYFUNCTION("""COMPUTED_VALUE"""),"46699")</f>
        <v>46699</v>
      </c>
      <c r="B4267" s="64">
        <f>IFERROR(__xludf.DUMMYFUNCTION("""COMPUTED_VALUE"""),44638.0)</f>
        <v>44638</v>
      </c>
      <c r="C4267" s="5"/>
      <c r="D4267" s="5"/>
      <c r="E4267" s="5"/>
      <c r="F4267" s="22">
        <f>IFERROR(__xludf.DUMMYFUNCTION("""COMPUTED_VALUE"""),411700.934846)</f>
        <v>411700.9348</v>
      </c>
      <c r="G4267" s="22">
        <f>IFERROR(__xludf.DUMMYFUNCTION("""COMPUTED_VALUE"""),0.0)</f>
        <v>0</v>
      </c>
      <c r="H4267" s="22">
        <f>IFERROR(__xludf.DUMMYFUNCTION("""COMPUTED_VALUE"""),496637.936848)</f>
        <v>496637.9368</v>
      </c>
      <c r="I4267" s="24">
        <f>IFERROR(__xludf.DUMMYFUNCTION("""COMPUTED_VALUE"""),-0.006724126303999989)</f>
        <v>-0.006724126304</v>
      </c>
    </row>
    <row r="4268">
      <c r="A4268" s="5" t="str">
        <f>IFERROR(__xludf.DUMMYFUNCTION("""COMPUTED_VALUE"""),"46699")</f>
        <v>46699</v>
      </c>
      <c r="B4268" s="64">
        <f>IFERROR(__xludf.DUMMYFUNCTION("""COMPUTED_VALUE"""),44639.0)</f>
        <v>44639</v>
      </c>
      <c r="C4268" s="5"/>
      <c r="D4268" s="5"/>
      <c r="E4268" s="5"/>
      <c r="F4268" s="22">
        <f>IFERROR(__xludf.DUMMYFUNCTION("""COMPUTED_VALUE"""),411700.934846)</f>
        <v>411700.9348</v>
      </c>
      <c r="G4268" s="22">
        <f>IFERROR(__xludf.DUMMYFUNCTION("""COMPUTED_VALUE"""),0.0)</f>
        <v>0</v>
      </c>
      <c r="H4268" s="22">
        <f>IFERROR(__xludf.DUMMYFUNCTION("""COMPUTED_VALUE"""),496637.936848)</f>
        <v>496637.9368</v>
      </c>
      <c r="I4268" s="24">
        <f>IFERROR(__xludf.DUMMYFUNCTION("""COMPUTED_VALUE"""),-0.006724126303999989)</f>
        <v>-0.006724126304</v>
      </c>
    </row>
    <row r="4269">
      <c r="A4269" s="5" t="str">
        <f>IFERROR(__xludf.DUMMYFUNCTION("""COMPUTED_VALUE"""),"46699")</f>
        <v>46699</v>
      </c>
      <c r="B4269" s="64">
        <f>IFERROR(__xludf.DUMMYFUNCTION("""COMPUTED_VALUE"""),44640.0)</f>
        <v>44640</v>
      </c>
      <c r="C4269" s="5"/>
      <c r="D4269" s="5"/>
      <c r="E4269" s="5"/>
      <c r="F4269" s="22">
        <f>IFERROR(__xludf.DUMMYFUNCTION("""COMPUTED_VALUE"""),411700.934846)</f>
        <v>411700.9348</v>
      </c>
      <c r="G4269" s="22">
        <f>IFERROR(__xludf.DUMMYFUNCTION("""COMPUTED_VALUE"""),0.0)</f>
        <v>0</v>
      </c>
      <c r="H4269" s="22">
        <f>IFERROR(__xludf.DUMMYFUNCTION("""COMPUTED_VALUE"""),496637.936848)</f>
        <v>496637.9368</v>
      </c>
      <c r="I4269" s="24">
        <f>IFERROR(__xludf.DUMMYFUNCTION("""COMPUTED_VALUE"""),-0.006724126303999989)</f>
        <v>-0.006724126304</v>
      </c>
    </row>
    <row r="4270">
      <c r="A4270" s="5" t="str">
        <f>IFERROR(__xludf.DUMMYFUNCTION("""COMPUTED_VALUE"""),"46699")</f>
        <v>46699</v>
      </c>
      <c r="B4270" s="64">
        <f>IFERROR(__xludf.DUMMYFUNCTION("""COMPUTED_VALUE"""),44641.0)</f>
        <v>44641</v>
      </c>
      <c r="C4270" s="5"/>
      <c r="D4270" s="5"/>
      <c r="E4270" s="5"/>
      <c r="F4270" s="22">
        <f>IFERROR(__xludf.DUMMYFUNCTION("""COMPUTED_VALUE"""),411700.934846)</f>
        <v>411700.9348</v>
      </c>
      <c r="G4270" s="22">
        <f>IFERROR(__xludf.DUMMYFUNCTION("""COMPUTED_VALUE"""),0.0)</f>
        <v>0</v>
      </c>
      <c r="H4270" s="22">
        <f>IFERROR(__xludf.DUMMYFUNCTION("""COMPUTED_VALUE"""),495918.53781099996)</f>
        <v>495918.5378</v>
      </c>
      <c r="I4270" s="24">
        <f>IFERROR(__xludf.DUMMYFUNCTION("""COMPUTED_VALUE"""),-0.008162924378000036)</f>
        <v>-0.008162924378</v>
      </c>
    </row>
    <row r="4271">
      <c r="A4271" s="5" t="str">
        <f>IFERROR(__xludf.DUMMYFUNCTION("""COMPUTED_VALUE"""),"46699")</f>
        <v>46699</v>
      </c>
      <c r="B4271" s="64">
        <f>IFERROR(__xludf.DUMMYFUNCTION("""COMPUTED_VALUE"""),44642.0)</f>
        <v>44642</v>
      </c>
      <c r="C4271" s="5"/>
      <c r="D4271" s="5"/>
      <c r="E4271" s="5"/>
      <c r="F4271" s="22">
        <f>IFERROR(__xludf.DUMMYFUNCTION("""COMPUTED_VALUE"""),411700.934846)</f>
        <v>411700.9348</v>
      </c>
      <c r="G4271" s="22">
        <f>IFERROR(__xludf.DUMMYFUNCTION("""COMPUTED_VALUE"""),0.0)</f>
        <v>0</v>
      </c>
      <c r="H4271" s="22">
        <f>IFERROR(__xludf.DUMMYFUNCTION("""COMPUTED_VALUE"""),497754.294508)</f>
        <v>497754.2945</v>
      </c>
      <c r="I4271" s="24">
        <f>IFERROR(__xludf.DUMMYFUNCTION("""COMPUTED_VALUE"""),-0.004491410983999966)</f>
        <v>-0.004491410984</v>
      </c>
    </row>
    <row r="4272">
      <c r="A4272" s="5" t="str">
        <f>IFERROR(__xludf.DUMMYFUNCTION("""COMPUTED_VALUE"""),"46699")</f>
        <v>46699</v>
      </c>
      <c r="B4272" s="64">
        <f>IFERROR(__xludf.DUMMYFUNCTION("""COMPUTED_VALUE"""),44643.0)</f>
        <v>44643</v>
      </c>
      <c r="C4272" s="5"/>
      <c r="D4272" s="5"/>
      <c r="E4272" s="5"/>
      <c r="F4272" s="22">
        <f>IFERROR(__xludf.DUMMYFUNCTION("""COMPUTED_VALUE"""),411700.934846)</f>
        <v>411700.9348</v>
      </c>
      <c r="G4272" s="22">
        <f>IFERROR(__xludf.DUMMYFUNCTION("""COMPUTED_VALUE"""),0.0)</f>
        <v>0</v>
      </c>
      <c r="H4272" s="22">
        <f>IFERROR(__xludf.DUMMYFUNCTION("""COMPUTED_VALUE"""),496655.793288)</f>
        <v>496655.7933</v>
      </c>
      <c r="I4272" s="24">
        <f>IFERROR(__xludf.DUMMYFUNCTION("""COMPUTED_VALUE"""),-0.0066884134240000614)</f>
        <v>-0.006688413424</v>
      </c>
    </row>
    <row r="4273">
      <c r="A4273" s="5" t="str">
        <f>IFERROR(__xludf.DUMMYFUNCTION("""COMPUTED_VALUE"""),"46699")</f>
        <v>46699</v>
      </c>
      <c r="B4273" s="64">
        <f>IFERROR(__xludf.DUMMYFUNCTION("""COMPUTED_VALUE"""),44644.0)</f>
        <v>44644</v>
      </c>
      <c r="C4273" s="5"/>
      <c r="D4273" s="5"/>
      <c r="E4273" s="5"/>
      <c r="F4273" s="22">
        <f>IFERROR(__xludf.DUMMYFUNCTION("""COMPUTED_VALUE"""),411700.934846)</f>
        <v>411700.9348</v>
      </c>
      <c r="G4273" s="22">
        <f>IFERROR(__xludf.DUMMYFUNCTION("""COMPUTED_VALUE"""),0.0)</f>
        <v>0</v>
      </c>
      <c r="H4273" s="22">
        <f>IFERROR(__xludf.DUMMYFUNCTION("""COMPUTED_VALUE"""),497447.78679600003)</f>
        <v>497447.7868</v>
      </c>
      <c r="I4273" s="24">
        <f>IFERROR(__xludf.DUMMYFUNCTION("""COMPUTED_VALUE"""),-0.005104426407999907)</f>
        <v>-0.005104426408</v>
      </c>
    </row>
    <row r="4274">
      <c r="A4274" s="5" t="str">
        <f>IFERROR(__xludf.DUMMYFUNCTION("""COMPUTED_VALUE"""),"46699")</f>
        <v>46699</v>
      </c>
      <c r="B4274" s="64">
        <f>IFERROR(__xludf.DUMMYFUNCTION("""COMPUTED_VALUE"""),44645.0)</f>
        <v>44645</v>
      </c>
      <c r="C4274" s="5"/>
      <c r="D4274" s="5"/>
      <c r="E4274" s="5"/>
      <c r="F4274" s="22">
        <f>IFERROR(__xludf.DUMMYFUNCTION("""COMPUTED_VALUE"""),411700.934846)</f>
        <v>411700.9348</v>
      </c>
      <c r="G4274" s="22">
        <f>IFERROR(__xludf.DUMMYFUNCTION("""COMPUTED_VALUE"""),0.0)</f>
        <v>0</v>
      </c>
      <c r="H4274" s="22">
        <f>IFERROR(__xludf.DUMMYFUNCTION("""COMPUTED_VALUE"""),497258.924839)</f>
        <v>497258.9248</v>
      </c>
      <c r="I4274" s="24">
        <f>IFERROR(__xludf.DUMMYFUNCTION("""COMPUTED_VALUE"""),-0.005482150322000057)</f>
        <v>-0.005482150322</v>
      </c>
    </row>
    <row r="4275">
      <c r="A4275" s="5" t="str">
        <f>IFERROR(__xludf.DUMMYFUNCTION("""COMPUTED_VALUE"""),"46699")</f>
        <v>46699</v>
      </c>
      <c r="B4275" s="64">
        <f>IFERROR(__xludf.DUMMYFUNCTION("""COMPUTED_VALUE"""),44646.0)</f>
        <v>44646</v>
      </c>
      <c r="C4275" s="5"/>
      <c r="D4275" s="5"/>
      <c r="E4275" s="5"/>
      <c r="F4275" s="22">
        <f>IFERROR(__xludf.DUMMYFUNCTION("""COMPUTED_VALUE"""),411700.934846)</f>
        <v>411700.9348</v>
      </c>
      <c r="G4275" s="22">
        <f>IFERROR(__xludf.DUMMYFUNCTION("""COMPUTED_VALUE"""),0.0)</f>
        <v>0</v>
      </c>
      <c r="H4275" s="22">
        <f>IFERROR(__xludf.DUMMYFUNCTION("""COMPUTED_VALUE"""),497258.924839)</f>
        <v>497258.9248</v>
      </c>
      <c r="I4275" s="24">
        <f>IFERROR(__xludf.DUMMYFUNCTION("""COMPUTED_VALUE"""),-0.005482150322000057)</f>
        <v>-0.005482150322</v>
      </c>
    </row>
    <row r="4276">
      <c r="A4276" s="5" t="str">
        <f>IFERROR(__xludf.DUMMYFUNCTION("""COMPUTED_VALUE"""),"46699")</f>
        <v>46699</v>
      </c>
      <c r="B4276" s="64">
        <f>IFERROR(__xludf.DUMMYFUNCTION("""COMPUTED_VALUE"""),44647.0)</f>
        <v>44647</v>
      </c>
      <c r="C4276" s="5"/>
      <c r="D4276" s="5"/>
      <c r="E4276" s="5"/>
      <c r="F4276" s="22">
        <f>IFERROR(__xludf.DUMMYFUNCTION("""COMPUTED_VALUE"""),411700.934846)</f>
        <v>411700.9348</v>
      </c>
      <c r="G4276" s="22">
        <f>IFERROR(__xludf.DUMMYFUNCTION("""COMPUTED_VALUE"""),0.0)</f>
        <v>0</v>
      </c>
      <c r="H4276" s="22">
        <f>IFERROR(__xludf.DUMMYFUNCTION("""COMPUTED_VALUE"""),497258.924839)</f>
        <v>497258.9248</v>
      </c>
      <c r="I4276" s="24">
        <f>IFERROR(__xludf.DUMMYFUNCTION("""COMPUTED_VALUE"""),-0.005482150322000057)</f>
        <v>-0.005482150322</v>
      </c>
    </row>
    <row r="4277">
      <c r="A4277" s="5" t="str">
        <f>IFERROR(__xludf.DUMMYFUNCTION("""COMPUTED_VALUE"""),"46699")</f>
        <v>46699</v>
      </c>
      <c r="B4277" s="64">
        <f>IFERROR(__xludf.DUMMYFUNCTION("""COMPUTED_VALUE"""),44648.0)</f>
        <v>44648</v>
      </c>
      <c r="C4277" s="5"/>
      <c r="D4277" s="5"/>
      <c r="E4277" s="5"/>
      <c r="F4277" s="22">
        <f>IFERROR(__xludf.DUMMYFUNCTION("""COMPUTED_VALUE"""),411700.934846)</f>
        <v>411700.9348</v>
      </c>
      <c r="G4277" s="22">
        <f>IFERROR(__xludf.DUMMYFUNCTION("""COMPUTED_VALUE"""),0.0)</f>
        <v>0</v>
      </c>
      <c r="H4277" s="22">
        <f>IFERROR(__xludf.DUMMYFUNCTION("""COMPUTED_VALUE"""),498123.096433)</f>
        <v>498123.0964</v>
      </c>
      <c r="I4277" s="24">
        <f>IFERROR(__xludf.DUMMYFUNCTION("""COMPUTED_VALUE"""),-0.0037538071339999757)</f>
        <v>-0.003753807134</v>
      </c>
    </row>
    <row r="4278">
      <c r="A4278" s="5" t="str">
        <f>IFERROR(__xludf.DUMMYFUNCTION("""COMPUTED_VALUE"""),"46699")</f>
        <v>46699</v>
      </c>
      <c r="B4278" s="64">
        <f>IFERROR(__xludf.DUMMYFUNCTION("""COMPUTED_VALUE"""),44649.0)</f>
        <v>44649</v>
      </c>
      <c r="C4278" s="5"/>
      <c r="D4278" s="5"/>
      <c r="E4278" s="5"/>
      <c r="F4278" s="22">
        <f>IFERROR(__xludf.DUMMYFUNCTION("""COMPUTED_VALUE"""),411700.934846)</f>
        <v>411700.9348</v>
      </c>
      <c r="G4278" s="22">
        <f>IFERROR(__xludf.DUMMYFUNCTION("""COMPUTED_VALUE"""),0.0)</f>
        <v>0</v>
      </c>
      <c r="H4278" s="22">
        <f>IFERROR(__xludf.DUMMYFUNCTION("""COMPUTED_VALUE"""),500723.311764)</f>
        <v>500723.3118</v>
      </c>
      <c r="I4278" s="24">
        <f>IFERROR(__xludf.DUMMYFUNCTION("""COMPUTED_VALUE"""),0.0014466235279999573)</f>
        <v>0.001446623528</v>
      </c>
    </row>
    <row r="4279">
      <c r="A4279" s="5" t="str">
        <f>IFERROR(__xludf.DUMMYFUNCTION("""COMPUTED_VALUE"""),"46699")</f>
        <v>46699</v>
      </c>
      <c r="B4279" s="64">
        <f>IFERROR(__xludf.DUMMYFUNCTION("""COMPUTED_VALUE"""),44650.0)</f>
        <v>44650</v>
      </c>
      <c r="C4279" s="5"/>
      <c r="D4279" s="5"/>
      <c r="E4279" s="5"/>
      <c r="F4279" s="22">
        <f>IFERROR(__xludf.DUMMYFUNCTION("""COMPUTED_VALUE"""),411700.934846)</f>
        <v>411700.9348</v>
      </c>
      <c r="G4279" s="22">
        <f>IFERROR(__xludf.DUMMYFUNCTION("""COMPUTED_VALUE"""),0.0)</f>
        <v>0</v>
      </c>
      <c r="H4279" s="22">
        <f>IFERROR(__xludf.DUMMYFUNCTION("""COMPUTED_VALUE"""),498923.12499800004)</f>
        <v>498923.125</v>
      </c>
      <c r="I4279" s="24">
        <f>IFERROR(__xludf.DUMMYFUNCTION("""COMPUTED_VALUE"""),-0.002153750003999866)</f>
        <v>-0.002153750004</v>
      </c>
    </row>
    <row r="4280">
      <c r="A4280" s="5" t="str">
        <f>IFERROR(__xludf.DUMMYFUNCTION("""COMPUTED_VALUE"""),"46699")</f>
        <v>46699</v>
      </c>
      <c r="B4280" s="64">
        <f>IFERROR(__xludf.DUMMYFUNCTION("""COMPUTED_VALUE"""),44651.0)</f>
        <v>44651</v>
      </c>
      <c r="C4280" s="5"/>
      <c r="D4280" s="5"/>
      <c r="E4280" s="5"/>
      <c r="F4280" s="22">
        <f>IFERROR(__xludf.DUMMYFUNCTION("""COMPUTED_VALUE"""),411700.934846)</f>
        <v>411700.9348</v>
      </c>
      <c r="G4280" s="22">
        <f>IFERROR(__xludf.DUMMYFUNCTION("""COMPUTED_VALUE"""),0.0)</f>
        <v>0</v>
      </c>
      <c r="H4280" s="22">
        <f>IFERROR(__xludf.DUMMYFUNCTION("""COMPUTED_VALUE"""),497357.226218)</f>
        <v>497357.2262</v>
      </c>
      <c r="I4280" s="24">
        <f>IFERROR(__xludf.DUMMYFUNCTION("""COMPUTED_VALUE"""),-0.005285547564000015)</f>
        <v>-0.005285547564</v>
      </c>
    </row>
    <row r="4281">
      <c r="A4281" s="5" t="str">
        <f>IFERROR(__xludf.DUMMYFUNCTION("""COMPUTED_VALUE"""),"46699")</f>
        <v>46699</v>
      </c>
      <c r="B4281" s="64">
        <f>IFERROR(__xludf.DUMMYFUNCTION("""COMPUTED_VALUE"""),44652.0)</f>
        <v>44652</v>
      </c>
      <c r="C4281" s="5"/>
      <c r="D4281" s="5"/>
      <c r="E4281" s="5"/>
      <c r="F4281" s="22">
        <f>IFERROR(__xludf.DUMMYFUNCTION("""COMPUTED_VALUE"""),365523.47608849994)</f>
        <v>365523.4761</v>
      </c>
      <c r="G4281" s="22">
        <f>IFERROR(__xludf.DUMMYFUNCTION("""COMPUTED_VALUE"""),0.0)</f>
        <v>0</v>
      </c>
      <c r="H4281" s="22">
        <f>IFERROR(__xludf.DUMMYFUNCTION("""COMPUTED_VALUE"""),497135.734084)</f>
        <v>497135.7341</v>
      </c>
      <c r="I4281" s="24">
        <f>IFERROR(__xludf.DUMMYFUNCTION("""COMPUTED_VALUE"""),-0.005728531832000061)</f>
        <v>-0.005728531832</v>
      </c>
    </row>
    <row r="4282">
      <c r="A4282" s="5" t="str">
        <f>IFERROR(__xludf.DUMMYFUNCTION("""COMPUTED_VALUE"""),"46699")</f>
        <v>46699</v>
      </c>
      <c r="B4282" s="64">
        <f>IFERROR(__xludf.DUMMYFUNCTION("""COMPUTED_VALUE"""),44653.0)</f>
        <v>44653</v>
      </c>
      <c r="C4282" s="5"/>
      <c r="D4282" s="5"/>
      <c r="E4282" s="5"/>
      <c r="F4282" s="22">
        <f>IFERROR(__xludf.DUMMYFUNCTION("""COMPUTED_VALUE"""),365523.47608849994)</f>
        <v>365523.4761</v>
      </c>
      <c r="G4282" s="22">
        <f>IFERROR(__xludf.DUMMYFUNCTION("""COMPUTED_VALUE"""),0.0)</f>
        <v>0</v>
      </c>
      <c r="H4282" s="22">
        <f>IFERROR(__xludf.DUMMYFUNCTION("""COMPUTED_VALUE"""),497116.467805)</f>
        <v>497116.4678</v>
      </c>
      <c r="I4282" s="24">
        <f>IFERROR(__xludf.DUMMYFUNCTION("""COMPUTED_VALUE"""),-0.005767064389999965)</f>
        <v>-0.00576706439</v>
      </c>
    </row>
    <row r="4283">
      <c r="A4283" s="5" t="str">
        <f>IFERROR(__xludf.DUMMYFUNCTION("""COMPUTED_VALUE"""),"46699")</f>
        <v>46699</v>
      </c>
      <c r="B4283" s="64">
        <f>IFERROR(__xludf.DUMMYFUNCTION("""COMPUTED_VALUE"""),44654.0)</f>
        <v>44654</v>
      </c>
      <c r="C4283" s="5"/>
      <c r="D4283" s="5"/>
      <c r="E4283" s="5"/>
      <c r="F4283" s="22">
        <f>IFERROR(__xludf.DUMMYFUNCTION("""COMPUTED_VALUE"""),365523.47608849994)</f>
        <v>365523.4761</v>
      </c>
      <c r="G4283" s="22">
        <f>IFERROR(__xludf.DUMMYFUNCTION("""COMPUTED_VALUE"""),0.0)</f>
        <v>0</v>
      </c>
      <c r="H4283" s="22">
        <f>IFERROR(__xludf.DUMMYFUNCTION("""COMPUTED_VALUE"""),497116.467805)</f>
        <v>497116.4678</v>
      </c>
      <c r="I4283" s="24">
        <f>IFERROR(__xludf.DUMMYFUNCTION("""COMPUTED_VALUE"""),-0.005767064389999965)</f>
        <v>-0.00576706439</v>
      </c>
    </row>
    <row r="4284">
      <c r="A4284" s="5" t="str">
        <f>IFERROR(__xludf.DUMMYFUNCTION("""COMPUTED_VALUE"""),"46699")</f>
        <v>46699</v>
      </c>
      <c r="B4284" s="64">
        <f>IFERROR(__xludf.DUMMYFUNCTION("""COMPUTED_VALUE"""),44655.0)</f>
        <v>44655</v>
      </c>
      <c r="C4284" s="5"/>
      <c r="D4284" s="5"/>
      <c r="E4284" s="5"/>
      <c r="F4284" s="22">
        <f>IFERROR(__xludf.DUMMYFUNCTION("""COMPUTED_VALUE"""),365523.47608849994)</f>
        <v>365523.4761</v>
      </c>
      <c r="G4284" s="22">
        <f>IFERROR(__xludf.DUMMYFUNCTION("""COMPUTED_VALUE"""),0.0)</f>
        <v>0</v>
      </c>
      <c r="H4284" s="22">
        <f>IFERROR(__xludf.DUMMYFUNCTION("""COMPUTED_VALUE"""),501687.02520800004)</f>
        <v>501687.0252</v>
      </c>
      <c r="I4284" s="24">
        <f>IFERROR(__xludf.DUMMYFUNCTION("""COMPUTED_VALUE"""),0.0033740504160000295)</f>
        <v>0.003374050416</v>
      </c>
    </row>
    <row r="4285">
      <c r="A4285" s="5" t="str">
        <f>IFERROR(__xludf.DUMMYFUNCTION("""COMPUTED_VALUE"""),"46699")</f>
        <v>46699</v>
      </c>
      <c r="B4285" s="64">
        <f>IFERROR(__xludf.DUMMYFUNCTION("""COMPUTED_VALUE"""),44656.0)</f>
        <v>44656</v>
      </c>
      <c r="C4285" s="5"/>
      <c r="D4285" s="5"/>
      <c r="E4285" s="5"/>
      <c r="F4285" s="22">
        <f>IFERROR(__xludf.DUMMYFUNCTION("""COMPUTED_VALUE"""),365523.47608849994)</f>
        <v>365523.4761</v>
      </c>
      <c r="G4285" s="22">
        <f>IFERROR(__xludf.DUMMYFUNCTION("""COMPUTED_VALUE"""),0.0)</f>
        <v>0</v>
      </c>
      <c r="H4285" s="22">
        <f>IFERROR(__xludf.DUMMYFUNCTION("""COMPUTED_VALUE"""),498442.83945749997)</f>
        <v>498442.8395</v>
      </c>
      <c r="I4285" s="24">
        <f>IFERROR(__xludf.DUMMYFUNCTION("""COMPUTED_VALUE"""),-0.0031143210850000935)</f>
        <v>-0.003114321085</v>
      </c>
    </row>
    <row r="4286">
      <c r="A4286" s="5" t="str">
        <f>IFERROR(__xludf.DUMMYFUNCTION("""COMPUTED_VALUE"""),"46699")</f>
        <v>46699</v>
      </c>
      <c r="B4286" s="64">
        <f>IFERROR(__xludf.DUMMYFUNCTION("""COMPUTED_VALUE"""),44657.0)</f>
        <v>44657</v>
      </c>
      <c r="C4286" s="5"/>
      <c r="D4286" s="5"/>
      <c r="E4286" s="5"/>
      <c r="F4286" s="22">
        <f>IFERROR(__xludf.DUMMYFUNCTION("""COMPUTED_VALUE"""),365523.47608849994)</f>
        <v>365523.4761</v>
      </c>
      <c r="G4286" s="22">
        <f>IFERROR(__xludf.DUMMYFUNCTION("""COMPUTED_VALUE"""),0.0)</f>
        <v>0</v>
      </c>
      <c r="H4286" s="22">
        <f>IFERROR(__xludf.DUMMYFUNCTION("""COMPUTED_VALUE"""),495014.15056750004)</f>
        <v>495014.1506</v>
      </c>
      <c r="I4286" s="24">
        <f>IFERROR(__xludf.DUMMYFUNCTION("""COMPUTED_VALUE"""),-0.009971698864999934)</f>
        <v>-0.009971698865</v>
      </c>
    </row>
    <row r="4287">
      <c r="A4287" s="5" t="str">
        <f>IFERROR(__xludf.DUMMYFUNCTION("""COMPUTED_VALUE"""),"46699")</f>
        <v>46699</v>
      </c>
      <c r="B4287" s="64">
        <f>IFERROR(__xludf.DUMMYFUNCTION("""COMPUTED_VALUE"""),44658.0)</f>
        <v>44658</v>
      </c>
      <c r="C4287" s="5"/>
      <c r="D4287" s="5"/>
      <c r="E4287" s="5"/>
      <c r="F4287" s="22">
        <f>IFERROR(__xludf.DUMMYFUNCTION("""COMPUTED_VALUE"""),365523.47608849994)</f>
        <v>365523.4761</v>
      </c>
      <c r="G4287" s="22">
        <f>IFERROR(__xludf.DUMMYFUNCTION("""COMPUTED_VALUE"""),0.0)</f>
        <v>0</v>
      </c>
      <c r="H4287" s="22">
        <f>IFERROR(__xludf.DUMMYFUNCTION("""COMPUTED_VALUE"""),493998.092643)</f>
        <v>493998.0926</v>
      </c>
      <c r="I4287" s="24">
        <f>IFERROR(__xludf.DUMMYFUNCTION("""COMPUTED_VALUE"""),-0.012003814714000027)</f>
        <v>-0.01200381471</v>
      </c>
    </row>
    <row r="4288">
      <c r="A4288" s="5" t="str">
        <f>IFERROR(__xludf.DUMMYFUNCTION("""COMPUTED_VALUE"""),"46699")</f>
        <v>46699</v>
      </c>
      <c r="B4288" s="64">
        <f>IFERROR(__xludf.DUMMYFUNCTION("""COMPUTED_VALUE"""),44659.0)</f>
        <v>44659</v>
      </c>
      <c r="C4288" s="5"/>
      <c r="D4288" s="5"/>
      <c r="E4288" s="5"/>
      <c r="F4288" s="22">
        <f>IFERROR(__xludf.DUMMYFUNCTION("""COMPUTED_VALUE"""),365523.47608849994)</f>
        <v>365523.4761</v>
      </c>
      <c r="G4288" s="22">
        <f>IFERROR(__xludf.DUMMYFUNCTION("""COMPUTED_VALUE"""),0.0)</f>
        <v>0</v>
      </c>
      <c r="H4288" s="22">
        <f>IFERROR(__xludf.DUMMYFUNCTION("""COMPUTED_VALUE"""),491945.844452)</f>
        <v>491945.8445</v>
      </c>
      <c r="I4288" s="24">
        <f>IFERROR(__xludf.DUMMYFUNCTION("""COMPUTED_VALUE"""),-0.016108311095999972)</f>
        <v>-0.0161083111</v>
      </c>
    </row>
    <row r="4289">
      <c r="A4289" s="5" t="str">
        <f>IFERROR(__xludf.DUMMYFUNCTION("""COMPUTED_VALUE"""),"46699")</f>
        <v>46699</v>
      </c>
      <c r="B4289" s="64">
        <f>IFERROR(__xludf.DUMMYFUNCTION("""COMPUTED_VALUE"""),44660.0)</f>
        <v>44660</v>
      </c>
      <c r="C4289" s="5"/>
      <c r="D4289" s="5"/>
      <c r="E4289" s="5"/>
      <c r="F4289" s="22">
        <f>IFERROR(__xludf.DUMMYFUNCTION("""COMPUTED_VALUE"""),365523.47608849994)</f>
        <v>365523.4761</v>
      </c>
      <c r="G4289" s="22">
        <f>IFERROR(__xludf.DUMMYFUNCTION("""COMPUTED_VALUE"""),0.0)</f>
        <v>0</v>
      </c>
      <c r="H4289" s="22">
        <f>IFERROR(__xludf.DUMMYFUNCTION("""COMPUTED_VALUE"""),491945.844452)</f>
        <v>491945.8445</v>
      </c>
      <c r="I4289" s="24">
        <f>IFERROR(__xludf.DUMMYFUNCTION("""COMPUTED_VALUE"""),-0.016108311095999972)</f>
        <v>-0.0161083111</v>
      </c>
    </row>
    <row r="4290">
      <c r="A4290" s="5" t="str">
        <f>IFERROR(__xludf.DUMMYFUNCTION("""COMPUTED_VALUE"""),"46699")</f>
        <v>46699</v>
      </c>
      <c r="B4290" s="64">
        <f>IFERROR(__xludf.DUMMYFUNCTION("""COMPUTED_VALUE"""),44661.0)</f>
        <v>44661</v>
      </c>
      <c r="C4290" s="5"/>
      <c r="D4290" s="5"/>
      <c r="E4290" s="5"/>
      <c r="F4290" s="22">
        <f>IFERROR(__xludf.DUMMYFUNCTION("""COMPUTED_VALUE"""),365523.47608849994)</f>
        <v>365523.4761</v>
      </c>
      <c r="G4290" s="22">
        <f>IFERROR(__xludf.DUMMYFUNCTION("""COMPUTED_VALUE"""),0.0)</f>
        <v>0</v>
      </c>
      <c r="H4290" s="22">
        <f>IFERROR(__xludf.DUMMYFUNCTION("""COMPUTED_VALUE"""),491945.844452)</f>
        <v>491945.8445</v>
      </c>
      <c r="I4290" s="24">
        <f>IFERROR(__xludf.DUMMYFUNCTION("""COMPUTED_VALUE"""),-0.016108311095999972)</f>
        <v>-0.0161083111</v>
      </c>
    </row>
    <row r="4291">
      <c r="A4291" s="5" t="str">
        <f>IFERROR(__xludf.DUMMYFUNCTION("""COMPUTED_VALUE"""),"46699")</f>
        <v>46699</v>
      </c>
      <c r="B4291" s="64">
        <f>IFERROR(__xludf.DUMMYFUNCTION("""COMPUTED_VALUE"""),44662.0)</f>
        <v>44662</v>
      </c>
      <c r="C4291" s="5"/>
      <c r="D4291" s="5"/>
      <c r="E4291" s="5"/>
      <c r="F4291" s="22">
        <f>IFERROR(__xludf.DUMMYFUNCTION("""COMPUTED_VALUE"""),365523.47608849994)</f>
        <v>365523.4761</v>
      </c>
      <c r="G4291" s="22">
        <f>IFERROR(__xludf.DUMMYFUNCTION("""COMPUTED_VALUE"""),0.0)</f>
        <v>0</v>
      </c>
      <c r="H4291" s="22">
        <f>IFERROR(__xludf.DUMMYFUNCTION("""COMPUTED_VALUE"""),489107.4770015)</f>
        <v>489107.477</v>
      </c>
      <c r="I4291" s="24">
        <f>IFERROR(__xludf.DUMMYFUNCTION("""COMPUTED_VALUE"""),-0.02178504599699993)</f>
        <v>-0.021785046</v>
      </c>
    </row>
    <row r="4292">
      <c r="A4292" s="5" t="str">
        <f>IFERROR(__xludf.DUMMYFUNCTION("""COMPUTED_VALUE"""),"46699")</f>
        <v>46699</v>
      </c>
      <c r="B4292" s="64">
        <f>IFERROR(__xludf.DUMMYFUNCTION("""COMPUTED_VALUE"""),44663.0)</f>
        <v>44663</v>
      </c>
      <c r="C4292" s="5"/>
      <c r="D4292" s="5"/>
      <c r="E4292" s="5"/>
      <c r="F4292" s="22">
        <f>IFERROR(__xludf.DUMMYFUNCTION("""COMPUTED_VALUE"""),365523.47608849994)</f>
        <v>365523.4761</v>
      </c>
      <c r="G4292" s="22">
        <f>IFERROR(__xludf.DUMMYFUNCTION("""COMPUTED_VALUE"""),0.0)</f>
        <v>0</v>
      </c>
      <c r="H4292" s="22">
        <f>IFERROR(__xludf.DUMMYFUNCTION("""COMPUTED_VALUE"""),488975.87370450003)</f>
        <v>488975.8737</v>
      </c>
      <c r="I4292" s="24">
        <f>IFERROR(__xludf.DUMMYFUNCTION("""COMPUTED_VALUE"""),-0.02204825259099996)</f>
        <v>-0.02204825259</v>
      </c>
    </row>
    <row r="4293">
      <c r="A4293" s="5" t="str">
        <f>IFERROR(__xludf.DUMMYFUNCTION("""COMPUTED_VALUE"""),"46763")</f>
        <v>46763</v>
      </c>
      <c r="B4293" s="64">
        <f>IFERROR(__xludf.DUMMYFUNCTION("""COMPUTED_VALUE"""),44597.0)</f>
        <v>44597</v>
      </c>
      <c r="C4293" s="5"/>
      <c r="D4293" s="5"/>
      <c r="E4293" s="5"/>
      <c r="F4293" s="22">
        <f>IFERROR(__xludf.DUMMYFUNCTION("""COMPUTED_VALUE"""),500000.0)</f>
        <v>500000</v>
      </c>
      <c r="G4293" s="22">
        <f>IFERROR(__xludf.DUMMYFUNCTION("""COMPUTED_VALUE"""),0.0)</f>
        <v>0</v>
      </c>
      <c r="H4293" s="22">
        <f>IFERROR(__xludf.DUMMYFUNCTION("""COMPUTED_VALUE"""),500000.0)</f>
        <v>500000</v>
      </c>
      <c r="I4293" s="24">
        <f>IFERROR(__xludf.DUMMYFUNCTION("""COMPUTED_VALUE"""),0.0)</f>
        <v>0</v>
      </c>
    </row>
    <row r="4294">
      <c r="A4294" s="5" t="str">
        <f>IFERROR(__xludf.DUMMYFUNCTION("""COMPUTED_VALUE"""),"46763")</f>
        <v>46763</v>
      </c>
      <c r="B4294" s="64">
        <f>IFERROR(__xludf.DUMMYFUNCTION("""COMPUTED_VALUE"""),44598.0)</f>
        <v>44598</v>
      </c>
      <c r="C4294" s="5"/>
      <c r="D4294" s="5"/>
      <c r="E4294" s="5"/>
      <c r="F4294" s="22">
        <f>IFERROR(__xludf.DUMMYFUNCTION("""COMPUTED_VALUE"""),500000.0)</f>
        <v>500000</v>
      </c>
      <c r="G4294" s="22">
        <f>IFERROR(__xludf.DUMMYFUNCTION("""COMPUTED_VALUE"""),0.0)</f>
        <v>0</v>
      </c>
      <c r="H4294" s="22">
        <f>IFERROR(__xludf.DUMMYFUNCTION("""COMPUTED_VALUE"""),500000.0)</f>
        <v>500000</v>
      </c>
      <c r="I4294" s="24">
        <f>IFERROR(__xludf.DUMMYFUNCTION("""COMPUTED_VALUE"""),0.0)</f>
        <v>0</v>
      </c>
    </row>
    <row r="4295">
      <c r="A4295" s="5" t="str">
        <f>IFERROR(__xludf.DUMMYFUNCTION("""COMPUTED_VALUE"""),"46763")</f>
        <v>46763</v>
      </c>
      <c r="B4295" s="64">
        <f>IFERROR(__xludf.DUMMYFUNCTION("""COMPUTED_VALUE"""),44599.0)</f>
        <v>44599</v>
      </c>
      <c r="C4295" s="5"/>
      <c r="D4295" s="5"/>
      <c r="E4295" s="5"/>
      <c r="F4295" s="22">
        <f>IFERROR(__xludf.DUMMYFUNCTION("""COMPUTED_VALUE"""),500000.0)</f>
        <v>500000</v>
      </c>
      <c r="G4295" s="22">
        <f>IFERROR(__xludf.DUMMYFUNCTION("""COMPUTED_VALUE"""),0.0)</f>
        <v>0</v>
      </c>
      <c r="H4295" s="22">
        <f>IFERROR(__xludf.DUMMYFUNCTION("""COMPUTED_VALUE"""),500000.0)</f>
        <v>500000</v>
      </c>
      <c r="I4295" s="24">
        <f>IFERROR(__xludf.DUMMYFUNCTION("""COMPUTED_VALUE"""),0.0)</f>
        <v>0</v>
      </c>
    </row>
    <row r="4296">
      <c r="A4296" s="5" t="str">
        <f>IFERROR(__xludf.DUMMYFUNCTION("""COMPUTED_VALUE"""),"46763")</f>
        <v>46763</v>
      </c>
      <c r="B4296" s="64">
        <f>IFERROR(__xludf.DUMMYFUNCTION("""COMPUTED_VALUE"""),44600.0)</f>
        <v>44600</v>
      </c>
      <c r="C4296" s="5"/>
      <c r="D4296" s="5"/>
      <c r="E4296" s="5"/>
      <c r="F4296" s="22">
        <f>IFERROR(__xludf.DUMMYFUNCTION("""COMPUTED_VALUE"""),500000.0)</f>
        <v>500000</v>
      </c>
      <c r="G4296" s="22">
        <f>IFERROR(__xludf.DUMMYFUNCTION("""COMPUTED_VALUE"""),0.0)</f>
        <v>0</v>
      </c>
      <c r="H4296" s="22">
        <f>IFERROR(__xludf.DUMMYFUNCTION("""COMPUTED_VALUE"""),500000.0)</f>
        <v>500000</v>
      </c>
      <c r="I4296" s="24">
        <f>IFERROR(__xludf.DUMMYFUNCTION("""COMPUTED_VALUE"""),0.0)</f>
        <v>0</v>
      </c>
    </row>
    <row r="4297">
      <c r="A4297" s="5" t="str">
        <f>IFERROR(__xludf.DUMMYFUNCTION("""COMPUTED_VALUE"""),"46763")</f>
        <v>46763</v>
      </c>
      <c r="B4297" s="64">
        <f>IFERROR(__xludf.DUMMYFUNCTION("""COMPUTED_VALUE"""),44601.0)</f>
        <v>44601</v>
      </c>
      <c r="C4297" s="5"/>
      <c r="D4297" s="5"/>
      <c r="E4297" s="5"/>
      <c r="F4297" s="22">
        <f>IFERROR(__xludf.DUMMYFUNCTION("""COMPUTED_VALUE"""),500000.0)</f>
        <v>500000</v>
      </c>
      <c r="G4297" s="22">
        <f>IFERROR(__xludf.DUMMYFUNCTION("""COMPUTED_VALUE"""),0.0)</f>
        <v>0</v>
      </c>
      <c r="H4297" s="22">
        <f>IFERROR(__xludf.DUMMYFUNCTION("""COMPUTED_VALUE"""),500000.0)</f>
        <v>500000</v>
      </c>
      <c r="I4297" s="24">
        <f>IFERROR(__xludf.DUMMYFUNCTION("""COMPUTED_VALUE"""),0.0)</f>
        <v>0</v>
      </c>
    </row>
    <row r="4298">
      <c r="A4298" s="5" t="str">
        <f>IFERROR(__xludf.DUMMYFUNCTION("""COMPUTED_VALUE"""),"46763")</f>
        <v>46763</v>
      </c>
      <c r="B4298" s="64">
        <f>IFERROR(__xludf.DUMMYFUNCTION("""COMPUTED_VALUE"""),44602.0)</f>
        <v>44602</v>
      </c>
      <c r="C4298" s="5"/>
      <c r="D4298" s="5"/>
      <c r="E4298" s="5"/>
      <c r="F4298" s="22">
        <f>IFERROR(__xludf.DUMMYFUNCTION("""COMPUTED_VALUE"""),500000.0)</f>
        <v>500000</v>
      </c>
      <c r="G4298" s="22">
        <f>IFERROR(__xludf.DUMMYFUNCTION("""COMPUTED_VALUE"""),0.0)</f>
        <v>0</v>
      </c>
      <c r="H4298" s="22">
        <f>IFERROR(__xludf.DUMMYFUNCTION("""COMPUTED_VALUE"""),500000.0)</f>
        <v>500000</v>
      </c>
      <c r="I4298" s="24">
        <f>IFERROR(__xludf.DUMMYFUNCTION("""COMPUTED_VALUE"""),0.0)</f>
        <v>0</v>
      </c>
    </row>
    <row r="4299">
      <c r="A4299" s="5" t="str">
        <f>IFERROR(__xludf.DUMMYFUNCTION("""COMPUTED_VALUE"""),"46763")</f>
        <v>46763</v>
      </c>
      <c r="B4299" s="64">
        <f>IFERROR(__xludf.DUMMYFUNCTION("""COMPUTED_VALUE"""),44603.0)</f>
        <v>44603</v>
      </c>
      <c r="C4299" s="5"/>
      <c r="D4299" s="5"/>
      <c r="E4299" s="5"/>
      <c r="F4299" s="22">
        <f>IFERROR(__xludf.DUMMYFUNCTION("""COMPUTED_VALUE"""),500000.0)</f>
        <v>500000</v>
      </c>
      <c r="G4299" s="22">
        <f>IFERROR(__xludf.DUMMYFUNCTION("""COMPUTED_VALUE"""),0.0)</f>
        <v>0</v>
      </c>
      <c r="H4299" s="22">
        <f>IFERROR(__xludf.DUMMYFUNCTION("""COMPUTED_VALUE"""),500000.0)</f>
        <v>500000</v>
      </c>
      <c r="I4299" s="24">
        <f>IFERROR(__xludf.DUMMYFUNCTION("""COMPUTED_VALUE"""),0.0)</f>
        <v>0</v>
      </c>
    </row>
    <row r="4300">
      <c r="A4300" s="5" t="str">
        <f>IFERROR(__xludf.DUMMYFUNCTION("""COMPUTED_VALUE"""),"46763")</f>
        <v>46763</v>
      </c>
      <c r="B4300" s="64">
        <f>IFERROR(__xludf.DUMMYFUNCTION("""COMPUTED_VALUE"""),44604.0)</f>
        <v>44604</v>
      </c>
      <c r="C4300" s="5"/>
      <c r="D4300" s="5"/>
      <c r="E4300" s="5"/>
      <c r="F4300" s="22">
        <f>IFERROR(__xludf.DUMMYFUNCTION("""COMPUTED_VALUE"""),500000.0)</f>
        <v>500000</v>
      </c>
      <c r="G4300" s="22">
        <f>IFERROR(__xludf.DUMMYFUNCTION("""COMPUTED_VALUE"""),0.0)</f>
        <v>0</v>
      </c>
      <c r="H4300" s="22">
        <f>IFERROR(__xludf.DUMMYFUNCTION("""COMPUTED_VALUE"""),500000.0)</f>
        <v>500000</v>
      </c>
      <c r="I4300" s="24">
        <f>IFERROR(__xludf.DUMMYFUNCTION("""COMPUTED_VALUE"""),0.0)</f>
        <v>0</v>
      </c>
    </row>
    <row r="4301">
      <c r="A4301" s="5" t="str">
        <f>IFERROR(__xludf.DUMMYFUNCTION("""COMPUTED_VALUE"""),"46763")</f>
        <v>46763</v>
      </c>
      <c r="B4301" s="64">
        <f>IFERROR(__xludf.DUMMYFUNCTION("""COMPUTED_VALUE"""),44605.0)</f>
        <v>44605</v>
      </c>
      <c r="C4301" s="5"/>
      <c r="D4301" s="5"/>
      <c r="E4301" s="5"/>
      <c r="F4301" s="22">
        <f>IFERROR(__xludf.DUMMYFUNCTION("""COMPUTED_VALUE"""),500000.0)</f>
        <v>500000</v>
      </c>
      <c r="G4301" s="22">
        <f>IFERROR(__xludf.DUMMYFUNCTION("""COMPUTED_VALUE"""),0.0)</f>
        <v>0</v>
      </c>
      <c r="H4301" s="22">
        <f>IFERROR(__xludf.DUMMYFUNCTION("""COMPUTED_VALUE"""),500000.0)</f>
        <v>500000</v>
      </c>
      <c r="I4301" s="24">
        <f>IFERROR(__xludf.DUMMYFUNCTION("""COMPUTED_VALUE"""),0.0)</f>
        <v>0</v>
      </c>
    </row>
    <row r="4302">
      <c r="A4302" s="5" t="str">
        <f>IFERROR(__xludf.DUMMYFUNCTION("""COMPUTED_VALUE"""),"46763")</f>
        <v>46763</v>
      </c>
      <c r="B4302" s="64">
        <f>IFERROR(__xludf.DUMMYFUNCTION("""COMPUTED_VALUE"""),44606.0)</f>
        <v>44606</v>
      </c>
      <c r="C4302" s="5"/>
      <c r="D4302" s="5"/>
      <c r="E4302" s="5"/>
      <c r="F4302" s="22">
        <f>IFERROR(__xludf.DUMMYFUNCTION("""COMPUTED_VALUE"""),500000.0)</f>
        <v>500000</v>
      </c>
      <c r="G4302" s="22">
        <f>IFERROR(__xludf.DUMMYFUNCTION("""COMPUTED_VALUE"""),0.0)</f>
        <v>0</v>
      </c>
      <c r="H4302" s="22">
        <f>IFERROR(__xludf.DUMMYFUNCTION("""COMPUTED_VALUE"""),500000.0)</f>
        <v>500000</v>
      </c>
      <c r="I4302" s="24">
        <f>IFERROR(__xludf.DUMMYFUNCTION("""COMPUTED_VALUE"""),0.0)</f>
        <v>0</v>
      </c>
    </row>
    <row r="4303">
      <c r="A4303" s="5" t="str">
        <f>IFERROR(__xludf.DUMMYFUNCTION("""COMPUTED_VALUE"""),"46763")</f>
        <v>46763</v>
      </c>
      <c r="B4303" s="64">
        <f>IFERROR(__xludf.DUMMYFUNCTION("""COMPUTED_VALUE"""),44607.0)</f>
        <v>44607</v>
      </c>
      <c r="C4303" s="5"/>
      <c r="D4303" s="5"/>
      <c r="E4303" s="5"/>
      <c r="F4303" s="22">
        <f>IFERROR(__xludf.DUMMYFUNCTION("""COMPUTED_VALUE"""),500000.0)</f>
        <v>500000</v>
      </c>
      <c r="G4303" s="22">
        <f>IFERROR(__xludf.DUMMYFUNCTION("""COMPUTED_VALUE"""),0.0)</f>
        <v>0</v>
      </c>
      <c r="H4303" s="22">
        <f>IFERROR(__xludf.DUMMYFUNCTION("""COMPUTED_VALUE"""),500000.0)</f>
        <v>500000</v>
      </c>
      <c r="I4303" s="24">
        <f>IFERROR(__xludf.DUMMYFUNCTION("""COMPUTED_VALUE"""),0.0)</f>
        <v>0</v>
      </c>
    </row>
    <row r="4304">
      <c r="A4304" s="5" t="str">
        <f>IFERROR(__xludf.DUMMYFUNCTION("""COMPUTED_VALUE"""),"46763")</f>
        <v>46763</v>
      </c>
      <c r="B4304" s="64">
        <f>IFERROR(__xludf.DUMMYFUNCTION("""COMPUTED_VALUE"""),44608.0)</f>
        <v>44608</v>
      </c>
      <c r="C4304" s="5"/>
      <c r="D4304" s="5"/>
      <c r="E4304" s="5"/>
      <c r="F4304" s="22">
        <f>IFERROR(__xludf.DUMMYFUNCTION("""COMPUTED_VALUE"""),500000.0)</f>
        <v>500000</v>
      </c>
      <c r="G4304" s="22">
        <f>IFERROR(__xludf.DUMMYFUNCTION("""COMPUTED_VALUE"""),0.0)</f>
        <v>0</v>
      </c>
      <c r="H4304" s="22">
        <f>IFERROR(__xludf.DUMMYFUNCTION("""COMPUTED_VALUE"""),500000.0)</f>
        <v>500000</v>
      </c>
      <c r="I4304" s="24">
        <f>IFERROR(__xludf.DUMMYFUNCTION("""COMPUTED_VALUE"""),0.0)</f>
        <v>0</v>
      </c>
    </row>
    <row r="4305">
      <c r="A4305" s="5" t="str">
        <f>IFERROR(__xludf.DUMMYFUNCTION("""COMPUTED_VALUE"""),"46763")</f>
        <v>46763</v>
      </c>
      <c r="B4305" s="64">
        <f>IFERROR(__xludf.DUMMYFUNCTION("""COMPUTED_VALUE"""),44609.0)</f>
        <v>44609</v>
      </c>
      <c r="C4305" s="5"/>
      <c r="D4305" s="5"/>
      <c r="E4305" s="5"/>
      <c r="F4305" s="22">
        <f>IFERROR(__xludf.DUMMYFUNCTION("""COMPUTED_VALUE"""),500000.0)</f>
        <v>500000</v>
      </c>
      <c r="G4305" s="22">
        <f>IFERROR(__xludf.DUMMYFUNCTION("""COMPUTED_VALUE"""),0.0)</f>
        <v>0</v>
      </c>
      <c r="H4305" s="22">
        <f>IFERROR(__xludf.DUMMYFUNCTION("""COMPUTED_VALUE"""),500000.0)</f>
        <v>500000</v>
      </c>
      <c r="I4305" s="24">
        <f>IFERROR(__xludf.DUMMYFUNCTION("""COMPUTED_VALUE"""),0.0)</f>
        <v>0</v>
      </c>
    </row>
    <row r="4306">
      <c r="A4306" s="5" t="str">
        <f>IFERROR(__xludf.DUMMYFUNCTION("""COMPUTED_VALUE"""),"46763")</f>
        <v>46763</v>
      </c>
      <c r="B4306" s="64">
        <f>IFERROR(__xludf.DUMMYFUNCTION("""COMPUTED_VALUE"""),44610.0)</f>
        <v>44610</v>
      </c>
      <c r="C4306" s="5"/>
      <c r="D4306" s="5"/>
      <c r="E4306" s="5"/>
      <c r="F4306" s="22">
        <f>IFERROR(__xludf.DUMMYFUNCTION("""COMPUTED_VALUE"""),500000.0)</f>
        <v>500000</v>
      </c>
      <c r="G4306" s="22">
        <f>IFERROR(__xludf.DUMMYFUNCTION("""COMPUTED_VALUE"""),0.0)</f>
        <v>0</v>
      </c>
      <c r="H4306" s="22">
        <f>IFERROR(__xludf.DUMMYFUNCTION("""COMPUTED_VALUE"""),500000.0)</f>
        <v>500000</v>
      </c>
      <c r="I4306" s="24">
        <f>IFERROR(__xludf.DUMMYFUNCTION("""COMPUTED_VALUE"""),0.0)</f>
        <v>0</v>
      </c>
    </row>
    <row r="4307">
      <c r="A4307" s="5" t="str">
        <f>IFERROR(__xludf.DUMMYFUNCTION("""COMPUTED_VALUE"""),"46763")</f>
        <v>46763</v>
      </c>
      <c r="B4307" s="64">
        <f>IFERROR(__xludf.DUMMYFUNCTION("""COMPUTED_VALUE"""),44611.0)</f>
        <v>44611</v>
      </c>
      <c r="C4307" s="5"/>
      <c r="D4307" s="5"/>
      <c r="E4307" s="5"/>
      <c r="F4307" s="22">
        <f>IFERROR(__xludf.DUMMYFUNCTION("""COMPUTED_VALUE"""),500000.0)</f>
        <v>500000</v>
      </c>
      <c r="G4307" s="22">
        <f>IFERROR(__xludf.DUMMYFUNCTION("""COMPUTED_VALUE"""),0.0)</f>
        <v>0</v>
      </c>
      <c r="H4307" s="22">
        <f>IFERROR(__xludf.DUMMYFUNCTION("""COMPUTED_VALUE"""),500000.0)</f>
        <v>500000</v>
      </c>
      <c r="I4307" s="24">
        <f>IFERROR(__xludf.DUMMYFUNCTION("""COMPUTED_VALUE"""),0.0)</f>
        <v>0</v>
      </c>
    </row>
    <row r="4308">
      <c r="A4308" s="5" t="str">
        <f>IFERROR(__xludf.DUMMYFUNCTION("""COMPUTED_VALUE"""),"46763")</f>
        <v>46763</v>
      </c>
      <c r="B4308" s="64">
        <f>IFERROR(__xludf.DUMMYFUNCTION("""COMPUTED_VALUE"""),44612.0)</f>
        <v>44612</v>
      </c>
      <c r="C4308" s="5"/>
      <c r="D4308" s="5"/>
      <c r="E4308" s="5"/>
      <c r="F4308" s="22">
        <f>IFERROR(__xludf.DUMMYFUNCTION("""COMPUTED_VALUE"""),500000.0)</f>
        <v>500000</v>
      </c>
      <c r="G4308" s="22">
        <f>IFERROR(__xludf.DUMMYFUNCTION("""COMPUTED_VALUE"""),0.0)</f>
        <v>0</v>
      </c>
      <c r="H4308" s="22">
        <f>IFERROR(__xludf.DUMMYFUNCTION("""COMPUTED_VALUE"""),500000.0)</f>
        <v>500000</v>
      </c>
      <c r="I4308" s="24">
        <f>IFERROR(__xludf.DUMMYFUNCTION("""COMPUTED_VALUE"""),0.0)</f>
        <v>0</v>
      </c>
    </row>
    <row r="4309">
      <c r="A4309" s="5" t="str">
        <f>IFERROR(__xludf.DUMMYFUNCTION("""COMPUTED_VALUE"""),"46763")</f>
        <v>46763</v>
      </c>
      <c r="B4309" s="64">
        <f>IFERROR(__xludf.DUMMYFUNCTION("""COMPUTED_VALUE"""),44613.0)</f>
        <v>44613</v>
      </c>
      <c r="C4309" s="5"/>
      <c r="D4309" s="5"/>
      <c r="E4309" s="5"/>
      <c r="F4309" s="22">
        <f>IFERROR(__xludf.DUMMYFUNCTION("""COMPUTED_VALUE"""),500000.0)</f>
        <v>500000</v>
      </c>
      <c r="G4309" s="22">
        <f>IFERROR(__xludf.DUMMYFUNCTION("""COMPUTED_VALUE"""),0.0)</f>
        <v>0</v>
      </c>
      <c r="H4309" s="22">
        <f>IFERROR(__xludf.DUMMYFUNCTION("""COMPUTED_VALUE"""),500000.0)</f>
        <v>500000</v>
      </c>
      <c r="I4309" s="24">
        <f>IFERROR(__xludf.DUMMYFUNCTION("""COMPUTED_VALUE"""),0.0)</f>
        <v>0</v>
      </c>
    </row>
    <row r="4310">
      <c r="A4310" s="5" t="str">
        <f>IFERROR(__xludf.DUMMYFUNCTION("""COMPUTED_VALUE"""),"46763")</f>
        <v>46763</v>
      </c>
      <c r="B4310" s="64">
        <f>IFERROR(__xludf.DUMMYFUNCTION("""COMPUTED_VALUE"""),44614.0)</f>
        <v>44614</v>
      </c>
      <c r="C4310" s="5"/>
      <c r="D4310" s="5"/>
      <c r="E4310" s="5"/>
      <c r="F4310" s="22">
        <f>IFERROR(__xludf.DUMMYFUNCTION("""COMPUTED_VALUE"""),500000.0)</f>
        <v>500000</v>
      </c>
      <c r="G4310" s="22">
        <f>IFERROR(__xludf.DUMMYFUNCTION("""COMPUTED_VALUE"""),0.0)</f>
        <v>0</v>
      </c>
      <c r="H4310" s="22">
        <f>IFERROR(__xludf.DUMMYFUNCTION("""COMPUTED_VALUE"""),500000.0)</f>
        <v>500000</v>
      </c>
      <c r="I4310" s="24">
        <f>IFERROR(__xludf.DUMMYFUNCTION("""COMPUTED_VALUE"""),0.0)</f>
        <v>0</v>
      </c>
    </row>
    <row r="4311">
      <c r="A4311" s="5" t="str">
        <f>IFERROR(__xludf.DUMMYFUNCTION("""COMPUTED_VALUE"""),"46763")</f>
        <v>46763</v>
      </c>
      <c r="B4311" s="64">
        <f>IFERROR(__xludf.DUMMYFUNCTION("""COMPUTED_VALUE"""),44615.0)</f>
        <v>44615</v>
      </c>
      <c r="C4311" s="5"/>
      <c r="D4311" s="5"/>
      <c r="E4311" s="5"/>
      <c r="F4311" s="22">
        <f>IFERROR(__xludf.DUMMYFUNCTION("""COMPUTED_VALUE"""),500000.0)</f>
        <v>500000</v>
      </c>
      <c r="G4311" s="22">
        <f>IFERROR(__xludf.DUMMYFUNCTION("""COMPUTED_VALUE"""),0.0)</f>
        <v>0</v>
      </c>
      <c r="H4311" s="22">
        <f>IFERROR(__xludf.DUMMYFUNCTION("""COMPUTED_VALUE"""),500000.0)</f>
        <v>500000</v>
      </c>
      <c r="I4311" s="24">
        <f>IFERROR(__xludf.DUMMYFUNCTION("""COMPUTED_VALUE"""),0.0)</f>
        <v>0</v>
      </c>
    </row>
    <row r="4312">
      <c r="A4312" s="5" t="str">
        <f>IFERROR(__xludf.DUMMYFUNCTION("""COMPUTED_VALUE"""),"46763")</f>
        <v>46763</v>
      </c>
      <c r="B4312" s="64">
        <f>IFERROR(__xludf.DUMMYFUNCTION("""COMPUTED_VALUE"""),44616.0)</f>
        <v>44616</v>
      </c>
      <c r="C4312" s="5"/>
      <c r="D4312" s="5"/>
      <c r="E4312" s="5"/>
      <c r="F4312" s="22">
        <f>IFERROR(__xludf.DUMMYFUNCTION("""COMPUTED_VALUE"""),500000.0)</f>
        <v>500000</v>
      </c>
      <c r="G4312" s="22">
        <f>IFERROR(__xludf.DUMMYFUNCTION("""COMPUTED_VALUE"""),0.0)</f>
        <v>0</v>
      </c>
      <c r="H4312" s="22">
        <f>IFERROR(__xludf.DUMMYFUNCTION("""COMPUTED_VALUE"""),500000.0)</f>
        <v>500000</v>
      </c>
      <c r="I4312" s="24">
        <f>IFERROR(__xludf.DUMMYFUNCTION("""COMPUTED_VALUE"""),0.0)</f>
        <v>0</v>
      </c>
    </row>
    <row r="4313">
      <c r="A4313" s="5" t="str">
        <f>IFERROR(__xludf.DUMMYFUNCTION("""COMPUTED_VALUE"""),"46763")</f>
        <v>46763</v>
      </c>
      <c r="B4313" s="64">
        <f>IFERROR(__xludf.DUMMYFUNCTION("""COMPUTED_VALUE"""),44617.0)</f>
        <v>44617</v>
      </c>
      <c r="C4313" s="5"/>
      <c r="D4313" s="5"/>
      <c r="E4313" s="5"/>
      <c r="F4313" s="22">
        <f>IFERROR(__xludf.DUMMYFUNCTION("""COMPUTED_VALUE"""),500000.0)</f>
        <v>500000</v>
      </c>
      <c r="G4313" s="22">
        <f>IFERROR(__xludf.DUMMYFUNCTION("""COMPUTED_VALUE"""),0.0)</f>
        <v>0</v>
      </c>
      <c r="H4313" s="22">
        <f>IFERROR(__xludf.DUMMYFUNCTION("""COMPUTED_VALUE"""),500000.0)</f>
        <v>500000</v>
      </c>
      <c r="I4313" s="24">
        <f>IFERROR(__xludf.DUMMYFUNCTION("""COMPUTED_VALUE"""),0.0)</f>
        <v>0</v>
      </c>
    </row>
    <row r="4314">
      <c r="A4314" s="5" t="str">
        <f>IFERROR(__xludf.DUMMYFUNCTION("""COMPUTED_VALUE"""),"46763")</f>
        <v>46763</v>
      </c>
      <c r="B4314" s="64">
        <f>IFERROR(__xludf.DUMMYFUNCTION("""COMPUTED_VALUE"""),44618.0)</f>
        <v>44618</v>
      </c>
      <c r="C4314" s="5"/>
      <c r="D4314" s="5"/>
      <c r="E4314" s="5"/>
      <c r="F4314" s="22">
        <f>IFERROR(__xludf.DUMMYFUNCTION("""COMPUTED_VALUE"""),500000.0)</f>
        <v>500000</v>
      </c>
      <c r="G4314" s="22">
        <f>IFERROR(__xludf.DUMMYFUNCTION("""COMPUTED_VALUE"""),0.0)</f>
        <v>0</v>
      </c>
      <c r="H4314" s="22">
        <f>IFERROR(__xludf.DUMMYFUNCTION("""COMPUTED_VALUE"""),500000.0)</f>
        <v>500000</v>
      </c>
      <c r="I4314" s="24">
        <f>IFERROR(__xludf.DUMMYFUNCTION("""COMPUTED_VALUE"""),0.0)</f>
        <v>0</v>
      </c>
    </row>
    <row r="4315">
      <c r="A4315" s="5" t="str">
        <f>IFERROR(__xludf.DUMMYFUNCTION("""COMPUTED_VALUE"""),"46763")</f>
        <v>46763</v>
      </c>
      <c r="B4315" s="64">
        <f>IFERROR(__xludf.DUMMYFUNCTION("""COMPUTED_VALUE"""),44619.0)</f>
        <v>44619</v>
      </c>
      <c r="C4315" s="5"/>
      <c r="D4315" s="5"/>
      <c r="E4315" s="5"/>
      <c r="F4315" s="22">
        <f>IFERROR(__xludf.DUMMYFUNCTION("""COMPUTED_VALUE"""),500000.0)</f>
        <v>500000</v>
      </c>
      <c r="G4315" s="22">
        <f>IFERROR(__xludf.DUMMYFUNCTION("""COMPUTED_VALUE"""),0.0)</f>
        <v>0</v>
      </c>
      <c r="H4315" s="22">
        <f>IFERROR(__xludf.DUMMYFUNCTION("""COMPUTED_VALUE"""),500000.0)</f>
        <v>500000</v>
      </c>
      <c r="I4315" s="24">
        <f>IFERROR(__xludf.DUMMYFUNCTION("""COMPUTED_VALUE"""),0.0)</f>
        <v>0</v>
      </c>
    </row>
    <row r="4316">
      <c r="A4316" s="5" t="str">
        <f>IFERROR(__xludf.DUMMYFUNCTION("""COMPUTED_VALUE"""),"46763")</f>
        <v>46763</v>
      </c>
      <c r="B4316" s="64">
        <f>IFERROR(__xludf.DUMMYFUNCTION("""COMPUTED_VALUE"""),44620.0)</f>
        <v>44620</v>
      </c>
      <c r="C4316" s="5"/>
      <c r="D4316" s="5"/>
      <c r="E4316" s="5"/>
      <c r="F4316" s="22">
        <f>IFERROR(__xludf.DUMMYFUNCTION("""COMPUTED_VALUE"""),500000.0)</f>
        <v>500000</v>
      </c>
      <c r="G4316" s="22">
        <f>IFERROR(__xludf.DUMMYFUNCTION("""COMPUTED_VALUE"""),0.0)</f>
        <v>0</v>
      </c>
      <c r="H4316" s="22">
        <f>IFERROR(__xludf.DUMMYFUNCTION("""COMPUTED_VALUE"""),500000.0)</f>
        <v>500000</v>
      </c>
      <c r="I4316" s="24">
        <f>IFERROR(__xludf.DUMMYFUNCTION("""COMPUTED_VALUE"""),0.0)</f>
        <v>0</v>
      </c>
    </row>
    <row r="4317">
      <c r="A4317" s="5" t="str">
        <f>IFERROR(__xludf.DUMMYFUNCTION("""COMPUTED_VALUE"""),"46763")</f>
        <v>46763</v>
      </c>
      <c r="B4317" s="64">
        <f>IFERROR(__xludf.DUMMYFUNCTION("""COMPUTED_VALUE"""),44621.0)</f>
        <v>44621</v>
      </c>
      <c r="C4317" s="5"/>
      <c r="D4317" s="5"/>
      <c r="E4317" s="5"/>
      <c r="F4317" s="22">
        <f>IFERROR(__xludf.DUMMYFUNCTION("""COMPUTED_VALUE"""),500000.0)</f>
        <v>500000</v>
      </c>
      <c r="G4317" s="22">
        <f>IFERROR(__xludf.DUMMYFUNCTION("""COMPUTED_VALUE"""),0.0)</f>
        <v>0</v>
      </c>
      <c r="H4317" s="22">
        <f>IFERROR(__xludf.DUMMYFUNCTION("""COMPUTED_VALUE"""),500000.0)</f>
        <v>500000</v>
      </c>
      <c r="I4317" s="24">
        <f>IFERROR(__xludf.DUMMYFUNCTION("""COMPUTED_VALUE"""),0.0)</f>
        <v>0</v>
      </c>
    </row>
    <row r="4318">
      <c r="A4318" s="5" t="str">
        <f>IFERROR(__xludf.DUMMYFUNCTION("""COMPUTED_VALUE"""),"46763")</f>
        <v>46763</v>
      </c>
      <c r="B4318" s="64">
        <f>IFERROR(__xludf.DUMMYFUNCTION("""COMPUTED_VALUE"""),44622.0)</f>
        <v>44622</v>
      </c>
      <c r="C4318" s="5"/>
      <c r="D4318" s="5"/>
      <c r="E4318" s="5"/>
      <c r="F4318" s="22">
        <f>IFERROR(__xludf.DUMMYFUNCTION("""COMPUTED_VALUE"""),500000.0)</f>
        <v>500000</v>
      </c>
      <c r="G4318" s="22">
        <f>IFERROR(__xludf.DUMMYFUNCTION("""COMPUTED_VALUE"""),0.0)</f>
        <v>0</v>
      </c>
      <c r="H4318" s="22">
        <f>IFERROR(__xludf.DUMMYFUNCTION("""COMPUTED_VALUE"""),500000.0)</f>
        <v>500000</v>
      </c>
      <c r="I4318" s="24">
        <f>IFERROR(__xludf.DUMMYFUNCTION("""COMPUTED_VALUE"""),0.0)</f>
        <v>0</v>
      </c>
    </row>
    <row r="4319">
      <c r="A4319" s="5" t="str">
        <f>IFERROR(__xludf.DUMMYFUNCTION("""COMPUTED_VALUE"""),"46763")</f>
        <v>46763</v>
      </c>
      <c r="B4319" s="64">
        <f>IFERROR(__xludf.DUMMYFUNCTION("""COMPUTED_VALUE"""),44623.0)</f>
        <v>44623</v>
      </c>
      <c r="C4319" s="5"/>
      <c r="D4319" s="5"/>
      <c r="E4319" s="5"/>
      <c r="F4319" s="22">
        <f>IFERROR(__xludf.DUMMYFUNCTION("""COMPUTED_VALUE"""),500000.0)</f>
        <v>500000</v>
      </c>
      <c r="G4319" s="22">
        <f>IFERROR(__xludf.DUMMYFUNCTION("""COMPUTED_VALUE"""),0.0)</f>
        <v>0</v>
      </c>
      <c r="H4319" s="22">
        <f>IFERROR(__xludf.DUMMYFUNCTION("""COMPUTED_VALUE"""),500000.0)</f>
        <v>500000</v>
      </c>
      <c r="I4319" s="24">
        <f>IFERROR(__xludf.DUMMYFUNCTION("""COMPUTED_VALUE"""),0.0)</f>
        <v>0</v>
      </c>
    </row>
    <row r="4320">
      <c r="A4320" s="5" t="str">
        <f>IFERROR(__xludf.DUMMYFUNCTION("""COMPUTED_VALUE"""),"46763")</f>
        <v>46763</v>
      </c>
      <c r="B4320" s="64">
        <f>IFERROR(__xludf.DUMMYFUNCTION("""COMPUTED_VALUE"""),44624.0)</f>
        <v>44624</v>
      </c>
      <c r="C4320" s="5"/>
      <c r="D4320" s="5"/>
      <c r="E4320" s="5"/>
      <c r="F4320" s="22">
        <f>IFERROR(__xludf.DUMMYFUNCTION("""COMPUTED_VALUE"""),500000.0)</f>
        <v>500000</v>
      </c>
      <c r="G4320" s="22">
        <f>IFERROR(__xludf.DUMMYFUNCTION("""COMPUTED_VALUE"""),0.0)</f>
        <v>0</v>
      </c>
      <c r="H4320" s="22">
        <f>IFERROR(__xludf.DUMMYFUNCTION("""COMPUTED_VALUE"""),500000.0)</f>
        <v>500000</v>
      </c>
      <c r="I4320" s="24">
        <f>IFERROR(__xludf.DUMMYFUNCTION("""COMPUTED_VALUE"""),0.0)</f>
        <v>0</v>
      </c>
    </row>
    <row r="4321">
      <c r="A4321" s="5" t="str">
        <f>IFERROR(__xludf.DUMMYFUNCTION("""COMPUTED_VALUE"""),"46763")</f>
        <v>46763</v>
      </c>
      <c r="B4321" s="64">
        <f>IFERROR(__xludf.DUMMYFUNCTION("""COMPUTED_VALUE"""),44625.0)</f>
        <v>44625</v>
      </c>
      <c r="C4321" s="5"/>
      <c r="D4321" s="5"/>
      <c r="E4321" s="5"/>
      <c r="F4321" s="22">
        <f>IFERROR(__xludf.DUMMYFUNCTION("""COMPUTED_VALUE"""),500000.0)</f>
        <v>500000</v>
      </c>
      <c r="G4321" s="22">
        <f>IFERROR(__xludf.DUMMYFUNCTION("""COMPUTED_VALUE"""),0.0)</f>
        <v>0</v>
      </c>
      <c r="H4321" s="22">
        <f>IFERROR(__xludf.DUMMYFUNCTION("""COMPUTED_VALUE"""),500000.0)</f>
        <v>500000</v>
      </c>
      <c r="I4321" s="24">
        <f>IFERROR(__xludf.DUMMYFUNCTION("""COMPUTED_VALUE"""),0.0)</f>
        <v>0</v>
      </c>
    </row>
    <row r="4322">
      <c r="A4322" s="5" t="str">
        <f>IFERROR(__xludf.DUMMYFUNCTION("""COMPUTED_VALUE"""),"46763")</f>
        <v>46763</v>
      </c>
      <c r="B4322" s="64">
        <f>IFERROR(__xludf.DUMMYFUNCTION("""COMPUTED_VALUE"""),44626.0)</f>
        <v>44626</v>
      </c>
      <c r="C4322" s="5"/>
      <c r="D4322" s="5"/>
      <c r="E4322" s="5"/>
      <c r="F4322" s="22">
        <f>IFERROR(__xludf.DUMMYFUNCTION("""COMPUTED_VALUE"""),500000.0)</f>
        <v>500000</v>
      </c>
      <c r="G4322" s="22">
        <f>IFERROR(__xludf.DUMMYFUNCTION("""COMPUTED_VALUE"""),0.0)</f>
        <v>0</v>
      </c>
      <c r="H4322" s="22">
        <f>IFERROR(__xludf.DUMMYFUNCTION("""COMPUTED_VALUE"""),500000.0)</f>
        <v>500000</v>
      </c>
      <c r="I4322" s="24">
        <f>IFERROR(__xludf.DUMMYFUNCTION("""COMPUTED_VALUE"""),0.0)</f>
        <v>0</v>
      </c>
    </row>
    <row r="4323">
      <c r="A4323" s="5" t="str">
        <f>IFERROR(__xludf.DUMMYFUNCTION("""COMPUTED_VALUE"""),"46763")</f>
        <v>46763</v>
      </c>
      <c r="B4323" s="64">
        <f>IFERROR(__xludf.DUMMYFUNCTION("""COMPUTED_VALUE"""),44627.0)</f>
        <v>44627</v>
      </c>
      <c r="C4323" s="5"/>
      <c r="D4323" s="5"/>
      <c r="E4323" s="5"/>
      <c r="F4323" s="22">
        <f>IFERROR(__xludf.DUMMYFUNCTION("""COMPUTED_VALUE"""),500000.0)</f>
        <v>500000</v>
      </c>
      <c r="G4323" s="22">
        <f>IFERROR(__xludf.DUMMYFUNCTION("""COMPUTED_VALUE"""),0.0)</f>
        <v>0</v>
      </c>
      <c r="H4323" s="22">
        <f>IFERROR(__xludf.DUMMYFUNCTION("""COMPUTED_VALUE"""),500000.0)</f>
        <v>500000</v>
      </c>
      <c r="I4323" s="24">
        <f>IFERROR(__xludf.DUMMYFUNCTION("""COMPUTED_VALUE"""),0.0)</f>
        <v>0</v>
      </c>
    </row>
    <row r="4324">
      <c r="A4324" s="5" t="str">
        <f>IFERROR(__xludf.DUMMYFUNCTION("""COMPUTED_VALUE"""),"46763")</f>
        <v>46763</v>
      </c>
      <c r="B4324" s="64">
        <f>IFERROR(__xludf.DUMMYFUNCTION("""COMPUTED_VALUE"""),44628.0)</f>
        <v>44628</v>
      </c>
      <c r="C4324" s="5"/>
      <c r="D4324" s="5"/>
      <c r="E4324" s="5"/>
      <c r="F4324" s="22">
        <f>IFERROR(__xludf.DUMMYFUNCTION("""COMPUTED_VALUE"""),500000.0)</f>
        <v>500000</v>
      </c>
      <c r="G4324" s="22">
        <f>IFERROR(__xludf.DUMMYFUNCTION("""COMPUTED_VALUE"""),0.0)</f>
        <v>0</v>
      </c>
      <c r="H4324" s="22">
        <f>IFERROR(__xludf.DUMMYFUNCTION("""COMPUTED_VALUE"""),500750.0)</f>
        <v>500750</v>
      </c>
      <c r="I4324" s="24">
        <f>IFERROR(__xludf.DUMMYFUNCTION("""COMPUTED_VALUE"""),0.0015000000000000568)</f>
        <v>0.0015</v>
      </c>
    </row>
    <row r="4325">
      <c r="A4325" s="5" t="str">
        <f>IFERROR(__xludf.DUMMYFUNCTION("""COMPUTED_VALUE"""),"46763")</f>
        <v>46763</v>
      </c>
      <c r="B4325" s="64">
        <f>IFERROR(__xludf.DUMMYFUNCTION("""COMPUTED_VALUE"""),44629.0)</f>
        <v>44629</v>
      </c>
      <c r="C4325" s="5"/>
      <c r="D4325" s="5"/>
      <c r="E4325" s="5"/>
      <c r="F4325" s="22">
        <f>IFERROR(__xludf.DUMMYFUNCTION("""COMPUTED_VALUE"""),500000.0)</f>
        <v>500000</v>
      </c>
      <c r="G4325" s="22">
        <f>IFERROR(__xludf.DUMMYFUNCTION("""COMPUTED_VALUE"""),0.0)</f>
        <v>0</v>
      </c>
      <c r="H4325" s="22">
        <f>IFERROR(__xludf.DUMMYFUNCTION("""COMPUTED_VALUE"""),500675.0)</f>
        <v>500675</v>
      </c>
      <c r="I4325" s="24">
        <f>IFERROR(__xludf.DUMMYFUNCTION("""COMPUTED_VALUE"""),0.0013499999999999623)</f>
        <v>0.00135</v>
      </c>
    </row>
    <row r="4326">
      <c r="A4326" s="5" t="str">
        <f>IFERROR(__xludf.DUMMYFUNCTION("""COMPUTED_VALUE"""),"46763")</f>
        <v>46763</v>
      </c>
      <c r="B4326" s="64">
        <f>IFERROR(__xludf.DUMMYFUNCTION("""COMPUTED_VALUE"""),44630.0)</f>
        <v>44630</v>
      </c>
      <c r="C4326" s="5"/>
      <c r="D4326" s="5"/>
      <c r="E4326" s="5"/>
      <c r="F4326" s="22">
        <f>IFERROR(__xludf.DUMMYFUNCTION("""COMPUTED_VALUE"""),500000.0)</f>
        <v>500000</v>
      </c>
      <c r="G4326" s="22">
        <f>IFERROR(__xludf.DUMMYFUNCTION("""COMPUTED_VALUE"""),0.0)</f>
        <v>0</v>
      </c>
      <c r="H4326" s="22">
        <f>IFERROR(__xludf.DUMMYFUNCTION("""COMPUTED_VALUE"""),503750.0)</f>
        <v>503750</v>
      </c>
      <c r="I4326" s="24">
        <f>IFERROR(__xludf.DUMMYFUNCTION("""COMPUTED_VALUE"""),0.007500000000000062)</f>
        <v>0.0075</v>
      </c>
    </row>
    <row r="4327">
      <c r="A4327" s="5" t="str">
        <f>IFERROR(__xludf.DUMMYFUNCTION("""COMPUTED_VALUE"""),"46763")</f>
        <v>46763</v>
      </c>
      <c r="B4327" s="64">
        <f>IFERROR(__xludf.DUMMYFUNCTION("""COMPUTED_VALUE"""),44631.0)</f>
        <v>44631</v>
      </c>
      <c r="C4327" s="5"/>
      <c r="D4327" s="5"/>
      <c r="E4327" s="5"/>
      <c r="F4327" s="22">
        <f>IFERROR(__xludf.DUMMYFUNCTION("""COMPUTED_VALUE"""),500000.0)</f>
        <v>500000</v>
      </c>
      <c r="G4327" s="22">
        <f>IFERROR(__xludf.DUMMYFUNCTION("""COMPUTED_VALUE"""),0.0)</f>
        <v>0</v>
      </c>
      <c r="H4327" s="22">
        <f>IFERROR(__xludf.DUMMYFUNCTION("""COMPUTED_VALUE"""),503075.0)</f>
        <v>503075</v>
      </c>
      <c r="I4327" s="24">
        <f>IFERROR(__xludf.DUMMYFUNCTION("""COMPUTED_VALUE"""),0.0061500000000001)</f>
        <v>0.00615</v>
      </c>
    </row>
    <row r="4328">
      <c r="A4328" s="5" t="str">
        <f>IFERROR(__xludf.DUMMYFUNCTION("""COMPUTED_VALUE"""),"46763")</f>
        <v>46763</v>
      </c>
      <c r="B4328" s="64">
        <f>IFERROR(__xludf.DUMMYFUNCTION("""COMPUTED_VALUE"""),44632.0)</f>
        <v>44632</v>
      </c>
      <c r="C4328" s="5"/>
      <c r="D4328" s="5"/>
      <c r="E4328" s="5"/>
      <c r="F4328" s="22">
        <f>IFERROR(__xludf.DUMMYFUNCTION("""COMPUTED_VALUE"""),500000.0)</f>
        <v>500000</v>
      </c>
      <c r="G4328" s="22">
        <f>IFERROR(__xludf.DUMMYFUNCTION("""COMPUTED_VALUE"""),0.0)</f>
        <v>0</v>
      </c>
      <c r="H4328" s="22">
        <f>IFERROR(__xludf.DUMMYFUNCTION("""COMPUTED_VALUE"""),503075.0)</f>
        <v>503075</v>
      </c>
      <c r="I4328" s="24">
        <f>IFERROR(__xludf.DUMMYFUNCTION("""COMPUTED_VALUE"""),0.0061500000000001)</f>
        <v>0.00615</v>
      </c>
    </row>
    <row r="4329">
      <c r="A4329" s="5" t="str">
        <f>IFERROR(__xludf.DUMMYFUNCTION("""COMPUTED_VALUE"""),"46763")</f>
        <v>46763</v>
      </c>
      <c r="B4329" s="64">
        <f>IFERROR(__xludf.DUMMYFUNCTION("""COMPUTED_VALUE"""),44633.0)</f>
        <v>44633</v>
      </c>
      <c r="C4329" s="5"/>
      <c r="D4329" s="5"/>
      <c r="E4329" s="5"/>
      <c r="F4329" s="22">
        <f>IFERROR(__xludf.DUMMYFUNCTION("""COMPUTED_VALUE"""),500000.0)</f>
        <v>500000</v>
      </c>
      <c r="G4329" s="22">
        <f>IFERROR(__xludf.DUMMYFUNCTION("""COMPUTED_VALUE"""),0.0)</f>
        <v>0</v>
      </c>
      <c r="H4329" s="22">
        <f>IFERROR(__xludf.DUMMYFUNCTION("""COMPUTED_VALUE"""),503075.0)</f>
        <v>503075</v>
      </c>
      <c r="I4329" s="24">
        <f>IFERROR(__xludf.DUMMYFUNCTION("""COMPUTED_VALUE"""),0.0061500000000001)</f>
        <v>0.00615</v>
      </c>
    </row>
    <row r="4330">
      <c r="A4330" s="5" t="str">
        <f>IFERROR(__xludf.DUMMYFUNCTION("""COMPUTED_VALUE"""),"46763")</f>
        <v>46763</v>
      </c>
      <c r="B4330" s="64">
        <f>IFERROR(__xludf.DUMMYFUNCTION("""COMPUTED_VALUE"""),44634.0)</f>
        <v>44634</v>
      </c>
      <c r="C4330" s="5"/>
      <c r="D4330" s="5"/>
      <c r="E4330" s="5"/>
      <c r="F4330" s="22">
        <f>IFERROR(__xludf.DUMMYFUNCTION("""COMPUTED_VALUE"""),500000.0)</f>
        <v>500000</v>
      </c>
      <c r="G4330" s="22">
        <f>IFERROR(__xludf.DUMMYFUNCTION("""COMPUTED_VALUE"""),0.0)</f>
        <v>0</v>
      </c>
      <c r="H4330" s="22">
        <f>IFERROR(__xludf.DUMMYFUNCTION("""COMPUTED_VALUE"""),502700.0)</f>
        <v>502700</v>
      </c>
      <c r="I4330" s="24">
        <f>IFERROR(__xludf.DUMMYFUNCTION("""COMPUTED_VALUE"""),0.005400000000000071)</f>
        <v>0.0054</v>
      </c>
    </row>
    <row r="4331">
      <c r="A4331" s="5" t="str">
        <f>IFERROR(__xludf.DUMMYFUNCTION("""COMPUTED_VALUE"""),"46763")</f>
        <v>46763</v>
      </c>
      <c r="B4331" s="64">
        <f>IFERROR(__xludf.DUMMYFUNCTION("""COMPUTED_VALUE"""),44635.0)</f>
        <v>44635</v>
      </c>
      <c r="C4331" s="5"/>
      <c r="D4331" s="5"/>
      <c r="E4331" s="5"/>
      <c r="F4331" s="22">
        <f>IFERROR(__xludf.DUMMYFUNCTION("""COMPUTED_VALUE"""),500000.0)</f>
        <v>500000</v>
      </c>
      <c r="G4331" s="22">
        <f>IFERROR(__xludf.DUMMYFUNCTION("""COMPUTED_VALUE"""),0.0)</f>
        <v>0</v>
      </c>
      <c r="H4331" s="22">
        <f>IFERROR(__xludf.DUMMYFUNCTION("""COMPUTED_VALUE"""),499025.0)</f>
        <v>499025</v>
      </c>
      <c r="I4331" s="24">
        <f>IFERROR(__xludf.DUMMYFUNCTION("""COMPUTED_VALUE"""),-0.0019500000000000073)</f>
        <v>-0.00195</v>
      </c>
    </row>
    <row r="4332">
      <c r="A4332" s="5" t="str">
        <f>IFERROR(__xludf.DUMMYFUNCTION("""COMPUTED_VALUE"""),"46763")</f>
        <v>46763</v>
      </c>
      <c r="B4332" s="64">
        <f>IFERROR(__xludf.DUMMYFUNCTION("""COMPUTED_VALUE"""),44636.0)</f>
        <v>44636</v>
      </c>
      <c r="C4332" s="5"/>
      <c r="D4332" s="5"/>
      <c r="E4332" s="5"/>
      <c r="F4332" s="22">
        <f>IFERROR(__xludf.DUMMYFUNCTION("""COMPUTED_VALUE"""),500000.0)</f>
        <v>500000</v>
      </c>
      <c r="G4332" s="22">
        <f>IFERROR(__xludf.DUMMYFUNCTION("""COMPUTED_VALUE"""),0.0)</f>
        <v>0</v>
      </c>
      <c r="H4332" s="22">
        <f>IFERROR(__xludf.DUMMYFUNCTION("""COMPUTED_VALUE"""),503675.0)</f>
        <v>503675</v>
      </c>
      <c r="I4332" s="24">
        <f>IFERROR(__xludf.DUMMYFUNCTION("""COMPUTED_VALUE"""),0.007349999999999968)</f>
        <v>0.00735</v>
      </c>
    </row>
    <row r="4333">
      <c r="A4333" s="5" t="str">
        <f>IFERROR(__xludf.DUMMYFUNCTION("""COMPUTED_VALUE"""),"46763")</f>
        <v>46763</v>
      </c>
      <c r="B4333" s="64">
        <f>IFERROR(__xludf.DUMMYFUNCTION("""COMPUTED_VALUE"""),44637.0)</f>
        <v>44637</v>
      </c>
      <c r="C4333" s="5"/>
      <c r="D4333" s="5"/>
      <c r="E4333" s="5"/>
      <c r="F4333" s="22">
        <f>IFERROR(__xludf.DUMMYFUNCTION("""COMPUTED_VALUE"""),500000.0)</f>
        <v>500000</v>
      </c>
      <c r="G4333" s="22">
        <f>IFERROR(__xludf.DUMMYFUNCTION("""COMPUTED_VALUE"""),0.0)</f>
        <v>0</v>
      </c>
      <c r="H4333" s="22">
        <f>IFERROR(__xludf.DUMMYFUNCTION("""COMPUTED_VALUE"""),503050.0)</f>
        <v>503050</v>
      </c>
      <c r="I4333" s="24">
        <f>IFERROR(__xludf.DUMMYFUNCTION("""COMPUTED_VALUE"""),0.006099999999999994)</f>
        <v>0.0061</v>
      </c>
    </row>
    <row r="4334">
      <c r="A4334" s="5" t="str">
        <f>IFERROR(__xludf.DUMMYFUNCTION("""COMPUTED_VALUE"""),"46763")</f>
        <v>46763</v>
      </c>
      <c r="B4334" s="64">
        <f>IFERROR(__xludf.DUMMYFUNCTION("""COMPUTED_VALUE"""),44638.0)</f>
        <v>44638</v>
      </c>
      <c r="C4334" s="5"/>
      <c r="D4334" s="5"/>
      <c r="E4334" s="5"/>
      <c r="F4334" s="22">
        <f>IFERROR(__xludf.DUMMYFUNCTION("""COMPUTED_VALUE"""),500000.0)</f>
        <v>500000</v>
      </c>
      <c r="G4334" s="22">
        <f>IFERROR(__xludf.DUMMYFUNCTION("""COMPUTED_VALUE"""),0.0)</f>
        <v>0</v>
      </c>
      <c r="H4334" s="22">
        <f>IFERROR(__xludf.DUMMYFUNCTION("""COMPUTED_VALUE"""),506800.0)</f>
        <v>506800</v>
      </c>
      <c r="I4334" s="24">
        <f>IFERROR(__xludf.DUMMYFUNCTION("""COMPUTED_VALUE"""),0.013600000000000056)</f>
        <v>0.0136</v>
      </c>
    </row>
    <row r="4335">
      <c r="A4335" s="5" t="str">
        <f>IFERROR(__xludf.DUMMYFUNCTION("""COMPUTED_VALUE"""),"46763")</f>
        <v>46763</v>
      </c>
      <c r="B4335" s="64">
        <f>IFERROR(__xludf.DUMMYFUNCTION("""COMPUTED_VALUE"""),44639.0)</f>
        <v>44639</v>
      </c>
      <c r="C4335" s="5"/>
      <c r="D4335" s="5"/>
      <c r="E4335" s="5"/>
      <c r="F4335" s="22">
        <f>IFERROR(__xludf.DUMMYFUNCTION("""COMPUTED_VALUE"""),500000.0)</f>
        <v>500000</v>
      </c>
      <c r="G4335" s="22">
        <f>IFERROR(__xludf.DUMMYFUNCTION("""COMPUTED_VALUE"""),0.0)</f>
        <v>0</v>
      </c>
      <c r="H4335" s="22">
        <f>IFERROR(__xludf.DUMMYFUNCTION("""COMPUTED_VALUE"""),506800.0)</f>
        <v>506800</v>
      </c>
      <c r="I4335" s="24">
        <f>IFERROR(__xludf.DUMMYFUNCTION("""COMPUTED_VALUE"""),0.013600000000000056)</f>
        <v>0.0136</v>
      </c>
    </row>
    <row r="4336">
      <c r="A4336" s="5" t="str">
        <f>IFERROR(__xludf.DUMMYFUNCTION("""COMPUTED_VALUE"""),"46763")</f>
        <v>46763</v>
      </c>
      <c r="B4336" s="64">
        <f>IFERROR(__xludf.DUMMYFUNCTION("""COMPUTED_VALUE"""),44640.0)</f>
        <v>44640</v>
      </c>
      <c r="C4336" s="5"/>
      <c r="D4336" s="5"/>
      <c r="E4336" s="5"/>
      <c r="F4336" s="22">
        <f>IFERROR(__xludf.DUMMYFUNCTION("""COMPUTED_VALUE"""),500000.0)</f>
        <v>500000</v>
      </c>
      <c r="G4336" s="22">
        <f>IFERROR(__xludf.DUMMYFUNCTION("""COMPUTED_VALUE"""),0.0)</f>
        <v>0</v>
      </c>
      <c r="H4336" s="22">
        <f>IFERROR(__xludf.DUMMYFUNCTION("""COMPUTED_VALUE"""),506800.0)</f>
        <v>506800</v>
      </c>
      <c r="I4336" s="24">
        <f>IFERROR(__xludf.DUMMYFUNCTION("""COMPUTED_VALUE"""),0.013600000000000056)</f>
        <v>0.0136</v>
      </c>
    </row>
    <row r="4337">
      <c r="A4337" s="5" t="str">
        <f>IFERROR(__xludf.DUMMYFUNCTION("""COMPUTED_VALUE"""),"46763")</f>
        <v>46763</v>
      </c>
      <c r="B4337" s="64">
        <f>IFERROR(__xludf.DUMMYFUNCTION("""COMPUTED_VALUE"""),44641.0)</f>
        <v>44641</v>
      </c>
      <c r="C4337" s="5"/>
      <c r="D4337" s="5"/>
      <c r="E4337" s="5"/>
      <c r="F4337" s="22">
        <f>IFERROR(__xludf.DUMMYFUNCTION("""COMPUTED_VALUE"""),500000.0)</f>
        <v>500000</v>
      </c>
      <c r="G4337" s="22">
        <f>IFERROR(__xludf.DUMMYFUNCTION("""COMPUTED_VALUE"""),0.0)</f>
        <v>0</v>
      </c>
      <c r="H4337" s="22">
        <f>IFERROR(__xludf.DUMMYFUNCTION("""COMPUTED_VALUE"""),504775.0)</f>
        <v>504775</v>
      </c>
      <c r="I4337" s="24">
        <f>IFERROR(__xludf.DUMMYFUNCTION("""COMPUTED_VALUE"""),0.009549999999999947)</f>
        <v>0.00955</v>
      </c>
    </row>
    <row r="4338">
      <c r="A4338" s="5" t="str">
        <f>IFERROR(__xludf.DUMMYFUNCTION("""COMPUTED_VALUE"""),"46763")</f>
        <v>46763</v>
      </c>
      <c r="B4338" s="64">
        <f>IFERROR(__xludf.DUMMYFUNCTION("""COMPUTED_VALUE"""),44642.0)</f>
        <v>44642</v>
      </c>
      <c r="C4338" s="5"/>
      <c r="D4338" s="5"/>
      <c r="E4338" s="5"/>
      <c r="F4338" s="22">
        <f>IFERROR(__xludf.DUMMYFUNCTION("""COMPUTED_VALUE"""),500000.0)</f>
        <v>500000</v>
      </c>
      <c r="G4338" s="22">
        <f>IFERROR(__xludf.DUMMYFUNCTION("""COMPUTED_VALUE"""),0.0)</f>
        <v>0</v>
      </c>
      <c r="H4338" s="22">
        <f>IFERROR(__xludf.DUMMYFUNCTION("""COMPUTED_VALUE"""),503075.0)</f>
        <v>503075</v>
      </c>
      <c r="I4338" s="24">
        <f>IFERROR(__xludf.DUMMYFUNCTION("""COMPUTED_VALUE"""),0.0061500000000001)</f>
        <v>0.00615</v>
      </c>
    </row>
    <row r="4339">
      <c r="A4339" s="5" t="str">
        <f>IFERROR(__xludf.DUMMYFUNCTION("""COMPUTED_VALUE"""),"46763")</f>
        <v>46763</v>
      </c>
      <c r="B4339" s="64">
        <f>IFERROR(__xludf.DUMMYFUNCTION("""COMPUTED_VALUE"""),44643.0)</f>
        <v>44643</v>
      </c>
      <c r="C4339" s="5"/>
      <c r="D4339" s="5"/>
      <c r="E4339" s="5"/>
      <c r="F4339" s="22">
        <f>IFERROR(__xludf.DUMMYFUNCTION("""COMPUTED_VALUE"""),500000.0)</f>
        <v>500000</v>
      </c>
      <c r="G4339" s="22">
        <f>IFERROR(__xludf.DUMMYFUNCTION("""COMPUTED_VALUE"""),0.0)</f>
        <v>0</v>
      </c>
      <c r="H4339" s="22">
        <f>IFERROR(__xludf.DUMMYFUNCTION("""COMPUTED_VALUE"""),501475.0)</f>
        <v>501475</v>
      </c>
      <c r="I4339" s="24">
        <f>IFERROR(__xludf.DUMMYFUNCTION("""COMPUTED_VALUE"""),0.002950000000000008)</f>
        <v>0.00295</v>
      </c>
    </row>
    <row r="4340">
      <c r="A4340" s="5" t="str">
        <f>IFERROR(__xludf.DUMMYFUNCTION("""COMPUTED_VALUE"""),"46763")</f>
        <v>46763</v>
      </c>
      <c r="B4340" s="64">
        <f>IFERROR(__xludf.DUMMYFUNCTION("""COMPUTED_VALUE"""),44644.0)</f>
        <v>44644</v>
      </c>
      <c r="C4340" s="5"/>
      <c r="D4340" s="5"/>
      <c r="E4340" s="5"/>
      <c r="F4340" s="22">
        <f>IFERROR(__xludf.DUMMYFUNCTION("""COMPUTED_VALUE"""),500000.0)</f>
        <v>500000</v>
      </c>
      <c r="G4340" s="22">
        <f>IFERROR(__xludf.DUMMYFUNCTION("""COMPUTED_VALUE"""),0.0)</f>
        <v>0</v>
      </c>
      <c r="H4340" s="22">
        <f>IFERROR(__xludf.DUMMYFUNCTION("""COMPUTED_VALUE"""),502975.0)</f>
        <v>502975</v>
      </c>
      <c r="I4340" s="24">
        <f>IFERROR(__xludf.DUMMYFUNCTION("""COMPUTED_VALUE"""),0.0059499999999999)</f>
        <v>0.00595</v>
      </c>
    </row>
    <row r="4341">
      <c r="A4341" s="5" t="str">
        <f>IFERROR(__xludf.DUMMYFUNCTION("""COMPUTED_VALUE"""),"46763")</f>
        <v>46763</v>
      </c>
      <c r="B4341" s="64">
        <f>IFERROR(__xludf.DUMMYFUNCTION("""COMPUTED_VALUE"""),44645.0)</f>
        <v>44645</v>
      </c>
      <c r="C4341" s="5"/>
      <c r="D4341" s="5"/>
      <c r="E4341" s="5"/>
      <c r="F4341" s="22">
        <f>IFERROR(__xludf.DUMMYFUNCTION("""COMPUTED_VALUE"""),500000.0)</f>
        <v>500000</v>
      </c>
      <c r="G4341" s="22">
        <f>IFERROR(__xludf.DUMMYFUNCTION("""COMPUTED_VALUE"""),0.0)</f>
        <v>0</v>
      </c>
      <c r="H4341" s="22">
        <f>IFERROR(__xludf.DUMMYFUNCTION("""COMPUTED_VALUE"""),504125.0)</f>
        <v>504125</v>
      </c>
      <c r="I4341" s="24">
        <f>IFERROR(__xludf.DUMMYFUNCTION("""COMPUTED_VALUE"""),0.00825000000000009)</f>
        <v>0.00825</v>
      </c>
    </row>
    <row r="4342">
      <c r="A4342" s="5" t="str">
        <f>IFERROR(__xludf.DUMMYFUNCTION("""COMPUTED_VALUE"""),"46763")</f>
        <v>46763</v>
      </c>
      <c r="B4342" s="64">
        <f>IFERROR(__xludf.DUMMYFUNCTION("""COMPUTED_VALUE"""),44646.0)</f>
        <v>44646</v>
      </c>
      <c r="C4342" s="5"/>
      <c r="D4342" s="5"/>
      <c r="E4342" s="5"/>
      <c r="F4342" s="22">
        <f>IFERROR(__xludf.DUMMYFUNCTION("""COMPUTED_VALUE"""),500000.0)</f>
        <v>500000</v>
      </c>
      <c r="G4342" s="22">
        <f>IFERROR(__xludf.DUMMYFUNCTION("""COMPUTED_VALUE"""),0.0)</f>
        <v>0</v>
      </c>
      <c r="H4342" s="22">
        <f>IFERROR(__xludf.DUMMYFUNCTION("""COMPUTED_VALUE"""),504125.0)</f>
        <v>504125</v>
      </c>
      <c r="I4342" s="24">
        <f>IFERROR(__xludf.DUMMYFUNCTION("""COMPUTED_VALUE"""),0.00825000000000009)</f>
        <v>0.00825</v>
      </c>
    </row>
    <row r="4343">
      <c r="A4343" s="5" t="str">
        <f>IFERROR(__xludf.DUMMYFUNCTION("""COMPUTED_VALUE"""),"46763")</f>
        <v>46763</v>
      </c>
      <c r="B4343" s="64">
        <f>IFERROR(__xludf.DUMMYFUNCTION("""COMPUTED_VALUE"""),44647.0)</f>
        <v>44647</v>
      </c>
      <c r="C4343" s="5"/>
      <c r="D4343" s="5"/>
      <c r="E4343" s="5"/>
      <c r="F4343" s="22">
        <f>IFERROR(__xludf.DUMMYFUNCTION("""COMPUTED_VALUE"""),500000.0)</f>
        <v>500000</v>
      </c>
      <c r="G4343" s="22">
        <f>IFERROR(__xludf.DUMMYFUNCTION("""COMPUTED_VALUE"""),0.0)</f>
        <v>0</v>
      </c>
      <c r="H4343" s="22">
        <f>IFERROR(__xludf.DUMMYFUNCTION("""COMPUTED_VALUE"""),504125.0)</f>
        <v>504125</v>
      </c>
      <c r="I4343" s="24">
        <f>IFERROR(__xludf.DUMMYFUNCTION("""COMPUTED_VALUE"""),0.00825000000000009)</f>
        <v>0.00825</v>
      </c>
    </row>
    <row r="4344">
      <c r="A4344" s="5" t="str">
        <f>IFERROR(__xludf.DUMMYFUNCTION("""COMPUTED_VALUE"""),"46763")</f>
        <v>46763</v>
      </c>
      <c r="B4344" s="64">
        <f>IFERROR(__xludf.DUMMYFUNCTION("""COMPUTED_VALUE"""),44648.0)</f>
        <v>44648</v>
      </c>
      <c r="C4344" s="5"/>
      <c r="D4344" s="5"/>
      <c r="E4344" s="5"/>
      <c r="F4344" s="22">
        <f>IFERROR(__xludf.DUMMYFUNCTION("""COMPUTED_VALUE"""),500000.0)</f>
        <v>500000</v>
      </c>
      <c r="G4344" s="22">
        <f>IFERROR(__xludf.DUMMYFUNCTION("""COMPUTED_VALUE"""),0.0)</f>
        <v>0</v>
      </c>
      <c r="H4344" s="22">
        <f>IFERROR(__xludf.DUMMYFUNCTION("""COMPUTED_VALUE"""),503075.0)</f>
        <v>503075</v>
      </c>
      <c r="I4344" s="24">
        <f>IFERROR(__xludf.DUMMYFUNCTION("""COMPUTED_VALUE"""),0.0061500000000001)</f>
        <v>0.00615</v>
      </c>
    </row>
    <row r="4345">
      <c r="A4345" s="5" t="str">
        <f>IFERROR(__xludf.DUMMYFUNCTION("""COMPUTED_VALUE"""),"46763")</f>
        <v>46763</v>
      </c>
      <c r="B4345" s="64">
        <f>IFERROR(__xludf.DUMMYFUNCTION("""COMPUTED_VALUE"""),44649.0)</f>
        <v>44649</v>
      </c>
      <c r="C4345" s="5"/>
      <c r="D4345" s="5"/>
      <c r="E4345" s="5"/>
      <c r="F4345" s="22">
        <f>IFERROR(__xludf.DUMMYFUNCTION("""COMPUTED_VALUE"""),500000.0)</f>
        <v>500000</v>
      </c>
      <c r="G4345" s="22">
        <f>IFERROR(__xludf.DUMMYFUNCTION("""COMPUTED_VALUE"""),0.0)</f>
        <v>0</v>
      </c>
      <c r="H4345" s="22">
        <f>IFERROR(__xludf.DUMMYFUNCTION("""COMPUTED_VALUE"""),503350.0)</f>
        <v>503350</v>
      </c>
      <c r="I4345" s="24">
        <f>IFERROR(__xludf.DUMMYFUNCTION("""COMPUTED_VALUE"""),0.006699999999999928)</f>
        <v>0.0067</v>
      </c>
    </row>
    <row r="4346">
      <c r="A4346" s="5" t="str">
        <f>IFERROR(__xludf.DUMMYFUNCTION("""COMPUTED_VALUE"""),"46763")</f>
        <v>46763</v>
      </c>
      <c r="B4346" s="64">
        <f>IFERROR(__xludf.DUMMYFUNCTION("""COMPUTED_VALUE"""),44650.0)</f>
        <v>44650</v>
      </c>
      <c r="C4346" s="5"/>
      <c r="D4346" s="5"/>
      <c r="E4346" s="5"/>
      <c r="F4346" s="22">
        <f>IFERROR(__xludf.DUMMYFUNCTION("""COMPUTED_VALUE"""),500000.0)</f>
        <v>500000</v>
      </c>
      <c r="G4346" s="22">
        <f>IFERROR(__xludf.DUMMYFUNCTION("""COMPUTED_VALUE"""),0.0)</f>
        <v>0</v>
      </c>
      <c r="H4346" s="22">
        <f>IFERROR(__xludf.DUMMYFUNCTION("""COMPUTED_VALUE"""),504575.0)</f>
        <v>504575</v>
      </c>
      <c r="I4346" s="24">
        <f>IFERROR(__xludf.DUMMYFUNCTION("""COMPUTED_VALUE"""),0.009149999999999991)</f>
        <v>0.00915</v>
      </c>
    </row>
    <row r="4347">
      <c r="A4347" s="5" t="str">
        <f>IFERROR(__xludf.DUMMYFUNCTION("""COMPUTED_VALUE"""),"46763")</f>
        <v>46763</v>
      </c>
      <c r="B4347" s="64">
        <f>IFERROR(__xludf.DUMMYFUNCTION("""COMPUTED_VALUE"""),44651.0)</f>
        <v>44651</v>
      </c>
      <c r="C4347" s="5"/>
      <c r="D4347" s="5"/>
      <c r="E4347" s="5"/>
      <c r="F4347" s="22">
        <f>IFERROR(__xludf.DUMMYFUNCTION("""COMPUTED_VALUE"""),500000.0)</f>
        <v>500000</v>
      </c>
      <c r="G4347" s="22">
        <f>IFERROR(__xludf.DUMMYFUNCTION("""COMPUTED_VALUE"""),0.0)</f>
        <v>0</v>
      </c>
      <c r="H4347" s="22">
        <f>IFERROR(__xludf.DUMMYFUNCTION("""COMPUTED_VALUE"""),502175.0)</f>
        <v>502175</v>
      </c>
      <c r="I4347" s="24">
        <f>IFERROR(__xludf.DUMMYFUNCTION("""COMPUTED_VALUE"""),0.004350000000000076)</f>
        <v>0.00435</v>
      </c>
    </row>
    <row r="4348">
      <c r="A4348" s="5" t="str">
        <f>IFERROR(__xludf.DUMMYFUNCTION("""COMPUTED_VALUE"""),"46763")</f>
        <v>46763</v>
      </c>
      <c r="B4348" s="64">
        <f>IFERROR(__xludf.DUMMYFUNCTION("""COMPUTED_VALUE"""),44652.0)</f>
        <v>44652</v>
      </c>
      <c r="C4348" s="5"/>
      <c r="D4348" s="5"/>
      <c r="E4348" s="5"/>
      <c r="F4348" s="22">
        <f>IFERROR(__xludf.DUMMYFUNCTION("""COMPUTED_VALUE"""),500000.0)</f>
        <v>500000</v>
      </c>
      <c r="G4348" s="22">
        <f>IFERROR(__xludf.DUMMYFUNCTION("""COMPUTED_VALUE"""),0.0)</f>
        <v>0</v>
      </c>
      <c r="H4348" s="22">
        <f>IFERROR(__xludf.DUMMYFUNCTION("""COMPUTED_VALUE"""),503675.0)</f>
        <v>503675</v>
      </c>
      <c r="I4348" s="24">
        <f>IFERROR(__xludf.DUMMYFUNCTION("""COMPUTED_VALUE"""),0.007349999999999968)</f>
        <v>0.00735</v>
      </c>
    </row>
    <row r="4349">
      <c r="A4349" s="5" t="str">
        <f>IFERROR(__xludf.DUMMYFUNCTION("""COMPUTED_VALUE"""),"46763")</f>
        <v>46763</v>
      </c>
      <c r="B4349" s="64">
        <f>IFERROR(__xludf.DUMMYFUNCTION("""COMPUTED_VALUE"""),44653.0)</f>
        <v>44653</v>
      </c>
      <c r="C4349" s="5"/>
      <c r="D4349" s="5"/>
      <c r="E4349" s="5"/>
      <c r="F4349" s="22">
        <f>IFERROR(__xludf.DUMMYFUNCTION("""COMPUTED_VALUE"""),500000.0)</f>
        <v>500000</v>
      </c>
      <c r="G4349" s="22">
        <f>IFERROR(__xludf.DUMMYFUNCTION("""COMPUTED_VALUE"""),0.0)</f>
        <v>0</v>
      </c>
      <c r="H4349" s="22">
        <f>IFERROR(__xludf.DUMMYFUNCTION("""COMPUTED_VALUE"""),503675.0)</f>
        <v>503675</v>
      </c>
      <c r="I4349" s="24">
        <f>IFERROR(__xludf.DUMMYFUNCTION("""COMPUTED_VALUE"""),0.007349999999999968)</f>
        <v>0.00735</v>
      </c>
    </row>
    <row r="4350">
      <c r="A4350" s="5" t="str">
        <f>IFERROR(__xludf.DUMMYFUNCTION("""COMPUTED_VALUE"""),"46763")</f>
        <v>46763</v>
      </c>
      <c r="B4350" s="64">
        <f>IFERROR(__xludf.DUMMYFUNCTION("""COMPUTED_VALUE"""),44654.0)</f>
        <v>44654</v>
      </c>
      <c r="C4350" s="5"/>
      <c r="D4350" s="5"/>
      <c r="E4350" s="5"/>
      <c r="F4350" s="22">
        <f>IFERROR(__xludf.DUMMYFUNCTION("""COMPUTED_VALUE"""),500000.0)</f>
        <v>500000</v>
      </c>
      <c r="G4350" s="22">
        <f>IFERROR(__xludf.DUMMYFUNCTION("""COMPUTED_VALUE"""),0.0)</f>
        <v>0</v>
      </c>
      <c r="H4350" s="22">
        <f>IFERROR(__xludf.DUMMYFUNCTION("""COMPUTED_VALUE"""),503675.0)</f>
        <v>503675</v>
      </c>
      <c r="I4350" s="24">
        <f>IFERROR(__xludf.DUMMYFUNCTION("""COMPUTED_VALUE"""),0.007349999999999968)</f>
        <v>0.00735</v>
      </c>
    </row>
    <row r="4351">
      <c r="A4351" s="5" t="str">
        <f>IFERROR(__xludf.DUMMYFUNCTION("""COMPUTED_VALUE"""),"46763")</f>
        <v>46763</v>
      </c>
      <c r="B4351" s="64">
        <f>IFERROR(__xludf.DUMMYFUNCTION("""COMPUTED_VALUE"""),44655.0)</f>
        <v>44655</v>
      </c>
      <c r="C4351" s="5"/>
      <c r="D4351" s="5"/>
      <c r="E4351" s="5"/>
      <c r="F4351" s="22">
        <f>IFERROR(__xludf.DUMMYFUNCTION("""COMPUTED_VALUE"""),500000.0)</f>
        <v>500000</v>
      </c>
      <c r="G4351" s="22">
        <f>IFERROR(__xludf.DUMMYFUNCTION("""COMPUTED_VALUE"""),0.0)</f>
        <v>0</v>
      </c>
      <c r="H4351" s="22">
        <f>IFERROR(__xludf.DUMMYFUNCTION("""COMPUTED_VALUE"""),510350.0)</f>
        <v>510350</v>
      </c>
      <c r="I4351" s="24">
        <f>IFERROR(__xludf.DUMMYFUNCTION("""COMPUTED_VALUE"""),0.02069999999999994)</f>
        <v>0.0207</v>
      </c>
    </row>
    <row r="4352">
      <c r="A4352" s="5" t="str">
        <f>IFERROR(__xludf.DUMMYFUNCTION("""COMPUTED_VALUE"""),"46763")</f>
        <v>46763</v>
      </c>
      <c r="B4352" s="64">
        <f>IFERROR(__xludf.DUMMYFUNCTION("""COMPUTED_VALUE"""),44656.0)</f>
        <v>44656</v>
      </c>
      <c r="C4352" s="5"/>
      <c r="D4352" s="5"/>
      <c r="E4352" s="5"/>
      <c r="F4352" s="22">
        <f>IFERROR(__xludf.DUMMYFUNCTION("""COMPUTED_VALUE"""),500000.0)</f>
        <v>500000</v>
      </c>
      <c r="G4352" s="22">
        <f>IFERROR(__xludf.DUMMYFUNCTION("""COMPUTED_VALUE"""),0.0)</f>
        <v>0</v>
      </c>
      <c r="H4352" s="22">
        <f>IFERROR(__xludf.DUMMYFUNCTION("""COMPUTED_VALUE"""),510350.0)</f>
        <v>510350</v>
      </c>
      <c r="I4352" s="24">
        <f>IFERROR(__xludf.DUMMYFUNCTION("""COMPUTED_VALUE"""),0.02069999999999994)</f>
        <v>0.0207</v>
      </c>
    </row>
    <row r="4353">
      <c r="A4353" s="5" t="str">
        <f>IFERROR(__xludf.DUMMYFUNCTION("""COMPUTED_VALUE"""),"46763")</f>
        <v>46763</v>
      </c>
      <c r="B4353" s="64">
        <f>IFERROR(__xludf.DUMMYFUNCTION("""COMPUTED_VALUE"""),44657.0)</f>
        <v>44657</v>
      </c>
      <c r="C4353" s="5"/>
      <c r="D4353" s="5"/>
      <c r="E4353" s="5"/>
      <c r="F4353" s="22">
        <f>IFERROR(__xludf.DUMMYFUNCTION("""COMPUTED_VALUE"""),500000.0)</f>
        <v>500000</v>
      </c>
      <c r="G4353" s="22">
        <f>IFERROR(__xludf.DUMMYFUNCTION("""COMPUTED_VALUE"""),0.0)</f>
        <v>0</v>
      </c>
      <c r="H4353" s="22">
        <f>IFERROR(__xludf.DUMMYFUNCTION("""COMPUTED_VALUE"""),504575.0)</f>
        <v>504575</v>
      </c>
      <c r="I4353" s="24">
        <f>IFERROR(__xludf.DUMMYFUNCTION("""COMPUTED_VALUE"""),0.009149999999999991)</f>
        <v>0.00915</v>
      </c>
    </row>
    <row r="4354">
      <c r="A4354" s="5" t="str">
        <f>IFERROR(__xludf.DUMMYFUNCTION("""COMPUTED_VALUE"""),"46763")</f>
        <v>46763</v>
      </c>
      <c r="B4354" s="64">
        <f>IFERROR(__xludf.DUMMYFUNCTION("""COMPUTED_VALUE"""),44658.0)</f>
        <v>44658</v>
      </c>
      <c r="C4354" s="5"/>
      <c r="D4354" s="5"/>
      <c r="E4354" s="5"/>
      <c r="F4354" s="22">
        <f>IFERROR(__xludf.DUMMYFUNCTION("""COMPUTED_VALUE"""),500000.0)</f>
        <v>500000</v>
      </c>
      <c r="G4354" s="22">
        <f>IFERROR(__xludf.DUMMYFUNCTION("""COMPUTED_VALUE"""),0.0)</f>
        <v>0</v>
      </c>
      <c r="H4354" s="22">
        <f>IFERROR(__xludf.DUMMYFUNCTION("""COMPUTED_VALUE"""),493100.0)</f>
        <v>493100</v>
      </c>
      <c r="I4354" s="24">
        <f>IFERROR(__xludf.DUMMYFUNCTION("""COMPUTED_VALUE"""),-0.013800000000000034)</f>
        <v>-0.0138</v>
      </c>
    </row>
    <row r="4355">
      <c r="A4355" s="5" t="str">
        <f>IFERROR(__xludf.DUMMYFUNCTION("""COMPUTED_VALUE"""),"46763")</f>
        <v>46763</v>
      </c>
      <c r="B4355" s="64">
        <f>IFERROR(__xludf.DUMMYFUNCTION("""COMPUTED_VALUE"""),44659.0)</f>
        <v>44659</v>
      </c>
      <c r="C4355" s="5"/>
      <c r="D4355" s="5"/>
      <c r="E4355" s="5"/>
      <c r="F4355" s="22">
        <f>IFERROR(__xludf.DUMMYFUNCTION("""COMPUTED_VALUE"""),500000.0)</f>
        <v>500000</v>
      </c>
      <c r="G4355" s="22">
        <f>IFERROR(__xludf.DUMMYFUNCTION("""COMPUTED_VALUE"""),0.0)</f>
        <v>0</v>
      </c>
      <c r="H4355" s="22">
        <f>IFERROR(__xludf.DUMMYFUNCTION("""COMPUTED_VALUE"""),491400.0)</f>
        <v>491400</v>
      </c>
      <c r="I4355" s="24">
        <f>IFERROR(__xludf.DUMMYFUNCTION("""COMPUTED_VALUE"""),-0.017199999999999993)</f>
        <v>-0.0172</v>
      </c>
    </row>
    <row r="4356">
      <c r="A4356" s="5" t="str">
        <f>IFERROR(__xludf.DUMMYFUNCTION("""COMPUTED_VALUE"""),"46763")</f>
        <v>46763</v>
      </c>
      <c r="B4356" s="64">
        <f>IFERROR(__xludf.DUMMYFUNCTION("""COMPUTED_VALUE"""),44660.0)</f>
        <v>44660</v>
      </c>
      <c r="C4356" s="5"/>
      <c r="D4356" s="5"/>
      <c r="E4356" s="5"/>
      <c r="F4356" s="22">
        <f>IFERROR(__xludf.DUMMYFUNCTION("""COMPUTED_VALUE"""),500000.0)</f>
        <v>500000</v>
      </c>
      <c r="G4356" s="22">
        <f>IFERROR(__xludf.DUMMYFUNCTION("""COMPUTED_VALUE"""),0.0)</f>
        <v>0</v>
      </c>
      <c r="H4356" s="22">
        <f>IFERROR(__xludf.DUMMYFUNCTION("""COMPUTED_VALUE"""),491400.0)</f>
        <v>491400</v>
      </c>
      <c r="I4356" s="24">
        <f>IFERROR(__xludf.DUMMYFUNCTION("""COMPUTED_VALUE"""),-0.017199999999999993)</f>
        <v>-0.0172</v>
      </c>
    </row>
    <row r="4357">
      <c r="A4357" s="5" t="str">
        <f>IFERROR(__xludf.DUMMYFUNCTION("""COMPUTED_VALUE"""),"46763")</f>
        <v>46763</v>
      </c>
      <c r="B4357" s="64">
        <f>IFERROR(__xludf.DUMMYFUNCTION("""COMPUTED_VALUE"""),44661.0)</f>
        <v>44661</v>
      </c>
      <c r="C4357" s="5"/>
      <c r="D4357" s="5"/>
      <c r="E4357" s="5"/>
      <c r="F4357" s="22">
        <f>IFERROR(__xludf.DUMMYFUNCTION("""COMPUTED_VALUE"""),500000.0)</f>
        <v>500000</v>
      </c>
      <c r="G4357" s="22">
        <f>IFERROR(__xludf.DUMMYFUNCTION("""COMPUTED_VALUE"""),0.0)</f>
        <v>0</v>
      </c>
      <c r="H4357" s="22">
        <f>IFERROR(__xludf.DUMMYFUNCTION("""COMPUTED_VALUE"""),491400.0)</f>
        <v>491400</v>
      </c>
      <c r="I4357" s="24">
        <f>IFERROR(__xludf.DUMMYFUNCTION("""COMPUTED_VALUE"""),-0.017199999999999993)</f>
        <v>-0.0172</v>
      </c>
    </row>
    <row r="4358">
      <c r="A4358" s="5" t="str">
        <f>IFERROR(__xludf.DUMMYFUNCTION("""COMPUTED_VALUE"""),"46763")</f>
        <v>46763</v>
      </c>
      <c r="B4358" s="64">
        <f>IFERROR(__xludf.DUMMYFUNCTION("""COMPUTED_VALUE"""),44662.0)</f>
        <v>44662</v>
      </c>
      <c r="C4358" s="5"/>
      <c r="D4358" s="5"/>
      <c r="E4358" s="5"/>
      <c r="F4358" s="22">
        <f>IFERROR(__xludf.DUMMYFUNCTION("""COMPUTED_VALUE"""),500000.0)</f>
        <v>500000</v>
      </c>
      <c r="G4358" s="22">
        <f>IFERROR(__xludf.DUMMYFUNCTION("""COMPUTED_VALUE"""),0.0)</f>
        <v>0</v>
      </c>
      <c r="H4358" s="22">
        <f>IFERROR(__xludf.DUMMYFUNCTION("""COMPUTED_VALUE"""),484175.0)</f>
        <v>484175</v>
      </c>
      <c r="I4358" s="24">
        <f>IFERROR(__xludf.DUMMYFUNCTION("""COMPUTED_VALUE"""),-0.031649999999999956)</f>
        <v>-0.03165</v>
      </c>
    </row>
    <row r="4359">
      <c r="A4359" s="5" t="str">
        <f>IFERROR(__xludf.DUMMYFUNCTION("""COMPUTED_VALUE"""),"46763")</f>
        <v>46763</v>
      </c>
      <c r="B4359" s="64">
        <f>IFERROR(__xludf.DUMMYFUNCTION("""COMPUTED_VALUE"""),44663.0)</f>
        <v>44663</v>
      </c>
      <c r="C4359" s="5"/>
      <c r="D4359" s="5"/>
      <c r="E4359" s="5"/>
      <c r="F4359" s="22">
        <f>IFERROR(__xludf.DUMMYFUNCTION("""COMPUTED_VALUE"""),500000.0)</f>
        <v>500000</v>
      </c>
      <c r="G4359" s="22">
        <f>IFERROR(__xludf.DUMMYFUNCTION("""COMPUTED_VALUE"""),0.0)</f>
        <v>0</v>
      </c>
      <c r="H4359" s="22">
        <f>IFERROR(__xludf.DUMMYFUNCTION("""COMPUTED_VALUE"""),478650.0)</f>
        <v>478650</v>
      </c>
      <c r="I4359" s="24">
        <f>IFERROR(__xludf.DUMMYFUNCTION("""COMPUTED_VALUE"""),-0.04269999999999996)</f>
        <v>-0.0427</v>
      </c>
    </row>
    <row r="4360">
      <c r="A4360" s="5" t="str">
        <f>IFERROR(__xludf.DUMMYFUNCTION("""COMPUTED_VALUE"""),"46876")</f>
        <v>46876</v>
      </c>
      <c r="B4360" s="64">
        <f>IFERROR(__xludf.DUMMYFUNCTION("""COMPUTED_VALUE"""),44597.0)</f>
        <v>44597</v>
      </c>
      <c r="C4360" s="5"/>
      <c r="D4360" s="5"/>
      <c r="E4360" s="5"/>
      <c r="F4360" s="22">
        <f>IFERROR(__xludf.DUMMYFUNCTION("""COMPUTED_VALUE"""),500000.0)</f>
        <v>500000</v>
      </c>
      <c r="G4360" s="22">
        <f>IFERROR(__xludf.DUMMYFUNCTION("""COMPUTED_VALUE"""),0.0)</f>
        <v>0</v>
      </c>
      <c r="H4360" s="22">
        <f>IFERROR(__xludf.DUMMYFUNCTION("""COMPUTED_VALUE"""),500000.0)</f>
        <v>500000</v>
      </c>
      <c r="I4360" s="24">
        <f>IFERROR(__xludf.DUMMYFUNCTION("""COMPUTED_VALUE"""),0.0)</f>
        <v>0</v>
      </c>
    </row>
    <row r="4361">
      <c r="A4361" s="5" t="str">
        <f>IFERROR(__xludf.DUMMYFUNCTION("""COMPUTED_VALUE"""),"46876")</f>
        <v>46876</v>
      </c>
      <c r="B4361" s="64">
        <f>IFERROR(__xludf.DUMMYFUNCTION("""COMPUTED_VALUE"""),44598.0)</f>
        <v>44598</v>
      </c>
      <c r="C4361" s="5"/>
      <c r="D4361" s="5"/>
      <c r="E4361" s="5"/>
      <c r="F4361" s="22">
        <f>IFERROR(__xludf.DUMMYFUNCTION("""COMPUTED_VALUE"""),500000.0)</f>
        <v>500000</v>
      </c>
      <c r="G4361" s="22">
        <f>IFERROR(__xludf.DUMMYFUNCTION("""COMPUTED_VALUE"""),0.0)</f>
        <v>0</v>
      </c>
      <c r="H4361" s="22">
        <f>IFERROR(__xludf.DUMMYFUNCTION("""COMPUTED_VALUE"""),500000.0)</f>
        <v>500000</v>
      </c>
      <c r="I4361" s="24">
        <f>IFERROR(__xludf.DUMMYFUNCTION("""COMPUTED_VALUE"""),0.0)</f>
        <v>0</v>
      </c>
    </row>
    <row r="4362">
      <c r="A4362" s="5" t="str">
        <f>IFERROR(__xludf.DUMMYFUNCTION("""COMPUTED_VALUE"""),"46876")</f>
        <v>46876</v>
      </c>
      <c r="B4362" s="64">
        <f>IFERROR(__xludf.DUMMYFUNCTION("""COMPUTED_VALUE"""),44599.0)</f>
        <v>44599</v>
      </c>
      <c r="C4362" s="5"/>
      <c r="D4362" s="5"/>
      <c r="E4362" s="5"/>
      <c r="F4362" s="22">
        <f>IFERROR(__xludf.DUMMYFUNCTION("""COMPUTED_VALUE"""),500000.0)</f>
        <v>500000</v>
      </c>
      <c r="G4362" s="22">
        <f>IFERROR(__xludf.DUMMYFUNCTION("""COMPUTED_VALUE"""),0.0)</f>
        <v>0</v>
      </c>
      <c r="H4362" s="22">
        <f>IFERROR(__xludf.DUMMYFUNCTION("""COMPUTED_VALUE"""),500000.0)</f>
        <v>500000</v>
      </c>
      <c r="I4362" s="24">
        <f>IFERROR(__xludf.DUMMYFUNCTION("""COMPUTED_VALUE"""),0.0)</f>
        <v>0</v>
      </c>
    </row>
    <row r="4363">
      <c r="A4363" s="5" t="str">
        <f>IFERROR(__xludf.DUMMYFUNCTION("""COMPUTED_VALUE"""),"46876")</f>
        <v>46876</v>
      </c>
      <c r="B4363" s="64">
        <f>IFERROR(__xludf.DUMMYFUNCTION("""COMPUTED_VALUE"""),44600.0)</f>
        <v>44600</v>
      </c>
      <c r="C4363" s="5"/>
      <c r="D4363" s="5"/>
      <c r="E4363" s="5"/>
      <c r="F4363" s="22">
        <f>IFERROR(__xludf.DUMMYFUNCTION("""COMPUTED_VALUE"""),500000.0)</f>
        <v>500000</v>
      </c>
      <c r="G4363" s="22">
        <f>IFERROR(__xludf.DUMMYFUNCTION("""COMPUTED_VALUE"""),0.0)</f>
        <v>0</v>
      </c>
      <c r="H4363" s="22">
        <f>IFERROR(__xludf.DUMMYFUNCTION("""COMPUTED_VALUE"""),500000.0)</f>
        <v>500000</v>
      </c>
      <c r="I4363" s="24">
        <f>IFERROR(__xludf.DUMMYFUNCTION("""COMPUTED_VALUE"""),0.0)</f>
        <v>0</v>
      </c>
    </row>
    <row r="4364">
      <c r="A4364" s="5" t="str">
        <f>IFERROR(__xludf.DUMMYFUNCTION("""COMPUTED_VALUE"""),"46876")</f>
        <v>46876</v>
      </c>
      <c r="B4364" s="64">
        <f>IFERROR(__xludf.DUMMYFUNCTION("""COMPUTED_VALUE"""),44601.0)</f>
        <v>44601</v>
      </c>
      <c r="C4364" s="5"/>
      <c r="D4364" s="5"/>
      <c r="E4364" s="5"/>
      <c r="F4364" s="22">
        <f>IFERROR(__xludf.DUMMYFUNCTION("""COMPUTED_VALUE"""),500000.0)</f>
        <v>500000</v>
      </c>
      <c r="G4364" s="22">
        <f>IFERROR(__xludf.DUMMYFUNCTION("""COMPUTED_VALUE"""),0.0)</f>
        <v>0</v>
      </c>
      <c r="H4364" s="22">
        <f>IFERROR(__xludf.DUMMYFUNCTION("""COMPUTED_VALUE"""),500000.0)</f>
        <v>500000</v>
      </c>
      <c r="I4364" s="24">
        <f>IFERROR(__xludf.DUMMYFUNCTION("""COMPUTED_VALUE"""),0.0)</f>
        <v>0</v>
      </c>
    </row>
    <row r="4365">
      <c r="A4365" s="5" t="str">
        <f>IFERROR(__xludf.DUMMYFUNCTION("""COMPUTED_VALUE"""),"46876")</f>
        <v>46876</v>
      </c>
      <c r="B4365" s="64">
        <f>IFERROR(__xludf.DUMMYFUNCTION("""COMPUTED_VALUE"""),44602.0)</f>
        <v>44602</v>
      </c>
      <c r="C4365" s="5"/>
      <c r="D4365" s="5"/>
      <c r="E4365" s="5"/>
      <c r="F4365" s="22">
        <f>IFERROR(__xludf.DUMMYFUNCTION("""COMPUTED_VALUE"""),500000.0)</f>
        <v>500000</v>
      </c>
      <c r="G4365" s="22">
        <f>IFERROR(__xludf.DUMMYFUNCTION("""COMPUTED_VALUE"""),0.0)</f>
        <v>0</v>
      </c>
      <c r="H4365" s="22">
        <f>IFERROR(__xludf.DUMMYFUNCTION("""COMPUTED_VALUE"""),500000.0)</f>
        <v>500000</v>
      </c>
      <c r="I4365" s="24">
        <f>IFERROR(__xludf.DUMMYFUNCTION("""COMPUTED_VALUE"""),0.0)</f>
        <v>0</v>
      </c>
    </row>
    <row r="4366">
      <c r="A4366" s="5" t="str">
        <f>IFERROR(__xludf.DUMMYFUNCTION("""COMPUTED_VALUE"""),"46876")</f>
        <v>46876</v>
      </c>
      <c r="B4366" s="64">
        <f>IFERROR(__xludf.DUMMYFUNCTION("""COMPUTED_VALUE"""),44603.0)</f>
        <v>44603</v>
      </c>
      <c r="C4366" s="5"/>
      <c r="D4366" s="5"/>
      <c r="E4366" s="5"/>
      <c r="F4366" s="22">
        <f>IFERROR(__xludf.DUMMYFUNCTION("""COMPUTED_VALUE"""),500000.0)</f>
        <v>500000</v>
      </c>
      <c r="G4366" s="22">
        <f>IFERROR(__xludf.DUMMYFUNCTION("""COMPUTED_VALUE"""),0.0)</f>
        <v>0</v>
      </c>
      <c r="H4366" s="22">
        <f>IFERROR(__xludf.DUMMYFUNCTION("""COMPUTED_VALUE"""),500000.0)</f>
        <v>500000</v>
      </c>
      <c r="I4366" s="24">
        <f>IFERROR(__xludf.DUMMYFUNCTION("""COMPUTED_VALUE"""),0.0)</f>
        <v>0</v>
      </c>
    </row>
    <row r="4367">
      <c r="A4367" s="5" t="str">
        <f>IFERROR(__xludf.DUMMYFUNCTION("""COMPUTED_VALUE"""),"46876")</f>
        <v>46876</v>
      </c>
      <c r="B4367" s="64">
        <f>IFERROR(__xludf.DUMMYFUNCTION("""COMPUTED_VALUE"""),44604.0)</f>
        <v>44604</v>
      </c>
      <c r="C4367" s="5"/>
      <c r="D4367" s="5"/>
      <c r="E4367" s="5"/>
      <c r="F4367" s="22">
        <f>IFERROR(__xludf.DUMMYFUNCTION("""COMPUTED_VALUE"""),500000.0)</f>
        <v>500000</v>
      </c>
      <c r="G4367" s="22">
        <f>IFERROR(__xludf.DUMMYFUNCTION("""COMPUTED_VALUE"""),0.0)</f>
        <v>0</v>
      </c>
      <c r="H4367" s="22">
        <f>IFERROR(__xludf.DUMMYFUNCTION("""COMPUTED_VALUE"""),500000.0)</f>
        <v>500000</v>
      </c>
      <c r="I4367" s="24">
        <f>IFERROR(__xludf.DUMMYFUNCTION("""COMPUTED_VALUE"""),0.0)</f>
        <v>0</v>
      </c>
    </row>
    <row r="4368">
      <c r="A4368" s="5" t="str">
        <f>IFERROR(__xludf.DUMMYFUNCTION("""COMPUTED_VALUE"""),"46876")</f>
        <v>46876</v>
      </c>
      <c r="B4368" s="64">
        <f>IFERROR(__xludf.DUMMYFUNCTION("""COMPUTED_VALUE"""),44605.0)</f>
        <v>44605</v>
      </c>
      <c r="C4368" s="5"/>
      <c r="D4368" s="5"/>
      <c r="E4368" s="5"/>
      <c r="F4368" s="22">
        <f>IFERROR(__xludf.DUMMYFUNCTION("""COMPUTED_VALUE"""),500000.0)</f>
        <v>500000</v>
      </c>
      <c r="G4368" s="22">
        <f>IFERROR(__xludf.DUMMYFUNCTION("""COMPUTED_VALUE"""),0.0)</f>
        <v>0</v>
      </c>
      <c r="H4368" s="22">
        <f>IFERROR(__xludf.DUMMYFUNCTION("""COMPUTED_VALUE"""),500000.0)</f>
        <v>500000</v>
      </c>
      <c r="I4368" s="24">
        <f>IFERROR(__xludf.DUMMYFUNCTION("""COMPUTED_VALUE"""),0.0)</f>
        <v>0</v>
      </c>
    </row>
    <row r="4369">
      <c r="A4369" s="5" t="str">
        <f>IFERROR(__xludf.DUMMYFUNCTION("""COMPUTED_VALUE"""),"46876")</f>
        <v>46876</v>
      </c>
      <c r="B4369" s="64">
        <f>IFERROR(__xludf.DUMMYFUNCTION("""COMPUTED_VALUE"""),44606.0)</f>
        <v>44606</v>
      </c>
      <c r="C4369" s="5"/>
      <c r="D4369" s="5"/>
      <c r="E4369" s="5"/>
      <c r="F4369" s="22">
        <f>IFERROR(__xludf.DUMMYFUNCTION("""COMPUTED_VALUE"""),500000.0)</f>
        <v>500000</v>
      </c>
      <c r="G4369" s="22">
        <f>IFERROR(__xludf.DUMMYFUNCTION("""COMPUTED_VALUE"""),0.0)</f>
        <v>0</v>
      </c>
      <c r="H4369" s="22">
        <f>IFERROR(__xludf.DUMMYFUNCTION("""COMPUTED_VALUE"""),500000.0)</f>
        <v>500000</v>
      </c>
      <c r="I4369" s="24">
        <f>IFERROR(__xludf.DUMMYFUNCTION("""COMPUTED_VALUE"""),0.0)</f>
        <v>0</v>
      </c>
    </row>
    <row r="4370">
      <c r="A4370" s="5" t="str">
        <f>IFERROR(__xludf.DUMMYFUNCTION("""COMPUTED_VALUE"""),"46876")</f>
        <v>46876</v>
      </c>
      <c r="B4370" s="64">
        <f>IFERROR(__xludf.DUMMYFUNCTION("""COMPUTED_VALUE"""),44607.0)</f>
        <v>44607</v>
      </c>
      <c r="C4370" s="5"/>
      <c r="D4370" s="5"/>
      <c r="E4370" s="5"/>
      <c r="F4370" s="22">
        <f>IFERROR(__xludf.DUMMYFUNCTION("""COMPUTED_VALUE"""),500000.0)</f>
        <v>500000</v>
      </c>
      <c r="G4370" s="22">
        <f>IFERROR(__xludf.DUMMYFUNCTION("""COMPUTED_VALUE"""),0.0)</f>
        <v>0</v>
      </c>
      <c r="H4370" s="22">
        <f>IFERROR(__xludf.DUMMYFUNCTION("""COMPUTED_VALUE"""),500000.0)</f>
        <v>500000</v>
      </c>
      <c r="I4370" s="24">
        <f>IFERROR(__xludf.DUMMYFUNCTION("""COMPUTED_VALUE"""),0.0)</f>
        <v>0</v>
      </c>
    </row>
    <row r="4371">
      <c r="A4371" s="5" t="str">
        <f>IFERROR(__xludf.DUMMYFUNCTION("""COMPUTED_VALUE"""),"46876")</f>
        <v>46876</v>
      </c>
      <c r="B4371" s="64">
        <f>IFERROR(__xludf.DUMMYFUNCTION("""COMPUTED_VALUE"""),44608.0)</f>
        <v>44608</v>
      </c>
      <c r="C4371" s="5"/>
      <c r="D4371" s="5"/>
      <c r="E4371" s="5"/>
      <c r="F4371" s="22">
        <f>IFERROR(__xludf.DUMMYFUNCTION("""COMPUTED_VALUE"""),500000.0)</f>
        <v>500000</v>
      </c>
      <c r="G4371" s="22">
        <f>IFERROR(__xludf.DUMMYFUNCTION("""COMPUTED_VALUE"""),0.0)</f>
        <v>0</v>
      </c>
      <c r="H4371" s="22">
        <f>IFERROR(__xludf.DUMMYFUNCTION("""COMPUTED_VALUE"""),500000.0)</f>
        <v>500000</v>
      </c>
      <c r="I4371" s="24">
        <f>IFERROR(__xludf.DUMMYFUNCTION("""COMPUTED_VALUE"""),0.0)</f>
        <v>0</v>
      </c>
    </row>
    <row r="4372">
      <c r="A4372" s="5" t="str">
        <f>IFERROR(__xludf.DUMMYFUNCTION("""COMPUTED_VALUE"""),"46876")</f>
        <v>46876</v>
      </c>
      <c r="B4372" s="64">
        <f>IFERROR(__xludf.DUMMYFUNCTION("""COMPUTED_VALUE"""),44609.0)</f>
        <v>44609</v>
      </c>
      <c r="C4372" s="5"/>
      <c r="D4372" s="5"/>
      <c r="E4372" s="5"/>
      <c r="F4372" s="22">
        <f>IFERROR(__xludf.DUMMYFUNCTION("""COMPUTED_VALUE"""),500000.0)</f>
        <v>500000</v>
      </c>
      <c r="G4372" s="22">
        <f>IFERROR(__xludf.DUMMYFUNCTION("""COMPUTED_VALUE"""),0.0)</f>
        <v>0</v>
      </c>
      <c r="H4372" s="22">
        <f>IFERROR(__xludf.DUMMYFUNCTION("""COMPUTED_VALUE"""),500000.0)</f>
        <v>500000</v>
      </c>
      <c r="I4372" s="24">
        <f>IFERROR(__xludf.DUMMYFUNCTION("""COMPUTED_VALUE"""),0.0)</f>
        <v>0</v>
      </c>
    </row>
    <row r="4373">
      <c r="A4373" s="5" t="str">
        <f>IFERROR(__xludf.DUMMYFUNCTION("""COMPUTED_VALUE"""),"46876")</f>
        <v>46876</v>
      </c>
      <c r="B4373" s="64">
        <f>IFERROR(__xludf.DUMMYFUNCTION("""COMPUTED_VALUE"""),44610.0)</f>
        <v>44610</v>
      </c>
      <c r="C4373" s="5"/>
      <c r="D4373" s="5"/>
      <c r="E4373" s="5"/>
      <c r="F4373" s="22">
        <f>IFERROR(__xludf.DUMMYFUNCTION("""COMPUTED_VALUE"""),500000.0)</f>
        <v>500000</v>
      </c>
      <c r="G4373" s="22">
        <f>IFERROR(__xludf.DUMMYFUNCTION("""COMPUTED_VALUE"""),0.0)</f>
        <v>0</v>
      </c>
      <c r="H4373" s="22">
        <f>IFERROR(__xludf.DUMMYFUNCTION("""COMPUTED_VALUE"""),500000.0)</f>
        <v>500000</v>
      </c>
      <c r="I4373" s="24">
        <f>IFERROR(__xludf.DUMMYFUNCTION("""COMPUTED_VALUE"""),0.0)</f>
        <v>0</v>
      </c>
    </row>
    <row r="4374">
      <c r="A4374" s="5" t="str">
        <f>IFERROR(__xludf.DUMMYFUNCTION("""COMPUTED_VALUE"""),"46876")</f>
        <v>46876</v>
      </c>
      <c r="B4374" s="64">
        <f>IFERROR(__xludf.DUMMYFUNCTION("""COMPUTED_VALUE"""),44611.0)</f>
        <v>44611</v>
      </c>
      <c r="C4374" s="5"/>
      <c r="D4374" s="5"/>
      <c r="E4374" s="5"/>
      <c r="F4374" s="22">
        <f>IFERROR(__xludf.DUMMYFUNCTION("""COMPUTED_VALUE"""),500000.0)</f>
        <v>500000</v>
      </c>
      <c r="G4374" s="22">
        <f>IFERROR(__xludf.DUMMYFUNCTION("""COMPUTED_VALUE"""),0.0)</f>
        <v>0</v>
      </c>
      <c r="H4374" s="22">
        <f>IFERROR(__xludf.DUMMYFUNCTION("""COMPUTED_VALUE"""),500000.0)</f>
        <v>500000</v>
      </c>
      <c r="I4374" s="24">
        <f>IFERROR(__xludf.DUMMYFUNCTION("""COMPUTED_VALUE"""),0.0)</f>
        <v>0</v>
      </c>
    </row>
    <row r="4375">
      <c r="A4375" s="5" t="str">
        <f>IFERROR(__xludf.DUMMYFUNCTION("""COMPUTED_VALUE"""),"46876")</f>
        <v>46876</v>
      </c>
      <c r="B4375" s="64">
        <f>IFERROR(__xludf.DUMMYFUNCTION("""COMPUTED_VALUE"""),44612.0)</f>
        <v>44612</v>
      </c>
      <c r="C4375" s="5"/>
      <c r="D4375" s="5"/>
      <c r="E4375" s="5"/>
      <c r="F4375" s="22">
        <f>IFERROR(__xludf.DUMMYFUNCTION("""COMPUTED_VALUE"""),500000.0)</f>
        <v>500000</v>
      </c>
      <c r="G4375" s="22">
        <f>IFERROR(__xludf.DUMMYFUNCTION("""COMPUTED_VALUE"""),0.0)</f>
        <v>0</v>
      </c>
      <c r="H4375" s="22">
        <f>IFERROR(__xludf.DUMMYFUNCTION("""COMPUTED_VALUE"""),500000.0)</f>
        <v>500000</v>
      </c>
      <c r="I4375" s="24">
        <f>IFERROR(__xludf.DUMMYFUNCTION("""COMPUTED_VALUE"""),0.0)</f>
        <v>0</v>
      </c>
    </row>
    <row r="4376">
      <c r="A4376" s="5" t="str">
        <f>IFERROR(__xludf.DUMMYFUNCTION("""COMPUTED_VALUE"""),"46876")</f>
        <v>46876</v>
      </c>
      <c r="B4376" s="64">
        <f>IFERROR(__xludf.DUMMYFUNCTION("""COMPUTED_VALUE"""),44613.0)</f>
        <v>44613</v>
      </c>
      <c r="C4376" s="5"/>
      <c r="D4376" s="5"/>
      <c r="E4376" s="5"/>
      <c r="F4376" s="22">
        <f>IFERROR(__xludf.DUMMYFUNCTION("""COMPUTED_VALUE"""),500000.0)</f>
        <v>500000</v>
      </c>
      <c r="G4376" s="22">
        <f>IFERROR(__xludf.DUMMYFUNCTION("""COMPUTED_VALUE"""),0.0)</f>
        <v>0</v>
      </c>
      <c r="H4376" s="22">
        <f>IFERROR(__xludf.DUMMYFUNCTION("""COMPUTED_VALUE"""),500000.0)</f>
        <v>500000</v>
      </c>
      <c r="I4376" s="24">
        <f>IFERROR(__xludf.DUMMYFUNCTION("""COMPUTED_VALUE"""),0.0)</f>
        <v>0</v>
      </c>
    </row>
    <row r="4377">
      <c r="A4377" s="5" t="str">
        <f>IFERROR(__xludf.DUMMYFUNCTION("""COMPUTED_VALUE"""),"46876")</f>
        <v>46876</v>
      </c>
      <c r="B4377" s="64">
        <f>IFERROR(__xludf.DUMMYFUNCTION("""COMPUTED_VALUE"""),44614.0)</f>
        <v>44614</v>
      </c>
      <c r="C4377" s="5"/>
      <c r="D4377" s="5"/>
      <c r="E4377" s="5"/>
      <c r="F4377" s="22">
        <f>IFERROR(__xludf.DUMMYFUNCTION("""COMPUTED_VALUE"""),500000.0)</f>
        <v>500000</v>
      </c>
      <c r="G4377" s="22">
        <f>IFERROR(__xludf.DUMMYFUNCTION("""COMPUTED_VALUE"""),0.0)</f>
        <v>0</v>
      </c>
      <c r="H4377" s="22">
        <f>IFERROR(__xludf.DUMMYFUNCTION("""COMPUTED_VALUE"""),500000.0)</f>
        <v>500000</v>
      </c>
      <c r="I4377" s="24">
        <f>IFERROR(__xludf.DUMMYFUNCTION("""COMPUTED_VALUE"""),0.0)</f>
        <v>0</v>
      </c>
    </row>
    <row r="4378">
      <c r="A4378" s="5" t="str">
        <f>IFERROR(__xludf.DUMMYFUNCTION("""COMPUTED_VALUE"""),"46876")</f>
        <v>46876</v>
      </c>
      <c r="B4378" s="64">
        <f>IFERROR(__xludf.DUMMYFUNCTION("""COMPUTED_VALUE"""),44615.0)</f>
        <v>44615</v>
      </c>
      <c r="C4378" s="5"/>
      <c r="D4378" s="5"/>
      <c r="E4378" s="5"/>
      <c r="F4378" s="22">
        <f>IFERROR(__xludf.DUMMYFUNCTION("""COMPUTED_VALUE"""),500000.0)</f>
        <v>500000</v>
      </c>
      <c r="G4378" s="22">
        <f>IFERROR(__xludf.DUMMYFUNCTION("""COMPUTED_VALUE"""),0.0)</f>
        <v>0</v>
      </c>
      <c r="H4378" s="22">
        <f>IFERROR(__xludf.DUMMYFUNCTION("""COMPUTED_VALUE"""),500000.0)</f>
        <v>500000</v>
      </c>
      <c r="I4378" s="24">
        <f>IFERROR(__xludf.DUMMYFUNCTION("""COMPUTED_VALUE"""),0.0)</f>
        <v>0</v>
      </c>
    </row>
    <row r="4379">
      <c r="A4379" s="5" t="str">
        <f>IFERROR(__xludf.DUMMYFUNCTION("""COMPUTED_VALUE"""),"46876")</f>
        <v>46876</v>
      </c>
      <c r="B4379" s="64">
        <f>IFERROR(__xludf.DUMMYFUNCTION("""COMPUTED_VALUE"""),44616.0)</f>
        <v>44616</v>
      </c>
      <c r="C4379" s="5"/>
      <c r="D4379" s="5"/>
      <c r="E4379" s="5"/>
      <c r="F4379" s="22">
        <f>IFERROR(__xludf.DUMMYFUNCTION("""COMPUTED_VALUE"""),500000.0)</f>
        <v>500000</v>
      </c>
      <c r="G4379" s="22">
        <f>IFERROR(__xludf.DUMMYFUNCTION("""COMPUTED_VALUE"""),0.0)</f>
        <v>0</v>
      </c>
      <c r="H4379" s="22">
        <f>IFERROR(__xludf.DUMMYFUNCTION("""COMPUTED_VALUE"""),500000.0)</f>
        <v>500000</v>
      </c>
      <c r="I4379" s="24">
        <f>IFERROR(__xludf.DUMMYFUNCTION("""COMPUTED_VALUE"""),0.0)</f>
        <v>0</v>
      </c>
    </row>
    <row r="4380">
      <c r="A4380" s="5" t="str">
        <f>IFERROR(__xludf.DUMMYFUNCTION("""COMPUTED_VALUE"""),"46876")</f>
        <v>46876</v>
      </c>
      <c r="B4380" s="64">
        <f>IFERROR(__xludf.DUMMYFUNCTION("""COMPUTED_VALUE"""),44617.0)</f>
        <v>44617</v>
      </c>
      <c r="C4380" s="5"/>
      <c r="D4380" s="5"/>
      <c r="E4380" s="5"/>
      <c r="F4380" s="22">
        <f>IFERROR(__xludf.DUMMYFUNCTION("""COMPUTED_VALUE"""),500000.0)</f>
        <v>500000</v>
      </c>
      <c r="G4380" s="22">
        <f>IFERROR(__xludf.DUMMYFUNCTION("""COMPUTED_VALUE"""),0.0)</f>
        <v>0</v>
      </c>
      <c r="H4380" s="22">
        <f>IFERROR(__xludf.DUMMYFUNCTION("""COMPUTED_VALUE"""),500000.0)</f>
        <v>500000</v>
      </c>
      <c r="I4380" s="24">
        <f>IFERROR(__xludf.DUMMYFUNCTION("""COMPUTED_VALUE"""),0.0)</f>
        <v>0</v>
      </c>
    </row>
    <row r="4381">
      <c r="A4381" s="5" t="str">
        <f>IFERROR(__xludf.DUMMYFUNCTION("""COMPUTED_VALUE"""),"46876")</f>
        <v>46876</v>
      </c>
      <c r="B4381" s="64">
        <f>IFERROR(__xludf.DUMMYFUNCTION("""COMPUTED_VALUE"""),44618.0)</f>
        <v>44618</v>
      </c>
      <c r="C4381" s="5"/>
      <c r="D4381" s="5"/>
      <c r="E4381" s="5"/>
      <c r="F4381" s="22">
        <f>IFERROR(__xludf.DUMMYFUNCTION("""COMPUTED_VALUE"""),500000.0)</f>
        <v>500000</v>
      </c>
      <c r="G4381" s="22">
        <f>IFERROR(__xludf.DUMMYFUNCTION("""COMPUTED_VALUE"""),0.0)</f>
        <v>0</v>
      </c>
      <c r="H4381" s="22">
        <f>IFERROR(__xludf.DUMMYFUNCTION("""COMPUTED_VALUE"""),500000.0)</f>
        <v>500000</v>
      </c>
      <c r="I4381" s="24">
        <f>IFERROR(__xludf.DUMMYFUNCTION("""COMPUTED_VALUE"""),0.0)</f>
        <v>0</v>
      </c>
    </row>
    <row r="4382">
      <c r="A4382" s="5" t="str">
        <f>IFERROR(__xludf.DUMMYFUNCTION("""COMPUTED_VALUE"""),"46876")</f>
        <v>46876</v>
      </c>
      <c r="B4382" s="64">
        <f>IFERROR(__xludf.DUMMYFUNCTION("""COMPUTED_VALUE"""),44619.0)</f>
        <v>44619</v>
      </c>
      <c r="C4382" s="5"/>
      <c r="D4382" s="5"/>
      <c r="E4382" s="5"/>
      <c r="F4382" s="22">
        <f>IFERROR(__xludf.DUMMYFUNCTION("""COMPUTED_VALUE"""),500000.0)</f>
        <v>500000</v>
      </c>
      <c r="G4382" s="22">
        <f>IFERROR(__xludf.DUMMYFUNCTION("""COMPUTED_VALUE"""),0.0)</f>
        <v>0</v>
      </c>
      <c r="H4382" s="22">
        <f>IFERROR(__xludf.DUMMYFUNCTION("""COMPUTED_VALUE"""),500000.0)</f>
        <v>500000</v>
      </c>
      <c r="I4382" s="24">
        <f>IFERROR(__xludf.DUMMYFUNCTION("""COMPUTED_VALUE"""),0.0)</f>
        <v>0</v>
      </c>
    </row>
    <row r="4383">
      <c r="A4383" s="5" t="str">
        <f>IFERROR(__xludf.DUMMYFUNCTION("""COMPUTED_VALUE"""),"46876")</f>
        <v>46876</v>
      </c>
      <c r="B4383" s="64">
        <f>IFERROR(__xludf.DUMMYFUNCTION("""COMPUTED_VALUE"""),44620.0)</f>
        <v>44620</v>
      </c>
      <c r="C4383" s="5"/>
      <c r="D4383" s="5"/>
      <c r="E4383" s="5"/>
      <c r="F4383" s="22">
        <f>IFERROR(__xludf.DUMMYFUNCTION("""COMPUTED_VALUE"""),500000.0)</f>
        <v>500000</v>
      </c>
      <c r="G4383" s="22">
        <f>IFERROR(__xludf.DUMMYFUNCTION("""COMPUTED_VALUE"""),0.0)</f>
        <v>0</v>
      </c>
      <c r="H4383" s="22">
        <f>IFERROR(__xludf.DUMMYFUNCTION("""COMPUTED_VALUE"""),500000.0)</f>
        <v>500000</v>
      </c>
      <c r="I4383" s="24">
        <f>IFERROR(__xludf.DUMMYFUNCTION("""COMPUTED_VALUE"""),0.0)</f>
        <v>0</v>
      </c>
    </row>
    <row r="4384">
      <c r="A4384" s="5" t="str">
        <f>IFERROR(__xludf.DUMMYFUNCTION("""COMPUTED_VALUE"""),"46876")</f>
        <v>46876</v>
      </c>
      <c r="B4384" s="64">
        <f>IFERROR(__xludf.DUMMYFUNCTION("""COMPUTED_VALUE"""),44621.0)</f>
        <v>44621</v>
      </c>
      <c r="C4384" s="5"/>
      <c r="D4384" s="5"/>
      <c r="E4384" s="5"/>
      <c r="F4384" s="22">
        <f>IFERROR(__xludf.DUMMYFUNCTION("""COMPUTED_VALUE"""),500000.0)</f>
        <v>500000</v>
      </c>
      <c r="G4384" s="22">
        <f>IFERROR(__xludf.DUMMYFUNCTION("""COMPUTED_VALUE"""),0.0)</f>
        <v>0</v>
      </c>
      <c r="H4384" s="22">
        <f>IFERROR(__xludf.DUMMYFUNCTION("""COMPUTED_VALUE"""),500000.0)</f>
        <v>500000</v>
      </c>
      <c r="I4384" s="24">
        <f>IFERROR(__xludf.DUMMYFUNCTION("""COMPUTED_VALUE"""),0.0)</f>
        <v>0</v>
      </c>
    </row>
    <row r="4385">
      <c r="A4385" s="5" t="str">
        <f>IFERROR(__xludf.DUMMYFUNCTION("""COMPUTED_VALUE"""),"46876")</f>
        <v>46876</v>
      </c>
      <c r="B4385" s="64">
        <f>IFERROR(__xludf.DUMMYFUNCTION("""COMPUTED_VALUE"""),44622.0)</f>
        <v>44622</v>
      </c>
      <c r="C4385" s="5"/>
      <c r="D4385" s="5"/>
      <c r="E4385" s="5"/>
      <c r="F4385" s="22">
        <f>IFERROR(__xludf.DUMMYFUNCTION("""COMPUTED_VALUE"""),500000.0)</f>
        <v>500000</v>
      </c>
      <c r="G4385" s="22">
        <f>IFERROR(__xludf.DUMMYFUNCTION("""COMPUTED_VALUE"""),0.0)</f>
        <v>0</v>
      </c>
      <c r="H4385" s="22">
        <f>IFERROR(__xludf.DUMMYFUNCTION("""COMPUTED_VALUE"""),500000.0)</f>
        <v>500000</v>
      </c>
      <c r="I4385" s="24">
        <f>IFERROR(__xludf.DUMMYFUNCTION("""COMPUTED_VALUE"""),0.0)</f>
        <v>0</v>
      </c>
    </row>
    <row r="4386">
      <c r="A4386" s="5" t="str">
        <f>IFERROR(__xludf.DUMMYFUNCTION("""COMPUTED_VALUE"""),"46876")</f>
        <v>46876</v>
      </c>
      <c r="B4386" s="64">
        <f>IFERROR(__xludf.DUMMYFUNCTION("""COMPUTED_VALUE"""),44623.0)</f>
        <v>44623</v>
      </c>
      <c r="C4386" s="5"/>
      <c r="D4386" s="5"/>
      <c r="E4386" s="5"/>
      <c r="F4386" s="22">
        <f>IFERROR(__xludf.DUMMYFUNCTION("""COMPUTED_VALUE"""),500000.0)</f>
        <v>500000</v>
      </c>
      <c r="G4386" s="22">
        <f>IFERROR(__xludf.DUMMYFUNCTION("""COMPUTED_VALUE"""),0.0)</f>
        <v>0</v>
      </c>
      <c r="H4386" s="22">
        <f>IFERROR(__xludf.DUMMYFUNCTION("""COMPUTED_VALUE"""),500000.0)</f>
        <v>500000</v>
      </c>
      <c r="I4386" s="24">
        <f>IFERROR(__xludf.DUMMYFUNCTION("""COMPUTED_VALUE"""),0.0)</f>
        <v>0</v>
      </c>
    </row>
    <row r="4387">
      <c r="A4387" s="5" t="str">
        <f>IFERROR(__xludf.DUMMYFUNCTION("""COMPUTED_VALUE"""),"46876")</f>
        <v>46876</v>
      </c>
      <c r="B4387" s="64">
        <f>IFERROR(__xludf.DUMMYFUNCTION("""COMPUTED_VALUE"""),44624.0)</f>
        <v>44624</v>
      </c>
      <c r="C4387" s="5"/>
      <c r="D4387" s="5"/>
      <c r="E4387" s="5"/>
      <c r="F4387" s="22">
        <f>IFERROR(__xludf.DUMMYFUNCTION("""COMPUTED_VALUE"""),500000.0)</f>
        <v>500000</v>
      </c>
      <c r="G4387" s="22">
        <f>IFERROR(__xludf.DUMMYFUNCTION("""COMPUTED_VALUE"""),0.0)</f>
        <v>0</v>
      </c>
      <c r="H4387" s="22">
        <f>IFERROR(__xludf.DUMMYFUNCTION("""COMPUTED_VALUE"""),500000.0)</f>
        <v>500000</v>
      </c>
      <c r="I4387" s="24">
        <f>IFERROR(__xludf.DUMMYFUNCTION("""COMPUTED_VALUE"""),0.0)</f>
        <v>0</v>
      </c>
    </row>
    <row r="4388">
      <c r="A4388" s="5" t="str">
        <f>IFERROR(__xludf.DUMMYFUNCTION("""COMPUTED_VALUE"""),"46876")</f>
        <v>46876</v>
      </c>
      <c r="B4388" s="64">
        <f>IFERROR(__xludf.DUMMYFUNCTION("""COMPUTED_VALUE"""),44625.0)</f>
        <v>44625</v>
      </c>
      <c r="C4388" s="5"/>
      <c r="D4388" s="5"/>
      <c r="E4388" s="5"/>
      <c r="F4388" s="22">
        <f>IFERROR(__xludf.DUMMYFUNCTION("""COMPUTED_VALUE"""),500000.0)</f>
        <v>500000</v>
      </c>
      <c r="G4388" s="22">
        <f>IFERROR(__xludf.DUMMYFUNCTION("""COMPUTED_VALUE"""),0.0)</f>
        <v>0</v>
      </c>
      <c r="H4388" s="22">
        <f>IFERROR(__xludf.DUMMYFUNCTION("""COMPUTED_VALUE"""),500000.0)</f>
        <v>500000</v>
      </c>
      <c r="I4388" s="24">
        <f>IFERROR(__xludf.DUMMYFUNCTION("""COMPUTED_VALUE"""),0.0)</f>
        <v>0</v>
      </c>
    </row>
    <row r="4389">
      <c r="A4389" s="5" t="str">
        <f>IFERROR(__xludf.DUMMYFUNCTION("""COMPUTED_VALUE"""),"46876")</f>
        <v>46876</v>
      </c>
      <c r="B4389" s="64">
        <f>IFERROR(__xludf.DUMMYFUNCTION("""COMPUTED_VALUE"""),44626.0)</f>
        <v>44626</v>
      </c>
      <c r="C4389" s="5"/>
      <c r="D4389" s="5"/>
      <c r="E4389" s="5"/>
      <c r="F4389" s="22">
        <f>IFERROR(__xludf.DUMMYFUNCTION("""COMPUTED_VALUE"""),500000.0)</f>
        <v>500000</v>
      </c>
      <c r="G4389" s="22">
        <f>IFERROR(__xludf.DUMMYFUNCTION("""COMPUTED_VALUE"""),0.0)</f>
        <v>0</v>
      </c>
      <c r="H4389" s="22">
        <f>IFERROR(__xludf.DUMMYFUNCTION("""COMPUTED_VALUE"""),500000.0)</f>
        <v>500000</v>
      </c>
      <c r="I4389" s="24">
        <f>IFERROR(__xludf.DUMMYFUNCTION("""COMPUTED_VALUE"""),0.0)</f>
        <v>0</v>
      </c>
    </row>
    <row r="4390">
      <c r="A4390" s="5" t="str">
        <f>IFERROR(__xludf.DUMMYFUNCTION("""COMPUTED_VALUE"""),"46876")</f>
        <v>46876</v>
      </c>
      <c r="B4390" s="64">
        <f>IFERROR(__xludf.DUMMYFUNCTION("""COMPUTED_VALUE"""),44627.0)</f>
        <v>44627</v>
      </c>
      <c r="C4390" s="5"/>
      <c r="D4390" s="5"/>
      <c r="E4390" s="5"/>
      <c r="F4390" s="22">
        <f>IFERROR(__xludf.DUMMYFUNCTION("""COMPUTED_VALUE"""),500000.0)</f>
        <v>500000</v>
      </c>
      <c r="G4390" s="22">
        <f>IFERROR(__xludf.DUMMYFUNCTION("""COMPUTED_VALUE"""),0.0)</f>
        <v>0</v>
      </c>
      <c r="H4390" s="22">
        <f>IFERROR(__xludf.DUMMYFUNCTION("""COMPUTED_VALUE"""),500000.0)</f>
        <v>500000</v>
      </c>
      <c r="I4390" s="24">
        <f>IFERROR(__xludf.DUMMYFUNCTION("""COMPUTED_VALUE"""),0.0)</f>
        <v>0</v>
      </c>
    </row>
    <row r="4391">
      <c r="A4391" s="5" t="str">
        <f>IFERROR(__xludf.DUMMYFUNCTION("""COMPUTED_VALUE"""),"46876")</f>
        <v>46876</v>
      </c>
      <c r="B4391" s="64">
        <f>IFERROR(__xludf.DUMMYFUNCTION("""COMPUTED_VALUE"""),44628.0)</f>
        <v>44628</v>
      </c>
      <c r="C4391" s="5"/>
      <c r="D4391" s="5"/>
      <c r="E4391" s="5"/>
      <c r="F4391" s="22">
        <f>IFERROR(__xludf.DUMMYFUNCTION("""COMPUTED_VALUE"""),500000.0)</f>
        <v>500000</v>
      </c>
      <c r="G4391" s="22">
        <f>IFERROR(__xludf.DUMMYFUNCTION("""COMPUTED_VALUE"""),0.0)</f>
        <v>0</v>
      </c>
      <c r="H4391" s="22">
        <f>IFERROR(__xludf.DUMMYFUNCTION("""COMPUTED_VALUE"""),500000.0)</f>
        <v>500000</v>
      </c>
      <c r="I4391" s="24">
        <f>IFERROR(__xludf.DUMMYFUNCTION("""COMPUTED_VALUE"""),0.0)</f>
        <v>0</v>
      </c>
    </row>
    <row r="4392">
      <c r="A4392" s="5" t="str">
        <f>IFERROR(__xludf.DUMMYFUNCTION("""COMPUTED_VALUE"""),"46876")</f>
        <v>46876</v>
      </c>
      <c r="B4392" s="64">
        <f>IFERROR(__xludf.DUMMYFUNCTION("""COMPUTED_VALUE"""),44629.0)</f>
        <v>44629</v>
      </c>
      <c r="C4392" s="5"/>
      <c r="D4392" s="5"/>
      <c r="E4392" s="5"/>
      <c r="F4392" s="22">
        <f>IFERROR(__xludf.DUMMYFUNCTION("""COMPUTED_VALUE"""),500000.0)</f>
        <v>500000</v>
      </c>
      <c r="G4392" s="22">
        <f>IFERROR(__xludf.DUMMYFUNCTION("""COMPUTED_VALUE"""),0.0)</f>
        <v>0</v>
      </c>
      <c r="H4392" s="22">
        <f>IFERROR(__xludf.DUMMYFUNCTION("""COMPUTED_VALUE"""),500000.0)</f>
        <v>500000</v>
      </c>
      <c r="I4392" s="24">
        <f>IFERROR(__xludf.DUMMYFUNCTION("""COMPUTED_VALUE"""),0.0)</f>
        <v>0</v>
      </c>
    </row>
    <row r="4393">
      <c r="A4393" s="5" t="str">
        <f>IFERROR(__xludf.DUMMYFUNCTION("""COMPUTED_VALUE"""),"46876")</f>
        <v>46876</v>
      </c>
      <c r="B4393" s="64">
        <f>IFERROR(__xludf.DUMMYFUNCTION("""COMPUTED_VALUE"""),44630.0)</f>
        <v>44630</v>
      </c>
      <c r="C4393" s="5"/>
      <c r="D4393" s="5"/>
      <c r="E4393" s="5"/>
      <c r="F4393" s="22">
        <f>IFERROR(__xludf.DUMMYFUNCTION("""COMPUTED_VALUE"""),500000.0)</f>
        <v>500000</v>
      </c>
      <c r="G4393" s="22">
        <f>IFERROR(__xludf.DUMMYFUNCTION("""COMPUTED_VALUE"""),0.0)</f>
        <v>0</v>
      </c>
      <c r="H4393" s="22">
        <f>IFERROR(__xludf.DUMMYFUNCTION("""COMPUTED_VALUE"""),500000.0)</f>
        <v>500000</v>
      </c>
      <c r="I4393" s="24">
        <f>IFERROR(__xludf.DUMMYFUNCTION("""COMPUTED_VALUE"""),0.0)</f>
        <v>0</v>
      </c>
    </row>
    <row r="4394">
      <c r="A4394" s="5" t="str">
        <f>IFERROR(__xludf.DUMMYFUNCTION("""COMPUTED_VALUE"""),"46876")</f>
        <v>46876</v>
      </c>
      <c r="B4394" s="64">
        <f>IFERROR(__xludf.DUMMYFUNCTION("""COMPUTED_VALUE"""),44631.0)</f>
        <v>44631</v>
      </c>
      <c r="C4394" s="5"/>
      <c r="D4394" s="5"/>
      <c r="E4394" s="5"/>
      <c r="F4394" s="22">
        <f>IFERROR(__xludf.DUMMYFUNCTION("""COMPUTED_VALUE"""),500000.0)</f>
        <v>500000</v>
      </c>
      <c r="G4394" s="22">
        <f>IFERROR(__xludf.DUMMYFUNCTION("""COMPUTED_VALUE"""),0.0)</f>
        <v>0</v>
      </c>
      <c r="H4394" s="22">
        <f>IFERROR(__xludf.DUMMYFUNCTION("""COMPUTED_VALUE"""),500000.0)</f>
        <v>500000</v>
      </c>
      <c r="I4394" s="24">
        <f>IFERROR(__xludf.DUMMYFUNCTION("""COMPUTED_VALUE"""),0.0)</f>
        <v>0</v>
      </c>
    </row>
    <row r="4395">
      <c r="A4395" s="5" t="str">
        <f>IFERROR(__xludf.DUMMYFUNCTION("""COMPUTED_VALUE"""),"46876")</f>
        <v>46876</v>
      </c>
      <c r="B4395" s="64">
        <f>IFERROR(__xludf.DUMMYFUNCTION("""COMPUTED_VALUE"""),44632.0)</f>
        <v>44632</v>
      </c>
      <c r="C4395" s="5"/>
      <c r="D4395" s="5"/>
      <c r="E4395" s="5"/>
      <c r="F4395" s="22">
        <f>IFERROR(__xludf.DUMMYFUNCTION("""COMPUTED_VALUE"""),500000.0)</f>
        <v>500000</v>
      </c>
      <c r="G4395" s="22">
        <f>IFERROR(__xludf.DUMMYFUNCTION("""COMPUTED_VALUE"""),0.0)</f>
        <v>0</v>
      </c>
      <c r="H4395" s="22">
        <f>IFERROR(__xludf.DUMMYFUNCTION("""COMPUTED_VALUE"""),500000.0)</f>
        <v>500000</v>
      </c>
      <c r="I4395" s="24">
        <f>IFERROR(__xludf.DUMMYFUNCTION("""COMPUTED_VALUE"""),0.0)</f>
        <v>0</v>
      </c>
    </row>
    <row r="4396">
      <c r="A4396" s="5" t="str">
        <f>IFERROR(__xludf.DUMMYFUNCTION("""COMPUTED_VALUE"""),"46876")</f>
        <v>46876</v>
      </c>
      <c r="B4396" s="64">
        <f>IFERROR(__xludf.DUMMYFUNCTION("""COMPUTED_VALUE"""),44633.0)</f>
        <v>44633</v>
      </c>
      <c r="C4396" s="5"/>
      <c r="D4396" s="5"/>
      <c r="E4396" s="5"/>
      <c r="F4396" s="22">
        <f>IFERROR(__xludf.DUMMYFUNCTION("""COMPUTED_VALUE"""),500000.0)</f>
        <v>500000</v>
      </c>
      <c r="G4396" s="22">
        <f>IFERROR(__xludf.DUMMYFUNCTION("""COMPUTED_VALUE"""),0.0)</f>
        <v>0</v>
      </c>
      <c r="H4396" s="22">
        <f>IFERROR(__xludf.DUMMYFUNCTION("""COMPUTED_VALUE"""),500000.0)</f>
        <v>500000</v>
      </c>
      <c r="I4396" s="24">
        <f>IFERROR(__xludf.DUMMYFUNCTION("""COMPUTED_VALUE"""),0.0)</f>
        <v>0</v>
      </c>
    </row>
    <row r="4397">
      <c r="A4397" s="5" t="str">
        <f>IFERROR(__xludf.DUMMYFUNCTION("""COMPUTED_VALUE"""),"46876")</f>
        <v>46876</v>
      </c>
      <c r="B4397" s="64">
        <f>IFERROR(__xludf.DUMMYFUNCTION("""COMPUTED_VALUE"""),44634.0)</f>
        <v>44634</v>
      </c>
      <c r="C4397" s="5"/>
      <c r="D4397" s="5"/>
      <c r="E4397" s="5"/>
      <c r="F4397" s="22">
        <f>IFERROR(__xludf.DUMMYFUNCTION("""COMPUTED_VALUE"""),500000.0)</f>
        <v>500000</v>
      </c>
      <c r="G4397" s="22">
        <f>IFERROR(__xludf.DUMMYFUNCTION("""COMPUTED_VALUE"""),0.0)</f>
        <v>0</v>
      </c>
      <c r="H4397" s="22">
        <f>IFERROR(__xludf.DUMMYFUNCTION("""COMPUTED_VALUE"""),500000.0)</f>
        <v>500000</v>
      </c>
      <c r="I4397" s="24">
        <f>IFERROR(__xludf.DUMMYFUNCTION("""COMPUTED_VALUE"""),0.0)</f>
        <v>0</v>
      </c>
    </row>
    <row r="4398">
      <c r="A4398" s="5" t="str">
        <f>IFERROR(__xludf.DUMMYFUNCTION("""COMPUTED_VALUE"""),"46876")</f>
        <v>46876</v>
      </c>
      <c r="B4398" s="64">
        <f>IFERROR(__xludf.DUMMYFUNCTION("""COMPUTED_VALUE"""),44635.0)</f>
        <v>44635</v>
      </c>
      <c r="C4398" s="5"/>
      <c r="D4398" s="5"/>
      <c r="E4398" s="5"/>
      <c r="F4398" s="22">
        <f>IFERROR(__xludf.DUMMYFUNCTION("""COMPUTED_VALUE"""),500000.0)</f>
        <v>500000</v>
      </c>
      <c r="G4398" s="22">
        <f>IFERROR(__xludf.DUMMYFUNCTION("""COMPUTED_VALUE"""),0.0)</f>
        <v>0</v>
      </c>
      <c r="H4398" s="22">
        <f>IFERROR(__xludf.DUMMYFUNCTION("""COMPUTED_VALUE"""),477450.0)</f>
        <v>477450</v>
      </c>
      <c r="I4398" s="24">
        <f>IFERROR(__xludf.DUMMYFUNCTION("""COMPUTED_VALUE"""),-0.04510000000000003)</f>
        <v>-0.0451</v>
      </c>
    </row>
    <row r="4399">
      <c r="A4399" s="5" t="str">
        <f>IFERROR(__xludf.DUMMYFUNCTION("""COMPUTED_VALUE"""),"46876")</f>
        <v>46876</v>
      </c>
      <c r="B4399" s="64">
        <f>IFERROR(__xludf.DUMMYFUNCTION("""COMPUTED_VALUE"""),44636.0)</f>
        <v>44636</v>
      </c>
      <c r="C4399" s="5"/>
      <c r="D4399" s="5"/>
      <c r="E4399" s="5"/>
      <c r="F4399" s="22">
        <f>IFERROR(__xludf.DUMMYFUNCTION("""COMPUTED_VALUE"""),500000.0)</f>
        <v>500000</v>
      </c>
      <c r="G4399" s="22">
        <f>IFERROR(__xludf.DUMMYFUNCTION("""COMPUTED_VALUE"""),0.0)</f>
        <v>0</v>
      </c>
      <c r="H4399" s="22">
        <f>IFERROR(__xludf.DUMMYFUNCTION("""COMPUTED_VALUE"""),489000.0)</f>
        <v>489000</v>
      </c>
      <c r="I4399" s="24">
        <f>IFERROR(__xludf.DUMMYFUNCTION("""COMPUTED_VALUE"""),-0.02200000000000002)</f>
        <v>-0.022</v>
      </c>
    </row>
    <row r="4400">
      <c r="A4400" s="5" t="str">
        <f>IFERROR(__xludf.DUMMYFUNCTION("""COMPUTED_VALUE"""),"46876")</f>
        <v>46876</v>
      </c>
      <c r="B4400" s="64">
        <f>IFERROR(__xludf.DUMMYFUNCTION("""COMPUTED_VALUE"""),44637.0)</f>
        <v>44637</v>
      </c>
      <c r="C4400" s="5"/>
      <c r="D4400" s="5"/>
      <c r="E4400" s="5"/>
      <c r="F4400" s="22">
        <f>IFERROR(__xludf.DUMMYFUNCTION("""COMPUTED_VALUE"""),500000.0)</f>
        <v>500000</v>
      </c>
      <c r="G4400" s="22">
        <f>IFERROR(__xludf.DUMMYFUNCTION("""COMPUTED_VALUE"""),0.0)</f>
        <v>0</v>
      </c>
      <c r="H4400" s="22">
        <f>IFERROR(__xludf.DUMMYFUNCTION("""COMPUTED_VALUE"""),509350.0)</f>
        <v>509350</v>
      </c>
      <c r="I4400" s="24">
        <f>IFERROR(__xludf.DUMMYFUNCTION("""COMPUTED_VALUE"""),0.01869999999999994)</f>
        <v>0.0187</v>
      </c>
    </row>
    <row r="4401">
      <c r="A4401" s="5" t="str">
        <f>IFERROR(__xludf.DUMMYFUNCTION("""COMPUTED_VALUE"""),"46876")</f>
        <v>46876</v>
      </c>
      <c r="B4401" s="64">
        <f>IFERROR(__xludf.DUMMYFUNCTION("""COMPUTED_VALUE"""),44638.0)</f>
        <v>44638</v>
      </c>
      <c r="C4401" s="5"/>
      <c r="D4401" s="5"/>
      <c r="E4401" s="5"/>
      <c r="F4401" s="22">
        <f>IFERROR(__xludf.DUMMYFUNCTION("""COMPUTED_VALUE"""),500000.0)</f>
        <v>500000</v>
      </c>
      <c r="G4401" s="22">
        <f>IFERROR(__xludf.DUMMYFUNCTION("""COMPUTED_VALUE"""),0.0)</f>
        <v>0</v>
      </c>
      <c r="H4401" s="22">
        <f>IFERROR(__xludf.DUMMYFUNCTION("""COMPUTED_VALUE"""),517600.0)</f>
        <v>517600</v>
      </c>
      <c r="I4401" s="24">
        <f>IFERROR(__xludf.DUMMYFUNCTION("""COMPUTED_VALUE"""),0.0351999999999999)</f>
        <v>0.0352</v>
      </c>
    </row>
    <row r="4402">
      <c r="A4402" s="5" t="str">
        <f>IFERROR(__xludf.DUMMYFUNCTION("""COMPUTED_VALUE"""),"46876")</f>
        <v>46876</v>
      </c>
      <c r="B4402" s="64">
        <f>IFERROR(__xludf.DUMMYFUNCTION("""COMPUTED_VALUE"""),44639.0)</f>
        <v>44639</v>
      </c>
      <c r="C4402" s="5"/>
      <c r="D4402" s="5"/>
      <c r="E4402" s="5"/>
      <c r="F4402" s="22">
        <f>IFERROR(__xludf.DUMMYFUNCTION("""COMPUTED_VALUE"""),500000.0)</f>
        <v>500000</v>
      </c>
      <c r="G4402" s="22">
        <f>IFERROR(__xludf.DUMMYFUNCTION("""COMPUTED_VALUE"""),0.0)</f>
        <v>0</v>
      </c>
      <c r="H4402" s="22">
        <f>IFERROR(__xludf.DUMMYFUNCTION("""COMPUTED_VALUE"""),517600.0)</f>
        <v>517600</v>
      </c>
      <c r="I4402" s="24">
        <f>IFERROR(__xludf.DUMMYFUNCTION("""COMPUTED_VALUE"""),0.0351999999999999)</f>
        <v>0.0352</v>
      </c>
    </row>
    <row r="4403">
      <c r="A4403" s="5" t="str">
        <f>IFERROR(__xludf.DUMMYFUNCTION("""COMPUTED_VALUE"""),"46876")</f>
        <v>46876</v>
      </c>
      <c r="B4403" s="64">
        <f>IFERROR(__xludf.DUMMYFUNCTION("""COMPUTED_VALUE"""),44640.0)</f>
        <v>44640</v>
      </c>
      <c r="C4403" s="5"/>
      <c r="D4403" s="5"/>
      <c r="E4403" s="5"/>
      <c r="F4403" s="22">
        <f>IFERROR(__xludf.DUMMYFUNCTION("""COMPUTED_VALUE"""),500000.0)</f>
        <v>500000</v>
      </c>
      <c r="G4403" s="22">
        <f>IFERROR(__xludf.DUMMYFUNCTION("""COMPUTED_VALUE"""),0.0)</f>
        <v>0</v>
      </c>
      <c r="H4403" s="22">
        <f>IFERROR(__xludf.DUMMYFUNCTION("""COMPUTED_VALUE"""),517600.0)</f>
        <v>517600</v>
      </c>
      <c r="I4403" s="24">
        <f>IFERROR(__xludf.DUMMYFUNCTION("""COMPUTED_VALUE"""),0.0351999999999999)</f>
        <v>0.0352</v>
      </c>
    </row>
    <row r="4404">
      <c r="A4404" s="5" t="str">
        <f>IFERROR(__xludf.DUMMYFUNCTION("""COMPUTED_VALUE"""),"46876")</f>
        <v>46876</v>
      </c>
      <c r="B4404" s="64">
        <f>IFERROR(__xludf.DUMMYFUNCTION("""COMPUTED_VALUE"""),44641.0)</f>
        <v>44641</v>
      </c>
      <c r="C4404" s="5"/>
      <c r="D4404" s="5"/>
      <c r="E4404" s="5"/>
      <c r="F4404" s="22">
        <f>IFERROR(__xludf.DUMMYFUNCTION("""COMPUTED_VALUE"""),500000.0)</f>
        <v>500000</v>
      </c>
      <c r="G4404" s="22">
        <f>IFERROR(__xludf.DUMMYFUNCTION("""COMPUTED_VALUE"""),0.0)</f>
        <v>0</v>
      </c>
      <c r="H4404" s="22">
        <f>IFERROR(__xludf.DUMMYFUNCTION("""COMPUTED_VALUE"""),524550.0)</f>
        <v>524550</v>
      </c>
      <c r="I4404" s="24">
        <f>IFERROR(__xludf.DUMMYFUNCTION("""COMPUTED_VALUE"""),0.04909999999999992)</f>
        <v>0.0491</v>
      </c>
    </row>
    <row r="4405">
      <c r="A4405" s="5" t="str">
        <f>IFERROR(__xludf.DUMMYFUNCTION("""COMPUTED_VALUE"""),"46876")</f>
        <v>46876</v>
      </c>
      <c r="B4405" s="64">
        <f>IFERROR(__xludf.DUMMYFUNCTION("""COMPUTED_VALUE"""),44642.0)</f>
        <v>44642</v>
      </c>
      <c r="C4405" s="5"/>
      <c r="D4405" s="5"/>
      <c r="E4405" s="5"/>
      <c r="F4405" s="22">
        <f>IFERROR(__xludf.DUMMYFUNCTION("""COMPUTED_VALUE"""),500000.0)</f>
        <v>500000</v>
      </c>
      <c r="G4405" s="22">
        <f>IFERROR(__xludf.DUMMYFUNCTION("""COMPUTED_VALUE"""),0.0)</f>
        <v>0</v>
      </c>
      <c r="H4405" s="22">
        <f>IFERROR(__xludf.DUMMYFUNCTION("""COMPUTED_VALUE"""),536000.0)</f>
        <v>536000</v>
      </c>
      <c r="I4405" s="24">
        <f>IFERROR(__xludf.DUMMYFUNCTION("""COMPUTED_VALUE"""),0.07200000000000006)</f>
        <v>0.072</v>
      </c>
    </row>
    <row r="4406">
      <c r="A4406" s="5" t="str">
        <f>IFERROR(__xludf.DUMMYFUNCTION("""COMPUTED_VALUE"""),"46876")</f>
        <v>46876</v>
      </c>
      <c r="B4406" s="64">
        <f>IFERROR(__xludf.DUMMYFUNCTION("""COMPUTED_VALUE"""),44643.0)</f>
        <v>44643</v>
      </c>
      <c r="C4406" s="5"/>
      <c r="D4406" s="5"/>
      <c r="E4406" s="5"/>
      <c r="F4406" s="22">
        <f>IFERROR(__xludf.DUMMYFUNCTION("""COMPUTED_VALUE"""),500000.0)</f>
        <v>500000</v>
      </c>
      <c r="G4406" s="22">
        <f>IFERROR(__xludf.DUMMYFUNCTION("""COMPUTED_VALUE"""),0.0)</f>
        <v>0</v>
      </c>
      <c r="H4406" s="22">
        <f>IFERROR(__xludf.DUMMYFUNCTION("""COMPUTED_VALUE"""),529150.0)</f>
        <v>529150</v>
      </c>
      <c r="I4406" s="24">
        <f>IFERROR(__xludf.DUMMYFUNCTION("""COMPUTED_VALUE"""),0.05830000000000002)</f>
        <v>0.0583</v>
      </c>
    </row>
    <row r="4407">
      <c r="A4407" s="5" t="str">
        <f>IFERROR(__xludf.DUMMYFUNCTION("""COMPUTED_VALUE"""),"46876")</f>
        <v>46876</v>
      </c>
      <c r="B4407" s="64">
        <f>IFERROR(__xludf.DUMMYFUNCTION("""COMPUTED_VALUE"""),44644.0)</f>
        <v>44644</v>
      </c>
      <c r="C4407" s="5"/>
      <c r="D4407" s="5"/>
      <c r="E4407" s="5"/>
      <c r="F4407" s="22">
        <f>IFERROR(__xludf.DUMMYFUNCTION("""COMPUTED_VALUE"""),500000.0)</f>
        <v>500000</v>
      </c>
      <c r="G4407" s="22">
        <f>IFERROR(__xludf.DUMMYFUNCTION("""COMPUTED_VALUE"""),0.0)</f>
        <v>0</v>
      </c>
      <c r="H4407" s="22">
        <f>IFERROR(__xludf.DUMMYFUNCTION("""COMPUTED_VALUE"""),541750.0)</f>
        <v>541750</v>
      </c>
      <c r="I4407" s="24">
        <f>IFERROR(__xludf.DUMMYFUNCTION("""COMPUTED_VALUE"""),0.08349999999999991)</f>
        <v>0.0835</v>
      </c>
    </row>
    <row r="4408">
      <c r="A4408" s="5" t="str">
        <f>IFERROR(__xludf.DUMMYFUNCTION("""COMPUTED_VALUE"""),"46876")</f>
        <v>46876</v>
      </c>
      <c r="B4408" s="64">
        <f>IFERROR(__xludf.DUMMYFUNCTION("""COMPUTED_VALUE"""),44645.0)</f>
        <v>44645</v>
      </c>
      <c r="C4408" s="5"/>
      <c r="D4408" s="5"/>
      <c r="E4408" s="5"/>
      <c r="F4408" s="22">
        <f>IFERROR(__xludf.DUMMYFUNCTION("""COMPUTED_VALUE"""),500000.0)</f>
        <v>500000</v>
      </c>
      <c r="G4408" s="22">
        <f>IFERROR(__xludf.DUMMYFUNCTION("""COMPUTED_VALUE"""),0.0)</f>
        <v>0</v>
      </c>
      <c r="H4408" s="22">
        <f>IFERROR(__xludf.DUMMYFUNCTION("""COMPUTED_VALUE"""),539350.0)</f>
        <v>539350</v>
      </c>
      <c r="I4408" s="24">
        <f>IFERROR(__xludf.DUMMYFUNCTION("""COMPUTED_VALUE"""),0.07869999999999999)</f>
        <v>0.0787</v>
      </c>
    </row>
    <row r="4409">
      <c r="A4409" s="5" t="str">
        <f>IFERROR(__xludf.DUMMYFUNCTION("""COMPUTED_VALUE"""),"46876")</f>
        <v>46876</v>
      </c>
      <c r="B4409" s="64">
        <f>IFERROR(__xludf.DUMMYFUNCTION("""COMPUTED_VALUE"""),44646.0)</f>
        <v>44646</v>
      </c>
      <c r="C4409" s="5"/>
      <c r="D4409" s="5"/>
      <c r="E4409" s="5"/>
      <c r="F4409" s="22">
        <f>IFERROR(__xludf.DUMMYFUNCTION("""COMPUTED_VALUE"""),500000.0)</f>
        <v>500000</v>
      </c>
      <c r="G4409" s="22">
        <f>IFERROR(__xludf.DUMMYFUNCTION("""COMPUTED_VALUE"""),0.0)</f>
        <v>0</v>
      </c>
      <c r="H4409" s="22">
        <f>IFERROR(__xludf.DUMMYFUNCTION("""COMPUTED_VALUE"""),539350.0)</f>
        <v>539350</v>
      </c>
      <c r="I4409" s="24">
        <f>IFERROR(__xludf.DUMMYFUNCTION("""COMPUTED_VALUE"""),0.07869999999999999)</f>
        <v>0.0787</v>
      </c>
    </row>
    <row r="4410">
      <c r="A4410" s="5" t="str">
        <f>IFERROR(__xludf.DUMMYFUNCTION("""COMPUTED_VALUE"""),"46876")</f>
        <v>46876</v>
      </c>
      <c r="B4410" s="64">
        <f>IFERROR(__xludf.DUMMYFUNCTION("""COMPUTED_VALUE"""),44647.0)</f>
        <v>44647</v>
      </c>
      <c r="C4410" s="5"/>
      <c r="D4410" s="5"/>
      <c r="E4410" s="5"/>
      <c r="F4410" s="22">
        <f>IFERROR(__xludf.DUMMYFUNCTION("""COMPUTED_VALUE"""),500000.0)</f>
        <v>500000</v>
      </c>
      <c r="G4410" s="22">
        <f>IFERROR(__xludf.DUMMYFUNCTION("""COMPUTED_VALUE"""),0.0)</f>
        <v>0</v>
      </c>
      <c r="H4410" s="22">
        <f>IFERROR(__xludf.DUMMYFUNCTION("""COMPUTED_VALUE"""),539350.0)</f>
        <v>539350</v>
      </c>
      <c r="I4410" s="24">
        <f>IFERROR(__xludf.DUMMYFUNCTION("""COMPUTED_VALUE"""),0.07869999999999999)</f>
        <v>0.0787</v>
      </c>
    </row>
    <row r="4411">
      <c r="A4411" s="5" t="str">
        <f>IFERROR(__xludf.DUMMYFUNCTION("""COMPUTED_VALUE"""),"46876")</f>
        <v>46876</v>
      </c>
      <c r="B4411" s="64">
        <f>IFERROR(__xludf.DUMMYFUNCTION("""COMPUTED_VALUE"""),44648.0)</f>
        <v>44648</v>
      </c>
      <c r="C4411" s="5"/>
      <c r="D4411" s="5"/>
      <c r="E4411" s="5"/>
      <c r="F4411" s="22">
        <f>IFERROR(__xludf.DUMMYFUNCTION("""COMPUTED_VALUE"""),500000.0)</f>
        <v>500000</v>
      </c>
      <c r="G4411" s="22">
        <f>IFERROR(__xludf.DUMMYFUNCTION("""COMPUTED_VALUE"""),0.0)</f>
        <v>0</v>
      </c>
      <c r="H4411" s="22">
        <f>IFERROR(__xludf.DUMMYFUNCTION("""COMPUTED_VALUE"""),555450.0)</f>
        <v>555450</v>
      </c>
      <c r="I4411" s="24">
        <f>IFERROR(__xludf.DUMMYFUNCTION("""COMPUTED_VALUE"""),0.1109)</f>
        <v>0.1109</v>
      </c>
    </row>
    <row r="4412">
      <c r="A4412" s="5" t="str">
        <f>IFERROR(__xludf.DUMMYFUNCTION("""COMPUTED_VALUE"""),"46876")</f>
        <v>46876</v>
      </c>
      <c r="B4412" s="64">
        <f>IFERROR(__xludf.DUMMYFUNCTION("""COMPUTED_VALUE"""),44649.0)</f>
        <v>44649</v>
      </c>
      <c r="C4412" s="5"/>
      <c r="D4412" s="5"/>
      <c r="E4412" s="5"/>
      <c r="F4412" s="22">
        <f>IFERROR(__xludf.DUMMYFUNCTION("""COMPUTED_VALUE"""),500000.0)</f>
        <v>500000</v>
      </c>
      <c r="G4412" s="22">
        <f>IFERROR(__xludf.DUMMYFUNCTION("""COMPUTED_VALUE"""),0.0)</f>
        <v>0</v>
      </c>
      <c r="H4412" s="22">
        <f>IFERROR(__xludf.DUMMYFUNCTION("""COMPUTED_VALUE"""),560200.0)</f>
        <v>560200</v>
      </c>
      <c r="I4412" s="24">
        <f>IFERROR(__xludf.DUMMYFUNCTION("""COMPUTED_VALUE"""),0.12040000000000006)</f>
        <v>0.1204</v>
      </c>
    </row>
    <row r="4413">
      <c r="A4413" s="5" t="str">
        <f>IFERROR(__xludf.DUMMYFUNCTION("""COMPUTED_VALUE"""),"46876")</f>
        <v>46876</v>
      </c>
      <c r="B4413" s="64">
        <f>IFERROR(__xludf.DUMMYFUNCTION("""COMPUTED_VALUE"""),44650.0)</f>
        <v>44650</v>
      </c>
      <c r="C4413" s="5"/>
      <c r="D4413" s="5"/>
      <c r="E4413" s="5"/>
      <c r="F4413" s="22">
        <f>IFERROR(__xludf.DUMMYFUNCTION("""COMPUTED_VALUE"""),500000.0)</f>
        <v>500000</v>
      </c>
      <c r="G4413" s="22">
        <f>IFERROR(__xludf.DUMMYFUNCTION("""COMPUTED_VALUE"""),0.0)</f>
        <v>0</v>
      </c>
      <c r="H4413" s="22">
        <f>IFERROR(__xludf.DUMMYFUNCTION("""COMPUTED_VALUE"""),553750.0)</f>
        <v>553750</v>
      </c>
      <c r="I4413" s="24">
        <f>IFERROR(__xludf.DUMMYFUNCTION("""COMPUTED_VALUE"""),0.10749999999999993)</f>
        <v>0.1075</v>
      </c>
    </row>
    <row r="4414">
      <c r="A4414" s="5" t="str">
        <f>IFERROR(__xludf.DUMMYFUNCTION("""COMPUTED_VALUE"""),"46876")</f>
        <v>46876</v>
      </c>
      <c r="B4414" s="64">
        <f>IFERROR(__xludf.DUMMYFUNCTION("""COMPUTED_VALUE"""),44651.0)</f>
        <v>44651</v>
      </c>
      <c r="C4414" s="5"/>
      <c r="D4414" s="5"/>
      <c r="E4414" s="5"/>
      <c r="F4414" s="22">
        <f>IFERROR(__xludf.DUMMYFUNCTION("""COMPUTED_VALUE"""),500000.0)</f>
        <v>500000</v>
      </c>
      <c r="G4414" s="22">
        <f>IFERROR(__xludf.DUMMYFUNCTION("""COMPUTED_VALUE"""),0.0)</f>
        <v>0</v>
      </c>
      <c r="H4414" s="22">
        <f>IFERROR(__xludf.DUMMYFUNCTION("""COMPUTED_VALUE"""),557750.0)</f>
        <v>557750</v>
      </c>
      <c r="I4414" s="24">
        <f>IFERROR(__xludf.DUMMYFUNCTION("""COMPUTED_VALUE"""),0.11549999999999994)</f>
        <v>0.1155</v>
      </c>
    </row>
    <row r="4415">
      <c r="A4415" s="5" t="str">
        <f>IFERROR(__xludf.DUMMYFUNCTION("""COMPUTED_VALUE"""),"46876")</f>
        <v>46876</v>
      </c>
      <c r="B4415" s="64">
        <f>IFERROR(__xludf.DUMMYFUNCTION("""COMPUTED_VALUE"""),44652.0)</f>
        <v>44652</v>
      </c>
      <c r="C4415" s="5"/>
      <c r="D4415" s="5"/>
      <c r="E4415" s="5"/>
      <c r="F4415" s="22">
        <f>IFERROR(__xludf.DUMMYFUNCTION("""COMPUTED_VALUE"""),500000.0)</f>
        <v>500000</v>
      </c>
      <c r="G4415" s="22">
        <f>IFERROR(__xludf.DUMMYFUNCTION("""COMPUTED_VALUE"""),0.0)</f>
        <v>0</v>
      </c>
      <c r="H4415" s="22">
        <f>IFERROR(__xludf.DUMMYFUNCTION("""COMPUTED_VALUE"""),564550.0)</f>
        <v>564550</v>
      </c>
      <c r="I4415" s="24">
        <f>IFERROR(__xludf.DUMMYFUNCTION("""COMPUTED_VALUE"""),0.1291)</f>
        <v>0.1291</v>
      </c>
    </row>
    <row r="4416">
      <c r="A4416" s="5" t="str">
        <f>IFERROR(__xludf.DUMMYFUNCTION("""COMPUTED_VALUE"""),"46876")</f>
        <v>46876</v>
      </c>
      <c r="B4416" s="64">
        <f>IFERROR(__xludf.DUMMYFUNCTION("""COMPUTED_VALUE"""),44653.0)</f>
        <v>44653</v>
      </c>
      <c r="C4416" s="5"/>
      <c r="D4416" s="5"/>
      <c r="E4416" s="5"/>
      <c r="F4416" s="22">
        <f>IFERROR(__xludf.DUMMYFUNCTION("""COMPUTED_VALUE"""),500000.0)</f>
        <v>500000</v>
      </c>
      <c r="G4416" s="22">
        <f>IFERROR(__xludf.DUMMYFUNCTION("""COMPUTED_VALUE"""),0.0)</f>
        <v>0</v>
      </c>
      <c r="H4416" s="22">
        <f>IFERROR(__xludf.DUMMYFUNCTION("""COMPUTED_VALUE"""),564550.0)</f>
        <v>564550</v>
      </c>
      <c r="I4416" s="24">
        <f>IFERROR(__xludf.DUMMYFUNCTION("""COMPUTED_VALUE"""),0.1291)</f>
        <v>0.1291</v>
      </c>
    </row>
    <row r="4417">
      <c r="A4417" s="5" t="str">
        <f>IFERROR(__xludf.DUMMYFUNCTION("""COMPUTED_VALUE"""),"46876")</f>
        <v>46876</v>
      </c>
      <c r="B4417" s="64">
        <f>IFERROR(__xludf.DUMMYFUNCTION("""COMPUTED_VALUE"""),44654.0)</f>
        <v>44654</v>
      </c>
      <c r="C4417" s="5"/>
      <c r="D4417" s="5"/>
      <c r="E4417" s="5"/>
      <c r="F4417" s="22">
        <f>IFERROR(__xludf.DUMMYFUNCTION("""COMPUTED_VALUE"""),500000.0)</f>
        <v>500000</v>
      </c>
      <c r="G4417" s="22">
        <f>IFERROR(__xludf.DUMMYFUNCTION("""COMPUTED_VALUE"""),0.0)</f>
        <v>0</v>
      </c>
      <c r="H4417" s="22">
        <f>IFERROR(__xludf.DUMMYFUNCTION("""COMPUTED_VALUE"""),564550.0)</f>
        <v>564550</v>
      </c>
      <c r="I4417" s="24">
        <f>IFERROR(__xludf.DUMMYFUNCTION("""COMPUTED_VALUE"""),0.1291)</f>
        <v>0.1291</v>
      </c>
    </row>
    <row r="4418">
      <c r="A4418" s="5" t="str">
        <f>IFERROR(__xludf.DUMMYFUNCTION("""COMPUTED_VALUE"""),"46876")</f>
        <v>46876</v>
      </c>
      <c r="B4418" s="64">
        <f>IFERROR(__xludf.DUMMYFUNCTION("""COMPUTED_VALUE"""),44655.0)</f>
        <v>44655</v>
      </c>
      <c r="C4418" s="5"/>
      <c r="D4418" s="5"/>
      <c r="E4418" s="5"/>
      <c r="F4418" s="22">
        <f>IFERROR(__xludf.DUMMYFUNCTION("""COMPUTED_VALUE"""),500000.0)</f>
        <v>500000</v>
      </c>
      <c r="G4418" s="22">
        <f>IFERROR(__xludf.DUMMYFUNCTION("""COMPUTED_VALUE"""),0.0)</f>
        <v>0</v>
      </c>
      <c r="H4418" s="22">
        <f>IFERROR(__xludf.DUMMYFUNCTION("""COMPUTED_VALUE"""),557800.0)</f>
        <v>557800</v>
      </c>
      <c r="I4418" s="24">
        <f>IFERROR(__xludf.DUMMYFUNCTION("""COMPUTED_VALUE"""),0.11559999999999993)</f>
        <v>0.1156</v>
      </c>
    </row>
    <row r="4419">
      <c r="A4419" s="5" t="str">
        <f>IFERROR(__xludf.DUMMYFUNCTION("""COMPUTED_VALUE"""),"46876")</f>
        <v>46876</v>
      </c>
      <c r="B4419" s="64">
        <f>IFERROR(__xludf.DUMMYFUNCTION("""COMPUTED_VALUE"""),44656.0)</f>
        <v>44656</v>
      </c>
      <c r="C4419" s="5"/>
      <c r="D4419" s="5"/>
      <c r="E4419" s="5"/>
      <c r="F4419" s="22">
        <f>IFERROR(__xludf.DUMMYFUNCTION("""COMPUTED_VALUE"""),500000.0)</f>
        <v>500000</v>
      </c>
      <c r="G4419" s="22">
        <f>IFERROR(__xludf.DUMMYFUNCTION("""COMPUTED_VALUE"""),0.0)</f>
        <v>0</v>
      </c>
      <c r="H4419" s="22">
        <f>IFERROR(__xludf.DUMMYFUNCTION("""COMPUTED_VALUE"""),557800.0)</f>
        <v>557800</v>
      </c>
      <c r="I4419" s="24">
        <f>IFERROR(__xludf.DUMMYFUNCTION("""COMPUTED_VALUE"""),0.11559999999999993)</f>
        <v>0.1156</v>
      </c>
    </row>
    <row r="4420">
      <c r="A4420" s="5" t="str">
        <f>IFERROR(__xludf.DUMMYFUNCTION("""COMPUTED_VALUE"""),"46876")</f>
        <v>46876</v>
      </c>
      <c r="B4420" s="64">
        <f>IFERROR(__xludf.DUMMYFUNCTION("""COMPUTED_VALUE"""),44657.0)</f>
        <v>44657</v>
      </c>
      <c r="C4420" s="5"/>
      <c r="D4420" s="5"/>
      <c r="E4420" s="5"/>
      <c r="F4420" s="22">
        <f>IFERROR(__xludf.DUMMYFUNCTION("""COMPUTED_VALUE"""),500000.0)</f>
        <v>500000</v>
      </c>
      <c r="G4420" s="22">
        <f>IFERROR(__xludf.DUMMYFUNCTION("""COMPUTED_VALUE"""),0.0)</f>
        <v>0</v>
      </c>
      <c r="H4420" s="22">
        <f>IFERROR(__xludf.DUMMYFUNCTION("""COMPUTED_VALUE"""),561150.0)</f>
        <v>561150</v>
      </c>
      <c r="I4420" s="24">
        <f>IFERROR(__xludf.DUMMYFUNCTION("""COMPUTED_VALUE"""),0.12230000000000008)</f>
        <v>0.1223</v>
      </c>
    </row>
    <row r="4421">
      <c r="A4421" s="5" t="str">
        <f>IFERROR(__xludf.DUMMYFUNCTION("""COMPUTED_VALUE"""),"46876")</f>
        <v>46876</v>
      </c>
      <c r="B4421" s="64">
        <f>IFERROR(__xludf.DUMMYFUNCTION("""COMPUTED_VALUE"""),44658.0)</f>
        <v>44658</v>
      </c>
      <c r="C4421" s="5"/>
      <c r="D4421" s="5"/>
      <c r="E4421" s="5"/>
      <c r="F4421" s="22">
        <f>IFERROR(__xludf.DUMMYFUNCTION("""COMPUTED_VALUE"""),500000.0)</f>
        <v>500000</v>
      </c>
      <c r="G4421" s="22">
        <f>IFERROR(__xludf.DUMMYFUNCTION("""COMPUTED_VALUE"""),0.0)</f>
        <v>0</v>
      </c>
      <c r="H4421" s="22">
        <f>IFERROR(__xludf.DUMMYFUNCTION("""COMPUTED_VALUE"""),558050.0)</f>
        <v>558050</v>
      </c>
      <c r="I4421" s="24">
        <f>IFERROR(__xludf.DUMMYFUNCTION("""COMPUTED_VALUE"""),0.11610000000000009)</f>
        <v>0.1161</v>
      </c>
    </row>
    <row r="4422">
      <c r="A4422" s="5" t="str">
        <f>IFERROR(__xludf.DUMMYFUNCTION("""COMPUTED_VALUE"""),"46876")</f>
        <v>46876</v>
      </c>
      <c r="B4422" s="64">
        <f>IFERROR(__xludf.DUMMYFUNCTION("""COMPUTED_VALUE"""),44659.0)</f>
        <v>44659</v>
      </c>
      <c r="C4422" s="5"/>
      <c r="D4422" s="5"/>
      <c r="E4422" s="5"/>
      <c r="F4422" s="22">
        <f>IFERROR(__xludf.DUMMYFUNCTION("""COMPUTED_VALUE"""),500000.0)</f>
        <v>500000</v>
      </c>
      <c r="G4422" s="22">
        <f>IFERROR(__xludf.DUMMYFUNCTION("""COMPUTED_VALUE"""),0.0)</f>
        <v>0</v>
      </c>
      <c r="H4422" s="22">
        <f>IFERROR(__xludf.DUMMYFUNCTION("""COMPUTED_VALUE"""),572100.0)</f>
        <v>572100</v>
      </c>
      <c r="I4422" s="24">
        <f>IFERROR(__xludf.DUMMYFUNCTION("""COMPUTED_VALUE"""),0.1442000000000001)</f>
        <v>0.1442</v>
      </c>
    </row>
    <row r="4423">
      <c r="A4423" s="5" t="str">
        <f>IFERROR(__xludf.DUMMYFUNCTION("""COMPUTED_VALUE"""),"46876")</f>
        <v>46876</v>
      </c>
      <c r="B4423" s="64">
        <f>IFERROR(__xludf.DUMMYFUNCTION("""COMPUTED_VALUE"""),44660.0)</f>
        <v>44660</v>
      </c>
      <c r="C4423" s="5"/>
      <c r="D4423" s="5"/>
      <c r="E4423" s="5"/>
      <c r="F4423" s="22">
        <f>IFERROR(__xludf.DUMMYFUNCTION("""COMPUTED_VALUE"""),500000.0)</f>
        <v>500000</v>
      </c>
      <c r="G4423" s="22">
        <f>IFERROR(__xludf.DUMMYFUNCTION("""COMPUTED_VALUE"""),0.0)</f>
        <v>0</v>
      </c>
      <c r="H4423" s="22">
        <f>IFERROR(__xludf.DUMMYFUNCTION("""COMPUTED_VALUE"""),572100.0)</f>
        <v>572100</v>
      </c>
      <c r="I4423" s="24">
        <f>IFERROR(__xludf.DUMMYFUNCTION("""COMPUTED_VALUE"""),0.1442000000000001)</f>
        <v>0.1442</v>
      </c>
    </row>
    <row r="4424">
      <c r="A4424" s="5" t="str">
        <f>IFERROR(__xludf.DUMMYFUNCTION("""COMPUTED_VALUE"""),"46876")</f>
        <v>46876</v>
      </c>
      <c r="B4424" s="64">
        <f>IFERROR(__xludf.DUMMYFUNCTION("""COMPUTED_VALUE"""),44661.0)</f>
        <v>44661</v>
      </c>
      <c r="C4424" s="5"/>
      <c r="D4424" s="5"/>
      <c r="E4424" s="5"/>
      <c r="F4424" s="22">
        <f>IFERROR(__xludf.DUMMYFUNCTION("""COMPUTED_VALUE"""),500000.0)</f>
        <v>500000</v>
      </c>
      <c r="G4424" s="22">
        <f>IFERROR(__xludf.DUMMYFUNCTION("""COMPUTED_VALUE"""),0.0)</f>
        <v>0</v>
      </c>
      <c r="H4424" s="22">
        <f>IFERROR(__xludf.DUMMYFUNCTION("""COMPUTED_VALUE"""),572100.0)</f>
        <v>572100</v>
      </c>
      <c r="I4424" s="24">
        <f>IFERROR(__xludf.DUMMYFUNCTION("""COMPUTED_VALUE"""),0.1442000000000001)</f>
        <v>0.1442</v>
      </c>
    </row>
    <row r="4425">
      <c r="A4425" s="5" t="str">
        <f>IFERROR(__xludf.DUMMYFUNCTION("""COMPUTED_VALUE"""),"46876")</f>
        <v>46876</v>
      </c>
      <c r="B4425" s="64">
        <f>IFERROR(__xludf.DUMMYFUNCTION("""COMPUTED_VALUE"""),44662.0)</f>
        <v>44662</v>
      </c>
      <c r="C4425" s="5"/>
      <c r="D4425" s="5"/>
      <c r="E4425" s="5"/>
      <c r="F4425" s="22">
        <f>IFERROR(__xludf.DUMMYFUNCTION("""COMPUTED_VALUE"""),500000.0)</f>
        <v>500000</v>
      </c>
      <c r="G4425" s="22">
        <f>IFERROR(__xludf.DUMMYFUNCTION("""COMPUTED_VALUE"""),0.0)</f>
        <v>0</v>
      </c>
      <c r="H4425" s="22">
        <f>IFERROR(__xludf.DUMMYFUNCTION("""COMPUTED_VALUE"""),573000.0)</f>
        <v>573000</v>
      </c>
      <c r="I4425" s="24">
        <f>IFERROR(__xludf.DUMMYFUNCTION("""COMPUTED_VALUE"""),0.1459999999999999)</f>
        <v>0.146</v>
      </c>
    </row>
    <row r="4426">
      <c r="A4426" s="5" t="str">
        <f>IFERROR(__xludf.DUMMYFUNCTION("""COMPUTED_VALUE"""),"46876")</f>
        <v>46876</v>
      </c>
      <c r="B4426" s="64">
        <f>IFERROR(__xludf.DUMMYFUNCTION("""COMPUTED_VALUE"""),44663.0)</f>
        <v>44663</v>
      </c>
      <c r="C4426" s="5"/>
      <c r="D4426" s="5"/>
      <c r="E4426" s="5"/>
      <c r="F4426" s="22">
        <f>IFERROR(__xludf.DUMMYFUNCTION("""COMPUTED_VALUE"""),500000.0)</f>
        <v>500000</v>
      </c>
      <c r="G4426" s="22">
        <f>IFERROR(__xludf.DUMMYFUNCTION("""COMPUTED_VALUE"""),0.0)</f>
        <v>0</v>
      </c>
      <c r="H4426" s="22">
        <f>IFERROR(__xludf.DUMMYFUNCTION("""COMPUTED_VALUE"""),618150.0)</f>
        <v>618150</v>
      </c>
      <c r="I4426" s="24">
        <f>IFERROR(__xludf.DUMMYFUNCTION("""COMPUTED_VALUE"""),0.23629999999999995)</f>
        <v>0.2363</v>
      </c>
    </row>
    <row r="4427">
      <c r="A4427" s="5" t="str">
        <f>IFERROR(__xludf.DUMMYFUNCTION("""COMPUTED_VALUE"""),"46975")</f>
        <v>46975</v>
      </c>
      <c r="B4427" s="64">
        <f>IFERROR(__xludf.DUMMYFUNCTION("""COMPUTED_VALUE"""),44597.0)</f>
        <v>44597</v>
      </c>
      <c r="C4427" s="5"/>
      <c r="D4427" s="5"/>
      <c r="E4427" s="5"/>
      <c r="F4427" s="22">
        <f>IFERROR(__xludf.DUMMYFUNCTION("""COMPUTED_VALUE"""),500000.0)</f>
        <v>500000</v>
      </c>
      <c r="G4427" s="22">
        <f>IFERROR(__xludf.DUMMYFUNCTION("""COMPUTED_VALUE"""),0.0)</f>
        <v>0</v>
      </c>
      <c r="H4427" s="22">
        <f>IFERROR(__xludf.DUMMYFUNCTION("""COMPUTED_VALUE"""),500000.0)</f>
        <v>500000</v>
      </c>
      <c r="I4427" s="24">
        <f>IFERROR(__xludf.DUMMYFUNCTION("""COMPUTED_VALUE"""),0.0)</f>
        <v>0</v>
      </c>
    </row>
    <row r="4428">
      <c r="A4428" s="5" t="str">
        <f>IFERROR(__xludf.DUMMYFUNCTION("""COMPUTED_VALUE"""),"46975")</f>
        <v>46975</v>
      </c>
      <c r="B4428" s="64">
        <f>IFERROR(__xludf.DUMMYFUNCTION("""COMPUTED_VALUE"""),44598.0)</f>
        <v>44598</v>
      </c>
      <c r="C4428" s="5"/>
      <c r="D4428" s="5"/>
      <c r="E4428" s="5"/>
      <c r="F4428" s="22">
        <f>IFERROR(__xludf.DUMMYFUNCTION("""COMPUTED_VALUE"""),500000.0)</f>
        <v>500000</v>
      </c>
      <c r="G4428" s="22">
        <f>IFERROR(__xludf.DUMMYFUNCTION("""COMPUTED_VALUE"""),0.0)</f>
        <v>0</v>
      </c>
      <c r="H4428" s="22">
        <f>IFERROR(__xludf.DUMMYFUNCTION("""COMPUTED_VALUE"""),500000.0)</f>
        <v>500000</v>
      </c>
      <c r="I4428" s="24">
        <f>IFERROR(__xludf.DUMMYFUNCTION("""COMPUTED_VALUE"""),0.0)</f>
        <v>0</v>
      </c>
    </row>
    <row r="4429">
      <c r="A4429" s="5" t="str">
        <f>IFERROR(__xludf.DUMMYFUNCTION("""COMPUTED_VALUE"""),"46975")</f>
        <v>46975</v>
      </c>
      <c r="B4429" s="64">
        <f>IFERROR(__xludf.DUMMYFUNCTION("""COMPUTED_VALUE"""),44599.0)</f>
        <v>44599</v>
      </c>
      <c r="C4429" s="5"/>
      <c r="D4429" s="5"/>
      <c r="E4429" s="5"/>
      <c r="F4429" s="22">
        <f>IFERROR(__xludf.DUMMYFUNCTION("""COMPUTED_VALUE"""),500000.0)</f>
        <v>500000</v>
      </c>
      <c r="G4429" s="22">
        <f>IFERROR(__xludf.DUMMYFUNCTION("""COMPUTED_VALUE"""),0.0)</f>
        <v>0</v>
      </c>
      <c r="H4429" s="22">
        <f>IFERROR(__xludf.DUMMYFUNCTION("""COMPUTED_VALUE"""),500000.0)</f>
        <v>500000</v>
      </c>
      <c r="I4429" s="24">
        <f>IFERROR(__xludf.DUMMYFUNCTION("""COMPUTED_VALUE"""),0.0)</f>
        <v>0</v>
      </c>
    </row>
    <row r="4430">
      <c r="A4430" s="5" t="str">
        <f>IFERROR(__xludf.DUMMYFUNCTION("""COMPUTED_VALUE"""),"46975")</f>
        <v>46975</v>
      </c>
      <c r="B4430" s="64">
        <f>IFERROR(__xludf.DUMMYFUNCTION("""COMPUTED_VALUE"""),44600.0)</f>
        <v>44600</v>
      </c>
      <c r="C4430" s="5"/>
      <c r="D4430" s="5"/>
      <c r="E4430" s="5"/>
      <c r="F4430" s="22">
        <f>IFERROR(__xludf.DUMMYFUNCTION("""COMPUTED_VALUE"""),500000.0)</f>
        <v>500000</v>
      </c>
      <c r="G4430" s="22">
        <f>IFERROR(__xludf.DUMMYFUNCTION("""COMPUTED_VALUE"""),0.0)</f>
        <v>0</v>
      </c>
      <c r="H4430" s="22">
        <f>IFERROR(__xludf.DUMMYFUNCTION("""COMPUTED_VALUE"""),500000.0)</f>
        <v>500000</v>
      </c>
      <c r="I4430" s="24">
        <f>IFERROR(__xludf.DUMMYFUNCTION("""COMPUTED_VALUE"""),0.0)</f>
        <v>0</v>
      </c>
    </row>
    <row r="4431">
      <c r="A4431" s="5" t="str">
        <f>IFERROR(__xludf.DUMMYFUNCTION("""COMPUTED_VALUE"""),"46975")</f>
        <v>46975</v>
      </c>
      <c r="B4431" s="64">
        <f>IFERROR(__xludf.DUMMYFUNCTION("""COMPUTED_VALUE"""),44601.0)</f>
        <v>44601</v>
      </c>
      <c r="C4431" s="5"/>
      <c r="D4431" s="5"/>
      <c r="E4431" s="5"/>
      <c r="F4431" s="22">
        <f>IFERROR(__xludf.DUMMYFUNCTION("""COMPUTED_VALUE"""),500000.0)</f>
        <v>500000</v>
      </c>
      <c r="G4431" s="22">
        <f>IFERROR(__xludf.DUMMYFUNCTION("""COMPUTED_VALUE"""),0.0)</f>
        <v>0</v>
      </c>
      <c r="H4431" s="22">
        <f>IFERROR(__xludf.DUMMYFUNCTION("""COMPUTED_VALUE"""),500000.0)</f>
        <v>500000</v>
      </c>
      <c r="I4431" s="24">
        <f>IFERROR(__xludf.DUMMYFUNCTION("""COMPUTED_VALUE"""),0.0)</f>
        <v>0</v>
      </c>
    </row>
    <row r="4432">
      <c r="A4432" s="5" t="str">
        <f>IFERROR(__xludf.DUMMYFUNCTION("""COMPUTED_VALUE"""),"46975")</f>
        <v>46975</v>
      </c>
      <c r="B4432" s="64">
        <f>IFERROR(__xludf.DUMMYFUNCTION("""COMPUTED_VALUE"""),44602.0)</f>
        <v>44602</v>
      </c>
      <c r="C4432" s="5"/>
      <c r="D4432" s="5"/>
      <c r="E4432" s="5"/>
      <c r="F4432" s="22">
        <f>IFERROR(__xludf.DUMMYFUNCTION("""COMPUTED_VALUE"""),500000.0)</f>
        <v>500000</v>
      </c>
      <c r="G4432" s="22">
        <f>IFERROR(__xludf.DUMMYFUNCTION("""COMPUTED_VALUE"""),0.0)</f>
        <v>0</v>
      </c>
      <c r="H4432" s="22">
        <f>IFERROR(__xludf.DUMMYFUNCTION("""COMPUTED_VALUE"""),500000.0)</f>
        <v>500000</v>
      </c>
      <c r="I4432" s="24">
        <f>IFERROR(__xludf.DUMMYFUNCTION("""COMPUTED_VALUE"""),0.0)</f>
        <v>0</v>
      </c>
    </row>
    <row r="4433">
      <c r="A4433" s="5" t="str">
        <f>IFERROR(__xludf.DUMMYFUNCTION("""COMPUTED_VALUE"""),"46975")</f>
        <v>46975</v>
      </c>
      <c r="B4433" s="64">
        <f>IFERROR(__xludf.DUMMYFUNCTION("""COMPUTED_VALUE"""),44603.0)</f>
        <v>44603</v>
      </c>
      <c r="C4433" s="5"/>
      <c r="D4433" s="5"/>
      <c r="E4433" s="5"/>
      <c r="F4433" s="22">
        <f>IFERROR(__xludf.DUMMYFUNCTION("""COMPUTED_VALUE"""),500000.0)</f>
        <v>500000</v>
      </c>
      <c r="G4433" s="22">
        <f>IFERROR(__xludf.DUMMYFUNCTION("""COMPUTED_VALUE"""),0.0)</f>
        <v>0</v>
      </c>
      <c r="H4433" s="22">
        <f>IFERROR(__xludf.DUMMYFUNCTION("""COMPUTED_VALUE"""),500000.0)</f>
        <v>500000</v>
      </c>
      <c r="I4433" s="24">
        <f>IFERROR(__xludf.DUMMYFUNCTION("""COMPUTED_VALUE"""),0.0)</f>
        <v>0</v>
      </c>
    </row>
    <row r="4434">
      <c r="A4434" s="5" t="str">
        <f>IFERROR(__xludf.DUMMYFUNCTION("""COMPUTED_VALUE"""),"46975")</f>
        <v>46975</v>
      </c>
      <c r="B4434" s="64">
        <f>IFERROR(__xludf.DUMMYFUNCTION("""COMPUTED_VALUE"""),44604.0)</f>
        <v>44604</v>
      </c>
      <c r="C4434" s="5"/>
      <c r="D4434" s="5"/>
      <c r="E4434" s="5"/>
      <c r="F4434" s="22">
        <f>IFERROR(__xludf.DUMMYFUNCTION("""COMPUTED_VALUE"""),500000.0)</f>
        <v>500000</v>
      </c>
      <c r="G4434" s="22">
        <f>IFERROR(__xludf.DUMMYFUNCTION("""COMPUTED_VALUE"""),0.0)</f>
        <v>0</v>
      </c>
      <c r="H4434" s="22">
        <f>IFERROR(__xludf.DUMMYFUNCTION("""COMPUTED_VALUE"""),500000.0)</f>
        <v>500000</v>
      </c>
      <c r="I4434" s="24">
        <f>IFERROR(__xludf.DUMMYFUNCTION("""COMPUTED_VALUE"""),0.0)</f>
        <v>0</v>
      </c>
    </row>
    <row r="4435">
      <c r="A4435" s="5" t="str">
        <f>IFERROR(__xludf.DUMMYFUNCTION("""COMPUTED_VALUE"""),"46975")</f>
        <v>46975</v>
      </c>
      <c r="B4435" s="64">
        <f>IFERROR(__xludf.DUMMYFUNCTION("""COMPUTED_VALUE"""),44605.0)</f>
        <v>44605</v>
      </c>
      <c r="C4435" s="5"/>
      <c r="D4435" s="5"/>
      <c r="E4435" s="5"/>
      <c r="F4435" s="22">
        <f>IFERROR(__xludf.DUMMYFUNCTION("""COMPUTED_VALUE"""),500000.0)</f>
        <v>500000</v>
      </c>
      <c r="G4435" s="22">
        <f>IFERROR(__xludf.DUMMYFUNCTION("""COMPUTED_VALUE"""),0.0)</f>
        <v>0</v>
      </c>
      <c r="H4435" s="22">
        <f>IFERROR(__xludf.DUMMYFUNCTION("""COMPUTED_VALUE"""),500000.0)</f>
        <v>500000</v>
      </c>
      <c r="I4435" s="24">
        <f>IFERROR(__xludf.DUMMYFUNCTION("""COMPUTED_VALUE"""),0.0)</f>
        <v>0</v>
      </c>
    </row>
    <row r="4436">
      <c r="A4436" s="5" t="str">
        <f>IFERROR(__xludf.DUMMYFUNCTION("""COMPUTED_VALUE"""),"46975")</f>
        <v>46975</v>
      </c>
      <c r="B4436" s="64">
        <f>IFERROR(__xludf.DUMMYFUNCTION("""COMPUTED_VALUE"""),44606.0)</f>
        <v>44606</v>
      </c>
      <c r="C4436" s="5"/>
      <c r="D4436" s="5"/>
      <c r="E4436" s="5"/>
      <c r="F4436" s="22">
        <f>IFERROR(__xludf.DUMMYFUNCTION("""COMPUTED_VALUE"""),500000.0)</f>
        <v>500000</v>
      </c>
      <c r="G4436" s="22">
        <f>IFERROR(__xludf.DUMMYFUNCTION("""COMPUTED_VALUE"""),0.0)</f>
        <v>0</v>
      </c>
      <c r="H4436" s="22">
        <f>IFERROR(__xludf.DUMMYFUNCTION("""COMPUTED_VALUE"""),500000.0)</f>
        <v>500000</v>
      </c>
      <c r="I4436" s="24">
        <f>IFERROR(__xludf.DUMMYFUNCTION("""COMPUTED_VALUE"""),0.0)</f>
        <v>0</v>
      </c>
    </row>
    <row r="4437">
      <c r="A4437" s="5" t="str">
        <f>IFERROR(__xludf.DUMMYFUNCTION("""COMPUTED_VALUE"""),"46975")</f>
        <v>46975</v>
      </c>
      <c r="B4437" s="64">
        <f>IFERROR(__xludf.DUMMYFUNCTION("""COMPUTED_VALUE"""),44607.0)</f>
        <v>44607</v>
      </c>
      <c r="C4437" s="5"/>
      <c r="D4437" s="5"/>
      <c r="E4437" s="5"/>
      <c r="F4437" s="22">
        <f>IFERROR(__xludf.DUMMYFUNCTION("""COMPUTED_VALUE"""),500000.0)</f>
        <v>500000</v>
      </c>
      <c r="G4437" s="22">
        <f>IFERROR(__xludf.DUMMYFUNCTION("""COMPUTED_VALUE"""),0.0)</f>
        <v>0</v>
      </c>
      <c r="H4437" s="22">
        <f>IFERROR(__xludf.DUMMYFUNCTION("""COMPUTED_VALUE"""),500000.0)</f>
        <v>500000</v>
      </c>
      <c r="I4437" s="24">
        <f>IFERROR(__xludf.DUMMYFUNCTION("""COMPUTED_VALUE"""),0.0)</f>
        <v>0</v>
      </c>
    </row>
    <row r="4438">
      <c r="A4438" s="5" t="str">
        <f>IFERROR(__xludf.DUMMYFUNCTION("""COMPUTED_VALUE"""),"46975")</f>
        <v>46975</v>
      </c>
      <c r="B4438" s="64">
        <f>IFERROR(__xludf.DUMMYFUNCTION("""COMPUTED_VALUE"""),44608.0)</f>
        <v>44608</v>
      </c>
      <c r="C4438" s="5"/>
      <c r="D4438" s="5"/>
      <c r="E4438" s="5"/>
      <c r="F4438" s="22">
        <f>IFERROR(__xludf.DUMMYFUNCTION("""COMPUTED_VALUE"""),500000.0)</f>
        <v>500000</v>
      </c>
      <c r="G4438" s="22">
        <f>IFERROR(__xludf.DUMMYFUNCTION("""COMPUTED_VALUE"""),0.0)</f>
        <v>0</v>
      </c>
      <c r="H4438" s="22">
        <f>IFERROR(__xludf.DUMMYFUNCTION("""COMPUTED_VALUE"""),500000.0)</f>
        <v>500000</v>
      </c>
      <c r="I4438" s="24">
        <f>IFERROR(__xludf.DUMMYFUNCTION("""COMPUTED_VALUE"""),0.0)</f>
        <v>0</v>
      </c>
    </row>
    <row r="4439">
      <c r="A4439" s="5" t="str">
        <f>IFERROR(__xludf.DUMMYFUNCTION("""COMPUTED_VALUE"""),"46975")</f>
        <v>46975</v>
      </c>
      <c r="B4439" s="64">
        <f>IFERROR(__xludf.DUMMYFUNCTION("""COMPUTED_VALUE"""),44609.0)</f>
        <v>44609</v>
      </c>
      <c r="C4439" s="5"/>
      <c r="D4439" s="5"/>
      <c r="E4439" s="5"/>
      <c r="F4439" s="22">
        <f>IFERROR(__xludf.DUMMYFUNCTION("""COMPUTED_VALUE"""),500000.0)</f>
        <v>500000</v>
      </c>
      <c r="G4439" s="22">
        <f>IFERROR(__xludf.DUMMYFUNCTION("""COMPUTED_VALUE"""),0.0)</f>
        <v>0</v>
      </c>
      <c r="H4439" s="22">
        <f>IFERROR(__xludf.DUMMYFUNCTION("""COMPUTED_VALUE"""),500000.0)</f>
        <v>500000</v>
      </c>
      <c r="I4439" s="24">
        <f>IFERROR(__xludf.DUMMYFUNCTION("""COMPUTED_VALUE"""),0.0)</f>
        <v>0</v>
      </c>
    </row>
    <row r="4440">
      <c r="A4440" s="5" t="str">
        <f>IFERROR(__xludf.DUMMYFUNCTION("""COMPUTED_VALUE"""),"46975")</f>
        <v>46975</v>
      </c>
      <c r="B4440" s="64">
        <f>IFERROR(__xludf.DUMMYFUNCTION("""COMPUTED_VALUE"""),44610.0)</f>
        <v>44610</v>
      </c>
      <c r="C4440" s="5"/>
      <c r="D4440" s="5"/>
      <c r="E4440" s="5"/>
      <c r="F4440" s="22">
        <f>IFERROR(__xludf.DUMMYFUNCTION("""COMPUTED_VALUE"""),500000.0)</f>
        <v>500000</v>
      </c>
      <c r="G4440" s="22">
        <f>IFERROR(__xludf.DUMMYFUNCTION("""COMPUTED_VALUE"""),0.0)</f>
        <v>0</v>
      </c>
      <c r="H4440" s="22">
        <f>IFERROR(__xludf.DUMMYFUNCTION("""COMPUTED_VALUE"""),500000.0)</f>
        <v>500000</v>
      </c>
      <c r="I4440" s="24">
        <f>IFERROR(__xludf.DUMMYFUNCTION("""COMPUTED_VALUE"""),0.0)</f>
        <v>0</v>
      </c>
    </row>
    <row r="4441">
      <c r="A4441" s="5" t="str">
        <f>IFERROR(__xludf.DUMMYFUNCTION("""COMPUTED_VALUE"""),"46975")</f>
        <v>46975</v>
      </c>
      <c r="B4441" s="64">
        <f>IFERROR(__xludf.DUMMYFUNCTION("""COMPUTED_VALUE"""),44611.0)</f>
        <v>44611</v>
      </c>
      <c r="C4441" s="5"/>
      <c r="D4441" s="5"/>
      <c r="E4441" s="5"/>
      <c r="F4441" s="22">
        <f>IFERROR(__xludf.DUMMYFUNCTION("""COMPUTED_VALUE"""),500000.0)</f>
        <v>500000</v>
      </c>
      <c r="G4441" s="22">
        <f>IFERROR(__xludf.DUMMYFUNCTION("""COMPUTED_VALUE"""),0.0)</f>
        <v>0</v>
      </c>
      <c r="H4441" s="22">
        <f>IFERROR(__xludf.DUMMYFUNCTION("""COMPUTED_VALUE"""),500000.0)</f>
        <v>500000</v>
      </c>
      <c r="I4441" s="24">
        <f>IFERROR(__xludf.DUMMYFUNCTION("""COMPUTED_VALUE"""),0.0)</f>
        <v>0</v>
      </c>
    </row>
    <row r="4442">
      <c r="A4442" s="5" t="str">
        <f>IFERROR(__xludf.DUMMYFUNCTION("""COMPUTED_VALUE"""),"46975")</f>
        <v>46975</v>
      </c>
      <c r="B4442" s="64">
        <f>IFERROR(__xludf.DUMMYFUNCTION("""COMPUTED_VALUE"""),44612.0)</f>
        <v>44612</v>
      </c>
      <c r="C4442" s="5"/>
      <c r="D4442" s="5"/>
      <c r="E4442" s="5"/>
      <c r="F4442" s="22">
        <f>IFERROR(__xludf.DUMMYFUNCTION("""COMPUTED_VALUE"""),500000.0)</f>
        <v>500000</v>
      </c>
      <c r="G4442" s="22">
        <f>IFERROR(__xludf.DUMMYFUNCTION("""COMPUTED_VALUE"""),0.0)</f>
        <v>0</v>
      </c>
      <c r="H4442" s="22">
        <f>IFERROR(__xludf.DUMMYFUNCTION("""COMPUTED_VALUE"""),500000.0)</f>
        <v>500000</v>
      </c>
      <c r="I4442" s="24">
        <f>IFERROR(__xludf.DUMMYFUNCTION("""COMPUTED_VALUE"""),0.0)</f>
        <v>0</v>
      </c>
    </row>
    <row r="4443">
      <c r="A4443" s="5" t="str">
        <f>IFERROR(__xludf.DUMMYFUNCTION("""COMPUTED_VALUE"""),"46975")</f>
        <v>46975</v>
      </c>
      <c r="B4443" s="64">
        <f>IFERROR(__xludf.DUMMYFUNCTION("""COMPUTED_VALUE"""),44613.0)</f>
        <v>44613</v>
      </c>
      <c r="C4443" s="5"/>
      <c r="D4443" s="5"/>
      <c r="E4443" s="5"/>
      <c r="F4443" s="22">
        <f>IFERROR(__xludf.DUMMYFUNCTION("""COMPUTED_VALUE"""),500000.0)</f>
        <v>500000</v>
      </c>
      <c r="G4443" s="22">
        <f>IFERROR(__xludf.DUMMYFUNCTION("""COMPUTED_VALUE"""),0.0)</f>
        <v>0</v>
      </c>
      <c r="H4443" s="22">
        <f>IFERROR(__xludf.DUMMYFUNCTION("""COMPUTED_VALUE"""),500000.0)</f>
        <v>500000</v>
      </c>
      <c r="I4443" s="24">
        <f>IFERROR(__xludf.DUMMYFUNCTION("""COMPUTED_VALUE"""),0.0)</f>
        <v>0</v>
      </c>
    </row>
    <row r="4444">
      <c r="A4444" s="5" t="str">
        <f>IFERROR(__xludf.DUMMYFUNCTION("""COMPUTED_VALUE"""),"46975")</f>
        <v>46975</v>
      </c>
      <c r="B4444" s="64">
        <f>IFERROR(__xludf.DUMMYFUNCTION("""COMPUTED_VALUE"""),44614.0)</f>
        <v>44614</v>
      </c>
      <c r="C4444" s="5"/>
      <c r="D4444" s="5"/>
      <c r="E4444" s="5"/>
      <c r="F4444" s="22">
        <f>IFERROR(__xludf.DUMMYFUNCTION("""COMPUTED_VALUE"""),500000.0)</f>
        <v>500000</v>
      </c>
      <c r="G4444" s="22">
        <f>IFERROR(__xludf.DUMMYFUNCTION("""COMPUTED_VALUE"""),0.0)</f>
        <v>0</v>
      </c>
      <c r="H4444" s="22">
        <f>IFERROR(__xludf.DUMMYFUNCTION("""COMPUTED_VALUE"""),500000.0)</f>
        <v>500000</v>
      </c>
      <c r="I4444" s="24">
        <f>IFERROR(__xludf.DUMMYFUNCTION("""COMPUTED_VALUE"""),0.0)</f>
        <v>0</v>
      </c>
    </row>
    <row r="4445">
      <c r="A4445" s="5" t="str">
        <f>IFERROR(__xludf.DUMMYFUNCTION("""COMPUTED_VALUE"""),"46975")</f>
        <v>46975</v>
      </c>
      <c r="B4445" s="64">
        <f>IFERROR(__xludf.DUMMYFUNCTION("""COMPUTED_VALUE"""),44615.0)</f>
        <v>44615</v>
      </c>
      <c r="C4445" s="5"/>
      <c r="D4445" s="5"/>
      <c r="E4445" s="5"/>
      <c r="F4445" s="22">
        <f>IFERROR(__xludf.DUMMYFUNCTION("""COMPUTED_VALUE"""),500000.0)</f>
        <v>500000</v>
      </c>
      <c r="G4445" s="22">
        <f>IFERROR(__xludf.DUMMYFUNCTION("""COMPUTED_VALUE"""),0.0)</f>
        <v>0</v>
      </c>
      <c r="H4445" s="22">
        <f>IFERROR(__xludf.DUMMYFUNCTION("""COMPUTED_VALUE"""),500000.0)</f>
        <v>500000</v>
      </c>
      <c r="I4445" s="24">
        <f>IFERROR(__xludf.DUMMYFUNCTION("""COMPUTED_VALUE"""),0.0)</f>
        <v>0</v>
      </c>
    </row>
    <row r="4446">
      <c r="A4446" s="5" t="str">
        <f>IFERROR(__xludf.DUMMYFUNCTION("""COMPUTED_VALUE"""),"46975")</f>
        <v>46975</v>
      </c>
      <c r="B4446" s="64">
        <f>IFERROR(__xludf.DUMMYFUNCTION("""COMPUTED_VALUE"""),44616.0)</f>
        <v>44616</v>
      </c>
      <c r="C4446" s="5"/>
      <c r="D4446" s="5"/>
      <c r="E4446" s="5"/>
      <c r="F4446" s="22">
        <f>IFERROR(__xludf.DUMMYFUNCTION("""COMPUTED_VALUE"""),500000.0)</f>
        <v>500000</v>
      </c>
      <c r="G4446" s="22">
        <f>IFERROR(__xludf.DUMMYFUNCTION("""COMPUTED_VALUE"""),0.0)</f>
        <v>0</v>
      </c>
      <c r="H4446" s="22">
        <f>IFERROR(__xludf.DUMMYFUNCTION("""COMPUTED_VALUE"""),500000.0)</f>
        <v>500000</v>
      </c>
      <c r="I4446" s="24">
        <f>IFERROR(__xludf.DUMMYFUNCTION("""COMPUTED_VALUE"""),0.0)</f>
        <v>0</v>
      </c>
    </row>
    <row r="4447">
      <c r="A4447" s="5" t="str">
        <f>IFERROR(__xludf.DUMMYFUNCTION("""COMPUTED_VALUE"""),"46975")</f>
        <v>46975</v>
      </c>
      <c r="B4447" s="64">
        <f>IFERROR(__xludf.DUMMYFUNCTION("""COMPUTED_VALUE"""),44617.0)</f>
        <v>44617</v>
      </c>
      <c r="C4447" s="5"/>
      <c r="D4447" s="5"/>
      <c r="E4447" s="5"/>
      <c r="F4447" s="22">
        <f>IFERROR(__xludf.DUMMYFUNCTION("""COMPUTED_VALUE"""),500000.0)</f>
        <v>500000</v>
      </c>
      <c r="G4447" s="22">
        <f>IFERROR(__xludf.DUMMYFUNCTION("""COMPUTED_VALUE"""),0.0)</f>
        <v>0</v>
      </c>
      <c r="H4447" s="22">
        <f>IFERROR(__xludf.DUMMYFUNCTION("""COMPUTED_VALUE"""),500000.0)</f>
        <v>500000</v>
      </c>
      <c r="I4447" s="24">
        <f>IFERROR(__xludf.DUMMYFUNCTION("""COMPUTED_VALUE"""),0.0)</f>
        <v>0</v>
      </c>
    </row>
    <row r="4448">
      <c r="A4448" s="5" t="str">
        <f>IFERROR(__xludf.DUMMYFUNCTION("""COMPUTED_VALUE"""),"46975")</f>
        <v>46975</v>
      </c>
      <c r="B4448" s="64">
        <f>IFERROR(__xludf.DUMMYFUNCTION("""COMPUTED_VALUE"""),44618.0)</f>
        <v>44618</v>
      </c>
      <c r="C4448" s="5"/>
      <c r="D4448" s="5"/>
      <c r="E4448" s="5"/>
      <c r="F4448" s="22">
        <f>IFERROR(__xludf.DUMMYFUNCTION("""COMPUTED_VALUE"""),500000.0)</f>
        <v>500000</v>
      </c>
      <c r="G4448" s="22">
        <f>IFERROR(__xludf.DUMMYFUNCTION("""COMPUTED_VALUE"""),0.0)</f>
        <v>0</v>
      </c>
      <c r="H4448" s="22">
        <f>IFERROR(__xludf.DUMMYFUNCTION("""COMPUTED_VALUE"""),500000.0)</f>
        <v>500000</v>
      </c>
      <c r="I4448" s="24">
        <f>IFERROR(__xludf.DUMMYFUNCTION("""COMPUTED_VALUE"""),0.0)</f>
        <v>0</v>
      </c>
    </row>
    <row r="4449">
      <c r="A4449" s="5" t="str">
        <f>IFERROR(__xludf.DUMMYFUNCTION("""COMPUTED_VALUE"""),"46975")</f>
        <v>46975</v>
      </c>
      <c r="B4449" s="64">
        <f>IFERROR(__xludf.DUMMYFUNCTION("""COMPUTED_VALUE"""),44619.0)</f>
        <v>44619</v>
      </c>
      <c r="C4449" s="5"/>
      <c r="D4449" s="5"/>
      <c r="E4449" s="5"/>
      <c r="F4449" s="22">
        <f>IFERROR(__xludf.DUMMYFUNCTION("""COMPUTED_VALUE"""),500000.0)</f>
        <v>500000</v>
      </c>
      <c r="G4449" s="22">
        <f>IFERROR(__xludf.DUMMYFUNCTION("""COMPUTED_VALUE"""),0.0)</f>
        <v>0</v>
      </c>
      <c r="H4449" s="22">
        <f>IFERROR(__xludf.DUMMYFUNCTION("""COMPUTED_VALUE"""),500000.0)</f>
        <v>500000</v>
      </c>
      <c r="I4449" s="24">
        <f>IFERROR(__xludf.DUMMYFUNCTION("""COMPUTED_VALUE"""),0.0)</f>
        <v>0</v>
      </c>
    </row>
    <row r="4450">
      <c r="A4450" s="5" t="str">
        <f>IFERROR(__xludf.DUMMYFUNCTION("""COMPUTED_VALUE"""),"46975")</f>
        <v>46975</v>
      </c>
      <c r="B4450" s="64">
        <f>IFERROR(__xludf.DUMMYFUNCTION("""COMPUTED_VALUE"""),44620.0)</f>
        <v>44620</v>
      </c>
      <c r="C4450" s="5"/>
      <c r="D4450" s="5"/>
      <c r="E4450" s="5"/>
      <c r="F4450" s="22">
        <f>IFERROR(__xludf.DUMMYFUNCTION("""COMPUTED_VALUE"""),500000.0)</f>
        <v>500000</v>
      </c>
      <c r="G4450" s="22">
        <f>IFERROR(__xludf.DUMMYFUNCTION("""COMPUTED_VALUE"""),0.0)</f>
        <v>0</v>
      </c>
      <c r="H4450" s="22">
        <f>IFERROR(__xludf.DUMMYFUNCTION("""COMPUTED_VALUE"""),500000.0)</f>
        <v>500000</v>
      </c>
      <c r="I4450" s="24">
        <f>IFERROR(__xludf.DUMMYFUNCTION("""COMPUTED_VALUE"""),0.0)</f>
        <v>0</v>
      </c>
    </row>
    <row r="4451">
      <c r="A4451" s="5" t="str">
        <f>IFERROR(__xludf.DUMMYFUNCTION("""COMPUTED_VALUE"""),"46975")</f>
        <v>46975</v>
      </c>
      <c r="B4451" s="64">
        <f>IFERROR(__xludf.DUMMYFUNCTION("""COMPUTED_VALUE"""),44621.0)</f>
        <v>44621</v>
      </c>
      <c r="C4451" s="5"/>
      <c r="D4451" s="5"/>
      <c r="E4451" s="5"/>
      <c r="F4451" s="22">
        <f>IFERROR(__xludf.DUMMYFUNCTION("""COMPUTED_VALUE"""),500000.0)</f>
        <v>500000</v>
      </c>
      <c r="G4451" s="22">
        <f>IFERROR(__xludf.DUMMYFUNCTION("""COMPUTED_VALUE"""),0.0)</f>
        <v>0</v>
      </c>
      <c r="H4451" s="22">
        <f>IFERROR(__xludf.DUMMYFUNCTION("""COMPUTED_VALUE"""),500000.0)</f>
        <v>500000</v>
      </c>
      <c r="I4451" s="24">
        <f>IFERROR(__xludf.DUMMYFUNCTION("""COMPUTED_VALUE"""),0.0)</f>
        <v>0</v>
      </c>
    </row>
    <row r="4452">
      <c r="A4452" s="5" t="str">
        <f>IFERROR(__xludf.DUMMYFUNCTION("""COMPUTED_VALUE"""),"46975")</f>
        <v>46975</v>
      </c>
      <c r="B4452" s="64">
        <f>IFERROR(__xludf.DUMMYFUNCTION("""COMPUTED_VALUE"""),44622.0)</f>
        <v>44622</v>
      </c>
      <c r="C4452" s="5"/>
      <c r="D4452" s="5"/>
      <c r="E4452" s="5"/>
      <c r="F4452" s="22">
        <f>IFERROR(__xludf.DUMMYFUNCTION("""COMPUTED_VALUE"""),500000.0)</f>
        <v>500000</v>
      </c>
      <c r="G4452" s="22">
        <f>IFERROR(__xludf.DUMMYFUNCTION("""COMPUTED_VALUE"""),0.0)</f>
        <v>0</v>
      </c>
      <c r="H4452" s="22">
        <f>IFERROR(__xludf.DUMMYFUNCTION("""COMPUTED_VALUE"""),502626.11048000003)</f>
        <v>502626.1105</v>
      </c>
      <c r="I4452" s="24">
        <f>IFERROR(__xludf.DUMMYFUNCTION("""COMPUTED_VALUE"""),0.005252220960000109)</f>
        <v>0.00525222096</v>
      </c>
    </row>
    <row r="4453">
      <c r="A4453" s="5" t="str">
        <f>IFERROR(__xludf.DUMMYFUNCTION("""COMPUTED_VALUE"""),"46975")</f>
        <v>46975</v>
      </c>
      <c r="B4453" s="64">
        <f>IFERROR(__xludf.DUMMYFUNCTION("""COMPUTED_VALUE"""),44623.0)</f>
        <v>44623</v>
      </c>
      <c r="C4453" s="5"/>
      <c r="D4453" s="5"/>
      <c r="E4453" s="5"/>
      <c r="F4453" s="22">
        <f>IFERROR(__xludf.DUMMYFUNCTION("""COMPUTED_VALUE"""),500000.0)</f>
        <v>500000</v>
      </c>
      <c r="G4453" s="22">
        <f>IFERROR(__xludf.DUMMYFUNCTION("""COMPUTED_VALUE"""),0.0)</f>
        <v>0</v>
      </c>
      <c r="H4453" s="22">
        <f>IFERROR(__xludf.DUMMYFUNCTION("""COMPUTED_VALUE"""),502368.188915)</f>
        <v>502368.1889</v>
      </c>
      <c r="I4453" s="24">
        <f>IFERROR(__xludf.DUMMYFUNCTION("""COMPUTED_VALUE"""),0.004736377830000027)</f>
        <v>0.00473637783</v>
      </c>
    </row>
    <row r="4454">
      <c r="A4454" s="5" t="str">
        <f>IFERROR(__xludf.DUMMYFUNCTION("""COMPUTED_VALUE"""),"46975")</f>
        <v>46975</v>
      </c>
      <c r="B4454" s="64">
        <f>IFERROR(__xludf.DUMMYFUNCTION("""COMPUTED_VALUE"""),44624.0)</f>
        <v>44624</v>
      </c>
      <c r="C4454" s="5"/>
      <c r="D4454" s="5"/>
      <c r="E4454" s="5"/>
      <c r="F4454" s="22">
        <f>IFERROR(__xludf.DUMMYFUNCTION("""COMPUTED_VALUE"""),500000.0)</f>
        <v>500000</v>
      </c>
      <c r="G4454" s="22">
        <f>IFERROR(__xludf.DUMMYFUNCTION("""COMPUTED_VALUE"""),0.0)</f>
        <v>0</v>
      </c>
      <c r="H4454" s="22">
        <f>IFERROR(__xludf.DUMMYFUNCTION("""COMPUTED_VALUE"""),499976.552585)</f>
        <v>499976.5526</v>
      </c>
      <c r="I4454" s="24">
        <f>IFERROR(__xludf.DUMMYFUNCTION("""COMPUTED_VALUE"""),-4.689482999997718E-5)</f>
        <v>-0.00004689483</v>
      </c>
    </row>
    <row r="4455">
      <c r="A4455" s="5" t="str">
        <f>IFERROR(__xludf.DUMMYFUNCTION("""COMPUTED_VALUE"""),"46975")</f>
        <v>46975</v>
      </c>
      <c r="B4455" s="64">
        <f>IFERROR(__xludf.DUMMYFUNCTION("""COMPUTED_VALUE"""),44625.0)</f>
        <v>44625</v>
      </c>
      <c r="C4455" s="5"/>
      <c r="D4455" s="5"/>
      <c r="E4455" s="5"/>
      <c r="F4455" s="22">
        <f>IFERROR(__xludf.DUMMYFUNCTION("""COMPUTED_VALUE"""),500000.0)</f>
        <v>500000</v>
      </c>
      <c r="G4455" s="22">
        <f>IFERROR(__xludf.DUMMYFUNCTION("""COMPUTED_VALUE"""),0.0)</f>
        <v>0</v>
      </c>
      <c r="H4455" s="22">
        <f>IFERROR(__xludf.DUMMYFUNCTION("""COMPUTED_VALUE"""),499976.552585)</f>
        <v>499976.5526</v>
      </c>
      <c r="I4455" s="24">
        <f>IFERROR(__xludf.DUMMYFUNCTION("""COMPUTED_VALUE"""),-4.689482999997718E-5)</f>
        <v>-0.00004689483</v>
      </c>
    </row>
    <row r="4456">
      <c r="A4456" s="5" t="str">
        <f>IFERROR(__xludf.DUMMYFUNCTION("""COMPUTED_VALUE"""),"46975")</f>
        <v>46975</v>
      </c>
      <c r="B4456" s="64">
        <f>IFERROR(__xludf.DUMMYFUNCTION("""COMPUTED_VALUE"""),44626.0)</f>
        <v>44626</v>
      </c>
      <c r="C4456" s="5"/>
      <c r="D4456" s="5"/>
      <c r="E4456" s="5"/>
      <c r="F4456" s="22">
        <f>IFERROR(__xludf.DUMMYFUNCTION("""COMPUTED_VALUE"""),500000.0)</f>
        <v>500000</v>
      </c>
      <c r="G4456" s="22">
        <f>IFERROR(__xludf.DUMMYFUNCTION("""COMPUTED_VALUE"""),0.0)</f>
        <v>0</v>
      </c>
      <c r="H4456" s="22">
        <f>IFERROR(__xludf.DUMMYFUNCTION("""COMPUTED_VALUE"""),499976.552585)</f>
        <v>499976.5526</v>
      </c>
      <c r="I4456" s="24">
        <f>IFERROR(__xludf.DUMMYFUNCTION("""COMPUTED_VALUE"""),-4.689482999997718E-5)</f>
        <v>-0.00004689483</v>
      </c>
    </row>
    <row r="4457">
      <c r="A4457" s="5" t="str">
        <f>IFERROR(__xludf.DUMMYFUNCTION("""COMPUTED_VALUE"""),"46975")</f>
        <v>46975</v>
      </c>
      <c r="B4457" s="64">
        <f>IFERROR(__xludf.DUMMYFUNCTION("""COMPUTED_VALUE"""),44627.0)</f>
        <v>44627</v>
      </c>
      <c r="C4457" s="5"/>
      <c r="D4457" s="5"/>
      <c r="E4457" s="5"/>
      <c r="F4457" s="22">
        <f>IFERROR(__xludf.DUMMYFUNCTION("""COMPUTED_VALUE"""),500000.0)</f>
        <v>500000</v>
      </c>
      <c r="G4457" s="22">
        <f>IFERROR(__xludf.DUMMYFUNCTION("""COMPUTED_VALUE"""),0.0)</f>
        <v>0</v>
      </c>
      <c r="H4457" s="22">
        <f>IFERROR(__xludf.DUMMYFUNCTION("""COMPUTED_VALUE"""),496951.83605000004)</f>
        <v>496951.8361</v>
      </c>
      <c r="I4457" s="24">
        <f>IFERROR(__xludf.DUMMYFUNCTION("""COMPUTED_VALUE"""),-0.00609632789999992)</f>
        <v>-0.0060963279</v>
      </c>
    </row>
    <row r="4458">
      <c r="A4458" s="5" t="str">
        <f>IFERROR(__xludf.DUMMYFUNCTION("""COMPUTED_VALUE"""),"46975")</f>
        <v>46975</v>
      </c>
      <c r="B4458" s="64">
        <f>IFERROR(__xludf.DUMMYFUNCTION("""COMPUTED_VALUE"""),44628.0)</f>
        <v>44628</v>
      </c>
      <c r="C4458" s="5"/>
      <c r="D4458" s="5"/>
      <c r="E4458" s="5"/>
      <c r="F4458" s="22">
        <f>IFERROR(__xludf.DUMMYFUNCTION("""COMPUTED_VALUE"""),500000.0)</f>
        <v>500000</v>
      </c>
      <c r="G4458" s="22">
        <f>IFERROR(__xludf.DUMMYFUNCTION("""COMPUTED_VALUE"""),0.0)</f>
        <v>0</v>
      </c>
      <c r="H4458" s="22">
        <f>IFERROR(__xludf.DUMMYFUNCTION("""COMPUTED_VALUE"""),495498.09632)</f>
        <v>495498.0963</v>
      </c>
      <c r="I4458" s="24">
        <f>IFERROR(__xludf.DUMMYFUNCTION("""COMPUTED_VALUE"""),-0.009003807359999949)</f>
        <v>-0.00900380736</v>
      </c>
    </row>
    <row r="4459">
      <c r="A4459" s="5" t="str">
        <f>IFERROR(__xludf.DUMMYFUNCTION("""COMPUTED_VALUE"""),"46975")</f>
        <v>46975</v>
      </c>
      <c r="B4459" s="64">
        <f>IFERROR(__xludf.DUMMYFUNCTION("""COMPUTED_VALUE"""),44629.0)</f>
        <v>44629</v>
      </c>
      <c r="C4459" s="5"/>
      <c r="D4459" s="5"/>
      <c r="E4459" s="5"/>
      <c r="F4459" s="22">
        <f>IFERROR(__xludf.DUMMYFUNCTION("""COMPUTED_VALUE"""),500000.0)</f>
        <v>500000</v>
      </c>
      <c r="G4459" s="22">
        <f>IFERROR(__xludf.DUMMYFUNCTION("""COMPUTED_VALUE"""),0.0)</f>
        <v>0</v>
      </c>
      <c r="H4459" s="22">
        <f>IFERROR(__xludf.DUMMYFUNCTION("""COMPUTED_VALUE"""),499804.604875)</f>
        <v>499804.6049</v>
      </c>
      <c r="I4459" s="24">
        <f>IFERROR(__xludf.DUMMYFUNCTION("""COMPUTED_VALUE"""),-3.907902499999949E-4)</f>
        <v>-0.00039079025</v>
      </c>
    </row>
    <row r="4460">
      <c r="A4460" s="5" t="str">
        <f>IFERROR(__xludf.DUMMYFUNCTION("""COMPUTED_VALUE"""),"46975")</f>
        <v>46975</v>
      </c>
      <c r="B4460" s="64">
        <f>IFERROR(__xludf.DUMMYFUNCTION("""COMPUTED_VALUE"""),44630.0)</f>
        <v>44630</v>
      </c>
      <c r="C4460" s="5"/>
      <c r="D4460" s="5"/>
      <c r="E4460" s="5"/>
      <c r="F4460" s="22">
        <f>IFERROR(__xludf.DUMMYFUNCTION("""COMPUTED_VALUE"""),500000.0)</f>
        <v>500000</v>
      </c>
      <c r="G4460" s="22">
        <f>IFERROR(__xludf.DUMMYFUNCTION("""COMPUTED_VALUE"""),0.0)</f>
        <v>0</v>
      </c>
      <c r="H4460" s="22">
        <f>IFERROR(__xludf.DUMMYFUNCTION("""COMPUTED_VALUE"""),499804.604875)</f>
        <v>499804.6049</v>
      </c>
      <c r="I4460" s="24">
        <f>IFERROR(__xludf.DUMMYFUNCTION("""COMPUTED_VALUE"""),-3.907902499999949E-4)</f>
        <v>-0.00039079025</v>
      </c>
    </row>
    <row r="4461">
      <c r="A4461" s="5" t="str">
        <f>IFERROR(__xludf.DUMMYFUNCTION("""COMPUTED_VALUE"""),"46975")</f>
        <v>46975</v>
      </c>
      <c r="B4461" s="64">
        <f>IFERROR(__xludf.DUMMYFUNCTION("""COMPUTED_VALUE"""),44631.0)</f>
        <v>44631</v>
      </c>
      <c r="C4461" s="5"/>
      <c r="D4461" s="5"/>
      <c r="E4461" s="5"/>
      <c r="F4461" s="22">
        <f>IFERROR(__xludf.DUMMYFUNCTION("""COMPUTED_VALUE"""),500000.0)</f>
        <v>500000</v>
      </c>
      <c r="G4461" s="22">
        <f>IFERROR(__xludf.DUMMYFUNCTION("""COMPUTED_VALUE"""),0.0)</f>
        <v>0</v>
      </c>
      <c r="H4461" s="22">
        <f>IFERROR(__xludf.DUMMYFUNCTION("""COMPUTED_VALUE"""),493380.013165)</f>
        <v>493380.0132</v>
      </c>
      <c r="I4461" s="24">
        <f>IFERROR(__xludf.DUMMYFUNCTION("""COMPUTED_VALUE"""),-0.01323997366999996)</f>
        <v>-0.01323997367</v>
      </c>
    </row>
    <row r="4462">
      <c r="A4462" s="5" t="str">
        <f>IFERROR(__xludf.DUMMYFUNCTION("""COMPUTED_VALUE"""),"46975")</f>
        <v>46975</v>
      </c>
      <c r="B4462" s="64">
        <f>IFERROR(__xludf.DUMMYFUNCTION("""COMPUTED_VALUE"""),44632.0)</f>
        <v>44632</v>
      </c>
      <c r="C4462" s="5"/>
      <c r="D4462" s="5"/>
      <c r="E4462" s="5"/>
      <c r="F4462" s="22">
        <f>IFERROR(__xludf.DUMMYFUNCTION("""COMPUTED_VALUE"""),500000.0)</f>
        <v>500000</v>
      </c>
      <c r="G4462" s="22">
        <f>IFERROR(__xludf.DUMMYFUNCTION("""COMPUTED_VALUE"""),0.0)</f>
        <v>0</v>
      </c>
      <c r="H4462" s="22">
        <f>IFERROR(__xludf.DUMMYFUNCTION("""COMPUTED_VALUE"""),493380.013165)</f>
        <v>493380.0132</v>
      </c>
      <c r="I4462" s="24">
        <f>IFERROR(__xludf.DUMMYFUNCTION("""COMPUTED_VALUE"""),-0.01323997366999996)</f>
        <v>-0.01323997367</v>
      </c>
    </row>
    <row r="4463">
      <c r="A4463" s="5" t="str">
        <f>IFERROR(__xludf.DUMMYFUNCTION("""COMPUTED_VALUE"""),"46975")</f>
        <v>46975</v>
      </c>
      <c r="B4463" s="64">
        <f>IFERROR(__xludf.DUMMYFUNCTION("""COMPUTED_VALUE"""),44633.0)</f>
        <v>44633</v>
      </c>
      <c r="C4463" s="5"/>
      <c r="D4463" s="5"/>
      <c r="E4463" s="5"/>
      <c r="F4463" s="22">
        <f>IFERROR(__xludf.DUMMYFUNCTION("""COMPUTED_VALUE"""),500000.0)</f>
        <v>500000</v>
      </c>
      <c r="G4463" s="22">
        <f>IFERROR(__xludf.DUMMYFUNCTION("""COMPUTED_VALUE"""),0.0)</f>
        <v>0</v>
      </c>
      <c r="H4463" s="22">
        <f>IFERROR(__xludf.DUMMYFUNCTION("""COMPUTED_VALUE"""),493380.013165)</f>
        <v>493380.0132</v>
      </c>
      <c r="I4463" s="24">
        <f>IFERROR(__xludf.DUMMYFUNCTION("""COMPUTED_VALUE"""),-0.01323997366999996)</f>
        <v>-0.01323997367</v>
      </c>
    </row>
    <row r="4464">
      <c r="A4464" s="5" t="str">
        <f>IFERROR(__xludf.DUMMYFUNCTION("""COMPUTED_VALUE"""),"46975")</f>
        <v>46975</v>
      </c>
      <c r="B4464" s="64">
        <f>IFERROR(__xludf.DUMMYFUNCTION("""COMPUTED_VALUE"""),44634.0)</f>
        <v>44634</v>
      </c>
      <c r="C4464" s="5"/>
      <c r="D4464" s="5"/>
      <c r="E4464" s="5"/>
      <c r="F4464" s="22">
        <f>IFERROR(__xludf.DUMMYFUNCTION("""COMPUTED_VALUE"""),500000.0)</f>
        <v>500000</v>
      </c>
      <c r="G4464" s="22">
        <f>IFERROR(__xludf.DUMMYFUNCTION("""COMPUTED_VALUE"""),0.0)</f>
        <v>0</v>
      </c>
      <c r="H4464" s="22">
        <f>IFERROR(__xludf.DUMMYFUNCTION("""COMPUTED_VALUE"""),490167.71731000004)</f>
        <v>490167.7173</v>
      </c>
      <c r="I4464" s="24">
        <f>IFERROR(__xludf.DUMMYFUNCTION("""COMPUTED_VALUE"""),-0.019664565379999943)</f>
        <v>-0.01966456538</v>
      </c>
    </row>
    <row r="4465">
      <c r="A4465" s="5" t="str">
        <f>IFERROR(__xludf.DUMMYFUNCTION("""COMPUTED_VALUE"""),"46975")</f>
        <v>46975</v>
      </c>
      <c r="B4465" s="64">
        <f>IFERROR(__xludf.DUMMYFUNCTION("""COMPUTED_VALUE"""),44635.0)</f>
        <v>44635</v>
      </c>
      <c r="C4465" s="5"/>
      <c r="D4465" s="5"/>
      <c r="E4465" s="5"/>
      <c r="F4465" s="22">
        <f>IFERROR(__xludf.DUMMYFUNCTION("""COMPUTED_VALUE"""),500000.0)</f>
        <v>500000</v>
      </c>
      <c r="G4465" s="22">
        <f>IFERROR(__xludf.DUMMYFUNCTION("""COMPUTED_VALUE"""),0.0)</f>
        <v>0</v>
      </c>
      <c r="H4465" s="22">
        <f>IFERROR(__xludf.DUMMYFUNCTION("""COMPUTED_VALUE"""),493775.38214500004)</f>
        <v>493775.3821</v>
      </c>
      <c r="I4465" s="24">
        <f>IFERROR(__xludf.DUMMYFUNCTION("""COMPUTED_VALUE"""),-0.012449235709999895)</f>
        <v>-0.01244923571</v>
      </c>
    </row>
    <row r="4466">
      <c r="A4466" s="5" t="str">
        <f>IFERROR(__xludf.DUMMYFUNCTION("""COMPUTED_VALUE"""),"46975")</f>
        <v>46975</v>
      </c>
      <c r="B4466" s="64">
        <f>IFERROR(__xludf.DUMMYFUNCTION("""COMPUTED_VALUE"""),44636.0)</f>
        <v>44636</v>
      </c>
      <c r="C4466" s="5"/>
      <c r="D4466" s="5"/>
      <c r="E4466" s="5"/>
      <c r="F4466" s="22">
        <f>IFERROR(__xludf.DUMMYFUNCTION("""COMPUTED_VALUE"""),500000.0)</f>
        <v>500000</v>
      </c>
      <c r="G4466" s="22">
        <f>IFERROR(__xludf.DUMMYFUNCTION("""COMPUTED_VALUE"""),0.0)</f>
        <v>0</v>
      </c>
      <c r="H4466" s="22">
        <f>IFERROR(__xludf.DUMMYFUNCTION("""COMPUTED_VALUE"""),490178.49439500005)</f>
        <v>490178.4944</v>
      </c>
      <c r="I4466" s="24">
        <f>IFERROR(__xludf.DUMMYFUNCTION("""COMPUTED_VALUE"""),-0.019643011209999894)</f>
        <v>-0.01964301121</v>
      </c>
    </row>
    <row r="4467">
      <c r="A4467" s="5" t="str">
        <f>IFERROR(__xludf.DUMMYFUNCTION("""COMPUTED_VALUE"""),"46975")</f>
        <v>46975</v>
      </c>
      <c r="B4467" s="64">
        <f>IFERROR(__xludf.DUMMYFUNCTION("""COMPUTED_VALUE"""),44637.0)</f>
        <v>44637</v>
      </c>
      <c r="C4467" s="5"/>
      <c r="D4467" s="5"/>
      <c r="E4467" s="5"/>
      <c r="F4467" s="22">
        <f>IFERROR(__xludf.DUMMYFUNCTION("""COMPUTED_VALUE"""),500000.0)</f>
        <v>500000</v>
      </c>
      <c r="G4467" s="22">
        <f>IFERROR(__xludf.DUMMYFUNCTION("""COMPUTED_VALUE"""),0.0)</f>
        <v>0</v>
      </c>
      <c r="H4467" s="22">
        <f>IFERROR(__xludf.DUMMYFUNCTION("""COMPUTED_VALUE"""),493425.52231000003)</f>
        <v>493425.5223</v>
      </c>
      <c r="I4467" s="24">
        <f>IFERROR(__xludf.DUMMYFUNCTION("""COMPUTED_VALUE"""),-0.013148955379999938)</f>
        <v>-0.01314895538</v>
      </c>
    </row>
    <row r="4468">
      <c r="A4468" s="5" t="str">
        <f>IFERROR(__xludf.DUMMYFUNCTION("""COMPUTED_VALUE"""),"46975")</f>
        <v>46975</v>
      </c>
      <c r="B4468" s="64">
        <f>IFERROR(__xludf.DUMMYFUNCTION("""COMPUTED_VALUE"""),44638.0)</f>
        <v>44638</v>
      </c>
      <c r="C4468" s="5"/>
      <c r="D4468" s="5"/>
      <c r="E4468" s="5"/>
      <c r="F4468" s="22">
        <f>IFERROR(__xludf.DUMMYFUNCTION("""COMPUTED_VALUE"""),500000.0)</f>
        <v>500000</v>
      </c>
      <c r="G4468" s="22">
        <f>IFERROR(__xludf.DUMMYFUNCTION("""COMPUTED_VALUE"""),0.0)</f>
        <v>0</v>
      </c>
      <c r="H4468" s="22">
        <f>IFERROR(__xludf.DUMMYFUNCTION("""COMPUTED_VALUE"""),495173.63279)</f>
        <v>495173.6328</v>
      </c>
      <c r="I4468" s="24">
        <f>IFERROR(__xludf.DUMMYFUNCTION("""COMPUTED_VALUE"""),-0.009652734420000031)</f>
        <v>-0.00965273442</v>
      </c>
    </row>
    <row r="4469">
      <c r="A4469" s="5" t="str">
        <f>IFERROR(__xludf.DUMMYFUNCTION("""COMPUTED_VALUE"""),"46975")</f>
        <v>46975</v>
      </c>
      <c r="B4469" s="64">
        <f>IFERROR(__xludf.DUMMYFUNCTION("""COMPUTED_VALUE"""),44639.0)</f>
        <v>44639</v>
      </c>
      <c r="C4469" s="5"/>
      <c r="D4469" s="5"/>
      <c r="E4469" s="5"/>
      <c r="F4469" s="22">
        <f>IFERROR(__xludf.DUMMYFUNCTION("""COMPUTED_VALUE"""),500000.0)</f>
        <v>500000</v>
      </c>
      <c r="G4469" s="22">
        <f>IFERROR(__xludf.DUMMYFUNCTION("""COMPUTED_VALUE"""),0.0)</f>
        <v>0</v>
      </c>
      <c r="H4469" s="22">
        <f>IFERROR(__xludf.DUMMYFUNCTION("""COMPUTED_VALUE"""),495173.63279)</f>
        <v>495173.6328</v>
      </c>
      <c r="I4469" s="24">
        <f>IFERROR(__xludf.DUMMYFUNCTION("""COMPUTED_VALUE"""),-0.009652734420000031)</f>
        <v>-0.00965273442</v>
      </c>
    </row>
    <row r="4470">
      <c r="A4470" s="5" t="str">
        <f>IFERROR(__xludf.DUMMYFUNCTION("""COMPUTED_VALUE"""),"46975")</f>
        <v>46975</v>
      </c>
      <c r="B4470" s="64">
        <f>IFERROR(__xludf.DUMMYFUNCTION("""COMPUTED_VALUE"""),44640.0)</f>
        <v>44640</v>
      </c>
      <c r="C4470" s="5"/>
      <c r="D4470" s="5"/>
      <c r="E4470" s="5"/>
      <c r="F4470" s="22">
        <f>IFERROR(__xludf.DUMMYFUNCTION("""COMPUTED_VALUE"""),500000.0)</f>
        <v>500000</v>
      </c>
      <c r="G4470" s="22">
        <f>IFERROR(__xludf.DUMMYFUNCTION("""COMPUTED_VALUE"""),0.0)</f>
        <v>0</v>
      </c>
      <c r="H4470" s="22">
        <f>IFERROR(__xludf.DUMMYFUNCTION("""COMPUTED_VALUE"""),495173.63279)</f>
        <v>495173.6328</v>
      </c>
      <c r="I4470" s="24">
        <f>IFERROR(__xludf.DUMMYFUNCTION("""COMPUTED_VALUE"""),-0.009652734420000031)</f>
        <v>-0.00965273442</v>
      </c>
    </row>
    <row r="4471">
      <c r="A4471" s="5" t="str">
        <f>IFERROR(__xludf.DUMMYFUNCTION("""COMPUTED_VALUE"""),"46975")</f>
        <v>46975</v>
      </c>
      <c r="B4471" s="64">
        <f>IFERROR(__xludf.DUMMYFUNCTION("""COMPUTED_VALUE"""),44641.0)</f>
        <v>44641</v>
      </c>
      <c r="C4471" s="5"/>
      <c r="D4471" s="5"/>
      <c r="E4471" s="5"/>
      <c r="F4471" s="22">
        <f>IFERROR(__xludf.DUMMYFUNCTION("""COMPUTED_VALUE"""),500000.0)</f>
        <v>500000</v>
      </c>
      <c r="G4471" s="22">
        <f>IFERROR(__xludf.DUMMYFUNCTION("""COMPUTED_VALUE"""),0.0)</f>
        <v>0</v>
      </c>
      <c r="H4471" s="22">
        <f>IFERROR(__xludf.DUMMYFUNCTION("""COMPUTED_VALUE"""),495295.84549)</f>
        <v>495295.8455</v>
      </c>
      <c r="I4471" s="24">
        <f>IFERROR(__xludf.DUMMYFUNCTION("""COMPUTED_VALUE"""),-0.009408309020000005)</f>
        <v>-0.00940830902</v>
      </c>
    </row>
    <row r="4472">
      <c r="A4472" s="5" t="str">
        <f>IFERROR(__xludf.DUMMYFUNCTION("""COMPUTED_VALUE"""),"46975")</f>
        <v>46975</v>
      </c>
      <c r="B4472" s="64">
        <f>IFERROR(__xludf.DUMMYFUNCTION("""COMPUTED_VALUE"""),44642.0)</f>
        <v>44642</v>
      </c>
      <c r="C4472" s="5"/>
      <c r="D4472" s="5"/>
      <c r="E4472" s="5"/>
      <c r="F4472" s="22">
        <f>IFERROR(__xludf.DUMMYFUNCTION("""COMPUTED_VALUE"""),500000.0)</f>
        <v>500000</v>
      </c>
      <c r="G4472" s="22">
        <f>IFERROR(__xludf.DUMMYFUNCTION("""COMPUTED_VALUE"""),0.0)</f>
        <v>0</v>
      </c>
      <c r="H4472" s="22">
        <f>IFERROR(__xludf.DUMMYFUNCTION("""COMPUTED_VALUE"""),499548.48241)</f>
        <v>499548.4824</v>
      </c>
      <c r="I4472" s="24">
        <f>IFERROR(__xludf.DUMMYFUNCTION("""COMPUTED_VALUE"""),-9.030351800000114E-4)</f>
        <v>-0.00090303518</v>
      </c>
    </row>
    <row r="4473">
      <c r="A4473" s="5" t="str">
        <f>IFERROR(__xludf.DUMMYFUNCTION("""COMPUTED_VALUE"""),"46975")</f>
        <v>46975</v>
      </c>
      <c r="B4473" s="64">
        <f>IFERROR(__xludf.DUMMYFUNCTION("""COMPUTED_VALUE"""),44643.0)</f>
        <v>44643</v>
      </c>
      <c r="C4473" s="5"/>
      <c r="D4473" s="5"/>
      <c r="E4473" s="5"/>
      <c r="F4473" s="22">
        <f>IFERROR(__xludf.DUMMYFUNCTION("""COMPUTED_VALUE"""),500000.0)</f>
        <v>500000</v>
      </c>
      <c r="G4473" s="22">
        <f>IFERROR(__xludf.DUMMYFUNCTION("""COMPUTED_VALUE"""),0.0)</f>
        <v>0</v>
      </c>
      <c r="H4473" s="22">
        <f>IFERROR(__xludf.DUMMYFUNCTION("""COMPUTED_VALUE"""),500780.879305)</f>
        <v>500780.8793</v>
      </c>
      <c r="I4473" s="24">
        <f>IFERROR(__xludf.DUMMYFUNCTION("""COMPUTED_VALUE"""),0.0015617586100000747)</f>
        <v>0.00156175861</v>
      </c>
    </row>
    <row r="4474">
      <c r="A4474" s="5" t="str">
        <f>IFERROR(__xludf.DUMMYFUNCTION("""COMPUTED_VALUE"""),"46975")</f>
        <v>46975</v>
      </c>
      <c r="B4474" s="64">
        <f>IFERROR(__xludf.DUMMYFUNCTION("""COMPUTED_VALUE"""),44644.0)</f>
        <v>44644</v>
      </c>
      <c r="C4474" s="5"/>
      <c r="D4474" s="5"/>
      <c r="E4474" s="5"/>
      <c r="F4474" s="22">
        <f>IFERROR(__xludf.DUMMYFUNCTION("""COMPUTED_VALUE"""),500000.0)</f>
        <v>500000</v>
      </c>
      <c r="G4474" s="22">
        <f>IFERROR(__xludf.DUMMYFUNCTION("""COMPUTED_VALUE"""),0.0)</f>
        <v>0</v>
      </c>
      <c r="H4474" s="22">
        <f>IFERROR(__xludf.DUMMYFUNCTION("""COMPUTED_VALUE"""),501621.780035)</f>
        <v>501621.78</v>
      </c>
      <c r="I4474" s="24">
        <f>IFERROR(__xludf.DUMMYFUNCTION("""COMPUTED_VALUE"""),0.00324356007000004)</f>
        <v>0.00324356007</v>
      </c>
    </row>
    <row r="4475">
      <c r="A4475" s="5" t="str">
        <f>IFERROR(__xludf.DUMMYFUNCTION("""COMPUTED_VALUE"""),"46975")</f>
        <v>46975</v>
      </c>
      <c r="B4475" s="64">
        <f>IFERROR(__xludf.DUMMYFUNCTION("""COMPUTED_VALUE"""),44645.0)</f>
        <v>44645</v>
      </c>
      <c r="C4475" s="5"/>
      <c r="D4475" s="5"/>
      <c r="E4475" s="5"/>
      <c r="F4475" s="22">
        <f>IFERROR(__xludf.DUMMYFUNCTION("""COMPUTED_VALUE"""),500000.0)</f>
        <v>500000</v>
      </c>
      <c r="G4475" s="22">
        <f>IFERROR(__xludf.DUMMYFUNCTION("""COMPUTED_VALUE"""),0.0)</f>
        <v>0</v>
      </c>
      <c r="H4475" s="22">
        <f>IFERROR(__xludf.DUMMYFUNCTION("""COMPUTED_VALUE"""),500915.538735)</f>
        <v>500915.5387</v>
      </c>
      <c r="I4475" s="24">
        <f>IFERROR(__xludf.DUMMYFUNCTION("""COMPUTED_VALUE"""),0.0018310774700001087)</f>
        <v>0.00183107747</v>
      </c>
    </row>
    <row r="4476">
      <c r="A4476" s="5" t="str">
        <f>IFERROR(__xludf.DUMMYFUNCTION("""COMPUTED_VALUE"""),"46975")</f>
        <v>46975</v>
      </c>
      <c r="B4476" s="64">
        <f>IFERROR(__xludf.DUMMYFUNCTION("""COMPUTED_VALUE"""),44646.0)</f>
        <v>44646</v>
      </c>
      <c r="C4476" s="5"/>
      <c r="D4476" s="5"/>
      <c r="E4476" s="5"/>
      <c r="F4476" s="22">
        <f>IFERROR(__xludf.DUMMYFUNCTION("""COMPUTED_VALUE"""),500000.0)</f>
        <v>500000</v>
      </c>
      <c r="G4476" s="22">
        <f>IFERROR(__xludf.DUMMYFUNCTION("""COMPUTED_VALUE"""),0.0)</f>
        <v>0</v>
      </c>
      <c r="H4476" s="22">
        <f>IFERROR(__xludf.DUMMYFUNCTION("""COMPUTED_VALUE"""),500915.538735)</f>
        <v>500915.5387</v>
      </c>
      <c r="I4476" s="24">
        <f>IFERROR(__xludf.DUMMYFUNCTION("""COMPUTED_VALUE"""),0.0018310774700001087)</f>
        <v>0.00183107747</v>
      </c>
    </row>
    <row r="4477">
      <c r="A4477" s="5" t="str">
        <f>IFERROR(__xludf.DUMMYFUNCTION("""COMPUTED_VALUE"""),"46975")</f>
        <v>46975</v>
      </c>
      <c r="B4477" s="64">
        <f>IFERROR(__xludf.DUMMYFUNCTION("""COMPUTED_VALUE"""),44647.0)</f>
        <v>44647</v>
      </c>
      <c r="C4477" s="5"/>
      <c r="D4477" s="5"/>
      <c r="E4477" s="5"/>
      <c r="F4477" s="22">
        <f>IFERROR(__xludf.DUMMYFUNCTION("""COMPUTED_VALUE"""),500000.0)</f>
        <v>500000</v>
      </c>
      <c r="G4477" s="22">
        <f>IFERROR(__xludf.DUMMYFUNCTION("""COMPUTED_VALUE"""),0.0)</f>
        <v>0</v>
      </c>
      <c r="H4477" s="22">
        <f>IFERROR(__xludf.DUMMYFUNCTION("""COMPUTED_VALUE"""),500915.538735)</f>
        <v>500915.5387</v>
      </c>
      <c r="I4477" s="24">
        <f>IFERROR(__xludf.DUMMYFUNCTION("""COMPUTED_VALUE"""),0.0018310774700001087)</f>
        <v>0.00183107747</v>
      </c>
    </row>
    <row r="4478">
      <c r="A4478" s="5" t="str">
        <f>IFERROR(__xludf.DUMMYFUNCTION("""COMPUTED_VALUE"""),"46975")</f>
        <v>46975</v>
      </c>
      <c r="B4478" s="64">
        <f>IFERROR(__xludf.DUMMYFUNCTION("""COMPUTED_VALUE"""),44648.0)</f>
        <v>44648</v>
      </c>
      <c r="C4478" s="5"/>
      <c r="D4478" s="5"/>
      <c r="E4478" s="5"/>
      <c r="F4478" s="22">
        <f>IFERROR(__xludf.DUMMYFUNCTION("""COMPUTED_VALUE"""),500000.0)</f>
        <v>500000</v>
      </c>
      <c r="G4478" s="22">
        <f>IFERROR(__xludf.DUMMYFUNCTION("""COMPUTED_VALUE"""),0.0)</f>
        <v>0</v>
      </c>
      <c r="H4478" s="22">
        <f>IFERROR(__xludf.DUMMYFUNCTION("""COMPUTED_VALUE"""),502259.088975)</f>
        <v>502259.089</v>
      </c>
      <c r="I4478" s="24">
        <f>IFERROR(__xludf.DUMMYFUNCTION("""COMPUTED_VALUE"""),0.004518177950000091)</f>
        <v>0.00451817795</v>
      </c>
    </row>
    <row r="4479">
      <c r="A4479" s="5" t="str">
        <f>IFERROR(__xludf.DUMMYFUNCTION("""COMPUTED_VALUE"""),"46975")</f>
        <v>46975</v>
      </c>
      <c r="B4479" s="64">
        <f>IFERROR(__xludf.DUMMYFUNCTION("""COMPUTED_VALUE"""),44649.0)</f>
        <v>44649</v>
      </c>
      <c r="C4479" s="5"/>
      <c r="D4479" s="5"/>
      <c r="E4479" s="5"/>
      <c r="F4479" s="22">
        <f>IFERROR(__xludf.DUMMYFUNCTION("""COMPUTED_VALUE"""),500000.0)</f>
        <v>500000</v>
      </c>
      <c r="G4479" s="22">
        <f>IFERROR(__xludf.DUMMYFUNCTION("""COMPUTED_VALUE"""),0.0)</f>
        <v>0</v>
      </c>
      <c r="H4479" s="22">
        <f>IFERROR(__xludf.DUMMYFUNCTION("""COMPUTED_VALUE"""),504650.826255)</f>
        <v>504650.8263</v>
      </c>
      <c r="I4479" s="24">
        <f>IFERROR(__xludf.DUMMYFUNCTION("""COMPUTED_VALUE"""),0.009301652510000036)</f>
        <v>0.00930165251</v>
      </c>
    </row>
    <row r="4480">
      <c r="A4480" s="5" t="str">
        <f>IFERROR(__xludf.DUMMYFUNCTION("""COMPUTED_VALUE"""),"46975")</f>
        <v>46975</v>
      </c>
      <c r="B4480" s="64">
        <f>IFERROR(__xludf.DUMMYFUNCTION("""COMPUTED_VALUE"""),44650.0)</f>
        <v>44650</v>
      </c>
      <c r="C4480" s="5"/>
      <c r="D4480" s="5"/>
      <c r="E4480" s="5"/>
      <c r="F4480" s="22">
        <f>IFERROR(__xludf.DUMMYFUNCTION("""COMPUTED_VALUE"""),500000.0)</f>
        <v>500000</v>
      </c>
      <c r="G4480" s="22">
        <f>IFERROR(__xludf.DUMMYFUNCTION("""COMPUTED_VALUE"""),0.0)</f>
        <v>0</v>
      </c>
      <c r="H4480" s="22">
        <f>IFERROR(__xludf.DUMMYFUNCTION("""COMPUTED_VALUE"""),504526.252635)</f>
        <v>504526.2526</v>
      </c>
      <c r="I4480" s="24">
        <f>IFERROR(__xludf.DUMMYFUNCTION("""COMPUTED_VALUE"""),0.0090525052699999)</f>
        <v>0.00905250527</v>
      </c>
    </row>
    <row r="4481">
      <c r="A4481" s="5" t="str">
        <f>IFERROR(__xludf.DUMMYFUNCTION("""COMPUTED_VALUE"""),"46975")</f>
        <v>46975</v>
      </c>
      <c r="B4481" s="64">
        <f>IFERROR(__xludf.DUMMYFUNCTION("""COMPUTED_VALUE"""),44651.0)</f>
        <v>44651</v>
      </c>
      <c r="C4481" s="5"/>
      <c r="D4481" s="5"/>
      <c r="E4481" s="5"/>
      <c r="F4481" s="22">
        <f>IFERROR(__xludf.DUMMYFUNCTION("""COMPUTED_VALUE"""),500000.0)</f>
        <v>500000</v>
      </c>
      <c r="G4481" s="22">
        <f>IFERROR(__xludf.DUMMYFUNCTION("""COMPUTED_VALUE"""),0.0)</f>
        <v>0</v>
      </c>
      <c r="H4481" s="22">
        <f>IFERROR(__xludf.DUMMYFUNCTION("""COMPUTED_VALUE"""),502652.59495500004)</f>
        <v>502652.595</v>
      </c>
      <c r="I4481" s="24">
        <f>IFERROR(__xludf.DUMMYFUNCTION("""COMPUTED_VALUE"""),0.005305189910000063)</f>
        <v>0.00530518991</v>
      </c>
    </row>
    <row r="4482">
      <c r="A4482" s="5" t="str">
        <f>IFERROR(__xludf.DUMMYFUNCTION("""COMPUTED_VALUE"""),"46975")</f>
        <v>46975</v>
      </c>
      <c r="B4482" s="64">
        <f>IFERROR(__xludf.DUMMYFUNCTION("""COMPUTED_VALUE"""),44652.0)</f>
        <v>44652</v>
      </c>
      <c r="C4482" s="5"/>
      <c r="D4482" s="5"/>
      <c r="E4482" s="5"/>
      <c r="F4482" s="22">
        <f>IFERROR(__xludf.DUMMYFUNCTION("""COMPUTED_VALUE"""),500000.0)</f>
        <v>500000</v>
      </c>
      <c r="G4482" s="22">
        <f>IFERROR(__xludf.DUMMYFUNCTION("""COMPUTED_VALUE"""),0.0)</f>
        <v>0</v>
      </c>
      <c r="H4482" s="22">
        <f>IFERROR(__xludf.DUMMYFUNCTION("""COMPUTED_VALUE"""),502995.475555)</f>
        <v>502995.4756</v>
      </c>
      <c r="I4482" s="24">
        <f>IFERROR(__xludf.DUMMYFUNCTION("""COMPUTED_VALUE"""),0.005990951110000031)</f>
        <v>0.00599095111</v>
      </c>
    </row>
    <row r="4483">
      <c r="A4483" s="5" t="str">
        <f>IFERROR(__xludf.DUMMYFUNCTION("""COMPUTED_VALUE"""),"46975")</f>
        <v>46975</v>
      </c>
      <c r="B4483" s="64">
        <f>IFERROR(__xludf.DUMMYFUNCTION("""COMPUTED_VALUE"""),44653.0)</f>
        <v>44653</v>
      </c>
      <c r="C4483" s="5"/>
      <c r="D4483" s="5"/>
      <c r="E4483" s="5"/>
      <c r="F4483" s="22">
        <f>IFERROR(__xludf.DUMMYFUNCTION("""COMPUTED_VALUE"""),500000.0)</f>
        <v>500000</v>
      </c>
      <c r="G4483" s="22">
        <f>IFERROR(__xludf.DUMMYFUNCTION("""COMPUTED_VALUE"""),0.0)</f>
        <v>0</v>
      </c>
      <c r="H4483" s="22">
        <f>IFERROR(__xludf.DUMMYFUNCTION("""COMPUTED_VALUE"""),502995.475555)</f>
        <v>502995.4756</v>
      </c>
      <c r="I4483" s="24">
        <f>IFERROR(__xludf.DUMMYFUNCTION("""COMPUTED_VALUE"""),0.005990951110000031)</f>
        <v>0.00599095111</v>
      </c>
    </row>
    <row r="4484">
      <c r="A4484" s="5" t="str">
        <f>IFERROR(__xludf.DUMMYFUNCTION("""COMPUTED_VALUE"""),"46975")</f>
        <v>46975</v>
      </c>
      <c r="B4484" s="64">
        <f>IFERROR(__xludf.DUMMYFUNCTION("""COMPUTED_VALUE"""),44654.0)</f>
        <v>44654</v>
      </c>
      <c r="C4484" s="5"/>
      <c r="D4484" s="5"/>
      <c r="E4484" s="5"/>
      <c r="F4484" s="22">
        <f>IFERROR(__xludf.DUMMYFUNCTION("""COMPUTED_VALUE"""),500000.0)</f>
        <v>500000</v>
      </c>
      <c r="G4484" s="22">
        <f>IFERROR(__xludf.DUMMYFUNCTION("""COMPUTED_VALUE"""),0.0)</f>
        <v>0</v>
      </c>
      <c r="H4484" s="22">
        <f>IFERROR(__xludf.DUMMYFUNCTION("""COMPUTED_VALUE"""),502995.475555)</f>
        <v>502995.4756</v>
      </c>
      <c r="I4484" s="24">
        <f>IFERROR(__xludf.DUMMYFUNCTION("""COMPUTED_VALUE"""),0.005990951110000031)</f>
        <v>0.00599095111</v>
      </c>
    </row>
    <row r="4485">
      <c r="A4485" s="5" t="str">
        <f>IFERROR(__xludf.DUMMYFUNCTION("""COMPUTED_VALUE"""),"46975")</f>
        <v>46975</v>
      </c>
      <c r="B4485" s="64">
        <f>IFERROR(__xludf.DUMMYFUNCTION("""COMPUTED_VALUE"""),44655.0)</f>
        <v>44655</v>
      </c>
      <c r="C4485" s="5"/>
      <c r="D4485" s="5"/>
      <c r="E4485" s="5"/>
      <c r="F4485" s="22">
        <f>IFERROR(__xludf.DUMMYFUNCTION("""COMPUTED_VALUE"""),500000.0)</f>
        <v>500000</v>
      </c>
      <c r="G4485" s="22">
        <f>IFERROR(__xludf.DUMMYFUNCTION("""COMPUTED_VALUE"""),0.0)</f>
        <v>0</v>
      </c>
      <c r="H4485" s="22">
        <f>IFERROR(__xludf.DUMMYFUNCTION("""COMPUTED_VALUE"""),504110.1550825)</f>
        <v>504110.1551</v>
      </c>
      <c r="I4485" s="24">
        <f>IFERROR(__xludf.DUMMYFUNCTION("""COMPUTED_VALUE"""),0.008220310165000022)</f>
        <v>0.008220310165</v>
      </c>
    </row>
    <row r="4486">
      <c r="A4486" s="5" t="str">
        <f>IFERROR(__xludf.DUMMYFUNCTION("""COMPUTED_VALUE"""),"46975")</f>
        <v>46975</v>
      </c>
      <c r="B4486" s="64">
        <f>IFERROR(__xludf.DUMMYFUNCTION("""COMPUTED_VALUE"""),44656.0)</f>
        <v>44656</v>
      </c>
      <c r="C4486" s="5"/>
      <c r="D4486" s="5"/>
      <c r="E4486" s="5"/>
      <c r="F4486" s="22">
        <f>IFERROR(__xludf.DUMMYFUNCTION("""COMPUTED_VALUE"""),500000.0)</f>
        <v>500000</v>
      </c>
      <c r="G4486" s="22">
        <f>IFERROR(__xludf.DUMMYFUNCTION("""COMPUTED_VALUE"""),0.0)</f>
        <v>0</v>
      </c>
      <c r="H4486" s="22">
        <f>IFERROR(__xludf.DUMMYFUNCTION("""COMPUTED_VALUE"""),504114.50936749997)</f>
        <v>504114.5094</v>
      </c>
      <c r="I4486" s="24">
        <f>IFERROR(__xludf.DUMMYFUNCTION("""COMPUTED_VALUE"""),0.008229018735000038)</f>
        <v>0.008229018735</v>
      </c>
    </row>
    <row r="4487">
      <c r="A4487" s="5" t="str">
        <f>IFERROR(__xludf.DUMMYFUNCTION("""COMPUTED_VALUE"""),"46975")</f>
        <v>46975</v>
      </c>
      <c r="B4487" s="64">
        <f>IFERROR(__xludf.DUMMYFUNCTION("""COMPUTED_VALUE"""),44657.0)</f>
        <v>44657</v>
      </c>
      <c r="C4487" s="5"/>
      <c r="D4487" s="5"/>
      <c r="E4487" s="5"/>
      <c r="F4487" s="22">
        <f>IFERROR(__xludf.DUMMYFUNCTION("""COMPUTED_VALUE"""),500000.0)</f>
        <v>500000</v>
      </c>
      <c r="G4487" s="22">
        <f>IFERROR(__xludf.DUMMYFUNCTION("""COMPUTED_VALUE"""),0.0)</f>
        <v>0</v>
      </c>
      <c r="H4487" s="22">
        <f>IFERROR(__xludf.DUMMYFUNCTION("""COMPUTED_VALUE"""),503218.670415)</f>
        <v>503218.6704</v>
      </c>
      <c r="I4487" s="24">
        <f>IFERROR(__xludf.DUMMYFUNCTION("""COMPUTED_VALUE"""),0.006437340830000027)</f>
        <v>0.00643734083</v>
      </c>
    </row>
    <row r="4488">
      <c r="A4488" s="5" t="str">
        <f>IFERROR(__xludf.DUMMYFUNCTION("""COMPUTED_VALUE"""),"46975")</f>
        <v>46975</v>
      </c>
      <c r="B4488" s="64">
        <f>IFERROR(__xludf.DUMMYFUNCTION("""COMPUTED_VALUE"""),44658.0)</f>
        <v>44658</v>
      </c>
      <c r="C4488" s="5"/>
      <c r="D4488" s="5"/>
      <c r="E4488" s="5"/>
      <c r="F4488" s="22">
        <f>IFERROR(__xludf.DUMMYFUNCTION("""COMPUTED_VALUE"""),500000.0)</f>
        <v>500000</v>
      </c>
      <c r="G4488" s="22">
        <f>IFERROR(__xludf.DUMMYFUNCTION("""COMPUTED_VALUE"""),0.0)</f>
        <v>0</v>
      </c>
      <c r="H4488" s="22">
        <f>IFERROR(__xludf.DUMMYFUNCTION("""COMPUTED_VALUE"""),502558.49006000004)</f>
        <v>502558.4901</v>
      </c>
      <c r="I4488" s="24">
        <f>IFERROR(__xludf.DUMMYFUNCTION("""COMPUTED_VALUE"""),0.00511698012000017)</f>
        <v>0.00511698012</v>
      </c>
    </row>
    <row r="4489">
      <c r="A4489" s="5" t="str">
        <f>IFERROR(__xludf.DUMMYFUNCTION("""COMPUTED_VALUE"""),"46975")</f>
        <v>46975</v>
      </c>
      <c r="B4489" s="64">
        <f>IFERROR(__xludf.DUMMYFUNCTION("""COMPUTED_VALUE"""),44659.0)</f>
        <v>44659</v>
      </c>
      <c r="C4489" s="5"/>
      <c r="D4489" s="5"/>
      <c r="E4489" s="5"/>
      <c r="F4489" s="22">
        <f>IFERROR(__xludf.DUMMYFUNCTION("""COMPUTED_VALUE"""),500000.0)</f>
        <v>500000</v>
      </c>
      <c r="G4489" s="22">
        <f>IFERROR(__xludf.DUMMYFUNCTION("""COMPUTED_VALUE"""),0.0)</f>
        <v>0</v>
      </c>
      <c r="H4489" s="22">
        <f>IFERROR(__xludf.DUMMYFUNCTION("""COMPUTED_VALUE"""),502080.91197)</f>
        <v>502080.912</v>
      </c>
      <c r="I4489" s="24">
        <f>IFERROR(__xludf.DUMMYFUNCTION("""COMPUTED_VALUE"""),0.004161823940000087)</f>
        <v>0.00416182394</v>
      </c>
    </row>
    <row r="4490">
      <c r="A4490" s="5" t="str">
        <f>IFERROR(__xludf.DUMMYFUNCTION("""COMPUTED_VALUE"""),"46975")</f>
        <v>46975</v>
      </c>
      <c r="B4490" s="64">
        <f>IFERROR(__xludf.DUMMYFUNCTION("""COMPUTED_VALUE"""),44660.0)</f>
        <v>44660</v>
      </c>
      <c r="C4490" s="5"/>
      <c r="D4490" s="5"/>
      <c r="E4490" s="5"/>
      <c r="F4490" s="22">
        <f>IFERROR(__xludf.DUMMYFUNCTION("""COMPUTED_VALUE"""),500000.0)</f>
        <v>500000</v>
      </c>
      <c r="G4490" s="22">
        <f>IFERROR(__xludf.DUMMYFUNCTION("""COMPUTED_VALUE"""),0.0)</f>
        <v>0</v>
      </c>
      <c r="H4490" s="22">
        <f>IFERROR(__xludf.DUMMYFUNCTION("""COMPUTED_VALUE"""),502080.91197)</f>
        <v>502080.912</v>
      </c>
      <c r="I4490" s="24">
        <f>IFERROR(__xludf.DUMMYFUNCTION("""COMPUTED_VALUE"""),0.004161823940000087)</f>
        <v>0.00416182394</v>
      </c>
    </row>
    <row r="4491">
      <c r="A4491" s="5" t="str">
        <f>IFERROR(__xludf.DUMMYFUNCTION("""COMPUTED_VALUE"""),"46975")</f>
        <v>46975</v>
      </c>
      <c r="B4491" s="64">
        <f>IFERROR(__xludf.DUMMYFUNCTION("""COMPUTED_VALUE"""),44661.0)</f>
        <v>44661</v>
      </c>
      <c r="C4491" s="5"/>
      <c r="D4491" s="5"/>
      <c r="E4491" s="5"/>
      <c r="F4491" s="22">
        <f>IFERROR(__xludf.DUMMYFUNCTION("""COMPUTED_VALUE"""),500000.0)</f>
        <v>500000</v>
      </c>
      <c r="G4491" s="22">
        <f>IFERROR(__xludf.DUMMYFUNCTION("""COMPUTED_VALUE"""),0.0)</f>
        <v>0</v>
      </c>
      <c r="H4491" s="22">
        <f>IFERROR(__xludf.DUMMYFUNCTION("""COMPUTED_VALUE"""),502080.91197)</f>
        <v>502080.912</v>
      </c>
      <c r="I4491" s="24">
        <f>IFERROR(__xludf.DUMMYFUNCTION("""COMPUTED_VALUE"""),0.004161823940000087)</f>
        <v>0.00416182394</v>
      </c>
    </row>
    <row r="4492">
      <c r="A4492" s="5" t="str">
        <f>IFERROR(__xludf.DUMMYFUNCTION("""COMPUTED_VALUE"""),"46975")</f>
        <v>46975</v>
      </c>
      <c r="B4492" s="64">
        <f>IFERROR(__xludf.DUMMYFUNCTION("""COMPUTED_VALUE"""),44662.0)</f>
        <v>44662</v>
      </c>
      <c r="C4492" s="5"/>
      <c r="D4492" s="5"/>
      <c r="E4492" s="5"/>
      <c r="F4492" s="22">
        <f>IFERROR(__xludf.DUMMYFUNCTION("""COMPUTED_VALUE"""),500000.0)</f>
        <v>500000</v>
      </c>
      <c r="G4492" s="22">
        <f>IFERROR(__xludf.DUMMYFUNCTION("""COMPUTED_VALUE"""),0.0)</f>
        <v>0</v>
      </c>
      <c r="H4492" s="22">
        <f>IFERROR(__xludf.DUMMYFUNCTION("""COMPUTED_VALUE"""),500486.502975)</f>
        <v>500486.503</v>
      </c>
      <c r="I4492" s="24">
        <f>IFERROR(__xludf.DUMMYFUNCTION("""COMPUTED_VALUE"""),9.730059499999388E-4)</f>
        <v>0.00097300595</v>
      </c>
    </row>
    <row r="4493">
      <c r="A4493" s="5" t="str">
        <f>IFERROR(__xludf.DUMMYFUNCTION("""COMPUTED_VALUE"""),"46975")</f>
        <v>46975</v>
      </c>
      <c r="B4493" s="64">
        <f>IFERROR(__xludf.DUMMYFUNCTION("""COMPUTED_VALUE"""),44663.0)</f>
        <v>44663</v>
      </c>
      <c r="C4493" s="5"/>
      <c r="D4493" s="5"/>
      <c r="E4493" s="5"/>
      <c r="F4493" s="22">
        <f>IFERROR(__xludf.DUMMYFUNCTION("""COMPUTED_VALUE"""),500000.0)</f>
        <v>500000</v>
      </c>
      <c r="G4493" s="22">
        <f>IFERROR(__xludf.DUMMYFUNCTION("""COMPUTED_VALUE"""),0.0)</f>
        <v>0</v>
      </c>
      <c r="H4493" s="22">
        <f>IFERROR(__xludf.DUMMYFUNCTION("""COMPUTED_VALUE"""),501764.04241750005)</f>
        <v>501764.0424</v>
      </c>
      <c r="I4493" s="24">
        <f>IFERROR(__xludf.DUMMYFUNCTION("""COMPUTED_VALUE"""),0.0035280848350001115)</f>
        <v>0.003528084835</v>
      </c>
    </row>
    <row r="4494">
      <c r="A4494" s="5" t="str">
        <f>IFERROR(__xludf.DUMMYFUNCTION("""COMPUTED_VALUE"""),"52981")</f>
        <v>52981</v>
      </c>
      <c r="B4494" s="64">
        <f>IFERROR(__xludf.DUMMYFUNCTION("""COMPUTED_VALUE"""),44597.0)</f>
        <v>44597</v>
      </c>
      <c r="C4494" s="5"/>
      <c r="D4494" s="5"/>
      <c r="E4494" s="5"/>
      <c r="F4494" s="22">
        <f>IFERROR(__xludf.DUMMYFUNCTION("""COMPUTED_VALUE"""),500000.0)</f>
        <v>500000</v>
      </c>
      <c r="G4494" s="22">
        <f>IFERROR(__xludf.DUMMYFUNCTION("""COMPUTED_VALUE"""),0.0)</f>
        <v>0</v>
      </c>
      <c r="H4494" s="22">
        <f>IFERROR(__xludf.DUMMYFUNCTION("""COMPUTED_VALUE"""),500000.0)</f>
        <v>500000</v>
      </c>
      <c r="I4494" s="24">
        <f>IFERROR(__xludf.DUMMYFUNCTION("""COMPUTED_VALUE"""),0.0)</f>
        <v>0</v>
      </c>
    </row>
    <row r="4495">
      <c r="A4495" s="5" t="str">
        <f>IFERROR(__xludf.DUMMYFUNCTION("""COMPUTED_VALUE"""),"52981")</f>
        <v>52981</v>
      </c>
      <c r="B4495" s="64">
        <f>IFERROR(__xludf.DUMMYFUNCTION("""COMPUTED_VALUE"""),44598.0)</f>
        <v>44598</v>
      </c>
      <c r="C4495" s="5"/>
      <c r="D4495" s="5"/>
      <c r="E4495" s="5"/>
      <c r="F4495" s="22">
        <f>IFERROR(__xludf.DUMMYFUNCTION("""COMPUTED_VALUE"""),500000.0)</f>
        <v>500000</v>
      </c>
      <c r="G4495" s="22">
        <f>IFERROR(__xludf.DUMMYFUNCTION("""COMPUTED_VALUE"""),0.0)</f>
        <v>0</v>
      </c>
      <c r="H4495" s="22">
        <f>IFERROR(__xludf.DUMMYFUNCTION("""COMPUTED_VALUE"""),500000.0)</f>
        <v>500000</v>
      </c>
      <c r="I4495" s="24">
        <f>IFERROR(__xludf.DUMMYFUNCTION("""COMPUTED_VALUE"""),0.0)</f>
        <v>0</v>
      </c>
    </row>
    <row r="4496">
      <c r="A4496" s="5" t="str">
        <f>IFERROR(__xludf.DUMMYFUNCTION("""COMPUTED_VALUE"""),"52981")</f>
        <v>52981</v>
      </c>
      <c r="B4496" s="64">
        <f>IFERROR(__xludf.DUMMYFUNCTION("""COMPUTED_VALUE"""),44599.0)</f>
        <v>44599</v>
      </c>
      <c r="C4496" s="5"/>
      <c r="D4496" s="5"/>
      <c r="E4496" s="5"/>
      <c r="F4496" s="22">
        <f>IFERROR(__xludf.DUMMYFUNCTION("""COMPUTED_VALUE"""),500000.0)</f>
        <v>500000</v>
      </c>
      <c r="G4496" s="22">
        <f>IFERROR(__xludf.DUMMYFUNCTION("""COMPUTED_VALUE"""),0.0)</f>
        <v>0</v>
      </c>
      <c r="H4496" s="22">
        <f>IFERROR(__xludf.DUMMYFUNCTION("""COMPUTED_VALUE"""),500000.0)</f>
        <v>500000</v>
      </c>
      <c r="I4496" s="24">
        <f>IFERROR(__xludf.DUMMYFUNCTION("""COMPUTED_VALUE"""),0.0)</f>
        <v>0</v>
      </c>
    </row>
    <row r="4497">
      <c r="A4497" s="5" t="str">
        <f>IFERROR(__xludf.DUMMYFUNCTION("""COMPUTED_VALUE"""),"52981")</f>
        <v>52981</v>
      </c>
      <c r="B4497" s="64">
        <f>IFERROR(__xludf.DUMMYFUNCTION("""COMPUTED_VALUE"""),44600.0)</f>
        <v>44600</v>
      </c>
      <c r="C4497" s="5"/>
      <c r="D4497" s="5"/>
      <c r="E4497" s="5"/>
      <c r="F4497" s="22">
        <f>IFERROR(__xludf.DUMMYFUNCTION("""COMPUTED_VALUE"""),500000.0)</f>
        <v>500000</v>
      </c>
      <c r="G4497" s="22">
        <f>IFERROR(__xludf.DUMMYFUNCTION("""COMPUTED_VALUE"""),0.0)</f>
        <v>0</v>
      </c>
      <c r="H4497" s="22">
        <f>IFERROR(__xludf.DUMMYFUNCTION("""COMPUTED_VALUE"""),500000.0)</f>
        <v>500000</v>
      </c>
      <c r="I4497" s="24">
        <f>IFERROR(__xludf.DUMMYFUNCTION("""COMPUTED_VALUE"""),0.0)</f>
        <v>0</v>
      </c>
    </row>
    <row r="4498">
      <c r="A4498" s="5" t="str">
        <f>IFERROR(__xludf.DUMMYFUNCTION("""COMPUTED_VALUE"""),"52981")</f>
        <v>52981</v>
      </c>
      <c r="B4498" s="64">
        <f>IFERROR(__xludf.DUMMYFUNCTION("""COMPUTED_VALUE"""),44601.0)</f>
        <v>44601</v>
      </c>
      <c r="C4498" s="5"/>
      <c r="D4498" s="5"/>
      <c r="E4498" s="5"/>
      <c r="F4498" s="22">
        <f>IFERROR(__xludf.DUMMYFUNCTION("""COMPUTED_VALUE"""),500000.0)</f>
        <v>500000</v>
      </c>
      <c r="G4498" s="22">
        <f>IFERROR(__xludf.DUMMYFUNCTION("""COMPUTED_VALUE"""),0.0)</f>
        <v>0</v>
      </c>
      <c r="H4498" s="22">
        <f>IFERROR(__xludf.DUMMYFUNCTION("""COMPUTED_VALUE"""),500000.0)</f>
        <v>500000</v>
      </c>
      <c r="I4498" s="24">
        <f>IFERROR(__xludf.DUMMYFUNCTION("""COMPUTED_VALUE"""),0.0)</f>
        <v>0</v>
      </c>
    </row>
    <row r="4499">
      <c r="A4499" s="5" t="str">
        <f>IFERROR(__xludf.DUMMYFUNCTION("""COMPUTED_VALUE"""),"52981")</f>
        <v>52981</v>
      </c>
      <c r="B4499" s="64">
        <f>IFERROR(__xludf.DUMMYFUNCTION("""COMPUTED_VALUE"""),44602.0)</f>
        <v>44602</v>
      </c>
      <c r="C4499" s="5"/>
      <c r="D4499" s="5"/>
      <c r="E4499" s="5"/>
      <c r="F4499" s="22">
        <f>IFERROR(__xludf.DUMMYFUNCTION("""COMPUTED_VALUE"""),500000.0)</f>
        <v>500000</v>
      </c>
      <c r="G4499" s="22">
        <f>IFERROR(__xludf.DUMMYFUNCTION("""COMPUTED_VALUE"""),0.0)</f>
        <v>0</v>
      </c>
      <c r="H4499" s="22">
        <f>IFERROR(__xludf.DUMMYFUNCTION("""COMPUTED_VALUE"""),500000.0)</f>
        <v>500000</v>
      </c>
      <c r="I4499" s="24">
        <f>IFERROR(__xludf.DUMMYFUNCTION("""COMPUTED_VALUE"""),0.0)</f>
        <v>0</v>
      </c>
    </row>
    <row r="4500">
      <c r="A4500" s="5" t="str">
        <f>IFERROR(__xludf.DUMMYFUNCTION("""COMPUTED_VALUE"""),"52981")</f>
        <v>52981</v>
      </c>
      <c r="B4500" s="64">
        <f>IFERROR(__xludf.DUMMYFUNCTION("""COMPUTED_VALUE"""),44603.0)</f>
        <v>44603</v>
      </c>
      <c r="C4500" s="5"/>
      <c r="D4500" s="5"/>
      <c r="E4500" s="5"/>
      <c r="F4500" s="22">
        <f>IFERROR(__xludf.DUMMYFUNCTION("""COMPUTED_VALUE"""),500000.0)</f>
        <v>500000</v>
      </c>
      <c r="G4500" s="22">
        <f>IFERROR(__xludf.DUMMYFUNCTION("""COMPUTED_VALUE"""),0.0)</f>
        <v>0</v>
      </c>
      <c r="H4500" s="22">
        <f>IFERROR(__xludf.DUMMYFUNCTION("""COMPUTED_VALUE"""),500000.0)</f>
        <v>500000</v>
      </c>
      <c r="I4500" s="24">
        <f>IFERROR(__xludf.DUMMYFUNCTION("""COMPUTED_VALUE"""),0.0)</f>
        <v>0</v>
      </c>
    </row>
    <row r="4501">
      <c r="A4501" s="5" t="str">
        <f>IFERROR(__xludf.DUMMYFUNCTION("""COMPUTED_VALUE"""),"52981")</f>
        <v>52981</v>
      </c>
      <c r="B4501" s="64">
        <f>IFERROR(__xludf.DUMMYFUNCTION("""COMPUTED_VALUE"""),44604.0)</f>
        <v>44604</v>
      </c>
      <c r="C4501" s="5"/>
      <c r="D4501" s="5"/>
      <c r="E4501" s="5"/>
      <c r="F4501" s="22">
        <f>IFERROR(__xludf.DUMMYFUNCTION("""COMPUTED_VALUE"""),500000.0)</f>
        <v>500000</v>
      </c>
      <c r="G4501" s="22">
        <f>IFERROR(__xludf.DUMMYFUNCTION("""COMPUTED_VALUE"""),0.0)</f>
        <v>0</v>
      </c>
      <c r="H4501" s="22">
        <f>IFERROR(__xludf.DUMMYFUNCTION("""COMPUTED_VALUE"""),500000.0)</f>
        <v>500000</v>
      </c>
      <c r="I4501" s="24">
        <f>IFERROR(__xludf.DUMMYFUNCTION("""COMPUTED_VALUE"""),0.0)</f>
        <v>0</v>
      </c>
    </row>
    <row r="4502">
      <c r="A4502" s="5" t="str">
        <f>IFERROR(__xludf.DUMMYFUNCTION("""COMPUTED_VALUE"""),"52981")</f>
        <v>52981</v>
      </c>
      <c r="B4502" s="64">
        <f>IFERROR(__xludf.DUMMYFUNCTION("""COMPUTED_VALUE"""),44605.0)</f>
        <v>44605</v>
      </c>
      <c r="C4502" s="5"/>
      <c r="D4502" s="5"/>
      <c r="E4502" s="5"/>
      <c r="F4502" s="22">
        <f>IFERROR(__xludf.DUMMYFUNCTION("""COMPUTED_VALUE"""),500000.0)</f>
        <v>500000</v>
      </c>
      <c r="G4502" s="22">
        <f>IFERROR(__xludf.DUMMYFUNCTION("""COMPUTED_VALUE"""),0.0)</f>
        <v>0</v>
      </c>
      <c r="H4502" s="22">
        <f>IFERROR(__xludf.DUMMYFUNCTION("""COMPUTED_VALUE"""),500000.0)</f>
        <v>500000</v>
      </c>
      <c r="I4502" s="24">
        <f>IFERROR(__xludf.DUMMYFUNCTION("""COMPUTED_VALUE"""),0.0)</f>
        <v>0</v>
      </c>
    </row>
    <row r="4503">
      <c r="A4503" s="5" t="str">
        <f>IFERROR(__xludf.DUMMYFUNCTION("""COMPUTED_VALUE"""),"52981")</f>
        <v>52981</v>
      </c>
      <c r="B4503" s="64">
        <f>IFERROR(__xludf.DUMMYFUNCTION("""COMPUTED_VALUE"""),44606.0)</f>
        <v>44606</v>
      </c>
      <c r="C4503" s="5"/>
      <c r="D4503" s="5"/>
      <c r="E4503" s="5"/>
      <c r="F4503" s="22">
        <f>IFERROR(__xludf.DUMMYFUNCTION("""COMPUTED_VALUE"""),500000.0)</f>
        <v>500000</v>
      </c>
      <c r="G4503" s="22">
        <f>IFERROR(__xludf.DUMMYFUNCTION("""COMPUTED_VALUE"""),0.0)</f>
        <v>0</v>
      </c>
      <c r="H4503" s="22">
        <f>IFERROR(__xludf.DUMMYFUNCTION("""COMPUTED_VALUE"""),500000.0)</f>
        <v>500000</v>
      </c>
      <c r="I4503" s="24">
        <f>IFERROR(__xludf.DUMMYFUNCTION("""COMPUTED_VALUE"""),0.0)</f>
        <v>0</v>
      </c>
    </row>
    <row r="4504">
      <c r="A4504" s="5" t="str">
        <f>IFERROR(__xludf.DUMMYFUNCTION("""COMPUTED_VALUE"""),"52981")</f>
        <v>52981</v>
      </c>
      <c r="B4504" s="64">
        <f>IFERROR(__xludf.DUMMYFUNCTION("""COMPUTED_VALUE"""),44607.0)</f>
        <v>44607</v>
      </c>
      <c r="C4504" s="5"/>
      <c r="D4504" s="5"/>
      <c r="E4504" s="5"/>
      <c r="F4504" s="22">
        <f>IFERROR(__xludf.DUMMYFUNCTION("""COMPUTED_VALUE"""),500000.0)</f>
        <v>500000</v>
      </c>
      <c r="G4504" s="22">
        <f>IFERROR(__xludf.DUMMYFUNCTION("""COMPUTED_VALUE"""),0.0)</f>
        <v>0</v>
      </c>
      <c r="H4504" s="22">
        <f>IFERROR(__xludf.DUMMYFUNCTION("""COMPUTED_VALUE"""),500000.0)</f>
        <v>500000</v>
      </c>
      <c r="I4504" s="24">
        <f>IFERROR(__xludf.DUMMYFUNCTION("""COMPUTED_VALUE"""),0.0)</f>
        <v>0</v>
      </c>
    </row>
    <row r="4505">
      <c r="A4505" s="5" t="str">
        <f>IFERROR(__xludf.DUMMYFUNCTION("""COMPUTED_VALUE"""),"52981")</f>
        <v>52981</v>
      </c>
      <c r="B4505" s="64">
        <f>IFERROR(__xludf.DUMMYFUNCTION("""COMPUTED_VALUE"""),44608.0)</f>
        <v>44608</v>
      </c>
      <c r="C4505" s="5"/>
      <c r="D4505" s="5"/>
      <c r="E4505" s="5"/>
      <c r="F4505" s="22">
        <f>IFERROR(__xludf.DUMMYFUNCTION("""COMPUTED_VALUE"""),500000.0)</f>
        <v>500000</v>
      </c>
      <c r="G4505" s="22">
        <f>IFERROR(__xludf.DUMMYFUNCTION("""COMPUTED_VALUE"""),0.0)</f>
        <v>0</v>
      </c>
      <c r="H4505" s="22">
        <f>IFERROR(__xludf.DUMMYFUNCTION("""COMPUTED_VALUE"""),500000.0)</f>
        <v>500000</v>
      </c>
      <c r="I4505" s="24">
        <f>IFERROR(__xludf.DUMMYFUNCTION("""COMPUTED_VALUE"""),0.0)</f>
        <v>0</v>
      </c>
    </row>
    <row r="4506">
      <c r="A4506" s="5" t="str">
        <f>IFERROR(__xludf.DUMMYFUNCTION("""COMPUTED_VALUE"""),"52981")</f>
        <v>52981</v>
      </c>
      <c r="B4506" s="64">
        <f>IFERROR(__xludf.DUMMYFUNCTION("""COMPUTED_VALUE"""),44609.0)</f>
        <v>44609</v>
      </c>
      <c r="C4506" s="5"/>
      <c r="D4506" s="5"/>
      <c r="E4506" s="5"/>
      <c r="F4506" s="22">
        <f>IFERROR(__xludf.DUMMYFUNCTION("""COMPUTED_VALUE"""),500000.0)</f>
        <v>500000</v>
      </c>
      <c r="G4506" s="22">
        <f>IFERROR(__xludf.DUMMYFUNCTION("""COMPUTED_VALUE"""),0.0)</f>
        <v>0</v>
      </c>
      <c r="H4506" s="22">
        <f>IFERROR(__xludf.DUMMYFUNCTION("""COMPUTED_VALUE"""),500000.0)</f>
        <v>500000</v>
      </c>
      <c r="I4506" s="24">
        <f>IFERROR(__xludf.DUMMYFUNCTION("""COMPUTED_VALUE"""),0.0)</f>
        <v>0</v>
      </c>
    </row>
    <row r="4507">
      <c r="A4507" s="5" t="str">
        <f>IFERROR(__xludf.DUMMYFUNCTION("""COMPUTED_VALUE"""),"52981")</f>
        <v>52981</v>
      </c>
      <c r="B4507" s="64">
        <f>IFERROR(__xludf.DUMMYFUNCTION("""COMPUTED_VALUE"""),44610.0)</f>
        <v>44610</v>
      </c>
      <c r="C4507" s="5"/>
      <c r="D4507" s="5"/>
      <c r="E4507" s="5"/>
      <c r="F4507" s="22">
        <f>IFERROR(__xludf.DUMMYFUNCTION("""COMPUTED_VALUE"""),500000.0)</f>
        <v>500000</v>
      </c>
      <c r="G4507" s="22">
        <f>IFERROR(__xludf.DUMMYFUNCTION("""COMPUTED_VALUE"""),0.0)</f>
        <v>0</v>
      </c>
      <c r="H4507" s="22">
        <f>IFERROR(__xludf.DUMMYFUNCTION("""COMPUTED_VALUE"""),500000.0)</f>
        <v>500000</v>
      </c>
      <c r="I4507" s="24">
        <f>IFERROR(__xludf.DUMMYFUNCTION("""COMPUTED_VALUE"""),0.0)</f>
        <v>0</v>
      </c>
    </row>
    <row r="4508">
      <c r="A4508" s="5" t="str">
        <f>IFERROR(__xludf.DUMMYFUNCTION("""COMPUTED_VALUE"""),"52981")</f>
        <v>52981</v>
      </c>
      <c r="B4508" s="64">
        <f>IFERROR(__xludf.DUMMYFUNCTION("""COMPUTED_VALUE"""),44611.0)</f>
        <v>44611</v>
      </c>
      <c r="C4508" s="5"/>
      <c r="D4508" s="5"/>
      <c r="E4508" s="5"/>
      <c r="F4508" s="22">
        <f>IFERROR(__xludf.DUMMYFUNCTION("""COMPUTED_VALUE"""),500000.0)</f>
        <v>500000</v>
      </c>
      <c r="G4508" s="22">
        <f>IFERROR(__xludf.DUMMYFUNCTION("""COMPUTED_VALUE"""),0.0)</f>
        <v>0</v>
      </c>
      <c r="H4508" s="22">
        <f>IFERROR(__xludf.DUMMYFUNCTION("""COMPUTED_VALUE"""),500000.0)</f>
        <v>500000</v>
      </c>
      <c r="I4508" s="24">
        <f>IFERROR(__xludf.DUMMYFUNCTION("""COMPUTED_VALUE"""),0.0)</f>
        <v>0</v>
      </c>
    </row>
    <row r="4509">
      <c r="A4509" s="5" t="str">
        <f>IFERROR(__xludf.DUMMYFUNCTION("""COMPUTED_VALUE"""),"52981")</f>
        <v>52981</v>
      </c>
      <c r="B4509" s="64">
        <f>IFERROR(__xludf.DUMMYFUNCTION("""COMPUTED_VALUE"""),44612.0)</f>
        <v>44612</v>
      </c>
      <c r="C4509" s="5"/>
      <c r="D4509" s="5"/>
      <c r="E4509" s="5"/>
      <c r="F4509" s="22">
        <f>IFERROR(__xludf.DUMMYFUNCTION("""COMPUTED_VALUE"""),500000.0)</f>
        <v>500000</v>
      </c>
      <c r="G4509" s="22">
        <f>IFERROR(__xludf.DUMMYFUNCTION("""COMPUTED_VALUE"""),0.0)</f>
        <v>0</v>
      </c>
      <c r="H4509" s="22">
        <f>IFERROR(__xludf.DUMMYFUNCTION("""COMPUTED_VALUE"""),500000.0)</f>
        <v>500000</v>
      </c>
      <c r="I4509" s="24">
        <f>IFERROR(__xludf.DUMMYFUNCTION("""COMPUTED_VALUE"""),0.0)</f>
        <v>0</v>
      </c>
    </row>
    <row r="4510">
      <c r="A4510" s="5" t="str">
        <f>IFERROR(__xludf.DUMMYFUNCTION("""COMPUTED_VALUE"""),"52981")</f>
        <v>52981</v>
      </c>
      <c r="B4510" s="64">
        <f>IFERROR(__xludf.DUMMYFUNCTION("""COMPUTED_VALUE"""),44613.0)</f>
        <v>44613</v>
      </c>
      <c r="C4510" s="5"/>
      <c r="D4510" s="5"/>
      <c r="E4510" s="5"/>
      <c r="F4510" s="22">
        <f>IFERROR(__xludf.DUMMYFUNCTION("""COMPUTED_VALUE"""),500000.0)</f>
        <v>500000</v>
      </c>
      <c r="G4510" s="22">
        <f>IFERROR(__xludf.DUMMYFUNCTION("""COMPUTED_VALUE"""),0.0)</f>
        <v>0</v>
      </c>
      <c r="H4510" s="22">
        <f>IFERROR(__xludf.DUMMYFUNCTION("""COMPUTED_VALUE"""),500000.0)</f>
        <v>500000</v>
      </c>
      <c r="I4510" s="24">
        <f>IFERROR(__xludf.DUMMYFUNCTION("""COMPUTED_VALUE"""),0.0)</f>
        <v>0</v>
      </c>
    </row>
    <row r="4511">
      <c r="A4511" s="5" t="str">
        <f>IFERROR(__xludf.DUMMYFUNCTION("""COMPUTED_VALUE"""),"52981")</f>
        <v>52981</v>
      </c>
      <c r="B4511" s="64">
        <f>IFERROR(__xludf.DUMMYFUNCTION("""COMPUTED_VALUE"""),44614.0)</f>
        <v>44614</v>
      </c>
      <c r="C4511" s="5"/>
      <c r="D4511" s="5"/>
      <c r="E4511" s="5"/>
      <c r="F4511" s="22">
        <f>IFERROR(__xludf.DUMMYFUNCTION("""COMPUTED_VALUE"""),500000.0)</f>
        <v>500000</v>
      </c>
      <c r="G4511" s="22">
        <f>IFERROR(__xludf.DUMMYFUNCTION("""COMPUTED_VALUE"""),0.0)</f>
        <v>0</v>
      </c>
      <c r="H4511" s="22">
        <f>IFERROR(__xludf.DUMMYFUNCTION("""COMPUTED_VALUE"""),500000.0)</f>
        <v>500000</v>
      </c>
      <c r="I4511" s="24">
        <f>IFERROR(__xludf.DUMMYFUNCTION("""COMPUTED_VALUE"""),0.0)</f>
        <v>0</v>
      </c>
    </row>
    <row r="4512">
      <c r="A4512" s="5" t="str">
        <f>IFERROR(__xludf.DUMMYFUNCTION("""COMPUTED_VALUE"""),"52981")</f>
        <v>52981</v>
      </c>
      <c r="B4512" s="64">
        <f>IFERROR(__xludf.DUMMYFUNCTION("""COMPUTED_VALUE"""),44615.0)</f>
        <v>44615</v>
      </c>
      <c r="C4512" s="5"/>
      <c r="D4512" s="5"/>
      <c r="E4512" s="5"/>
      <c r="F4512" s="22">
        <f>IFERROR(__xludf.DUMMYFUNCTION("""COMPUTED_VALUE"""),500000.0)</f>
        <v>500000</v>
      </c>
      <c r="G4512" s="22">
        <f>IFERROR(__xludf.DUMMYFUNCTION("""COMPUTED_VALUE"""),0.0)</f>
        <v>0</v>
      </c>
      <c r="H4512" s="22">
        <f>IFERROR(__xludf.DUMMYFUNCTION("""COMPUTED_VALUE"""),500000.0)</f>
        <v>500000</v>
      </c>
      <c r="I4512" s="24">
        <f>IFERROR(__xludf.DUMMYFUNCTION("""COMPUTED_VALUE"""),0.0)</f>
        <v>0</v>
      </c>
    </row>
    <row r="4513">
      <c r="A4513" s="5" t="str">
        <f>IFERROR(__xludf.DUMMYFUNCTION("""COMPUTED_VALUE"""),"52981")</f>
        <v>52981</v>
      </c>
      <c r="B4513" s="64">
        <f>IFERROR(__xludf.DUMMYFUNCTION("""COMPUTED_VALUE"""),44616.0)</f>
        <v>44616</v>
      </c>
      <c r="C4513" s="5"/>
      <c r="D4513" s="5"/>
      <c r="E4513" s="5"/>
      <c r="F4513" s="22">
        <f>IFERROR(__xludf.DUMMYFUNCTION("""COMPUTED_VALUE"""),500000.0)</f>
        <v>500000</v>
      </c>
      <c r="G4513" s="22">
        <f>IFERROR(__xludf.DUMMYFUNCTION("""COMPUTED_VALUE"""),0.0)</f>
        <v>0</v>
      </c>
      <c r="H4513" s="22">
        <f>IFERROR(__xludf.DUMMYFUNCTION("""COMPUTED_VALUE"""),500000.0)</f>
        <v>500000</v>
      </c>
      <c r="I4513" s="24">
        <f>IFERROR(__xludf.DUMMYFUNCTION("""COMPUTED_VALUE"""),0.0)</f>
        <v>0</v>
      </c>
    </row>
    <row r="4514">
      <c r="A4514" s="5" t="str">
        <f>IFERROR(__xludf.DUMMYFUNCTION("""COMPUTED_VALUE"""),"52981")</f>
        <v>52981</v>
      </c>
      <c r="B4514" s="64">
        <f>IFERROR(__xludf.DUMMYFUNCTION("""COMPUTED_VALUE"""),44617.0)</f>
        <v>44617</v>
      </c>
      <c r="C4514" s="5"/>
      <c r="D4514" s="5"/>
      <c r="E4514" s="5"/>
      <c r="F4514" s="22">
        <f>IFERROR(__xludf.DUMMYFUNCTION("""COMPUTED_VALUE"""),500000.0)</f>
        <v>500000</v>
      </c>
      <c r="G4514" s="22">
        <f>IFERROR(__xludf.DUMMYFUNCTION("""COMPUTED_VALUE"""),0.0)</f>
        <v>0</v>
      </c>
      <c r="H4514" s="22">
        <f>IFERROR(__xludf.DUMMYFUNCTION("""COMPUTED_VALUE"""),500000.0)</f>
        <v>500000</v>
      </c>
      <c r="I4514" s="24">
        <f>IFERROR(__xludf.DUMMYFUNCTION("""COMPUTED_VALUE"""),0.0)</f>
        <v>0</v>
      </c>
    </row>
    <row r="4515">
      <c r="A4515" s="5" t="str">
        <f>IFERROR(__xludf.DUMMYFUNCTION("""COMPUTED_VALUE"""),"52981")</f>
        <v>52981</v>
      </c>
      <c r="B4515" s="64">
        <f>IFERROR(__xludf.DUMMYFUNCTION("""COMPUTED_VALUE"""),44618.0)</f>
        <v>44618</v>
      </c>
      <c r="C4515" s="5"/>
      <c r="D4515" s="5"/>
      <c r="E4515" s="5"/>
      <c r="F4515" s="22">
        <f>IFERROR(__xludf.DUMMYFUNCTION("""COMPUTED_VALUE"""),500000.0)</f>
        <v>500000</v>
      </c>
      <c r="G4515" s="22">
        <f>IFERROR(__xludf.DUMMYFUNCTION("""COMPUTED_VALUE"""),0.0)</f>
        <v>0</v>
      </c>
      <c r="H4515" s="22">
        <f>IFERROR(__xludf.DUMMYFUNCTION("""COMPUTED_VALUE"""),500000.0)</f>
        <v>500000</v>
      </c>
      <c r="I4515" s="24">
        <f>IFERROR(__xludf.DUMMYFUNCTION("""COMPUTED_VALUE"""),0.0)</f>
        <v>0</v>
      </c>
    </row>
    <row r="4516">
      <c r="A4516" s="5" t="str">
        <f>IFERROR(__xludf.DUMMYFUNCTION("""COMPUTED_VALUE"""),"52981")</f>
        <v>52981</v>
      </c>
      <c r="B4516" s="64">
        <f>IFERROR(__xludf.DUMMYFUNCTION("""COMPUTED_VALUE"""),44619.0)</f>
        <v>44619</v>
      </c>
      <c r="C4516" s="5"/>
      <c r="D4516" s="5"/>
      <c r="E4516" s="5"/>
      <c r="F4516" s="22">
        <f>IFERROR(__xludf.DUMMYFUNCTION("""COMPUTED_VALUE"""),500000.0)</f>
        <v>500000</v>
      </c>
      <c r="G4516" s="22">
        <f>IFERROR(__xludf.DUMMYFUNCTION("""COMPUTED_VALUE"""),0.0)</f>
        <v>0</v>
      </c>
      <c r="H4516" s="22">
        <f>IFERROR(__xludf.DUMMYFUNCTION("""COMPUTED_VALUE"""),500000.0)</f>
        <v>500000</v>
      </c>
      <c r="I4516" s="24">
        <f>IFERROR(__xludf.DUMMYFUNCTION("""COMPUTED_VALUE"""),0.0)</f>
        <v>0</v>
      </c>
    </row>
    <row r="4517">
      <c r="A4517" s="5" t="str">
        <f>IFERROR(__xludf.DUMMYFUNCTION("""COMPUTED_VALUE"""),"52981")</f>
        <v>52981</v>
      </c>
      <c r="B4517" s="64">
        <f>IFERROR(__xludf.DUMMYFUNCTION("""COMPUTED_VALUE"""),44620.0)</f>
        <v>44620</v>
      </c>
      <c r="C4517" s="5"/>
      <c r="D4517" s="5"/>
      <c r="E4517" s="5"/>
      <c r="F4517" s="22">
        <f>IFERROR(__xludf.DUMMYFUNCTION("""COMPUTED_VALUE"""),500000.0)</f>
        <v>500000</v>
      </c>
      <c r="G4517" s="22">
        <f>IFERROR(__xludf.DUMMYFUNCTION("""COMPUTED_VALUE"""),0.0)</f>
        <v>0</v>
      </c>
      <c r="H4517" s="22">
        <f>IFERROR(__xludf.DUMMYFUNCTION("""COMPUTED_VALUE"""),500000.0)</f>
        <v>500000</v>
      </c>
      <c r="I4517" s="24">
        <f>IFERROR(__xludf.DUMMYFUNCTION("""COMPUTED_VALUE"""),0.0)</f>
        <v>0</v>
      </c>
    </row>
    <row r="4518">
      <c r="A4518" s="5" t="str">
        <f>IFERROR(__xludf.DUMMYFUNCTION("""COMPUTED_VALUE"""),"52981")</f>
        <v>52981</v>
      </c>
      <c r="B4518" s="64">
        <f>IFERROR(__xludf.DUMMYFUNCTION("""COMPUTED_VALUE"""),44621.0)</f>
        <v>44621</v>
      </c>
      <c r="C4518" s="5"/>
      <c r="D4518" s="5"/>
      <c r="E4518" s="5"/>
      <c r="F4518" s="22">
        <f>IFERROR(__xludf.DUMMYFUNCTION("""COMPUTED_VALUE"""),500000.0)</f>
        <v>500000</v>
      </c>
      <c r="G4518" s="22">
        <f>IFERROR(__xludf.DUMMYFUNCTION("""COMPUTED_VALUE"""),0.0)</f>
        <v>0</v>
      </c>
      <c r="H4518" s="22">
        <f>IFERROR(__xludf.DUMMYFUNCTION("""COMPUTED_VALUE"""),500000.0)</f>
        <v>500000</v>
      </c>
      <c r="I4518" s="24">
        <f>IFERROR(__xludf.DUMMYFUNCTION("""COMPUTED_VALUE"""),0.0)</f>
        <v>0</v>
      </c>
    </row>
    <row r="4519">
      <c r="A4519" s="5" t="str">
        <f>IFERROR(__xludf.DUMMYFUNCTION("""COMPUTED_VALUE"""),"52981")</f>
        <v>52981</v>
      </c>
      <c r="B4519" s="64">
        <f>IFERROR(__xludf.DUMMYFUNCTION("""COMPUTED_VALUE"""),44622.0)</f>
        <v>44622</v>
      </c>
      <c r="C4519" s="5"/>
      <c r="D4519" s="5"/>
      <c r="E4519" s="5"/>
      <c r="F4519" s="22">
        <f>IFERROR(__xludf.DUMMYFUNCTION("""COMPUTED_VALUE"""),500000.0)</f>
        <v>500000</v>
      </c>
      <c r="G4519" s="22">
        <f>IFERROR(__xludf.DUMMYFUNCTION("""COMPUTED_VALUE"""),0.0)</f>
        <v>0</v>
      </c>
      <c r="H4519" s="22">
        <f>IFERROR(__xludf.DUMMYFUNCTION("""COMPUTED_VALUE"""),500000.0)</f>
        <v>500000</v>
      </c>
      <c r="I4519" s="24">
        <f>IFERROR(__xludf.DUMMYFUNCTION("""COMPUTED_VALUE"""),0.0)</f>
        <v>0</v>
      </c>
    </row>
    <row r="4520">
      <c r="A4520" s="5" t="str">
        <f>IFERROR(__xludf.DUMMYFUNCTION("""COMPUTED_VALUE"""),"52981")</f>
        <v>52981</v>
      </c>
      <c r="B4520" s="64">
        <f>IFERROR(__xludf.DUMMYFUNCTION("""COMPUTED_VALUE"""),44623.0)</f>
        <v>44623</v>
      </c>
      <c r="C4520" s="5"/>
      <c r="D4520" s="5"/>
      <c r="E4520" s="5"/>
      <c r="F4520" s="22">
        <f>IFERROR(__xludf.DUMMYFUNCTION("""COMPUTED_VALUE"""),500000.0)</f>
        <v>500000</v>
      </c>
      <c r="G4520" s="22">
        <f>IFERROR(__xludf.DUMMYFUNCTION("""COMPUTED_VALUE"""),0.0)</f>
        <v>0</v>
      </c>
      <c r="H4520" s="22">
        <f>IFERROR(__xludf.DUMMYFUNCTION("""COMPUTED_VALUE"""),500000.0)</f>
        <v>500000</v>
      </c>
      <c r="I4520" s="24">
        <f>IFERROR(__xludf.DUMMYFUNCTION("""COMPUTED_VALUE"""),0.0)</f>
        <v>0</v>
      </c>
    </row>
    <row r="4521">
      <c r="A4521" s="5" t="str">
        <f>IFERROR(__xludf.DUMMYFUNCTION("""COMPUTED_VALUE"""),"52981")</f>
        <v>52981</v>
      </c>
      <c r="B4521" s="64">
        <f>IFERROR(__xludf.DUMMYFUNCTION("""COMPUTED_VALUE"""),44624.0)</f>
        <v>44624</v>
      </c>
      <c r="C4521" s="5"/>
      <c r="D4521" s="5"/>
      <c r="E4521" s="5"/>
      <c r="F4521" s="22">
        <f>IFERROR(__xludf.DUMMYFUNCTION("""COMPUTED_VALUE"""),500000.0)</f>
        <v>500000</v>
      </c>
      <c r="G4521" s="22">
        <f>IFERROR(__xludf.DUMMYFUNCTION("""COMPUTED_VALUE"""),0.0)</f>
        <v>0</v>
      </c>
      <c r="H4521" s="22">
        <f>IFERROR(__xludf.DUMMYFUNCTION("""COMPUTED_VALUE"""),500000.0)</f>
        <v>500000</v>
      </c>
      <c r="I4521" s="24">
        <f>IFERROR(__xludf.DUMMYFUNCTION("""COMPUTED_VALUE"""),0.0)</f>
        <v>0</v>
      </c>
    </row>
    <row r="4522">
      <c r="A4522" s="5" t="str">
        <f>IFERROR(__xludf.DUMMYFUNCTION("""COMPUTED_VALUE"""),"52981")</f>
        <v>52981</v>
      </c>
      <c r="B4522" s="64">
        <f>IFERROR(__xludf.DUMMYFUNCTION("""COMPUTED_VALUE"""),44625.0)</f>
        <v>44625</v>
      </c>
      <c r="C4522" s="5"/>
      <c r="D4522" s="5"/>
      <c r="E4522" s="5"/>
      <c r="F4522" s="22">
        <f>IFERROR(__xludf.DUMMYFUNCTION("""COMPUTED_VALUE"""),500000.0)</f>
        <v>500000</v>
      </c>
      <c r="G4522" s="22">
        <f>IFERROR(__xludf.DUMMYFUNCTION("""COMPUTED_VALUE"""),0.0)</f>
        <v>0</v>
      </c>
      <c r="H4522" s="22">
        <f>IFERROR(__xludf.DUMMYFUNCTION("""COMPUTED_VALUE"""),500000.0)</f>
        <v>500000</v>
      </c>
      <c r="I4522" s="24">
        <f>IFERROR(__xludf.DUMMYFUNCTION("""COMPUTED_VALUE"""),0.0)</f>
        <v>0</v>
      </c>
    </row>
    <row r="4523">
      <c r="A4523" s="5" t="str">
        <f>IFERROR(__xludf.DUMMYFUNCTION("""COMPUTED_VALUE"""),"52981")</f>
        <v>52981</v>
      </c>
      <c r="B4523" s="64">
        <f>IFERROR(__xludf.DUMMYFUNCTION("""COMPUTED_VALUE"""),44626.0)</f>
        <v>44626</v>
      </c>
      <c r="C4523" s="5"/>
      <c r="D4523" s="5"/>
      <c r="E4523" s="5"/>
      <c r="F4523" s="22">
        <f>IFERROR(__xludf.DUMMYFUNCTION("""COMPUTED_VALUE"""),500000.0)</f>
        <v>500000</v>
      </c>
      <c r="G4523" s="22">
        <f>IFERROR(__xludf.DUMMYFUNCTION("""COMPUTED_VALUE"""),0.0)</f>
        <v>0</v>
      </c>
      <c r="H4523" s="22">
        <f>IFERROR(__xludf.DUMMYFUNCTION("""COMPUTED_VALUE"""),500000.0)</f>
        <v>500000</v>
      </c>
      <c r="I4523" s="24">
        <f>IFERROR(__xludf.DUMMYFUNCTION("""COMPUTED_VALUE"""),0.0)</f>
        <v>0</v>
      </c>
    </row>
    <row r="4524">
      <c r="A4524" s="5" t="str">
        <f>IFERROR(__xludf.DUMMYFUNCTION("""COMPUTED_VALUE"""),"52981")</f>
        <v>52981</v>
      </c>
      <c r="B4524" s="64">
        <f>IFERROR(__xludf.DUMMYFUNCTION("""COMPUTED_VALUE"""),44627.0)</f>
        <v>44627</v>
      </c>
      <c r="C4524" s="5"/>
      <c r="D4524" s="5"/>
      <c r="E4524" s="5"/>
      <c r="F4524" s="22">
        <f>IFERROR(__xludf.DUMMYFUNCTION("""COMPUTED_VALUE"""),500000.0)</f>
        <v>500000</v>
      </c>
      <c r="G4524" s="22">
        <f>IFERROR(__xludf.DUMMYFUNCTION("""COMPUTED_VALUE"""),0.0)</f>
        <v>0</v>
      </c>
      <c r="H4524" s="22">
        <f>IFERROR(__xludf.DUMMYFUNCTION("""COMPUTED_VALUE"""),500000.0)</f>
        <v>500000</v>
      </c>
      <c r="I4524" s="24">
        <f>IFERROR(__xludf.DUMMYFUNCTION("""COMPUTED_VALUE"""),0.0)</f>
        <v>0</v>
      </c>
    </row>
    <row r="4525">
      <c r="A4525" s="5" t="str">
        <f>IFERROR(__xludf.DUMMYFUNCTION("""COMPUTED_VALUE"""),"52981")</f>
        <v>52981</v>
      </c>
      <c r="B4525" s="64">
        <f>IFERROR(__xludf.DUMMYFUNCTION("""COMPUTED_VALUE"""),44628.0)</f>
        <v>44628</v>
      </c>
      <c r="C4525" s="5"/>
      <c r="D4525" s="5"/>
      <c r="E4525" s="5"/>
      <c r="F4525" s="22">
        <f>IFERROR(__xludf.DUMMYFUNCTION("""COMPUTED_VALUE"""),500000.0)</f>
        <v>500000</v>
      </c>
      <c r="G4525" s="22">
        <f>IFERROR(__xludf.DUMMYFUNCTION("""COMPUTED_VALUE"""),0.0)</f>
        <v>0</v>
      </c>
      <c r="H4525" s="22">
        <f>IFERROR(__xludf.DUMMYFUNCTION("""COMPUTED_VALUE"""),500000.0)</f>
        <v>500000</v>
      </c>
      <c r="I4525" s="24">
        <f>IFERROR(__xludf.DUMMYFUNCTION("""COMPUTED_VALUE"""),0.0)</f>
        <v>0</v>
      </c>
    </row>
    <row r="4526">
      <c r="A4526" s="5" t="str">
        <f>IFERROR(__xludf.DUMMYFUNCTION("""COMPUTED_VALUE"""),"52981")</f>
        <v>52981</v>
      </c>
      <c r="B4526" s="64">
        <f>IFERROR(__xludf.DUMMYFUNCTION("""COMPUTED_VALUE"""),44629.0)</f>
        <v>44629</v>
      </c>
      <c r="C4526" s="5"/>
      <c r="D4526" s="5"/>
      <c r="E4526" s="5"/>
      <c r="F4526" s="22">
        <f>IFERROR(__xludf.DUMMYFUNCTION("""COMPUTED_VALUE"""),500000.0)</f>
        <v>500000</v>
      </c>
      <c r="G4526" s="22">
        <f>IFERROR(__xludf.DUMMYFUNCTION("""COMPUTED_VALUE"""),0.0)</f>
        <v>0</v>
      </c>
      <c r="H4526" s="22">
        <f>IFERROR(__xludf.DUMMYFUNCTION("""COMPUTED_VALUE"""),500000.0)</f>
        <v>500000</v>
      </c>
      <c r="I4526" s="24">
        <f>IFERROR(__xludf.DUMMYFUNCTION("""COMPUTED_VALUE"""),0.0)</f>
        <v>0</v>
      </c>
    </row>
    <row r="4527">
      <c r="A4527" s="5" t="str">
        <f>IFERROR(__xludf.DUMMYFUNCTION("""COMPUTED_VALUE"""),"52981")</f>
        <v>52981</v>
      </c>
      <c r="B4527" s="64">
        <f>IFERROR(__xludf.DUMMYFUNCTION("""COMPUTED_VALUE"""),44630.0)</f>
        <v>44630</v>
      </c>
      <c r="C4527" s="5"/>
      <c r="D4527" s="5"/>
      <c r="E4527" s="5"/>
      <c r="F4527" s="22">
        <f>IFERROR(__xludf.DUMMYFUNCTION("""COMPUTED_VALUE"""),500000.0)</f>
        <v>500000</v>
      </c>
      <c r="G4527" s="22">
        <f>IFERROR(__xludf.DUMMYFUNCTION("""COMPUTED_VALUE"""),0.0)</f>
        <v>0</v>
      </c>
      <c r="H4527" s="22">
        <f>IFERROR(__xludf.DUMMYFUNCTION("""COMPUTED_VALUE"""),500000.0)</f>
        <v>500000</v>
      </c>
      <c r="I4527" s="24">
        <f>IFERROR(__xludf.DUMMYFUNCTION("""COMPUTED_VALUE"""),0.0)</f>
        <v>0</v>
      </c>
    </row>
    <row r="4528">
      <c r="A4528" s="5" t="str">
        <f>IFERROR(__xludf.DUMMYFUNCTION("""COMPUTED_VALUE"""),"52981")</f>
        <v>52981</v>
      </c>
      <c r="B4528" s="64">
        <f>IFERROR(__xludf.DUMMYFUNCTION("""COMPUTED_VALUE"""),44631.0)</f>
        <v>44631</v>
      </c>
      <c r="C4528" s="5"/>
      <c r="D4528" s="5"/>
      <c r="E4528" s="5"/>
      <c r="F4528" s="22">
        <f>IFERROR(__xludf.DUMMYFUNCTION("""COMPUTED_VALUE"""),500000.0)</f>
        <v>500000</v>
      </c>
      <c r="G4528" s="22">
        <f>IFERROR(__xludf.DUMMYFUNCTION("""COMPUTED_VALUE"""),0.0)</f>
        <v>0</v>
      </c>
      <c r="H4528" s="22">
        <f>IFERROR(__xludf.DUMMYFUNCTION("""COMPUTED_VALUE"""),500000.0)</f>
        <v>500000</v>
      </c>
      <c r="I4528" s="24">
        <f>IFERROR(__xludf.DUMMYFUNCTION("""COMPUTED_VALUE"""),0.0)</f>
        <v>0</v>
      </c>
    </row>
    <row r="4529">
      <c r="A4529" s="5" t="str">
        <f>IFERROR(__xludf.DUMMYFUNCTION("""COMPUTED_VALUE"""),"52981")</f>
        <v>52981</v>
      </c>
      <c r="B4529" s="64">
        <f>IFERROR(__xludf.DUMMYFUNCTION("""COMPUTED_VALUE"""),44632.0)</f>
        <v>44632</v>
      </c>
      <c r="C4529" s="5"/>
      <c r="D4529" s="5"/>
      <c r="E4529" s="5"/>
      <c r="F4529" s="22">
        <f>IFERROR(__xludf.DUMMYFUNCTION("""COMPUTED_VALUE"""),500000.0)</f>
        <v>500000</v>
      </c>
      <c r="G4529" s="22">
        <f>IFERROR(__xludf.DUMMYFUNCTION("""COMPUTED_VALUE"""),0.0)</f>
        <v>0</v>
      </c>
      <c r="H4529" s="22">
        <f>IFERROR(__xludf.DUMMYFUNCTION("""COMPUTED_VALUE"""),500000.0)</f>
        <v>500000</v>
      </c>
      <c r="I4529" s="24">
        <f>IFERROR(__xludf.DUMMYFUNCTION("""COMPUTED_VALUE"""),0.0)</f>
        <v>0</v>
      </c>
    </row>
    <row r="4530">
      <c r="A4530" s="5" t="str">
        <f>IFERROR(__xludf.DUMMYFUNCTION("""COMPUTED_VALUE"""),"52981")</f>
        <v>52981</v>
      </c>
      <c r="B4530" s="64">
        <f>IFERROR(__xludf.DUMMYFUNCTION("""COMPUTED_VALUE"""),44633.0)</f>
        <v>44633</v>
      </c>
      <c r="C4530" s="5"/>
      <c r="D4530" s="5"/>
      <c r="E4530" s="5"/>
      <c r="F4530" s="22">
        <f>IFERROR(__xludf.DUMMYFUNCTION("""COMPUTED_VALUE"""),500000.0)</f>
        <v>500000</v>
      </c>
      <c r="G4530" s="22">
        <f>IFERROR(__xludf.DUMMYFUNCTION("""COMPUTED_VALUE"""),0.0)</f>
        <v>0</v>
      </c>
      <c r="H4530" s="22">
        <f>IFERROR(__xludf.DUMMYFUNCTION("""COMPUTED_VALUE"""),500000.0)</f>
        <v>500000</v>
      </c>
      <c r="I4530" s="24">
        <f>IFERROR(__xludf.DUMMYFUNCTION("""COMPUTED_VALUE"""),0.0)</f>
        <v>0</v>
      </c>
    </row>
    <row r="4531">
      <c r="A4531" s="5" t="str">
        <f>IFERROR(__xludf.DUMMYFUNCTION("""COMPUTED_VALUE"""),"52981")</f>
        <v>52981</v>
      </c>
      <c r="B4531" s="64">
        <f>IFERROR(__xludf.DUMMYFUNCTION("""COMPUTED_VALUE"""),44634.0)</f>
        <v>44634</v>
      </c>
      <c r="C4531" s="5"/>
      <c r="D4531" s="5"/>
      <c r="E4531" s="5"/>
      <c r="F4531" s="22">
        <f>IFERROR(__xludf.DUMMYFUNCTION("""COMPUTED_VALUE"""),500000.0)</f>
        <v>500000</v>
      </c>
      <c r="G4531" s="22">
        <f>IFERROR(__xludf.DUMMYFUNCTION("""COMPUTED_VALUE"""),0.0)</f>
        <v>0</v>
      </c>
      <c r="H4531" s="22">
        <f>IFERROR(__xludf.DUMMYFUNCTION("""COMPUTED_VALUE"""),500000.0)</f>
        <v>500000</v>
      </c>
      <c r="I4531" s="24">
        <f>IFERROR(__xludf.DUMMYFUNCTION("""COMPUTED_VALUE"""),0.0)</f>
        <v>0</v>
      </c>
    </row>
    <row r="4532">
      <c r="A4532" s="5" t="str">
        <f>IFERROR(__xludf.DUMMYFUNCTION("""COMPUTED_VALUE"""),"52981")</f>
        <v>52981</v>
      </c>
      <c r="B4532" s="64">
        <f>IFERROR(__xludf.DUMMYFUNCTION("""COMPUTED_VALUE"""),44635.0)</f>
        <v>44635</v>
      </c>
      <c r="C4532" s="5"/>
      <c r="D4532" s="5"/>
      <c r="E4532" s="5"/>
      <c r="F4532" s="22">
        <f>IFERROR(__xludf.DUMMYFUNCTION("""COMPUTED_VALUE"""),500000.0)</f>
        <v>500000</v>
      </c>
      <c r="G4532" s="22">
        <f>IFERROR(__xludf.DUMMYFUNCTION("""COMPUTED_VALUE"""),0.0)</f>
        <v>0</v>
      </c>
      <c r="H4532" s="22">
        <f>IFERROR(__xludf.DUMMYFUNCTION("""COMPUTED_VALUE"""),500000.0)</f>
        <v>500000</v>
      </c>
      <c r="I4532" s="24">
        <f>IFERROR(__xludf.DUMMYFUNCTION("""COMPUTED_VALUE"""),0.0)</f>
        <v>0</v>
      </c>
    </row>
    <row r="4533">
      <c r="A4533" s="5" t="str">
        <f>IFERROR(__xludf.DUMMYFUNCTION("""COMPUTED_VALUE"""),"52981")</f>
        <v>52981</v>
      </c>
      <c r="B4533" s="64">
        <f>IFERROR(__xludf.DUMMYFUNCTION("""COMPUTED_VALUE"""),44636.0)</f>
        <v>44636</v>
      </c>
      <c r="C4533" s="5"/>
      <c r="D4533" s="5"/>
      <c r="E4533" s="5"/>
      <c r="F4533" s="22">
        <f>IFERROR(__xludf.DUMMYFUNCTION("""COMPUTED_VALUE"""),500000.0)</f>
        <v>500000</v>
      </c>
      <c r="G4533" s="22">
        <f>IFERROR(__xludf.DUMMYFUNCTION("""COMPUTED_VALUE"""),0.0)</f>
        <v>0</v>
      </c>
      <c r="H4533" s="22">
        <f>IFERROR(__xludf.DUMMYFUNCTION("""COMPUTED_VALUE"""),500000.0)</f>
        <v>500000</v>
      </c>
      <c r="I4533" s="24">
        <f>IFERROR(__xludf.DUMMYFUNCTION("""COMPUTED_VALUE"""),0.0)</f>
        <v>0</v>
      </c>
    </row>
    <row r="4534">
      <c r="A4534" s="5" t="str">
        <f>IFERROR(__xludf.DUMMYFUNCTION("""COMPUTED_VALUE"""),"52981")</f>
        <v>52981</v>
      </c>
      <c r="B4534" s="64">
        <f>IFERROR(__xludf.DUMMYFUNCTION("""COMPUTED_VALUE"""),44637.0)</f>
        <v>44637</v>
      </c>
      <c r="C4534" s="5"/>
      <c r="D4534" s="5"/>
      <c r="E4534" s="5"/>
      <c r="F4534" s="22">
        <f>IFERROR(__xludf.DUMMYFUNCTION("""COMPUTED_VALUE"""),500000.0)</f>
        <v>500000</v>
      </c>
      <c r="G4534" s="22">
        <f>IFERROR(__xludf.DUMMYFUNCTION("""COMPUTED_VALUE"""),0.0)</f>
        <v>0</v>
      </c>
      <c r="H4534" s="22">
        <f>IFERROR(__xludf.DUMMYFUNCTION("""COMPUTED_VALUE"""),500000.0)</f>
        <v>500000</v>
      </c>
      <c r="I4534" s="24">
        <f>IFERROR(__xludf.DUMMYFUNCTION("""COMPUTED_VALUE"""),0.0)</f>
        <v>0</v>
      </c>
    </row>
    <row r="4535">
      <c r="A4535" s="5" t="str">
        <f>IFERROR(__xludf.DUMMYFUNCTION("""COMPUTED_VALUE"""),"52981")</f>
        <v>52981</v>
      </c>
      <c r="B4535" s="64">
        <f>IFERROR(__xludf.DUMMYFUNCTION("""COMPUTED_VALUE"""),44638.0)</f>
        <v>44638</v>
      </c>
      <c r="C4535" s="5"/>
      <c r="D4535" s="5"/>
      <c r="E4535" s="5"/>
      <c r="F4535" s="22">
        <f>IFERROR(__xludf.DUMMYFUNCTION("""COMPUTED_VALUE"""),500000.0)</f>
        <v>500000</v>
      </c>
      <c r="G4535" s="22">
        <f>IFERROR(__xludf.DUMMYFUNCTION("""COMPUTED_VALUE"""),0.0)</f>
        <v>0</v>
      </c>
      <c r="H4535" s="22">
        <f>IFERROR(__xludf.DUMMYFUNCTION("""COMPUTED_VALUE"""),500000.0)</f>
        <v>500000</v>
      </c>
      <c r="I4535" s="24">
        <f>IFERROR(__xludf.DUMMYFUNCTION("""COMPUTED_VALUE"""),0.0)</f>
        <v>0</v>
      </c>
    </row>
    <row r="4536">
      <c r="A4536" s="5" t="str">
        <f>IFERROR(__xludf.DUMMYFUNCTION("""COMPUTED_VALUE"""),"52981")</f>
        <v>52981</v>
      </c>
      <c r="B4536" s="64">
        <f>IFERROR(__xludf.DUMMYFUNCTION("""COMPUTED_VALUE"""),44639.0)</f>
        <v>44639</v>
      </c>
      <c r="C4536" s="5"/>
      <c r="D4536" s="5"/>
      <c r="E4536" s="5"/>
      <c r="F4536" s="22">
        <f>IFERROR(__xludf.DUMMYFUNCTION("""COMPUTED_VALUE"""),500000.0)</f>
        <v>500000</v>
      </c>
      <c r="G4536" s="22">
        <f>IFERROR(__xludf.DUMMYFUNCTION("""COMPUTED_VALUE"""),0.0)</f>
        <v>0</v>
      </c>
      <c r="H4536" s="22">
        <f>IFERROR(__xludf.DUMMYFUNCTION("""COMPUTED_VALUE"""),500000.0)</f>
        <v>500000</v>
      </c>
      <c r="I4536" s="24">
        <f>IFERROR(__xludf.DUMMYFUNCTION("""COMPUTED_VALUE"""),0.0)</f>
        <v>0</v>
      </c>
    </row>
    <row r="4537">
      <c r="A4537" s="5" t="str">
        <f>IFERROR(__xludf.DUMMYFUNCTION("""COMPUTED_VALUE"""),"52981")</f>
        <v>52981</v>
      </c>
      <c r="B4537" s="64">
        <f>IFERROR(__xludf.DUMMYFUNCTION("""COMPUTED_VALUE"""),44640.0)</f>
        <v>44640</v>
      </c>
      <c r="C4537" s="5"/>
      <c r="D4537" s="5"/>
      <c r="E4537" s="5"/>
      <c r="F4537" s="22">
        <f>IFERROR(__xludf.DUMMYFUNCTION("""COMPUTED_VALUE"""),500000.0)</f>
        <v>500000</v>
      </c>
      <c r="G4537" s="22">
        <f>IFERROR(__xludf.DUMMYFUNCTION("""COMPUTED_VALUE"""),0.0)</f>
        <v>0</v>
      </c>
      <c r="H4537" s="22">
        <f>IFERROR(__xludf.DUMMYFUNCTION("""COMPUTED_VALUE"""),500000.0)</f>
        <v>500000</v>
      </c>
      <c r="I4537" s="24">
        <f>IFERROR(__xludf.DUMMYFUNCTION("""COMPUTED_VALUE"""),0.0)</f>
        <v>0</v>
      </c>
    </row>
    <row r="4538">
      <c r="A4538" s="5" t="str">
        <f>IFERROR(__xludf.DUMMYFUNCTION("""COMPUTED_VALUE"""),"52981")</f>
        <v>52981</v>
      </c>
      <c r="B4538" s="64">
        <f>IFERROR(__xludf.DUMMYFUNCTION("""COMPUTED_VALUE"""),44641.0)</f>
        <v>44641</v>
      </c>
      <c r="C4538" s="5"/>
      <c r="D4538" s="5"/>
      <c r="E4538" s="5"/>
      <c r="F4538" s="22">
        <f>IFERROR(__xludf.DUMMYFUNCTION("""COMPUTED_VALUE"""),500000.0)</f>
        <v>500000</v>
      </c>
      <c r="G4538" s="22">
        <f>IFERROR(__xludf.DUMMYFUNCTION("""COMPUTED_VALUE"""),0.0)</f>
        <v>0</v>
      </c>
      <c r="H4538" s="22">
        <f>IFERROR(__xludf.DUMMYFUNCTION("""COMPUTED_VALUE"""),500000.0)</f>
        <v>500000</v>
      </c>
      <c r="I4538" s="24">
        <f>IFERROR(__xludf.DUMMYFUNCTION("""COMPUTED_VALUE"""),0.0)</f>
        <v>0</v>
      </c>
    </row>
    <row r="4539">
      <c r="A4539" s="5" t="str">
        <f>IFERROR(__xludf.DUMMYFUNCTION("""COMPUTED_VALUE"""),"52981")</f>
        <v>52981</v>
      </c>
      <c r="B4539" s="64">
        <f>IFERROR(__xludf.DUMMYFUNCTION("""COMPUTED_VALUE"""),44642.0)</f>
        <v>44642</v>
      </c>
      <c r="C4539" s="5"/>
      <c r="D4539" s="5"/>
      <c r="E4539" s="5"/>
      <c r="F4539" s="22">
        <f>IFERROR(__xludf.DUMMYFUNCTION("""COMPUTED_VALUE"""),500000.0)</f>
        <v>500000</v>
      </c>
      <c r="G4539" s="22">
        <f>IFERROR(__xludf.DUMMYFUNCTION("""COMPUTED_VALUE"""),0.0)</f>
        <v>0</v>
      </c>
      <c r="H4539" s="22">
        <f>IFERROR(__xludf.DUMMYFUNCTION("""COMPUTED_VALUE"""),500000.0)</f>
        <v>500000</v>
      </c>
      <c r="I4539" s="24">
        <f>IFERROR(__xludf.DUMMYFUNCTION("""COMPUTED_VALUE"""),0.0)</f>
        <v>0</v>
      </c>
    </row>
    <row r="4540">
      <c r="A4540" s="5" t="str">
        <f>IFERROR(__xludf.DUMMYFUNCTION("""COMPUTED_VALUE"""),"52981")</f>
        <v>52981</v>
      </c>
      <c r="B4540" s="64">
        <f>IFERROR(__xludf.DUMMYFUNCTION("""COMPUTED_VALUE"""),44643.0)</f>
        <v>44643</v>
      </c>
      <c r="C4540" s="5"/>
      <c r="D4540" s="5"/>
      <c r="E4540" s="5"/>
      <c r="F4540" s="22">
        <f>IFERROR(__xludf.DUMMYFUNCTION("""COMPUTED_VALUE"""),500000.0)</f>
        <v>500000</v>
      </c>
      <c r="G4540" s="22">
        <f>IFERROR(__xludf.DUMMYFUNCTION("""COMPUTED_VALUE"""),0.0)</f>
        <v>0</v>
      </c>
      <c r="H4540" s="22">
        <f>IFERROR(__xludf.DUMMYFUNCTION("""COMPUTED_VALUE"""),500000.0)</f>
        <v>500000</v>
      </c>
      <c r="I4540" s="24">
        <f>IFERROR(__xludf.DUMMYFUNCTION("""COMPUTED_VALUE"""),0.0)</f>
        <v>0</v>
      </c>
    </row>
    <row r="4541">
      <c r="A4541" s="5" t="str">
        <f>IFERROR(__xludf.DUMMYFUNCTION("""COMPUTED_VALUE"""),"52981")</f>
        <v>52981</v>
      </c>
      <c r="B4541" s="64">
        <f>IFERROR(__xludf.DUMMYFUNCTION("""COMPUTED_VALUE"""),44644.0)</f>
        <v>44644</v>
      </c>
      <c r="C4541" s="5"/>
      <c r="D4541" s="5"/>
      <c r="E4541" s="5"/>
      <c r="F4541" s="22">
        <f>IFERROR(__xludf.DUMMYFUNCTION("""COMPUTED_VALUE"""),500000.0)</f>
        <v>500000</v>
      </c>
      <c r="G4541" s="22">
        <f>IFERROR(__xludf.DUMMYFUNCTION("""COMPUTED_VALUE"""),0.0)</f>
        <v>0</v>
      </c>
      <c r="H4541" s="22">
        <f>IFERROR(__xludf.DUMMYFUNCTION("""COMPUTED_VALUE"""),500000.0)</f>
        <v>500000</v>
      </c>
      <c r="I4541" s="24">
        <f>IFERROR(__xludf.DUMMYFUNCTION("""COMPUTED_VALUE"""),0.0)</f>
        <v>0</v>
      </c>
    </row>
    <row r="4542">
      <c r="A4542" s="5" t="str">
        <f>IFERROR(__xludf.DUMMYFUNCTION("""COMPUTED_VALUE"""),"52981")</f>
        <v>52981</v>
      </c>
      <c r="B4542" s="64">
        <f>IFERROR(__xludf.DUMMYFUNCTION("""COMPUTED_VALUE"""),44645.0)</f>
        <v>44645</v>
      </c>
      <c r="C4542" s="5"/>
      <c r="D4542" s="5"/>
      <c r="E4542" s="5"/>
      <c r="F4542" s="22">
        <f>IFERROR(__xludf.DUMMYFUNCTION("""COMPUTED_VALUE"""),500000.0)</f>
        <v>500000</v>
      </c>
      <c r="G4542" s="22">
        <f>IFERROR(__xludf.DUMMYFUNCTION("""COMPUTED_VALUE"""),0.0)</f>
        <v>0</v>
      </c>
      <c r="H4542" s="22">
        <f>IFERROR(__xludf.DUMMYFUNCTION("""COMPUTED_VALUE"""),500000.0)</f>
        <v>500000</v>
      </c>
      <c r="I4542" s="24">
        <f>IFERROR(__xludf.DUMMYFUNCTION("""COMPUTED_VALUE"""),0.0)</f>
        <v>0</v>
      </c>
    </row>
    <row r="4543">
      <c r="A4543" s="5" t="str">
        <f>IFERROR(__xludf.DUMMYFUNCTION("""COMPUTED_VALUE"""),"52981")</f>
        <v>52981</v>
      </c>
      <c r="B4543" s="64">
        <f>IFERROR(__xludf.DUMMYFUNCTION("""COMPUTED_VALUE"""),44646.0)</f>
        <v>44646</v>
      </c>
      <c r="C4543" s="5"/>
      <c r="D4543" s="5"/>
      <c r="E4543" s="5"/>
      <c r="F4543" s="22">
        <f>IFERROR(__xludf.DUMMYFUNCTION("""COMPUTED_VALUE"""),500000.0)</f>
        <v>500000</v>
      </c>
      <c r="G4543" s="22">
        <f>IFERROR(__xludf.DUMMYFUNCTION("""COMPUTED_VALUE"""),0.0)</f>
        <v>0</v>
      </c>
      <c r="H4543" s="22">
        <f>IFERROR(__xludf.DUMMYFUNCTION("""COMPUTED_VALUE"""),500000.0)</f>
        <v>500000</v>
      </c>
      <c r="I4543" s="24">
        <f>IFERROR(__xludf.DUMMYFUNCTION("""COMPUTED_VALUE"""),0.0)</f>
        <v>0</v>
      </c>
    </row>
    <row r="4544">
      <c r="A4544" s="5" t="str">
        <f>IFERROR(__xludf.DUMMYFUNCTION("""COMPUTED_VALUE"""),"52981")</f>
        <v>52981</v>
      </c>
      <c r="B4544" s="64">
        <f>IFERROR(__xludf.DUMMYFUNCTION("""COMPUTED_VALUE"""),44647.0)</f>
        <v>44647</v>
      </c>
      <c r="C4544" s="5"/>
      <c r="D4544" s="5"/>
      <c r="E4544" s="5"/>
      <c r="F4544" s="22">
        <f>IFERROR(__xludf.DUMMYFUNCTION("""COMPUTED_VALUE"""),500000.0)</f>
        <v>500000</v>
      </c>
      <c r="G4544" s="22">
        <f>IFERROR(__xludf.DUMMYFUNCTION("""COMPUTED_VALUE"""),0.0)</f>
        <v>0</v>
      </c>
      <c r="H4544" s="22">
        <f>IFERROR(__xludf.DUMMYFUNCTION("""COMPUTED_VALUE"""),500000.0)</f>
        <v>500000</v>
      </c>
      <c r="I4544" s="24">
        <f>IFERROR(__xludf.DUMMYFUNCTION("""COMPUTED_VALUE"""),0.0)</f>
        <v>0</v>
      </c>
    </row>
    <row r="4545">
      <c r="A4545" s="5" t="str">
        <f>IFERROR(__xludf.DUMMYFUNCTION("""COMPUTED_VALUE"""),"52981")</f>
        <v>52981</v>
      </c>
      <c r="B4545" s="64">
        <f>IFERROR(__xludf.DUMMYFUNCTION("""COMPUTED_VALUE"""),44648.0)</f>
        <v>44648</v>
      </c>
      <c r="C4545" s="5"/>
      <c r="D4545" s="5"/>
      <c r="E4545" s="5"/>
      <c r="F4545" s="22">
        <f>IFERROR(__xludf.DUMMYFUNCTION("""COMPUTED_VALUE"""),500000.0)</f>
        <v>500000</v>
      </c>
      <c r="G4545" s="22">
        <f>IFERROR(__xludf.DUMMYFUNCTION("""COMPUTED_VALUE"""),0.0)</f>
        <v>0</v>
      </c>
      <c r="H4545" s="22">
        <f>IFERROR(__xludf.DUMMYFUNCTION("""COMPUTED_VALUE"""),500000.0)</f>
        <v>500000</v>
      </c>
      <c r="I4545" s="24">
        <f>IFERROR(__xludf.DUMMYFUNCTION("""COMPUTED_VALUE"""),0.0)</f>
        <v>0</v>
      </c>
    </row>
    <row r="4546">
      <c r="A4546" s="5" t="str">
        <f>IFERROR(__xludf.DUMMYFUNCTION("""COMPUTED_VALUE"""),"52981")</f>
        <v>52981</v>
      </c>
      <c r="B4546" s="64">
        <f>IFERROR(__xludf.DUMMYFUNCTION("""COMPUTED_VALUE"""),44649.0)</f>
        <v>44649</v>
      </c>
      <c r="C4546" s="5"/>
      <c r="D4546" s="5"/>
      <c r="E4546" s="5"/>
      <c r="F4546" s="22">
        <f>IFERROR(__xludf.DUMMYFUNCTION("""COMPUTED_VALUE"""),500000.0)</f>
        <v>500000</v>
      </c>
      <c r="G4546" s="22">
        <f>IFERROR(__xludf.DUMMYFUNCTION("""COMPUTED_VALUE"""),0.0)</f>
        <v>0</v>
      </c>
      <c r="H4546" s="22">
        <f>IFERROR(__xludf.DUMMYFUNCTION("""COMPUTED_VALUE"""),500000.0)</f>
        <v>500000</v>
      </c>
      <c r="I4546" s="24">
        <f>IFERROR(__xludf.DUMMYFUNCTION("""COMPUTED_VALUE"""),0.0)</f>
        <v>0</v>
      </c>
    </row>
    <row r="4547">
      <c r="A4547" s="5" t="str">
        <f>IFERROR(__xludf.DUMMYFUNCTION("""COMPUTED_VALUE"""),"52981")</f>
        <v>52981</v>
      </c>
      <c r="B4547" s="64">
        <f>IFERROR(__xludf.DUMMYFUNCTION("""COMPUTED_VALUE"""),44650.0)</f>
        <v>44650</v>
      </c>
      <c r="C4547" s="5"/>
      <c r="D4547" s="5"/>
      <c r="E4547" s="5"/>
      <c r="F4547" s="22">
        <f>IFERROR(__xludf.DUMMYFUNCTION("""COMPUTED_VALUE"""),500000.0)</f>
        <v>500000</v>
      </c>
      <c r="G4547" s="22">
        <f>IFERROR(__xludf.DUMMYFUNCTION("""COMPUTED_VALUE"""),0.0)</f>
        <v>0</v>
      </c>
      <c r="H4547" s="22">
        <f>IFERROR(__xludf.DUMMYFUNCTION("""COMPUTED_VALUE"""),500000.0)</f>
        <v>500000</v>
      </c>
      <c r="I4547" s="24">
        <f>IFERROR(__xludf.DUMMYFUNCTION("""COMPUTED_VALUE"""),0.0)</f>
        <v>0</v>
      </c>
    </row>
    <row r="4548">
      <c r="A4548" s="5" t="str">
        <f>IFERROR(__xludf.DUMMYFUNCTION("""COMPUTED_VALUE"""),"52981")</f>
        <v>52981</v>
      </c>
      <c r="B4548" s="64">
        <f>IFERROR(__xludf.DUMMYFUNCTION("""COMPUTED_VALUE"""),44651.0)</f>
        <v>44651</v>
      </c>
      <c r="C4548" s="5"/>
      <c r="D4548" s="5"/>
      <c r="E4548" s="5"/>
      <c r="F4548" s="22">
        <f>IFERROR(__xludf.DUMMYFUNCTION("""COMPUTED_VALUE"""),500000.0)</f>
        <v>500000</v>
      </c>
      <c r="G4548" s="22">
        <f>IFERROR(__xludf.DUMMYFUNCTION("""COMPUTED_VALUE"""),0.0)</f>
        <v>0</v>
      </c>
      <c r="H4548" s="22">
        <f>IFERROR(__xludf.DUMMYFUNCTION("""COMPUTED_VALUE"""),500000.0)</f>
        <v>500000</v>
      </c>
      <c r="I4548" s="24">
        <f>IFERROR(__xludf.DUMMYFUNCTION("""COMPUTED_VALUE"""),0.0)</f>
        <v>0</v>
      </c>
    </row>
    <row r="4549">
      <c r="A4549" s="5" t="str">
        <f>IFERROR(__xludf.DUMMYFUNCTION("""COMPUTED_VALUE"""),"52981")</f>
        <v>52981</v>
      </c>
      <c r="B4549" s="64">
        <f>IFERROR(__xludf.DUMMYFUNCTION("""COMPUTED_VALUE"""),44652.0)</f>
        <v>44652</v>
      </c>
      <c r="C4549" s="5"/>
      <c r="D4549" s="5"/>
      <c r="E4549" s="5"/>
      <c r="F4549" s="22">
        <f>IFERROR(__xludf.DUMMYFUNCTION("""COMPUTED_VALUE"""),500000.0)</f>
        <v>500000</v>
      </c>
      <c r="G4549" s="22">
        <f>IFERROR(__xludf.DUMMYFUNCTION("""COMPUTED_VALUE"""),0.0)</f>
        <v>0</v>
      </c>
      <c r="H4549" s="22">
        <f>IFERROR(__xludf.DUMMYFUNCTION("""COMPUTED_VALUE"""),500000.0)</f>
        <v>500000</v>
      </c>
      <c r="I4549" s="24">
        <f>IFERROR(__xludf.DUMMYFUNCTION("""COMPUTED_VALUE"""),0.0)</f>
        <v>0</v>
      </c>
    </row>
    <row r="4550">
      <c r="A4550" s="5" t="str">
        <f>IFERROR(__xludf.DUMMYFUNCTION("""COMPUTED_VALUE"""),"52981")</f>
        <v>52981</v>
      </c>
      <c r="B4550" s="64">
        <f>IFERROR(__xludf.DUMMYFUNCTION("""COMPUTED_VALUE"""),44653.0)</f>
        <v>44653</v>
      </c>
      <c r="C4550" s="5"/>
      <c r="D4550" s="5"/>
      <c r="E4550" s="5"/>
      <c r="F4550" s="22">
        <f>IFERROR(__xludf.DUMMYFUNCTION("""COMPUTED_VALUE"""),500000.0)</f>
        <v>500000</v>
      </c>
      <c r="G4550" s="22">
        <f>IFERROR(__xludf.DUMMYFUNCTION("""COMPUTED_VALUE"""),0.0)</f>
        <v>0</v>
      </c>
      <c r="H4550" s="22">
        <f>IFERROR(__xludf.DUMMYFUNCTION("""COMPUTED_VALUE"""),500000.0)</f>
        <v>500000</v>
      </c>
      <c r="I4550" s="24">
        <f>IFERROR(__xludf.DUMMYFUNCTION("""COMPUTED_VALUE"""),0.0)</f>
        <v>0</v>
      </c>
    </row>
    <row r="4551">
      <c r="A4551" s="5" t="str">
        <f>IFERROR(__xludf.DUMMYFUNCTION("""COMPUTED_VALUE"""),"52981")</f>
        <v>52981</v>
      </c>
      <c r="B4551" s="64">
        <f>IFERROR(__xludf.DUMMYFUNCTION("""COMPUTED_VALUE"""),44654.0)</f>
        <v>44654</v>
      </c>
      <c r="C4551" s="5"/>
      <c r="D4551" s="5"/>
      <c r="E4551" s="5"/>
      <c r="F4551" s="22">
        <f>IFERROR(__xludf.DUMMYFUNCTION("""COMPUTED_VALUE"""),500000.0)</f>
        <v>500000</v>
      </c>
      <c r="G4551" s="22">
        <f>IFERROR(__xludf.DUMMYFUNCTION("""COMPUTED_VALUE"""),0.0)</f>
        <v>0</v>
      </c>
      <c r="H4551" s="22">
        <f>IFERROR(__xludf.DUMMYFUNCTION("""COMPUTED_VALUE"""),500000.0)</f>
        <v>500000</v>
      </c>
      <c r="I4551" s="24">
        <f>IFERROR(__xludf.DUMMYFUNCTION("""COMPUTED_VALUE"""),0.0)</f>
        <v>0</v>
      </c>
    </row>
    <row r="4552">
      <c r="A4552" s="5" t="str">
        <f>IFERROR(__xludf.DUMMYFUNCTION("""COMPUTED_VALUE"""),"52981")</f>
        <v>52981</v>
      </c>
      <c r="B4552" s="64">
        <f>IFERROR(__xludf.DUMMYFUNCTION("""COMPUTED_VALUE"""),44655.0)</f>
        <v>44655</v>
      </c>
      <c r="C4552" s="5"/>
      <c r="D4552" s="5"/>
      <c r="E4552" s="5"/>
      <c r="F4552" s="22">
        <f>IFERROR(__xludf.DUMMYFUNCTION("""COMPUTED_VALUE"""),500000.0)</f>
        <v>500000</v>
      </c>
      <c r="G4552" s="22">
        <f>IFERROR(__xludf.DUMMYFUNCTION("""COMPUTED_VALUE"""),0.0)</f>
        <v>0</v>
      </c>
      <c r="H4552" s="22">
        <f>IFERROR(__xludf.DUMMYFUNCTION("""COMPUTED_VALUE"""),500000.0)</f>
        <v>500000</v>
      </c>
      <c r="I4552" s="24">
        <f>IFERROR(__xludf.DUMMYFUNCTION("""COMPUTED_VALUE"""),0.0)</f>
        <v>0</v>
      </c>
    </row>
    <row r="4553">
      <c r="A4553" s="5" t="str">
        <f>IFERROR(__xludf.DUMMYFUNCTION("""COMPUTED_VALUE"""),"52981")</f>
        <v>52981</v>
      </c>
      <c r="B4553" s="64">
        <f>IFERROR(__xludf.DUMMYFUNCTION("""COMPUTED_VALUE"""),44656.0)</f>
        <v>44656</v>
      </c>
      <c r="C4553" s="5"/>
      <c r="D4553" s="5"/>
      <c r="E4553" s="5"/>
      <c r="F4553" s="22">
        <f>IFERROR(__xludf.DUMMYFUNCTION("""COMPUTED_VALUE"""),500000.0)</f>
        <v>500000</v>
      </c>
      <c r="G4553" s="22">
        <f>IFERROR(__xludf.DUMMYFUNCTION("""COMPUTED_VALUE"""),0.0)</f>
        <v>0</v>
      </c>
      <c r="H4553" s="22">
        <f>IFERROR(__xludf.DUMMYFUNCTION("""COMPUTED_VALUE"""),500000.0)</f>
        <v>500000</v>
      </c>
      <c r="I4553" s="24">
        <f>IFERROR(__xludf.DUMMYFUNCTION("""COMPUTED_VALUE"""),0.0)</f>
        <v>0</v>
      </c>
    </row>
    <row r="4554">
      <c r="A4554" s="5" t="str">
        <f>IFERROR(__xludf.DUMMYFUNCTION("""COMPUTED_VALUE"""),"52981")</f>
        <v>52981</v>
      </c>
      <c r="B4554" s="64">
        <f>IFERROR(__xludf.DUMMYFUNCTION("""COMPUTED_VALUE"""),44657.0)</f>
        <v>44657</v>
      </c>
      <c r="C4554" s="5"/>
      <c r="D4554" s="5"/>
      <c r="E4554" s="5"/>
      <c r="F4554" s="22">
        <f>IFERROR(__xludf.DUMMYFUNCTION("""COMPUTED_VALUE"""),500000.0)</f>
        <v>500000</v>
      </c>
      <c r="G4554" s="22">
        <f>IFERROR(__xludf.DUMMYFUNCTION("""COMPUTED_VALUE"""),0.0)</f>
        <v>0</v>
      </c>
      <c r="H4554" s="22">
        <f>IFERROR(__xludf.DUMMYFUNCTION("""COMPUTED_VALUE"""),500000.0)</f>
        <v>500000</v>
      </c>
      <c r="I4554" s="24">
        <f>IFERROR(__xludf.DUMMYFUNCTION("""COMPUTED_VALUE"""),0.0)</f>
        <v>0</v>
      </c>
    </row>
    <row r="4555">
      <c r="A4555" s="5" t="str">
        <f>IFERROR(__xludf.DUMMYFUNCTION("""COMPUTED_VALUE"""),"52981")</f>
        <v>52981</v>
      </c>
      <c r="B4555" s="64">
        <f>IFERROR(__xludf.DUMMYFUNCTION("""COMPUTED_VALUE"""),44658.0)</f>
        <v>44658</v>
      </c>
      <c r="C4555" s="5"/>
      <c r="D4555" s="5"/>
      <c r="E4555" s="5"/>
      <c r="F4555" s="22">
        <f>IFERROR(__xludf.DUMMYFUNCTION("""COMPUTED_VALUE"""),500000.0)</f>
        <v>500000</v>
      </c>
      <c r="G4555" s="22">
        <f>IFERROR(__xludf.DUMMYFUNCTION("""COMPUTED_VALUE"""),0.0)</f>
        <v>0</v>
      </c>
      <c r="H4555" s="22">
        <f>IFERROR(__xludf.DUMMYFUNCTION("""COMPUTED_VALUE"""),500000.0)</f>
        <v>500000</v>
      </c>
      <c r="I4555" s="24">
        <f>IFERROR(__xludf.DUMMYFUNCTION("""COMPUTED_VALUE"""),0.0)</f>
        <v>0</v>
      </c>
    </row>
    <row r="4556">
      <c r="A4556" s="5" t="str">
        <f>IFERROR(__xludf.DUMMYFUNCTION("""COMPUTED_VALUE"""),"52981")</f>
        <v>52981</v>
      </c>
      <c r="B4556" s="64">
        <f>IFERROR(__xludf.DUMMYFUNCTION("""COMPUTED_VALUE"""),44659.0)</f>
        <v>44659</v>
      </c>
      <c r="C4556" s="5"/>
      <c r="D4556" s="5"/>
      <c r="E4556" s="5"/>
      <c r="F4556" s="22">
        <f>IFERROR(__xludf.DUMMYFUNCTION("""COMPUTED_VALUE"""),500000.0)</f>
        <v>500000</v>
      </c>
      <c r="G4556" s="22">
        <f>IFERROR(__xludf.DUMMYFUNCTION("""COMPUTED_VALUE"""),0.0)</f>
        <v>0</v>
      </c>
      <c r="H4556" s="22">
        <f>IFERROR(__xludf.DUMMYFUNCTION("""COMPUTED_VALUE"""),500000.0)</f>
        <v>500000</v>
      </c>
      <c r="I4556" s="24">
        <f>IFERROR(__xludf.DUMMYFUNCTION("""COMPUTED_VALUE"""),0.0)</f>
        <v>0</v>
      </c>
    </row>
    <row r="4557">
      <c r="A4557" s="5" t="str">
        <f>IFERROR(__xludf.DUMMYFUNCTION("""COMPUTED_VALUE"""),"52981")</f>
        <v>52981</v>
      </c>
      <c r="B4557" s="64">
        <f>IFERROR(__xludf.DUMMYFUNCTION("""COMPUTED_VALUE"""),44660.0)</f>
        <v>44660</v>
      </c>
      <c r="C4557" s="5"/>
      <c r="D4557" s="5"/>
      <c r="E4557" s="5"/>
      <c r="F4557" s="22">
        <f>IFERROR(__xludf.DUMMYFUNCTION("""COMPUTED_VALUE"""),500000.0)</f>
        <v>500000</v>
      </c>
      <c r="G4557" s="22">
        <f>IFERROR(__xludf.DUMMYFUNCTION("""COMPUTED_VALUE"""),0.0)</f>
        <v>0</v>
      </c>
      <c r="H4557" s="22">
        <f>IFERROR(__xludf.DUMMYFUNCTION("""COMPUTED_VALUE"""),500000.0)</f>
        <v>500000</v>
      </c>
      <c r="I4557" s="24">
        <f>IFERROR(__xludf.DUMMYFUNCTION("""COMPUTED_VALUE"""),0.0)</f>
        <v>0</v>
      </c>
    </row>
    <row r="4558">
      <c r="A4558" s="5" t="str">
        <f>IFERROR(__xludf.DUMMYFUNCTION("""COMPUTED_VALUE"""),"52981")</f>
        <v>52981</v>
      </c>
      <c r="B4558" s="64">
        <f>IFERROR(__xludf.DUMMYFUNCTION("""COMPUTED_VALUE"""),44661.0)</f>
        <v>44661</v>
      </c>
      <c r="C4558" s="5"/>
      <c r="D4558" s="5"/>
      <c r="E4558" s="5"/>
      <c r="F4558" s="22">
        <f>IFERROR(__xludf.DUMMYFUNCTION("""COMPUTED_VALUE"""),500000.0)</f>
        <v>500000</v>
      </c>
      <c r="G4558" s="22">
        <f>IFERROR(__xludf.DUMMYFUNCTION("""COMPUTED_VALUE"""),0.0)</f>
        <v>0</v>
      </c>
      <c r="H4558" s="22">
        <f>IFERROR(__xludf.DUMMYFUNCTION("""COMPUTED_VALUE"""),500000.0)</f>
        <v>500000</v>
      </c>
      <c r="I4558" s="24">
        <f>IFERROR(__xludf.DUMMYFUNCTION("""COMPUTED_VALUE"""),0.0)</f>
        <v>0</v>
      </c>
    </row>
    <row r="4559">
      <c r="A4559" s="5" t="str">
        <f>IFERROR(__xludf.DUMMYFUNCTION("""COMPUTED_VALUE"""),"52981")</f>
        <v>52981</v>
      </c>
      <c r="B4559" s="64">
        <f>IFERROR(__xludf.DUMMYFUNCTION("""COMPUTED_VALUE"""),44662.0)</f>
        <v>44662</v>
      </c>
      <c r="C4559" s="5"/>
      <c r="D4559" s="5"/>
      <c r="E4559" s="5"/>
      <c r="F4559" s="22">
        <f>IFERROR(__xludf.DUMMYFUNCTION("""COMPUTED_VALUE"""),500000.0)</f>
        <v>500000</v>
      </c>
      <c r="G4559" s="22">
        <f>IFERROR(__xludf.DUMMYFUNCTION("""COMPUTED_VALUE"""),0.0)</f>
        <v>0</v>
      </c>
      <c r="H4559" s="22">
        <f>IFERROR(__xludf.DUMMYFUNCTION("""COMPUTED_VALUE"""),500000.0)</f>
        <v>500000</v>
      </c>
      <c r="I4559" s="24">
        <f>IFERROR(__xludf.DUMMYFUNCTION("""COMPUTED_VALUE"""),0.0)</f>
        <v>0</v>
      </c>
    </row>
    <row r="4560">
      <c r="A4560" s="5" t="str">
        <f>IFERROR(__xludf.DUMMYFUNCTION("""COMPUTED_VALUE"""),"52981")</f>
        <v>52981</v>
      </c>
      <c r="B4560" s="64">
        <f>IFERROR(__xludf.DUMMYFUNCTION("""COMPUTED_VALUE"""),44663.0)</f>
        <v>44663</v>
      </c>
      <c r="C4560" s="5"/>
      <c r="D4560" s="5"/>
      <c r="E4560" s="5"/>
      <c r="F4560" s="22">
        <f>IFERROR(__xludf.DUMMYFUNCTION("""COMPUTED_VALUE"""),500000.0)</f>
        <v>500000</v>
      </c>
      <c r="G4560" s="22">
        <f>IFERROR(__xludf.DUMMYFUNCTION("""COMPUTED_VALUE"""),0.0)</f>
        <v>0</v>
      </c>
      <c r="H4560" s="22">
        <f>IFERROR(__xludf.DUMMYFUNCTION("""COMPUTED_VALUE"""),500000.0)</f>
        <v>500000</v>
      </c>
      <c r="I4560" s="24">
        <f>IFERROR(__xludf.DUMMYFUNCTION("""COMPUTED_VALUE"""),0.0)</f>
        <v>0</v>
      </c>
    </row>
    <row r="4561">
      <c r="A4561" s="5" t="str">
        <f>IFERROR(__xludf.DUMMYFUNCTION("""COMPUTED_VALUE"""),"56118")</f>
        <v>56118</v>
      </c>
      <c r="B4561" s="64">
        <f>IFERROR(__xludf.DUMMYFUNCTION("""COMPUTED_VALUE"""),44597.0)</f>
        <v>44597</v>
      </c>
      <c r="C4561" s="5"/>
      <c r="D4561" s="5"/>
      <c r="E4561" s="5"/>
      <c r="F4561" s="22">
        <f>IFERROR(__xludf.DUMMYFUNCTION("""COMPUTED_VALUE"""),500000.0)</f>
        <v>500000</v>
      </c>
      <c r="G4561" s="22">
        <f>IFERROR(__xludf.DUMMYFUNCTION("""COMPUTED_VALUE"""),0.0)</f>
        <v>0</v>
      </c>
      <c r="H4561" s="22">
        <f>IFERROR(__xludf.DUMMYFUNCTION("""COMPUTED_VALUE"""),500000.0)</f>
        <v>500000</v>
      </c>
      <c r="I4561" s="24">
        <f>IFERROR(__xludf.DUMMYFUNCTION("""COMPUTED_VALUE"""),0.0)</f>
        <v>0</v>
      </c>
    </row>
    <row r="4562">
      <c r="A4562" s="5" t="str">
        <f>IFERROR(__xludf.DUMMYFUNCTION("""COMPUTED_VALUE"""),"56118")</f>
        <v>56118</v>
      </c>
      <c r="B4562" s="64">
        <f>IFERROR(__xludf.DUMMYFUNCTION("""COMPUTED_VALUE"""),44598.0)</f>
        <v>44598</v>
      </c>
      <c r="C4562" s="5"/>
      <c r="D4562" s="5"/>
      <c r="E4562" s="5"/>
      <c r="F4562" s="22">
        <f>IFERROR(__xludf.DUMMYFUNCTION("""COMPUTED_VALUE"""),500000.0)</f>
        <v>500000</v>
      </c>
      <c r="G4562" s="22">
        <f>IFERROR(__xludf.DUMMYFUNCTION("""COMPUTED_VALUE"""),0.0)</f>
        <v>0</v>
      </c>
      <c r="H4562" s="22">
        <f>IFERROR(__xludf.DUMMYFUNCTION("""COMPUTED_VALUE"""),500000.0)</f>
        <v>500000</v>
      </c>
      <c r="I4562" s="24">
        <f>IFERROR(__xludf.DUMMYFUNCTION("""COMPUTED_VALUE"""),0.0)</f>
        <v>0</v>
      </c>
    </row>
    <row r="4563">
      <c r="A4563" s="5" t="str">
        <f>IFERROR(__xludf.DUMMYFUNCTION("""COMPUTED_VALUE"""),"56118")</f>
        <v>56118</v>
      </c>
      <c r="B4563" s="64">
        <f>IFERROR(__xludf.DUMMYFUNCTION("""COMPUTED_VALUE"""),44599.0)</f>
        <v>44599</v>
      </c>
      <c r="C4563" s="5"/>
      <c r="D4563" s="5"/>
      <c r="E4563" s="5"/>
      <c r="F4563" s="22">
        <f>IFERROR(__xludf.DUMMYFUNCTION("""COMPUTED_VALUE"""),500000.0)</f>
        <v>500000</v>
      </c>
      <c r="G4563" s="22">
        <f>IFERROR(__xludf.DUMMYFUNCTION("""COMPUTED_VALUE"""),0.0)</f>
        <v>0</v>
      </c>
      <c r="H4563" s="22">
        <f>IFERROR(__xludf.DUMMYFUNCTION("""COMPUTED_VALUE"""),500000.0)</f>
        <v>500000</v>
      </c>
      <c r="I4563" s="24">
        <f>IFERROR(__xludf.DUMMYFUNCTION("""COMPUTED_VALUE"""),0.0)</f>
        <v>0</v>
      </c>
    </row>
    <row r="4564">
      <c r="A4564" s="5" t="str">
        <f>IFERROR(__xludf.DUMMYFUNCTION("""COMPUTED_VALUE"""),"56118")</f>
        <v>56118</v>
      </c>
      <c r="B4564" s="64">
        <f>IFERROR(__xludf.DUMMYFUNCTION("""COMPUTED_VALUE"""),44600.0)</f>
        <v>44600</v>
      </c>
      <c r="C4564" s="5"/>
      <c r="D4564" s="5"/>
      <c r="E4564" s="5"/>
      <c r="F4564" s="22">
        <f>IFERROR(__xludf.DUMMYFUNCTION("""COMPUTED_VALUE"""),500000.0)</f>
        <v>500000</v>
      </c>
      <c r="G4564" s="22">
        <f>IFERROR(__xludf.DUMMYFUNCTION("""COMPUTED_VALUE"""),0.0)</f>
        <v>0</v>
      </c>
      <c r="H4564" s="22">
        <f>IFERROR(__xludf.DUMMYFUNCTION("""COMPUTED_VALUE"""),500000.0)</f>
        <v>500000</v>
      </c>
      <c r="I4564" s="24">
        <f>IFERROR(__xludf.DUMMYFUNCTION("""COMPUTED_VALUE"""),0.0)</f>
        <v>0</v>
      </c>
    </row>
    <row r="4565">
      <c r="A4565" s="5" t="str">
        <f>IFERROR(__xludf.DUMMYFUNCTION("""COMPUTED_VALUE"""),"56118")</f>
        <v>56118</v>
      </c>
      <c r="B4565" s="64">
        <f>IFERROR(__xludf.DUMMYFUNCTION("""COMPUTED_VALUE"""),44601.0)</f>
        <v>44601</v>
      </c>
      <c r="C4565" s="5"/>
      <c r="D4565" s="5"/>
      <c r="E4565" s="5"/>
      <c r="F4565" s="22">
        <f>IFERROR(__xludf.DUMMYFUNCTION("""COMPUTED_VALUE"""),500000.0)</f>
        <v>500000</v>
      </c>
      <c r="G4565" s="22">
        <f>IFERROR(__xludf.DUMMYFUNCTION("""COMPUTED_VALUE"""),0.0)</f>
        <v>0</v>
      </c>
      <c r="H4565" s="22">
        <f>IFERROR(__xludf.DUMMYFUNCTION("""COMPUTED_VALUE"""),500000.0)</f>
        <v>500000</v>
      </c>
      <c r="I4565" s="24">
        <f>IFERROR(__xludf.DUMMYFUNCTION("""COMPUTED_VALUE"""),0.0)</f>
        <v>0</v>
      </c>
    </row>
    <row r="4566">
      <c r="A4566" s="5" t="str">
        <f>IFERROR(__xludf.DUMMYFUNCTION("""COMPUTED_VALUE"""),"56118")</f>
        <v>56118</v>
      </c>
      <c r="B4566" s="64">
        <f>IFERROR(__xludf.DUMMYFUNCTION("""COMPUTED_VALUE"""),44602.0)</f>
        <v>44602</v>
      </c>
      <c r="C4566" s="5"/>
      <c r="D4566" s="5"/>
      <c r="E4566" s="5"/>
      <c r="F4566" s="22">
        <f>IFERROR(__xludf.DUMMYFUNCTION("""COMPUTED_VALUE"""),500000.0)</f>
        <v>500000</v>
      </c>
      <c r="G4566" s="22">
        <f>IFERROR(__xludf.DUMMYFUNCTION("""COMPUTED_VALUE"""),0.0)</f>
        <v>0</v>
      </c>
      <c r="H4566" s="22">
        <f>IFERROR(__xludf.DUMMYFUNCTION("""COMPUTED_VALUE"""),500000.0)</f>
        <v>500000</v>
      </c>
      <c r="I4566" s="24">
        <f>IFERROR(__xludf.DUMMYFUNCTION("""COMPUTED_VALUE"""),0.0)</f>
        <v>0</v>
      </c>
    </row>
    <row r="4567">
      <c r="A4567" s="5" t="str">
        <f>IFERROR(__xludf.DUMMYFUNCTION("""COMPUTED_VALUE"""),"56118")</f>
        <v>56118</v>
      </c>
      <c r="B4567" s="64">
        <f>IFERROR(__xludf.DUMMYFUNCTION("""COMPUTED_VALUE"""),44603.0)</f>
        <v>44603</v>
      </c>
      <c r="C4567" s="5"/>
      <c r="D4567" s="5"/>
      <c r="E4567" s="5"/>
      <c r="F4567" s="22">
        <f>IFERROR(__xludf.DUMMYFUNCTION("""COMPUTED_VALUE"""),500000.0)</f>
        <v>500000</v>
      </c>
      <c r="G4567" s="22">
        <f>IFERROR(__xludf.DUMMYFUNCTION("""COMPUTED_VALUE"""),0.0)</f>
        <v>0</v>
      </c>
      <c r="H4567" s="22">
        <f>IFERROR(__xludf.DUMMYFUNCTION("""COMPUTED_VALUE"""),500000.0)</f>
        <v>500000</v>
      </c>
      <c r="I4567" s="24">
        <f>IFERROR(__xludf.DUMMYFUNCTION("""COMPUTED_VALUE"""),0.0)</f>
        <v>0</v>
      </c>
    </row>
    <row r="4568">
      <c r="A4568" s="5" t="str">
        <f>IFERROR(__xludf.DUMMYFUNCTION("""COMPUTED_VALUE"""),"56118")</f>
        <v>56118</v>
      </c>
      <c r="B4568" s="64">
        <f>IFERROR(__xludf.DUMMYFUNCTION("""COMPUTED_VALUE"""),44604.0)</f>
        <v>44604</v>
      </c>
      <c r="C4568" s="5"/>
      <c r="D4568" s="5"/>
      <c r="E4568" s="5"/>
      <c r="F4568" s="22">
        <f>IFERROR(__xludf.DUMMYFUNCTION("""COMPUTED_VALUE"""),500000.0)</f>
        <v>500000</v>
      </c>
      <c r="G4568" s="22">
        <f>IFERROR(__xludf.DUMMYFUNCTION("""COMPUTED_VALUE"""),0.0)</f>
        <v>0</v>
      </c>
      <c r="H4568" s="22">
        <f>IFERROR(__xludf.DUMMYFUNCTION("""COMPUTED_VALUE"""),500000.0)</f>
        <v>500000</v>
      </c>
      <c r="I4568" s="24">
        <f>IFERROR(__xludf.DUMMYFUNCTION("""COMPUTED_VALUE"""),0.0)</f>
        <v>0</v>
      </c>
    </row>
    <row r="4569">
      <c r="A4569" s="5" t="str">
        <f>IFERROR(__xludf.DUMMYFUNCTION("""COMPUTED_VALUE"""),"56118")</f>
        <v>56118</v>
      </c>
      <c r="B4569" s="64">
        <f>IFERROR(__xludf.DUMMYFUNCTION("""COMPUTED_VALUE"""),44605.0)</f>
        <v>44605</v>
      </c>
      <c r="C4569" s="5"/>
      <c r="D4569" s="5"/>
      <c r="E4569" s="5"/>
      <c r="F4569" s="22">
        <f>IFERROR(__xludf.DUMMYFUNCTION("""COMPUTED_VALUE"""),500000.0)</f>
        <v>500000</v>
      </c>
      <c r="G4569" s="22">
        <f>IFERROR(__xludf.DUMMYFUNCTION("""COMPUTED_VALUE"""),0.0)</f>
        <v>0</v>
      </c>
      <c r="H4569" s="22">
        <f>IFERROR(__xludf.DUMMYFUNCTION("""COMPUTED_VALUE"""),500000.0)</f>
        <v>500000</v>
      </c>
      <c r="I4569" s="24">
        <f>IFERROR(__xludf.DUMMYFUNCTION("""COMPUTED_VALUE"""),0.0)</f>
        <v>0</v>
      </c>
    </row>
    <row r="4570">
      <c r="A4570" s="5" t="str">
        <f>IFERROR(__xludf.DUMMYFUNCTION("""COMPUTED_VALUE"""),"56118")</f>
        <v>56118</v>
      </c>
      <c r="B4570" s="64">
        <f>IFERROR(__xludf.DUMMYFUNCTION("""COMPUTED_VALUE"""),44606.0)</f>
        <v>44606</v>
      </c>
      <c r="C4570" s="5"/>
      <c r="D4570" s="5"/>
      <c r="E4570" s="5"/>
      <c r="F4570" s="22">
        <f>IFERROR(__xludf.DUMMYFUNCTION("""COMPUTED_VALUE"""),500000.0)</f>
        <v>500000</v>
      </c>
      <c r="G4570" s="22">
        <f>IFERROR(__xludf.DUMMYFUNCTION("""COMPUTED_VALUE"""),0.0)</f>
        <v>0</v>
      </c>
      <c r="H4570" s="22">
        <f>IFERROR(__xludf.DUMMYFUNCTION("""COMPUTED_VALUE"""),500000.0)</f>
        <v>500000</v>
      </c>
      <c r="I4570" s="24">
        <f>IFERROR(__xludf.DUMMYFUNCTION("""COMPUTED_VALUE"""),0.0)</f>
        <v>0</v>
      </c>
    </row>
    <row r="4571">
      <c r="A4571" s="5" t="str">
        <f>IFERROR(__xludf.DUMMYFUNCTION("""COMPUTED_VALUE"""),"56118")</f>
        <v>56118</v>
      </c>
      <c r="B4571" s="64">
        <f>IFERROR(__xludf.DUMMYFUNCTION("""COMPUTED_VALUE"""),44607.0)</f>
        <v>44607</v>
      </c>
      <c r="C4571" s="5"/>
      <c r="D4571" s="5"/>
      <c r="E4571" s="5"/>
      <c r="F4571" s="22">
        <f>IFERROR(__xludf.DUMMYFUNCTION("""COMPUTED_VALUE"""),500000.0)</f>
        <v>500000</v>
      </c>
      <c r="G4571" s="22">
        <f>IFERROR(__xludf.DUMMYFUNCTION("""COMPUTED_VALUE"""),0.0)</f>
        <v>0</v>
      </c>
      <c r="H4571" s="22">
        <f>IFERROR(__xludf.DUMMYFUNCTION("""COMPUTED_VALUE"""),500000.0)</f>
        <v>500000</v>
      </c>
      <c r="I4571" s="24">
        <f>IFERROR(__xludf.DUMMYFUNCTION("""COMPUTED_VALUE"""),0.0)</f>
        <v>0</v>
      </c>
    </row>
    <row r="4572">
      <c r="A4572" s="5" t="str">
        <f>IFERROR(__xludf.DUMMYFUNCTION("""COMPUTED_VALUE"""),"56118")</f>
        <v>56118</v>
      </c>
      <c r="B4572" s="64">
        <f>IFERROR(__xludf.DUMMYFUNCTION("""COMPUTED_VALUE"""),44608.0)</f>
        <v>44608</v>
      </c>
      <c r="C4572" s="5"/>
      <c r="D4572" s="5"/>
      <c r="E4572" s="5"/>
      <c r="F4572" s="22">
        <f>IFERROR(__xludf.DUMMYFUNCTION("""COMPUTED_VALUE"""),500000.0)</f>
        <v>500000</v>
      </c>
      <c r="G4572" s="22">
        <f>IFERROR(__xludf.DUMMYFUNCTION("""COMPUTED_VALUE"""),0.0)</f>
        <v>0</v>
      </c>
      <c r="H4572" s="22">
        <f>IFERROR(__xludf.DUMMYFUNCTION("""COMPUTED_VALUE"""),500000.0)</f>
        <v>500000</v>
      </c>
      <c r="I4572" s="24">
        <f>IFERROR(__xludf.DUMMYFUNCTION("""COMPUTED_VALUE"""),0.0)</f>
        <v>0</v>
      </c>
    </row>
    <row r="4573">
      <c r="A4573" s="5" t="str">
        <f>IFERROR(__xludf.DUMMYFUNCTION("""COMPUTED_VALUE"""),"56118")</f>
        <v>56118</v>
      </c>
      <c r="B4573" s="64">
        <f>IFERROR(__xludf.DUMMYFUNCTION("""COMPUTED_VALUE"""),44609.0)</f>
        <v>44609</v>
      </c>
      <c r="C4573" s="5"/>
      <c r="D4573" s="5"/>
      <c r="E4573" s="5"/>
      <c r="F4573" s="22">
        <f>IFERROR(__xludf.DUMMYFUNCTION("""COMPUTED_VALUE"""),500000.0)</f>
        <v>500000</v>
      </c>
      <c r="G4573" s="22">
        <f>IFERROR(__xludf.DUMMYFUNCTION("""COMPUTED_VALUE"""),0.0)</f>
        <v>0</v>
      </c>
      <c r="H4573" s="22">
        <f>IFERROR(__xludf.DUMMYFUNCTION("""COMPUTED_VALUE"""),500000.0)</f>
        <v>500000</v>
      </c>
      <c r="I4573" s="24">
        <f>IFERROR(__xludf.DUMMYFUNCTION("""COMPUTED_VALUE"""),0.0)</f>
        <v>0</v>
      </c>
    </row>
    <row r="4574">
      <c r="A4574" s="5" t="str">
        <f>IFERROR(__xludf.DUMMYFUNCTION("""COMPUTED_VALUE"""),"56118")</f>
        <v>56118</v>
      </c>
      <c r="B4574" s="64">
        <f>IFERROR(__xludf.DUMMYFUNCTION("""COMPUTED_VALUE"""),44610.0)</f>
        <v>44610</v>
      </c>
      <c r="C4574" s="5"/>
      <c r="D4574" s="5"/>
      <c r="E4574" s="5"/>
      <c r="F4574" s="22">
        <f>IFERROR(__xludf.DUMMYFUNCTION("""COMPUTED_VALUE"""),500000.0)</f>
        <v>500000</v>
      </c>
      <c r="G4574" s="22">
        <f>IFERROR(__xludf.DUMMYFUNCTION("""COMPUTED_VALUE"""),0.0)</f>
        <v>0</v>
      </c>
      <c r="H4574" s="22">
        <f>IFERROR(__xludf.DUMMYFUNCTION("""COMPUTED_VALUE"""),500000.0)</f>
        <v>500000</v>
      </c>
      <c r="I4574" s="24">
        <f>IFERROR(__xludf.DUMMYFUNCTION("""COMPUTED_VALUE"""),0.0)</f>
        <v>0</v>
      </c>
    </row>
    <row r="4575">
      <c r="A4575" s="5" t="str">
        <f>IFERROR(__xludf.DUMMYFUNCTION("""COMPUTED_VALUE"""),"56118")</f>
        <v>56118</v>
      </c>
      <c r="B4575" s="64">
        <f>IFERROR(__xludf.DUMMYFUNCTION("""COMPUTED_VALUE"""),44611.0)</f>
        <v>44611</v>
      </c>
      <c r="C4575" s="5"/>
      <c r="D4575" s="5"/>
      <c r="E4575" s="5"/>
      <c r="F4575" s="22">
        <f>IFERROR(__xludf.DUMMYFUNCTION("""COMPUTED_VALUE"""),500000.0)</f>
        <v>500000</v>
      </c>
      <c r="G4575" s="22">
        <f>IFERROR(__xludf.DUMMYFUNCTION("""COMPUTED_VALUE"""),0.0)</f>
        <v>0</v>
      </c>
      <c r="H4575" s="22">
        <f>IFERROR(__xludf.DUMMYFUNCTION("""COMPUTED_VALUE"""),500000.0)</f>
        <v>500000</v>
      </c>
      <c r="I4575" s="24">
        <f>IFERROR(__xludf.DUMMYFUNCTION("""COMPUTED_VALUE"""),0.0)</f>
        <v>0</v>
      </c>
    </row>
    <row r="4576">
      <c r="A4576" s="5" t="str">
        <f>IFERROR(__xludf.DUMMYFUNCTION("""COMPUTED_VALUE"""),"56118")</f>
        <v>56118</v>
      </c>
      <c r="B4576" s="64">
        <f>IFERROR(__xludf.DUMMYFUNCTION("""COMPUTED_VALUE"""),44612.0)</f>
        <v>44612</v>
      </c>
      <c r="C4576" s="5"/>
      <c r="D4576" s="5"/>
      <c r="E4576" s="5"/>
      <c r="F4576" s="22">
        <f>IFERROR(__xludf.DUMMYFUNCTION("""COMPUTED_VALUE"""),500000.0)</f>
        <v>500000</v>
      </c>
      <c r="G4576" s="22">
        <f>IFERROR(__xludf.DUMMYFUNCTION("""COMPUTED_VALUE"""),0.0)</f>
        <v>0</v>
      </c>
      <c r="H4576" s="22">
        <f>IFERROR(__xludf.DUMMYFUNCTION("""COMPUTED_VALUE"""),500000.0)</f>
        <v>500000</v>
      </c>
      <c r="I4576" s="24">
        <f>IFERROR(__xludf.DUMMYFUNCTION("""COMPUTED_VALUE"""),0.0)</f>
        <v>0</v>
      </c>
    </row>
    <row r="4577">
      <c r="A4577" s="5" t="str">
        <f>IFERROR(__xludf.DUMMYFUNCTION("""COMPUTED_VALUE"""),"56118")</f>
        <v>56118</v>
      </c>
      <c r="B4577" s="64">
        <f>IFERROR(__xludf.DUMMYFUNCTION("""COMPUTED_VALUE"""),44613.0)</f>
        <v>44613</v>
      </c>
      <c r="C4577" s="5"/>
      <c r="D4577" s="5"/>
      <c r="E4577" s="5"/>
      <c r="F4577" s="22">
        <f>IFERROR(__xludf.DUMMYFUNCTION("""COMPUTED_VALUE"""),500000.0)</f>
        <v>500000</v>
      </c>
      <c r="G4577" s="22">
        <f>IFERROR(__xludf.DUMMYFUNCTION("""COMPUTED_VALUE"""),0.0)</f>
        <v>0</v>
      </c>
      <c r="H4577" s="22">
        <f>IFERROR(__xludf.DUMMYFUNCTION("""COMPUTED_VALUE"""),500000.0)</f>
        <v>500000</v>
      </c>
      <c r="I4577" s="24">
        <f>IFERROR(__xludf.DUMMYFUNCTION("""COMPUTED_VALUE"""),0.0)</f>
        <v>0</v>
      </c>
    </row>
    <row r="4578">
      <c r="A4578" s="5" t="str">
        <f>IFERROR(__xludf.DUMMYFUNCTION("""COMPUTED_VALUE"""),"56118")</f>
        <v>56118</v>
      </c>
      <c r="B4578" s="64">
        <f>IFERROR(__xludf.DUMMYFUNCTION("""COMPUTED_VALUE"""),44614.0)</f>
        <v>44614</v>
      </c>
      <c r="C4578" s="5"/>
      <c r="D4578" s="5"/>
      <c r="E4578" s="5"/>
      <c r="F4578" s="22">
        <f>IFERROR(__xludf.DUMMYFUNCTION("""COMPUTED_VALUE"""),500000.0)</f>
        <v>500000</v>
      </c>
      <c r="G4578" s="22">
        <f>IFERROR(__xludf.DUMMYFUNCTION("""COMPUTED_VALUE"""),0.0)</f>
        <v>0</v>
      </c>
      <c r="H4578" s="22">
        <f>IFERROR(__xludf.DUMMYFUNCTION("""COMPUTED_VALUE"""),500000.0)</f>
        <v>500000</v>
      </c>
      <c r="I4578" s="24">
        <f>IFERROR(__xludf.DUMMYFUNCTION("""COMPUTED_VALUE"""),0.0)</f>
        <v>0</v>
      </c>
    </row>
    <row r="4579">
      <c r="A4579" s="5" t="str">
        <f>IFERROR(__xludf.DUMMYFUNCTION("""COMPUTED_VALUE"""),"56118")</f>
        <v>56118</v>
      </c>
      <c r="B4579" s="64">
        <f>IFERROR(__xludf.DUMMYFUNCTION("""COMPUTED_VALUE"""),44615.0)</f>
        <v>44615</v>
      </c>
      <c r="C4579" s="5"/>
      <c r="D4579" s="5"/>
      <c r="E4579" s="5"/>
      <c r="F4579" s="22">
        <f>IFERROR(__xludf.DUMMYFUNCTION("""COMPUTED_VALUE"""),500000.0)</f>
        <v>500000</v>
      </c>
      <c r="G4579" s="22">
        <f>IFERROR(__xludf.DUMMYFUNCTION("""COMPUTED_VALUE"""),0.0)</f>
        <v>0</v>
      </c>
      <c r="H4579" s="22">
        <f>IFERROR(__xludf.DUMMYFUNCTION("""COMPUTED_VALUE"""),500000.0)</f>
        <v>500000</v>
      </c>
      <c r="I4579" s="24">
        <f>IFERROR(__xludf.DUMMYFUNCTION("""COMPUTED_VALUE"""),0.0)</f>
        <v>0</v>
      </c>
    </row>
    <row r="4580">
      <c r="A4580" s="5" t="str">
        <f>IFERROR(__xludf.DUMMYFUNCTION("""COMPUTED_VALUE"""),"56118")</f>
        <v>56118</v>
      </c>
      <c r="B4580" s="64">
        <f>IFERROR(__xludf.DUMMYFUNCTION("""COMPUTED_VALUE"""),44616.0)</f>
        <v>44616</v>
      </c>
      <c r="C4580" s="5"/>
      <c r="D4580" s="5"/>
      <c r="E4580" s="5"/>
      <c r="F4580" s="22">
        <f>IFERROR(__xludf.DUMMYFUNCTION("""COMPUTED_VALUE"""),500000.0)</f>
        <v>500000</v>
      </c>
      <c r="G4580" s="22">
        <f>IFERROR(__xludf.DUMMYFUNCTION("""COMPUTED_VALUE"""),0.0)</f>
        <v>0</v>
      </c>
      <c r="H4580" s="22">
        <f>IFERROR(__xludf.DUMMYFUNCTION("""COMPUTED_VALUE"""),500000.0)</f>
        <v>500000</v>
      </c>
      <c r="I4580" s="24">
        <f>IFERROR(__xludf.DUMMYFUNCTION("""COMPUTED_VALUE"""),0.0)</f>
        <v>0</v>
      </c>
    </row>
    <row r="4581">
      <c r="A4581" s="5" t="str">
        <f>IFERROR(__xludf.DUMMYFUNCTION("""COMPUTED_VALUE"""),"56118")</f>
        <v>56118</v>
      </c>
      <c r="B4581" s="64">
        <f>IFERROR(__xludf.DUMMYFUNCTION("""COMPUTED_VALUE"""),44617.0)</f>
        <v>44617</v>
      </c>
      <c r="C4581" s="5"/>
      <c r="D4581" s="5"/>
      <c r="E4581" s="5"/>
      <c r="F4581" s="22">
        <f>IFERROR(__xludf.DUMMYFUNCTION("""COMPUTED_VALUE"""),500000.0)</f>
        <v>500000</v>
      </c>
      <c r="G4581" s="22">
        <f>IFERROR(__xludf.DUMMYFUNCTION("""COMPUTED_VALUE"""),0.0)</f>
        <v>0</v>
      </c>
      <c r="H4581" s="22">
        <f>IFERROR(__xludf.DUMMYFUNCTION("""COMPUTED_VALUE"""),500000.0)</f>
        <v>500000</v>
      </c>
      <c r="I4581" s="24">
        <f>IFERROR(__xludf.DUMMYFUNCTION("""COMPUTED_VALUE"""),0.0)</f>
        <v>0</v>
      </c>
    </row>
    <row r="4582">
      <c r="A4582" s="5" t="str">
        <f>IFERROR(__xludf.DUMMYFUNCTION("""COMPUTED_VALUE"""),"56118")</f>
        <v>56118</v>
      </c>
      <c r="B4582" s="64">
        <f>IFERROR(__xludf.DUMMYFUNCTION("""COMPUTED_VALUE"""),44618.0)</f>
        <v>44618</v>
      </c>
      <c r="C4582" s="5"/>
      <c r="D4582" s="5"/>
      <c r="E4582" s="5"/>
      <c r="F4582" s="22">
        <f>IFERROR(__xludf.DUMMYFUNCTION("""COMPUTED_VALUE"""),500000.0)</f>
        <v>500000</v>
      </c>
      <c r="G4582" s="22">
        <f>IFERROR(__xludf.DUMMYFUNCTION("""COMPUTED_VALUE"""),0.0)</f>
        <v>0</v>
      </c>
      <c r="H4582" s="22">
        <f>IFERROR(__xludf.DUMMYFUNCTION("""COMPUTED_VALUE"""),500000.0)</f>
        <v>500000</v>
      </c>
      <c r="I4582" s="24">
        <f>IFERROR(__xludf.DUMMYFUNCTION("""COMPUTED_VALUE"""),0.0)</f>
        <v>0</v>
      </c>
    </row>
    <row r="4583">
      <c r="A4583" s="5" t="str">
        <f>IFERROR(__xludf.DUMMYFUNCTION("""COMPUTED_VALUE"""),"56118")</f>
        <v>56118</v>
      </c>
      <c r="B4583" s="64">
        <f>IFERROR(__xludf.DUMMYFUNCTION("""COMPUTED_VALUE"""),44619.0)</f>
        <v>44619</v>
      </c>
      <c r="C4583" s="5"/>
      <c r="D4583" s="5"/>
      <c r="E4583" s="5"/>
      <c r="F4583" s="22">
        <f>IFERROR(__xludf.DUMMYFUNCTION("""COMPUTED_VALUE"""),500000.0)</f>
        <v>500000</v>
      </c>
      <c r="G4583" s="22">
        <f>IFERROR(__xludf.DUMMYFUNCTION("""COMPUTED_VALUE"""),0.0)</f>
        <v>0</v>
      </c>
      <c r="H4583" s="22">
        <f>IFERROR(__xludf.DUMMYFUNCTION("""COMPUTED_VALUE"""),500000.0)</f>
        <v>500000</v>
      </c>
      <c r="I4583" s="24">
        <f>IFERROR(__xludf.DUMMYFUNCTION("""COMPUTED_VALUE"""),0.0)</f>
        <v>0</v>
      </c>
    </row>
    <row r="4584">
      <c r="A4584" s="5" t="str">
        <f>IFERROR(__xludf.DUMMYFUNCTION("""COMPUTED_VALUE"""),"56118")</f>
        <v>56118</v>
      </c>
      <c r="B4584" s="64">
        <f>IFERROR(__xludf.DUMMYFUNCTION("""COMPUTED_VALUE"""),44620.0)</f>
        <v>44620</v>
      </c>
      <c r="C4584" s="5"/>
      <c r="D4584" s="5"/>
      <c r="E4584" s="5"/>
      <c r="F4584" s="22">
        <f>IFERROR(__xludf.DUMMYFUNCTION("""COMPUTED_VALUE"""),500000.0)</f>
        <v>500000</v>
      </c>
      <c r="G4584" s="22">
        <f>IFERROR(__xludf.DUMMYFUNCTION("""COMPUTED_VALUE"""),0.0)</f>
        <v>0</v>
      </c>
      <c r="H4584" s="22">
        <f>IFERROR(__xludf.DUMMYFUNCTION("""COMPUTED_VALUE"""),500000.0)</f>
        <v>500000</v>
      </c>
      <c r="I4584" s="24">
        <f>IFERROR(__xludf.DUMMYFUNCTION("""COMPUTED_VALUE"""),0.0)</f>
        <v>0</v>
      </c>
    </row>
    <row r="4585">
      <c r="A4585" s="5" t="str">
        <f>IFERROR(__xludf.DUMMYFUNCTION("""COMPUTED_VALUE"""),"56118")</f>
        <v>56118</v>
      </c>
      <c r="B4585" s="64">
        <f>IFERROR(__xludf.DUMMYFUNCTION("""COMPUTED_VALUE"""),44621.0)</f>
        <v>44621</v>
      </c>
      <c r="C4585" s="5"/>
      <c r="D4585" s="5"/>
      <c r="E4585" s="5"/>
      <c r="F4585" s="22">
        <f>IFERROR(__xludf.DUMMYFUNCTION("""COMPUTED_VALUE"""),500000.0)</f>
        <v>500000</v>
      </c>
      <c r="G4585" s="22">
        <f>IFERROR(__xludf.DUMMYFUNCTION("""COMPUTED_VALUE"""),0.0)</f>
        <v>0</v>
      </c>
      <c r="H4585" s="22">
        <f>IFERROR(__xludf.DUMMYFUNCTION("""COMPUTED_VALUE"""),500000.0)</f>
        <v>500000</v>
      </c>
      <c r="I4585" s="24">
        <f>IFERROR(__xludf.DUMMYFUNCTION("""COMPUTED_VALUE"""),0.0)</f>
        <v>0</v>
      </c>
    </row>
    <row r="4586">
      <c r="A4586" s="5" t="str">
        <f>IFERROR(__xludf.DUMMYFUNCTION("""COMPUTED_VALUE"""),"56118")</f>
        <v>56118</v>
      </c>
      <c r="B4586" s="64">
        <f>IFERROR(__xludf.DUMMYFUNCTION("""COMPUTED_VALUE"""),44622.0)</f>
        <v>44622</v>
      </c>
      <c r="C4586" s="5"/>
      <c r="D4586" s="5"/>
      <c r="E4586" s="5"/>
      <c r="F4586" s="22">
        <f>IFERROR(__xludf.DUMMYFUNCTION("""COMPUTED_VALUE"""),500000.0)</f>
        <v>500000</v>
      </c>
      <c r="G4586" s="22">
        <f>IFERROR(__xludf.DUMMYFUNCTION("""COMPUTED_VALUE"""),0.0)</f>
        <v>0</v>
      </c>
      <c r="H4586" s="22">
        <f>IFERROR(__xludf.DUMMYFUNCTION("""COMPUTED_VALUE"""),500000.0)</f>
        <v>500000</v>
      </c>
      <c r="I4586" s="24">
        <f>IFERROR(__xludf.DUMMYFUNCTION("""COMPUTED_VALUE"""),0.0)</f>
        <v>0</v>
      </c>
    </row>
    <row r="4587">
      <c r="A4587" s="5" t="str">
        <f>IFERROR(__xludf.DUMMYFUNCTION("""COMPUTED_VALUE"""),"56118")</f>
        <v>56118</v>
      </c>
      <c r="B4587" s="64">
        <f>IFERROR(__xludf.DUMMYFUNCTION("""COMPUTED_VALUE"""),44623.0)</f>
        <v>44623</v>
      </c>
      <c r="C4587" s="5"/>
      <c r="D4587" s="5"/>
      <c r="E4587" s="5"/>
      <c r="F4587" s="22">
        <f>IFERROR(__xludf.DUMMYFUNCTION("""COMPUTED_VALUE"""),500000.0)</f>
        <v>500000</v>
      </c>
      <c r="G4587" s="22">
        <f>IFERROR(__xludf.DUMMYFUNCTION("""COMPUTED_VALUE"""),0.0)</f>
        <v>0</v>
      </c>
      <c r="H4587" s="22">
        <f>IFERROR(__xludf.DUMMYFUNCTION("""COMPUTED_VALUE"""),500000.0)</f>
        <v>500000</v>
      </c>
      <c r="I4587" s="24">
        <f>IFERROR(__xludf.DUMMYFUNCTION("""COMPUTED_VALUE"""),0.0)</f>
        <v>0</v>
      </c>
    </row>
    <row r="4588">
      <c r="A4588" s="5" t="str">
        <f>IFERROR(__xludf.DUMMYFUNCTION("""COMPUTED_VALUE"""),"56118")</f>
        <v>56118</v>
      </c>
      <c r="B4588" s="64">
        <f>IFERROR(__xludf.DUMMYFUNCTION("""COMPUTED_VALUE"""),44624.0)</f>
        <v>44624</v>
      </c>
      <c r="C4588" s="5"/>
      <c r="D4588" s="5"/>
      <c r="E4588" s="5"/>
      <c r="F4588" s="22">
        <f>IFERROR(__xludf.DUMMYFUNCTION("""COMPUTED_VALUE"""),500000.0)</f>
        <v>500000</v>
      </c>
      <c r="G4588" s="22">
        <f>IFERROR(__xludf.DUMMYFUNCTION("""COMPUTED_VALUE"""),0.0)</f>
        <v>0</v>
      </c>
      <c r="H4588" s="22">
        <f>IFERROR(__xludf.DUMMYFUNCTION("""COMPUTED_VALUE"""),500000.0)</f>
        <v>500000</v>
      </c>
      <c r="I4588" s="24">
        <f>IFERROR(__xludf.DUMMYFUNCTION("""COMPUTED_VALUE"""),0.0)</f>
        <v>0</v>
      </c>
    </row>
    <row r="4589">
      <c r="A4589" s="5" t="str">
        <f>IFERROR(__xludf.DUMMYFUNCTION("""COMPUTED_VALUE"""),"56118")</f>
        <v>56118</v>
      </c>
      <c r="B4589" s="64">
        <f>IFERROR(__xludf.DUMMYFUNCTION("""COMPUTED_VALUE"""),44625.0)</f>
        <v>44625</v>
      </c>
      <c r="C4589" s="5"/>
      <c r="D4589" s="5"/>
      <c r="E4589" s="5"/>
      <c r="F4589" s="22">
        <f>IFERROR(__xludf.DUMMYFUNCTION("""COMPUTED_VALUE"""),500000.0)</f>
        <v>500000</v>
      </c>
      <c r="G4589" s="22">
        <f>IFERROR(__xludf.DUMMYFUNCTION("""COMPUTED_VALUE"""),0.0)</f>
        <v>0</v>
      </c>
      <c r="H4589" s="22">
        <f>IFERROR(__xludf.DUMMYFUNCTION("""COMPUTED_VALUE"""),500000.0)</f>
        <v>500000</v>
      </c>
      <c r="I4589" s="24">
        <f>IFERROR(__xludf.DUMMYFUNCTION("""COMPUTED_VALUE"""),0.0)</f>
        <v>0</v>
      </c>
    </row>
    <row r="4590">
      <c r="A4590" s="5" t="str">
        <f>IFERROR(__xludf.DUMMYFUNCTION("""COMPUTED_VALUE"""),"56118")</f>
        <v>56118</v>
      </c>
      <c r="B4590" s="64">
        <f>IFERROR(__xludf.DUMMYFUNCTION("""COMPUTED_VALUE"""),44626.0)</f>
        <v>44626</v>
      </c>
      <c r="C4590" s="5"/>
      <c r="D4590" s="5"/>
      <c r="E4590" s="5"/>
      <c r="F4590" s="22">
        <f>IFERROR(__xludf.DUMMYFUNCTION("""COMPUTED_VALUE"""),500000.0)</f>
        <v>500000</v>
      </c>
      <c r="G4590" s="22">
        <f>IFERROR(__xludf.DUMMYFUNCTION("""COMPUTED_VALUE"""),0.0)</f>
        <v>0</v>
      </c>
      <c r="H4590" s="22">
        <f>IFERROR(__xludf.DUMMYFUNCTION("""COMPUTED_VALUE"""),500000.0)</f>
        <v>500000</v>
      </c>
      <c r="I4590" s="24">
        <f>IFERROR(__xludf.DUMMYFUNCTION("""COMPUTED_VALUE"""),0.0)</f>
        <v>0</v>
      </c>
    </row>
    <row r="4591">
      <c r="A4591" s="5" t="str">
        <f>IFERROR(__xludf.DUMMYFUNCTION("""COMPUTED_VALUE"""),"56118")</f>
        <v>56118</v>
      </c>
      <c r="B4591" s="64">
        <f>IFERROR(__xludf.DUMMYFUNCTION("""COMPUTED_VALUE"""),44627.0)</f>
        <v>44627</v>
      </c>
      <c r="C4591" s="5"/>
      <c r="D4591" s="5"/>
      <c r="E4591" s="5"/>
      <c r="F4591" s="22">
        <f>IFERROR(__xludf.DUMMYFUNCTION("""COMPUTED_VALUE"""),500000.0)</f>
        <v>500000</v>
      </c>
      <c r="G4591" s="22">
        <f>IFERROR(__xludf.DUMMYFUNCTION("""COMPUTED_VALUE"""),0.0)</f>
        <v>0</v>
      </c>
      <c r="H4591" s="22">
        <f>IFERROR(__xludf.DUMMYFUNCTION("""COMPUTED_VALUE"""),500000.0)</f>
        <v>500000</v>
      </c>
      <c r="I4591" s="24">
        <f>IFERROR(__xludf.DUMMYFUNCTION("""COMPUTED_VALUE"""),0.0)</f>
        <v>0</v>
      </c>
    </row>
    <row r="4592">
      <c r="A4592" s="5" t="str">
        <f>IFERROR(__xludf.DUMMYFUNCTION("""COMPUTED_VALUE"""),"56118")</f>
        <v>56118</v>
      </c>
      <c r="B4592" s="64">
        <f>IFERROR(__xludf.DUMMYFUNCTION("""COMPUTED_VALUE"""),44628.0)</f>
        <v>44628</v>
      </c>
      <c r="C4592" s="5"/>
      <c r="D4592" s="5"/>
      <c r="E4592" s="5"/>
      <c r="F4592" s="22">
        <f>IFERROR(__xludf.DUMMYFUNCTION("""COMPUTED_VALUE"""),500000.0)</f>
        <v>500000</v>
      </c>
      <c r="G4592" s="22">
        <f>IFERROR(__xludf.DUMMYFUNCTION("""COMPUTED_VALUE"""),0.0)</f>
        <v>0</v>
      </c>
      <c r="H4592" s="22">
        <f>IFERROR(__xludf.DUMMYFUNCTION("""COMPUTED_VALUE"""),500000.0)</f>
        <v>500000</v>
      </c>
      <c r="I4592" s="24">
        <f>IFERROR(__xludf.DUMMYFUNCTION("""COMPUTED_VALUE"""),0.0)</f>
        <v>0</v>
      </c>
    </row>
    <row r="4593">
      <c r="A4593" s="5" t="str">
        <f>IFERROR(__xludf.DUMMYFUNCTION("""COMPUTED_VALUE"""),"56118")</f>
        <v>56118</v>
      </c>
      <c r="B4593" s="64">
        <f>IFERROR(__xludf.DUMMYFUNCTION("""COMPUTED_VALUE"""),44629.0)</f>
        <v>44629</v>
      </c>
      <c r="C4593" s="5"/>
      <c r="D4593" s="5"/>
      <c r="E4593" s="5"/>
      <c r="F4593" s="22">
        <f>IFERROR(__xludf.DUMMYFUNCTION("""COMPUTED_VALUE"""),500000.0)</f>
        <v>500000</v>
      </c>
      <c r="G4593" s="22">
        <f>IFERROR(__xludf.DUMMYFUNCTION("""COMPUTED_VALUE"""),0.0)</f>
        <v>0</v>
      </c>
      <c r="H4593" s="22">
        <f>IFERROR(__xludf.DUMMYFUNCTION("""COMPUTED_VALUE"""),500000.0)</f>
        <v>500000</v>
      </c>
      <c r="I4593" s="24">
        <f>IFERROR(__xludf.DUMMYFUNCTION("""COMPUTED_VALUE"""),0.0)</f>
        <v>0</v>
      </c>
    </row>
    <row r="4594">
      <c r="A4594" s="5" t="str">
        <f>IFERROR(__xludf.DUMMYFUNCTION("""COMPUTED_VALUE"""),"56118")</f>
        <v>56118</v>
      </c>
      <c r="B4594" s="64">
        <f>IFERROR(__xludf.DUMMYFUNCTION("""COMPUTED_VALUE"""),44630.0)</f>
        <v>44630</v>
      </c>
      <c r="C4594" s="5"/>
      <c r="D4594" s="5"/>
      <c r="E4594" s="5"/>
      <c r="F4594" s="22">
        <f>IFERROR(__xludf.DUMMYFUNCTION("""COMPUTED_VALUE"""),500000.0)</f>
        <v>500000</v>
      </c>
      <c r="G4594" s="22">
        <f>IFERROR(__xludf.DUMMYFUNCTION("""COMPUTED_VALUE"""),0.0)</f>
        <v>0</v>
      </c>
      <c r="H4594" s="22">
        <f>IFERROR(__xludf.DUMMYFUNCTION("""COMPUTED_VALUE"""),500000.0)</f>
        <v>500000</v>
      </c>
      <c r="I4594" s="24">
        <f>IFERROR(__xludf.DUMMYFUNCTION("""COMPUTED_VALUE"""),0.0)</f>
        <v>0</v>
      </c>
    </row>
    <row r="4595">
      <c r="A4595" s="5" t="str">
        <f>IFERROR(__xludf.DUMMYFUNCTION("""COMPUTED_VALUE"""),"56118")</f>
        <v>56118</v>
      </c>
      <c r="B4595" s="64">
        <f>IFERROR(__xludf.DUMMYFUNCTION("""COMPUTED_VALUE"""),44631.0)</f>
        <v>44631</v>
      </c>
      <c r="C4595" s="5"/>
      <c r="D4595" s="5"/>
      <c r="E4595" s="5"/>
      <c r="F4595" s="22">
        <f>IFERROR(__xludf.DUMMYFUNCTION("""COMPUTED_VALUE"""),500000.0)</f>
        <v>500000</v>
      </c>
      <c r="G4595" s="22">
        <f>IFERROR(__xludf.DUMMYFUNCTION("""COMPUTED_VALUE"""),0.0)</f>
        <v>0</v>
      </c>
      <c r="H4595" s="22">
        <f>IFERROR(__xludf.DUMMYFUNCTION("""COMPUTED_VALUE"""),500000.0)</f>
        <v>500000</v>
      </c>
      <c r="I4595" s="24">
        <f>IFERROR(__xludf.DUMMYFUNCTION("""COMPUTED_VALUE"""),0.0)</f>
        <v>0</v>
      </c>
    </row>
    <row r="4596">
      <c r="A4596" s="5" t="str">
        <f>IFERROR(__xludf.DUMMYFUNCTION("""COMPUTED_VALUE"""),"56118")</f>
        <v>56118</v>
      </c>
      <c r="B4596" s="64">
        <f>IFERROR(__xludf.DUMMYFUNCTION("""COMPUTED_VALUE"""),44632.0)</f>
        <v>44632</v>
      </c>
      <c r="C4596" s="5"/>
      <c r="D4596" s="5"/>
      <c r="E4596" s="5"/>
      <c r="F4596" s="22">
        <f>IFERROR(__xludf.DUMMYFUNCTION("""COMPUTED_VALUE"""),500000.0)</f>
        <v>500000</v>
      </c>
      <c r="G4596" s="22">
        <f>IFERROR(__xludf.DUMMYFUNCTION("""COMPUTED_VALUE"""),0.0)</f>
        <v>0</v>
      </c>
      <c r="H4596" s="22">
        <f>IFERROR(__xludf.DUMMYFUNCTION("""COMPUTED_VALUE"""),500000.0)</f>
        <v>500000</v>
      </c>
      <c r="I4596" s="24">
        <f>IFERROR(__xludf.DUMMYFUNCTION("""COMPUTED_VALUE"""),0.0)</f>
        <v>0</v>
      </c>
    </row>
    <row r="4597">
      <c r="A4597" s="5" t="str">
        <f>IFERROR(__xludf.DUMMYFUNCTION("""COMPUTED_VALUE"""),"56118")</f>
        <v>56118</v>
      </c>
      <c r="B4597" s="64">
        <f>IFERROR(__xludf.DUMMYFUNCTION("""COMPUTED_VALUE"""),44633.0)</f>
        <v>44633</v>
      </c>
      <c r="C4597" s="5"/>
      <c r="D4597" s="5"/>
      <c r="E4597" s="5"/>
      <c r="F4597" s="22">
        <f>IFERROR(__xludf.DUMMYFUNCTION("""COMPUTED_VALUE"""),500000.0)</f>
        <v>500000</v>
      </c>
      <c r="G4597" s="22">
        <f>IFERROR(__xludf.DUMMYFUNCTION("""COMPUTED_VALUE"""),0.0)</f>
        <v>0</v>
      </c>
      <c r="H4597" s="22">
        <f>IFERROR(__xludf.DUMMYFUNCTION("""COMPUTED_VALUE"""),500000.0)</f>
        <v>500000</v>
      </c>
      <c r="I4597" s="24">
        <f>IFERROR(__xludf.DUMMYFUNCTION("""COMPUTED_VALUE"""),0.0)</f>
        <v>0</v>
      </c>
    </row>
    <row r="4598">
      <c r="A4598" s="5" t="str">
        <f>IFERROR(__xludf.DUMMYFUNCTION("""COMPUTED_VALUE"""),"56118")</f>
        <v>56118</v>
      </c>
      <c r="B4598" s="64">
        <f>IFERROR(__xludf.DUMMYFUNCTION("""COMPUTED_VALUE"""),44634.0)</f>
        <v>44634</v>
      </c>
      <c r="C4598" s="5"/>
      <c r="D4598" s="5"/>
      <c r="E4598" s="5"/>
      <c r="F4598" s="22">
        <f>IFERROR(__xludf.DUMMYFUNCTION("""COMPUTED_VALUE"""),500000.0)</f>
        <v>500000</v>
      </c>
      <c r="G4598" s="22">
        <f>IFERROR(__xludf.DUMMYFUNCTION("""COMPUTED_VALUE"""),0.0)</f>
        <v>0</v>
      </c>
      <c r="H4598" s="22">
        <f>IFERROR(__xludf.DUMMYFUNCTION("""COMPUTED_VALUE"""),500000.0)</f>
        <v>500000</v>
      </c>
      <c r="I4598" s="24">
        <f>IFERROR(__xludf.DUMMYFUNCTION("""COMPUTED_VALUE"""),0.0)</f>
        <v>0</v>
      </c>
    </row>
    <row r="4599">
      <c r="A4599" s="5" t="str">
        <f>IFERROR(__xludf.DUMMYFUNCTION("""COMPUTED_VALUE"""),"56118")</f>
        <v>56118</v>
      </c>
      <c r="B4599" s="64">
        <f>IFERROR(__xludf.DUMMYFUNCTION("""COMPUTED_VALUE"""),44635.0)</f>
        <v>44635</v>
      </c>
      <c r="C4599" s="5"/>
      <c r="D4599" s="5"/>
      <c r="E4599" s="5"/>
      <c r="F4599" s="22">
        <f>IFERROR(__xludf.DUMMYFUNCTION("""COMPUTED_VALUE"""),225443.11711999998)</f>
        <v>225443.1171</v>
      </c>
      <c r="G4599" s="22">
        <f>IFERROR(__xludf.DUMMYFUNCTION("""COMPUTED_VALUE"""),0.0)</f>
        <v>0</v>
      </c>
      <c r="H4599" s="22">
        <f>IFERROR(__xludf.DUMMYFUNCTION("""COMPUTED_VALUE"""),500000.0)</f>
        <v>500000</v>
      </c>
      <c r="I4599" s="24">
        <f>IFERROR(__xludf.DUMMYFUNCTION("""COMPUTED_VALUE"""),0.0)</f>
        <v>0</v>
      </c>
    </row>
    <row r="4600">
      <c r="A4600" s="5" t="str">
        <f>IFERROR(__xludf.DUMMYFUNCTION("""COMPUTED_VALUE"""),"56118")</f>
        <v>56118</v>
      </c>
      <c r="B4600" s="64">
        <f>IFERROR(__xludf.DUMMYFUNCTION("""COMPUTED_VALUE"""),44636.0)</f>
        <v>44636</v>
      </c>
      <c r="C4600" s="5"/>
      <c r="D4600" s="5"/>
      <c r="E4600" s="5"/>
      <c r="F4600" s="22">
        <f>IFERROR(__xludf.DUMMYFUNCTION("""COMPUTED_VALUE"""),-179488.63588000002)</f>
        <v>-179488.6359</v>
      </c>
      <c r="G4600" s="22">
        <f>IFERROR(__xludf.DUMMYFUNCTION("""COMPUTED_VALUE"""),179488.63588000002)</f>
        <v>179488.6359</v>
      </c>
      <c r="H4600" s="22">
        <f>IFERROR(__xludf.DUMMYFUNCTION("""COMPUTED_VALUE"""),502500.35637999995)</f>
        <v>502500.3564</v>
      </c>
      <c r="I4600" s="24">
        <f>IFERROR(__xludf.DUMMYFUNCTION("""COMPUTED_VALUE"""),0.005000712759999804)</f>
        <v>0.00500071276</v>
      </c>
    </row>
    <row r="4601">
      <c r="A4601" s="5" t="str">
        <f>IFERROR(__xludf.DUMMYFUNCTION("""COMPUTED_VALUE"""),"56118")</f>
        <v>56118</v>
      </c>
      <c r="B4601" s="64">
        <f>IFERROR(__xludf.DUMMYFUNCTION("""COMPUTED_VALUE"""),44637.0)</f>
        <v>44637</v>
      </c>
      <c r="C4601" s="5"/>
      <c r="D4601" s="5"/>
      <c r="E4601" s="5"/>
      <c r="F4601" s="22">
        <f>IFERROR(__xludf.DUMMYFUNCTION("""COMPUTED_VALUE"""),-193421.27416000003)</f>
        <v>-193421.2742</v>
      </c>
      <c r="G4601" s="22">
        <f>IFERROR(__xludf.DUMMYFUNCTION("""COMPUTED_VALUE"""),193421.27416000003)</f>
        <v>193421.2742</v>
      </c>
      <c r="H4601" s="22">
        <f>IFERROR(__xludf.DUMMYFUNCTION("""COMPUTED_VALUE"""),529962.61413)</f>
        <v>529962.6141</v>
      </c>
      <c r="I4601" s="24">
        <f>IFERROR(__xludf.DUMMYFUNCTION("""COMPUTED_VALUE"""),0.05992522826000002)</f>
        <v>0.05992522826</v>
      </c>
    </row>
    <row r="4602">
      <c r="A4602" s="5" t="str">
        <f>IFERROR(__xludf.DUMMYFUNCTION("""COMPUTED_VALUE"""),"56118")</f>
        <v>56118</v>
      </c>
      <c r="B4602" s="64">
        <f>IFERROR(__xludf.DUMMYFUNCTION("""COMPUTED_VALUE"""),44638.0)</f>
        <v>44638</v>
      </c>
      <c r="C4602" s="5"/>
      <c r="D4602" s="5"/>
      <c r="E4602" s="5"/>
      <c r="F4602" s="22">
        <f>IFERROR(__xludf.DUMMYFUNCTION("""COMPUTED_VALUE"""),-193421.27416000003)</f>
        <v>-193421.2742</v>
      </c>
      <c r="G4602" s="22">
        <f>IFERROR(__xludf.DUMMYFUNCTION("""COMPUTED_VALUE"""),193421.27416000003)</f>
        <v>193421.2742</v>
      </c>
      <c r="H4602" s="22">
        <f>IFERROR(__xludf.DUMMYFUNCTION("""COMPUTED_VALUE"""),525198.92732)</f>
        <v>525198.9273</v>
      </c>
      <c r="I4602" s="24">
        <f>IFERROR(__xludf.DUMMYFUNCTION("""COMPUTED_VALUE"""),0.05039785464000013)</f>
        <v>0.05039785464</v>
      </c>
    </row>
    <row r="4603">
      <c r="A4603" s="5" t="str">
        <f>IFERROR(__xludf.DUMMYFUNCTION("""COMPUTED_VALUE"""),"56118")</f>
        <v>56118</v>
      </c>
      <c r="B4603" s="64">
        <f>IFERROR(__xludf.DUMMYFUNCTION("""COMPUTED_VALUE"""),44639.0)</f>
        <v>44639</v>
      </c>
      <c r="C4603" s="5"/>
      <c r="D4603" s="5"/>
      <c r="E4603" s="5"/>
      <c r="F4603" s="22">
        <f>IFERROR(__xludf.DUMMYFUNCTION("""COMPUTED_VALUE"""),-193421.27416000003)</f>
        <v>-193421.2742</v>
      </c>
      <c r="G4603" s="22">
        <f>IFERROR(__xludf.DUMMYFUNCTION("""COMPUTED_VALUE"""),193421.27416000003)</f>
        <v>193421.2742</v>
      </c>
      <c r="H4603" s="22">
        <f>IFERROR(__xludf.DUMMYFUNCTION("""COMPUTED_VALUE"""),525198.92732)</f>
        <v>525198.9273</v>
      </c>
      <c r="I4603" s="24">
        <f>IFERROR(__xludf.DUMMYFUNCTION("""COMPUTED_VALUE"""),0.05039785464000013)</f>
        <v>0.05039785464</v>
      </c>
    </row>
    <row r="4604">
      <c r="A4604" s="5" t="str">
        <f>IFERROR(__xludf.DUMMYFUNCTION("""COMPUTED_VALUE"""),"56118")</f>
        <v>56118</v>
      </c>
      <c r="B4604" s="64">
        <f>IFERROR(__xludf.DUMMYFUNCTION("""COMPUTED_VALUE"""),44640.0)</f>
        <v>44640</v>
      </c>
      <c r="C4604" s="5"/>
      <c r="D4604" s="5"/>
      <c r="E4604" s="5"/>
      <c r="F4604" s="22">
        <f>IFERROR(__xludf.DUMMYFUNCTION("""COMPUTED_VALUE"""),-193421.27416000003)</f>
        <v>-193421.2742</v>
      </c>
      <c r="G4604" s="22">
        <f>IFERROR(__xludf.DUMMYFUNCTION("""COMPUTED_VALUE"""),193421.27416000003)</f>
        <v>193421.2742</v>
      </c>
      <c r="H4604" s="22">
        <f>IFERROR(__xludf.DUMMYFUNCTION("""COMPUTED_VALUE"""),525198.92732)</f>
        <v>525198.9273</v>
      </c>
      <c r="I4604" s="24">
        <f>IFERROR(__xludf.DUMMYFUNCTION("""COMPUTED_VALUE"""),0.05039785464000013)</f>
        <v>0.05039785464</v>
      </c>
    </row>
    <row r="4605">
      <c r="A4605" s="5" t="str">
        <f>IFERROR(__xludf.DUMMYFUNCTION("""COMPUTED_VALUE"""),"56118")</f>
        <v>56118</v>
      </c>
      <c r="B4605" s="64">
        <f>IFERROR(__xludf.DUMMYFUNCTION("""COMPUTED_VALUE"""),44641.0)</f>
        <v>44641</v>
      </c>
      <c r="C4605" s="5"/>
      <c r="D4605" s="5"/>
      <c r="E4605" s="5"/>
      <c r="F4605" s="22">
        <f>IFERROR(__xludf.DUMMYFUNCTION("""COMPUTED_VALUE"""),-222734.62731500002)</f>
        <v>-222734.6273</v>
      </c>
      <c r="G4605" s="22">
        <f>IFERROR(__xludf.DUMMYFUNCTION("""COMPUTED_VALUE"""),222734.62731500002)</f>
        <v>222734.6273</v>
      </c>
      <c r="H4605" s="22">
        <f>IFERROR(__xludf.DUMMYFUNCTION("""COMPUTED_VALUE"""),525389.5839)</f>
        <v>525389.5839</v>
      </c>
      <c r="I4605" s="24">
        <f>IFERROR(__xludf.DUMMYFUNCTION("""COMPUTED_VALUE"""),0.050779167800000025)</f>
        <v>0.0507791678</v>
      </c>
    </row>
    <row r="4606">
      <c r="A4606" s="5" t="str">
        <f>IFERROR(__xludf.DUMMYFUNCTION("""COMPUTED_VALUE"""),"56118")</f>
        <v>56118</v>
      </c>
      <c r="B4606" s="64">
        <f>IFERROR(__xludf.DUMMYFUNCTION("""COMPUTED_VALUE"""),44642.0)</f>
        <v>44642</v>
      </c>
      <c r="C4606" s="5"/>
      <c r="D4606" s="5"/>
      <c r="E4606" s="5"/>
      <c r="F4606" s="22">
        <f>IFERROR(__xludf.DUMMYFUNCTION("""COMPUTED_VALUE"""),-222734.62731500002)</f>
        <v>-222734.6273</v>
      </c>
      <c r="G4606" s="22">
        <f>IFERROR(__xludf.DUMMYFUNCTION("""COMPUTED_VALUE"""),222734.62731500002)</f>
        <v>222734.6273</v>
      </c>
      <c r="H4606" s="22">
        <f>IFERROR(__xludf.DUMMYFUNCTION("""COMPUTED_VALUE"""),517278.7052849999)</f>
        <v>517278.7053</v>
      </c>
      <c r="I4606" s="24">
        <f>IFERROR(__xludf.DUMMYFUNCTION("""COMPUTED_VALUE"""),0.034557410569999725)</f>
        <v>0.03455741057</v>
      </c>
    </row>
    <row r="4607">
      <c r="A4607" s="5" t="str">
        <f>IFERROR(__xludf.DUMMYFUNCTION("""COMPUTED_VALUE"""),"56118")</f>
        <v>56118</v>
      </c>
      <c r="B4607" s="64">
        <f>IFERROR(__xludf.DUMMYFUNCTION("""COMPUTED_VALUE"""),44643.0)</f>
        <v>44643</v>
      </c>
      <c r="C4607" s="5"/>
      <c r="D4607" s="5"/>
      <c r="E4607" s="5"/>
      <c r="F4607" s="22">
        <f>IFERROR(__xludf.DUMMYFUNCTION("""COMPUTED_VALUE"""),-222734.62731500002)</f>
        <v>-222734.6273</v>
      </c>
      <c r="G4607" s="22">
        <f>IFERROR(__xludf.DUMMYFUNCTION("""COMPUTED_VALUE"""),222734.62731500002)</f>
        <v>222734.6273</v>
      </c>
      <c r="H4607" s="22">
        <f>IFERROR(__xludf.DUMMYFUNCTION("""COMPUTED_VALUE"""),513421.6743499999)</f>
        <v>513421.6744</v>
      </c>
      <c r="I4607" s="24">
        <f>IFERROR(__xludf.DUMMYFUNCTION("""COMPUTED_VALUE"""),0.026843348699999936)</f>
        <v>0.0268433487</v>
      </c>
    </row>
    <row r="4608">
      <c r="A4608" s="5" t="str">
        <f>IFERROR(__xludf.DUMMYFUNCTION("""COMPUTED_VALUE"""),"56118")</f>
        <v>56118</v>
      </c>
      <c r="B4608" s="64">
        <f>IFERROR(__xludf.DUMMYFUNCTION("""COMPUTED_VALUE"""),44644.0)</f>
        <v>44644</v>
      </c>
      <c r="C4608" s="5"/>
      <c r="D4608" s="5"/>
      <c r="E4608" s="5"/>
      <c r="F4608" s="22">
        <f>IFERROR(__xludf.DUMMYFUNCTION("""COMPUTED_VALUE"""),-222734.62731500002)</f>
        <v>-222734.6273</v>
      </c>
      <c r="G4608" s="22">
        <f>IFERROR(__xludf.DUMMYFUNCTION("""COMPUTED_VALUE"""),222734.62731500002)</f>
        <v>222734.6273</v>
      </c>
      <c r="H4608" s="22">
        <f>IFERROR(__xludf.DUMMYFUNCTION("""COMPUTED_VALUE"""),515803.15004)</f>
        <v>515803.15</v>
      </c>
      <c r="I4608" s="24">
        <f>IFERROR(__xludf.DUMMYFUNCTION("""COMPUTED_VALUE"""),0.03160630007999998)</f>
        <v>0.03160630008</v>
      </c>
    </row>
    <row r="4609">
      <c r="A4609" s="5" t="str">
        <f>IFERROR(__xludf.DUMMYFUNCTION("""COMPUTED_VALUE"""),"56118")</f>
        <v>56118</v>
      </c>
      <c r="B4609" s="64">
        <f>IFERROR(__xludf.DUMMYFUNCTION("""COMPUTED_VALUE"""),44645.0)</f>
        <v>44645</v>
      </c>
      <c r="C4609" s="5"/>
      <c r="D4609" s="5"/>
      <c r="E4609" s="5"/>
      <c r="F4609" s="22">
        <f>IFERROR(__xludf.DUMMYFUNCTION("""COMPUTED_VALUE"""),-222734.62731500002)</f>
        <v>-222734.6273</v>
      </c>
      <c r="G4609" s="22">
        <f>IFERROR(__xludf.DUMMYFUNCTION("""COMPUTED_VALUE"""),222734.62731500002)</f>
        <v>222734.6273</v>
      </c>
      <c r="H4609" s="22">
        <f>IFERROR(__xludf.DUMMYFUNCTION("""COMPUTED_VALUE"""),517424.92139)</f>
        <v>517424.9214</v>
      </c>
      <c r="I4609" s="24">
        <f>IFERROR(__xludf.DUMMYFUNCTION("""COMPUTED_VALUE"""),0.03484984277999992)</f>
        <v>0.03484984278</v>
      </c>
    </row>
    <row r="4610">
      <c r="A4610" s="5" t="str">
        <f>IFERROR(__xludf.DUMMYFUNCTION("""COMPUTED_VALUE"""),"56118")</f>
        <v>56118</v>
      </c>
      <c r="B4610" s="64">
        <f>IFERROR(__xludf.DUMMYFUNCTION("""COMPUTED_VALUE"""),44646.0)</f>
        <v>44646</v>
      </c>
      <c r="C4610" s="5"/>
      <c r="D4610" s="5"/>
      <c r="E4610" s="5"/>
      <c r="F4610" s="22">
        <f>IFERROR(__xludf.DUMMYFUNCTION("""COMPUTED_VALUE"""),-222734.62731500002)</f>
        <v>-222734.6273</v>
      </c>
      <c r="G4610" s="22">
        <f>IFERROR(__xludf.DUMMYFUNCTION("""COMPUTED_VALUE"""),222734.62731500002)</f>
        <v>222734.6273</v>
      </c>
      <c r="H4610" s="22">
        <f>IFERROR(__xludf.DUMMYFUNCTION("""COMPUTED_VALUE"""),517424.92139)</f>
        <v>517424.9214</v>
      </c>
      <c r="I4610" s="24">
        <f>IFERROR(__xludf.DUMMYFUNCTION("""COMPUTED_VALUE"""),0.03484984277999992)</f>
        <v>0.03484984278</v>
      </c>
    </row>
    <row r="4611">
      <c r="A4611" s="5" t="str">
        <f>IFERROR(__xludf.DUMMYFUNCTION("""COMPUTED_VALUE"""),"56118")</f>
        <v>56118</v>
      </c>
      <c r="B4611" s="64">
        <f>IFERROR(__xludf.DUMMYFUNCTION("""COMPUTED_VALUE"""),44647.0)</f>
        <v>44647</v>
      </c>
      <c r="C4611" s="5"/>
      <c r="D4611" s="5"/>
      <c r="E4611" s="5"/>
      <c r="F4611" s="22">
        <f>IFERROR(__xludf.DUMMYFUNCTION("""COMPUTED_VALUE"""),-222734.62731500002)</f>
        <v>-222734.6273</v>
      </c>
      <c r="G4611" s="22">
        <f>IFERROR(__xludf.DUMMYFUNCTION("""COMPUTED_VALUE"""),222734.62731500002)</f>
        <v>222734.6273</v>
      </c>
      <c r="H4611" s="22">
        <f>IFERROR(__xludf.DUMMYFUNCTION("""COMPUTED_VALUE"""),517424.92139)</f>
        <v>517424.9214</v>
      </c>
      <c r="I4611" s="24">
        <f>IFERROR(__xludf.DUMMYFUNCTION("""COMPUTED_VALUE"""),0.03484984277999992)</f>
        <v>0.03484984278</v>
      </c>
    </row>
    <row r="4612">
      <c r="A4612" s="5" t="str">
        <f>IFERROR(__xludf.DUMMYFUNCTION("""COMPUTED_VALUE"""),"56118")</f>
        <v>56118</v>
      </c>
      <c r="B4612" s="64">
        <f>IFERROR(__xludf.DUMMYFUNCTION("""COMPUTED_VALUE"""),44648.0)</f>
        <v>44648</v>
      </c>
      <c r="C4612" s="5"/>
      <c r="D4612" s="5"/>
      <c r="E4612" s="5"/>
      <c r="F4612" s="22">
        <f>IFERROR(__xludf.DUMMYFUNCTION("""COMPUTED_VALUE"""),-222734.62731500002)</f>
        <v>-222734.6273</v>
      </c>
      <c r="G4612" s="22">
        <f>IFERROR(__xludf.DUMMYFUNCTION("""COMPUTED_VALUE"""),222734.62731500002)</f>
        <v>222734.6273</v>
      </c>
      <c r="H4612" s="22">
        <f>IFERROR(__xludf.DUMMYFUNCTION("""COMPUTED_VALUE"""),516076.49188)</f>
        <v>516076.4919</v>
      </c>
      <c r="I4612" s="24">
        <f>IFERROR(__xludf.DUMMYFUNCTION("""COMPUTED_VALUE"""),0.032152983759999865)</f>
        <v>0.03215298376</v>
      </c>
    </row>
    <row r="4613">
      <c r="A4613" s="5" t="str">
        <f>IFERROR(__xludf.DUMMYFUNCTION("""COMPUTED_VALUE"""),"56118")</f>
        <v>56118</v>
      </c>
      <c r="B4613" s="64">
        <f>IFERROR(__xludf.DUMMYFUNCTION("""COMPUTED_VALUE"""),44649.0)</f>
        <v>44649</v>
      </c>
      <c r="C4613" s="5"/>
      <c r="D4613" s="5"/>
      <c r="E4613" s="5"/>
      <c r="F4613" s="22">
        <f>IFERROR(__xludf.DUMMYFUNCTION("""COMPUTED_VALUE"""),-222734.62731500002)</f>
        <v>-222734.6273</v>
      </c>
      <c r="G4613" s="22">
        <f>IFERROR(__xludf.DUMMYFUNCTION("""COMPUTED_VALUE"""),222734.62731500002)</f>
        <v>222734.6273</v>
      </c>
      <c r="H4613" s="22">
        <f>IFERROR(__xludf.DUMMYFUNCTION("""COMPUTED_VALUE"""),514284.69949499995)</f>
        <v>514284.6995</v>
      </c>
      <c r="I4613" s="24">
        <f>IFERROR(__xludf.DUMMYFUNCTION("""COMPUTED_VALUE"""),0.028569398989999994)</f>
        <v>0.02856939899</v>
      </c>
    </row>
    <row r="4614">
      <c r="A4614" s="5" t="str">
        <f>IFERROR(__xludf.DUMMYFUNCTION("""COMPUTED_VALUE"""),"56118")</f>
        <v>56118</v>
      </c>
      <c r="B4614" s="64">
        <f>IFERROR(__xludf.DUMMYFUNCTION("""COMPUTED_VALUE"""),44650.0)</f>
        <v>44650</v>
      </c>
      <c r="C4614" s="5"/>
      <c r="D4614" s="5"/>
      <c r="E4614" s="5"/>
      <c r="F4614" s="22">
        <f>IFERROR(__xludf.DUMMYFUNCTION("""COMPUTED_VALUE"""),-222734.62731500002)</f>
        <v>-222734.6273</v>
      </c>
      <c r="G4614" s="22">
        <f>IFERROR(__xludf.DUMMYFUNCTION("""COMPUTED_VALUE"""),222734.62731500002)</f>
        <v>222734.6273</v>
      </c>
      <c r="H4614" s="22">
        <f>IFERROR(__xludf.DUMMYFUNCTION("""COMPUTED_VALUE"""),517549.33245999995)</f>
        <v>517549.3325</v>
      </c>
      <c r="I4614" s="24">
        <f>IFERROR(__xludf.DUMMYFUNCTION("""COMPUTED_VALUE"""),0.0350986649199998)</f>
        <v>0.03509866492</v>
      </c>
    </row>
    <row r="4615">
      <c r="A4615" s="5" t="str">
        <f>IFERROR(__xludf.DUMMYFUNCTION("""COMPUTED_VALUE"""),"56118")</f>
        <v>56118</v>
      </c>
      <c r="B4615" s="64">
        <f>IFERROR(__xludf.DUMMYFUNCTION("""COMPUTED_VALUE"""),44651.0)</f>
        <v>44651</v>
      </c>
      <c r="C4615" s="5"/>
      <c r="D4615" s="5"/>
      <c r="E4615" s="5"/>
      <c r="F4615" s="22">
        <f>IFERROR(__xludf.DUMMYFUNCTION("""COMPUTED_VALUE"""),-222734.62731500002)</f>
        <v>-222734.6273</v>
      </c>
      <c r="G4615" s="22">
        <f>IFERROR(__xludf.DUMMYFUNCTION("""COMPUTED_VALUE"""),222734.62731500002)</f>
        <v>222734.6273</v>
      </c>
      <c r="H4615" s="22">
        <f>IFERROR(__xludf.DUMMYFUNCTION("""COMPUTED_VALUE"""),509268.50594)</f>
        <v>509268.5059</v>
      </c>
      <c r="I4615" s="24">
        <f>IFERROR(__xludf.DUMMYFUNCTION("""COMPUTED_VALUE"""),0.0185370118799999)</f>
        <v>0.01853701188</v>
      </c>
    </row>
    <row r="4616">
      <c r="A4616" s="5" t="str">
        <f>IFERROR(__xludf.DUMMYFUNCTION("""COMPUTED_VALUE"""),"56118")</f>
        <v>56118</v>
      </c>
      <c r="B4616" s="64">
        <f>IFERROR(__xludf.DUMMYFUNCTION("""COMPUTED_VALUE"""),44652.0)</f>
        <v>44652</v>
      </c>
      <c r="C4616" s="5"/>
      <c r="D4616" s="5"/>
      <c r="E4616" s="5"/>
      <c r="F4616" s="22">
        <f>IFERROR(__xludf.DUMMYFUNCTION("""COMPUTED_VALUE"""),-222734.62731500002)</f>
        <v>-222734.6273</v>
      </c>
      <c r="G4616" s="22">
        <f>IFERROR(__xludf.DUMMYFUNCTION("""COMPUTED_VALUE"""),222734.62731500002)</f>
        <v>222734.6273</v>
      </c>
      <c r="H4616" s="22">
        <f>IFERROR(__xludf.DUMMYFUNCTION("""COMPUTED_VALUE"""),507428.60334)</f>
        <v>507428.6033</v>
      </c>
      <c r="I4616" s="24">
        <f>IFERROR(__xludf.DUMMYFUNCTION("""COMPUTED_VALUE"""),0.014857206679999901)</f>
        <v>0.01485720668</v>
      </c>
    </row>
    <row r="4617">
      <c r="A4617" s="5" t="str">
        <f>IFERROR(__xludf.DUMMYFUNCTION("""COMPUTED_VALUE"""),"56118")</f>
        <v>56118</v>
      </c>
      <c r="B4617" s="64">
        <f>IFERROR(__xludf.DUMMYFUNCTION("""COMPUTED_VALUE"""),44653.0)</f>
        <v>44653</v>
      </c>
      <c r="C4617" s="5"/>
      <c r="D4617" s="5"/>
      <c r="E4617" s="5"/>
      <c r="F4617" s="22">
        <f>IFERROR(__xludf.DUMMYFUNCTION("""COMPUTED_VALUE"""),-222734.62731500002)</f>
        <v>-222734.6273</v>
      </c>
      <c r="G4617" s="22">
        <f>IFERROR(__xludf.DUMMYFUNCTION("""COMPUTED_VALUE"""),222734.62731500002)</f>
        <v>222734.6273</v>
      </c>
      <c r="H4617" s="22">
        <f>IFERROR(__xludf.DUMMYFUNCTION("""COMPUTED_VALUE"""),507428.60334)</f>
        <v>507428.6033</v>
      </c>
      <c r="I4617" s="24">
        <f>IFERROR(__xludf.DUMMYFUNCTION("""COMPUTED_VALUE"""),0.014857206679999901)</f>
        <v>0.01485720668</v>
      </c>
    </row>
    <row r="4618">
      <c r="A4618" s="5" t="str">
        <f>IFERROR(__xludf.DUMMYFUNCTION("""COMPUTED_VALUE"""),"56118")</f>
        <v>56118</v>
      </c>
      <c r="B4618" s="64">
        <f>IFERROR(__xludf.DUMMYFUNCTION("""COMPUTED_VALUE"""),44654.0)</f>
        <v>44654</v>
      </c>
      <c r="C4618" s="5"/>
      <c r="D4618" s="5"/>
      <c r="E4618" s="5"/>
      <c r="F4618" s="22">
        <f>IFERROR(__xludf.DUMMYFUNCTION("""COMPUTED_VALUE"""),-222734.62731500002)</f>
        <v>-222734.6273</v>
      </c>
      <c r="G4618" s="22">
        <f>IFERROR(__xludf.DUMMYFUNCTION("""COMPUTED_VALUE"""),222734.62731500002)</f>
        <v>222734.6273</v>
      </c>
      <c r="H4618" s="22">
        <f>IFERROR(__xludf.DUMMYFUNCTION("""COMPUTED_VALUE"""),507428.60334)</f>
        <v>507428.6033</v>
      </c>
      <c r="I4618" s="24">
        <f>IFERROR(__xludf.DUMMYFUNCTION("""COMPUTED_VALUE"""),0.014857206679999901)</f>
        <v>0.01485720668</v>
      </c>
    </row>
    <row r="4619">
      <c r="A4619" s="5" t="str">
        <f>IFERROR(__xludf.DUMMYFUNCTION("""COMPUTED_VALUE"""),"56118")</f>
        <v>56118</v>
      </c>
      <c r="B4619" s="64">
        <f>IFERROR(__xludf.DUMMYFUNCTION("""COMPUTED_VALUE"""),44655.0)</f>
        <v>44655</v>
      </c>
      <c r="C4619" s="5"/>
      <c r="D4619" s="5"/>
      <c r="E4619" s="5"/>
      <c r="F4619" s="22">
        <f>IFERROR(__xludf.DUMMYFUNCTION("""COMPUTED_VALUE"""),-222734.62731500002)</f>
        <v>-222734.6273</v>
      </c>
      <c r="G4619" s="22">
        <f>IFERROR(__xludf.DUMMYFUNCTION("""COMPUTED_VALUE"""),222734.62731500002)</f>
        <v>222734.6273</v>
      </c>
      <c r="H4619" s="22">
        <f>IFERROR(__xludf.DUMMYFUNCTION("""COMPUTED_VALUE"""),508598.5418949999)</f>
        <v>508598.5419</v>
      </c>
      <c r="I4619" s="24">
        <f>IFERROR(__xludf.DUMMYFUNCTION("""COMPUTED_VALUE"""),0.017197083789999734)</f>
        <v>0.01719708379</v>
      </c>
    </row>
    <row r="4620">
      <c r="A4620" s="5" t="str">
        <f>IFERROR(__xludf.DUMMYFUNCTION("""COMPUTED_VALUE"""),"56118")</f>
        <v>56118</v>
      </c>
      <c r="B4620" s="64">
        <f>IFERROR(__xludf.DUMMYFUNCTION("""COMPUTED_VALUE"""),44656.0)</f>
        <v>44656</v>
      </c>
      <c r="C4620" s="5"/>
      <c r="D4620" s="5"/>
      <c r="E4620" s="5"/>
      <c r="F4620" s="22">
        <f>IFERROR(__xludf.DUMMYFUNCTION("""COMPUTED_VALUE"""),-222734.62731500002)</f>
        <v>-222734.6273</v>
      </c>
      <c r="G4620" s="22">
        <f>IFERROR(__xludf.DUMMYFUNCTION("""COMPUTED_VALUE"""),222734.62731500002)</f>
        <v>222734.6273</v>
      </c>
      <c r="H4620" s="22">
        <f>IFERROR(__xludf.DUMMYFUNCTION("""COMPUTED_VALUE"""),509041.16502)</f>
        <v>509041.165</v>
      </c>
      <c r="I4620" s="24">
        <f>IFERROR(__xludf.DUMMYFUNCTION("""COMPUTED_VALUE"""),0.018082330039999928)</f>
        <v>0.01808233004</v>
      </c>
    </row>
    <row r="4621">
      <c r="A4621" s="5" t="str">
        <f>IFERROR(__xludf.DUMMYFUNCTION("""COMPUTED_VALUE"""),"56118")</f>
        <v>56118</v>
      </c>
      <c r="B4621" s="64">
        <f>IFERROR(__xludf.DUMMYFUNCTION("""COMPUTED_VALUE"""),44657.0)</f>
        <v>44657</v>
      </c>
      <c r="C4621" s="5"/>
      <c r="D4621" s="5"/>
      <c r="E4621" s="5"/>
      <c r="F4621" s="22">
        <f>IFERROR(__xludf.DUMMYFUNCTION("""COMPUTED_VALUE"""),-222734.62731500002)</f>
        <v>-222734.6273</v>
      </c>
      <c r="G4621" s="22">
        <f>IFERROR(__xludf.DUMMYFUNCTION("""COMPUTED_VALUE"""),222734.62731500002)</f>
        <v>222734.6273</v>
      </c>
      <c r="H4621" s="22">
        <f>IFERROR(__xludf.DUMMYFUNCTION("""COMPUTED_VALUE"""),518292.12266)</f>
        <v>518292.1227</v>
      </c>
      <c r="I4621" s="24">
        <f>IFERROR(__xludf.DUMMYFUNCTION("""COMPUTED_VALUE"""),0.03658424532000004)</f>
        <v>0.03658424532</v>
      </c>
    </row>
    <row r="4622">
      <c r="A4622" s="5" t="str">
        <f>IFERROR(__xludf.DUMMYFUNCTION("""COMPUTED_VALUE"""),"56118")</f>
        <v>56118</v>
      </c>
      <c r="B4622" s="64">
        <f>IFERROR(__xludf.DUMMYFUNCTION("""COMPUTED_VALUE"""),44658.0)</f>
        <v>44658</v>
      </c>
      <c r="C4622" s="5"/>
      <c r="D4622" s="5"/>
      <c r="E4622" s="5"/>
      <c r="F4622" s="22">
        <f>IFERROR(__xludf.DUMMYFUNCTION("""COMPUTED_VALUE"""),-222734.62731500002)</f>
        <v>-222734.6273</v>
      </c>
      <c r="G4622" s="22">
        <f>IFERROR(__xludf.DUMMYFUNCTION("""COMPUTED_VALUE"""),222734.62731500002)</f>
        <v>222734.6273</v>
      </c>
      <c r="H4622" s="22">
        <f>IFERROR(__xludf.DUMMYFUNCTION("""COMPUTED_VALUE"""),533817.553785)</f>
        <v>533817.5538</v>
      </c>
      <c r="I4622" s="24">
        <f>IFERROR(__xludf.DUMMYFUNCTION("""COMPUTED_VALUE"""),0.06763510756999991)</f>
        <v>0.06763510757</v>
      </c>
    </row>
    <row r="4623">
      <c r="A4623" s="5" t="str">
        <f>IFERROR(__xludf.DUMMYFUNCTION("""COMPUTED_VALUE"""),"56118")</f>
        <v>56118</v>
      </c>
      <c r="B4623" s="64">
        <f>IFERROR(__xludf.DUMMYFUNCTION("""COMPUTED_VALUE"""),44659.0)</f>
        <v>44659</v>
      </c>
      <c r="C4623" s="5"/>
      <c r="D4623" s="5"/>
      <c r="E4623" s="5"/>
      <c r="F4623" s="22">
        <f>IFERROR(__xludf.DUMMYFUNCTION("""COMPUTED_VALUE"""),-222734.62731500002)</f>
        <v>-222734.6273</v>
      </c>
      <c r="G4623" s="22">
        <f>IFERROR(__xludf.DUMMYFUNCTION("""COMPUTED_VALUE"""),222734.62731500002)</f>
        <v>222734.6273</v>
      </c>
      <c r="H4623" s="22">
        <f>IFERROR(__xludf.DUMMYFUNCTION("""COMPUTED_VALUE"""),540935.0592049999)</f>
        <v>540935.0592</v>
      </c>
      <c r="I4623" s="24">
        <f>IFERROR(__xludf.DUMMYFUNCTION("""COMPUTED_VALUE"""),0.08187011840999991)</f>
        <v>0.08187011841</v>
      </c>
    </row>
    <row r="4624">
      <c r="A4624" s="5" t="str">
        <f>IFERROR(__xludf.DUMMYFUNCTION("""COMPUTED_VALUE"""),"56118")</f>
        <v>56118</v>
      </c>
      <c r="B4624" s="64">
        <f>IFERROR(__xludf.DUMMYFUNCTION("""COMPUTED_VALUE"""),44660.0)</f>
        <v>44660</v>
      </c>
      <c r="C4624" s="5"/>
      <c r="D4624" s="5"/>
      <c r="E4624" s="5"/>
      <c r="F4624" s="22">
        <f>IFERROR(__xludf.DUMMYFUNCTION("""COMPUTED_VALUE"""),-222734.62731500002)</f>
        <v>-222734.6273</v>
      </c>
      <c r="G4624" s="22">
        <f>IFERROR(__xludf.DUMMYFUNCTION("""COMPUTED_VALUE"""),222734.62731500002)</f>
        <v>222734.6273</v>
      </c>
      <c r="H4624" s="22">
        <f>IFERROR(__xludf.DUMMYFUNCTION("""COMPUTED_VALUE"""),540935.0592049999)</f>
        <v>540935.0592</v>
      </c>
      <c r="I4624" s="24">
        <f>IFERROR(__xludf.DUMMYFUNCTION("""COMPUTED_VALUE"""),0.08187011840999991)</f>
        <v>0.08187011841</v>
      </c>
    </row>
    <row r="4625">
      <c r="A4625" s="5" t="str">
        <f>IFERROR(__xludf.DUMMYFUNCTION("""COMPUTED_VALUE"""),"56118")</f>
        <v>56118</v>
      </c>
      <c r="B4625" s="64">
        <f>IFERROR(__xludf.DUMMYFUNCTION("""COMPUTED_VALUE"""),44661.0)</f>
        <v>44661</v>
      </c>
      <c r="C4625" s="5"/>
      <c r="D4625" s="5"/>
      <c r="E4625" s="5"/>
      <c r="F4625" s="22">
        <f>IFERROR(__xludf.DUMMYFUNCTION("""COMPUTED_VALUE"""),-222734.62731500002)</f>
        <v>-222734.6273</v>
      </c>
      <c r="G4625" s="22">
        <f>IFERROR(__xludf.DUMMYFUNCTION("""COMPUTED_VALUE"""),222734.62731500002)</f>
        <v>222734.6273</v>
      </c>
      <c r="H4625" s="22">
        <f>IFERROR(__xludf.DUMMYFUNCTION("""COMPUTED_VALUE"""),540935.0592049999)</f>
        <v>540935.0592</v>
      </c>
      <c r="I4625" s="24">
        <f>IFERROR(__xludf.DUMMYFUNCTION("""COMPUTED_VALUE"""),0.08187011840999991)</f>
        <v>0.08187011841</v>
      </c>
    </row>
    <row r="4626">
      <c r="A4626" s="5" t="str">
        <f>IFERROR(__xludf.DUMMYFUNCTION("""COMPUTED_VALUE"""),"56118")</f>
        <v>56118</v>
      </c>
      <c r="B4626" s="64">
        <f>IFERROR(__xludf.DUMMYFUNCTION("""COMPUTED_VALUE"""),44662.0)</f>
        <v>44662</v>
      </c>
      <c r="C4626" s="5"/>
      <c r="D4626" s="5"/>
      <c r="E4626" s="5"/>
      <c r="F4626" s="22">
        <f>IFERROR(__xludf.DUMMYFUNCTION("""COMPUTED_VALUE"""),-222734.62731500002)</f>
        <v>-222734.6273</v>
      </c>
      <c r="G4626" s="22">
        <f>IFERROR(__xludf.DUMMYFUNCTION("""COMPUTED_VALUE"""),222734.62731500002)</f>
        <v>222734.6273</v>
      </c>
      <c r="H4626" s="22">
        <f>IFERROR(__xludf.DUMMYFUNCTION("""COMPUTED_VALUE"""),523382.489445)</f>
        <v>523382.4894</v>
      </c>
      <c r="I4626" s="24">
        <f>IFERROR(__xludf.DUMMYFUNCTION("""COMPUTED_VALUE"""),0.046764978889999975)</f>
        <v>0.04676497889</v>
      </c>
    </row>
    <row r="4627">
      <c r="A4627" s="5" t="str">
        <f>IFERROR(__xludf.DUMMYFUNCTION("""COMPUTED_VALUE"""),"56118")</f>
        <v>56118</v>
      </c>
      <c r="B4627" s="64">
        <f>IFERROR(__xludf.DUMMYFUNCTION("""COMPUTED_VALUE"""),44663.0)</f>
        <v>44663</v>
      </c>
      <c r="C4627" s="5"/>
      <c r="D4627" s="5"/>
      <c r="E4627" s="5"/>
      <c r="F4627" s="22">
        <f>IFERROR(__xludf.DUMMYFUNCTION("""COMPUTED_VALUE"""),-222734.62731500002)</f>
        <v>-222734.6273</v>
      </c>
      <c r="G4627" s="22">
        <f>IFERROR(__xludf.DUMMYFUNCTION("""COMPUTED_VALUE"""),222734.62731500002)</f>
        <v>222734.6273</v>
      </c>
      <c r="H4627" s="22">
        <f>IFERROR(__xludf.DUMMYFUNCTION("""COMPUTED_VALUE"""),514286.630975)</f>
        <v>514286.631</v>
      </c>
      <c r="I4627" s="24">
        <f>IFERROR(__xludf.DUMMYFUNCTION("""COMPUTED_VALUE"""),0.028573261949999873)</f>
        <v>0.02857326195</v>
      </c>
    </row>
    <row r="4628">
      <c r="A4628" s="5" t="str">
        <f>IFERROR(__xludf.DUMMYFUNCTION("""COMPUTED_VALUE"""),"69930")</f>
        <v>69930</v>
      </c>
      <c r="B4628" s="64">
        <f>IFERROR(__xludf.DUMMYFUNCTION("""COMPUTED_VALUE"""),44597.0)</f>
        <v>44597</v>
      </c>
      <c r="C4628" s="5"/>
      <c r="D4628" s="5"/>
      <c r="E4628" s="5"/>
      <c r="F4628" s="22">
        <f>IFERROR(__xludf.DUMMYFUNCTION("""COMPUTED_VALUE"""),500000.0)</f>
        <v>500000</v>
      </c>
      <c r="G4628" s="22">
        <f>IFERROR(__xludf.DUMMYFUNCTION("""COMPUTED_VALUE"""),0.0)</f>
        <v>0</v>
      </c>
      <c r="H4628" s="22">
        <f>IFERROR(__xludf.DUMMYFUNCTION("""COMPUTED_VALUE"""),500000.0)</f>
        <v>500000</v>
      </c>
      <c r="I4628" s="24">
        <f>IFERROR(__xludf.DUMMYFUNCTION("""COMPUTED_VALUE"""),0.0)</f>
        <v>0</v>
      </c>
    </row>
    <row r="4629">
      <c r="A4629" s="5" t="str">
        <f>IFERROR(__xludf.DUMMYFUNCTION("""COMPUTED_VALUE"""),"69930")</f>
        <v>69930</v>
      </c>
      <c r="B4629" s="64">
        <f>IFERROR(__xludf.DUMMYFUNCTION("""COMPUTED_VALUE"""),44598.0)</f>
        <v>44598</v>
      </c>
      <c r="C4629" s="5"/>
      <c r="D4629" s="5"/>
      <c r="E4629" s="5"/>
      <c r="F4629" s="22">
        <f>IFERROR(__xludf.DUMMYFUNCTION("""COMPUTED_VALUE"""),500000.0)</f>
        <v>500000</v>
      </c>
      <c r="G4629" s="22">
        <f>IFERROR(__xludf.DUMMYFUNCTION("""COMPUTED_VALUE"""),0.0)</f>
        <v>0</v>
      </c>
      <c r="H4629" s="22">
        <f>IFERROR(__xludf.DUMMYFUNCTION("""COMPUTED_VALUE"""),500000.0)</f>
        <v>500000</v>
      </c>
      <c r="I4629" s="24">
        <f>IFERROR(__xludf.DUMMYFUNCTION("""COMPUTED_VALUE"""),0.0)</f>
        <v>0</v>
      </c>
    </row>
    <row r="4630">
      <c r="A4630" s="5" t="str">
        <f>IFERROR(__xludf.DUMMYFUNCTION("""COMPUTED_VALUE"""),"69930")</f>
        <v>69930</v>
      </c>
      <c r="B4630" s="64">
        <f>IFERROR(__xludf.DUMMYFUNCTION("""COMPUTED_VALUE"""),44599.0)</f>
        <v>44599</v>
      </c>
      <c r="C4630" s="5"/>
      <c r="D4630" s="5"/>
      <c r="E4630" s="5"/>
      <c r="F4630" s="22">
        <f>IFERROR(__xludf.DUMMYFUNCTION("""COMPUTED_VALUE"""),500000.0)</f>
        <v>500000</v>
      </c>
      <c r="G4630" s="22">
        <f>IFERROR(__xludf.DUMMYFUNCTION("""COMPUTED_VALUE"""),0.0)</f>
        <v>0</v>
      </c>
      <c r="H4630" s="22">
        <f>IFERROR(__xludf.DUMMYFUNCTION("""COMPUTED_VALUE"""),500000.0)</f>
        <v>500000</v>
      </c>
      <c r="I4630" s="24">
        <f>IFERROR(__xludf.DUMMYFUNCTION("""COMPUTED_VALUE"""),0.0)</f>
        <v>0</v>
      </c>
    </row>
    <row r="4631">
      <c r="A4631" s="5" t="str">
        <f>IFERROR(__xludf.DUMMYFUNCTION("""COMPUTED_VALUE"""),"69930")</f>
        <v>69930</v>
      </c>
      <c r="B4631" s="64">
        <f>IFERROR(__xludf.DUMMYFUNCTION("""COMPUTED_VALUE"""),44600.0)</f>
        <v>44600</v>
      </c>
      <c r="C4631" s="5"/>
      <c r="D4631" s="5"/>
      <c r="E4631" s="5"/>
      <c r="F4631" s="22">
        <f>IFERROR(__xludf.DUMMYFUNCTION("""COMPUTED_VALUE"""),500000.0)</f>
        <v>500000</v>
      </c>
      <c r="G4631" s="22">
        <f>IFERROR(__xludf.DUMMYFUNCTION("""COMPUTED_VALUE"""),0.0)</f>
        <v>0</v>
      </c>
      <c r="H4631" s="22">
        <f>IFERROR(__xludf.DUMMYFUNCTION("""COMPUTED_VALUE"""),500000.0)</f>
        <v>500000</v>
      </c>
      <c r="I4631" s="24">
        <f>IFERROR(__xludf.DUMMYFUNCTION("""COMPUTED_VALUE"""),0.0)</f>
        <v>0</v>
      </c>
    </row>
    <row r="4632">
      <c r="A4632" s="5" t="str">
        <f>IFERROR(__xludf.DUMMYFUNCTION("""COMPUTED_VALUE"""),"69930")</f>
        <v>69930</v>
      </c>
      <c r="B4632" s="64">
        <f>IFERROR(__xludf.DUMMYFUNCTION("""COMPUTED_VALUE"""),44601.0)</f>
        <v>44601</v>
      </c>
      <c r="C4632" s="5"/>
      <c r="D4632" s="5"/>
      <c r="E4632" s="5"/>
      <c r="F4632" s="22">
        <f>IFERROR(__xludf.DUMMYFUNCTION("""COMPUTED_VALUE"""),500000.0)</f>
        <v>500000</v>
      </c>
      <c r="G4632" s="22">
        <f>IFERROR(__xludf.DUMMYFUNCTION("""COMPUTED_VALUE"""),0.0)</f>
        <v>0</v>
      </c>
      <c r="H4632" s="22">
        <f>IFERROR(__xludf.DUMMYFUNCTION("""COMPUTED_VALUE"""),500000.0)</f>
        <v>500000</v>
      </c>
      <c r="I4632" s="24">
        <f>IFERROR(__xludf.DUMMYFUNCTION("""COMPUTED_VALUE"""),0.0)</f>
        <v>0</v>
      </c>
    </row>
    <row r="4633">
      <c r="A4633" s="5" t="str">
        <f>IFERROR(__xludf.DUMMYFUNCTION("""COMPUTED_VALUE"""),"69930")</f>
        <v>69930</v>
      </c>
      <c r="B4633" s="64">
        <f>IFERROR(__xludf.DUMMYFUNCTION("""COMPUTED_VALUE"""),44602.0)</f>
        <v>44602</v>
      </c>
      <c r="C4633" s="5"/>
      <c r="D4633" s="5"/>
      <c r="E4633" s="5"/>
      <c r="F4633" s="22">
        <f>IFERROR(__xludf.DUMMYFUNCTION("""COMPUTED_VALUE"""),500000.0)</f>
        <v>500000</v>
      </c>
      <c r="G4633" s="22">
        <f>IFERROR(__xludf.DUMMYFUNCTION("""COMPUTED_VALUE"""),0.0)</f>
        <v>0</v>
      </c>
      <c r="H4633" s="22">
        <f>IFERROR(__xludf.DUMMYFUNCTION("""COMPUTED_VALUE"""),500000.0)</f>
        <v>500000</v>
      </c>
      <c r="I4633" s="24">
        <f>IFERROR(__xludf.DUMMYFUNCTION("""COMPUTED_VALUE"""),0.0)</f>
        <v>0</v>
      </c>
    </row>
    <row r="4634">
      <c r="A4634" s="5" t="str">
        <f>IFERROR(__xludf.DUMMYFUNCTION("""COMPUTED_VALUE"""),"69930")</f>
        <v>69930</v>
      </c>
      <c r="B4634" s="64">
        <f>IFERROR(__xludf.DUMMYFUNCTION("""COMPUTED_VALUE"""),44603.0)</f>
        <v>44603</v>
      </c>
      <c r="C4634" s="5"/>
      <c r="D4634" s="5"/>
      <c r="E4634" s="5"/>
      <c r="F4634" s="22">
        <f>IFERROR(__xludf.DUMMYFUNCTION("""COMPUTED_VALUE"""),500000.0)</f>
        <v>500000</v>
      </c>
      <c r="G4634" s="22">
        <f>IFERROR(__xludf.DUMMYFUNCTION("""COMPUTED_VALUE"""),0.0)</f>
        <v>0</v>
      </c>
      <c r="H4634" s="22">
        <f>IFERROR(__xludf.DUMMYFUNCTION("""COMPUTED_VALUE"""),500000.0)</f>
        <v>500000</v>
      </c>
      <c r="I4634" s="24">
        <f>IFERROR(__xludf.DUMMYFUNCTION("""COMPUTED_VALUE"""),0.0)</f>
        <v>0</v>
      </c>
    </row>
    <row r="4635">
      <c r="A4635" s="5" t="str">
        <f>IFERROR(__xludf.DUMMYFUNCTION("""COMPUTED_VALUE"""),"69930")</f>
        <v>69930</v>
      </c>
      <c r="B4635" s="64">
        <f>IFERROR(__xludf.DUMMYFUNCTION("""COMPUTED_VALUE"""),44604.0)</f>
        <v>44604</v>
      </c>
      <c r="C4635" s="5"/>
      <c r="D4635" s="5"/>
      <c r="E4635" s="5"/>
      <c r="F4635" s="22">
        <f>IFERROR(__xludf.DUMMYFUNCTION("""COMPUTED_VALUE"""),500000.0)</f>
        <v>500000</v>
      </c>
      <c r="G4635" s="22">
        <f>IFERROR(__xludf.DUMMYFUNCTION("""COMPUTED_VALUE"""),0.0)</f>
        <v>0</v>
      </c>
      <c r="H4635" s="22">
        <f>IFERROR(__xludf.DUMMYFUNCTION("""COMPUTED_VALUE"""),500000.0)</f>
        <v>500000</v>
      </c>
      <c r="I4635" s="24">
        <f>IFERROR(__xludf.DUMMYFUNCTION("""COMPUTED_VALUE"""),0.0)</f>
        <v>0</v>
      </c>
    </row>
    <row r="4636">
      <c r="A4636" s="5" t="str">
        <f>IFERROR(__xludf.DUMMYFUNCTION("""COMPUTED_VALUE"""),"69930")</f>
        <v>69930</v>
      </c>
      <c r="B4636" s="64">
        <f>IFERROR(__xludf.DUMMYFUNCTION("""COMPUTED_VALUE"""),44605.0)</f>
        <v>44605</v>
      </c>
      <c r="C4636" s="5"/>
      <c r="D4636" s="5"/>
      <c r="E4636" s="5"/>
      <c r="F4636" s="22">
        <f>IFERROR(__xludf.DUMMYFUNCTION("""COMPUTED_VALUE"""),500000.0)</f>
        <v>500000</v>
      </c>
      <c r="G4636" s="22">
        <f>IFERROR(__xludf.DUMMYFUNCTION("""COMPUTED_VALUE"""),0.0)</f>
        <v>0</v>
      </c>
      <c r="H4636" s="22">
        <f>IFERROR(__xludf.DUMMYFUNCTION("""COMPUTED_VALUE"""),500000.0)</f>
        <v>500000</v>
      </c>
      <c r="I4636" s="24">
        <f>IFERROR(__xludf.DUMMYFUNCTION("""COMPUTED_VALUE"""),0.0)</f>
        <v>0</v>
      </c>
    </row>
    <row r="4637">
      <c r="A4637" s="5" t="str">
        <f>IFERROR(__xludf.DUMMYFUNCTION("""COMPUTED_VALUE"""),"69930")</f>
        <v>69930</v>
      </c>
      <c r="B4637" s="64">
        <f>IFERROR(__xludf.DUMMYFUNCTION("""COMPUTED_VALUE"""),44606.0)</f>
        <v>44606</v>
      </c>
      <c r="C4637" s="5"/>
      <c r="D4637" s="5"/>
      <c r="E4637" s="5"/>
      <c r="F4637" s="22">
        <f>IFERROR(__xludf.DUMMYFUNCTION("""COMPUTED_VALUE"""),500000.0)</f>
        <v>500000</v>
      </c>
      <c r="G4637" s="22">
        <f>IFERROR(__xludf.DUMMYFUNCTION("""COMPUTED_VALUE"""),0.0)</f>
        <v>0</v>
      </c>
      <c r="H4637" s="22">
        <f>IFERROR(__xludf.DUMMYFUNCTION("""COMPUTED_VALUE"""),499735.0)</f>
        <v>499735</v>
      </c>
      <c r="I4637" s="24">
        <f>IFERROR(__xludf.DUMMYFUNCTION("""COMPUTED_VALUE"""),-5.300000000000304E-4)</f>
        <v>-0.00053</v>
      </c>
    </row>
    <row r="4638">
      <c r="A4638" s="5" t="str">
        <f>IFERROR(__xludf.DUMMYFUNCTION("""COMPUTED_VALUE"""),"69930")</f>
        <v>69930</v>
      </c>
      <c r="B4638" s="64">
        <f>IFERROR(__xludf.DUMMYFUNCTION("""COMPUTED_VALUE"""),44607.0)</f>
        <v>44607</v>
      </c>
      <c r="C4638" s="5"/>
      <c r="D4638" s="5"/>
      <c r="E4638" s="5"/>
      <c r="F4638" s="22">
        <f>IFERROR(__xludf.DUMMYFUNCTION("""COMPUTED_VALUE"""),500000.0)</f>
        <v>500000</v>
      </c>
      <c r="G4638" s="22">
        <f>IFERROR(__xludf.DUMMYFUNCTION("""COMPUTED_VALUE"""),0.0)</f>
        <v>0</v>
      </c>
      <c r="H4638" s="22">
        <f>IFERROR(__xludf.DUMMYFUNCTION("""COMPUTED_VALUE"""),499500.0)</f>
        <v>499500</v>
      </c>
      <c r="I4638" s="24">
        <f>IFERROR(__xludf.DUMMYFUNCTION("""COMPUTED_VALUE"""),-0.0010000000000000009)</f>
        <v>-0.001</v>
      </c>
    </row>
    <row r="4639">
      <c r="A4639" s="5" t="str">
        <f>IFERROR(__xludf.DUMMYFUNCTION("""COMPUTED_VALUE"""),"69930")</f>
        <v>69930</v>
      </c>
      <c r="B4639" s="64">
        <f>IFERROR(__xludf.DUMMYFUNCTION("""COMPUTED_VALUE"""),44608.0)</f>
        <v>44608</v>
      </c>
      <c r="C4639" s="5"/>
      <c r="D4639" s="5"/>
      <c r="E4639" s="5"/>
      <c r="F4639" s="22">
        <f>IFERROR(__xludf.DUMMYFUNCTION("""COMPUTED_VALUE"""),500000.0)</f>
        <v>500000</v>
      </c>
      <c r="G4639" s="22">
        <f>IFERROR(__xludf.DUMMYFUNCTION("""COMPUTED_VALUE"""),0.0)</f>
        <v>0</v>
      </c>
      <c r="H4639" s="22">
        <f>IFERROR(__xludf.DUMMYFUNCTION("""COMPUTED_VALUE"""),499725.0)</f>
        <v>499725</v>
      </c>
      <c r="I4639" s="24">
        <f>IFERROR(__xludf.DUMMYFUNCTION("""COMPUTED_VALUE"""),-5.500000000000504E-4)</f>
        <v>-0.00055</v>
      </c>
    </row>
    <row r="4640">
      <c r="A4640" s="5" t="str">
        <f>IFERROR(__xludf.DUMMYFUNCTION("""COMPUTED_VALUE"""),"69930")</f>
        <v>69930</v>
      </c>
      <c r="B4640" s="64">
        <f>IFERROR(__xludf.DUMMYFUNCTION("""COMPUTED_VALUE"""),44609.0)</f>
        <v>44609</v>
      </c>
      <c r="C4640" s="5"/>
      <c r="D4640" s="5"/>
      <c r="E4640" s="5"/>
      <c r="F4640" s="22">
        <f>IFERROR(__xludf.DUMMYFUNCTION("""COMPUTED_VALUE"""),500000.0)</f>
        <v>500000</v>
      </c>
      <c r="G4640" s="22">
        <f>IFERROR(__xludf.DUMMYFUNCTION("""COMPUTED_VALUE"""),0.0)</f>
        <v>0</v>
      </c>
      <c r="H4640" s="22">
        <f>IFERROR(__xludf.DUMMYFUNCTION("""COMPUTED_VALUE"""),499730.0)</f>
        <v>499730</v>
      </c>
      <c r="I4640" s="24">
        <f>IFERROR(__xludf.DUMMYFUNCTION("""COMPUTED_VALUE"""),-5.399999999999849E-4)</f>
        <v>-0.00054</v>
      </c>
    </row>
    <row r="4641">
      <c r="A4641" s="5" t="str">
        <f>IFERROR(__xludf.DUMMYFUNCTION("""COMPUTED_VALUE"""),"69930")</f>
        <v>69930</v>
      </c>
      <c r="B4641" s="64">
        <f>IFERROR(__xludf.DUMMYFUNCTION("""COMPUTED_VALUE"""),44610.0)</f>
        <v>44610</v>
      </c>
      <c r="C4641" s="5"/>
      <c r="D4641" s="5"/>
      <c r="E4641" s="5"/>
      <c r="F4641" s="22">
        <f>IFERROR(__xludf.DUMMYFUNCTION("""COMPUTED_VALUE"""),500000.0)</f>
        <v>500000</v>
      </c>
      <c r="G4641" s="22">
        <f>IFERROR(__xludf.DUMMYFUNCTION("""COMPUTED_VALUE"""),0.0)</f>
        <v>0</v>
      </c>
      <c r="H4641" s="22">
        <f>IFERROR(__xludf.DUMMYFUNCTION("""COMPUTED_VALUE"""),499740.0)</f>
        <v>499740</v>
      </c>
      <c r="I4641" s="24">
        <f>IFERROR(__xludf.DUMMYFUNCTION("""COMPUTED_VALUE"""),-5.199999999999649E-4)</f>
        <v>-0.00052</v>
      </c>
    </row>
    <row r="4642">
      <c r="A4642" s="5" t="str">
        <f>IFERROR(__xludf.DUMMYFUNCTION("""COMPUTED_VALUE"""),"69930")</f>
        <v>69930</v>
      </c>
      <c r="B4642" s="64">
        <f>IFERROR(__xludf.DUMMYFUNCTION("""COMPUTED_VALUE"""),44611.0)</f>
        <v>44611</v>
      </c>
      <c r="C4642" s="5"/>
      <c r="D4642" s="5"/>
      <c r="E4642" s="5"/>
      <c r="F4642" s="22">
        <f>IFERROR(__xludf.DUMMYFUNCTION("""COMPUTED_VALUE"""),500000.0)</f>
        <v>500000</v>
      </c>
      <c r="G4642" s="22">
        <f>IFERROR(__xludf.DUMMYFUNCTION("""COMPUTED_VALUE"""),0.0)</f>
        <v>0</v>
      </c>
      <c r="H4642" s="22">
        <f>IFERROR(__xludf.DUMMYFUNCTION("""COMPUTED_VALUE"""),499740.0)</f>
        <v>499740</v>
      </c>
      <c r="I4642" s="24">
        <f>IFERROR(__xludf.DUMMYFUNCTION("""COMPUTED_VALUE"""),-5.199999999999649E-4)</f>
        <v>-0.00052</v>
      </c>
    </row>
    <row r="4643">
      <c r="A4643" s="5" t="str">
        <f>IFERROR(__xludf.DUMMYFUNCTION("""COMPUTED_VALUE"""),"69930")</f>
        <v>69930</v>
      </c>
      <c r="B4643" s="64">
        <f>IFERROR(__xludf.DUMMYFUNCTION("""COMPUTED_VALUE"""),44612.0)</f>
        <v>44612</v>
      </c>
      <c r="C4643" s="5"/>
      <c r="D4643" s="5"/>
      <c r="E4643" s="5"/>
      <c r="F4643" s="22">
        <f>IFERROR(__xludf.DUMMYFUNCTION("""COMPUTED_VALUE"""),500000.0)</f>
        <v>500000</v>
      </c>
      <c r="G4643" s="22">
        <f>IFERROR(__xludf.DUMMYFUNCTION("""COMPUTED_VALUE"""),0.0)</f>
        <v>0</v>
      </c>
      <c r="H4643" s="22">
        <f>IFERROR(__xludf.DUMMYFUNCTION("""COMPUTED_VALUE"""),499740.0)</f>
        <v>499740</v>
      </c>
      <c r="I4643" s="24">
        <f>IFERROR(__xludf.DUMMYFUNCTION("""COMPUTED_VALUE"""),-5.199999999999649E-4)</f>
        <v>-0.00052</v>
      </c>
    </row>
    <row r="4644">
      <c r="A4644" s="5" t="str">
        <f>IFERROR(__xludf.DUMMYFUNCTION("""COMPUTED_VALUE"""),"69930")</f>
        <v>69930</v>
      </c>
      <c r="B4644" s="64">
        <f>IFERROR(__xludf.DUMMYFUNCTION("""COMPUTED_VALUE"""),44613.0)</f>
        <v>44613</v>
      </c>
      <c r="C4644" s="5"/>
      <c r="D4644" s="5"/>
      <c r="E4644" s="5"/>
      <c r="F4644" s="22">
        <f>IFERROR(__xludf.DUMMYFUNCTION("""COMPUTED_VALUE"""),500000.0)</f>
        <v>500000</v>
      </c>
      <c r="G4644" s="22">
        <f>IFERROR(__xludf.DUMMYFUNCTION("""COMPUTED_VALUE"""),0.0)</f>
        <v>0</v>
      </c>
      <c r="H4644" s="22">
        <f>IFERROR(__xludf.DUMMYFUNCTION("""COMPUTED_VALUE"""),499790.0)</f>
        <v>499790</v>
      </c>
      <c r="I4644" s="24">
        <f>IFERROR(__xludf.DUMMYFUNCTION("""COMPUTED_VALUE"""),-4.1999999999997595E-4)</f>
        <v>-0.00042</v>
      </c>
    </row>
    <row r="4645">
      <c r="A4645" s="5" t="str">
        <f>IFERROR(__xludf.DUMMYFUNCTION("""COMPUTED_VALUE"""),"69930")</f>
        <v>69930</v>
      </c>
      <c r="B4645" s="64">
        <f>IFERROR(__xludf.DUMMYFUNCTION("""COMPUTED_VALUE"""),44614.0)</f>
        <v>44614</v>
      </c>
      <c r="C4645" s="5"/>
      <c r="D4645" s="5"/>
      <c r="E4645" s="5"/>
      <c r="F4645" s="22">
        <f>IFERROR(__xludf.DUMMYFUNCTION("""COMPUTED_VALUE"""),500000.0)</f>
        <v>500000</v>
      </c>
      <c r="G4645" s="22">
        <f>IFERROR(__xludf.DUMMYFUNCTION("""COMPUTED_VALUE"""),0.0)</f>
        <v>0</v>
      </c>
      <c r="H4645" s="22">
        <f>IFERROR(__xludf.DUMMYFUNCTION("""COMPUTED_VALUE"""),499515.0)</f>
        <v>499515</v>
      </c>
      <c r="I4645" s="24">
        <f>IFERROR(__xludf.DUMMYFUNCTION("""COMPUTED_VALUE"""),-9.700000000000264E-4)</f>
        <v>-0.00097</v>
      </c>
    </row>
    <row r="4646">
      <c r="A4646" s="5" t="str">
        <f>IFERROR(__xludf.DUMMYFUNCTION("""COMPUTED_VALUE"""),"69930")</f>
        <v>69930</v>
      </c>
      <c r="B4646" s="64">
        <f>IFERROR(__xludf.DUMMYFUNCTION("""COMPUTED_VALUE"""),44615.0)</f>
        <v>44615</v>
      </c>
      <c r="C4646" s="5"/>
      <c r="D4646" s="5"/>
      <c r="E4646" s="5"/>
      <c r="F4646" s="22">
        <f>IFERROR(__xludf.DUMMYFUNCTION("""COMPUTED_VALUE"""),500000.0)</f>
        <v>500000</v>
      </c>
      <c r="G4646" s="22">
        <f>IFERROR(__xludf.DUMMYFUNCTION("""COMPUTED_VALUE"""),0.0)</f>
        <v>0</v>
      </c>
      <c r="H4646" s="22">
        <f>IFERROR(__xludf.DUMMYFUNCTION("""COMPUTED_VALUE"""),499485.0)</f>
        <v>499485</v>
      </c>
      <c r="I4646" s="24">
        <f>IFERROR(__xludf.DUMMYFUNCTION("""COMPUTED_VALUE"""),-0.0010299999999999754)</f>
        <v>-0.00103</v>
      </c>
    </row>
    <row r="4647">
      <c r="A4647" s="5" t="str">
        <f>IFERROR(__xludf.DUMMYFUNCTION("""COMPUTED_VALUE"""),"69930")</f>
        <v>69930</v>
      </c>
      <c r="B4647" s="64">
        <f>IFERROR(__xludf.DUMMYFUNCTION("""COMPUTED_VALUE"""),44616.0)</f>
        <v>44616</v>
      </c>
      <c r="C4647" s="5"/>
      <c r="D4647" s="5"/>
      <c r="E4647" s="5"/>
      <c r="F4647" s="22">
        <f>IFERROR(__xludf.DUMMYFUNCTION("""COMPUTED_VALUE"""),500000.0)</f>
        <v>500000</v>
      </c>
      <c r="G4647" s="22">
        <f>IFERROR(__xludf.DUMMYFUNCTION("""COMPUTED_VALUE"""),0.0)</f>
        <v>0</v>
      </c>
      <c r="H4647" s="22">
        <f>IFERROR(__xludf.DUMMYFUNCTION("""COMPUTED_VALUE"""),499205.0)</f>
        <v>499205</v>
      </c>
      <c r="I4647" s="24">
        <f>IFERROR(__xludf.DUMMYFUNCTION("""COMPUTED_VALUE"""),-0.0015899999999999803)</f>
        <v>-0.00159</v>
      </c>
    </row>
    <row r="4648">
      <c r="A4648" s="5" t="str">
        <f>IFERROR(__xludf.DUMMYFUNCTION("""COMPUTED_VALUE"""),"69930")</f>
        <v>69930</v>
      </c>
      <c r="B4648" s="64">
        <f>IFERROR(__xludf.DUMMYFUNCTION("""COMPUTED_VALUE"""),44617.0)</f>
        <v>44617</v>
      </c>
      <c r="C4648" s="5"/>
      <c r="D4648" s="5"/>
      <c r="E4648" s="5"/>
      <c r="F4648" s="22">
        <f>IFERROR(__xludf.DUMMYFUNCTION("""COMPUTED_VALUE"""),500000.0)</f>
        <v>500000</v>
      </c>
      <c r="G4648" s="22">
        <f>IFERROR(__xludf.DUMMYFUNCTION("""COMPUTED_VALUE"""),0.0)</f>
        <v>0</v>
      </c>
      <c r="H4648" s="22">
        <f>IFERROR(__xludf.DUMMYFUNCTION("""COMPUTED_VALUE"""),499130.0)</f>
        <v>499130</v>
      </c>
      <c r="I4648" s="24">
        <f>IFERROR(__xludf.DUMMYFUNCTION("""COMPUTED_VALUE"""),-0.0017399999999999638)</f>
        <v>-0.00174</v>
      </c>
    </row>
    <row r="4649">
      <c r="A4649" s="5" t="str">
        <f>IFERROR(__xludf.DUMMYFUNCTION("""COMPUTED_VALUE"""),"69930")</f>
        <v>69930</v>
      </c>
      <c r="B4649" s="64">
        <f>IFERROR(__xludf.DUMMYFUNCTION("""COMPUTED_VALUE"""),44618.0)</f>
        <v>44618</v>
      </c>
      <c r="C4649" s="5"/>
      <c r="D4649" s="5"/>
      <c r="E4649" s="5"/>
      <c r="F4649" s="22">
        <f>IFERROR(__xludf.DUMMYFUNCTION("""COMPUTED_VALUE"""),500000.0)</f>
        <v>500000</v>
      </c>
      <c r="G4649" s="22">
        <f>IFERROR(__xludf.DUMMYFUNCTION("""COMPUTED_VALUE"""),0.0)</f>
        <v>0</v>
      </c>
      <c r="H4649" s="22">
        <f>IFERROR(__xludf.DUMMYFUNCTION("""COMPUTED_VALUE"""),499130.0)</f>
        <v>499130</v>
      </c>
      <c r="I4649" s="24">
        <f>IFERROR(__xludf.DUMMYFUNCTION("""COMPUTED_VALUE"""),-0.0017399999999999638)</f>
        <v>-0.00174</v>
      </c>
    </row>
    <row r="4650">
      <c r="A4650" s="5" t="str">
        <f>IFERROR(__xludf.DUMMYFUNCTION("""COMPUTED_VALUE"""),"69930")</f>
        <v>69930</v>
      </c>
      <c r="B4650" s="64">
        <f>IFERROR(__xludf.DUMMYFUNCTION("""COMPUTED_VALUE"""),44619.0)</f>
        <v>44619</v>
      </c>
      <c r="C4650" s="5"/>
      <c r="D4650" s="5"/>
      <c r="E4650" s="5"/>
      <c r="F4650" s="22">
        <f>IFERROR(__xludf.DUMMYFUNCTION("""COMPUTED_VALUE"""),500000.0)</f>
        <v>500000</v>
      </c>
      <c r="G4650" s="22">
        <f>IFERROR(__xludf.DUMMYFUNCTION("""COMPUTED_VALUE"""),0.0)</f>
        <v>0</v>
      </c>
      <c r="H4650" s="22">
        <f>IFERROR(__xludf.DUMMYFUNCTION("""COMPUTED_VALUE"""),499130.0)</f>
        <v>499130</v>
      </c>
      <c r="I4650" s="24">
        <f>IFERROR(__xludf.DUMMYFUNCTION("""COMPUTED_VALUE"""),-0.0017399999999999638)</f>
        <v>-0.00174</v>
      </c>
    </row>
    <row r="4651">
      <c r="A4651" s="5" t="str">
        <f>IFERROR(__xludf.DUMMYFUNCTION("""COMPUTED_VALUE"""),"69930")</f>
        <v>69930</v>
      </c>
      <c r="B4651" s="64">
        <f>IFERROR(__xludf.DUMMYFUNCTION("""COMPUTED_VALUE"""),44620.0)</f>
        <v>44620</v>
      </c>
      <c r="C4651" s="5"/>
      <c r="D4651" s="5"/>
      <c r="E4651" s="5"/>
      <c r="F4651" s="22">
        <f>IFERROR(__xludf.DUMMYFUNCTION("""COMPUTED_VALUE"""),500000.0)</f>
        <v>500000</v>
      </c>
      <c r="G4651" s="22">
        <f>IFERROR(__xludf.DUMMYFUNCTION("""COMPUTED_VALUE"""),0.0)</f>
        <v>0</v>
      </c>
      <c r="H4651" s="22">
        <f>IFERROR(__xludf.DUMMYFUNCTION("""COMPUTED_VALUE"""),499110.0)</f>
        <v>499110</v>
      </c>
      <c r="I4651" s="24">
        <f>IFERROR(__xludf.DUMMYFUNCTION("""COMPUTED_VALUE"""),-0.0017800000000000038)</f>
        <v>-0.00178</v>
      </c>
    </row>
    <row r="4652">
      <c r="A4652" s="5" t="str">
        <f>IFERROR(__xludf.DUMMYFUNCTION("""COMPUTED_VALUE"""),"69930")</f>
        <v>69930</v>
      </c>
      <c r="B4652" s="64">
        <f>IFERROR(__xludf.DUMMYFUNCTION("""COMPUTED_VALUE"""),44621.0)</f>
        <v>44621</v>
      </c>
      <c r="C4652" s="5"/>
      <c r="D4652" s="5"/>
      <c r="E4652" s="5"/>
      <c r="F4652" s="22">
        <f>IFERROR(__xludf.DUMMYFUNCTION("""COMPUTED_VALUE"""),500000.0)</f>
        <v>500000</v>
      </c>
      <c r="G4652" s="22">
        <f>IFERROR(__xludf.DUMMYFUNCTION("""COMPUTED_VALUE"""),0.0)</f>
        <v>0</v>
      </c>
      <c r="H4652" s="22">
        <f>IFERROR(__xludf.DUMMYFUNCTION("""COMPUTED_VALUE"""),499140.0)</f>
        <v>499140</v>
      </c>
      <c r="I4652" s="24">
        <f>IFERROR(__xludf.DUMMYFUNCTION("""COMPUTED_VALUE"""),-0.0017200000000000548)</f>
        <v>-0.00172</v>
      </c>
    </row>
    <row r="4653">
      <c r="A4653" s="5" t="str">
        <f>IFERROR(__xludf.DUMMYFUNCTION("""COMPUTED_VALUE"""),"69930")</f>
        <v>69930</v>
      </c>
      <c r="B4653" s="64">
        <f>IFERROR(__xludf.DUMMYFUNCTION("""COMPUTED_VALUE"""),44622.0)</f>
        <v>44622</v>
      </c>
      <c r="C4653" s="5"/>
      <c r="D4653" s="5"/>
      <c r="E4653" s="5"/>
      <c r="F4653" s="22">
        <f>IFERROR(__xludf.DUMMYFUNCTION("""COMPUTED_VALUE"""),500000.0)</f>
        <v>500000</v>
      </c>
      <c r="G4653" s="22">
        <f>IFERROR(__xludf.DUMMYFUNCTION("""COMPUTED_VALUE"""),0.0)</f>
        <v>0</v>
      </c>
      <c r="H4653" s="22">
        <f>IFERROR(__xludf.DUMMYFUNCTION("""COMPUTED_VALUE"""),498955.0)</f>
        <v>498955</v>
      </c>
      <c r="I4653" s="24">
        <f>IFERROR(__xludf.DUMMYFUNCTION("""COMPUTED_VALUE"""),-0.0020900000000000363)</f>
        <v>-0.00209</v>
      </c>
    </row>
    <row r="4654">
      <c r="A4654" s="5" t="str">
        <f>IFERROR(__xludf.DUMMYFUNCTION("""COMPUTED_VALUE"""),"69930")</f>
        <v>69930</v>
      </c>
      <c r="B4654" s="64">
        <f>IFERROR(__xludf.DUMMYFUNCTION("""COMPUTED_VALUE"""),44623.0)</f>
        <v>44623</v>
      </c>
      <c r="C4654" s="5"/>
      <c r="D4654" s="5"/>
      <c r="E4654" s="5"/>
      <c r="F4654" s="22">
        <f>IFERROR(__xludf.DUMMYFUNCTION("""COMPUTED_VALUE"""),500000.0)</f>
        <v>500000</v>
      </c>
      <c r="G4654" s="22">
        <f>IFERROR(__xludf.DUMMYFUNCTION("""COMPUTED_VALUE"""),0.0)</f>
        <v>0</v>
      </c>
      <c r="H4654" s="22">
        <f>IFERROR(__xludf.DUMMYFUNCTION("""COMPUTED_VALUE"""),498975.0)</f>
        <v>498975</v>
      </c>
      <c r="I4654" s="24">
        <f>IFERROR(__xludf.DUMMYFUNCTION("""COMPUTED_VALUE"""),-0.0020499999999999963)</f>
        <v>-0.00205</v>
      </c>
    </row>
    <row r="4655">
      <c r="A4655" s="5" t="str">
        <f>IFERROR(__xludf.DUMMYFUNCTION("""COMPUTED_VALUE"""),"69930")</f>
        <v>69930</v>
      </c>
      <c r="B4655" s="64">
        <f>IFERROR(__xludf.DUMMYFUNCTION("""COMPUTED_VALUE"""),44624.0)</f>
        <v>44624</v>
      </c>
      <c r="C4655" s="5"/>
      <c r="D4655" s="5"/>
      <c r="E4655" s="5"/>
      <c r="F4655" s="22">
        <f>IFERROR(__xludf.DUMMYFUNCTION("""COMPUTED_VALUE"""),500000.0)</f>
        <v>500000</v>
      </c>
      <c r="G4655" s="22">
        <f>IFERROR(__xludf.DUMMYFUNCTION("""COMPUTED_VALUE"""),0.0)</f>
        <v>0</v>
      </c>
      <c r="H4655" s="22">
        <f>IFERROR(__xludf.DUMMYFUNCTION("""COMPUTED_VALUE"""),498875.0)</f>
        <v>498875</v>
      </c>
      <c r="I4655" s="24">
        <f>IFERROR(__xludf.DUMMYFUNCTION("""COMPUTED_VALUE"""),-0.0022499999999999742)</f>
        <v>-0.00225</v>
      </c>
    </row>
    <row r="4656">
      <c r="A4656" s="5" t="str">
        <f>IFERROR(__xludf.DUMMYFUNCTION("""COMPUTED_VALUE"""),"69930")</f>
        <v>69930</v>
      </c>
      <c r="B4656" s="64">
        <f>IFERROR(__xludf.DUMMYFUNCTION("""COMPUTED_VALUE"""),44625.0)</f>
        <v>44625</v>
      </c>
      <c r="C4656" s="5"/>
      <c r="D4656" s="5"/>
      <c r="E4656" s="5"/>
      <c r="F4656" s="22">
        <f>IFERROR(__xludf.DUMMYFUNCTION("""COMPUTED_VALUE"""),500000.0)</f>
        <v>500000</v>
      </c>
      <c r="G4656" s="22">
        <f>IFERROR(__xludf.DUMMYFUNCTION("""COMPUTED_VALUE"""),0.0)</f>
        <v>0</v>
      </c>
      <c r="H4656" s="22">
        <f>IFERROR(__xludf.DUMMYFUNCTION("""COMPUTED_VALUE"""),498875.0)</f>
        <v>498875</v>
      </c>
      <c r="I4656" s="24">
        <f>IFERROR(__xludf.DUMMYFUNCTION("""COMPUTED_VALUE"""),-0.0022499999999999742)</f>
        <v>-0.00225</v>
      </c>
    </row>
    <row r="4657">
      <c r="A4657" s="5" t="str">
        <f>IFERROR(__xludf.DUMMYFUNCTION("""COMPUTED_VALUE"""),"69930")</f>
        <v>69930</v>
      </c>
      <c r="B4657" s="64">
        <f>IFERROR(__xludf.DUMMYFUNCTION("""COMPUTED_VALUE"""),44626.0)</f>
        <v>44626</v>
      </c>
      <c r="C4657" s="5"/>
      <c r="D4657" s="5"/>
      <c r="E4657" s="5"/>
      <c r="F4657" s="22">
        <f>IFERROR(__xludf.DUMMYFUNCTION("""COMPUTED_VALUE"""),500000.0)</f>
        <v>500000</v>
      </c>
      <c r="G4657" s="22">
        <f>IFERROR(__xludf.DUMMYFUNCTION("""COMPUTED_VALUE"""),0.0)</f>
        <v>0</v>
      </c>
      <c r="H4657" s="22">
        <f>IFERROR(__xludf.DUMMYFUNCTION("""COMPUTED_VALUE"""),498875.0)</f>
        <v>498875</v>
      </c>
      <c r="I4657" s="24">
        <f>IFERROR(__xludf.DUMMYFUNCTION("""COMPUTED_VALUE"""),-0.0022499999999999742)</f>
        <v>-0.00225</v>
      </c>
    </row>
    <row r="4658">
      <c r="A4658" s="5" t="str">
        <f>IFERROR(__xludf.DUMMYFUNCTION("""COMPUTED_VALUE"""),"69930")</f>
        <v>69930</v>
      </c>
      <c r="B4658" s="64">
        <f>IFERROR(__xludf.DUMMYFUNCTION("""COMPUTED_VALUE"""),44627.0)</f>
        <v>44627</v>
      </c>
      <c r="C4658" s="5"/>
      <c r="D4658" s="5"/>
      <c r="E4658" s="5"/>
      <c r="F4658" s="22">
        <f>IFERROR(__xludf.DUMMYFUNCTION("""COMPUTED_VALUE"""),500000.0)</f>
        <v>500000</v>
      </c>
      <c r="G4658" s="22">
        <f>IFERROR(__xludf.DUMMYFUNCTION("""COMPUTED_VALUE"""),0.0)</f>
        <v>0</v>
      </c>
      <c r="H4658" s="22">
        <f>IFERROR(__xludf.DUMMYFUNCTION("""COMPUTED_VALUE"""),498575.0)</f>
        <v>498575</v>
      </c>
      <c r="I4658" s="24">
        <f>IFERROR(__xludf.DUMMYFUNCTION("""COMPUTED_VALUE"""),-0.002850000000000019)</f>
        <v>-0.00285</v>
      </c>
    </row>
    <row r="4659">
      <c r="A4659" s="5" t="str">
        <f>IFERROR(__xludf.DUMMYFUNCTION("""COMPUTED_VALUE"""),"69930")</f>
        <v>69930</v>
      </c>
      <c r="B4659" s="64">
        <f>IFERROR(__xludf.DUMMYFUNCTION("""COMPUTED_VALUE"""),44628.0)</f>
        <v>44628</v>
      </c>
      <c r="C4659" s="5"/>
      <c r="D4659" s="5"/>
      <c r="E4659" s="5"/>
      <c r="F4659" s="22">
        <f>IFERROR(__xludf.DUMMYFUNCTION("""COMPUTED_VALUE"""),500000.0)</f>
        <v>500000</v>
      </c>
      <c r="G4659" s="22">
        <f>IFERROR(__xludf.DUMMYFUNCTION("""COMPUTED_VALUE"""),0.0)</f>
        <v>0</v>
      </c>
      <c r="H4659" s="22">
        <f>IFERROR(__xludf.DUMMYFUNCTION("""COMPUTED_VALUE"""),498465.0)</f>
        <v>498465</v>
      </c>
      <c r="I4659" s="24">
        <f>IFERROR(__xludf.DUMMYFUNCTION("""COMPUTED_VALUE"""),-0.003070000000000017)</f>
        <v>-0.00307</v>
      </c>
    </row>
    <row r="4660">
      <c r="A4660" s="5" t="str">
        <f>IFERROR(__xludf.DUMMYFUNCTION("""COMPUTED_VALUE"""),"69930")</f>
        <v>69930</v>
      </c>
      <c r="B4660" s="64">
        <f>IFERROR(__xludf.DUMMYFUNCTION("""COMPUTED_VALUE"""),44629.0)</f>
        <v>44629</v>
      </c>
      <c r="C4660" s="5"/>
      <c r="D4660" s="5"/>
      <c r="E4660" s="5"/>
      <c r="F4660" s="22">
        <f>IFERROR(__xludf.DUMMYFUNCTION("""COMPUTED_VALUE"""),500000.0)</f>
        <v>500000</v>
      </c>
      <c r="G4660" s="22">
        <f>IFERROR(__xludf.DUMMYFUNCTION("""COMPUTED_VALUE"""),0.0)</f>
        <v>0</v>
      </c>
      <c r="H4660" s="22">
        <f>IFERROR(__xludf.DUMMYFUNCTION("""COMPUTED_VALUE"""),498405.0)</f>
        <v>498405</v>
      </c>
      <c r="I4660" s="24">
        <f>IFERROR(__xludf.DUMMYFUNCTION("""COMPUTED_VALUE"""),-0.003190000000000026)</f>
        <v>-0.00319</v>
      </c>
    </row>
    <row r="4661">
      <c r="A4661" s="5" t="str">
        <f>IFERROR(__xludf.DUMMYFUNCTION("""COMPUTED_VALUE"""),"69930")</f>
        <v>69930</v>
      </c>
      <c r="B4661" s="64">
        <f>IFERROR(__xludf.DUMMYFUNCTION("""COMPUTED_VALUE"""),44630.0)</f>
        <v>44630</v>
      </c>
      <c r="C4661" s="5"/>
      <c r="D4661" s="5"/>
      <c r="E4661" s="5"/>
      <c r="F4661" s="22">
        <f>IFERROR(__xludf.DUMMYFUNCTION("""COMPUTED_VALUE"""),500000.0)</f>
        <v>500000</v>
      </c>
      <c r="G4661" s="22">
        <f>IFERROR(__xludf.DUMMYFUNCTION("""COMPUTED_VALUE"""),0.0)</f>
        <v>0</v>
      </c>
      <c r="H4661" s="22">
        <f>IFERROR(__xludf.DUMMYFUNCTION("""COMPUTED_VALUE"""),498490.0)</f>
        <v>498490</v>
      </c>
      <c r="I4661" s="24">
        <f>IFERROR(__xludf.DUMMYFUNCTION("""COMPUTED_VALUE"""),-0.0030200000000000227)</f>
        <v>-0.00302</v>
      </c>
    </row>
    <row r="4662">
      <c r="A4662" s="5" t="str">
        <f>IFERROR(__xludf.DUMMYFUNCTION("""COMPUTED_VALUE"""),"69930")</f>
        <v>69930</v>
      </c>
      <c r="B4662" s="64">
        <f>IFERROR(__xludf.DUMMYFUNCTION("""COMPUTED_VALUE"""),44631.0)</f>
        <v>44631</v>
      </c>
      <c r="C4662" s="5"/>
      <c r="D4662" s="5"/>
      <c r="E4662" s="5"/>
      <c r="F4662" s="22">
        <f>IFERROR(__xludf.DUMMYFUNCTION("""COMPUTED_VALUE"""),500000.0)</f>
        <v>500000</v>
      </c>
      <c r="G4662" s="22">
        <f>IFERROR(__xludf.DUMMYFUNCTION("""COMPUTED_VALUE"""),0.0)</f>
        <v>0</v>
      </c>
      <c r="H4662" s="22">
        <f>IFERROR(__xludf.DUMMYFUNCTION("""COMPUTED_VALUE"""),498480.0)</f>
        <v>498480</v>
      </c>
      <c r="I4662" s="24">
        <f>IFERROR(__xludf.DUMMYFUNCTION("""COMPUTED_VALUE"""),-0.0030400000000000427)</f>
        <v>-0.00304</v>
      </c>
    </row>
    <row r="4663">
      <c r="A4663" s="5" t="str">
        <f>IFERROR(__xludf.DUMMYFUNCTION("""COMPUTED_VALUE"""),"69930")</f>
        <v>69930</v>
      </c>
      <c r="B4663" s="64">
        <f>IFERROR(__xludf.DUMMYFUNCTION("""COMPUTED_VALUE"""),44632.0)</f>
        <v>44632</v>
      </c>
      <c r="C4663" s="5"/>
      <c r="D4663" s="5"/>
      <c r="E4663" s="5"/>
      <c r="F4663" s="22">
        <f>IFERROR(__xludf.DUMMYFUNCTION("""COMPUTED_VALUE"""),500000.0)</f>
        <v>500000</v>
      </c>
      <c r="G4663" s="22">
        <f>IFERROR(__xludf.DUMMYFUNCTION("""COMPUTED_VALUE"""),0.0)</f>
        <v>0</v>
      </c>
      <c r="H4663" s="22">
        <f>IFERROR(__xludf.DUMMYFUNCTION("""COMPUTED_VALUE"""),498480.0)</f>
        <v>498480</v>
      </c>
      <c r="I4663" s="24">
        <f>IFERROR(__xludf.DUMMYFUNCTION("""COMPUTED_VALUE"""),-0.0030400000000000427)</f>
        <v>-0.00304</v>
      </c>
    </row>
    <row r="4664">
      <c r="A4664" s="5" t="str">
        <f>IFERROR(__xludf.DUMMYFUNCTION("""COMPUTED_VALUE"""),"69930")</f>
        <v>69930</v>
      </c>
      <c r="B4664" s="64">
        <f>IFERROR(__xludf.DUMMYFUNCTION("""COMPUTED_VALUE"""),44633.0)</f>
        <v>44633</v>
      </c>
      <c r="C4664" s="5"/>
      <c r="D4664" s="5"/>
      <c r="E4664" s="5"/>
      <c r="F4664" s="22">
        <f>IFERROR(__xludf.DUMMYFUNCTION("""COMPUTED_VALUE"""),500000.0)</f>
        <v>500000</v>
      </c>
      <c r="G4664" s="22">
        <f>IFERROR(__xludf.DUMMYFUNCTION("""COMPUTED_VALUE"""),0.0)</f>
        <v>0</v>
      </c>
      <c r="H4664" s="22">
        <f>IFERROR(__xludf.DUMMYFUNCTION("""COMPUTED_VALUE"""),498480.0)</f>
        <v>498480</v>
      </c>
      <c r="I4664" s="24">
        <f>IFERROR(__xludf.DUMMYFUNCTION("""COMPUTED_VALUE"""),-0.0030400000000000427)</f>
        <v>-0.00304</v>
      </c>
    </row>
    <row r="4665">
      <c r="A4665" s="5" t="str">
        <f>IFERROR(__xludf.DUMMYFUNCTION("""COMPUTED_VALUE"""),"69930")</f>
        <v>69930</v>
      </c>
      <c r="B4665" s="64">
        <f>IFERROR(__xludf.DUMMYFUNCTION("""COMPUTED_VALUE"""),44634.0)</f>
        <v>44634</v>
      </c>
      <c r="C4665" s="5"/>
      <c r="D4665" s="5"/>
      <c r="E4665" s="5"/>
      <c r="F4665" s="22">
        <f>IFERROR(__xludf.DUMMYFUNCTION("""COMPUTED_VALUE"""),500000.0)</f>
        <v>500000</v>
      </c>
      <c r="G4665" s="22">
        <f>IFERROR(__xludf.DUMMYFUNCTION("""COMPUTED_VALUE"""),0.0)</f>
        <v>0</v>
      </c>
      <c r="H4665" s="22">
        <f>IFERROR(__xludf.DUMMYFUNCTION("""COMPUTED_VALUE"""),498390.0)</f>
        <v>498390</v>
      </c>
      <c r="I4665" s="24">
        <f>IFERROR(__xludf.DUMMYFUNCTION("""COMPUTED_VALUE"""),-0.0032200000000000006)</f>
        <v>-0.00322</v>
      </c>
    </row>
    <row r="4666">
      <c r="A4666" s="5" t="str">
        <f>IFERROR(__xludf.DUMMYFUNCTION("""COMPUTED_VALUE"""),"69930")</f>
        <v>69930</v>
      </c>
      <c r="B4666" s="64">
        <f>IFERROR(__xludf.DUMMYFUNCTION("""COMPUTED_VALUE"""),44635.0)</f>
        <v>44635</v>
      </c>
      <c r="C4666" s="5"/>
      <c r="D4666" s="5"/>
      <c r="E4666" s="5"/>
      <c r="F4666" s="22">
        <f>IFERROR(__xludf.DUMMYFUNCTION("""COMPUTED_VALUE"""),500000.0)</f>
        <v>500000</v>
      </c>
      <c r="G4666" s="22">
        <f>IFERROR(__xludf.DUMMYFUNCTION("""COMPUTED_VALUE"""),0.0)</f>
        <v>0</v>
      </c>
      <c r="H4666" s="22">
        <f>IFERROR(__xludf.DUMMYFUNCTION("""COMPUTED_VALUE"""),498055.0)</f>
        <v>498055</v>
      </c>
      <c r="I4666" s="24">
        <f>IFERROR(__xludf.DUMMYFUNCTION("""COMPUTED_VALUE"""),-0.003889999999999949)</f>
        <v>-0.00389</v>
      </c>
    </row>
    <row r="4667">
      <c r="A4667" s="5" t="str">
        <f>IFERROR(__xludf.DUMMYFUNCTION("""COMPUTED_VALUE"""),"69930")</f>
        <v>69930</v>
      </c>
      <c r="B4667" s="64">
        <f>IFERROR(__xludf.DUMMYFUNCTION("""COMPUTED_VALUE"""),44636.0)</f>
        <v>44636</v>
      </c>
      <c r="C4667" s="5"/>
      <c r="D4667" s="5"/>
      <c r="E4667" s="5"/>
      <c r="F4667" s="22">
        <f>IFERROR(__xludf.DUMMYFUNCTION("""COMPUTED_VALUE"""),500000.0)</f>
        <v>500000</v>
      </c>
      <c r="G4667" s="22">
        <f>IFERROR(__xludf.DUMMYFUNCTION("""COMPUTED_VALUE"""),0.0)</f>
        <v>0</v>
      </c>
      <c r="H4667" s="22">
        <f>IFERROR(__xludf.DUMMYFUNCTION("""COMPUTED_VALUE"""),498240.0)</f>
        <v>498240</v>
      </c>
      <c r="I4667" s="24">
        <f>IFERROR(__xludf.DUMMYFUNCTION("""COMPUTED_VALUE"""),-0.0035199999999999676)</f>
        <v>-0.00352</v>
      </c>
    </row>
    <row r="4668">
      <c r="A4668" s="5" t="str">
        <f>IFERROR(__xludf.DUMMYFUNCTION("""COMPUTED_VALUE"""),"69930")</f>
        <v>69930</v>
      </c>
      <c r="B4668" s="64">
        <f>IFERROR(__xludf.DUMMYFUNCTION("""COMPUTED_VALUE"""),44637.0)</f>
        <v>44637</v>
      </c>
      <c r="C4668" s="5"/>
      <c r="D4668" s="5"/>
      <c r="E4668" s="5"/>
      <c r="F4668" s="22">
        <f>IFERROR(__xludf.DUMMYFUNCTION("""COMPUTED_VALUE"""),500000.0)</f>
        <v>500000</v>
      </c>
      <c r="G4668" s="22">
        <f>IFERROR(__xludf.DUMMYFUNCTION("""COMPUTED_VALUE"""),0.0)</f>
        <v>0</v>
      </c>
      <c r="H4668" s="22">
        <f>IFERROR(__xludf.DUMMYFUNCTION("""COMPUTED_VALUE"""),498502.5)</f>
        <v>498502.5</v>
      </c>
      <c r="I4668" s="24">
        <f>IFERROR(__xludf.DUMMYFUNCTION("""COMPUTED_VALUE"""),-0.00299499999999997)</f>
        <v>-0.002995</v>
      </c>
    </row>
    <row r="4669">
      <c r="A4669" s="5" t="str">
        <f>IFERROR(__xludf.DUMMYFUNCTION("""COMPUTED_VALUE"""),"69930")</f>
        <v>69930</v>
      </c>
      <c r="B4669" s="64">
        <f>IFERROR(__xludf.DUMMYFUNCTION("""COMPUTED_VALUE"""),44638.0)</f>
        <v>44638</v>
      </c>
      <c r="C4669" s="5"/>
      <c r="D4669" s="5"/>
      <c r="E4669" s="5"/>
      <c r="F4669" s="22">
        <f>IFERROR(__xludf.DUMMYFUNCTION("""COMPUTED_VALUE"""),500000.0)</f>
        <v>500000</v>
      </c>
      <c r="G4669" s="22">
        <f>IFERROR(__xludf.DUMMYFUNCTION("""COMPUTED_VALUE"""),0.0)</f>
        <v>0</v>
      </c>
      <c r="H4669" s="22">
        <f>IFERROR(__xludf.DUMMYFUNCTION("""COMPUTED_VALUE"""),498635.0)</f>
        <v>498635</v>
      </c>
      <c r="I4669" s="24">
        <f>IFERROR(__xludf.DUMMYFUNCTION("""COMPUTED_VALUE"""),-0.00273000000000001)</f>
        <v>-0.00273</v>
      </c>
    </row>
    <row r="4670">
      <c r="A4670" s="5" t="str">
        <f>IFERROR(__xludf.DUMMYFUNCTION("""COMPUTED_VALUE"""),"69930")</f>
        <v>69930</v>
      </c>
      <c r="B4670" s="64">
        <f>IFERROR(__xludf.DUMMYFUNCTION("""COMPUTED_VALUE"""),44639.0)</f>
        <v>44639</v>
      </c>
      <c r="C4670" s="5"/>
      <c r="D4670" s="5"/>
      <c r="E4670" s="5"/>
      <c r="F4670" s="22">
        <f>IFERROR(__xludf.DUMMYFUNCTION("""COMPUTED_VALUE"""),500000.0)</f>
        <v>500000</v>
      </c>
      <c r="G4670" s="22">
        <f>IFERROR(__xludf.DUMMYFUNCTION("""COMPUTED_VALUE"""),0.0)</f>
        <v>0</v>
      </c>
      <c r="H4670" s="22">
        <f>IFERROR(__xludf.DUMMYFUNCTION("""COMPUTED_VALUE"""),498635.0)</f>
        <v>498635</v>
      </c>
      <c r="I4670" s="24">
        <f>IFERROR(__xludf.DUMMYFUNCTION("""COMPUTED_VALUE"""),-0.00273000000000001)</f>
        <v>-0.00273</v>
      </c>
    </row>
    <row r="4671">
      <c r="A4671" s="5" t="str">
        <f>IFERROR(__xludf.DUMMYFUNCTION("""COMPUTED_VALUE"""),"69930")</f>
        <v>69930</v>
      </c>
      <c r="B4671" s="64">
        <f>IFERROR(__xludf.DUMMYFUNCTION("""COMPUTED_VALUE"""),44640.0)</f>
        <v>44640</v>
      </c>
      <c r="C4671" s="5"/>
      <c r="D4671" s="5"/>
      <c r="E4671" s="5"/>
      <c r="F4671" s="22">
        <f>IFERROR(__xludf.DUMMYFUNCTION("""COMPUTED_VALUE"""),500000.0)</f>
        <v>500000</v>
      </c>
      <c r="G4671" s="22">
        <f>IFERROR(__xludf.DUMMYFUNCTION("""COMPUTED_VALUE"""),0.0)</f>
        <v>0</v>
      </c>
      <c r="H4671" s="22">
        <f>IFERROR(__xludf.DUMMYFUNCTION("""COMPUTED_VALUE"""),498635.0)</f>
        <v>498635</v>
      </c>
      <c r="I4671" s="24">
        <f>IFERROR(__xludf.DUMMYFUNCTION("""COMPUTED_VALUE"""),-0.00273000000000001)</f>
        <v>-0.00273</v>
      </c>
    </row>
    <row r="4672">
      <c r="A4672" s="5" t="str">
        <f>IFERROR(__xludf.DUMMYFUNCTION("""COMPUTED_VALUE"""),"69930")</f>
        <v>69930</v>
      </c>
      <c r="B4672" s="64">
        <f>IFERROR(__xludf.DUMMYFUNCTION("""COMPUTED_VALUE"""),44641.0)</f>
        <v>44641</v>
      </c>
      <c r="C4672" s="5"/>
      <c r="D4672" s="5"/>
      <c r="E4672" s="5"/>
      <c r="F4672" s="22">
        <f>IFERROR(__xludf.DUMMYFUNCTION("""COMPUTED_VALUE"""),500000.0)</f>
        <v>500000</v>
      </c>
      <c r="G4672" s="22">
        <f>IFERROR(__xludf.DUMMYFUNCTION("""COMPUTED_VALUE"""),0.0)</f>
        <v>0</v>
      </c>
      <c r="H4672" s="22">
        <f>IFERROR(__xludf.DUMMYFUNCTION("""COMPUTED_VALUE"""),498472.5)</f>
        <v>498472.5</v>
      </c>
      <c r="I4672" s="24">
        <f>IFERROR(__xludf.DUMMYFUNCTION("""COMPUTED_VALUE"""),-0.00305500000000003)</f>
        <v>-0.003055</v>
      </c>
    </row>
    <row r="4673">
      <c r="A4673" s="5" t="str">
        <f>IFERROR(__xludf.DUMMYFUNCTION("""COMPUTED_VALUE"""),"69930")</f>
        <v>69930</v>
      </c>
      <c r="B4673" s="64">
        <f>IFERROR(__xludf.DUMMYFUNCTION("""COMPUTED_VALUE"""),44642.0)</f>
        <v>44642</v>
      </c>
      <c r="C4673" s="5"/>
      <c r="D4673" s="5"/>
      <c r="E4673" s="5"/>
      <c r="F4673" s="22">
        <f>IFERROR(__xludf.DUMMYFUNCTION("""COMPUTED_VALUE"""),500000.0)</f>
        <v>500000</v>
      </c>
      <c r="G4673" s="22">
        <f>IFERROR(__xludf.DUMMYFUNCTION("""COMPUTED_VALUE"""),0.0)</f>
        <v>0</v>
      </c>
      <c r="H4673" s="22">
        <f>IFERROR(__xludf.DUMMYFUNCTION("""COMPUTED_VALUE"""),498532.5)</f>
        <v>498532.5</v>
      </c>
      <c r="I4673" s="24">
        <f>IFERROR(__xludf.DUMMYFUNCTION("""COMPUTED_VALUE"""),-0.002935000000000021)</f>
        <v>-0.002935</v>
      </c>
    </row>
    <row r="4674">
      <c r="A4674" s="5" t="str">
        <f>IFERROR(__xludf.DUMMYFUNCTION("""COMPUTED_VALUE"""),"69930")</f>
        <v>69930</v>
      </c>
      <c r="B4674" s="64">
        <f>IFERROR(__xludf.DUMMYFUNCTION("""COMPUTED_VALUE"""),44643.0)</f>
        <v>44643</v>
      </c>
      <c r="C4674" s="5"/>
      <c r="D4674" s="5"/>
      <c r="E4674" s="5"/>
      <c r="F4674" s="22">
        <f>IFERROR(__xludf.DUMMYFUNCTION("""COMPUTED_VALUE"""),500000.0)</f>
        <v>500000</v>
      </c>
      <c r="G4674" s="22">
        <f>IFERROR(__xludf.DUMMYFUNCTION("""COMPUTED_VALUE"""),0.0)</f>
        <v>0</v>
      </c>
      <c r="H4674" s="22">
        <f>IFERROR(__xludf.DUMMYFUNCTION("""COMPUTED_VALUE"""),498572.5)</f>
        <v>498572.5</v>
      </c>
      <c r="I4674" s="24">
        <f>IFERROR(__xludf.DUMMYFUNCTION("""COMPUTED_VALUE"""),-0.002855000000000052)</f>
        <v>-0.002855</v>
      </c>
    </row>
    <row r="4675">
      <c r="A4675" s="5" t="str">
        <f>IFERROR(__xludf.DUMMYFUNCTION("""COMPUTED_VALUE"""),"69930")</f>
        <v>69930</v>
      </c>
      <c r="B4675" s="64">
        <f>IFERROR(__xludf.DUMMYFUNCTION("""COMPUTED_VALUE"""),44644.0)</f>
        <v>44644</v>
      </c>
      <c r="C4675" s="5"/>
      <c r="D4675" s="5"/>
      <c r="E4675" s="5"/>
      <c r="F4675" s="22">
        <f>IFERROR(__xludf.DUMMYFUNCTION("""COMPUTED_VALUE"""),500000.0)</f>
        <v>500000</v>
      </c>
      <c r="G4675" s="22">
        <f>IFERROR(__xludf.DUMMYFUNCTION("""COMPUTED_VALUE"""),0.0)</f>
        <v>0</v>
      </c>
      <c r="H4675" s="22">
        <f>IFERROR(__xludf.DUMMYFUNCTION("""COMPUTED_VALUE"""),498580.0)</f>
        <v>498580</v>
      </c>
      <c r="I4675" s="24">
        <f>IFERROR(__xludf.DUMMYFUNCTION("""COMPUTED_VALUE"""),-0.0028399999999999537)</f>
        <v>-0.00284</v>
      </c>
    </row>
    <row r="4676">
      <c r="A4676" s="5" t="str">
        <f>IFERROR(__xludf.DUMMYFUNCTION("""COMPUTED_VALUE"""),"69930")</f>
        <v>69930</v>
      </c>
      <c r="B4676" s="64">
        <f>IFERROR(__xludf.DUMMYFUNCTION("""COMPUTED_VALUE"""),44645.0)</f>
        <v>44645</v>
      </c>
      <c r="C4676" s="5"/>
      <c r="D4676" s="5"/>
      <c r="E4676" s="5"/>
      <c r="F4676" s="22">
        <f>IFERROR(__xludf.DUMMYFUNCTION("""COMPUTED_VALUE"""),500000.0)</f>
        <v>500000</v>
      </c>
      <c r="G4676" s="22">
        <f>IFERROR(__xludf.DUMMYFUNCTION("""COMPUTED_VALUE"""),0.0)</f>
        <v>0</v>
      </c>
      <c r="H4676" s="22">
        <f>IFERROR(__xludf.DUMMYFUNCTION("""COMPUTED_VALUE"""),498510.0)</f>
        <v>498510</v>
      </c>
      <c r="I4676" s="24">
        <f>IFERROR(__xludf.DUMMYFUNCTION("""COMPUTED_VALUE"""),-0.0029799999999999827)</f>
        <v>-0.00298</v>
      </c>
    </row>
    <row r="4677">
      <c r="A4677" s="5" t="str">
        <f>IFERROR(__xludf.DUMMYFUNCTION("""COMPUTED_VALUE"""),"69930")</f>
        <v>69930</v>
      </c>
      <c r="B4677" s="64">
        <f>IFERROR(__xludf.DUMMYFUNCTION("""COMPUTED_VALUE"""),44646.0)</f>
        <v>44646</v>
      </c>
      <c r="C4677" s="5"/>
      <c r="D4677" s="5"/>
      <c r="E4677" s="5"/>
      <c r="F4677" s="22">
        <f>IFERROR(__xludf.DUMMYFUNCTION("""COMPUTED_VALUE"""),500000.0)</f>
        <v>500000</v>
      </c>
      <c r="G4677" s="22">
        <f>IFERROR(__xludf.DUMMYFUNCTION("""COMPUTED_VALUE"""),0.0)</f>
        <v>0</v>
      </c>
      <c r="H4677" s="22">
        <f>IFERROR(__xludf.DUMMYFUNCTION("""COMPUTED_VALUE"""),498510.0)</f>
        <v>498510</v>
      </c>
      <c r="I4677" s="24">
        <f>IFERROR(__xludf.DUMMYFUNCTION("""COMPUTED_VALUE"""),-0.0029799999999999827)</f>
        <v>-0.00298</v>
      </c>
    </row>
    <row r="4678">
      <c r="A4678" s="5" t="str">
        <f>IFERROR(__xludf.DUMMYFUNCTION("""COMPUTED_VALUE"""),"69930")</f>
        <v>69930</v>
      </c>
      <c r="B4678" s="64">
        <f>IFERROR(__xludf.DUMMYFUNCTION("""COMPUTED_VALUE"""),44647.0)</f>
        <v>44647</v>
      </c>
      <c r="C4678" s="5"/>
      <c r="D4678" s="5"/>
      <c r="E4678" s="5"/>
      <c r="F4678" s="22">
        <f>IFERROR(__xludf.DUMMYFUNCTION("""COMPUTED_VALUE"""),500000.0)</f>
        <v>500000</v>
      </c>
      <c r="G4678" s="22">
        <f>IFERROR(__xludf.DUMMYFUNCTION("""COMPUTED_VALUE"""),0.0)</f>
        <v>0</v>
      </c>
      <c r="H4678" s="22">
        <f>IFERROR(__xludf.DUMMYFUNCTION("""COMPUTED_VALUE"""),498510.0)</f>
        <v>498510</v>
      </c>
      <c r="I4678" s="24">
        <f>IFERROR(__xludf.DUMMYFUNCTION("""COMPUTED_VALUE"""),-0.0029799999999999827)</f>
        <v>-0.00298</v>
      </c>
    </row>
    <row r="4679">
      <c r="A4679" s="5" t="str">
        <f>IFERROR(__xludf.DUMMYFUNCTION("""COMPUTED_VALUE"""),"69930")</f>
        <v>69930</v>
      </c>
      <c r="B4679" s="64">
        <f>IFERROR(__xludf.DUMMYFUNCTION("""COMPUTED_VALUE"""),44648.0)</f>
        <v>44648</v>
      </c>
      <c r="C4679" s="5"/>
      <c r="D4679" s="5"/>
      <c r="E4679" s="5"/>
      <c r="F4679" s="22">
        <f>IFERROR(__xludf.DUMMYFUNCTION("""COMPUTED_VALUE"""),500000.0)</f>
        <v>500000</v>
      </c>
      <c r="G4679" s="22">
        <f>IFERROR(__xludf.DUMMYFUNCTION("""COMPUTED_VALUE"""),0.0)</f>
        <v>0</v>
      </c>
      <c r="H4679" s="22">
        <f>IFERROR(__xludf.DUMMYFUNCTION("""COMPUTED_VALUE"""),498507.5)</f>
        <v>498507.5</v>
      </c>
      <c r="I4679" s="24">
        <f>IFERROR(__xludf.DUMMYFUNCTION("""COMPUTED_VALUE"""),-0.0029850000000000154)</f>
        <v>-0.002985</v>
      </c>
    </row>
    <row r="4680">
      <c r="A4680" s="5" t="str">
        <f>IFERROR(__xludf.DUMMYFUNCTION("""COMPUTED_VALUE"""),"69930")</f>
        <v>69930</v>
      </c>
      <c r="B4680" s="64">
        <f>IFERROR(__xludf.DUMMYFUNCTION("""COMPUTED_VALUE"""),44649.0)</f>
        <v>44649</v>
      </c>
      <c r="C4680" s="5"/>
      <c r="D4680" s="5"/>
      <c r="E4680" s="5"/>
      <c r="F4680" s="22">
        <f>IFERROR(__xludf.DUMMYFUNCTION("""COMPUTED_VALUE"""),500000.0)</f>
        <v>500000</v>
      </c>
      <c r="G4680" s="22">
        <f>IFERROR(__xludf.DUMMYFUNCTION("""COMPUTED_VALUE"""),0.0)</f>
        <v>0</v>
      </c>
      <c r="H4680" s="22">
        <f>IFERROR(__xludf.DUMMYFUNCTION("""COMPUTED_VALUE"""),498510.0)</f>
        <v>498510</v>
      </c>
      <c r="I4680" s="24">
        <f>IFERROR(__xludf.DUMMYFUNCTION("""COMPUTED_VALUE"""),-0.0029799999999999827)</f>
        <v>-0.00298</v>
      </c>
    </row>
    <row r="4681">
      <c r="A4681" s="5" t="str">
        <f>IFERROR(__xludf.DUMMYFUNCTION("""COMPUTED_VALUE"""),"69930")</f>
        <v>69930</v>
      </c>
      <c r="B4681" s="64">
        <f>IFERROR(__xludf.DUMMYFUNCTION("""COMPUTED_VALUE"""),44650.0)</f>
        <v>44650</v>
      </c>
      <c r="C4681" s="5"/>
      <c r="D4681" s="5"/>
      <c r="E4681" s="5"/>
      <c r="F4681" s="22">
        <f>IFERROR(__xludf.DUMMYFUNCTION("""COMPUTED_VALUE"""),500000.0)</f>
        <v>500000</v>
      </c>
      <c r="G4681" s="22">
        <f>IFERROR(__xludf.DUMMYFUNCTION("""COMPUTED_VALUE"""),0.0)</f>
        <v>0</v>
      </c>
      <c r="H4681" s="22">
        <f>IFERROR(__xludf.DUMMYFUNCTION("""COMPUTED_VALUE"""),498557.5)</f>
        <v>498557.5</v>
      </c>
      <c r="I4681" s="24">
        <f>IFERROR(__xludf.DUMMYFUNCTION("""COMPUTED_VALUE"""),-0.0028850000000000264)</f>
        <v>-0.002885</v>
      </c>
    </row>
    <row r="4682">
      <c r="A4682" s="5" t="str">
        <f>IFERROR(__xludf.DUMMYFUNCTION("""COMPUTED_VALUE"""),"69930")</f>
        <v>69930</v>
      </c>
      <c r="B4682" s="64">
        <f>IFERROR(__xludf.DUMMYFUNCTION("""COMPUTED_VALUE"""),44651.0)</f>
        <v>44651</v>
      </c>
      <c r="C4682" s="5"/>
      <c r="D4682" s="5"/>
      <c r="E4682" s="5"/>
      <c r="F4682" s="22">
        <f>IFERROR(__xludf.DUMMYFUNCTION("""COMPUTED_VALUE"""),500000.0)</f>
        <v>500000</v>
      </c>
      <c r="G4682" s="22">
        <f>IFERROR(__xludf.DUMMYFUNCTION("""COMPUTED_VALUE"""),0.0)</f>
        <v>0</v>
      </c>
      <c r="H4682" s="22">
        <f>IFERROR(__xludf.DUMMYFUNCTION("""COMPUTED_VALUE"""),498520.0)</f>
        <v>498520</v>
      </c>
      <c r="I4682" s="24">
        <f>IFERROR(__xludf.DUMMYFUNCTION("""COMPUTED_VALUE"""),-0.0029599999999999627)</f>
        <v>-0.00296</v>
      </c>
    </row>
    <row r="4683">
      <c r="A4683" s="5" t="str">
        <f>IFERROR(__xludf.DUMMYFUNCTION("""COMPUTED_VALUE"""),"69930")</f>
        <v>69930</v>
      </c>
      <c r="B4683" s="64">
        <f>IFERROR(__xludf.DUMMYFUNCTION("""COMPUTED_VALUE"""),44652.0)</f>
        <v>44652</v>
      </c>
      <c r="C4683" s="5"/>
      <c r="D4683" s="5"/>
      <c r="E4683" s="5"/>
      <c r="F4683" s="22">
        <f>IFERROR(__xludf.DUMMYFUNCTION("""COMPUTED_VALUE"""),500000.0)</f>
        <v>500000</v>
      </c>
      <c r="G4683" s="22">
        <f>IFERROR(__xludf.DUMMYFUNCTION("""COMPUTED_VALUE"""),0.0)</f>
        <v>0</v>
      </c>
      <c r="H4683" s="22">
        <f>IFERROR(__xludf.DUMMYFUNCTION("""COMPUTED_VALUE"""),498562.5)</f>
        <v>498562.5</v>
      </c>
      <c r="I4683" s="24">
        <f>IFERROR(__xludf.DUMMYFUNCTION("""COMPUTED_VALUE"""),-0.002874999999999961)</f>
        <v>-0.002875</v>
      </c>
    </row>
    <row r="4684">
      <c r="A4684" s="5" t="str">
        <f>IFERROR(__xludf.DUMMYFUNCTION("""COMPUTED_VALUE"""),"69930")</f>
        <v>69930</v>
      </c>
      <c r="B4684" s="64">
        <f>IFERROR(__xludf.DUMMYFUNCTION("""COMPUTED_VALUE"""),44653.0)</f>
        <v>44653</v>
      </c>
      <c r="C4684" s="5"/>
      <c r="D4684" s="5"/>
      <c r="E4684" s="5"/>
      <c r="F4684" s="22">
        <f>IFERROR(__xludf.DUMMYFUNCTION("""COMPUTED_VALUE"""),500000.0)</f>
        <v>500000</v>
      </c>
      <c r="G4684" s="22">
        <f>IFERROR(__xludf.DUMMYFUNCTION("""COMPUTED_VALUE"""),0.0)</f>
        <v>0</v>
      </c>
      <c r="H4684" s="22">
        <f>IFERROR(__xludf.DUMMYFUNCTION("""COMPUTED_VALUE"""),498562.5)</f>
        <v>498562.5</v>
      </c>
      <c r="I4684" s="24">
        <f>IFERROR(__xludf.DUMMYFUNCTION("""COMPUTED_VALUE"""),-0.002874999999999961)</f>
        <v>-0.002875</v>
      </c>
    </row>
    <row r="4685">
      <c r="A4685" s="5" t="str">
        <f>IFERROR(__xludf.DUMMYFUNCTION("""COMPUTED_VALUE"""),"69930")</f>
        <v>69930</v>
      </c>
      <c r="B4685" s="64">
        <f>IFERROR(__xludf.DUMMYFUNCTION("""COMPUTED_VALUE"""),44654.0)</f>
        <v>44654</v>
      </c>
      <c r="C4685" s="5"/>
      <c r="D4685" s="5"/>
      <c r="E4685" s="5"/>
      <c r="F4685" s="22">
        <f>IFERROR(__xludf.DUMMYFUNCTION("""COMPUTED_VALUE"""),500000.0)</f>
        <v>500000</v>
      </c>
      <c r="G4685" s="22">
        <f>IFERROR(__xludf.DUMMYFUNCTION("""COMPUTED_VALUE"""),0.0)</f>
        <v>0</v>
      </c>
      <c r="H4685" s="22">
        <f>IFERROR(__xludf.DUMMYFUNCTION("""COMPUTED_VALUE"""),498562.5)</f>
        <v>498562.5</v>
      </c>
      <c r="I4685" s="24">
        <f>IFERROR(__xludf.DUMMYFUNCTION("""COMPUTED_VALUE"""),-0.002874999999999961)</f>
        <v>-0.002875</v>
      </c>
    </row>
    <row r="4686">
      <c r="A4686" s="5" t="str">
        <f>IFERROR(__xludf.DUMMYFUNCTION("""COMPUTED_VALUE"""),"69930")</f>
        <v>69930</v>
      </c>
      <c r="B4686" s="64">
        <f>IFERROR(__xludf.DUMMYFUNCTION("""COMPUTED_VALUE"""),44655.0)</f>
        <v>44655</v>
      </c>
      <c r="C4686" s="5"/>
      <c r="D4686" s="5"/>
      <c r="E4686" s="5"/>
      <c r="F4686" s="22">
        <f>IFERROR(__xludf.DUMMYFUNCTION("""COMPUTED_VALUE"""),500000.0)</f>
        <v>500000</v>
      </c>
      <c r="G4686" s="22">
        <f>IFERROR(__xludf.DUMMYFUNCTION("""COMPUTED_VALUE"""),0.0)</f>
        <v>0</v>
      </c>
      <c r="H4686" s="22">
        <f>IFERROR(__xludf.DUMMYFUNCTION("""COMPUTED_VALUE"""),498700.0)</f>
        <v>498700</v>
      </c>
      <c r="I4686" s="24">
        <f>IFERROR(__xludf.DUMMYFUNCTION("""COMPUTED_VALUE"""),-0.0026000000000000467)</f>
        <v>-0.0026</v>
      </c>
    </row>
    <row r="4687">
      <c r="A4687" s="5" t="str">
        <f>IFERROR(__xludf.DUMMYFUNCTION("""COMPUTED_VALUE"""),"69930")</f>
        <v>69930</v>
      </c>
      <c r="B4687" s="64">
        <f>IFERROR(__xludf.DUMMYFUNCTION("""COMPUTED_VALUE"""),44656.0)</f>
        <v>44656</v>
      </c>
      <c r="C4687" s="5"/>
      <c r="D4687" s="5"/>
      <c r="E4687" s="5"/>
      <c r="F4687" s="22">
        <f>IFERROR(__xludf.DUMMYFUNCTION("""COMPUTED_VALUE"""),500000.0)</f>
        <v>500000</v>
      </c>
      <c r="G4687" s="22">
        <f>IFERROR(__xludf.DUMMYFUNCTION("""COMPUTED_VALUE"""),0.0)</f>
        <v>0</v>
      </c>
      <c r="H4687" s="22">
        <f>IFERROR(__xludf.DUMMYFUNCTION("""COMPUTED_VALUE"""),498700.0)</f>
        <v>498700</v>
      </c>
      <c r="I4687" s="24">
        <f>IFERROR(__xludf.DUMMYFUNCTION("""COMPUTED_VALUE"""),-0.0026000000000000467)</f>
        <v>-0.0026</v>
      </c>
    </row>
    <row r="4688">
      <c r="A4688" s="5" t="str">
        <f>IFERROR(__xludf.DUMMYFUNCTION("""COMPUTED_VALUE"""),"69930")</f>
        <v>69930</v>
      </c>
      <c r="B4688" s="64">
        <f>IFERROR(__xludf.DUMMYFUNCTION("""COMPUTED_VALUE"""),44657.0)</f>
        <v>44657</v>
      </c>
      <c r="C4688" s="5"/>
      <c r="D4688" s="5"/>
      <c r="E4688" s="5"/>
      <c r="F4688" s="22">
        <f>IFERROR(__xludf.DUMMYFUNCTION("""COMPUTED_VALUE"""),500000.0)</f>
        <v>500000</v>
      </c>
      <c r="G4688" s="22">
        <f>IFERROR(__xludf.DUMMYFUNCTION("""COMPUTED_VALUE"""),0.0)</f>
        <v>0</v>
      </c>
      <c r="H4688" s="22">
        <f>IFERROR(__xludf.DUMMYFUNCTION("""COMPUTED_VALUE"""),498660.0)</f>
        <v>498660</v>
      </c>
      <c r="I4688" s="24">
        <f>IFERROR(__xludf.DUMMYFUNCTION("""COMPUTED_VALUE"""),-0.0026800000000000157)</f>
        <v>-0.00268</v>
      </c>
    </row>
    <row r="4689">
      <c r="A4689" s="5" t="str">
        <f>IFERROR(__xludf.DUMMYFUNCTION("""COMPUTED_VALUE"""),"69930")</f>
        <v>69930</v>
      </c>
      <c r="B4689" s="64">
        <f>IFERROR(__xludf.DUMMYFUNCTION("""COMPUTED_VALUE"""),44658.0)</f>
        <v>44658</v>
      </c>
      <c r="C4689" s="5"/>
      <c r="D4689" s="5"/>
      <c r="E4689" s="5"/>
      <c r="F4689" s="22">
        <f>IFERROR(__xludf.DUMMYFUNCTION("""COMPUTED_VALUE"""),500000.0)</f>
        <v>500000</v>
      </c>
      <c r="G4689" s="22">
        <f>IFERROR(__xludf.DUMMYFUNCTION("""COMPUTED_VALUE"""),0.0)</f>
        <v>0</v>
      </c>
      <c r="H4689" s="22">
        <f>IFERROR(__xludf.DUMMYFUNCTION("""COMPUTED_VALUE"""),498602.5)</f>
        <v>498602.5</v>
      </c>
      <c r="I4689" s="24">
        <f>IFERROR(__xludf.DUMMYFUNCTION("""COMPUTED_VALUE"""),-0.002794999999999992)</f>
        <v>-0.002795</v>
      </c>
    </row>
    <row r="4690">
      <c r="A4690" s="5" t="str">
        <f>IFERROR(__xludf.DUMMYFUNCTION("""COMPUTED_VALUE"""),"69930")</f>
        <v>69930</v>
      </c>
      <c r="B4690" s="64">
        <f>IFERROR(__xludf.DUMMYFUNCTION("""COMPUTED_VALUE"""),44659.0)</f>
        <v>44659</v>
      </c>
      <c r="C4690" s="5"/>
      <c r="D4690" s="5"/>
      <c r="E4690" s="5"/>
      <c r="F4690" s="22">
        <f>IFERROR(__xludf.DUMMYFUNCTION("""COMPUTED_VALUE"""),500000.0)</f>
        <v>500000</v>
      </c>
      <c r="G4690" s="22">
        <f>IFERROR(__xludf.DUMMYFUNCTION("""COMPUTED_VALUE"""),0.0)</f>
        <v>0</v>
      </c>
      <c r="H4690" s="22">
        <f>IFERROR(__xludf.DUMMYFUNCTION("""COMPUTED_VALUE"""),498687.5)</f>
        <v>498687.5</v>
      </c>
      <c r="I4690" s="24">
        <f>IFERROR(__xludf.DUMMYFUNCTION("""COMPUTED_VALUE"""),-0.0026249999999999885)</f>
        <v>-0.002625</v>
      </c>
    </row>
    <row r="4691">
      <c r="A4691" s="5" t="str">
        <f>IFERROR(__xludf.DUMMYFUNCTION("""COMPUTED_VALUE"""),"69930")</f>
        <v>69930</v>
      </c>
      <c r="B4691" s="64">
        <f>IFERROR(__xludf.DUMMYFUNCTION("""COMPUTED_VALUE"""),44660.0)</f>
        <v>44660</v>
      </c>
      <c r="C4691" s="5"/>
      <c r="D4691" s="5"/>
      <c r="E4691" s="5"/>
      <c r="F4691" s="22">
        <f>IFERROR(__xludf.DUMMYFUNCTION("""COMPUTED_VALUE"""),500000.0)</f>
        <v>500000</v>
      </c>
      <c r="G4691" s="22">
        <f>IFERROR(__xludf.DUMMYFUNCTION("""COMPUTED_VALUE"""),0.0)</f>
        <v>0</v>
      </c>
      <c r="H4691" s="22">
        <f>IFERROR(__xludf.DUMMYFUNCTION("""COMPUTED_VALUE"""),498687.5)</f>
        <v>498687.5</v>
      </c>
      <c r="I4691" s="24">
        <f>IFERROR(__xludf.DUMMYFUNCTION("""COMPUTED_VALUE"""),-0.0026249999999999885)</f>
        <v>-0.002625</v>
      </c>
    </row>
    <row r="4692">
      <c r="A4692" s="5" t="str">
        <f>IFERROR(__xludf.DUMMYFUNCTION("""COMPUTED_VALUE"""),"69930")</f>
        <v>69930</v>
      </c>
      <c r="B4692" s="64">
        <f>IFERROR(__xludf.DUMMYFUNCTION("""COMPUTED_VALUE"""),44661.0)</f>
        <v>44661</v>
      </c>
      <c r="C4692" s="5"/>
      <c r="D4692" s="5"/>
      <c r="E4692" s="5"/>
      <c r="F4692" s="22">
        <f>IFERROR(__xludf.DUMMYFUNCTION("""COMPUTED_VALUE"""),500000.0)</f>
        <v>500000</v>
      </c>
      <c r="G4692" s="22">
        <f>IFERROR(__xludf.DUMMYFUNCTION("""COMPUTED_VALUE"""),0.0)</f>
        <v>0</v>
      </c>
      <c r="H4692" s="22">
        <f>IFERROR(__xludf.DUMMYFUNCTION("""COMPUTED_VALUE"""),498687.5)</f>
        <v>498687.5</v>
      </c>
      <c r="I4692" s="24">
        <f>IFERROR(__xludf.DUMMYFUNCTION("""COMPUTED_VALUE"""),-0.0026249999999999885)</f>
        <v>-0.002625</v>
      </c>
    </row>
    <row r="4693">
      <c r="A4693" s="5" t="str">
        <f>IFERROR(__xludf.DUMMYFUNCTION("""COMPUTED_VALUE"""),"69930")</f>
        <v>69930</v>
      </c>
      <c r="B4693" s="64">
        <f>IFERROR(__xludf.DUMMYFUNCTION("""COMPUTED_VALUE"""),44662.0)</f>
        <v>44662</v>
      </c>
      <c r="C4693" s="5"/>
      <c r="D4693" s="5"/>
      <c r="E4693" s="5"/>
      <c r="F4693" s="22">
        <f>IFERROR(__xludf.DUMMYFUNCTION("""COMPUTED_VALUE"""),500000.0)</f>
        <v>500000</v>
      </c>
      <c r="G4693" s="22">
        <f>IFERROR(__xludf.DUMMYFUNCTION("""COMPUTED_VALUE"""),0.0)</f>
        <v>0</v>
      </c>
      <c r="H4693" s="22">
        <f>IFERROR(__xludf.DUMMYFUNCTION("""COMPUTED_VALUE"""),498525.0)</f>
        <v>498525</v>
      </c>
      <c r="I4693" s="24">
        <f>IFERROR(__xludf.DUMMYFUNCTION("""COMPUTED_VALUE"""),-0.002950000000000008)</f>
        <v>-0.00295</v>
      </c>
    </row>
    <row r="4694">
      <c r="A4694" s="5" t="str">
        <f>IFERROR(__xludf.DUMMYFUNCTION("""COMPUTED_VALUE"""),"69930")</f>
        <v>69930</v>
      </c>
      <c r="B4694" s="64">
        <f>IFERROR(__xludf.DUMMYFUNCTION("""COMPUTED_VALUE"""),44663.0)</f>
        <v>44663</v>
      </c>
      <c r="C4694" s="5"/>
      <c r="D4694" s="5"/>
      <c r="E4694" s="5"/>
      <c r="F4694" s="22">
        <f>IFERROR(__xludf.DUMMYFUNCTION("""COMPUTED_VALUE"""),500000.0)</f>
        <v>500000</v>
      </c>
      <c r="G4694" s="22">
        <f>IFERROR(__xludf.DUMMYFUNCTION("""COMPUTED_VALUE"""),0.0)</f>
        <v>0</v>
      </c>
      <c r="H4694" s="22">
        <f>IFERROR(__xludf.DUMMYFUNCTION("""COMPUTED_VALUE"""),498510.0)</f>
        <v>498510</v>
      </c>
      <c r="I4694" s="24">
        <f>IFERROR(__xludf.DUMMYFUNCTION("""COMPUTED_VALUE"""),-0.0029799999999999827)</f>
        <v>-0.00298</v>
      </c>
    </row>
    <row r="4695">
      <c r="A4695" s="5" t="str">
        <f>IFERROR(__xludf.DUMMYFUNCTION("""COMPUTED_VALUE"""),"70227")</f>
        <v>70227</v>
      </c>
      <c r="B4695" s="64">
        <f>IFERROR(__xludf.DUMMYFUNCTION("""COMPUTED_VALUE"""),44597.0)</f>
        <v>44597</v>
      </c>
      <c r="C4695" s="5"/>
      <c r="D4695" s="5"/>
      <c r="E4695" s="5"/>
      <c r="F4695" s="22">
        <f>IFERROR(__xludf.DUMMYFUNCTION("""COMPUTED_VALUE"""),500000.0)</f>
        <v>500000</v>
      </c>
      <c r="G4695" s="22">
        <f>IFERROR(__xludf.DUMMYFUNCTION("""COMPUTED_VALUE"""),0.0)</f>
        <v>0</v>
      </c>
      <c r="H4695" s="22">
        <f>IFERROR(__xludf.DUMMYFUNCTION("""COMPUTED_VALUE"""),500000.0)</f>
        <v>500000</v>
      </c>
      <c r="I4695" s="24">
        <f>IFERROR(__xludf.DUMMYFUNCTION("""COMPUTED_VALUE"""),0.0)</f>
        <v>0</v>
      </c>
    </row>
    <row r="4696">
      <c r="A4696" s="5" t="str">
        <f>IFERROR(__xludf.DUMMYFUNCTION("""COMPUTED_VALUE"""),"70227")</f>
        <v>70227</v>
      </c>
      <c r="B4696" s="64">
        <f>IFERROR(__xludf.DUMMYFUNCTION("""COMPUTED_VALUE"""),44598.0)</f>
        <v>44598</v>
      </c>
      <c r="C4696" s="5"/>
      <c r="D4696" s="5"/>
      <c r="E4696" s="5"/>
      <c r="F4696" s="22">
        <f>IFERROR(__xludf.DUMMYFUNCTION("""COMPUTED_VALUE"""),500000.0)</f>
        <v>500000</v>
      </c>
      <c r="G4696" s="22">
        <f>IFERROR(__xludf.DUMMYFUNCTION("""COMPUTED_VALUE"""),0.0)</f>
        <v>0</v>
      </c>
      <c r="H4696" s="22">
        <f>IFERROR(__xludf.DUMMYFUNCTION("""COMPUTED_VALUE"""),500000.0)</f>
        <v>500000</v>
      </c>
      <c r="I4696" s="24">
        <f>IFERROR(__xludf.DUMMYFUNCTION("""COMPUTED_VALUE"""),0.0)</f>
        <v>0</v>
      </c>
    </row>
    <row r="4697">
      <c r="A4697" s="5" t="str">
        <f>IFERROR(__xludf.DUMMYFUNCTION("""COMPUTED_VALUE"""),"70227")</f>
        <v>70227</v>
      </c>
      <c r="B4697" s="64">
        <f>IFERROR(__xludf.DUMMYFUNCTION("""COMPUTED_VALUE"""),44599.0)</f>
        <v>44599</v>
      </c>
      <c r="C4697" s="5"/>
      <c r="D4697" s="5"/>
      <c r="E4697" s="5"/>
      <c r="F4697" s="22">
        <f>IFERROR(__xludf.DUMMYFUNCTION("""COMPUTED_VALUE"""),500000.0)</f>
        <v>500000</v>
      </c>
      <c r="G4697" s="22">
        <f>IFERROR(__xludf.DUMMYFUNCTION("""COMPUTED_VALUE"""),0.0)</f>
        <v>0</v>
      </c>
      <c r="H4697" s="22">
        <f>IFERROR(__xludf.DUMMYFUNCTION("""COMPUTED_VALUE"""),500000.0)</f>
        <v>500000</v>
      </c>
      <c r="I4697" s="24">
        <f>IFERROR(__xludf.DUMMYFUNCTION("""COMPUTED_VALUE"""),0.0)</f>
        <v>0</v>
      </c>
    </row>
    <row r="4698">
      <c r="A4698" s="5" t="str">
        <f>IFERROR(__xludf.DUMMYFUNCTION("""COMPUTED_VALUE"""),"70227")</f>
        <v>70227</v>
      </c>
      <c r="B4698" s="64">
        <f>IFERROR(__xludf.DUMMYFUNCTION("""COMPUTED_VALUE"""),44600.0)</f>
        <v>44600</v>
      </c>
      <c r="C4698" s="5"/>
      <c r="D4698" s="5"/>
      <c r="E4698" s="5"/>
      <c r="F4698" s="22">
        <f>IFERROR(__xludf.DUMMYFUNCTION("""COMPUTED_VALUE"""),500000.0)</f>
        <v>500000</v>
      </c>
      <c r="G4698" s="22">
        <f>IFERROR(__xludf.DUMMYFUNCTION("""COMPUTED_VALUE"""),0.0)</f>
        <v>0</v>
      </c>
      <c r="H4698" s="22">
        <f>IFERROR(__xludf.DUMMYFUNCTION("""COMPUTED_VALUE"""),500000.0)</f>
        <v>500000</v>
      </c>
      <c r="I4698" s="24">
        <f>IFERROR(__xludf.DUMMYFUNCTION("""COMPUTED_VALUE"""),0.0)</f>
        <v>0</v>
      </c>
    </row>
    <row r="4699">
      <c r="A4699" s="5" t="str">
        <f>IFERROR(__xludf.DUMMYFUNCTION("""COMPUTED_VALUE"""),"70227")</f>
        <v>70227</v>
      </c>
      <c r="B4699" s="64">
        <f>IFERROR(__xludf.DUMMYFUNCTION("""COMPUTED_VALUE"""),44601.0)</f>
        <v>44601</v>
      </c>
      <c r="C4699" s="5"/>
      <c r="D4699" s="5"/>
      <c r="E4699" s="5"/>
      <c r="F4699" s="22">
        <f>IFERROR(__xludf.DUMMYFUNCTION("""COMPUTED_VALUE"""),500000.0)</f>
        <v>500000</v>
      </c>
      <c r="G4699" s="22">
        <f>IFERROR(__xludf.DUMMYFUNCTION("""COMPUTED_VALUE"""),0.0)</f>
        <v>0</v>
      </c>
      <c r="H4699" s="22">
        <f>IFERROR(__xludf.DUMMYFUNCTION("""COMPUTED_VALUE"""),500000.0)</f>
        <v>500000</v>
      </c>
      <c r="I4699" s="24">
        <f>IFERROR(__xludf.DUMMYFUNCTION("""COMPUTED_VALUE"""),0.0)</f>
        <v>0</v>
      </c>
    </row>
    <row r="4700">
      <c r="A4700" s="5" t="str">
        <f>IFERROR(__xludf.DUMMYFUNCTION("""COMPUTED_VALUE"""),"70227")</f>
        <v>70227</v>
      </c>
      <c r="B4700" s="64">
        <f>IFERROR(__xludf.DUMMYFUNCTION("""COMPUTED_VALUE"""),44602.0)</f>
        <v>44602</v>
      </c>
      <c r="C4700" s="5"/>
      <c r="D4700" s="5"/>
      <c r="E4700" s="5"/>
      <c r="F4700" s="22">
        <f>IFERROR(__xludf.DUMMYFUNCTION("""COMPUTED_VALUE"""),500000.0)</f>
        <v>500000</v>
      </c>
      <c r="G4700" s="22">
        <f>IFERROR(__xludf.DUMMYFUNCTION("""COMPUTED_VALUE"""),0.0)</f>
        <v>0</v>
      </c>
      <c r="H4700" s="22">
        <f>IFERROR(__xludf.DUMMYFUNCTION("""COMPUTED_VALUE"""),500000.0)</f>
        <v>500000</v>
      </c>
      <c r="I4700" s="24">
        <f>IFERROR(__xludf.DUMMYFUNCTION("""COMPUTED_VALUE"""),0.0)</f>
        <v>0</v>
      </c>
    </row>
    <row r="4701">
      <c r="A4701" s="5" t="str">
        <f>IFERROR(__xludf.DUMMYFUNCTION("""COMPUTED_VALUE"""),"70227")</f>
        <v>70227</v>
      </c>
      <c r="B4701" s="64">
        <f>IFERROR(__xludf.DUMMYFUNCTION("""COMPUTED_VALUE"""),44603.0)</f>
        <v>44603</v>
      </c>
      <c r="C4701" s="5"/>
      <c r="D4701" s="5"/>
      <c r="E4701" s="5"/>
      <c r="F4701" s="22">
        <f>IFERROR(__xludf.DUMMYFUNCTION("""COMPUTED_VALUE"""),500000.0)</f>
        <v>500000</v>
      </c>
      <c r="G4701" s="22">
        <f>IFERROR(__xludf.DUMMYFUNCTION("""COMPUTED_VALUE"""),0.0)</f>
        <v>0</v>
      </c>
      <c r="H4701" s="22">
        <f>IFERROR(__xludf.DUMMYFUNCTION("""COMPUTED_VALUE"""),500000.0)</f>
        <v>500000</v>
      </c>
      <c r="I4701" s="24">
        <f>IFERROR(__xludf.DUMMYFUNCTION("""COMPUTED_VALUE"""),0.0)</f>
        <v>0</v>
      </c>
    </row>
    <row r="4702">
      <c r="A4702" s="5" t="str">
        <f>IFERROR(__xludf.DUMMYFUNCTION("""COMPUTED_VALUE"""),"70227")</f>
        <v>70227</v>
      </c>
      <c r="B4702" s="64">
        <f>IFERROR(__xludf.DUMMYFUNCTION("""COMPUTED_VALUE"""),44604.0)</f>
        <v>44604</v>
      </c>
      <c r="C4702" s="5"/>
      <c r="D4702" s="5"/>
      <c r="E4702" s="5"/>
      <c r="F4702" s="22">
        <f>IFERROR(__xludf.DUMMYFUNCTION("""COMPUTED_VALUE"""),500000.0)</f>
        <v>500000</v>
      </c>
      <c r="G4702" s="22">
        <f>IFERROR(__xludf.DUMMYFUNCTION("""COMPUTED_VALUE"""),0.0)</f>
        <v>0</v>
      </c>
      <c r="H4702" s="22">
        <f>IFERROR(__xludf.DUMMYFUNCTION("""COMPUTED_VALUE"""),500000.0)</f>
        <v>500000</v>
      </c>
      <c r="I4702" s="24">
        <f>IFERROR(__xludf.DUMMYFUNCTION("""COMPUTED_VALUE"""),0.0)</f>
        <v>0</v>
      </c>
    </row>
    <row r="4703">
      <c r="A4703" s="5" t="str">
        <f>IFERROR(__xludf.DUMMYFUNCTION("""COMPUTED_VALUE"""),"70227")</f>
        <v>70227</v>
      </c>
      <c r="B4703" s="64">
        <f>IFERROR(__xludf.DUMMYFUNCTION("""COMPUTED_VALUE"""),44605.0)</f>
        <v>44605</v>
      </c>
      <c r="C4703" s="5"/>
      <c r="D4703" s="5"/>
      <c r="E4703" s="5"/>
      <c r="F4703" s="22">
        <f>IFERROR(__xludf.DUMMYFUNCTION("""COMPUTED_VALUE"""),500000.0)</f>
        <v>500000</v>
      </c>
      <c r="G4703" s="22">
        <f>IFERROR(__xludf.DUMMYFUNCTION("""COMPUTED_VALUE"""),0.0)</f>
        <v>0</v>
      </c>
      <c r="H4703" s="22">
        <f>IFERROR(__xludf.DUMMYFUNCTION("""COMPUTED_VALUE"""),500000.0)</f>
        <v>500000</v>
      </c>
      <c r="I4703" s="24">
        <f>IFERROR(__xludf.DUMMYFUNCTION("""COMPUTED_VALUE"""),0.0)</f>
        <v>0</v>
      </c>
    </row>
    <row r="4704">
      <c r="A4704" s="5" t="str">
        <f>IFERROR(__xludf.DUMMYFUNCTION("""COMPUTED_VALUE"""),"70227")</f>
        <v>70227</v>
      </c>
      <c r="B4704" s="64">
        <f>IFERROR(__xludf.DUMMYFUNCTION("""COMPUTED_VALUE"""),44606.0)</f>
        <v>44606</v>
      </c>
      <c r="C4704" s="5"/>
      <c r="D4704" s="5"/>
      <c r="E4704" s="5"/>
      <c r="F4704" s="22">
        <f>IFERROR(__xludf.DUMMYFUNCTION("""COMPUTED_VALUE"""),500000.0)</f>
        <v>500000</v>
      </c>
      <c r="G4704" s="22">
        <f>IFERROR(__xludf.DUMMYFUNCTION("""COMPUTED_VALUE"""),0.0)</f>
        <v>0</v>
      </c>
      <c r="H4704" s="22">
        <f>IFERROR(__xludf.DUMMYFUNCTION("""COMPUTED_VALUE"""),500000.0)</f>
        <v>500000</v>
      </c>
      <c r="I4704" s="24">
        <f>IFERROR(__xludf.DUMMYFUNCTION("""COMPUTED_VALUE"""),0.0)</f>
        <v>0</v>
      </c>
    </row>
    <row r="4705">
      <c r="A4705" s="5" t="str">
        <f>IFERROR(__xludf.DUMMYFUNCTION("""COMPUTED_VALUE"""),"70227")</f>
        <v>70227</v>
      </c>
      <c r="B4705" s="64">
        <f>IFERROR(__xludf.DUMMYFUNCTION("""COMPUTED_VALUE"""),44607.0)</f>
        <v>44607</v>
      </c>
      <c r="C4705" s="5"/>
      <c r="D4705" s="5"/>
      <c r="E4705" s="5"/>
      <c r="F4705" s="22">
        <f>IFERROR(__xludf.DUMMYFUNCTION("""COMPUTED_VALUE"""),500000.0)</f>
        <v>500000</v>
      </c>
      <c r="G4705" s="22">
        <f>IFERROR(__xludf.DUMMYFUNCTION("""COMPUTED_VALUE"""),0.0)</f>
        <v>0</v>
      </c>
      <c r="H4705" s="22">
        <f>IFERROR(__xludf.DUMMYFUNCTION("""COMPUTED_VALUE"""),500000.0)</f>
        <v>500000</v>
      </c>
      <c r="I4705" s="24">
        <f>IFERROR(__xludf.DUMMYFUNCTION("""COMPUTED_VALUE"""),0.0)</f>
        <v>0</v>
      </c>
    </row>
    <row r="4706">
      <c r="A4706" s="5" t="str">
        <f>IFERROR(__xludf.DUMMYFUNCTION("""COMPUTED_VALUE"""),"70227")</f>
        <v>70227</v>
      </c>
      <c r="B4706" s="64">
        <f>IFERROR(__xludf.DUMMYFUNCTION("""COMPUTED_VALUE"""),44608.0)</f>
        <v>44608</v>
      </c>
      <c r="C4706" s="5"/>
      <c r="D4706" s="5"/>
      <c r="E4706" s="5"/>
      <c r="F4706" s="22">
        <f>IFERROR(__xludf.DUMMYFUNCTION("""COMPUTED_VALUE"""),500000.0)</f>
        <v>500000</v>
      </c>
      <c r="G4706" s="22">
        <f>IFERROR(__xludf.DUMMYFUNCTION("""COMPUTED_VALUE"""),0.0)</f>
        <v>0</v>
      </c>
      <c r="H4706" s="22">
        <f>IFERROR(__xludf.DUMMYFUNCTION("""COMPUTED_VALUE"""),500000.0)</f>
        <v>500000</v>
      </c>
      <c r="I4706" s="24">
        <f>IFERROR(__xludf.DUMMYFUNCTION("""COMPUTED_VALUE"""),0.0)</f>
        <v>0</v>
      </c>
    </row>
    <row r="4707">
      <c r="A4707" s="5" t="str">
        <f>IFERROR(__xludf.DUMMYFUNCTION("""COMPUTED_VALUE"""),"70227")</f>
        <v>70227</v>
      </c>
      <c r="B4707" s="64">
        <f>IFERROR(__xludf.DUMMYFUNCTION("""COMPUTED_VALUE"""),44609.0)</f>
        <v>44609</v>
      </c>
      <c r="C4707" s="5"/>
      <c r="D4707" s="5"/>
      <c r="E4707" s="5"/>
      <c r="F4707" s="22">
        <f>IFERROR(__xludf.DUMMYFUNCTION("""COMPUTED_VALUE"""),500000.0)</f>
        <v>500000</v>
      </c>
      <c r="G4707" s="22">
        <f>IFERROR(__xludf.DUMMYFUNCTION("""COMPUTED_VALUE"""),0.0)</f>
        <v>0</v>
      </c>
      <c r="H4707" s="22">
        <f>IFERROR(__xludf.DUMMYFUNCTION("""COMPUTED_VALUE"""),500000.0)</f>
        <v>500000</v>
      </c>
      <c r="I4707" s="24">
        <f>IFERROR(__xludf.DUMMYFUNCTION("""COMPUTED_VALUE"""),0.0)</f>
        <v>0</v>
      </c>
    </row>
    <row r="4708">
      <c r="A4708" s="5" t="str">
        <f>IFERROR(__xludf.DUMMYFUNCTION("""COMPUTED_VALUE"""),"70227")</f>
        <v>70227</v>
      </c>
      <c r="B4708" s="64">
        <f>IFERROR(__xludf.DUMMYFUNCTION("""COMPUTED_VALUE"""),44610.0)</f>
        <v>44610</v>
      </c>
      <c r="C4708" s="5"/>
      <c r="D4708" s="5"/>
      <c r="E4708" s="5"/>
      <c r="F4708" s="22">
        <f>IFERROR(__xludf.DUMMYFUNCTION("""COMPUTED_VALUE"""),500000.0)</f>
        <v>500000</v>
      </c>
      <c r="G4708" s="22">
        <f>IFERROR(__xludf.DUMMYFUNCTION("""COMPUTED_VALUE"""),0.0)</f>
        <v>0</v>
      </c>
      <c r="H4708" s="22">
        <f>IFERROR(__xludf.DUMMYFUNCTION("""COMPUTED_VALUE"""),500000.0)</f>
        <v>500000</v>
      </c>
      <c r="I4708" s="24">
        <f>IFERROR(__xludf.DUMMYFUNCTION("""COMPUTED_VALUE"""),0.0)</f>
        <v>0</v>
      </c>
    </row>
    <row r="4709">
      <c r="A4709" s="5" t="str">
        <f>IFERROR(__xludf.DUMMYFUNCTION("""COMPUTED_VALUE"""),"70227")</f>
        <v>70227</v>
      </c>
      <c r="B4709" s="64">
        <f>IFERROR(__xludf.DUMMYFUNCTION("""COMPUTED_VALUE"""),44611.0)</f>
        <v>44611</v>
      </c>
      <c r="C4709" s="5"/>
      <c r="D4709" s="5"/>
      <c r="E4709" s="5"/>
      <c r="F4709" s="22">
        <f>IFERROR(__xludf.DUMMYFUNCTION("""COMPUTED_VALUE"""),500000.0)</f>
        <v>500000</v>
      </c>
      <c r="G4709" s="22">
        <f>IFERROR(__xludf.DUMMYFUNCTION("""COMPUTED_VALUE"""),0.0)</f>
        <v>0</v>
      </c>
      <c r="H4709" s="22">
        <f>IFERROR(__xludf.DUMMYFUNCTION("""COMPUTED_VALUE"""),500000.0)</f>
        <v>500000</v>
      </c>
      <c r="I4709" s="24">
        <f>IFERROR(__xludf.DUMMYFUNCTION("""COMPUTED_VALUE"""),0.0)</f>
        <v>0</v>
      </c>
    </row>
    <row r="4710">
      <c r="A4710" s="5" t="str">
        <f>IFERROR(__xludf.DUMMYFUNCTION("""COMPUTED_VALUE"""),"70227")</f>
        <v>70227</v>
      </c>
      <c r="B4710" s="64">
        <f>IFERROR(__xludf.DUMMYFUNCTION("""COMPUTED_VALUE"""),44612.0)</f>
        <v>44612</v>
      </c>
      <c r="C4710" s="5"/>
      <c r="D4710" s="5"/>
      <c r="E4710" s="5"/>
      <c r="F4710" s="22">
        <f>IFERROR(__xludf.DUMMYFUNCTION("""COMPUTED_VALUE"""),500000.0)</f>
        <v>500000</v>
      </c>
      <c r="G4710" s="22">
        <f>IFERROR(__xludf.DUMMYFUNCTION("""COMPUTED_VALUE"""),0.0)</f>
        <v>0</v>
      </c>
      <c r="H4710" s="22">
        <f>IFERROR(__xludf.DUMMYFUNCTION("""COMPUTED_VALUE"""),500000.0)</f>
        <v>500000</v>
      </c>
      <c r="I4710" s="24">
        <f>IFERROR(__xludf.DUMMYFUNCTION("""COMPUTED_VALUE"""),0.0)</f>
        <v>0</v>
      </c>
    </row>
    <row r="4711">
      <c r="A4711" s="5" t="str">
        <f>IFERROR(__xludf.DUMMYFUNCTION("""COMPUTED_VALUE"""),"70227")</f>
        <v>70227</v>
      </c>
      <c r="B4711" s="64">
        <f>IFERROR(__xludf.DUMMYFUNCTION("""COMPUTED_VALUE"""),44613.0)</f>
        <v>44613</v>
      </c>
      <c r="C4711" s="5"/>
      <c r="D4711" s="5"/>
      <c r="E4711" s="5"/>
      <c r="F4711" s="22">
        <f>IFERROR(__xludf.DUMMYFUNCTION("""COMPUTED_VALUE"""),500000.0)</f>
        <v>500000</v>
      </c>
      <c r="G4711" s="22">
        <f>IFERROR(__xludf.DUMMYFUNCTION("""COMPUTED_VALUE"""),0.0)</f>
        <v>0</v>
      </c>
      <c r="H4711" s="22">
        <f>IFERROR(__xludf.DUMMYFUNCTION("""COMPUTED_VALUE"""),500000.0)</f>
        <v>500000</v>
      </c>
      <c r="I4711" s="24">
        <f>IFERROR(__xludf.DUMMYFUNCTION("""COMPUTED_VALUE"""),0.0)</f>
        <v>0</v>
      </c>
    </row>
    <row r="4712">
      <c r="A4712" s="5" t="str">
        <f>IFERROR(__xludf.DUMMYFUNCTION("""COMPUTED_VALUE"""),"70227")</f>
        <v>70227</v>
      </c>
      <c r="B4712" s="64">
        <f>IFERROR(__xludf.DUMMYFUNCTION("""COMPUTED_VALUE"""),44614.0)</f>
        <v>44614</v>
      </c>
      <c r="C4712" s="5"/>
      <c r="D4712" s="5"/>
      <c r="E4712" s="5"/>
      <c r="F4712" s="22">
        <f>IFERROR(__xludf.DUMMYFUNCTION("""COMPUTED_VALUE"""),500000.0)</f>
        <v>500000</v>
      </c>
      <c r="G4712" s="22">
        <f>IFERROR(__xludf.DUMMYFUNCTION("""COMPUTED_VALUE"""),0.0)</f>
        <v>0</v>
      </c>
      <c r="H4712" s="22">
        <f>IFERROR(__xludf.DUMMYFUNCTION("""COMPUTED_VALUE"""),500000.0)</f>
        <v>500000</v>
      </c>
      <c r="I4712" s="24">
        <f>IFERROR(__xludf.DUMMYFUNCTION("""COMPUTED_VALUE"""),0.0)</f>
        <v>0</v>
      </c>
    </row>
    <row r="4713">
      <c r="A4713" s="5" t="str">
        <f>IFERROR(__xludf.DUMMYFUNCTION("""COMPUTED_VALUE"""),"70227")</f>
        <v>70227</v>
      </c>
      <c r="B4713" s="64">
        <f>IFERROR(__xludf.DUMMYFUNCTION("""COMPUTED_VALUE"""),44615.0)</f>
        <v>44615</v>
      </c>
      <c r="C4713" s="5"/>
      <c r="D4713" s="5"/>
      <c r="E4713" s="5"/>
      <c r="F4713" s="22">
        <f>IFERROR(__xludf.DUMMYFUNCTION("""COMPUTED_VALUE"""),500000.0)</f>
        <v>500000</v>
      </c>
      <c r="G4713" s="22">
        <f>IFERROR(__xludf.DUMMYFUNCTION("""COMPUTED_VALUE"""),0.0)</f>
        <v>0</v>
      </c>
      <c r="H4713" s="22">
        <f>IFERROR(__xludf.DUMMYFUNCTION("""COMPUTED_VALUE"""),500000.0)</f>
        <v>500000</v>
      </c>
      <c r="I4713" s="24">
        <f>IFERROR(__xludf.DUMMYFUNCTION("""COMPUTED_VALUE"""),0.0)</f>
        <v>0</v>
      </c>
    </row>
    <row r="4714">
      <c r="A4714" s="5" t="str">
        <f>IFERROR(__xludf.DUMMYFUNCTION("""COMPUTED_VALUE"""),"70227")</f>
        <v>70227</v>
      </c>
      <c r="B4714" s="64">
        <f>IFERROR(__xludf.DUMMYFUNCTION("""COMPUTED_VALUE"""),44616.0)</f>
        <v>44616</v>
      </c>
      <c r="C4714" s="5"/>
      <c r="D4714" s="5"/>
      <c r="E4714" s="5"/>
      <c r="F4714" s="22">
        <f>IFERROR(__xludf.DUMMYFUNCTION("""COMPUTED_VALUE"""),500000.0)</f>
        <v>500000</v>
      </c>
      <c r="G4714" s="22">
        <f>IFERROR(__xludf.DUMMYFUNCTION("""COMPUTED_VALUE"""),0.0)</f>
        <v>0</v>
      </c>
      <c r="H4714" s="22">
        <f>IFERROR(__xludf.DUMMYFUNCTION("""COMPUTED_VALUE"""),500000.0)</f>
        <v>500000</v>
      </c>
      <c r="I4714" s="24">
        <f>IFERROR(__xludf.DUMMYFUNCTION("""COMPUTED_VALUE"""),0.0)</f>
        <v>0</v>
      </c>
    </row>
    <row r="4715">
      <c r="A4715" s="5" t="str">
        <f>IFERROR(__xludf.DUMMYFUNCTION("""COMPUTED_VALUE"""),"70227")</f>
        <v>70227</v>
      </c>
      <c r="B4715" s="64">
        <f>IFERROR(__xludf.DUMMYFUNCTION("""COMPUTED_VALUE"""),44617.0)</f>
        <v>44617</v>
      </c>
      <c r="C4715" s="5"/>
      <c r="D4715" s="5"/>
      <c r="E4715" s="5"/>
      <c r="F4715" s="22">
        <f>IFERROR(__xludf.DUMMYFUNCTION("""COMPUTED_VALUE"""),500000.0)</f>
        <v>500000</v>
      </c>
      <c r="G4715" s="22">
        <f>IFERROR(__xludf.DUMMYFUNCTION("""COMPUTED_VALUE"""),0.0)</f>
        <v>0</v>
      </c>
      <c r="H4715" s="22">
        <f>IFERROR(__xludf.DUMMYFUNCTION("""COMPUTED_VALUE"""),500000.0)</f>
        <v>500000</v>
      </c>
      <c r="I4715" s="24">
        <f>IFERROR(__xludf.DUMMYFUNCTION("""COMPUTED_VALUE"""),0.0)</f>
        <v>0</v>
      </c>
    </row>
    <row r="4716">
      <c r="A4716" s="5" t="str">
        <f>IFERROR(__xludf.DUMMYFUNCTION("""COMPUTED_VALUE"""),"70227")</f>
        <v>70227</v>
      </c>
      <c r="B4716" s="64">
        <f>IFERROR(__xludf.DUMMYFUNCTION("""COMPUTED_VALUE"""),44618.0)</f>
        <v>44618</v>
      </c>
      <c r="C4716" s="5"/>
      <c r="D4716" s="5"/>
      <c r="E4716" s="5"/>
      <c r="F4716" s="22">
        <f>IFERROR(__xludf.DUMMYFUNCTION("""COMPUTED_VALUE"""),500000.0)</f>
        <v>500000</v>
      </c>
      <c r="G4716" s="22">
        <f>IFERROR(__xludf.DUMMYFUNCTION("""COMPUTED_VALUE"""),0.0)</f>
        <v>0</v>
      </c>
      <c r="H4716" s="22">
        <f>IFERROR(__xludf.DUMMYFUNCTION("""COMPUTED_VALUE"""),500000.0)</f>
        <v>500000</v>
      </c>
      <c r="I4716" s="24">
        <f>IFERROR(__xludf.DUMMYFUNCTION("""COMPUTED_VALUE"""),0.0)</f>
        <v>0</v>
      </c>
    </row>
    <row r="4717">
      <c r="A4717" s="5" t="str">
        <f>IFERROR(__xludf.DUMMYFUNCTION("""COMPUTED_VALUE"""),"70227")</f>
        <v>70227</v>
      </c>
      <c r="B4717" s="64">
        <f>IFERROR(__xludf.DUMMYFUNCTION("""COMPUTED_VALUE"""),44619.0)</f>
        <v>44619</v>
      </c>
      <c r="C4717" s="5"/>
      <c r="D4717" s="5"/>
      <c r="E4717" s="5"/>
      <c r="F4717" s="22">
        <f>IFERROR(__xludf.DUMMYFUNCTION("""COMPUTED_VALUE"""),500000.0)</f>
        <v>500000</v>
      </c>
      <c r="G4717" s="22">
        <f>IFERROR(__xludf.DUMMYFUNCTION("""COMPUTED_VALUE"""),0.0)</f>
        <v>0</v>
      </c>
      <c r="H4717" s="22">
        <f>IFERROR(__xludf.DUMMYFUNCTION("""COMPUTED_VALUE"""),500000.0)</f>
        <v>500000</v>
      </c>
      <c r="I4717" s="24">
        <f>IFERROR(__xludf.DUMMYFUNCTION("""COMPUTED_VALUE"""),0.0)</f>
        <v>0</v>
      </c>
    </row>
    <row r="4718">
      <c r="A4718" s="5" t="str">
        <f>IFERROR(__xludf.DUMMYFUNCTION("""COMPUTED_VALUE"""),"70227")</f>
        <v>70227</v>
      </c>
      <c r="B4718" s="64">
        <f>IFERROR(__xludf.DUMMYFUNCTION("""COMPUTED_VALUE"""),44620.0)</f>
        <v>44620</v>
      </c>
      <c r="C4718" s="5"/>
      <c r="D4718" s="5"/>
      <c r="E4718" s="5"/>
      <c r="F4718" s="22">
        <f>IFERROR(__xludf.DUMMYFUNCTION("""COMPUTED_VALUE"""),500000.0)</f>
        <v>500000</v>
      </c>
      <c r="G4718" s="22">
        <f>IFERROR(__xludf.DUMMYFUNCTION("""COMPUTED_VALUE"""),0.0)</f>
        <v>0</v>
      </c>
      <c r="H4718" s="22">
        <f>IFERROR(__xludf.DUMMYFUNCTION("""COMPUTED_VALUE"""),500000.0)</f>
        <v>500000</v>
      </c>
      <c r="I4718" s="24">
        <f>IFERROR(__xludf.DUMMYFUNCTION("""COMPUTED_VALUE"""),0.0)</f>
        <v>0</v>
      </c>
    </row>
    <row r="4719">
      <c r="A4719" s="5" t="str">
        <f>IFERROR(__xludf.DUMMYFUNCTION("""COMPUTED_VALUE"""),"70227")</f>
        <v>70227</v>
      </c>
      <c r="B4719" s="64">
        <f>IFERROR(__xludf.DUMMYFUNCTION("""COMPUTED_VALUE"""),44621.0)</f>
        <v>44621</v>
      </c>
      <c r="C4719" s="5"/>
      <c r="D4719" s="5"/>
      <c r="E4719" s="5"/>
      <c r="F4719" s="22">
        <f>IFERROR(__xludf.DUMMYFUNCTION("""COMPUTED_VALUE"""),500000.0)</f>
        <v>500000</v>
      </c>
      <c r="G4719" s="22">
        <f>IFERROR(__xludf.DUMMYFUNCTION("""COMPUTED_VALUE"""),0.0)</f>
        <v>0</v>
      </c>
      <c r="H4719" s="22">
        <f>IFERROR(__xludf.DUMMYFUNCTION("""COMPUTED_VALUE"""),500000.0)</f>
        <v>500000</v>
      </c>
      <c r="I4719" s="24">
        <f>IFERROR(__xludf.DUMMYFUNCTION("""COMPUTED_VALUE"""),0.0)</f>
        <v>0</v>
      </c>
    </row>
    <row r="4720">
      <c r="A4720" s="5" t="str">
        <f>IFERROR(__xludf.DUMMYFUNCTION("""COMPUTED_VALUE"""),"70227")</f>
        <v>70227</v>
      </c>
      <c r="B4720" s="64">
        <f>IFERROR(__xludf.DUMMYFUNCTION("""COMPUTED_VALUE"""),44622.0)</f>
        <v>44622</v>
      </c>
      <c r="C4720" s="5"/>
      <c r="D4720" s="5"/>
      <c r="E4720" s="5"/>
      <c r="F4720" s="22">
        <f>IFERROR(__xludf.DUMMYFUNCTION("""COMPUTED_VALUE"""),500000.0)</f>
        <v>500000</v>
      </c>
      <c r="G4720" s="22">
        <f>IFERROR(__xludf.DUMMYFUNCTION("""COMPUTED_VALUE"""),0.0)</f>
        <v>0</v>
      </c>
      <c r="H4720" s="22">
        <f>IFERROR(__xludf.DUMMYFUNCTION("""COMPUTED_VALUE"""),500000.0)</f>
        <v>500000</v>
      </c>
      <c r="I4720" s="24">
        <f>IFERROR(__xludf.DUMMYFUNCTION("""COMPUTED_VALUE"""),0.0)</f>
        <v>0</v>
      </c>
    </row>
    <row r="4721">
      <c r="A4721" s="5" t="str">
        <f>IFERROR(__xludf.DUMMYFUNCTION("""COMPUTED_VALUE"""),"70227")</f>
        <v>70227</v>
      </c>
      <c r="B4721" s="64">
        <f>IFERROR(__xludf.DUMMYFUNCTION("""COMPUTED_VALUE"""),44623.0)</f>
        <v>44623</v>
      </c>
      <c r="C4721" s="5"/>
      <c r="D4721" s="5"/>
      <c r="E4721" s="5"/>
      <c r="F4721" s="22">
        <f>IFERROR(__xludf.DUMMYFUNCTION("""COMPUTED_VALUE"""),500000.0)</f>
        <v>500000</v>
      </c>
      <c r="G4721" s="22">
        <f>IFERROR(__xludf.DUMMYFUNCTION("""COMPUTED_VALUE"""),0.0)</f>
        <v>0</v>
      </c>
      <c r="H4721" s="22">
        <f>IFERROR(__xludf.DUMMYFUNCTION("""COMPUTED_VALUE"""),500000.0)</f>
        <v>500000</v>
      </c>
      <c r="I4721" s="24">
        <f>IFERROR(__xludf.DUMMYFUNCTION("""COMPUTED_VALUE"""),0.0)</f>
        <v>0</v>
      </c>
    </row>
    <row r="4722">
      <c r="A4722" s="5" t="str">
        <f>IFERROR(__xludf.DUMMYFUNCTION("""COMPUTED_VALUE"""),"70227")</f>
        <v>70227</v>
      </c>
      <c r="B4722" s="64">
        <f>IFERROR(__xludf.DUMMYFUNCTION("""COMPUTED_VALUE"""),44624.0)</f>
        <v>44624</v>
      </c>
      <c r="C4722" s="5"/>
      <c r="D4722" s="5"/>
      <c r="E4722" s="5"/>
      <c r="F4722" s="22">
        <f>IFERROR(__xludf.DUMMYFUNCTION("""COMPUTED_VALUE"""),500000.0)</f>
        <v>500000</v>
      </c>
      <c r="G4722" s="22">
        <f>IFERROR(__xludf.DUMMYFUNCTION("""COMPUTED_VALUE"""),0.0)</f>
        <v>0</v>
      </c>
      <c r="H4722" s="22">
        <f>IFERROR(__xludf.DUMMYFUNCTION("""COMPUTED_VALUE"""),500000.0)</f>
        <v>500000</v>
      </c>
      <c r="I4722" s="24">
        <f>IFERROR(__xludf.DUMMYFUNCTION("""COMPUTED_VALUE"""),0.0)</f>
        <v>0</v>
      </c>
    </row>
    <row r="4723">
      <c r="A4723" s="5" t="str">
        <f>IFERROR(__xludf.DUMMYFUNCTION("""COMPUTED_VALUE"""),"70227")</f>
        <v>70227</v>
      </c>
      <c r="B4723" s="64">
        <f>IFERROR(__xludf.DUMMYFUNCTION("""COMPUTED_VALUE"""),44625.0)</f>
        <v>44625</v>
      </c>
      <c r="C4723" s="5"/>
      <c r="D4723" s="5"/>
      <c r="E4723" s="5"/>
      <c r="F4723" s="22">
        <f>IFERROR(__xludf.DUMMYFUNCTION("""COMPUTED_VALUE"""),500000.0)</f>
        <v>500000</v>
      </c>
      <c r="G4723" s="22">
        <f>IFERROR(__xludf.DUMMYFUNCTION("""COMPUTED_VALUE"""),0.0)</f>
        <v>0</v>
      </c>
      <c r="H4723" s="22">
        <f>IFERROR(__xludf.DUMMYFUNCTION("""COMPUTED_VALUE"""),500000.0)</f>
        <v>500000</v>
      </c>
      <c r="I4723" s="24">
        <f>IFERROR(__xludf.DUMMYFUNCTION("""COMPUTED_VALUE"""),0.0)</f>
        <v>0</v>
      </c>
    </row>
    <row r="4724">
      <c r="A4724" s="5" t="str">
        <f>IFERROR(__xludf.DUMMYFUNCTION("""COMPUTED_VALUE"""),"70227")</f>
        <v>70227</v>
      </c>
      <c r="B4724" s="64">
        <f>IFERROR(__xludf.DUMMYFUNCTION("""COMPUTED_VALUE"""),44626.0)</f>
        <v>44626</v>
      </c>
      <c r="C4724" s="5"/>
      <c r="D4724" s="5"/>
      <c r="E4724" s="5"/>
      <c r="F4724" s="22">
        <f>IFERROR(__xludf.DUMMYFUNCTION("""COMPUTED_VALUE"""),500000.0)</f>
        <v>500000</v>
      </c>
      <c r="G4724" s="22">
        <f>IFERROR(__xludf.DUMMYFUNCTION("""COMPUTED_VALUE"""),0.0)</f>
        <v>0</v>
      </c>
      <c r="H4724" s="22">
        <f>IFERROR(__xludf.DUMMYFUNCTION("""COMPUTED_VALUE"""),500000.0)</f>
        <v>500000</v>
      </c>
      <c r="I4724" s="24">
        <f>IFERROR(__xludf.DUMMYFUNCTION("""COMPUTED_VALUE"""),0.0)</f>
        <v>0</v>
      </c>
    </row>
    <row r="4725">
      <c r="A4725" s="5" t="str">
        <f>IFERROR(__xludf.DUMMYFUNCTION("""COMPUTED_VALUE"""),"70227")</f>
        <v>70227</v>
      </c>
      <c r="B4725" s="64">
        <f>IFERROR(__xludf.DUMMYFUNCTION("""COMPUTED_VALUE"""),44627.0)</f>
        <v>44627</v>
      </c>
      <c r="C4725" s="5"/>
      <c r="D4725" s="5"/>
      <c r="E4725" s="5"/>
      <c r="F4725" s="22">
        <f>IFERROR(__xludf.DUMMYFUNCTION("""COMPUTED_VALUE"""),500000.0)</f>
        <v>500000</v>
      </c>
      <c r="G4725" s="22">
        <f>IFERROR(__xludf.DUMMYFUNCTION("""COMPUTED_VALUE"""),0.0)</f>
        <v>0</v>
      </c>
      <c r="H4725" s="22">
        <f>IFERROR(__xludf.DUMMYFUNCTION("""COMPUTED_VALUE"""),500000.0)</f>
        <v>500000</v>
      </c>
      <c r="I4725" s="24">
        <f>IFERROR(__xludf.DUMMYFUNCTION("""COMPUTED_VALUE"""),0.0)</f>
        <v>0</v>
      </c>
    </row>
    <row r="4726">
      <c r="A4726" s="5" t="str">
        <f>IFERROR(__xludf.DUMMYFUNCTION("""COMPUTED_VALUE"""),"70227")</f>
        <v>70227</v>
      </c>
      <c r="B4726" s="64">
        <f>IFERROR(__xludf.DUMMYFUNCTION("""COMPUTED_VALUE"""),44628.0)</f>
        <v>44628</v>
      </c>
      <c r="C4726" s="5"/>
      <c r="D4726" s="5"/>
      <c r="E4726" s="5"/>
      <c r="F4726" s="22">
        <f>IFERROR(__xludf.DUMMYFUNCTION("""COMPUTED_VALUE"""),500000.0)</f>
        <v>500000</v>
      </c>
      <c r="G4726" s="22">
        <f>IFERROR(__xludf.DUMMYFUNCTION("""COMPUTED_VALUE"""),0.0)</f>
        <v>0</v>
      </c>
      <c r="H4726" s="22">
        <f>IFERROR(__xludf.DUMMYFUNCTION("""COMPUTED_VALUE"""),500000.0)</f>
        <v>500000</v>
      </c>
      <c r="I4726" s="24">
        <f>IFERROR(__xludf.DUMMYFUNCTION("""COMPUTED_VALUE"""),0.0)</f>
        <v>0</v>
      </c>
    </row>
    <row r="4727">
      <c r="A4727" s="5" t="str">
        <f>IFERROR(__xludf.DUMMYFUNCTION("""COMPUTED_VALUE"""),"70227")</f>
        <v>70227</v>
      </c>
      <c r="B4727" s="64">
        <f>IFERROR(__xludf.DUMMYFUNCTION("""COMPUTED_VALUE"""),44629.0)</f>
        <v>44629</v>
      </c>
      <c r="C4727" s="5"/>
      <c r="D4727" s="5"/>
      <c r="E4727" s="5"/>
      <c r="F4727" s="22">
        <f>IFERROR(__xludf.DUMMYFUNCTION("""COMPUTED_VALUE"""),500000.0)</f>
        <v>500000</v>
      </c>
      <c r="G4727" s="22">
        <f>IFERROR(__xludf.DUMMYFUNCTION("""COMPUTED_VALUE"""),0.0)</f>
        <v>0</v>
      </c>
      <c r="H4727" s="22">
        <f>IFERROR(__xludf.DUMMYFUNCTION("""COMPUTED_VALUE"""),500000.0)</f>
        <v>500000</v>
      </c>
      <c r="I4727" s="24">
        <f>IFERROR(__xludf.DUMMYFUNCTION("""COMPUTED_VALUE"""),0.0)</f>
        <v>0</v>
      </c>
    </row>
    <row r="4728">
      <c r="A4728" s="5" t="str">
        <f>IFERROR(__xludf.DUMMYFUNCTION("""COMPUTED_VALUE"""),"70227")</f>
        <v>70227</v>
      </c>
      <c r="B4728" s="64">
        <f>IFERROR(__xludf.DUMMYFUNCTION("""COMPUTED_VALUE"""),44630.0)</f>
        <v>44630</v>
      </c>
      <c r="C4728" s="5"/>
      <c r="D4728" s="5"/>
      <c r="E4728" s="5"/>
      <c r="F4728" s="22">
        <f>IFERROR(__xludf.DUMMYFUNCTION("""COMPUTED_VALUE"""),500000.0)</f>
        <v>500000</v>
      </c>
      <c r="G4728" s="22">
        <f>IFERROR(__xludf.DUMMYFUNCTION("""COMPUTED_VALUE"""),0.0)</f>
        <v>0</v>
      </c>
      <c r="H4728" s="22">
        <f>IFERROR(__xludf.DUMMYFUNCTION("""COMPUTED_VALUE"""),500000.0)</f>
        <v>500000</v>
      </c>
      <c r="I4728" s="24">
        <f>IFERROR(__xludf.DUMMYFUNCTION("""COMPUTED_VALUE"""),0.0)</f>
        <v>0</v>
      </c>
    </row>
    <row r="4729">
      <c r="A4729" s="5" t="str">
        <f>IFERROR(__xludf.DUMMYFUNCTION("""COMPUTED_VALUE"""),"70227")</f>
        <v>70227</v>
      </c>
      <c r="B4729" s="64">
        <f>IFERROR(__xludf.DUMMYFUNCTION("""COMPUTED_VALUE"""),44631.0)</f>
        <v>44631</v>
      </c>
      <c r="C4729" s="5"/>
      <c r="D4729" s="5"/>
      <c r="E4729" s="5"/>
      <c r="F4729" s="22">
        <f>IFERROR(__xludf.DUMMYFUNCTION("""COMPUTED_VALUE"""),500000.0)</f>
        <v>500000</v>
      </c>
      <c r="G4729" s="22">
        <f>IFERROR(__xludf.DUMMYFUNCTION("""COMPUTED_VALUE"""),0.0)</f>
        <v>0</v>
      </c>
      <c r="H4729" s="22">
        <f>IFERROR(__xludf.DUMMYFUNCTION("""COMPUTED_VALUE"""),500000.0)</f>
        <v>500000</v>
      </c>
      <c r="I4729" s="24">
        <f>IFERROR(__xludf.DUMMYFUNCTION("""COMPUTED_VALUE"""),0.0)</f>
        <v>0</v>
      </c>
    </row>
    <row r="4730">
      <c r="A4730" s="5" t="str">
        <f>IFERROR(__xludf.DUMMYFUNCTION("""COMPUTED_VALUE"""),"70227")</f>
        <v>70227</v>
      </c>
      <c r="B4730" s="64">
        <f>IFERROR(__xludf.DUMMYFUNCTION("""COMPUTED_VALUE"""),44632.0)</f>
        <v>44632</v>
      </c>
      <c r="C4730" s="5"/>
      <c r="D4730" s="5"/>
      <c r="E4730" s="5"/>
      <c r="F4730" s="22">
        <f>IFERROR(__xludf.DUMMYFUNCTION("""COMPUTED_VALUE"""),500000.0)</f>
        <v>500000</v>
      </c>
      <c r="G4730" s="22">
        <f>IFERROR(__xludf.DUMMYFUNCTION("""COMPUTED_VALUE"""),0.0)</f>
        <v>0</v>
      </c>
      <c r="H4730" s="22">
        <f>IFERROR(__xludf.DUMMYFUNCTION("""COMPUTED_VALUE"""),500000.0)</f>
        <v>500000</v>
      </c>
      <c r="I4730" s="24">
        <f>IFERROR(__xludf.DUMMYFUNCTION("""COMPUTED_VALUE"""),0.0)</f>
        <v>0</v>
      </c>
    </row>
    <row r="4731">
      <c r="A4731" s="5" t="str">
        <f>IFERROR(__xludf.DUMMYFUNCTION("""COMPUTED_VALUE"""),"70227")</f>
        <v>70227</v>
      </c>
      <c r="B4731" s="64">
        <f>IFERROR(__xludf.DUMMYFUNCTION("""COMPUTED_VALUE"""),44633.0)</f>
        <v>44633</v>
      </c>
      <c r="C4731" s="5"/>
      <c r="D4731" s="5"/>
      <c r="E4731" s="5"/>
      <c r="F4731" s="22">
        <f>IFERROR(__xludf.DUMMYFUNCTION("""COMPUTED_VALUE"""),500000.0)</f>
        <v>500000</v>
      </c>
      <c r="G4731" s="22">
        <f>IFERROR(__xludf.DUMMYFUNCTION("""COMPUTED_VALUE"""),0.0)</f>
        <v>0</v>
      </c>
      <c r="H4731" s="22">
        <f>IFERROR(__xludf.DUMMYFUNCTION("""COMPUTED_VALUE"""),500000.0)</f>
        <v>500000</v>
      </c>
      <c r="I4731" s="24">
        <f>IFERROR(__xludf.DUMMYFUNCTION("""COMPUTED_VALUE"""),0.0)</f>
        <v>0</v>
      </c>
    </row>
    <row r="4732">
      <c r="A4732" s="5" t="str">
        <f>IFERROR(__xludf.DUMMYFUNCTION("""COMPUTED_VALUE"""),"70227")</f>
        <v>70227</v>
      </c>
      <c r="B4732" s="64">
        <f>IFERROR(__xludf.DUMMYFUNCTION("""COMPUTED_VALUE"""),44634.0)</f>
        <v>44634</v>
      </c>
      <c r="C4732" s="5"/>
      <c r="D4732" s="5"/>
      <c r="E4732" s="5"/>
      <c r="F4732" s="22">
        <f>IFERROR(__xludf.DUMMYFUNCTION("""COMPUTED_VALUE"""),500000.0)</f>
        <v>500000</v>
      </c>
      <c r="G4732" s="22">
        <f>IFERROR(__xludf.DUMMYFUNCTION("""COMPUTED_VALUE"""),0.0)</f>
        <v>0</v>
      </c>
      <c r="H4732" s="22">
        <f>IFERROR(__xludf.DUMMYFUNCTION("""COMPUTED_VALUE"""),500000.0)</f>
        <v>500000</v>
      </c>
      <c r="I4732" s="24">
        <f>IFERROR(__xludf.DUMMYFUNCTION("""COMPUTED_VALUE"""),0.0)</f>
        <v>0</v>
      </c>
    </row>
    <row r="4733">
      <c r="A4733" s="5" t="str">
        <f>IFERROR(__xludf.DUMMYFUNCTION("""COMPUTED_VALUE"""),"70227")</f>
        <v>70227</v>
      </c>
      <c r="B4733" s="64">
        <f>IFERROR(__xludf.DUMMYFUNCTION("""COMPUTED_VALUE"""),44635.0)</f>
        <v>44635</v>
      </c>
      <c r="C4733" s="5"/>
      <c r="D4733" s="5"/>
      <c r="E4733" s="5"/>
      <c r="F4733" s="22">
        <f>IFERROR(__xludf.DUMMYFUNCTION("""COMPUTED_VALUE"""),500000.0)</f>
        <v>500000</v>
      </c>
      <c r="G4733" s="22">
        <f>IFERROR(__xludf.DUMMYFUNCTION("""COMPUTED_VALUE"""),0.0)</f>
        <v>0</v>
      </c>
      <c r="H4733" s="22">
        <f>IFERROR(__xludf.DUMMYFUNCTION("""COMPUTED_VALUE"""),500000.0)</f>
        <v>500000</v>
      </c>
      <c r="I4733" s="24">
        <f>IFERROR(__xludf.DUMMYFUNCTION("""COMPUTED_VALUE"""),0.0)</f>
        <v>0</v>
      </c>
    </row>
    <row r="4734">
      <c r="A4734" s="5" t="str">
        <f>IFERROR(__xludf.DUMMYFUNCTION("""COMPUTED_VALUE"""),"70227")</f>
        <v>70227</v>
      </c>
      <c r="B4734" s="64">
        <f>IFERROR(__xludf.DUMMYFUNCTION("""COMPUTED_VALUE"""),44636.0)</f>
        <v>44636</v>
      </c>
      <c r="C4734" s="5"/>
      <c r="D4734" s="5"/>
      <c r="E4734" s="5"/>
      <c r="F4734" s="22">
        <f>IFERROR(__xludf.DUMMYFUNCTION("""COMPUTED_VALUE"""),500000.0)</f>
        <v>500000</v>
      </c>
      <c r="G4734" s="22">
        <f>IFERROR(__xludf.DUMMYFUNCTION("""COMPUTED_VALUE"""),0.0)</f>
        <v>0</v>
      </c>
      <c r="H4734" s="22">
        <f>IFERROR(__xludf.DUMMYFUNCTION("""COMPUTED_VALUE"""),500000.0)</f>
        <v>500000</v>
      </c>
      <c r="I4734" s="24">
        <f>IFERROR(__xludf.DUMMYFUNCTION("""COMPUTED_VALUE"""),0.0)</f>
        <v>0</v>
      </c>
    </row>
    <row r="4735">
      <c r="A4735" s="5" t="str">
        <f>IFERROR(__xludf.DUMMYFUNCTION("""COMPUTED_VALUE"""),"70227")</f>
        <v>70227</v>
      </c>
      <c r="B4735" s="64">
        <f>IFERROR(__xludf.DUMMYFUNCTION("""COMPUTED_VALUE"""),44637.0)</f>
        <v>44637</v>
      </c>
      <c r="C4735" s="5"/>
      <c r="D4735" s="5"/>
      <c r="E4735" s="5"/>
      <c r="F4735" s="22">
        <f>IFERROR(__xludf.DUMMYFUNCTION("""COMPUTED_VALUE"""),500000.0)</f>
        <v>500000</v>
      </c>
      <c r="G4735" s="22">
        <f>IFERROR(__xludf.DUMMYFUNCTION("""COMPUTED_VALUE"""),0.0)</f>
        <v>0</v>
      </c>
      <c r="H4735" s="22">
        <f>IFERROR(__xludf.DUMMYFUNCTION("""COMPUTED_VALUE"""),500000.0)</f>
        <v>500000</v>
      </c>
      <c r="I4735" s="24">
        <f>IFERROR(__xludf.DUMMYFUNCTION("""COMPUTED_VALUE"""),0.0)</f>
        <v>0</v>
      </c>
    </row>
    <row r="4736">
      <c r="A4736" s="5" t="str">
        <f>IFERROR(__xludf.DUMMYFUNCTION("""COMPUTED_VALUE"""),"70227")</f>
        <v>70227</v>
      </c>
      <c r="B4736" s="64">
        <f>IFERROR(__xludf.DUMMYFUNCTION("""COMPUTED_VALUE"""),44638.0)</f>
        <v>44638</v>
      </c>
      <c r="C4736" s="5"/>
      <c r="D4736" s="5"/>
      <c r="E4736" s="5"/>
      <c r="F4736" s="22">
        <f>IFERROR(__xludf.DUMMYFUNCTION("""COMPUTED_VALUE"""),500000.0)</f>
        <v>500000</v>
      </c>
      <c r="G4736" s="22">
        <f>IFERROR(__xludf.DUMMYFUNCTION("""COMPUTED_VALUE"""),0.0)</f>
        <v>0</v>
      </c>
      <c r="H4736" s="22">
        <f>IFERROR(__xludf.DUMMYFUNCTION("""COMPUTED_VALUE"""),500000.0)</f>
        <v>500000</v>
      </c>
      <c r="I4736" s="24">
        <f>IFERROR(__xludf.DUMMYFUNCTION("""COMPUTED_VALUE"""),0.0)</f>
        <v>0</v>
      </c>
    </row>
    <row r="4737">
      <c r="A4737" s="5" t="str">
        <f>IFERROR(__xludf.DUMMYFUNCTION("""COMPUTED_VALUE"""),"70227")</f>
        <v>70227</v>
      </c>
      <c r="B4737" s="64">
        <f>IFERROR(__xludf.DUMMYFUNCTION("""COMPUTED_VALUE"""),44639.0)</f>
        <v>44639</v>
      </c>
      <c r="C4737" s="5"/>
      <c r="D4737" s="5"/>
      <c r="E4737" s="5"/>
      <c r="F4737" s="22">
        <f>IFERROR(__xludf.DUMMYFUNCTION("""COMPUTED_VALUE"""),500000.0)</f>
        <v>500000</v>
      </c>
      <c r="G4737" s="22">
        <f>IFERROR(__xludf.DUMMYFUNCTION("""COMPUTED_VALUE"""),0.0)</f>
        <v>0</v>
      </c>
      <c r="H4737" s="22">
        <f>IFERROR(__xludf.DUMMYFUNCTION("""COMPUTED_VALUE"""),500000.0)</f>
        <v>500000</v>
      </c>
      <c r="I4737" s="24">
        <f>IFERROR(__xludf.DUMMYFUNCTION("""COMPUTED_VALUE"""),0.0)</f>
        <v>0</v>
      </c>
    </row>
    <row r="4738">
      <c r="A4738" s="5" t="str">
        <f>IFERROR(__xludf.DUMMYFUNCTION("""COMPUTED_VALUE"""),"70227")</f>
        <v>70227</v>
      </c>
      <c r="B4738" s="64">
        <f>IFERROR(__xludf.DUMMYFUNCTION("""COMPUTED_VALUE"""),44640.0)</f>
        <v>44640</v>
      </c>
      <c r="C4738" s="5"/>
      <c r="D4738" s="5"/>
      <c r="E4738" s="5"/>
      <c r="F4738" s="22">
        <f>IFERROR(__xludf.DUMMYFUNCTION("""COMPUTED_VALUE"""),500000.0)</f>
        <v>500000</v>
      </c>
      <c r="G4738" s="22">
        <f>IFERROR(__xludf.DUMMYFUNCTION("""COMPUTED_VALUE"""),0.0)</f>
        <v>0</v>
      </c>
      <c r="H4738" s="22">
        <f>IFERROR(__xludf.DUMMYFUNCTION("""COMPUTED_VALUE"""),500000.0)</f>
        <v>500000</v>
      </c>
      <c r="I4738" s="24">
        <f>IFERROR(__xludf.DUMMYFUNCTION("""COMPUTED_VALUE"""),0.0)</f>
        <v>0</v>
      </c>
    </row>
    <row r="4739">
      <c r="A4739" s="5" t="str">
        <f>IFERROR(__xludf.DUMMYFUNCTION("""COMPUTED_VALUE"""),"70227")</f>
        <v>70227</v>
      </c>
      <c r="B4739" s="64">
        <f>IFERROR(__xludf.DUMMYFUNCTION("""COMPUTED_VALUE"""),44641.0)</f>
        <v>44641</v>
      </c>
      <c r="C4739" s="5"/>
      <c r="D4739" s="5"/>
      <c r="E4739" s="5"/>
      <c r="F4739" s="22">
        <f>IFERROR(__xludf.DUMMYFUNCTION("""COMPUTED_VALUE"""),500000.0)</f>
        <v>500000</v>
      </c>
      <c r="G4739" s="22">
        <f>IFERROR(__xludf.DUMMYFUNCTION("""COMPUTED_VALUE"""),0.0)</f>
        <v>0</v>
      </c>
      <c r="H4739" s="22">
        <f>IFERROR(__xludf.DUMMYFUNCTION("""COMPUTED_VALUE"""),500000.0)</f>
        <v>500000</v>
      </c>
      <c r="I4739" s="24">
        <f>IFERROR(__xludf.DUMMYFUNCTION("""COMPUTED_VALUE"""),0.0)</f>
        <v>0</v>
      </c>
    </row>
    <row r="4740">
      <c r="A4740" s="5" t="str">
        <f>IFERROR(__xludf.DUMMYFUNCTION("""COMPUTED_VALUE"""),"70227")</f>
        <v>70227</v>
      </c>
      <c r="B4740" s="64">
        <f>IFERROR(__xludf.DUMMYFUNCTION("""COMPUTED_VALUE"""),44642.0)</f>
        <v>44642</v>
      </c>
      <c r="C4740" s="5"/>
      <c r="D4740" s="5"/>
      <c r="E4740" s="5"/>
      <c r="F4740" s="22">
        <f>IFERROR(__xludf.DUMMYFUNCTION("""COMPUTED_VALUE"""),500000.0)</f>
        <v>500000</v>
      </c>
      <c r="G4740" s="22">
        <f>IFERROR(__xludf.DUMMYFUNCTION("""COMPUTED_VALUE"""),0.0)</f>
        <v>0</v>
      </c>
      <c r="H4740" s="22">
        <f>IFERROR(__xludf.DUMMYFUNCTION("""COMPUTED_VALUE"""),500000.0)</f>
        <v>500000</v>
      </c>
      <c r="I4740" s="24">
        <f>IFERROR(__xludf.DUMMYFUNCTION("""COMPUTED_VALUE"""),0.0)</f>
        <v>0</v>
      </c>
    </row>
    <row r="4741">
      <c r="A4741" s="5" t="str">
        <f>IFERROR(__xludf.DUMMYFUNCTION("""COMPUTED_VALUE"""),"70227")</f>
        <v>70227</v>
      </c>
      <c r="B4741" s="64">
        <f>IFERROR(__xludf.DUMMYFUNCTION("""COMPUTED_VALUE"""),44643.0)</f>
        <v>44643</v>
      </c>
      <c r="C4741" s="5"/>
      <c r="D4741" s="5"/>
      <c r="E4741" s="5"/>
      <c r="F4741" s="22">
        <f>IFERROR(__xludf.DUMMYFUNCTION("""COMPUTED_VALUE"""),500000.0)</f>
        <v>500000</v>
      </c>
      <c r="G4741" s="22">
        <f>IFERROR(__xludf.DUMMYFUNCTION("""COMPUTED_VALUE"""),0.0)</f>
        <v>0</v>
      </c>
      <c r="H4741" s="22">
        <f>IFERROR(__xludf.DUMMYFUNCTION("""COMPUTED_VALUE"""),500000.0)</f>
        <v>500000</v>
      </c>
      <c r="I4741" s="24">
        <f>IFERROR(__xludf.DUMMYFUNCTION("""COMPUTED_VALUE"""),0.0)</f>
        <v>0</v>
      </c>
    </row>
    <row r="4742">
      <c r="A4742" s="5" t="str">
        <f>IFERROR(__xludf.DUMMYFUNCTION("""COMPUTED_VALUE"""),"70227")</f>
        <v>70227</v>
      </c>
      <c r="B4742" s="64">
        <f>IFERROR(__xludf.DUMMYFUNCTION("""COMPUTED_VALUE"""),44644.0)</f>
        <v>44644</v>
      </c>
      <c r="C4742" s="5"/>
      <c r="D4742" s="5"/>
      <c r="E4742" s="5"/>
      <c r="F4742" s="22">
        <f>IFERROR(__xludf.DUMMYFUNCTION("""COMPUTED_VALUE"""),500000.0)</f>
        <v>500000</v>
      </c>
      <c r="G4742" s="22">
        <f>IFERROR(__xludf.DUMMYFUNCTION("""COMPUTED_VALUE"""),0.0)</f>
        <v>0</v>
      </c>
      <c r="H4742" s="22">
        <f>IFERROR(__xludf.DUMMYFUNCTION("""COMPUTED_VALUE"""),500000.0)</f>
        <v>500000</v>
      </c>
      <c r="I4742" s="24">
        <f>IFERROR(__xludf.DUMMYFUNCTION("""COMPUTED_VALUE"""),0.0)</f>
        <v>0</v>
      </c>
    </row>
    <row r="4743">
      <c r="A4743" s="5" t="str">
        <f>IFERROR(__xludf.DUMMYFUNCTION("""COMPUTED_VALUE"""),"70227")</f>
        <v>70227</v>
      </c>
      <c r="B4743" s="64">
        <f>IFERROR(__xludf.DUMMYFUNCTION("""COMPUTED_VALUE"""),44645.0)</f>
        <v>44645</v>
      </c>
      <c r="C4743" s="5"/>
      <c r="D4743" s="5"/>
      <c r="E4743" s="5"/>
      <c r="F4743" s="22">
        <f>IFERROR(__xludf.DUMMYFUNCTION("""COMPUTED_VALUE"""),500000.0)</f>
        <v>500000</v>
      </c>
      <c r="G4743" s="22">
        <f>IFERROR(__xludf.DUMMYFUNCTION("""COMPUTED_VALUE"""),0.0)</f>
        <v>0</v>
      </c>
      <c r="H4743" s="22">
        <f>IFERROR(__xludf.DUMMYFUNCTION("""COMPUTED_VALUE"""),500000.0)</f>
        <v>500000</v>
      </c>
      <c r="I4743" s="24">
        <f>IFERROR(__xludf.DUMMYFUNCTION("""COMPUTED_VALUE"""),0.0)</f>
        <v>0</v>
      </c>
    </row>
    <row r="4744">
      <c r="A4744" s="5" t="str">
        <f>IFERROR(__xludf.DUMMYFUNCTION("""COMPUTED_VALUE"""),"70227")</f>
        <v>70227</v>
      </c>
      <c r="B4744" s="64">
        <f>IFERROR(__xludf.DUMMYFUNCTION("""COMPUTED_VALUE"""),44646.0)</f>
        <v>44646</v>
      </c>
      <c r="C4744" s="5"/>
      <c r="D4744" s="5"/>
      <c r="E4744" s="5"/>
      <c r="F4744" s="22">
        <f>IFERROR(__xludf.DUMMYFUNCTION("""COMPUTED_VALUE"""),500000.0)</f>
        <v>500000</v>
      </c>
      <c r="G4744" s="22">
        <f>IFERROR(__xludf.DUMMYFUNCTION("""COMPUTED_VALUE"""),0.0)</f>
        <v>0</v>
      </c>
      <c r="H4744" s="22">
        <f>IFERROR(__xludf.DUMMYFUNCTION("""COMPUTED_VALUE"""),500000.0)</f>
        <v>500000</v>
      </c>
      <c r="I4744" s="24">
        <f>IFERROR(__xludf.DUMMYFUNCTION("""COMPUTED_VALUE"""),0.0)</f>
        <v>0</v>
      </c>
    </row>
    <row r="4745">
      <c r="A4745" s="5" t="str">
        <f>IFERROR(__xludf.DUMMYFUNCTION("""COMPUTED_VALUE"""),"70227")</f>
        <v>70227</v>
      </c>
      <c r="B4745" s="64">
        <f>IFERROR(__xludf.DUMMYFUNCTION("""COMPUTED_VALUE"""),44647.0)</f>
        <v>44647</v>
      </c>
      <c r="C4745" s="5"/>
      <c r="D4745" s="5"/>
      <c r="E4745" s="5"/>
      <c r="F4745" s="22">
        <f>IFERROR(__xludf.DUMMYFUNCTION("""COMPUTED_VALUE"""),500000.0)</f>
        <v>500000</v>
      </c>
      <c r="G4745" s="22">
        <f>IFERROR(__xludf.DUMMYFUNCTION("""COMPUTED_VALUE"""),0.0)</f>
        <v>0</v>
      </c>
      <c r="H4745" s="22">
        <f>IFERROR(__xludf.DUMMYFUNCTION("""COMPUTED_VALUE"""),500000.0)</f>
        <v>500000</v>
      </c>
      <c r="I4745" s="24">
        <f>IFERROR(__xludf.DUMMYFUNCTION("""COMPUTED_VALUE"""),0.0)</f>
        <v>0</v>
      </c>
    </row>
    <row r="4746">
      <c r="A4746" s="5" t="str">
        <f>IFERROR(__xludf.DUMMYFUNCTION("""COMPUTED_VALUE"""),"70227")</f>
        <v>70227</v>
      </c>
      <c r="B4746" s="64">
        <f>IFERROR(__xludf.DUMMYFUNCTION("""COMPUTED_VALUE"""),44648.0)</f>
        <v>44648</v>
      </c>
      <c r="C4746" s="5"/>
      <c r="D4746" s="5"/>
      <c r="E4746" s="5"/>
      <c r="F4746" s="22">
        <f>IFERROR(__xludf.DUMMYFUNCTION("""COMPUTED_VALUE"""),500000.0)</f>
        <v>500000</v>
      </c>
      <c r="G4746" s="22">
        <f>IFERROR(__xludf.DUMMYFUNCTION("""COMPUTED_VALUE"""),0.0)</f>
        <v>0</v>
      </c>
      <c r="H4746" s="22">
        <f>IFERROR(__xludf.DUMMYFUNCTION("""COMPUTED_VALUE"""),500000.0)</f>
        <v>500000</v>
      </c>
      <c r="I4746" s="24">
        <f>IFERROR(__xludf.DUMMYFUNCTION("""COMPUTED_VALUE"""),0.0)</f>
        <v>0</v>
      </c>
    </row>
    <row r="4747">
      <c r="A4747" s="5" t="str">
        <f>IFERROR(__xludf.DUMMYFUNCTION("""COMPUTED_VALUE"""),"70227")</f>
        <v>70227</v>
      </c>
      <c r="B4747" s="64">
        <f>IFERROR(__xludf.DUMMYFUNCTION("""COMPUTED_VALUE"""),44649.0)</f>
        <v>44649</v>
      </c>
      <c r="C4747" s="5"/>
      <c r="D4747" s="5"/>
      <c r="E4747" s="5"/>
      <c r="F4747" s="22">
        <f>IFERROR(__xludf.DUMMYFUNCTION("""COMPUTED_VALUE"""),500000.0)</f>
        <v>500000</v>
      </c>
      <c r="G4747" s="22">
        <f>IFERROR(__xludf.DUMMYFUNCTION("""COMPUTED_VALUE"""),0.0)</f>
        <v>0</v>
      </c>
      <c r="H4747" s="22">
        <f>IFERROR(__xludf.DUMMYFUNCTION("""COMPUTED_VALUE"""),500000.0)</f>
        <v>500000</v>
      </c>
      <c r="I4747" s="24">
        <f>IFERROR(__xludf.DUMMYFUNCTION("""COMPUTED_VALUE"""),0.0)</f>
        <v>0</v>
      </c>
    </row>
    <row r="4748">
      <c r="A4748" s="5" t="str">
        <f>IFERROR(__xludf.DUMMYFUNCTION("""COMPUTED_VALUE"""),"70227")</f>
        <v>70227</v>
      </c>
      <c r="B4748" s="64">
        <f>IFERROR(__xludf.DUMMYFUNCTION("""COMPUTED_VALUE"""),44650.0)</f>
        <v>44650</v>
      </c>
      <c r="C4748" s="5"/>
      <c r="D4748" s="5"/>
      <c r="E4748" s="5"/>
      <c r="F4748" s="22">
        <f>IFERROR(__xludf.DUMMYFUNCTION("""COMPUTED_VALUE"""),500000.0)</f>
        <v>500000</v>
      </c>
      <c r="G4748" s="22">
        <f>IFERROR(__xludf.DUMMYFUNCTION("""COMPUTED_VALUE"""),0.0)</f>
        <v>0</v>
      </c>
      <c r="H4748" s="22">
        <f>IFERROR(__xludf.DUMMYFUNCTION("""COMPUTED_VALUE"""),500000.0)</f>
        <v>500000</v>
      </c>
      <c r="I4748" s="24">
        <f>IFERROR(__xludf.DUMMYFUNCTION("""COMPUTED_VALUE"""),0.0)</f>
        <v>0</v>
      </c>
    </row>
    <row r="4749">
      <c r="A4749" s="5" t="str">
        <f>IFERROR(__xludf.DUMMYFUNCTION("""COMPUTED_VALUE"""),"70227")</f>
        <v>70227</v>
      </c>
      <c r="B4749" s="64">
        <f>IFERROR(__xludf.DUMMYFUNCTION("""COMPUTED_VALUE"""),44651.0)</f>
        <v>44651</v>
      </c>
      <c r="C4749" s="5"/>
      <c r="D4749" s="5"/>
      <c r="E4749" s="5"/>
      <c r="F4749" s="22">
        <f>IFERROR(__xludf.DUMMYFUNCTION("""COMPUTED_VALUE"""),500000.0)</f>
        <v>500000</v>
      </c>
      <c r="G4749" s="22">
        <f>IFERROR(__xludf.DUMMYFUNCTION("""COMPUTED_VALUE"""),0.0)</f>
        <v>0</v>
      </c>
      <c r="H4749" s="22">
        <f>IFERROR(__xludf.DUMMYFUNCTION("""COMPUTED_VALUE"""),500000.0)</f>
        <v>500000</v>
      </c>
      <c r="I4749" s="24">
        <f>IFERROR(__xludf.DUMMYFUNCTION("""COMPUTED_VALUE"""),0.0)</f>
        <v>0</v>
      </c>
    </row>
    <row r="4750">
      <c r="A4750" s="5" t="str">
        <f>IFERROR(__xludf.DUMMYFUNCTION("""COMPUTED_VALUE"""),"70227")</f>
        <v>70227</v>
      </c>
      <c r="B4750" s="64">
        <f>IFERROR(__xludf.DUMMYFUNCTION("""COMPUTED_VALUE"""),44652.0)</f>
        <v>44652</v>
      </c>
      <c r="C4750" s="5"/>
      <c r="D4750" s="5"/>
      <c r="E4750" s="5"/>
      <c r="F4750" s="22">
        <f>IFERROR(__xludf.DUMMYFUNCTION("""COMPUTED_VALUE"""),500000.0)</f>
        <v>500000</v>
      </c>
      <c r="G4750" s="22">
        <f>IFERROR(__xludf.DUMMYFUNCTION("""COMPUTED_VALUE"""),0.0)</f>
        <v>0</v>
      </c>
      <c r="H4750" s="22">
        <f>IFERROR(__xludf.DUMMYFUNCTION("""COMPUTED_VALUE"""),500000.0)</f>
        <v>500000</v>
      </c>
      <c r="I4750" s="24">
        <f>IFERROR(__xludf.DUMMYFUNCTION("""COMPUTED_VALUE"""),0.0)</f>
        <v>0</v>
      </c>
    </row>
    <row r="4751">
      <c r="A4751" s="5" t="str">
        <f>IFERROR(__xludf.DUMMYFUNCTION("""COMPUTED_VALUE"""),"70227")</f>
        <v>70227</v>
      </c>
      <c r="B4751" s="64">
        <f>IFERROR(__xludf.DUMMYFUNCTION("""COMPUTED_VALUE"""),44653.0)</f>
        <v>44653</v>
      </c>
      <c r="C4751" s="5"/>
      <c r="D4751" s="5"/>
      <c r="E4751" s="5"/>
      <c r="F4751" s="22">
        <f>IFERROR(__xludf.DUMMYFUNCTION("""COMPUTED_VALUE"""),500000.0)</f>
        <v>500000</v>
      </c>
      <c r="G4751" s="22">
        <f>IFERROR(__xludf.DUMMYFUNCTION("""COMPUTED_VALUE"""),0.0)</f>
        <v>0</v>
      </c>
      <c r="H4751" s="22">
        <f>IFERROR(__xludf.DUMMYFUNCTION("""COMPUTED_VALUE"""),500000.0)</f>
        <v>500000</v>
      </c>
      <c r="I4751" s="24">
        <f>IFERROR(__xludf.DUMMYFUNCTION("""COMPUTED_VALUE"""),0.0)</f>
        <v>0</v>
      </c>
    </row>
    <row r="4752">
      <c r="A4752" s="5" t="str">
        <f>IFERROR(__xludf.DUMMYFUNCTION("""COMPUTED_VALUE"""),"70227")</f>
        <v>70227</v>
      </c>
      <c r="B4752" s="64">
        <f>IFERROR(__xludf.DUMMYFUNCTION("""COMPUTED_VALUE"""),44654.0)</f>
        <v>44654</v>
      </c>
      <c r="C4752" s="5"/>
      <c r="D4752" s="5"/>
      <c r="E4752" s="5"/>
      <c r="F4752" s="22">
        <f>IFERROR(__xludf.DUMMYFUNCTION("""COMPUTED_VALUE"""),500000.0)</f>
        <v>500000</v>
      </c>
      <c r="G4752" s="22">
        <f>IFERROR(__xludf.DUMMYFUNCTION("""COMPUTED_VALUE"""),0.0)</f>
        <v>0</v>
      </c>
      <c r="H4752" s="22">
        <f>IFERROR(__xludf.DUMMYFUNCTION("""COMPUTED_VALUE"""),500000.0)</f>
        <v>500000</v>
      </c>
      <c r="I4752" s="24">
        <f>IFERROR(__xludf.DUMMYFUNCTION("""COMPUTED_VALUE"""),0.0)</f>
        <v>0</v>
      </c>
    </row>
    <row r="4753">
      <c r="A4753" s="5" t="str">
        <f>IFERROR(__xludf.DUMMYFUNCTION("""COMPUTED_VALUE"""),"70227")</f>
        <v>70227</v>
      </c>
      <c r="B4753" s="64">
        <f>IFERROR(__xludf.DUMMYFUNCTION("""COMPUTED_VALUE"""),44655.0)</f>
        <v>44655</v>
      </c>
      <c r="C4753" s="5"/>
      <c r="D4753" s="5"/>
      <c r="E4753" s="5"/>
      <c r="F4753" s="22">
        <f>IFERROR(__xludf.DUMMYFUNCTION("""COMPUTED_VALUE"""),500000.0)</f>
        <v>500000</v>
      </c>
      <c r="G4753" s="22">
        <f>IFERROR(__xludf.DUMMYFUNCTION("""COMPUTED_VALUE"""),0.0)</f>
        <v>0</v>
      </c>
      <c r="H4753" s="22">
        <f>IFERROR(__xludf.DUMMYFUNCTION("""COMPUTED_VALUE"""),500000.0)</f>
        <v>500000</v>
      </c>
      <c r="I4753" s="24">
        <f>IFERROR(__xludf.DUMMYFUNCTION("""COMPUTED_VALUE"""),0.0)</f>
        <v>0</v>
      </c>
    </row>
    <row r="4754">
      <c r="A4754" s="5" t="str">
        <f>IFERROR(__xludf.DUMMYFUNCTION("""COMPUTED_VALUE"""),"70227")</f>
        <v>70227</v>
      </c>
      <c r="B4754" s="64">
        <f>IFERROR(__xludf.DUMMYFUNCTION("""COMPUTED_VALUE"""),44656.0)</f>
        <v>44656</v>
      </c>
      <c r="C4754" s="5"/>
      <c r="D4754" s="5"/>
      <c r="E4754" s="5"/>
      <c r="F4754" s="22">
        <f>IFERROR(__xludf.DUMMYFUNCTION("""COMPUTED_VALUE"""),500000.0)</f>
        <v>500000</v>
      </c>
      <c r="G4754" s="22">
        <f>IFERROR(__xludf.DUMMYFUNCTION("""COMPUTED_VALUE"""),0.0)</f>
        <v>0</v>
      </c>
      <c r="H4754" s="22">
        <f>IFERROR(__xludf.DUMMYFUNCTION("""COMPUTED_VALUE"""),500000.0)</f>
        <v>500000</v>
      </c>
      <c r="I4754" s="24">
        <f>IFERROR(__xludf.DUMMYFUNCTION("""COMPUTED_VALUE"""),0.0)</f>
        <v>0</v>
      </c>
    </row>
    <row r="4755">
      <c r="A4755" s="5" t="str">
        <f>IFERROR(__xludf.DUMMYFUNCTION("""COMPUTED_VALUE"""),"70227")</f>
        <v>70227</v>
      </c>
      <c r="B4755" s="64">
        <f>IFERROR(__xludf.DUMMYFUNCTION("""COMPUTED_VALUE"""),44657.0)</f>
        <v>44657</v>
      </c>
      <c r="C4755" s="5"/>
      <c r="D4755" s="5"/>
      <c r="E4755" s="5"/>
      <c r="F4755" s="22">
        <f>IFERROR(__xludf.DUMMYFUNCTION("""COMPUTED_VALUE"""),500000.0)</f>
        <v>500000</v>
      </c>
      <c r="G4755" s="22">
        <f>IFERROR(__xludf.DUMMYFUNCTION("""COMPUTED_VALUE"""),0.0)</f>
        <v>0</v>
      </c>
      <c r="H4755" s="22">
        <f>IFERROR(__xludf.DUMMYFUNCTION("""COMPUTED_VALUE"""),500000.0)</f>
        <v>500000</v>
      </c>
      <c r="I4755" s="24">
        <f>IFERROR(__xludf.DUMMYFUNCTION("""COMPUTED_VALUE"""),0.0)</f>
        <v>0</v>
      </c>
    </row>
    <row r="4756">
      <c r="A4756" s="5" t="str">
        <f>IFERROR(__xludf.DUMMYFUNCTION("""COMPUTED_VALUE"""),"70227")</f>
        <v>70227</v>
      </c>
      <c r="B4756" s="64">
        <f>IFERROR(__xludf.DUMMYFUNCTION("""COMPUTED_VALUE"""),44658.0)</f>
        <v>44658</v>
      </c>
      <c r="C4756" s="5"/>
      <c r="D4756" s="5"/>
      <c r="E4756" s="5"/>
      <c r="F4756" s="22">
        <f>IFERROR(__xludf.DUMMYFUNCTION("""COMPUTED_VALUE"""),500000.0)</f>
        <v>500000</v>
      </c>
      <c r="G4756" s="22">
        <f>IFERROR(__xludf.DUMMYFUNCTION("""COMPUTED_VALUE"""),0.0)</f>
        <v>0</v>
      </c>
      <c r="H4756" s="22">
        <f>IFERROR(__xludf.DUMMYFUNCTION("""COMPUTED_VALUE"""),500000.0)</f>
        <v>500000</v>
      </c>
      <c r="I4756" s="24">
        <f>IFERROR(__xludf.DUMMYFUNCTION("""COMPUTED_VALUE"""),0.0)</f>
        <v>0</v>
      </c>
    </row>
    <row r="4757">
      <c r="A4757" s="5" t="str">
        <f>IFERROR(__xludf.DUMMYFUNCTION("""COMPUTED_VALUE"""),"70227")</f>
        <v>70227</v>
      </c>
      <c r="B4757" s="64">
        <f>IFERROR(__xludf.DUMMYFUNCTION("""COMPUTED_VALUE"""),44659.0)</f>
        <v>44659</v>
      </c>
      <c r="C4757" s="5"/>
      <c r="D4757" s="5"/>
      <c r="E4757" s="5"/>
      <c r="F4757" s="22">
        <f>IFERROR(__xludf.DUMMYFUNCTION("""COMPUTED_VALUE"""),500000.0)</f>
        <v>500000</v>
      </c>
      <c r="G4757" s="22">
        <f>IFERROR(__xludf.DUMMYFUNCTION("""COMPUTED_VALUE"""),0.0)</f>
        <v>0</v>
      </c>
      <c r="H4757" s="22">
        <f>IFERROR(__xludf.DUMMYFUNCTION("""COMPUTED_VALUE"""),500000.0)</f>
        <v>500000</v>
      </c>
      <c r="I4757" s="24">
        <f>IFERROR(__xludf.DUMMYFUNCTION("""COMPUTED_VALUE"""),0.0)</f>
        <v>0</v>
      </c>
    </row>
    <row r="4758">
      <c r="A4758" s="5" t="str">
        <f>IFERROR(__xludf.DUMMYFUNCTION("""COMPUTED_VALUE"""),"70227")</f>
        <v>70227</v>
      </c>
      <c r="B4758" s="64">
        <f>IFERROR(__xludf.DUMMYFUNCTION("""COMPUTED_VALUE"""),44660.0)</f>
        <v>44660</v>
      </c>
      <c r="C4758" s="5"/>
      <c r="D4758" s="5"/>
      <c r="E4758" s="5"/>
      <c r="F4758" s="22">
        <f>IFERROR(__xludf.DUMMYFUNCTION("""COMPUTED_VALUE"""),500000.0)</f>
        <v>500000</v>
      </c>
      <c r="G4758" s="22">
        <f>IFERROR(__xludf.DUMMYFUNCTION("""COMPUTED_VALUE"""),0.0)</f>
        <v>0</v>
      </c>
      <c r="H4758" s="22">
        <f>IFERROR(__xludf.DUMMYFUNCTION("""COMPUTED_VALUE"""),500000.0)</f>
        <v>500000</v>
      </c>
      <c r="I4758" s="24">
        <f>IFERROR(__xludf.DUMMYFUNCTION("""COMPUTED_VALUE"""),0.0)</f>
        <v>0</v>
      </c>
    </row>
    <row r="4759">
      <c r="A4759" s="5" t="str">
        <f>IFERROR(__xludf.DUMMYFUNCTION("""COMPUTED_VALUE"""),"70227")</f>
        <v>70227</v>
      </c>
      <c r="B4759" s="64">
        <f>IFERROR(__xludf.DUMMYFUNCTION("""COMPUTED_VALUE"""),44661.0)</f>
        <v>44661</v>
      </c>
      <c r="C4759" s="5"/>
      <c r="D4759" s="5"/>
      <c r="E4759" s="5"/>
      <c r="F4759" s="22">
        <f>IFERROR(__xludf.DUMMYFUNCTION("""COMPUTED_VALUE"""),500000.0)</f>
        <v>500000</v>
      </c>
      <c r="G4759" s="22">
        <f>IFERROR(__xludf.DUMMYFUNCTION("""COMPUTED_VALUE"""),0.0)</f>
        <v>0</v>
      </c>
      <c r="H4759" s="22">
        <f>IFERROR(__xludf.DUMMYFUNCTION("""COMPUTED_VALUE"""),500000.0)</f>
        <v>500000</v>
      </c>
      <c r="I4759" s="24">
        <f>IFERROR(__xludf.DUMMYFUNCTION("""COMPUTED_VALUE"""),0.0)</f>
        <v>0</v>
      </c>
    </row>
    <row r="4760">
      <c r="A4760" s="5" t="str">
        <f>IFERROR(__xludf.DUMMYFUNCTION("""COMPUTED_VALUE"""),"70227")</f>
        <v>70227</v>
      </c>
      <c r="B4760" s="64">
        <f>IFERROR(__xludf.DUMMYFUNCTION("""COMPUTED_VALUE"""),44662.0)</f>
        <v>44662</v>
      </c>
      <c r="C4760" s="5"/>
      <c r="D4760" s="5"/>
      <c r="E4760" s="5"/>
      <c r="F4760" s="22">
        <f>IFERROR(__xludf.DUMMYFUNCTION("""COMPUTED_VALUE"""),500000.0)</f>
        <v>500000</v>
      </c>
      <c r="G4760" s="22">
        <f>IFERROR(__xludf.DUMMYFUNCTION("""COMPUTED_VALUE"""),0.0)</f>
        <v>0</v>
      </c>
      <c r="H4760" s="22">
        <f>IFERROR(__xludf.DUMMYFUNCTION("""COMPUTED_VALUE"""),500000.0)</f>
        <v>500000</v>
      </c>
      <c r="I4760" s="24">
        <f>IFERROR(__xludf.DUMMYFUNCTION("""COMPUTED_VALUE"""),0.0)</f>
        <v>0</v>
      </c>
    </row>
    <row r="4761">
      <c r="A4761" s="5" t="str">
        <f>IFERROR(__xludf.DUMMYFUNCTION("""COMPUTED_VALUE"""),"70227")</f>
        <v>70227</v>
      </c>
      <c r="B4761" s="64">
        <f>IFERROR(__xludf.DUMMYFUNCTION("""COMPUTED_VALUE"""),44663.0)</f>
        <v>44663</v>
      </c>
      <c r="C4761" s="5"/>
      <c r="D4761" s="5"/>
      <c r="E4761" s="5"/>
      <c r="F4761" s="22">
        <f>IFERROR(__xludf.DUMMYFUNCTION("""COMPUTED_VALUE"""),500000.0)</f>
        <v>500000</v>
      </c>
      <c r="G4761" s="22">
        <f>IFERROR(__xludf.DUMMYFUNCTION("""COMPUTED_VALUE"""),0.0)</f>
        <v>0</v>
      </c>
      <c r="H4761" s="22">
        <f>IFERROR(__xludf.DUMMYFUNCTION("""COMPUTED_VALUE"""),500000.0)</f>
        <v>500000</v>
      </c>
      <c r="I4761" s="24">
        <f>IFERROR(__xludf.DUMMYFUNCTION("""COMPUTED_VALUE"""),0.0)</f>
        <v>0</v>
      </c>
    </row>
    <row r="4762">
      <c r="A4762" s="5" t="str">
        <f>IFERROR(__xludf.DUMMYFUNCTION("""COMPUTED_VALUE"""),"70236")</f>
        <v>70236</v>
      </c>
      <c r="B4762" s="64">
        <f>IFERROR(__xludf.DUMMYFUNCTION("""COMPUTED_VALUE"""),44597.0)</f>
        <v>44597</v>
      </c>
      <c r="C4762" s="5"/>
      <c r="D4762" s="5"/>
      <c r="E4762" s="5"/>
      <c r="F4762" s="22">
        <f>IFERROR(__xludf.DUMMYFUNCTION("""COMPUTED_VALUE"""),500000.0)</f>
        <v>500000</v>
      </c>
      <c r="G4762" s="22">
        <f>IFERROR(__xludf.DUMMYFUNCTION("""COMPUTED_VALUE"""),0.0)</f>
        <v>0</v>
      </c>
      <c r="H4762" s="22">
        <f>IFERROR(__xludf.DUMMYFUNCTION("""COMPUTED_VALUE"""),500000.0)</f>
        <v>500000</v>
      </c>
      <c r="I4762" s="24">
        <f>IFERROR(__xludf.DUMMYFUNCTION("""COMPUTED_VALUE"""),0.0)</f>
        <v>0</v>
      </c>
    </row>
    <row r="4763">
      <c r="A4763" s="5" t="str">
        <f>IFERROR(__xludf.DUMMYFUNCTION("""COMPUTED_VALUE"""),"70236")</f>
        <v>70236</v>
      </c>
      <c r="B4763" s="64">
        <f>IFERROR(__xludf.DUMMYFUNCTION("""COMPUTED_VALUE"""),44598.0)</f>
        <v>44598</v>
      </c>
      <c r="C4763" s="5"/>
      <c r="D4763" s="5"/>
      <c r="E4763" s="5"/>
      <c r="F4763" s="22">
        <f>IFERROR(__xludf.DUMMYFUNCTION("""COMPUTED_VALUE"""),500000.0)</f>
        <v>500000</v>
      </c>
      <c r="G4763" s="22">
        <f>IFERROR(__xludf.DUMMYFUNCTION("""COMPUTED_VALUE"""),0.0)</f>
        <v>0</v>
      </c>
      <c r="H4763" s="22">
        <f>IFERROR(__xludf.DUMMYFUNCTION("""COMPUTED_VALUE"""),500000.0)</f>
        <v>500000</v>
      </c>
      <c r="I4763" s="24">
        <f>IFERROR(__xludf.DUMMYFUNCTION("""COMPUTED_VALUE"""),0.0)</f>
        <v>0</v>
      </c>
    </row>
    <row r="4764">
      <c r="A4764" s="5" t="str">
        <f>IFERROR(__xludf.DUMMYFUNCTION("""COMPUTED_VALUE"""),"70236")</f>
        <v>70236</v>
      </c>
      <c r="B4764" s="64">
        <f>IFERROR(__xludf.DUMMYFUNCTION("""COMPUTED_VALUE"""),44599.0)</f>
        <v>44599</v>
      </c>
      <c r="C4764" s="5"/>
      <c r="D4764" s="5"/>
      <c r="E4764" s="5"/>
      <c r="F4764" s="22">
        <f>IFERROR(__xludf.DUMMYFUNCTION("""COMPUTED_VALUE"""),500000.0)</f>
        <v>500000</v>
      </c>
      <c r="G4764" s="22">
        <f>IFERROR(__xludf.DUMMYFUNCTION("""COMPUTED_VALUE"""),0.0)</f>
        <v>0</v>
      </c>
      <c r="H4764" s="22">
        <f>IFERROR(__xludf.DUMMYFUNCTION("""COMPUTED_VALUE"""),500000.0)</f>
        <v>500000</v>
      </c>
      <c r="I4764" s="24">
        <f>IFERROR(__xludf.DUMMYFUNCTION("""COMPUTED_VALUE"""),0.0)</f>
        <v>0</v>
      </c>
    </row>
    <row r="4765">
      <c r="A4765" s="5" t="str">
        <f>IFERROR(__xludf.DUMMYFUNCTION("""COMPUTED_VALUE"""),"70236")</f>
        <v>70236</v>
      </c>
      <c r="B4765" s="64">
        <f>IFERROR(__xludf.DUMMYFUNCTION("""COMPUTED_VALUE"""),44600.0)</f>
        <v>44600</v>
      </c>
      <c r="C4765" s="5"/>
      <c r="D4765" s="5"/>
      <c r="E4765" s="5"/>
      <c r="F4765" s="22">
        <f>IFERROR(__xludf.DUMMYFUNCTION("""COMPUTED_VALUE"""),500000.0)</f>
        <v>500000</v>
      </c>
      <c r="G4765" s="22">
        <f>IFERROR(__xludf.DUMMYFUNCTION("""COMPUTED_VALUE"""),0.0)</f>
        <v>0</v>
      </c>
      <c r="H4765" s="22">
        <f>IFERROR(__xludf.DUMMYFUNCTION("""COMPUTED_VALUE"""),500000.0)</f>
        <v>500000</v>
      </c>
      <c r="I4765" s="24">
        <f>IFERROR(__xludf.DUMMYFUNCTION("""COMPUTED_VALUE"""),0.0)</f>
        <v>0</v>
      </c>
    </row>
    <row r="4766">
      <c r="A4766" s="5" t="str">
        <f>IFERROR(__xludf.DUMMYFUNCTION("""COMPUTED_VALUE"""),"70236")</f>
        <v>70236</v>
      </c>
      <c r="B4766" s="64">
        <f>IFERROR(__xludf.DUMMYFUNCTION("""COMPUTED_VALUE"""),44601.0)</f>
        <v>44601</v>
      </c>
      <c r="C4766" s="5"/>
      <c r="D4766" s="5"/>
      <c r="E4766" s="5"/>
      <c r="F4766" s="22">
        <f>IFERROR(__xludf.DUMMYFUNCTION("""COMPUTED_VALUE"""),500000.0)</f>
        <v>500000</v>
      </c>
      <c r="G4766" s="22">
        <f>IFERROR(__xludf.DUMMYFUNCTION("""COMPUTED_VALUE"""),0.0)</f>
        <v>0</v>
      </c>
      <c r="H4766" s="22">
        <f>IFERROR(__xludf.DUMMYFUNCTION("""COMPUTED_VALUE"""),500000.0)</f>
        <v>500000</v>
      </c>
      <c r="I4766" s="24">
        <f>IFERROR(__xludf.DUMMYFUNCTION("""COMPUTED_VALUE"""),0.0)</f>
        <v>0</v>
      </c>
    </row>
    <row r="4767">
      <c r="A4767" s="5" t="str">
        <f>IFERROR(__xludf.DUMMYFUNCTION("""COMPUTED_VALUE"""),"70236")</f>
        <v>70236</v>
      </c>
      <c r="B4767" s="64">
        <f>IFERROR(__xludf.DUMMYFUNCTION("""COMPUTED_VALUE"""),44602.0)</f>
        <v>44602</v>
      </c>
      <c r="C4767" s="5"/>
      <c r="D4767" s="5"/>
      <c r="E4767" s="5"/>
      <c r="F4767" s="22">
        <f>IFERROR(__xludf.DUMMYFUNCTION("""COMPUTED_VALUE"""),500000.0)</f>
        <v>500000</v>
      </c>
      <c r="G4767" s="22">
        <f>IFERROR(__xludf.DUMMYFUNCTION("""COMPUTED_VALUE"""),0.0)</f>
        <v>0</v>
      </c>
      <c r="H4767" s="22">
        <f>IFERROR(__xludf.DUMMYFUNCTION("""COMPUTED_VALUE"""),500000.0)</f>
        <v>500000</v>
      </c>
      <c r="I4767" s="24">
        <f>IFERROR(__xludf.DUMMYFUNCTION("""COMPUTED_VALUE"""),0.0)</f>
        <v>0</v>
      </c>
    </row>
    <row r="4768">
      <c r="A4768" s="5" t="str">
        <f>IFERROR(__xludf.DUMMYFUNCTION("""COMPUTED_VALUE"""),"70236")</f>
        <v>70236</v>
      </c>
      <c r="B4768" s="64">
        <f>IFERROR(__xludf.DUMMYFUNCTION("""COMPUTED_VALUE"""),44603.0)</f>
        <v>44603</v>
      </c>
      <c r="C4768" s="5"/>
      <c r="D4768" s="5"/>
      <c r="E4768" s="5"/>
      <c r="F4768" s="22">
        <f>IFERROR(__xludf.DUMMYFUNCTION("""COMPUTED_VALUE"""),500000.0)</f>
        <v>500000</v>
      </c>
      <c r="G4768" s="22">
        <f>IFERROR(__xludf.DUMMYFUNCTION("""COMPUTED_VALUE"""),0.0)</f>
        <v>0</v>
      </c>
      <c r="H4768" s="22">
        <f>IFERROR(__xludf.DUMMYFUNCTION("""COMPUTED_VALUE"""),500000.0)</f>
        <v>500000</v>
      </c>
      <c r="I4768" s="24">
        <f>IFERROR(__xludf.DUMMYFUNCTION("""COMPUTED_VALUE"""),0.0)</f>
        <v>0</v>
      </c>
    </row>
    <row r="4769">
      <c r="A4769" s="5" t="str">
        <f>IFERROR(__xludf.DUMMYFUNCTION("""COMPUTED_VALUE"""),"70236")</f>
        <v>70236</v>
      </c>
      <c r="B4769" s="64">
        <f>IFERROR(__xludf.DUMMYFUNCTION("""COMPUTED_VALUE"""),44604.0)</f>
        <v>44604</v>
      </c>
      <c r="C4769" s="5"/>
      <c r="D4769" s="5"/>
      <c r="E4769" s="5"/>
      <c r="F4769" s="22">
        <f>IFERROR(__xludf.DUMMYFUNCTION("""COMPUTED_VALUE"""),500000.0)</f>
        <v>500000</v>
      </c>
      <c r="G4769" s="22">
        <f>IFERROR(__xludf.DUMMYFUNCTION("""COMPUTED_VALUE"""),0.0)</f>
        <v>0</v>
      </c>
      <c r="H4769" s="22">
        <f>IFERROR(__xludf.DUMMYFUNCTION("""COMPUTED_VALUE"""),500000.0)</f>
        <v>500000</v>
      </c>
      <c r="I4769" s="24">
        <f>IFERROR(__xludf.DUMMYFUNCTION("""COMPUTED_VALUE"""),0.0)</f>
        <v>0</v>
      </c>
    </row>
    <row r="4770">
      <c r="A4770" s="5" t="str">
        <f>IFERROR(__xludf.DUMMYFUNCTION("""COMPUTED_VALUE"""),"70236")</f>
        <v>70236</v>
      </c>
      <c r="B4770" s="64">
        <f>IFERROR(__xludf.DUMMYFUNCTION("""COMPUTED_VALUE"""),44605.0)</f>
        <v>44605</v>
      </c>
      <c r="C4770" s="5"/>
      <c r="D4770" s="5"/>
      <c r="E4770" s="5"/>
      <c r="F4770" s="22">
        <f>IFERROR(__xludf.DUMMYFUNCTION("""COMPUTED_VALUE"""),500000.0)</f>
        <v>500000</v>
      </c>
      <c r="G4770" s="22">
        <f>IFERROR(__xludf.DUMMYFUNCTION("""COMPUTED_VALUE"""),0.0)</f>
        <v>0</v>
      </c>
      <c r="H4770" s="22">
        <f>IFERROR(__xludf.DUMMYFUNCTION("""COMPUTED_VALUE"""),500000.0)</f>
        <v>500000</v>
      </c>
      <c r="I4770" s="24">
        <f>IFERROR(__xludf.DUMMYFUNCTION("""COMPUTED_VALUE"""),0.0)</f>
        <v>0</v>
      </c>
    </row>
    <row r="4771">
      <c r="A4771" s="5" t="str">
        <f>IFERROR(__xludf.DUMMYFUNCTION("""COMPUTED_VALUE"""),"70236")</f>
        <v>70236</v>
      </c>
      <c r="B4771" s="64">
        <f>IFERROR(__xludf.DUMMYFUNCTION("""COMPUTED_VALUE"""),44606.0)</f>
        <v>44606</v>
      </c>
      <c r="C4771" s="5"/>
      <c r="D4771" s="5"/>
      <c r="E4771" s="5"/>
      <c r="F4771" s="22">
        <f>IFERROR(__xludf.DUMMYFUNCTION("""COMPUTED_VALUE"""),500000.0)</f>
        <v>500000</v>
      </c>
      <c r="G4771" s="22">
        <f>IFERROR(__xludf.DUMMYFUNCTION("""COMPUTED_VALUE"""),0.0)</f>
        <v>0</v>
      </c>
      <c r="H4771" s="22">
        <f>IFERROR(__xludf.DUMMYFUNCTION("""COMPUTED_VALUE"""),500000.0)</f>
        <v>500000</v>
      </c>
      <c r="I4771" s="24">
        <f>IFERROR(__xludf.DUMMYFUNCTION("""COMPUTED_VALUE"""),0.0)</f>
        <v>0</v>
      </c>
    </row>
    <row r="4772">
      <c r="A4772" s="5" t="str">
        <f>IFERROR(__xludf.DUMMYFUNCTION("""COMPUTED_VALUE"""),"70236")</f>
        <v>70236</v>
      </c>
      <c r="B4772" s="64">
        <f>IFERROR(__xludf.DUMMYFUNCTION("""COMPUTED_VALUE"""),44607.0)</f>
        <v>44607</v>
      </c>
      <c r="C4772" s="5"/>
      <c r="D4772" s="5"/>
      <c r="E4772" s="5"/>
      <c r="F4772" s="22">
        <f>IFERROR(__xludf.DUMMYFUNCTION("""COMPUTED_VALUE"""),500000.0)</f>
        <v>500000</v>
      </c>
      <c r="G4772" s="22">
        <f>IFERROR(__xludf.DUMMYFUNCTION("""COMPUTED_VALUE"""),0.0)</f>
        <v>0</v>
      </c>
      <c r="H4772" s="22">
        <f>IFERROR(__xludf.DUMMYFUNCTION("""COMPUTED_VALUE"""),500000.0)</f>
        <v>500000</v>
      </c>
      <c r="I4772" s="24">
        <f>IFERROR(__xludf.DUMMYFUNCTION("""COMPUTED_VALUE"""),0.0)</f>
        <v>0</v>
      </c>
    </row>
    <row r="4773">
      <c r="A4773" s="5" t="str">
        <f>IFERROR(__xludf.DUMMYFUNCTION("""COMPUTED_VALUE"""),"70236")</f>
        <v>70236</v>
      </c>
      <c r="B4773" s="64">
        <f>IFERROR(__xludf.DUMMYFUNCTION("""COMPUTED_VALUE"""),44608.0)</f>
        <v>44608</v>
      </c>
      <c r="C4773" s="5"/>
      <c r="D4773" s="5"/>
      <c r="E4773" s="5"/>
      <c r="F4773" s="22">
        <f>IFERROR(__xludf.DUMMYFUNCTION("""COMPUTED_VALUE"""),500000.0)</f>
        <v>500000</v>
      </c>
      <c r="G4773" s="22">
        <f>IFERROR(__xludf.DUMMYFUNCTION("""COMPUTED_VALUE"""),0.0)</f>
        <v>0</v>
      </c>
      <c r="H4773" s="22">
        <f>IFERROR(__xludf.DUMMYFUNCTION("""COMPUTED_VALUE"""),500000.0)</f>
        <v>500000</v>
      </c>
      <c r="I4773" s="24">
        <f>IFERROR(__xludf.DUMMYFUNCTION("""COMPUTED_VALUE"""),0.0)</f>
        <v>0</v>
      </c>
    </row>
    <row r="4774">
      <c r="A4774" s="5" t="str">
        <f>IFERROR(__xludf.DUMMYFUNCTION("""COMPUTED_VALUE"""),"70236")</f>
        <v>70236</v>
      </c>
      <c r="B4774" s="64">
        <f>IFERROR(__xludf.DUMMYFUNCTION("""COMPUTED_VALUE"""),44609.0)</f>
        <v>44609</v>
      </c>
      <c r="C4774" s="5"/>
      <c r="D4774" s="5"/>
      <c r="E4774" s="5"/>
      <c r="F4774" s="22">
        <f>IFERROR(__xludf.DUMMYFUNCTION("""COMPUTED_VALUE"""),500000.0)</f>
        <v>500000</v>
      </c>
      <c r="G4774" s="22">
        <f>IFERROR(__xludf.DUMMYFUNCTION("""COMPUTED_VALUE"""),0.0)</f>
        <v>0</v>
      </c>
      <c r="H4774" s="22">
        <f>IFERROR(__xludf.DUMMYFUNCTION("""COMPUTED_VALUE"""),500000.0)</f>
        <v>500000</v>
      </c>
      <c r="I4774" s="24">
        <f>IFERROR(__xludf.DUMMYFUNCTION("""COMPUTED_VALUE"""),0.0)</f>
        <v>0</v>
      </c>
    </row>
    <row r="4775">
      <c r="A4775" s="5" t="str">
        <f>IFERROR(__xludf.DUMMYFUNCTION("""COMPUTED_VALUE"""),"70236")</f>
        <v>70236</v>
      </c>
      <c r="B4775" s="64">
        <f>IFERROR(__xludf.DUMMYFUNCTION("""COMPUTED_VALUE"""),44610.0)</f>
        <v>44610</v>
      </c>
      <c r="C4775" s="5"/>
      <c r="D4775" s="5"/>
      <c r="E4775" s="5"/>
      <c r="F4775" s="22">
        <f>IFERROR(__xludf.DUMMYFUNCTION("""COMPUTED_VALUE"""),500000.0)</f>
        <v>500000</v>
      </c>
      <c r="G4775" s="22">
        <f>IFERROR(__xludf.DUMMYFUNCTION("""COMPUTED_VALUE"""),0.0)</f>
        <v>0</v>
      </c>
      <c r="H4775" s="22">
        <f>IFERROR(__xludf.DUMMYFUNCTION("""COMPUTED_VALUE"""),500000.0)</f>
        <v>500000</v>
      </c>
      <c r="I4775" s="24">
        <f>IFERROR(__xludf.DUMMYFUNCTION("""COMPUTED_VALUE"""),0.0)</f>
        <v>0</v>
      </c>
    </row>
    <row r="4776">
      <c r="A4776" s="5" t="str">
        <f>IFERROR(__xludf.DUMMYFUNCTION("""COMPUTED_VALUE"""),"70236")</f>
        <v>70236</v>
      </c>
      <c r="B4776" s="64">
        <f>IFERROR(__xludf.DUMMYFUNCTION("""COMPUTED_VALUE"""),44611.0)</f>
        <v>44611</v>
      </c>
      <c r="C4776" s="5"/>
      <c r="D4776" s="5"/>
      <c r="E4776" s="5"/>
      <c r="F4776" s="22">
        <f>IFERROR(__xludf.DUMMYFUNCTION("""COMPUTED_VALUE"""),500000.0)</f>
        <v>500000</v>
      </c>
      <c r="G4776" s="22">
        <f>IFERROR(__xludf.DUMMYFUNCTION("""COMPUTED_VALUE"""),0.0)</f>
        <v>0</v>
      </c>
      <c r="H4776" s="22">
        <f>IFERROR(__xludf.DUMMYFUNCTION("""COMPUTED_VALUE"""),500000.0)</f>
        <v>500000</v>
      </c>
      <c r="I4776" s="24">
        <f>IFERROR(__xludf.DUMMYFUNCTION("""COMPUTED_VALUE"""),0.0)</f>
        <v>0</v>
      </c>
    </row>
    <row r="4777">
      <c r="A4777" s="5" t="str">
        <f>IFERROR(__xludf.DUMMYFUNCTION("""COMPUTED_VALUE"""),"70236")</f>
        <v>70236</v>
      </c>
      <c r="B4777" s="64">
        <f>IFERROR(__xludf.DUMMYFUNCTION("""COMPUTED_VALUE"""),44612.0)</f>
        <v>44612</v>
      </c>
      <c r="C4777" s="5"/>
      <c r="D4777" s="5"/>
      <c r="E4777" s="5"/>
      <c r="F4777" s="22">
        <f>IFERROR(__xludf.DUMMYFUNCTION("""COMPUTED_VALUE"""),500000.0)</f>
        <v>500000</v>
      </c>
      <c r="G4777" s="22">
        <f>IFERROR(__xludf.DUMMYFUNCTION("""COMPUTED_VALUE"""),0.0)</f>
        <v>0</v>
      </c>
      <c r="H4777" s="22">
        <f>IFERROR(__xludf.DUMMYFUNCTION("""COMPUTED_VALUE"""),500000.0)</f>
        <v>500000</v>
      </c>
      <c r="I4777" s="24">
        <f>IFERROR(__xludf.DUMMYFUNCTION("""COMPUTED_VALUE"""),0.0)</f>
        <v>0</v>
      </c>
    </row>
    <row r="4778">
      <c r="A4778" s="5" t="str">
        <f>IFERROR(__xludf.DUMMYFUNCTION("""COMPUTED_VALUE"""),"70236")</f>
        <v>70236</v>
      </c>
      <c r="B4778" s="64">
        <f>IFERROR(__xludf.DUMMYFUNCTION("""COMPUTED_VALUE"""),44613.0)</f>
        <v>44613</v>
      </c>
      <c r="C4778" s="5"/>
      <c r="D4778" s="5"/>
      <c r="E4778" s="5"/>
      <c r="F4778" s="22">
        <f>IFERROR(__xludf.DUMMYFUNCTION("""COMPUTED_VALUE"""),500000.0)</f>
        <v>500000</v>
      </c>
      <c r="G4778" s="22">
        <f>IFERROR(__xludf.DUMMYFUNCTION("""COMPUTED_VALUE"""),0.0)</f>
        <v>0</v>
      </c>
      <c r="H4778" s="22">
        <f>IFERROR(__xludf.DUMMYFUNCTION("""COMPUTED_VALUE"""),500000.0)</f>
        <v>500000</v>
      </c>
      <c r="I4778" s="24">
        <f>IFERROR(__xludf.DUMMYFUNCTION("""COMPUTED_VALUE"""),0.0)</f>
        <v>0</v>
      </c>
    </row>
    <row r="4779">
      <c r="A4779" s="5" t="str">
        <f>IFERROR(__xludf.DUMMYFUNCTION("""COMPUTED_VALUE"""),"70236")</f>
        <v>70236</v>
      </c>
      <c r="B4779" s="64">
        <f>IFERROR(__xludf.DUMMYFUNCTION("""COMPUTED_VALUE"""),44614.0)</f>
        <v>44614</v>
      </c>
      <c r="C4779" s="5"/>
      <c r="D4779" s="5"/>
      <c r="E4779" s="5"/>
      <c r="F4779" s="22">
        <f>IFERROR(__xludf.DUMMYFUNCTION("""COMPUTED_VALUE"""),500000.0)</f>
        <v>500000</v>
      </c>
      <c r="G4779" s="22">
        <f>IFERROR(__xludf.DUMMYFUNCTION("""COMPUTED_VALUE"""),0.0)</f>
        <v>0</v>
      </c>
      <c r="H4779" s="22">
        <f>IFERROR(__xludf.DUMMYFUNCTION("""COMPUTED_VALUE"""),500000.0)</f>
        <v>500000</v>
      </c>
      <c r="I4779" s="24">
        <f>IFERROR(__xludf.DUMMYFUNCTION("""COMPUTED_VALUE"""),0.0)</f>
        <v>0</v>
      </c>
    </row>
    <row r="4780">
      <c r="A4780" s="5" t="str">
        <f>IFERROR(__xludf.DUMMYFUNCTION("""COMPUTED_VALUE"""),"70236")</f>
        <v>70236</v>
      </c>
      <c r="B4780" s="64">
        <f>IFERROR(__xludf.DUMMYFUNCTION("""COMPUTED_VALUE"""),44615.0)</f>
        <v>44615</v>
      </c>
      <c r="C4780" s="5"/>
      <c r="D4780" s="5"/>
      <c r="E4780" s="5"/>
      <c r="F4780" s="22">
        <f>IFERROR(__xludf.DUMMYFUNCTION("""COMPUTED_VALUE"""),500000.0)</f>
        <v>500000</v>
      </c>
      <c r="G4780" s="22">
        <f>IFERROR(__xludf.DUMMYFUNCTION("""COMPUTED_VALUE"""),0.0)</f>
        <v>0</v>
      </c>
      <c r="H4780" s="22">
        <f>IFERROR(__xludf.DUMMYFUNCTION("""COMPUTED_VALUE"""),500000.0)</f>
        <v>500000</v>
      </c>
      <c r="I4780" s="24">
        <f>IFERROR(__xludf.DUMMYFUNCTION("""COMPUTED_VALUE"""),0.0)</f>
        <v>0</v>
      </c>
    </row>
    <row r="4781">
      <c r="A4781" s="5" t="str">
        <f>IFERROR(__xludf.DUMMYFUNCTION("""COMPUTED_VALUE"""),"70236")</f>
        <v>70236</v>
      </c>
      <c r="B4781" s="64">
        <f>IFERROR(__xludf.DUMMYFUNCTION("""COMPUTED_VALUE"""),44616.0)</f>
        <v>44616</v>
      </c>
      <c r="C4781" s="5"/>
      <c r="D4781" s="5"/>
      <c r="E4781" s="5"/>
      <c r="F4781" s="22">
        <f>IFERROR(__xludf.DUMMYFUNCTION("""COMPUTED_VALUE"""),500000.0)</f>
        <v>500000</v>
      </c>
      <c r="G4781" s="22">
        <f>IFERROR(__xludf.DUMMYFUNCTION("""COMPUTED_VALUE"""),0.0)</f>
        <v>0</v>
      </c>
      <c r="H4781" s="22">
        <f>IFERROR(__xludf.DUMMYFUNCTION("""COMPUTED_VALUE"""),500000.0)</f>
        <v>500000</v>
      </c>
      <c r="I4781" s="24">
        <f>IFERROR(__xludf.DUMMYFUNCTION("""COMPUTED_VALUE"""),0.0)</f>
        <v>0</v>
      </c>
    </row>
    <row r="4782">
      <c r="A4782" s="5" t="str">
        <f>IFERROR(__xludf.DUMMYFUNCTION("""COMPUTED_VALUE"""),"70236")</f>
        <v>70236</v>
      </c>
      <c r="B4782" s="64">
        <f>IFERROR(__xludf.DUMMYFUNCTION("""COMPUTED_VALUE"""),44617.0)</f>
        <v>44617</v>
      </c>
      <c r="C4782" s="5"/>
      <c r="D4782" s="5"/>
      <c r="E4782" s="5"/>
      <c r="F4782" s="22">
        <f>IFERROR(__xludf.DUMMYFUNCTION("""COMPUTED_VALUE"""),500000.0)</f>
        <v>500000</v>
      </c>
      <c r="G4782" s="22">
        <f>IFERROR(__xludf.DUMMYFUNCTION("""COMPUTED_VALUE"""),0.0)</f>
        <v>0</v>
      </c>
      <c r="H4782" s="22">
        <f>IFERROR(__xludf.DUMMYFUNCTION("""COMPUTED_VALUE"""),500000.0)</f>
        <v>500000</v>
      </c>
      <c r="I4782" s="24">
        <f>IFERROR(__xludf.DUMMYFUNCTION("""COMPUTED_VALUE"""),0.0)</f>
        <v>0</v>
      </c>
    </row>
    <row r="4783">
      <c r="A4783" s="5" t="str">
        <f>IFERROR(__xludf.DUMMYFUNCTION("""COMPUTED_VALUE"""),"70236")</f>
        <v>70236</v>
      </c>
      <c r="B4783" s="64">
        <f>IFERROR(__xludf.DUMMYFUNCTION("""COMPUTED_VALUE"""),44618.0)</f>
        <v>44618</v>
      </c>
      <c r="C4783" s="5"/>
      <c r="D4783" s="5"/>
      <c r="E4783" s="5"/>
      <c r="F4783" s="22">
        <f>IFERROR(__xludf.DUMMYFUNCTION("""COMPUTED_VALUE"""),500000.0)</f>
        <v>500000</v>
      </c>
      <c r="G4783" s="22">
        <f>IFERROR(__xludf.DUMMYFUNCTION("""COMPUTED_VALUE"""),0.0)</f>
        <v>0</v>
      </c>
      <c r="H4783" s="22">
        <f>IFERROR(__xludf.DUMMYFUNCTION("""COMPUTED_VALUE"""),500000.0)</f>
        <v>500000</v>
      </c>
      <c r="I4783" s="24">
        <f>IFERROR(__xludf.DUMMYFUNCTION("""COMPUTED_VALUE"""),0.0)</f>
        <v>0</v>
      </c>
    </row>
    <row r="4784">
      <c r="A4784" s="5" t="str">
        <f>IFERROR(__xludf.DUMMYFUNCTION("""COMPUTED_VALUE"""),"70236")</f>
        <v>70236</v>
      </c>
      <c r="B4784" s="64">
        <f>IFERROR(__xludf.DUMMYFUNCTION("""COMPUTED_VALUE"""),44619.0)</f>
        <v>44619</v>
      </c>
      <c r="C4784" s="5"/>
      <c r="D4784" s="5"/>
      <c r="E4784" s="5"/>
      <c r="F4784" s="22">
        <f>IFERROR(__xludf.DUMMYFUNCTION("""COMPUTED_VALUE"""),500000.0)</f>
        <v>500000</v>
      </c>
      <c r="G4784" s="22">
        <f>IFERROR(__xludf.DUMMYFUNCTION("""COMPUTED_VALUE"""),0.0)</f>
        <v>0</v>
      </c>
      <c r="H4784" s="22">
        <f>IFERROR(__xludf.DUMMYFUNCTION("""COMPUTED_VALUE"""),500000.0)</f>
        <v>500000</v>
      </c>
      <c r="I4784" s="24">
        <f>IFERROR(__xludf.DUMMYFUNCTION("""COMPUTED_VALUE"""),0.0)</f>
        <v>0</v>
      </c>
    </row>
    <row r="4785">
      <c r="A4785" s="5" t="str">
        <f>IFERROR(__xludf.DUMMYFUNCTION("""COMPUTED_VALUE"""),"70236")</f>
        <v>70236</v>
      </c>
      <c r="B4785" s="64">
        <f>IFERROR(__xludf.DUMMYFUNCTION("""COMPUTED_VALUE"""),44620.0)</f>
        <v>44620</v>
      </c>
      <c r="C4785" s="5"/>
      <c r="D4785" s="5"/>
      <c r="E4785" s="5"/>
      <c r="F4785" s="22">
        <f>IFERROR(__xludf.DUMMYFUNCTION("""COMPUTED_VALUE"""),500000.0)</f>
        <v>500000</v>
      </c>
      <c r="G4785" s="22">
        <f>IFERROR(__xludf.DUMMYFUNCTION("""COMPUTED_VALUE"""),0.0)</f>
        <v>0</v>
      </c>
      <c r="H4785" s="22">
        <f>IFERROR(__xludf.DUMMYFUNCTION("""COMPUTED_VALUE"""),500000.0)</f>
        <v>500000</v>
      </c>
      <c r="I4785" s="24">
        <f>IFERROR(__xludf.DUMMYFUNCTION("""COMPUTED_VALUE"""),0.0)</f>
        <v>0</v>
      </c>
    </row>
    <row r="4786">
      <c r="A4786" s="5" t="str">
        <f>IFERROR(__xludf.DUMMYFUNCTION("""COMPUTED_VALUE"""),"70236")</f>
        <v>70236</v>
      </c>
      <c r="B4786" s="64">
        <f>IFERROR(__xludf.DUMMYFUNCTION("""COMPUTED_VALUE"""),44621.0)</f>
        <v>44621</v>
      </c>
      <c r="C4786" s="5"/>
      <c r="D4786" s="5"/>
      <c r="E4786" s="5"/>
      <c r="F4786" s="22">
        <f>IFERROR(__xludf.DUMMYFUNCTION("""COMPUTED_VALUE"""),500000.0)</f>
        <v>500000</v>
      </c>
      <c r="G4786" s="22">
        <f>IFERROR(__xludf.DUMMYFUNCTION("""COMPUTED_VALUE"""),0.0)</f>
        <v>0</v>
      </c>
      <c r="H4786" s="22">
        <f>IFERROR(__xludf.DUMMYFUNCTION("""COMPUTED_VALUE"""),500000.0)</f>
        <v>500000</v>
      </c>
      <c r="I4786" s="24">
        <f>IFERROR(__xludf.DUMMYFUNCTION("""COMPUTED_VALUE"""),0.0)</f>
        <v>0</v>
      </c>
    </row>
    <row r="4787">
      <c r="A4787" s="5" t="str">
        <f>IFERROR(__xludf.DUMMYFUNCTION("""COMPUTED_VALUE"""),"70236")</f>
        <v>70236</v>
      </c>
      <c r="B4787" s="64">
        <f>IFERROR(__xludf.DUMMYFUNCTION("""COMPUTED_VALUE"""),44622.0)</f>
        <v>44622</v>
      </c>
      <c r="C4787" s="5"/>
      <c r="D4787" s="5"/>
      <c r="E4787" s="5"/>
      <c r="F4787" s="22">
        <f>IFERROR(__xludf.DUMMYFUNCTION("""COMPUTED_VALUE"""),500000.0)</f>
        <v>500000</v>
      </c>
      <c r="G4787" s="22">
        <f>IFERROR(__xludf.DUMMYFUNCTION("""COMPUTED_VALUE"""),0.0)</f>
        <v>0</v>
      </c>
      <c r="H4787" s="22">
        <f>IFERROR(__xludf.DUMMYFUNCTION("""COMPUTED_VALUE"""),500000.0)</f>
        <v>500000</v>
      </c>
      <c r="I4787" s="24">
        <f>IFERROR(__xludf.DUMMYFUNCTION("""COMPUTED_VALUE"""),0.0)</f>
        <v>0</v>
      </c>
    </row>
    <row r="4788">
      <c r="A4788" s="5" t="str">
        <f>IFERROR(__xludf.DUMMYFUNCTION("""COMPUTED_VALUE"""),"70236")</f>
        <v>70236</v>
      </c>
      <c r="B4788" s="64">
        <f>IFERROR(__xludf.DUMMYFUNCTION("""COMPUTED_VALUE"""),44623.0)</f>
        <v>44623</v>
      </c>
      <c r="C4788" s="5"/>
      <c r="D4788" s="5"/>
      <c r="E4788" s="5"/>
      <c r="F4788" s="22">
        <f>IFERROR(__xludf.DUMMYFUNCTION("""COMPUTED_VALUE"""),500000.0)</f>
        <v>500000</v>
      </c>
      <c r="G4788" s="22">
        <f>IFERROR(__xludf.DUMMYFUNCTION("""COMPUTED_VALUE"""),0.0)</f>
        <v>0</v>
      </c>
      <c r="H4788" s="22">
        <f>IFERROR(__xludf.DUMMYFUNCTION("""COMPUTED_VALUE"""),500000.0)</f>
        <v>500000</v>
      </c>
      <c r="I4788" s="24">
        <f>IFERROR(__xludf.DUMMYFUNCTION("""COMPUTED_VALUE"""),0.0)</f>
        <v>0</v>
      </c>
    </row>
    <row r="4789">
      <c r="A4789" s="5" t="str">
        <f>IFERROR(__xludf.DUMMYFUNCTION("""COMPUTED_VALUE"""),"70236")</f>
        <v>70236</v>
      </c>
      <c r="B4789" s="64">
        <f>IFERROR(__xludf.DUMMYFUNCTION("""COMPUTED_VALUE"""),44624.0)</f>
        <v>44624</v>
      </c>
      <c r="C4789" s="5"/>
      <c r="D4789" s="5"/>
      <c r="E4789" s="5"/>
      <c r="F4789" s="22">
        <f>IFERROR(__xludf.DUMMYFUNCTION("""COMPUTED_VALUE"""),500000.0)</f>
        <v>500000</v>
      </c>
      <c r="G4789" s="22">
        <f>IFERROR(__xludf.DUMMYFUNCTION("""COMPUTED_VALUE"""),0.0)</f>
        <v>0</v>
      </c>
      <c r="H4789" s="22">
        <f>IFERROR(__xludf.DUMMYFUNCTION("""COMPUTED_VALUE"""),500000.0)</f>
        <v>500000</v>
      </c>
      <c r="I4789" s="24">
        <f>IFERROR(__xludf.DUMMYFUNCTION("""COMPUTED_VALUE"""),0.0)</f>
        <v>0</v>
      </c>
    </row>
    <row r="4790">
      <c r="A4790" s="5" t="str">
        <f>IFERROR(__xludf.DUMMYFUNCTION("""COMPUTED_VALUE"""),"70236")</f>
        <v>70236</v>
      </c>
      <c r="B4790" s="64">
        <f>IFERROR(__xludf.DUMMYFUNCTION("""COMPUTED_VALUE"""),44625.0)</f>
        <v>44625</v>
      </c>
      <c r="C4790" s="5"/>
      <c r="D4790" s="5"/>
      <c r="E4790" s="5"/>
      <c r="F4790" s="22">
        <f>IFERROR(__xludf.DUMMYFUNCTION("""COMPUTED_VALUE"""),500000.0)</f>
        <v>500000</v>
      </c>
      <c r="G4790" s="22">
        <f>IFERROR(__xludf.DUMMYFUNCTION("""COMPUTED_VALUE"""),0.0)</f>
        <v>0</v>
      </c>
      <c r="H4790" s="22">
        <f>IFERROR(__xludf.DUMMYFUNCTION("""COMPUTED_VALUE"""),500000.0)</f>
        <v>500000</v>
      </c>
      <c r="I4790" s="24">
        <f>IFERROR(__xludf.DUMMYFUNCTION("""COMPUTED_VALUE"""),0.0)</f>
        <v>0</v>
      </c>
    </row>
    <row r="4791">
      <c r="A4791" s="5" t="str">
        <f>IFERROR(__xludf.DUMMYFUNCTION("""COMPUTED_VALUE"""),"70236")</f>
        <v>70236</v>
      </c>
      <c r="B4791" s="64">
        <f>IFERROR(__xludf.DUMMYFUNCTION("""COMPUTED_VALUE"""),44626.0)</f>
        <v>44626</v>
      </c>
      <c r="C4791" s="5"/>
      <c r="D4791" s="5"/>
      <c r="E4791" s="5"/>
      <c r="F4791" s="22">
        <f>IFERROR(__xludf.DUMMYFUNCTION("""COMPUTED_VALUE"""),500000.0)</f>
        <v>500000</v>
      </c>
      <c r="G4791" s="22">
        <f>IFERROR(__xludf.DUMMYFUNCTION("""COMPUTED_VALUE"""),0.0)</f>
        <v>0</v>
      </c>
      <c r="H4791" s="22">
        <f>IFERROR(__xludf.DUMMYFUNCTION("""COMPUTED_VALUE"""),500000.0)</f>
        <v>500000</v>
      </c>
      <c r="I4791" s="24">
        <f>IFERROR(__xludf.DUMMYFUNCTION("""COMPUTED_VALUE"""),0.0)</f>
        <v>0</v>
      </c>
    </row>
    <row r="4792">
      <c r="A4792" s="5" t="str">
        <f>IFERROR(__xludf.DUMMYFUNCTION("""COMPUTED_VALUE"""),"70236")</f>
        <v>70236</v>
      </c>
      <c r="B4792" s="64">
        <f>IFERROR(__xludf.DUMMYFUNCTION("""COMPUTED_VALUE"""),44627.0)</f>
        <v>44627</v>
      </c>
      <c r="C4792" s="5"/>
      <c r="D4792" s="5"/>
      <c r="E4792" s="5"/>
      <c r="F4792" s="22">
        <f>IFERROR(__xludf.DUMMYFUNCTION("""COMPUTED_VALUE"""),500000.0)</f>
        <v>500000</v>
      </c>
      <c r="G4792" s="22">
        <f>IFERROR(__xludf.DUMMYFUNCTION("""COMPUTED_VALUE"""),0.0)</f>
        <v>0</v>
      </c>
      <c r="H4792" s="22">
        <f>IFERROR(__xludf.DUMMYFUNCTION("""COMPUTED_VALUE"""),500000.0)</f>
        <v>500000</v>
      </c>
      <c r="I4792" s="24">
        <f>IFERROR(__xludf.DUMMYFUNCTION("""COMPUTED_VALUE"""),0.0)</f>
        <v>0</v>
      </c>
    </row>
    <row r="4793">
      <c r="A4793" s="5" t="str">
        <f>IFERROR(__xludf.DUMMYFUNCTION("""COMPUTED_VALUE"""),"70236")</f>
        <v>70236</v>
      </c>
      <c r="B4793" s="64">
        <f>IFERROR(__xludf.DUMMYFUNCTION("""COMPUTED_VALUE"""),44628.0)</f>
        <v>44628</v>
      </c>
      <c r="C4793" s="5"/>
      <c r="D4793" s="5"/>
      <c r="E4793" s="5"/>
      <c r="F4793" s="22">
        <f>IFERROR(__xludf.DUMMYFUNCTION("""COMPUTED_VALUE"""),500000.0)</f>
        <v>500000</v>
      </c>
      <c r="G4793" s="22">
        <f>IFERROR(__xludf.DUMMYFUNCTION("""COMPUTED_VALUE"""),0.0)</f>
        <v>0</v>
      </c>
      <c r="H4793" s="22">
        <f>IFERROR(__xludf.DUMMYFUNCTION("""COMPUTED_VALUE"""),500000.0)</f>
        <v>500000</v>
      </c>
      <c r="I4793" s="24">
        <f>IFERROR(__xludf.DUMMYFUNCTION("""COMPUTED_VALUE"""),0.0)</f>
        <v>0</v>
      </c>
    </row>
    <row r="4794">
      <c r="A4794" s="5" t="str">
        <f>IFERROR(__xludf.DUMMYFUNCTION("""COMPUTED_VALUE"""),"70236")</f>
        <v>70236</v>
      </c>
      <c r="B4794" s="64">
        <f>IFERROR(__xludf.DUMMYFUNCTION("""COMPUTED_VALUE"""),44629.0)</f>
        <v>44629</v>
      </c>
      <c r="C4794" s="5"/>
      <c r="D4794" s="5"/>
      <c r="E4794" s="5"/>
      <c r="F4794" s="22">
        <f>IFERROR(__xludf.DUMMYFUNCTION("""COMPUTED_VALUE"""),500000.0)</f>
        <v>500000</v>
      </c>
      <c r="G4794" s="22">
        <f>IFERROR(__xludf.DUMMYFUNCTION("""COMPUTED_VALUE"""),0.0)</f>
        <v>0</v>
      </c>
      <c r="H4794" s="22">
        <f>IFERROR(__xludf.DUMMYFUNCTION("""COMPUTED_VALUE"""),500000.0)</f>
        <v>500000</v>
      </c>
      <c r="I4794" s="24">
        <f>IFERROR(__xludf.DUMMYFUNCTION("""COMPUTED_VALUE"""),0.0)</f>
        <v>0</v>
      </c>
    </row>
    <row r="4795">
      <c r="A4795" s="5" t="str">
        <f>IFERROR(__xludf.DUMMYFUNCTION("""COMPUTED_VALUE"""),"70236")</f>
        <v>70236</v>
      </c>
      <c r="B4795" s="64">
        <f>IFERROR(__xludf.DUMMYFUNCTION("""COMPUTED_VALUE"""),44630.0)</f>
        <v>44630</v>
      </c>
      <c r="C4795" s="5"/>
      <c r="D4795" s="5"/>
      <c r="E4795" s="5"/>
      <c r="F4795" s="22">
        <f>IFERROR(__xludf.DUMMYFUNCTION("""COMPUTED_VALUE"""),500000.0)</f>
        <v>500000</v>
      </c>
      <c r="G4795" s="22">
        <f>IFERROR(__xludf.DUMMYFUNCTION("""COMPUTED_VALUE"""),0.0)</f>
        <v>0</v>
      </c>
      <c r="H4795" s="22">
        <f>IFERROR(__xludf.DUMMYFUNCTION("""COMPUTED_VALUE"""),500000.0)</f>
        <v>500000</v>
      </c>
      <c r="I4795" s="24">
        <f>IFERROR(__xludf.DUMMYFUNCTION("""COMPUTED_VALUE"""),0.0)</f>
        <v>0</v>
      </c>
    </row>
    <row r="4796">
      <c r="A4796" s="5" t="str">
        <f>IFERROR(__xludf.DUMMYFUNCTION("""COMPUTED_VALUE"""),"70236")</f>
        <v>70236</v>
      </c>
      <c r="B4796" s="64">
        <f>IFERROR(__xludf.DUMMYFUNCTION("""COMPUTED_VALUE"""),44631.0)</f>
        <v>44631</v>
      </c>
      <c r="C4796" s="5"/>
      <c r="D4796" s="5"/>
      <c r="E4796" s="5"/>
      <c r="F4796" s="22">
        <f>IFERROR(__xludf.DUMMYFUNCTION("""COMPUTED_VALUE"""),500000.0)</f>
        <v>500000</v>
      </c>
      <c r="G4796" s="22">
        <f>IFERROR(__xludf.DUMMYFUNCTION("""COMPUTED_VALUE"""),0.0)</f>
        <v>0</v>
      </c>
      <c r="H4796" s="22">
        <f>IFERROR(__xludf.DUMMYFUNCTION("""COMPUTED_VALUE"""),500000.0)</f>
        <v>500000</v>
      </c>
      <c r="I4796" s="24">
        <f>IFERROR(__xludf.DUMMYFUNCTION("""COMPUTED_VALUE"""),0.0)</f>
        <v>0</v>
      </c>
    </row>
    <row r="4797">
      <c r="A4797" s="5" t="str">
        <f>IFERROR(__xludf.DUMMYFUNCTION("""COMPUTED_VALUE"""),"70236")</f>
        <v>70236</v>
      </c>
      <c r="B4797" s="64">
        <f>IFERROR(__xludf.DUMMYFUNCTION("""COMPUTED_VALUE"""),44632.0)</f>
        <v>44632</v>
      </c>
      <c r="C4797" s="5"/>
      <c r="D4797" s="5"/>
      <c r="E4797" s="5"/>
      <c r="F4797" s="22">
        <f>IFERROR(__xludf.DUMMYFUNCTION("""COMPUTED_VALUE"""),500000.0)</f>
        <v>500000</v>
      </c>
      <c r="G4797" s="22">
        <f>IFERROR(__xludf.DUMMYFUNCTION("""COMPUTED_VALUE"""),0.0)</f>
        <v>0</v>
      </c>
      <c r="H4797" s="22">
        <f>IFERROR(__xludf.DUMMYFUNCTION("""COMPUTED_VALUE"""),500000.0)</f>
        <v>500000</v>
      </c>
      <c r="I4797" s="24">
        <f>IFERROR(__xludf.DUMMYFUNCTION("""COMPUTED_VALUE"""),0.0)</f>
        <v>0</v>
      </c>
    </row>
    <row r="4798">
      <c r="A4798" s="5" t="str">
        <f>IFERROR(__xludf.DUMMYFUNCTION("""COMPUTED_VALUE"""),"70236")</f>
        <v>70236</v>
      </c>
      <c r="B4798" s="64">
        <f>IFERROR(__xludf.DUMMYFUNCTION("""COMPUTED_VALUE"""),44633.0)</f>
        <v>44633</v>
      </c>
      <c r="C4798" s="5"/>
      <c r="D4798" s="5"/>
      <c r="E4798" s="5"/>
      <c r="F4798" s="22">
        <f>IFERROR(__xludf.DUMMYFUNCTION("""COMPUTED_VALUE"""),500000.0)</f>
        <v>500000</v>
      </c>
      <c r="G4798" s="22">
        <f>IFERROR(__xludf.DUMMYFUNCTION("""COMPUTED_VALUE"""),0.0)</f>
        <v>0</v>
      </c>
      <c r="H4798" s="22">
        <f>IFERROR(__xludf.DUMMYFUNCTION("""COMPUTED_VALUE"""),500000.0)</f>
        <v>500000</v>
      </c>
      <c r="I4798" s="24">
        <f>IFERROR(__xludf.DUMMYFUNCTION("""COMPUTED_VALUE"""),0.0)</f>
        <v>0</v>
      </c>
    </row>
    <row r="4799">
      <c r="A4799" s="5" t="str">
        <f>IFERROR(__xludf.DUMMYFUNCTION("""COMPUTED_VALUE"""),"70236")</f>
        <v>70236</v>
      </c>
      <c r="B4799" s="64">
        <f>IFERROR(__xludf.DUMMYFUNCTION("""COMPUTED_VALUE"""),44634.0)</f>
        <v>44634</v>
      </c>
      <c r="C4799" s="5"/>
      <c r="D4799" s="5"/>
      <c r="E4799" s="5"/>
      <c r="F4799" s="22">
        <f>IFERROR(__xludf.DUMMYFUNCTION("""COMPUTED_VALUE"""),500000.0)</f>
        <v>500000</v>
      </c>
      <c r="G4799" s="22">
        <f>IFERROR(__xludf.DUMMYFUNCTION("""COMPUTED_VALUE"""),0.0)</f>
        <v>0</v>
      </c>
      <c r="H4799" s="22">
        <f>IFERROR(__xludf.DUMMYFUNCTION("""COMPUTED_VALUE"""),500000.0)</f>
        <v>500000</v>
      </c>
      <c r="I4799" s="24">
        <f>IFERROR(__xludf.DUMMYFUNCTION("""COMPUTED_VALUE"""),0.0)</f>
        <v>0</v>
      </c>
    </row>
    <row r="4800">
      <c r="A4800" s="5" t="str">
        <f>IFERROR(__xludf.DUMMYFUNCTION("""COMPUTED_VALUE"""),"70236")</f>
        <v>70236</v>
      </c>
      <c r="B4800" s="64">
        <f>IFERROR(__xludf.DUMMYFUNCTION("""COMPUTED_VALUE"""),44635.0)</f>
        <v>44635</v>
      </c>
      <c r="C4800" s="5"/>
      <c r="D4800" s="5"/>
      <c r="E4800" s="5"/>
      <c r="F4800" s="22">
        <f>IFERROR(__xludf.DUMMYFUNCTION("""COMPUTED_VALUE"""),500000.0)</f>
        <v>500000</v>
      </c>
      <c r="G4800" s="22">
        <f>IFERROR(__xludf.DUMMYFUNCTION("""COMPUTED_VALUE"""),0.0)</f>
        <v>0</v>
      </c>
      <c r="H4800" s="22">
        <f>IFERROR(__xludf.DUMMYFUNCTION("""COMPUTED_VALUE"""),500000.0)</f>
        <v>500000</v>
      </c>
      <c r="I4800" s="24">
        <f>IFERROR(__xludf.DUMMYFUNCTION("""COMPUTED_VALUE"""),0.0)</f>
        <v>0</v>
      </c>
    </row>
    <row r="4801">
      <c r="A4801" s="5" t="str">
        <f>IFERROR(__xludf.DUMMYFUNCTION("""COMPUTED_VALUE"""),"70236")</f>
        <v>70236</v>
      </c>
      <c r="B4801" s="64">
        <f>IFERROR(__xludf.DUMMYFUNCTION("""COMPUTED_VALUE"""),44636.0)</f>
        <v>44636</v>
      </c>
      <c r="C4801" s="5"/>
      <c r="D4801" s="5"/>
      <c r="E4801" s="5"/>
      <c r="F4801" s="22">
        <f>IFERROR(__xludf.DUMMYFUNCTION("""COMPUTED_VALUE"""),500000.0)</f>
        <v>500000</v>
      </c>
      <c r="G4801" s="22">
        <f>IFERROR(__xludf.DUMMYFUNCTION("""COMPUTED_VALUE"""),0.0)</f>
        <v>0</v>
      </c>
      <c r="H4801" s="22">
        <f>IFERROR(__xludf.DUMMYFUNCTION("""COMPUTED_VALUE"""),500000.0)</f>
        <v>500000</v>
      </c>
      <c r="I4801" s="24">
        <f>IFERROR(__xludf.DUMMYFUNCTION("""COMPUTED_VALUE"""),0.0)</f>
        <v>0</v>
      </c>
    </row>
    <row r="4802">
      <c r="A4802" s="5" t="str">
        <f>IFERROR(__xludf.DUMMYFUNCTION("""COMPUTED_VALUE"""),"70236")</f>
        <v>70236</v>
      </c>
      <c r="B4802" s="64">
        <f>IFERROR(__xludf.DUMMYFUNCTION("""COMPUTED_VALUE"""),44637.0)</f>
        <v>44637</v>
      </c>
      <c r="C4802" s="5"/>
      <c r="D4802" s="5"/>
      <c r="E4802" s="5"/>
      <c r="F4802" s="22">
        <f>IFERROR(__xludf.DUMMYFUNCTION("""COMPUTED_VALUE"""),500000.0)</f>
        <v>500000</v>
      </c>
      <c r="G4802" s="22">
        <f>IFERROR(__xludf.DUMMYFUNCTION("""COMPUTED_VALUE"""),0.0)</f>
        <v>0</v>
      </c>
      <c r="H4802" s="22">
        <f>IFERROR(__xludf.DUMMYFUNCTION("""COMPUTED_VALUE"""),500000.0)</f>
        <v>500000</v>
      </c>
      <c r="I4802" s="24">
        <f>IFERROR(__xludf.DUMMYFUNCTION("""COMPUTED_VALUE"""),0.0)</f>
        <v>0</v>
      </c>
    </row>
    <row r="4803">
      <c r="A4803" s="5" t="str">
        <f>IFERROR(__xludf.DUMMYFUNCTION("""COMPUTED_VALUE"""),"70236")</f>
        <v>70236</v>
      </c>
      <c r="B4803" s="64">
        <f>IFERROR(__xludf.DUMMYFUNCTION("""COMPUTED_VALUE"""),44638.0)</f>
        <v>44638</v>
      </c>
      <c r="C4803" s="5"/>
      <c r="D4803" s="5"/>
      <c r="E4803" s="5"/>
      <c r="F4803" s="22">
        <f>IFERROR(__xludf.DUMMYFUNCTION("""COMPUTED_VALUE"""),500000.0)</f>
        <v>500000</v>
      </c>
      <c r="G4803" s="22">
        <f>IFERROR(__xludf.DUMMYFUNCTION("""COMPUTED_VALUE"""),0.0)</f>
        <v>0</v>
      </c>
      <c r="H4803" s="22">
        <f>IFERROR(__xludf.DUMMYFUNCTION("""COMPUTED_VALUE"""),500000.0)</f>
        <v>500000</v>
      </c>
      <c r="I4803" s="24">
        <f>IFERROR(__xludf.DUMMYFUNCTION("""COMPUTED_VALUE"""),0.0)</f>
        <v>0</v>
      </c>
    </row>
    <row r="4804">
      <c r="A4804" s="5" t="str">
        <f>IFERROR(__xludf.DUMMYFUNCTION("""COMPUTED_VALUE"""),"70236")</f>
        <v>70236</v>
      </c>
      <c r="B4804" s="64">
        <f>IFERROR(__xludf.DUMMYFUNCTION("""COMPUTED_VALUE"""),44639.0)</f>
        <v>44639</v>
      </c>
      <c r="C4804" s="5"/>
      <c r="D4804" s="5"/>
      <c r="E4804" s="5"/>
      <c r="F4804" s="22">
        <f>IFERROR(__xludf.DUMMYFUNCTION("""COMPUTED_VALUE"""),500000.0)</f>
        <v>500000</v>
      </c>
      <c r="G4804" s="22">
        <f>IFERROR(__xludf.DUMMYFUNCTION("""COMPUTED_VALUE"""),0.0)</f>
        <v>0</v>
      </c>
      <c r="H4804" s="22">
        <f>IFERROR(__xludf.DUMMYFUNCTION("""COMPUTED_VALUE"""),500000.0)</f>
        <v>500000</v>
      </c>
      <c r="I4804" s="24">
        <f>IFERROR(__xludf.DUMMYFUNCTION("""COMPUTED_VALUE"""),0.0)</f>
        <v>0</v>
      </c>
    </row>
    <row r="4805">
      <c r="A4805" s="5" t="str">
        <f>IFERROR(__xludf.DUMMYFUNCTION("""COMPUTED_VALUE"""),"70236")</f>
        <v>70236</v>
      </c>
      <c r="B4805" s="64">
        <f>IFERROR(__xludf.DUMMYFUNCTION("""COMPUTED_VALUE"""),44640.0)</f>
        <v>44640</v>
      </c>
      <c r="C4805" s="5"/>
      <c r="D4805" s="5"/>
      <c r="E4805" s="5"/>
      <c r="F4805" s="22">
        <f>IFERROR(__xludf.DUMMYFUNCTION("""COMPUTED_VALUE"""),500000.0)</f>
        <v>500000</v>
      </c>
      <c r="G4805" s="22">
        <f>IFERROR(__xludf.DUMMYFUNCTION("""COMPUTED_VALUE"""),0.0)</f>
        <v>0</v>
      </c>
      <c r="H4805" s="22">
        <f>IFERROR(__xludf.DUMMYFUNCTION("""COMPUTED_VALUE"""),500000.0)</f>
        <v>500000</v>
      </c>
      <c r="I4805" s="24">
        <f>IFERROR(__xludf.DUMMYFUNCTION("""COMPUTED_VALUE"""),0.0)</f>
        <v>0</v>
      </c>
    </row>
    <row r="4806">
      <c r="A4806" s="5" t="str">
        <f>IFERROR(__xludf.DUMMYFUNCTION("""COMPUTED_VALUE"""),"70236")</f>
        <v>70236</v>
      </c>
      <c r="B4806" s="64">
        <f>IFERROR(__xludf.DUMMYFUNCTION("""COMPUTED_VALUE"""),44641.0)</f>
        <v>44641</v>
      </c>
      <c r="C4806" s="5"/>
      <c r="D4806" s="5"/>
      <c r="E4806" s="5"/>
      <c r="F4806" s="22">
        <f>IFERROR(__xludf.DUMMYFUNCTION("""COMPUTED_VALUE"""),500000.0)</f>
        <v>500000</v>
      </c>
      <c r="G4806" s="22">
        <f>IFERROR(__xludf.DUMMYFUNCTION("""COMPUTED_VALUE"""),0.0)</f>
        <v>0</v>
      </c>
      <c r="H4806" s="22">
        <f>IFERROR(__xludf.DUMMYFUNCTION("""COMPUTED_VALUE"""),500000.0)</f>
        <v>500000</v>
      </c>
      <c r="I4806" s="24">
        <f>IFERROR(__xludf.DUMMYFUNCTION("""COMPUTED_VALUE"""),0.0)</f>
        <v>0</v>
      </c>
    </row>
    <row r="4807">
      <c r="A4807" s="5" t="str">
        <f>IFERROR(__xludf.DUMMYFUNCTION("""COMPUTED_VALUE"""),"70236")</f>
        <v>70236</v>
      </c>
      <c r="B4807" s="64">
        <f>IFERROR(__xludf.DUMMYFUNCTION("""COMPUTED_VALUE"""),44642.0)</f>
        <v>44642</v>
      </c>
      <c r="C4807" s="5"/>
      <c r="D4807" s="5"/>
      <c r="E4807" s="5"/>
      <c r="F4807" s="22">
        <f>IFERROR(__xludf.DUMMYFUNCTION("""COMPUTED_VALUE"""),500000.0)</f>
        <v>500000</v>
      </c>
      <c r="G4807" s="22">
        <f>IFERROR(__xludf.DUMMYFUNCTION("""COMPUTED_VALUE"""),0.0)</f>
        <v>0</v>
      </c>
      <c r="H4807" s="22">
        <f>IFERROR(__xludf.DUMMYFUNCTION("""COMPUTED_VALUE"""),500000.0)</f>
        <v>500000</v>
      </c>
      <c r="I4807" s="24">
        <f>IFERROR(__xludf.DUMMYFUNCTION("""COMPUTED_VALUE"""),0.0)</f>
        <v>0</v>
      </c>
    </row>
    <row r="4808">
      <c r="A4808" s="5" t="str">
        <f>IFERROR(__xludf.DUMMYFUNCTION("""COMPUTED_VALUE"""),"70236")</f>
        <v>70236</v>
      </c>
      <c r="B4808" s="64">
        <f>IFERROR(__xludf.DUMMYFUNCTION("""COMPUTED_VALUE"""),44643.0)</f>
        <v>44643</v>
      </c>
      <c r="C4808" s="5"/>
      <c r="D4808" s="5"/>
      <c r="E4808" s="5"/>
      <c r="F4808" s="22">
        <f>IFERROR(__xludf.DUMMYFUNCTION("""COMPUTED_VALUE"""),500000.0)</f>
        <v>500000</v>
      </c>
      <c r="G4808" s="22">
        <f>IFERROR(__xludf.DUMMYFUNCTION("""COMPUTED_VALUE"""),0.0)</f>
        <v>0</v>
      </c>
      <c r="H4808" s="22">
        <f>IFERROR(__xludf.DUMMYFUNCTION("""COMPUTED_VALUE"""),500000.0)</f>
        <v>500000</v>
      </c>
      <c r="I4808" s="24">
        <f>IFERROR(__xludf.DUMMYFUNCTION("""COMPUTED_VALUE"""),0.0)</f>
        <v>0</v>
      </c>
    </row>
    <row r="4809">
      <c r="A4809" s="5" t="str">
        <f>IFERROR(__xludf.DUMMYFUNCTION("""COMPUTED_VALUE"""),"70236")</f>
        <v>70236</v>
      </c>
      <c r="B4809" s="64">
        <f>IFERROR(__xludf.DUMMYFUNCTION("""COMPUTED_VALUE"""),44644.0)</f>
        <v>44644</v>
      </c>
      <c r="C4809" s="5"/>
      <c r="D4809" s="5"/>
      <c r="E4809" s="5"/>
      <c r="F4809" s="22">
        <f>IFERROR(__xludf.DUMMYFUNCTION("""COMPUTED_VALUE"""),496471.66235)</f>
        <v>496471.6624</v>
      </c>
      <c r="G4809" s="22">
        <f>IFERROR(__xludf.DUMMYFUNCTION("""COMPUTED_VALUE"""),0.0)</f>
        <v>0</v>
      </c>
      <c r="H4809" s="22">
        <f>IFERROR(__xludf.DUMMYFUNCTION("""COMPUTED_VALUE"""),500000.0)</f>
        <v>500000</v>
      </c>
      <c r="I4809" s="24">
        <f>IFERROR(__xludf.DUMMYFUNCTION("""COMPUTED_VALUE"""),0.0)</f>
        <v>0</v>
      </c>
    </row>
    <row r="4810">
      <c r="A4810" s="5" t="str">
        <f>IFERROR(__xludf.DUMMYFUNCTION("""COMPUTED_VALUE"""),"70236")</f>
        <v>70236</v>
      </c>
      <c r="B4810" s="64">
        <f>IFERROR(__xludf.DUMMYFUNCTION("""COMPUTED_VALUE"""),44645.0)</f>
        <v>44645</v>
      </c>
      <c r="C4810" s="5"/>
      <c r="D4810" s="5"/>
      <c r="E4810" s="5"/>
      <c r="F4810" s="22">
        <f>IFERROR(__xludf.DUMMYFUNCTION("""COMPUTED_VALUE"""),496471.66235)</f>
        <v>496471.6624</v>
      </c>
      <c r="G4810" s="22">
        <f>IFERROR(__xludf.DUMMYFUNCTION("""COMPUTED_VALUE"""),0.0)</f>
        <v>0</v>
      </c>
      <c r="H4810" s="22">
        <f>IFERROR(__xludf.DUMMYFUNCTION("""COMPUTED_VALUE"""),499929.58715)</f>
        <v>499929.5872</v>
      </c>
      <c r="I4810" s="24">
        <f>IFERROR(__xludf.DUMMYFUNCTION("""COMPUTED_VALUE"""),-1.40825700000069E-4)</f>
        <v>-0.0001408257</v>
      </c>
    </row>
    <row r="4811">
      <c r="A4811" s="5" t="str">
        <f>IFERROR(__xludf.DUMMYFUNCTION("""COMPUTED_VALUE"""),"70236")</f>
        <v>70236</v>
      </c>
      <c r="B4811" s="64">
        <f>IFERROR(__xludf.DUMMYFUNCTION("""COMPUTED_VALUE"""),44646.0)</f>
        <v>44646</v>
      </c>
      <c r="C4811" s="5"/>
      <c r="D4811" s="5"/>
      <c r="E4811" s="5"/>
      <c r="F4811" s="22">
        <f>IFERROR(__xludf.DUMMYFUNCTION("""COMPUTED_VALUE"""),496471.66235)</f>
        <v>496471.6624</v>
      </c>
      <c r="G4811" s="22">
        <f>IFERROR(__xludf.DUMMYFUNCTION("""COMPUTED_VALUE"""),0.0)</f>
        <v>0</v>
      </c>
      <c r="H4811" s="22">
        <f>IFERROR(__xludf.DUMMYFUNCTION("""COMPUTED_VALUE"""),499929.58715)</f>
        <v>499929.5872</v>
      </c>
      <c r="I4811" s="24">
        <f>IFERROR(__xludf.DUMMYFUNCTION("""COMPUTED_VALUE"""),-1.40825700000069E-4)</f>
        <v>-0.0001408257</v>
      </c>
    </row>
    <row r="4812">
      <c r="A4812" s="5" t="str">
        <f>IFERROR(__xludf.DUMMYFUNCTION("""COMPUTED_VALUE"""),"70236")</f>
        <v>70236</v>
      </c>
      <c r="B4812" s="64">
        <f>IFERROR(__xludf.DUMMYFUNCTION("""COMPUTED_VALUE"""),44647.0)</f>
        <v>44647</v>
      </c>
      <c r="C4812" s="5"/>
      <c r="D4812" s="5"/>
      <c r="E4812" s="5"/>
      <c r="F4812" s="22">
        <f>IFERROR(__xludf.DUMMYFUNCTION("""COMPUTED_VALUE"""),496471.66235)</f>
        <v>496471.6624</v>
      </c>
      <c r="G4812" s="22">
        <f>IFERROR(__xludf.DUMMYFUNCTION("""COMPUTED_VALUE"""),0.0)</f>
        <v>0</v>
      </c>
      <c r="H4812" s="22">
        <f>IFERROR(__xludf.DUMMYFUNCTION("""COMPUTED_VALUE"""),499929.58715)</f>
        <v>499929.5872</v>
      </c>
      <c r="I4812" s="24">
        <f>IFERROR(__xludf.DUMMYFUNCTION("""COMPUTED_VALUE"""),-1.40825700000069E-4)</f>
        <v>-0.0001408257</v>
      </c>
    </row>
    <row r="4813">
      <c r="A4813" s="5" t="str">
        <f>IFERROR(__xludf.DUMMYFUNCTION("""COMPUTED_VALUE"""),"70236")</f>
        <v>70236</v>
      </c>
      <c r="B4813" s="64">
        <f>IFERROR(__xludf.DUMMYFUNCTION("""COMPUTED_VALUE"""),44648.0)</f>
        <v>44648</v>
      </c>
      <c r="C4813" s="5"/>
      <c r="D4813" s="5"/>
      <c r="E4813" s="5"/>
      <c r="F4813" s="22">
        <f>IFERROR(__xludf.DUMMYFUNCTION("""COMPUTED_VALUE"""),496471.66235)</f>
        <v>496471.6624</v>
      </c>
      <c r="G4813" s="22">
        <f>IFERROR(__xludf.DUMMYFUNCTION("""COMPUTED_VALUE"""),0.0)</f>
        <v>0</v>
      </c>
      <c r="H4813" s="22">
        <f>IFERROR(__xludf.DUMMYFUNCTION("""COMPUTED_VALUE"""),500000.0)</f>
        <v>500000</v>
      </c>
      <c r="I4813" s="24">
        <f>IFERROR(__xludf.DUMMYFUNCTION("""COMPUTED_VALUE"""),0.0)</f>
        <v>0</v>
      </c>
    </row>
    <row r="4814">
      <c r="A4814" s="5" t="str">
        <f>IFERROR(__xludf.DUMMYFUNCTION("""COMPUTED_VALUE"""),"70236")</f>
        <v>70236</v>
      </c>
      <c r="B4814" s="64">
        <f>IFERROR(__xludf.DUMMYFUNCTION("""COMPUTED_VALUE"""),44649.0)</f>
        <v>44649</v>
      </c>
      <c r="C4814" s="5"/>
      <c r="D4814" s="5"/>
      <c r="E4814" s="5"/>
      <c r="F4814" s="22">
        <f>IFERROR(__xludf.DUMMYFUNCTION("""COMPUTED_VALUE"""),496471.66235)</f>
        <v>496471.6624</v>
      </c>
      <c r="G4814" s="22">
        <f>IFERROR(__xludf.DUMMYFUNCTION("""COMPUTED_VALUE"""),0.0)</f>
        <v>0</v>
      </c>
      <c r="H4814" s="22">
        <f>IFERROR(__xludf.DUMMYFUNCTION("""COMPUTED_VALUE"""),500117.35475)</f>
        <v>500117.3548</v>
      </c>
      <c r="I4814" s="24">
        <f>IFERROR(__xludf.DUMMYFUNCTION("""COMPUTED_VALUE"""),2.3470949999992996E-4)</f>
        <v>0.0002347095</v>
      </c>
    </row>
    <row r="4815">
      <c r="A4815" s="5" t="str">
        <f>IFERROR(__xludf.DUMMYFUNCTION("""COMPUTED_VALUE"""),"70236")</f>
        <v>70236</v>
      </c>
      <c r="B4815" s="64">
        <f>IFERROR(__xludf.DUMMYFUNCTION("""COMPUTED_VALUE"""),44650.0)</f>
        <v>44650</v>
      </c>
      <c r="C4815" s="5"/>
      <c r="D4815" s="5"/>
      <c r="E4815" s="5"/>
      <c r="F4815" s="22">
        <f>IFERROR(__xludf.DUMMYFUNCTION("""COMPUTED_VALUE"""),496471.66235)</f>
        <v>496471.6624</v>
      </c>
      <c r="G4815" s="22">
        <f>IFERROR(__xludf.DUMMYFUNCTION("""COMPUTED_VALUE"""),0.0)</f>
        <v>0</v>
      </c>
      <c r="H4815" s="22">
        <f>IFERROR(__xludf.DUMMYFUNCTION("""COMPUTED_VALUE"""),499955.2946)</f>
        <v>499955.2946</v>
      </c>
      <c r="I4815" s="24">
        <f>IFERROR(__xludf.DUMMYFUNCTION("""COMPUTED_VALUE"""),-8.941079999991164E-5)</f>
        <v>-0.0000894108</v>
      </c>
    </row>
    <row r="4816">
      <c r="A4816" s="5" t="str">
        <f>IFERROR(__xludf.DUMMYFUNCTION("""COMPUTED_VALUE"""),"70236")</f>
        <v>70236</v>
      </c>
      <c r="B4816" s="64">
        <f>IFERROR(__xludf.DUMMYFUNCTION("""COMPUTED_VALUE"""),44651.0)</f>
        <v>44651</v>
      </c>
      <c r="C4816" s="5"/>
      <c r="D4816" s="5"/>
      <c r="E4816" s="5"/>
      <c r="F4816" s="22">
        <f>IFERROR(__xludf.DUMMYFUNCTION("""COMPUTED_VALUE"""),496471.66235)</f>
        <v>496471.6624</v>
      </c>
      <c r="G4816" s="22">
        <f>IFERROR(__xludf.DUMMYFUNCTION("""COMPUTED_VALUE"""),0.0)</f>
        <v>0</v>
      </c>
      <c r="H4816" s="22">
        <f>IFERROR(__xludf.DUMMYFUNCTION("""COMPUTED_VALUE"""),499889.0581)</f>
        <v>499889.0581</v>
      </c>
      <c r="I4816" s="24">
        <f>IFERROR(__xludf.DUMMYFUNCTION("""COMPUTED_VALUE"""),-2.2188379999998897E-4)</f>
        <v>-0.0002218838</v>
      </c>
    </row>
    <row r="4817">
      <c r="A4817" s="5" t="str">
        <f>IFERROR(__xludf.DUMMYFUNCTION("""COMPUTED_VALUE"""),"70236")</f>
        <v>70236</v>
      </c>
      <c r="B4817" s="64">
        <f>IFERROR(__xludf.DUMMYFUNCTION("""COMPUTED_VALUE"""),44652.0)</f>
        <v>44652</v>
      </c>
      <c r="C4817" s="5"/>
      <c r="D4817" s="5"/>
      <c r="E4817" s="5"/>
      <c r="F4817" s="22">
        <f>IFERROR(__xludf.DUMMYFUNCTION("""COMPUTED_VALUE"""),496471.66235)</f>
        <v>496471.6624</v>
      </c>
      <c r="G4817" s="22">
        <f>IFERROR(__xludf.DUMMYFUNCTION("""COMPUTED_VALUE"""),0.0)</f>
        <v>0</v>
      </c>
      <c r="H4817" s="22">
        <f>IFERROR(__xludf.DUMMYFUNCTION("""COMPUTED_VALUE"""),499873.4108)</f>
        <v>499873.4108</v>
      </c>
      <c r="I4817" s="24">
        <f>IFERROR(__xludf.DUMMYFUNCTION("""COMPUTED_VALUE"""),-2.5317839999994263E-4)</f>
        <v>-0.0002531784</v>
      </c>
    </row>
    <row r="4818">
      <c r="A4818" s="5" t="str">
        <f>IFERROR(__xludf.DUMMYFUNCTION("""COMPUTED_VALUE"""),"70236")</f>
        <v>70236</v>
      </c>
      <c r="B4818" s="64">
        <f>IFERROR(__xludf.DUMMYFUNCTION("""COMPUTED_VALUE"""),44653.0)</f>
        <v>44653</v>
      </c>
      <c r="C4818" s="5"/>
      <c r="D4818" s="5"/>
      <c r="E4818" s="5"/>
      <c r="F4818" s="22">
        <f>IFERROR(__xludf.DUMMYFUNCTION("""COMPUTED_VALUE"""),496471.66235)</f>
        <v>496471.6624</v>
      </c>
      <c r="G4818" s="22">
        <f>IFERROR(__xludf.DUMMYFUNCTION("""COMPUTED_VALUE"""),0.0)</f>
        <v>0</v>
      </c>
      <c r="H4818" s="22">
        <f>IFERROR(__xludf.DUMMYFUNCTION("""COMPUTED_VALUE"""),499873.4108)</f>
        <v>499873.4108</v>
      </c>
      <c r="I4818" s="24">
        <f>IFERROR(__xludf.DUMMYFUNCTION("""COMPUTED_VALUE"""),-2.5317839999994263E-4)</f>
        <v>-0.0002531784</v>
      </c>
    </row>
    <row r="4819">
      <c r="A4819" s="5" t="str">
        <f>IFERROR(__xludf.DUMMYFUNCTION("""COMPUTED_VALUE"""),"70236")</f>
        <v>70236</v>
      </c>
      <c r="B4819" s="64">
        <f>IFERROR(__xludf.DUMMYFUNCTION("""COMPUTED_VALUE"""),44654.0)</f>
        <v>44654</v>
      </c>
      <c r="C4819" s="5"/>
      <c r="D4819" s="5"/>
      <c r="E4819" s="5"/>
      <c r="F4819" s="22">
        <f>IFERROR(__xludf.DUMMYFUNCTION("""COMPUTED_VALUE"""),496471.66235)</f>
        <v>496471.6624</v>
      </c>
      <c r="G4819" s="22">
        <f>IFERROR(__xludf.DUMMYFUNCTION("""COMPUTED_VALUE"""),0.0)</f>
        <v>0</v>
      </c>
      <c r="H4819" s="22">
        <f>IFERROR(__xludf.DUMMYFUNCTION("""COMPUTED_VALUE"""),499873.4108)</f>
        <v>499873.4108</v>
      </c>
      <c r="I4819" s="24">
        <f>IFERROR(__xludf.DUMMYFUNCTION("""COMPUTED_VALUE"""),-2.5317839999994263E-4)</f>
        <v>-0.0002531784</v>
      </c>
    </row>
    <row r="4820">
      <c r="A4820" s="5" t="str">
        <f>IFERROR(__xludf.DUMMYFUNCTION("""COMPUTED_VALUE"""),"70236")</f>
        <v>70236</v>
      </c>
      <c r="B4820" s="64">
        <f>IFERROR(__xludf.DUMMYFUNCTION("""COMPUTED_VALUE"""),44655.0)</f>
        <v>44655</v>
      </c>
      <c r="C4820" s="5"/>
      <c r="D4820" s="5"/>
      <c r="E4820" s="5"/>
      <c r="F4820" s="22">
        <f>IFERROR(__xludf.DUMMYFUNCTION("""COMPUTED_VALUE"""),496471.66235)</f>
        <v>496471.6624</v>
      </c>
      <c r="G4820" s="22">
        <f>IFERROR(__xludf.DUMMYFUNCTION("""COMPUTED_VALUE"""),0.0)</f>
        <v>0</v>
      </c>
      <c r="H4820" s="22">
        <f>IFERROR(__xludf.DUMMYFUNCTION("""COMPUTED_VALUE"""),499967.2946)</f>
        <v>499967.2946</v>
      </c>
      <c r="I4820" s="24">
        <f>IFERROR(__xludf.DUMMYFUNCTION("""COMPUTED_VALUE"""),-6.541079999999866E-5)</f>
        <v>-0.0000654108</v>
      </c>
    </row>
    <row r="4821">
      <c r="A4821" s="5" t="str">
        <f>IFERROR(__xludf.DUMMYFUNCTION("""COMPUTED_VALUE"""),"70236")</f>
        <v>70236</v>
      </c>
      <c r="B4821" s="64">
        <f>IFERROR(__xludf.DUMMYFUNCTION("""COMPUTED_VALUE"""),44656.0)</f>
        <v>44656</v>
      </c>
      <c r="C4821" s="5"/>
      <c r="D4821" s="5"/>
      <c r="E4821" s="5"/>
      <c r="F4821" s="22">
        <f>IFERROR(__xludf.DUMMYFUNCTION("""COMPUTED_VALUE"""),496471.66235)</f>
        <v>496471.6624</v>
      </c>
      <c r="G4821" s="22">
        <f>IFERROR(__xludf.DUMMYFUNCTION("""COMPUTED_VALUE"""),0.0)</f>
        <v>0</v>
      </c>
      <c r="H4821" s="22">
        <f>IFERROR(__xludf.DUMMYFUNCTION("""COMPUTED_VALUE"""),499818.64525)</f>
        <v>499818.6453</v>
      </c>
      <c r="I4821" s="24">
        <f>IFERROR(__xludf.DUMMYFUNCTION("""COMPUTED_VALUE"""),-3.6270949999994695E-4)</f>
        <v>-0.0003627095</v>
      </c>
    </row>
    <row r="4822">
      <c r="A4822" s="5" t="str">
        <f>IFERROR(__xludf.DUMMYFUNCTION("""COMPUTED_VALUE"""),"70236")</f>
        <v>70236</v>
      </c>
      <c r="B4822" s="64">
        <f>IFERROR(__xludf.DUMMYFUNCTION("""COMPUTED_VALUE"""),44657.0)</f>
        <v>44657</v>
      </c>
      <c r="C4822" s="5"/>
      <c r="D4822" s="5"/>
      <c r="E4822" s="5"/>
      <c r="F4822" s="22">
        <f>IFERROR(__xludf.DUMMYFUNCTION("""COMPUTED_VALUE"""),496471.66235)</f>
        <v>496471.6624</v>
      </c>
      <c r="G4822" s="22">
        <f>IFERROR(__xludf.DUMMYFUNCTION("""COMPUTED_VALUE"""),0.0)</f>
        <v>0</v>
      </c>
      <c r="H4822" s="22">
        <f>IFERROR(__xludf.DUMMYFUNCTION("""COMPUTED_VALUE"""),499822.40875)</f>
        <v>499822.4088</v>
      </c>
      <c r="I4822" s="24">
        <f>IFERROR(__xludf.DUMMYFUNCTION("""COMPUTED_VALUE"""),-3.551824999999953E-4)</f>
        <v>-0.0003551825</v>
      </c>
    </row>
    <row r="4823">
      <c r="A4823" s="5" t="str">
        <f>IFERROR(__xludf.DUMMYFUNCTION("""COMPUTED_VALUE"""),"70236")</f>
        <v>70236</v>
      </c>
      <c r="B4823" s="64">
        <f>IFERROR(__xludf.DUMMYFUNCTION("""COMPUTED_VALUE"""),44658.0)</f>
        <v>44658</v>
      </c>
      <c r="C4823" s="5"/>
      <c r="D4823" s="5"/>
      <c r="E4823" s="5"/>
      <c r="F4823" s="22">
        <f>IFERROR(__xludf.DUMMYFUNCTION("""COMPUTED_VALUE"""),496471.66235)</f>
        <v>496471.6624</v>
      </c>
      <c r="G4823" s="22">
        <f>IFERROR(__xludf.DUMMYFUNCTION("""COMPUTED_VALUE"""),0.0)</f>
        <v>0</v>
      </c>
      <c r="H4823" s="22">
        <f>IFERROR(__xludf.DUMMYFUNCTION("""COMPUTED_VALUE"""),499748.084075)</f>
        <v>499748.0841</v>
      </c>
      <c r="I4823" s="24">
        <f>IFERROR(__xludf.DUMMYFUNCTION("""COMPUTED_VALUE"""),-5.038318499999139E-4)</f>
        <v>-0.00050383185</v>
      </c>
    </row>
    <row r="4824">
      <c r="A4824" s="5" t="str">
        <f>IFERROR(__xludf.DUMMYFUNCTION("""COMPUTED_VALUE"""),"70236")</f>
        <v>70236</v>
      </c>
      <c r="B4824" s="64">
        <f>IFERROR(__xludf.DUMMYFUNCTION("""COMPUTED_VALUE"""),44659.0)</f>
        <v>44659</v>
      </c>
      <c r="C4824" s="5"/>
      <c r="D4824" s="5"/>
      <c r="E4824" s="5"/>
      <c r="F4824" s="22">
        <f>IFERROR(__xludf.DUMMYFUNCTION("""COMPUTED_VALUE"""),496471.66235)</f>
        <v>496471.6624</v>
      </c>
      <c r="G4824" s="22">
        <f>IFERROR(__xludf.DUMMYFUNCTION("""COMPUTED_VALUE"""),0.0)</f>
        <v>0</v>
      </c>
      <c r="H4824" s="22">
        <f>IFERROR(__xludf.DUMMYFUNCTION("""COMPUTED_VALUE"""),499650.28845)</f>
        <v>499650.2885</v>
      </c>
      <c r="I4824" s="24">
        <f>IFERROR(__xludf.DUMMYFUNCTION("""COMPUTED_VALUE"""),-6.994231000000406E-4)</f>
        <v>-0.0006994231</v>
      </c>
    </row>
    <row r="4825">
      <c r="A4825" s="5" t="str">
        <f>IFERROR(__xludf.DUMMYFUNCTION("""COMPUTED_VALUE"""),"70236")</f>
        <v>70236</v>
      </c>
      <c r="B4825" s="64">
        <f>IFERROR(__xludf.DUMMYFUNCTION("""COMPUTED_VALUE"""),44660.0)</f>
        <v>44660</v>
      </c>
      <c r="C4825" s="5"/>
      <c r="D4825" s="5"/>
      <c r="E4825" s="5"/>
      <c r="F4825" s="22">
        <f>IFERROR(__xludf.DUMMYFUNCTION("""COMPUTED_VALUE"""),496471.66235)</f>
        <v>496471.6624</v>
      </c>
      <c r="G4825" s="22">
        <f>IFERROR(__xludf.DUMMYFUNCTION("""COMPUTED_VALUE"""),0.0)</f>
        <v>0</v>
      </c>
      <c r="H4825" s="22">
        <f>IFERROR(__xludf.DUMMYFUNCTION("""COMPUTED_VALUE"""),499650.28845)</f>
        <v>499650.2885</v>
      </c>
      <c r="I4825" s="24">
        <f>IFERROR(__xludf.DUMMYFUNCTION("""COMPUTED_VALUE"""),-6.994231000000406E-4)</f>
        <v>-0.0006994231</v>
      </c>
    </row>
    <row r="4826">
      <c r="A4826" s="5" t="str">
        <f>IFERROR(__xludf.DUMMYFUNCTION("""COMPUTED_VALUE"""),"70236")</f>
        <v>70236</v>
      </c>
      <c r="B4826" s="64">
        <f>IFERROR(__xludf.DUMMYFUNCTION("""COMPUTED_VALUE"""),44661.0)</f>
        <v>44661</v>
      </c>
      <c r="C4826" s="5"/>
      <c r="D4826" s="5"/>
      <c r="E4826" s="5"/>
      <c r="F4826" s="22">
        <f>IFERROR(__xludf.DUMMYFUNCTION("""COMPUTED_VALUE"""),496471.66235)</f>
        <v>496471.6624</v>
      </c>
      <c r="G4826" s="22">
        <f>IFERROR(__xludf.DUMMYFUNCTION("""COMPUTED_VALUE"""),0.0)</f>
        <v>0</v>
      </c>
      <c r="H4826" s="22">
        <f>IFERROR(__xludf.DUMMYFUNCTION("""COMPUTED_VALUE"""),499650.28845)</f>
        <v>499650.2885</v>
      </c>
      <c r="I4826" s="24">
        <f>IFERROR(__xludf.DUMMYFUNCTION("""COMPUTED_VALUE"""),-6.994231000000406E-4)</f>
        <v>-0.0006994231</v>
      </c>
    </row>
    <row r="4827">
      <c r="A4827" s="5" t="str">
        <f>IFERROR(__xludf.DUMMYFUNCTION("""COMPUTED_VALUE"""),"70236")</f>
        <v>70236</v>
      </c>
      <c r="B4827" s="64">
        <f>IFERROR(__xludf.DUMMYFUNCTION("""COMPUTED_VALUE"""),44662.0)</f>
        <v>44662</v>
      </c>
      <c r="C4827" s="5"/>
      <c r="D4827" s="5"/>
      <c r="E4827" s="5"/>
      <c r="F4827" s="22">
        <f>IFERROR(__xludf.DUMMYFUNCTION("""COMPUTED_VALUE"""),496471.66235)</f>
        <v>496471.6624</v>
      </c>
      <c r="G4827" s="22">
        <f>IFERROR(__xludf.DUMMYFUNCTION("""COMPUTED_VALUE"""),0.0)</f>
        <v>0</v>
      </c>
      <c r="H4827" s="22">
        <f>IFERROR(__xludf.DUMMYFUNCTION("""COMPUTED_VALUE"""),499611.1702)</f>
        <v>499611.1702</v>
      </c>
      <c r="I4827" s="24">
        <f>IFERROR(__xludf.DUMMYFUNCTION("""COMPUTED_VALUE"""),-7.776595999999802E-4)</f>
        <v>-0.0007776596</v>
      </c>
    </row>
    <row r="4828">
      <c r="A4828" s="5" t="str">
        <f>IFERROR(__xludf.DUMMYFUNCTION("""COMPUTED_VALUE"""),"70236")</f>
        <v>70236</v>
      </c>
      <c r="B4828" s="64">
        <f>IFERROR(__xludf.DUMMYFUNCTION("""COMPUTED_VALUE"""),44663.0)</f>
        <v>44663</v>
      </c>
      <c r="C4828" s="5"/>
      <c r="D4828" s="5"/>
      <c r="E4828" s="5"/>
      <c r="F4828" s="22">
        <f>IFERROR(__xludf.DUMMYFUNCTION("""COMPUTED_VALUE"""),496471.66235)</f>
        <v>496471.6624</v>
      </c>
      <c r="G4828" s="22">
        <f>IFERROR(__xludf.DUMMYFUNCTION("""COMPUTED_VALUE"""),0.0)</f>
        <v>0</v>
      </c>
      <c r="H4828" s="22">
        <f>IFERROR(__xludf.DUMMYFUNCTION("""COMPUTED_VALUE"""),499587.69925)</f>
        <v>499587.6993</v>
      </c>
      <c r="I4828" s="24">
        <f>IFERROR(__xludf.DUMMYFUNCTION("""COMPUTED_VALUE"""),-8.246014999999662E-4)</f>
        <v>-0.0008246015</v>
      </c>
    </row>
    <row r="4829">
      <c r="A4829" s="5" t="str">
        <f>IFERROR(__xludf.DUMMYFUNCTION("""COMPUTED_VALUE"""),"70628")</f>
        <v>70628</v>
      </c>
      <c r="B4829" s="64">
        <f>IFERROR(__xludf.DUMMYFUNCTION("""COMPUTED_VALUE"""),44597.0)</f>
        <v>44597</v>
      </c>
      <c r="C4829" s="5"/>
      <c r="D4829" s="5"/>
      <c r="E4829" s="5"/>
      <c r="F4829" s="22">
        <f>IFERROR(__xludf.DUMMYFUNCTION("""COMPUTED_VALUE"""),500000.0)</f>
        <v>500000</v>
      </c>
      <c r="G4829" s="22">
        <f>IFERROR(__xludf.DUMMYFUNCTION("""COMPUTED_VALUE"""),0.0)</f>
        <v>0</v>
      </c>
      <c r="H4829" s="22">
        <f>IFERROR(__xludf.DUMMYFUNCTION("""COMPUTED_VALUE"""),500000.0)</f>
        <v>500000</v>
      </c>
      <c r="I4829" s="24">
        <f>IFERROR(__xludf.DUMMYFUNCTION("""COMPUTED_VALUE"""),0.0)</f>
        <v>0</v>
      </c>
    </row>
    <row r="4830">
      <c r="A4830" s="5" t="str">
        <f>IFERROR(__xludf.DUMMYFUNCTION("""COMPUTED_VALUE"""),"70628")</f>
        <v>70628</v>
      </c>
      <c r="B4830" s="64">
        <f>IFERROR(__xludf.DUMMYFUNCTION("""COMPUTED_VALUE"""),44598.0)</f>
        <v>44598</v>
      </c>
      <c r="C4830" s="5"/>
      <c r="D4830" s="5"/>
      <c r="E4830" s="5"/>
      <c r="F4830" s="22">
        <f>IFERROR(__xludf.DUMMYFUNCTION("""COMPUTED_VALUE"""),500000.0)</f>
        <v>500000</v>
      </c>
      <c r="G4830" s="22">
        <f>IFERROR(__xludf.DUMMYFUNCTION("""COMPUTED_VALUE"""),0.0)</f>
        <v>0</v>
      </c>
      <c r="H4830" s="22">
        <f>IFERROR(__xludf.DUMMYFUNCTION("""COMPUTED_VALUE"""),500000.0)</f>
        <v>500000</v>
      </c>
      <c r="I4830" s="24">
        <f>IFERROR(__xludf.DUMMYFUNCTION("""COMPUTED_VALUE"""),0.0)</f>
        <v>0</v>
      </c>
    </row>
    <row r="4831">
      <c r="A4831" s="5" t="str">
        <f>IFERROR(__xludf.DUMMYFUNCTION("""COMPUTED_VALUE"""),"70628")</f>
        <v>70628</v>
      </c>
      <c r="B4831" s="64">
        <f>IFERROR(__xludf.DUMMYFUNCTION("""COMPUTED_VALUE"""),44599.0)</f>
        <v>44599</v>
      </c>
      <c r="C4831" s="5"/>
      <c r="D4831" s="5"/>
      <c r="E4831" s="5"/>
      <c r="F4831" s="22">
        <f>IFERROR(__xludf.DUMMYFUNCTION("""COMPUTED_VALUE"""),500000.0)</f>
        <v>500000</v>
      </c>
      <c r="G4831" s="22">
        <f>IFERROR(__xludf.DUMMYFUNCTION("""COMPUTED_VALUE"""),0.0)</f>
        <v>0</v>
      </c>
      <c r="H4831" s="22">
        <f>IFERROR(__xludf.DUMMYFUNCTION("""COMPUTED_VALUE"""),500000.0)</f>
        <v>500000</v>
      </c>
      <c r="I4831" s="24">
        <f>IFERROR(__xludf.DUMMYFUNCTION("""COMPUTED_VALUE"""),0.0)</f>
        <v>0</v>
      </c>
    </row>
    <row r="4832">
      <c r="A4832" s="5" t="str">
        <f>IFERROR(__xludf.DUMMYFUNCTION("""COMPUTED_VALUE"""),"70628")</f>
        <v>70628</v>
      </c>
      <c r="B4832" s="64">
        <f>IFERROR(__xludf.DUMMYFUNCTION("""COMPUTED_VALUE"""),44600.0)</f>
        <v>44600</v>
      </c>
      <c r="C4832" s="5"/>
      <c r="D4832" s="5"/>
      <c r="E4832" s="5"/>
      <c r="F4832" s="22">
        <f>IFERROR(__xludf.DUMMYFUNCTION("""COMPUTED_VALUE"""),500000.0)</f>
        <v>500000</v>
      </c>
      <c r="G4832" s="22">
        <f>IFERROR(__xludf.DUMMYFUNCTION("""COMPUTED_VALUE"""),0.0)</f>
        <v>0</v>
      </c>
      <c r="H4832" s="22">
        <f>IFERROR(__xludf.DUMMYFUNCTION("""COMPUTED_VALUE"""),500000.0)</f>
        <v>500000</v>
      </c>
      <c r="I4832" s="24">
        <f>IFERROR(__xludf.DUMMYFUNCTION("""COMPUTED_VALUE"""),0.0)</f>
        <v>0</v>
      </c>
    </row>
    <row r="4833">
      <c r="A4833" s="5" t="str">
        <f>IFERROR(__xludf.DUMMYFUNCTION("""COMPUTED_VALUE"""),"70628")</f>
        <v>70628</v>
      </c>
      <c r="B4833" s="64">
        <f>IFERROR(__xludf.DUMMYFUNCTION("""COMPUTED_VALUE"""),44601.0)</f>
        <v>44601</v>
      </c>
      <c r="C4833" s="5"/>
      <c r="D4833" s="5"/>
      <c r="E4833" s="5"/>
      <c r="F4833" s="22">
        <f>IFERROR(__xludf.DUMMYFUNCTION("""COMPUTED_VALUE"""),500000.0)</f>
        <v>500000</v>
      </c>
      <c r="G4833" s="22">
        <f>IFERROR(__xludf.DUMMYFUNCTION("""COMPUTED_VALUE"""),0.0)</f>
        <v>0</v>
      </c>
      <c r="H4833" s="22">
        <f>IFERROR(__xludf.DUMMYFUNCTION("""COMPUTED_VALUE"""),500000.0)</f>
        <v>500000</v>
      </c>
      <c r="I4833" s="24">
        <f>IFERROR(__xludf.DUMMYFUNCTION("""COMPUTED_VALUE"""),0.0)</f>
        <v>0</v>
      </c>
    </row>
    <row r="4834">
      <c r="A4834" s="5" t="str">
        <f>IFERROR(__xludf.DUMMYFUNCTION("""COMPUTED_VALUE"""),"70628")</f>
        <v>70628</v>
      </c>
      <c r="B4834" s="64">
        <f>IFERROR(__xludf.DUMMYFUNCTION("""COMPUTED_VALUE"""),44602.0)</f>
        <v>44602</v>
      </c>
      <c r="C4834" s="5"/>
      <c r="D4834" s="5"/>
      <c r="E4834" s="5"/>
      <c r="F4834" s="22">
        <f>IFERROR(__xludf.DUMMYFUNCTION("""COMPUTED_VALUE"""),500000.0)</f>
        <v>500000</v>
      </c>
      <c r="G4834" s="22">
        <f>IFERROR(__xludf.DUMMYFUNCTION("""COMPUTED_VALUE"""),0.0)</f>
        <v>0</v>
      </c>
      <c r="H4834" s="22">
        <f>IFERROR(__xludf.DUMMYFUNCTION("""COMPUTED_VALUE"""),500000.0)</f>
        <v>500000</v>
      </c>
      <c r="I4834" s="24">
        <f>IFERROR(__xludf.DUMMYFUNCTION("""COMPUTED_VALUE"""),0.0)</f>
        <v>0</v>
      </c>
    </row>
    <row r="4835">
      <c r="A4835" s="5" t="str">
        <f>IFERROR(__xludf.DUMMYFUNCTION("""COMPUTED_VALUE"""),"70628")</f>
        <v>70628</v>
      </c>
      <c r="B4835" s="64">
        <f>IFERROR(__xludf.DUMMYFUNCTION("""COMPUTED_VALUE"""),44603.0)</f>
        <v>44603</v>
      </c>
      <c r="C4835" s="5"/>
      <c r="D4835" s="5"/>
      <c r="E4835" s="5"/>
      <c r="F4835" s="22">
        <f>IFERROR(__xludf.DUMMYFUNCTION("""COMPUTED_VALUE"""),500000.0)</f>
        <v>500000</v>
      </c>
      <c r="G4835" s="22">
        <f>IFERROR(__xludf.DUMMYFUNCTION("""COMPUTED_VALUE"""),0.0)</f>
        <v>0</v>
      </c>
      <c r="H4835" s="22">
        <f>IFERROR(__xludf.DUMMYFUNCTION("""COMPUTED_VALUE"""),500000.0)</f>
        <v>500000</v>
      </c>
      <c r="I4835" s="24">
        <f>IFERROR(__xludf.DUMMYFUNCTION("""COMPUTED_VALUE"""),0.0)</f>
        <v>0</v>
      </c>
    </row>
    <row r="4836">
      <c r="A4836" s="5" t="str">
        <f>IFERROR(__xludf.DUMMYFUNCTION("""COMPUTED_VALUE"""),"70628")</f>
        <v>70628</v>
      </c>
      <c r="B4836" s="64">
        <f>IFERROR(__xludf.DUMMYFUNCTION("""COMPUTED_VALUE"""),44604.0)</f>
        <v>44604</v>
      </c>
      <c r="C4836" s="5"/>
      <c r="D4836" s="5"/>
      <c r="E4836" s="5"/>
      <c r="F4836" s="22">
        <f>IFERROR(__xludf.DUMMYFUNCTION("""COMPUTED_VALUE"""),500000.0)</f>
        <v>500000</v>
      </c>
      <c r="G4836" s="22">
        <f>IFERROR(__xludf.DUMMYFUNCTION("""COMPUTED_VALUE"""),0.0)</f>
        <v>0</v>
      </c>
      <c r="H4836" s="22">
        <f>IFERROR(__xludf.DUMMYFUNCTION("""COMPUTED_VALUE"""),500000.0)</f>
        <v>500000</v>
      </c>
      <c r="I4836" s="24">
        <f>IFERROR(__xludf.DUMMYFUNCTION("""COMPUTED_VALUE"""),0.0)</f>
        <v>0</v>
      </c>
    </row>
    <row r="4837">
      <c r="A4837" s="5" t="str">
        <f>IFERROR(__xludf.DUMMYFUNCTION("""COMPUTED_VALUE"""),"70628")</f>
        <v>70628</v>
      </c>
      <c r="B4837" s="64">
        <f>IFERROR(__xludf.DUMMYFUNCTION("""COMPUTED_VALUE"""),44605.0)</f>
        <v>44605</v>
      </c>
      <c r="C4837" s="5"/>
      <c r="D4837" s="5"/>
      <c r="E4837" s="5"/>
      <c r="F4837" s="22">
        <f>IFERROR(__xludf.DUMMYFUNCTION("""COMPUTED_VALUE"""),500000.0)</f>
        <v>500000</v>
      </c>
      <c r="G4837" s="22">
        <f>IFERROR(__xludf.DUMMYFUNCTION("""COMPUTED_VALUE"""),0.0)</f>
        <v>0</v>
      </c>
      <c r="H4837" s="22">
        <f>IFERROR(__xludf.DUMMYFUNCTION("""COMPUTED_VALUE"""),500000.0)</f>
        <v>500000</v>
      </c>
      <c r="I4837" s="24">
        <f>IFERROR(__xludf.DUMMYFUNCTION("""COMPUTED_VALUE"""),0.0)</f>
        <v>0</v>
      </c>
    </row>
    <row r="4838">
      <c r="A4838" s="5" t="str">
        <f>IFERROR(__xludf.DUMMYFUNCTION("""COMPUTED_VALUE"""),"70628")</f>
        <v>70628</v>
      </c>
      <c r="B4838" s="64">
        <f>IFERROR(__xludf.DUMMYFUNCTION("""COMPUTED_VALUE"""),44606.0)</f>
        <v>44606</v>
      </c>
      <c r="C4838" s="5"/>
      <c r="D4838" s="5"/>
      <c r="E4838" s="5"/>
      <c r="F4838" s="22">
        <f>IFERROR(__xludf.DUMMYFUNCTION("""COMPUTED_VALUE"""),500000.0)</f>
        <v>500000</v>
      </c>
      <c r="G4838" s="22">
        <f>IFERROR(__xludf.DUMMYFUNCTION("""COMPUTED_VALUE"""),0.0)</f>
        <v>0</v>
      </c>
      <c r="H4838" s="22">
        <f>IFERROR(__xludf.DUMMYFUNCTION("""COMPUTED_VALUE"""),500000.0)</f>
        <v>500000</v>
      </c>
      <c r="I4838" s="24">
        <f>IFERROR(__xludf.DUMMYFUNCTION("""COMPUTED_VALUE"""),0.0)</f>
        <v>0</v>
      </c>
    </row>
    <row r="4839">
      <c r="A4839" s="5" t="str">
        <f>IFERROR(__xludf.DUMMYFUNCTION("""COMPUTED_VALUE"""),"70628")</f>
        <v>70628</v>
      </c>
      <c r="B4839" s="64">
        <f>IFERROR(__xludf.DUMMYFUNCTION("""COMPUTED_VALUE"""),44607.0)</f>
        <v>44607</v>
      </c>
      <c r="C4839" s="5"/>
      <c r="D4839" s="5"/>
      <c r="E4839" s="5"/>
      <c r="F4839" s="22">
        <f>IFERROR(__xludf.DUMMYFUNCTION("""COMPUTED_VALUE"""),500000.0)</f>
        <v>500000</v>
      </c>
      <c r="G4839" s="22">
        <f>IFERROR(__xludf.DUMMYFUNCTION("""COMPUTED_VALUE"""),0.0)</f>
        <v>0</v>
      </c>
      <c r="H4839" s="22">
        <f>IFERROR(__xludf.DUMMYFUNCTION("""COMPUTED_VALUE"""),500000.0)</f>
        <v>500000</v>
      </c>
      <c r="I4839" s="24">
        <f>IFERROR(__xludf.DUMMYFUNCTION("""COMPUTED_VALUE"""),0.0)</f>
        <v>0</v>
      </c>
    </row>
    <row r="4840">
      <c r="A4840" s="5" t="str">
        <f>IFERROR(__xludf.DUMMYFUNCTION("""COMPUTED_VALUE"""),"70628")</f>
        <v>70628</v>
      </c>
      <c r="B4840" s="64">
        <f>IFERROR(__xludf.DUMMYFUNCTION("""COMPUTED_VALUE"""),44608.0)</f>
        <v>44608</v>
      </c>
      <c r="C4840" s="5"/>
      <c r="D4840" s="5"/>
      <c r="E4840" s="5"/>
      <c r="F4840" s="22">
        <f>IFERROR(__xludf.DUMMYFUNCTION("""COMPUTED_VALUE"""),500000.0)</f>
        <v>500000</v>
      </c>
      <c r="G4840" s="22">
        <f>IFERROR(__xludf.DUMMYFUNCTION("""COMPUTED_VALUE"""),0.0)</f>
        <v>0</v>
      </c>
      <c r="H4840" s="22">
        <f>IFERROR(__xludf.DUMMYFUNCTION("""COMPUTED_VALUE"""),500000.0)</f>
        <v>500000</v>
      </c>
      <c r="I4840" s="24">
        <f>IFERROR(__xludf.DUMMYFUNCTION("""COMPUTED_VALUE"""),0.0)</f>
        <v>0</v>
      </c>
    </row>
    <row r="4841">
      <c r="A4841" s="5" t="str">
        <f>IFERROR(__xludf.DUMMYFUNCTION("""COMPUTED_VALUE"""),"70628")</f>
        <v>70628</v>
      </c>
      <c r="B4841" s="64">
        <f>IFERROR(__xludf.DUMMYFUNCTION("""COMPUTED_VALUE"""),44609.0)</f>
        <v>44609</v>
      </c>
      <c r="C4841" s="5"/>
      <c r="D4841" s="5"/>
      <c r="E4841" s="5"/>
      <c r="F4841" s="22">
        <f>IFERROR(__xludf.DUMMYFUNCTION("""COMPUTED_VALUE"""),500000.0)</f>
        <v>500000</v>
      </c>
      <c r="G4841" s="22">
        <f>IFERROR(__xludf.DUMMYFUNCTION("""COMPUTED_VALUE"""),0.0)</f>
        <v>0</v>
      </c>
      <c r="H4841" s="22">
        <f>IFERROR(__xludf.DUMMYFUNCTION("""COMPUTED_VALUE"""),500260.0)</f>
        <v>500260</v>
      </c>
      <c r="I4841" s="24">
        <f>IFERROR(__xludf.DUMMYFUNCTION("""COMPUTED_VALUE"""),5.20000000000076E-4)</f>
        <v>0.00052</v>
      </c>
    </row>
    <row r="4842">
      <c r="A4842" s="5" t="str">
        <f>IFERROR(__xludf.DUMMYFUNCTION("""COMPUTED_VALUE"""),"70628")</f>
        <v>70628</v>
      </c>
      <c r="B4842" s="64">
        <f>IFERROR(__xludf.DUMMYFUNCTION("""COMPUTED_VALUE"""),44610.0)</f>
        <v>44610</v>
      </c>
      <c r="C4842" s="5"/>
      <c r="D4842" s="5"/>
      <c r="E4842" s="5"/>
      <c r="F4842" s="22">
        <f>IFERROR(__xludf.DUMMYFUNCTION("""COMPUTED_VALUE"""),500000.0)</f>
        <v>500000</v>
      </c>
      <c r="G4842" s="22">
        <f>IFERROR(__xludf.DUMMYFUNCTION("""COMPUTED_VALUE"""),0.0)</f>
        <v>0</v>
      </c>
      <c r="H4842" s="22">
        <f>IFERROR(__xludf.DUMMYFUNCTION("""COMPUTED_VALUE"""),499060.0)</f>
        <v>499060</v>
      </c>
      <c r="I4842" s="24">
        <f>IFERROR(__xludf.DUMMYFUNCTION("""COMPUTED_VALUE"""),-0.0018799999999999928)</f>
        <v>-0.00188</v>
      </c>
    </row>
    <row r="4843">
      <c r="A4843" s="5" t="str">
        <f>IFERROR(__xludf.DUMMYFUNCTION("""COMPUTED_VALUE"""),"70628")</f>
        <v>70628</v>
      </c>
      <c r="B4843" s="64">
        <f>IFERROR(__xludf.DUMMYFUNCTION("""COMPUTED_VALUE"""),44611.0)</f>
        <v>44611</v>
      </c>
      <c r="C4843" s="5"/>
      <c r="D4843" s="5"/>
      <c r="E4843" s="5"/>
      <c r="F4843" s="22">
        <f>IFERROR(__xludf.DUMMYFUNCTION("""COMPUTED_VALUE"""),500000.0)</f>
        <v>500000</v>
      </c>
      <c r="G4843" s="22">
        <f>IFERROR(__xludf.DUMMYFUNCTION("""COMPUTED_VALUE"""),0.0)</f>
        <v>0</v>
      </c>
      <c r="H4843" s="22">
        <f>IFERROR(__xludf.DUMMYFUNCTION("""COMPUTED_VALUE"""),499060.0)</f>
        <v>499060</v>
      </c>
      <c r="I4843" s="24">
        <f>IFERROR(__xludf.DUMMYFUNCTION("""COMPUTED_VALUE"""),-0.0018799999999999928)</f>
        <v>-0.00188</v>
      </c>
    </row>
    <row r="4844">
      <c r="A4844" s="5" t="str">
        <f>IFERROR(__xludf.DUMMYFUNCTION("""COMPUTED_VALUE"""),"70628")</f>
        <v>70628</v>
      </c>
      <c r="B4844" s="64">
        <f>IFERROR(__xludf.DUMMYFUNCTION("""COMPUTED_VALUE"""),44612.0)</f>
        <v>44612</v>
      </c>
      <c r="C4844" s="5"/>
      <c r="D4844" s="5"/>
      <c r="E4844" s="5"/>
      <c r="F4844" s="22">
        <f>IFERROR(__xludf.DUMMYFUNCTION("""COMPUTED_VALUE"""),500000.0)</f>
        <v>500000</v>
      </c>
      <c r="G4844" s="22">
        <f>IFERROR(__xludf.DUMMYFUNCTION("""COMPUTED_VALUE"""),0.0)</f>
        <v>0</v>
      </c>
      <c r="H4844" s="22">
        <f>IFERROR(__xludf.DUMMYFUNCTION("""COMPUTED_VALUE"""),499060.0)</f>
        <v>499060</v>
      </c>
      <c r="I4844" s="24">
        <f>IFERROR(__xludf.DUMMYFUNCTION("""COMPUTED_VALUE"""),-0.0018799999999999928)</f>
        <v>-0.00188</v>
      </c>
    </row>
    <row r="4845">
      <c r="A4845" s="5" t="str">
        <f>IFERROR(__xludf.DUMMYFUNCTION("""COMPUTED_VALUE"""),"70628")</f>
        <v>70628</v>
      </c>
      <c r="B4845" s="64">
        <f>IFERROR(__xludf.DUMMYFUNCTION("""COMPUTED_VALUE"""),44613.0)</f>
        <v>44613</v>
      </c>
      <c r="C4845" s="5"/>
      <c r="D4845" s="5"/>
      <c r="E4845" s="5"/>
      <c r="F4845" s="22">
        <f>IFERROR(__xludf.DUMMYFUNCTION("""COMPUTED_VALUE"""),500000.0)</f>
        <v>500000</v>
      </c>
      <c r="G4845" s="22">
        <f>IFERROR(__xludf.DUMMYFUNCTION("""COMPUTED_VALUE"""),0.0)</f>
        <v>0</v>
      </c>
      <c r="H4845" s="22">
        <f>IFERROR(__xludf.DUMMYFUNCTION("""COMPUTED_VALUE"""),496614.945)</f>
        <v>496614.945</v>
      </c>
      <c r="I4845" s="24">
        <f>IFERROR(__xludf.DUMMYFUNCTION("""COMPUTED_VALUE"""),-0.00677010999999994)</f>
        <v>-0.00677011</v>
      </c>
    </row>
    <row r="4846">
      <c r="A4846" s="5" t="str">
        <f>IFERROR(__xludf.DUMMYFUNCTION("""COMPUTED_VALUE"""),"70628")</f>
        <v>70628</v>
      </c>
      <c r="B4846" s="64">
        <f>IFERROR(__xludf.DUMMYFUNCTION("""COMPUTED_VALUE"""),44614.0)</f>
        <v>44614</v>
      </c>
      <c r="C4846" s="5"/>
      <c r="D4846" s="5"/>
      <c r="E4846" s="5"/>
      <c r="F4846" s="22">
        <f>IFERROR(__xludf.DUMMYFUNCTION("""COMPUTED_VALUE"""),500000.0)</f>
        <v>500000</v>
      </c>
      <c r="G4846" s="22">
        <f>IFERROR(__xludf.DUMMYFUNCTION("""COMPUTED_VALUE"""),0.0)</f>
        <v>0</v>
      </c>
      <c r="H4846" s="22">
        <f>IFERROR(__xludf.DUMMYFUNCTION("""COMPUTED_VALUE"""),488842.813)</f>
        <v>488842.813</v>
      </c>
      <c r="I4846" s="24">
        <f>IFERROR(__xludf.DUMMYFUNCTION("""COMPUTED_VALUE"""),-0.022314373999999915)</f>
        <v>-0.022314374</v>
      </c>
    </row>
    <row r="4847">
      <c r="A4847" s="5" t="str">
        <f>IFERROR(__xludf.DUMMYFUNCTION("""COMPUTED_VALUE"""),"70628")</f>
        <v>70628</v>
      </c>
      <c r="B4847" s="64">
        <f>IFERROR(__xludf.DUMMYFUNCTION("""COMPUTED_VALUE"""),44615.0)</f>
        <v>44615</v>
      </c>
      <c r="C4847" s="5"/>
      <c r="D4847" s="5"/>
      <c r="E4847" s="5"/>
      <c r="F4847" s="22">
        <f>IFERROR(__xludf.DUMMYFUNCTION("""COMPUTED_VALUE"""),500000.0)</f>
        <v>500000</v>
      </c>
      <c r="G4847" s="22">
        <f>IFERROR(__xludf.DUMMYFUNCTION("""COMPUTED_VALUE"""),0.0)</f>
        <v>0</v>
      </c>
      <c r="H4847" s="22">
        <f>IFERROR(__xludf.DUMMYFUNCTION("""COMPUTED_VALUE"""),492107.531)</f>
        <v>492107.531</v>
      </c>
      <c r="I4847" s="24">
        <f>IFERROR(__xludf.DUMMYFUNCTION("""COMPUTED_VALUE"""),-0.015784937999999915)</f>
        <v>-0.015784938</v>
      </c>
    </row>
    <row r="4848">
      <c r="A4848" s="5" t="str">
        <f>IFERROR(__xludf.DUMMYFUNCTION("""COMPUTED_VALUE"""),"70628")</f>
        <v>70628</v>
      </c>
      <c r="B4848" s="64">
        <f>IFERROR(__xludf.DUMMYFUNCTION("""COMPUTED_VALUE"""),44616.0)</f>
        <v>44616</v>
      </c>
      <c r="C4848" s="5"/>
      <c r="D4848" s="5"/>
      <c r="E4848" s="5"/>
      <c r="F4848" s="22">
        <f>IFERROR(__xludf.DUMMYFUNCTION("""COMPUTED_VALUE"""),500000.0)</f>
        <v>500000</v>
      </c>
      <c r="G4848" s="22">
        <f>IFERROR(__xludf.DUMMYFUNCTION("""COMPUTED_VALUE"""),0.0)</f>
        <v>0</v>
      </c>
      <c r="H4848" s="22">
        <f>IFERROR(__xludf.DUMMYFUNCTION("""COMPUTED_VALUE"""),477694.725)</f>
        <v>477694.725</v>
      </c>
      <c r="I4848" s="24">
        <f>IFERROR(__xludf.DUMMYFUNCTION("""COMPUTED_VALUE"""),-0.04461055000000003)</f>
        <v>-0.04461055</v>
      </c>
    </row>
    <row r="4849">
      <c r="A4849" s="5" t="str">
        <f>IFERROR(__xludf.DUMMYFUNCTION("""COMPUTED_VALUE"""),"70628")</f>
        <v>70628</v>
      </c>
      <c r="B4849" s="64">
        <f>IFERROR(__xludf.DUMMYFUNCTION("""COMPUTED_VALUE"""),44617.0)</f>
        <v>44617</v>
      </c>
      <c r="C4849" s="5"/>
      <c r="D4849" s="5"/>
      <c r="E4849" s="5"/>
      <c r="F4849" s="22">
        <f>IFERROR(__xludf.DUMMYFUNCTION("""COMPUTED_VALUE"""),500000.0)</f>
        <v>500000</v>
      </c>
      <c r="G4849" s="22">
        <f>IFERROR(__xludf.DUMMYFUNCTION("""COMPUTED_VALUE"""),0.0)</f>
        <v>0</v>
      </c>
      <c r="H4849" s="22">
        <f>IFERROR(__xludf.DUMMYFUNCTION("""COMPUTED_VALUE"""),475874.725)</f>
        <v>475874.725</v>
      </c>
      <c r="I4849" s="24">
        <f>IFERROR(__xludf.DUMMYFUNCTION("""COMPUTED_VALUE"""),-0.04825055)</f>
        <v>-0.04825055</v>
      </c>
    </row>
    <row r="4850">
      <c r="A4850" s="5" t="str">
        <f>IFERROR(__xludf.DUMMYFUNCTION("""COMPUTED_VALUE"""),"70628")</f>
        <v>70628</v>
      </c>
      <c r="B4850" s="64">
        <f>IFERROR(__xludf.DUMMYFUNCTION("""COMPUTED_VALUE"""),44618.0)</f>
        <v>44618</v>
      </c>
      <c r="C4850" s="5"/>
      <c r="D4850" s="5"/>
      <c r="E4850" s="5"/>
      <c r="F4850" s="22">
        <f>IFERROR(__xludf.DUMMYFUNCTION("""COMPUTED_VALUE"""),500000.0)</f>
        <v>500000</v>
      </c>
      <c r="G4850" s="22">
        <f>IFERROR(__xludf.DUMMYFUNCTION("""COMPUTED_VALUE"""),0.0)</f>
        <v>0</v>
      </c>
      <c r="H4850" s="22">
        <f>IFERROR(__xludf.DUMMYFUNCTION("""COMPUTED_VALUE"""),475874.725)</f>
        <v>475874.725</v>
      </c>
      <c r="I4850" s="24">
        <f>IFERROR(__xludf.DUMMYFUNCTION("""COMPUTED_VALUE"""),-0.04825055)</f>
        <v>-0.04825055</v>
      </c>
    </row>
    <row r="4851">
      <c r="A4851" s="5" t="str">
        <f>IFERROR(__xludf.DUMMYFUNCTION("""COMPUTED_VALUE"""),"70628")</f>
        <v>70628</v>
      </c>
      <c r="B4851" s="64">
        <f>IFERROR(__xludf.DUMMYFUNCTION("""COMPUTED_VALUE"""),44619.0)</f>
        <v>44619</v>
      </c>
      <c r="C4851" s="5"/>
      <c r="D4851" s="5"/>
      <c r="E4851" s="5"/>
      <c r="F4851" s="22">
        <f>IFERROR(__xludf.DUMMYFUNCTION("""COMPUTED_VALUE"""),500000.0)</f>
        <v>500000</v>
      </c>
      <c r="G4851" s="22">
        <f>IFERROR(__xludf.DUMMYFUNCTION("""COMPUTED_VALUE"""),0.0)</f>
        <v>0</v>
      </c>
      <c r="H4851" s="22">
        <f>IFERROR(__xludf.DUMMYFUNCTION("""COMPUTED_VALUE"""),475874.725)</f>
        <v>475874.725</v>
      </c>
      <c r="I4851" s="24">
        <f>IFERROR(__xludf.DUMMYFUNCTION("""COMPUTED_VALUE"""),-0.04825055)</f>
        <v>-0.04825055</v>
      </c>
    </row>
    <row r="4852">
      <c r="A4852" s="5" t="str">
        <f>IFERROR(__xludf.DUMMYFUNCTION("""COMPUTED_VALUE"""),"70628")</f>
        <v>70628</v>
      </c>
      <c r="B4852" s="64">
        <f>IFERROR(__xludf.DUMMYFUNCTION("""COMPUTED_VALUE"""),44620.0)</f>
        <v>44620</v>
      </c>
      <c r="C4852" s="5"/>
      <c r="D4852" s="5"/>
      <c r="E4852" s="5"/>
      <c r="F4852" s="22">
        <f>IFERROR(__xludf.DUMMYFUNCTION("""COMPUTED_VALUE"""),500000.0)</f>
        <v>500000</v>
      </c>
      <c r="G4852" s="22">
        <f>IFERROR(__xludf.DUMMYFUNCTION("""COMPUTED_VALUE"""),0.0)</f>
        <v>0</v>
      </c>
      <c r="H4852" s="22">
        <f>IFERROR(__xludf.DUMMYFUNCTION("""COMPUTED_VALUE"""),469142.256)</f>
        <v>469142.256</v>
      </c>
      <c r="I4852" s="24">
        <f>IFERROR(__xludf.DUMMYFUNCTION("""COMPUTED_VALUE"""),-0.06171548800000004)</f>
        <v>-0.061715488</v>
      </c>
    </row>
    <row r="4853">
      <c r="A4853" s="5" t="str">
        <f>IFERROR(__xludf.DUMMYFUNCTION("""COMPUTED_VALUE"""),"70628")</f>
        <v>70628</v>
      </c>
      <c r="B4853" s="64">
        <f>IFERROR(__xludf.DUMMYFUNCTION("""COMPUTED_VALUE"""),44621.0)</f>
        <v>44621</v>
      </c>
      <c r="C4853" s="5"/>
      <c r="D4853" s="5"/>
      <c r="E4853" s="5"/>
      <c r="F4853" s="22">
        <f>IFERROR(__xludf.DUMMYFUNCTION("""COMPUTED_VALUE"""),500000.0)</f>
        <v>500000</v>
      </c>
      <c r="G4853" s="22">
        <f>IFERROR(__xludf.DUMMYFUNCTION("""COMPUTED_VALUE"""),0.0)</f>
        <v>0</v>
      </c>
      <c r="H4853" s="22">
        <f>IFERROR(__xludf.DUMMYFUNCTION("""COMPUTED_VALUE"""),471563.604)</f>
        <v>471563.604</v>
      </c>
      <c r="I4853" s="24">
        <f>IFERROR(__xludf.DUMMYFUNCTION("""COMPUTED_VALUE"""),-0.05687279200000006)</f>
        <v>-0.056872792</v>
      </c>
    </row>
    <row r="4854">
      <c r="A4854" s="5" t="str">
        <f>IFERROR(__xludf.DUMMYFUNCTION("""COMPUTED_VALUE"""),"70628")</f>
        <v>70628</v>
      </c>
      <c r="B4854" s="64">
        <f>IFERROR(__xludf.DUMMYFUNCTION("""COMPUTED_VALUE"""),44622.0)</f>
        <v>44622</v>
      </c>
      <c r="C4854" s="5"/>
      <c r="D4854" s="5"/>
      <c r="E4854" s="5"/>
      <c r="F4854" s="22">
        <f>IFERROR(__xludf.DUMMYFUNCTION("""COMPUTED_VALUE"""),500000.0)</f>
        <v>500000</v>
      </c>
      <c r="G4854" s="22">
        <f>IFERROR(__xludf.DUMMYFUNCTION("""COMPUTED_VALUE"""),0.0)</f>
        <v>0</v>
      </c>
      <c r="H4854" s="22">
        <f>IFERROR(__xludf.DUMMYFUNCTION("""COMPUTED_VALUE"""),467138.88599999994)</f>
        <v>467138.886</v>
      </c>
      <c r="I4854" s="24">
        <f>IFERROR(__xludf.DUMMYFUNCTION("""COMPUTED_VALUE"""),-0.06572222800000016)</f>
        <v>-0.065722228</v>
      </c>
    </row>
    <row r="4855">
      <c r="A4855" s="5" t="str">
        <f>IFERROR(__xludf.DUMMYFUNCTION("""COMPUTED_VALUE"""),"70628")</f>
        <v>70628</v>
      </c>
      <c r="B4855" s="64">
        <f>IFERROR(__xludf.DUMMYFUNCTION("""COMPUTED_VALUE"""),44623.0)</f>
        <v>44623</v>
      </c>
      <c r="C4855" s="5"/>
      <c r="D4855" s="5"/>
      <c r="E4855" s="5"/>
      <c r="F4855" s="22">
        <f>IFERROR(__xludf.DUMMYFUNCTION("""COMPUTED_VALUE"""),500000.0)</f>
        <v>500000</v>
      </c>
      <c r="G4855" s="22">
        <f>IFERROR(__xludf.DUMMYFUNCTION("""COMPUTED_VALUE"""),0.0)</f>
        <v>0</v>
      </c>
      <c r="H4855" s="22">
        <f>IFERROR(__xludf.DUMMYFUNCTION("""COMPUTED_VALUE"""),460225.069)</f>
        <v>460225.069</v>
      </c>
      <c r="I4855" s="24">
        <f>IFERROR(__xludf.DUMMYFUNCTION("""COMPUTED_VALUE"""),-0.07954986199999992)</f>
        <v>-0.079549862</v>
      </c>
    </row>
    <row r="4856">
      <c r="A4856" s="5" t="str">
        <f>IFERROR(__xludf.DUMMYFUNCTION("""COMPUTED_VALUE"""),"70628")</f>
        <v>70628</v>
      </c>
      <c r="B4856" s="64">
        <f>IFERROR(__xludf.DUMMYFUNCTION("""COMPUTED_VALUE"""),44624.0)</f>
        <v>44624</v>
      </c>
      <c r="C4856" s="5"/>
      <c r="D4856" s="5"/>
      <c r="E4856" s="5"/>
      <c r="F4856" s="22">
        <f>IFERROR(__xludf.DUMMYFUNCTION("""COMPUTED_VALUE"""),500000.0)</f>
        <v>500000</v>
      </c>
      <c r="G4856" s="22">
        <f>IFERROR(__xludf.DUMMYFUNCTION("""COMPUTED_VALUE"""),0.0)</f>
        <v>0</v>
      </c>
      <c r="H4856" s="22">
        <f>IFERROR(__xludf.DUMMYFUNCTION("""COMPUTED_VALUE"""),450020.351)</f>
        <v>450020.351</v>
      </c>
      <c r="I4856" s="24">
        <f>IFERROR(__xludf.DUMMYFUNCTION("""COMPUTED_VALUE"""),-0.09995929799999992)</f>
        <v>-0.099959298</v>
      </c>
    </row>
    <row r="4857">
      <c r="A4857" s="5" t="str">
        <f>IFERROR(__xludf.DUMMYFUNCTION("""COMPUTED_VALUE"""),"70628")</f>
        <v>70628</v>
      </c>
      <c r="B4857" s="64">
        <f>IFERROR(__xludf.DUMMYFUNCTION("""COMPUTED_VALUE"""),44625.0)</f>
        <v>44625</v>
      </c>
      <c r="C4857" s="5"/>
      <c r="D4857" s="5"/>
      <c r="E4857" s="5"/>
      <c r="F4857" s="22">
        <f>IFERROR(__xludf.DUMMYFUNCTION("""COMPUTED_VALUE"""),500000.0)</f>
        <v>500000</v>
      </c>
      <c r="G4857" s="22">
        <f>IFERROR(__xludf.DUMMYFUNCTION("""COMPUTED_VALUE"""),0.0)</f>
        <v>0</v>
      </c>
      <c r="H4857" s="22">
        <f>IFERROR(__xludf.DUMMYFUNCTION("""COMPUTED_VALUE"""),450020.351)</f>
        <v>450020.351</v>
      </c>
      <c r="I4857" s="24">
        <f>IFERROR(__xludf.DUMMYFUNCTION("""COMPUTED_VALUE"""),-0.09995929799999992)</f>
        <v>-0.099959298</v>
      </c>
    </row>
    <row r="4858">
      <c r="A4858" s="5" t="str">
        <f>IFERROR(__xludf.DUMMYFUNCTION("""COMPUTED_VALUE"""),"70628")</f>
        <v>70628</v>
      </c>
      <c r="B4858" s="64">
        <f>IFERROR(__xludf.DUMMYFUNCTION("""COMPUTED_VALUE"""),44626.0)</f>
        <v>44626</v>
      </c>
      <c r="C4858" s="5"/>
      <c r="D4858" s="5"/>
      <c r="E4858" s="5"/>
      <c r="F4858" s="22">
        <f>IFERROR(__xludf.DUMMYFUNCTION("""COMPUTED_VALUE"""),500000.0)</f>
        <v>500000</v>
      </c>
      <c r="G4858" s="22">
        <f>IFERROR(__xludf.DUMMYFUNCTION("""COMPUTED_VALUE"""),0.0)</f>
        <v>0</v>
      </c>
      <c r="H4858" s="22">
        <f>IFERROR(__xludf.DUMMYFUNCTION("""COMPUTED_VALUE"""),450020.351)</f>
        <v>450020.351</v>
      </c>
      <c r="I4858" s="24">
        <f>IFERROR(__xludf.DUMMYFUNCTION("""COMPUTED_VALUE"""),-0.09995929799999992)</f>
        <v>-0.099959298</v>
      </c>
    </row>
    <row r="4859">
      <c r="A4859" s="5" t="str">
        <f>IFERROR(__xludf.DUMMYFUNCTION("""COMPUTED_VALUE"""),"70628")</f>
        <v>70628</v>
      </c>
      <c r="B4859" s="64">
        <f>IFERROR(__xludf.DUMMYFUNCTION("""COMPUTED_VALUE"""),44627.0)</f>
        <v>44627</v>
      </c>
      <c r="C4859" s="5"/>
      <c r="D4859" s="5"/>
      <c r="E4859" s="5"/>
      <c r="F4859" s="22">
        <f>IFERROR(__xludf.DUMMYFUNCTION("""COMPUTED_VALUE"""),500000.0)</f>
        <v>500000</v>
      </c>
      <c r="G4859" s="22">
        <f>IFERROR(__xludf.DUMMYFUNCTION("""COMPUTED_VALUE"""),0.0)</f>
        <v>0</v>
      </c>
      <c r="H4859" s="22">
        <f>IFERROR(__xludf.DUMMYFUNCTION("""COMPUTED_VALUE"""),437963.164)</f>
        <v>437963.164</v>
      </c>
      <c r="I4859" s="24">
        <f>IFERROR(__xludf.DUMMYFUNCTION("""COMPUTED_VALUE"""),-0.12407367199999997)</f>
        <v>-0.124073672</v>
      </c>
    </row>
    <row r="4860">
      <c r="A4860" s="5" t="str">
        <f>IFERROR(__xludf.DUMMYFUNCTION("""COMPUTED_VALUE"""),"70628")</f>
        <v>70628</v>
      </c>
      <c r="B4860" s="64">
        <f>IFERROR(__xludf.DUMMYFUNCTION("""COMPUTED_VALUE"""),44628.0)</f>
        <v>44628</v>
      </c>
      <c r="C4860" s="5"/>
      <c r="D4860" s="5"/>
      <c r="E4860" s="5"/>
      <c r="F4860" s="22">
        <f>IFERROR(__xludf.DUMMYFUNCTION("""COMPUTED_VALUE"""),500000.0)</f>
        <v>500000</v>
      </c>
      <c r="G4860" s="22">
        <f>IFERROR(__xludf.DUMMYFUNCTION("""COMPUTED_VALUE"""),0.0)</f>
        <v>0</v>
      </c>
      <c r="H4860" s="22">
        <f>IFERROR(__xludf.DUMMYFUNCTION("""COMPUTED_VALUE"""),428807.999)</f>
        <v>428807.999</v>
      </c>
      <c r="I4860" s="24">
        <f>IFERROR(__xludf.DUMMYFUNCTION("""COMPUTED_VALUE"""),-0.142384002)</f>
        <v>-0.142384002</v>
      </c>
    </row>
    <row r="4861">
      <c r="A4861" s="5" t="str">
        <f>IFERROR(__xludf.DUMMYFUNCTION("""COMPUTED_VALUE"""),"70628")</f>
        <v>70628</v>
      </c>
      <c r="B4861" s="64">
        <f>IFERROR(__xludf.DUMMYFUNCTION("""COMPUTED_VALUE"""),44629.0)</f>
        <v>44629</v>
      </c>
      <c r="C4861" s="5"/>
      <c r="D4861" s="5"/>
      <c r="E4861" s="5"/>
      <c r="F4861" s="22">
        <f>IFERROR(__xludf.DUMMYFUNCTION("""COMPUTED_VALUE"""),500000.0)</f>
        <v>500000</v>
      </c>
      <c r="G4861" s="22">
        <f>IFERROR(__xludf.DUMMYFUNCTION("""COMPUTED_VALUE"""),0.0)</f>
        <v>0</v>
      </c>
      <c r="H4861" s="22">
        <f>IFERROR(__xludf.DUMMYFUNCTION("""COMPUTED_VALUE"""),433257.098)</f>
        <v>433257.098</v>
      </c>
      <c r="I4861" s="24">
        <f>IFERROR(__xludf.DUMMYFUNCTION("""COMPUTED_VALUE"""),-0.13348580399999999)</f>
        <v>-0.133485804</v>
      </c>
    </row>
    <row r="4862">
      <c r="A4862" s="5" t="str">
        <f>IFERROR(__xludf.DUMMYFUNCTION("""COMPUTED_VALUE"""),"70628")</f>
        <v>70628</v>
      </c>
      <c r="B4862" s="64">
        <f>IFERROR(__xludf.DUMMYFUNCTION("""COMPUTED_VALUE"""),44630.0)</f>
        <v>44630</v>
      </c>
      <c r="C4862" s="5"/>
      <c r="D4862" s="5"/>
      <c r="E4862" s="5"/>
      <c r="F4862" s="22">
        <f>IFERROR(__xludf.DUMMYFUNCTION("""COMPUTED_VALUE"""),500000.0)</f>
        <v>500000</v>
      </c>
      <c r="G4862" s="22">
        <f>IFERROR(__xludf.DUMMYFUNCTION("""COMPUTED_VALUE"""),0.0)</f>
        <v>0</v>
      </c>
      <c r="H4862" s="22">
        <f>IFERROR(__xludf.DUMMYFUNCTION("""COMPUTED_VALUE"""),439299.794)</f>
        <v>439299.794</v>
      </c>
      <c r="I4862" s="24">
        <f>IFERROR(__xludf.DUMMYFUNCTION("""COMPUTED_VALUE"""),-0.12140041199999996)</f>
        <v>-0.121400412</v>
      </c>
    </row>
    <row r="4863">
      <c r="A4863" s="5" t="str">
        <f>IFERROR(__xludf.DUMMYFUNCTION("""COMPUTED_VALUE"""),"70628")</f>
        <v>70628</v>
      </c>
      <c r="B4863" s="64">
        <f>IFERROR(__xludf.DUMMYFUNCTION("""COMPUTED_VALUE"""),44631.0)</f>
        <v>44631</v>
      </c>
      <c r="C4863" s="5"/>
      <c r="D4863" s="5"/>
      <c r="E4863" s="5"/>
      <c r="F4863" s="22">
        <f>IFERROR(__xludf.DUMMYFUNCTION("""COMPUTED_VALUE"""),500000.0)</f>
        <v>500000</v>
      </c>
      <c r="G4863" s="22">
        <f>IFERROR(__xludf.DUMMYFUNCTION("""COMPUTED_VALUE"""),0.0)</f>
        <v>0</v>
      </c>
      <c r="H4863" s="22">
        <f>IFERROR(__xludf.DUMMYFUNCTION("""COMPUTED_VALUE"""),440172.04299999995)</f>
        <v>440172.043</v>
      </c>
      <c r="I4863" s="24">
        <f>IFERROR(__xludf.DUMMYFUNCTION("""COMPUTED_VALUE"""),-0.11965591400000009)</f>
        <v>-0.119655914</v>
      </c>
    </row>
    <row r="4864">
      <c r="A4864" s="5" t="str">
        <f>IFERROR(__xludf.DUMMYFUNCTION("""COMPUTED_VALUE"""),"70628")</f>
        <v>70628</v>
      </c>
      <c r="B4864" s="64">
        <f>IFERROR(__xludf.DUMMYFUNCTION("""COMPUTED_VALUE"""),44632.0)</f>
        <v>44632</v>
      </c>
      <c r="C4864" s="5"/>
      <c r="D4864" s="5"/>
      <c r="E4864" s="5"/>
      <c r="F4864" s="22">
        <f>IFERROR(__xludf.DUMMYFUNCTION("""COMPUTED_VALUE"""),500000.0)</f>
        <v>500000</v>
      </c>
      <c r="G4864" s="22">
        <f>IFERROR(__xludf.DUMMYFUNCTION("""COMPUTED_VALUE"""),0.0)</f>
        <v>0</v>
      </c>
      <c r="H4864" s="22">
        <f>IFERROR(__xludf.DUMMYFUNCTION("""COMPUTED_VALUE"""),440172.04299999995)</f>
        <v>440172.043</v>
      </c>
      <c r="I4864" s="24">
        <f>IFERROR(__xludf.DUMMYFUNCTION("""COMPUTED_VALUE"""),-0.11965591400000009)</f>
        <v>-0.119655914</v>
      </c>
    </row>
    <row r="4865">
      <c r="A4865" s="5" t="str">
        <f>IFERROR(__xludf.DUMMYFUNCTION("""COMPUTED_VALUE"""),"70628")</f>
        <v>70628</v>
      </c>
      <c r="B4865" s="64">
        <f>IFERROR(__xludf.DUMMYFUNCTION("""COMPUTED_VALUE"""),44633.0)</f>
        <v>44633</v>
      </c>
      <c r="C4865" s="5"/>
      <c r="D4865" s="5"/>
      <c r="E4865" s="5"/>
      <c r="F4865" s="22">
        <f>IFERROR(__xludf.DUMMYFUNCTION("""COMPUTED_VALUE"""),500000.0)</f>
        <v>500000</v>
      </c>
      <c r="G4865" s="22">
        <f>IFERROR(__xludf.DUMMYFUNCTION("""COMPUTED_VALUE"""),0.0)</f>
        <v>0</v>
      </c>
      <c r="H4865" s="22">
        <f>IFERROR(__xludf.DUMMYFUNCTION("""COMPUTED_VALUE"""),440172.04299999995)</f>
        <v>440172.043</v>
      </c>
      <c r="I4865" s="24">
        <f>IFERROR(__xludf.DUMMYFUNCTION("""COMPUTED_VALUE"""),-0.11965591400000009)</f>
        <v>-0.119655914</v>
      </c>
    </row>
    <row r="4866">
      <c r="A4866" s="5" t="str">
        <f>IFERROR(__xludf.DUMMYFUNCTION("""COMPUTED_VALUE"""),"70628")</f>
        <v>70628</v>
      </c>
      <c r="B4866" s="64">
        <f>IFERROR(__xludf.DUMMYFUNCTION("""COMPUTED_VALUE"""),44634.0)</f>
        <v>44634</v>
      </c>
      <c r="C4866" s="5"/>
      <c r="D4866" s="5"/>
      <c r="E4866" s="5"/>
      <c r="F4866" s="22">
        <f>IFERROR(__xludf.DUMMYFUNCTION("""COMPUTED_VALUE"""),500000.0)</f>
        <v>500000</v>
      </c>
      <c r="G4866" s="22">
        <f>IFERROR(__xludf.DUMMYFUNCTION("""COMPUTED_VALUE"""),0.0)</f>
        <v>0</v>
      </c>
      <c r="H4866" s="22">
        <f>IFERROR(__xludf.DUMMYFUNCTION("""COMPUTED_VALUE"""),429377.21499999997)</f>
        <v>429377.215</v>
      </c>
      <c r="I4866" s="24">
        <f>IFERROR(__xludf.DUMMYFUNCTION("""COMPUTED_VALUE"""),-0.14124557000000004)</f>
        <v>-0.14124557</v>
      </c>
    </row>
    <row r="4867">
      <c r="A4867" s="5" t="str">
        <f>IFERROR(__xludf.DUMMYFUNCTION("""COMPUTED_VALUE"""),"70628")</f>
        <v>70628</v>
      </c>
      <c r="B4867" s="64">
        <f>IFERROR(__xludf.DUMMYFUNCTION("""COMPUTED_VALUE"""),44635.0)</f>
        <v>44635</v>
      </c>
      <c r="C4867" s="5"/>
      <c r="D4867" s="5"/>
      <c r="E4867" s="5"/>
      <c r="F4867" s="22">
        <f>IFERROR(__xludf.DUMMYFUNCTION("""COMPUTED_VALUE"""),500000.0)</f>
        <v>500000</v>
      </c>
      <c r="G4867" s="22">
        <f>IFERROR(__xludf.DUMMYFUNCTION("""COMPUTED_VALUE"""),0.0)</f>
        <v>0</v>
      </c>
      <c r="H4867" s="22">
        <f>IFERROR(__xludf.DUMMYFUNCTION("""COMPUTED_VALUE"""),412872.83400000003)</f>
        <v>412872.834</v>
      </c>
      <c r="I4867" s="24">
        <f>IFERROR(__xludf.DUMMYFUNCTION("""COMPUTED_VALUE"""),-0.17425433199999996)</f>
        <v>-0.174254332</v>
      </c>
    </row>
    <row r="4868">
      <c r="A4868" s="5" t="str">
        <f>IFERROR(__xludf.DUMMYFUNCTION("""COMPUTED_VALUE"""),"70628")</f>
        <v>70628</v>
      </c>
      <c r="B4868" s="64">
        <f>IFERROR(__xludf.DUMMYFUNCTION("""COMPUTED_VALUE"""),44636.0)</f>
        <v>44636</v>
      </c>
      <c r="C4868" s="5"/>
      <c r="D4868" s="5"/>
      <c r="E4868" s="5"/>
      <c r="F4868" s="22">
        <f>IFERROR(__xludf.DUMMYFUNCTION("""COMPUTED_VALUE"""),500000.0)</f>
        <v>500000</v>
      </c>
      <c r="G4868" s="22">
        <f>IFERROR(__xludf.DUMMYFUNCTION("""COMPUTED_VALUE"""),0.0)</f>
        <v>0</v>
      </c>
      <c r="H4868" s="22">
        <f>IFERROR(__xludf.DUMMYFUNCTION("""COMPUTED_VALUE"""),440155.413)</f>
        <v>440155.413</v>
      </c>
      <c r="I4868" s="24">
        <f>IFERROR(__xludf.DUMMYFUNCTION("""COMPUTED_VALUE"""),-0.11968917400000001)</f>
        <v>-0.119689174</v>
      </c>
    </row>
    <row r="4869">
      <c r="A4869" s="5" t="str">
        <f>IFERROR(__xludf.DUMMYFUNCTION("""COMPUTED_VALUE"""),"70628")</f>
        <v>70628</v>
      </c>
      <c r="B4869" s="64">
        <f>IFERROR(__xludf.DUMMYFUNCTION("""COMPUTED_VALUE"""),44637.0)</f>
        <v>44637</v>
      </c>
      <c r="C4869" s="5"/>
      <c r="D4869" s="5"/>
      <c r="E4869" s="5"/>
      <c r="F4869" s="22">
        <f>IFERROR(__xludf.DUMMYFUNCTION("""COMPUTED_VALUE"""),500000.0)</f>
        <v>500000</v>
      </c>
      <c r="G4869" s="22">
        <f>IFERROR(__xludf.DUMMYFUNCTION("""COMPUTED_VALUE"""),0.0)</f>
        <v>0</v>
      </c>
      <c r="H4869" s="22">
        <f>IFERROR(__xludf.DUMMYFUNCTION("""COMPUTED_VALUE"""),454854.73900000006)</f>
        <v>454854.739</v>
      </c>
      <c r="I4869" s="24">
        <f>IFERROR(__xludf.DUMMYFUNCTION("""COMPUTED_VALUE"""),-0.09029052199999987)</f>
        <v>-0.090290522</v>
      </c>
    </row>
    <row r="4870">
      <c r="A4870" s="5" t="str">
        <f>IFERROR(__xludf.DUMMYFUNCTION("""COMPUTED_VALUE"""),"70628")</f>
        <v>70628</v>
      </c>
      <c r="B4870" s="64">
        <f>IFERROR(__xludf.DUMMYFUNCTION("""COMPUTED_VALUE"""),44638.0)</f>
        <v>44638</v>
      </c>
      <c r="C4870" s="5"/>
      <c r="D4870" s="5"/>
      <c r="E4870" s="5"/>
      <c r="F4870" s="22">
        <f>IFERROR(__xludf.DUMMYFUNCTION("""COMPUTED_VALUE"""),500000.0)</f>
        <v>500000</v>
      </c>
      <c r="G4870" s="22">
        <f>IFERROR(__xludf.DUMMYFUNCTION("""COMPUTED_VALUE"""),0.0)</f>
        <v>0</v>
      </c>
      <c r="H4870" s="22">
        <f>IFERROR(__xludf.DUMMYFUNCTION("""COMPUTED_VALUE"""),445720.468)</f>
        <v>445720.468</v>
      </c>
      <c r="I4870" s="24">
        <f>IFERROR(__xludf.DUMMYFUNCTION("""COMPUTED_VALUE"""),-0.10855906400000004)</f>
        <v>-0.108559064</v>
      </c>
    </row>
    <row r="4871">
      <c r="A4871" s="5" t="str">
        <f>IFERROR(__xludf.DUMMYFUNCTION("""COMPUTED_VALUE"""),"70628")</f>
        <v>70628</v>
      </c>
      <c r="B4871" s="64">
        <f>IFERROR(__xludf.DUMMYFUNCTION("""COMPUTED_VALUE"""),44639.0)</f>
        <v>44639</v>
      </c>
      <c r="C4871" s="5"/>
      <c r="D4871" s="5"/>
      <c r="E4871" s="5"/>
      <c r="F4871" s="22">
        <f>IFERROR(__xludf.DUMMYFUNCTION("""COMPUTED_VALUE"""),500000.0)</f>
        <v>500000</v>
      </c>
      <c r="G4871" s="22">
        <f>IFERROR(__xludf.DUMMYFUNCTION("""COMPUTED_VALUE"""),0.0)</f>
        <v>0</v>
      </c>
      <c r="H4871" s="22">
        <f>IFERROR(__xludf.DUMMYFUNCTION("""COMPUTED_VALUE"""),445720.468)</f>
        <v>445720.468</v>
      </c>
      <c r="I4871" s="24">
        <f>IFERROR(__xludf.DUMMYFUNCTION("""COMPUTED_VALUE"""),-0.10855906400000004)</f>
        <v>-0.108559064</v>
      </c>
    </row>
    <row r="4872">
      <c r="A4872" s="5" t="str">
        <f>IFERROR(__xludf.DUMMYFUNCTION("""COMPUTED_VALUE"""),"70628")</f>
        <v>70628</v>
      </c>
      <c r="B4872" s="64">
        <f>IFERROR(__xludf.DUMMYFUNCTION("""COMPUTED_VALUE"""),44640.0)</f>
        <v>44640</v>
      </c>
      <c r="C4872" s="5"/>
      <c r="D4872" s="5"/>
      <c r="E4872" s="5"/>
      <c r="F4872" s="22">
        <f>IFERROR(__xludf.DUMMYFUNCTION("""COMPUTED_VALUE"""),500000.0)</f>
        <v>500000</v>
      </c>
      <c r="G4872" s="22">
        <f>IFERROR(__xludf.DUMMYFUNCTION("""COMPUTED_VALUE"""),0.0)</f>
        <v>0</v>
      </c>
      <c r="H4872" s="22">
        <f>IFERROR(__xludf.DUMMYFUNCTION("""COMPUTED_VALUE"""),445720.468)</f>
        <v>445720.468</v>
      </c>
      <c r="I4872" s="24">
        <f>IFERROR(__xludf.DUMMYFUNCTION("""COMPUTED_VALUE"""),-0.10855906400000004)</f>
        <v>-0.108559064</v>
      </c>
    </row>
    <row r="4873">
      <c r="A4873" s="5" t="str">
        <f>IFERROR(__xludf.DUMMYFUNCTION("""COMPUTED_VALUE"""),"70628")</f>
        <v>70628</v>
      </c>
      <c r="B4873" s="64">
        <f>IFERROR(__xludf.DUMMYFUNCTION("""COMPUTED_VALUE"""),44641.0)</f>
        <v>44641</v>
      </c>
      <c r="C4873" s="5"/>
      <c r="D4873" s="5"/>
      <c r="E4873" s="5"/>
      <c r="F4873" s="22">
        <f>IFERROR(__xludf.DUMMYFUNCTION("""COMPUTED_VALUE"""),500000.0)</f>
        <v>500000</v>
      </c>
      <c r="G4873" s="22">
        <f>IFERROR(__xludf.DUMMYFUNCTION("""COMPUTED_VALUE"""),0.0)</f>
        <v>0</v>
      </c>
      <c r="H4873" s="22">
        <f>IFERROR(__xludf.DUMMYFUNCTION("""COMPUTED_VALUE"""),443891.706)</f>
        <v>443891.706</v>
      </c>
      <c r="I4873" s="24">
        <f>IFERROR(__xludf.DUMMYFUNCTION("""COMPUTED_VALUE"""),-0.112216588)</f>
        <v>-0.112216588</v>
      </c>
    </row>
    <row r="4874">
      <c r="A4874" s="5" t="str">
        <f>IFERROR(__xludf.DUMMYFUNCTION("""COMPUTED_VALUE"""),"70628")</f>
        <v>70628</v>
      </c>
      <c r="B4874" s="64">
        <f>IFERROR(__xludf.DUMMYFUNCTION("""COMPUTED_VALUE"""),44642.0)</f>
        <v>44642</v>
      </c>
      <c r="C4874" s="5"/>
      <c r="D4874" s="5"/>
      <c r="E4874" s="5"/>
      <c r="F4874" s="22">
        <f>IFERROR(__xludf.DUMMYFUNCTION("""COMPUTED_VALUE"""),500000.0)</f>
        <v>500000</v>
      </c>
      <c r="G4874" s="22">
        <f>IFERROR(__xludf.DUMMYFUNCTION("""COMPUTED_VALUE"""),0.0)</f>
        <v>0</v>
      </c>
      <c r="H4874" s="22">
        <f>IFERROR(__xludf.DUMMYFUNCTION("""COMPUTED_VALUE"""),453757.772)</f>
        <v>453757.772</v>
      </c>
      <c r="I4874" s="24">
        <f>IFERROR(__xludf.DUMMYFUNCTION("""COMPUTED_VALUE"""),-0.09248445599999999)</f>
        <v>-0.092484456</v>
      </c>
    </row>
    <row r="4875">
      <c r="A4875" s="5" t="str">
        <f>IFERROR(__xludf.DUMMYFUNCTION("""COMPUTED_VALUE"""),"70628")</f>
        <v>70628</v>
      </c>
      <c r="B4875" s="64">
        <f>IFERROR(__xludf.DUMMYFUNCTION("""COMPUTED_VALUE"""),44643.0)</f>
        <v>44643</v>
      </c>
      <c r="C4875" s="5"/>
      <c r="D4875" s="5"/>
      <c r="E4875" s="5"/>
      <c r="F4875" s="22">
        <f>IFERROR(__xludf.DUMMYFUNCTION("""COMPUTED_VALUE"""),500000.0)</f>
        <v>500000</v>
      </c>
      <c r="G4875" s="22">
        <f>IFERROR(__xludf.DUMMYFUNCTION("""COMPUTED_VALUE"""),0.0)</f>
        <v>0</v>
      </c>
      <c r="H4875" s="22">
        <f>IFERROR(__xludf.DUMMYFUNCTION("""COMPUTED_VALUE"""),463060.805)</f>
        <v>463060.805</v>
      </c>
      <c r="I4875" s="24">
        <f>IFERROR(__xludf.DUMMYFUNCTION("""COMPUTED_VALUE"""),-0.07387838999999996)</f>
        <v>-0.07387839</v>
      </c>
    </row>
    <row r="4876">
      <c r="A4876" s="5" t="str">
        <f>IFERROR(__xludf.DUMMYFUNCTION("""COMPUTED_VALUE"""),"70628")</f>
        <v>70628</v>
      </c>
      <c r="B4876" s="64">
        <f>IFERROR(__xludf.DUMMYFUNCTION("""COMPUTED_VALUE"""),44644.0)</f>
        <v>44644</v>
      </c>
      <c r="C4876" s="5"/>
      <c r="D4876" s="5"/>
      <c r="E4876" s="5"/>
      <c r="F4876" s="22">
        <f>IFERROR(__xludf.DUMMYFUNCTION("""COMPUTED_VALUE"""),500000.0)</f>
        <v>500000</v>
      </c>
      <c r="G4876" s="22">
        <f>IFERROR(__xludf.DUMMYFUNCTION("""COMPUTED_VALUE"""),0.0)</f>
        <v>0</v>
      </c>
      <c r="H4876" s="22">
        <f>IFERROR(__xludf.DUMMYFUNCTION("""COMPUTED_VALUE"""),459182.827)</f>
        <v>459182.827</v>
      </c>
      <c r="I4876" s="24">
        <f>IFERROR(__xludf.DUMMYFUNCTION("""COMPUTED_VALUE"""),-0.08163434599999997)</f>
        <v>-0.081634346</v>
      </c>
    </row>
    <row r="4877">
      <c r="A4877" s="5" t="str">
        <f>IFERROR(__xludf.DUMMYFUNCTION("""COMPUTED_VALUE"""),"70628")</f>
        <v>70628</v>
      </c>
      <c r="B4877" s="64">
        <f>IFERROR(__xludf.DUMMYFUNCTION("""COMPUTED_VALUE"""),44645.0)</f>
        <v>44645</v>
      </c>
      <c r="C4877" s="5"/>
      <c r="D4877" s="5"/>
      <c r="E4877" s="5"/>
      <c r="F4877" s="22">
        <f>IFERROR(__xludf.DUMMYFUNCTION("""COMPUTED_VALUE"""),500000.0)</f>
        <v>500000</v>
      </c>
      <c r="G4877" s="22">
        <f>IFERROR(__xludf.DUMMYFUNCTION("""COMPUTED_VALUE"""),0.0)</f>
        <v>0</v>
      </c>
      <c r="H4877" s="22">
        <f>IFERROR(__xludf.DUMMYFUNCTION("""COMPUTED_VALUE"""),454614.402)</f>
        <v>454614.402</v>
      </c>
      <c r="I4877" s="24">
        <f>IFERROR(__xludf.DUMMYFUNCTION("""COMPUTED_VALUE"""),-0.09077119599999994)</f>
        <v>-0.090771196</v>
      </c>
    </row>
    <row r="4878">
      <c r="A4878" s="5" t="str">
        <f>IFERROR(__xludf.DUMMYFUNCTION("""COMPUTED_VALUE"""),"70628")</f>
        <v>70628</v>
      </c>
      <c r="B4878" s="64">
        <f>IFERROR(__xludf.DUMMYFUNCTION("""COMPUTED_VALUE"""),44646.0)</f>
        <v>44646</v>
      </c>
      <c r="C4878" s="5"/>
      <c r="D4878" s="5"/>
      <c r="E4878" s="5"/>
      <c r="F4878" s="22">
        <f>IFERROR(__xludf.DUMMYFUNCTION("""COMPUTED_VALUE"""),500000.0)</f>
        <v>500000</v>
      </c>
      <c r="G4878" s="22">
        <f>IFERROR(__xludf.DUMMYFUNCTION("""COMPUTED_VALUE"""),0.0)</f>
        <v>0</v>
      </c>
      <c r="H4878" s="22">
        <f>IFERROR(__xludf.DUMMYFUNCTION("""COMPUTED_VALUE"""),454614.402)</f>
        <v>454614.402</v>
      </c>
      <c r="I4878" s="24">
        <f>IFERROR(__xludf.DUMMYFUNCTION("""COMPUTED_VALUE"""),-0.09077119599999994)</f>
        <v>-0.090771196</v>
      </c>
    </row>
    <row r="4879">
      <c r="A4879" s="5" t="str">
        <f>IFERROR(__xludf.DUMMYFUNCTION("""COMPUTED_VALUE"""),"70628")</f>
        <v>70628</v>
      </c>
      <c r="B4879" s="64">
        <f>IFERROR(__xludf.DUMMYFUNCTION("""COMPUTED_VALUE"""),44647.0)</f>
        <v>44647</v>
      </c>
      <c r="C4879" s="5"/>
      <c r="D4879" s="5"/>
      <c r="E4879" s="5"/>
      <c r="F4879" s="22">
        <f>IFERROR(__xludf.DUMMYFUNCTION("""COMPUTED_VALUE"""),500000.0)</f>
        <v>500000</v>
      </c>
      <c r="G4879" s="22">
        <f>IFERROR(__xludf.DUMMYFUNCTION("""COMPUTED_VALUE"""),0.0)</f>
        <v>0</v>
      </c>
      <c r="H4879" s="22">
        <f>IFERROR(__xludf.DUMMYFUNCTION("""COMPUTED_VALUE"""),454614.402)</f>
        <v>454614.402</v>
      </c>
      <c r="I4879" s="24">
        <f>IFERROR(__xludf.DUMMYFUNCTION("""COMPUTED_VALUE"""),-0.09077119599999994)</f>
        <v>-0.090771196</v>
      </c>
    </row>
    <row r="4880">
      <c r="A4880" s="5" t="str">
        <f>IFERROR(__xludf.DUMMYFUNCTION("""COMPUTED_VALUE"""),"70628")</f>
        <v>70628</v>
      </c>
      <c r="B4880" s="64">
        <f>IFERROR(__xludf.DUMMYFUNCTION("""COMPUTED_VALUE"""),44648.0)</f>
        <v>44648</v>
      </c>
      <c r="C4880" s="5"/>
      <c r="D4880" s="5"/>
      <c r="E4880" s="5"/>
      <c r="F4880" s="22">
        <f>IFERROR(__xludf.DUMMYFUNCTION("""COMPUTED_VALUE"""),500000.0)</f>
        <v>500000</v>
      </c>
      <c r="G4880" s="22">
        <f>IFERROR(__xludf.DUMMYFUNCTION("""COMPUTED_VALUE"""),0.0)</f>
        <v>0</v>
      </c>
      <c r="H4880" s="22">
        <f>IFERROR(__xludf.DUMMYFUNCTION("""COMPUTED_VALUE"""),450034.739)</f>
        <v>450034.739</v>
      </c>
      <c r="I4880" s="24">
        <f>IFERROR(__xludf.DUMMYFUNCTION("""COMPUTED_VALUE"""),-0.09993052199999997)</f>
        <v>-0.099930522</v>
      </c>
    </row>
    <row r="4881">
      <c r="A4881" s="5" t="str">
        <f>IFERROR(__xludf.DUMMYFUNCTION("""COMPUTED_VALUE"""),"70628")</f>
        <v>70628</v>
      </c>
      <c r="B4881" s="64">
        <f>IFERROR(__xludf.DUMMYFUNCTION("""COMPUTED_VALUE"""),44649.0)</f>
        <v>44649</v>
      </c>
      <c r="C4881" s="5"/>
      <c r="D4881" s="5"/>
      <c r="E4881" s="5"/>
      <c r="F4881" s="22">
        <f>IFERROR(__xludf.DUMMYFUNCTION("""COMPUTED_VALUE"""),500000.0)</f>
        <v>500000</v>
      </c>
      <c r="G4881" s="22">
        <f>IFERROR(__xludf.DUMMYFUNCTION("""COMPUTED_VALUE"""),0.0)</f>
        <v>0</v>
      </c>
      <c r="H4881" s="22">
        <f>IFERROR(__xludf.DUMMYFUNCTION("""COMPUTED_VALUE"""),448883.501)</f>
        <v>448883.501</v>
      </c>
      <c r="I4881" s="24">
        <f>IFERROR(__xludf.DUMMYFUNCTION("""COMPUTED_VALUE"""),-0.10223299800000007)</f>
        <v>-0.102232998</v>
      </c>
    </row>
    <row r="4882">
      <c r="A4882" s="5" t="str">
        <f>IFERROR(__xludf.DUMMYFUNCTION("""COMPUTED_VALUE"""),"70628")</f>
        <v>70628</v>
      </c>
      <c r="B4882" s="64">
        <f>IFERROR(__xludf.DUMMYFUNCTION("""COMPUTED_VALUE"""),44650.0)</f>
        <v>44650</v>
      </c>
      <c r="C4882" s="5"/>
      <c r="D4882" s="5"/>
      <c r="E4882" s="5"/>
      <c r="F4882" s="22">
        <f>IFERROR(__xludf.DUMMYFUNCTION("""COMPUTED_VALUE"""),500000.0)</f>
        <v>500000</v>
      </c>
      <c r="G4882" s="22">
        <f>IFERROR(__xludf.DUMMYFUNCTION("""COMPUTED_VALUE"""),0.0)</f>
        <v>0</v>
      </c>
      <c r="H4882" s="22">
        <f>IFERROR(__xludf.DUMMYFUNCTION("""COMPUTED_VALUE"""),459812.6)</f>
        <v>459812.6</v>
      </c>
      <c r="I4882" s="24">
        <f>IFERROR(__xludf.DUMMYFUNCTION("""COMPUTED_VALUE"""),-0.08037480000000008)</f>
        <v>-0.0803748</v>
      </c>
    </row>
    <row r="4883">
      <c r="A4883" s="5" t="str">
        <f>IFERROR(__xludf.DUMMYFUNCTION("""COMPUTED_VALUE"""),"70628")</f>
        <v>70628</v>
      </c>
      <c r="B4883" s="64">
        <f>IFERROR(__xludf.DUMMYFUNCTION("""COMPUTED_VALUE"""),44651.0)</f>
        <v>44651</v>
      </c>
      <c r="C4883" s="5"/>
      <c r="D4883" s="5"/>
      <c r="E4883" s="5"/>
      <c r="F4883" s="22">
        <f>IFERROR(__xludf.DUMMYFUNCTION("""COMPUTED_VALUE"""),500000.0)</f>
        <v>500000</v>
      </c>
      <c r="G4883" s="22">
        <f>IFERROR(__xludf.DUMMYFUNCTION("""COMPUTED_VALUE"""),0.0)</f>
        <v>0</v>
      </c>
      <c r="H4883" s="22">
        <f>IFERROR(__xludf.DUMMYFUNCTION("""COMPUTED_VALUE"""),452627.545)</f>
        <v>452627.545</v>
      </c>
      <c r="I4883" s="24">
        <f>IFERROR(__xludf.DUMMYFUNCTION("""COMPUTED_VALUE"""),-0.09474491000000007)</f>
        <v>-0.09474491</v>
      </c>
    </row>
    <row r="4884">
      <c r="A4884" s="5" t="str">
        <f>IFERROR(__xludf.DUMMYFUNCTION("""COMPUTED_VALUE"""),"70628")</f>
        <v>70628</v>
      </c>
      <c r="B4884" s="64">
        <f>IFERROR(__xludf.DUMMYFUNCTION("""COMPUTED_VALUE"""),44652.0)</f>
        <v>44652</v>
      </c>
      <c r="C4884" s="5"/>
      <c r="D4884" s="5"/>
      <c r="E4884" s="5"/>
      <c r="F4884" s="22">
        <f>IFERROR(__xludf.DUMMYFUNCTION("""COMPUTED_VALUE"""),500000.0)</f>
        <v>500000</v>
      </c>
      <c r="G4884" s="22">
        <f>IFERROR(__xludf.DUMMYFUNCTION("""COMPUTED_VALUE"""),0.0)</f>
        <v>0</v>
      </c>
      <c r="H4884" s="22">
        <f>IFERROR(__xludf.DUMMYFUNCTION("""COMPUTED_VALUE"""),451107.882)</f>
        <v>451107.882</v>
      </c>
      <c r="I4884" s="24">
        <f>IFERROR(__xludf.DUMMYFUNCTION("""COMPUTED_VALUE"""),-0.09778423600000008)</f>
        <v>-0.097784236</v>
      </c>
    </row>
    <row r="4885">
      <c r="A4885" s="5" t="str">
        <f>IFERROR(__xludf.DUMMYFUNCTION("""COMPUTED_VALUE"""),"70628")</f>
        <v>70628</v>
      </c>
      <c r="B4885" s="64">
        <f>IFERROR(__xludf.DUMMYFUNCTION("""COMPUTED_VALUE"""),44653.0)</f>
        <v>44653</v>
      </c>
      <c r="C4885" s="5"/>
      <c r="D4885" s="5"/>
      <c r="E4885" s="5"/>
      <c r="F4885" s="22">
        <f>IFERROR(__xludf.DUMMYFUNCTION("""COMPUTED_VALUE"""),500000.0)</f>
        <v>500000</v>
      </c>
      <c r="G4885" s="22">
        <f>IFERROR(__xludf.DUMMYFUNCTION("""COMPUTED_VALUE"""),0.0)</f>
        <v>0</v>
      </c>
      <c r="H4885" s="22">
        <f>IFERROR(__xludf.DUMMYFUNCTION("""COMPUTED_VALUE"""),451107.882)</f>
        <v>451107.882</v>
      </c>
      <c r="I4885" s="24">
        <f>IFERROR(__xludf.DUMMYFUNCTION("""COMPUTED_VALUE"""),-0.09778423600000008)</f>
        <v>-0.097784236</v>
      </c>
    </row>
    <row r="4886">
      <c r="A4886" s="5" t="str">
        <f>IFERROR(__xludf.DUMMYFUNCTION("""COMPUTED_VALUE"""),"70628")</f>
        <v>70628</v>
      </c>
      <c r="B4886" s="64">
        <f>IFERROR(__xludf.DUMMYFUNCTION("""COMPUTED_VALUE"""),44654.0)</f>
        <v>44654</v>
      </c>
      <c r="C4886" s="5"/>
      <c r="D4886" s="5"/>
      <c r="E4886" s="5"/>
      <c r="F4886" s="22">
        <f>IFERROR(__xludf.DUMMYFUNCTION("""COMPUTED_VALUE"""),500000.0)</f>
        <v>500000</v>
      </c>
      <c r="G4886" s="22">
        <f>IFERROR(__xludf.DUMMYFUNCTION("""COMPUTED_VALUE"""),0.0)</f>
        <v>0</v>
      </c>
      <c r="H4886" s="22">
        <f>IFERROR(__xludf.DUMMYFUNCTION("""COMPUTED_VALUE"""),451107.882)</f>
        <v>451107.882</v>
      </c>
      <c r="I4886" s="24">
        <f>IFERROR(__xludf.DUMMYFUNCTION("""COMPUTED_VALUE"""),-0.09778423600000008)</f>
        <v>-0.097784236</v>
      </c>
    </row>
    <row r="4887">
      <c r="A4887" s="5" t="str">
        <f>IFERROR(__xludf.DUMMYFUNCTION("""COMPUTED_VALUE"""),"70628")</f>
        <v>70628</v>
      </c>
      <c r="B4887" s="64">
        <f>IFERROR(__xludf.DUMMYFUNCTION("""COMPUTED_VALUE"""),44655.0)</f>
        <v>44655</v>
      </c>
      <c r="C4887" s="5"/>
      <c r="D4887" s="5"/>
      <c r="E4887" s="5"/>
      <c r="F4887" s="22">
        <f>IFERROR(__xludf.DUMMYFUNCTION("""COMPUTED_VALUE"""),500000.0)</f>
        <v>500000</v>
      </c>
      <c r="G4887" s="22">
        <f>IFERROR(__xludf.DUMMYFUNCTION("""COMPUTED_VALUE"""),0.0)</f>
        <v>0</v>
      </c>
      <c r="H4887" s="22">
        <f>IFERROR(__xludf.DUMMYFUNCTION("""COMPUTED_VALUE"""),458089.23)</f>
        <v>458089.23</v>
      </c>
      <c r="I4887" s="24">
        <f>IFERROR(__xludf.DUMMYFUNCTION("""COMPUTED_VALUE"""),-0.08382154000000008)</f>
        <v>-0.08382154</v>
      </c>
    </row>
    <row r="4888">
      <c r="A4888" s="5" t="str">
        <f>IFERROR(__xludf.DUMMYFUNCTION("""COMPUTED_VALUE"""),"70628")</f>
        <v>70628</v>
      </c>
      <c r="B4888" s="64">
        <f>IFERROR(__xludf.DUMMYFUNCTION("""COMPUTED_VALUE"""),44656.0)</f>
        <v>44656</v>
      </c>
      <c r="C4888" s="5"/>
      <c r="D4888" s="5"/>
      <c r="E4888" s="5"/>
      <c r="F4888" s="22">
        <f>IFERROR(__xludf.DUMMYFUNCTION("""COMPUTED_VALUE"""),500000.0)</f>
        <v>500000</v>
      </c>
      <c r="G4888" s="22">
        <f>IFERROR(__xludf.DUMMYFUNCTION("""COMPUTED_VALUE"""),0.0)</f>
        <v>0</v>
      </c>
      <c r="H4888" s="22">
        <f>IFERROR(__xludf.DUMMYFUNCTION("""COMPUTED_VALUE"""),458089.23)</f>
        <v>458089.23</v>
      </c>
      <c r="I4888" s="24">
        <f>IFERROR(__xludf.DUMMYFUNCTION("""COMPUTED_VALUE"""),-0.08382154000000008)</f>
        <v>-0.08382154</v>
      </c>
    </row>
    <row r="4889">
      <c r="A4889" s="5" t="str">
        <f>IFERROR(__xludf.DUMMYFUNCTION("""COMPUTED_VALUE"""),"70628")</f>
        <v>70628</v>
      </c>
      <c r="B4889" s="64">
        <f>IFERROR(__xludf.DUMMYFUNCTION("""COMPUTED_VALUE"""),44657.0)</f>
        <v>44657</v>
      </c>
      <c r="C4889" s="5"/>
      <c r="D4889" s="5"/>
      <c r="E4889" s="5"/>
      <c r="F4889" s="22">
        <f>IFERROR(__xludf.DUMMYFUNCTION("""COMPUTED_VALUE"""),500000.0)</f>
        <v>500000</v>
      </c>
      <c r="G4889" s="22">
        <f>IFERROR(__xludf.DUMMYFUNCTION("""COMPUTED_VALUE"""),0.0)</f>
        <v>0</v>
      </c>
      <c r="H4889" s="22">
        <f>IFERROR(__xludf.DUMMYFUNCTION("""COMPUTED_VALUE"""),448223.838)</f>
        <v>448223.838</v>
      </c>
      <c r="I4889" s="24">
        <f>IFERROR(__xludf.DUMMYFUNCTION("""COMPUTED_VALUE"""),-0.10355232400000003)</f>
        <v>-0.103552324</v>
      </c>
    </row>
    <row r="4890">
      <c r="A4890" s="5" t="str">
        <f>IFERROR(__xludf.DUMMYFUNCTION("""COMPUTED_VALUE"""),"70628")</f>
        <v>70628</v>
      </c>
      <c r="B4890" s="64">
        <f>IFERROR(__xludf.DUMMYFUNCTION("""COMPUTED_VALUE"""),44658.0)</f>
        <v>44658</v>
      </c>
      <c r="C4890" s="5"/>
      <c r="D4890" s="5"/>
      <c r="E4890" s="5"/>
      <c r="F4890" s="22">
        <f>IFERROR(__xludf.DUMMYFUNCTION("""COMPUTED_VALUE"""),500000.0)</f>
        <v>500000</v>
      </c>
      <c r="G4890" s="22">
        <f>IFERROR(__xludf.DUMMYFUNCTION("""COMPUTED_VALUE"""),0.0)</f>
        <v>0</v>
      </c>
      <c r="H4890" s="22">
        <f>IFERROR(__xludf.DUMMYFUNCTION("""COMPUTED_VALUE"""),440279.12)</f>
        <v>440279.12</v>
      </c>
      <c r="I4890" s="24">
        <f>IFERROR(__xludf.DUMMYFUNCTION("""COMPUTED_VALUE"""),-0.11944176000000006)</f>
        <v>-0.11944176</v>
      </c>
    </row>
    <row r="4891">
      <c r="A4891" s="5" t="str">
        <f>IFERROR(__xludf.DUMMYFUNCTION("""COMPUTED_VALUE"""),"70628")</f>
        <v>70628</v>
      </c>
      <c r="B4891" s="64">
        <f>IFERROR(__xludf.DUMMYFUNCTION("""COMPUTED_VALUE"""),44659.0)</f>
        <v>44659</v>
      </c>
      <c r="C4891" s="5"/>
      <c r="D4891" s="5"/>
      <c r="E4891" s="5"/>
      <c r="F4891" s="22">
        <f>IFERROR(__xludf.DUMMYFUNCTION("""COMPUTED_VALUE"""),500000.0)</f>
        <v>500000</v>
      </c>
      <c r="G4891" s="22">
        <f>IFERROR(__xludf.DUMMYFUNCTION("""COMPUTED_VALUE"""),0.0)</f>
        <v>0</v>
      </c>
      <c r="H4891" s="22">
        <f>IFERROR(__xludf.DUMMYFUNCTION("""COMPUTED_VALUE"""),442901.479)</f>
        <v>442901.479</v>
      </c>
      <c r="I4891" s="24">
        <f>IFERROR(__xludf.DUMMYFUNCTION("""COMPUTED_VALUE"""),-0.11419704200000003)</f>
        <v>-0.114197042</v>
      </c>
    </row>
    <row r="4892">
      <c r="A4892" s="5" t="str">
        <f>IFERROR(__xludf.DUMMYFUNCTION("""COMPUTED_VALUE"""),"70628")</f>
        <v>70628</v>
      </c>
      <c r="B4892" s="64">
        <f>IFERROR(__xludf.DUMMYFUNCTION("""COMPUTED_VALUE"""),44660.0)</f>
        <v>44660</v>
      </c>
      <c r="C4892" s="5"/>
      <c r="D4892" s="5"/>
      <c r="E4892" s="5"/>
      <c r="F4892" s="22">
        <f>IFERROR(__xludf.DUMMYFUNCTION("""COMPUTED_VALUE"""),500000.0)</f>
        <v>500000</v>
      </c>
      <c r="G4892" s="22">
        <f>IFERROR(__xludf.DUMMYFUNCTION("""COMPUTED_VALUE"""),0.0)</f>
        <v>0</v>
      </c>
      <c r="H4892" s="22">
        <f>IFERROR(__xludf.DUMMYFUNCTION("""COMPUTED_VALUE"""),442901.479)</f>
        <v>442901.479</v>
      </c>
      <c r="I4892" s="24">
        <f>IFERROR(__xludf.DUMMYFUNCTION("""COMPUTED_VALUE"""),-0.11419704200000003)</f>
        <v>-0.114197042</v>
      </c>
    </row>
    <row r="4893">
      <c r="A4893" s="5" t="str">
        <f>IFERROR(__xludf.DUMMYFUNCTION("""COMPUTED_VALUE"""),"70628")</f>
        <v>70628</v>
      </c>
      <c r="B4893" s="64">
        <f>IFERROR(__xludf.DUMMYFUNCTION("""COMPUTED_VALUE"""),44661.0)</f>
        <v>44661</v>
      </c>
      <c r="C4893" s="5"/>
      <c r="D4893" s="5"/>
      <c r="E4893" s="5"/>
      <c r="F4893" s="22">
        <f>IFERROR(__xludf.DUMMYFUNCTION("""COMPUTED_VALUE"""),500000.0)</f>
        <v>500000</v>
      </c>
      <c r="G4893" s="22">
        <f>IFERROR(__xludf.DUMMYFUNCTION("""COMPUTED_VALUE"""),0.0)</f>
        <v>0</v>
      </c>
      <c r="H4893" s="22">
        <f>IFERROR(__xludf.DUMMYFUNCTION("""COMPUTED_VALUE"""),442901.479)</f>
        <v>442901.479</v>
      </c>
      <c r="I4893" s="24">
        <f>IFERROR(__xludf.DUMMYFUNCTION("""COMPUTED_VALUE"""),-0.11419704200000003)</f>
        <v>-0.114197042</v>
      </c>
    </row>
    <row r="4894">
      <c r="A4894" s="5" t="str">
        <f>IFERROR(__xludf.DUMMYFUNCTION("""COMPUTED_VALUE"""),"70628")</f>
        <v>70628</v>
      </c>
      <c r="B4894" s="64">
        <f>IFERROR(__xludf.DUMMYFUNCTION("""COMPUTED_VALUE"""),44662.0)</f>
        <v>44662</v>
      </c>
      <c r="C4894" s="5"/>
      <c r="D4894" s="5"/>
      <c r="E4894" s="5"/>
      <c r="F4894" s="22">
        <f>IFERROR(__xludf.DUMMYFUNCTION("""COMPUTED_VALUE"""),500000.0)</f>
        <v>500000</v>
      </c>
      <c r="G4894" s="22">
        <f>IFERROR(__xludf.DUMMYFUNCTION("""COMPUTED_VALUE"""),0.0)</f>
        <v>0</v>
      </c>
      <c r="H4894" s="22">
        <f>IFERROR(__xludf.DUMMYFUNCTION("""COMPUTED_VALUE"""),422886.988)</f>
        <v>422886.988</v>
      </c>
      <c r="I4894" s="24">
        <f>IFERROR(__xludf.DUMMYFUNCTION("""COMPUTED_VALUE"""),-0.15422602399999996)</f>
        <v>-0.154226024</v>
      </c>
    </row>
    <row r="4895">
      <c r="A4895" s="5" t="str">
        <f>IFERROR(__xludf.DUMMYFUNCTION("""COMPUTED_VALUE"""),"70628")</f>
        <v>70628</v>
      </c>
      <c r="B4895" s="64">
        <f>IFERROR(__xludf.DUMMYFUNCTION("""COMPUTED_VALUE"""),44663.0)</f>
        <v>44663</v>
      </c>
      <c r="C4895" s="5"/>
      <c r="D4895" s="5"/>
      <c r="E4895" s="5"/>
      <c r="F4895" s="22">
        <f>IFERROR(__xludf.DUMMYFUNCTION("""COMPUTED_VALUE"""),500000.0)</f>
        <v>500000</v>
      </c>
      <c r="G4895" s="22">
        <f>IFERROR(__xludf.DUMMYFUNCTION("""COMPUTED_VALUE"""),0.0)</f>
        <v>0</v>
      </c>
      <c r="H4895" s="22">
        <f>IFERROR(__xludf.DUMMYFUNCTION("""COMPUTED_VALUE"""),420968.673)</f>
        <v>420968.673</v>
      </c>
      <c r="I4895" s="24">
        <f>IFERROR(__xludf.DUMMYFUNCTION("""COMPUTED_VALUE"""),-0.15806265399999997)</f>
        <v>-0.158062654</v>
      </c>
    </row>
    <row r="4896">
      <c r="A4896" s="5" t="str">
        <f>IFERROR(__xludf.DUMMYFUNCTION("""COMPUTED_VALUE"""),"71502")</f>
        <v>71502</v>
      </c>
      <c r="B4896" s="64">
        <f>IFERROR(__xludf.DUMMYFUNCTION("""COMPUTED_VALUE"""),44597.0)</f>
        <v>44597</v>
      </c>
      <c r="C4896" s="5"/>
      <c r="D4896" s="5"/>
      <c r="E4896" s="5"/>
      <c r="F4896" s="22">
        <f>IFERROR(__xludf.DUMMYFUNCTION("""COMPUTED_VALUE"""),500000.0)</f>
        <v>500000</v>
      </c>
      <c r="G4896" s="22">
        <f>IFERROR(__xludf.DUMMYFUNCTION("""COMPUTED_VALUE"""),0.0)</f>
        <v>0</v>
      </c>
      <c r="H4896" s="22">
        <f>IFERROR(__xludf.DUMMYFUNCTION("""COMPUTED_VALUE"""),500000.0)</f>
        <v>500000</v>
      </c>
      <c r="I4896" s="24">
        <f>IFERROR(__xludf.DUMMYFUNCTION("""COMPUTED_VALUE"""),0.0)</f>
        <v>0</v>
      </c>
    </row>
    <row r="4897">
      <c r="A4897" s="5" t="str">
        <f>IFERROR(__xludf.DUMMYFUNCTION("""COMPUTED_VALUE"""),"71502")</f>
        <v>71502</v>
      </c>
      <c r="B4897" s="64">
        <f>IFERROR(__xludf.DUMMYFUNCTION("""COMPUTED_VALUE"""),44598.0)</f>
        <v>44598</v>
      </c>
      <c r="C4897" s="5"/>
      <c r="D4897" s="5"/>
      <c r="E4897" s="5"/>
      <c r="F4897" s="22">
        <f>IFERROR(__xludf.DUMMYFUNCTION("""COMPUTED_VALUE"""),500000.0)</f>
        <v>500000</v>
      </c>
      <c r="G4897" s="22">
        <f>IFERROR(__xludf.DUMMYFUNCTION("""COMPUTED_VALUE"""),0.0)</f>
        <v>0</v>
      </c>
      <c r="H4897" s="22">
        <f>IFERROR(__xludf.DUMMYFUNCTION("""COMPUTED_VALUE"""),500000.0)</f>
        <v>500000</v>
      </c>
      <c r="I4897" s="24">
        <f>IFERROR(__xludf.DUMMYFUNCTION("""COMPUTED_VALUE"""),0.0)</f>
        <v>0</v>
      </c>
    </row>
    <row r="4898">
      <c r="A4898" s="5" t="str">
        <f>IFERROR(__xludf.DUMMYFUNCTION("""COMPUTED_VALUE"""),"71502")</f>
        <v>71502</v>
      </c>
      <c r="B4898" s="64">
        <f>IFERROR(__xludf.DUMMYFUNCTION("""COMPUTED_VALUE"""),44599.0)</f>
        <v>44599</v>
      </c>
      <c r="C4898" s="5"/>
      <c r="D4898" s="5"/>
      <c r="E4898" s="5"/>
      <c r="F4898" s="22">
        <f>IFERROR(__xludf.DUMMYFUNCTION("""COMPUTED_VALUE"""),500000.0)</f>
        <v>500000</v>
      </c>
      <c r="G4898" s="22">
        <f>IFERROR(__xludf.DUMMYFUNCTION("""COMPUTED_VALUE"""),0.0)</f>
        <v>0</v>
      </c>
      <c r="H4898" s="22">
        <f>IFERROR(__xludf.DUMMYFUNCTION("""COMPUTED_VALUE"""),500000.0)</f>
        <v>500000</v>
      </c>
      <c r="I4898" s="24">
        <f>IFERROR(__xludf.DUMMYFUNCTION("""COMPUTED_VALUE"""),0.0)</f>
        <v>0</v>
      </c>
    </row>
    <row r="4899">
      <c r="A4899" s="5" t="str">
        <f>IFERROR(__xludf.DUMMYFUNCTION("""COMPUTED_VALUE"""),"71502")</f>
        <v>71502</v>
      </c>
      <c r="B4899" s="64">
        <f>IFERROR(__xludf.DUMMYFUNCTION("""COMPUTED_VALUE"""),44600.0)</f>
        <v>44600</v>
      </c>
      <c r="C4899" s="5"/>
      <c r="D4899" s="5"/>
      <c r="E4899" s="5"/>
      <c r="F4899" s="22">
        <f>IFERROR(__xludf.DUMMYFUNCTION("""COMPUTED_VALUE"""),500000.0)</f>
        <v>500000</v>
      </c>
      <c r="G4899" s="22">
        <f>IFERROR(__xludf.DUMMYFUNCTION("""COMPUTED_VALUE"""),0.0)</f>
        <v>0</v>
      </c>
      <c r="H4899" s="22">
        <f>IFERROR(__xludf.DUMMYFUNCTION("""COMPUTED_VALUE"""),500000.0)</f>
        <v>500000</v>
      </c>
      <c r="I4899" s="24">
        <f>IFERROR(__xludf.DUMMYFUNCTION("""COMPUTED_VALUE"""),0.0)</f>
        <v>0</v>
      </c>
    </row>
    <row r="4900">
      <c r="A4900" s="5" t="str">
        <f>IFERROR(__xludf.DUMMYFUNCTION("""COMPUTED_VALUE"""),"71502")</f>
        <v>71502</v>
      </c>
      <c r="B4900" s="64">
        <f>IFERROR(__xludf.DUMMYFUNCTION("""COMPUTED_VALUE"""),44601.0)</f>
        <v>44601</v>
      </c>
      <c r="C4900" s="5"/>
      <c r="D4900" s="5"/>
      <c r="E4900" s="5"/>
      <c r="F4900" s="22">
        <f>IFERROR(__xludf.DUMMYFUNCTION("""COMPUTED_VALUE"""),500000.0)</f>
        <v>500000</v>
      </c>
      <c r="G4900" s="22">
        <f>IFERROR(__xludf.DUMMYFUNCTION("""COMPUTED_VALUE"""),0.0)</f>
        <v>0</v>
      </c>
      <c r="H4900" s="22">
        <f>IFERROR(__xludf.DUMMYFUNCTION("""COMPUTED_VALUE"""),500000.0)</f>
        <v>500000</v>
      </c>
      <c r="I4900" s="24">
        <f>IFERROR(__xludf.DUMMYFUNCTION("""COMPUTED_VALUE"""),0.0)</f>
        <v>0</v>
      </c>
    </row>
    <row r="4901">
      <c r="A4901" s="5" t="str">
        <f>IFERROR(__xludf.DUMMYFUNCTION("""COMPUTED_VALUE"""),"71502")</f>
        <v>71502</v>
      </c>
      <c r="B4901" s="64">
        <f>IFERROR(__xludf.DUMMYFUNCTION("""COMPUTED_VALUE"""),44602.0)</f>
        <v>44602</v>
      </c>
      <c r="C4901" s="5"/>
      <c r="D4901" s="5"/>
      <c r="E4901" s="5"/>
      <c r="F4901" s="22">
        <f>IFERROR(__xludf.DUMMYFUNCTION("""COMPUTED_VALUE"""),500000.0)</f>
        <v>500000</v>
      </c>
      <c r="G4901" s="22">
        <f>IFERROR(__xludf.DUMMYFUNCTION("""COMPUTED_VALUE"""),0.0)</f>
        <v>0</v>
      </c>
      <c r="H4901" s="22">
        <f>IFERROR(__xludf.DUMMYFUNCTION("""COMPUTED_VALUE"""),500000.0)</f>
        <v>500000</v>
      </c>
      <c r="I4901" s="24">
        <f>IFERROR(__xludf.DUMMYFUNCTION("""COMPUTED_VALUE"""),0.0)</f>
        <v>0</v>
      </c>
    </row>
    <row r="4902">
      <c r="A4902" s="5" t="str">
        <f>IFERROR(__xludf.DUMMYFUNCTION("""COMPUTED_VALUE"""),"71502")</f>
        <v>71502</v>
      </c>
      <c r="B4902" s="64">
        <f>IFERROR(__xludf.DUMMYFUNCTION("""COMPUTED_VALUE"""),44603.0)</f>
        <v>44603</v>
      </c>
      <c r="C4902" s="5"/>
      <c r="D4902" s="5"/>
      <c r="E4902" s="5"/>
      <c r="F4902" s="22">
        <f>IFERROR(__xludf.DUMMYFUNCTION("""COMPUTED_VALUE"""),500000.0)</f>
        <v>500000</v>
      </c>
      <c r="G4902" s="22">
        <f>IFERROR(__xludf.DUMMYFUNCTION("""COMPUTED_VALUE"""),0.0)</f>
        <v>0</v>
      </c>
      <c r="H4902" s="22">
        <f>IFERROR(__xludf.DUMMYFUNCTION("""COMPUTED_VALUE"""),500000.0)</f>
        <v>500000</v>
      </c>
      <c r="I4902" s="24">
        <f>IFERROR(__xludf.DUMMYFUNCTION("""COMPUTED_VALUE"""),0.0)</f>
        <v>0</v>
      </c>
    </row>
    <row r="4903">
      <c r="A4903" s="5" t="str">
        <f>IFERROR(__xludf.DUMMYFUNCTION("""COMPUTED_VALUE"""),"71502")</f>
        <v>71502</v>
      </c>
      <c r="B4903" s="64">
        <f>IFERROR(__xludf.DUMMYFUNCTION("""COMPUTED_VALUE"""),44604.0)</f>
        <v>44604</v>
      </c>
      <c r="C4903" s="5"/>
      <c r="D4903" s="5"/>
      <c r="E4903" s="5"/>
      <c r="F4903" s="22">
        <f>IFERROR(__xludf.DUMMYFUNCTION("""COMPUTED_VALUE"""),500000.0)</f>
        <v>500000</v>
      </c>
      <c r="G4903" s="22">
        <f>IFERROR(__xludf.DUMMYFUNCTION("""COMPUTED_VALUE"""),0.0)</f>
        <v>0</v>
      </c>
      <c r="H4903" s="22">
        <f>IFERROR(__xludf.DUMMYFUNCTION("""COMPUTED_VALUE"""),500000.0)</f>
        <v>500000</v>
      </c>
      <c r="I4903" s="24">
        <f>IFERROR(__xludf.DUMMYFUNCTION("""COMPUTED_VALUE"""),0.0)</f>
        <v>0</v>
      </c>
    </row>
    <row r="4904">
      <c r="A4904" s="5" t="str">
        <f>IFERROR(__xludf.DUMMYFUNCTION("""COMPUTED_VALUE"""),"71502")</f>
        <v>71502</v>
      </c>
      <c r="B4904" s="64">
        <f>IFERROR(__xludf.DUMMYFUNCTION("""COMPUTED_VALUE"""),44605.0)</f>
        <v>44605</v>
      </c>
      <c r="C4904" s="5"/>
      <c r="D4904" s="5"/>
      <c r="E4904" s="5"/>
      <c r="F4904" s="22">
        <f>IFERROR(__xludf.DUMMYFUNCTION("""COMPUTED_VALUE"""),500000.0)</f>
        <v>500000</v>
      </c>
      <c r="G4904" s="22">
        <f>IFERROR(__xludf.DUMMYFUNCTION("""COMPUTED_VALUE"""),0.0)</f>
        <v>0</v>
      </c>
      <c r="H4904" s="22">
        <f>IFERROR(__xludf.DUMMYFUNCTION("""COMPUTED_VALUE"""),500000.0)</f>
        <v>500000</v>
      </c>
      <c r="I4904" s="24">
        <f>IFERROR(__xludf.DUMMYFUNCTION("""COMPUTED_VALUE"""),0.0)</f>
        <v>0</v>
      </c>
    </row>
    <row r="4905">
      <c r="A4905" s="5" t="str">
        <f>IFERROR(__xludf.DUMMYFUNCTION("""COMPUTED_VALUE"""),"71502")</f>
        <v>71502</v>
      </c>
      <c r="B4905" s="64">
        <f>IFERROR(__xludf.DUMMYFUNCTION("""COMPUTED_VALUE"""),44606.0)</f>
        <v>44606</v>
      </c>
      <c r="C4905" s="5"/>
      <c r="D4905" s="5"/>
      <c r="E4905" s="5"/>
      <c r="F4905" s="22">
        <f>IFERROR(__xludf.DUMMYFUNCTION("""COMPUTED_VALUE"""),500000.0)</f>
        <v>500000</v>
      </c>
      <c r="G4905" s="22">
        <f>IFERROR(__xludf.DUMMYFUNCTION("""COMPUTED_VALUE"""),0.0)</f>
        <v>0</v>
      </c>
      <c r="H4905" s="22">
        <f>IFERROR(__xludf.DUMMYFUNCTION("""COMPUTED_VALUE"""),500000.0)</f>
        <v>500000</v>
      </c>
      <c r="I4905" s="24">
        <f>IFERROR(__xludf.DUMMYFUNCTION("""COMPUTED_VALUE"""),0.0)</f>
        <v>0</v>
      </c>
    </row>
    <row r="4906">
      <c r="A4906" s="5" t="str">
        <f>IFERROR(__xludf.DUMMYFUNCTION("""COMPUTED_VALUE"""),"71502")</f>
        <v>71502</v>
      </c>
      <c r="B4906" s="64">
        <f>IFERROR(__xludf.DUMMYFUNCTION("""COMPUTED_VALUE"""),44607.0)</f>
        <v>44607</v>
      </c>
      <c r="C4906" s="5"/>
      <c r="D4906" s="5"/>
      <c r="E4906" s="5"/>
      <c r="F4906" s="22">
        <f>IFERROR(__xludf.DUMMYFUNCTION("""COMPUTED_VALUE"""),500000.0)</f>
        <v>500000</v>
      </c>
      <c r="G4906" s="22">
        <f>IFERROR(__xludf.DUMMYFUNCTION("""COMPUTED_VALUE"""),0.0)</f>
        <v>0</v>
      </c>
      <c r="H4906" s="22">
        <f>IFERROR(__xludf.DUMMYFUNCTION("""COMPUTED_VALUE"""),500000.0)</f>
        <v>500000</v>
      </c>
      <c r="I4906" s="24">
        <f>IFERROR(__xludf.DUMMYFUNCTION("""COMPUTED_VALUE"""),0.0)</f>
        <v>0</v>
      </c>
    </row>
    <row r="4907">
      <c r="A4907" s="5" t="str">
        <f>IFERROR(__xludf.DUMMYFUNCTION("""COMPUTED_VALUE"""),"71502")</f>
        <v>71502</v>
      </c>
      <c r="B4907" s="64">
        <f>IFERROR(__xludf.DUMMYFUNCTION("""COMPUTED_VALUE"""),44608.0)</f>
        <v>44608</v>
      </c>
      <c r="C4907" s="5"/>
      <c r="D4907" s="5"/>
      <c r="E4907" s="5"/>
      <c r="F4907" s="22">
        <f>IFERROR(__xludf.DUMMYFUNCTION("""COMPUTED_VALUE"""),500000.0)</f>
        <v>500000</v>
      </c>
      <c r="G4907" s="22">
        <f>IFERROR(__xludf.DUMMYFUNCTION("""COMPUTED_VALUE"""),0.0)</f>
        <v>0</v>
      </c>
      <c r="H4907" s="22">
        <f>IFERROR(__xludf.DUMMYFUNCTION("""COMPUTED_VALUE"""),500000.0)</f>
        <v>500000</v>
      </c>
      <c r="I4907" s="24">
        <f>IFERROR(__xludf.DUMMYFUNCTION("""COMPUTED_VALUE"""),0.0)</f>
        <v>0</v>
      </c>
    </row>
    <row r="4908">
      <c r="A4908" s="5" t="str">
        <f>IFERROR(__xludf.DUMMYFUNCTION("""COMPUTED_VALUE"""),"71502")</f>
        <v>71502</v>
      </c>
      <c r="B4908" s="64">
        <f>IFERROR(__xludf.DUMMYFUNCTION("""COMPUTED_VALUE"""),44609.0)</f>
        <v>44609</v>
      </c>
      <c r="C4908" s="5"/>
      <c r="D4908" s="5"/>
      <c r="E4908" s="5"/>
      <c r="F4908" s="22">
        <f>IFERROR(__xludf.DUMMYFUNCTION("""COMPUTED_VALUE"""),500000.0)</f>
        <v>500000</v>
      </c>
      <c r="G4908" s="22">
        <f>IFERROR(__xludf.DUMMYFUNCTION("""COMPUTED_VALUE"""),0.0)</f>
        <v>0</v>
      </c>
      <c r="H4908" s="22">
        <f>IFERROR(__xludf.DUMMYFUNCTION("""COMPUTED_VALUE"""),500000.0)</f>
        <v>500000</v>
      </c>
      <c r="I4908" s="24">
        <f>IFERROR(__xludf.DUMMYFUNCTION("""COMPUTED_VALUE"""),0.0)</f>
        <v>0</v>
      </c>
    </row>
    <row r="4909">
      <c r="A4909" s="5" t="str">
        <f>IFERROR(__xludf.DUMMYFUNCTION("""COMPUTED_VALUE"""),"71502")</f>
        <v>71502</v>
      </c>
      <c r="B4909" s="64">
        <f>IFERROR(__xludf.DUMMYFUNCTION("""COMPUTED_VALUE"""),44610.0)</f>
        <v>44610</v>
      </c>
      <c r="C4909" s="5"/>
      <c r="D4909" s="5"/>
      <c r="E4909" s="5"/>
      <c r="F4909" s="22">
        <f>IFERROR(__xludf.DUMMYFUNCTION("""COMPUTED_VALUE"""),500000.0)</f>
        <v>500000</v>
      </c>
      <c r="G4909" s="22">
        <f>IFERROR(__xludf.DUMMYFUNCTION("""COMPUTED_VALUE"""),0.0)</f>
        <v>0</v>
      </c>
      <c r="H4909" s="22">
        <f>IFERROR(__xludf.DUMMYFUNCTION("""COMPUTED_VALUE"""),500000.0)</f>
        <v>500000</v>
      </c>
      <c r="I4909" s="24">
        <f>IFERROR(__xludf.DUMMYFUNCTION("""COMPUTED_VALUE"""),0.0)</f>
        <v>0</v>
      </c>
    </row>
    <row r="4910">
      <c r="A4910" s="5" t="str">
        <f>IFERROR(__xludf.DUMMYFUNCTION("""COMPUTED_VALUE"""),"71502")</f>
        <v>71502</v>
      </c>
      <c r="B4910" s="64">
        <f>IFERROR(__xludf.DUMMYFUNCTION("""COMPUTED_VALUE"""),44611.0)</f>
        <v>44611</v>
      </c>
      <c r="C4910" s="5"/>
      <c r="D4910" s="5"/>
      <c r="E4910" s="5"/>
      <c r="F4910" s="22">
        <f>IFERROR(__xludf.DUMMYFUNCTION("""COMPUTED_VALUE"""),500000.0)</f>
        <v>500000</v>
      </c>
      <c r="G4910" s="22">
        <f>IFERROR(__xludf.DUMMYFUNCTION("""COMPUTED_VALUE"""),0.0)</f>
        <v>0</v>
      </c>
      <c r="H4910" s="22">
        <f>IFERROR(__xludf.DUMMYFUNCTION("""COMPUTED_VALUE"""),500000.0)</f>
        <v>500000</v>
      </c>
      <c r="I4910" s="24">
        <f>IFERROR(__xludf.DUMMYFUNCTION("""COMPUTED_VALUE"""),0.0)</f>
        <v>0</v>
      </c>
    </row>
    <row r="4911">
      <c r="A4911" s="5" t="str">
        <f>IFERROR(__xludf.DUMMYFUNCTION("""COMPUTED_VALUE"""),"71502")</f>
        <v>71502</v>
      </c>
      <c r="B4911" s="64">
        <f>IFERROR(__xludf.DUMMYFUNCTION("""COMPUTED_VALUE"""),44612.0)</f>
        <v>44612</v>
      </c>
      <c r="C4911" s="5"/>
      <c r="D4911" s="5"/>
      <c r="E4911" s="5"/>
      <c r="F4911" s="22">
        <f>IFERROR(__xludf.DUMMYFUNCTION("""COMPUTED_VALUE"""),500000.0)</f>
        <v>500000</v>
      </c>
      <c r="G4911" s="22">
        <f>IFERROR(__xludf.DUMMYFUNCTION("""COMPUTED_VALUE"""),0.0)</f>
        <v>0</v>
      </c>
      <c r="H4911" s="22">
        <f>IFERROR(__xludf.DUMMYFUNCTION("""COMPUTED_VALUE"""),500000.0)</f>
        <v>500000</v>
      </c>
      <c r="I4911" s="24">
        <f>IFERROR(__xludf.DUMMYFUNCTION("""COMPUTED_VALUE"""),0.0)</f>
        <v>0</v>
      </c>
    </row>
    <row r="4912">
      <c r="A4912" s="5" t="str">
        <f>IFERROR(__xludf.DUMMYFUNCTION("""COMPUTED_VALUE"""),"71502")</f>
        <v>71502</v>
      </c>
      <c r="B4912" s="64">
        <f>IFERROR(__xludf.DUMMYFUNCTION("""COMPUTED_VALUE"""),44613.0)</f>
        <v>44613</v>
      </c>
      <c r="C4912" s="5"/>
      <c r="D4912" s="5"/>
      <c r="E4912" s="5"/>
      <c r="F4912" s="22">
        <f>IFERROR(__xludf.DUMMYFUNCTION("""COMPUTED_VALUE"""),500000.0)</f>
        <v>500000</v>
      </c>
      <c r="G4912" s="22">
        <f>IFERROR(__xludf.DUMMYFUNCTION("""COMPUTED_VALUE"""),0.0)</f>
        <v>0</v>
      </c>
      <c r="H4912" s="22">
        <f>IFERROR(__xludf.DUMMYFUNCTION("""COMPUTED_VALUE"""),500000.0)</f>
        <v>500000</v>
      </c>
      <c r="I4912" s="24">
        <f>IFERROR(__xludf.DUMMYFUNCTION("""COMPUTED_VALUE"""),0.0)</f>
        <v>0</v>
      </c>
    </row>
    <row r="4913">
      <c r="A4913" s="5" t="str">
        <f>IFERROR(__xludf.DUMMYFUNCTION("""COMPUTED_VALUE"""),"71502")</f>
        <v>71502</v>
      </c>
      <c r="B4913" s="64">
        <f>IFERROR(__xludf.DUMMYFUNCTION("""COMPUTED_VALUE"""),44614.0)</f>
        <v>44614</v>
      </c>
      <c r="C4913" s="5"/>
      <c r="D4913" s="5"/>
      <c r="E4913" s="5"/>
      <c r="F4913" s="22">
        <f>IFERROR(__xludf.DUMMYFUNCTION("""COMPUTED_VALUE"""),500000.0)</f>
        <v>500000</v>
      </c>
      <c r="G4913" s="22">
        <f>IFERROR(__xludf.DUMMYFUNCTION("""COMPUTED_VALUE"""),0.0)</f>
        <v>0</v>
      </c>
      <c r="H4913" s="22">
        <f>IFERROR(__xludf.DUMMYFUNCTION("""COMPUTED_VALUE"""),500000.0)</f>
        <v>500000</v>
      </c>
      <c r="I4913" s="24">
        <f>IFERROR(__xludf.DUMMYFUNCTION("""COMPUTED_VALUE"""),0.0)</f>
        <v>0</v>
      </c>
    </row>
    <row r="4914">
      <c r="A4914" s="5" t="str">
        <f>IFERROR(__xludf.DUMMYFUNCTION("""COMPUTED_VALUE"""),"71502")</f>
        <v>71502</v>
      </c>
      <c r="B4914" s="64">
        <f>IFERROR(__xludf.DUMMYFUNCTION("""COMPUTED_VALUE"""),44615.0)</f>
        <v>44615</v>
      </c>
      <c r="C4914" s="5"/>
      <c r="D4914" s="5"/>
      <c r="E4914" s="5"/>
      <c r="F4914" s="22">
        <f>IFERROR(__xludf.DUMMYFUNCTION("""COMPUTED_VALUE"""),500000.0)</f>
        <v>500000</v>
      </c>
      <c r="G4914" s="22">
        <f>IFERROR(__xludf.DUMMYFUNCTION("""COMPUTED_VALUE"""),0.0)</f>
        <v>0</v>
      </c>
      <c r="H4914" s="22">
        <f>IFERROR(__xludf.DUMMYFUNCTION("""COMPUTED_VALUE"""),500000.0)</f>
        <v>500000</v>
      </c>
      <c r="I4914" s="24">
        <f>IFERROR(__xludf.DUMMYFUNCTION("""COMPUTED_VALUE"""),0.0)</f>
        <v>0</v>
      </c>
    </row>
    <row r="4915">
      <c r="A4915" s="5" t="str">
        <f>IFERROR(__xludf.DUMMYFUNCTION("""COMPUTED_VALUE"""),"71502")</f>
        <v>71502</v>
      </c>
      <c r="B4915" s="64">
        <f>IFERROR(__xludf.DUMMYFUNCTION("""COMPUTED_VALUE"""),44616.0)</f>
        <v>44616</v>
      </c>
      <c r="C4915" s="5"/>
      <c r="D4915" s="5"/>
      <c r="E4915" s="5"/>
      <c r="F4915" s="22">
        <f>IFERROR(__xludf.DUMMYFUNCTION("""COMPUTED_VALUE"""),500000.0)</f>
        <v>500000</v>
      </c>
      <c r="G4915" s="22">
        <f>IFERROR(__xludf.DUMMYFUNCTION("""COMPUTED_VALUE"""),0.0)</f>
        <v>0</v>
      </c>
      <c r="H4915" s="22">
        <f>IFERROR(__xludf.DUMMYFUNCTION("""COMPUTED_VALUE"""),500000.0)</f>
        <v>500000</v>
      </c>
      <c r="I4915" s="24">
        <f>IFERROR(__xludf.DUMMYFUNCTION("""COMPUTED_VALUE"""),0.0)</f>
        <v>0</v>
      </c>
    </row>
    <row r="4916">
      <c r="A4916" s="5" t="str">
        <f>IFERROR(__xludf.DUMMYFUNCTION("""COMPUTED_VALUE"""),"71502")</f>
        <v>71502</v>
      </c>
      <c r="B4916" s="64">
        <f>IFERROR(__xludf.DUMMYFUNCTION("""COMPUTED_VALUE"""),44617.0)</f>
        <v>44617</v>
      </c>
      <c r="C4916" s="5"/>
      <c r="D4916" s="5"/>
      <c r="E4916" s="5"/>
      <c r="F4916" s="22">
        <f>IFERROR(__xludf.DUMMYFUNCTION("""COMPUTED_VALUE"""),500000.0)</f>
        <v>500000</v>
      </c>
      <c r="G4916" s="22">
        <f>IFERROR(__xludf.DUMMYFUNCTION("""COMPUTED_VALUE"""),0.0)</f>
        <v>0</v>
      </c>
      <c r="H4916" s="22">
        <f>IFERROR(__xludf.DUMMYFUNCTION("""COMPUTED_VALUE"""),500000.0)</f>
        <v>500000</v>
      </c>
      <c r="I4916" s="24">
        <f>IFERROR(__xludf.DUMMYFUNCTION("""COMPUTED_VALUE"""),0.0)</f>
        <v>0</v>
      </c>
    </row>
    <row r="4917">
      <c r="A4917" s="5" t="str">
        <f>IFERROR(__xludf.DUMMYFUNCTION("""COMPUTED_VALUE"""),"71502")</f>
        <v>71502</v>
      </c>
      <c r="B4917" s="64">
        <f>IFERROR(__xludf.DUMMYFUNCTION("""COMPUTED_VALUE"""),44618.0)</f>
        <v>44618</v>
      </c>
      <c r="C4917" s="5"/>
      <c r="D4917" s="5"/>
      <c r="E4917" s="5"/>
      <c r="F4917" s="22">
        <f>IFERROR(__xludf.DUMMYFUNCTION("""COMPUTED_VALUE"""),500000.0)</f>
        <v>500000</v>
      </c>
      <c r="G4917" s="22">
        <f>IFERROR(__xludf.DUMMYFUNCTION("""COMPUTED_VALUE"""),0.0)</f>
        <v>0</v>
      </c>
      <c r="H4917" s="22">
        <f>IFERROR(__xludf.DUMMYFUNCTION("""COMPUTED_VALUE"""),500000.0)</f>
        <v>500000</v>
      </c>
      <c r="I4917" s="24">
        <f>IFERROR(__xludf.DUMMYFUNCTION("""COMPUTED_VALUE"""),0.0)</f>
        <v>0</v>
      </c>
    </row>
    <row r="4918">
      <c r="A4918" s="5" t="str">
        <f>IFERROR(__xludf.DUMMYFUNCTION("""COMPUTED_VALUE"""),"71502")</f>
        <v>71502</v>
      </c>
      <c r="B4918" s="64">
        <f>IFERROR(__xludf.DUMMYFUNCTION("""COMPUTED_VALUE"""),44619.0)</f>
        <v>44619</v>
      </c>
      <c r="C4918" s="5"/>
      <c r="D4918" s="5"/>
      <c r="E4918" s="5"/>
      <c r="F4918" s="22">
        <f>IFERROR(__xludf.DUMMYFUNCTION("""COMPUTED_VALUE"""),500000.0)</f>
        <v>500000</v>
      </c>
      <c r="G4918" s="22">
        <f>IFERROR(__xludf.DUMMYFUNCTION("""COMPUTED_VALUE"""),0.0)</f>
        <v>0</v>
      </c>
      <c r="H4918" s="22">
        <f>IFERROR(__xludf.DUMMYFUNCTION("""COMPUTED_VALUE"""),500000.0)</f>
        <v>500000</v>
      </c>
      <c r="I4918" s="24">
        <f>IFERROR(__xludf.DUMMYFUNCTION("""COMPUTED_VALUE"""),0.0)</f>
        <v>0</v>
      </c>
    </row>
    <row r="4919">
      <c r="A4919" s="5" t="str">
        <f>IFERROR(__xludf.DUMMYFUNCTION("""COMPUTED_VALUE"""),"71502")</f>
        <v>71502</v>
      </c>
      <c r="B4919" s="64">
        <f>IFERROR(__xludf.DUMMYFUNCTION("""COMPUTED_VALUE"""),44620.0)</f>
        <v>44620</v>
      </c>
      <c r="C4919" s="5"/>
      <c r="D4919" s="5"/>
      <c r="E4919" s="5"/>
      <c r="F4919" s="22">
        <f>IFERROR(__xludf.DUMMYFUNCTION("""COMPUTED_VALUE"""),500000.0)</f>
        <v>500000</v>
      </c>
      <c r="G4919" s="22">
        <f>IFERROR(__xludf.DUMMYFUNCTION("""COMPUTED_VALUE"""),0.0)</f>
        <v>0</v>
      </c>
      <c r="H4919" s="22">
        <f>IFERROR(__xludf.DUMMYFUNCTION("""COMPUTED_VALUE"""),500000.0)</f>
        <v>500000</v>
      </c>
      <c r="I4919" s="24">
        <f>IFERROR(__xludf.DUMMYFUNCTION("""COMPUTED_VALUE"""),0.0)</f>
        <v>0</v>
      </c>
    </row>
    <row r="4920">
      <c r="A4920" s="5" t="str">
        <f>IFERROR(__xludf.DUMMYFUNCTION("""COMPUTED_VALUE"""),"71502")</f>
        <v>71502</v>
      </c>
      <c r="B4920" s="64">
        <f>IFERROR(__xludf.DUMMYFUNCTION("""COMPUTED_VALUE"""),44621.0)</f>
        <v>44621</v>
      </c>
      <c r="C4920" s="5"/>
      <c r="D4920" s="5"/>
      <c r="E4920" s="5"/>
      <c r="F4920" s="22">
        <f>IFERROR(__xludf.DUMMYFUNCTION("""COMPUTED_VALUE"""),500000.0)</f>
        <v>500000</v>
      </c>
      <c r="G4920" s="22">
        <f>IFERROR(__xludf.DUMMYFUNCTION("""COMPUTED_VALUE"""),0.0)</f>
        <v>0</v>
      </c>
      <c r="H4920" s="22">
        <f>IFERROR(__xludf.DUMMYFUNCTION("""COMPUTED_VALUE"""),500000.0)</f>
        <v>500000</v>
      </c>
      <c r="I4920" s="24">
        <f>IFERROR(__xludf.DUMMYFUNCTION("""COMPUTED_VALUE"""),0.0)</f>
        <v>0</v>
      </c>
    </row>
    <row r="4921">
      <c r="A4921" s="5" t="str">
        <f>IFERROR(__xludf.DUMMYFUNCTION("""COMPUTED_VALUE"""),"71502")</f>
        <v>71502</v>
      </c>
      <c r="B4921" s="64">
        <f>IFERROR(__xludf.DUMMYFUNCTION("""COMPUTED_VALUE"""),44622.0)</f>
        <v>44622</v>
      </c>
      <c r="C4921" s="5"/>
      <c r="D4921" s="5"/>
      <c r="E4921" s="5"/>
      <c r="F4921" s="22">
        <f>IFERROR(__xludf.DUMMYFUNCTION("""COMPUTED_VALUE"""),500000.0)</f>
        <v>500000</v>
      </c>
      <c r="G4921" s="22">
        <f>IFERROR(__xludf.DUMMYFUNCTION("""COMPUTED_VALUE"""),0.0)</f>
        <v>0</v>
      </c>
      <c r="H4921" s="22">
        <f>IFERROR(__xludf.DUMMYFUNCTION("""COMPUTED_VALUE"""),500000.0)</f>
        <v>500000</v>
      </c>
      <c r="I4921" s="24">
        <f>IFERROR(__xludf.DUMMYFUNCTION("""COMPUTED_VALUE"""),0.0)</f>
        <v>0</v>
      </c>
    </row>
    <row r="4922">
      <c r="A4922" s="5" t="str">
        <f>IFERROR(__xludf.DUMMYFUNCTION("""COMPUTED_VALUE"""),"71502")</f>
        <v>71502</v>
      </c>
      <c r="B4922" s="64">
        <f>IFERROR(__xludf.DUMMYFUNCTION("""COMPUTED_VALUE"""),44623.0)</f>
        <v>44623</v>
      </c>
      <c r="C4922" s="5"/>
      <c r="D4922" s="5"/>
      <c r="E4922" s="5"/>
      <c r="F4922" s="22">
        <f>IFERROR(__xludf.DUMMYFUNCTION("""COMPUTED_VALUE"""),500000.0)</f>
        <v>500000</v>
      </c>
      <c r="G4922" s="22">
        <f>IFERROR(__xludf.DUMMYFUNCTION("""COMPUTED_VALUE"""),0.0)</f>
        <v>0</v>
      </c>
      <c r="H4922" s="22">
        <f>IFERROR(__xludf.DUMMYFUNCTION("""COMPUTED_VALUE"""),500000.0)</f>
        <v>500000</v>
      </c>
      <c r="I4922" s="24">
        <f>IFERROR(__xludf.DUMMYFUNCTION("""COMPUTED_VALUE"""),0.0)</f>
        <v>0</v>
      </c>
    </row>
    <row r="4923">
      <c r="A4923" s="5" t="str">
        <f>IFERROR(__xludf.DUMMYFUNCTION("""COMPUTED_VALUE"""),"71502")</f>
        <v>71502</v>
      </c>
      <c r="B4923" s="64">
        <f>IFERROR(__xludf.DUMMYFUNCTION("""COMPUTED_VALUE"""),44624.0)</f>
        <v>44624</v>
      </c>
      <c r="C4923" s="5"/>
      <c r="D4923" s="5"/>
      <c r="E4923" s="5"/>
      <c r="F4923" s="22">
        <f>IFERROR(__xludf.DUMMYFUNCTION("""COMPUTED_VALUE"""),500000.0)</f>
        <v>500000</v>
      </c>
      <c r="G4923" s="22">
        <f>IFERROR(__xludf.DUMMYFUNCTION("""COMPUTED_VALUE"""),0.0)</f>
        <v>0</v>
      </c>
      <c r="H4923" s="22">
        <f>IFERROR(__xludf.DUMMYFUNCTION("""COMPUTED_VALUE"""),500000.0)</f>
        <v>500000</v>
      </c>
      <c r="I4923" s="24">
        <f>IFERROR(__xludf.DUMMYFUNCTION("""COMPUTED_VALUE"""),0.0)</f>
        <v>0</v>
      </c>
    </row>
    <row r="4924">
      <c r="A4924" s="5" t="str">
        <f>IFERROR(__xludf.DUMMYFUNCTION("""COMPUTED_VALUE"""),"71502")</f>
        <v>71502</v>
      </c>
      <c r="B4924" s="64">
        <f>IFERROR(__xludf.DUMMYFUNCTION("""COMPUTED_VALUE"""),44625.0)</f>
        <v>44625</v>
      </c>
      <c r="C4924" s="5"/>
      <c r="D4924" s="5"/>
      <c r="E4924" s="5"/>
      <c r="F4924" s="22">
        <f>IFERROR(__xludf.DUMMYFUNCTION("""COMPUTED_VALUE"""),500000.0)</f>
        <v>500000</v>
      </c>
      <c r="G4924" s="22">
        <f>IFERROR(__xludf.DUMMYFUNCTION("""COMPUTED_VALUE"""),0.0)</f>
        <v>0</v>
      </c>
      <c r="H4924" s="22">
        <f>IFERROR(__xludf.DUMMYFUNCTION("""COMPUTED_VALUE"""),500000.0)</f>
        <v>500000</v>
      </c>
      <c r="I4924" s="24">
        <f>IFERROR(__xludf.DUMMYFUNCTION("""COMPUTED_VALUE"""),0.0)</f>
        <v>0</v>
      </c>
    </row>
    <row r="4925">
      <c r="A4925" s="5" t="str">
        <f>IFERROR(__xludf.DUMMYFUNCTION("""COMPUTED_VALUE"""),"71502")</f>
        <v>71502</v>
      </c>
      <c r="B4925" s="64">
        <f>IFERROR(__xludf.DUMMYFUNCTION("""COMPUTED_VALUE"""),44626.0)</f>
        <v>44626</v>
      </c>
      <c r="C4925" s="5"/>
      <c r="D4925" s="5"/>
      <c r="E4925" s="5"/>
      <c r="F4925" s="22">
        <f>IFERROR(__xludf.DUMMYFUNCTION("""COMPUTED_VALUE"""),500000.0)</f>
        <v>500000</v>
      </c>
      <c r="G4925" s="22">
        <f>IFERROR(__xludf.DUMMYFUNCTION("""COMPUTED_VALUE"""),0.0)</f>
        <v>0</v>
      </c>
      <c r="H4925" s="22">
        <f>IFERROR(__xludf.DUMMYFUNCTION("""COMPUTED_VALUE"""),500000.0)</f>
        <v>500000</v>
      </c>
      <c r="I4925" s="24">
        <f>IFERROR(__xludf.DUMMYFUNCTION("""COMPUTED_VALUE"""),0.0)</f>
        <v>0</v>
      </c>
    </row>
    <row r="4926">
      <c r="A4926" s="5" t="str">
        <f>IFERROR(__xludf.DUMMYFUNCTION("""COMPUTED_VALUE"""),"71502")</f>
        <v>71502</v>
      </c>
      <c r="B4926" s="64">
        <f>IFERROR(__xludf.DUMMYFUNCTION("""COMPUTED_VALUE"""),44627.0)</f>
        <v>44627</v>
      </c>
      <c r="C4926" s="5"/>
      <c r="D4926" s="5"/>
      <c r="E4926" s="5"/>
      <c r="F4926" s="22">
        <f>IFERROR(__xludf.DUMMYFUNCTION("""COMPUTED_VALUE"""),500000.0)</f>
        <v>500000</v>
      </c>
      <c r="G4926" s="22">
        <f>IFERROR(__xludf.DUMMYFUNCTION("""COMPUTED_VALUE"""),0.0)</f>
        <v>0</v>
      </c>
      <c r="H4926" s="22">
        <f>IFERROR(__xludf.DUMMYFUNCTION("""COMPUTED_VALUE"""),500000.0)</f>
        <v>500000</v>
      </c>
      <c r="I4926" s="24">
        <f>IFERROR(__xludf.DUMMYFUNCTION("""COMPUTED_VALUE"""),0.0)</f>
        <v>0</v>
      </c>
    </row>
    <row r="4927">
      <c r="A4927" s="5" t="str">
        <f>IFERROR(__xludf.DUMMYFUNCTION("""COMPUTED_VALUE"""),"71502")</f>
        <v>71502</v>
      </c>
      <c r="B4927" s="64">
        <f>IFERROR(__xludf.DUMMYFUNCTION("""COMPUTED_VALUE"""),44628.0)</f>
        <v>44628</v>
      </c>
      <c r="C4927" s="5"/>
      <c r="D4927" s="5"/>
      <c r="E4927" s="5"/>
      <c r="F4927" s="22">
        <f>IFERROR(__xludf.DUMMYFUNCTION("""COMPUTED_VALUE"""),500000.0)</f>
        <v>500000</v>
      </c>
      <c r="G4927" s="22">
        <f>IFERROR(__xludf.DUMMYFUNCTION("""COMPUTED_VALUE"""),0.0)</f>
        <v>0</v>
      </c>
      <c r="H4927" s="22">
        <f>IFERROR(__xludf.DUMMYFUNCTION("""COMPUTED_VALUE"""),500000.0)</f>
        <v>500000</v>
      </c>
      <c r="I4927" s="24">
        <f>IFERROR(__xludf.DUMMYFUNCTION("""COMPUTED_VALUE"""),0.0)</f>
        <v>0</v>
      </c>
    </row>
    <row r="4928">
      <c r="A4928" s="5" t="str">
        <f>IFERROR(__xludf.DUMMYFUNCTION("""COMPUTED_VALUE"""),"71502")</f>
        <v>71502</v>
      </c>
      <c r="B4928" s="64">
        <f>IFERROR(__xludf.DUMMYFUNCTION("""COMPUTED_VALUE"""),44629.0)</f>
        <v>44629</v>
      </c>
      <c r="C4928" s="5"/>
      <c r="D4928" s="5"/>
      <c r="E4928" s="5"/>
      <c r="F4928" s="22">
        <f>IFERROR(__xludf.DUMMYFUNCTION("""COMPUTED_VALUE"""),500000.0)</f>
        <v>500000</v>
      </c>
      <c r="G4928" s="22">
        <f>IFERROR(__xludf.DUMMYFUNCTION("""COMPUTED_VALUE"""),0.0)</f>
        <v>0</v>
      </c>
      <c r="H4928" s="22">
        <f>IFERROR(__xludf.DUMMYFUNCTION("""COMPUTED_VALUE"""),500000.0)</f>
        <v>500000</v>
      </c>
      <c r="I4928" s="24">
        <f>IFERROR(__xludf.DUMMYFUNCTION("""COMPUTED_VALUE"""),0.0)</f>
        <v>0</v>
      </c>
    </row>
    <row r="4929">
      <c r="A4929" s="5" t="str">
        <f>IFERROR(__xludf.DUMMYFUNCTION("""COMPUTED_VALUE"""),"71502")</f>
        <v>71502</v>
      </c>
      <c r="B4929" s="64">
        <f>IFERROR(__xludf.DUMMYFUNCTION("""COMPUTED_VALUE"""),44630.0)</f>
        <v>44630</v>
      </c>
      <c r="C4929" s="5"/>
      <c r="D4929" s="5"/>
      <c r="E4929" s="5"/>
      <c r="F4929" s="22">
        <f>IFERROR(__xludf.DUMMYFUNCTION("""COMPUTED_VALUE"""),500000.0)</f>
        <v>500000</v>
      </c>
      <c r="G4929" s="22">
        <f>IFERROR(__xludf.DUMMYFUNCTION("""COMPUTED_VALUE"""),0.0)</f>
        <v>0</v>
      </c>
      <c r="H4929" s="22">
        <f>IFERROR(__xludf.DUMMYFUNCTION("""COMPUTED_VALUE"""),500000.0)</f>
        <v>500000</v>
      </c>
      <c r="I4929" s="24">
        <f>IFERROR(__xludf.DUMMYFUNCTION("""COMPUTED_VALUE"""),0.0)</f>
        <v>0</v>
      </c>
    </row>
    <row r="4930">
      <c r="A4930" s="5" t="str">
        <f>IFERROR(__xludf.DUMMYFUNCTION("""COMPUTED_VALUE"""),"71502")</f>
        <v>71502</v>
      </c>
      <c r="B4930" s="64">
        <f>IFERROR(__xludf.DUMMYFUNCTION("""COMPUTED_VALUE"""),44631.0)</f>
        <v>44631</v>
      </c>
      <c r="C4930" s="5"/>
      <c r="D4930" s="5"/>
      <c r="E4930" s="5"/>
      <c r="F4930" s="22">
        <f>IFERROR(__xludf.DUMMYFUNCTION("""COMPUTED_VALUE"""),500000.0)</f>
        <v>500000</v>
      </c>
      <c r="G4930" s="22">
        <f>IFERROR(__xludf.DUMMYFUNCTION("""COMPUTED_VALUE"""),0.0)</f>
        <v>0</v>
      </c>
      <c r="H4930" s="22">
        <f>IFERROR(__xludf.DUMMYFUNCTION("""COMPUTED_VALUE"""),500000.0)</f>
        <v>500000</v>
      </c>
      <c r="I4930" s="24">
        <f>IFERROR(__xludf.DUMMYFUNCTION("""COMPUTED_VALUE"""),0.0)</f>
        <v>0</v>
      </c>
    </row>
    <row r="4931">
      <c r="A4931" s="5" t="str">
        <f>IFERROR(__xludf.DUMMYFUNCTION("""COMPUTED_VALUE"""),"71502")</f>
        <v>71502</v>
      </c>
      <c r="B4931" s="64">
        <f>IFERROR(__xludf.DUMMYFUNCTION("""COMPUTED_VALUE"""),44632.0)</f>
        <v>44632</v>
      </c>
      <c r="C4931" s="5"/>
      <c r="D4931" s="5"/>
      <c r="E4931" s="5"/>
      <c r="F4931" s="22">
        <f>IFERROR(__xludf.DUMMYFUNCTION("""COMPUTED_VALUE"""),500000.0)</f>
        <v>500000</v>
      </c>
      <c r="G4931" s="22">
        <f>IFERROR(__xludf.DUMMYFUNCTION("""COMPUTED_VALUE"""),0.0)</f>
        <v>0</v>
      </c>
      <c r="H4931" s="22">
        <f>IFERROR(__xludf.DUMMYFUNCTION("""COMPUTED_VALUE"""),500000.0)</f>
        <v>500000</v>
      </c>
      <c r="I4931" s="24">
        <f>IFERROR(__xludf.DUMMYFUNCTION("""COMPUTED_VALUE"""),0.0)</f>
        <v>0</v>
      </c>
    </row>
    <row r="4932">
      <c r="A4932" s="5" t="str">
        <f>IFERROR(__xludf.DUMMYFUNCTION("""COMPUTED_VALUE"""),"71502")</f>
        <v>71502</v>
      </c>
      <c r="B4932" s="64">
        <f>IFERROR(__xludf.DUMMYFUNCTION("""COMPUTED_VALUE"""),44633.0)</f>
        <v>44633</v>
      </c>
      <c r="C4932" s="5"/>
      <c r="D4932" s="5"/>
      <c r="E4932" s="5"/>
      <c r="F4932" s="22">
        <f>IFERROR(__xludf.DUMMYFUNCTION("""COMPUTED_VALUE"""),500000.0)</f>
        <v>500000</v>
      </c>
      <c r="G4932" s="22">
        <f>IFERROR(__xludf.DUMMYFUNCTION("""COMPUTED_VALUE"""),0.0)</f>
        <v>0</v>
      </c>
      <c r="H4932" s="22">
        <f>IFERROR(__xludf.DUMMYFUNCTION("""COMPUTED_VALUE"""),500000.0)</f>
        <v>500000</v>
      </c>
      <c r="I4932" s="24">
        <f>IFERROR(__xludf.DUMMYFUNCTION("""COMPUTED_VALUE"""),0.0)</f>
        <v>0</v>
      </c>
    </row>
    <row r="4933">
      <c r="A4933" s="5" t="str">
        <f>IFERROR(__xludf.DUMMYFUNCTION("""COMPUTED_VALUE"""),"71502")</f>
        <v>71502</v>
      </c>
      <c r="B4933" s="64">
        <f>IFERROR(__xludf.DUMMYFUNCTION("""COMPUTED_VALUE"""),44634.0)</f>
        <v>44634</v>
      </c>
      <c r="C4933" s="5"/>
      <c r="D4933" s="5"/>
      <c r="E4933" s="5"/>
      <c r="F4933" s="22">
        <f>IFERROR(__xludf.DUMMYFUNCTION("""COMPUTED_VALUE"""),500000.0)</f>
        <v>500000</v>
      </c>
      <c r="G4933" s="22">
        <f>IFERROR(__xludf.DUMMYFUNCTION("""COMPUTED_VALUE"""),0.0)</f>
        <v>0</v>
      </c>
      <c r="H4933" s="22">
        <f>IFERROR(__xludf.DUMMYFUNCTION("""COMPUTED_VALUE"""),500000.0)</f>
        <v>500000</v>
      </c>
      <c r="I4933" s="24">
        <f>IFERROR(__xludf.DUMMYFUNCTION("""COMPUTED_VALUE"""),0.0)</f>
        <v>0</v>
      </c>
    </row>
    <row r="4934">
      <c r="A4934" s="5" t="str">
        <f>IFERROR(__xludf.DUMMYFUNCTION("""COMPUTED_VALUE"""),"71502")</f>
        <v>71502</v>
      </c>
      <c r="B4934" s="64">
        <f>IFERROR(__xludf.DUMMYFUNCTION("""COMPUTED_VALUE"""),44635.0)</f>
        <v>44635</v>
      </c>
      <c r="C4934" s="5"/>
      <c r="D4934" s="5"/>
      <c r="E4934" s="5"/>
      <c r="F4934" s="22">
        <f>IFERROR(__xludf.DUMMYFUNCTION("""COMPUTED_VALUE"""),500000.0)</f>
        <v>500000</v>
      </c>
      <c r="G4934" s="22">
        <f>IFERROR(__xludf.DUMMYFUNCTION("""COMPUTED_VALUE"""),0.0)</f>
        <v>0</v>
      </c>
      <c r="H4934" s="22">
        <f>IFERROR(__xludf.DUMMYFUNCTION("""COMPUTED_VALUE"""),500000.0)</f>
        <v>500000</v>
      </c>
      <c r="I4934" s="24">
        <f>IFERROR(__xludf.DUMMYFUNCTION("""COMPUTED_VALUE"""),0.0)</f>
        <v>0</v>
      </c>
    </row>
    <row r="4935">
      <c r="A4935" s="5" t="str">
        <f>IFERROR(__xludf.DUMMYFUNCTION("""COMPUTED_VALUE"""),"71502")</f>
        <v>71502</v>
      </c>
      <c r="B4935" s="64">
        <f>IFERROR(__xludf.DUMMYFUNCTION("""COMPUTED_VALUE"""),44636.0)</f>
        <v>44636</v>
      </c>
      <c r="C4935" s="5"/>
      <c r="D4935" s="5"/>
      <c r="E4935" s="5"/>
      <c r="F4935" s="22">
        <f>IFERROR(__xludf.DUMMYFUNCTION("""COMPUTED_VALUE"""),500000.0)</f>
        <v>500000</v>
      </c>
      <c r="G4935" s="22">
        <f>IFERROR(__xludf.DUMMYFUNCTION("""COMPUTED_VALUE"""),0.0)</f>
        <v>0</v>
      </c>
      <c r="H4935" s="22">
        <f>IFERROR(__xludf.DUMMYFUNCTION("""COMPUTED_VALUE"""),500000.0)</f>
        <v>500000</v>
      </c>
      <c r="I4935" s="24">
        <f>IFERROR(__xludf.DUMMYFUNCTION("""COMPUTED_VALUE"""),0.0)</f>
        <v>0</v>
      </c>
    </row>
    <row r="4936">
      <c r="A4936" s="5" t="str">
        <f>IFERROR(__xludf.DUMMYFUNCTION("""COMPUTED_VALUE"""),"71502")</f>
        <v>71502</v>
      </c>
      <c r="B4936" s="64">
        <f>IFERROR(__xludf.DUMMYFUNCTION("""COMPUTED_VALUE"""),44637.0)</f>
        <v>44637</v>
      </c>
      <c r="C4936" s="5"/>
      <c r="D4936" s="5"/>
      <c r="E4936" s="5"/>
      <c r="F4936" s="22">
        <f>IFERROR(__xludf.DUMMYFUNCTION("""COMPUTED_VALUE"""),500000.0)</f>
        <v>500000</v>
      </c>
      <c r="G4936" s="22">
        <f>IFERROR(__xludf.DUMMYFUNCTION("""COMPUTED_VALUE"""),0.0)</f>
        <v>0</v>
      </c>
      <c r="H4936" s="22">
        <f>IFERROR(__xludf.DUMMYFUNCTION("""COMPUTED_VALUE"""),500000.0)</f>
        <v>500000</v>
      </c>
      <c r="I4936" s="24">
        <f>IFERROR(__xludf.DUMMYFUNCTION("""COMPUTED_VALUE"""),0.0)</f>
        <v>0</v>
      </c>
    </row>
    <row r="4937">
      <c r="A4937" s="5" t="str">
        <f>IFERROR(__xludf.DUMMYFUNCTION("""COMPUTED_VALUE"""),"71502")</f>
        <v>71502</v>
      </c>
      <c r="B4937" s="64">
        <f>IFERROR(__xludf.DUMMYFUNCTION("""COMPUTED_VALUE"""),44638.0)</f>
        <v>44638</v>
      </c>
      <c r="C4937" s="5"/>
      <c r="D4937" s="5"/>
      <c r="E4937" s="5"/>
      <c r="F4937" s="22">
        <f>IFERROR(__xludf.DUMMYFUNCTION("""COMPUTED_VALUE"""),500000.0)</f>
        <v>500000</v>
      </c>
      <c r="G4937" s="22">
        <f>IFERROR(__xludf.DUMMYFUNCTION("""COMPUTED_VALUE"""),0.0)</f>
        <v>0</v>
      </c>
      <c r="H4937" s="22">
        <f>IFERROR(__xludf.DUMMYFUNCTION("""COMPUTED_VALUE"""),500000.0)</f>
        <v>500000</v>
      </c>
      <c r="I4937" s="24">
        <f>IFERROR(__xludf.DUMMYFUNCTION("""COMPUTED_VALUE"""),0.0)</f>
        <v>0</v>
      </c>
    </row>
    <row r="4938">
      <c r="A4938" s="5" t="str">
        <f>IFERROR(__xludf.DUMMYFUNCTION("""COMPUTED_VALUE"""),"71502")</f>
        <v>71502</v>
      </c>
      <c r="B4938" s="64">
        <f>IFERROR(__xludf.DUMMYFUNCTION("""COMPUTED_VALUE"""),44639.0)</f>
        <v>44639</v>
      </c>
      <c r="C4938" s="5"/>
      <c r="D4938" s="5"/>
      <c r="E4938" s="5"/>
      <c r="F4938" s="22">
        <f>IFERROR(__xludf.DUMMYFUNCTION("""COMPUTED_VALUE"""),500000.0)</f>
        <v>500000</v>
      </c>
      <c r="G4938" s="22">
        <f>IFERROR(__xludf.DUMMYFUNCTION("""COMPUTED_VALUE"""),0.0)</f>
        <v>0</v>
      </c>
      <c r="H4938" s="22">
        <f>IFERROR(__xludf.DUMMYFUNCTION("""COMPUTED_VALUE"""),500000.0)</f>
        <v>500000</v>
      </c>
      <c r="I4938" s="24">
        <f>IFERROR(__xludf.DUMMYFUNCTION("""COMPUTED_VALUE"""),0.0)</f>
        <v>0</v>
      </c>
    </row>
    <row r="4939">
      <c r="A4939" s="5" t="str">
        <f>IFERROR(__xludf.DUMMYFUNCTION("""COMPUTED_VALUE"""),"71502")</f>
        <v>71502</v>
      </c>
      <c r="B4939" s="64">
        <f>IFERROR(__xludf.DUMMYFUNCTION("""COMPUTED_VALUE"""),44640.0)</f>
        <v>44640</v>
      </c>
      <c r="C4939" s="5"/>
      <c r="D4939" s="5"/>
      <c r="E4939" s="5"/>
      <c r="F4939" s="22">
        <f>IFERROR(__xludf.DUMMYFUNCTION("""COMPUTED_VALUE"""),500000.0)</f>
        <v>500000</v>
      </c>
      <c r="G4939" s="22">
        <f>IFERROR(__xludf.DUMMYFUNCTION("""COMPUTED_VALUE"""),0.0)</f>
        <v>0</v>
      </c>
      <c r="H4939" s="22">
        <f>IFERROR(__xludf.DUMMYFUNCTION("""COMPUTED_VALUE"""),500000.0)</f>
        <v>500000</v>
      </c>
      <c r="I4939" s="24">
        <f>IFERROR(__xludf.DUMMYFUNCTION("""COMPUTED_VALUE"""),0.0)</f>
        <v>0</v>
      </c>
    </row>
    <row r="4940">
      <c r="A4940" s="5" t="str">
        <f>IFERROR(__xludf.DUMMYFUNCTION("""COMPUTED_VALUE"""),"71502")</f>
        <v>71502</v>
      </c>
      <c r="B4940" s="64">
        <f>IFERROR(__xludf.DUMMYFUNCTION("""COMPUTED_VALUE"""),44641.0)</f>
        <v>44641</v>
      </c>
      <c r="C4940" s="5"/>
      <c r="D4940" s="5"/>
      <c r="E4940" s="5"/>
      <c r="F4940" s="22">
        <f>IFERROR(__xludf.DUMMYFUNCTION("""COMPUTED_VALUE"""),500000.0)</f>
        <v>500000</v>
      </c>
      <c r="G4940" s="22">
        <f>IFERROR(__xludf.DUMMYFUNCTION("""COMPUTED_VALUE"""),0.0)</f>
        <v>0</v>
      </c>
      <c r="H4940" s="22">
        <f>IFERROR(__xludf.DUMMYFUNCTION("""COMPUTED_VALUE"""),500000.0)</f>
        <v>500000</v>
      </c>
      <c r="I4940" s="24">
        <f>IFERROR(__xludf.DUMMYFUNCTION("""COMPUTED_VALUE"""),0.0)</f>
        <v>0</v>
      </c>
    </row>
    <row r="4941">
      <c r="A4941" s="5" t="str">
        <f>IFERROR(__xludf.DUMMYFUNCTION("""COMPUTED_VALUE"""),"71502")</f>
        <v>71502</v>
      </c>
      <c r="B4941" s="64">
        <f>IFERROR(__xludf.DUMMYFUNCTION("""COMPUTED_VALUE"""),44642.0)</f>
        <v>44642</v>
      </c>
      <c r="C4941" s="5"/>
      <c r="D4941" s="5"/>
      <c r="E4941" s="5"/>
      <c r="F4941" s="22">
        <f>IFERROR(__xludf.DUMMYFUNCTION("""COMPUTED_VALUE"""),500000.0)</f>
        <v>500000</v>
      </c>
      <c r="G4941" s="22">
        <f>IFERROR(__xludf.DUMMYFUNCTION("""COMPUTED_VALUE"""),0.0)</f>
        <v>0</v>
      </c>
      <c r="H4941" s="22">
        <f>IFERROR(__xludf.DUMMYFUNCTION("""COMPUTED_VALUE"""),500000.0)</f>
        <v>500000</v>
      </c>
      <c r="I4941" s="24">
        <f>IFERROR(__xludf.DUMMYFUNCTION("""COMPUTED_VALUE"""),0.0)</f>
        <v>0</v>
      </c>
    </row>
    <row r="4942">
      <c r="A4942" s="5" t="str">
        <f>IFERROR(__xludf.DUMMYFUNCTION("""COMPUTED_VALUE"""),"71502")</f>
        <v>71502</v>
      </c>
      <c r="B4942" s="64">
        <f>IFERROR(__xludf.DUMMYFUNCTION("""COMPUTED_VALUE"""),44643.0)</f>
        <v>44643</v>
      </c>
      <c r="C4942" s="5"/>
      <c r="D4942" s="5"/>
      <c r="E4942" s="5"/>
      <c r="F4942" s="22">
        <f>IFERROR(__xludf.DUMMYFUNCTION("""COMPUTED_VALUE"""),500000.0)</f>
        <v>500000</v>
      </c>
      <c r="G4942" s="22">
        <f>IFERROR(__xludf.DUMMYFUNCTION("""COMPUTED_VALUE"""),0.0)</f>
        <v>0</v>
      </c>
      <c r="H4942" s="22">
        <f>IFERROR(__xludf.DUMMYFUNCTION("""COMPUTED_VALUE"""),500000.0)</f>
        <v>500000</v>
      </c>
      <c r="I4942" s="24">
        <f>IFERROR(__xludf.DUMMYFUNCTION("""COMPUTED_VALUE"""),0.0)</f>
        <v>0</v>
      </c>
    </row>
    <row r="4943">
      <c r="A4943" s="5" t="str">
        <f>IFERROR(__xludf.DUMMYFUNCTION("""COMPUTED_VALUE"""),"71502")</f>
        <v>71502</v>
      </c>
      <c r="B4943" s="64">
        <f>IFERROR(__xludf.DUMMYFUNCTION("""COMPUTED_VALUE"""),44644.0)</f>
        <v>44644</v>
      </c>
      <c r="C4943" s="5"/>
      <c r="D4943" s="5"/>
      <c r="E4943" s="5"/>
      <c r="F4943" s="22">
        <f>IFERROR(__xludf.DUMMYFUNCTION("""COMPUTED_VALUE"""),500000.0)</f>
        <v>500000</v>
      </c>
      <c r="G4943" s="22">
        <f>IFERROR(__xludf.DUMMYFUNCTION("""COMPUTED_VALUE"""),0.0)</f>
        <v>0</v>
      </c>
      <c r="H4943" s="22">
        <f>IFERROR(__xludf.DUMMYFUNCTION("""COMPUTED_VALUE"""),500000.0)</f>
        <v>500000</v>
      </c>
      <c r="I4943" s="24">
        <f>IFERROR(__xludf.DUMMYFUNCTION("""COMPUTED_VALUE"""),0.0)</f>
        <v>0</v>
      </c>
    </row>
    <row r="4944">
      <c r="A4944" s="5" t="str">
        <f>IFERROR(__xludf.DUMMYFUNCTION("""COMPUTED_VALUE"""),"71502")</f>
        <v>71502</v>
      </c>
      <c r="B4944" s="64">
        <f>IFERROR(__xludf.DUMMYFUNCTION("""COMPUTED_VALUE"""),44645.0)</f>
        <v>44645</v>
      </c>
      <c r="C4944" s="5"/>
      <c r="D4944" s="5"/>
      <c r="E4944" s="5"/>
      <c r="F4944" s="22">
        <f>IFERROR(__xludf.DUMMYFUNCTION("""COMPUTED_VALUE"""),500000.0)</f>
        <v>500000</v>
      </c>
      <c r="G4944" s="22">
        <f>IFERROR(__xludf.DUMMYFUNCTION("""COMPUTED_VALUE"""),0.0)</f>
        <v>0</v>
      </c>
      <c r="H4944" s="22">
        <f>IFERROR(__xludf.DUMMYFUNCTION("""COMPUTED_VALUE"""),500000.0)</f>
        <v>500000</v>
      </c>
      <c r="I4944" s="24">
        <f>IFERROR(__xludf.DUMMYFUNCTION("""COMPUTED_VALUE"""),0.0)</f>
        <v>0</v>
      </c>
    </row>
    <row r="4945">
      <c r="A4945" s="5" t="str">
        <f>IFERROR(__xludf.DUMMYFUNCTION("""COMPUTED_VALUE"""),"71502")</f>
        <v>71502</v>
      </c>
      <c r="B4945" s="64">
        <f>IFERROR(__xludf.DUMMYFUNCTION("""COMPUTED_VALUE"""),44646.0)</f>
        <v>44646</v>
      </c>
      <c r="C4945" s="5"/>
      <c r="D4945" s="5"/>
      <c r="E4945" s="5"/>
      <c r="F4945" s="22">
        <f>IFERROR(__xludf.DUMMYFUNCTION("""COMPUTED_VALUE"""),500000.0)</f>
        <v>500000</v>
      </c>
      <c r="G4945" s="22">
        <f>IFERROR(__xludf.DUMMYFUNCTION("""COMPUTED_VALUE"""),0.0)</f>
        <v>0</v>
      </c>
      <c r="H4945" s="22">
        <f>IFERROR(__xludf.DUMMYFUNCTION("""COMPUTED_VALUE"""),500000.0)</f>
        <v>500000</v>
      </c>
      <c r="I4945" s="24">
        <f>IFERROR(__xludf.DUMMYFUNCTION("""COMPUTED_VALUE"""),0.0)</f>
        <v>0</v>
      </c>
    </row>
    <row r="4946">
      <c r="A4946" s="5" t="str">
        <f>IFERROR(__xludf.DUMMYFUNCTION("""COMPUTED_VALUE"""),"71502")</f>
        <v>71502</v>
      </c>
      <c r="B4946" s="64">
        <f>IFERROR(__xludf.DUMMYFUNCTION("""COMPUTED_VALUE"""),44647.0)</f>
        <v>44647</v>
      </c>
      <c r="C4946" s="5"/>
      <c r="D4946" s="5"/>
      <c r="E4946" s="5"/>
      <c r="F4946" s="22">
        <f>IFERROR(__xludf.DUMMYFUNCTION("""COMPUTED_VALUE"""),500000.0)</f>
        <v>500000</v>
      </c>
      <c r="G4946" s="22">
        <f>IFERROR(__xludf.DUMMYFUNCTION("""COMPUTED_VALUE"""),0.0)</f>
        <v>0</v>
      </c>
      <c r="H4946" s="22">
        <f>IFERROR(__xludf.DUMMYFUNCTION("""COMPUTED_VALUE"""),500000.0)</f>
        <v>500000</v>
      </c>
      <c r="I4946" s="24">
        <f>IFERROR(__xludf.DUMMYFUNCTION("""COMPUTED_VALUE"""),0.0)</f>
        <v>0</v>
      </c>
    </row>
    <row r="4947">
      <c r="A4947" s="5" t="str">
        <f>IFERROR(__xludf.DUMMYFUNCTION("""COMPUTED_VALUE"""),"71502")</f>
        <v>71502</v>
      </c>
      <c r="B4947" s="64">
        <f>IFERROR(__xludf.DUMMYFUNCTION("""COMPUTED_VALUE"""),44648.0)</f>
        <v>44648</v>
      </c>
      <c r="C4947" s="5"/>
      <c r="D4947" s="5"/>
      <c r="E4947" s="5"/>
      <c r="F4947" s="22">
        <f>IFERROR(__xludf.DUMMYFUNCTION("""COMPUTED_VALUE"""),500000.0)</f>
        <v>500000</v>
      </c>
      <c r="G4947" s="22">
        <f>IFERROR(__xludf.DUMMYFUNCTION("""COMPUTED_VALUE"""),0.0)</f>
        <v>0</v>
      </c>
      <c r="H4947" s="22">
        <f>IFERROR(__xludf.DUMMYFUNCTION("""COMPUTED_VALUE"""),500000.0)</f>
        <v>500000</v>
      </c>
      <c r="I4947" s="24">
        <f>IFERROR(__xludf.DUMMYFUNCTION("""COMPUTED_VALUE"""),0.0)</f>
        <v>0</v>
      </c>
    </row>
    <row r="4948">
      <c r="A4948" s="5" t="str">
        <f>IFERROR(__xludf.DUMMYFUNCTION("""COMPUTED_VALUE"""),"71502")</f>
        <v>71502</v>
      </c>
      <c r="B4948" s="64">
        <f>IFERROR(__xludf.DUMMYFUNCTION("""COMPUTED_VALUE"""),44649.0)</f>
        <v>44649</v>
      </c>
      <c r="C4948" s="5"/>
      <c r="D4948" s="5"/>
      <c r="E4948" s="5"/>
      <c r="F4948" s="22">
        <f>IFERROR(__xludf.DUMMYFUNCTION("""COMPUTED_VALUE"""),500000.0)</f>
        <v>500000</v>
      </c>
      <c r="G4948" s="22">
        <f>IFERROR(__xludf.DUMMYFUNCTION("""COMPUTED_VALUE"""),0.0)</f>
        <v>0</v>
      </c>
      <c r="H4948" s="22">
        <f>IFERROR(__xludf.DUMMYFUNCTION("""COMPUTED_VALUE"""),500000.0)</f>
        <v>500000</v>
      </c>
      <c r="I4948" s="24">
        <f>IFERROR(__xludf.DUMMYFUNCTION("""COMPUTED_VALUE"""),0.0)</f>
        <v>0</v>
      </c>
    </row>
    <row r="4949">
      <c r="A4949" s="5" t="str">
        <f>IFERROR(__xludf.DUMMYFUNCTION("""COMPUTED_VALUE"""),"71502")</f>
        <v>71502</v>
      </c>
      <c r="B4949" s="64">
        <f>IFERROR(__xludf.DUMMYFUNCTION("""COMPUTED_VALUE"""),44650.0)</f>
        <v>44650</v>
      </c>
      <c r="C4949" s="5"/>
      <c r="D4949" s="5"/>
      <c r="E4949" s="5"/>
      <c r="F4949" s="22">
        <f>IFERROR(__xludf.DUMMYFUNCTION("""COMPUTED_VALUE"""),500000.0)</f>
        <v>500000</v>
      </c>
      <c r="G4949" s="22">
        <f>IFERROR(__xludf.DUMMYFUNCTION("""COMPUTED_VALUE"""),0.0)</f>
        <v>0</v>
      </c>
      <c r="H4949" s="22">
        <f>IFERROR(__xludf.DUMMYFUNCTION("""COMPUTED_VALUE"""),500000.0)</f>
        <v>500000</v>
      </c>
      <c r="I4949" s="24">
        <f>IFERROR(__xludf.DUMMYFUNCTION("""COMPUTED_VALUE"""),0.0)</f>
        <v>0</v>
      </c>
    </row>
    <row r="4950">
      <c r="A4950" s="5" t="str">
        <f>IFERROR(__xludf.DUMMYFUNCTION("""COMPUTED_VALUE"""),"71502")</f>
        <v>71502</v>
      </c>
      <c r="B4950" s="64">
        <f>IFERROR(__xludf.DUMMYFUNCTION("""COMPUTED_VALUE"""),44651.0)</f>
        <v>44651</v>
      </c>
      <c r="C4950" s="5"/>
      <c r="D4950" s="5"/>
      <c r="E4950" s="5"/>
      <c r="F4950" s="22">
        <f>IFERROR(__xludf.DUMMYFUNCTION("""COMPUTED_VALUE"""),500000.0)</f>
        <v>500000</v>
      </c>
      <c r="G4950" s="22">
        <f>IFERROR(__xludf.DUMMYFUNCTION("""COMPUTED_VALUE"""),0.0)</f>
        <v>0</v>
      </c>
      <c r="H4950" s="22">
        <f>IFERROR(__xludf.DUMMYFUNCTION("""COMPUTED_VALUE"""),495053.178)</f>
        <v>495053.178</v>
      </c>
      <c r="I4950" s="24">
        <f>IFERROR(__xludf.DUMMYFUNCTION("""COMPUTED_VALUE"""),-0.009893643999999924)</f>
        <v>-0.009893644</v>
      </c>
    </row>
    <row r="4951">
      <c r="A4951" s="5" t="str">
        <f>IFERROR(__xludf.DUMMYFUNCTION("""COMPUTED_VALUE"""),"71502")</f>
        <v>71502</v>
      </c>
      <c r="B4951" s="64">
        <f>IFERROR(__xludf.DUMMYFUNCTION("""COMPUTED_VALUE"""),44652.0)</f>
        <v>44652</v>
      </c>
      <c r="C4951" s="5"/>
      <c r="D4951" s="5"/>
      <c r="E4951" s="5"/>
      <c r="F4951" s="22">
        <f>IFERROR(__xludf.DUMMYFUNCTION("""COMPUTED_VALUE"""),500000.0)</f>
        <v>500000</v>
      </c>
      <c r="G4951" s="22">
        <f>IFERROR(__xludf.DUMMYFUNCTION("""COMPUTED_VALUE"""),0.0)</f>
        <v>0</v>
      </c>
      <c r="H4951" s="22">
        <f>IFERROR(__xludf.DUMMYFUNCTION("""COMPUTED_VALUE"""),494583.543)</f>
        <v>494583.543</v>
      </c>
      <c r="I4951" s="24">
        <f>IFERROR(__xludf.DUMMYFUNCTION("""COMPUTED_VALUE"""),-0.010832913999999971)</f>
        <v>-0.010832914</v>
      </c>
    </row>
    <row r="4952">
      <c r="A4952" s="5" t="str">
        <f>IFERROR(__xludf.DUMMYFUNCTION("""COMPUTED_VALUE"""),"71502")</f>
        <v>71502</v>
      </c>
      <c r="B4952" s="64">
        <f>IFERROR(__xludf.DUMMYFUNCTION("""COMPUTED_VALUE"""),44653.0)</f>
        <v>44653</v>
      </c>
      <c r="C4952" s="5"/>
      <c r="D4952" s="5"/>
      <c r="E4952" s="5"/>
      <c r="F4952" s="22">
        <f>IFERROR(__xludf.DUMMYFUNCTION("""COMPUTED_VALUE"""),500000.0)</f>
        <v>500000</v>
      </c>
      <c r="G4952" s="22">
        <f>IFERROR(__xludf.DUMMYFUNCTION("""COMPUTED_VALUE"""),0.0)</f>
        <v>0</v>
      </c>
      <c r="H4952" s="22">
        <f>IFERROR(__xludf.DUMMYFUNCTION("""COMPUTED_VALUE"""),494583.543)</f>
        <v>494583.543</v>
      </c>
      <c r="I4952" s="24">
        <f>IFERROR(__xludf.DUMMYFUNCTION("""COMPUTED_VALUE"""),-0.010832913999999971)</f>
        <v>-0.010832914</v>
      </c>
    </row>
    <row r="4953">
      <c r="A4953" s="5" t="str">
        <f>IFERROR(__xludf.DUMMYFUNCTION("""COMPUTED_VALUE"""),"71502")</f>
        <v>71502</v>
      </c>
      <c r="B4953" s="64">
        <f>IFERROR(__xludf.DUMMYFUNCTION("""COMPUTED_VALUE"""),44654.0)</f>
        <v>44654</v>
      </c>
      <c r="C4953" s="5"/>
      <c r="D4953" s="5"/>
      <c r="E4953" s="5"/>
      <c r="F4953" s="22">
        <f>IFERROR(__xludf.DUMMYFUNCTION("""COMPUTED_VALUE"""),500000.0)</f>
        <v>500000</v>
      </c>
      <c r="G4953" s="22">
        <f>IFERROR(__xludf.DUMMYFUNCTION("""COMPUTED_VALUE"""),0.0)</f>
        <v>0</v>
      </c>
      <c r="H4953" s="22">
        <f>IFERROR(__xludf.DUMMYFUNCTION("""COMPUTED_VALUE"""),494583.543)</f>
        <v>494583.543</v>
      </c>
      <c r="I4953" s="24">
        <f>IFERROR(__xludf.DUMMYFUNCTION("""COMPUTED_VALUE"""),-0.010832913999999971)</f>
        <v>-0.010832914</v>
      </c>
    </row>
    <row r="4954">
      <c r="A4954" s="5" t="str">
        <f>IFERROR(__xludf.DUMMYFUNCTION("""COMPUTED_VALUE"""),"71502")</f>
        <v>71502</v>
      </c>
      <c r="B4954" s="64">
        <f>IFERROR(__xludf.DUMMYFUNCTION("""COMPUTED_VALUE"""),44655.0)</f>
        <v>44655</v>
      </c>
      <c r="C4954" s="5"/>
      <c r="D4954" s="5"/>
      <c r="E4954" s="5"/>
      <c r="F4954" s="22">
        <f>IFERROR(__xludf.DUMMYFUNCTION("""COMPUTED_VALUE"""),500000.0)</f>
        <v>500000</v>
      </c>
      <c r="G4954" s="22">
        <f>IFERROR(__xludf.DUMMYFUNCTION("""COMPUTED_VALUE"""),0.0)</f>
        <v>0</v>
      </c>
      <c r="H4954" s="22">
        <f>IFERROR(__xludf.DUMMYFUNCTION("""COMPUTED_VALUE"""),501048.8515)</f>
        <v>501048.8515</v>
      </c>
      <c r="I4954" s="24">
        <f>IFERROR(__xludf.DUMMYFUNCTION("""COMPUTED_VALUE"""),0.0020977030000000063)</f>
        <v>0.002097703</v>
      </c>
    </row>
    <row r="4955">
      <c r="A4955" s="5" t="str">
        <f>IFERROR(__xludf.DUMMYFUNCTION("""COMPUTED_VALUE"""),"71502")</f>
        <v>71502</v>
      </c>
      <c r="B4955" s="64">
        <f>IFERROR(__xludf.DUMMYFUNCTION("""COMPUTED_VALUE"""),44656.0)</f>
        <v>44656</v>
      </c>
      <c r="C4955" s="5"/>
      <c r="D4955" s="5"/>
      <c r="E4955" s="5"/>
      <c r="F4955" s="22">
        <f>IFERROR(__xludf.DUMMYFUNCTION("""COMPUTED_VALUE"""),500000.0)</f>
        <v>500000</v>
      </c>
      <c r="G4955" s="22">
        <f>IFERROR(__xludf.DUMMYFUNCTION("""COMPUTED_VALUE"""),0.0)</f>
        <v>0</v>
      </c>
      <c r="H4955" s="22">
        <f>IFERROR(__xludf.DUMMYFUNCTION("""COMPUTED_VALUE"""),495757.6305)</f>
        <v>495757.6305</v>
      </c>
      <c r="I4955" s="24">
        <f>IFERROR(__xludf.DUMMYFUNCTION("""COMPUTED_VALUE"""),-0.008484738999999908)</f>
        <v>-0.008484739</v>
      </c>
    </row>
    <row r="4956">
      <c r="A4956" s="5" t="str">
        <f>IFERROR(__xludf.DUMMYFUNCTION("""COMPUTED_VALUE"""),"71502")</f>
        <v>71502</v>
      </c>
      <c r="B4956" s="64">
        <f>IFERROR(__xludf.DUMMYFUNCTION("""COMPUTED_VALUE"""),44657.0)</f>
        <v>44657</v>
      </c>
      <c r="C4956" s="5"/>
      <c r="D4956" s="5"/>
      <c r="E4956" s="5"/>
      <c r="F4956" s="22">
        <f>IFERROR(__xludf.DUMMYFUNCTION("""COMPUTED_VALUE"""),500000.0)</f>
        <v>500000</v>
      </c>
      <c r="G4956" s="22">
        <f>IFERROR(__xludf.DUMMYFUNCTION("""COMPUTED_VALUE"""),0.0)</f>
        <v>0</v>
      </c>
      <c r="H4956" s="22">
        <f>IFERROR(__xludf.DUMMYFUNCTION("""COMPUTED_VALUE"""),490701.227)</f>
        <v>490701.227</v>
      </c>
      <c r="I4956" s="24">
        <f>IFERROR(__xludf.DUMMYFUNCTION("""COMPUTED_VALUE"""),-0.018597545999999965)</f>
        <v>-0.018597546</v>
      </c>
    </row>
    <row r="4957">
      <c r="A4957" s="5" t="str">
        <f>IFERROR(__xludf.DUMMYFUNCTION("""COMPUTED_VALUE"""),"71502")</f>
        <v>71502</v>
      </c>
      <c r="B4957" s="64">
        <f>IFERROR(__xludf.DUMMYFUNCTION("""COMPUTED_VALUE"""),44658.0)</f>
        <v>44658</v>
      </c>
      <c r="C4957" s="5"/>
      <c r="D4957" s="5"/>
      <c r="E4957" s="5"/>
      <c r="F4957" s="22">
        <f>IFERROR(__xludf.DUMMYFUNCTION("""COMPUTED_VALUE"""),500000.0)</f>
        <v>500000</v>
      </c>
      <c r="G4957" s="22">
        <f>IFERROR(__xludf.DUMMYFUNCTION("""COMPUTED_VALUE"""),0.0)</f>
        <v>0</v>
      </c>
      <c r="H4957" s="22">
        <f>IFERROR(__xludf.DUMMYFUNCTION("""COMPUTED_VALUE"""),490920.39)</f>
        <v>490920.39</v>
      </c>
      <c r="I4957" s="24">
        <f>IFERROR(__xludf.DUMMYFUNCTION("""COMPUTED_VALUE"""),-0.01815921999999992)</f>
        <v>-0.01815922</v>
      </c>
    </row>
    <row r="4958">
      <c r="A4958" s="5" t="str">
        <f>IFERROR(__xludf.DUMMYFUNCTION("""COMPUTED_VALUE"""),"71502")</f>
        <v>71502</v>
      </c>
      <c r="B4958" s="64">
        <f>IFERROR(__xludf.DUMMYFUNCTION("""COMPUTED_VALUE"""),44659.0)</f>
        <v>44659</v>
      </c>
      <c r="C4958" s="5"/>
      <c r="D4958" s="5"/>
      <c r="E4958" s="5"/>
      <c r="F4958" s="22">
        <f>IFERROR(__xludf.DUMMYFUNCTION("""COMPUTED_VALUE"""),500000.0)</f>
        <v>500000</v>
      </c>
      <c r="G4958" s="22">
        <f>IFERROR(__xludf.DUMMYFUNCTION("""COMPUTED_VALUE"""),0.0)</f>
        <v>0</v>
      </c>
      <c r="H4958" s="22">
        <f>IFERROR(__xludf.DUMMYFUNCTION("""COMPUTED_VALUE"""),487977.34400000004)</f>
        <v>487977.344</v>
      </c>
      <c r="I4958" s="24">
        <f>IFERROR(__xludf.DUMMYFUNCTION("""COMPUTED_VALUE"""),-0.02404531199999993)</f>
        <v>-0.024045312</v>
      </c>
    </row>
    <row r="4959">
      <c r="A4959" s="5" t="str">
        <f>IFERROR(__xludf.DUMMYFUNCTION("""COMPUTED_VALUE"""),"71502")</f>
        <v>71502</v>
      </c>
      <c r="B4959" s="64">
        <f>IFERROR(__xludf.DUMMYFUNCTION("""COMPUTED_VALUE"""),44660.0)</f>
        <v>44660</v>
      </c>
      <c r="C4959" s="5"/>
      <c r="D4959" s="5"/>
      <c r="E4959" s="5"/>
      <c r="F4959" s="22">
        <f>IFERROR(__xludf.DUMMYFUNCTION("""COMPUTED_VALUE"""),500000.0)</f>
        <v>500000</v>
      </c>
      <c r="G4959" s="22">
        <f>IFERROR(__xludf.DUMMYFUNCTION("""COMPUTED_VALUE"""),0.0)</f>
        <v>0</v>
      </c>
      <c r="H4959" s="22">
        <f>IFERROR(__xludf.DUMMYFUNCTION("""COMPUTED_VALUE"""),487977.34400000004)</f>
        <v>487977.344</v>
      </c>
      <c r="I4959" s="24">
        <f>IFERROR(__xludf.DUMMYFUNCTION("""COMPUTED_VALUE"""),-0.02404531199999993)</f>
        <v>-0.024045312</v>
      </c>
    </row>
    <row r="4960">
      <c r="A4960" s="5" t="str">
        <f>IFERROR(__xludf.DUMMYFUNCTION("""COMPUTED_VALUE"""),"71502")</f>
        <v>71502</v>
      </c>
      <c r="B4960" s="64">
        <f>IFERROR(__xludf.DUMMYFUNCTION("""COMPUTED_VALUE"""),44661.0)</f>
        <v>44661</v>
      </c>
      <c r="C4960" s="5"/>
      <c r="D4960" s="5"/>
      <c r="E4960" s="5"/>
      <c r="F4960" s="22">
        <f>IFERROR(__xludf.DUMMYFUNCTION("""COMPUTED_VALUE"""),500000.0)</f>
        <v>500000</v>
      </c>
      <c r="G4960" s="22">
        <f>IFERROR(__xludf.DUMMYFUNCTION("""COMPUTED_VALUE"""),0.0)</f>
        <v>0</v>
      </c>
      <c r="H4960" s="22">
        <f>IFERROR(__xludf.DUMMYFUNCTION("""COMPUTED_VALUE"""),487977.34400000004)</f>
        <v>487977.344</v>
      </c>
      <c r="I4960" s="24">
        <f>IFERROR(__xludf.DUMMYFUNCTION("""COMPUTED_VALUE"""),-0.02404531199999993)</f>
        <v>-0.024045312</v>
      </c>
    </row>
    <row r="4961">
      <c r="A4961" s="5" t="str">
        <f>IFERROR(__xludf.DUMMYFUNCTION("""COMPUTED_VALUE"""),"71502")</f>
        <v>71502</v>
      </c>
      <c r="B4961" s="64">
        <f>IFERROR(__xludf.DUMMYFUNCTION("""COMPUTED_VALUE"""),44662.0)</f>
        <v>44662</v>
      </c>
      <c r="C4961" s="5"/>
      <c r="D4961" s="5"/>
      <c r="E4961" s="5"/>
      <c r="F4961" s="22">
        <f>IFERROR(__xludf.DUMMYFUNCTION("""COMPUTED_VALUE"""),500000.0)</f>
        <v>500000</v>
      </c>
      <c r="G4961" s="22">
        <f>IFERROR(__xludf.DUMMYFUNCTION("""COMPUTED_VALUE"""),0.0)</f>
        <v>0</v>
      </c>
      <c r="H4961" s="22">
        <f>IFERROR(__xludf.DUMMYFUNCTION("""COMPUTED_VALUE"""),481183.29099999997)</f>
        <v>481183.291</v>
      </c>
      <c r="I4961" s="24">
        <f>IFERROR(__xludf.DUMMYFUNCTION("""COMPUTED_VALUE"""),-0.037633418000000085)</f>
        <v>-0.037633418</v>
      </c>
    </row>
    <row r="4962">
      <c r="A4962" s="5" t="str">
        <f>IFERROR(__xludf.DUMMYFUNCTION("""COMPUTED_VALUE"""),"71502")</f>
        <v>71502</v>
      </c>
      <c r="B4962" s="64">
        <f>IFERROR(__xludf.DUMMYFUNCTION("""COMPUTED_VALUE"""),44663.0)</f>
        <v>44663</v>
      </c>
      <c r="C4962" s="5"/>
      <c r="D4962" s="5"/>
      <c r="E4962" s="5"/>
      <c r="F4962" s="22">
        <f>IFERROR(__xludf.DUMMYFUNCTION("""COMPUTED_VALUE"""),500000.0)</f>
        <v>500000</v>
      </c>
      <c r="G4962" s="22">
        <f>IFERROR(__xludf.DUMMYFUNCTION("""COMPUTED_VALUE"""),0.0)</f>
        <v>0</v>
      </c>
      <c r="H4962" s="22">
        <f>IFERROR(__xludf.DUMMYFUNCTION("""COMPUTED_VALUE"""),484173.3005)</f>
        <v>484173.3005</v>
      </c>
      <c r="I4962" s="24">
        <f>IFERROR(__xludf.DUMMYFUNCTION("""COMPUTED_VALUE"""),-0.03165339899999997)</f>
        <v>-0.031653399</v>
      </c>
    </row>
    <row r="4963">
      <c r="A4963" s="5" t="str">
        <f>IFERROR(__xludf.DUMMYFUNCTION("""COMPUTED_VALUE"""),"73341")</f>
        <v>73341</v>
      </c>
      <c r="B4963" s="64">
        <f>IFERROR(__xludf.DUMMYFUNCTION("""COMPUTED_VALUE"""),44597.0)</f>
        <v>44597</v>
      </c>
      <c r="C4963" s="5"/>
      <c r="D4963" s="5"/>
      <c r="E4963" s="5"/>
      <c r="F4963" s="22">
        <f>IFERROR(__xludf.DUMMYFUNCTION("""COMPUTED_VALUE"""),500000.0)</f>
        <v>500000</v>
      </c>
      <c r="G4963" s="22">
        <f>IFERROR(__xludf.DUMMYFUNCTION("""COMPUTED_VALUE"""),0.0)</f>
        <v>0</v>
      </c>
      <c r="H4963" s="22">
        <f>IFERROR(__xludf.DUMMYFUNCTION("""COMPUTED_VALUE"""),500000.0)</f>
        <v>500000</v>
      </c>
      <c r="I4963" s="24">
        <f>IFERROR(__xludf.DUMMYFUNCTION("""COMPUTED_VALUE"""),0.0)</f>
        <v>0</v>
      </c>
    </row>
    <row r="4964">
      <c r="A4964" s="5" t="str">
        <f>IFERROR(__xludf.DUMMYFUNCTION("""COMPUTED_VALUE"""),"73341")</f>
        <v>73341</v>
      </c>
      <c r="B4964" s="64">
        <f>IFERROR(__xludf.DUMMYFUNCTION("""COMPUTED_VALUE"""),44598.0)</f>
        <v>44598</v>
      </c>
      <c r="C4964" s="5"/>
      <c r="D4964" s="5"/>
      <c r="E4964" s="5"/>
      <c r="F4964" s="22">
        <f>IFERROR(__xludf.DUMMYFUNCTION("""COMPUTED_VALUE"""),500000.0)</f>
        <v>500000</v>
      </c>
      <c r="G4964" s="22">
        <f>IFERROR(__xludf.DUMMYFUNCTION("""COMPUTED_VALUE"""),0.0)</f>
        <v>0</v>
      </c>
      <c r="H4964" s="22">
        <f>IFERROR(__xludf.DUMMYFUNCTION("""COMPUTED_VALUE"""),500000.0)</f>
        <v>500000</v>
      </c>
      <c r="I4964" s="24">
        <f>IFERROR(__xludf.DUMMYFUNCTION("""COMPUTED_VALUE"""),0.0)</f>
        <v>0</v>
      </c>
    </row>
    <row r="4965">
      <c r="A4965" s="5" t="str">
        <f>IFERROR(__xludf.DUMMYFUNCTION("""COMPUTED_VALUE"""),"73341")</f>
        <v>73341</v>
      </c>
      <c r="B4965" s="64">
        <f>IFERROR(__xludf.DUMMYFUNCTION("""COMPUTED_VALUE"""),44599.0)</f>
        <v>44599</v>
      </c>
      <c r="C4965" s="5"/>
      <c r="D4965" s="5"/>
      <c r="E4965" s="5"/>
      <c r="F4965" s="22">
        <f>IFERROR(__xludf.DUMMYFUNCTION("""COMPUTED_VALUE"""),500000.0)</f>
        <v>500000</v>
      </c>
      <c r="G4965" s="22">
        <f>IFERROR(__xludf.DUMMYFUNCTION("""COMPUTED_VALUE"""),0.0)</f>
        <v>0</v>
      </c>
      <c r="H4965" s="22">
        <f>IFERROR(__xludf.DUMMYFUNCTION("""COMPUTED_VALUE"""),500000.0)</f>
        <v>500000</v>
      </c>
      <c r="I4965" s="24">
        <f>IFERROR(__xludf.DUMMYFUNCTION("""COMPUTED_VALUE"""),0.0)</f>
        <v>0</v>
      </c>
    </row>
    <row r="4966">
      <c r="A4966" s="5" t="str">
        <f>IFERROR(__xludf.DUMMYFUNCTION("""COMPUTED_VALUE"""),"73341")</f>
        <v>73341</v>
      </c>
      <c r="B4966" s="64">
        <f>IFERROR(__xludf.DUMMYFUNCTION("""COMPUTED_VALUE"""),44600.0)</f>
        <v>44600</v>
      </c>
      <c r="C4966" s="5"/>
      <c r="D4966" s="5"/>
      <c r="E4966" s="5"/>
      <c r="F4966" s="22">
        <f>IFERROR(__xludf.DUMMYFUNCTION("""COMPUTED_VALUE"""),500000.0)</f>
        <v>500000</v>
      </c>
      <c r="G4966" s="22">
        <f>IFERROR(__xludf.DUMMYFUNCTION("""COMPUTED_VALUE"""),0.0)</f>
        <v>0</v>
      </c>
      <c r="H4966" s="22">
        <f>IFERROR(__xludf.DUMMYFUNCTION("""COMPUTED_VALUE"""),500000.0)</f>
        <v>500000</v>
      </c>
      <c r="I4966" s="24">
        <f>IFERROR(__xludf.DUMMYFUNCTION("""COMPUTED_VALUE"""),0.0)</f>
        <v>0</v>
      </c>
    </row>
    <row r="4967">
      <c r="A4967" s="5" t="str">
        <f>IFERROR(__xludf.DUMMYFUNCTION("""COMPUTED_VALUE"""),"73341")</f>
        <v>73341</v>
      </c>
      <c r="B4967" s="64">
        <f>IFERROR(__xludf.DUMMYFUNCTION("""COMPUTED_VALUE"""),44601.0)</f>
        <v>44601</v>
      </c>
      <c r="C4967" s="5"/>
      <c r="D4967" s="5"/>
      <c r="E4967" s="5"/>
      <c r="F4967" s="22">
        <f>IFERROR(__xludf.DUMMYFUNCTION("""COMPUTED_VALUE"""),500000.0)</f>
        <v>500000</v>
      </c>
      <c r="G4967" s="22">
        <f>IFERROR(__xludf.DUMMYFUNCTION("""COMPUTED_VALUE"""),0.0)</f>
        <v>0</v>
      </c>
      <c r="H4967" s="22">
        <f>IFERROR(__xludf.DUMMYFUNCTION("""COMPUTED_VALUE"""),500000.0)</f>
        <v>500000</v>
      </c>
      <c r="I4967" s="24">
        <f>IFERROR(__xludf.DUMMYFUNCTION("""COMPUTED_VALUE"""),0.0)</f>
        <v>0</v>
      </c>
    </row>
    <row r="4968">
      <c r="A4968" s="5" t="str">
        <f>IFERROR(__xludf.DUMMYFUNCTION("""COMPUTED_VALUE"""),"73341")</f>
        <v>73341</v>
      </c>
      <c r="B4968" s="64">
        <f>IFERROR(__xludf.DUMMYFUNCTION("""COMPUTED_VALUE"""),44602.0)</f>
        <v>44602</v>
      </c>
      <c r="C4968" s="5"/>
      <c r="D4968" s="5"/>
      <c r="E4968" s="5"/>
      <c r="F4968" s="22">
        <f>IFERROR(__xludf.DUMMYFUNCTION("""COMPUTED_VALUE"""),500000.0)</f>
        <v>500000</v>
      </c>
      <c r="G4968" s="22">
        <f>IFERROR(__xludf.DUMMYFUNCTION("""COMPUTED_VALUE"""),0.0)</f>
        <v>0</v>
      </c>
      <c r="H4968" s="22">
        <f>IFERROR(__xludf.DUMMYFUNCTION("""COMPUTED_VALUE"""),500000.0)</f>
        <v>500000</v>
      </c>
      <c r="I4968" s="24">
        <f>IFERROR(__xludf.DUMMYFUNCTION("""COMPUTED_VALUE"""),0.0)</f>
        <v>0</v>
      </c>
    </row>
    <row r="4969">
      <c r="A4969" s="5" t="str">
        <f>IFERROR(__xludf.DUMMYFUNCTION("""COMPUTED_VALUE"""),"73341")</f>
        <v>73341</v>
      </c>
      <c r="B4969" s="64">
        <f>IFERROR(__xludf.DUMMYFUNCTION("""COMPUTED_VALUE"""),44603.0)</f>
        <v>44603</v>
      </c>
      <c r="C4969" s="5"/>
      <c r="D4969" s="5"/>
      <c r="E4969" s="5"/>
      <c r="F4969" s="22">
        <f>IFERROR(__xludf.DUMMYFUNCTION("""COMPUTED_VALUE"""),500000.0)</f>
        <v>500000</v>
      </c>
      <c r="G4969" s="22">
        <f>IFERROR(__xludf.DUMMYFUNCTION("""COMPUTED_VALUE"""),0.0)</f>
        <v>0</v>
      </c>
      <c r="H4969" s="22">
        <f>IFERROR(__xludf.DUMMYFUNCTION("""COMPUTED_VALUE"""),500000.0)</f>
        <v>500000</v>
      </c>
      <c r="I4969" s="24">
        <f>IFERROR(__xludf.DUMMYFUNCTION("""COMPUTED_VALUE"""),0.0)</f>
        <v>0</v>
      </c>
    </row>
    <row r="4970">
      <c r="A4970" s="5" t="str">
        <f>IFERROR(__xludf.DUMMYFUNCTION("""COMPUTED_VALUE"""),"73341")</f>
        <v>73341</v>
      </c>
      <c r="B4970" s="64">
        <f>IFERROR(__xludf.DUMMYFUNCTION("""COMPUTED_VALUE"""),44604.0)</f>
        <v>44604</v>
      </c>
      <c r="C4970" s="5"/>
      <c r="D4970" s="5"/>
      <c r="E4970" s="5"/>
      <c r="F4970" s="22">
        <f>IFERROR(__xludf.DUMMYFUNCTION("""COMPUTED_VALUE"""),500000.0)</f>
        <v>500000</v>
      </c>
      <c r="G4970" s="22">
        <f>IFERROR(__xludf.DUMMYFUNCTION("""COMPUTED_VALUE"""),0.0)</f>
        <v>0</v>
      </c>
      <c r="H4970" s="22">
        <f>IFERROR(__xludf.DUMMYFUNCTION("""COMPUTED_VALUE"""),500000.0)</f>
        <v>500000</v>
      </c>
      <c r="I4970" s="24">
        <f>IFERROR(__xludf.DUMMYFUNCTION("""COMPUTED_VALUE"""),0.0)</f>
        <v>0</v>
      </c>
    </row>
    <row r="4971">
      <c r="A4971" s="5" t="str">
        <f>IFERROR(__xludf.DUMMYFUNCTION("""COMPUTED_VALUE"""),"73341")</f>
        <v>73341</v>
      </c>
      <c r="B4971" s="64">
        <f>IFERROR(__xludf.DUMMYFUNCTION("""COMPUTED_VALUE"""),44605.0)</f>
        <v>44605</v>
      </c>
      <c r="C4971" s="5"/>
      <c r="D4971" s="5"/>
      <c r="E4971" s="5"/>
      <c r="F4971" s="22">
        <f>IFERROR(__xludf.DUMMYFUNCTION("""COMPUTED_VALUE"""),500000.0)</f>
        <v>500000</v>
      </c>
      <c r="G4971" s="22">
        <f>IFERROR(__xludf.DUMMYFUNCTION("""COMPUTED_VALUE"""),0.0)</f>
        <v>0</v>
      </c>
      <c r="H4971" s="22">
        <f>IFERROR(__xludf.DUMMYFUNCTION("""COMPUTED_VALUE"""),500000.0)</f>
        <v>500000</v>
      </c>
      <c r="I4971" s="24">
        <f>IFERROR(__xludf.DUMMYFUNCTION("""COMPUTED_VALUE"""),0.0)</f>
        <v>0</v>
      </c>
    </row>
    <row r="4972">
      <c r="A4972" s="5" t="str">
        <f>IFERROR(__xludf.DUMMYFUNCTION("""COMPUTED_VALUE"""),"73341")</f>
        <v>73341</v>
      </c>
      <c r="B4972" s="64">
        <f>IFERROR(__xludf.DUMMYFUNCTION("""COMPUTED_VALUE"""),44606.0)</f>
        <v>44606</v>
      </c>
      <c r="C4972" s="5"/>
      <c r="D4972" s="5"/>
      <c r="E4972" s="5"/>
      <c r="F4972" s="22">
        <f>IFERROR(__xludf.DUMMYFUNCTION("""COMPUTED_VALUE"""),500000.0)</f>
        <v>500000</v>
      </c>
      <c r="G4972" s="22">
        <f>IFERROR(__xludf.DUMMYFUNCTION("""COMPUTED_VALUE"""),0.0)</f>
        <v>0</v>
      </c>
      <c r="H4972" s="22">
        <f>IFERROR(__xludf.DUMMYFUNCTION("""COMPUTED_VALUE"""),500000.0)</f>
        <v>500000</v>
      </c>
      <c r="I4972" s="24">
        <f>IFERROR(__xludf.DUMMYFUNCTION("""COMPUTED_VALUE"""),0.0)</f>
        <v>0</v>
      </c>
    </row>
    <row r="4973">
      <c r="A4973" s="5" t="str">
        <f>IFERROR(__xludf.DUMMYFUNCTION("""COMPUTED_VALUE"""),"73341")</f>
        <v>73341</v>
      </c>
      <c r="B4973" s="64">
        <f>IFERROR(__xludf.DUMMYFUNCTION("""COMPUTED_VALUE"""),44607.0)</f>
        <v>44607</v>
      </c>
      <c r="C4973" s="5"/>
      <c r="D4973" s="5"/>
      <c r="E4973" s="5"/>
      <c r="F4973" s="22">
        <f>IFERROR(__xludf.DUMMYFUNCTION("""COMPUTED_VALUE"""),500000.0)</f>
        <v>500000</v>
      </c>
      <c r="G4973" s="22">
        <f>IFERROR(__xludf.DUMMYFUNCTION("""COMPUTED_VALUE"""),0.0)</f>
        <v>0</v>
      </c>
      <c r="H4973" s="22">
        <f>IFERROR(__xludf.DUMMYFUNCTION("""COMPUTED_VALUE"""),500000.0)</f>
        <v>500000</v>
      </c>
      <c r="I4973" s="24">
        <f>IFERROR(__xludf.DUMMYFUNCTION("""COMPUTED_VALUE"""),0.0)</f>
        <v>0</v>
      </c>
    </row>
    <row r="4974">
      <c r="A4974" s="5" t="str">
        <f>IFERROR(__xludf.DUMMYFUNCTION("""COMPUTED_VALUE"""),"73341")</f>
        <v>73341</v>
      </c>
      <c r="B4974" s="64">
        <f>IFERROR(__xludf.DUMMYFUNCTION("""COMPUTED_VALUE"""),44608.0)</f>
        <v>44608</v>
      </c>
      <c r="C4974" s="5"/>
      <c r="D4974" s="5"/>
      <c r="E4974" s="5"/>
      <c r="F4974" s="22">
        <f>IFERROR(__xludf.DUMMYFUNCTION("""COMPUTED_VALUE"""),500000.0)</f>
        <v>500000</v>
      </c>
      <c r="G4974" s="22">
        <f>IFERROR(__xludf.DUMMYFUNCTION("""COMPUTED_VALUE"""),0.0)</f>
        <v>0</v>
      </c>
      <c r="H4974" s="22">
        <f>IFERROR(__xludf.DUMMYFUNCTION("""COMPUTED_VALUE"""),500000.0)</f>
        <v>500000</v>
      </c>
      <c r="I4974" s="24">
        <f>IFERROR(__xludf.DUMMYFUNCTION("""COMPUTED_VALUE"""),0.0)</f>
        <v>0</v>
      </c>
    </row>
    <row r="4975">
      <c r="A4975" s="5" t="str">
        <f>IFERROR(__xludf.DUMMYFUNCTION("""COMPUTED_VALUE"""),"73341")</f>
        <v>73341</v>
      </c>
      <c r="B4975" s="64">
        <f>IFERROR(__xludf.DUMMYFUNCTION("""COMPUTED_VALUE"""),44609.0)</f>
        <v>44609</v>
      </c>
      <c r="C4975" s="5"/>
      <c r="D4975" s="5"/>
      <c r="E4975" s="5"/>
      <c r="F4975" s="22">
        <f>IFERROR(__xludf.DUMMYFUNCTION("""COMPUTED_VALUE"""),500000.0)</f>
        <v>500000</v>
      </c>
      <c r="G4975" s="22">
        <f>IFERROR(__xludf.DUMMYFUNCTION("""COMPUTED_VALUE"""),0.0)</f>
        <v>0</v>
      </c>
      <c r="H4975" s="22">
        <f>IFERROR(__xludf.DUMMYFUNCTION("""COMPUTED_VALUE"""),500000.0)</f>
        <v>500000</v>
      </c>
      <c r="I4975" s="24">
        <f>IFERROR(__xludf.DUMMYFUNCTION("""COMPUTED_VALUE"""),0.0)</f>
        <v>0</v>
      </c>
    </row>
    <row r="4976">
      <c r="A4976" s="5" t="str">
        <f>IFERROR(__xludf.DUMMYFUNCTION("""COMPUTED_VALUE"""),"73341")</f>
        <v>73341</v>
      </c>
      <c r="B4976" s="64">
        <f>IFERROR(__xludf.DUMMYFUNCTION("""COMPUTED_VALUE"""),44610.0)</f>
        <v>44610</v>
      </c>
      <c r="C4976" s="5"/>
      <c r="D4976" s="5"/>
      <c r="E4976" s="5"/>
      <c r="F4976" s="22">
        <f>IFERROR(__xludf.DUMMYFUNCTION("""COMPUTED_VALUE"""),500000.0)</f>
        <v>500000</v>
      </c>
      <c r="G4976" s="22">
        <f>IFERROR(__xludf.DUMMYFUNCTION("""COMPUTED_VALUE"""),0.0)</f>
        <v>0</v>
      </c>
      <c r="H4976" s="22">
        <f>IFERROR(__xludf.DUMMYFUNCTION("""COMPUTED_VALUE"""),500000.0)</f>
        <v>500000</v>
      </c>
      <c r="I4976" s="24">
        <f>IFERROR(__xludf.DUMMYFUNCTION("""COMPUTED_VALUE"""),0.0)</f>
        <v>0</v>
      </c>
    </row>
    <row r="4977">
      <c r="A4977" s="5" t="str">
        <f>IFERROR(__xludf.DUMMYFUNCTION("""COMPUTED_VALUE"""),"73341")</f>
        <v>73341</v>
      </c>
      <c r="B4977" s="64">
        <f>IFERROR(__xludf.DUMMYFUNCTION("""COMPUTED_VALUE"""),44611.0)</f>
        <v>44611</v>
      </c>
      <c r="C4977" s="5"/>
      <c r="D4977" s="5"/>
      <c r="E4977" s="5"/>
      <c r="F4977" s="22">
        <f>IFERROR(__xludf.DUMMYFUNCTION("""COMPUTED_VALUE"""),500000.0)</f>
        <v>500000</v>
      </c>
      <c r="G4977" s="22">
        <f>IFERROR(__xludf.DUMMYFUNCTION("""COMPUTED_VALUE"""),0.0)</f>
        <v>0</v>
      </c>
      <c r="H4977" s="22">
        <f>IFERROR(__xludf.DUMMYFUNCTION("""COMPUTED_VALUE"""),500000.0)</f>
        <v>500000</v>
      </c>
      <c r="I4977" s="24">
        <f>IFERROR(__xludf.DUMMYFUNCTION("""COMPUTED_VALUE"""),0.0)</f>
        <v>0</v>
      </c>
    </row>
    <row r="4978">
      <c r="A4978" s="5" t="str">
        <f>IFERROR(__xludf.DUMMYFUNCTION("""COMPUTED_VALUE"""),"73341")</f>
        <v>73341</v>
      </c>
      <c r="B4978" s="64">
        <f>IFERROR(__xludf.DUMMYFUNCTION("""COMPUTED_VALUE"""),44612.0)</f>
        <v>44612</v>
      </c>
      <c r="C4978" s="5"/>
      <c r="D4978" s="5"/>
      <c r="E4978" s="5"/>
      <c r="F4978" s="22">
        <f>IFERROR(__xludf.DUMMYFUNCTION("""COMPUTED_VALUE"""),500000.0)</f>
        <v>500000</v>
      </c>
      <c r="G4978" s="22">
        <f>IFERROR(__xludf.DUMMYFUNCTION("""COMPUTED_VALUE"""),0.0)</f>
        <v>0</v>
      </c>
      <c r="H4978" s="22">
        <f>IFERROR(__xludf.DUMMYFUNCTION("""COMPUTED_VALUE"""),500000.0)</f>
        <v>500000</v>
      </c>
      <c r="I4978" s="24">
        <f>IFERROR(__xludf.DUMMYFUNCTION("""COMPUTED_VALUE"""),0.0)</f>
        <v>0</v>
      </c>
    </row>
    <row r="4979">
      <c r="A4979" s="5" t="str">
        <f>IFERROR(__xludf.DUMMYFUNCTION("""COMPUTED_VALUE"""),"73341")</f>
        <v>73341</v>
      </c>
      <c r="B4979" s="64">
        <f>IFERROR(__xludf.DUMMYFUNCTION("""COMPUTED_VALUE"""),44613.0)</f>
        <v>44613</v>
      </c>
      <c r="C4979" s="5"/>
      <c r="D4979" s="5"/>
      <c r="E4979" s="5"/>
      <c r="F4979" s="22">
        <f>IFERROR(__xludf.DUMMYFUNCTION("""COMPUTED_VALUE"""),500000.0)</f>
        <v>500000</v>
      </c>
      <c r="G4979" s="22">
        <f>IFERROR(__xludf.DUMMYFUNCTION("""COMPUTED_VALUE"""),0.0)</f>
        <v>0</v>
      </c>
      <c r="H4979" s="22">
        <f>IFERROR(__xludf.DUMMYFUNCTION("""COMPUTED_VALUE"""),500000.0)</f>
        <v>500000</v>
      </c>
      <c r="I4979" s="24">
        <f>IFERROR(__xludf.DUMMYFUNCTION("""COMPUTED_VALUE"""),0.0)</f>
        <v>0</v>
      </c>
    </row>
    <row r="4980">
      <c r="A4980" s="5" t="str">
        <f>IFERROR(__xludf.DUMMYFUNCTION("""COMPUTED_VALUE"""),"73341")</f>
        <v>73341</v>
      </c>
      <c r="B4980" s="64">
        <f>IFERROR(__xludf.DUMMYFUNCTION("""COMPUTED_VALUE"""),44614.0)</f>
        <v>44614</v>
      </c>
      <c r="C4980" s="5"/>
      <c r="D4980" s="5"/>
      <c r="E4980" s="5"/>
      <c r="F4980" s="22">
        <f>IFERROR(__xludf.DUMMYFUNCTION("""COMPUTED_VALUE"""),500000.0)</f>
        <v>500000</v>
      </c>
      <c r="G4980" s="22">
        <f>IFERROR(__xludf.DUMMYFUNCTION("""COMPUTED_VALUE"""),0.0)</f>
        <v>0</v>
      </c>
      <c r="H4980" s="22">
        <f>IFERROR(__xludf.DUMMYFUNCTION("""COMPUTED_VALUE"""),500000.0)</f>
        <v>500000</v>
      </c>
      <c r="I4980" s="24">
        <f>IFERROR(__xludf.DUMMYFUNCTION("""COMPUTED_VALUE"""),0.0)</f>
        <v>0</v>
      </c>
    </row>
    <row r="4981">
      <c r="A4981" s="5" t="str">
        <f>IFERROR(__xludf.DUMMYFUNCTION("""COMPUTED_VALUE"""),"73341")</f>
        <v>73341</v>
      </c>
      <c r="B4981" s="64">
        <f>IFERROR(__xludf.DUMMYFUNCTION("""COMPUTED_VALUE"""),44615.0)</f>
        <v>44615</v>
      </c>
      <c r="C4981" s="5"/>
      <c r="D4981" s="5"/>
      <c r="E4981" s="5"/>
      <c r="F4981" s="22">
        <f>IFERROR(__xludf.DUMMYFUNCTION("""COMPUTED_VALUE"""),500000.0)</f>
        <v>500000</v>
      </c>
      <c r="G4981" s="22">
        <f>IFERROR(__xludf.DUMMYFUNCTION("""COMPUTED_VALUE"""),0.0)</f>
        <v>0</v>
      </c>
      <c r="H4981" s="22">
        <f>IFERROR(__xludf.DUMMYFUNCTION("""COMPUTED_VALUE"""),500000.0)</f>
        <v>500000</v>
      </c>
      <c r="I4981" s="24">
        <f>IFERROR(__xludf.DUMMYFUNCTION("""COMPUTED_VALUE"""),0.0)</f>
        <v>0</v>
      </c>
    </row>
    <row r="4982">
      <c r="A4982" s="5" t="str">
        <f>IFERROR(__xludf.DUMMYFUNCTION("""COMPUTED_VALUE"""),"73341")</f>
        <v>73341</v>
      </c>
      <c r="B4982" s="64">
        <f>IFERROR(__xludf.DUMMYFUNCTION("""COMPUTED_VALUE"""),44616.0)</f>
        <v>44616</v>
      </c>
      <c r="C4982" s="5"/>
      <c r="D4982" s="5"/>
      <c r="E4982" s="5"/>
      <c r="F4982" s="22">
        <f>IFERROR(__xludf.DUMMYFUNCTION("""COMPUTED_VALUE"""),500000.0)</f>
        <v>500000</v>
      </c>
      <c r="G4982" s="22">
        <f>IFERROR(__xludf.DUMMYFUNCTION("""COMPUTED_VALUE"""),0.0)</f>
        <v>0</v>
      </c>
      <c r="H4982" s="22">
        <f>IFERROR(__xludf.DUMMYFUNCTION("""COMPUTED_VALUE"""),500000.0)</f>
        <v>500000</v>
      </c>
      <c r="I4982" s="24">
        <f>IFERROR(__xludf.DUMMYFUNCTION("""COMPUTED_VALUE"""),0.0)</f>
        <v>0</v>
      </c>
    </row>
    <row r="4983">
      <c r="A4983" s="5" t="str">
        <f>IFERROR(__xludf.DUMMYFUNCTION("""COMPUTED_VALUE"""),"73341")</f>
        <v>73341</v>
      </c>
      <c r="B4983" s="64">
        <f>IFERROR(__xludf.DUMMYFUNCTION("""COMPUTED_VALUE"""),44617.0)</f>
        <v>44617</v>
      </c>
      <c r="C4983" s="5"/>
      <c r="D4983" s="5"/>
      <c r="E4983" s="5"/>
      <c r="F4983" s="22">
        <f>IFERROR(__xludf.DUMMYFUNCTION("""COMPUTED_VALUE"""),500000.0)</f>
        <v>500000</v>
      </c>
      <c r="G4983" s="22">
        <f>IFERROR(__xludf.DUMMYFUNCTION("""COMPUTED_VALUE"""),0.0)</f>
        <v>0</v>
      </c>
      <c r="H4983" s="22">
        <f>IFERROR(__xludf.DUMMYFUNCTION("""COMPUTED_VALUE"""),500000.0)</f>
        <v>500000</v>
      </c>
      <c r="I4983" s="24">
        <f>IFERROR(__xludf.DUMMYFUNCTION("""COMPUTED_VALUE"""),0.0)</f>
        <v>0</v>
      </c>
    </row>
    <row r="4984">
      <c r="A4984" s="5" t="str">
        <f>IFERROR(__xludf.DUMMYFUNCTION("""COMPUTED_VALUE"""),"73341")</f>
        <v>73341</v>
      </c>
      <c r="B4984" s="64">
        <f>IFERROR(__xludf.DUMMYFUNCTION("""COMPUTED_VALUE"""),44618.0)</f>
        <v>44618</v>
      </c>
      <c r="C4984" s="5"/>
      <c r="D4984" s="5"/>
      <c r="E4984" s="5"/>
      <c r="F4984" s="22">
        <f>IFERROR(__xludf.DUMMYFUNCTION("""COMPUTED_VALUE"""),500000.0)</f>
        <v>500000</v>
      </c>
      <c r="G4984" s="22">
        <f>IFERROR(__xludf.DUMMYFUNCTION("""COMPUTED_VALUE"""),0.0)</f>
        <v>0</v>
      </c>
      <c r="H4984" s="22">
        <f>IFERROR(__xludf.DUMMYFUNCTION("""COMPUTED_VALUE"""),500000.0)</f>
        <v>500000</v>
      </c>
      <c r="I4984" s="24">
        <f>IFERROR(__xludf.DUMMYFUNCTION("""COMPUTED_VALUE"""),0.0)</f>
        <v>0</v>
      </c>
    </row>
    <row r="4985">
      <c r="A4985" s="5" t="str">
        <f>IFERROR(__xludf.DUMMYFUNCTION("""COMPUTED_VALUE"""),"73341")</f>
        <v>73341</v>
      </c>
      <c r="B4985" s="64">
        <f>IFERROR(__xludf.DUMMYFUNCTION("""COMPUTED_VALUE"""),44619.0)</f>
        <v>44619</v>
      </c>
      <c r="C4985" s="5"/>
      <c r="D4985" s="5"/>
      <c r="E4985" s="5"/>
      <c r="F4985" s="22">
        <f>IFERROR(__xludf.DUMMYFUNCTION("""COMPUTED_VALUE"""),500000.0)</f>
        <v>500000</v>
      </c>
      <c r="G4985" s="22">
        <f>IFERROR(__xludf.DUMMYFUNCTION("""COMPUTED_VALUE"""),0.0)</f>
        <v>0</v>
      </c>
      <c r="H4985" s="22">
        <f>IFERROR(__xludf.DUMMYFUNCTION("""COMPUTED_VALUE"""),500000.0)</f>
        <v>500000</v>
      </c>
      <c r="I4985" s="24">
        <f>IFERROR(__xludf.DUMMYFUNCTION("""COMPUTED_VALUE"""),0.0)</f>
        <v>0</v>
      </c>
    </row>
    <row r="4986">
      <c r="A4986" s="5" t="str">
        <f>IFERROR(__xludf.DUMMYFUNCTION("""COMPUTED_VALUE"""),"73341")</f>
        <v>73341</v>
      </c>
      <c r="B4986" s="64">
        <f>IFERROR(__xludf.DUMMYFUNCTION("""COMPUTED_VALUE"""),44620.0)</f>
        <v>44620</v>
      </c>
      <c r="C4986" s="5"/>
      <c r="D4986" s="5"/>
      <c r="E4986" s="5"/>
      <c r="F4986" s="22">
        <f>IFERROR(__xludf.DUMMYFUNCTION("""COMPUTED_VALUE"""),500000.0)</f>
        <v>500000</v>
      </c>
      <c r="G4986" s="22">
        <f>IFERROR(__xludf.DUMMYFUNCTION("""COMPUTED_VALUE"""),0.0)</f>
        <v>0</v>
      </c>
      <c r="H4986" s="22">
        <f>IFERROR(__xludf.DUMMYFUNCTION("""COMPUTED_VALUE"""),500000.0)</f>
        <v>500000</v>
      </c>
      <c r="I4986" s="24">
        <f>IFERROR(__xludf.DUMMYFUNCTION("""COMPUTED_VALUE"""),0.0)</f>
        <v>0</v>
      </c>
    </row>
    <row r="4987">
      <c r="A4987" s="5" t="str">
        <f>IFERROR(__xludf.DUMMYFUNCTION("""COMPUTED_VALUE"""),"73341")</f>
        <v>73341</v>
      </c>
      <c r="B4987" s="64">
        <f>IFERROR(__xludf.DUMMYFUNCTION("""COMPUTED_VALUE"""),44621.0)</f>
        <v>44621</v>
      </c>
      <c r="C4987" s="5"/>
      <c r="D4987" s="5"/>
      <c r="E4987" s="5"/>
      <c r="F4987" s="22">
        <f>IFERROR(__xludf.DUMMYFUNCTION("""COMPUTED_VALUE"""),500000.0)</f>
        <v>500000</v>
      </c>
      <c r="G4987" s="22">
        <f>IFERROR(__xludf.DUMMYFUNCTION("""COMPUTED_VALUE"""),0.0)</f>
        <v>0</v>
      </c>
      <c r="H4987" s="22">
        <f>IFERROR(__xludf.DUMMYFUNCTION("""COMPUTED_VALUE"""),500000.0)</f>
        <v>500000</v>
      </c>
      <c r="I4987" s="24">
        <f>IFERROR(__xludf.DUMMYFUNCTION("""COMPUTED_VALUE"""),0.0)</f>
        <v>0</v>
      </c>
    </row>
    <row r="4988">
      <c r="A4988" s="5" t="str">
        <f>IFERROR(__xludf.DUMMYFUNCTION("""COMPUTED_VALUE"""),"73341")</f>
        <v>73341</v>
      </c>
      <c r="B4988" s="64">
        <f>IFERROR(__xludf.DUMMYFUNCTION("""COMPUTED_VALUE"""),44622.0)</f>
        <v>44622</v>
      </c>
      <c r="C4988" s="5"/>
      <c r="D4988" s="5"/>
      <c r="E4988" s="5"/>
      <c r="F4988" s="22">
        <f>IFERROR(__xludf.DUMMYFUNCTION("""COMPUTED_VALUE"""),500000.0)</f>
        <v>500000</v>
      </c>
      <c r="G4988" s="22">
        <f>IFERROR(__xludf.DUMMYFUNCTION("""COMPUTED_VALUE"""),0.0)</f>
        <v>0</v>
      </c>
      <c r="H4988" s="22">
        <f>IFERROR(__xludf.DUMMYFUNCTION("""COMPUTED_VALUE"""),500000.0)</f>
        <v>500000</v>
      </c>
      <c r="I4988" s="24">
        <f>IFERROR(__xludf.DUMMYFUNCTION("""COMPUTED_VALUE"""),0.0)</f>
        <v>0</v>
      </c>
    </row>
    <row r="4989">
      <c r="A4989" s="5" t="str">
        <f>IFERROR(__xludf.DUMMYFUNCTION("""COMPUTED_VALUE"""),"73341")</f>
        <v>73341</v>
      </c>
      <c r="B4989" s="64">
        <f>IFERROR(__xludf.DUMMYFUNCTION("""COMPUTED_VALUE"""),44623.0)</f>
        <v>44623</v>
      </c>
      <c r="C4989" s="5"/>
      <c r="D4989" s="5"/>
      <c r="E4989" s="5"/>
      <c r="F4989" s="22">
        <f>IFERROR(__xludf.DUMMYFUNCTION("""COMPUTED_VALUE"""),500000.0)</f>
        <v>500000</v>
      </c>
      <c r="G4989" s="22">
        <f>IFERROR(__xludf.DUMMYFUNCTION("""COMPUTED_VALUE"""),0.0)</f>
        <v>0</v>
      </c>
      <c r="H4989" s="22">
        <f>IFERROR(__xludf.DUMMYFUNCTION("""COMPUTED_VALUE"""),500000.0)</f>
        <v>500000</v>
      </c>
      <c r="I4989" s="24">
        <f>IFERROR(__xludf.DUMMYFUNCTION("""COMPUTED_VALUE"""),0.0)</f>
        <v>0</v>
      </c>
    </row>
    <row r="4990">
      <c r="A4990" s="5" t="str">
        <f>IFERROR(__xludf.DUMMYFUNCTION("""COMPUTED_VALUE"""),"73341")</f>
        <v>73341</v>
      </c>
      <c r="B4990" s="64">
        <f>IFERROR(__xludf.DUMMYFUNCTION("""COMPUTED_VALUE"""),44624.0)</f>
        <v>44624</v>
      </c>
      <c r="C4990" s="5"/>
      <c r="D4990" s="5"/>
      <c r="E4990" s="5"/>
      <c r="F4990" s="22">
        <f>IFERROR(__xludf.DUMMYFUNCTION("""COMPUTED_VALUE"""),500000.0)</f>
        <v>500000</v>
      </c>
      <c r="G4990" s="22">
        <f>IFERROR(__xludf.DUMMYFUNCTION("""COMPUTED_VALUE"""),0.0)</f>
        <v>0</v>
      </c>
      <c r="H4990" s="22">
        <f>IFERROR(__xludf.DUMMYFUNCTION("""COMPUTED_VALUE"""),500000.0)</f>
        <v>500000</v>
      </c>
      <c r="I4990" s="24">
        <f>IFERROR(__xludf.DUMMYFUNCTION("""COMPUTED_VALUE"""),0.0)</f>
        <v>0</v>
      </c>
    </row>
    <row r="4991">
      <c r="A4991" s="5" t="str">
        <f>IFERROR(__xludf.DUMMYFUNCTION("""COMPUTED_VALUE"""),"73341")</f>
        <v>73341</v>
      </c>
      <c r="B4991" s="64">
        <f>IFERROR(__xludf.DUMMYFUNCTION("""COMPUTED_VALUE"""),44625.0)</f>
        <v>44625</v>
      </c>
      <c r="C4991" s="5"/>
      <c r="D4991" s="5"/>
      <c r="E4991" s="5"/>
      <c r="F4991" s="22">
        <f>IFERROR(__xludf.DUMMYFUNCTION("""COMPUTED_VALUE"""),500000.0)</f>
        <v>500000</v>
      </c>
      <c r="G4991" s="22">
        <f>IFERROR(__xludf.DUMMYFUNCTION("""COMPUTED_VALUE"""),0.0)</f>
        <v>0</v>
      </c>
      <c r="H4991" s="22">
        <f>IFERROR(__xludf.DUMMYFUNCTION("""COMPUTED_VALUE"""),500000.0)</f>
        <v>500000</v>
      </c>
      <c r="I4991" s="24">
        <f>IFERROR(__xludf.DUMMYFUNCTION("""COMPUTED_VALUE"""),0.0)</f>
        <v>0</v>
      </c>
    </row>
    <row r="4992">
      <c r="A4992" s="5" t="str">
        <f>IFERROR(__xludf.DUMMYFUNCTION("""COMPUTED_VALUE"""),"73341")</f>
        <v>73341</v>
      </c>
      <c r="B4992" s="64">
        <f>IFERROR(__xludf.DUMMYFUNCTION("""COMPUTED_VALUE"""),44626.0)</f>
        <v>44626</v>
      </c>
      <c r="C4992" s="5"/>
      <c r="D4992" s="5"/>
      <c r="E4992" s="5"/>
      <c r="F4992" s="22">
        <f>IFERROR(__xludf.DUMMYFUNCTION("""COMPUTED_VALUE"""),500000.0)</f>
        <v>500000</v>
      </c>
      <c r="G4992" s="22">
        <f>IFERROR(__xludf.DUMMYFUNCTION("""COMPUTED_VALUE"""),0.0)</f>
        <v>0</v>
      </c>
      <c r="H4992" s="22">
        <f>IFERROR(__xludf.DUMMYFUNCTION("""COMPUTED_VALUE"""),500000.0)</f>
        <v>500000</v>
      </c>
      <c r="I4992" s="24">
        <f>IFERROR(__xludf.DUMMYFUNCTION("""COMPUTED_VALUE"""),0.0)</f>
        <v>0</v>
      </c>
    </row>
    <row r="4993">
      <c r="A4993" s="5" t="str">
        <f>IFERROR(__xludf.DUMMYFUNCTION("""COMPUTED_VALUE"""),"73341")</f>
        <v>73341</v>
      </c>
      <c r="B4993" s="64">
        <f>IFERROR(__xludf.DUMMYFUNCTION("""COMPUTED_VALUE"""),44627.0)</f>
        <v>44627</v>
      </c>
      <c r="C4993" s="5"/>
      <c r="D4993" s="5"/>
      <c r="E4993" s="5"/>
      <c r="F4993" s="22">
        <f>IFERROR(__xludf.DUMMYFUNCTION("""COMPUTED_VALUE"""),500000.0)</f>
        <v>500000</v>
      </c>
      <c r="G4993" s="22">
        <f>IFERROR(__xludf.DUMMYFUNCTION("""COMPUTED_VALUE"""),0.0)</f>
        <v>0</v>
      </c>
      <c r="H4993" s="22">
        <f>IFERROR(__xludf.DUMMYFUNCTION("""COMPUTED_VALUE"""),500000.0)</f>
        <v>500000</v>
      </c>
      <c r="I4993" s="24">
        <f>IFERROR(__xludf.DUMMYFUNCTION("""COMPUTED_VALUE"""),0.0)</f>
        <v>0</v>
      </c>
    </row>
    <row r="4994">
      <c r="A4994" s="5" t="str">
        <f>IFERROR(__xludf.DUMMYFUNCTION("""COMPUTED_VALUE"""),"73341")</f>
        <v>73341</v>
      </c>
      <c r="B4994" s="64">
        <f>IFERROR(__xludf.DUMMYFUNCTION("""COMPUTED_VALUE"""),44628.0)</f>
        <v>44628</v>
      </c>
      <c r="C4994" s="5"/>
      <c r="D4994" s="5"/>
      <c r="E4994" s="5"/>
      <c r="F4994" s="22">
        <f>IFERROR(__xludf.DUMMYFUNCTION("""COMPUTED_VALUE"""),500000.0)</f>
        <v>500000</v>
      </c>
      <c r="G4994" s="22">
        <f>IFERROR(__xludf.DUMMYFUNCTION("""COMPUTED_VALUE"""),0.0)</f>
        <v>0</v>
      </c>
      <c r="H4994" s="22">
        <f>IFERROR(__xludf.DUMMYFUNCTION("""COMPUTED_VALUE"""),500000.0)</f>
        <v>500000</v>
      </c>
      <c r="I4994" s="24">
        <f>IFERROR(__xludf.DUMMYFUNCTION("""COMPUTED_VALUE"""),0.0)</f>
        <v>0</v>
      </c>
    </row>
    <row r="4995">
      <c r="A4995" s="5" t="str">
        <f>IFERROR(__xludf.DUMMYFUNCTION("""COMPUTED_VALUE"""),"73341")</f>
        <v>73341</v>
      </c>
      <c r="B4995" s="64">
        <f>IFERROR(__xludf.DUMMYFUNCTION("""COMPUTED_VALUE"""),44629.0)</f>
        <v>44629</v>
      </c>
      <c r="C4995" s="5"/>
      <c r="D4995" s="5"/>
      <c r="E4995" s="5"/>
      <c r="F4995" s="22">
        <f>IFERROR(__xludf.DUMMYFUNCTION("""COMPUTED_VALUE"""),500000.0)</f>
        <v>500000</v>
      </c>
      <c r="G4995" s="22">
        <f>IFERROR(__xludf.DUMMYFUNCTION("""COMPUTED_VALUE"""),0.0)</f>
        <v>0</v>
      </c>
      <c r="H4995" s="22">
        <f>IFERROR(__xludf.DUMMYFUNCTION("""COMPUTED_VALUE"""),500000.0)</f>
        <v>500000</v>
      </c>
      <c r="I4995" s="24">
        <f>IFERROR(__xludf.DUMMYFUNCTION("""COMPUTED_VALUE"""),0.0)</f>
        <v>0</v>
      </c>
    </row>
    <row r="4996">
      <c r="A4996" s="5" t="str">
        <f>IFERROR(__xludf.DUMMYFUNCTION("""COMPUTED_VALUE"""),"73341")</f>
        <v>73341</v>
      </c>
      <c r="B4996" s="64">
        <f>IFERROR(__xludf.DUMMYFUNCTION("""COMPUTED_VALUE"""),44630.0)</f>
        <v>44630</v>
      </c>
      <c r="C4996" s="5"/>
      <c r="D4996" s="5"/>
      <c r="E4996" s="5"/>
      <c r="F4996" s="22">
        <f>IFERROR(__xludf.DUMMYFUNCTION("""COMPUTED_VALUE"""),500000.0)</f>
        <v>500000</v>
      </c>
      <c r="G4996" s="22">
        <f>IFERROR(__xludf.DUMMYFUNCTION("""COMPUTED_VALUE"""),0.0)</f>
        <v>0</v>
      </c>
      <c r="H4996" s="22">
        <f>IFERROR(__xludf.DUMMYFUNCTION("""COMPUTED_VALUE"""),500000.0)</f>
        <v>500000</v>
      </c>
      <c r="I4996" s="24">
        <f>IFERROR(__xludf.DUMMYFUNCTION("""COMPUTED_VALUE"""),0.0)</f>
        <v>0</v>
      </c>
    </row>
    <row r="4997">
      <c r="A4997" s="5" t="str">
        <f>IFERROR(__xludf.DUMMYFUNCTION("""COMPUTED_VALUE"""),"73341")</f>
        <v>73341</v>
      </c>
      <c r="B4997" s="64">
        <f>IFERROR(__xludf.DUMMYFUNCTION("""COMPUTED_VALUE"""),44631.0)</f>
        <v>44631</v>
      </c>
      <c r="C4997" s="5"/>
      <c r="D4997" s="5"/>
      <c r="E4997" s="5"/>
      <c r="F4997" s="22">
        <f>IFERROR(__xludf.DUMMYFUNCTION("""COMPUTED_VALUE"""),500000.0)</f>
        <v>500000</v>
      </c>
      <c r="G4997" s="22">
        <f>IFERROR(__xludf.DUMMYFUNCTION("""COMPUTED_VALUE"""),0.0)</f>
        <v>0</v>
      </c>
      <c r="H4997" s="22">
        <f>IFERROR(__xludf.DUMMYFUNCTION("""COMPUTED_VALUE"""),500000.0)</f>
        <v>500000</v>
      </c>
      <c r="I4997" s="24">
        <f>IFERROR(__xludf.DUMMYFUNCTION("""COMPUTED_VALUE"""),0.0)</f>
        <v>0</v>
      </c>
    </row>
    <row r="4998">
      <c r="A4998" s="5" t="str">
        <f>IFERROR(__xludf.DUMMYFUNCTION("""COMPUTED_VALUE"""),"73341")</f>
        <v>73341</v>
      </c>
      <c r="B4998" s="64">
        <f>IFERROR(__xludf.DUMMYFUNCTION("""COMPUTED_VALUE"""),44632.0)</f>
        <v>44632</v>
      </c>
      <c r="C4998" s="5"/>
      <c r="D4998" s="5"/>
      <c r="E4998" s="5"/>
      <c r="F4998" s="22">
        <f>IFERROR(__xludf.DUMMYFUNCTION("""COMPUTED_VALUE"""),500000.0)</f>
        <v>500000</v>
      </c>
      <c r="G4998" s="22">
        <f>IFERROR(__xludf.DUMMYFUNCTION("""COMPUTED_VALUE"""),0.0)</f>
        <v>0</v>
      </c>
      <c r="H4998" s="22">
        <f>IFERROR(__xludf.DUMMYFUNCTION("""COMPUTED_VALUE"""),500000.0)</f>
        <v>500000</v>
      </c>
      <c r="I4998" s="24">
        <f>IFERROR(__xludf.DUMMYFUNCTION("""COMPUTED_VALUE"""),0.0)</f>
        <v>0</v>
      </c>
    </row>
    <row r="4999">
      <c r="A4999" s="5" t="str">
        <f>IFERROR(__xludf.DUMMYFUNCTION("""COMPUTED_VALUE"""),"73341")</f>
        <v>73341</v>
      </c>
      <c r="B4999" s="64">
        <f>IFERROR(__xludf.DUMMYFUNCTION("""COMPUTED_VALUE"""),44633.0)</f>
        <v>44633</v>
      </c>
      <c r="C4999" s="5"/>
      <c r="D4999" s="5"/>
      <c r="E4999" s="5"/>
      <c r="F4999" s="22">
        <f>IFERROR(__xludf.DUMMYFUNCTION("""COMPUTED_VALUE"""),500000.0)</f>
        <v>500000</v>
      </c>
      <c r="G4999" s="22">
        <f>IFERROR(__xludf.DUMMYFUNCTION("""COMPUTED_VALUE"""),0.0)</f>
        <v>0</v>
      </c>
      <c r="H4999" s="22">
        <f>IFERROR(__xludf.DUMMYFUNCTION("""COMPUTED_VALUE"""),500000.0)</f>
        <v>500000</v>
      </c>
      <c r="I4999" s="24">
        <f>IFERROR(__xludf.DUMMYFUNCTION("""COMPUTED_VALUE"""),0.0)</f>
        <v>0</v>
      </c>
    </row>
    <row r="5000">
      <c r="A5000" s="5" t="str">
        <f>IFERROR(__xludf.DUMMYFUNCTION("""COMPUTED_VALUE"""),"73341")</f>
        <v>73341</v>
      </c>
      <c r="B5000" s="64">
        <f>IFERROR(__xludf.DUMMYFUNCTION("""COMPUTED_VALUE"""),44634.0)</f>
        <v>44634</v>
      </c>
      <c r="C5000" s="5"/>
      <c r="D5000" s="5"/>
      <c r="E5000" s="5"/>
      <c r="F5000" s="22">
        <f>IFERROR(__xludf.DUMMYFUNCTION("""COMPUTED_VALUE"""),500000.0)</f>
        <v>500000</v>
      </c>
      <c r="G5000" s="22">
        <f>IFERROR(__xludf.DUMMYFUNCTION("""COMPUTED_VALUE"""),0.0)</f>
        <v>0</v>
      </c>
      <c r="H5000" s="22">
        <f>IFERROR(__xludf.DUMMYFUNCTION("""COMPUTED_VALUE"""),500000.0)</f>
        <v>500000</v>
      </c>
      <c r="I5000" s="24">
        <f>IFERROR(__xludf.DUMMYFUNCTION("""COMPUTED_VALUE"""),0.0)</f>
        <v>0</v>
      </c>
    </row>
    <row r="5001">
      <c r="A5001" s="5" t="str">
        <f>IFERROR(__xludf.DUMMYFUNCTION("""COMPUTED_VALUE"""),"73341")</f>
        <v>73341</v>
      </c>
      <c r="B5001" s="64">
        <f>IFERROR(__xludf.DUMMYFUNCTION("""COMPUTED_VALUE"""),44635.0)</f>
        <v>44635</v>
      </c>
      <c r="C5001" s="5"/>
      <c r="D5001" s="5"/>
      <c r="E5001" s="5"/>
      <c r="F5001" s="22">
        <f>IFERROR(__xludf.DUMMYFUNCTION("""COMPUTED_VALUE"""),500000.0)</f>
        <v>500000</v>
      </c>
      <c r="G5001" s="22">
        <f>IFERROR(__xludf.DUMMYFUNCTION("""COMPUTED_VALUE"""),0.0)</f>
        <v>0</v>
      </c>
      <c r="H5001" s="22">
        <f>IFERROR(__xludf.DUMMYFUNCTION("""COMPUTED_VALUE"""),500000.0)</f>
        <v>500000</v>
      </c>
      <c r="I5001" s="24">
        <f>IFERROR(__xludf.DUMMYFUNCTION("""COMPUTED_VALUE"""),0.0)</f>
        <v>0</v>
      </c>
    </row>
    <row r="5002">
      <c r="A5002" s="5" t="str">
        <f>IFERROR(__xludf.DUMMYFUNCTION("""COMPUTED_VALUE"""),"73341")</f>
        <v>73341</v>
      </c>
      <c r="B5002" s="64">
        <f>IFERROR(__xludf.DUMMYFUNCTION("""COMPUTED_VALUE"""),44636.0)</f>
        <v>44636</v>
      </c>
      <c r="C5002" s="5"/>
      <c r="D5002" s="5"/>
      <c r="E5002" s="5"/>
      <c r="F5002" s="22">
        <f>IFERROR(__xludf.DUMMYFUNCTION("""COMPUTED_VALUE"""),500000.0)</f>
        <v>500000</v>
      </c>
      <c r="G5002" s="22">
        <f>IFERROR(__xludf.DUMMYFUNCTION("""COMPUTED_VALUE"""),0.0)</f>
        <v>0</v>
      </c>
      <c r="H5002" s="22">
        <f>IFERROR(__xludf.DUMMYFUNCTION("""COMPUTED_VALUE"""),500000.0)</f>
        <v>500000</v>
      </c>
      <c r="I5002" s="24">
        <f>IFERROR(__xludf.DUMMYFUNCTION("""COMPUTED_VALUE"""),0.0)</f>
        <v>0</v>
      </c>
    </row>
    <row r="5003">
      <c r="A5003" s="5" t="str">
        <f>IFERROR(__xludf.DUMMYFUNCTION("""COMPUTED_VALUE"""),"73341")</f>
        <v>73341</v>
      </c>
      <c r="B5003" s="64">
        <f>IFERROR(__xludf.DUMMYFUNCTION("""COMPUTED_VALUE"""),44637.0)</f>
        <v>44637</v>
      </c>
      <c r="C5003" s="5"/>
      <c r="D5003" s="5"/>
      <c r="E5003" s="5"/>
      <c r="F5003" s="22">
        <f>IFERROR(__xludf.DUMMYFUNCTION("""COMPUTED_VALUE"""),500000.0)</f>
        <v>500000</v>
      </c>
      <c r="G5003" s="22">
        <f>IFERROR(__xludf.DUMMYFUNCTION("""COMPUTED_VALUE"""),0.0)</f>
        <v>0</v>
      </c>
      <c r="H5003" s="22">
        <f>IFERROR(__xludf.DUMMYFUNCTION("""COMPUTED_VALUE"""),500000.0)</f>
        <v>500000</v>
      </c>
      <c r="I5003" s="24">
        <f>IFERROR(__xludf.DUMMYFUNCTION("""COMPUTED_VALUE"""),0.0)</f>
        <v>0</v>
      </c>
    </row>
    <row r="5004">
      <c r="A5004" s="5" t="str">
        <f>IFERROR(__xludf.DUMMYFUNCTION("""COMPUTED_VALUE"""),"73341")</f>
        <v>73341</v>
      </c>
      <c r="B5004" s="64">
        <f>IFERROR(__xludf.DUMMYFUNCTION("""COMPUTED_VALUE"""),44638.0)</f>
        <v>44638</v>
      </c>
      <c r="C5004" s="5"/>
      <c r="D5004" s="5"/>
      <c r="E5004" s="5"/>
      <c r="F5004" s="22">
        <f>IFERROR(__xludf.DUMMYFUNCTION("""COMPUTED_VALUE"""),500000.0)</f>
        <v>500000</v>
      </c>
      <c r="G5004" s="22">
        <f>IFERROR(__xludf.DUMMYFUNCTION("""COMPUTED_VALUE"""),0.0)</f>
        <v>0</v>
      </c>
      <c r="H5004" s="22">
        <f>IFERROR(__xludf.DUMMYFUNCTION("""COMPUTED_VALUE"""),500000.0)</f>
        <v>500000</v>
      </c>
      <c r="I5004" s="24">
        <f>IFERROR(__xludf.DUMMYFUNCTION("""COMPUTED_VALUE"""),0.0)</f>
        <v>0</v>
      </c>
    </row>
    <row r="5005">
      <c r="A5005" s="5" t="str">
        <f>IFERROR(__xludf.DUMMYFUNCTION("""COMPUTED_VALUE"""),"73341")</f>
        <v>73341</v>
      </c>
      <c r="B5005" s="64">
        <f>IFERROR(__xludf.DUMMYFUNCTION("""COMPUTED_VALUE"""),44639.0)</f>
        <v>44639</v>
      </c>
      <c r="C5005" s="5"/>
      <c r="D5005" s="5"/>
      <c r="E5005" s="5"/>
      <c r="F5005" s="22">
        <f>IFERROR(__xludf.DUMMYFUNCTION("""COMPUTED_VALUE"""),500000.0)</f>
        <v>500000</v>
      </c>
      <c r="G5005" s="22">
        <f>IFERROR(__xludf.DUMMYFUNCTION("""COMPUTED_VALUE"""),0.0)</f>
        <v>0</v>
      </c>
      <c r="H5005" s="22">
        <f>IFERROR(__xludf.DUMMYFUNCTION("""COMPUTED_VALUE"""),500000.0)</f>
        <v>500000</v>
      </c>
      <c r="I5005" s="24">
        <f>IFERROR(__xludf.DUMMYFUNCTION("""COMPUTED_VALUE"""),0.0)</f>
        <v>0</v>
      </c>
    </row>
    <row r="5006">
      <c r="A5006" s="5" t="str">
        <f>IFERROR(__xludf.DUMMYFUNCTION("""COMPUTED_VALUE"""),"73341")</f>
        <v>73341</v>
      </c>
      <c r="B5006" s="64">
        <f>IFERROR(__xludf.DUMMYFUNCTION("""COMPUTED_VALUE"""),44640.0)</f>
        <v>44640</v>
      </c>
      <c r="C5006" s="5"/>
      <c r="D5006" s="5"/>
      <c r="E5006" s="5"/>
      <c r="F5006" s="22">
        <f>IFERROR(__xludf.DUMMYFUNCTION("""COMPUTED_VALUE"""),500000.0)</f>
        <v>500000</v>
      </c>
      <c r="G5006" s="22">
        <f>IFERROR(__xludf.DUMMYFUNCTION("""COMPUTED_VALUE"""),0.0)</f>
        <v>0</v>
      </c>
      <c r="H5006" s="22">
        <f>IFERROR(__xludf.DUMMYFUNCTION("""COMPUTED_VALUE"""),500000.0)</f>
        <v>500000</v>
      </c>
      <c r="I5006" s="24">
        <f>IFERROR(__xludf.DUMMYFUNCTION("""COMPUTED_VALUE"""),0.0)</f>
        <v>0</v>
      </c>
    </row>
    <row r="5007">
      <c r="A5007" s="5" t="str">
        <f>IFERROR(__xludf.DUMMYFUNCTION("""COMPUTED_VALUE"""),"73341")</f>
        <v>73341</v>
      </c>
      <c r="B5007" s="64">
        <f>IFERROR(__xludf.DUMMYFUNCTION("""COMPUTED_VALUE"""),44641.0)</f>
        <v>44641</v>
      </c>
      <c r="C5007" s="5"/>
      <c r="D5007" s="5"/>
      <c r="E5007" s="5"/>
      <c r="F5007" s="22">
        <f>IFERROR(__xludf.DUMMYFUNCTION("""COMPUTED_VALUE"""),500000.0)</f>
        <v>500000</v>
      </c>
      <c r="G5007" s="22">
        <f>IFERROR(__xludf.DUMMYFUNCTION("""COMPUTED_VALUE"""),0.0)</f>
        <v>0</v>
      </c>
      <c r="H5007" s="22">
        <f>IFERROR(__xludf.DUMMYFUNCTION("""COMPUTED_VALUE"""),500000.0)</f>
        <v>500000</v>
      </c>
      <c r="I5007" s="24">
        <f>IFERROR(__xludf.DUMMYFUNCTION("""COMPUTED_VALUE"""),0.0)</f>
        <v>0</v>
      </c>
    </row>
    <row r="5008">
      <c r="A5008" s="5" t="str">
        <f>IFERROR(__xludf.DUMMYFUNCTION("""COMPUTED_VALUE"""),"73341")</f>
        <v>73341</v>
      </c>
      <c r="B5008" s="64">
        <f>IFERROR(__xludf.DUMMYFUNCTION("""COMPUTED_VALUE"""),44642.0)</f>
        <v>44642</v>
      </c>
      <c r="C5008" s="5"/>
      <c r="D5008" s="5"/>
      <c r="E5008" s="5"/>
      <c r="F5008" s="22">
        <f>IFERROR(__xludf.DUMMYFUNCTION("""COMPUTED_VALUE"""),500000.0)</f>
        <v>500000</v>
      </c>
      <c r="G5008" s="22">
        <f>IFERROR(__xludf.DUMMYFUNCTION("""COMPUTED_VALUE"""),0.0)</f>
        <v>0</v>
      </c>
      <c r="H5008" s="22">
        <f>IFERROR(__xludf.DUMMYFUNCTION("""COMPUTED_VALUE"""),500000.0)</f>
        <v>500000</v>
      </c>
      <c r="I5008" s="24">
        <f>IFERROR(__xludf.DUMMYFUNCTION("""COMPUTED_VALUE"""),0.0)</f>
        <v>0</v>
      </c>
    </row>
    <row r="5009">
      <c r="A5009" s="5" t="str">
        <f>IFERROR(__xludf.DUMMYFUNCTION("""COMPUTED_VALUE"""),"73341")</f>
        <v>73341</v>
      </c>
      <c r="B5009" s="64">
        <f>IFERROR(__xludf.DUMMYFUNCTION("""COMPUTED_VALUE"""),44643.0)</f>
        <v>44643</v>
      </c>
      <c r="C5009" s="5"/>
      <c r="D5009" s="5"/>
      <c r="E5009" s="5"/>
      <c r="F5009" s="22">
        <f>IFERROR(__xludf.DUMMYFUNCTION("""COMPUTED_VALUE"""),500000.0)</f>
        <v>500000</v>
      </c>
      <c r="G5009" s="22">
        <f>IFERROR(__xludf.DUMMYFUNCTION("""COMPUTED_VALUE"""),0.0)</f>
        <v>0</v>
      </c>
      <c r="H5009" s="22">
        <f>IFERROR(__xludf.DUMMYFUNCTION("""COMPUTED_VALUE"""),500000.0)</f>
        <v>500000</v>
      </c>
      <c r="I5009" s="24">
        <f>IFERROR(__xludf.DUMMYFUNCTION("""COMPUTED_VALUE"""),0.0)</f>
        <v>0</v>
      </c>
    </row>
    <row r="5010">
      <c r="A5010" s="5" t="str">
        <f>IFERROR(__xludf.DUMMYFUNCTION("""COMPUTED_VALUE"""),"73341")</f>
        <v>73341</v>
      </c>
      <c r="B5010" s="64">
        <f>IFERROR(__xludf.DUMMYFUNCTION("""COMPUTED_VALUE"""),44644.0)</f>
        <v>44644</v>
      </c>
      <c r="C5010" s="5"/>
      <c r="D5010" s="5"/>
      <c r="E5010" s="5"/>
      <c r="F5010" s="22">
        <f>IFERROR(__xludf.DUMMYFUNCTION("""COMPUTED_VALUE"""),500000.0)</f>
        <v>500000</v>
      </c>
      <c r="G5010" s="22">
        <f>IFERROR(__xludf.DUMMYFUNCTION("""COMPUTED_VALUE"""),0.0)</f>
        <v>0</v>
      </c>
      <c r="H5010" s="22">
        <f>IFERROR(__xludf.DUMMYFUNCTION("""COMPUTED_VALUE"""),500000.0)</f>
        <v>500000</v>
      </c>
      <c r="I5010" s="24">
        <f>IFERROR(__xludf.DUMMYFUNCTION("""COMPUTED_VALUE"""),0.0)</f>
        <v>0</v>
      </c>
    </row>
    <row r="5011">
      <c r="A5011" s="5" t="str">
        <f>IFERROR(__xludf.DUMMYFUNCTION("""COMPUTED_VALUE"""),"73341")</f>
        <v>73341</v>
      </c>
      <c r="B5011" s="64">
        <f>IFERROR(__xludf.DUMMYFUNCTION("""COMPUTED_VALUE"""),44645.0)</f>
        <v>44645</v>
      </c>
      <c r="C5011" s="5"/>
      <c r="D5011" s="5"/>
      <c r="E5011" s="5"/>
      <c r="F5011" s="22">
        <f>IFERROR(__xludf.DUMMYFUNCTION("""COMPUTED_VALUE"""),500000.0)</f>
        <v>500000</v>
      </c>
      <c r="G5011" s="22">
        <f>IFERROR(__xludf.DUMMYFUNCTION("""COMPUTED_VALUE"""),0.0)</f>
        <v>0</v>
      </c>
      <c r="H5011" s="22">
        <f>IFERROR(__xludf.DUMMYFUNCTION("""COMPUTED_VALUE"""),500000.0)</f>
        <v>500000</v>
      </c>
      <c r="I5011" s="24">
        <f>IFERROR(__xludf.DUMMYFUNCTION("""COMPUTED_VALUE"""),0.0)</f>
        <v>0</v>
      </c>
    </row>
    <row r="5012">
      <c r="A5012" s="5" t="str">
        <f>IFERROR(__xludf.DUMMYFUNCTION("""COMPUTED_VALUE"""),"73341")</f>
        <v>73341</v>
      </c>
      <c r="B5012" s="64">
        <f>IFERROR(__xludf.DUMMYFUNCTION("""COMPUTED_VALUE"""),44646.0)</f>
        <v>44646</v>
      </c>
      <c r="C5012" s="5"/>
      <c r="D5012" s="5"/>
      <c r="E5012" s="5"/>
      <c r="F5012" s="22">
        <f>IFERROR(__xludf.DUMMYFUNCTION("""COMPUTED_VALUE"""),500000.0)</f>
        <v>500000</v>
      </c>
      <c r="G5012" s="22">
        <f>IFERROR(__xludf.DUMMYFUNCTION("""COMPUTED_VALUE"""),0.0)</f>
        <v>0</v>
      </c>
      <c r="H5012" s="22">
        <f>IFERROR(__xludf.DUMMYFUNCTION("""COMPUTED_VALUE"""),500000.0)</f>
        <v>500000</v>
      </c>
      <c r="I5012" s="24">
        <f>IFERROR(__xludf.DUMMYFUNCTION("""COMPUTED_VALUE"""),0.0)</f>
        <v>0</v>
      </c>
    </row>
    <row r="5013">
      <c r="A5013" s="5" t="str">
        <f>IFERROR(__xludf.DUMMYFUNCTION("""COMPUTED_VALUE"""),"73341")</f>
        <v>73341</v>
      </c>
      <c r="B5013" s="64">
        <f>IFERROR(__xludf.DUMMYFUNCTION("""COMPUTED_VALUE"""),44647.0)</f>
        <v>44647</v>
      </c>
      <c r="C5013" s="5"/>
      <c r="D5013" s="5"/>
      <c r="E5013" s="5"/>
      <c r="F5013" s="22">
        <f>IFERROR(__xludf.DUMMYFUNCTION("""COMPUTED_VALUE"""),500000.0)</f>
        <v>500000</v>
      </c>
      <c r="G5013" s="22">
        <f>IFERROR(__xludf.DUMMYFUNCTION("""COMPUTED_VALUE"""),0.0)</f>
        <v>0</v>
      </c>
      <c r="H5013" s="22">
        <f>IFERROR(__xludf.DUMMYFUNCTION("""COMPUTED_VALUE"""),500000.0)</f>
        <v>500000</v>
      </c>
      <c r="I5013" s="24">
        <f>IFERROR(__xludf.DUMMYFUNCTION("""COMPUTED_VALUE"""),0.0)</f>
        <v>0</v>
      </c>
    </row>
    <row r="5014">
      <c r="A5014" s="5" t="str">
        <f>IFERROR(__xludf.DUMMYFUNCTION("""COMPUTED_VALUE"""),"73341")</f>
        <v>73341</v>
      </c>
      <c r="B5014" s="64">
        <f>IFERROR(__xludf.DUMMYFUNCTION("""COMPUTED_VALUE"""),44648.0)</f>
        <v>44648</v>
      </c>
      <c r="C5014" s="5"/>
      <c r="D5014" s="5"/>
      <c r="E5014" s="5"/>
      <c r="F5014" s="22">
        <f>IFERROR(__xludf.DUMMYFUNCTION("""COMPUTED_VALUE"""),500000.0)</f>
        <v>500000</v>
      </c>
      <c r="G5014" s="22">
        <f>IFERROR(__xludf.DUMMYFUNCTION("""COMPUTED_VALUE"""),0.0)</f>
        <v>0</v>
      </c>
      <c r="H5014" s="22">
        <f>IFERROR(__xludf.DUMMYFUNCTION("""COMPUTED_VALUE"""),500000.0)</f>
        <v>500000</v>
      </c>
      <c r="I5014" s="24">
        <f>IFERROR(__xludf.DUMMYFUNCTION("""COMPUTED_VALUE"""),0.0)</f>
        <v>0</v>
      </c>
    </row>
    <row r="5015">
      <c r="A5015" s="5" t="str">
        <f>IFERROR(__xludf.DUMMYFUNCTION("""COMPUTED_VALUE"""),"73341")</f>
        <v>73341</v>
      </c>
      <c r="B5015" s="64">
        <f>IFERROR(__xludf.DUMMYFUNCTION("""COMPUTED_VALUE"""),44649.0)</f>
        <v>44649</v>
      </c>
      <c r="C5015" s="5"/>
      <c r="D5015" s="5"/>
      <c r="E5015" s="5"/>
      <c r="F5015" s="22">
        <f>IFERROR(__xludf.DUMMYFUNCTION("""COMPUTED_VALUE"""),500000.0)</f>
        <v>500000</v>
      </c>
      <c r="G5015" s="22">
        <f>IFERROR(__xludf.DUMMYFUNCTION("""COMPUTED_VALUE"""),0.0)</f>
        <v>0</v>
      </c>
      <c r="H5015" s="22">
        <f>IFERROR(__xludf.DUMMYFUNCTION("""COMPUTED_VALUE"""),500000.0)</f>
        <v>500000</v>
      </c>
      <c r="I5015" s="24">
        <f>IFERROR(__xludf.DUMMYFUNCTION("""COMPUTED_VALUE"""),0.0)</f>
        <v>0</v>
      </c>
    </row>
    <row r="5016">
      <c r="A5016" s="5" t="str">
        <f>IFERROR(__xludf.DUMMYFUNCTION("""COMPUTED_VALUE"""),"73341")</f>
        <v>73341</v>
      </c>
      <c r="B5016" s="64">
        <f>IFERROR(__xludf.DUMMYFUNCTION("""COMPUTED_VALUE"""),44650.0)</f>
        <v>44650</v>
      </c>
      <c r="C5016" s="5"/>
      <c r="D5016" s="5"/>
      <c r="E5016" s="5"/>
      <c r="F5016" s="22">
        <f>IFERROR(__xludf.DUMMYFUNCTION("""COMPUTED_VALUE"""),500000.0)</f>
        <v>500000</v>
      </c>
      <c r="G5016" s="22">
        <f>IFERROR(__xludf.DUMMYFUNCTION("""COMPUTED_VALUE"""),0.0)</f>
        <v>0</v>
      </c>
      <c r="H5016" s="22">
        <f>IFERROR(__xludf.DUMMYFUNCTION("""COMPUTED_VALUE"""),500000.0)</f>
        <v>500000</v>
      </c>
      <c r="I5016" s="24">
        <f>IFERROR(__xludf.DUMMYFUNCTION("""COMPUTED_VALUE"""),0.0)</f>
        <v>0</v>
      </c>
    </row>
    <row r="5017">
      <c r="A5017" s="5" t="str">
        <f>IFERROR(__xludf.DUMMYFUNCTION("""COMPUTED_VALUE"""),"73341")</f>
        <v>73341</v>
      </c>
      <c r="B5017" s="64">
        <f>IFERROR(__xludf.DUMMYFUNCTION("""COMPUTED_VALUE"""),44651.0)</f>
        <v>44651</v>
      </c>
      <c r="C5017" s="5"/>
      <c r="D5017" s="5"/>
      <c r="E5017" s="5"/>
      <c r="F5017" s="22">
        <f>IFERROR(__xludf.DUMMYFUNCTION("""COMPUTED_VALUE"""),500000.0)</f>
        <v>500000</v>
      </c>
      <c r="G5017" s="22">
        <f>IFERROR(__xludf.DUMMYFUNCTION("""COMPUTED_VALUE"""),0.0)</f>
        <v>0</v>
      </c>
      <c r="H5017" s="22">
        <f>IFERROR(__xludf.DUMMYFUNCTION("""COMPUTED_VALUE"""),500000.0)</f>
        <v>500000</v>
      </c>
      <c r="I5017" s="24">
        <f>IFERROR(__xludf.DUMMYFUNCTION("""COMPUTED_VALUE"""),0.0)</f>
        <v>0</v>
      </c>
    </row>
    <row r="5018">
      <c r="A5018" s="5" t="str">
        <f>IFERROR(__xludf.DUMMYFUNCTION("""COMPUTED_VALUE"""),"73341")</f>
        <v>73341</v>
      </c>
      <c r="B5018" s="64">
        <f>IFERROR(__xludf.DUMMYFUNCTION("""COMPUTED_VALUE"""),44652.0)</f>
        <v>44652</v>
      </c>
      <c r="C5018" s="5"/>
      <c r="D5018" s="5"/>
      <c r="E5018" s="5"/>
      <c r="F5018" s="22">
        <f>IFERROR(__xludf.DUMMYFUNCTION("""COMPUTED_VALUE"""),449654.9914361)</f>
        <v>449654.9914</v>
      </c>
      <c r="G5018" s="22">
        <f>IFERROR(__xludf.DUMMYFUNCTION("""COMPUTED_VALUE"""),0.0)</f>
        <v>0</v>
      </c>
      <c r="H5018" s="22">
        <f>IFERROR(__xludf.DUMMYFUNCTION("""COMPUTED_VALUE"""),499983.78668957)</f>
        <v>499983.7867</v>
      </c>
      <c r="I5018" s="24">
        <f>IFERROR(__xludf.DUMMYFUNCTION("""COMPUTED_VALUE"""),-3.242662086000436E-5)</f>
        <v>-0.00003242662086</v>
      </c>
    </row>
    <row r="5019">
      <c r="A5019" s="5" t="str">
        <f>IFERROR(__xludf.DUMMYFUNCTION("""COMPUTED_VALUE"""),"73341")</f>
        <v>73341</v>
      </c>
      <c r="B5019" s="64">
        <f>IFERROR(__xludf.DUMMYFUNCTION("""COMPUTED_VALUE"""),44653.0)</f>
        <v>44653</v>
      </c>
      <c r="C5019" s="5"/>
      <c r="D5019" s="5"/>
      <c r="E5019" s="5"/>
      <c r="F5019" s="22">
        <f>IFERROR(__xludf.DUMMYFUNCTION("""COMPUTED_VALUE"""),449654.9914361)</f>
        <v>449654.9914</v>
      </c>
      <c r="G5019" s="22">
        <f>IFERROR(__xludf.DUMMYFUNCTION("""COMPUTED_VALUE"""),0.0)</f>
        <v>0</v>
      </c>
      <c r="H5019" s="22">
        <f>IFERROR(__xludf.DUMMYFUNCTION("""COMPUTED_VALUE"""),499983.78668957)</f>
        <v>499983.7867</v>
      </c>
      <c r="I5019" s="24">
        <f>IFERROR(__xludf.DUMMYFUNCTION("""COMPUTED_VALUE"""),-3.242662086000436E-5)</f>
        <v>-0.00003242662086</v>
      </c>
    </row>
    <row r="5020">
      <c r="A5020" s="5" t="str">
        <f>IFERROR(__xludf.DUMMYFUNCTION("""COMPUTED_VALUE"""),"73341")</f>
        <v>73341</v>
      </c>
      <c r="B5020" s="64">
        <f>IFERROR(__xludf.DUMMYFUNCTION("""COMPUTED_VALUE"""),44654.0)</f>
        <v>44654</v>
      </c>
      <c r="C5020" s="5"/>
      <c r="D5020" s="5"/>
      <c r="E5020" s="5"/>
      <c r="F5020" s="22">
        <f>IFERROR(__xludf.DUMMYFUNCTION("""COMPUTED_VALUE"""),449654.9914361)</f>
        <v>449654.9914</v>
      </c>
      <c r="G5020" s="22">
        <f>IFERROR(__xludf.DUMMYFUNCTION("""COMPUTED_VALUE"""),0.0)</f>
        <v>0</v>
      </c>
      <c r="H5020" s="22">
        <f>IFERROR(__xludf.DUMMYFUNCTION("""COMPUTED_VALUE"""),499983.78668957)</f>
        <v>499983.7867</v>
      </c>
      <c r="I5020" s="24">
        <f>IFERROR(__xludf.DUMMYFUNCTION("""COMPUTED_VALUE"""),-3.242662086000436E-5)</f>
        <v>-0.00003242662086</v>
      </c>
    </row>
    <row r="5021">
      <c r="A5021" s="5" t="str">
        <f>IFERROR(__xludf.DUMMYFUNCTION("""COMPUTED_VALUE"""),"73341")</f>
        <v>73341</v>
      </c>
      <c r="B5021" s="64">
        <f>IFERROR(__xludf.DUMMYFUNCTION("""COMPUTED_VALUE"""),44655.0)</f>
        <v>44655</v>
      </c>
      <c r="C5021" s="5"/>
      <c r="D5021" s="5"/>
      <c r="E5021" s="5"/>
      <c r="F5021" s="22">
        <f>IFERROR(__xludf.DUMMYFUNCTION("""COMPUTED_VALUE"""),449654.9914361)</f>
        <v>449654.9914</v>
      </c>
      <c r="G5021" s="22">
        <f>IFERROR(__xludf.DUMMYFUNCTION("""COMPUTED_VALUE"""),0.0)</f>
        <v>0</v>
      </c>
      <c r="H5021" s="22">
        <f>IFERROR(__xludf.DUMMYFUNCTION("""COMPUTED_VALUE"""),500319.805155755)</f>
        <v>500319.8052</v>
      </c>
      <c r="I5021" s="24">
        <f>IFERROR(__xludf.DUMMYFUNCTION("""COMPUTED_VALUE"""),6.396103115100527E-4)</f>
        <v>0.0006396103115</v>
      </c>
    </row>
    <row r="5022">
      <c r="A5022" s="5" t="str">
        <f>IFERROR(__xludf.DUMMYFUNCTION("""COMPUTED_VALUE"""),"73341")</f>
        <v>73341</v>
      </c>
      <c r="B5022" s="64">
        <f>IFERROR(__xludf.DUMMYFUNCTION("""COMPUTED_VALUE"""),44656.0)</f>
        <v>44656</v>
      </c>
      <c r="C5022" s="5"/>
      <c r="D5022" s="5"/>
      <c r="E5022" s="5"/>
      <c r="F5022" s="22">
        <f>IFERROR(__xludf.DUMMYFUNCTION("""COMPUTED_VALUE"""),449654.9914361)</f>
        <v>449654.9914</v>
      </c>
      <c r="G5022" s="22">
        <f>IFERROR(__xludf.DUMMYFUNCTION("""COMPUTED_VALUE"""),0.0)</f>
        <v>0</v>
      </c>
      <c r="H5022" s="22">
        <f>IFERROR(__xludf.DUMMYFUNCTION("""COMPUTED_VALUE"""),500319.805155755)</f>
        <v>500319.8052</v>
      </c>
      <c r="I5022" s="24">
        <f>IFERROR(__xludf.DUMMYFUNCTION("""COMPUTED_VALUE"""),6.396103115100527E-4)</f>
        <v>0.0006396103115</v>
      </c>
    </row>
    <row r="5023">
      <c r="A5023" s="5" t="str">
        <f>IFERROR(__xludf.DUMMYFUNCTION("""COMPUTED_VALUE"""),"73341")</f>
        <v>73341</v>
      </c>
      <c r="B5023" s="64">
        <f>IFERROR(__xludf.DUMMYFUNCTION("""COMPUTED_VALUE"""),44657.0)</f>
        <v>44657</v>
      </c>
      <c r="C5023" s="5"/>
      <c r="D5023" s="5"/>
      <c r="E5023" s="5"/>
      <c r="F5023" s="22">
        <f>IFERROR(__xludf.DUMMYFUNCTION("""COMPUTED_VALUE"""),449654.9914361)</f>
        <v>449654.9914</v>
      </c>
      <c r="G5023" s="22">
        <f>IFERROR(__xludf.DUMMYFUNCTION("""COMPUTED_VALUE"""),0.0)</f>
        <v>0</v>
      </c>
      <c r="H5023" s="22">
        <f>IFERROR(__xludf.DUMMYFUNCTION("""COMPUTED_VALUE"""),500049.34350113)</f>
        <v>500049.3435</v>
      </c>
      <c r="I5023" s="24">
        <f>IFERROR(__xludf.DUMMYFUNCTION("""COMPUTED_VALUE"""),9.868700225990068E-5)</f>
        <v>0.00009868700226</v>
      </c>
    </row>
    <row r="5024">
      <c r="A5024" s="5" t="str">
        <f>IFERROR(__xludf.DUMMYFUNCTION("""COMPUTED_VALUE"""),"73341")</f>
        <v>73341</v>
      </c>
      <c r="B5024" s="64">
        <f>IFERROR(__xludf.DUMMYFUNCTION("""COMPUTED_VALUE"""),44658.0)</f>
        <v>44658</v>
      </c>
      <c r="C5024" s="5"/>
      <c r="D5024" s="5"/>
      <c r="E5024" s="5"/>
      <c r="F5024" s="22">
        <f>IFERROR(__xludf.DUMMYFUNCTION("""COMPUTED_VALUE"""),449654.9914361)</f>
        <v>449654.9914</v>
      </c>
      <c r="G5024" s="22">
        <f>IFERROR(__xludf.DUMMYFUNCTION("""COMPUTED_VALUE"""),0.0)</f>
        <v>0</v>
      </c>
      <c r="H5024" s="22">
        <f>IFERROR(__xludf.DUMMYFUNCTION("""COMPUTED_VALUE"""),499848.75823523)</f>
        <v>499848.7582</v>
      </c>
      <c r="I5024" s="24">
        <f>IFERROR(__xludf.DUMMYFUNCTION("""COMPUTED_VALUE"""),-3.0248352953998747E-4)</f>
        <v>-0.0003024835295</v>
      </c>
    </row>
    <row r="5025">
      <c r="A5025" s="5" t="str">
        <f>IFERROR(__xludf.DUMMYFUNCTION("""COMPUTED_VALUE"""),"73341")</f>
        <v>73341</v>
      </c>
      <c r="B5025" s="64">
        <f>IFERROR(__xludf.DUMMYFUNCTION("""COMPUTED_VALUE"""),44659.0)</f>
        <v>44659</v>
      </c>
      <c r="C5025" s="5"/>
      <c r="D5025" s="5"/>
      <c r="E5025" s="5"/>
      <c r="F5025" s="22">
        <f>IFERROR(__xludf.DUMMYFUNCTION("""COMPUTED_VALUE"""),449654.9914361)</f>
        <v>449654.9914</v>
      </c>
      <c r="G5025" s="22">
        <f>IFERROR(__xludf.DUMMYFUNCTION("""COMPUTED_VALUE"""),0.0)</f>
        <v>0</v>
      </c>
      <c r="H5025" s="22">
        <f>IFERROR(__xludf.DUMMYFUNCTION("""COMPUTED_VALUE"""),499705.109092745)</f>
        <v>499705.1091</v>
      </c>
      <c r="I5025" s="24">
        <f>IFERROR(__xludf.DUMMYFUNCTION("""COMPUTED_VALUE"""),-5.897818145099709E-4)</f>
        <v>-0.0005897818145</v>
      </c>
    </row>
    <row r="5026">
      <c r="A5026" s="5" t="str">
        <f>IFERROR(__xludf.DUMMYFUNCTION("""COMPUTED_VALUE"""),"73341")</f>
        <v>73341</v>
      </c>
      <c r="B5026" s="64">
        <f>IFERROR(__xludf.DUMMYFUNCTION("""COMPUTED_VALUE"""),44660.0)</f>
        <v>44660</v>
      </c>
      <c r="C5026" s="5"/>
      <c r="D5026" s="5"/>
      <c r="E5026" s="5"/>
      <c r="F5026" s="22">
        <f>IFERROR(__xludf.DUMMYFUNCTION("""COMPUTED_VALUE"""),449654.9914361)</f>
        <v>449654.9914</v>
      </c>
      <c r="G5026" s="22">
        <f>IFERROR(__xludf.DUMMYFUNCTION("""COMPUTED_VALUE"""),0.0)</f>
        <v>0</v>
      </c>
      <c r="H5026" s="22">
        <f>IFERROR(__xludf.DUMMYFUNCTION("""COMPUTED_VALUE"""),499705.109092745)</f>
        <v>499705.1091</v>
      </c>
      <c r="I5026" s="24">
        <f>IFERROR(__xludf.DUMMYFUNCTION("""COMPUTED_VALUE"""),-5.897818145099709E-4)</f>
        <v>-0.0005897818145</v>
      </c>
    </row>
    <row r="5027">
      <c r="A5027" s="5" t="str">
        <f>IFERROR(__xludf.DUMMYFUNCTION("""COMPUTED_VALUE"""),"73341")</f>
        <v>73341</v>
      </c>
      <c r="B5027" s="64">
        <f>IFERROR(__xludf.DUMMYFUNCTION("""COMPUTED_VALUE"""),44661.0)</f>
        <v>44661</v>
      </c>
      <c r="C5027" s="5"/>
      <c r="D5027" s="5"/>
      <c r="E5027" s="5"/>
      <c r="F5027" s="22">
        <f>IFERROR(__xludf.DUMMYFUNCTION("""COMPUTED_VALUE"""),449654.9914361)</f>
        <v>449654.9914</v>
      </c>
      <c r="G5027" s="22">
        <f>IFERROR(__xludf.DUMMYFUNCTION("""COMPUTED_VALUE"""),0.0)</f>
        <v>0</v>
      </c>
      <c r="H5027" s="22">
        <f>IFERROR(__xludf.DUMMYFUNCTION("""COMPUTED_VALUE"""),499705.109092745)</f>
        <v>499705.1091</v>
      </c>
      <c r="I5027" s="24">
        <f>IFERROR(__xludf.DUMMYFUNCTION("""COMPUTED_VALUE"""),-5.897818145099709E-4)</f>
        <v>-0.0005897818145</v>
      </c>
    </row>
    <row r="5028">
      <c r="A5028" s="5" t="str">
        <f>IFERROR(__xludf.DUMMYFUNCTION("""COMPUTED_VALUE"""),"73341")</f>
        <v>73341</v>
      </c>
      <c r="B5028" s="64">
        <f>IFERROR(__xludf.DUMMYFUNCTION("""COMPUTED_VALUE"""),44662.0)</f>
        <v>44662</v>
      </c>
      <c r="C5028" s="5"/>
      <c r="D5028" s="5"/>
      <c r="E5028" s="5"/>
      <c r="F5028" s="22">
        <f>IFERROR(__xludf.DUMMYFUNCTION("""COMPUTED_VALUE"""),449654.9914361)</f>
        <v>449654.9914</v>
      </c>
      <c r="G5028" s="22">
        <f>IFERROR(__xludf.DUMMYFUNCTION("""COMPUTED_VALUE"""),0.0)</f>
        <v>0</v>
      </c>
      <c r="H5028" s="22">
        <f>IFERROR(__xludf.DUMMYFUNCTION("""COMPUTED_VALUE"""),499224.702836675)</f>
        <v>499224.7028</v>
      </c>
      <c r="I5028" s="24">
        <f>IFERROR(__xludf.DUMMYFUNCTION("""COMPUTED_VALUE"""),-0.0015505943266500566)</f>
        <v>-0.001550594327</v>
      </c>
    </row>
    <row r="5029">
      <c r="A5029" s="5" t="str">
        <f>IFERROR(__xludf.DUMMYFUNCTION("""COMPUTED_VALUE"""),"73341")</f>
        <v>73341</v>
      </c>
      <c r="B5029" s="64">
        <f>IFERROR(__xludf.DUMMYFUNCTION("""COMPUTED_VALUE"""),44663.0)</f>
        <v>44663</v>
      </c>
      <c r="C5029" s="5"/>
      <c r="D5029" s="5"/>
      <c r="E5029" s="5"/>
      <c r="F5029" s="22">
        <f>IFERROR(__xludf.DUMMYFUNCTION("""COMPUTED_VALUE"""),449654.9914361)</f>
        <v>449654.9914</v>
      </c>
      <c r="G5029" s="22">
        <f>IFERROR(__xludf.DUMMYFUNCTION("""COMPUTED_VALUE"""),0.0)</f>
        <v>0</v>
      </c>
      <c r="H5029" s="22">
        <f>IFERROR(__xludf.DUMMYFUNCTION("""COMPUTED_VALUE"""),499605.600517595)</f>
        <v>499605.6005</v>
      </c>
      <c r="I5029" s="24">
        <f>IFERROR(__xludf.DUMMYFUNCTION("""COMPUTED_VALUE"""),-7.887989648099891E-4)</f>
        <v>-0.0007887989648</v>
      </c>
    </row>
    <row r="5030">
      <c r="A5030" s="5" t="str">
        <f>IFERROR(__xludf.DUMMYFUNCTION("""COMPUTED_VALUE"""),"73542")</f>
        <v>73542</v>
      </c>
      <c r="B5030" s="64">
        <f>IFERROR(__xludf.DUMMYFUNCTION("""COMPUTED_VALUE"""),44597.0)</f>
        <v>44597</v>
      </c>
      <c r="C5030" s="5"/>
      <c r="D5030" s="5"/>
      <c r="E5030" s="5"/>
      <c r="F5030" s="22">
        <f>IFERROR(__xludf.DUMMYFUNCTION("""COMPUTED_VALUE"""),500000.0)</f>
        <v>500000</v>
      </c>
      <c r="G5030" s="22">
        <f>IFERROR(__xludf.DUMMYFUNCTION("""COMPUTED_VALUE"""),0.0)</f>
        <v>0</v>
      </c>
      <c r="H5030" s="22">
        <f>IFERROR(__xludf.DUMMYFUNCTION("""COMPUTED_VALUE"""),500000.0)</f>
        <v>500000</v>
      </c>
      <c r="I5030" s="24">
        <f>IFERROR(__xludf.DUMMYFUNCTION("""COMPUTED_VALUE"""),0.0)</f>
        <v>0</v>
      </c>
    </row>
    <row r="5031">
      <c r="A5031" s="5" t="str">
        <f>IFERROR(__xludf.DUMMYFUNCTION("""COMPUTED_VALUE"""),"73542")</f>
        <v>73542</v>
      </c>
      <c r="B5031" s="64">
        <f>IFERROR(__xludf.DUMMYFUNCTION("""COMPUTED_VALUE"""),44598.0)</f>
        <v>44598</v>
      </c>
      <c r="C5031" s="5"/>
      <c r="D5031" s="5"/>
      <c r="E5031" s="5"/>
      <c r="F5031" s="22">
        <f>IFERROR(__xludf.DUMMYFUNCTION("""COMPUTED_VALUE"""),500000.0)</f>
        <v>500000</v>
      </c>
      <c r="G5031" s="22">
        <f>IFERROR(__xludf.DUMMYFUNCTION("""COMPUTED_VALUE"""),0.0)</f>
        <v>0</v>
      </c>
      <c r="H5031" s="22">
        <f>IFERROR(__xludf.DUMMYFUNCTION("""COMPUTED_VALUE"""),500000.0)</f>
        <v>500000</v>
      </c>
      <c r="I5031" s="24">
        <f>IFERROR(__xludf.DUMMYFUNCTION("""COMPUTED_VALUE"""),0.0)</f>
        <v>0</v>
      </c>
    </row>
    <row r="5032">
      <c r="A5032" s="5" t="str">
        <f>IFERROR(__xludf.DUMMYFUNCTION("""COMPUTED_VALUE"""),"73542")</f>
        <v>73542</v>
      </c>
      <c r="B5032" s="64">
        <f>IFERROR(__xludf.DUMMYFUNCTION("""COMPUTED_VALUE"""),44599.0)</f>
        <v>44599</v>
      </c>
      <c r="C5032" s="5"/>
      <c r="D5032" s="5"/>
      <c r="E5032" s="5"/>
      <c r="F5032" s="22">
        <f>IFERROR(__xludf.DUMMYFUNCTION("""COMPUTED_VALUE"""),500000.0)</f>
        <v>500000</v>
      </c>
      <c r="G5032" s="22">
        <f>IFERROR(__xludf.DUMMYFUNCTION("""COMPUTED_VALUE"""),0.0)</f>
        <v>0</v>
      </c>
      <c r="H5032" s="22">
        <f>IFERROR(__xludf.DUMMYFUNCTION("""COMPUTED_VALUE"""),500000.0)</f>
        <v>500000</v>
      </c>
      <c r="I5032" s="24">
        <f>IFERROR(__xludf.DUMMYFUNCTION("""COMPUTED_VALUE"""),0.0)</f>
        <v>0</v>
      </c>
    </row>
    <row r="5033">
      <c r="A5033" s="5" t="str">
        <f>IFERROR(__xludf.DUMMYFUNCTION("""COMPUTED_VALUE"""),"73542")</f>
        <v>73542</v>
      </c>
      <c r="B5033" s="64">
        <f>IFERROR(__xludf.DUMMYFUNCTION("""COMPUTED_VALUE"""),44600.0)</f>
        <v>44600</v>
      </c>
      <c r="C5033" s="5"/>
      <c r="D5033" s="5"/>
      <c r="E5033" s="5"/>
      <c r="F5033" s="22">
        <f>IFERROR(__xludf.DUMMYFUNCTION("""COMPUTED_VALUE"""),500000.0)</f>
        <v>500000</v>
      </c>
      <c r="G5033" s="22">
        <f>IFERROR(__xludf.DUMMYFUNCTION("""COMPUTED_VALUE"""),0.0)</f>
        <v>0</v>
      </c>
      <c r="H5033" s="22">
        <f>IFERROR(__xludf.DUMMYFUNCTION("""COMPUTED_VALUE"""),500000.0)</f>
        <v>500000</v>
      </c>
      <c r="I5033" s="24">
        <f>IFERROR(__xludf.DUMMYFUNCTION("""COMPUTED_VALUE"""),0.0)</f>
        <v>0</v>
      </c>
    </row>
    <row r="5034">
      <c r="A5034" s="5" t="str">
        <f>IFERROR(__xludf.DUMMYFUNCTION("""COMPUTED_VALUE"""),"73542")</f>
        <v>73542</v>
      </c>
      <c r="B5034" s="64">
        <f>IFERROR(__xludf.DUMMYFUNCTION("""COMPUTED_VALUE"""),44601.0)</f>
        <v>44601</v>
      </c>
      <c r="C5034" s="5"/>
      <c r="D5034" s="5"/>
      <c r="E5034" s="5"/>
      <c r="F5034" s="22">
        <f>IFERROR(__xludf.DUMMYFUNCTION("""COMPUTED_VALUE"""),500000.0)</f>
        <v>500000</v>
      </c>
      <c r="G5034" s="22">
        <f>IFERROR(__xludf.DUMMYFUNCTION("""COMPUTED_VALUE"""),0.0)</f>
        <v>0</v>
      </c>
      <c r="H5034" s="22">
        <f>IFERROR(__xludf.DUMMYFUNCTION("""COMPUTED_VALUE"""),500000.0)</f>
        <v>500000</v>
      </c>
      <c r="I5034" s="24">
        <f>IFERROR(__xludf.DUMMYFUNCTION("""COMPUTED_VALUE"""),0.0)</f>
        <v>0</v>
      </c>
    </row>
    <row r="5035">
      <c r="A5035" s="5" t="str">
        <f>IFERROR(__xludf.DUMMYFUNCTION("""COMPUTED_VALUE"""),"73542")</f>
        <v>73542</v>
      </c>
      <c r="B5035" s="64">
        <f>IFERROR(__xludf.DUMMYFUNCTION("""COMPUTED_VALUE"""),44602.0)</f>
        <v>44602</v>
      </c>
      <c r="C5035" s="5"/>
      <c r="D5035" s="5"/>
      <c r="E5035" s="5"/>
      <c r="F5035" s="22">
        <f>IFERROR(__xludf.DUMMYFUNCTION("""COMPUTED_VALUE"""),500000.0)</f>
        <v>500000</v>
      </c>
      <c r="G5035" s="22">
        <f>IFERROR(__xludf.DUMMYFUNCTION("""COMPUTED_VALUE"""),0.0)</f>
        <v>0</v>
      </c>
      <c r="H5035" s="22">
        <f>IFERROR(__xludf.DUMMYFUNCTION("""COMPUTED_VALUE"""),500000.0)</f>
        <v>500000</v>
      </c>
      <c r="I5035" s="24">
        <f>IFERROR(__xludf.DUMMYFUNCTION("""COMPUTED_VALUE"""),0.0)</f>
        <v>0</v>
      </c>
    </row>
    <row r="5036">
      <c r="A5036" s="5" t="str">
        <f>IFERROR(__xludf.DUMMYFUNCTION("""COMPUTED_VALUE"""),"73542")</f>
        <v>73542</v>
      </c>
      <c r="B5036" s="64">
        <f>IFERROR(__xludf.DUMMYFUNCTION("""COMPUTED_VALUE"""),44603.0)</f>
        <v>44603</v>
      </c>
      <c r="C5036" s="5"/>
      <c r="D5036" s="5"/>
      <c r="E5036" s="5"/>
      <c r="F5036" s="22">
        <f>IFERROR(__xludf.DUMMYFUNCTION("""COMPUTED_VALUE"""),500000.0)</f>
        <v>500000</v>
      </c>
      <c r="G5036" s="22">
        <f>IFERROR(__xludf.DUMMYFUNCTION("""COMPUTED_VALUE"""),0.0)</f>
        <v>0</v>
      </c>
      <c r="H5036" s="22">
        <f>IFERROR(__xludf.DUMMYFUNCTION("""COMPUTED_VALUE"""),500000.0)</f>
        <v>500000</v>
      </c>
      <c r="I5036" s="24">
        <f>IFERROR(__xludf.DUMMYFUNCTION("""COMPUTED_VALUE"""),0.0)</f>
        <v>0</v>
      </c>
    </row>
    <row r="5037">
      <c r="A5037" s="5" t="str">
        <f>IFERROR(__xludf.DUMMYFUNCTION("""COMPUTED_VALUE"""),"73542")</f>
        <v>73542</v>
      </c>
      <c r="B5037" s="64">
        <f>IFERROR(__xludf.DUMMYFUNCTION("""COMPUTED_VALUE"""),44604.0)</f>
        <v>44604</v>
      </c>
      <c r="C5037" s="5"/>
      <c r="D5037" s="5"/>
      <c r="E5037" s="5"/>
      <c r="F5037" s="22">
        <f>IFERROR(__xludf.DUMMYFUNCTION("""COMPUTED_VALUE"""),500000.0)</f>
        <v>500000</v>
      </c>
      <c r="G5037" s="22">
        <f>IFERROR(__xludf.DUMMYFUNCTION("""COMPUTED_VALUE"""),0.0)</f>
        <v>0</v>
      </c>
      <c r="H5037" s="22">
        <f>IFERROR(__xludf.DUMMYFUNCTION("""COMPUTED_VALUE"""),500000.0)</f>
        <v>500000</v>
      </c>
      <c r="I5037" s="24">
        <f>IFERROR(__xludf.DUMMYFUNCTION("""COMPUTED_VALUE"""),0.0)</f>
        <v>0</v>
      </c>
    </row>
    <row r="5038">
      <c r="A5038" s="5" t="str">
        <f>IFERROR(__xludf.DUMMYFUNCTION("""COMPUTED_VALUE"""),"73542")</f>
        <v>73542</v>
      </c>
      <c r="B5038" s="64">
        <f>IFERROR(__xludf.DUMMYFUNCTION("""COMPUTED_VALUE"""),44605.0)</f>
        <v>44605</v>
      </c>
      <c r="C5038" s="5"/>
      <c r="D5038" s="5"/>
      <c r="E5038" s="5"/>
      <c r="F5038" s="22">
        <f>IFERROR(__xludf.DUMMYFUNCTION("""COMPUTED_VALUE"""),500000.0)</f>
        <v>500000</v>
      </c>
      <c r="G5038" s="22">
        <f>IFERROR(__xludf.DUMMYFUNCTION("""COMPUTED_VALUE"""),0.0)</f>
        <v>0</v>
      </c>
      <c r="H5038" s="22">
        <f>IFERROR(__xludf.DUMMYFUNCTION("""COMPUTED_VALUE"""),500000.0)</f>
        <v>500000</v>
      </c>
      <c r="I5038" s="24">
        <f>IFERROR(__xludf.DUMMYFUNCTION("""COMPUTED_VALUE"""),0.0)</f>
        <v>0</v>
      </c>
    </row>
    <row r="5039">
      <c r="A5039" s="5" t="str">
        <f>IFERROR(__xludf.DUMMYFUNCTION("""COMPUTED_VALUE"""),"73542")</f>
        <v>73542</v>
      </c>
      <c r="B5039" s="64">
        <f>IFERROR(__xludf.DUMMYFUNCTION("""COMPUTED_VALUE"""),44606.0)</f>
        <v>44606</v>
      </c>
      <c r="C5039" s="5"/>
      <c r="D5039" s="5"/>
      <c r="E5039" s="5"/>
      <c r="F5039" s="22">
        <f>IFERROR(__xludf.DUMMYFUNCTION("""COMPUTED_VALUE"""),500000.0)</f>
        <v>500000</v>
      </c>
      <c r="G5039" s="22">
        <f>IFERROR(__xludf.DUMMYFUNCTION("""COMPUTED_VALUE"""),0.0)</f>
        <v>0</v>
      </c>
      <c r="H5039" s="22">
        <f>IFERROR(__xludf.DUMMYFUNCTION("""COMPUTED_VALUE"""),500000.0)</f>
        <v>500000</v>
      </c>
      <c r="I5039" s="24">
        <f>IFERROR(__xludf.DUMMYFUNCTION("""COMPUTED_VALUE"""),0.0)</f>
        <v>0</v>
      </c>
    </row>
    <row r="5040">
      <c r="A5040" s="5" t="str">
        <f>IFERROR(__xludf.DUMMYFUNCTION("""COMPUTED_VALUE"""),"73542")</f>
        <v>73542</v>
      </c>
      <c r="B5040" s="64">
        <f>IFERROR(__xludf.DUMMYFUNCTION("""COMPUTED_VALUE"""),44607.0)</f>
        <v>44607</v>
      </c>
      <c r="C5040" s="5"/>
      <c r="D5040" s="5"/>
      <c r="E5040" s="5"/>
      <c r="F5040" s="22">
        <f>IFERROR(__xludf.DUMMYFUNCTION("""COMPUTED_VALUE"""),500000.0)</f>
        <v>500000</v>
      </c>
      <c r="G5040" s="22">
        <f>IFERROR(__xludf.DUMMYFUNCTION("""COMPUTED_VALUE"""),0.0)</f>
        <v>0</v>
      </c>
      <c r="H5040" s="22">
        <f>IFERROR(__xludf.DUMMYFUNCTION("""COMPUTED_VALUE"""),500000.0)</f>
        <v>500000</v>
      </c>
      <c r="I5040" s="24">
        <f>IFERROR(__xludf.DUMMYFUNCTION("""COMPUTED_VALUE"""),0.0)</f>
        <v>0</v>
      </c>
    </row>
    <row r="5041">
      <c r="A5041" s="5" t="str">
        <f>IFERROR(__xludf.DUMMYFUNCTION("""COMPUTED_VALUE"""),"73542")</f>
        <v>73542</v>
      </c>
      <c r="B5041" s="64">
        <f>IFERROR(__xludf.DUMMYFUNCTION("""COMPUTED_VALUE"""),44608.0)</f>
        <v>44608</v>
      </c>
      <c r="C5041" s="5"/>
      <c r="D5041" s="5"/>
      <c r="E5041" s="5"/>
      <c r="F5041" s="22">
        <f>IFERROR(__xludf.DUMMYFUNCTION("""COMPUTED_VALUE"""),500000.0)</f>
        <v>500000</v>
      </c>
      <c r="G5041" s="22">
        <f>IFERROR(__xludf.DUMMYFUNCTION("""COMPUTED_VALUE"""),0.0)</f>
        <v>0</v>
      </c>
      <c r="H5041" s="22">
        <f>IFERROR(__xludf.DUMMYFUNCTION("""COMPUTED_VALUE"""),500000.0)</f>
        <v>500000</v>
      </c>
      <c r="I5041" s="24">
        <f>IFERROR(__xludf.DUMMYFUNCTION("""COMPUTED_VALUE"""),0.0)</f>
        <v>0</v>
      </c>
    </row>
    <row r="5042">
      <c r="A5042" s="5" t="str">
        <f>IFERROR(__xludf.DUMMYFUNCTION("""COMPUTED_VALUE"""),"73542")</f>
        <v>73542</v>
      </c>
      <c r="B5042" s="64">
        <f>IFERROR(__xludf.DUMMYFUNCTION("""COMPUTED_VALUE"""),44609.0)</f>
        <v>44609</v>
      </c>
      <c r="C5042" s="5"/>
      <c r="D5042" s="5"/>
      <c r="E5042" s="5"/>
      <c r="F5042" s="22">
        <f>IFERROR(__xludf.DUMMYFUNCTION("""COMPUTED_VALUE"""),500000.0)</f>
        <v>500000</v>
      </c>
      <c r="G5042" s="22">
        <f>IFERROR(__xludf.DUMMYFUNCTION("""COMPUTED_VALUE"""),0.0)</f>
        <v>0</v>
      </c>
      <c r="H5042" s="22">
        <f>IFERROR(__xludf.DUMMYFUNCTION("""COMPUTED_VALUE"""),500000.0)</f>
        <v>500000</v>
      </c>
      <c r="I5042" s="24">
        <f>IFERROR(__xludf.DUMMYFUNCTION("""COMPUTED_VALUE"""),0.0)</f>
        <v>0</v>
      </c>
    </row>
    <row r="5043">
      <c r="A5043" s="5" t="str">
        <f>IFERROR(__xludf.DUMMYFUNCTION("""COMPUTED_VALUE"""),"73542")</f>
        <v>73542</v>
      </c>
      <c r="B5043" s="64">
        <f>IFERROR(__xludf.DUMMYFUNCTION("""COMPUTED_VALUE"""),44610.0)</f>
        <v>44610</v>
      </c>
      <c r="C5043" s="5"/>
      <c r="D5043" s="5"/>
      <c r="E5043" s="5"/>
      <c r="F5043" s="22">
        <f>IFERROR(__xludf.DUMMYFUNCTION("""COMPUTED_VALUE"""),500000.0)</f>
        <v>500000</v>
      </c>
      <c r="G5043" s="22">
        <f>IFERROR(__xludf.DUMMYFUNCTION("""COMPUTED_VALUE"""),0.0)</f>
        <v>0</v>
      </c>
      <c r="H5043" s="22">
        <f>IFERROR(__xludf.DUMMYFUNCTION("""COMPUTED_VALUE"""),500000.0)</f>
        <v>500000</v>
      </c>
      <c r="I5043" s="24">
        <f>IFERROR(__xludf.DUMMYFUNCTION("""COMPUTED_VALUE"""),0.0)</f>
        <v>0</v>
      </c>
    </row>
    <row r="5044">
      <c r="A5044" s="5" t="str">
        <f>IFERROR(__xludf.DUMMYFUNCTION("""COMPUTED_VALUE"""),"73542")</f>
        <v>73542</v>
      </c>
      <c r="B5044" s="64">
        <f>IFERROR(__xludf.DUMMYFUNCTION("""COMPUTED_VALUE"""),44611.0)</f>
        <v>44611</v>
      </c>
      <c r="C5044" s="5"/>
      <c r="D5044" s="5"/>
      <c r="E5044" s="5"/>
      <c r="F5044" s="22">
        <f>IFERROR(__xludf.DUMMYFUNCTION("""COMPUTED_VALUE"""),500000.0)</f>
        <v>500000</v>
      </c>
      <c r="G5044" s="22">
        <f>IFERROR(__xludf.DUMMYFUNCTION("""COMPUTED_VALUE"""),0.0)</f>
        <v>0</v>
      </c>
      <c r="H5044" s="22">
        <f>IFERROR(__xludf.DUMMYFUNCTION("""COMPUTED_VALUE"""),500000.0)</f>
        <v>500000</v>
      </c>
      <c r="I5044" s="24">
        <f>IFERROR(__xludf.DUMMYFUNCTION("""COMPUTED_VALUE"""),0.0)</f>
        <v>0</v>
      </c>
    </row>
    <row r="5045">
      <c r="A5045" s="5" t="str">
        <f>IFERROR(__xludf.DUMMYFUNCTION("""COMPUTED_VALUE"""),"73542")</f>
        <v>73542</v>
      </c>
      <c r="B5045" s="64">
        <f>IFERROR(__xludf.DUMMYFUNCTION("""COMPUTED_VALUE"""),44612.0)</f>
        <v>44612</v>
      </c>
      <c r="C5045" s="5"/>
      <c r="D5045" s="5"/>
      <c r="E5045" s="5"/>
      <c r="F5045" s="22">
        <f>IFERROR(__xludf.DUMMYFUNCTION("""COMPUTED_VALUE"""),500000.0)</f>
        <v>500000</v>
      </c>
      <c r="G5045" s="22">
        <f>IFERROR(__xludf.DUMMYFUNCTION("""COMPUTED_VALUE"""),0.0)</f>
        <v>0</v>
      </c>
      <c r="H5045" s="22">
        <f>IFERROR(__xludf.DUMMYFUNCTION("""COMPUTED_VALUE"""),500000.0)</f>
        <v>500000</v>
      </c>
      <c r="I5045" s="24">
        <f>IFERROR(__xludf.DUMMYFUNCTION("""COMPUTED_VALUE"""),0.0)</f>
        <v>0</v>
      </c>
    </row>
    <row r="5046">
      <c r="A5046" s="5" t="str">
        <f>IFERROR(__xludf.DUMMYFUNCTION("""COMPUTED_VALUE"""),"73542")</f>
        <v>73542</v>
      </c>
      <c r="B5046" s="64">
        <f>IFERROR(__xludf.DUMMYFUNCTION("""COMPUTED_VALUE"""),44613.0)</f>
        <v>44613</v>
      </c>
      <c r="C5046" s="5"/>
      <c r="D5046" s="5"/>
      <c r="E5046" s="5"/>
      <c r="F5046" s="22">
        <f>IFERROR(__xludf.DUMMYFUNCTION("""COMPUTED_VALUE"""),500000.0)</f>
        <v>500000</v>
      </c>
      <c r="G5046" s="22">
        <f>IFERROR(__xludf.DUMMYFUNCTION("""COMPUTED_VALUE"""),0.0)</f>
        <v>0</v>
      </c>
      <c r="H5046" s="22">
        <f>IFERROR(__xludf.DUMMYFUNCTION("""COMPUTED_VALUE"""),500000.0)</f>
        <v>500000</v>
      </c>
      <c r="I5046" s="24">
        <f>IFERROR(__xludf.DUMMYFUNCTION("""COMPUTED_VALUE"""),0.0)</f>
        <v>0</v>
      </c>
    </row>
    <row r="5047">
      <c r="A5047" s="5" t="str">
        <f>IFERROR(__xludf.DUMMYFUNCTION("""COMPUTED_VALUE"""),"73542")</f>
        <v>73542</v>
      </c>
      <c r="B5047" s="64">
        <f>IFERROR(__xludf.DUMMYFUNCTION("""COMPUTED_VALUE"""),44614.0)</f>
        <v>44614</v>
      </c>
      <c r="C5047" s="5"/>
      <c r="D5047" s="5"/>
      <c r="E5047" s="5"/>
      <c r="F5047" s="22">
        <f>IFERROR(__xludf.DUMMYFUNCTION("""COMPUTED_VALUE"""),500000.0)</f>
        <v>500000</v>
      </c>
      <c r="G5047" s="22">
        <f>IFERROR(__xludf.DUMMYFUNCTION("""COMPUTED_VALUE"""),0.0)</f>
        <v>0</v>
      </c>
      <c r="H5047" s="22">
        <f>IFERROR(__xludf.DUMMYFUNCTION("""COMPUTED_VALUE"""),500000.0)</f>
        <v>500000</v>
      </c>
      <c r="I5047" s="24">
        <f>IFERROR(__xludf.DUMMYFUNCTION("""COMPUTED_VALUE"""),0.0)</f>
        <v>0</v>
      </c>
    </row>
    <row r="5048">
      <c r="A5048" s="5" t="str">
        <f>IFERROR(__xludf.DUMMYFUNCTION("""COMPUTED_VALUE"""),"73542")</f>
        <v>73542</v>
      </c>
      <c r="B5048" s="64">
        <f>IFERROR(__xludf.DUMMYFUNCTION("""COMPUTED_VALUE"""),44615.0)</f>
        <v>44615</v>
      </c>
      <c r="C5048" s="5"/>
      <c r="D5048" s="5"/>
      <c r="E5048" s="5"/>
      <c r="F5048" s="22">
        <f>IFERROR(__xludf.DUMMYFUNCTION("""COMPUTED_VALUE"""),500000.0)</f>
        <v>500000</v>
      </c>
      <c r="G5048" s="22">
        <f>IFERROR(__xludf.DUMMYFUNCTION("""COMPUTED_VALUE"""),0.0)</f>
        <v>0</v>
      </c>
      <c r="H5048" s="22">
        <f>IFERROR(__xludf.DUMMYFUNCTION("""COMPUTED_VALUE"""),500000.0)</f>
        <v>500000</v>
      </c>
      <c r="I5048" s="24">
        <f>IFERROR(__xludf.DUMMYFUNCTION("""COMPUTED_VALUE"""),0.0)</f>
        <v>0</v>
      </c>
    </row>
    <row r="5049">
      <c r="A5049" s="5" t="str">
        <f>IFERROR(__xludf.DUMMYFUNCTION("""COMPUTED_VALUE"""),"73542")</f>
        <v>73542</v>
      </c>
      <c r="B5049" s="64">
        <f>IFERROR(__xludf.DUMMYFUNCTION("""COMPUTED_VALUE"""),44616.0)</f>
        <v>44616</v>
      </c>
      <c r="C5049" s="5"/>
      <c r="D5049" s="5"/>
      <c r="E5049" s="5"/>
      <c r="F5049" s="22">
        <f>IFERROR(__xludf.DUMMYFUNCTION("""COMPUTED_VALUE"""),500000.0)</f>
        <v>500000</v>
      </c>
      <c r="G5049" s="22">
        <f>IFERROR(__xludf.DUMMYFUNCTION("""COMPUTED_VALUE"""),0.0)</f>
        <v>0</v>
      </c>
      <c r="H5049" s="22">
        <f>IFERROR(__xludf.DUMMYFUNCTION("""COMPUTED_VALUE"""),500000.0)</f>
        <v>500000</v>
      </c>
      <c r="I5049" s="24">
        <f>IFERROR(__xludf.DUMMYFUNCTION("""COMPUTED_VALUE"""),0.0)</f>
        <v>0</v>
      </c>
    </row>
    <row r="5050">
      <c r="A5050" s="5" t="str">
        <f>IFERROR(__xludf.DUMMYFUNCTION("""COMPUTED_VALUE"""),"73542")</f>
        <v>73542</v>
      </c>
      <c r="B5050" s="64">
        <f>IFERROR(__xludf.DUMMYFUNCTION("""COMPUTED_VALUE"""),44617.0)</f>
        <v>44617</v>
      </c>
      <c r="C5050" s="5"/>
      <c r="D5050" s="5"/>
      <c r="E5050" s="5"/>
      <c r="F5050" s="22">
        <f>IFERROR(__xludf.DUMMYFUNCTION("""COMPUTED_VALUE"""),500000.0)</f>
        <v>500000</v>
      </c>
      <c r="G5050" s="22">
        <f>IFERROR(__xludf.DUMMYFUNCTION("""COMPUTED_VALUE"""),0.0)</f>
        <v>0</v>
      </c>
      <c r="H5050" s="22">
        <f>IFERROR(__xludf.DUMMYFUNCTION("""COMPUTED_VALUE"""),500000.0)</f>
        <v>500000</v>
      </c>
      <c r="I5050" s="24">
        <f>IFERROR(__xludf.DUMMYFUNCTION("""COMPUTED_VALUE"""),0.0)</f>
        <v>0</v>
      </c>
    </row>
    <row r="5051">
      <c r="A5051" s="5" t="str">
        <f>IFERROR(__xludf.DUMMYFUNCTION("""COMPUTED_VALUE"""),"73542")</f>
        <v>73542</v>
      </c>
      <c r="B5051" s="64">
        <f>IFERROR(__xludf.DUMMYFUNCTION("""COMPUTED_VALUE"""),44618.0)</f>
        <v>44618</v>
      </c>
      <c r="C5051" s="5"/>
      <c r="D5051" s="5"/>
      <c r="E5051" s="5"/>
      <c r="F5051" s="22">
        <f>IFERROR(__xludf.DUMMYFUNCTION("""COMPUTED_VALUE"""),500000.0)</f>
        <v>500000</v>
      </c>
      <c r="G5051" s="22">
        <f>IFERROR(__xludf.DUMMYFUNCTION("""COMPUTED_VALUE"""),0.0)</f>
        <v>0</v>
      </c>
      <c r="H5051" s="22">
        <f>IFERROR(__xludf.DUMMYFUNCTION("""COMPUTED_VALUE"""),500000.0)</f>
        <v>500000</v>
      </c>
      <c r="I5051" s="24">
        <f>IFERROR(__xludf.DUMMYFUNCTION("""COMPUTED_VALUE"""),0.0)</f>
        <v>0</v>
      </c>
    </row>
    <row r="5052">
      <c r="A5052" s="5" t="str">
        <f>IFERROR(__xludf.DUMMYFUNCTION("""COMPUTED_VALUE"""),"73542")</f>
        <v>73542</v>
      </c>
      <c r="B5052" s="64">
        <f>IFERROR(__xludf.DUMMYFUNCTION("""COMPUTED_VALUE"""),44619.0)</f>
        <v>44619</v>
      </c>
      <c r="C5052" s="5"/>
      <c r="D5052" s="5"/>
      <c r="E5052" s="5"/>
      <c r="F5052" s="22">
        <f>IFERROR(__xludf.DUMMYFUNCTION("""COMPUTED_VALUE"""),500000.0)</f>
        <v>500000</v>
      </c>
      <c r="G5052" s="22">
        <f>IFERROR(__xludf.DUMMYFUNCTION("""COMPUTED_VALUE"""),0.0)</f>
        <v>0</v>
      </c>
      <c r="H5052" s="22">
        <f>IFERROR(__xludf.DUMMYFUNCTION("""COMPUTED_VALUE"""),500000.0)</f>
        <v>500000</v>
      </c>
      <c r="I5052" s="24">
        <f>IFERROR(__xludf.DUMMYFUNCTION("""COMPUTED_VALUE"""),0.0)</f>
        <v>0</v>
      </c>
    </row>
    <row r="5053">
      <c r="A5053" s="5" t="str">
        <f>IFERROR(__xludf.DUMMYFUNCTION("""COMPUTED_VALUE"""),"73542")</f>
        <v>73542</v>
      </c>
      <c r="B5053" s="64">
        <f>IFERROR(__xludf.DUMMYFUNCTION("""COMPUTED_VALUE"""),44620.0)</f>
        <v>44620</v>
      </c>
      <c r="C5053" s="5"/>
      <c r="D5053" s="5"/>
      <c r="E5053" s="5"/>
      <c r="F5053" s="22">
        <f>IFERROR(__xludf.DUMMYFUNCTION("""COMPUTED_VALUE"""),500000.0)</f>
        <v>500000</v>
      </c>
      <c r="G5053" s="22">
        <f>IFERROR(__xludf.DUMMYFUNCTION("""COMPUTED_VALUE"""),0.0)</f>
        <v>0</v>
      </c>
      <c r="H5053" s="22">
        <f>IFERROR(__xludf.DUMMYFUNCTION("""COMPUTED_VALUE"""),500000.0)</f>
        <v>500000</v>
      </c>
      <c r="I5053" s="24">
        <f>IFERROR(__xludf.DUMMYFUNCTION("""COMPUTED_VALUE"""),0.0)</f>
        <v>0</v>
      </c>
    </row>
    <row r="5054">
      <c r="A5054" s="5" t="str">
        <f>IFERROR(__xludf.DUMMYFUNCTION("""COMPUTED_VALUE"""),"73542")</f>
        <v>73542</v>
      </c>
      <c r="B5054" s="64">
        <f>IFERROR(__xludf.DUMMYFUNCTION("""COMPUTED_VALUE"""),44621.0)</f>
        <v>44621</v>
      </c>
      <c r="C5054" s="5"/>
      <c r="D5054" s="5"/>
      <c r="E5054" s="5"/>
      <c r="F5054" s="22">
        <f>IFERROR(__xludf.DUMMYFUNCTION("""COMPUTED_VALUE"""),500000.0)</f>
        <v>500000</v>
      </c>
      <c r="G5054" s="22">
        <f>IFERROR(__xludf.DUMMYFUNCTION("""COMPUTED_VALUE"""),0.0)</f>
        <v>0</v>
      </c>
      <c r="H5054" s="22">
        <f>IFERROR(__xludf.DUMMYFUNCTION("""COMPUTED_VALUE"""),500000.0)</f>
        <v>500000</v>
      </c>
      <c r="I5054" s="24">
        <f>IFERROR(__xludf.DUMMYFUNCTION("""COMPUTED_VALUE"""),0.0)</f>
        <v>0</v>
      </c>
    </row>
    <row r="5055">
      <c r="A5055" s="5" t="str">
        <f>IFERROR(__xludf.DUMMYFUNCTION("""COMPUTED_VALUE"""),"73542")</f>
        <v>73542</v>
      </c>
      <c r="B5055" s="64">
        <f>IFERROR(__xludf.DUMMYFUNCTION("""COMPUTED_VALUE"""),44622.0)</f>
        <v>44622</v>
      </c>
      <c r="C5055" s="5"/>
      <c r="D5055" s="5"/>
      <c r="E5055" s="5"/>
      <c r="F5055" s="22">
        <f>IFERROR(__xludf.DUMMYFUNCTION("""COMPUTED_VALUE"""),500000.0)</f>
        <v>500000</v>
      </c>
      <c r="G5055" s="22">
        <f>IFERROR(__xludf.DUMMYFUNCTION("""COMPUTED_VALUE"""),0.0)</f>
        <v>0</v>
      </c>
      <c r="H5055" s="22">
        <f>IFERROR(__xludf.DUMMYFUNCTION("""COMPUTED_VALUE"""),500000.0)</f>
        <v>500000</v>
      </c>
      <c r="I5055" s="24">
        <f>IFERROR(__xludf.DUMMYFUNCTION("""COMPUTED_VALUE"""),0.0)</f>
        <v>0</v>
      </c>
    </row>
    <row r="5056">
      <c r="A5056" s="5" t="str">
        <f>IFERROR(__xludf.DUMMYFUNCTION("""COMPUTED_VALUE"""),"73542")</f>
        <v>73542</v>
      </c>
      <c r="B5056" s="64">
        <f>IFERROR(__xludf.DUMMYFUNCTION("""COMPUTED_VALUE"""),44623.0)</f>
        <v>44623</v>
      </c>
      <c r="C5056" s="5"/>
      <c r="D5056" s="5"/>
      <c r="E5056" s="5"/>
      <c r="F5056" s="22">
        <f>IFERROR(__xludf.DUMMYFUNCTION("""COMPUTED_VALUE"""),500000.0)</f>
        <v>500000</v>
      </c>
      <c r="G5056" s="22">
        <f>IFERROR(__xludf.DUMMYFUNCTION("""COMPUTED_VALUE"""),0.0)</f>
        <v>0</v>
      </c>
      <c r="H5056" s="22">
        <f>IFERROR(__xludf.DUMMYFUNCTION("""COMPUTED_VALUE"""),500000.0)</f>
        <v>500000</v>
      </c>
      <c r="I5056" s="24">
        <f>IFERROR(__xludf.DUMMYFUNCTION("""COMPUTED_VALUE"""),0.0)</f>
        <v>0</v>
      </c>
    </row>
    <row r="5057">
      <c r="A5057" s="5" t="str">
        <f>IFERROR(__xludf.DUMMYFUNCTION("""COMPUTED_VALUE"""),"73542")</f>
        <v>73542</v>
      </c>
      <c r="B5057" s="64">
        <f>IFERROR(__xludf.DUMMYFUNCTION("""COMPUTED_VALUE"""),44624.0)</f>
        <v>44624</v>
      </c>
      <c r="C5057" s="5"/>
      <c r="D5057" s="5"/>
      <c r="E5057" s="5"/>
      <c r="F5057" s="22">
        <f>IFERROR(__xludf.DUMMYFUNCTION("""COMPUTED_VALUE"""),500000.0)</f>
        <v>500000</v>
      </c>
      <c r="G5057" s="22">
        <f>IFERROR(__xludf.DUMMYFUNCTION("""COMPUTED_VALUE"""),0.0)</f>
        <v>0</v>
      </c>
      <c r="H5057" s="22">
        <f>IFERROR(__xludf.DUMMYFUNCTION("""COMPUTED_VALUE"""),500000.0)</f>
        <v>500000</v>
      </c>
      <c r="I5057" s="24">
        <f>IFERROR(__xludf.DUMMYFUNCTION("""COMPUTED_VALUE"""),0.0)</f>
        <v>0</v>
      </c>
    </row>
    <row r="5058">
      <c r="A5058" s="5" t="str">
        <f>IFERROR(__xludf.DUMMYFUNCTION("""COMPUTED_VALUE"""),"73542")</f>
        <v>73542</v>
      </c>
      <c r="B5058" s="64">
        <f>IFERROR(__xludf.DUMMYFUNCTION("""COMPUTED_VALUE"""),44625.0)</f>
        <v>44625</v>
      </c>
      <c r="C5058" s="5"/>
      <c r="D5058" s="5"/>
      <c r="E5058" s="5"/>
      <c r="F5058" s="22">
        <f>IFERROR(__xludf.DUMMYFUNCTION("""COMPUTED_VALUE"""),500000.0)</f>
        <v>500000</v>
      </c>
      <c r="G5058" s="22">
        <f>IFERROR(__xludf.DUMMYFUNCTION("""COMPUTED_VALUE"""),0.0)</f>
        <v>0</v>
      </c>
      <c r="H5058" s="22">
        <f>IFERROR(__xludf.DUMMYFUNCTION("""COMPUTED_VALUE"""),500000.0)</f>
        <v>500000</v>
      </c>
      <c r="I5058" s="24">
        <f>IFERROR(__xludf.DUMMYFUNCTION("""COMPUTED_VALUE"""),0.0)</f>
        <v>0</v>
      </c>
    </row>
    <row r="5059">
      <c r="A5059" s="5" t="str">
        <f>IFERROR(__xludf.DUMMYFUNCTION("""COMPUTED_VALUE"""),"73542")</f>
        <v>73542</v>
      </c>
      <c r="B5059" s="64">
        <f>IFERROR(__xludf.DUMMYFUNCTION("""COMPUTED_VALUE"""),44626.0)</f>
        <v>44626</v>
      </c>
      <c r="C5059" s="5"/>
      <c r="D5059" s="5"/>
      <c r="E5059" s="5"/>
      <c r="F5059" s="22">
        <f>IFERROR(__xludf.DUMMYFUNCTION("""COMPUTED_VALUE"""),500000.0)</f>
        <v>500000</v>
      </c>
      <c r="G5059" s="22">
        <f>IFERROR(__xludf.DUMMYFUNCTION("""COMPUTED_VALUE"""),0.0)</f>
        <v>0</v>
      </c>
      <c r="H5059" s="22">
        <f>IFERROR(__xludf.DUMMYFUNCTION("""COMPUTED_VALUE"""),500000.0)</f>
        <v>500000</v>
      </c>
      <c r="I5059" s="24">
        <f>IFERROR(__xludf.DUMMYFUNCTION("""COMPUTED_VALUE"""),0.0)</f>
        <v>0</v>
      </c>
    </row>
    <row r="5060">
      <c r="A5060" s="5" t="str">
        <f>IFERROR(__xludf.DUMMYFUNCTION("""COMPUTED_VALUE"""),"73542")</f>
        <v>73542</v>
      </c>
      <c r="B5060" s="64">
        <f>IFERROR(__xludf.DUMMYFUNCTION("""COMPUTED_VALUE"""),44627.0)</f>
        <v>44627</v>
      </c>
      <c r="C5060" s="5"/>
      <c r="D5060" s="5"/>
      <c r="E5060" s="5"/>
      <c r="F5060" s="22">
        <f>IFERROR(__xludf.DUMMYFUNCTION("""COMPUTED_VALUE"""),500000.0)</f>
        <v>500000</v>
      </c>
      <c r="G5060" s="22">
        <f>IFERROR(__xludf.DUMMYFUNCTION("""COMPUTED_VALUE"""),0.0)</f>
        <v>0</v>
      </c>
      <c r="H5060" s="22">
        <f>IFERROR(__xludf.DUMMYFUNCTION("""COMPUTED_VALUE"""),500000.0)</f>
        <v>500000</v>
      </c>
      <c r="I5060" s="24">
        <f>IFERROR(__xludf.DUMMYFUNCTION("""COMPUTED_VALUE"""),0.0)</f>
        <v>0</v>
      </c>
    </row>
    <row r="5061">
      <c r="A5061" s="5" t="str">
        <f>IFERROR(__xludf.DUMMYFUNCTION("""COMPUTED_VALUE"""),"73542")</f>
        <v>73542</v>
      </c>
      <c r="B5061" s="64">
        <f>IFERROR(__xludf.DUMMYFUNCTION("""COMPUTED_VALUE"""),44628.0)</f>
        <v>44628</v>
      </c>
      <c r="C5061" s="5"/>
      <c r="D5061" s="5"/>
      <c r="E5061" s="5"/>
      <c r="F5061" s="22">
        <f>IFERROR(__xludf.DUMMYFUNCTION("""COMPUTED_VALUE"""),500000.0)</f>
        <v>500000</v>
      </c>
      <c r="G5061" s="22">
        <f>IFERROR(__xludf.DUMMYFUNCTION("""COMPUTED_VALUE"""),0.0)</f>
        <v>0</v>
      </c>
      <c r="H5061" s="22">
        <f>IFERROR(__xludf.DUMMYFUNCTION("""COMPUTED_VALUE"""),500000.0)</f>
        <v>500000</v>
      </c>
      <c r="I5061" s="24">
        <f>IFERROR(__xludf.DUMMYFUNCTION("""COMPUTED_VALUE"""),0.0)</f>
        <v>0</v>
      </c>
    </row>
    <row r="5062">
      <c r="A5062" s="5" t="str">
        <f>IFERROR(__xludf.DUMMYFUNCTION("""COMPUTED_VALUE"""),"73542")</f>
        <v>73542</v>
      </c>
      <c r="B5062" s="64">
        <f>IFERROR(__xludf.DUMMYFUNCTION("""COMPUTED_VALUE"""),44629.0)</f>
        <v>44629</v>
      </c>
      <c r="C5062" s="5"/>
      <c r="D5062" s="5"/>
      <c r="E5062" s="5"/>
      <c r="F5062" s="22">
        <f>IFERROR(__xludf.DUMMYFUNCTION("""COMPUTED_VALUE"""),500000.0)</f>
        <v>500000</v>
      </c>
      <c r="G5062" s="22">
        <f>IFERROR(__xludf.DUMMYFUNCTION("""COMPUTED_VALUE"""),0.0)</f>
        <v>0</v>
      </c>
      <c r="H5062" s="22">
        <f>IFERROR(__xludf.DUMMYFUNCTION("""COMPUTED_VALUE"""),500000.0)</f>
        <v>500000</v>
      </c>
      <c r="I5062" s="24">
        <f>IFERROR(__xludf.DUMMYFUNCTION("""COMPUTED_VALUE"""),0.0)</f>
        <v>0</v>
      </c>
    </row>
    <row r="5063">
      <c r="A5063" s="5" t="str">
        <f>IFERROR(__xludf.DUMMYFUNCTION("""COMPUTED_VALUE"""),"73542")</f>
        <v>73542</v>
      </c>
      <c r="B5063" s="64">
        <f>IFERROR(__xludf.DUMMYFUNCTION("""COMPUTED_VALUE"""),44630.0)</f>
        <v>44630</v>
      </c>
      <c r="C5063" s="5"/>
      <c r="D5063" s="5"/>
      <c r="E5063" s="5"/>
      <c r="F5063" s="22">
        <f>IFERROR(__xludf.DUMMYFUNCTION("""COMPUTED_VALUE"""),500000.0)</f>
        <v>500000</v>
      </c>
      <c r="G5063" s="22">
        <f>IFERROR(__xludf.DUMMYFUNCTION("""COMPUTED_VALUE"""),0.0)</f>
        <v>0</v>
      </c>
      <c r="H5063" s="22">
        <f>IFERROR(__xludf.DUMMYFUNCTION("""COMPUTED_VALUE"""),500000.0)</f>
        <v>500000</v>
      </c>
      <c r="I5063" s="24">
        <f>IFERROR(__xludf.DUMMYFUNCTION("""COMPUTED_VALUE"""),0.0)</f>
        <v>0</v>
      </c>
    </row>
    <row r="5064">
      <c r="A5064" s="5" t="str">
        <f>IFERROR(__xludf.DUMMYFUNCTION("""COMPUTED_VALUE"""),"73542")</f>
        <v>73542</v>
      </c>
      <c r="B5064" s="64">
        <f>IFERROR(__xludf.DUMMYFUNCTION("""COMPUTED_VALUE"""),44631.0)</f>
        <v>44631</v>
      </c>
      <c r="C5064" s="5"/>
      <c r="D5064" s="5"/>
      <c r="E5064" s="5"/>
      <c r="F5064" s="22">
        <f>IFERROR(__xludf.DUMMYFUNCTION("""COMPUTED_VALUE"""),500000.0)</f>
        <v>500000</v>
      </c>
      <c r="G5064" s="22">
        <f>IFERROR(__xludf.DUMMYFUNCTION("""COMPUTED_VALUE"""),0.0)</f>
        <v>0</v>
      </c>
      <c r="H5064" s="22">
        <f>IFERROR(__xludf.DUMMYFUNCTION("""COMPUTED_VALUE"""),500000.0)</f>
        <v>500000</v>
      </c>
      <c r="I5064" s="24">
        <f>IFERROR(__xludf.DUMMYFUNCTION("""COMPUTED_VALUE"""),0.0)</f>
        <v>0</v>
      </c>
    </row>
    <row r="5065">
      <c r="A5065" s="5" t="str">
        <f>IFERROR(__xludf.DUMMYFUNCTION("""COMPUTED_VALUE"""),"73542")</f>
        <v>73542</v>
      </c>
      <c r="B5065" s="64">
        <f>IFERROR(__xludf.DUMMYFUNCTION("""COMPUTED_VALUE"""),44632.0)</f>
        <v>44632</v>
      </c>
      <c r="C5065" s="5"/>
      <c r="D5065" s="5"/>
      <c r="E5065" s="5"/>
      <c r="F5065" s="22">
        <f>IFERROR(__xludf.DUMMYFUNCTION("""COMPUTED_VALUE"""),500000.0)</f>
        <v>500000</v>
      </c>
      <c r="G5065" s="22">
        <f>IFERROR(__xludf.DUMMYFUNCTION("""COMPUTED_VALUE"""),0.0)</f>
        <v>0</v>
      </c>
      <c r="H5065" s="22">
        <f>IFERROR(__xludf.DUMMYFUNCTION("""COMPUTED_VALUE"""),500000.0)</f>
        <v>500000</v>
      </c>
      <c r="I5065" s="24">
        <f>IFERROR(__xludf.DUMMYFUNCTION("""COMPUTED_VALUE"""),0.0)</f>
        <v>0</v>
      </c>
    </row>
    <row r="5066">
      <c r="A5066" s="5" t="str">
        <f>IFERROR(__xludf.DUMMYFUNCTION("""COMPUTED_VALUE"""),"73542")</f>
        <v>73542</v>
      </c>
      <c r="B5066" s="64">
        <f>IFERROR(__xludf.DUMMYFUNCTION("""COMPUTED_VALUE"""),44633.0)</f>
        <v>44633</v>
      </c>
      <c r="C5066" s="5"/>
      <c r="D5066" s="5"/>
      <c r="E5066" s="5"/>
      <c r="F5066" s="22">
        <f>IFERROR(__xludf.DUMMYFUNCTION("""COMPUTED_VALUE"""),500000.0)</f>
        <v>500000</v>
      </c>
      <c r="G5066" s="22">
        <f>IFERROR(__xludf.DUMMYFUNCTION("""COMPUTED_VALUE"""),0.0)</f>
        <v>0</v>
      </c>
      <c r="H5066" s="22">
        <f>IFERROR(__xludf.DUMMYFUNCTION("""COMPUTED_VALUE"""),500000.0)</f>
        <v>500000</v>
      </c>
      <c r="I5066" s="24">
        <f>IFERROR(__xludf.DUMMYFUNCTION("""COMPUTED_VALUE"""),0.0)</f>
        <v>0</v>
      </c>
    </row>
    <row r="5067">
      <c r="A5067" s="5" t="str">
        <f>IFERROR(__xludf.DUMMYFUNCTION("""COMPUTED_VALUE"""),"73542")</f>
        <v>73542</v>
      </c>
      <c r="B5067" s="64">
        <f>IFERROR(__xludf.DUMMYFUNCTION("""COMPUTED_VALUE"""),44634.0)</f>
        <v>44634</v>
      </c>
      <c r="C5067" s="5"/>
      <c r="D5067" s="5"/>
      <c r="E5067" s="5"/>
      <c r="F5067" s="22">
        <f>IFERROR(__xludf.DUMMYFUNCTION("""COMPUTED_VALUE"""),500000.0)</f>
        <v>500000</v>
      </c>
      <c r="G5067" s="22">
        <f>IFERROR(__xludf.DUMMYFUNCTION("""COMPUTED_VALUE"""),0.0)</f>
        <v>0</v>
      </c>
      <c r="H5067" s="22">
        <f>IFERROR(__xludf.DUMMYFUNCTION("""COMPUTED_VALUE"""),500000.0)</f>
        <v>500000</v>
      </c>
      <c r="I5067" s="24">
        <f>IFERROR(__xludf.DUMMYFUNCTION("""COMPUTED_VALUE"""),0.0)</f>
        <v>0</v>
      </c>
    </row>
    <row r="5068">
      <c r="A5068" s="5" t="str">
        <f>IFERROR(__xludf.DUMMYFUNCTION("""COMPUTED_VALUE"""),"73542")</f>
        <v>73542</v>
      </c>
      <c r="B5068" s="64">
        <f>IFERROR(__xludf.DUMMYFUNCTION("""COMPUTED_VALUE"""),44635.0)</f>
        <v>44635</v>
      </c>
      <c r="C5068" s="5"/>
      <c r="D5068" s="5"/>
      <c r="E5068" s="5"/>
      <c r="F5068" s="22">
        <f>IFERROR(__xludf.DUMMYFUNCTION("""COMPUTED_VALUE"""),500000.0)</f>
        <v>500000</v>
      </c>
      <c r="G5068" s="22">
        <f>IFERROR(__xludf.DUMMYFUNCTION("""COMPUTED_VALUE"""),0.0)</f>
        <v>0</v>
      </c>
      <c r="H5068" s="22">
        <f>IFERROR(__xludf.DUMMYFUNCTION("""COMPUTED_VALUE"""),500000.0)</f>
        <v>500000</v>
      </c>
      <c r="I5068" s="24">
        <f>IFERROR(__xludf.DUMMYFUNCTION("""COMPUTED_VALUE"""),0.0)</f>
        <v>0</v>
      </c>
    </row>
    <row r="5069">
      <c r="A5069" s="5" t="str">
        <f>IFERROR(__xludf.DUMMYFUNCTION("""COMPUTED_VALUE"""),"73542")</f>
        <v>73542</v>
      </c>
      <c r="B5069" s="64">
        <f>IFERROR(__xludf.DUMMYFUNCTION("""COMPUTED_VALUE"""),44636.0)</f>
        <v>44636</v>
      </c>
      <c r="C5069" s="5"/>
      <c r="D5069" s="5"/>
      <c r="E5069" s="5"/>
      <c r="F5069" s="22">
        <f>IFERROR(__xludf.DUMMYFUNCTION("""COMPUTED_VALUE"""),500000.0)</f>
        <v>500000</v>
      </c>
      <c r="G5069" s="22">
        <f>IFERROR(__xludf.DUMMYFUNCTION("""COMPUTED_VALUE"""),0.0)</f>
        <v>0</v>
      </c>
      <c r="H5069" s="22">
        <f>IFERROR(__xludf.DUMMYFUNCTION("""COMPUTED_VALUE"""),500000.0)</f>
        <v>500000</v>
      </c>
      <c r="I5069" s="24">
        <f>IFERROR(__xludf.DUMMYFUNCTION("""COMPUTED_VALUE"""),0.0)</f>
        <v>0</v>
      </c>
    </row>
    <row r="5070">
      <c r="A5070" s="5" t="str">
        <f>IFERROR(__xludf.DUMMYFUNCTION("""COMPUTED_VALUE"""),"73542")</f>
        <v>73542</v>
      </c>
      <c r="B5070" s="64">
        <f>IFERROR(__xludf.DUMMYFUNCTION("""COMPUTED_VALUE"""),44637.0)</f>
        <v>44637</v>
      </c>
      <c r="C5070" s="5"/>
      <c r="D5070" s="5"/>
      <c r="E5070" s="5"/>
      <c r="F5070" s="22">
        <f>IFERROR(__xludf.DUMMYFUNCTION("""COMPUTED_VALUE"""),500000.0)</f>
        <v>500000</v>
      </c>
      <c r="G5070" s="22">
        <f>IFERROR(__xludf.DUMMYFUNCTION("""COMPUTED_VALUE"""),0.0)</f>
        <v>0</v>
      </c>
      <c r="H5070" s="22">
        <f>IFERROR(__xludf.DUMMYFUNCTION("""COMPUTED_VALUE"""),500000.0)</f>
        <v>500000</v>
      </c>
      <c r="I5070" s="24">
        <f>IFERROR(__xludf.DUMMYFUNCTION("""COMPUTED_VALUE"""),0.0)</f>
        <v>0</v>
      </c>
    </row>
    <row r="5071">
      <c r="A5071" s="5" t="str">
        <f>IFERROR(__xludf.DUMMYFUNCTION("""COMPUTED_VALUE"""),"73542")</f>
        <v>73542</v>
      </c>
      <c r="B5071" s="64">
        <f>IFERROR(__xludf.DUMMYFUNCTION("""COMPUTED_VALUE"""),44638.0)</f>
        <v>44638</v>
      </c>
      <c r="C5071" s="5"/>
      <c r="D5071" s="5"/>
      <c r="E5071" s="5"/>
      <c r="F5071" s="22">
        <f>IFERROR(__xludf.DUMMYFUNCTION("""COMPUTED_VALUE"""),500000.0)</f>
        <v>500000</v>
      </c>
      <c r="G5071" s="22">
        <f>IFERROR(__xludf.DUMMYFUNCTION("""COMPUTED_VALUE"""),0.0)</f>
        <v>0</v>
      </c>
      <c r="H5071" s="22">
        <f>IFERROR(__xludf.DUMMYFUNCTION("""COMPUTED_VALUE"""),500000.0)</f>
        <v>500000</v>
      </c>
      <c r="I5071" s="24">
        <f>IFERROR(__xludf.DUMMYFUNCTION("""COMPUTED_VALUE"""),0.0)</f>
        <v>0</v>
      </c>
    </row>
    <row r="5072">
      <c r="A5072" s="5" t="str">
        <f>IFERROR(__xludf.DUMMYFUNCTION("""COMPUTED_VALUE"""),"73542")</f>
        <v>73542</v>
      </c>
      <c r="B5072" s="64">
        <f>IFERROR(__xludf.DUMMYFUNCTION("""COMPUTED_VALUE"""),44639.0)</f>
        <v>44639</v>
      </c>
      <c r="C5072" s="5"/>
      <c r="D5072" s="5"/>
      <c r="E5072" s="5"/>
      <c r="F5072" s="22">
        <f>IFERROR(__xludf.DUMMYFUNCTION("""COMPUTED_VALUE"""),500000.0)</f>
        <v>500000</v>
      </c>
      <c r="G5072" s="22">
        <f>IFERROR(__xludf.DUMMYFUNCTION("""COMPUTED_VALUE"""),0.0)</f>
        <v>0</v>
      </c>
      <c r="H5072" s="22">
        <f>IFERROR(__xludf.DUMMYFUNCTION("""COMPUTED_VALUE"""),500000.0)</f>
        <v>500000</v>
      </c>
      <c r="I5072" s="24">
        <f>IFERROR(__xludf.DUMMYFUNCTION("""COMPUTED_VALUE"""),0.0)</f>
        <v>0</v>
      </c>
    </row>
    <row r="5073">
      <c r="A5073" s="5" t="str">
        <f>IFERROR(__xludf.DUMMYFUNCTION("""COMPUTED_VALUE"""),"73542")</f>
        <v>73542</v>
      </c>
      <c r="B5073" s="64">
        <f>IFERROR(__xludf.DUMMYFUNCTION("""COMPUTED_VALUE"""),44640.0)</f>
        <v>44640</v>
      </c>
      <c r="C5073" s="5"/>
      <c r="D5073" s="5"/>
      <c r="E5073" s="5"/>
      <c r="F5073" s="22">
        <f>IFERROR(__xludf.DUMMYFUNCTION("""COMPUTED_VALUE"""),500000.0)</f>
        <v>500000</v>
      </c>
      <c r="G5073" s="22">
        <f>IFERROR(__xludf.DUMMYFUNCTION("""COMPUTED_VALUE"""),0.0)</f>
        <v>0</v>
      </c>
      <c r="H5073" s="22">
        <f>IFERROR(__xludf.DUMMYFUNCTION("""COMPUTED_VALUE"""),500000.0)</f>
        <v>500000</v>
      </c>
      <c r="I5073" s="24">
        <f>IFERROR(__xludf.DUMMYFUNCTION("""COMPUTED_VALUE"""),0.0)</f>
        <v>0</v>
      </c>
    </row>
    <row r="5074">
      <c r="A5074" s="5" t="str">
        <f>IFERROR(__xludf.DUMMYFUNCTION("""COMPUTED_VALUE"""),"73542")</f>
        <v>73542</v>
      </c>
      <c r="B5074" s="64">
        <f>IFERROR(__xludf.DUMMYFUNCTION("""COMPUTED_VALUE"""),44641.0)</f>
        <v>44641</v>
      </c>
      <c r="C5074" s="5"/>
      <c r="D5074" s="5"/>
      <c r="E5074" s="5"/>
      <c r="F5074" s="22">
        <f>IFERROR(__xludf.DUMMYFUNCTION("""COMPUTED_VALUE"""),500000.0)</f>
        <v>500000</v>
      </c>
      <c r="G5074" s="22">
        <f>IFERROR(__xludf.DUMMYFUNCTION("""COMPUTED_VALUE"""),0.0)</f>
        <v>0</v>
      </c>
      <c r="H5074" s="22">
        <f>IFERROR(__xludf.DUMMYFUNCTION("""COMPUTED_VALUE"""),500000.0)</f>
        <v>500000</v>
      </c>
      <c r="I5074" s="24">
        <f>IFERROR(__xludf.DUMMYFUNCTION("""COMPUTED_VALUE"""),0.0)</f>
        <v>0</v>
      </c>
    </row>
    <row r="5075">
      <c r="A5075" s="5" t="str">
        <f>IFERROR(__xludf.DUMMYFUNCTION("""COMPUTED_VALUE"""),"73542")</f>
        <v>73542</v>
      </c>
      <c r="B5075" s="64">
        <f>IFERROR(__xludf.DUMMYFUNCTION("""COMPUTED_VALUE"""),44642.0)</f>
        <v>44642</v>
      </c>
      <c r="C5075" s="5"/>
      <c r="D5075" s="5"/>
      <c r="E5075" s="5"/>
      <c r="F5075" s="22">
        <f>IFERROR(__xludf.DUMMYFUNCTION("""COMPUTED_VALUE"""),500000.0)</f>
        <v>500000</v>
      </c>
      <c r="G5075" s="22">
        <f>IFERROR(__xludf.DUMMYFUNCTION("""COMPUTED_VALUE"""),0.0)</f>
        <v>0</v>
      </c>
      <c r="H5075" s="22">
        <f>IFERROR(__xludf.DUMMYFUNCTION("""COMPUTED_VALUE"""),500000.0)</f>
        <v>500000</v>
      </c>
      <c r="I5075" s="24">
        <f>IFERROR(__xludf.DUMMYFUNCTION("""COMPUTED_VALUE"""),0.0)</f>
        <v>0</v>
      </c>
    </row>
    <row r="5076">
      <c r="A5076" s="5" t="str">
        <f>IFERROR(__xludf.DUMMYFUNCTION("""COMPUTED_VALUE"""),"73542")</f>
        <v>73542</v>
      </c>
      <c r="B5076" s="64">
        <f>IFERROR(__xludf.DUMMYFUNCTION("""COMPUTED_VALUE"""),44643.0)</f>
        <v>44643</v>
      </c>
      <c r="C5076" s="5"/>
      <c r="D5076" s="5"/>
      <c r="E5076" s="5"/>
      <c r="F5076" s="22">
        <f>IFERROR(__xludf.DUMMYFUNCTION("""COMPUTED_VALUE"""),406199.8165286)</f>
        <v>406199.8165</v>
      </c>
      <c r="G5076" s="22">
        <f>IFERROR(__xludf.DUMMYFUNCTION("""COMPUTED_VALUE"""),0.0)</f>
        <v>0</v>
      </c>
      <c r="H5076" s="22">
        <f>IFERROR(__xludf.DUMMYFUNCTION("""COMPUTED_VALUE"""),500000.0)</f>
        <v>500000</v>
      </c>
      <c r="I5076" s="24">
        <f>IFERROR(__xludf.DUMMYFUNCTION("""COMPUTED_VALUE"""),0.0)</f>
        <v>0</v>
      </c>
    </row>
    <row r="5077">
      <c r="A5077" s="5" t="str">
        <f>IFERROR(__xludf.DUMMYFUNCTION("""COMPUTED_VALUE"""),"73542")</f>
        <v>73542</v>
      </c>
      <c r="B5077" s="64">
        <f>IFERROR(__xludf.DUMMYFUNCTION("""COMPUTED_VALUE"""),44644.0)</f>
        <v>44644</v>
      </c>
      <c r="C5077" s="5"/>
      <c r="D5077" s="5"/>
      <c r="E5077" s="5"/>
      <c r="F5077" s="22">
        <f>IFERROR(__xludf.DUMMYFUNCTION("""COMPUTED_VALUE"""),406199.8165286)</f>
        <v>406199.8165</v>
      </c>
      <c r="G5077" s="22">
        <f>IFERROR(__xludf.DUMMYFUNCTION("""COMPUTED_VALUE"""),0.0)</f>
        <v>0</v>
      </c>
      <c r="H5077" s="22">
        <f>IFERROR(__xludf.DUMMYFUNCTION("""COMPUTED_VALUE"""),501390.4181894)</f>
        <v>501390.4182</v>
      </c>
      <c r="I5077" s="24">
        <f>IFERROR(__xludf.DUMMYFUNCTION("""COMPUTED_VALUE"""),0.0027808363788)</f>
        <v>0.002780836379</v>
      </c>
    </row>
    <row r="5078">
      <c r="A5078" s="5" t="str">
        <f>IFERROR(__xludf.DUMMYFUNCTION("""COMPUTED_VALUE"""),"73542")</f>
        <v>73542</v>
      </c>
      <c r="B5078" s="64">
        <f>IFERROR(__xludf.DUMMYFUNCTION("""COMPUTED_VALUE"""),44645.0)</f>
        <v>44645</v>
      </c>
      <c r="C5078" s="5"/>
      <c r="D5078" s="5"/>
      <c r="E5078" s="5"/>
      <c r="F5078" s="22">
        <f>IFERROR(__xludf.DUMMYFUNCTION("""COMPUTED_VALUE"""),406199.8165286)</f>
        <v>406199.8165</v>
      </c>
      <c r="G5078" s="22">
        <f>IFERROR(__xludf.DUMMYFUNCTION("""COMPUTED_VALUE"""),0.0)</f>
        <v>0</v>
      </c>
      <c r="H5078" s="22">
        <f>IFERROR(__xludf.DUMMYFUNCTION("""COMPUTED_VALUE"""),501082.4795222)</f>
        <v>501082.4795</v>
      </c>
      <c r="I5078" s="24">
        <f>IFERROR(__xludf.DUMMYFUNCTION("""COMPUTED_VALUE"""),0.00216495904439995)</f>
        <v>0.002164959044</v>
      </c>
    </row>
    <row r="5079">
      <c r="A5079" s="5" t="str">
        <f>IFERROR(__xludf.DUMMYFUNCTION("""COMPUTED_VALUE"""),"73542")</f>
        <v>73542</v>
      </c>
      <c r="B5079" s="64">
        <f>IFERROR(__xludf.DUMMYFUNCTION("""COMPUTED_VALUE"""),44646.0)</f>
        <v>44646</v>
      </c>
      <c r="C5079" s="5"/>
      <c r="D5079" s="5"/>
      <c r="E5079" s="5"/>
      <c r="F5079" s="22">
        <f>IFERROR(__xludf.DUMMYFUNCTION("""COMPUTED_VALUE"""),406199.8165286)</f>
        <v>406199.8165</v>
      </c>
      <c r="G5079" s="22">
        <f>IFERROR(__xludf.DUMMYFUNCTION("""COMPUTED_VALUE"""),0.0)</f>
        <v>0</v>
      </c>
      <c r="H5079" s="22">
        <f>IFERROR(__xludf.DUMMYFUNCTION("""COMPUTED_VALUE"""),501082.4795222)</f>
        <v>501082.4795</v>
      </c>
      <c r="I5079" s="24">
        <f>IFERROR(__xludf.DUMMYFUNCTION("""COMPUTED_VALUE"""),0.00216495904439995)</f>
        <v>0.002164959044</v>
      </c>
    </row>
    <row r="5080">
      <c r="A5080" s="5" t="str">
        <f>IFERROR(__xludf.DUMMYFUNCTION("""COMPUTED_VALUE"""),"73542")</f>
        <v>73542</v>
      </c>
      <c r="B5080" s="64">
        <f>IFERROR(__xludf.DUMMYFUNCTION("""COMPUTED_VALUE"""),44647.0)</f>
        <v>44647</v>
      </c>
      <c r="C5080" s="5"/>
      <c r="D5080" s="5"/>
      <c r="E5080" s="5"/>
      <c r="F5080" s="22">
        <f>IFERROR(__xludf.DUMMYFUNCTION("""COMPUTED_VALUE"""),406199.8165286)</f>
        <v>406199.8165</v>
      </c>
      <c r="G5080" s="22">
        <f>IFERROR(__xludf.DUMMYFUNCTION("""COMPUTED_VALUE"""),0.0)</f>
        <v>0</v>
      </c>
      <c r="H5080" s="22">
        <f>IFERROR(__xludf.DUMMYFUNCTION("""COMPUTED_VALUE"""),501082.4795222)</f>
        <v>501082.4795</v>
      </c>
      <c r="I5080" s="24">
        <f>IFERROR(__xludf.DUMMYFUNCTION("""COMPUTED_VALUE"""),0.00216495904439995)</f>
        <v>0.002164959044</v>
      </c>
    </row>
    <row r="5081">
      <c r="A5081" s="5" t="str">
        <f>IFERROR(__xludf.DUMMYFUNCTION("""COMPUTED_VALUE"""),"73542")</f>
        <v>73542</v>
      </c>
      <c r="B5081" s="64">
        <f>IFERROR(__xludf.DUMMYFUNCTION("""COMPUTED_VALUE"""),44648.0)</f>
        <v>44648</v>
      </c>
      <c r="C5081" s="5"/>
      <c r="D5081" s="5"/>
      <c r="E5081" s="5"/>
      <c r="F5081" s="22">
        <f>IFERROR(__xludf.DUMMYFUNCTION("""COMPUTED_VALUE"""),406199.8165286)</f>
        <v>406199.8165</v>
      </c>
      <c r="G5081" s="22">
        <f>IFERROR(__xludf.DUMMYFUNCTION("""COMPUTED_VALUE"""),0.0)</f>
        <v>0</v>
      </c>
      <c r="H5081" s="22">
        <f>IFERROR(__xludf.DUMMYFUNCTION("""COMPUTED_VALUE"""),508705.8392102)</f>
        <v>508705.8392</v>
      </c>
      <c r="I5081" s="24">
        <f>IFERROR(__xludf.DUMMYFUNCTION("""COMPUTED_VALUE"""),0.017411678420399923)</f>
        <v>0.01741167842</v>
      </c>
    </row>
    <row r="5082">
      <c r="A5082" s="5" t="str">
        <f>IFERROR(__xludf.DUMMYFUNCTION("""COMPUTED_VALUE"""),"73542")</f>
        <v>73542</v>
      </c>
      <c r="B5082" s="64">
        <f>IFERROR(__xludf.DUMMYFUNCTION("""COMPUTED_VALUE"""),44649.0)</f>
        <v>44649</v>
      </c>
      <c r="C5082" s="5"/>
      <c r="D5082" s="5"/>
      <c r="E5082" s="5"/>
      <c r="F5082" s="22">
        <f>IFERROR(__xludf.DUMMYFUNCTION("""COMPUTED_VALUE"""),406199.8165286)</f>
        <v>406199.8165</v>
      </c>
      <c r="G5082" s="22">
        <f>IFERROR(__xludf.DUMMYFUNCTION("""COMPUTED_VALUE"""),0.0)</f>
        <v>0</v>
      </c>
      <c r="H5082" s="22">
        <f>IFERROR(__xludf.DUMMYFUNCTION("""COMPUTED_VALUE"""),509431.5605204)</f>
        <v>509431.5605</v>
      </c>
      <c r="I5082" s="24">
        <f>IFERROR(__xludf.DUMMYFUNCTION("""COMPUTED_VALUE"""),0.0188631210407999)</f>
        <v>0.01886312104</v>
      </c>
    </row>
    <row r="5083">
      <c r="A5083" s="5" t="str">
        <f>IFERROR(__xludf.DUMMYFUNCTION("""COMPUTED_VALUE"""),"73542")</f>
        <v>73542</v>
      </c>
      <c r="B5083" s="64">
        <f>IFERROR(__xludf.DUMMYFUNCTION("""COMPUTED_VALUE"""),44650.0)</f>
        <v>44650</v>
      </c>
      <c r="C5083" s="5"/>
      <c r="D5083" s="5"/>
      <c r="E5083" s="5"/>
      <c r="F5083" s="22">
        <f>IFERROR(__xludf.DUMMYFUNCTION("""COMPUTED_VALUE"""),406199.8165286)</f>
        <v>406199.8165</v>
      </c>
      <c r="G5083" s="22">
        <f>IFERROR(__xludf.DUMMYFUNCTION("""COMPUTED_VALUE"""),0.0)</f>
        <v>0</v>
      </c>
      <c r="H5083" s="22">
        <f>IFERROR(__xludf.DUMMYFUNCTION("""COMPUTED_VALUE"""),508907.6892512)</f>
        <v>508907.6893</v>
      </c>
      <c r="I5083" s="24">
        <f>IFERROR(__xludf.DUMMYFUNCTION("""COMPUTED_VALUE"""),0.017815378502400003)</f>
        <v>0.0178153785</v>
      </c>
    </row>
    <row r="5084">
      <c r="A5084" s="5" t="str">
        <f>IFERROR(__xludf.DUMMYFUNCTION("""COMPUTED_VALUE"""),"73542")</f>
        <v>73542</v>
      </c>
      <c r="B5084" s="64">
        <f>IFERROR(__xludf.DUMMYFUNCTION("""COMPUTED_VALUE"""),44651.0)</f>
        <v>44651</v>
      </c>
      <c r="C5084" s="5"/>
      <c r="D5084" s="5"/>
      <c r="E5084" s="5"/>
      <c r="F5084" s="22">
        <f>IFERROR(__xludf.DUMMYFUNCTION("""COMPUTED_VALUE"""),406199.8165286)</f>
        <v>406199.8165</v>
      </c>
      <c r="G5084" s="22">
        <f>IFERROR(__xludf.DUMMYFUNCTION("""COMPUTED_VALUE"""),0.0)</f>
        <v>0</v>
      </c>
      <c r="H5084" s="22">
        <f>IFERROR(__xludf.DUMMYFUNCTION("""COMPUTED_VALUE"""),507368.9347526)</f>
        <v>507368.9348</v>
      </c>
      <c r="I5084" s="24">
        <f>IFERROR(__xludf.DUMMYFUNCTION("""COMPUTED_VALUE"""),0.014737869505200063)</f>
        <v>0.01473786951</v>
      </c>
    </row>
    <row r="5085">
      <c r="A5085" s="5" t="str">
        <f>IFERROR(__xludf.DUMMYFUNCTION("""COMPUTED_VALUE"""),"73542")</f>
        <v>73542</v>
      </c>
      <c r="B5085" s="64">
        <f>IFERROR(__xludf.DUMMYFUNCTION("""COMPUTED_VALUE"""),44652.0)</f>
        <v>44652</v>
      </c>
      <c r="C5085" s="5"/>
      <c r="D5085" s="5"/>
      <c r="E5085" s="5"/>
      <c r="F5085" s="22">
        <f>IFERROR(__xludf.DUMMYFUNCTION("""COMPUTED_VALUE"""),406199.8165286)</f>
        <v>406199.8165</v>
      </c>
      <c r="G5085" s="22">
        <f>IFERROR(__xludf.DUMMYFUNCTION("""COMPUTED_VALUE"""),0.0)</f>
        <v>0</v>
      </c>
      <c r="H5085" s="22">
        <f>IFERROR(__xludf.DUMMYFUNCTION("""COMPUTED_VALUE"""),508025.1820952)</f>
        <v>508025.1821</v>
      </c>
      <c r="I5085" s="24">
        <f>IFERROR(__xludf.DUMMYFUNCTION("""COMPUTED_VALUE"""),0.016050364190399957)</f>
        <v>0.01605036419</v>
      </c>
    </row>
    <row r="5086">
      <c r="A5086" s="5" t="str">
        <f>IFERROR(__xludf.DUMMYFUNCTION("""COMPUTED_VALUE"""),"73542")</f>
        <v>73542</v>
      </c>
      <c r="B5086" s="64">
        <f>IFERROR(__xludf.DUMMYFUNCTION("""COMPUTED_VALUE"""),44653.0)</f>
        <v>44653</v>
      </c>
      <c r="C5086" s="5"/>
      <c r="D5086" s="5"/>
      <c r="E5086" s="5"/>
      <c r="F5086" s="22">
        <f>IFERROR(__xludf.DUMMYFUNCTION("""COMPUTED_VALUE"""),406199.8165286)</f>
        <v>406199.8165</v>
      </c>
      <c r="G5086" s="22">
        <f>IFERROR(__xludf.DUMMYFUNCTION("""COMPUTED_VALUE"""),0.0)</f>
        <v>0</v>
      </c>
      <c r="H5086" s="22">
        <f>IFERROR(__xludf.DUMMYFUNCTION("""COMPUTED_VALUE"""),508025.1820952)</f>
        <v>508025.1821</v>
      </c>
      <c r="I5086" s="24">
        <f>IFERROR(__xludf.DUMMYFUNCTION("""COMPUTED_VALUE"""),0.016050364190399957)</f>
        <v>0.01605036419</v>
      </c>
    </row>
    <row r="5087">
      <c r="A5087" s="5" t="str">
        <f>IFERROR(__xludf.DUMMYFUNCTION("""COMPUTED_VALUE"""),"73542")</f>
        <v>73542</v>
      </c>
      <c r="B5087" s="64">
        <f>IFERROR(__xludf.DUMMYFUNCTION("""COMPUTED_VALUE"""),44654.0)</f>
        <v>44654</v>
      </c>
      <c r="C5087" s="5"/>
      <c r="D5087" s="5"/>
      <c r="E5087" s="5"/>
      <c r="F5087" s="22">
        <f>IFERROR(__xludf.DUMMYFUNCTION("""COMPUTED_VALUE"""),406199.8165286)</f>
        <v>406199.8165</v>
      </c>
      <c r="G5087" s="22">
        <f>IFERROR(__xludf.DUMMYFUNCTION("""COMPUTED_VALUE"""),0.0)</f>
        <v>0</v>
      </c>
      <c r="H5087" s="22">
        <f>IFERROR(__xludf.DUMMYFUNCTION("""COMPUTED_VALUE"""),508025.1820952)</f>
        <v>508025.1821</v>
      </c>
      <c r="I5087" s="24">
        <f>IFERROR(__xludf.DUMMYFUNCTION("""COMPUTED_VALUE"""),0.016050364190399957)</f>
        <v>0.01605036419</v>
      </c>
    </row>
    <row r="5088">
      <c r="A5088" s="5" t="str">
        <f>IFERROR(__xludf.DUMMYFUNCTION("""COMPUTED_VALUE"""),"73542")</f>
        <v>73542</v>
      </c>
      <c r="B5088" s="64">
        <f>IFERROR(__xludf.DUMMYFUNCTION("""COMPUTED_VALUE"""),44655.0)</f>
        <v>44655</v>
      </c>
      <c r="C5088" s="5"/>
      <c r="D5088" s="5"/>
      <c r="E5088" s="5"/>
      <c r="F5088" s="22">
        <f>IFERROR(__xludf.DUMMYFUNCTION("""COMPUTED_VALUE"""),406199.8165286)</f>
        <v>406199.8165</v>
      </c>
      <c r="G5088" s="22">
        <f>IFERROR(__xludf.DUMMYFUNCTION("""COMPUTED_VALUE"""),0.0)</f>
        <v>0</v>
      </c>
      <c r="H5088" s="22">
        <f>IFERROR(__xludf.DUMMYFUNCTION("""COMPUTED_VALUE"""),513738.9465116)</f>
        <v>513738.9465</v>
      </c>
      <c r="I5088" s="24">
        <f>IFERROR(__xludf.DUMMYFUNCTION("""COMPUTED_VALUE"""),0.02747789302320003)</f>
        <v>0.02747789302</v>
      </c>
    </row>
    <row r="5089">
      <c r="A5089" s="5" t="str">
        <f>IFERROR(__xludf.DUMMYFUNCTION("""COMPUTED_VALUE"""),"73542")</f>
        <v>73542</v>
      </c>
      <c r="B5089" s="64">
        <f>IFERROR(__xludf.DUMMYFUNCTION("""COMPUTED_VALUE"""),44656.0)</f>
        <v>44656</v>
      </c>
      <c r="C5089" s="5"/>
      <c r="D5089" s="5"/>
      <c r="E5089" s="5"/>
      <c r="F5089" s="22">
        <f>IFERROR(__xludf.DUMMYFUNCTION("""COMPUTED_VALUE"""),406199.8165286)</f>
        <v>406199.8165</v>
      </c>
      <c r="G5089" s="22">
        <f>IFERROR(__xludf.DUMMYFUNCTION("""COMPUTED_VALUE"""),0.0)</f>
        <v>0</v>
      </c>
      <c r="H5089" s="22">
        <f>IFERROR(__xludf.DUMMYFUNCTION("""COMPUTED_VALUE"""),508651.386641)</f>
        <v>508651.3866</v>
      </c>
      <c r="I5089" s="24">
        <f>IFERROR(__xludf.DUMMYFUNCTION("""COMPUTED_VALUE"""),0.017302773281999917)</f>
        <v>0.01730277328</v>
      </c>
    </row>
    <row r="5090">
      <c r="A5090" s="5" t="str">
        <f>IFERROR(__xludf.DUMMYFUNCTION("""COMPUTED_VALUE"""),"73542")</f>
        <v>73542</v>
      </c>
      <c r="B5090" s="64">
        <f>IFERROR(__xludf.DUMMYFUNCTION("""COMPUTED_VALUE"""),44657.0)</f>
        <v>44657</v>
      </c>
      <c r="C5090" s="5"/>
      <c r="D5090" s="5"/>
      <c r="E5090" s="5"/>
      <c r="F5090" s="22">
        <f>IFERROR(__xludf.DUMMYFUNCTION("""COMPUTED_VALUE"""),406199.8165286)</f>
        <v>406199.8165</v>
      </c>
      <c r="G5090" s="22">
        <f>IFERROR(__xludf.DUMMYFUNCTION("""COMPUTED_VALUE"""),0.0)</f>
        <v>0</v>
      </c>
      <c r="H5090" s="22">
        <f>IFERROR(__xludf.DUMMYFUNCTION("""COMPUTED_VALUE"""),504379.676471)</f>
        <v>504379.6765</v>
      </c>
      <c r="I5090" s="24">
        <f>IFERROR(__xludf.DUMMYFUNCTION("""COMPUTED_VALUE"""),0.008759352942000032)</f>
        <v>0.008759352942</v>
      </c>
    </row>
    <row r="5091">
      <c r="A5091" s="5" t="str">
        <f>IFERROR(__xludf.DUMMYFUNCTION("""COMPUTED_VALUE"""),"73542")</f>
        <v>73542</v>
      </c>
      <c r="B5091" s="64">
        <f>IFERROR(__xludf.DUMMYFUNCTION("""COMPUTED_VALUE"""),44658.0)</f>
        <v>44658</v>
      </c>
      <c r="C5091" s="5"/>
      <c r="D5091" s="5"/>
      <c r="E5091" s="5"/>
      <c r="F5091" s="22">
        <f>IFERROR(__xludf.DUMMYFUNCTION("""COMPUTED_VALUE"""),406199.8165286)</f>
        <v>406199.8165</v>
      </c>
      <c r="G5091" s="22">
        <f>IFERROR(__xludf.DUMMYFUNCTION("""COMPUTED_VALUE"""),0.0)</f>
        <v>0</v>
      </c>
      <c r="H5091" s="22">
        <f>IFERROR(__xludf.DUMMYFUNCTION("""COMPUTED_VALUE"""),505459.339481)</f>
        <v>505459.3395</v>
      </c>
      <c r="I5091" s="24">
        <f>IFERROR(__xludf.DUMMYFUNCTION("""COMPUTED_VALUE"""),0.01091867896199994)</f>
        <v>0.01091867896</v>
      </c>
    </row>
    <row r="5092">
      <c r="A5092" s="5" t="str">
        <f>IFERROR(__xludf.DUMMYFUNCTION("""COMPUTED_VALUE"""),"73542")</f>
        <v>73542</v>
      </c>
      <c r="B5092" s="64">
        <f>IFERROR(__xludf.DUMMYFUNCTION("""COMPUTED_VALUE"""),44659.0)</f>
        <v>44659</v>
      </c>
      <c r="C5092" s="5"/>
      <c r="D5092" s="5"/>
      <c r="E5092" s="5"/>
      <c r="F5092" s="22">
        <f>IFERROR(__xludf.DUMMYFUNCTION("""COMPUTED_VALUE"""),406199.8165286)</f>
        <v>406199.8165</v>
      </c>
      <c r="G5092" s="22">
        <f>IFERROR(__xludf.DUMMYFUNCTION("""COMPUTED_VALUE"""),0.0)</f>
        <v>0</v>
      </c>
      <c r="H5092" s="22">
        <f>IFERROR(__xludf.DUMMYFUNCTION("""COMPUTED_VALUE"""),502476.6530612)</f>
        <v>502476.6531</v>
      </c>
      <c r="I5092" s="24">
        <f>IFERROR(__xludf.DUMMYFUNCTION("""COMPUTED_VALUE"""),0.004953306122400081)</f>
        <v>0.004953306122</v>
      </c>
    </row>
    <row r="5093">
      <c r="A5093" s="5" t="str">
        <f>IFERROR(__xludf.DUMMYFUNCTION("""COMPUTED_VALUE"""),"73542")</f>
        <v>73542</v>
      </c>
      <c r="B5093" s="64">
        <f>IFERROR(__xludf.DUMMYFUNCTION("""COMPUTED_VALUE"""),44660.0)</f>
        <v>44660</v>
      </c>
      <c r="C5093" s="5"/>
      <c r="D5093" s="5"/>
      <c r="E5093" s="5"/>
      <c r="F5093" s="22">
        <f>IFERROR(__xludf.DUMMYFUNCTION("""COMPUTED_VALUE"""),406199.8165286)</f>
        <v>406199.8165</v>
      </c>
      <c r="G5093" s="22">
        <f>IFERROR(__xludf.DUMMYFUNCTION("""COMPUTED_VALUE"""),0.0)</f>
        <v>0</v>
      </c>
      <c r="H5093" s="22">
        <f>IFERROR(__xludf.DUMMYFUNCTION("""COMPUTED_VALUE"""),502476.6530612)</f>
        <v>502476.6531</v>
      </c>
      <c r="I5093" s="24">
        <f>IFERROR(__xludf.DUMMYFUNCTION("""COMPUTED_VALUE"""),0.004953306122400081)</f>
        <v>0.004953306122</v>
      </c>
    </row>
    <row r="5094">
      <c r="A5094" s="5" t="str">
        <f>IFERROR(__xludf.DUMMYFUNCTION("""COMPUTED_VALUE"""),"73542")</f>
        <v>73542</v>
      </c>
      <c r="B5094" s="64">
        <f>IFERROR(__xludf.DUMMYFUNCTION("""COMPUTED_VALUE"""),44661.0)</f>
        <v>44661</v>
      </c>
      <c r="C5094" s="5"/>
      <c r="D5094" s="5"/>
      <c r="E5094" s="5"/>
      <c r="F5094" s="22">
        <f>IFERROR(__xludf.DUMMYFUNCTION("""COMPUTED_VALUE"""),406199.8165286)</f>
        <v>406199.8165</v>
      </c>
      <c r="G5094" s="22">
        <f>IFERROR(__xludf.DUMMYFUNCTION("""COMPUTED_VALUE"""),0.0)</f>
        <v>0</v>
      </c>
      <c r="H5094" s="22">
        <f>IFERROR(__xludf.DUMMYFUNCTION("""COMPUTED_VALUE"""),502476.6530612)</f>
        <v>502476.6531</v>
      </c>
      <c r="I5094" s="24">
        <f>IFERROR(__xludf.DUMMYFUNCTION("""COMPUTED_VALUE"""),0.004953306122400081)</f>
        <v>0.004953306122</v>
      </c>
    </row>
    <row r="5095">
      <c r="A5095" s="5" t="str">
        <f>IFERROR(__xludf.DUMMYFUNCTION("""COMPUTED_VALUE"""),"73542")</f>
        <v>73542</v>
      </c>
      <c r="B5095" s="64">
        <f>IFERROR(__xludf.DUMMYFUNCTION("""COMPUTED_VALUE"""),44662.0)</f>
        <v>44662</v>
      </c>
      <c r="C5095" s="5"/>
      <c r="D5095" s="5"/>
      <c r="E5095" s="5"/>
      <c r="F5095" s="22">
        <f>IFERROR(__xludf.DUMMYFUNCTION("""COMPUTED_VALUE"""),406199.8165286)</f>
        <v>406199.8165</v>
      </c>
      <c r="G5095" s="22">
        <f>IFERROR(__xludf.DUMMYFUNCTION("""COMPUTED_VALUE"""),0.0)</f>
        <v>0</v>
      </c>
      <c r="H5095" s="22">
        <f>IFERROR(__xludf.DUMMYFUNCTION("""COMPUTED_VALUE"""),497823.7749068)</f>
        <v>497823.7749</v>
      </c>
      <c r="I5095" s="24">
        <f>IFERROR(__xludf.DUMMYFUNCTION("""COMPUTED_VALUE"""),-0.004352450186399959)</f>
        <v>-0.004352450186</v>
      </c>
    </row>
    <row r="5096">
      <c r="A5096" s="5" t="str">
        <f>IFERROR(__xludf.DUMMYFUNCTION("""COMPUTED_VALUE"""),"73542")</f>
        <v>73542</v>
      </c>
      <c r="B5096" s="64">
        <f>IFERROR(__xludf.DUMMYFUNCTION("""COMPUTED_VALUE"""),44663.0)</f>
        <v>44663</v>
      </c>
      <c r="C5096" s="5"/>
      <c r="D5096" s="5"/>
      <c r="E5096" s="5"/>
      <c r="F5096" s="22">
        <f>IFERROR(__xludf.DUMMYFUNCTION("""COMPUTED_VALUE"""),406199.8165286)</f>
        <v>406199.8165</v>
      </c>
      <c r="G5096" s="22">
        <f>IFERROR(__xludf.DUMMYFUNCTION("""COMPUTED_VALUE"""),0.0)</f>
        <v>0</v>
      </c>
      <c r="H5096" s="22">
        <f>IFERROR(__xludf.DUMMYFUNCTION("""COMPUTED_VALUE"""),498858.3737216)</f>
        <v>498858.3737</v>
      </c>
      <c r="I5096" s="24">
        <f>IFERROR(__xludf.DUMMYFUNCTION("""COMPUTED_VALUE"""),-0.002283252556800064)</f>
        <v>-0.002283252557</v>
      </c>
    </row>
    <row r="5097">
      <c r="A5097" s="5" t="str">
        <f>IFERROR(__xludf.DUMMYFUNCTION("""COMPUTED_VALUE"""),"73879")</f>
        <v>73879</v>
      </c>
      <c r="B5097" s="64">
        <f>IFERROR(__xludf.DUMMYFUNCTION("""COMPUTED_VALUE"""),44597.0)</f>
        <v>44597</v>
      </c>
      <c r="C5097" s="5"/>
      <c r="D5097" s="5"/>
      <c r="E5097" s="5"/>
      <c r="F5097" s="22">
        <f>IFERROR(__xludf.DUMMYFUNCTION("""COMPUTED_VALUE"""),500000.0)</f>
        <v>500000</v>
      </c>
      <c r="G5097" s="22">
        <f>IFERROR(__xludf.DUMMYFUNCTION("""COMPUTED_VALUE"""),0.0)</f>
        <v>0</v>
      </c>
      <c r="H5097" s="22">
        <f>IFERROR(__xludf.DUMMYFUNCTION("""COMPUTED_VALUE"""),500000.0)</f>
        <v>500000</v>
      </c>
      <c r="I5097" s="24">
        <f>IFERROR(__xludf.DUMMYFUNCTION("""COMPUTED_VALUE"""),0.0)</f>
        <v>0</v>
      </c>
    </row>
    <row r="5098">
      <c r="A5098" s="5" t="str">
        <f>IFERROR(__xludf.DUMMYFUNCTION("""COMPUTED_VALUE"""),"73879")</f>
        <v>73879</v>
      </c>
      <c r="B5098" s="64">
        <f>IFERROR(__xludf.DUMMYFUNCTION("""COMPUTED_VALUE"""),44598.0)</f>
        <v>44598</v>
      </c>
      <c r="C5098" s="5"/>
      <c r="D5098" s="5"/>
      <c r="E5098" s="5"/>
      <c r="F5098" s="22">
        <f>IFERROR(__xludf.DUMMYFUNCTION("""COMPUTED_VALUE"""),500000.0)</f>
        <v>500000</v>
      </c>
      <c r="G5098" s="22">
        <f>IFERROR(__xludf.DUMMYFUNCTION("""COMPUTED_VALUE"""),0.0)</f>
        <v>0</v>
      </c>
      <c r="H5098" s="22">
        <f>IFERROR(__xludf.DUMMYFUNCTION("""COMPUTED_VALUE"""),500000.0)</f>
        <v>500000</v>
      </c>
      <c r="I5098" s="24">
        <f>IFERROR(__xludf.DUMMYFUNCTION("""COMPUTED_VALUE"""),0.0)</f>
        <v>0</v>
      </c>
    </row>
    <row r="5099">
      <c r="A5099" s="5" t="str">
        <f>IFERROR(__xludf.DUMMYFUNCTION("""COMPUTED_VALUE"""),"73879")</f>
        <v>73879</v>
      </c>
      <c r="B5099" s="64">
        <f>IFERROR(__xludf.DUMMYFUNCTION("""COMPUTED_VALUE"""),44599.0)</f>
        <v>44599</v>
      </c>
      <c r="C5099" s="5"/>
      <c r="D5099" s="5"/>
      <c r="E5099" s="5"/>
      <c r="F5099" s="22">
        <f>IFERROR(__xludf.DUMMYFUNCTION("""COMPUTED_VALUE"""),500000.0)</f>
        <v>500000</v>
      </c>
      <c r="G5099" s="22">
        <f>IFERROR(__xludf.DUMMYFUNCTION("""COMPUTED_VALUE"""),0.0)</f>
        <v>0</v>
      </c>
      <c r="H5099" s="22">
        <f>IFERROR(__xludf.DUMMYFUNCTION("""COMPUTED_VALUE"""),500000.0)</f>
        <v>500000</v>
      </c>
      <c r="I5099" s="24">
        <f>IFERROR(__xludf.DUMMYFUNCTION("""COMPUTED_VALUE"""),0.0)</f>
        <v>0</v>
      </c>
    </row>
    <row r="5100">
      <c r="A5100" s="5" t="str">
        <f>IFERROR(__xludf.DUMMYFUNCTION("""COMPUTED_VALUE"""),"73879")</f>
        <v>73879</v>
      </c>
      <c r="B5100" s="64">
        <f>IFERROR(__xludf.DUMMYFUNCTION("""COMPUTED_VALUE"""),44600.0)</f>
        <v>44600</v>
      </c>
      <c r="C5100" s="5"/>
      <c r="D5100" s="5"/>
      <c r="E5100" s="5"/>
      <c r="F5100" s="22">
        <f>IFERROR(__xludf.DUMMYFUNCTION("""COMPUTED_VALUE"""),500000.0)</f>
        <v>500000</v>
      </c>
      <c r="G5100" s="22">
        <f>IFERROR(__xludf.DUMMYFUNCTION("""COMPUTED_VALUE"""),0.0)</f>
        <v>0</v>
      </c>
      <c r="H5100" s="22">
        <f>IFERROR(__xludf.DUMMYFUNCTION("""COMPUTED_VALUE"""),500000.0)</f>
        <v>500000</v>
      </c>
      <c r="I5100" s="24">
        <f>IFERROR(__xludf.DUMMYFUNCTION("""COMPUTED_VALUE"""),0.0)</f>
        <v>0</v>
      </c>
    </row>
    <row r="5101">
      <c r="A5101" s="5" t="str">
        <f>IFERROR(__xludf.DUMMYFUNCTION("""COMPUTED_VALUE"""),"73879")</f>
        <v>73879</v>
      </c>
      <c r="B5101" s="64">
        <f>IFERROR(__xludf.DUMMYFUNCTION("""COMPUTED_VALUE"""),44601.0)</f>
        <v>44601</v>
      </c>
      <c r="C5101" s="5"/>
      <c r="D5101" s="5"/>
      <c r="E5101" s="5"/>
      <c r="F5101" s="22">
        <f>IFERROR(__xludf.DUMMYFUNCTION("""COMPUTED_VALUE"""),500000.0)</f>
        <v>500000</v>
      </c>
      <c r="G5101" s="22">
        <f>IFERROR(__xludf.DUMMYFUNCTION("""COMPUTED_VALUE"""),0.0)</f>
        <v>0</v>
      </c>
      <c r="H5101" s="22">
        <f>IFERROR(__xludf.DUMMYFUNCTION("""COMPUTED_VALUE"""),500000.0)</f>
        <v>500000</v>
      </c>
      <c r="I5101" s="24">
        <f>IFERROR(__xludf.DUMMYFUNCTION("""COMPUTED_VALUE"""),0.0)</f>
        <v>0</v>
      </c>
    </row>
    <row r="5102">
      <c r="A5102" s="5" t="str">
        <f>IFERROR(__xludf.DUMMYFUNCTION("""COMPUTED_VALUE"""),"73879")</f>
        <v>73879</v>
      </c>
      <c r="B5102" s="64">
        <f>IFERROR(__xludf.DUMMYFUNCTION("""COMPUTED_VALUE"""),44602.0)</f>
        <v>44602</v>
      </c>
      <c r="C5102" s="5"/>
      <c r="D5102" s="5"/>
      <c r="E5102" s="5"/>
      <c r="F5102" s="22">
        <f>IFERROR(__xludf.DUMMYFUNCTION("""COMPUTED_VALUE"""),500000.0)</f>
        <v>500000</v>
      </c>
      <c r="G5102" s="22">
        <f>IFERROR(__xludf.DUMMYFUNCTION("""COMPUTED_VALUE"""),0.0)</f>
        <v>0</v>
      </c>
      <c r="H5102" s="22">
        <f>IFERROR(__xludf.DUMMYFUNCTION("""COMPUTED_VALUE"""),500000.0)</f>
        <v>500000</v>
      </c>
      <c r="I5102" s="24">
        <f>IFERROR(__xludf.DUMMYFUNCTION("""COMPUTED_VALUE"""),0.0)</f>
        <v>0</v>
      </c>
    </row>
    <row r="5103">
      <c r="A5103" s="5" t="str">
        <f>IFERROR(__xludf.DUMMYFUNCTION("""COMPUTED_VALUE"""),"73879")</f>
        <v>73879</v>
      </c>
      <c r="B5103" s="64">
        <f>IFERROR(__xludf.DUMMYFUNCTION("""COMPUTED_VALUE"""),44603.0)</f>
        <v>44603</v>
      </c>
      <c r="C5103" s="5"/>
      <c r="D5103" s="5"/>
      <c r="E5103" s="5"/>
      <c r="F5103" s="22">
        <f>IFERROR(__xludf.DUMMYFUNCTION("""COMPUTED_VALUE"""),500000.0)</f>
        <v>500000</v>
      </c>
      <c r="G5103" s="22">
        <f>IFERROR(__xludf.DUMMYFUNCTION("""COMPUTED_VALUE"""),0.0)</f>
        <v>0</v>
      </c>
      <c r="H5103" s="22">
        <f>IFERROR(__xludf.DUMMYFUNCTION("""COMPUTED_VALUE"""),500000.0)</f>
        <v>500000</v>
      </c>
      <c r="I5103" s="24">
        <f>IFERROR(__xludf.DUMMYFUNCTION("""COMPUTED_VALUE"""),0.0)</f>
        <v>0</v>
      </c>
    </row>
    <row r="5104">
      <c r="A5104" s="5" t="str">
        <f>IFERROR(__xludf.DUMMYFUNCTION("""COMPUTED_VALUE"""),"73879")</f>
        <v>73879</v>
      </c>
      <c r="B5104" s="64">
        <f>IFERROR(__xludf.DUMMYFUNCTION("""COMPUTED_VALUE"""),44604.0)</f>
        <v>44604</v>
      </c>
      <c r="C5104" s="5"/>
      <c r="D5104" s="5"/>
      <c r="E5104" s="5"/>
      <c r="F5104" s="22">
        <f>IFERROR(__xludf.DUMMYFUNCTION("""COMPUTED_VALUE"""),500000.0)</f>
        <v>500000</v>
      </c>
      <c r="G5104" s="22">
        <f>IFERROR(__xludf.DUMMYFUNCTION("""COMPUTED_VALUE"""),0.0)</f>
        <v>0</v>
      </c>
      <c r="H5104" s="22">
        <f>IFERROR(__xludf.DUMMYFUNCTION("""COMPUTED_VALUE"""),500000.0)</f>
        <v>500000</v>
      </c>
      <c r="I5104" s="24">
        <f>IFERROR(__xludf.DUMMYFUNCTION("""COMPUTED_VALUE"""),0.0)</f>
        <v>0</v>
      </c>
    </row>
    <row r="5105">
      <c r="A5105" s="5" t="str">
        <f>IFERROR(__xludf.DUMMYFUNCTION("""COMPUTED_VALUE"""),"73879")</f>
        <v>73879</v>
      </c>
      <c r="B5105" s="64">
        <f>IFERROR(__xludf.DUMMYFUNCTION("""COMPUTED_VALUE"""),44605.0)</f>
        <v>44605</v>
      </c>
      <c r="C5105" s="5"/>
      <c r="D5105" s="5"/>
      <c r="E5105" s="5"/>
      <c r="F5105" s="22">
        <f>IFERROR(__xludf.DUMMYFUNCTION("""COMPUTED_VALUE"""),500000.0)</f>
        <v>500000</v>
      </c>
      <c r="G5105" s="22">
        <f>IFERROR(__xludf.DUMMYFUNCTION("""COMPUTED_VALUE"""),0.0)</f>
        <v>0</v>
      </c>
      <c r="H5105" s="22">
        <f>IFERROR(__xludf.DUMMYFUNCTION("""COMPUTED_VALUE"""),500000.0)</f>
        <v>500000</v>
      </c>
      <c r="I5105" s="24">
        <f>IFERROR(__xludf.DUMMYFUNCTION("""COMPUTED_VALUE"""),0.0)</f>
        <v>0</v>
      </c>
    </row>
    <row r="5106">
      <c r="A5106" s="5" t="str">
        <f>IFERROR(__xludf.DUMMYFUNCTION("""COMPUTED_VALUE"""),"73879")</f>
        <v>73879</v>
      </c>
      <c r="B5106" s="64">
        <f>IFERROR(__xludf.DUMMYFUNCTION("""COMPUTED_VALUE"""),44606.0)</f>
        <v>44606</v>
      </c>
      <c r="C5106" s="5"/>
      <c r="D5106" s="5"/>
      <c r="E5106" s="5"/>
      <c r="F5106" s="22">
        <f>IFERROR(__xludf.DUMMYFUNCTION("""COMPUTED_VALUE"""),500000.0)</f>
        <v>500000</v>
      </c>
      <c r="G5106" s="22">
        <f>IFERROR(__xludf.DUMMYFUNCTION("""COMPUTED_VALUE"""),0.0)</f>
        <v>0</v>
      </c>
      <c r="H5106" s="22">
        <f>IFERROR(__xludf.DUMMYFUNCTION("""COMPUTED_VALUE"""),500000.0)</f>
        <v>500000</v>
      </c>
      <c r="I5106" s="24">
        <f>IFERROR(__xludf.DUMMYFUNCTION("""COMPUTED_VALUE"""),0.0)</f>
        <v>0</v>
      </c>
    </row>
    <row r="5107">
      <c r="A5107" s="5" t="str">
        <f>IFERROR(__xludf.DUMMYFUNCTION("""COMPUTED_VALUE"""),"73879")</f>
        <v>73879</v>
      </c>
      <c r="B5107" s="64">
        <f>IFERROR(__xludf.DUMMYFUNCTION("""COMPUTED_VALUE"""),44607.0)</f>
        <v>44607</v>
      </c>
      <c r="C5107" s="5"/>
      <c r="D5107" s="5"/>
      <c r="E5107" s="5"/>
      <c r="F5107" s="22">
        <f>IFERROR(__xludf.DUMMYFUNCTION("""COMPUTED_VALUE"""),500000.0)</f>
        <v>500000</v>
      </c>
      <c r="G5107" s="22">
        <f>IFERROR(__xludf.DUMMYFUNCTION("""COMPUTED_VALUE"""),0.0)</f>
        <v>0</v>
      </c>
      <c r="H5107" s="22">
        <f>IFERROR(__xludf.DUMMYFUNCTION("""COMPUTED_VALUE"""),500000.0)</f>
        <v>500000</v>
      </c>
      <c r="I5107" s="24">
        <f>IFERROR(__xludf.DUMMYFUNCTION("""COMPUTED_VALUE"""),0.0)</f>
        <v>0</v>
      </c>
    </row>
    <row r="5108">
      <c r="A5108" s="5" t="str">
        <f>IFERROR(__xludf.DUMMYFUNCTION("""COMPUTED_VALUE"""),"73879")</f>
        <v>73879</v>
      </c>
      <c r="B5108" s="64">
        <f>IFERROR(__xludf.DUMMYFUNCTION("""COMPUTED_VALUE"""),44608.0)</f>
        <v>44608</v>
      </c>
      <c r="C5108" s="5"/>
      <c r="D5108" s="5"/>
      <c r="E5108" s="5"/>
      <c r="F5108" s="22">
        <f>IFERROR(__xludf.DUMMYFUNCTION("""COMPUTED_VALUE"""),500000.0)</f>
        <v>500000</v>
      </c>
      <c r="G5108" s="22">
        <f>IFERROR(__xludf.DUMMYFUNCTION("""COMPUTED_VALUE"""),0.0)</f>
        <v>0</v>
      </c>
      <c r="H5108" s="22">
        <f>IFERROR(__xludf.DUMMYFUNCTION("""COMPUTED_VALUE"""),500000.0)</f>
        <v>500000</v>
      </c>
      <c r="I5108" s="24">
        <f>IFERROR(__xludf.DUMMYFUNCTION("""COMPUTED_VALUE"""),0.0)</f>
        <v>0</v>
      </c>
    </row>
    <row r="5109">
      <c r="A5109" s="5" t="str">
        <f>IFERROR(__xludf.DUMMYFUNCTION("""COMPUTED_VALUE"""),"73879")</f>
        <v>73879</v>
      </c>
      <c r="B5109" s="64">
        <f>IFERROR(__xludf.DUMMYFUNCTION("""COMPUTED_VALUE"""),44609.0)</f>
        <v>44609</v>
      </c>
      <c r="C5109" s="5"/>
      <c r="D5109" s="5"/>
      <c r="E5109" s="5"/>
      <c r="F5109" s="22">
        <f>IFERROR(__xludf.DUMMYFUNCTION("""COMPUTED_VALUE"""),500000.0)</f>
        <v>500000</v>
      </c>
      <c r="G5109" s="22">
        <f>IFERROR(__xludf.DUMMYFUNCTION("""COMPUTED_VALUE"""),0.0)</f>
        <v>0</v>
      </c>
      <c r="H5109" s="22">
        <f>IFERROR(__xludf.DUMMYFUNCTION("""COMPUTED_VALUE"""),500000.0)</f>
        <v>500000</v>
      </c>
      <c r="I5109" s="24">
        <f>IFERROR(__xludf.DUMMYFUNCTION("""COMPUTED_VALUE"""),0.0)</f>
        <v>0</v>
      </c>
    </row>
    <row r="5110">
      <c r="A5110" s="5" t="str">
        <f>IFERROR(__xludf.DUMMYFUNCTION("""COMPUTED_VALUE"""),"73879")</f>
        <v>73879</v>
      </c>
      <c r="B5110" s="64">
        <f>IFERROR(__xludf.DUMMYFUNCTION("""COMPUTED_VALUE"""),44610.0)</f>
        <v>44610</v>
      </c>
      <c r="C5110" s="5"/>
      <c r="D5110" s="5"/>
      <c r="E5110" s="5"/>
      <c r="F5110" s="22">
        <f>IFERROR(__xludf.DUMMYFUNCTION("""COMPUTED_VALUE"""),500000.0)</f>
        <v>500000</v>
      </c>
      <c r="G5110" s="22">
        <f>IFERROR(__xludf.DUMMYFUNCTION("""COMPUTED_VALUE"""),0.0)</f>
        <v>0</v>
      </c>
      <c r="H5110" s="22">
        <f>IFERROR(__xludf.DUMMYFUNCTION("""COMPUTED_VALUE"""),500000.0)</f>
        <v>500000</v>
      </c>
      <c r="I5110" s="24">
        <f>IFERROR(__xludf.DUMMYFUNCTION("""COMPUTED_VALUE"""),0.0)</f>
        <v>0</v>
      </c>
    </row>
    <row r="5111">
      <c r="A5111" s="5" t="str">
        <f>IFERROR(__xludf.DUMMYFUNCTION("""COMPUTED_VALUE"""),"73879")</f>
        <v>73879</v>
      </c>
      <c r="B5111" s="64">
        <f>IFERROR(__xludf.DUMMYFUNCTION("""COMPUTED_VALUE"""),44611.0)</f>
        <v>44611</v>
      </c>
      <c r="C5111" s="5"/>
      <c r="D5111" s="5"/>
      <c r="E5111" s="5"/>
      <c r="F5111" s="22">
        <f>IFERROR(__xludf.DUMMYFUNCTION("""COMPUTED_VALUE"""),500000.0)</f>
        <v>500000</v>
      </c>
      <c r="G5111" s="22">
        <f>IFERROR(__xludf.DUMMYFUNCTION("""COMPUTED_VALUE"""),0.0)</f>
        <v>0</v>
      </c>
      <c r="H5111" s="22">
        <f>IFERROR(__xludf.DUMMYFUNCTION("""COMPUTED_VALUE"""),500000.0)</f>
        <v>500000</v>
      </c>
      <c r="I5111" s="24">
        <f>IFERROR(__xludf.DUMMYFUNCTION("""COMPUTED_VALUE"""),0.0)</f>
        <v>0</v>
      </c>
    </row>
    <row r="5112">
      <c r="A5112" s="5" t="str">
        <f>IFERROR(__xludf.DUMMYFUNCTION("""COMPUTED_VALUE"""),"73879")</f>
        <v>73879</v>
      </c>
      <c r="B5112" s="64">
        <f>IFERROR(__xludf.DUMMYFUNCTION("""COMPUTED_VALUE"""),44612.0)</f>
        <v>44612</v>
      </c>
      <c r="C5112" s="5"/>
      <c r="D5112" s="5"/>
      <c r="E5112" s="5"/>
      <c r="F5112" s="22">
        <f>IFERROR(__xludf.DUMMYFUNCTION("""COMPUTED_VALUE"""),500000.0)</f>
        <v>500000</v>
      </c>
      <c r="G5112" s="22">
        <f>IFERROR(__xludf.DUMMYFUNCTION("""COMPUTED_VALUE"""),0.0)</f>
        <v>0</v>
      </c>
      <c r="H5112" s="22">
        <f>IFERROR(__xludf.DUMMYFUNCTION("""COMPUTED_VALUE"""),500000.0)</f>
        <v>500000</v>
      </c>
      <c r="I5112" s="24">
        <f>IFERROR(__xludf.DUMMYFUNCTION("""COMPUTED_VALUE"""),0.0)</f>
        <v>0</v>
      </c>
    </row>
    <row r="5113">
      <c r="A5113" s="5" t="str">
        <f>IFERROR(__xludf.DUMMYFUNCTION("""COMPUTED_VALUE"""),"73879")</f>
        <v>73879</v>
      </c>
      <c r="B5113" s="64">
        <f>IFERROR(__xludf.DUMMYFUNCTION("""COMPUTED_VALUE"""),44613.0)</f>
        <v>44613</v>
      </c>
      <c r="C5113" s="5"/>
      <c r="D5113" s="5"/>
      <c r="E5113" s="5"/>
      <c r="F5113" s="22">
        <f>IFERROR(__xludf.DUMMYFUNCTION("""COMPUTED_VALUE"""),500000.0)</f>
        <v>500000</v>
      </c>
      <c r="G5113" s="22">
        <f>IFERROR(__xludf.DUMMYFUNCTION("""COMPUTED_VALUE"""),0.0)</f>
        <v>0</v>
      </c>
      <c r="H5113" s="22">
        <f>IFERROR(__xludf.DUMMYFUNCTION("""COMPUTED_VALUE"""),500000.0)</f>
        <v>500000</v>
      </c>
      <c r="I5113" s="24">
        <f>IFERROR(__xludf.DUMMYFUNCTION("""COMPUTED_VALUE"""),0.0)</f>
        <v>0</v>
      </c>
    </row>
    <row r="5114">
      <c r="A5114" s="5" t="str">
        <f>IFERROR(__xludf.DUMMYFUNCTION("""COMPUTED_VALUE"""),"73879")</f>
        <v>73879</v>
      </c>
      <c r="B5114" s="64">
        <f>IFERROR(__xludf.DUMMYFUNCTION("""COMPUTED_VALUE"""),44614.0)</f>
        <v>44614</v>
      </c>
      <c r="C5114" s="5"/>
      <c r="D5114" s="5"/>
      <c r="E5114" s="5"/>
      <c r="F5114" s="22">
        <f>IFERROR(__xludf.DUMMYFUNCTION("""COMPUTED_VALUE"""),500000.0)</f>
        <v>500000</v>
      </c>
      <c r="G5114" s="22">
        <f>IFERROR(__xludf.DUMMYFUNCTION("""COMPUTED_VALUE"""),0.0)</f>
        <v>0</v>
      </c>
      <c r="H5114" s="22">
        <f>IFERROR(__xludf.DUMMYFUNCTION("""COMPUTED_VALUE"""),500000.0)</f>
        <v>500000</v>
      </c>
      <c r="I5114" s="24">
        <f>IFERROR(__xludf.DUMMYFUNCTION("""COMPUTED_VALUE"""),0.0)</f>
        <v>0</v>
      </c>
    </row>
    <row r="5115">
      <c r="A5115" s="5" t="str">
        <f>IFERROR(__xludf.DUMMYFUNCTION("""COMPUTED_VALUE"""),"73879")</f>
        <v>73879</v>
      </c>
      <c r="B5115" s="64">
        <f>IFERROR(__xludf.DUMMYFUNCTION("""COMPUTED_VALUE"""),44615.0)</f>
        <v>44615</v>
      </c>
      <c r="C5115" s="5"/>
      <c r="D5115" s="5"/>
      <c r="E5115" s="5"/>
      <c r="F5115" s="22">
        <f>IFERROR(__xludf.DUMMYFUNCTION("""COMPUTED_VALUE"""),500000.0)</f>
        <v>500000</v>
      </c>
      <c r="G5115" s="22">
        <f>IFERROR(__xludf.DUMMYFUNCTION("""COMPUTED_VALUE"""),0.0)</f>
        <v>0</v>
      </c>
      <c r="H5115" s="22">
        <f>IFERROR(__xludf.DUMMYFUNCTION("""COMPUTED_VALUE"""),500000.0)</f>
        <v>500000</v>
      </c>
      <c r="I5115" s="24">
        <f>IFERROR(__xludf.DUMMYFUNCTION("""COMPUTED_VALUE"""),0.0)</f>
        <v>0</v>
      </c>
    </row>
    <row r="5116">
      <c r="A5116" s="5" t="str">
        <f>IFERROR(__xludf.DUMMYFUNCTION("""COMPUTED_VALUE"""),"73879")</f>
        <v>73879</v>
      </c>
      <c r="B5116" s="64">
        <f>IFERROR(__xludf.DUMMYFUNCTION("""COMPUTED_VALUE"""),44616.0)</f>
        <v>44616</v>
      </c>
      <c r="C5116" s="5"/>
      <c r="D5116" s="5"/>
      <c r="E5116" s="5"/>
      <c r="F5116" s="22">
        <f>IFERROR(__xludf.DUMMYFUNCTION("""COMPUTED_VALUE"""),500000.0)</f>
        <v>500000</v>
      </c>
      <c r="G5116" s="22">
        <f>IFERROR(__xludf.DUMMYFUNCTION("""COMPUTED_VALUE"""),0.0)</f>
        <v>0</v>
      </c>
      <c r="H5116" s="22">
        <f>IFERROR(__xludf.DUMMYFUNCTION("""COMPUTED_VALUE"""),500000.0)</f>
        <v>500000</v>
      </c>
      <c r="I5116" s="24">
        <f>IFERROR(__xludf.DUMMYFUNCTION("""COMPUTED_VALUE"""),0.0)</f>
        <v>0</v>
      </c>
    </row>
    <row r="5117">
      <c r="A5117" s="5" t="str">
        <f>IFERROR(__xludf.DUMMYFUNCTION("""COMPUTED_VALUE"""),"73879")</f>
        <v>73879</v>
      </c>
      <c r="B5117" s="64">
        <f>IFERROR(__xludf.DUMMYFUNCTION("""COMPUTED_VALUE"""),44617.0)</f>
        <v>44617</v>
      </c>
      <c r="C5117" s="5"/>
      <c r="D5117" s="5"/>
      <c r="E5117" s="5"/>
      <c r="F5117" s="22">
        <f>IFERROR(__xludf.DUMMYFUNCTION("""COMPUTED_VALUE"""),500000.0)</f>
        <v>500000</v>
      </c>
      <c r="G5117" s="22">
        <f>IFERROR(__xludf.DUMMYFUNCTION("""COMPUTED_VALUE"""),0.0)</f>
        <v>0</v>
      </c>
      <c r="H5117" s="22">
        <f>IFERROR(__xludf.DUMMYFUNCTION("""COMPUTED_VALUE"""),500000.0)</f>
        <v>500000</v>
      </c>
      <c r="I5117" s="24">
        <f>IFERROR(__xludf.DUMMYFUNCTION("""COMPUTED_VALUE"""),0.0)</f>
        <v>0</v>
      </c>
    </row>
    <row r="5118">
      <c r="A5118" s="5" t="str">
        <f>IFERROR(__xludf.DUMMYFUNCTION("""COMPUTED_VALUE"""),"73879")</f>
        <v>73879</v>
      </c>
      <c r="B5118" s="64">
        <f>IFERROR(__xludf.DUMMYFUNCTION("""COMPUTED_VALUE"""),44618.0)</f>
        <v>44618</v>
      </c>
      <c r="C5118" s="5"/>
      <c r="D5118" s="5"/>
      <c r="E5118" s="5"/>
      <c r="F5118" s="22">
        <f>IFERROR(__xludf.DUMMYFUNCTION("""COMPUTED_VALUE"""),500000.0)</f>
        <v>500000</v>
      </c>
      <c r="G5118" s="22">
        <f>IFERROR(__xludf.DUMMYFUNCTION("""COMPUTED_VALUE"""),0.0)</f>
        <v>0</v>
      </c>
      <c r="H5118" s="22">
        <f>IFERROR(__xludf.DUMMYFUNCTION("""COMPUTED_VALUE"""),500000.0)</f>
        <v>500000</v>
      </c>
      <c r="I5118" s="24">
        <f>IFERROR(__xludf.DUMMYFUNCTION("""COMPUTED_VALUE"""),0.0)</f>
        <v>0</v>
      </c>
    </row>
    <row r="5119">
      <c r="A5119" s="5" t="str">
        <f>IFERROR(__xludf.DUMMYFUNCTION("""COMPUTED_VALUE"""),"73879")</f>
        <v>73879</v>
      </c>
      <c r="B5119" s="64">
        <f>IFERROR(__xludf.DUMMYFUNCTION("""COMPUTED_VALUE"""),44619.0)</f>
        <v>44619</v>
      </c>
      <c r="C5119" s="5"/>
      <c r="D5119" s="5"/>
      <c r="E5119" s="5"/>
      <c r="F5119" s="22">
        <f>IFERROR(__xludf.DUMMYFUNCTION("""COMPUTED_VALUE"""),500000.0)</f>
        <v>500000</v>
      </c>
      <c r="G5119" s="22">
        <f>IFERROR(__xludf.DUMMYFUNCTION("""COMPUTED_VALUE"""),0.0)</f>
        <v>0</v>
      </c>
      <c r="H5119" s="22">
        <f>IFERROR(__xludf.DUMMYFUNCTION("""COMPUTED_VALUE"""),500000.0)</f>
        <v>500000</v>
      </c>
      <c r="I5119" s="24">
        <f>IFERROR(__xludf.DUMMYFUNCTION("""COMPUTED_VALUE"""),0.0)</f>
        <v>0</v>
      </c>
    </row>
    <row r="5120">
      <c r="A5120" s="5" t="str">
        <f>IFERROR(__xludf.DUMMYFUNCTION("""COMPUTED_VALUE"""),"73879")</f>
        <v>73879</v>
      </c>
      <c r="B5120" s="64">
        <f>IFERROR(__xludf.DUMMYFUNCTION("""COMPUTED_VALUE"""),44620.0)</f>
        <v>44620</v>
      </c>
      <c r="C5120" s="5"/>
      <c r="D5120" s="5"/>
      <c r="E5120" s="5"/>
      <c r="F5120" s="22">
        <f>IFERROR(__xludf.DUMMYFUNCTION("""COMPUTED_VALUE"""),500000.0)</f>
        <v>500000</v>
      </c>
      <c r="G5120" s="22">
        <f>IFERROR(__xludf.DUMMYFUNCTION("""COMPUTED_VALUE"""),0.0)</f>
        <v>0</v>
      </c>
      <c r="H5120" s="22">
        <f>IFERROR(__xludf.DUMMYFUNCTION("""COMPUTED_VALUE"""),500000.0)</f>
        <v>500000</v>
      </c>
      <c r="I5120" s="24">
        <f>IFERROR(__xludf.DUMMYFUNCTION("""COMPUTED_VALUE"""),0.0)</f>
        <v>0</v>
      </c>
    </row>
    <row r="5121">
      <c r="A5121" s="5" t="str">
        <f>IFERROR(__xludf.DUMMYFUNCTION("""COMPUTED_VALUE"""),"73879")</f>
        <v>73879</v>
      </c>
      <c r="B5121" s="64">
        <f>IFERROR(__xludf.DUMMYFUNCTION("""COMPUTED_VALUE"""),44621.0)</f>
        <v>44621</v>
      </c>
      <c r="C5121" s="5"/>
      <c r="D5121" s="5"/>
      <c r="E5121" s="5"/>
      <c r="F5121" s="22">
        <f>IFERROR(__xludf.DUMMYFUNCTION("""COMPUTED_VALUE"""),500000.0)</f>
        <v>500000</v>
      </c>
      <c r="G5121" s="22">
        <f>IFERROR(__xludf.DUMMYFUNCTION("""COMPUTED_VALUE"""),0.0)</f>
        <v>0</v>
      </c>
      <c r="H5121" s="22">
        <f>IFERROR(__xludf.DUMMYFUNCTION("""COMPUTED_VALUE"""),500000.0)</f>
        <v>500000</v>
      </c>
      <c r="I5121" s="24">
        <f>IFERROR(__xludf.DUMMYFUNCTION("""COMPUTED_VALUE"""),0.0)</f>
        <v>0</v>
      </c>
    </row>
    <row r="5122">
      <c r="A5122" s="5" t="str">
        <f>IFERROR(__xludf.DUMMYFUNCTION("""COMPUTED_VALUE"""),"73879")</f>
        <v>73879</v>
      </c>
      <c r="B5122" s="64">
        <f>IFERROR(__xludf.DUMMYFUNCTION("""COMPUTED_VALUE"""),44622.0)</f>
        <v>44622</v>
      </c>
      <c r="C5122" s="5"/>
      <c r="D5122" s="5"/>
      <c r="E5122" s="5"/>
      <c r="F5122" s="22">
        <f>IFERROR(__xludf.DUMMYFUNCTION("""COMPUTED_VALUE"""),500000.0)</f>
        <v>500000</v>
      </c>
      <c r="G5122" s="22">
        <f>IFERROR(__xludf.DUMMYFUNCTION("""COMPUTED_VALUE"""),0.0)</f>
        <v>0</v>
      </c>
      <c r="H5122" s="22">
        <f>IFERROR(__xludf.DUMMYFUNCTION("""COMPUTED_VALUE"""),500000.0)</f>
        <v>500000</v>
      </c>
      <c r="I5122" s="24">
        <f>IFERROR(__xludf.DUMMYFUNCTION("""COMPUTED_VALUE"""),0.0)</f>
        <v>0</v>
      </c>
    </row>
    <row r="5123">
      <c r="A5123" s="5" t="str">
        <f>IFERROR(__xludf.DUMMYFUNCTION("""COMPUTED_VALUE"""),"73879")</f>
        <v>73879</v>
      </c>
      <c r="B5123" s="64">
        <f>IFERROR(__xludf.DUMMYFUNCTION("""COMPUTED_VALUE"""),44623.0)</f>
        <v>44623</v>
      </c>
      <c r="C5123" s="5"/>
      <c r="D5123" s="5"/>
      <c r="E5123" s="5"/>
      <c r="F5123" s="22">
        <f>IFERROR(__xludf.DUMMYFUNCTION("""COMPUTED_VALUE"""),500000.0)</f>
        <v>500000</v>
      </c>
      <c r="G5123" s="22">
        <f>IFERROR(__xludf.DUMMYFUNCTION("""COMPUTED_VALUE"""),0.0)</f>
        <v>0</v>
      </c>
      <c r="H5123" s="22">
        <f>IFERROR(__xludf.DUMMYFUNCTION("""COMPUTED_VALUE"""),500000.0)</f>
        <v>500000</v>
      </c>
      <c r="I5123" s="24">
        <f>IFERROR(__xludf.DUMMYFUNCTION("""COMPUTED_VALUE"""),0.0)</f>
        <v>0</v>
      </c>
    </row>
    <row r="5124">
      <c r="A5124" s="5" t="str">
        <f>IFERROR(__xludf.DUMMYFUNCTION("""COMPUTED_VALUE"""),"73879")</f>
        <v>73879</v>
      </c>
      <c r="B5124" s="64">
        <f>IFERROR(__xludf.DUMMYFUNCTION("""COMPUTED_VALUE"""),44624.0)</f>
        <v>44624</v>
      </c>
      <c r="C5124" s="5"/>
      <c r="D5124" s="5"/>
      <c r="E5124" s="5"/>
      <c r="F5124" s="22">
        <f>IFERROR(__xludf.DUMMYFUNCTION("""COMPUTED_VALUE"""),500000.0)</f>
        <v>500000</v>
      </c>
      <c r="G5124" s="22">
        <f>IFERROR(__xludf.DUMMYFUNCTION("""COMPUTED_VALUE"""),0.0)</f>
        <v>0</v>
      </c>
      <c r="H5124" s="22">
        <f>IFERROR(__xludf.DUMMYFUNCTION("""COMPUTED_VALUE"""),500000.0)</f>
        <v>500000</v>
      </c>
      <c r="I5124" s="24">
        <f>IFERROR(__xludf.DUMMYFUNCTION("""COMPUTED_VALUE"""),0.0)</f>
        <v>0</v>
      </c>
    </row>
    <row r="5125">
      <c r="A5125" s="5" t="str">
        <f>IFERROR(__xludf.DUMMYFUNCTION("""COMPUTED_VALUE"""),"73879")</f>
        <v>73879</v>
      </c>
      <c r="B5125" s="64">
        <f>IFERROR(__xludf.DUMMYFUNCTION("""COMPUTED_VALUE"""),44625.0)</f>
        <v>44625</v>
      </c>
      <c r="C5125" s="5"/>
      <c r="D5125" s="5"/>
      <c r="E5125" s="5"/>
      <c r="F5125" s="22">
        <f>IFERROR(__xludf.DUMMYFUNCTION("""COMPUTED_VALUE"""),500000.0)</f>
        <v>500000</v>
      </c>
      <c r="G5125" s="22">
        <f>IFERROR(__xludf.DUMMYFUNCTION("""COMPUTED_VALUE"""),0.0)</f>
        <v>0</v>
      </c>
      <c r="H5125" s="22">
        <f>IFERROR(__xludf.DUMMYFUNCTION("""COMPUTED_VALUE"""),500000.0)</f>
        <v>500000</v>
      </c>
      <c r="I5125" s="24">
        <f>IFERROR(__xludf.DUMMYFUNCTION("""COMPUTED_VALUE"""),0.0)</f>
        <v>0</v>
      </c>
    </row>
    <row r="5126">
      <c r="A5126" s="5" t="str">
        <f>IFERROR(__xludf.DUMMYFUNCTION("""COMPUTED_VALUE"""),"73879")</f>
        <v>73879</v>
      </c>
      <c r="B5126" s="64">
        <f>IFERROR(__xludf.DUMMYFUNCTION("""COMPUTED_VALUE"""),44626.0)</f>
        <v>44626</v>
      </c>
      <c r="C5126" s="5"/>
      <c r="D5126" s="5"/>
      <c r="E5126" s="5"/>
      <c r="F5126" s="22">
        <f>IFERROR(__xludf.DUMMYFUNCTION("""COMPUTED_VALUE"""),500000.0)</f>
        <v>500000</v>
      </c>
      <c r="G5126" s="22">
        <f>IFERROR(__xludf.DUMMYFUNCTION("""COMPUTED_VALUE"""),0.0)</f>
        <v>0</v>
      </c>
      <c r="H5126" s="22">
        <f>IFERROR(__xludf.DUMMYFUNCTION("""COMPUTED_VALUE"""),500000.0)</f>
        <v>500000</v>
      </c>
      <c r="I5126" s="24">
        <f>IFERROR(__xludf.DUMMYFUNCTION("""COMPUTED_VALUE"""),0.0)</f>
        <v>0</v>
      </c>
    </row>
    <row r="5127">
      <c r="A5127" s="5" t="str">
        <f>IFERROR(__xludf.DUMMYFUNCTION("""COMPUTED_VALUE"""),"73879")</f>
        <v>73879</v>
      </c>
      <c r="B5127" s="64">
        <f>IFERROR(__xludf.DUMMYFUNCTION("""COMPUTED_VALUE"""),44627.0)</f>
        <v>44627</v>
      </c>
      <c r="C5127" s="5"/>
      <c r="D5127" s="5"/>
      <c r="E5127" s="5"/>
      <c r="F5127" s="22">
        <f>IFERROR(__xludf.DUMMYFUNCTION("""COMPUTED_VALUE"""),500000.0)</f>
        <v>500000</v>
      </c>
      <c r="G5127" s="22">
        <f>IFERROR(__xludf.DUMMYFUNCTION("""COMPUTED_VALUE"""),0.0)</f>
        <v>0</v>
      </c>
      <c r="H5127" s="22">
        <f>IFERROR(__xludf.DUMMYFUNCTION("""COMPUTED_VALUE"""),500000.0)</f>
        <v>500000</v>
      </c>
      <c r="I5127" s="24">
        <f>IFERROR(__xludf.DUMMYFUNCTION("""COMPUTED_VALUE"""),0.0)</f>
        <v>0</v>
      </c>
    </row>
    <row r="5128">
      <c r="A5128" s="5" t="str">
        <f>IFERROR(__xludf.DUMMYFUNCTION("""COMPUTED_VALUE"""),"73879")</f>
        <v>73879</v>
      </c>
      <c r="B5128" s="64">
        <f>IFERROR(__xludf.DUMMYFUNCTION("""COMPUTED_VALUE"""),44628.0)</f>
        <v>44628</v>
      </c>
      <c r="C5128" s="5"/>
      <c r="D5128" s="5"/>
      <c r="E5128" s="5"/>
      <c r="F5128" s="22">
        <f>IFERROR(__xludf.DUMMYFUNCTION("""COMPUTED_VALUE"""),500000.0)</f>
        <v>500000</v>
      </c>
      <c r="G5128" s="22">
        <f>IFERROR(__xludf.DUMMYFUNCTION("""COMPUTED_VALUE"""),0.0)</f>
        <v>0</v>
      </c>
      <c r="H5128" s="22">
        <f>IFERROR(__xludf.DUMMYFUNCTION("""COMPUTED_VALUE"""),498343.4)</f>
        <v>498343.4</v>
      </c>
      <c r="I5128" s="24">
        <f>IFERROR(__xludf.DUMMYFUNCTION("""COMPUTED_VALUE"""),-0.003313199999999905)</f>
        <v>-0.0033132</v>
      </c>
    </row>
    <row r="5129">
      <c r="A5129" s="5" t="str">
        <f>IFERROR(__xludf.DUMMYFUNCTION("""COMPUTED_VALUE"""),"73879")</f>
        <v>73879</v>
      </c>
      <c r="B5129" s="64">
        <f>IFERROR(__xludf.DUMMYFUNCTION("""COMPUTED_VALUE"""),44629.0)</f>
        <v>44629</v>
      </c>
      <c r="C5129" s="5"/>
      <c r="D5129" s="5"/>
      <c r="E5129" s="5"/>
      <c r="F5129" s="22">
        <f>IFERROR(__xludf.DUMMYFUNCTION("""COMPUTED_VALUE"""),500000.0)</f>
        <v>500000</v>
      </c>
      <c r="G5129" s="22">
        <f>IFERROR(__xludf.DUMMYFUNCTION("""COMPUTED_VALUE"""),0.0)</f>
        <v>0</v>
      </c>
      <c r="H5129" s="22">
        <f>IFERROR(__xludf.DUMMYFUNCTION("""COMPUTED_VALUE"""),500738.2)</f>
        <v>500738.2</v>
      </c>
      <c r="I5129" s="24">
        <f>IFERROR(__xludf.DUMMYFUNCTION("""COMPUTED_VALUE"""),0.0014764000000000443)</f>
        <v>0.0014764</v>
      </c>
    </row>
    <row r="5130">
      <c r="A5130" s="5" t="str">
        <f>IFERROR(__xludf.DUMMYFUNCTION("""COMPUTED_VALUE"""),"73879")</f>
        <v>73879</v>
      </c>
      <c r="B5130" s="64">
        <f>IFERROR(__xludf.DUMMYFUNCTION("""COMPUTED_VALUE"""),44630.0)</f>
        <v>44630</v>
      </c>
      <c r="C5130" s="5"/>
      <c r="D5130" s="5"/>
      <c r="E5130" s="5"/>
      <c r="F5130" s="22">
        <f>IFERROR(__xludf.DUMMYFUNCTION("""COMPUTED_VALUE"""),500000.0)</f>
        <v>500000</v>
      </c>
      <c r="G5130" s="22">
        <f>IFERROR(__xludf.DUMMYFUNCTION("""COMPUTED_VALUE"""),0.0)</f>
        <v>0</v>
      </c>
      <c r="H5130" s="22">
        <f>IFERROR(__xludf.DUMMYFUNCTION("""COMPUTED_VALUE"""),497924.0)</f>
        <v>497924</v>
      </c>
      <c r="I5130" s="24">
        <f>IFERROR(__xludf.DUMMYFUNCTION("""COMPUTED_VALUE"""),-0.0041520000000000445)</f>
        <v>-0.004152</v>
      </c>
    </row>
    <row r="5131">
      <c r="A5131" s="5" t="str">
        <f>IFERROR(__xludf.DUMMYFUNCTION("""COMPUTED_VALUE"""),"73879")</f>
        <v>73879</v>
      </c>
      <c r="B5131" s="64">
        <f>IFERROR(__xludf.DUMMYFUNCTION("""COMPUTED_VALUE"""),44631.0)</f>
        <v>44631</v>
      </c>
      <c r="C5131" s="5"/>
      <c r="D5131" s="5"/>
      <c r="E5131" s="5"/>
      <c r="F5131" s="22">
        <f>IFERROR(__xludf.DUMMYFUNCTION("""COMPUTED_VALUE"""),500000.0)</f>
        <v>500000</v>
      </c>
      <c r="G5131" s="22">
        <f>IFERROR(__xludf.DUMMYFUNCTION("""COMPUTED_VALUE"""),0.0)</f>
        <v>0</v>
      </c>
      <c r="H5131" s="22">
        <f>IFERROR(__xludf.DUMMYFUNCTION("""COMPUTED_VALUE"""),487797.60000000003)</f>
        <v>487797.6</v>
      </c>
      <c r="I5131" s="24">
        <f>IFERROR(__xludf.DUMMYFUNCTION("""COMPUTED_VALUE"""),-0.024404799999999893)</f>
        <v>-0.0244048</v>
      </c>
    </row>
    <row r="5132">
      <c r="A5132" s="5" t="str">
        <f>IFERROR(__xludf.DUMMYFUNCTION("""COMPUTED_VALUE"""),"73879")</f>
        <v>73879</v>
      </c>
      <c r="B5132" s="64">
        <f>IFERROR(__xludf.DUMMYFUNCTION("""COMPUTED_VALUE"""),44632.0)</f>
        <v>44632</v>
      </c>
      <c r="C5132" s="5"/>
      <c r="D5132" s="5"/>
      <c r="E5132" s="5"/>
      <c r="F5132" s="22">
        <f>IFERROR(__xludf.DUMMYFUNCTION("""COMPUTED_VALUE"""),500000.0)</f>
        <v>500000</v>
      </c>
      <c r="G5132" s="22">
        <f>IFERROR(__xludf.DUMMYFUNCTION("""COMPUTED_VALUE"""),0.0)</f>
        <v>0</v>
      </c>
      <c r="H5132" s="22">
        <f>IFERROR(__xludf.DUMMYFUNCTION("""COMPUTED_VALUE"""),487797.60000000003)</f>
        <v>487797.6</v>
      </c>
      <c r="I5132" s="24">
        <f>IFERROR(__xludf.DUMMYFUNCTION("""COMPUTED_VALUE"""),-0.024404799999999893)</f>
        <v>-0.0244048</v>
      </c>
    </row>
    <row r="5133">
      <c r="A5133" s="5" t="str">
        <f>IFERROR(__xludf.DUMMYFUNCTION("""COMPUTED_VALUE"""),"73879")</f>
        <v>73879</v>
      </c>
      <c r="B5133" s="64">
        <f>IFERROR(__xludf.DUMMYFUNCTION("""COMPUTED_VALUE"""),44633.0)</f>
        <v>44633</v>
      </c>
      <c r="C5133" s="5"/>
      <c r="D5133" s="5"/>
      <c r="E5133" s="5"/>
      <c r="F5133" s="22">
        <f>IFERROR(__xludf.DUMMYFUNCTION("""COMPUTED_VALUE"""),500000.0)</f>
        <v>500000</v>
      </c>
      <c r="G5133" s="22">
        <f>IFERROR(__xludf.DUMMYFUNCTION("""COMPUTED_VALUE"""),0.0)</f>
        <v>0</v>
      </c>
      <c r="H5133" s="22">
        <f>IFERROR(__xludf.DUMMYFUNCTION("""COMPUTED_VALUE"""),487797.60000000003)</f>
        <v>487797.6</v>
      </c>
      <c r="I5133" s="24">
        <f>IFERROR(__xludf.DUMMYFUNCTION("""COMPUTED_VALUE"""),-0.024404799999999893)</f>
        <v>-0.0244048</v>
      </c>
    </row>
    <row r="5134">
      <c r="A5134" s="5" t="str">
        <f>IFERROR(__xludf.DUMMYFUNCTION("""COMPUTED_VALUE"""),"73879")</f>
        <v>73879</v>
      </c>
      <c r="B5134" s="64">
        <f>IFERROR(__xludf.DUMMYFUNCTION("""COMPUTED_VALUE"""),44634.0)</f>
        <v>44634</v>
      </c>
      <c r="C5134" s="5"/>
      <c r="D5134" s="5"/>
      <c r="E5134" s="5"/>
      <c r="F5134" s="22">
        <f>IFERROR(__xludf.DUMMYFUNCTION("""COMPUTED_VALUE"""),500000.0)</f>
        <v>500000</v>
      </c>
      <c r="G5134" s="22">
        <f>IFERROR(__xludf.DUMMYFUNCTION("""COMPUTED_VALUE"""),0.0)</f>
        <v>0</v>
      </c>
      <c r="H5134" s="22">
        <f>IFERROR(__xludf.DUMMYFUNCTION("""COMPUTED_VALUE"""),463684.8)</f>
        <v>463684.8</v>
      </c>
      <c r="I5134" s="24">
        <f>IFERROR(__xludf.DUMMYFUNCTION("""COMPUTED_VALUE"""),-0.07263039999999998)</f>
        <v>-0.0726304</v>
      </c>
    </row>
    <row r="5135">
      <c r="A5135" s="5" t="str">
        <f>IFERROR(__xludf.DUMMYFUNCTION("""COMPUTED_VALUE"""),"73879")</f>
        <v>73879</v>
      </c>
      <c r="B5135" s="64">
        <f>IFERROR(__xludf.DUMMYFUNCTION("""COMPUTED_VALUE"""),44635.0)</f>
        <v>44635</v>
      </c>
      <c r="C5135" s="5"/>
      <c r="D5135" s="5"/>
      <c r="E5135" s="5"/>
      <c r="F5135" s="22">
        <f>IFERROR(__xludf.DUMMYFUNCTION("""COMPUTED_VALUE"""),500000.0)</f>
        <v>500000</v>
      </c>
      <c r="G5135" s="22">
        <f>IFERROR(__xludf.DUMMYFUNCTION("""COMPUTED_VALUE"""),0.0)</f>
        <v>0</v>
      </c>
      <c r="H5135" s="22">
        <f>IFERROR(__xludf.DUMMYFUNCTION("""COMPUTED_VALUE"""),450906.8)</f>
        <v>450906.8</v>
      </c>
      <c r="I5135" s="24">
        <f>IFERROR(__xludf.DUMMYFUNCTION("""COMPUTED_VALUE"""),-0.09818640000000001)</f>
        <v>-0.0981864</v>
      </c>
    </row>
    <row r="5136">
      <c r="A5136" s="5" t="str">
        <f>IFERROR(__xludf.DUMMYFUNCTION("""COMPUTED_VALUE"""),"73879")</f>
        <v>73879</v>
      </c>
      <c r="B5136" s="64">
        <f>IFERROR(__xludf.DUMMYFUNCTION("""COMPUTED_VALUE"""),44636.0)</f>
        <v>44636</v>
      </c>
      <c r="C5136" s="5"/>
      <c r="D5136" s="5"/>
      <c r="E5136" s="5"/>
      <c r="F5136" s="22">
        <f>IFERROR(__xludf.DUMMYFUNCTION("""COMPUTED_VALUE"""),500000.0)</f>
        <v>500000</v>
      </c>
      <c r="G5136" s="22">
        <f>IFERROR(__xludf.DUMMYFUNCTION("""COMPUTED_VALUE"""),0.0)</f>
        <v>0</v>
      </c>
      <c r="H5136" s="22">
        <f>IFERROR(__xludf.DUMMYFUNCTION("""COMPUTED_VALUE"""),490662.8)</f>
        <v>490662.8</v>
      </c>
      <c r="I5136" s="24">
        <f>IFERROR(__xludf.DUMMYFUNCTION("""COMPUTED_VALUE"""),-0.01867439999999998)</f>
        <v>-0.0186744</v>
      </c>
    </row>
    <row r="5137">
      <c r="A5137" s="5" t="str">
        <f>IFERROR(__xludf.DUMMYFUNCTION("""COMPUTED_VALUE"""),"73879")</f>
        <v>73879</v>
      </c>
      <c r="B5137" s="64">
        <f>IFERROR(__xludf.DUMMYFUNCTION("""COMPUTED_VALUE"""),44637.0)</f>
        <v>44637</v>
      </c>
      <c r="C5137" s="5"/>
      <c r="D5137" s="5"/>
      <c r="E5137" s="5"/>
      <c r="F5137" s="22">
        <f>IFERROR(__xludf.DUMMYFUNCTION("""COMPUTED_VALUE"""),500000.0)</f>
        <v>500000</v>
      </c>
      <c r="G5137" s="22">
        <f>IFERROR(__xludf.DUMMYFUNCTION("""COMPUTED_VALUE"""),0.0)</f>
        <v>0</v>
      </c>
      <c r="H5137" s="22">
        <f>IFERROR(__xludf.DUMMYFUNCTION("""COMPUTED_VALUE"""),507822.0)</f>
        <v>507822</v>
      </c>
      <c r="I5137" s="24">
        <f>IFERROR(__xludf.DUMMYFUNCTION("""COMPUTED_VALUE"""),0.01564399999999999)</f>
        <v>0.015644</v>
      </c>
    </row>
    <row r="5138">
      <c r="A5138" s="5" t="str">
        <f>IFERROR(__xludf.DUMMYFUNCTION("""COMPUTED_VALUE"""),"73879")</f>
        <v>73879</v>
      </c>
      <c r="B5138" s="64">
        <f>IFERROR(__xludf.DUMMYFUNCTION("""COMPUTED_VALUE"""),44638.0)</f>
        <v>44638</v>
      </c>
      <c r="C5138" s="5"/>
      <c r="D5138" s="5"/>
      <c r="E5138" s="5"/>
      <c r="F5138" s="22">
        <f>IFERROR(__xludf.DUMMYFUNCTION("""COMPUTED_VALUE"""),500000.0)</f>
        <v>500000</v>
      </c>
      <c r="G5138" s="22">
        <f>IFERROR(__xludf.DUMMYFUNCTION("""COMPUTED_VALUE"""),0.0)</f>
        <v>0</v>
      </c>
      <c r="H5138" s="22">
        <f>IFERROR(__xludf.DUMMYFUNCTION("""COMPUTED_VALUE"""),502992.6)</f>
        <v>502992.6</v>
      </c>
      <c r="I5138" s="24">
        <f>IFERROR(__xludf.DUMMYFUNCTION("""COMPUTED_VALUE"""),0.005985200000000024)</f>
        <v>0.0059852</v>
      </c>
    </row>
    <row r="5139">
      <c r="A5139" s="5" t="str">
        <f>IFERROR(__xludf.DUMMYFUNCTION("""COMPUTED_VALUE"""),"73879")</f>
        <v>73879</v>
      </c>
      <c r="B5139" s="64">
        <f>IFERROR(__xludf.DUMMYFUNCTION("""COMPUTED_VALUE"""),44639.0)</f>
        <v>44639</v>
      </c>
      <c r="C5139" s="5"/>
      <c r="D5139" s="5"/>
      <c r="E5139" s="5"/>
      <c r="F5139" s="22">
        <f>IFERROR(__xludf.DUMMYFUNCTION("""COMPUTED_VALUE"""),500000.0)</f>
        <v>500000</v>
      </c>
      <c r="G5139" s="22">
        <f>IFERROR(__xludf.DUMMYFUNCTION("""COMPUTED_VALUE"""),0.0)</f>
        <v>0</v>
      </c>
      <c r="H5139" s="22">
        <f>IFERROR(__xludf.DUMMYFUNCTION("""COMPUTED_VALUE"""),502992.6)</f>
        <v>502992.6</v>
      </c>
      <c r="I5139" s="24">
        <f>IFERROR(__xludf.DUMMYFUNCTION("""COMPUTED_VALUE"""),0.005985200000000024)</f>
        <v>0.0059852</v>
      </c>
    </row>
    <row r="5140">
      <c r="A5140" s="5" t="str">
        <f>IFERROR(__xludf.DUMMYFUNCTION("""COMPUTED_VALUE"""),"73879")</f>
        <v>73879</v>
      </c>
      <c r="B5140" s="64">
        <f>IFERROR(__xludf.DUMMYFUNCTION("""COMPUTED_VALUE"""),44640.0)</f>
        <v>44640</v>
      </c>
      <c r="C5140" s="5"/>
      <c r="D5140" s="5"/>
      <c r="E5140" s="5"/>
      <c r="F5140" s="22">
        <f>IFERROR(__xludf.DUMMYFUNCTION("""COMPUTED_VALUE"""),500000.0)</f>
        <v>500000</v>
      </c>
      <c r="G5140" s="22">
        <f>IFERROR(__xludf.DUMMYFUNCTION("""COMPUTED_VALUE"""),0.0)</f>
        <v>0</v>
      </c>
      <c r="H5140" s="22">
        <f>IFERROR(__xludf.DUMMYFUNCTION("""COMPUTED_VALUE"""),502992.6)</f>
        <v>502992.6</v>
      </c>
      <c r="I5140" s="24">
        <f>IFERROR(__xludf.DUMMYFUNCTION("""COMPUTED_VALUE"""),0.005985200000000024)</f>
        <v>0.0059852</v>
      </c>
    </row>
    <row r="5141">
      <c r="A5141" s="5" t="str">
        <f>IFERROR(__xludf.DUMMYFUNCTION("""COMPUTED_VALUE"""),"73879")</f>
        <v>73879</v>
      </c>
      <c r="B5141" s="64">
        <f>IFERROR(__xludf.DUMMYFUNCTION("""COMPUTED_VALUE"""),44641.0)</f>
        <v>44641</v>
      </c>
      <c r="C5141" s="5"/>
      <c r="D5141" s="5"/>
      <c r="E5141" s="5"/>
      <c r="F5141" s="22">
        <f>IFERROR(__xludf.DUMMYFUNCTION("""COMPUTED_VALUE"""),500000.0)</f>
        <v>500000</v>
      </c>
      <c r="G5141" s="22">
        <f>IFERROR(__xludf.DUMMYFUNCTION("""COMPUTED_VALUE"""),0.0)</f>
        <v>0</v>
      </c>
      <c r="H5141" s="22">
        <f>IFERROR(__xludf.DUMMYFUNCTION("""COMPUTED_VALUE"""),494599.4)</f>
        <v>494599.4</v>
      </c>
      <c r="I5141" s="24">
        <f>IFERROR(__xludf.DUMMYFUNCTION("""COMPUTED_VALUE"""),-0.010801199999999955)</f>
        <v>-0.0108012</v>
      </c>
    </row>
    <row r="5142">
      <c r="A5142" s="5" t="str">
        <f>IFERROR(__xludf.DUMMYFUNCTION("""COMPUTED_VALUE"""),"73879")</f>
        <v>73879</v>
      </c>
      <c r="B5142" s="64">
        <f>IFERROR(__xludf.DUMMYFUNCTION("""COMPUTED_VALUE"""),44642.0)</f>
        <v>44642</v>
      </c>
      <c r="C5142" s="5"/>
      <c r="D5142" s="5"/>
      <c r="E5142" s="5"/>
      <c r="F5142" s="22">
        <f>IFERROR(__xludf.DUMMYFUNCTION("""COMPUTED_VALUE"""),500000.0)</f>
        <v>500000</v>
      </c>
      <c r="G5142" s="22">
        <f>IFERROR(__xludf.DUMMYFUNCTION("""COMPUTED_VALUE"""),0.0)</f>
        <v>0</v>
      </c>
      <c r="H5142" s="22">
        <f>IFERROR(__xludf.DUMMYFUNCTION("""COMPUTED_VALUE"""),504528.8)</f>
        <v>504528.8</v>
      </c>
      <c r="I5142" s="24">
        <f>IFERROR(__xludf.DUMMYFUNCTION("""COMPUTED_VALUE"""),0.009057599999999999)</f>
        <v>0.0090576</v>
      </c>
    </row>
    <row r="5143">
      <c r="A5143" s="5" t="str">
        <f>IFERROR(__xludf.DUMMYFUNCTION("""COMPUTED_VALUE"""),"73879")</f>
        <v>73879</v>
      </c>
      <c r="B5143" s="64">
        <f>IFERROR(__xludf.DUMMYFUNCTION("""COMPUTED_VALUE"""),44643.0)</f>
        <v>44643</v>
      </c>
      <c r="C5143" s="5"/>
      <c r="D5143" s="5"/>
      <c r="E5143" s="5"/>
      <c r="F5143" s="22">
        <f>IFERROR(__xludf.DUMMYFUNCTION("""COMPUTED_VALUE"""),500000.0)</f>
        <v>500000</v>
      </c>
      <c r="G5143" s="22">
        <f>IFERROR(__xludf.DUMMYFUNCTION("""COMPUTED_VALUE"""),0.0)</f>
        <v>0</v>
      </c>
      <c r="H5143" s="22">
        <f>IFERROR(__xludf.DUMMYFUNCTION("""COMPUTED_VALUE"""),506908.0)</f>
        <v>506908</v>
      </c>
      <c r="I5143" s="24">
        <f>IFERROR(__xludf.DUMMYFUNCTION("""COMPUTED_VALUE"""),0.01381600000000005)</f>
        <v>0.013816</v>
      </c>
    </row>
    <row r="5144">
      <c r="A5144" s="5" t="str">
        <f>IFERROR(__xludf.DUMMYFUNCTION("""COMPUTED_VALUE"""),"73879")</f>
        <v>73879</v>
      </c>
      <c r="B5144" s="64">
        <f>IFERROR(__xludf.DUMMYFUNCTION("""COMPUTED_VALUE"""),44644.0)</f>
        <v>44644</v>
      </c>
      <c r="C5144" s="5"/>
      <c r="D5144" s="5"/>
      <c r="E5144" s="5"/>
      <c r="F5144" s="22">
        <f>IFERROR(__xludf.DUMMYFUNCTION("""COMPUTED_VALUE"""),500000.0)</f>
        <v>500000</v>
      </c>
      <c r="G5144" s="22">
        <f>IFERROR(__xludf.DUMMYFUNCTION("""COMPUTED_VALUE"""),0.0)</f>
        <v>0</v>
      </c>
      <c r="H5144" s="22">
        <f>IFERROR(__xludf.DUMMYFUNCTION("""COMPUTED_VALUE"""),495076.8)</f>
        <v>495076.8</v>
      </c>
      <c r="I5144" s="24">
        <f>IFERROR(__xludf.DUMMYFUNCTION("""COMPUTED_VALUE"""),-0.009846400000000033)</f>
        <v>-0.0098464</v>
      </c>
    </row>
    <row r="5145">
      <c r="A5145" s="5" t="str">
        <f>IFERROR(__xludf.DUMMYFUNCTION("""COMPUTED_VALUE"""),"73879")</f>
        <v>73879</v>
      </c>
      <c r="B5145" s="64">
        <f>IFERROR(__xludf.DUMMYFUNCTION("""COMPUTED_VALUE"""),44645.0)</f>
        <v>44645</v>
      </c>
      <c r="C5145" s="5"/>
      <c r="D5145" s="5"/>
      <c r="E5145" s="5"/>
      <c r="F5145" s="22">
        <f>IFERROR(__xludf.DUMMYFUNCTION("""COMPUTED_VALUE"""),500000.0)</f>
        <v>500000</v>
      </c>
      <c r="G5145" s="22">
        <f>IFERROR(__xludf.DUMMYFUNCTION("""COMPUTED_VALUE"""),0.0)</f>
        <v>0</v>
      </c>
      <c r="H5145" s="22">
        <f>IFERROR(__xludf.DUMMYFUNCTION("""COMPUTED_VALUE"""),484704.0)</f>
        <v>484704</v>
      </c>
      <c r="I5145" s="24">
        <f>IFERROR(__xludf.DUMMYFUNCTION("""COMPUTED_VALUE"""),-0.030591999999999953)</f>
        <v>-0.030592</v>
      </c>
    </row>
    <row r="5146">
      <c r="A5146" s="5" t="str">
        <f>IFERROR(__xludf.DUMMYFUNCTION("""COMPUTED_VALUE"""),"73879")</f>
        <v>73879</v>
      </c>
      <c r="B5146" s="64">
        <f>IFERROR(__xludf.DUMMYFUNCTION("""COMPUTED_VALUE"""),44646.0)</f>
        <v>44646</v>
      </c>
      <c r="C5146" s="5"/>
      <c r="D5146" s="5"/>
      <c r="E5146" s="5"/>
      <c r="F5146" s="22">
        <f>IFERROR(__xludf.DUMMYFUNCTION("""COMPUTED_VALUE"""),500000.0)</f>
        <v>500000</v>
      </c>
      <c r="G5146" s="22">
        <f>IFERROR(__xludf.DUMMYFUNCTION("""COMPUTED_VALUE"""),0.0)</f>
        <v>0</v>
      </c>
      <c r="H5146" s="22">
        <f>IFERROR(__xludf.DUMMYFUNCTION("""COMPUTED_VALUE"""),484704.0)</f>
        <v>484704</v>
      </c>
      <c r="I5146" s="24">
        <f>IFERROR(__xludf.DUMMYFUNCTION("""COMPUTED_VALUE"""),-0.030591999999999953)</f>
        <v>-0.030592</v>
      </c>
    </row>
    <row r="5147">
      <c r="A5147" s="5" t="str">
        <f>IFERROR(__xludf.DUMMYFUNCTION("""COMPUTED_VALUE"""),"73879")</f>
        <v>73879</v>
      </c>
      <c r="B5147" s="64">
        <f>IFERROR(__xludf.DUMMYFUNCTION("""COMPUTED_VALUE"""),44647.0)</f>
        <v>44647</v>
      </c>
      <c r="C5147" s="5"/>
      <c r="D5147" s="5"/>
      <c r="E5147" s="5"/>
      <c r="F5147" s="22">
        <f>IFERROR(__xludf.DUMMYFUNCTION("""COMPUTED_VALUE"""),500000.0)</f>
        <v>500000</v>
      </c>
      <c r="G5147" s="22">
        <f>IFERROR(__xludf.DUMMYFUNCTION("""COMPUTED_VALUE"""),0.0)</f>
        <v>0</v>
      </c>
      <c r="H5147" s="22">
        <f>IFERROR(__xludf.DUMMYFUNCTION("""COMPUTED_VALUE"""),484704.0)</f>
        <v>484704</v>
      </c>
      <c r="I5147" s="24">
        <f>IFERROR(__xludf.DUMMYFUNCTION("""COMPUTED_VALUE"""),-0.030591999999999953)</f>
        <v>-0.030592</v>
      </c>
    </row>
    <row r="5148">
      <c r="A5148" s="5" t="str">
        <f>IFERROR(__xludf.DUMMYFUNCTION("""COMPUTED_VALUE"""),"73879")</f>
        <v>73879</v>
      </c>
      <c r="B5148" s="64">
        <f>IFERROR(__xludf.DUMMYFUNCTION("""COMPUTED_VALUE"""),44648.0)</f>
        <v>44648</v>
      </c>
      <c r="C5148" s="5"/>
      <c r="D5148" s="5"/>
      <c r="E5148" s="5"/>
      <c r="F5148" s="22">
        <f>IFERROR(__xludf.DUMMYFUNCTION("""COMPUTED_VALUE"""),500000.0)</f>
        <v>500000</v>
      </c>
      <c r="G5148" s="22">
        <f>IFERROR(__xludf.DUMMYFUNCTION("""COMPUTED_VALUE"""),0.0)</f>
        <v>0</v>
      </c>
      <c r="H5148" s="22">
        <f>IFERROR(__xludf.DUMMYFUNCTION("""COMPUTED_VALUE"""),497573.6)</f>
        <v>497573.6</v>
      </c>
      <c r="I5148" s="24">
        <f>IFERROR(__xludf.DUMMYFUNCTION("""COMPUTED_VALUE"""),-0.0048528000000001015)</f>
        <v>-0.0048528</v>
      </c>
    </row>
    <row r="5149">
      <c r="A5149" s="5" t="str">
        <f>IFERROR(__xludf.DUMMYFUNCTION("""COMPUTED_VALUE"""),"73879")</f>
        <v>73879</v>
      </c>
      <c r="B5149" s="64">
        <f>IFERROR(__xludf.DUMMYFUNCTION("""COMPUTED_VALUE"""),44649.0)</f>
        <v>44649</v>
      </c>
      <c r="C5149" s="5"/>
      <c r="D5149" s="5"/>
      <c r="E5149" s="5"/>
      <c r="F5149" s="22">
        <f>IFERROR(__xludf.DUMMYFUNCTION("""COMPUTED_VALUE"""),500000.0)</f>
        <v>500000</v>
      </c>
      <c r="G5149" s="22">
        <f>IFERROR(__xludf.DUMMYFUNCTION("""COMPUTED_VALUE"""),0.0)</f>
        <v>0</v>
      </c>
      <c r="H5149" s="22">
        <f>IFERROR(__xludf.DUMMYFUNCTION("""COMPUTED_VALUE"""),506046.2)</f>
        <v>506046.2</v>
      </c>
      <c r="I5149" s="24">
        <f>IFERROR(__xludf.DUMMYFUNCTION("""COMPUTED_VALUE"""),0.012092400000000003)</f>
        <v>0.0120924</v>
      </c>
    </row>
    <row r="5150">
      <c r="A5150" s="5" t="str">
        <f>IFERROR(__xludf.DUMMYFUNCTION("""COMPUTED_VALUE"""),"73879")</f>
        <v>73879</v>
      </c>
      <c r="B5150" s="64">
        <f>IFERROR(__xludf.DUMMYFUNCTION("""COMPUTED_VALUE"""),44650.0)</f>
        <v>44650</v>
      </c>
      <c r="C5150" s="5"/>
      <c r="D5150" s="5"/>
      <c r="E5150" s="5"/>
      <c r="F5150" s="22">
        <f>IFERROR(__xludf.DUMMYFUNCTION("""COMPUTED_VALUE"""),500000.0)</f>
        <v>500000</v>
      </c>
      <c r="G5150" s="22">
        <f>IFERROR(__xludf.DUMMYFUNCTION("""COMPUTED_VALUE"""),0.0)</f>
        <v>0</v>
      </c>
      <c r="H5150" s="22">
        <f>IFERROR(__xludf.DUMMYFUNCTION("""COMPUTED_VALUE"""),507422.2)</f>
        <v>507422.2</v>
      </c>
      <c r="I5150" s="24">
        <f>IFERROR(__xludf.DUMMYFUNCTION("""COMPUTED_VALUE"""),0.01484440000000009)</f>
        <v>0.0148444</v>
      </c>
    </row>
    <row r="5151">
      <c r="A5151" s="5" t="str">
        <f>IFERROR(__xludf.DUMMYFUNCTION("""COMPUTED_VALUE"""),"73879")</f>
        <v>73879</v>
      </c>
      <c r="B5151" s="64">
        <f>IFERROR(__xludf.DUMMYFUNCTION("""COMPUTED_VALUE"""),44651.0)</f>
        <v>44651</v>
      </c>
      <c r="C5151" s="5"/>
      <c r="D5151" s="5"/>
      <c r="E5151" s="5"/>
      <c r="F5151" s="22">
        <f>IFERROR(__xludf.DUMMYFUNCTION("""COMPUTED_VALUE"""),500000.0)</f>
        <v>500000</v>
      </c>
      <c r="G5151" s="22">
        <f>IFERROR(__xludf.DUMMYFUNCTION("""COMPUTED_VALUE"""),0.0)</f>
        <v>0</v>
      </c>
      <c r="H5151" s="22">
        <f>IFERROR(__xludf.DUMMYFUNCTION("""COMPUTED_VALUE"""),502838.0)</f>
        <v>502838</v>
      </c>
      <c r="I5151" s="24">
        <f>IFERROR(__xludf.DUMMYFUNCTION("""COMPUTED_VALUE"""),0.005676000000000014)</f>
        <v>0.005676</v>
      </c>
    </row>
    <row r="5152">
      <c r="A5152" s="5" t="str">
        <f>IFERROR(__xludf.DUMMYFUNCTION("""COMPUTED_VALUE"""),"73879")</f>
        <v>73879</v>
      </c>
      <c r="B5152" s="64">
        <f>IFERROR(__xludf.DUMMYFUNCTION("""COMPUTED_VALUE"""),44652.0)</f>
        <v>44652</v>
      </c>
      <c r="C5152" s="5"/>
      <c r="D5152" s="5"/>
      <c r="E5152" s="5"/>
      <c r="F5152" s="22">
        <f>IFERROR(__xludf.DUMMYFUNCTION("""COMPUTED_VALUE"""),500000.0)</f>
        <v>500000</v>
      </c>
      <c r="G5152" s="22">
        <f>IFERROR(__xludf.DUMMYFUNCTION("""COMPUTED_VALUE"""),0.0)</f>
        <v>0</v>
      </c>
      <c r="H5152" s="22">
        <f>IFERROR(__xludf.DUMMYFUNCTION("""COMPUTED_VALUE"""),503912.2)</f>
        <v>503912.2</v>
      </c>
      <c r="I5152" s="24">
        <f>IFERROR(__xludf.DUMMYFUNCTION("""COMPUTED_VALUE"""),0.007824400000000065)</f>
        <v>0.0078244</v>
      </c>
    </row>
    <row r="5153">
      <c r="A5153" s="5" t="str">
        <f>IFERROR(__xludf.DUMMYFUNCTION("""COMPUTED_VALUE"""),"73879")</f>
        <v>73879</v>
      </c>
      <c r="B5153" s="64">
        <f>IFERROR(__xludf.DUMMYFUNCTION("""COMPUTED_VALUE"""),44653.0)</f>
        <v>44653</v>
      </c>
      <c r="C5153" s="5"/>
      <c r="D5153" s="5"/>
      <c r="E5153" s="5"/>
      <c r="F5153" s="22">
        <f>IFERROR(__xludf.DUMMYFUNCTION("""COMPUTED_VALUE"""),500000.0)</f>
        <v>500000</v>
      </c>
      <c r="G5153" s="22">
        <f>IFERROR(__xludf.DUMMYFUNCTION("""COMPUTED_VALUE"""),0.0)</f>
        <v>0</v>
      </c>
      <c r="H5153" s="22">
        <f>IFERROR(__xludf.DUMMYFUNCTION("""COMPUTED_VALUE"""),503912.2)</f>
        <v>503912.2</v>
      </c>
      <c r="I5153" s="24">
        <f>IFERROR(__xludf.DUMMYFUNCTION("""COMPUTED_VALUE"""),0.007824400000000065)</f>
        <v>0.0078244</v>
      </c>
    </row>
    <row r="5154">
      <c r="A5154" s="5" t="str">
        <f>IFERROR(__xludf.DUMMYFUNCTION("""COMPUTED_VALUE"""),"73879")</f>
        <v>73879</v>
      </c>
      <c r="B5154" s="64">
        <f>IFERROR(__xludf.DUMMYFUNCTION("""COMPUTED_VALUE"""),44654.0)</f>
        <v>44654</v>
      </c>
      <c r="C5154" s="5"/>
      <c r="D5154" s="5"/>
      <c r="E5154" s="5"/>
      <c r="F5154" s="22">
        <f>IFERROR(__xludf.DUMMYFUNCTION("""COMPUTED_VALUE"""),500000.0)</f>
        <v>500000</v>
      </c>
      <c r="G5154" s="22">
        <f>IFERROR(__xludf.DUMMYFUNCTION("""COMPUTED_VALUE"""),0.0)</f>
        <v>0</v>
      </c>
      <c r="H5154" s="22">
        <f>IFERROR(__xludf.DUMMYFUNCTION("""COMPUTED_VALUE"""),503912.2)</f>
        <v>503912.2</v>
      </c>
      <c r="I5154" s="24">
        <f>IFERROR(__xludf.DUMMYFUNCTION("""COMPUTED_VALUE"""),0.007824400000000065)</f>
        <v>0.0078244</v>
      </c>
    </row>
    <row r="5155">
      <c r="A5155" s="5" t="str">
        <f>IFERROR(__xludf.DUMMYFUNCTION("""COMPUTED_VALUE"""),"73879")</f>
        <v>73879</v>
      </c>
      <c r="B5155" s="64">
        <f>IFERROR(__xludf.DUMMYFUNCTION("""COMPUTED_VALUE"""),44655.0)</f>
        <v>44655</v>
      </c>
      <c r="C5155" s="5"/>
      <c r="D5155" s="5"/>
      <c r="E5155" s="5"/>
      <c r="F5155" s="22">
        <f>IFERROR(__xludf.DUMMYFUNCTION("""COMPUTED_VALUE"""),500000.0)</f>
        <v>500000</v>
      </c>
      <c r="G5155" s="22">
        <f>IFERROR(__xludf.DUMMYFUNCTION("""COMPUTED_VALUE"""),0.0)</f>
        <v>0</v>
      </c>
      <c r="H5155" s="22">
        <f>IFERROR(__xludf.DUMMYFUNCTION("""COMPUTED_VALUE"""),514348.8)</f>
        <v>514348.8</v>
      </c>
      <c r="I5155" s="24">
        <f>IFERROR(__xludf.DUMMYFUNCTION("""COMPUTED_VALUE"""),0.02869759999999988)</f>
        <v>0.0286976</v>
      </c>
    </row>
    <row r="5156">
      <c r="A5156" s="5" t="str">
        <f>IFERROR(__xludf.DUMMYFUNCTION("""COMPUTED_VALUE"""),"73879")</f>
        <v>73879</v>
      </c>
      <c r="B5156" s="64">
        <f>IFERROR(__xludf.DUMMYFUNCTION("""COMPUTED_VALUE"""),44656.0)</f>
        <v>44656</v>
      </c>
      <c r="C5156" s="5"/>
      <c r="D5156" s="5"/>
      <c r="E5156" s="5"/>
      <c r="F5156" s="22">
        <f>IFERROR(__xludf.DUMMYFUNCTION("""COMPUTED_VALUE"""),500000.0)</f>
        <v>500000</v>
      </c>
      <c r="G5156" s="22">
        <f>IFERROR(__xludf.DUMMYFUNCTION("""COMPUTED_VALUE"""),0.0)</f>
        <v>0</v>
      </c>
      <c r="H5156" s="22">
        <f>IFERROR(__xludf.DUMMYFUNCTION("""COMPUTED_VALUE"""),514348.8)</f>
        <v>514348.8</v>
      </c>
      <c r="I5156" s="24">
        <f>IFERROR(__xludf.DUMMYFUNCTION("""COMPUTED_VALUE"""),0.02869759999999988)</f>
        <v>0.0286976</v>
      </c>
    </row>
    <row r="5157">
      <c r="A5157" s="5" t="str">
        <f>IFERROR(__xludf.DUMMYFUNCTION("""COMPUTED_VALUE"""),"73879")</f>
        <v>73879</v>
      </c>
      <c r="B5157" s="64">
        <f>IFERROR(__xludf.DUMMYFUNCTION("""COMPUTED_VALUE"""),44657.0)</f>
        <v>44657</v>
      </c>
      <c r="C5157" s="5"/>
      <c r="D5157" s="5"/>
      <c r="E5157" s="5"/>
      <c r="F5157" s="22">
        <f>IFERROR(__xludf.DUMMYFUNCTION("""COMPUTED_VALUE"""),500000.0)</f>
        <v>500000</v>
      </c>
      <c r="G5157" s="22">
        <f>IFERROR(__xludf.DUMMYFUNCTION("""COMPUTED_VALUE"""),0.0)</f>
        <v>0</v>
      </c>
      <c r="H5157" s="22">
        <f>IFERROR(__xludf.DUMMYFUNCTION("""COMPUTED_VALUE"""),508054.2)</f>
        <v>508054.2</v>
      </c>
      <c r="I5157" s="24">
        <f>IFERROR(__xludf.DUMMYFUNCTION("""COMPUTED_VALUE"""),0.016108400000000023)</f>
        <v>0.0161084</v>
      </c>
    </row>
    <row r="5158">
      <c r="A5158" s="5" t="str">
        <f>IFERROR(__xludf.DUMMYFUNCTION("""COMPUTED_VALUE"""),"73879")</f>
        <v>73879</v>
      </c>
      <c r="B5158" s="64">
        <f>IFERROR(__xludf.DUMMYFUNCTION("""COMPUTED_VALUE"""),44658.0)</f>
        <v>44658</v>
      </c>
      <c r="C5158" s="5"/>
      <c r="D5158" s="5"/>
      <c r="E5158" s="5"/>
      <c r="F5158" s="22">
        <f>IFERROR(__xludf.DUMMYFUNCTION("""COMPUTED_VALUE"""),500000.0)</f>
        <v>500000</v>
      </c>
      <c r="G5158" s="22">
        <f>IFERROR(__xludf.DUMMYFUNCTION("""COMPUTED_VALUE"""),0.0)</f>
        <v>0</v>
      </c>
      <c r="H5158" s="22">
        <f>IFERROR(__xludf.DUMMYFUNCTION("""COMPUTED_VALUE"""),505351.8)</f>
        <v>505351.8</v>
      </c>
      <c r="I5158" s="24">
        <f>IFERROR(__xludf.DUMMYFUNCTION("""COMPUTED_VALUE"""),0.010703600000000035)</f>
        <v>0.0107036</v>
      </c>
    </row>
    <row r="5159">
      <c r="A5159" s="5" t="str">
        <f>IFERROR(__xludf.DUMMYFUNCTION("""COMPUTED_VALUE"""),"73879")</f>
        <v>73879</v>
      </c>
      <c r="B5159" s="64">
        <f>IFERROR(__xludf.DUMMYFUNCTION("""COMPUTED_VALUE"""),44659.0)</f>
        <v>44659</v>
      </c>
      <c r="C5159" s="5"/>
      <c r="D5159" s="5"/>
      <c r="E5159" s="5"/>
      <c r="F5159" s="22">
        <f>IFERROR(__xludf.DUMMYFUNCTION("""COMPUTED_VALUE"""),500000.0)</f>
        <v>500000</v>
      </c>
      <c r="G5159" s="22">
        <f>IFERROR(__xludf.DUMMYFUNCTION("""COMPUTED_VALUE"""),0.0)</f>
        <v>0</v>
      </c>
      <c r="H5159" s="22">
        <f>IFERROR(__xludf.DUMMYFUNCTION("""COMPUTED_VALUE"""),502296.6)</f>
        <v>502296.6</v>
      </c>
      <c r="I5159" s="24">
        <f>IFERROR(__xludf.DUMMYFUNCTION("""COMPUTED_VALUE"""),0.004593199999999964)</f>
        <v>0.0045932</v>
      </c>
    </row>
    <row r="5160">
      <c r="A5160" s="5" t="str">
        <f>IFERROR(__xludf.DUMMYFUNCTION("""COMPUTED_VALUE"""),"73879")</f>
        <v>73879</v>
      </c>
      <c r="B5160" s="64">
        <f>IFERROR(__xludf.DUMMYFUNCTION("""COMPUTED_VALUE"""),44660.0)</f>
        <v>44660</v>
      </c>
      <c r="C5160" s="5"/>
      <c r="D5160" s="5"/>
      <c r="E5160" s="5"/>
      <c r="F5160" s="22">
        <f>IFERROR(__xludf.DUMMYFUNCTION("""COMPUTED_VALUE"""),500000.0)</f>
        <v>500000</v>
      </c>
      <c r="G5160" s="22">
        <f>IFERROR(__xludf.DUMMYFUNCTION("""COMPUTED_VALUE"""),0.0)</f>
        <v>0</v>
      </c>
      <c r="H5160" s="22">
        <f>IFERROR(__xludf.DUMMYFUNCTION("""COMPUTED_VALUE"""),502296.6)</f>
        <v>502296.6</v>
      </c>
      <c r="I5160" s="24">
        <f>IFERROR(__xludf.DUMMYFUNCTION("""COMPUTED_VALUE"""),0.004593199999999964)</f>
        <v>0.0045932</v>
      </c>
    </row>
    <row r="5161">
      <c r="A5161" s="5" t="str">
        <f>IFERROR(__xludf.DUMMYFUNCTION("""COMPUTED_VALUE"""),"73879")</f>
        <v>73879</v>
      </c>
      <c r="B5161" s="64">
        <f>IFERROR(__xludf.DUMMYFUNCTION("""COMPUTED_VALUE"""),44661.0)</f>
        <v>44661</v>
      </c>
      <c r="C5161" s="5"/>
      <c r="D5161" s="5"/>
      <c r="E5161" s="5"/>
      <c r="F5161" s="22">
        <f>IFERROR(__xludf.DUMMYFUNCTION("""COMPUTED_VALUE"""),500000.0)</f>
        <v>500000</v>
      </c>
      <c r="G5161" s="22">
        <f>IFERROR(__xludf.DUMMYFUNCTION("""COMPUTED_VALUE"""),0.0)</f>
        <v>0</v>
      </c>
      <c r="H5161" s="22">
        <f>IFERROR(__xludf.DUMMYFUNCTION("""COMPUTED_VALUE"""),502296.6)</f>
        <v>502296.6</v>
      </c>
      <c r="I5161" s="24">
        <f>IFERROR(__xludf.DUMMYFUNCTION("""COMPUTED_VALUE"""),0.004593199999999964)</f>
        <v>0.0045932</v>
      </c>
    </row>
    <row r="5162">
      <c r="A5162" s="5" t="str">
        <f>IFERROR(__xludf.DUMMYFUNCTION("""COMPUTED_VALUE"""),"73879")</f>
        <v>73879</v>
      </c>
      <c r="B5162" s="64">
        <f>IFERROR(__xludf.DUMMYFUNCTION("""COMPUTED_VALUE"""),44662.0)</f>
        <v>44662</v>
      </c>
      <c r="C5162" s="5"/>
      <c r="D5162" s="5"/>
      <c r="E5162" s="5"/>
      <c r="F5162" s="22">
        <f>IFERROR(__xludf.DUMMYFUNCTION("""COMPUTED_VALUE"""),500000.0)</f>
        <v>500000</v>
      </c>
      <c r="G5162" s="22">
        <f>IFERROR(__xludf.DUMMYFUNCTION("""COMPUTED_VALUE"""),0.0)</f>
        <v>0</v>
      </c>
      <c r="H5162" s="22">
        <f>IFERROR(__xludf.DUMMYFUNCTION("""COMPUTED_VALUE"""),492334.6)</f>
        <v>492334.6</v>
      </c>
      <c r="I5162" s="24">
        <f>IFERROR(__xludf.DUMMYFUNCTION("""COMPUTED_VALUE"""),-0.015330800000000089)</f>
        <v>-0.0153308</v>
      </c>
    </row>
    <row r="5163">
      <c r="A5163" s="5" t="str">
        <f>IFERROR(__xludf.DUMMYFUNCTION("""COMPUTED_VALUE"""),"73879")</f>
        <v>73879</v>
      </c>
      <c r="B5163" s="64">
        <f>IFERROR(__xludf.DUMMYFUNCTION("""COMPUTED_VALUE"""),44663.0)</f>
        <v>44663</v>
      </c>
      <c r="C5163" s="5"/>
      <c r="D5163" s="5"/>
      <c r="E5163" s="5"/>
      <c r="F5163" s="22">
        <f>IFERROR(__xludf.DUMMYFUNCTION("""COMPUTED_VALUE"""),500000.0)</f>
        <v>500000</v>
      </c>
      <c r="G5163" s="22">
        <f>IFERROR(__xludf.DUMMYFUNCTION("""COMPUTED_VALUE"""),0.0)</f>
        <v>0</v>
      </c>
      <c r="H5163" s="22">
        <f>IFERROR(__xludf.DUMMYFUNCTION("""COMPUTED_VALUE"""),499771.4)</f>
        <v>499771.4</v>
      </c>
      <c r="I5163" s="24">
        <f>IFERROR(__xludf.DUMMYFUNCTION("""COMPUTED_VALUE"""),-4.5719999999993544E-4)</f>
        <v>-0.0004572</v>
      </c>
    </row>
    <row r="5164">
      <c r="A5164" s="5" t="str">
        <f>IFERROR(__xludf.DUMMYFUNCTION("""COMPUTED_VALUE"""),"74356")</f>
        <v>74356</v>
      </c>
      <c r="B5164" s="64">
        <f>IFERROR(__xludf.DUMMYFUNCTION("""COMPUTED_VALUE"""),44597.0)</f>
        <v>44597</v>
      </c>
      <c r="C5164" s="5"/>
      <c r="D5164" s="5"/>
      <c r="E5164" s="5"/>
      <c r="F5164" s="22">
        <f>IFERROR(__xludf.DUMMYFUNCTION("""COMPUTED_VALUE"""),500000.0)</f>
        <v>500000</v>
      </c>
      <c r="G5164" s="22">
        <f>IFERROR(__xludf.DUMMYFUNCTION("""COMPUTED_VALUE"""),0.0)</f>
        <v>0</v>
      </c>
      <c r="H5164" s="22">
        <f>IFERROR(__xludf.DUMMYFUNCTION("""COMPUTED_VALUE"""),500000.0)</f>
        <v>500000</v>
      </c>
      <c r="I5164" s="24">
        <f>IFERROR(__xludf.DUMMYFUNCTION("""COMPUTED_VALUE"""),0.0)</f>
        <v>0</v>
      </c>
    </row>
    <row r="5165">
      <c r="A5165" s="5" t="str">
        <f>IFERROR(__xludf.DUMMYFUNCTION("""COMPUTED_VALUE"""),"74356")</f>
        <v>74356</v>
      </c>
      <c r="B5165" s="64">
        <f>IFERROR(__xludf.DUMMYFUNCTION("""COMPUTED_VALUE"""),44598.0)</f>
        <v>44598</v>
      </c>
      <c r="C5165" s="5"/>
      <c r="D5165" s="5"/>
      <c r="E5165" s="5"/>
      <c r="F5165" s="22">
        <f>IFERROR(__xludf.DUMMYFUNCTION("""COMPUTED_VALUE"""),500000.0)</f>
        <v>500000</v>
      </c>
      <c r="G5165" s="22">
        <f>IFERROR(__xludf.DUMMYFUNCTION("""COMPUTED_VALUE"""),0.0)</f>
        <v>0</v>
      </c>
      <c r="H5165" s="22">
        <f>IFERROR(__xludf.DUMMYFUNCTION("""COMPUTED_VALUE"""),500000.0)</f>
        <v>500000</v>
      </c>
      <c r="I5165" s="24">
        <f>IFERROR(__xludf.DUMMYFUNCTION("""COMPUTED_VALUE"""),0.0)</f>
        <v>0</v>
      </c>
    </row>
    <row r="5166">
      <c r="A5166" s="5" t="str">
        <f>IFERROR(__xludf.DUMMYFUNCTION("""COMPUTED_VALUE"""),"74356")</f>
        <v>74356</v>
      </c>
      <c r="B5166" s="64">
        <f>IFERROR(__xludf.DUMMYFUNCTION("""COMPUTED_VALUE"""),44599.0)</f>
        <v>44599</v>
      </c>
      <c r="C5166" s="5"/>
      <c r="D5166" s="5"/>
      <c r="E5166" s="5"/>
      <c r="F5166" s="22">
        <f>IFERROR(__xludf.DUMMYFUNCTION("""COMPUTED_VALUE"""),500000.0)</f>
        <v>500000</v>
      </c>
      <c r="G5166" s="22">
        <f>IFERROR(__xludf.DUMMYFUNCTION("""COMPUTED_VALUE"""),0.0)</f>
        <v>0</v>
      </c>
      <c r="H5166" s="22">
        <f>IFERROR(__xludf.DUMMYFUNCTION("""COMPUTED_VALUE"""),500000.0)</f>
        <v>500000</v>
      </c>
      <c r="I5166" s="24">
        <f>IFERROR(__xludf.DUMMYFUNCTION("""COMPUTED_VALUE"""),0.0)</f>
        <v>0</v>
      </c>
    </row>
    <row r="5167">
      <c r="A5167" s="5" t="str">
        <f>IFERROR(__xludf.DUMMYFUNCTION("""COMPUTED_VALUE"""),"74356")</f>
        <v>74356</v>
      </c>
      <c r="B5167" s="64">
        <f>IFERROR(__xludf.DUMMYFUNCTION("""COMPUTED_VALUE"""),44600.0)</f>
        <v>44600</v>
      </c>
      <c r="C5167" s="5"/>
      <c r="D5167" s="5"/>
      <c r="E5167" s="5"/>
      <c r="F5167" s="22">
        <f>IFERROR(__xludf.DUMMYFUNCTION("""COMPUTED_VALUE"""),500000.0)</f>
        <v>500000</v>
      </c>
      <c r="G5167" s="22">
        <f>IFERROR(__xludf.DUMMYFUNCTION("""COMPUTED_VALUE"""),0.0)</f>
        <v>0</v>
      </c>
      <c r="H5167" s="22">
        <f>IFERROR(__xludf.DUMMYFUNCTION("""COMPUTED_VALUE"""),500000.0)</f>
        <v>500000</v>
      </c>
      <c r="I5167" s="24">
        <f>IFERROR(__xludf.DUMMYFUNCTION("""COMPUTED_VALUE"""),0.0)</f>
        <v>0</v>
      </c>
    </row>
    <row r="5168">
      <c r="A5168" s="5" t="str">
        <f>IFERROR(__xludf.DUMMYFUNCTION("""COMPUTED_VALUE"""),"74356")</f>
        <v>74356</v>
      </c>
      <c r="B5168" s="64">
        <f>IFERROR(__xludf.DUMMYFUNCTION("""COMPUTED_VALUE"""),44601.0)</f>
        <v>44601</v>
      </c>
      <c r="C5168" s="5"/>
      <c r="D5168" s="5"/>
      <c r="E5168" s="5"/>
      <c r="F5168" s="22">
        <f>IFERROR(__xludf.DUMMYFUNCTION("""COMPUTED_VALUE"""),500000.0)</f>
        <v>500000</v>
      </c>
      <c r="G5168" s="22">
        <f>IFERROR(__xludf.DUMMYFUNCTION("""COMPUTED_VALUE"""),0.0)</f>
        <v>0</v>
      </c>
      <c r="H5168" s="22">
        <f>IFERROR(__xludf.DUMMYFUNCTION("""COMPUTED_VALUE"""),500000.0)</f>
        <v>500000</v>
      </c>
      <c r="I5168" s="24">
        <f>IFERROR(__xludf.DUMMYFUNCTION("""COMPUTED_VALUE"""),0.0)</f>
        <v>0</v>
      </c>
    </row>
    <row r="5169">
      <c r="A5169" s="5" t="str">
        <f>IFERROR(__xludf.DUMMYFUNCTION("""COMPUTED_VALUE"""),"74356")</f>
        <v>74356</v>
      </c>
      <c r="B5169" s="64">
        <f>IFERROR(__xludf.DUMMYFUNCTION("""COMPUTED_VALUE"""),44602.0)</f>
        <v>44602</v>
      </c>
      <c r="C5169" s="5"/>
      <c r="D5169" s="5"/>
      <c r="E5169" s="5"/>
      <c r="F5169" s="22">
        <f>IFERROR(__xludf.DUMMYFUNCTION("""COMPUTED_VALUE"""),500000.0)</f>
        <v>500000</v>
      </c>
      <c r="G5169" s="22">
        <f>IFERROR(__xludf.DUMMYFUNCTION("""COMPUTED_VALUE"""),0.0)</f>
        <v>0</v>
      </c>
      <c r="H5169" s="22">
        <f>IFERROR(__xludf.DUMMYFUNCTION("""COMPUTED_VALUE"""),500000.0)</f>
        <v>500000</v>
      </c>
      <c r="I5169" s="24">
        <f>IFERROR(__xludf.DUMMYFUNCTION("""COMPUTED_VALUE"""),0.0)</f>
        <v>0</v>
      </c>
    </row>
    <row r="5170">
      <c r="A5170" s="5" t="str">
        <f>IFERROR(__xludf.DUMMYFUNCTION("""COMPUTED_VALUE"""),"74356")</f>
        <v>74356</v>
      </c>
      <c r="B5170" s="64">
        <f>IFERROR(__xludf.DUMMYFUNCTION("""COMPUTED_VALUE"""),44603.0)</f>
        <v>44603</v>
      </c>
      <c r="C5170" s="5"/>
      <c r="D5170" s="5"/>
      <c r="E5170" s="5"/>
      <c r="F5170" s="22">
        <f>IFERROR(__xludf.DUMMYFUNCTION("""COMPUTED_VALUE"""),491815.731138)</f>
        <v>491815.7311</v>
      </c>
      <c r="G5170" s="22">
        <f>IFERROR(__xludf.DUMMYFUNCTION("""COMPUTED_VALUE"""),0.0)</f>
        <v>0</v>
      </c>
      <c r="H5170" s="22">
        <f>IFERROR(__xludf.DUMMYFUNCTION("""COMPUTED_VALUE"""),500000.0)</f>
        <v>500000</v>
      </c>
      <c r="I5170" s="24">
        <f>IFERROR(__xludf.DUMMYFUNCTION("""COMPUTED_VALUE"""),0.0)</f>
        <v>0</v>
      </c>
    </row>
    <row r="5171">
      <c r="A5171" s="5" t="str">
        <f>IFERROR(__xludf.DUMMYFUNCTION("""COMPUTED_VALUE"""),"74356")</f>
        <v>74356</v>
      </c>
      <c r="B5171" s="64">
        <f>IFERROR(__xludf.DUMMYFUNCTION("""COMPUTED_VALUE"""),44604.0)</f>
        <v>44604</v>
      </c>
      <c r="C5171" s="5"/>
      <c r="D5171" s="5"/>
      <c r="E5171" s="5"/>
      <c r="F5171" s="22">
        <f>IFERROR(__xludf.DUMMYFUNCTION("""COMPUTED_VALUE"""),491815.731138)</f>
        <v>491815.7311</v>
      </c>
      <c r="G5171" s="22">
        <f>IFERROR(__xludf.DUMMYFUNCTION("""COMPUTED_VALUE"""),0.0)</f>
        <v>0</v>
      </c>
      <c r="H5171" s="22">
        <f>IFERROR(__xludf.DUMMYFUNCTION("""COMPUTED_VALUE"""),500000.0)</f>
        <v>500000</v>
      </c>
      <c r="I5171" s="24">
        <f>IFERROR(__xludf.DUMMYFUNCTION("""COMPUTED_VALUE"""),0.0)</f>
        <v>0</v>
      </c>
    </row>
    <row r="5172">
      <c r="A5172" s="5" t="str">
        <f>IFERROR(__xludf.DUMMYFUNCTION("""COMPUTED_VALUE"""),"74356")</f>
        <v>74356</v>
      </c>
      <c r="B5172" s="64">
        <f>IFERROR(__xludf.DUMMYFUNCTION("""COMPUTED_VALUE"""),44605.0)</f>
        <v>44605</v>
      </c>
      <c r="C5172" s="5"/>
      <c r="D5172" s="5"/>
      <c r="E5172" s="5"/>
      <c r="F5172" s="22">
        <f>IFERROR(__xludf.DUMMYFUNCTION("""COMPUTED_VALUE"""),491815.731138)</f>
        <v>491815.7311</v>
      </c>
      <c r="G5172" s="22">
        <f>IFERROR(__xludf.DUMMYFUNCTION("""COMPUTED_VALUE"""),0.0)</f>
        <v>0</v>
      </c>
      <c r="H5172" s="22">
        <f>IFERROR(__xludf.DUMMYFUNCTION("""COMPUTED_VALUE"""),500000.0)</f>
        <v>500000</v>
      </c>
      <c r="I5172" s="24">
        <f>IFERROR(__xludf.DUMMYFUNCTION("""COMPUTED_VALUE"""),0.0)</f>
        <v>0</v>
      </c>
    </row>
    <row r="5173">
      <c r="A5173" s="5" t="str">
        <f>IFERROR(__xludf.DUMMYFUNCTION("""COMPUTED_VALUE"""),"74356")</f>
        <v>74356</v>
      </c>
      <c r="B5173" s="64">
        <f>IFERROR(__xludf.DUMMYFUNCTION("""COMPUTED_VALUE"""),44606.0)</f>
        <v>44606</v>
      </c>
      <c r="C5173" s="5"/>
      <c r="D5173" s="5"/>
      <c r="E5173" s="5"/>
      <c r="F5173" s="22">
        <f>IFERROR(__xludf.DUMMYFUNCTION("""COMPUTED_VALUE"""),491815.731138)</f>
        <v>491815.7311</v>
      </c>
      <c r="G5173" s="22">
        <f>IFERROR(__xludf.DUMMYFUNCTION("""COMPUTED_VALUE"""),0.0)</f>
        <v>0</v>
      </c>
      <c r="H5173" s="22">
        <f>IFERROR(__xludf.DUMMYFUNCTION("""COMPUTED_VALUE"""),500024.923104)</f>
        <v>500024.9231</v>
      </c>
      <c r="I5173" s="24">
        <f>IFERROR(__xludf.DUMMYFUNCTION("""COMPUTED_VALUE"""),4.984620800008166E-5)</f>
        <v>0.000049846208</v>
      </c>
    </row>
    <row r="5174">
      <c r="A5174" s="5" t="str">
        <f>IFERROR(__xludf.DUMMYFUNCTION("""COMPUTED_VALUE"""),"74356")</f>
        <v>74356</v>
      </c>
      <c r="B5174" s="64">
        <f>IFERROR(__xludf.DUMMYFUNCTION("""COMPUTED_VALUE"""),44607.0)</f>
        <v>44607</v>
      </c>
      <c r="C5174" s="5"/>
      <c r="D5174" s="5"/>
      <c r="E5174" s="5"/>
      <c r="F5174" s="22">
        <f>IFERROR(__xludf.DUMMYFUNCTION("""COMPUTED_VALUE"""),491815.731138)</f>
        <v>491815.7311</v>
      </c>
      <c r="G5174" s="22">
        <f>IFERROR(__xludf.DUMMYFUNCTION("""COMPUTED_VALUE"""),0.0)</f>
        <v>0</v>
      </c>
      <c r="H5174" s="22">
        <f>IFERROR(__xludf.DUMMYFUNCTION("""COMPUTED_VALUE"""),500723.5905855)</f>
        <v>500723.5906</v>
      </c>
      <c r="I5174" s="24">
        <f>IFERROR(__xludf.DUMMYFUNCTION("""COMPUTED_VALUE"""),0.001447181170999956)</f>
        <v>0.001447181171</v>
      </c>
    </row>
    <row r="5175">
      <c r="A5175" s="5" t="str">
        <f>IFERROR(__xludf.DUMMYFUNCTION("""COMPUTED_VALUE"""),"74356")</f>
        <v>74356</v>
      </c>
      <c r="B5175" s="64">
        <f>IFERROR(__xludf.DUMMYFUNCTION("""COMPUTED_VALUE"""),44608.0)</f>
        <v>44608</v>
      </c>
      <c r="C5175" s="5"/>
      <c r="D5175" s="5"/>
      <c r="E5175" s="5"/>
      <c r="F5175" s="22">
        <f>IFERROR(__xludf.DUMMYFUNCTION("""COMPUTED_VALUE"""),491815.731138)</f>
        <v>491815.7311</v>
      </c>
      <c r="G5175" s="22">
        <f>IFERROR(__xludf.DUMMYFUNCTION("""COMPUTED_VALUE"""),0.0)</f>
        <v>0</v>
      </c>
      <c r="H5175" s="22">
        <f>IFERROR(__xludf.DUMMYFUNCTION("""COMPUTED_VALUE"""),500466.4942895)</f>
        <v>500466.4943</v>
      </c>
      <c r="I5175" s="24">
        <f>IFERROR(__xludf.DUMMYFUNCTION("""COMPUTED_VALUE"""),9.32988578999927E-4)</f>
        <v>0.000932988579</v>
      </c>
    </row>
    <row r="5176">
      <c r="A5176" s="5" t="str">
        <f>IFERROR(__xludf.DUMMYFUNCTION("""COMPUTED_VALUE"""),"74356")</f>
        <v>74356</v>
      </c>
      <c r="B5176" s="64">
        <f>IFERROR(__xludf.DUMMYFUNCTION("""COMPUTED_VALUE"""),44609.0)</f>
        <v>44609</v>
      </c>
      <c r="C5176" s="5"/>
      <c r="D5176" s="5"/>
      <c r="E5176" s="5"/>
      <c r="F5176" s="22">
        <f>IFERROR(__xludf.DUMMYFUNCTION("""COMPUTED_VALUE"""),491815.731138)</f>
        <v>491815.7311</v>
      </c>
      <c r="G5176" s="22">
        <f>IFERROR(__xludf.DUMMYFUNCTION("""COMPUTED_VALUE"""),0.0)</f>
        <v>0</v>
      </c>
      <c r="H5176" s="22">
        <f>IFERROR(__xludf.DUMMYFUNCTION("""COMPUTED_VALUE"""),499843.4146165)</f>
        <v>499843.4146</v>
      </c>
      <c r="I5176" s="24">
        <f>IFERROR(__xludf.DUMMYFUNCTION("""COMPUTED_VALUE"""),-3.131707669999928E-4)</f>
        <v>-0.000313170767</v>
      </c>
    </row>
    <row r="5177">
      <c r="A5177" s="5" t="str">
        <f>IFERROR(__xludf.DUMMYFUNCTION("""COMPUTED_VALUE"""),"74356")</f>
        <v>74356</v>
      </c>
      <c r="B5177" s="64">
        <f>IFERROR(__xludf.DUMMYFUNCTION("""COMPUTED_VALUE"""),44610.0)</f>
        <v>44610</v>
      </c>
      <c r="C5177" s="5"/>
      <c r="D5177" s="5"/>
      <c r="E5177" s="5"/>
      <c r="F5177" s="22">
        <f>IFERROR(__xludf.DUMMYFUNCTION("""COMPUTED_VALUE"""),491815.731138)</f>
        <v>491815.7311</v>
      </c>
      <c r="G5177" s="22">
        <f>IFERROR(__xludf.DUMMYFUNCTION("""COMPUTED_VALUE"""),0.0)</f>
        <v>0</v>
      </c>
      <c r="H5177" s="22">
        <f>IFERROR(__xludf.DUMMYFUNCTION("""COMPUTED_VALUE"""),498007.39416749997)</f>
        <v>498007.3942</v>
      </c>
      <c r="I5177" s="24">
        <f>IFERROR(__xludf.DUMMYFUNCTION("""COMPUTED_VALUE"""),-0.003985211665000099)</f>
        <v>-0.003985211665</v>
      </c>
    </row>
    <row r="5178">
      <c r="A5178" s="5" t="str">
        <f>IFERROR(__xludf.DUMMYFUNCTION("""COMPUTED_VALUE"""),"74356")</f>
        <v>74356</v>
      </c>
      <c r="B5178" s="64">
        <f>IFERROR(__xludf.DUMMYFUNCTION("""COMPUTED_VALUE"""),44611.0)</f>
        <v>44611</v>
      </c>
      <c r="C5178" s="5"/>
      <c r="D5178" s="5"/>
      <c r="E5178" s="5"/>
      <c r="F5178" s="22">
        <f>IFERROR(__xludf.DUMMYFUNCTION("""COMPUTED_VALUE"""),491815.731138)</f>
        <v>491815.7311</v>
      </c>
      <c r="G5178" s="22">
        <f>IFERROR(__xludf.DUMMYFUNCTION("""COMPUTED_VALUE"""),0.0)</f>
        <v>0</v>
      </c>
      <c r="H5178" s="22">
        <f>IFERROR(__xludf.DUMMYFUNCTION("""COMPUTED_VALUE"""),498007.39416749997)</f>
        <v>498007.3942</v>
      </c>
      <c r="I5178" s="24">
        <f>IFERROR(__xludf.DUMMYFUNCTION("""COMPUTED_VALUE"""),-0.003985211665000099)</f>
        <v>-0.003985211665</v>
      </c>
    </row>
    <row r="5179">
      <c r="A5179" s="5" t="str">
        <f>IFERROR(__xludf.DUMMYFUNCTION("""COMPUTED_VALUE"""),"74356")</f>
        <v>74356</v>
      </c>
      <c r="B5179" s="64">
        <f>IFERROR(__xludf.DUMMYFUNCTION("""COMPUTED_VALUE"""),44612.0)</f>
        <v>44612</v>
      </c>
      <c r="C5179" s="5"/>
      <c r="D5179" s="5"/>
      <c r="E5179" s="5"/>
      <c r="F5179" s="22">
        <f>IFERROR(__xludf.DUMMYFUNCTION("""COMPUTED_VALUE"""),491815.731138)</f>
        <v>491815.7311</v>
      </c>
      <c r="G5179" s="22">
        <f>IFERROR(__xludf.DUMMYFUNCTION("""COMPUTED_VALUE"""),0.0)</f>
        <v>0</v>
      </c>
      <c r="H5179" s="22">
        <f>IFERROR(__xludf.DUMMYFUNCTION("""COMPUTED_VALUE"""),498007.39416749997)</f>
        <v>498007.3942</v>
      </c>
      <c r="I5179" s="24">
        <f>IFERROR(__xludf.DUMMYFUNCTION("""COMPUTED_VALUE"""),-0.003985211665000099)</f>
        <v>-0.003985211665</v>
      </c>
    </row>
    <row r="5180">
      <c r="A5180" s="5" t="str">
        <f>IFERROR(__xludf.DUMMYFUNCTION("""COMPUTED_VALUE"""),"74356")</f>
        <v>74356</v>
      </c>
      <c r="B5180" s="64">
        <f>IFERROR(__xludf.DUMMYFUNCTION("""COMPUTED_VALUE"""),44613.0)</f>
        <v>44613</v>
      </c>
      <c r="C5180" s="5"/>
      <c r="D5180" s="5"/>
      <c r="E5180" s="5"/>
      <c r="F5180" s="22">
        <f>IFERROR(__xludf.DUMMYFUNCTION("""COMPUTED_VALUE"""),491815.731138)</f>
        <v>491815.7311</v>
      </c>
      <c r="G5180" s="22">
        <f>IFERROR(__xludf.DUMMYFUNCTION("""COMPUTED_VALUE"""),0.0)</f>
        <v>0</v>
      </c>
      <c r="H5180" s="22">
        <f>IFERROR(__xludf.DUMMYFUNCTION("""COMPUTED_VALUE"""),498027.39416749997)</f>
        <v>498027.3942</v>
      </c>
      <c r="I5180" s="24">
        <f>IFERROR(__xludf.DUMMYFUNCTION("""COMPUTED_VALUE"""),-0.003945211665000059)</f>
        <v>-0.003945211665</v>
      </c>
    </row>
    <row r="5181">
      <c r="A5181" s="5" t="str">
        <f>IFERROR(__xludf.DUMMYFUNCTION("""COMPUTED_VALUE"""),"74356")</f>
        <v>74356</v>
      </c>
      <c r="B5181" s="64">
        <f>IFERROR(__xludf.DUMMYFUNCTION("""COMPUTED_VALUE"""),44614.0)</f>
        <v>44614</v>
      </c>
      <c r="C5181" s="5"/>
      <c r="D5181" s="5"/>
      <c r="E5181" s="5"/>
      <c r="F5181" s="22">
        <f>IFERROR(__xludf.DUMMYFUNCTION("""COMPUTED_VALUE"""),491815.731138)</f>
        <v>491815.7311</v>
      </c>
      <c r="G5181" s="22">
        <f>IFERROR(__xludf.DUMMYFUNCTION("""COMPUTED_VALUE"""),0.0)</f>
        <v>0</v>
      </c>
      <c r="H5181" s="22">
        <f>IFERROR(__xludf.DUMMYFUNCTION("""COMPUTED_VALUE"""),496698.505371)</f>
        <v>496698.5054</v>
      </c>
      <c r="I5181" s="24">
        <f>IFERROR(__xludf.DUMMYFUNCTION("""COMPUTED_VALUE"""),-0.006602989258000069)</f>
        <v>-0.006602989258</v>
      </c>
    </row>
    <row r="5182">
      <c r="A5182" s="5" t="str">
        <f>IFERROR(__xludf.DUMMYFUNCTION("""COMPUTED_VALUE"""),"74356")</f>
        <v>74356</v>
      </c>
      <c r="B5182" s="64">
        <f>IFERROR(__xludf.DUMMYFUNCTION("""COMPUTED_VALUE"""),44615.0)</f>
        <v>44615</v>
      </c>
      <c r="C5182" s="5"/>
      <c r="D5182" s="5"/>
      <c r="E5182" s="5"/>
      <c r="F5182" s="22">
        <f>IFERROR(__xludf.DUMMYFUNCTION("""COMPUTED_VALUE"""),491815.731138)</f>
        <v>491815.7311</v>
      </c>
      <c r="G5182" s="22">
        <f>IFERROR(__xludf.DUMMYFUNCTION("""COMPUTED_VALUE"""),0.0)</f>
        <v>0</v>
      </c>
      <c r="H5182" s="22">
        <f>IFERROR(__xludf.DUMMYFUNCTION("""COMPUTED_VALUE"""),495488.1751295)</f>
        <v>495488.1751</v>
      </c>
      <c r="I5182" s="24">
        <f>IFERROR(__xludf.DUMMYFUNCTION("""COMPUTED_VALUE"""),-0.009023649741000006)</f>
        <v>-0.009023649741</v>
      </c>
    </row>
    <row r="5183">
      <c r="A5183" s="5" t="str">
        <f>IFERROR(__xludf.DUMMYFUNCTION("""COMPUTED_VALUE"""),"74356")</f>
        <v>74356</v>
      </c>
      <c r="B5183" s="64">
        <f>IFERROR(__xludf.DUMMYFUNCTION("""COMPUTED_VALUE"""),44616.0)</f>
        <v>44616</v>
      </c>
      <c r="C5183" s="5"/>
      <c r="D5183" s="5"/>
      <c r="E5183" s="5"/>
      <c r="F5183" s="22">
        <f>IFERROR(__xludf.DUMMYFUNCTION("""COMPUTED_VALUE"""),372131.7816354999)</f>
        <v>372131.7816</v>
      </c>
      <c r="G5183" s="22">
        <f>IFERROR(__xludf.DUMMYFUNCTION("""COMPUTED_VALUE"""),0.0)</f>
        <v>0</v>
      </c>
      <c r="H5183" s="22">
        <f>IFERROR(__xludf.DUMMYFUNCTION("""COMPUTED_VALUE"""),500314.6957435)</f>
        <v>500314.6957</v>
      </c>
      <c r="I5183" s="24">
        <f>IFERROR(__xludf.DUMMYFUNCTION("""COMPUTED_VALUE"""),6.293914870001416E-4)</f>
        <v>0.000629391487</v>
      </c>
    </row>
    <row r="5184">
      <c r="A5184" s="5" t="str">
        <f>IFERROR(__xludf.DUMMYFUNCTION("""COMPUTED_VALUE"""),"74356")</f>
        <v>74356</v>
      </c>
      <c r="B5184" s="64">
        <f>IFERROR(__xludf.DUMMYFUNCTION("""COMPUTED_VALUE"""),44617.0)</f>
        <v>44617</v>
      </c>
      <c r="C5184" s="5"/>
      <c r="D5184" s="5"/>
      <c r="E5184" s="5"/>
      <c r="F5184" s="22">
        <f>IFERROR(__xludf.DUMMYFUNCTION("""COMPUTED_VALUE"""),372131.7816354999)</f>
        <v>372131.7816</v>
      </c>
      <c r="G5184" s="22">
        <f>IFERROR(__xludf.DUMMYFUNCTION("""COMPUTED_VALUE"""),0.0)</f>
        <v>0</v>
      </c>
      <c r="H5184" s="22">
        <f>IFERROR(__xludf.DUMMYFUNCTION("""COMPUTED_VALUE"""),499123.09105999995)</f>
        <v>499123.0911</v>
      </c>
      <c r="I5184" s="24">
        <f>IFERROR(__xludf.DUMMYFUNCTION("""COMPUTED_VALUE"""),-0.0017538178800000637)</f>
        <v>-0.00175381788</v>
      </c>
    </row>
    <row r="5185">
      <c r="A5185" s="5" t="str">
        <f>IFERROR(__xludf.DUMMYFUNCTION("""COMPUTED_VALUE"""),"74356")</f>
        <v>74356</v>
      </c>
      <c r="B5185" s="64">
        <f>IFERROR(__xludf.DUMMYFUNCTION("""COMPUTED_VALUE"""),44618.0)</f>
        <v>44618</v>
      </c>
      <c r="C5185" s="5"/>
      <c r="D5185" s="5"/>
      <c r="E5185" s="5"/>
      <c r="F5185" s="22">
        <f>IFERROR(__xludf.DUMMYFUNCTION("""COMPUTED_VALUE"""),372131.7816354999)</f>
        <v>372131.7816</v>
      </c>
      <c r="G5185" s="22">
        <f>IFERROR(__xludf.DUMMYFUNCTION("""COMPUTED_VALUE"""),0.0)</f>
        <v>0</v>
      </c>
      <c r="H5185" s="22">
        <f>IFERROR(__xludf.DUMMYFUNCTION("""COMPUTED_VALUE"""),499123.09105999995)</f>
        <v>499123.0911</v>
      </c>
      <c r="I5185" s="24">
        <f>IFERROR(__xludf.DUMMYFUNCTION("""COMPUTED_VALUE"""),-0.0017538178800000637)</f>
        <v>-0.00175381788</v>
      </c>
    </row>
    <row r="5186">
      <c r="A5186" s="5" t="str">
        <f>IFERROR(__xludf.DUMMYFUNCTION("""COMPUTED_VALUE"""),"74356")</f>
        <v>74356</v>
      </c>
      <c r="B5186" s="64">
        <f>IFERROR(__xludf.DUMMYFUNCTION("""COMPUTED_VALUE"""),44619.0)</f>
        <v>44619</v>
      </c>
      <c r="C5186" s="5"/>
      <c r="D5186" s="5"/>
      <c r="E5186" s="5"/>
      <c r="F5186" s="22">
        <f>IFERROR(__xludf.DUMMYFUNCTION("""COMPUTED_VALUE"""),372131.7816354999)</f>
        <v>372131.7816</v>
      </c>
      <c r="G5186" s="22">
        <f>IFERROR(__xludf.DUMMYFUNCTION("""COMPUTED_VALUE"""),0.0)</f>
        <v>0</v>
      </c>
      <c r="H5186" s="22">
        <f>IFERROR(__xludf.DUMMYFUNCTION("""COMPUTED_VALUE"""),499123.09105999995)</f>
        <v>499123.0911</v>
      </c>
      <c r="I5186" s="24">
        <f>IFERROR(__xludf.DUMMYFUNCTION("""COMPUTED_VALUE"""),-0.0017538178800000637)</f>
        <v>-0.00175381788</v>
      </c>
    </row>
    <row r="5187">
      <c r="A5187" s="5" t="str">
        <f>IFERROR(__xludf.DUMMYFUNCTION("""COMPUTED_VALUE"""),"74356")</f>
        <v>74356</v>
      </c>
      <c r="B5187" s="64">
        <f>IFERROR(__xludf.DUMMYFUNCTION("""COMPUTED_VALUE"""),44620.0)</f>
        <v>44620</v>
      </c>
      <c r="C5187" s="5"/>
      <c r="D5187" s="5"/>
      <c r="E5187" s="5"/>
      <c r="F5187" s="22">
        <f>IFERROR(__xludf.DUMMYFUNCTION("""COMPUTED_VALUE"""),372131.7816354999)</f>
        <v>372131.7816</v>
      </c>
      <c r="G5187" s="22">
        <f>IFERROR(__xludf.DUMMYFUNCTION("""COMPUTED_VALUE"""),0.0)</f>
        <v>0</v>
      </c>
      <c r="H5187" s="22">
        <f>IFERROR(__xludf.DUMMYFUNCTION("""COMPUTED_VALUE"""),501709.86137249996)</f>
        <v>501709.8614</v>
      </c>
      <c r="I5187" s="24">
        <f>IFERROR(__xludf.DUMMYFUNCTION("""COMPUTED_VALUE"""),0.003419722744999909)</f>
        <v>0.003419722745</v>
      </c>
    </row>
    <row r="5188">
      <c r="A5188" s="5" t="str">
        <f>IFERROR(__xludf.DUMMYFUNCTION("""COMPUTED_VALUE"""),"74356")</f>
        <v>74356</v>
      </c>
      <c r="B5188" s="64">
        <f>IFERROR(__xludf.DUMMYFUNCTION("""COMPUTED_VALUE"""),44621.0)</f>
        <v>44621</v>
      </c>
      <c r="C5188" s="5"/>
      <c r="D5188" s="5"/>
      <c r="E5188" s="5"/>
      <c r="F5188" s="22">
        <f>IFERROR(__xludf.DUMMYFUNCTION("""COMPUTED_VALUE"""),372131.7816354999)</f>
        <v>372131.7816</v>
      </c>
      <c r="G5188" s="22">
        <f>IFERROR(__xludf.DUMMYFUNCTION("""COMPUTED_VALUE"""),0.0)</f>
        <v>0</v>
      </c>
      <c r="H5188" s="22">
        <f>IFERROR(__xludf.DUMMYFUNCTION("""COMPUTED_VALUE"""),507743.24062050006)</f>
        <v>507743.2406</v>
      </c>
      <c r="I5188" s="24">
        <f>IFERROR(__xludf.DUMMYFUNCTION("""COMPUTED_VALUE"""),0.01548648124100005)</f>
        <v>0.01548648124</v>
      </c>
    </row>
    <row r="5189">
      <c r="A5189" s="5" t="str">
        <f>IFERROR(__xludf.DUMMYFUNCTION("""COMPUTED_VALUE"""),"74356")</f>
        <v>74356</v>
      </c>
      <c r="B5189" s="64">
        <f>IFERROR(__xludf.DUMMYFUNCTION("""COMPUTED_VALUE"""),44622.0)</f>
        <v>44622</v>
      </c>
      <c r="C5189" s="5"/>
      <c r="D5189" s="5"/>
      <c r="E5189" s="5"/>
      <c r="F5189" s="22">
        <f>IFERROR(__xludf.DUMMYFUNCTION("""COMPUTED_VALUE"""),372131.7816354999)</f>
        <v>372131.7816</v>
      </c>
      <c r="G5189" s="22">
        <f>IFERROR(__xludf.DUMMYFUNCTION("""COMPUTED_VALUE"""),0.0)</f>
        <v>0</v>
      </c>
      <c r="H5189" s="22">
        <f>IFERROR(__xludf.DUMMYFUNCTION("""COMPUTED_VALUE"""),514051.2252005)</f>
        <v>514051.2252</v>
      </c>
      <c r="I5189" s="24">
        <f>IFERROR(__xludf.DUMMYFUNCTION("""COMPUTED_VALUE"""),0.0281024504009999)</f>
        <v>0.0281024504</v>
      </c>
    </row>
    <row r="5190">
      <c r="A5190" s="5" t="str">
        <f>IFERROR(__xludf.DUMMYFUNCTION("""COMPUTED_VALUE"""),"74356")</f>
        <v>74356</v>
      </c>
      <c r="B5190" s="64">
        <f>IFERROR(__xludf.DUMMYFUNCTION("""COMPUTED_VALUE"""),44623.0)</f>
        <v>44623</v>
      </c>
      <c r="C5190" s="5"/>
      <c r="D5190" s="5"/>
      <c r="E5190" s="5"/>
      <c r="F5190" s="22">
        <f>IFERROR(__xludf.DUMMYFUNCTION("""COMPUTED_VALUE"""),372131.7816354999)</f>
        <v>372131.7816</v>
      </c>
      <c r="G5190" s="22">
        <f>IFERROR(__xludf.DUMMYFUNCTION("""COMPUTED_VALUE"""),0.0)</f>
        <v>0</v>
      </c>
      <c r="H5190" s="22">
        <f>IFERROR(__xludf.DUMMYFUNCTION("""COMPUTED_VALUE"""),511137.4859655)</f>
        <v>511137.486</v>
      </c>
      <c r="I5190" s="24">
        <f>IFERROR(__xludf.DUMMYFUNCTION("""COMPUTED_VALUE"""),0.02227497193100003)</f>
        <v>0.02227497193</v>
      </c>
    </row>
    <row r="5191">
      <c r="A5191" s="5" t="str">
        <f>IFERROR(__xludf.DUMMYFUNCTION("""COMPUTED_VALUE"""),"74356")</f>
        <v>74356</v>
      </c>
      <c r="B5191" s="64">
        <f>IFERROR(__xludf.DUMMYFUNCTION("""COMPUTED_VALUE"""),44624.0)</f>
        <v>44624</v>
      </c>
      <c r="C5191" s="5"/>
      <c r="D5191" s="5"/>
      <c r="E5191" s="5"/>
      <c r="F5191" s="22">
        <f>IFERROR(__xludf.DUMMYFUNCTION("""COMPUTED_VALUE"""),359666.3916874999)</f>
        <v>359666.3917</v>
      </c>
      <c r="G5191" s="22">
        <f>IFERROR(__xludf.DUMMYFUNCTION("""COMPUTED_VALUE"""),0.0)</f>
        <v>0</v>
      </c>
      <c r="H5191" s="22">
        <f>IFERROR(__xludf.DUMMYFUNCTION("""COMPUTED_VALUE"""),513296.6115289999)</f>
        <v>513296.6115</v>
      </c>
      <c r="I5191" s="24">
        <f>IFERROR(__xludf.DUMMYFUNCTION("""COMPUTED_VALUE"""),0.026593223057999937)</f>
        <v>0.02659322306</v>
      </c>
    </row>
    <row r="5192">
      <c r="A5192" s="5" t="str">
        <f>IFERROR(__xludf.DUMMYFUNCTION("""COMPUTED_VALUE"""),"74356")</f>
        <v>74356</v>
      </c>
      <c r="B5192" s="64">
        <f>IFERROR(__xludf.DUMMYFUNCTION("""COMPUTED_VALUE"""),44625.0)</f>
        <v>44625</v>
      </c>
      <c r="C5192" s="5"/>
      <c r="D5192" s="5"/>
      <c r="E5192" s="5"/>
      <c r="F5192" s="22">
        <f>IFERROR(__xludf.DUMMYFUNCTION("""COMPUTED_VALUE"""),359666.3916874999)</f>
        <v>359666.3917</v>
      </c>
      <c r="G5192" s="22">
        <f>IFERROR(__xludf.DUMMYFUNCTION("""COMPUTED_VALUE"""),0.0)</f>
        <v>0</v>
      </c>
      <c r="H5192" s="22">
        <f>IFERROR(__xludf.DUMMYFUNCTION("""COMPUTED_VALUE"""),513296.6115289999)</f>
        <v>513296.6115</v>
      </c>
      <c r="I5192" s="24">
        <f>IFERROR(__xludf.DUMMYFUNCTION("""COMPUTED_VALUE"""),0.026593223057999937)</f>
        <v>0.02659322306</v>
      </c>
    </row>
    <row r="5193">
      <c r="A5193" s="5" t="str">
        <f>IFERROR(__xludf.DUMMYFUNCTION("""COMPUTED_VALUE"""),"74356")</f>
        <v>74356</v>
      </c>
      <c r="B5193" s="64">
        <f>IFERROR(__xludf.DUMMYFUNCTION("""COMPUTED_VALUE"""),44626.0)</f>
        <v>44626</v>
      </c>
      <c r="C5193" s="5"/>
      <c r="D5193" s="5"/>
      <c r="E5193" s="5"/>
      <c r="F5193" s="22">
        <f>IFERROR(__xludf.DUMMYFUNCTION("""COMPUTED_VALUE"""),359666.3916874999)</f>
        <v>359666.3917</v>
      </c>
      <c r="G5193" s="22">
        <f>IFERROR(__xludf.DUMMYFUNCTION("""COMPUTED_VALUE"""),0.0)</f>
        <v>0</v>
      </c>
      <c r="H5193" s="22">
        <f>IFERROR(__xludf.DUMMYFUNCTION("""COMPUTED_VALUE"""),513296.6115289999)</f>
        <v>513296.6115</v>
      </c>
      <c r="I5193" s="24">
        <f>IFERROR(__xludf.DUMMYFUNCTION("""COMPUTED_VALUE"""),0.026593223057999937)</f>
        <v>0.02659322306</v>
      </c>
    </row>
    <row r="5194">
      <c r="A5194" s="5" t="str">
        <f>IFERROR(__xludf.DUMMYFUNCTION("""COMPUTED_VALUE"""),"74356")</f>
        <v>74356</v>
      </c>
      <c r="B5194" s="64">
        <f>IFERROR(__xludf.DUMMYFUNCTION("""COMPUTED_VALUE"""),44627.0)</f>
        <v>44627</v>
      </c>
      <c r="C5194" s="5"/>
      <c r="D5194" s="5"/>
      <c r="E5194" s="5"/>
      <c r="F5194" s="22">
        <f>IFERROR(__xludf.DUMMYFUNCTION("""COMPUTED_VALUE"""),359666.3916874999)</f>
        <v>359666.3917</v>
      </c>
      <c r="G5194" s="22">
        <f>IFERROR(__xludf.DUMMYFUNCTION("""COMPUTED_VALUE"""),0.0)</f>
        <v>0</v>
      </c>
      <c r="H5194" s="22">
        <f>IFERROR(__xludf.DUMMYFUNCTION("""COMPUTED_VALUE"""),514074.0937265)</f>
        <v>514074.0937</v>
      </c>
      <c r="I5194" s="24">
        <f>IFERROR(__xludf.DUMMYFUNCTION("""COMPUTED_VALUE"""),0.028148187453000073)</f>
        <v>0.02814818745</v>
      </c>
    </row>
    <row r="5195">
      <c r="A5195" s="5" t="str">
        <f>IFERROR(__xludf.DUMMYFUNCTION("""COMPUTED_VALUE"""),"74356")</f>
        <v>74356</v>
      </c>
      <c r="B5195" s="64">
        <f>IFERROR(__xludf.DUMMYFUNCTION("""COMPUTED_VALUE"""),44628.0)</f>
        <v>44628</v>
      </c>
      <c r="C5195" s="5"/>
      <c r="D5195" s="5"/>
      <c r="E5195" s="5"/>
      <c r="F5195" s="22">
        <f>IFERROR(__xludf.DUMMYFUNCTION("""COMPUTED_VALUE"""),359666.3916874999)</f>
        <v>359666.3917</v>
      </c>
      <c r="G5195" s="22">
        <f>IFERROR(__xludf.DUMMYFUNCTION("""COMPUTED_VALUE"""),0.0)</f>
        <v>0</v>
      </c>
      <c r="H5195" s="22">
        <f>IFERROR(__xludf.DUMMYFUNCTION("""COMPUTED_VALUE"""),519556.7443725)</f>
        <v>519556.7444</v>
      </c>
      <c r="I5195" s="24">
        <f>IFERROR(__xludf.DUMMYFUNCTION("""COMPUTED_VALUE"""),0.03911348874499998)</f>
        <v>0.03911348875</v>
      </c>
    </row>
    <row r="5196">
      <c r="A5196" s="5" t="str">
        <f>IFERROR(__xludf.DUMMYFUNCTION("""COMPUTED_VALUE"""),"74356")</f>
        <v>74356</v>
      </c>
      <c r="B5196" s="64">
        <f>IFERROR(__xludf.DUMMYFUNCTION("""COMPUTED_VALUE"""),44629.0)</f>
        <v>44629</v>
      </c>
      <c r="C5196" s="5"/>
      <c r="D5196" s="5"/>
      <c r="E5196" s="5"/>
      <c r="F5196" s="22">
        <f>IFERROR(__xludf.DUMMYFUNCTION("""COMPUTED_VALUE"""),359666.3916874999)</f>
        <v>359666.3917</v>
      </c>
      <c r="G5196" s="22">
        <f>IFERROR(__xludf.DUMMYFUNCTION("""COMPUTED_VALUE"""),0.0)</f>
        <v>0</v>
      </c>
      <c r="H5196" s="22">
        <f>IFERROR(__xludf.DUMMYFUNCTION("""COMPUTED_VALUE"""),510143.9217215)</f>
        <v>510143.9217</v>
      </c>
      <c r="I5196" s="24">
        <f>IFERROR(__xludf.DUMMYFUNCTION("""COMPUTED_VALUE"""),0.020287843443000053)</f>
        <v>0.02028784344</v>
      </c>
    </row>
    <row r="5197">
      <c r="A5197" s="5" t="str">
        <f>IFERROR(__xludf.DUMMYFUNCTION("""COMPUTED_VALUE"""),"74356")</f>
        <v>74356</v>
      </c>
      <c r="B5197" s="64">
        <f>IFERROR(__xludf.DUMMYFUNCTION("""COMPUTED_VALUE"""),44630.0)</f>
        <v>44630</v>
      </c>
      <c r="C5197" s="5"/>
      <c r="D5197" s="5"/>
      <c r="E5197" s="5"/>
      <c r="F5197" s="22">
        <f>IFERROR(__xludf.DUMMYFUNCTION("""COMPUTED_VALUE"""),359666.3916874999)</f>
        <v>359666.3917</v>
      </c>
      <c r="G5197" s="22">
        <f>IFERROR(__xludf.DUMMYFUNCTION("""COMPUTED_VALUE"""),0.0)</f>
        <v>0</v>
      </c>
      <c r="H5197" s="22">
        <f>IFERROR(__xludf.DUMMYFUNCTION("""COMPUTED_VALUE"""),506840.33961250004)</f>
        <v>506840.3396</v>
      </c>
      <c r="I5197" s="24">
        <f>IFERROR(__xludf.DUMMYFUNCTION("""COMPUTED_VALUE"""),0.013680679225000159)</f>
        <v>0.01368067923</v>
      </c>
    </row>
    <row r="5198">
      <c r="A5198" s="5" t="str">
        <f>IFERROR(__xludf.DUMMYFUNCTION("""COMPUTED_VALUE"""),"74356")</f>
        <v>74356</v>
      </c>
      <c r="B5198" s="64">
        <f>IFERROR(__xludf.DUMMYFUNCTION("""COMPUTED_VALUE"""),44631.0)</f>
        <v>44631</v>
      </c>
      <c r="C5198" s="5"/>
      <c r="D5198" s="5"/>
      <c r="E5198" s="5"/>
      <c r="F5198" s="22">
        <f>IFERROR(__xludf.DUMMYFUNCTION("""COMPUTED_VALUE"""),359666.3916874999)</f>
        <v>359666.3917</v>
      </c>
      <c r="G5198" s="22">
        <f>IFERROR(__xludf.DUMMYFUNCTION("""COMPUTED_VALUE"""),0.0)</f>
        <v>0</v>
      </c>
      <c r="H5198" s="22">
        <f>IFERROR(__xludf.DUMMYFUNCTION("""COMPUTED_VALUE"""),508327.0574455)</f>
        <v>508327.0574</v>
      </c>
      <c r="I5198" s="24">
        <f>IFERROR(__xludf.DUMMYFUNCTION("""COMPUTED_VALUE"""),0.016654114890999994)</f>
        <v>0.01665411489</v>
      </c>
    </row>
    <row r="5199">
      <c r="A5199" s="5" t="str">
        <f>IFERROR(__xludf.DUMMYFUNCTION("""COMPUTED_VALUE"""),"74356")</f>
        <v>74356</v>
      </c>
      <c r="B5199" s="64">
        <f>IFERROR(__xludf.DUMMYFUNCTION("""COMPUTED_VALUE"""),44632.0)</f>
        <v>44632</v>
      </c>
      <c r="C5199" s="5"/>
      <c r="D5199" s="5"/>
      <c r="E5199" s="5"/>
      <c r="F5199" s="22">
        <f>IFERROR(__xludf.DUMMYFUNCTION("""COMPUTED_VALUE"""),359666.3916874999)</f>
        <v>359666.3917</v>
      </c>
      <c r="G5199" s="22">
        <f>IFERROR(__xludf.DUMMYFUNCTION("""COMPUTED_VALUE"""),0.0)</f>
        <v>0</v>
      </c>
      <c r="H5199" s="22">
        <f>IFERROR(__xludf.DUMMYFUNCTION("""COMPUTED_VALUE"""),508327.0574455)</f>
        <v>508327.0574</v>
      </c>
      <c r="I5199" s="24">
        <f>IFERROR(__xludf.DUMMYFUNCTION("""COMPUTED_VALUE"""),0.016654114890999994)</f>
        <v>0.01665411489</v>
      </c>
    </row>
    <row r="5200">
      <c r="A5200" s="5" t="str">
        <f>IFERROR(__xludf.DUMMYFUNCTION("""COMPUTED_VALUE"""),"74356")</f>
        <v>74356</v>
      </c>
      <c r="B5200" s="64">
        <f>IFERROR(__xludf.DUMMYFUNCTION("""COMPUTED_VALUE"""),44633.0)</f>
        <v>44633</v>
      </c>
      <c r="C5200" s="5"/>
      <c r="D5200" s="5"/>
      <c r="E5200" s="5"/>
      <c r="F5200" s="22">
        <f>IFERROR(__xludf.DUMMYFUNCTION("""COMPUTED_VALUE"""),359666.3916874999)</f>
        <v>359666.3917</v>
      </c>
      <c r="G5200" s="22">
        <f>IFERROR(__xludf.DUMMYFUNCTION("""COMPUTED_VALUE"""),0.0)</f>
        <v>0</v>
      </c>
      <c r="H5200" s="22">
        <f>IFERROR(__xludf.DUMMYFUNCTION("""COMPUTED_VALUE"""),508327.0574455)</f>
        <v>508327.0574</v>
      </c>
      <c r="I5200" s="24">
        <f>IFERROR(__xludf.DUMMYFUNCTION("""COMPUTED_VALUE"""),0.016654114890999994)</f>
        <v>0.01665411489</v>
      </c>
    </row>
    <row r="5201">
      <c r="A5201" s="5" t="str">
        <f>IFERROR(__xludf.DUMMYFUNCTION("""COMPUTED_VALUE"""),"74356")</f>
        <v>74356</v>
      </c>
      <c r="B5201" s="64">
        <f>IFERROR(__xludf.DUMMYFUNCTION("""COMPUTED_VALUE"""),44634.0)</f>
        <v>44634</v>
      </c>
      <c r="C5201" s="5"/>
      <c r="D5201" s="5"/>
      <c r="E5201" s="5"/>
      <c r="F5201" s="22">
        <f>IFERROR(__xludf.DUMMYFUNCTION("""COMPUTED_VALUE"""),359666.3916874999)</f>
        <v>359666.3917</v>
      </c>
      <c r="G5201" s="22">
        <f>IFERROR(__xludf.DUMMYFUNCTION("""COMPUTED_VALUE"""),0.0)</f>
        <v>0</v>
      </c>
      <c r="H5201" s="22">
        <f>IFERROR(__xludf.DUMMYFUNCTION("""COMPUTED_VALUE"""),493964.033329)</f>
        <v>493964.0333</v>
      </c>
      <c r="I5201" s="24">
        <f>IFERROR(__xludf.DUMMYFUNCTION("""COMPUTED_VALUE"""),-0.012071933341999963)</f>
        <v>-0.01207193334</v>
      </c>
    </row>
    <row r="5202">
      <c r="A5202" s="5" t="str">
        <f>IFERROR(__xludf.DUMMYFUNCTION("""COMPUTED_VALUE"""),"74356")</f>
        <v>74356</v>
      </c>
      <c r="B5202" s="64">
        <f>IFERROR(__xludf.DUMMYFUNCTION("""COMPUTED_VALUE"""),44635.0)</f>
        <v>44635</v>
      </c>
      <c r="C5202" s="5"/>
      <c r="D5202" s="5"/>
      <c r="E5202" s="5"/>
      <c r="F5202" s="22">
        <f>IFERROR(__xludf.DUMMYFUNCTION("""COMPUTED_VALUE"""),379565.9161524999)</f>
        <v>379565.9162</v>
      </c>
      <c r="G5202" s="22">
        <f>IFERROR(__xludf.DUMMYFUNCTION("""COMPUTED_VALUE"""),0.0)</f>
        <v>0</v>
      </c>
      <c r="H5202" s="22">
        <f>IFERROR(__xludf.DUMMYFUNCTION("""COMPUTED_VALUE"""),489845.99569600006)</f>
        <v>489845.9957</v>
      </c>
      <c r="I5202" s="24">
        <f>IFERROR(__xludf.DUMMYFUNCTION("""COMPUTED_VALUE"""),-0.02030800860799986)</f>
        <v>-0.02030800861</v>
      </c>
    </row>
    <row r="5203">
      <c r="A5203" s="5" t="str">
        <f>IFERROR(__xludf.DUMMYFUNCTION("""COMPUTED_VALUE"""),"74356")</f>
        <v>74356</v>
      </c>
      <c r="B5203" s="64">
        <f>IFERROR(__xludf.DUMMYFUNCTION("""COMPUTED_VALUE"""),44636.0)</f>
        <v>44636</v>
      </c>
      <c r="C5203" s="5"/>
      <c r="D5203" s="5"/>
      <c r="E5203" s="5"/>
      <c r="F5203" s="22">
        <f>IFERROR(__xludf.DUMMYFUNCTION("""COMPUTED_VALUE"""),379565.9161524999)</f>
        <v>379565.9162</v>
      </c>
      <c r="G5203" s="22">
        <f>IFERROR(__xludf.DUMMYFUNCTION("""COMPUTED_VALUE"""),0.0)</f>
        <v>0</v>
      </c>
      <c r="H5203" s="22">
        <f>IFERROR(__xludf.DUMMYFUNCTION("""COMPUTED_VALUE"""),493714.2992465001)</f>
        <v>493714.2992</v>
      </c>
      <c r="I5203" s="24">
        <f>IFERROR(__xludf.DUMMYFUNCTION("""COMPUTED_VALUE"""),-0.012571401506999869)</f>
        <v>-0.01257140151</v>
      </c>
    </row>
    <row r="5204">
      <c r="A5204" s="5" t="str">
        <f>IFERROR(__xludf.DUMMYFUNCTION("""COMPUTED_VALUE"""),"74356")</f>
        <v>74356</v>
      </c>
      <c r="B5204" s="64">
        <f>IFERROR(__xludf.DUMMYFUNCTION("""COMPUTED_VALUE"""),44637.0)</f>
        <v>44637</v>
      </c>
      <c r="C5204" s="5"/>
      <c r="D5204" s="5"/>
      <c r="E5204" s="5"/>
      <c r="F5204" s="22">
        <f>IFERROR(__xludf.DUMMYFUNCTION("""COMPUTED_VALUE"""),379565.9161524999)</f>
        <v>379565.9162</v>
      </c>
      <c r="G5204" s="22">
        <f>IFERROR(__xludf.DUMMYFUNCTION("""COMPUTED_VALUE"""),0.0)</f>
        <v>0</v>
      </c>
      <c r="H5204" s="22">
        <f>IFERROR(__xludf.DUMMYFUNCTION("""COMPUTED_VALUE"""),503534.5077315)</f>
        <v>503534.5077</v>
      </c>
      <c r="I5204" s="24">
        <f>IFERROR(__xludf.DUMMYFUNCTION("""COMPUTED_VALUE"""),0.0070690154629999835)</f>
        <v>0.007069015463</v>
      </c>
    </row>
    <row r="5205">
      <c r="A5205" s="5" t="str">
        <f>IFERROR(__xludf.DUMMYFUNCTION("""COMPUTED_VALUE"""),"74356")</f>
        <v>74356</v>
      </c>
      <c r="B5205" s="64">
        <f>IFERROR(__xludf.DUMMYFUNCTION("""COMPUTED_VALUE"""),44638.0)</f>
        <v>44638</v>
      </c>
      <c r="C5205" s="5"/>
      <c r="D5205" s="5"/>
      <c r="E5205" s="5"/>
      <c r="F5205" s="22">
        <f>IFERROR(__xludf.DUMMYFUNCTION("""COMPUTED_VALUE"""),379565.9161524999)</f>
        <v>379565.9162</v>
      </c>
      <c r="G5205" s="22">
        <f>IFERROR(__xludf.DUMMYFUNCTION("""COMPUTED_VALUE"""),0.0)</f>
        <v>0</v>
      </c>
      <c r="H5205" s="22">
        <f>IFERROR(__xludf.DUMMYFUNCTION("""COMPUTED_VALUE"""),500757.6131335001)</f>
        <v>500757.6131</v>
      </c>
      <c r="I5205" s="24">
        <f>IFERROR(__xludf.DUMMYFUNCTION("""COMPUTED_VALUE"""),0.0015152262670001804)</f>
        <v>0.001515226267</v>
      </c>
    </row>
    <row r="5206">
      <c r="A5206" s="5" t="str">
        <f>IFERROR(__xludf.DUMMYFUNCTION("""COMPUTED_VALUE"""),"74356")</f>
        <v>74356</v>
      </c>
      <c r="B5206" s="64">
        <f>IFERROR(__xludf.DUMMYFUNCTION("""COMPUTED_VALUE"""),44639.0)</f>
        <v>44639</v>
      </c>
      <c r="C5206" s="5"/>
      <c r="D5206" s="5"/>
      <c r="E5206" s="5"/>
      <c r="F5206" s="22">
        <f>IFERROR(__xludf.DUMMYFUNCTION("""COMPUTED_VALUE"""),379565.9161524999)</f>
        <v>379565.9162</v>
      </c>
      <c r="G5206" s="22">
        <f>IFERROR(__xludf.DUMMYFUNCTION("""COMPUTED_VALUE"""),0.0)</f>
        <v>0</v>
      </c>
      <c r="H5206" s="22">
        <f>IFERROR(__xludf.DUMMYFUNCTION("""COMPUTED_VALUE"""),500757.6131335001)</f>
        <v>500757.6131</v>
      </c>
      <c r="I5206" s="24">
        <f>IFERROR(__xludf.DUMMYFUNCTION("""COMPUTED_VALUE"""),0.0015152262670001804)</f>
        <v>0.001515226267</v>
      </c>
    </row>
    <row r="5207">
      <c r="A5207" s="5" t="str">
        <f>IFERROR(__xludf.DUMMYFUNCTION("""COMPUTED_VALUE"""),"74356")</f>
        <v>74356</v>
      </c>
      <c r="B5207" s="64">
        <f>IFERROR(__xludf.DUMMYFUNCTION("""COMPUTED_VALUE"""),44640.0)</f>
        <v>44640</v>
      </c>
      <c r="C5207" s="5"/>
      <c r="D5207" s="5"/>
      <c r="E5207" s="5"/>
      <c r="F5207" s="22">
        <f>IFERROR(__xludf.DUMMYFUNCTION("""COMPUTED_VALUE"""),379565.9161524999)</f>
        <v>379565.9162</v>
      </c>
      <c r="G5207" s="22">
        <f>IFERROR(__xludf.DUMMYFUNCTION("""COMPUTED_VALUE"""),0.0)</f>
        <v>0</v>
      </c>
      <c r="H5207" s="22">
        <f>IFERROR(__xludf.DUMMYFUNCTION("""COMPUTED_VALUE"""),500757.6131335001)</f>
        <v>500757.6131</v>
      </c>
      <c r="I5207" s="24">
        <f>IFERROR(__xludf.DUMMYFUNCTION("""COMPUTED_VALUE"""),0.0015152262670001804)</f>
        <v>0.001515226267</v>
      </c>
    </row>
    <row r="5208">
      <c r="A5208" s="5" t="str">
        <f>IFERROR(__xludf.DUMMYFUNCTION("""COMPUTED_VALUE"""),"74356")</f>
        <v>74356</v>
      </c>
      <c r="B5208" s="64">
        <f>IFERROR(__xludf.DUMMYFUNCTION("""COMPUTED_VALUE"""),44641.0)</f>
        <v>44641</v>
      </c>
      <c r="C5208" s="5"/>
      <c r="D5208" s="5"/>
      <c r="E5208" s="5"/>
      <c r="F5208" s="22">
        <f>IFERROR(__xludf.DUMMYFUNCTION("""COMPUTED_VALUE"""),379565.9161524999)</f>
        <v>379565.9162</v>
      </c>
      <c r="G5208" s="22">
        <f>IFERROR(__xludf.DUMMYFUNCTION("""COMPUTED_VALUE"""),0.0)</f>
        <v>0</v>
      </c>
      <c r="H5208" s="22">
        <f>IFERROR(__xludf.DUMMYFUNCTION("""COMPUTED_VALUE"""),508653.33492500015)</f>
        <v>508653.3349</v>
      </c>
      <c r="I5208" s="24">
        <f>IFERROR(__xludf.DUMMYFUNCTION("""COMPUTED_VALUE"""),0.0173066698500004)</f>
        <v>0.01730666985</v>
      </c>
    </row>
    <row r="5209">
      <c r="A5209" s="5" t="str">
        <f>IFERROR(__xludf.DUMMYFUNCTION("""COMPUTED_VALUE"""),"74356")</f>
        <v>74356</v>
      </c>
      <c r="B5209" s="64">
        <f>IFERROR(__xludf.DUMMYFUNCTION("""COMPUTED_VALUE"""),44642.0)</f>
        <v>44642</v>
      </c>
      <c r="C5209" s="5"/>
      <c r="D5209" s="5"/>
      <c r="E5209" s="5"/>
      <c r="F5209" s="22">
        <f>IFERROR(__xludf.DUMMYFUNCTION("""COMPUTED_VALUE"""),379565.9161524999)</f>
        <v>379565.9162</v>
      </c>
      <c r="G5209" s="22">
        <f>IFERROR(__xludf.DUMMYFUNCTION("""COMPUTED_VALUE"""),0.0)</f>
        <v>0</v>
      </c>
      <c r="H5209" s="22">
        <f>IFERROR(__xludf.DUMMYFUNCTION("""COMPUTED_VALUE"""),508980.3777615)</f>
        <v>508980.3778</v>
      </c>
      <c r="I5209" s="24">
        <f>IFERROR(__xludf.DUMMYFUNCTION("""COMPUTED_VALUE"""),0.017960755523000138)</f>
        <v>0.01796075552</v>
      </c>
    </row>
    <row r="5210">
      <c r="A5210" s="5" t="str">
        <f>IFERROR(__xludf.DUMMYFUNCTION("""COMPUTED_VALUE"""),"74356")</f>
        <v>74356</v>
      </c>
      <c r="B5210" s="64">
        <f>IFERROR(__xludf.DUMMYFUNCTION("""COMPUTED_VALUE"""),44643.0)</f>
        <v>44643</v>
      </c>
      <c r="C5210" s="5"/>
      <c r="D5210" s="5"/>
      <c r="E5210" s="5"/>
      <c r="F5210" s="22">
        <f>IFERROR(__xludf.DUMMYFUNCTION("""COMPUTED_VALUE"""),379565.9161524999)</f>
        <v>379565.9162</v>
      </c>
      <c r="G5210" s="22">
        <f>IFERROR(__xludf.DUMMYFUNCTION("""COMPUTED_VALUE"""),0.0)</f>
        <v>0</v>
      </c>
      <c r="H5210" s="22">
        <f>IFERROR(__xludf.DUMMYFUNCTION("""COMPUTED_VALUE"""),507035.62823100004)</f>
        <v>507035.6282</v>
      </c>
      <c r="I5210" s="24">
        <f>IFERROR(__xludf.DUMMYFUNCTION("""COMPUTED_VALUE"""),0.014071256462000026)</f>
        <v>0.01407125646</v>
      </c>
    </row>
    <row r="5211">
      <c r="A5211" s="5" t="str">
        <f>IFERROR(__xludf.DUMMYFUNCTION("""COMPUTED_VALUE"""),"74356")</f>
        <v>74356</v>
      </c>
      <c r="B5211" s="64">
        <f>IFERROR(__xludf.DUMMYFUNCTION("""COMPUTED_VALUE"""),44644.0)</f>
        <v>44644</v>
      </c>
      <c r="C5211" s="5"/>
      <c r="D5211" s="5"/>
      <c r="E5211" s="5"/>
      <c r="F5211" s="22">
        <f>IFERROR(__xludf.DUMMYFUNCTION("""COMPUTED_VALUE"""),379565.9161524999)</f>
        <v>379565.9162</v>
      </c>
      <c r="G5211" s="22">
        <f>IFERROR(__xludf.DUMMYFUNCTION("""COMPUTED_VALUE"""),0.0)</f>
        <v>0</v>
      </c>
      <c r="H5211" s="22">
        <f>IFERROR(__xludf.DUMMYFUNCTION("""COMPUTED_VALUE"""),511669.4832335)</f>
        <v>511669.4832</v>
      </c>
      <c r="I5211" s="24">
        <f>IFERROR(__xludf.DUMMYFUNCTION("""COMPUTED_VALUE"""),0.023338966467000066)</f>
        <v>0.02333896647</v>
      </c>
    </row>
    <row r="5212">
      <c r="A5212" s="5" t="str">
        <f>IFERROR(__xludf.DUMMYFUNCTION("""COMPUTED_VALUE"""),"74356")</f>
        <v>74356</v>
      </c>
      <c r="B5212" s="64">
        <f>IFERROR(__xludf.DUMMYFUNCTION("""COMPUTED_VALUE"""),44645.0)</f>
        <v>44645</v>
      </c>
      <c r="C5212" s="5"/>
      <c r="D5212" s="5"/>
      <c r="E5212" s="5"/>
      <c r="F5212" s="22">
        <f>IFERROR(__xludf.DUMMYFUNCTION("""COMPUTED_VALUE"""),379565.9161524999)</f>
        <v>379565.9162</v>
      </c>
      <c r="G5212" s="22">
        <f>IFERROR(__xludf.DUMMYFUNCTION("""COMPUTED_VALUE"""),0.0)</f>
        <v>0</v>
      </c>
      <c r="H5212" s="22">
        <f>IFERROR(__xludf.DUMMYFUNCTION("""COMPUTED_VALUE"""),518692.933087)</f>
        <v>518692.9331</v>
      </c>
      <c r="I5212" s="24">
        <f>IFERROR(__xludf.DUMMYFUNCTION("""COMPUTED_VALUE"""),0.03738586617399986)</f>
        <v>0.03738586617</v>
      </c>
    </row>
    <row r="5213">
      <c r="A5213" s="5" t="str">
        <f>IFERROR(__xludf.DUMMYFUNCTION("""COMPUTED_VALUE"""),"74356")</f>
        <v>74356</v>
      </c>
      <c r="B5213" s="64">
        <f>IFERROR(__xludf.DUMMYFUNCTION("""COMPUTED_VALUE"""),44646.0)</f>
        <v>44646</v>
      </c>
      <c r="C5213" s="5"/>
      <c r="D5213" s="5"/>
      <c r="E5213" s="5"/>
      <c r="F5213" s="22">
        <f>IFERROR(__xludf.DUMMYFUNCTION("""COMPUTED_VALUE"""),379565.9161524999)</f>
        <v>379565.9162</v>
      </c>
      <c r="G5213" s="22">
        <f>IFERROR(__xludf.DUMMYFUNCTION("""COMPUTED_VALUE"""),0.0)</f>
        <v>0</v>
      </c>
      <c r="H5213" s="22">
        <f>IFERROR(__xludf.DUMMYFUNCTION("""COMPUTED_VALUE"""),518692.933087)</f>
        <v>518692.9331</v>
      </c>
      <c r="I5213" s="24">
        <f>IFERROR(__xludf.DUMMYFUNCTION("""COMPUTED_VALUE"""),0.03738586617399986)</f>
        <v>0.03738586617</v>
      </c>
    </row>
    <row r="5214">
      <c r="A5214" s="5" t="str">
        <f>IFERROR(__xludf.DUMMYFUNCTION("""COMPUTED_VALUE"""),"74356")</f>
        <v>74356</v>
      </c>
      <c r="B5214" s="64">
        <f>IFERROR(__xludf.DUMMYFUNCTION("""COMPUTED_VALUE"""),44647.0)</f>
        <v>44647</v>
      </c>
      <c r="C5214" s="5"/>
      <c r="D5214" s="5"/>
      <c r="E5214" s="5"/>
      <c r="F5214" s="22">
        <f>IFERROR(__xludf.DUMMYFUNCTION("""COMPUTED_VALUE"""),379565.9161524999)</f>
        <v>379565.9162</v>
      </c>
      <c r="G5214" s="22">
        <f>IFERROR(__xludf.DUMMYFUNCTION("""COMPUTED_VALUE"""),0.0)</f>
        <v>0</v>
      </c>
      <c r="H5214" s="22">
        <f>IFERROR(__xludf.DUMMYFUNCTION("""COMPUTED_VALUE"""),518692.933087)</f>
        <v>518692.9331</v>
      </c>
      <c r="I5214" s="24">
        <f>IFERROR(__xludf.DUMMYFUNCTION("""COMPUTED_VALUE"""),0.03738586617399986)</f>
        <v>0.03738586617</v>
      </c>
    </row>
    <row r="5215">
      <c r="A5215" s="5" t="str">
        <f>IFERROR(__xludf.DUMMYFUNCTION("""COMPUTED_VALUE"""),"74356")</f>
        <v>74356</v>
      </c>
      <c r="B5215" s="64">
        <f>IFERROR(__xludf.DUMMYFUNCTION("""COMPUTED_VALUE"""),44648.0)</f>
        <v>44648</v>
      </c>
      <c r="C5215" s="5"/>
      <c r="D5215" s="5"/>
      <c r="E5215" s="5"/>
      <c r="F5215" s="22">
        <f>IFERROR(__xludf.DUMMYFUNCTION("""COMPUTED_VALUE"""),379565.9161524999)</f>
        <v>379565.9162</v>
      </c>
      <c r="G5215" s="22">
        <f>IFERROR(__xludf.DUMMYFUNCTION("""COMPUTED_VALUE"""),0.0)</f>
        <v>0</v>
      </c>
      <c r="H5215" s="22">
        <f>IFERROR(__xludf.DUMMYFUNCTION("""COMPUTED_VALUE"""),519599.4228895001)</f>
        <v>519599.4229</v>
      </c>
      <c r="I5215" s="24">
        <f>IFERROR(__xludf.DUMMYFUNCTION("""COMPUTED_VALUE"""),0.039198845779000235)</f>
        <v>0.03919884578</v>
      </c>
    </row>
    <row r="5216">
      <c r="A5216" s="5" t="str">
        <f>IFERROR(__xludf.DUMMYFUNCTION("""COMPUTED_VALUE"""),"74356")</f>
        <v>74356</v>
      </c>
      <c r="B5216" s="64">
        <f>IFERROR(__xludf.DUMMYFUNCTION("""COMPUTED_VALUE"""),44649.0)</f>
        <v>44649</v>
      </c>
      <c r="C5216" s="5"/>
      <c r="D5216" s="5"/>
      <c r="E5216" s="5"/>
      <c r="F5216" s="22">
        <f>IFERROR(__xludf.DUMMYFUNCTION("""COMPUTED_VALUE"""),379565.9161524999)</f>
        <v>379565.9162</v>
      </c>
      <c r="G5216" s="22">
        <f>IFERROR(__xludf.DUMMYFUNCTION("""COMPUTED_VALUE"""),0.0)</f>
        <v>0</v>
      </c>
      <c r="H5216" s="22">
        <f>IFERROR(__xludf.DUMMYFUNCTION("""COMPUTED_VALUE"""),514736.22585550003)</f>
        <v>514736.2259</v>
      </c>
      <c r="I5216" s="24">
        <f>IFERROR(__xludf.DUMMYFUNCTION("""COMPUTED_VALUE"""),0.029472451711000103)</f>
        <v>0.02947245171</v>
      </c>
    </row>
    <row r="5217">
      <c r="A5217" s="5" t="str">
        <f>IFERROR(__xludf.DUMMYFUNCTION("""COMPUTED_VALUE"""),"74356")</f>
        <v>74356</v>
      </c>
      <c r="B5217" s="64">
        <f>IFERROR(__xludf.DUMMYFUNCTION("""COMPUTED_VALUE"""),44650.0)</f>
        <v>44650</v>
      </c>
      <c r="C5217" s="5"/>
      <c r="D5217" s="5"/>
      <c r="E5217" s="5"/>
      <c r="F5217" s="22">
        <f>IFERROR(__xludf.DUMMYFUNCTION("""COMPUTED_VALUE"""),379565.9161524999)</f>
        <v>379565.9162</v>
      </c>
      <c r="G5217" s="22">
        <f>IFERROR(__xludf.DUMMYFUNCTION("""COMPUTED_VALUE"""),0.0)</f>
        <v>0</v>
      </c>
      <c r="H5217" s="22">
        <f>IFERROR(__xludf.DUMMYFUNCTION("""COMPUTED_VALUE"""),517497.8456425001)</f>
        <v>517497.8456</v>
      </c>
      <c r="I5217" s="24">
        <f>IFERROR(__xludf.DUMMYFUNCTION("""COMPUTED_VALUE"""),0.03499569128500024)</f>
        <v>0.03499569129</v>
      </c>
    </row>
    <row r="5218">
      <c r="A5218" s="5" t="str">
        <f>IFERROR(__xludf.DUMMYFUNCTION("""COMPUTED_VALUE"""),"74356")</f>
        <v>74356</v>
      </c>
      <c r="B5218" s="64">
        <f>IFERROR(__xludf.DUMMYFUNCTION("""COMPUTED_VALUE"""),44651.0)</f>
        <v>44651</v>
      </c>
      <c r="C5218" s="5"/>
      <c r="D5218" s="5"/>
      <c r="E5218" s="5"/>
      <c r="F5218" s="22">
        <f>IFERROR(__xludf.DUMMYFUNCTION("""COMPUTED_VALUE"""),379565.9161524999)</f>
        <v>379565.9162</v>
      </c>
      <c r="G5218" s="22">
        <f>IFERROR(__xludf.DUMMYFUNCTION("""COMPUTED_VALUE"""),0.0)</f>
        <v>0</v>
      </c>
      <c r="H5218" s="22">
        <f>IFERROR(__xludf.DUMMYFUNCTION("""COMPUTED_VALUE"""),512408.61328750016)</f>
        <v>512408.6133</v>
      </c>
      <c r="I5218" s="24">
        <f>IFERROR(__xludf.DUMMYFUNCTION("""COMPUTED_VALUE"""),0.024817226575000406)</f>
        <v>0.02481722658</v>
      </c>
    </row>
    <row r="5219">
      <c r="A5219" s="5" t="str">
        <f>IFERROR(__xludf.DUMMYFUNCTION("""COMPUTED_VALUE"""),"74356")</f>
        <v>74356</v>
      </c>
      <c r="B5219" s="64">
        <f>IFERROR(__xludf.DUMMYFUNCTION("""COMPUTED_VALUE"""),44652.0)</f>
        <v>44652</v>
      </c>
      <c r="C5219" s="5"/>
      <c r="D5219" s="5"/>
      <c r="E5219" s="5"/>
      <c r="F5219" s="22">
        <f>IFERROR(__xludf.DUMMYFUNCTION("""COMPUTED_VALUE"""),379565.9161524999)</f>
        <v>379565.9162</v>
      </c>
      <c r="G5219" s="22">
        <f>IFERROR(__xludf.DUMMYFUNCTION("""COMPUTED_VALUE"""),0.0)</f>
        <v>0</v>
      </c>
      <c r="H5219" s="22">
        <f>IFERROR(__xludf.DUMMYFUNCTION("""COMPUTED_VALUE"""),511310.95455)</f>
        <v>511310.9546</v>
      </c>
      <c r="I5219" s="24">
        <f>IFERROR(__xludf.DUMMYFUNCTION("""COMPUTED_VALUE"""),0.02262190909999995)</f>
        <v>0.0226219091</v>
      </c>
    </row>
    <row r="5220">
      <c r="A5220" s="5" t="str">
        <f>IFERROR(__xludf.DUMMYFUNCTION("""COMPUTED_VALUE"""),"74356")</f>
        <v>74356</v>
      </c>
      <c r="B5220" s="64">
        <f>IFERROR(__xludf.DUMMYFUNCTION("""COMPUTED_VALUE"""),44653.0)</f>
        <v>44653</v>
      </c>
      <c r="C5220" s="5"/>
      <c r="D5220" s="5"/>
      <c r="E5220" s="5"/>
      <c r="F5220" s="22">
        <f>IFERROR(__xludf.DUMMYFUNCTION("""COMPUTED_VALUE"""),379565.9161524999)</f>
        <v>379565.9162</v>
      </c>
      <c r="G5220" s="22">
        <f>IFERROR(__xludf.DUMMYFUNCTION("""COMPUTED_VALUE"""),0.0)</f>
        <v>0</v>
      </c>
      <c r="H5220" s="22">
        <f>IFERROR(__xludf.DUMMYFUNCTION("""COMPUTED_VALUE"""),511310.95455)</f>
        <v>511310.9546</v>
      </c>
      <c r="I5220" s="24">
        <f>IFERROR(__xludf.DUMMYFUNCTION("""COMPUTED_VALUE"""),0.02262190909999995)</f>
        <v>0.0226219091</v>
      </c>
    </row>
    <row r="5221">
      <c r="A5221" s="5" t="str">
        <f>IFERROR(__xludf.DUMMYFUNCTION("""COMPUTED_VALUE"""),"74356")</f>
        <v>74356</v>
      </c>
      <c r="B5221" s="64">
        <f>IFERROR(__xludf.DUMMYFUNCTION("""COMPUTED_VALUE"""),44654.0)</f>
        <v>44654</v>
      </c>
      <c r="C5221" s="5"/>
      <c r="D5221" s="5"/>
      <c r="E5221" s="5"/>
      <c r="F5221" s="22">
        <f>IFERROR(__xludf.DUMMYFUNCTION("""COMPUTED_VALUE"""),379565.9161524999)</f>
        <v>379565.9162</v>
      </c>
      <c r="G5221" s="22">
        <f>IFERROR(__xludf.DUMMYFUNCTION("""COMPUTED_VALUE"""),0.0)</f>
        <v>0</v>
      </c>
      <c r="H5221" s="22">
        <f>IFERROR(__xludf.DUMMYFUNCTION("""COMPUTED_VALUE"""),511310.95455)</f>
        <v>511310.9546</v>
      </c>
      <c r="I5221" s="24">
        <f>IFERROR(__xludf.DUMMYFUNCTION("""COMPUTED_VALUE"""),0.02262190909999995)</f>
        <v>0.0226219091</v>
      </c>
    </row>
    <row r="5222">
      <c r="A5222" s="5" t="str">
        <f>IFERROR(__xludf.DUMMYFUNCTION("""COMPUTED_VALUE"""),"74356")</f>
        <v>74356</v>
      </c>
      <c r="B5222" s="64">
        <f>IFERROR(__xludf.DUMMYFUNCTION("""COMPUTED_VALUE"""),44655.0)</f>
        <v>44655</v>
      </c>
      <c r="C5222" s="5"/>
      <c r="D5222" s="5"/>
      <c r="E5222" s="5"/>
      <c r="F5222" s="22">
        <f>IFERROR(__xludf.DUMMYFUNCTION("""COMPUTED_VALUE"""),379565.9161524999)</f>
        <v>379565.9162</v>
      </c>
      <c r="G5222" s="22">
        <f>IFERROR(__xludf.DUMMYFUNCTION("""COMPUTED_VALUE"""),0.0)</f>
        <v>0</v>
      </c>
      <c r="H5222" s="22">
        <f>IFERROR(__xludf.DUMMYFUNCTION("""COMPUTED_VALUE"""),504242.4252575001)</f>
        <v>504242.4253</v>
      </c>
      <c r="I5222" s="24">
        <f>IFERROR(__xludf.DUMMYFUNCTION("""COMPUTED_VALUE"""),0.008484850515000142)</f>
        <v>0.008484850515</v>
      </c>
    </row>
    <row r="5223">
      <c r="A5223" s="5" t="str">
        <f>IFERROR(__xludf.DUMMYFUNCTION("""COMPUTED_VALUE"""),"74356")</f>
        <v>74356</v>
      </c>
      <c r="B5223" s="64">
        <f>IFERROR(__xludf.DUMMYFUNCTION("""COMPUTED_VALUE"""),44656.0)</f>
        <v>44656</v>
      </c>
      <c r="C5223" s="5"/>
      <c r="D5223" s="5"/>
      <c r="E5223" s="5"/>
      <c r="F5223" s="22">
        <f>IFERROR(__xludf.DUMMYFUNCTION("""COMPUTED_VALUE"""),379565.9161524999)</f>
        <v>379565.9162</v>
      </c>
      <c r="G5223" s="22">
        <f>IFERROR(__xludf.DUMMYFUNCTION("""COMPUTED_VALUE"""),0.0)</f>
        <v>0</v>
      </c>
      <c r="H5223" s="22">
        <f>IFERROR(__xludf.DUMMYFUNCTION("""COMPUTED_VALUE"""),503574.06389600004)</f>
        <v>503574.0639</v>
      </c>
      <c r="I5223" s="24">
        <f>IFERROR(__xludf.DUMMYFUNCTION("""COMPUTED_VALUE"""),0.007148127792000025)</f>
        <v>0.007148127792</v>
      </c>
    </row>
    <row r="5224">
      <c r="A5224" s="5" t="str">
        <f>IFERROR(__xludf.DUMMYFUNCTION("""COMPUTED_VALUE"""),"74356")</f>
        <v>74356</v>
      </c>
      <c r="B5224" s="64">
        <f>IFERROR(__xludf.DUMMYFUNCTION("""COMPUTED_VALUE"""),44657.0)</f>
        <v>44657</v>
      </c>
      <c r="C5224" s="5"/>
      <c r="D5224" s="5"/>
      <c r="E5224" s="5"/>
      <c r="F5224" s="22">
        <f>IFERROR(__xludf.DUMMYFUNCTION("""COMPUTED_VALUE"""),379565.9161524999)</f>
        <v>379565.9162</v>
      </c>
      <c r="G5224" s="22">
        <f>IFERROR(__xludf.DUMMYFUNCTION("""COMPUTED_VALUE"""),0.0)</f>
        <v>0</v>
      </c>
      <c r="H5224" s="22">
        <f>IFERROR(__xludf.DUMMYFUNCTION("""COMPUTED_VALUE"""),501685.6580205001)</f>
        <v>501685.658</v>
      </c>
      <c r="I5224" s="24">
        <f>IFERROR(__xludf.DUMMYFUNCTION("""COMPUTED_VALUE"""),0.003371316041000272)</f>
        <v>0.003371316041</v>
      </c>
    </row>
    <row r="5225">
      <c r="A5225" s="5" t="str">
        <f>IFERROR(__xludf.DUMMYFUNCTION("""COMPUTED_VALUE"""),"74356")</f>
        <v>74356</v>
      </c>
      <c r="B5225" s="64">
        <f>IFERROR(__xludf.DUMMYFUNCTION("""COMPUTED_VALUE"""),44658.0)</f>
        <v>44658</v>
      </c>
      <c r="C5225" s="5"/>
      <c r="D5225" s="5"/>
      <c r="E5225" s="5"/>
      <c r="F5225" s="22">
        <f>IFERROR(__xludf.DUMMYFUNCTION("""COMPUTED_VALUE"""),379565.9161524999)</f>
        <v>379565.9162</v>
      </c>
      <c r="G5225" s="22">
        <f>IFERROR(__xludf.DUMMYFUNCTION("""COMPUTED_VALUE"""),0.0)</f>
        <v>0</v>
      </c>
      <c r="H5225" s="22">
        <f>IFERROR(__xludf.DUMMYFUNCTION("""COMPUTED_VALUE"""),504069.9992645001)</f>
        <v>504069.9993</v>
      </c>
      <c r="I5225" s="24">
        <f>IFERROR(__xludf.DUMMYFUNCTION("""COMPUTED_VALUE"""),0.00813999852900027)</f>
        <v>0.008139998529</v>
      </c>
    </row>
    <row r="5226">
      <c r="A5226" s="5" t="str">
        <f>IFERROR(__xludf.DUMMYFUNCTION("""COMPUTED_VALUE"""),"74356")</f>
        <v>74356</v>
      </c>
      <c r="B5226" s="64">
        <f>IFERROR(__xludf.DUMMYFUNCTION("""COMPUTED_VALUE"""),44659.0)</f>
        <v>44659</v>
      </c>
      <c r="C5226" s="5"/>
      <c r="D5226" s="5"/>
      <c r="E5226" s="5"/>
      <c r="F5226" s="22">
        <f>IFERROR(__xludf.DUMMYFUNCTION("""COMPUTED_VALUE"""),379565.9161524999)</f>
        <v>379565.9162</v>
      </c>
      <c r="G5226" s="22">
        <f>IFERROR(__xludf.DUMMYFUNCTION("""COMPUTED_VALUE"""),0.0)</f>
        <v>0</v>
      </c>
      <c r="H5226" s="22">
        <f>IFERROR(__xludf.DUMMYFUNCTION("""COMPUTED_VALUE"""),502145.3996030001)</f>
        <v>502145.3996</v>
      </c>
      <c r="I5226" s="24">
        <f>IFERROR(__xludf.DUMMYFUNCTION("""COMPUTED_VALUE"""),0.004290799206000173)</f>
        <v>0.004290799206</v>
      </c>
    </row>
    <row r="5227">
      <c r="A5227" s="5" t="str">
        <f>IFERROR(__xludf.DUMMYFUNCTION("""COMPUTED_VALUE"""),"74356")</f>
        <v>74356</v>
      </c>
      <c r="B5227" s="64">
        <f>IFERROR(__xludf.DUMMYFUNCTION("""COMPUTED_VALUE"""),44660.0)</f>
        <v>44660</v>
      </c>
      <c r="C5227" s="5"/>
      <c r="D5227" s="5"/>
      <c r="E5227" s="5"/>
      <c r="F5227" s="22">
        <f>IFERROR(__xludf.DUMMYFUNCTION("""COMPUTED_VALUE"""),379565.9161524999)</f>
        <v>379565.9162</v>
      </c>
      <c r="G5227" s="22">
        <f>IFERROR(__xludf.DUMMYFUNCTION("""COMPUTED_VALUE"""),0.0)</f>
        <v>0</v>
      </c>
      <c r="H5227" s="22">
        <f>IFERROR(__xludf.DUMMYFUNCTION("""COMPUTED_VALUE"""),502145.3996030001)</f>
        <v>502145.3996</v>
      </c>
      <c r="I5227" s="24">
        <f>IFERROR(__xludf.DUMMYFUNCTION("""COMPUTED_VALUE"""),0.004290799206000173)</f>
        <v>0.004290799206</v>
      </c>
    </row>
    <row r="5228">
      <c r="A5228" s="5" t="str">
        <f>IFERROR(__xludf.DUMMYFUNCTION("""COMPUTED_VALUE"""),"74356")</f>
        <v>74356</v>
      </c>
      <c r="B5228" s="64">
        <f>IFERROR(__xludf.DUMMYFUNCTION("""COMPUTED_VALUE"""),44661.0)</f>
        <v>44661</v>
      </c>
      <c r="C5228" s="5"/>
      <c r="D5228" s="5"/>
      <c r="E5228" s="5"/>
      <c r="F5228" s="22">
        <f>IFERROR(__xludf.DUMMYFUNCTION("""COMPUTED_VALUE"""),379565.9161524999)</f>
        <v>379565.9162</v>
      </c>
      <c r="G5228" s="22">
        <f>IFERROR(__xludf.DUMMYFUNCTION("""COMPUTED_VALUE"""),0.0)</f>
        <v>0</v>
      </c>
      <c r="H5228" s="22">
        <f>IFERROR(__xludf.DUMMYFUNCTION("""COMPUTED_VALUE"""),502145.3996030001)</f>
        <v>502145.3996</v>
      </c>
      <c r="I5228" s="24">
        <f>IFERROR(__xludf.DUMMYFUNCTION("""COMPUTED_VALUE"""),0.004290799206000173)</f>
        <v>0.004290799206</v>
      </c>
    </row>
    <row r="5229">
      <c r="A5229" s="5" t="str">
        <f>IFERROR(__xludf.DUMMYFUNCTION("""COMPUTED_VALUE"""),"74356")</f>
        <v>74356</v>
      </c>
      <c r="B5229" s="64">
        <f>IFERROR(__xludf.DUMMYFUNCTION("""COMPUTED_VALUE"""),44662.0)</f>
        <v>44662</v>
      </c>
      <c r="C5229" s="5"/>
      <c r="D5229" s="5"/>
      <c r="E5229" s="5"/>
      <c r="F5229" s="22">
        <f>IFERROR(__xludf.DUMMYFUNCTION("""COMPUTED_VALUE"""),379565.9161524999)</f>
        <v>379565.9162</v>
      </c>
      <c r="G5229" s="22">
        <f>IFERROR(__xludf.DUMMYFUNCTION("""COMPUTED_VALUE"""),0.0)</f>
        <v>0</v>
      </c>
      <c r="H5229" s="22">
        <f>IFERROR(__xludf.DUMMYFUNCTION("""COMPUTED_VALUE"""),499245.3261005)</f>
        <v>499245.3261</v>
      </c>
      <c r="I5229" s="24">
        <f>IFERROR(__xludf.DUMMYFUNCTION("""COMPUTED_VALUE"""),-0.001509347799000027)</f>
        <v>-0.001509347799</v>
      </c>
    </row>
    <row r="5230">
      <c r="A5230" s="5" t="str">
        <f>IFERROR(__xludf.DUMMYFUNCTION("""COMPUTED_VALUE"""),"74356")</f>
        <v>74356</v>
      </c>
      <c r="B5230" s="64">
        <f>IFERROR(__xludf.DUMMYFUNCTION("""COMPUTED_VALUE"""),44663.0)</f>
        <v>44663</v>
      </c>
      <c r="C5230" s="5"/>
      <c r="D5230" s="5"/>
      <c r="E5230" s="5"/>
      <c r="F5230" s="22">
        <f>IFERROR(__xludf.DUMMYFUNCTION("""COMPUTED_VALUE"""),379565.9161524999)</f>
        <v>379565.9162</v>
      </c>
      <c r="G5230" s="22">
        <f>IFERROR(__xludf.DUMMYFUNCTION("""COMPUTED_VALUE"""),0.0)</f>
        <v>0</v>
      </c>
      <c r="H5230" s="22">
        <f>IFERROR(__xludf.DUMMYFUNCTION("""COMPUTED_VALUE"""),497896.92901450006)</f>
        <v>497896.929</v>
      </c>
      <c r="I5230" s="24">
        <f>IFERROR(__xludf.DUMMYFUNCTION("""COMPUTED_VALUE"""),-0.004206141970999888)</f>
        <v>-0.004206141971</v>
      </c>
    </row>
    <row r="5231">
      <c r="A5231" s="5" t="str">
        <f>IFERROR(__xludf.DUMMYFUNCTION("""COMPUTED_VALUE"""),"74641")</f>
        <v>74641</v>
      </c>
      <c r="B5231" s="64">
        <f>IFERROR(__xludf.DUMMYFUNCTION("""COMPUTED_VALUE"""),44597.0)</f>
        <v>44597</v>
      </c>
      <c r="C5231" s="5"/>
      <c r="D5231" s="5"/>
      <c r="E5231" s="5"/>
      <c r="F5231" s="22">
        <f>IFERROR(__xludf.DUMMYFUNCTION("""COMPUTED_VALUE"""),500000.0)</f>
        <v>500000</v>
      </c>
      <c r="G5231" s="22">
        <f>IFERROR(__xludf.DUMMYFUNCTION("""COMPUTED_VALUE"""),0.0)</f>
        <v>0</v>
      </c>
      <c r="H5231" s="22">
        <f>IFERROR(__xludf.DUMMYFUNCTION("""COMPUTED_VALUE"""),500000.0)</f>
        <v>500000</v>
      </c>
      <c r="I5231" s="24">
        <f>IFERROR(__xludf.DUMMYFUNCTION("""COMPUTED_VALUE"""),0.0)</f>
        <v>0</v>
      </c>
    </row>
    <row r="5232">
      <c r="A5232" s="5" t="str">
        <f>IFERROR(__xludf.DUMMYFUNCTION("""COMPUTED_VALUE"""),"74641")</f>
        <v>74641</v>
      </c>
      <c r="B5232" s="64">
        <f>IFERROR(__xludf.DUMMYFUNCTION("""COMPUTED_VALUE"""),44598.0)</f>
        <v>44598</v>
      </c>
      <c r="C5232" s="5"/>
      <c r="D5232" s="5"/>
      <c r="E5232" s="5"/>
      <c r="F5232" s="22">
        <f>IFERROR(__xludf.DUMMYFUNCTION("""COMPUTED_VALUE"""),500000.0)</f>
        <v>500000</v>
      </c>
      <c r="G5232" s="22">
        <f>IFERROR(__xludf.DUMMYFUNCTION("""COMPUTED_VALUE"""),0.0)</f>
        <v>0</v>
      </c>
      <c r="H5232" s="22">
        <f>IFERROR(__xludf.DUMMYFUNCTION("""COMPUTED_VALUE"""),500000.0)</f>
        <v>500000</v>
      </c>
      <c r="I5232" s="24">
        <f>IFERROR(__xludf.DUMMYFUNCTION("""COMPUTED_VALUE"""),0.0)</f>
        <v>0</v>
      </c>
    </row>
    <row r="5233">
      <c r="A5233" s="5" t="str">
        <f>IFERROR(__xludf.DUMMYFUNCTION("""COMPUTED_VALUE"""),"74641")</f>
        <v>74641</v>
      </c>
      <c r="B5233" s="64">
        <f>IFERROR(__xludf.DUMMYFUNCTION("""COMPUTED_VALUE"""),44599.0)</f>
        <v>44599</v>
      </c>
      <c r="C5233" s="5"/>
      <c r="D5233" s="5"/>
      <c r="E5233" s="5"/>
      <c r="F5233" s="22">
        <f>IFERROR(__xludf.DUMMYFUNCTION("""COMPUTED_VALUE"""),500000.0)</f>
        <v>500000</v>
      </c>
      <c r="G5233" s="22">
        <f>IFERROR(__xludf.DUMMYFUNCTION("""COMPUTED_VALUE"""),0.0)</f>
        <v>0</v>
      </c>
      <c r="H5233" s="22">
        <f>IFERROR(__xludf.DUMMYFUNCTION("""COMPUTED_VALUE"""),500000.0)</f>
        <v>500000</v>
      </c>
      <c r="I5233" s="24">
        <f>IFERROR(__xludf.DUMMYFUNCTION("""COMPUTED_VALUE"""),0.0)</f>
        <v>0</v>
      </c>
    </row>
    <row r="5234">
      <c r="A5234" s="5" t="str">
        <f>IFERROR(__xludf.DUMMYFUNCTION("""COMPUTED_VALUE"""),"74641")</f>
        <v>74641</v>
      </c>
      <c r="B5234" s="64">
        <f>IFERROR(__xludf.DUMMYFUNCTION("""COMPUTED_VALUE"""),44600.0)</f>
        <v>44600</v>
      </c>
      <c r="C5234" s="5"/>
      <c r="D5234" s="5"/>
      <c r="E5234" s="5"/>
      <c r="F5234" s="22">
        <f>IFERROR(__xludf.DUMMYFUNCTION("""COMPUTED_VALUE"""),500000.0)</f>
        <v>500000</v>
      </c>
      <c r="G5234" s="22">
        <f>IFERROR(__xludf.DUMMYFUNCTION("""COMPUTED_VALUE"""),0.0)</f>
        <v>0</v>
      </c>
      <c r="H5234" s="22">
        <f>IFERROR(__xludf.DUMMYFUNCTION("""COMPUTED_VALUE"""),500000.0)</f>
        <v>500000</v>
      </c>
      <c r="I5234" s="24">
        <f>IFERROR(__xludf.DUMMYFUNCTION("""COMPUTED_VALUE"""),0.0)</f>
        <v>0</v>
      </c>
    </row>
    <row r="5235">
      <c r="A5235" s="5" t="str">
        <f>IFERROR(__xludf.DUMMYFUNCTION("""COMPUTED_VALUE"""),"74641")</f>
        <v>74641</v>
      </c>
      <c r="B5235" s="64">
        <f>IFERROR(__xludf.DUMMYFUNCTION("""COMPUTED_VALUE"""),44601.0)</f>
        <v>44601</v>
      </c>
      <c r="C5235" s="5"/>
      <c r="D5235" s="5"/>
      <c r="E5235" s="5"/>
      <c r="F5235" s="22">
        <f>IFERROR(__xludf.DUMMYFUNCTION("""COMPUTED_VALUE"""),500000.0)</f>
        <v>500000</v>
      </c>
      <c r="G5235" s="22">
        <f>IFERROR(__xludf.DUMMYFUNCTION("""COMPUTED_VALUE"""),0.0)</f>
        <v>0</v>
      </c>
      <c r="H5235" s="22">
        <f>IFERROR(__xludf.DUMMYFUNCTION("""COMPUTED_VALUE"""),500000.0)</f>
        <v>500000</v>
      </c>
      <c r="I5235" s="24">
        <f>IFERROR(__xludf.DUMMYFUNCTION("""COMPUTED_VALUE"""),0.0)</f>
        <v>0</v>
      </c>
    </row>
    <row r="5236">
      <c r="A5236" s="5" t="str">
        <f>IFERROR(__xludf.DUMMYFUNCTION("""COMPUTED_VALUE"""),"74641")</f>
        <v>74641</v>
      </c>
      <c r="B5236" s="64">
        <f>IFERROR(__xludf.DUMMYFUNCTION("""COMPUTED_VALUE"""),44602.0)</f>
        <v>44602</v>
      </c>
      <c r="C5236" s="5"/>
      <c r="D5236" s="5"/>
      <c r="E5236" s="5"/>
      <c r="F5236" s="22">
        <f>IFERROR(__xludf.DUMMYFUNCTION("""COMPUTED_VALUE"""),500000.0)</f>
        <v>500000</v>
      </c>
      <c r="G5236" s="22">
        <f>IFERROR(__xludf.DUMMYFUNCTION("""COMPUTED_VALUE"""),0.0)</f>
        <v>0</v>
      </c>
      <c r="H5236" s="22">
        <f>IFERROR(__xludf.DUMMYFUNCTION("""COMPUTED_VALUE"""),500000.0)</f>
        <v>500000</v>
      </c>
      <c r="I5236" s="24">
        <f>IFERROR(__xludf.DUMMYFUNCTION("""COMPUTED_VALUE"""),0.0)</f>
        <v>0</v>
      </c>
    </row>
    <row r="5237">
      <c r="A5237" s="5" t="str">
        <f>IFERROR(__xludf.DUMMYFUNCTION("""COMPUTED_VALUE"""),"74641")</f>
        <v>74641</v>
      </c>
      <c r="B5237" s="64">
        <f>IFERROR(__xludf.DUMMYFUNCTION("""COMPUTED_VALUE"""),44603.0)</f>
        <v>44603</v>
      </c>
      <c r="C5237" s="5"/>
      <c r="D5237" s="5"/>
      <c r="E5237" s="5"/>
      <c r="F5237" s="22">
        <f>IFERROR(__xludf.DUMMYFUNCTION("""COMPUTED_VALUE"""),500000.0)</f>
        <v>500000</v>
      </c>
      <c r="G5237" s="22">
        <f>IFERROR(__xludf.DUMMYFUNCTION("""COMPUTED_VALUE"""),0.0)</f>
        <v>0</v>
      </c>
      <c r="H5237" s="22">
        <f>IFERROR(__xludf.DUMMYFUNCTION("""COMPUTED_VALUE"""),500000.0)</f>
        <v>500000</v>
      </c>
      <c r="I5237" s="24">
        <f>IFERROR(__xludf.DUMMYFUNCTION("""COMPUTED_VALUE"""),0.0)</f>
        <v>0</v>
      </c>
    </row>
    <row r="5238">
      <c r="A5238" s="5" t="str">
        <f>IFERROR(__xludf.DUMMYFUNCTION("""COMPUTED_VALUE"""),"74641")</f>
        <v>74641</v>
      </c>
      <c r="B5238" s="64">
        <f>IFERROR(__xludf.DUMMYFUNCTION("""COMPUTED_VALUE"""),44604.0)</f>
        <v>44604</v>
      </c>
      <c r="C5238" s="5"/>
      <c r="D5238" s="5"/>
      <c r="E5238" s="5"/>
      <c r="F5238" s="22">
        <f>IFERROR(__xludf.DUMMYFUNCTION("""COMPUTED_VALUE"""),500000.0)</f>
        <v>500000</v>
      </c>
      <c r="G5238" s="22">
        <f>IFERROR(__xludf.DUMMYFUNCTION("""COMPUTED_VALUE"""),0.0)</f>
        <v>0</v>
      </c>
      <c r="H5238" s="22">
        <f>IFERROR(__xludf.DUMMYFUNCTION("""COMPUTED_VALUE"""),500000.0)</f>
        <v>500000</v>
      </c>
      <c r="I5238" s="24">
        <f>IFERROR(__xludf.DUMMYFUNCTION("""COMPUTED_VALUE"""),0.0)</f>
        <v>0</v>
      </c>
    </row>
    <row r="5239">
      <c r="A5239" s="5" t="str">
        <f>IFERROR(__xludf.DUMMYFUNCTION("""COMPUTED_VALUE"""),"74641")</f>
        <v>74641</v>
      </c>
      <c r="B5239" s="64">
        <f>IFERROR(__xludf.DUMMYFUNCTION("""COMPUTED_VALUE"""),44605.0)</f>
        <v>44605</v>
      </c>
      <c r="C5239" s="5"/>
      <c r="D5239" s="5"/>
      <c r="E5239" s="5"/>
      <c r="F5239" s="22">
        <f>IFERROR(__xludf.DUMMYFUNCTION("""COMPUTED_VALUE"""),500000.0)</f>
        <v>500000</v>
      </c>
      <c r="G5239" s="22">
        <f>IFERROR(__xludf.DUMMYFUNCTION("""COMPUTED_VALUE"""),0.0)</f>
        <v>0</v>
      </c>
      <c r="H5239" s="22">
        <f>IFERROR(__xludf.DUMMYFUNCTION("""COMPUTED_VALUE"""),500000.0)</f>
        <v>500000</v>
      </c>
      <c r="I5239" s="24">
        <f>IFERROR(__xludf.DUMMYFUNCTION("""COMPUTED_VALUE"""),0.0)</f>
        <v>0</v>
      </c>
    </row>
    <row r="5240">
      <c r="A5240" s="5" t="str">
        <f>IFERROR(__xludf.DUMMYFUNCTION("""COMPUTED_VALUE"""),"74641")</f>
        <v>74641</v>
      </c>
      <c r="B5240" s="64">
        <f>IFERROR(__xludf.DUMMYFUNCTION("""COMPUTED_VALUE"""),44606.0)</f>
        <v>44606</v>
      </c>
      <c r="C5240" s="5"/>
      <c r="D5240" s="5"/>
      <c r="E5240" s="5"/>
      <c r="F5240" s="22">
        <f>IFERROR(__xludf.DUMMYFUNCTION("""COMPUTED_VALUE"""),500000.0)</f>
        <v>500000</v>
      </c>
      <c r="G5240" s="22">
        <f>IFERROR(__xludf.DUMMYFUNCTION("""COMPUTED_VALUE"""),0.0)</f>
        <v>0</v>
      </c>
      <c r="H5240" s="22">
        <f>IFERROR(__xludf.DUMMYFUNCTION("""COMPUTED_VALUE"""),500000.0)</f>
        <v>500000</v>
      </c>
      <c r="I5240" s="24">
        <f>IFERROR(__xludf.DUMMYFUNCTION("""COMPUTED_VALUE"""),0.0)</f>
        <v>0</v>
      </c>
    </row>
    <row r="5241">
      <c r="A5241" s="5" t="str">
        <f>IFERROR(__xludf.DUMMYFUNCTION("""COMPUTED_VALUE"""),"74641")</f>
        <v>74641</v>
      </c>
      <c r="B5241" s="64">
        <f>IFERROR(__xludf.DUMMYFUNCTION("""COMPUTED_VALUE"""),44607.0)</f>
        <v>44607</v>
      </c>
      <c r="C5241" s="5"/>
      <c r="D5241" s="5"/>
      <c r="E5241" s="5"/>
      <c r="F5241" s="22">
        <f>IFERROR(__xludf.DUMMYFUNCTION("""COMPUTED_VALUE"""),500000.0)</f>
        <v>500000</v>
      </c>
      <c r="G5241" s="22">
        <f>IFERROR(__xludf.DUMMYFUNCTION("""COMPUTED_VALUE"""),0.0)</f>
        <v>0</v>
      </c>
      <c r="H5241" s="22">
        <f>IFERROR(__xludf.DUMMYFUNCTION("""COMPUTED_VALUE"""),499717.69639)</f>
        <v>499717.6964</v>
      </c>
      <c r="I5241" s="24">
        <f>IFERROR(__xludf.DUMMYFUNCTION("""COMPUTED_VALUE"""),-5.646072199999574E-4)</f>
        <v>-0.00056460722</v>
      </c>
    </row>
    <row r="5242">
      <c r="A5242" s="5" t="str">
        <f>IFERROR(__xludf.DUMMYFUNCTION("""COMPUTED_VALUE"""),"74641")</f>
        <v>74641</v>
      </c>
      <c r="B5242" s="64">
        <f>IFERROR(__xludf.DUMMYFUNCTION("""COMPUTED_VALUE"""),44608.0)</f>
        <v>44608</v>
      </c>
      <c r="C5242" s="5"/>
      <c r="D5242" s="5"/>
      <c r="E5242" s="5"/>
      <c r="F5242" s="22">
        <f>IFERROR(__xludf.DUMMYFUNCTION("""COMPUTED_VALUE"""),500000.0)</f>
        <v>500000</v>
      </c>
      <c r="G5242" s="22">
        <f>IFERROR(__xludf.DUMMYFUNCTION("""COMPUTED_VALUE"""),0.0)</f>
        <v>0</v>
      </c>
      <c r="H5242" s="22">
        <f>IFERROR(__xludf.DUMMYFUNCTION("""COMPUTED_VALUE"""),499950.90372)</f>
        <v>499950.9037</v>
      </c>
      <c r="I5242" s="24">
        <f>IFERROR(__xludf.DUMMYFUNCTION("""COMPUTED_VALUE"""),-9.819255999998777E-5)</f>
        <v>-0.00009819256</v>
      </c>
    </row>
    <row r="5243">
      <c r="A5243" s="5" t="str">
        <f>IFERROR(__xludf.DUMMYFUNCTION("""COMPUTED_VALUE"""),"74641")</f>
        <v>74641</v>
      </c>
      <c r="B5243" s="64">
        <f>IFERROR(__xludf.DUMMYFUNCTION("""COMPUTED_VALUE"""),44609.0)</f>
        <v>44609</v>
      </c>
      <c r="C5243" s="5"/>
      <c r="D5243" s="5"/>
      <c r="E5243" s="5"/>
      <c r="F5243" s="22">
        <f>IFERROR(__xludf.DUMMYFUNCTION("""COMPUTED_VALUE"""),500000.0)</f>
        <v>500000</v>
      </c>
      <c r="G5243" s="22">
        <f>IFERROR(__xludf.DUMMYFUNCTION("""COMPUTED_VALUE"""),0.0)</f>
        <v>0</v>
      </c>
      <c r="H5243" s="22">
        <f>IFERROR(__xludf.DUMMYFUNCTION("""COMPUTED_VALUE"""),499607.22976)</f>
        <v>499607.2298</v>
      </c>
      <c r="I5243" s="24">
        <f>IFERROR(__xludf.DUMMYFUNCTION("""COMPUTED_VALUE"""),-7.855404800000132E-4)</f>
        <v>-0.00078554048</v>
      </c>
    </row>
    <row r="5244">
      <c r="A5244" s="5" t="str">
        <f>IFERROR(__xludf.DUMMYFUNCTION("""COMPUTED_VALUE"""),"74641")</f>
        <v>74641</v>
      </c>
      <c r="B5244" s="64">
        <f>IFERROR(__xludf.DUMMYFUNCTION("""COMPUTED_VALUE"""),44610.0)</f>
        <v>44610</v>
      </c>
      <c r="C5244" s="5"/>
      <c r="D5244" s="5"/>
      <c r="E5244" s="5"/>
      <c r="F5244" s="22">
        <f>IFERROR(__xludf.DUMMYFUNCTION("""COMPUTED_VALUE"""),500000.0)</f>
        <v>500000</v>
      </c>
      <c r="G5244" s="22">
        <f>IFERROR(__xludf.DUMMYFUNCTION("""COMPUTED_VALUE"""),0.0)</f>
        <v>0</v>
      </c>
      <c r="H5244" s="22">
        <f>IFERROR(__xludf.DUMMYFUNCTION("""COMPUTED_VALUE"""),499447.66685)</f>
        <v>499447.6669</v>
      </c>
      <c r="I5244" s="24">
        <f>IFERROR(__xludf.DUMMYFUNCTION("""COMPUTED_VALUE"""),-0.0011046663000000567)</f>
        <v>-0.0011046663</v>
      </c>
    </row>
    <row r="5245">
      <c r="A5245" s="5" t="str">
        <f>IFERROR(__xludf.DUMMYFUNCTION("""COMPUTED_VALUE"""),"74641")</f>
        <v>74641</v>
      </c>
      <c r="B5245" s="64">
        <f>IFERROR(__xludf.DUMMYFUNCTION("""COMPUTED_VALUE"""),44611.0)</f>
        <v>44611</v>
      </c>
      <c r="C5245" s="5"/>
      <c r="D5245" s="5"/>
      <c r="E5245" s="5"/>
      <c r="F5245" s="22">
        <f>IFERROR(__xludf.DUMMYFUNCTION("""COMPUTED_VALUE"""),500000.0)</f>
        <v>500000</v>
      </c>
      <c r="G5245" s="22">
        <f>IFERROR(__xludf.DUMMYFUNCTION("""COMPUTED_VALUE"""),0.0)</f>
        <v>0</v>
      </c>
      <c r="H5245" s="22">
        <f>IFERROR(__xludf.DUMMYFUNCTION("""COMPUTED_VALUE"""),499447.66685)</f>
        <v>499447.6669</v>
      </c>
      <c r="I5245" s="24">
        <f>IFERROR(__xludf.DUMMYFUNCTION("""COMPUTED_VALUE"""),-0.0011046663000000567)</f>
        <v>-0.0011046663</v>
      </c>
    </row>
    <row r="5246">
      <c r="A5246" s="5" t="str">
        <f>IFERROR(__xludf.DUMMYFUNCTION("""COMPUTED_VALUE"""),"74641")</f>
        <v>74641</v>
      </c>
      <c r="B5246" s="64">
        <f>IFERROR(__xludf.DUMMYFUNCTION("""COMPUTED_VALUE"""),44612.0)</f>
        <v>44612</v>
      </c>
      <c r="C5246" s="5"/>
      <c r="D5246" s="5"/>
      <c r="E5246" s="5"/>
      <c r="F5246" s="22">
        <f>IFERROR(__xludf.DUMMYFUNCTION("""COMPUTED_VALUE"""),500000.0)</f>
        <v>500000</v>
      </c>
      <c r="G5246" s="22">
        <f>IFERROR(__xludf.DUMMYFUNCTION("""COMPUTED_VALUE"""),0.0)</f>
        <v>0</v>
      </c>
      <c r="H5246" s="22">
        <f>IFERROR(__xludf.DUMMYFUNCTION("""COMPUTED_VALUE"""),499447.66685)</f>
        <v>499447.6669</v>
      </c>
      <c r="I5246" s="24">
        <f>IFERROR(__xludf.DUMMYFUNCTION("""COMPUTED_VALUE"""),-0.0011046663000000567)</f>
        <v>-0.0011046663</v>
      </c>
    </row>
    <row r="5247">
      <c r="A5247" s="5" t="str">
        <f>IFERROR(__xludf.DUMMYFUNCTION("""COMPUTED_VALUE"""),"74641")</f>
        <v>74641</v>
      </c>
      <c r="B5247" s="64">
        <f>IFERROR(__xludf.DUMMYFUNCTION("""COMPUTED_VALUE"""),44613.0)</f>
        <v>44613</v>
      </c>
      <c r="C5247" s="5"/>
      <c r="D5247" s="5"/>
      <c r="E5247" s="5"/>
      <c r="F5247" s="22">
        <f>IFERROR(__xludf.DUMMYFUNCTION("""COMPUTED_VALUE"""),500000.0)</f>
        <v>500000</v>
      </c>
      <c r="G5247" s="22">
        <f>IFERROR(__xludf.DUMMYFUNCTION("""COMPUTED_VALUE"""),0.0)</f>
        <v>0</v>
      </c>
      <c r="H5247" s="22">
        <f>IFERROR(__xludf.DUMMYFUNCTION("""COMPUTED_VALUE"""),499496.76313)</f>
        <v>499496.7631</v>
      </c>
      <c r="I5247" s="24">
        <f>IFERROR(__xludf.DUMMYFUNCTION("""COMPUTED_VALUE"""),-0.001006473740000069)</f>
        <v>-0.00100647374</v>
      </c>
    </row>
    <row r="5248">
      <c r="A5248" s="5" t="str">
        <f>IFERROR(__xludf.DUMMYFUNCTION("""COMPUTED_VALUE"""),"74641")</f>
        <v>74641</v>
      </c>
      <c r="B5248" s="64">
        <f>IFERROR(__xludf.DUMMYFUNCTION("""COMPUTED_VALUE"""),44614.0)</f>
        <v>44614</v>
      </c>
      <c r="C5248" s="5"/>
      <c r="D5248" s="5"/>
      <c r="E5248" s="5"/>
      <c r="F5248" s="22">
        <f>IFERROR(__xludf.DUMMYFUNCTION("""COMPUTED_VALUE"""),500000.0)</f>
        <v>500000</v>
      </c>
      <c r="G5248" s="22">
        <f>IFERROR(__xludf.DUMMYFUNCTION("""COMPUTED_VALUE"""),0.0)</f>
        <v>0</v>
      </c>
      <c r="H5248" s="22">
        <f>IFERROR(__xludf.DUMMYFUNCTION("""COMPUTED_VALUE"""),499189.91138)</f>
        <v>499189.9114</v>
      </c>
      <c r="I5248" s="24">
        <f>IFERROR(__xludf.DUMMYFUNCTION("""COMPUTED_VALUE"""),-0.0016201772399999648)</f>
        <v>-0.00162017724</v>
      </c>
    </row>
    <row r="5249">
      <c r="A5249" s="5" t="str">
        <f>IFERROR(__xludf.DUMMYFUNCTION("""COMPUTED_VALUE"""),"74641")</f>
        <v>74641</v>
      </c>
      <c r="B5249" s="64">
        <f>IFERROR(__xludf.DUMMYFUNCTION("""COMPUTED_VALUE"""),44615.0)</f>
        <v>44615</v>
      </c>
      <c r="C5249" s="5"/>
      <c r="D5249" s="5"/>
      <c r="E5249" s="5"/>
      <c r="F5249" s="22">
        <f>IFERROR(__xludf.DUMMYFUNCTION("""COMPUTED_VALUE"""),500000.0)</f>
        <v>500000</v>
      </c>
      <c r="G5249" s="22">
        <f>IFERROR(__xludf.DUMMYFUNCTION("""COMPUTED_VALUE"""),0.0)</f>
        <v>0</v>
      </c>
      <c r="H5249" s="22">
        <f>IFERROR(__xludf.DUMMYFUNCTION("""COMPUTED_VALUE"""),499386.2965)</f>
        <v>499386.2965</v>
      </c>
      <c r="I5249" s="24">
        <f>IFERROR(__xludf.DUMMYFUNCTION("""COMPUTED_VALUE"""),-0.0012274070000000137)</f>
        <v>-0.001227407</v>
      </c>
    </row>
    <row r="5250">
      <c r="A5250" s="5" t="str">
        <f>IFERROR(__xludf.DUMMYFUNCTION("""COMPUTED_VALUE"""),"74641")</f>
        <v>74641</v>
      </c>
      <c r="B5250" s="64">
        <f>IFERROR(__xludf.DUMMYFUNCTION("""COMPUTED_VALUE"""),44616.0)</f>
        <v>44616</v>
      </c>
      <c r="C5250" s="5"/>
      <c r="D5250" s="5"/>
      <c r="E5250" s="5"/>
      <c r="F5250" s="22">
        <f>IFERROR(__xludf.DUMMYFUNCTION("""COMPUTED_VALUE"""),500000.0)</f>
        <v>500000</v>
      </c>
      <c r="G5250" s="22">
        <f>IFERROR(__xludf.DUMMYFUNCTION("""COMPUTED_VALUE"""),0.0)</f>
        <v>0</v>
      </c>
      <c r="H5250" s="22">
        <f>IFERROR(__xludf.DUMMYFUNCTION("""COMPUTED_VALUE"""),498907.60777)</f>
        <v>498907.6078</v>
      </c>
      <c r="I5250" s="24">
        <f>IFERROR(__xludf.DUMMYFUNCTION("""COMPUTED_VALUE"""),-0.0021847844600000332)</f>
        <v>-0.00218478446</v>
      </c>
    </row>
    <row r="5251">
      <c r="A5251" s="5" t="str">
        <f>IFERROR(__xludf.DUMMYFUNCTION("""COMPUTED_VALUE"""),"74641")</f>
        <v>74641</v>
      </c>
      <c r="B5251" s="64">
        <f>IFERROR(__xludf.DUMMYFUNCTION("""COMPUTED_VALUE"""),44617.0)</f>
        <v>44617</v>
      </c>
      <c r="C5251" s="5"/>
      <c r="D5251" s="5"/>
      <c r="E5251" s="5"/>
      <c r="F5251" s="22">
        <f>IFERROR(__xludf.DUMMYFUNCTION("""COMPUTED_VALUE"""),500000.0)</f>
        <v>500000</v>
      </c>
      <c r="G5251" s="22">
        <f>IFERROR(__xludf.DUMMYFUNCTION("""COMPUTED_VALUE"""),0.0)</f>
        <v>0</v>
      </c>
      <c r="H5251" s="22">
        <f>IFERROR(__xludf.DUMMYFUNCTION("""COMPUTED_VALUE"""),498883.05963)</f>
        <v>498883.0596</v>
      </c>
      <c r="I5251" s="24">
        <f>IFERROR(__xludf.DUMMYFUNCTION("""COMPUTED_VALUE"""),-0.0022338807400000826)</f>
        <v>-0.00223388074</v>
      </c>
    </row>
    <row r="5252">
      <c r="A5252" s="5" t="str">
        <f>IFERROR(__xludf.DUMMYFUNCTION("""COMPUTED_VALUE"""),"74641")</f>
        <v>74641</v>
      </c>
      <c r="B5252" s="64">
        <f>IFERROR(__xludf.DUMMYFUNCTION("""COMPUTED_VALUE"""),44618.0)</f>
        <v>44618</v>
      </c>
      <c r="C5252" s="5"/>
      <c r="D5252" s="5"/>
      <c r="E5252" s="5"/>
      <c r="F5252" s="22">
        <f>IFERROR(__xludf.DUMMYFUNCTION("""COMPUTED_VALUE"""),500000.0)</f>
        <v>500000</v>
      </c>
      <c r="G5252" s="22">
        <f>IFERROR(__xludf.DUMMYFUNCTION("""COMPUTED_VALUE"""),0.0)</f>
        <v>0</v>
      </c>
      <c r="H5252" s="22">
        <f>IFERROR(__xludf.DUMMYFUNCTION("""COMPUTED_VALUE"""),498883.05963)</f>
        <v>498883.0596</v>
      </c>
      <c r="I5252" s="24">
        <f>IFERROR(__xludf.DUMMYFUNCTION("""COMPUTED_VALUE"""),-0.0022338807400000826)</f>
        <v>-0.00223388074</v>
      </c>
    </row>
    <row r="5253">
      <c r="A5253" s="5" t="str">
        <f>IFERROR(__xludf.DUMMYFUNCTION("""COMPUTED_VALUE"""),"74641")</f>
        <v>74641</v>
      </c>
      <c r="B5253" s="64">
        <f>IFERROR(__xludf.DUMMYFUNCTION("""COMPUTED_VALUE"""),44619.0)</f>
        <v>44619</v>
      </c>
      <c r="C5253" s="5"/>
      <c r="D5253" s="5"/>
      <c r="E5253" s="5"/>
      <c r="F5253" s="22">
        <f>IFERROR(__xludf.DUMMYFUNCTION("""COMPUTED_VALUE"""),500000.0)</f>
        <v>500000</v>
      </c>
      <c r="G5253" s="22">
        <f>IFERROR(__xludf.DUMMYFUNCTION("""COMPUTED_VALUE"""),0.0)</f>
        <v>0</v>
      </c>
      <c r="H5253" s="22">
        <f>IFERROR(__xludf.DUMMYFUNCTION("""COMPUTED_VALUE"""),498883.05963)</f>
        <v>498883.0596</v>
      </c>
      <c r="I5253" s="24">
        <f>IFERROR(__xludf.DUMMYFUNCTION("""COMPUTED_VALUE"""),-0.0022338807400000826)</f>
        <v>-0.00223388074</v>
      </c>
    </row>
    <row r="5254">
      <c r="A5254" s="5" t="str">
        <f>IFERROR(__xludf.DUMMYFUNCTION("""COMPUTED_VALUE"""),"74641")</f>
        <v>74641</v>
      </c>
      <c r="B5254" s="64">
        <f>IFERROR(__xludf.DUMMYFUNCTION("""COMPUTED_VALUE"""),44620.0)</f>
        <v>44620</v>
      </c>
      <c r="C5254" s="5"/>
      <c r="D5254" s="5"/>
      <c r="E5254" s="5"/>
      <c r="F5254" s="22">
        <f>IFERROR(__xludf.DUMMYFUNCTION("""COMPUTED_VALUE"""),500000.0)</f>
        <v>500000</v>
      </c>
      <c r="G5254" s="22">
        <f>IFERROR(__xludf.DUMMYFUNCTION("""COMPUTED_VALUE"""),0.0)</f>
        <v>0</v>
      </c>
      <c r="H5254" s="22">
        <f>IFERROR(__xludf.DUMMYFUNCTION("""COMPUTED_VALUE"""),499005.80033)</f>
        <v>499005.8003</v>
      </c>
      <c r="I5254" s="24">
        <f>IFERROR(__xludf.DUMMYFUNCTION("""COMPUTED_VALUE"""),-0.0019883993400000577)</f>
        <v>-0.00198839934</v>
      </c>
    </row>
    <row r="5255">
      <c r="A5255" s="5" t="str">
        <f>IFERROR(__xludf.DUMMYFUNCTION("""COMPUTED_VALUE"""),"74641")</f>
        <v>74641</v>
      </c>
      <c r="B5255" s="64">
        <f>IFERROR(__xludf.DUMMYFUNCTION("""COMPUTED_VALUE"""),44621.0)</f>
        <v>44621</v>
      </c>
      <c r="C5255" s="5"/>
      <c r="D5255" s="5"/>
      <c r="E5255" s="5"/>
      <c r="F5255" s="22">
        <f>IFERROR(__xludf.DUMMYFUNCTION("""COMPUTED_VALUE"""),500000.0)</f>
        <v>500000</v>
      </c>
      <c r="G5255" s="22">
        <f>IFERROR(__xludf.DUMMYFUNCTION("""COMPUTED_VALUE"""),0.0)</f>
        <v>0</v>
      </c>
      <c r="H5255" s="22">
        <f>IFERROR(__xludf.DUMMYFUNCTION("""COMPUTED_VALUE"""),499030.34847)</f>
        <v>499030.3485</v>
      </c>
      <c r="I5255" s="24">
        <f>IFERROR(__xludf.DUMMYFUNCTION("""COMPUTED_VALUE"""),-0.0019393030599998973)</f>
        <v>-0.00193930306</v>
      </c>
    </row>
    <row r="5256">
      <c r="A5256" s="5" t="str">
        <f>IFERROR(__xludf.DUMMYFUNCTION("""COMPUTED_VALUE"""),"74641")</f>
        <v>74641</v>
      </c>
      <c r="B5256" s="64">
        <f>IFERROR(__xludf.DUMMYFUNCTION("""COMPUTED_VALUE"""),44622.0)</f>
        <v>44622</v>
      </c>
      <c r="C5256" s="5"/>
      <c r="D5256" s="5"/>
      <c r="E5256" s="5"/>
      <c r="F5256" s="22">
        <f>IFERROR(__xludf.DUMMYFUNCTION("""COMPUTED_VALUE"""),500000.0)</f>
        <v>500000</v>
      </c>
      <c r="G5256" s="22">
        <f>IFERROR(__xludf.DUMMYFUNCTION("""COMPUTED_VALUE"""),0.0)</f>
        <v>0</v>
      </c>
      <c r="H5256" s="22">
        <f>IFERROR(__xludf.DUMMYFUNCTION("""COMPUTED_VALUE"""),497760.66712)</f>
        <v>497760.6671</v>
      </c>
      <c r="I5256" s="24">
        <f>IFERROR(__xludf.DUMMYFUNCTION("""COMPUTED_VALUE"""),-0.00447866576)</f>
        <v>-0.00447866576</v>
      </c>
    </row>
    <row r="5257">
      <c r="A5257" s="5" t="str">
        <f>IFERROR(__xludf.DUMMYFUNCTION("""COMPUTED_VALUE"""),"74641")</f>
        <v>74641</v>
      </c>
      <c r="B5257" s="64">
        <f>IFERROR(__xludf.DUMMYFUNCTION("""COMPUTED_VALUE"""),44623.0)</f>
        <v>44623</v>
      </c>
      <c r="C5257" s="5"/>
      <c r="D5257" s="5"/>
      <c r="E5257" s="5"/>
      <c r="F5257" s="22">
        <f>IFERROR(__xludf.DUMMYFUNCTION("""COMPUTED_VALUE"""),500000.0)</f>
        <v>500000</v>
      </c>
      <c r="G5257" s="22">
        <f>IFERROR(__xludf.DUMMYFUNCTION("""COMPUTED_VALUE"""),0.0)</f>
        <v>0</v>
      </c>
      <c r="H5257" s="22">
        <f>IFERROR(__xludf.DUMMYFUNCTION("""COMPUTED_VALUE"""),496510.77)</f>
        <v>496510.77</v>
      </c>
      <c r="I5257" s="24">
        <f>IFERROR(__xludf.DUMMYFUNCTION("""COMPUTED_VALUE"""),-0.006978459999999909)</f>
        <v>-0.00697846</v>
      </c>
    </row>
    <row r="5258">
      <c r="A5258" s="5" t="str">
        <f>IFERROR(__xludf.DUMMYFUNCTION("""COMPUTED_VALUE"""),"74641")</f>
        <v>74641</v>
      </c>
      <c r="B5258" s="64">
        <f>IFERROR(__xludf.DUMMYFUNCTION("""COMPUTED_VALUE"""),44624.0)</f>
        <v>44624</v>
      </c>
      <c r="C5258" s="5"/>
      <c r="D5258" s="5"/>
      <c r="E5258" s="5"/>
      <c r="F5258" s="22">
        <f>IFERROR(__xludf.DUMMYFUNCTION("""COMPUTED_VALUE"""),500000.0)</f>
        <v>500000</v>
      </c>
      <c r="G5258" s="22">
        <f>IFERROR(__xludf.DUMMYFUNCTION("""COMPUTED_VALUE"""),0.0)</f>
        <v>0</v>
      </c>
      <c r="H5258" s="22">
        <f>IFERROR(__xludf.DUMMYFUNCTION("""COMPUTED_VALUE"""),496162.92174)</f>
        <v>496162.9217</v>
      </c>
      <c r="I5258" s="24">
        <f>IFERROR(__xludf.DUMMYFUNCTION("""COMPUTED_VALUE"""),-0.0076741565199999195)</f>
        <v>-0.00767415652</v>
      </c>
    </row>
    <row r="5259">
      <c r="A5259" s="5" t="str">
        <f>IFERROR(__xludf.DUMMYFUNCTION("""COMPUTED_VALUE"""),"74641")</f>
        <v>74641</v>
      </c>
      <c r="B5259" s="64">
        <f>IFERROR(__xludf.DUMMYFUNCTION("""COMPUTED_VALUE"""),44625.0)</f>
        <v>44625</v>
      </c>
      <c r="C5259" s="5"/>
      <c r="D5259" s="5"/>
      <c r="E5259" s="5"/>
      <c r="F5259" s="22">
        <f>IFERROR(__xludf.DUMMYFUNCTION("""COMPUTED_VALUE"""),500000.0)</f>
        <v>500000</v>
      </c>
      <c r="G5259" s="22">
        <f>IFERROR(__xludf.DUMMYFUNCTION("""COMPUTED_VALUE"""),0.0)</f>
        <v>0</v>
      </c>
      <c r="H5259" s="22">
        <f>IFERROR(__xludf.DUMMYFUNCTION("""COMPUTED_VALUE"""),496162.92174)</f>
        <v>496162.9217</v>
      </c>
      <c r="I5259" s="24">
        <f>IFERROR(__xludf.DUMMYFUNCTION("""COMPUTED_VALUE"""),-0.0076741565199999195)</f>
        <v>-0.00767415652</v>
      </c>
    </row>
    <row r="5260">
      <c r="A5260" s="5" t="str">
        <f>IFERROR(__xludf.DUMMYFUNCTION("""COMPUTED_VALUE"""),"74641")</f>
        <v>74641</v>
      </c>
      <c r="B5260" s="64">
        <f>IFERROR(__xludf.DUMMYFUNCTION("""COMPUTED_VALUE"""),44626.0)</f>
        <v>44626</v>
      </c>
      <c r="C5260" s="5"/>
      <c r="D5260" s="5"/>
      <c r="E5260" s="5"/>
      <c r="F5260" s="22">
        <f>IFERROR(__xludf.DUMMYFUNCTION("""COMPUTED_VALUE"""),500000.0)</f>
        <v>500000</v>
      </c>
      <c r="G5260" s="22">
        <f>IFERROR(__xludf.DUMMYFUNCTION("""COMPUTED_VALUE"""),0.0)</f>
        <v>0</v>
      </c>
      <c r="H5260" s="22">
        <f>IFERROR(__xludf.DUMMYFUNCTION("""COMPUTED_VALUE"""),496162.92174)</f>
        <v>496162.9217</v>
      </c>
      <c r="I5260" s="24">
        <f>IFERROR(__xludf.DUMMYFUNCTION("""COMPUTED_VALUE"""),-0.0076741565199999195)</f>
        <v>-0.00767415652</v>
      </c>
    </row>
    <row r="5261">
      <c r="A5261" s="5" t="str">
        <f>IFERROR(__xludf.DUMMYFUNCTION("""COMPUTED_VALUE"""),"74641")</f>
        <v>74641</v>
      </c>
      <c r="B5261" s="64">
        <f>IFERROR(__xludf.DUMMYFUNCTION("""COMPUTED_VALUE"""),44627.0)</f>
        <v>44627</v>
      </c>
      <c r="C5261" s="5"/>
      <c r="D5261" s="5"/>
      <c r="E5261" s="5"/>
      <c r="F5261" s="22">
        <f>IFERROR(__xludf.DUMMYFUNCTION("""COMPUTED_VALUE"""),500000.0)</f>
        <v>500000</v>
      </c>
      <c r="G5261" s="22">
        <f>IFERROR(__xludf.DUMMYFUNCTION("""COMPUTED_VALUE"""),0.0)</f>
        <v>0</v>
      </c>
      <c r="H5261" s="22">
        <f>IFERROR(__xludf.DUMMYFUNCTION("""COMPUTED_VALUE"""),494782.77376)</f>
        <v>494782.7738</v>
      </c>
      <c r="I5261" s="24">
        <f>IFERROR(__xludf.DUMMYFUNCTION("""COMPUTED_VALUE"""),-0.010434452479999967)</f>
        <v>-0.01043445248</v>
      </c>
    </row>
    <row r="5262">
      <c r="A5262" s="5" t="str">
        <f>IFERROR(__xludf.DUMMYFUNCTION("""COMPUTED_VALUE"""),"74641")</f>
        <v>74641</v>
      </c>
      <c r="B5262" s="64">
        <f>IFERROR(__xludf.DUMMYFUNCTION("""COMPUTED_VALUE"""),44628.0)</f>
        <v>44628</v>
      </c>
      <c r="C5262" s="5"/>
      <c r="D5262" s="5"/>
      <c r="E5262" s="5"/>
      <c r="F5262" s="22">
        <f>IFERROR(__xludf.DUMMYFUNCTION("""COMPUTED_VALUE"""),500000.0)</f>
        <v>500000</v>
      </c>
      <c r="G5262" s="22">
        <f>IFERROR(__xludf.DUMMYFUNCTION("""COMPUTED_VALUE"""),0.0)</f>
        <v>0</v>
      </c>
      <c r="H5262" s="22">
        <f>IFERROR(__xludf.DUMMYFUNCTION("""COMPUTED_VALUE"""),494885.25047)</f>
        <v>494885.2505</v>
      </c>
      <c r="I5262" s="24">
        <f>IFERROR(__xludf.DUMMYFUNCTION("""COMPUTED_VALUE"""),-0.010229499059999925)</f>
        <v>-0.01022949906</v>
      </c>
    </row>
    <row r="5263">
      <c r="A5263" s="5" t="str">
        <f>IFERROR(__xludf.DUMMYFUNCTION("""COMPUTED_VALUE"""),"74641")</f>
        <v>74641</v>
      </c>
      <c r="B5263" s="64">
        <f>IFERROR(__xludf.DUMMYFUNCTION("""COMPUTED_VALUE"""),44629.0)</f>
        <v>44629</v>
      </c>
      <c r="C5263" s="5"/>
      <c r="D5263" s="5"/>
      <c r="E5263" s="5"/>
      <c r="F5263" s="22">
        <f>IFERROR(__xludf.DUMMYFUNCTION("""COMPUTED_VALUE"""),500000.0)</f>
        <v>500000</v>
      </c>
      <c r="G5263" s="22">
        <f>IFERROR(__xludf.DUMMYFUNCTION("""COMPUTED_VALUE"""),0.0)</f>
        <v>0</v>
      </c>
      <c r="H5263" s="22">
        <f>IFERROR(__xludf.DUMMYFUNCTION("""COMPUTED_VALUE"""),495397.42555)</f>
        <v>495397.4256</v>
      </c>
      <c r="I5263" s="24">
        <f>IFERROR(__xludf.DUMMYFUNCTION("""COMPUTED_VALUE"""),-0.009205148900000015)</f>
        <v>-0.0092051489</v>
      </c>
    </row>
    <row r="5264">
      <c r="A5264" s="5" t="str">
        <f>IFERROR(__xludf.DUMMYFUNCTION("""COMPUTED_VALUE"""),"74641")</f>
        <v>74641</v>
      </c>
      <c r="B5264" s="64">
        <f>IFERROR(__xludf.DUMMYFUNCTION("""COMPUTED_VALUE"""),44630.0)</f>
        <v>44630</v>
      </c>
      <c r="C5264" s="5"/>
      <c r="D5264" s="5"/>
      <c r="E5264" s="5"/>
      <c r="F5264" s="22">
        <f>IFERROR(__xludf.DUMMYFUNCTION("""COMPUTED_VALUE"""),500000.0)</f>
        <v>500000</v>
      </c>
      <c r="G5264" s="22">
        <f>IFERROR(__xludf.DUMMYFUNCTION("""COMPUTED_VALUE"""),0.0)</f>
        <v>0</v>
      </c>
      <c r="H5264" s="22">
        <f>IFERROR(__xludf.DUMMYFUNCTION("""COMPUTED_VALUE"""),495266.95499)</f>
        <v>495266.955</v>
      </c>
      <c r="I5264" s="24">
        <f>IFERROR(__xludf.DUMMYFUNCTION("""COMPUTED_VALUE"""),-0.009466090019999984)</f>
        <v>-0.00946609002</v>
      </c>
    </row>
    <row r="5265">
      <c r="A5265" s="5" t="str">
        <f>IFERROR(__xludf.DUMMYFUNCTION("""COMPUTED_VALUE"""),"74641")</f>
        <v>74641</v>
      </c>
      <c r="B5265" s="64">
        <f>IFERROR(__xludf.DUMMYFUNCTION("""COMPUTED_VALUE"""),44631.0)</f>
        <v>44631</v>
      </c>
      <c r="C5265" s="5"/>
      <c r="D5265" s="5"/>
      <c r="E5265" s="5"/>
      <c r="F5265" s="22">
        <f>IFERROR(__xludf.DUMMYFUNCTION("""COMPUTED_VALUE"""),500000.0)</f>
        <v>500000</v>
      </c>
      <c r="G5265" s="22">
        <f>IFERROR(__xludf.DUMMYFUNCTION("""COMPUTED_VALUE"""),0.0)</f>
        <v>0</v>
      </c>
      <c r="H5265" s="22">
        <f>IFERROR(__xludf.DUMMYFUNCTION("""COMPUTED_VALUE"""),494461.67064)</f>
        <v>494461.6706</v>
      </c>
      <c r="I5265" s="24">
        <f>IFERROR(__xludf.DUMMYFUNCTION("""COMPUTED_VALUE"""),-0.011076658719999966)</f>
        <v>-0.01107665872</v>
      </c>
    </row>
    <row r="5266">
      <c r="A5266" s="5" t="str">
        <f>IFERROR(__xludf.DUMMYFUNCTION("""COMPUTED_VALUE"""),"74641")</f>
        <v>74641</v>
      </c>
      <c r="B5266" s="64">
        <f>IFERROR(__xludf.DUMMYFUNCTION("""COMPUTED_VALUE"""),44632.0)</f>
        <v>44632</v>
      </c>
      <c r="C5266" s="5"/>
      <c r="D5266" s="5"/>
      <c r="E5266" s="5"/>
      <c r="F5266" s="22">
        <f>IFERROR(__xludf.DUMMYFUNCTION("""COMPUTED_VALUE"""),500000.0)</f>
        <v>500000</v>
      </c>
      <c r="G5266" s="22">
        <f>IFERROR(__xludf.DUMMYFUNCTION("""COMPUTED_VALUE"""),0.0)</f>
        <v>0</v>
      </c>
      <c r="H5266" s="22">
        <f>IFERROR(__xludf.DUMMYFUNCTION("""COMPUTED_VALUE"""),494461.67064)</f>
        <v>494461.6706</v>
      </c>
      <c r="I5266" s="24">
        <f>IFERROR(__xludf.DUMMYFUNCTION("""COMPUTED_VALUE"""),-0.011076658719999966)</f>
        <v>-0.01107665872</v>
      </c>
    </row>
    <row r="5267">
      <c r="A5267" s="5" t="str">
        <f>IFERROR(__xludf.DUMMYFUNCTION("""COMPUTED_VALUE"""),"74641")</f>
        <v>74641</v>
      </c>
      <c r="B5267" s="64">
        <f>IFERROR(__xludf.DUMMYFUNCTION("""COMPUTED_VALUE"""),44633.0)</f>
        <v>44633</v>
      </c>
      <c r="C5267" s="5"/>
      <c r="D5267" s="5"/>
      <c r="E5267" s="5"/>
      <c r="F5267" s="22">
        <f>IFERROR(__xludf.DUMMYFUNCTION("""COMPUTED_VALUE"""),500000.0)</f>
        <v>500000</v>
      </c>
      <c r="G5267" s="22">
        <f>IFERROR(__xludf.DUMMYFUNCTION("""COMPUTED_VALUE"""),0.0)</f>
        <v>0</v>
      </c>
      <c r="H5267" s="22">
        <f>IFERROR(__xludf.DUMMYFUNCTION("""COMPUTED_VALUE"""),494461.67064)</f>
        <v>494461.6706</v>
      </c>
      <c r="I5267" s="24">
        <f>IFERROR(__xludf.DUMMYFUNCTION("""COMPUTED_VALUE"""),-0.011076658719999966)</f>
        <v>-0.01107665872</v>
      </c>
    </row>
    <row r="5268">
      <c r="A5268" s="5" t="str">
        <f>IFERROR(__xludf.DUMMYFUNCTION("""COMPUTED_VALUE"""),"74641")</f>
        <v>74641</v>
      </c>
      <c r="B5268" s="64">
        <f>IFERROR(__xludf.DUMMYFUNCTION("""COMPUTED_VALUE"""),44634.0)</f>
        <v>44634</v>
      </c>
      <c r="C5268" s="5"/>
      <c r="D5268" s="5"/>
      <c r="E5268" s="5"/>
      <c r="F5268" s="22">
        <f>IFERROR(__xludf.DUMMYFUNCTION("""COMPUTED_VALUE"""),500000.0)</f>
        <v>500000</v>
      </c>
      <c r="G5268" s="22">
        <f>IFERROR(__xludf.DUMMYFUNCTION("""COMPUTED_VALUE"""),0.0)</f>
        <v>0</v>
      </c>
      <c r="H5268" s="22">
        <f>IFERROR(__xludf.DUMMYFUNCTION("""COMPUTED_VALUE"""),493483.78036)</f>
        <v>493483.7804</v>
      </c>
      <c r="I5268" s="24">
        <f>IFERROR(__xludf.DUMMYFUNCTION("""COMPUTED_VALUE"""),-0.013032439280000085)</f>
        <v>-0.01303243928</v>
      </c>
    </row>
    <row r="5269">
      <c r="A5269" s="5" t="str">
        <f>IFERROR(__xludf.DUMMYFUNCTION("""COMPUTED_VALUE"""),"74641")</f>
        <v>74641</v>
      </c>
      <c r="B5269" s="64">
        <f>IFERROR(__xludf.DUMMYFUNCTION("""COMPUTED_VALUE"""),44635.0)</f>
        <v>44635</v>
      </c>
      <c r="C5269" s="5"/>
      <c r="D5269" s="5"/>
      <c r="E5269" s="5"/>
      <c r="F5269" s="22">
        <f>IFERROR(__xludf.DUMMYFUNCTION("""COMPUTED_VALUE"""),500000.0)</f>
        <v>500000</v>
      </c>
      <c r="G5269" s="22">
        <f>IFERROR(__xludf.DUMMYFUNCTION("""COMPUTED_VALUE"""),0.0)</f>
        <v>0</v>
      </c>
      <c r="H5269" s="22">
        <f>IFERROR(__xludf.DUMMYFUNCTION("""COMPUTED_VALUE"""),492694.94438)</f>
        <v>492694.9444</v>
      </c>
      <c r="I5269" s="24">
        <f>IFERROR(__xludf.DUMMYFUNCTION("""COMPUTED_VALUE"""),-0.014610111240000001)</f>
        <v>-0.01461011124</v>
      </c>
    </row>
    <row r="5270">
      <c r="A5270" s="5" t="str">
        <f>IFERROR(__xludf.DUMMYFUNCTION("""COMPUTED_VALUE"""),"74641")</f>
        <v>74641</v>
      </c>
      <c r="B5270" s="64">
        <f>IFERROR(__xludf.DUMMYFUNCTION("""COMPUTED_VALUE"""),44636.0)</f>
        <v>44636</v>
      </c>
      <c r="C5270" s="5"/>
      <c r="D5270" s="5"/>
      <c r="E5270" s="5"/>
      <c r="F5270" s="22">
        <f>IFERROR(__xludf.DUMMYFUNCTION("""COMPUTED_VALUE"""),500000.0)</f>
        <v>500000</v>
      </c>
      <c r="G5270" s="22">
        <f>IFERROR(__xludf.DUMMYFUNCTION("""COMPUTED_VALUE"""),0.0)</f>
        <v>0</v>
      </c>
      <c r="H5270" s="22">
        <f>IFERROR(__xludf.DUMMYFUNCTION("""COMPUTED_VALUE"""),493347.77694)</f>
        <v>493347.7769</v>
      </c>
      <c r="I5270" s="24">
        <f>IFERROR(__xludf.DUMMYFUNCTION("""COMPUTED_VALUE"""),-0.013304446119999924)</f>
        <v>-0.01330444612</v>
      </c>
    </row>
    <row r="5271">
      <c r="A5271" s="5" t="str">
        <f>IFERROR(__xludf.DUMMYFUNCTION("""COMPUTED_VALUE"""),"74641")</f>
        <v>74641</v>
      </c>
      <c r="B5271" s="64">
        <f>IFERROR(__xludf.DUMMYFUNCTION("""COMPUTED_VALUE"""),44637.0)</f>
        <v>44637</v>
      </c>
      <c r="C5271" s="5"/>
      <c r="D5271" s="5"/>
      <c r="E5271" s="5"/>
      <c r="F5271" s="22">
        <f>IFERROR(__xludf.DUMMYFUNCTION("""COMPUTED_VALUE"""),500000.0)</f>
        <v>500000</v>
      </c>
      <c r="G5271" s="22">
        <f>IFERROR(__xludf.DUMMYFUNCTION("""COMPUTED_VALUE"""),0.0)</f>
        <v>0</v>
      </c>
      <c r="H5271" s="22">
        <f>IFERROR(__xludf.DUMMYFUNCTION("""COMPUTED_VALUE"""),494075.13272)</f>
        <v>494075.1327</v>
      </c>
      <c r="I5271" s="24">
        <f>IFERROR(__xludf.DUMMYFUNCTION("""COMPUTED_VALUE"""),-0.011849734560000047)</f>
        <v>-0.01184973456</v>
      </c>
    </row>
    <row r="5272">
      <c r="A5272" s="5" t="str">
        <f>IFERROR(__xludf.DUMMYFUNCTION("""COMPUTED_VALUE"""),"74641")</f>
        <v>74641</v>
      </c>
      <c r="B5272" s="64">
        <f>IFERROR(__xludf.DUMMYFUNCTION("""COMPUTED_VALUE"""),44638.0)</f>
        <v>44638</v>
      </c>
      <c r="C5272" s="5"/>
      <c r="D5272" s="5"/>
      <c r="E5272" s="5"/>
      <c r="F5272" s="22">
        <f>IFERROR(__xludf.DUMMYFUNCTION("""COMPUTED_VALUE"""),500000.0)</f>
        <v>500000</v>
      </c>
      <c r="G5272" s="22">
        <f>IFERROR(__xludf.DUMMYFUNCTION("""COMPUTED_VALUE"""),0.0)</f>
        <v>0</v>
      </c>
      <c r="H5272" s="22">
        <f>IFERROR(__xludf.DUMMYFUNCTION("""COMPUTED_VALUE"""),494137.60157)</f>
        <v>494137.6016</v>
      </c>
      <c r="I5272" s="24">
        <f>IFERROR(__xludf.DUMMYFUNCTION("""COMPUTED_VALUE"""),-0.011724796860000053)</f>
        <v>-0.01172479686</v>
      </c>
    </row>
    <row r="5273">
      <c r="A5273" s="5" t="str">
        <f>IFERROR(__xludf.DUMMYFUNCTION("""COMPUTED_VALUE"""),"74641")</f>
        <v>74641</v>
      </c>
      <c r="B5273" s="64">
        <f>IFERROR(__xludf.DUMMYFUNCTION("""COMPUTED_VALUE"""),44639.0)</f>
        <v>44639</v>
      </c>
      <c r="C5273" s="5"/>
      <c r="D5273" s="5"/>
      <c r="E5273" s="5"/>
      <c r="F5273" s="22">
        <f>IFERROR(__xludf.DUMMYFUNCTION("""COMPUTED_VALUE"""),500000.0)</f>
        <v>500000</v>
      </c>
      <c r="G5273" s="22">
        <f>IFERROR(__xludf.DUMMYFUNCTION("""COMPUTED_VALUE"""),0.0)</f>
        <v>0</v>
      </c>
      <c r="H5273" s="22">
        <f>IFERROR(__xludf.DUMMYFUNCTION("""COMPUTED_VALUE"""),494137.60157)</f>
        <v>494137.6016</v>
      </c>
      <c r="I5273" s="24">
        <f>IFERROR(__xludf.DUMMYFUNCTION("""COMPUTED_VALUE"""),-0.011724796860000053)</f>
        <v>-0.01172479686</v>
      </c>
    </row>
    <row r="5274">
      <c r="A5274" s="5" t="str">
        <f>IFERROR(__xludf.DUMMYFUNCTION("""COMPUTED_VALUE"""),"74641")</f>
        <v>74641</v>
      </c>
      <c r="B5274" s="64">
        <f>IFERROR(__xludf.DUMMYFUNCTION("""COMPUTED_VALUE"""),44640.0)</f>
        <v>44640</v>
      </c>
      <c r="C5274" s="5"/>
      <c r="D5274" s="5"/>
      <c r="E5274" s="5"/>
      <c r="F5274" s="22">
        <f>IFERROR(__xludf.DUMMYFUNCTION("""COMPUTED_VALUE"""),500000.0)</f>
        <v>500000</v>
      </c>
      <c r="G5274" s="22">
        <f>IFERROR(__xludf.DUMMYFUNCTION("""COMPUTED_VALUE"""),0.0)</f>
        <v>0</v>
      </c>
      <c r="H5274" s="22">
        <f>IFERROR(__xludf.DUMMYFUNCTION("""COMPUTED_VALUE"""),494137.60157)</f>
        <v>494137.6016</v>
      </c>
      <c r="I5274" s="24">
        <f>IFERROR(__xludf.DUMMYFUNCTION("""COMPUTED_VALUE"""),-0.011724796860000053)</f>
        <v>-0.01172479686</v>
      </c>
    </row>
    <row r="5275">
      <c r="A5275" s="5" t="str">
        <f>IFERROR(__xludf.DUMMYFUNCTION("""COMPUTED_VALUE"""),"74641")</f>
        <v>74641</v>
      </c>
      <c r="B5275" s="64">
        <f>IFERROR(__xludf.DUMMYFUNCTION("""COMPUTED_VALUE"""),44641.0)</f>
        <v>44641</v>
      </c>
      <c r="C5275" s="5"/>
      <c r="D5275" s="5"/>
      <c r="E5275" s="5"/>
      <c r="F5275" s="22">
        <f>IFERROR(__xludf.DUMMYFUNCTION("""COMPUTED_VALUE"""),500000.0)</f>
        <v>500000</v>
      </c>
      <c r="G5275" s="22">
        <f>IFERROR(__xludf.DUMMYFUNCTION("""COMPUTED_VALUE"""),0.0)</f>
        <v>0</v>
      </c>
      <c r="H5275" s="22">
        <f>IFERROR(__xludf.DUMMYFUNCTION("""COMPUTED_VALUE"""),494414.81172)</f>
        <v>494414.8117</v>
      </c>
      <c r="I5275" s="24">
        <f>IFERROR(__xludf.DUMMYFUNCTION("""COMPUTED_VALUE"""),-0.011170376559999973)</f>
        <v>-0.01117037656</v>
      </c>
    </row>
    <row r="5276">
      <c r="A5276" s="5" t="str">
        <f>IFERROR(__xludf.DUMMYFUNCTION("""COMPUTED_VALUE"""),"74641")</f>
        <v>74641</v>
      </c>
      <c r="B5276" s="64">
        <f>IFERROR(__xludf.DUMMYFUNCTION("""COMPUTED_VALUE"""),44642.0)</f>
        <v>44642</v>
      </c>
      <c r="C5276" s="5"/>
      <c r="D5276" s="5"/>
      <c r="E5276" s="5"/>
      <c r="F5276" s="22">
        <f>IFERROR(__xludf.DUMMYFUNCTION("""COMPUTED_VALUE"""),500000.0)</f>
        <v>500000</v>
      </c>
      <c r="G5276" s="22">
        <f>IFERROR(__xludf.DUMMYFUNCTION("""COMPUTED_VALUE"""),0.0)</f>
        <v>0</v>
      </c>
      <c r="H5276" s="22">
        <f>IFERROR(__xludf.DUMMYFUNCTION("""COMPUTED_VALUE"""),494690.04457)</f>
        <v>494690.0446</v>
      </c>
      <c r="I5276" s="24">
        <f>IFERROR(__xludf.DUMMYFUNCTION("""COMPUTED_VALUE"""),-0.010619910859999915)</f>
        <v>-0.01061991086</v>
      </c>
    </row>
    <row r="5277">
      <c r="A5277" s="5" t="str">
        <f>IFERROR(__xludf.DUMMYFUNCTION("""COMPUTED_VALUE"""),"74641")</f>
        <v>74641</v>
      </c>
      <c r="B5277" s="64">
        <f>IFERROR(__xludf.DUMMYFUNCTION("""COMPUTED_VALUE"""),44643.0)</f>
        <v>44643</v>
      </c>
      <c r="C5277" s="5"/>
      <c r="D5277" s="5"/>
      <c r="E5277" s="5"/>
      <c r="F5277" s="22">
        <f>IFERROR(__xludf.DUMMYFUNCTION("""COMPUTED_VALUE"""),500000.0)</f>
        <v>500000</v>
      </c>
      <c r="G5277" s="22">
        <f>IFERROR(__xludf.DUMMYFUNCTION("""COMPUTED_VALUE"""),0.0)</f>
        <v>0</v>
      </c>
      <c r="H5277" s="22">
        <f>IFERROR(__xludf.DUMMYFUNCTION("""COMPUTED_VALUE"""),494685.39051)</f>
        <v>494685.3905</v>
      </c>
      <c r="I5277" s="24">
        <f>IFERROR(__xludf.DUMMYFUNCTION("""COMPUTED_VALUE"""),-0.010629218980000021)</f>
        <v>-0.01062921898</v>
      </c>
    </row>
    <row r="5278">
      <c r="A5278" s="5" t="str">
        <f>IFERROR(__xludf.DUMMYFUNCTION("""COMPUTED_VALUE"""),"74641")</f>
        <v>74641</v>
      </c>
      <c r="B5278" s="64">
        <f>IFERROR(__xludf.DUMMYFUNCTION("""COMPUTED_VALUE"""),44644.0)</f>
        <v>44644</v>
      </c>
      <c r="C5278" s="5"/>
      <c r="D5278" s="5"/>
      <c r="E5278" s="5"/>
      <c r="F5278" s="22">
        <f>IFERROR(__xludf.DUMMYFUNCTION("""COMPUTED_VALUE"""),500000.0)</f>
        <v>500000</v>
      </c>
      <c r="G5278" s="22">
        <f>IFERROR(__xludf.DUMMYFUNCTION("""COMPUTED_VALUE"""),0.0)</f>
        <v>0</v>
      </c>
      <c r="H5278" s="22">
        <f>IFERROR(__xludf.DUMMYFUNCTION("""COMPUTED_VALUE"""),493883.18196)</f>
        <v>493883.182</v>
      </c>
      <c r="I5278" s="24">
        <f>IFERROR(__xludf.DUMMYFUNCTION("""COMPUTED_VALUE"""),-0.012233636079999943)</f>
        <v>-0.01223363608</v>
      </c>
    </row>
    <row r="5279">
      <c r="A5279" s="5" t="str">
        <f>IFERROR(__xludf.DUMMYFUNCTION("""COMPUTED_VALUE"""),"74641")</f>
        <v>74641</v>
      </c>
      <c r="B5279" s="64">
        <f>IFERROR(__xludf.DUMMYFUNCTION("""COMPUTED_VALUE"""),44645.0)</f>
        <v>44645</v>
      </c>
      <c r="C5279" s="5"/>
      <c r="D5279" s="5"/>
      <c r="E5279" s="5"/>
      <c r="F5279" s="22">
        <f>IFERROR(__xludf.DUMMYFUNCTION("""COMPUTED_VALUE"""),500000.0)</f>
        <v>500000</v>
      </c>
      <c r="G5279" s="22">
        <f>IFERROR(__xludf.DUMMYFUNCTION("""COMPUTED_VALUE"""),0.0)</f>
        <v>0</v>
      </c>
      <c r="H5279" s="22">
        <f>IFERROR(__xludf.DUMMYFUNCTION("""COMPUTED_VALUE"""),493461.46958)</f>
        <v>493461.4696</v>
      </c>
      <c r="I5279" s="24">
        <f>IFERROR(__xludf.DUMMYFUNCTION("""COMPUTED_VALUE"""),-0.013077060840000043)</f>
        <v>-0.01307706084</v>
      </c>
    </row>
    <row r="5280">
      <c r="A5280" s="5" t="str">
        <f>IFERROR(__xludf.DUMMYFUNCTION("""COMPUTED_VALUE"""),"74641")</f>
        <v>74641</v>
      </c>
      <c r="B5280" s="64">
        <f>IFERROR(__xludf.DUMMYFUNCTION("""COMPUTED_VALUE"""),44646.0)</f>
        <v>44646</v>
      </c>
      <c r="C5280" s="5"/>
      <c r="D5280" s="5"/>
      <c r="E5280" s="5"/>
      <c r="F5280" s="22">
        <f>IFERROR(__xludf.DUMMYFUNCTION("""COMPUTED_VALUE"""),500000.0)</f>
        <v>500000</v>
      </c>
      <c r="G5280" s="22">
        <f>IFERROR(__xludf.DUMMYFUNCTION("""COMPUTED_VALUE"""),0.0)</f>
        <v>0</v>
      </c>
      <c r="H5280" s="22">
        <f>IFERROR(__xludf.DUMMYFUNCTION("""COMPUTED_VALUE"""),493461.46958)</f>
        <v>493461.4696</v>
      </c>
      <c r="I5280" s="24">
        <f>IFERROR(__xludf.DUMMYFUNCTION("""COMPUTED_VALUE"""),-0.013077060840000043)</f>
        <v>-0.01307706084</v>
      </c>
    </row>
    <row r="5281">
      <c r="A5281" s="5" t="str">
        <f>IFERROR(__xludf.DUMMYFUNCTION("""COMPUTED_VALUE"""),"74641")</f>
        <v>74641</v>
      </c>
      <c r="B5281" s="64">
        <f>IFERROR(__xludf.DUMMYFUNCTION("""COMPUTED_VALUE"""),44647.0)</f>
        <v>44647</v>
      </c>
      <c r="C5281" s="5"/>
      <c r="D5281" s="5"/>
      <c r="E5281" s="5"/>
      <c r="F5281" s="22">
        <f>IFERROR(__xludf.DUMMYFUNCTION("""COMPUTED_VALUE"""),500000.0)</f>
        <v>500000</v>
      </c>
      <c r="G5281" s="22">
        <f>IFERROR(__xludf.DUMMYFUNCTION("""COMPUTED_VALUE"""),0.0)</f>
        <v>0</v>
      </c>
      <c r="H5281" s="22">
        <f>IFERROR(__xludf.DUMMYFUNCTION("""COMPUTED_VALUE"""),493461.46958)</f>
        <v>493461.4696</v>
      </c>
      <c r="I5281" s="24">
        <f>IFERROR(__xludf.DUMMYFUNCTION("""COMPUTED_VALUE"""),-0.013077060840000043)</f>
        <v>-0.01307706084</v>
      </c>
    </row>
    <row r="5282">
      <c r="A5282" s="5" t="str">
        <f>IFERROR(__xludf.DUMMYFUNCTION("""COMPUTED_VALUE"""),"74641")</f>
        <v>74641</v>
      </c>
      <c r="B5282" s="64">
        <f>IFERROR(__xludf.DUMMYFUNCTION("""COMPUTED_VALUE"""),44648.0)</f>
        <v>44648</v>
      </c>
      <c r="C5282" s="5"/>
      <c r="D5282" s="5"/>
      <c r="E5282" s="5"/>
      <c r="F5282" s="22">
        <f>IFERROR(__xludf.DUMMYFUNCTION("""COMPUTED_VALUE"""),500000.0)</f>
        <v>500000</v>
      </c>
      <c r="G5282" s="22">
        <f>IFERROR(__xludf.DUMMYFUNCTION("""COMPUTED_VALUE"""),0.0)</f>
        <v>0</v>
      </c>
      <c r="H5282" s="22">
        <f>IFERROR(__xludf.DUMMYFUNCTION("""COMPUTED_VALUE"""),493334.11518)</f>
        <v>493334.1152</v>
      </c>
      <c r="I5282" s="24">
        <f>IFERROR(__xludf.DUMMYFUNCTION("""COMPUTED_VALUE"""),-0.013331769639999935)</f>
        <v>-0.01333176964</v>
      </c>
    </row>
    <row r="5283">
      <c r="A5283" s="5" t="str">
        <f>IFERROR(__xludf.DUMMYFUNCTION("""COMPUTED_VALUE"""),"74641")</f>
        <v>74641</v>
      </c>
      <c r="B5283" s="64">
        <f>IFERROR(__xludf.DUMMYFUNCTION("""COMPUTED_VALUE"""),44649.0)</f>
        <v>44649</v>
      </c>
      <c r="C5283" s="5"/>
      <c r="D5283" s="5"/>
      <c r="E5283" s="5"/>
      <c r="F5283" s="22">
        <f>IFERROR(__xludf.DUMMYFUNCTION("""COMPUTED_VALUE"""),500000.0)</f>
        <v>500000</v>
      </c>
      <c r="G5283" s="22">
        <f>IFERROR(__xludf.DUMMYFUNCTION("""COMPUTED_VALUE"""),0.0)</f>
        <v>0</v>
      </c>
      <c r="H5283" s="22">
        <f>IFERROR(__xludf.DUMMYFUNCTION("""COMPUTED_VALUE"""),486125.525655)</f>
        <v>486125.5257</v>
      </c>
      <c r="I5283" s="24">
        <f>IFERROR(__xludf.DUMMYFUNCTION("""COMPUTED_VALUE"""),-0.027748948689999997)</f>
        <v>-0.02774894869</v>
      </c>
    </row>
    <row r="5284">
      <c r="A5284" s="5" t="str">
        <f>IFERROR(__xludf.DUMMYFUNCTION("""COMPUTED_VALUE"""),"74641")</f>
        <v>74641</v>
      </c>
      <c r="B5284" s="64">
        <f>IFERROR(__xludf.DUMMYFUNCTION("""COMPUTED_VALUE"""),44650.0)</f>
        <v>44650</v>
      </c>
      <c r="C5284" s="5"/>
      <c r="D5284" s="5"/>
      <c r="E5284" s="5"/>
      <c r="F5284" s="22">
        <f>IFERROR(__xludf.DUMMYFUNCTION("""COMPUTED_VALUE"""),500000.0)</f>
        <v>500000</v>
      </c>
      <c r="G5284" s="22">
        <f>IFERROR(__xludf.DUMMYFUNCTION("""COMPUTED_VALUE"""),0.0)</f>
        <v>0</v>
      </c>
      <c r="H5284" s="22">
        <f>IFERROR(__xludf.DUMMYFUNCTION("""COMPUTED_VALUE"""),515671.8667700001)</f>
        <v>515671.8668</v>
      </c>
      <c r="I5284" s="24">
        <f>IFERROR(__xludf.DUMMYFUNCTION("""COMPUTED_VALUE"""),0.031343733540000196)</f>
        <v>0.03134373354</v>
      </c>
    </row>
    <row r="5285">
      <c r="A5285" s="5" t="str">
        <f>IFERROR(__xludf.DUMMYFUNCTION("""COMPUTED_VALUE"""),"74641")</f>
        <v>74641</v>
      </c>
      <c r="B5285" s="64">
        <f>IFERROR(__xludf.DUMMYFUNCTION("""COMPUTED_VALUE"""),44651.0)</f>
        <v>44651</v>
      </c>
      <c r="C5285" s="5"/>
      <c r="D5285" s="5"/>
      <c r="E5285" s="5"/>
      <c r="F5285" s="22">
        <f>IFERROR(__xludf.DUMMYFUNCTION("""COMPUTED_VALUE"""),500000.0)</f>
        <v>500000</v>
      </c>
      <c r="G5285" s="22">
        <f>IFERROR(__xludf.DUMMYFUNCTION("""COMPUTED_VALUE"""),0.0)</f>
        <v>0</v>
      </c>
      <c r="H5285" s="22">
        <f>IFERROR(__xludf.DUMMYFUNCTION("""COMPUTED_VALUE"""),508855.38719)</f>
        <v>508855.3872</v>
      </c>
      <c r="I5285" s="24">
        <f>IFERROR(__xludf.DUMMYFUNCTION("""COMPUTED_VALUE"""),0.017710774380000016)</f>
        <v>0.01771077438</v>
      </c>
    </row>
    <row r="5286">
      <c r="A5286" s="5" t="str">
        <f>IFERROR(__xludf.DUMMYFUNCTION("""COMPUTED_VALUE"""),"74641")</f>
        <v>74641</v>
      </c>
      <c r="B5286" s="64">
        <f>IFERROR(__xludf.DUMMYFUNCTION("""COMPUTED_VALUE"""),44652.0)</f>
        <v>44652</v>
      </c>
      <c r="C5286" s="5"/>
      <c r="D5286" s="5"/>
      <c r="E5286" s="5"/>
      <c r="F5286" s="22">
        <f>IFERROR(__xludf.DUMMYFUNCTION("""COMPUTED_VALUE"""),500000.0)</f>
        <v>500000</v>
      </c>
      <c r="G5286" s="22">
        <f>IFERROR(__xludf.DUMMYFUNCTION("""COMPUTED_VALUE"""),0.0)</f>
        <v>0</v>
      </c>
      <c r="H5286" s="22">
        <f>IFERROR(__xludf.DUMMYFUNCTION("""COMPUTED_VALUE"""),524003.42702999996)</f>
        <v>524003.427</v>
      </c>
      <c r="I5286" s="24">
        <f>IFERROR(__xludf.DUMMYFUNCTION("""COMPUTED_VALUE"""),0.048006854059999826)</f>
        <v>0.04800685406</v>
      </c>
    </row>
    <row r="5287">
      <c r="A5287" s="5" t="str">
        <f>IFERROR(__xludf.DUMMYFUNCTION("""COMPUTED_VALUE"""),"74641")</f>
        <v>74641</v>
      </c>
      <c r="B5287" s="64">
        <f>IFERROR(__xludf.DUMMYFUNCTION("""COMPUTED_VALUE"""),44653.0)</f>
        <v>44653</v>
      </c>
      <c r="C5287" s="5"/>
      <c r="D5287" s="5"/>
      <c r="E5287" s="5"/>
      <c r="F5287" s="22">
        <f>IFERROR(__xludf.DUMMYFUNCTION("""COMPUTED_VALUE"""),500000.0)</f>
        <v>500000</v>
      </c>
      <c r="G5287" s="22">
        <f>IFERROR(__xludf.DUMMYFUNCTION("""COMPUTED_VALUE"""),0.0)</f>
        <v>0</v>
      </c>
      <c r="H5287" s="22">
        <f>IFERROR(__xludf.DUMMYFUNCTION("""COMPUTED_VALUE"""),524003.42702999996)</f>
        <v>524003.427</v>
      </c>
      <c r="I5287" s="24">
        <f>IFERROR(__xludf.DUMMYFUNCTION("""COMPUTED_VALUE"""),0.048006854059999826)</f>
        <v>0.04800685406</v>
      </c>
    </row>
    <row r="5288">
      <c r="A5288" s="5" t="str">
        <f>IFERROR(__xludf.DUMMYFUNCTION("""COMPUTED_VALUE"""),"74641")</f>
        <v>74641</v>
      </c>
      <c r="B5288" s="64">
        <f>IFERROR(__xludf.DUMMYFUNCTION("""COMPUTED_VALUE"""),44654.0)</f>
        <v>44654</v>
      </c>
      <c r="C5288" s="5"/>
      <c r="D5288" s="5"/>
      <c r="E5288" s="5"/>
      <c r="F5288" s="22">
        <f>IFERROR(__xludf.DUMMYFUNCTION("""COMPUTED_VALUE"""),500000.0)</f>
        <v>500000</v>
      </c>
      <c r="G5288" s="22">
        <f>IFERROR(__xludf.DUMMYFUNCTION("""COMPUTED_VALUE"""),0.0)</f>
        <v>0</v>
      </c>
      <c r="H5288" s="22">
        <f>IFERROR(__xludf.DUMMYFUNCTION("""COMPUTED_VALUE"""),524003.42702999996)</f>
        <v>524003.427</v>
      </c>
      <c r="I5288" s="24">
        <f>IFERROR(__xludf.DUMMYFUNCTION("""COMPUTED_VALUE"""),0.048006854059999826)</f>
        <v>0.04800685406</v>
      </c>
    </row>
    <row r="5289">
      <c r="A5289" s="5" t="str">
        <f>IFERROR(__xludf.DUMMYFUNCTION("""COMPUTED_VALUE"""),"74641")</f>
        <v>74641</v>
      </c>
      <c r="B5289" s="64">
        <f>IFERROR(__xludf.DUMMYFUNCTION("""COMPUTED_VALUE"""),44655.0)</f>
        <v>44655</v>
      </c>
      <c r="C5289" s="5"/>
      <c r="D5289" s="5"/>
      <c r="E5289" s="5"/>
      <c r="F5289" s="22">
        <f>IFERROR(__xludf.DUMMYFUNCTION("""COMPUTED_VALUE"""),500000.0)</f>
        <v>500000</v>
      </c>
      <c r="G5289" s="22">
        <f>IFERROR(__xludf.DUMMYFUNCTION("""COMPUTED_VALUE"""),0.0)</f>
        <v>0</v>
      </c>
      <c r="H5289" s="22">
        <f>IFERROR(__xludf.DUMMYFUNCTION("""COMPUTED_VALUE"""),524003.42702999996)</f>
        <v>524003.427</v>
      </c>
      <c r="I5289" s="24">
        <f>IFERROR(__xludf.DUMMYFUNCTION("""COMPUTED_VALUE"""),0.048006854059999826)</f>
        <v>0.04800685406</v>
      </c>
    </row>
    <row r="5290">
      <c r="A5290" s="5" t="str">
        <f>IFERROR(__xludf.DUMMYFUNCTION("""COMPUTED_VALUE"""),"74641")</f>
        <v>74641</v>
      </c>
      <c r="B5290" s="64">
        <f>IFERROR(__xludf.DUMMYFUNCTION("""COMPUTED_VALUE"""),44656.0)</f>
        <v>44656</v>
      </c>
      <c r="C5290" s="5"/>
      <c r="D5290" s="5"/>
      <c r="E5290" s="5"/>
      <c r="F5290" s="22">
        <f>IFERROR(__xludf.DUMMYFUNCTION("""COMPUTED_VALUE"""),500000.0)</f>
        <v>500000</v>
      </c>
      <c r="G5290" s="22">
        <f>IFERROR(__xludf.DUMMYFUNCTION("""COMPUTED_VALUE"""),0.0)</f>
        <v>0</v>
      </c>
      <c r="H5290" s="22">
        <f>IFERROR(__xludf.DUMMYFUNCTION("""COMPUTED_VALUE"""),524003.42702999996)</f>
        <v>524003.427</v>
      </c>
      <c r="I5290" s="24">
        <f>IFERROR(__xludf.DUMMYFUNCTION("""COMPUTED_VALUE"""),0.048006854059999826)</f>
        <v>0.04800685406</v>
      </c>
    </row>
    <row r="5291">
      <c r="A5291" s="5" t="str">
        <f>IFERROR(__xludf.DUMMYFUNCTION("""COMPUTED_VALUE"""),"74641")</f>
        <v>74641</v>
      </c>
      <c r="B5291" s="64">
        <f>IFERROR(__xludf.DUMMYFUNCTION("""COMPUTED_VALUE"""),44657.0)</f>
        <v>44657</v>
      </c>
      <c r="C5291" s="5"/>
      <c r="D5291" s="5"/>
      <c r="E5291" s="5"/>
      <c r="F5291" s="22">
        <f>IFERROR(__xludf.DUMMYFUNCTION("""COMPUTED_VALUE"""),500000.0)</f>
        <v>500000</v>
      </c>
      <c r="G5291" s="22">
        <f>IFERROR(__xludf.DUMMYFUNCTION("""COMPUTED_VALUE"""),0.0)</f>
        <v>0</v>
      </c>
      <c r="H5291" s="22">
        <f>IFERROR(__xludf.DUMMYFUNCTION("""COMPUTED_VALUE"""),513570.10777)</f>
        <v>513570.1078</v>
      </c>
      <c r="I5291" s="24">
        <f>IFERROR(__xludf.DUMMYFUNCTION("""COMPUTED_VALUE"""),0.027140215540000012)</f>
        <v>0.02714021554</v>
      </c>
    </row>
    <row r="5292">
      <c r="A5292" s="5" t="str">
        <f>IFERROR(__xludf.DUMMYFUNCTION("""COMPUTED_VALUE"""),"74641")</f>
        <v>74641</v>
      </c>
      <c r="B5292" s="64">
        <f>IFERROR(__xludf.DUMMYFUNCTION("""COMPUTED_VALUE"""),44658.0)</f>
        <v>44658</v>
      </c>
      <c r="C5292" s="5"/>
      <c r="D5292" s="5"/>
      <c r="E5292" s="5"/>
      <c r="F5292" s="22">
        <f>IFERROR(__xludf.DUMMYFUNCTION("""COMPUTED_VALUE"""),500000.0)</f>
        <v>500000</v>
      </c>
      <c r="G5292" s="22">
        <f>IFERROR(__xludf.DUMMYFUNCTION("""COMPUTED_VALUE"""),0.0)</f>
        <v>0</v>
      </c>
      <c r="H5292" s="22">
        <f>IFERROR(__xludf.DUMMYFUNCTION("""COMPUTED_VALUE"""),514264.4248750001)</f>
        <v>514264.4249</v>
      </c>
      <c r="I5292" s="24">
        <f>IFERROR(__xludf.DUMMYFUNCTION("""COMPUTED_VALUE"""),0.02852884975000025)</f>
        <v>0.02852884975</v>
      </c>
    </row>
    <row r="5293">
      <c r="A5293" s="5" t="str">
        <f>IFERROR(__xludf.DUMMYFUNCTION("""COMPUTED_VALUE"""),"74641")</f>
        <v>74641</v>
      </c>
      <c r="B5293" s="64">
        <f>IFERROR(__xludf.DUMMYFUNCTION("""COMPUTED_VALUE"""),44659.0)</f>
        <v>44659</v>
      </c>
      <c r="C5293" s="5"/>
      <c r="D5293" s="5"/>
      <c r="E5293" s="5"/>
      <c r="F5293" s="22">
        <f>IFERROR(__xludf.DUMMYFUNCTION("""COMPUTED_VALUE"""),500000.0)</f>
        <v>500000</v>
      </c>
      <c r="G5293" s="22">
        <f>IFERROR(__xludf.DUMMYFUNCTION("""COMPUTED_VALUE"""),0.0)</f>
        <v>0</v>
      </c>
      <c r="H5293" s="22">
        <f>IFERROR(__xludf.DUMMYFUNCTION("""COMPUTED_VALUE"""),516045.437575)</f>
        <v>516045.4376</v>
      </c>
      <c r="I5293" s="24">
        <f>IFERROR(__xludf.DUMMYFUNCTION("""COMPUTED_VALUE"""),0.032090875149999976)</f>
        <v>0.03209087515</v>
      </c>
    </row>
    <row r="5294">
      <c r="A5294" s="5" t="str">
        <f>IFERROR(__xludf.DUMMYFUNCTION("""COMPUTED_VALUE"""),"74641")</f>
        <v>74641</v>
      </c>
      <c r="B5294" s="64">
        <f>IFERROR(__xludf.DUMMYFUNCTION("""COMPUTED_VALUE"""),44660.0)</f>
        <v>44660</v>
      </c>
      <c r="C5294" s="5"/>
      <c r="D5294" s="5"/>
      <c r="E5294" s="5"/>
      <c r="F5294" s="22">
        <f>IFERROR(__xludf.DUMMYFUNCTION("""COMPUTED_VALUE"""),500000.0)</f>
        <v>500000</v>
      </c>
      <c r="G5294" s="22">
        <f>IFERROR(__xludf.DUMMYFUNCTION("""COMPUTED_VALUE"""),0.0)</f>
        <v>0</v>
      </c>
      <c r="H5294" s="22">
        <f>IFERROR(__xludf.DUMMYFUNCTION("""COMPUTED_VALUE"""),516045.437575)</f>
        <v>516045.4376</v>
      </c>
      <c r="I5294" s="24">
        <f>IFERROR(__xludf.DUMMYFUNCTION("""COMPUTED_VALUE"""),0.032090875149999976)</f>
        <v>0.03209087515</v>
      </c>
    </row>
    <row r="5295">
      <c r="A5295" s="5" t="str">
        <f>IFERROR(__xludf.DUMMYFUNCTION("""COMPUTED_VALUE"""),"74641")</f>
        <v>74641</v>
      </c>
      <c r="B5295" s="64">
        <f>IFERROR(__xludf.DUMMYFUNCTION("""COMPUTED_VALUE"""),44661.0)</f>
        <v>44661</v>
      </c>
      <c r="C5295" s="5"/>
      <c r="D5295" s="5"/>
      <c r="E5295" s="5"/>
      <c r="F5295" s="22">
        <f>IFERROR(__xludf.DUMMYFUNCTION("""COMPUTED_VALUE"""),500000.0)</f>
        <v>500000</v>
      </c>
      <c r="G5295" s="22">
        <f>IFERROR(__xludf.DUMMYFUNCTION("""COMPUTED_VALUE"""),0.0)</f>
        <v>0</v>
      </c>
      <c r="H5295" s="22">
        <f>IFERROR(__xludf.DUMMYFUNCTION("""COMPUTED_VALUE"""),516045.437575)</f>
        <v>516045.4376</v>
      </c>
      <c r="I5295" s="24">
        <f>IFERROR(__xludf.DUMMYFUNCTION("""COMPUTED_VALUE"""),0.032090875149999976)</f>
        <v>0.03209087515</v>
      </c>
    </row>
    <row r="5296">
      <c r="A5296" s="5" t="str">
        <f>IFERROR(__xludf.DUMMYFUNCTION("""COMPUTED_VALUE"""),"74641")</f>
        <v>74641</v>
      </c>
      <c r="B5296" s="64">
        <f>IFERROR(__xludf.DUMMYFUNCTION("""COMPUTED_VALUE"""),44662.0)</f>
        <v>44662</v>
      </c>
      <c r="C5296" s="5"/>
      <c r="D5296" s="5"/>
      <c r="E5296" s="5"/>
      <c r="F5296" s="22">
        <f>IFERROR(__xludf.DUMMYFUNCTION("""COMPUTED_VALUE"""),500000.0)</f>
        <v>500000</v>
      </c>
      <c r="G5296" s="22">
        <f>IFERROR(__xludf.DUMMYFUNCTION("""COMPUTED_VALUE"""),0.0)</f>
        <v>0</v>
      </c>
      <c r="H5296" s="22">
        <f>IFERROR(__xludf.DUMMYFUNCTION("""COMPUTED_VALUE"""),488394.32428999996)</f>
        <v>488394.3243</v>
      </c>
      <c r="I5296" s="24">
        <f>IFERROR(__xludf.DUMMYFUNCTION("""COMPUTED_VALUE"""),-0.02321135142000008)</f>
        <v>-0.02321135142</v>
      </c>
    </row>
    <row r="5297">
      <c r="A5297" s="5" t="str">
        <f>IFERROR(__xludf.DUMMYFUNCTION("""COMPUTED_VALUE"""),"74641")</f>
        <v>74641</v>
      </c>
      <c r="B5297" s="64">
        <f>IFERROR(__xludf.DUMMYFUNCTION("""COMPUTED_VALUE"""),44663.0)</f>
        <v>44663</v>
      </c>
      <c r="C5297" s="5"/>
      <c r="D5297" s="5"/>
      <c r="E5297" s="5"/>
      <c r="F5297" s="22">
        <f>IFERROR(__xludf.DUMMYFUNCTION("""COMPUTED_VALUE"""),500000.0)</f>
        <v>500000</v>
      </c>
      <c r="G5297" s="22">
        <f>IFERROR(__xludf.DUMMYFUNCTION("""COMPUTED_VALUE"""),0.0)</f>
        <v>0</v>
      </c>
      <c r="H5297" s="22">
        <f>IFERROR(__xludf.DUMMYFUNCTION("""COMPUTED_VALUE"""),528667.9207799999)</f>
        <v>528667.9208</v>
      </c>
      <c r="I5297" s="24">
        <f>IFERROR(__xludf.DUMMYFUNCTION("""COMPUTED_VALUE"""),0.05733584155999982)</f>
        <v>0.05733584156</v>
      </c>
    </row>
    <row r="5298">
      <c r="A5298" s="5" t="str">
        <f>IFERROR(__xludf.DUMMYFUNCTION("""COMPUTED_VALUE"""),"74972")</f>
        <v>74972</v>
      </c>
      <c r="B5298" s="64">
        <f>IFERROR(__xludf.DUMMYFUNCTION("""COMPUTED_VALUE"""),44597.0)</f>
        <v>44597</v>
      </c>
      <c r="C5298" s="5"/>
      <c r="D5298" s="5"/>
      <c r="E5298" s="5"/>
      <c r="F5298" s="22">
        <f>IFERROR(__xludf.DUMMYFUNCTION("""COMPUTED_VALUE"""),500000.0)</f>
        <v>500000</v>
      </c>
      <c r="G5298" s="22">
        <f>IFERROR(__xludf.DUMMYFUNCTION("""COMPUTED_VALUE"""),0.0)</f>
        <v>0</v>
      </c>
      <c r="H5298" s="22">
        <f>IFERROR(__xludf.DUMMYFUNCTION("""COMPUTED_VALUE"""),500000.0)</f>
        <v>500000</v>
      </c>
      <c r="I5298" s="24">
        <f>IFERROR(__xludf.DUMMYFUNCTION("""COMPUTED_VALUE"""),0.0)</f>
        <v>0</v>
      </c>
    </row>
    <row r="5299">
      <c r="A5299" s="5" t="str">
        <f>IFERROR(__xludf.DUMMYFUNCTION("""COMPUTED_VALUE"""),"74972")</f>
        <v>74972</v>
      </c>
      <c r="B5299" s="64">
        <f>IFERROR(__xludf.DUMMYFUNCTION("""COMPUTED_VALUE"""),44598.0)</f>
        <v>44598</v>
      </c>
      <c r="C5299" s="5"/>
      <c r="D5299" s="5"/>
      <c r="E5299" s="5"/>
      <c r="F5299" s="22">
        <f>IFERROR(__xludf.DUMMYFUNCTION("""COMPUTED_VALUE"""),500000.0)</f>
        <v>500000</v>
      </c>
      <c r="G5299" s="22">
        <f>IFERROR(__xludf.DUMMYFUNCTION("""COMPUTED_VALUE"""),0.0)</f>
        <v>0</v>
      </c>
      <c r="H5299" s="22">
        <f>IFERROR(__xludf.DUMMYFUNCTION("""COMPUTED_VALUE"""),500000.0)</f>
        <v>500000</v>
      </c>
      <c r="I5299" s="24">
        <f>IFERROR(__xludf.DUMMYFUNCTION("""COMPUTED_VALUE"""),0.0)</f>
        <v>0</v>
      </c>
    </row>
    <row r="5300">
      <c r="A5300" s="5" t="str">
        <f>IFERROR(__xludf.DUMMYFUNCTION("""COMPUTED_VALUE"""),"74972")</f>
        <v>74972</v>
      </c>
      <c r="B5300" s="64">
        <f>IFERROR(__xludf.DUMMYFUNCTION("""COMPUTED_VALUE"""),44599.0)</f>
        <v>44599</v>
      </c>
      <c r="C5300" s="5"/>
      <c r="D5300" s="5"/>
      <c r="E5300" s="5"/>
      <c r="F5300" s="22">
        <f>IFERROR(__xludf.DUMMYFUNCTION("""COMPUTED_VALUE"""),500000.0)</f>
        <v>500000</v>
      </c>
      <c r="G5300" s="22">
        <f>IFERROR(__xludf.DUMMYFUNCTION("""COMPUTED_VALUE"""),0.0)</f>
        <v>0</v>
      </c>
      <c r="H5300" s="22">
        <f>IFERROR(__xludf.DUMMYFUNCTION("""COMPUTED_VALUE"""),500000.0)</f>
        <v>500000</v>
      </c>
      <c r="I5300" s="24">
        <f>IFERROR(__xludf.DUMMYFUNCTION("""COMPUTED_VALUE"""),0.0)</f>
        <v>0</v>
      </c>
    </row>
    <row r="5301">
      <c r="A5301" s="5" t="str">
        <f>IFERROR(__xludf.DUMMYFUNCTION("""COMPUTED_VALUE"""),"74972")</f>
        <v>74972</v>
      </c>
      <c r="B5301" s="64">
        <f>IFERROR(__xludf.DUMMYFUNCTION("""COMPUTED_VALUE"""),44600.0)</f>
        <v>44600</v>
      </c>
      <c r="C5301" s="5"/>
      <c r="D5301" s="5"/>
      <c r="E5301" s="5"/>
      <c r="F5301" s="22">
        <f>IFERROR(__xludf.DUMMYFUNCTION("""COMPUTED_VALUE"""),500000.0)</f>
        <v>500000</v>
      </c>
      <c r="G5301" s="22">
        <f>IFERROR(__xludf.DUMMYFUNCTION("""COMPUTED_VALUE"""),0.0)</f>
        <v>0</v>
      </c>
      <c r="H5301" s="22">
        <f>IFERROR(__xludf.DUMMYFUNCTION("""COMPUTED_VALUE"""),500000.0)</f>
        <v>500000</v>
      </c>
      <c r="I5301" s="24">
        <f>IFERROR(__xludf.DUMMYFUNCTION("""COMPUTED_VALUE"""),0.0)</f>
        <v>0</v>
      </c>
    </row>
    <row r="5302">
      <c r="A5302" s="5" t="str">
        <f>IFERROR(__xludf.DUMMYFUNCTION("""COMPUTED_VALUE"""),"74972")</f>
        <v>74972</v>
      </c>
      <c r="B5302" s="64">
        <f>IFERROR(__xludf.DUMMYFUNCTION("""COMPUTED_VALUE"""),44601.0)</f>
        <v>44601</v>
      </c>
      <c r="C5302" s="5"/>
      <c r="D5302" s="5"/>
      <c r="E5302" s="5"/>
      <c r="F5302" s="22">
        <f>IFERROR(__xludf.DUMMYFUNCTION("""COMPUTED_VALUE"""),500000.0)</f>
        <v>500000</v>
      </c>
      <c r="G5302" s="22">
        <f>IFERROR(__xludf.DUMMYFUNCTION("""COMPUTED_VALUE"""),0.0)</f>
        <v>0</v>
      </c>
      <c r="H5302" s="22">
        <f>IFERROR(__xludf.DUMMYFUNCTION("""COMPUTED_VALUE"""),500000.0)</f>
        <v>500000</v>
      </c>
      <c r="I5302" s="24">
        <f>IFERROR(__xludf.DUMMYFUNCTION("""COMPUTED_VALUE"""),0.0)</f>
        <v>0</v>
      </c>
    </row>
    <row r="5303">
      <c r="A5303" s="5" t="str">
        <f>IFERROR(__xludf.DUMMYFUNCTION("""COMPUTED_VALUE"""),"74972")</f>
        <v>74972</v>
      </c>
      <c r="B5303" s="64">
        <f>IFERROR(__xludf.DUMMYFUNCTION("""COMPUTED_VALUE"""),44602.0)</f>
        <v>44602</v>
      </c>
      <c r="C5303" s="5"/>
      <c r="D5303" s="5"/>
      <c r="E5303" s="5"/>
      <c r="F5303" s="22">
        <f>IFERROR(__xludf.DUMMYFUNCTION("""COMPUTED_VALUE"""),500000.0)</f>
        <v>500000</v>
      </c>
      <c r="G5303" s="22">
        <f>IFERROR(__xludf.DUMMYFUNCTION("""COMPUTED_VALUE"""),0.0)</f>
        <v>0</v>
      </c>
      <c r="H5303" s="22">
        <f>IFERROR(__xludf.DUMMYFUNCTION("""COMPUTED_VALUE"""),500000.0)</f>
        <v>500000</v>
      </c>
      <c r="I5303" s="24">
        <f>IFERROR(__xludf.DUMMYFUNCTION("""COMPUTED_VALUE"""),0.0)</f>
        <v>0</v>
      </c>
    </row>
    <row r="5304">
      <c r="A5304" s="5" t="str">
        <f>IFERROR(__xludf.DUMMYFUNCTION("""COMPUTED_VALUE"""),"74972")</f>
        <v>74972</v>
      </c>
      <c r="B5304" s="64">
        <f>IFERROR(__xludf.DUMMYFUNCTION("""COMPUTED_VALUE"""),44603.0)</f>
        <v>44603</v>
      </c>
      <c r="C5304" s="5"/>
      <c r="D5304" s="5"/>
      <c r="E5304" s="5"/>
      <c r="F5304" s="22">
        <f>IFERROR(__xludf.DUMMYFUNCTION("""COMPUTED_VALUE"""),500000.0)</f>
        <v>500000</v>
      </c>
      <c r="G5304" s="22">
        <f>IFERROR(__xludf.DUMMYFUNCTION("""COMPUTED_VALUE"""),0.0)</f>
        <v>0</v>
      </c>
      <c r="H5304" s="22">
        <f>IFERROR(__xludf.DUMMYFUNCTION("""COMPUTED_VALUE"""),500000.0)</f>
        <v>500000</v>
      </c>
      <c r="I5304" s="24">
        <f>IFERROR(__xludf.DUMMYFUNCTION("""COMPUTED_VALUE"""),0.0)</f>
        <v>0</v>
      </c>
    </row>
    <row r="5305">
      <c r="A5305" s="5" t="str">
        <f>IFERROR(__xludf.DUMMYFUNCTION("""COMPUTED_VALUE"""),"74972")</f>
        <v>74972</v>
      </c>
      <c r="B5305" s="64">
        <f>IFERROR(__xludf.DUMMYFUNCTION("""COMPUTED_VALUE"""),44604.0)</f>
        <v>44604</v>
      </c>
      <c r="C5305" s="5"/>
      <c r="D5305" s="5"/>
      <c r="E5305" s="5"/>
      <c r="F5305" s="22">
        <f>IFERROR(__xludf.DUMMYFUNCTION("""COMPUTED_VALUE"""),500000.0)</f>
        <v>500000</v>
      </c>
      <c r="G5305" s="22">
        <f>IFERROR(__xludf.DUMMYFUNCTION("""COMPUTED_VALUE"""),0.0)</f>
        <v>0</v>
      </c>
      <c r="H5305" s="22">
        <f>IFERROR(__xludf.DUMMYFUNCTION("""COMPUTED_VALUE"""),500000.0)</f>
        <v>500000</v>
      </c>
      <c r="I5305" s="24">
        <f>IFERROR(__xludf.DUMMYFUNCTION("""COMPUTED_VALUE"""),0.0)</f>
        <v>0</v>
      </c>
    </row>
    <row r="5306">
      <c r="A5306" s="5" t="str">
        <f>IFERROR(__xludf.DUMMYFUNCTION("""COMPUTED_VALUE"""),"74972")</f>
        <v>74972</v>
      </c>
      <c r="B5306" s="64">
        <f>IFERROR(__xludf.DUMMYFUNCTION("""COMPUTED_VALUE"""),44605.0)</f>
        <v>44605</v>
      </c>
      <c r="C5306" s="5"/>
      <c r="D5306" s="5"/>
      <c r="E5306" s="5"/>
      <c r="F5306" s="22">
        <f>IFERROR(__xludf.DUMMYFUNCTION("""COMPUTED_VALUE"""),500000.0)</f>
        <v>500000</v>
      </c>
      <c r="G5306" s="22">
        <f>IFERROR(__xludf.DUMMYFUNCTION("""COMPUTED_VALUE"""),0.0)</f>
        <v>0</v>
      </c>
      <c r="H5306" s="22">
        <f>IFERROR(__xludf.DUMMYFUNCTION("""COMPUTED_VALUE"""),500000.0)</f>
        <v>500000</v>
      </c>
      <c r="I5306" s="24">
        <f>IFERROR(__xludf.DUMMYFUNCTION("""COMPUTED_VALUE"""),0.0)</f>
        <v>0</v>
      </c>
    </row>
    <row r="5307">
      <c r="A5307" s="5" t="str">
        <f>IFERROR(__xludf.DUMMYFUNCTION("""COMPUTED_VALUE"""),"74972")</f>
        <v>74972</v>
      </c>
      <c r="B5307" s="64">
        <f>IFERROR(__xludf.DUMMYFUNCTION("""COMPUTED_VALUE"""),44606.0)</f>
        <v>44606</v>
      </c>
      <c r="C5307" s="5"/>
      <c r="D5307" s="5"/>
      <c r="E5307" s="5"/>
      <c r="F5307" s="22">
        <f>IFERROR(__xludf.DUMMYFUNCTION("""COMPUTED_VALUE"""),500000.0)</f>
        <v>500000</v>
      </c>
      <c r="G5307" s="22">
        <f>IFERROR(__xludf.DUMMYFUNCTION("""COMPUTED_VALUE"""),0.0)</f>
        <v>0</v>
      </c>
      <c r="H5307" s="22">
        <f>IFERROR(__xludf.DUMMYFUNCTION("""COMPUTED_VALUE"""),500000.0)</f>
        <v>500000</v>
      </c>
      <c r="I5307" s="24">
        <f>IFERROR(__xludf.DUMMYFUNCTION("""COMPUTED_VALUE"""),0.0)</f>
        <v>0</v>
      </c>
    </row>
    <row r="5308">
      <c r="A5308" s="5" t="str">
        <f>IFERROR(__xludf.DUMMYFUNCTION("""COMPUTED_VALUE"""),"74972")</f>
        <v>74972</v>
      </c>
      <c r="B5308" s="64">
        <f>IFERROR(__xludf.DUMMYFUNCTION("""COMPUTED_VALUE"""),44607.0)</f>
        <v>44607</v>
      </c>
      <c r="C5308" s="5"/>
      <c r="D5308" s="5"/>
      <c r="E5308" s="5"/>
      <c r="F5308" s="22">
        <f>IFERROR(__xludf.DUMMYFUNCTION("""COMPUTED_VALUE"""),500000.0)</f>
        <v>500000</v>
      </c>
      <c r="G5308" s="22">
        <f>IFERROR(__xludf.DUMMYFUNCTION("""COMPUTED_VALUE"""),0.0)</f>
        <v>0</v>
      </c>
      <c r="H5308" s="22">
        <f>IFERROR(__xludf.DUMMYFUNCTION("""COMPUTED_VALUE"""),500000.0)</f>
        <v>500000</v>
      </c>
      <c r="I5308" s="24">
        <f>IFERROR(__xludf.DUMMYFUNCTION("""COMPUTED_VALUE"""),0.0)</f>
        <v>0</v>
      </c>
    </row>
    <row r="5309">
      <c r="A5309" s="5" t="str">
        <f>IFERROR(__xludf.DUMMYFUNCTION("""COMPUTED_VALUE"""),"74972")</f>
        <v>74972</v>
      </c>
      <c r="B5309" s="64">
        <f>IFERROR(__xludf.DUMMYFUNCTION("""COMPUTED_VALUE"""),44608.0)</f>
        <v>44608</v>
      </c>
      <c r="C5309" s="5"/>
      <c r="D5309" s="5"/>
      <c r="E5309" s="5"/>
      <c r="F5309" s="22">
        <f>IFERROR(__xludf.DUMMYFUNCTION("""COMPUTED_VALUE"""),500000.0)</f>
        <v>500000</v>
      </c>
      <c r="G5309" s="22">
        <f>IFERROR(__xludf.DUMMYFUNCTION("""COMPUTED_VALUE"""),0.0)</f>
        <v>0</v>
      </c>
      <c r="H5309" s="22">
        <f>IFERROR(__xludf.DUMMYFUNCTION("""COMPUTED_VALUE"""),500000.0)</f>
        <v>500000</v>
      </c>
      <c r="I5309" s="24">
        <f>IFERROR(__xludf.DUMMYFUNCTION("""COMPUTED_VALUE"""),0.0)</f>
        <v>0</v>
      </c>
    </row>
    <row r="5310">
      <c r="A5310" s="5" t="str">
        <f>IFERROR(__xludf.DUMMYFUNCTION("""COMPUTED_VALUE"""),"74972")</f>
        <v>74972</v>
      </c>
      <c r="B5310" s="64">
        <f>IFERROR(__xludf.DUMMYFUNCTION("""COMPUTED_VALUE"""),44609.0)</f>
        <v>44609</v>
      </c>
      <c r="C5310" s="5"/>
      <c r="D5310" s="5"/>
      <c r="E5310" s="5"/>
      <c r="F5310" s="22">
        <f>IFERROR(__xludf.DUMMYFUNCTION("""COMPUTED_VALUE"""),500000.0)</f>
        <v>500000</v>
      </c>
      <c r="G5310" s="22">
        <f>IFERROR(__xludf.DUMMYFUNCTION("""COMPUTED_VALUE"""),0.0)</f>
        <v>0</v>
      </c>
      <c r="H5310" s="22">
        <f>IFERROR(__xludf.DUMMYFUNCTION("""COMPUTED_VALUE"""),500000.0)</f>
        <v>500000</v>
      </c>
      <c r="I5310" s="24">
        <f>IFERROR(__xludf.DUMMYFUNCTION("""COMPUTED_VALUE"""),0.0)</f>
        <v>0</v>
      </c>
    </row>
    <row r="5311">
      <c r="A5311" s="5" t="str">
        <f>IFERROR(__xludf.DUMMYFUNCTION("""COMPUTED_VALUE"""),"74972")</f>
        <v>74972</v>
      </c>
      <c r="B5311" s="64">
        <f>IFERROR(__xludf.DUMMYFUNCTION("""COMPUTED_VALUE"""),44610.0)</f>
        <v>44610</v>
      </c>
      <c r="C5311" s="5"/>
      <c r="D5311" s="5"/>
      <c r="E5311" s="5"/>
      <c r="F5311" s="22">
        <f>IFERROR(__xludf.DUMMYFUNCTION("""COMPUTED_VALUE"""),500000.0)</f>
        <v>500000</v>
      </c>
      <c r="G5311" s="22">
        <f>IFERROR(__xludf.DUMMYFUNCTION("""COMPUTED_VALUE"""),0.0)</f>
        <v>0</v>
      </c>
      <c r="H5311" s="22">
        <f>IFERROR(__xludf.DUMMYFUNCTION("""COMPUTED_VALUE"""),500000.0)</f>
        <v>500000</v>
      </c>
      <c r="I5311" s="24">
        <f>IFERROR(__xludf.DUMMYFUNCTION("""COMPUTED_VALUE"""),0.0)</f>
        <v>0</v>
      </c>
    </row>
    <row r="5312">
      <c r="A5312" s="5" t="str">
        <f>IFERROR(__xludf.DUMMYFUNCTION("""COMPUTED_VALUE"""),"74972")</f>
        <v>74972</v>
      </c>
      <c r="B5312" s="64">
        <f>IFERROR(__xludf.DUMMYFUNCTION("""COMPUTED_VALUE"""),44611.0)</f>
        <v>44611</v>
      </c>
      <c r="C5312" s="5"/>
      <c r="D5312" s="5"/>
      <c r="E5312" s="5"/>
      <c r="F5312" s="22">
        <f>IFERROR(__xludf.DUMMYFUNCTION("""COMPUTED_VALUE"""),500000.0)</f>
        <v>500000</v>
      </c>
      <c r="G5312" s="22">
        <f>IFERROR(__xludf.DUMMYFUNCTION("""COMPUTED_VALUE"""),0.0)</f>
        <v>0</v>
      </c>
      <c r="H5312" s="22">
        <f>IFERROR(__xludf.DUMMYFUNCTION("""COMPUTED_VALUE"""),500000.0)</f>
        <v>500000</v>
      </c>
      <c r="I5312" s="24">
        <f>IFERROR(__xludf.DUMMYFUNCTION("""COMPUTED_VALUE"""),0.0)</f>
        <v>0</v>
      </c>
    </row>
    <row r="5313">
      <c r="A5313" s="5" t="str">
        <f>IFERROR(__xludf.DUMMYFUNCTION("""COMPUTED_VALUE"""),"74972")</f>
        <v>74972</v>
      </c>
      <c r="B5313" s="64">
        <f>IFERROR(__xludf.DUMMYFUNCTION("""COMPUTED_VALUE"""),44612.0)</f>
        <v>44612</v>
      </c>
      <c r="C5313" s="5"/>
      <c r="D5313" s="5"/>
      <c r="E5313" s="5"/>
      <c r="F5313" s="22">
        <f>IFERROR(__xludf.DUMMYFUNCTION("""COMPUTED_VALUE"""),500000.0)</f>
        <v>500000</v>
      </c>
      <c r="G5313" s="22">
        <f>IFERROR(__xludf.DUMMYFUNCTION("""COMPUTED_VALUE"""),0.0)</f>
        <v>0</v>
      </c>
      <c r="H5313" s="22">
        <f>IFERROR(__xludf.DUMMYFUNCTION("""COMPUTED_VALUE"""),500000.0)</f>
        <v>500000</v>
      </c>
      <c r="I5313" s="24">
        <f>IFERROR(__xludf.DUMMYFUNCTION("""COMPUTED_VALUE"""),0.0)</f>
        <v>0</v>
      </c>
    </row>
    <row r="5314">
      <c r="A5314" s="5" t="str">
        <f>IFERROR(__xludf.DUMMYFUNCTION("""COMPUTED_VALUE"""),"74972")</f>
        <v>74972</v>
      </c>
      <c r="B5314" s="64">
        <f>IFERROR(__xludf.DUMMYFUNCTION("""COMPUTED_VALUE"""),44613.0)</f>
        <v>44613</v>
      </c>
      <c r="C5314" s="5"/>
      <c r="D5314" s="5"/>
      <c r="E5314" s="5"/>
      <c r="F5314" s="22">
        <f>IFERROR(__xludf.DUMMYFUNCTION("""COMPUTED_VALUE"""),500000.0)</f>
        <v>500000</v>
      </c>
      <c r="G5314" s="22">
        <f>IFERROR(__xludf.DUMMYFUNCTION("""COMPUTED_VALUE"""),0.0)</f>
        <v>0</v>
      </c>
      <c r="H5314" s="22">
        <f>IFERROR(__xludf.DUMMYFUNCTION("""COMPUTED_VALUE"""),500000.0)</f>
        <v>500000</v>
      </c>
      <c r="I5314" s="24">
        <f>IFERROR(__xludf.DUMMYFUNCTION("""COMPUTED_VALUE"""),0.0)</f>
        <v>0</v>
      </c>
    </row>
    <row r="5315">
      <c r="A5315" s="5" t="str">
        <f>IFERROR(__xludf.DUMMYFUNCTION("""COMPUTED_VALUE"""),"74972")</f>
        <v>74972</v>
      </c>
      <c r="B5315" s="64">
        <f>IFERROR(__xludf.DUMMYFUNCTION("""COMPUTED_VALUE"""),44614.0)</f>
        <v>44614</v>
      </c>
      <c r="C5315" s="5"/>
      <c r="D5315" s="5"/>
      <c r="E5315" s="5"/>
      <c r="F5315" s="22">
        <f>IFERROR(__xludf.DUMMYFUNCTION("""COMPUTED_VALUE"""),500000.0)</f>
        <v>500000</v>
      </c>
      <c r="G5315" s="22">
        <f>IFERROR(__xludf.DUMMYFUNCTION("""COMPUTED_VALUE"""),0.0)</f>
        <v>0</v>
      </c>
      <c r="H5315" s="22">
        <f>IFERROR(__xludf.DUMMYFUNCTION("""COMPUTED_VALUE"""),500000.0)</f>
        <v>500000</v>
      </c>
      <c r="I5315" s="24">
        <f>IFERROR(__xludf.DUMMYFUNCTION("""COMPUTED_VALUE"""),0.0)</f>
        <v>0</v>
      </c>
    </row>
    <row r="5316">
      <c r="A5316" s="5" t="str">
        <f>IFERROR(__xludf.DUMMYFUNCTION("""COMPUTED_VALUE"""),"74972")</f>
        <v>74972</v>
      </c>
      <c r="B5316" s="64">
        <f>IFERROR(__xludf.DUMMYFUNCTION("""COMPUTED_VALUE"""),44615.0)</f>
        <v>44615</v>
      </c>
      <c r="C5316" s="5"/>
      <c r="D5316" s="5"/>
      <c r="E5316" s="5"/>
      <c r="F5316" s="22">
        <f>IFERROR(__xludf.DUMMYFUNCTION("""COMPUTED_VALUE"""),500000.0)</f>
        <v>500000</v>
      </c>
      <c r="G5316" s="22">
        <f>IFERROR(__xludf.DUMMYFUNCTION("""COMPUTED_VALUE"""),0.0)</f>
        <v>0</v>
      </c>
      <c r="H5316" s="22">
        <f>IFERROR(__xludf.DUMMYFUNCTION("""COMPUTED_VALUE"""),500000.0)</f>
        <v>500000</v>
      </c>
      <c r="I5316" s="24">
        <f>IFERROR(__xludf.DUMMYFUNCTION("""COMPUTED_VALUE"""),0.0)</f>
        <v>0</v>
      </c>
    </row>
    <row r="5317">
      <c r="A5317" s="5" t="str">
        <f>IFERROR(__xludf.DUMMYFUNCTION("""COMPUTED_VALUE"""),"74972")</f>
        <v>74972</v>
      </c>
      <c r="B5317" s="64">
        <f>IFERROR(__xludf.DUMMYFUNCTION("""COMPUTED_VALUE"""),44616.0)</f>
        <v>44616</v>
      </c>
      <c r="C5317" s="5"/>
      <c r="D5317" s="5"/>
      <c r="E5317" s="5"/>
      <c r="F5317" s="22">
        <f>IFERROR(__xludf.DUMMYFUNCTION("""COMPUTED_VALUE"""),500000.0)</f>
        <v>500000</v>
      </c>
      <c r="G5317" s="22">
        <f>IFERROR(__xludf.DUMMYFUNCTION("""COMPUTED_VALUE"""),0.0)</f>
        <v>0</v>
      </c>
      <c r="H5317" s="22">
        <f>IFERROR(__xludf.DUMMYFUNCTION("""COMPUTED_VALUE"""),500000.0)</f>
        <v>500000</v>
      </c>
      <c r="I5317" s="24">
        <f>IFERROR(__xludf.DUMMYFUNCTION("""COMPUTED_VALUE"""),0.0)</f>
        <v>0</v>
      </c>
    </row>
    <row r="5318">
      <c r="A5318" s="5" t="str">
        <f>IFERROR(__xludf.DUMMYFUNCTION("""COMPUTED_VALUE"""),"74972")</f>
        <v>74972</v>
      </c>
      <c r="B5318" s="64">
        <f>IFERROR(__xludf.DUMMYFUNCTION("""COMPUTED_VALUE"""),44617.0)</f>
        <v>44617</v>
      </c>
      <c r="C5318" s="5"/>
      <c r="D5318" s="5"/>
      <c r="E5318" s="5"/>
      <c r="F5318" s="22">
        <f>IFERROR(__xludf.DUMMYFUNCTION("""COMPUTED_VALUE"""),500000.0)</f>
        <v>500000</v>
      </c>
      <c r="G5318" s="22">
        <f>IFERROR(__xludf.DUMMYFUNCTION("""COMPUTED_VALUE"""),0.0)</f>
        <v>0</v>
      </c>
      <c r="H5318" s="22">
        <f>IFERROR(__xludf.DUMMYFUNCTION("""COMPUTED_VALUE"""),500000.0)</f>
        <v>500000</v>
      </c>
      <c r="I5318" s="24">
        <f>IFERROR(__xludf.DUMMYFUNCTION("""COMPUTED_VALUE"""),0.0)</f>
        <v>0</v>
      </c>
    </row>
    <row r="5319">
      <c r="A5319" s="5" t="str">
        <f>IFERROR(__xludf.DUMMYFUNCTION("""COMPUTED_VALUE"""),"74972")</f>
        <v>74972</v>
      </c>
      <c r="B5319" s="64">
        <f>IFERROR(__xludf.DUMMYFUNCTION("""COMPUTED_VALUE"""),44618.0)</f>
        <v>44618</v>
      </c>
      <c r="C5319" s="5"/>
      <c r="D5319" s="5"/>
      <c r="E5319" s="5"/>
      <c r="F5319" s="22">
        <f>IFERROR(__xludf.DUMMYFUNCTION("""COMPUTED_VALUE"""),500000.0)</f>
        <v>500000</v>
      </c>
      <c r="G5319" s="22">
        <f>IFERROR(__xludf.DUMMYFUNCTION("""COMPUTED_VALUE"""),0.0)</f>
        <v>0</v>
      </c>
      <c r="H5319" s="22">
        <f>IFERROR(__xludf.DUMMYFUNCTION("""COMPUTED_VALUE"""),500000.0)</f>
        <v>500000</v>
      </c>
      <c r="I5319" s="24">
        <f>IFERROR(__xludf.DUMMYFUNCTION("""COMPUTED_VALUE"""),0.0)</f>
        <v>0</v>
      </c>
    </row>
    <row r="5320">
      <c r="A5320" s="5" t="str">
        <f>IFERROR(__xludf.DUMMYFUNCTION("""COMPUTED_VALUE"""),"74972")</f>
        <v>74972</v>
      </c>
      <c r="B5320" s="64">
        <f>IFERROR(__xludf.DUMMYFUNCTION("""COMPUTED_VALUE"""),44619.0)</f>
        <v>44619</v>
      </c>
      <c r="C5320" s="5"/>
      <c r="D5320" s="5"/>
      <c r="E5320" s="5"/>
      <c r="F5320" s="22">
        <f>IFERROR(__xludf.DUMMYFUNCTION("""COMPUTED_VALUE"""),500000.0)</f>
        <v>500000</v>
      </c>
      <c r="G5320" s="22">
        <f>IFERROR(__xludf.DUMMYFUNCTION("""COMPUTED_VALUE"""),0.0)</f>
        <v>0</v>
      </c>
      <c r="H5320" s="22">
        <f>IFERROR(__xludf.DUMMYFUNCTION("""COMPUTED_VALUE"""),500000.0)</f>
        <v>500000</v>
      </c>
      <c r="I5320" s="24">
        <f>IFERROR(__xludf.DUMMYFUNCTION("""COMPUTED_VALUE"""),0.0)</f>
        <v>0</v>
      </c>
    </row>
    <row r="5321">
      <c r="A5321" s="5" t="str">
        <f>IFERROR(__xludf.DUMMYFUNCTION("""COMPUTED_VALUE"""),"74972")</f>
        <v>74972</v>
      </c>
      <c r="B5321" s="64">
        <f>IFERROR(__xludf.DUMMYFUNCTION("""COMPUTED_VALUE"""),44620.0)</f>
        <v>44620</v>
      </c>
      <c r="C5321" s="5"/>
      <c r="D5321" s="5"/>
      <c r="E5321" s="5"/>
      <c r="F5321" s="22">
        <f>IFERROR(__xludf.DUMMYFUNCTION("""COMPUTED_VALUE"""),500000.0)</f>
        <v>500000</v>
      </c>
      <c r="G5321" s="22">
        <f>IFERROR(__xludf.DUMMYFUNCTION("""COMPUTED_VALUE"""),0.0)</f>
        <v>0</v>
      </c>
      <c r="H5321" s="22">
        <f>IFERROR(__xludf.DUMMYFUNCTION("""COMPUTED_VALUE"""),500000.0)</f>
        <v>500000</v>
      </c>
      <c r="I5321" s="24">
        <f>IFERROR(__xludf.DUMMYFUNCTION("""COMPUTED_VALUE"""),0.0)</f>
        <v>0</v>
      </c>
    </row>
    <row r="5322">
      <c r="A5322" s="5" t="str">
        <f>IFERROR(__xludf.DUMMYFUNCTION("""COMPUTED_VALUE"""),"74972")</f>
        <v>74972</v>
      </c>
      <c r="B5322" s="64">
        <f>IFERROR(__xludf.DUMMYFUNCTION("""COMPUTED_VALUE"""),44621.0)</f>
        <v>44621</v>
      </c>
      <c r="C5322" s="5"/>
      <c r="D5322" s="5"/>
      <c r="E5322" s="5"/>
      <c r="F5322" s="22">
        <f>IFERROR(__xludf.DUMMYFUNCTION("""COMPUTED_VALUE"""),500000.0)</f>
        <v>500000</v>
      </c>
      <c r="G5322" s="22">
        <f>IFERROR(__xludf.DUMMYFUNCTION("""COMPUTED_VALUE"""),0.0)</f>
        <v>0</v>
      </c>
      <c r="H5322" s="22">
        <f>IFERROR(__xludf.DUMMYFUNCTION("""COMPUTED_VALUE"""),500000.0)</f>
        <v>500000</v>
      </c>
      <c r="I5322" s="24">
        <f>IFERROR(__xludf.DUMMYFUNCTION("""COMPUTED_VALUE"""),0.0)</f>
        <v>0</v>
      </c>
    </row>
    <row r="5323">
      <c r="A5323" s="5" t="str">
        <f>IFERROR(__xludf.DUMMYFUNCTION("""COMPUTED_VALUE"""),"74972")</f>
        <v>74972</v>
      </c>
      <c r="B5323" s="64">
        <f>IFERROR(__xludf.DUMMYFUNCTION("""COMPUTED_VALUE"""),44622.0)</f>
        <v>44622</v>
      </c>
      <c r="C5323" s="5"/>
      <c r="D5323" s="5"/>
      <c r="E5323" s="5"/>
      <c r="F5323" s="22">
        <f>IFERROR(__xludf.DUMMYFUNCTION("""COMPUTED_VALUE"""),500000.0)</f>
        <v>500000</v>
      </c>
      <c r="G5323" s="22">
        <f>IFERROR(__xludf.DUMMYFUNCTION("""COMPUTED_VALUE"""),0.0)</f>
        <v>0</v>
      </c>
      <c r="H5323" s="22">
        <f>IFERROR(__xludf.DUMMYFUNCTION("""COMPUTED_VALUE"""),500000.0)</f>
        <v>500000</v>
      </c>
      <c r="I5323" s="24">
        <f>IFERROR(__xludf.DUMMYFUNCTION("""COMPUTED_VALUE"""),0.0)</f>
        <v>0</v>
      </c>
    </row>
    <row r="5324">
      <c r="A5324" s="5" t="str">
        <f>IFERROR(__xludf.DUMMYFUNCTION("""COMPUTED_VALUE"""),"74972")</f>
        <v>74972</v>
      </c>
      <c r="B5324" s="64">
        <f>IFERROR(__xludf.DUMMYFUNCTION("""COMPUTED_VALUE"""),44623.0)</f>
        <v>44623</v>
      </c>
      <c r="C5324" s="5"/>
      <c r="D5324" s="5"/>
      <c r="E5324" s="5"/>
      <c r="F5324" s="22">
        <f>IFERROR(__xludf.DUMMYFUNCTION("""COMPUTED_VALUE"""),500000.0)</f>
        <v>500000</v>
      </c>
      <c r="G5324" s="22">
        <f>IFERROR(__xludf.DUMMYFUNCTION("""COMPUTED_VALUE"""),0.0)</f>
        <v>0</v>
      </c>
      <c r="H5324" s="22">
        <f>IFERROR(__xludf.DUMMYFUNCTION("""COMPUTED_VALUE"""),500000.0)</f>
        <v>500000</v>
      </c>
      <c r="I5324" s="24">
        <f>IFERROR(__xludf.DUMMYFUNCTION("""COMPUTED_VALUE"""),0.0)</f>
        <v>0</v>
      </c>
    </row>
    <row r="5325">
      <c r="A5325" s="5" t="str">
        <f>IFERROR(__xludf.DUMMYFUNCTION("""COMPUTED_VALUE"""),"74972")</f>
        <v>74972</v>
      </c>
      <c r="B5325" s="64">
        <f>IFERROR(__xludf.DUMMYFUNCTION("""COMPUTED_VALUE"""),44624.0)</f>
        <v>44624</v>
      </c>
      <c r="C5325" s="5"/>
      <c r="D5325" s="5"/>
      <c r="E5325" s="5"/>
      <c r="F5325" s="22">
        <f>IFERROR(__xludf.DUMMYFUNCTION("""COMPUTED_VALUE"""),500000.0)</f>
        <v>500000</v>
      </c>
      <c r="G5325" s="22">
        <f>IFERROR(__xludf.DUMMYFUNCTION("""COMPUTED_VALUE"""),0.0)</f>
        <v>0</v>
      </c>
      <c r="H5325" s="22">
        <f>IFERROR(__xludf.DUMMYFUNCTION("""COMPUTED_VALUE"""),500000.0)</f>
        <v>500000</v>
      </c>
      <c r="I5325" s="24">
        <f>IFERROR(__xludf.DUMMYFUNCTION("""COMPUTED_VALUE"""),0.0)</f>
        <v>0</v>
      </c>
    </row>
    <row r="5326">
      <c r="A5326" s="5" t="str">
        <f>IFERROR(__xludf.DUMMYFUNCTION("""COMPUTED_VALUE"""),"74972")</f>
        <v>74972</v>
      </c>
      <c r="B5326" s="64">
        <f>IFERROR(__xludf.DUMMYFUNCTION("""COMPUTED_VALUE"""),44625.0)</f>
        <v>44625</v>
      </c>
      <c r="C5326" s="5"/>
      <c r="D5326" s="5"/>
      <c r="E5326" s="5"/>
      <c r="F5326" s="22">
        <f>IFERROR(__xludf.DUMMYFUNCTION("""COMPUTED_VALUE"""),500000.0)</f>
        <v>500000</v>
      </c>
      <c r="G5326" s="22">
        <f>IFERROR(__xludf.DUMMYFUNCTION("""COMPUTED_VALUE"""),0.0)</f>
        <v>0</v>
      </c>
      <c r="H5326" s="22">
        <f>IFERROR(__xludf.DUMMYFUNCTION("""COMPUTED_VALUE"""),500000.0)</f>
        <v>500000</v>
      </c>
      <c r="I5326" s="24">
        <f>IFERROR(__xludf.DUMMYFUNCTION("""COMPUTED_VALUE"""),0.0)</f>
        <v>0</v>
      </c>
    </row>
    <row r="5327">
      <c r="A5327" s="5" t="str">
        <f>IFERROR(__xludf.DUMMYFUNCTION("""COMPUTED_VALUE"""),"74972")</f>
        <v>74972</v>
      </c>
      <c r="B5327" s="64">
        <f>IFERROR(__xludf.DUMMYFUNCTION("""COMPUTED_VALUE"""),44626.0)</f>
        <v>44626</v>
      </c>
      <c r="C5327" s="5"/>
      <c r="D5327" s="5"/>
      <c r="E5327" s="5"/>
      <c r="F5327" s="22">
        <f>IFERROR(__xludf.DUMMYFUNCTION("""COMPUTED_VALUE"""),500000.0)</f>
        <v>500000</v>
      </c>
      <c r="G5327" s="22">
        <f>IFERROR(__xludf.DUMMYFUNCTION("""COMPUTED_VALUE"""),0.0)</f>
        <v>0</v>
      </c>
      <c r="H5327" s="22">
        <f>IFERROR(__xludf.DUMMYFUNCTION("""COMPUTED_VALUE"""),500000.0)</f>
        <v>500000</v>
      </c>
      <c r="I5327" s="24">
        <f>IFERROR(__xludf.DUMMYFUNCTION("""COMPUTED_VALUE"""),0.0)</f>
        <v>0</v>
      </c>
    </row>
    <row r="5328">
      <c r="A5328" s="5" t="str">
        <f>IFERROR(__xludf.DUMMYFUNCTION("""COMPUTED_VALUE"""),"74972")</f>
        <v>74972</v>
      </c>
      <c r="B5328" s="64">
        <f>IFERROR(__xludf.DUMMYFUNCTION("""COMPUTED_VALUE"""),44627.0)</f>
        <v>44627</v>
      </c>
      <c r="C5328" s="5"/>
      <c r="D5328" s="5"/>
      <c r="E5328" s="5"/>
      <c r="F5328" s="22">
        <f>IFERROR(__xludf.DUMMYFUNCTION("""COMPUTED_VALUE"""),500000.0)</f>
        <v>500000</v>
      </c>
      <c r="G5328" s="22">
        <f>IFERROR(__xludf.DUMMYFUNCTION("""COMPUTED_VALUE"""),0.0)</f>
        <v>0</v>
      </c>
      <c r="H5328" s="22">
        <f>IFERROR(__xludf.DUMMYFUNCTION("""COMPUTED_VALUE"""),500000.0)</f>
        <v>500000</v>
      </c>
      <c r="I5328" s="24">
        <f>IFERROR(__xludf.DUMMYFUNCTION("""COMPUTED_VALUE"""),0.0)</f>
        <v>0</v>
      </c>
    </row>
    <row r="5329">
      <c r="A5329" s="5" t="str">
        <f>IFERROR(__xludf.DUMMYFUNCTION("""COMPUTED_VALUE"""),"74972")</f>
        <v>74972</v>
      </c>
      <c r="B5329" s="64">
        <f>IFERROR(__xludf.DUMMYFUNCTION("""COMPUTED_VALUE"""),44628.0)</f>
        <v>44628</v>
      </c>
      <c r="C5329" s="5"/>
      <c r="D5329" s="5"/>
      <c r="E5329" s="5"/>
      <c r="F5329" s="22">
        <f>IFERROR(__xludf.DUMMYFUNCTION("""COMPUTED_VALUE"""),500000.0)</f>
        <v>500000</v>
      </c>
      <c r="G5329" s="22">
        <f>IFERROR(__xludf.DUMMYFUNCTION("""COMPUTED_VALUE"""),0.0)</f>
        <v>0</v>
      </c>
      <c r="H5329" s="22">
        <f>IFERROR(__xludf.DUMMYFUNCTION("""COMPUTED_VALUE"""),500000.0)</f>
        <v>500000</v>
      </c>
      <c r="I5329" s="24">
        <f>IFERROR(__xludf.DUMMYFUNCTION("""COMPUTED_VALUE"""),0.0)</f>
        <v>0</v>
      </c>
    </row>
    <row r="5330">
      <c r="A5330" s="5" t="str">
        <f>IFERROR(__xludf.DUMMYFUNCTION("""COMPUTED_VALUE"""),"74972")</f>
        <v>74972</v>
      </c>
      <c r="B5330" s="64">
        <f>IFERROR(__xludf.DUMMYFUNCTION("""COMPUTED_VALUE"""),44629.0)</f>
        <v>44629</v>
      </c>
      <c r="C5330" s="5"/>
      <c r="D5330" s="5"/>
      <c r="E5330" s="5"/>
      <c r="F5330" s="22">
        <f>IFERROR(__xludf.DUMMYFUNCTION("""COMPUTED_VALUE"""),500000.0)</f>
        <v>500000</v>
      </c>
      <c r="G5330" s="22">
        <f>IFERROR(__xludf.DUMMYFUNCTION("""COMPUTED_VALUE"""),0.0)</f>
        <v>0</v>
      </c>
      <c r="H5330" s="22">
        <f>IFERROR(__xludf.DUMMYFUNCTION("""COMPUTED_VALUE"""),500000.0)</f>
        <v>500000</v>
      </c>
      <c r="I5330" s="24">
        <f>IFERROR(__xludf.DUMMYFUNCTION("""COMPUTED_VALUE"""),0.0)</f>
        <v>0</v>
      </c>
    </row>
    <row r="5331">
      <c r="A5331" s="5" t="str">
        <f>IFERROR(__xludf.DUMMYFUNCTION("""COMPUTED_VALUE"""),"74972")</f>
        <v>74972</v>
      </c>
      <c r="B5331" s="64">
        <f>IFERROR(__xludf.DUMMYFUNCTION("""COMPUTED_VALUE"""),44630.0)</f>
        <v>44630</v>
      </c>
      <c r="C5331" s="5"/>
      <c r="D5331" s="5"/>
      <c r="E5331" s="5"/>
      <c r="F5331" s="22">
        <f>IFERROR(__xludf.DUMMYFUNCTION("""COMPUTED_VALUE"""),500000.0)</f>
        <v>500000</v>
      </c>
      <c r="G5331" s="22">
        <f>IFERROR(__xludf.DUMMYFUNCTION("""COMPUTED_VALUE"""),0.0)</f>
        <v>0</v>
      </c>
      <c r="H5331" s="22">
        <f>IFERROR(__xludf.DUMMYFUNCTION("""COMPUTED_VALUE"""),500000.0)</f>
        <v>500000</v>
      </c>
      <c r="I5331" s="24">
        <f>IFERROR(__xludf.DUMMYFUNCTION("""COMPUTED_VALUE"""),0.0)</f>
        <v>0</v>
      </c>
    </row>
    <row r="5332">
      <c r="A5332" s="5" t="str">
        <f>IFERROR(__xludf.DUMMYFUNCTION("""COMPUTED_VALUE"""),"74972")</f>
        <v>74972</v>
      </c>
      <c r="B5332" s="64">
        <f>IFERROR(__xludf.DUMMYFUNCTION("""COMPUTED_VALUE"""),44631.0)</f>
        <v>44631</v>
      </c>
      <c r="C5332" s="5"/>
      <c r="D5332" s="5"/>
      <c r="E5332" s="5"/>
      <c r="F5332" s="22">
        <f>IFERROR(__xludf.DUMMYFUNCTION("""COMPUTED_VALUE"""),500000.0)</f>
        <v>500000</v>
      </c>
      <c r="G5332" s="22">
        <f>IFERROR(__xludf.DUMMYFUNCTION("""COMPUTED_VALUE"""),0.0)</f>
        <v>0</v>
      </c>
      <c r="H5332" s="22">
        <f>IFERROR(__xludf.DUMMYFUNCTION("""COMPUTED_VALUE"""),500000.0)</f>
        <v>500000</v>
      </c>
      <c r="I5332" s="24">
        <f>IFERROR(__xludf.DUMMYFUNCTION("""COMPUTED_VALUE"""),0.0)</f>
        <v>0</v>
      </c>
    </row>
    <row r="5333">
      <c r="A5333" s="5" t="str">
        <f>IFERROR(__xludf.DUMMYFUNCTION("""COMPUTED_VALUE"""),"74972")</f>
        <v>74972</v>
      </c>
      <c r="B5333" s="64">
        <f>IFERROR(__xludf.DUMMYFUNCTION("""COMPUTED_VALUE"""),44632.0)</f>
        <v>44632</v>
      </c>
      <c r="C5333" s="5"/>
      <c r="D5333" s="5"/>
      <c r="E5333" s="5"/>
      <c r="F5333" s="22">
        <f>IFERROR(__xludf.DUMMYFUNCTION("""COMPUTED_VALUE"""),500000.0)</f>
        <v>500000</v>
      </c>
      <c r="G5333" s="22">
        <f>IFERROR(__xludf.DUMMYFUNCTION("""COMPUTED_VALUE"""),0.0)</f>
        <v>0</v>
      </c>
      <c r="H5333" s="22">
        <f>IFERROR(__xludf.DUMMYFUNCTION("""COMPUTED_VALUE"""),500000.0)</f>
        <v>500000</v>
      </c>
      <c r="I5333" s="24">
        <f>IFERROR(__xludf.DUMMYFUNCTION("""COMPUTED_VALUE"""),0.0)</f>
        <v>0</v>
      </c>
    </row>
    <row r="5334">
      <c r="A5334" s="5" t="str">
        <f>IFERROR(__xludf.DUMMYFUNCTION("""COMPUTED_VALUE"""),"74972")</f>
        <v>74972</v>
      </c>
      <c r="B5334" s="64">
        <f>IFERROR(__xludf.DUMMYFUNCTION("""COMPUTED_VALUE"""),44633.0)</f>
        <v>44633</v>
      </c>
      <c r="C5334" s="5"/>
      <c r="D5334" s="5"/>
      <c r="E5334" s="5"/>
      <c r="F5334" s="22">
        <f>IFERROR(__xludf.DUMMYFUNCTION("""COMPUTED_VALUE"""),500000.0)</f>
        <v>500000</v>
      </c>
      <c r="G5334" s="22">
        <f>IFERROR(__xludf.DUMMYFUNCTION("""COMPUTED_VALUE"""),0.0)</f>
        <v>0</v>
      </c>
      <c r="H5334" s="22">
        <f>IFERROR(__xludf.DUMMYFUNCTION("""COMPUTED_VALUE"""),500000.0)</f>
        <v>500000</v>
      </c>
      <c r="I5334" s="24">
        <f>IFERROR(__xludf.DUMMYFUNCTION("""COMPUTED_VALUE"""),0.0)</f>
        <v>0</v>
      </c>
    </row>
    <row r="5335">
      <c r="A5335" s="5" t="str">
        <f>IFERROR(__xludf.DUMMYFUNCTION("""COMPUTED_VALUE"""),"74972")</f>
        <v>74972</v>
      </c>
      <c r="B5335" s="64">
        <f>IFERROR(__xludf.DUMMYFUNCTION("""COMPUTED_VALUE"""),44634.0)</f>
        <v>44634</v>
      </c>
      <c r="C5335" s="5"/>
      <c r="D5335" s="5"/>
      <c r="E5335" s="5"/>
      <c r="F5335" s="22">
        <f>IFERROR(__xludf.DUMMYFUNCTION("""COMPUTED_VALUE"""),500000.0)</f>
        <v>500000</v>
      </c>
      <c r="G5335" s="22">
        <f>IFERROR(__xludf.DUMMYFUNCTION("""COMPUTED_VALUE"""),0.0)</f>
        <v>0</v>
      </c>
      <c r="H5335" s="22">
        <f>IFERROR(__xludf.DUMMYFUNCTION("""COMPUTED_VALUE"""),500000.0)</f>
        <v>500000</v>
      </c>
      <c r="I5335" s="24">
        <f>IFERROR(__xludf.DUMMYFUNCTION("""COMPUTED_VALUE"""),0.0)</f>
        <v>0</v>
      </c>
    </row>
    <row r="5336">
      <c r="A5336" s="5" t="str">
        <f>IFERROR(__xludf.DUMMYFUNCTION("""COMPUTED_VALUE"""),"74972")</f>
        <v>74972</v>
      </c>
      <c r="B5336" s="64">
        <f>IFERROR(__xludf.DUMMYFUNCTION("""COMPUTED_VALUE"""),44635.0)</f>
        <v>44635</v>
      </c>
      <c r="C5336" s="5"/>
      <c r="D5336" s="5"/>
      <c r="E5336" s="5"/>
      <c r="F5336" s="22">
        <f>IFERROR(__xludf.DUMMYFUNCTION("""COMPUTED_VALUE"""),500000.0)</f>
        <v>500000</v>
      </c>
      <c r="G5336" s="22">
        <f>IFERROR(__xludf.DUMMYFUNCTION("""COMPUTED_VALUE"""),0.0)</f>
        <v>0</v>
      </c>
      <c r="H5336" s="22">
        <f>IFERROR(__xludf.DUMMYFUNCTION("""COMPUTED_VALUE"""),500000.0)</f>
        <v>500000</v>
      </c>
      <c r="I5336" s="24">
        <f>IFERROR(__xludf.DUMMYFUNCTION("""COMPUTED_VALUE"""),0.0)</f>
        <v>0</v>
      </c>
    </row>
    <row r="5337">
      <c r="A5337" s="5" t="str">
        <f>IFERROR(__xludf.DUMMYFUNCTION("""COMPUTED_VALUE"""),"74972")</f>
        <v>74972</v>
      </c>
      <c r="B5337" s="64">
        <f>IFERROR(__xludf.DUMMYFUNCTION("""COMPUTED_VALUE"""),44636.0)</f>
        <v>44636</v>
      </c>
      <c r="C5337" s="5"/>
      <c r="D5337" s="5"/>
      <c r="E5337" s="5"/>
      <c r="F5337" s="22">
        <f>IFERROR(__xludf.DUMMYFUNCTION("""COMPUTED_VALUE"""),500000.0)</f>
        <v>500000</v>
      </c>
      <c r="G5337" s="22">
        <f>IFERROR(__xludf.DUMMYFUNCTION("""COMPUTED_VALUE"""),0.0)</f>
        <v>0</v>
      </c>
      <c r="H5337" s="22">
        <f>IFERROR(__xludf.DUMMYFUNCTION("""COMPUTED_VALUE"""),500000.0)</f>
        <v>500000</v>
      </c>
      <c r="I5337" s="24">
        <f>IFERROR(__xludf.DUMMYFUNCTION("""COMPUTED_VALUE"""),0.0)</f>
        <v>0</v>
      </c>
    </row>
    <row r="5338">
      <c r="A5338" s="5" t="str">
        <f>IFERROR(__xludf.DUMMYFUNCTION("""COMPUTED_VALUE"""),"74972")</f>
        <v>74972</v>
      </c>
      <c r="B5338" s="64">
        <f>IFERROR(__xludf.DUMMYFUNCTION("""COMPUTED_VALUE"""),44637.0)</f>
        <v>44637</v>
      </c>
      <c r="C5338" s="5"/>
      <c r="D5338" s="5"/>
      <c r="E5338" s="5"/>
      <c r="F5338" s="22">
        <f>IFERROR(__xludf.DUMMYFUNCTION("""COMPUTED_VALUE"""),500000.0)</f>
        <v>500000</v>
      </c>
      <c r="G5338" s="22">
        <f>IFERROR(__xludf.DUMMYFUNCTION("""COMPUTED_VALUE"""),0.0)</f>
        <v>0</v>
      </c>
      <c r="H5338" s="22">
        <f>IFERROR(__xludf.DUMMYFUNCTION("""COMPUTED_VALUE"""),500000.0)</f>
        <v>500000</v>
      </c>
      <c r="I5338" s="24">
        <f>IFERROR(__xludf.DUMMYFUNCTION("""COMPUTED_VALUE"""),0.0)</f>
        <v>0</v>
      </c>
    </row>
    <row r="5339">
      <c r="A5339" s="5" t="str">
        <f>IFERROR(__xludf.DUMMYFUNCTION("""COMPUTED_VALUE"""),"74972")</f>
        <v>74972</v>
      </c>
      <c r="B5339" s="64">
        <f>IFERROR(__xludf.DUMMYFUNCTION("""COMPUTED_VALUE"""),44638.0)</f>
        <v>44638</v>
      </c>
      <c r="C5339" s="5"/>
      <c r="D5339" s="5"/>
      <c r="E5339" s="5"/>
      <c r="F5339" s="22">
        <f>IFERROR(__xludf.DUMMYFUNCTION("""COMPUTED_VALUE"""),500000.0)</f>
        <v>500000</v>
      </c>
      <c r="G5339" s="22">
        <f>IFERROR(__xludf.DUMMYFUNCTION("""COMPUTED_VALUE"""),0.0)</f>
        <v>0</v>
      </c>
      <c r="H5339" s="22">
        <f>IFERROR(__xludf.DUMMYFUNCTION("""COMPUTED_VALUE"""),500000.0)</f>
        <v>500000</v>
      </c>
      <c r="I5339" s="24">
        <f>IFERROR(__xludf.DUMMYFUNCTION("""COMPUTED_VALUE"""),0.0)</f>
        <v>0</v>
      </c>
    </row>
    <row r="5340">
      <c r="A5340" s="5" t="str">
        <f>IFERROR(__xludf.DUMMYFUNCTION("""COMPUTED_VALUE"""),"74972")</f>
        <v>74972</v>
      </c>
      <c r="B5340" s="64">
        <f>IFERROR(__xludf.DUMMYFUNCTION("""COMPUTED_VALUE"""),44639.0)</f>
        <v>44639</v>
      </c>
      <c r="C5340" s="5"/>
      <c r="D5340" s="5"/>
      <c r="E5340" s="5"/>
      <c r="F5340" s="22">
        <f>IFERROR(__xludf.DUMMYFUNCTION("""COMPUTED_VALUE"""),500000.0)</f>
        <v>500000</v>
      </c>
      <c r="G5340" s="22">
        <f>IFERROR(__xludf.DUMMYFUNCTION("""COMPUTED_VALUE"""),0.0)</f>
        <v>0</v>
      </c>
      <c r="H5340" s="22">
        <f>IFERROR(__xludf.DUMMYFUNCTION("""COMPUTED_VALUE"""),500000.0)</f>
        <v>500000</v>
      </c>
      <c r="I5340" s="24">
        <f>IFERROR(__xludf.DUMMYFUNCTION("""COMPUTED_VALUE"""),0.0)</f>
        <v>0</v>
      </c>
    </row>
    <row r="5341">
      <c r="A5341" s="5" t="str">
        <f>IFERROR(__xludf.DUMMYFUNCTION("""COMPUTED_VALUE"""),"74972")</f>
        <v>74972</v>
      </c>
      <c r="B5341" s="64">
        <f>IFERROR(__xludf.DUMMYFUNCTION("""COMPUTED_VALUE"""),44640.0)</f>
        <v>44640</v>
      </c>
      <c r="C5341" s="5"/>
      <c r="D5341" s="5"/>
      <c r="E5341" s="5"/>
      <c r="F5341" s="22">
        <f>IFERROR(__xludf.DUMMYFUNCTION("""COMPUTED_VALUE"""),500000.0)</f>
        <v>500000</v>
      </c>
      <c r="G5341" s="22">
        <f>IFERROR(__xludf.DUMMYFUNCTION("""COMPUTED_VALUE"""),0.0)</f>
        <v>0</v>
      </c>
      <c r="H5341" s="22">
        <f>IFERROR(__xludf.DUMMYFUNCTION("""COMPUTED_VALUE"""),500000.0)</f>
        <v>500000</v>
      </c>
      <c r="I5341" s="24">
        <f>IFERROR(__xludf.DUMMYFUNCTION("""COMPUTED_VALUE"""),0.0)</f>
        <v>0</v>
      </c>
    </row>
    <row r="5342">
      <c r="A5342" s="5" t="str">
        <f>IFERROR(__xludf.DUMMYFUNCTION("""COMPUTED_VALUE"""),"74972")</f>
        <v>74972</v>
      </c>
      <c r="B5342" s="64">
        <f>IFERROR(__xludf.DUMMYFUNCTION("""COMPUTED_VALUE"""),44641.0)</f>
        <v>44641</v>
      </c>
      <c r="C5342" s="5"/>
      <c r="D5342" s="5"/>
      <c r="E5342" s="5"/>
      <c r="F5342" s="22">
        <f>IFERROR(__xludf.DUMMYFUNCTION("""COMPUTED_VALUE"""),500000.0)</f>
        <v>500000</v>
      </c>
      <c r="G5342" s="22">
        <f>IFERROR(__xludf.DUMMYFUNCTION("""COMPUTED_VALUE"""),0.0)</f>
        <v>0</v>
      </c>
      <c r="H5342" s="22">
        <f>IFERROR(__xludf.DUMMYFUNCTION("""COMPUTED_VALUE"""),500000.0)</f>
        <v>500000</v>
      </c>
      <c r="I5342" s="24">
        <f>IFERROR(__xludf.DUMMYFUNCTION("""COMPUTED_VALUE"""),0.0)</f>
        <v>0</v>
      </c>
    </row>
    <row r="5343">
      <c r="A5343" s="5" t="str">
        <f>IFERROR(__xludf.DUMMYFUNCTION("""COMPUTED_VALUE"""),"74972")</f>
        <v>74972</v>
      </c>
      <c r="B5343" s="64">
        <f>IFERROR(__xludf.DUMMYFUNCTION("""COMPUTED_VALUE"""),44642.0)</f>
        <v>44642</v>
      </c>
      <c r="C5343" s="5"/>
      <c r="D5343" s="5"/>
      <c r="E5343" s="5"/>
      <c r="F5343" s="22">
        <f>IFERROR(__xludf.DUMMYFUNCTION("""COMPUTED_VALUE"""),500000.0)</f>
        <v>500000</v>
      </c>
      <c r="G5343" s="22">
        <f>IFERROR(__xludf.DUMMYFUNCTION("""COMPUTED_VALUE"""),0.0)</f>
        <v>0</v>
      </c>
      <c r="H5343" s="22">
        <f>IFERROR(__xludf.DUMMYFUNCTION("""COMPUTED_VALUE"""),500000.0)</f>
        <v>500000</v>
      </c>
      <c r="I5343" s="24">
        <f>IFERROR(__xludf.DUMMYFUNCTION("""COMPUTED_VALUE"""),0.0)</f>
        <v>0</v>
      </c>
    </row>
    <row r="5344">
      <c r="A5344" s="5" t="str">
        <f>IFERROR(__xludf.DUMMYFUNCTION("""COMPUTED_VALUE"""),"74972")</f>
        <v>74972</v>
      </c>
      <c r="B5344" s="64">
        <f>IFERROR(__xludf.DUMMYFUNCTION("""COMPUTED_VALUE"""),44643.0)</f>
        <v>44643</v>
      </c>
      <c r="C5344" s="5"/>
      <c r="D5344" s="5"/>
      <c r="E5344" s="5"/>
      <c r="F5344" s="22">
        <f>IFERROR(__xludf.DUMMYFUNCTION("""COMPUTED_VALUE"""),500000.0)</f>
        <v>500000</v>
      </c>
      <c r="G5344" s="22">
        <f>IFERROR(__xludf.DUMMYFUNCTION("""COMPUTED_VALUE"""),0.0)</f>
        <v>0</v>
      </c>
      <c r="H5344" s="22">
        <f>IFERROR(__xludf.DUMMYFUNCTION("""COMPUTED_VALUE"""),500000.0)</f>
        <v>500000</v>
      </c>
      <c r="I5344" s="24">
        <f>IFERROR(__xludf.DUMMYFUNCTION("""COMPUTED_VALUE"""),0.0)</f>
        <v>0</v>
      </c>
    </row>
    <row r="5345">
      <c r="A5345" s="5" t="str">
        <f>IFERROR(__xludf.DUMMYFUNCTION("""COMPUTED_VALUE"""),"74972")</f>
        <v>74972</v>
      </c>
      <c r="B5345" s="64">
        <f>IFERROR(__xludf.DUMMYFUNCTION("""COMPUTED_VALUE"""),44644.0)</f>
        <v>44644</v>
      </c>
      <c r="C5345" s="5"/>
      <c r="D5345" s="5"/>
      <c r="E5345" s="5"/>
      <c r="F5345" s="22">
        <f>IFERROR(__xludf.DUMMYFUNCTION("""COMPUTED_VALUE"""),500000.0)</f>
        <v>500000</v>
      </c>
      <c r="G5345" s="22">
        <f>IFERROR(__xludf.DUMMYFUNCTION("""COMPUTED_VALUE"""),0.0)</f>
        <v>0</v>
      </c>
      <c r="H5345" s="22">
        <f>IFERROR(__xludf.DUMMYFUNCTION("""COMPUTED_VALUE"""),500000.0)</f>
        <v>500000</v>
      </c>
      <c r="I5345" s="24">
        <f>IFERROR(__xludf.DUMMYFUNCTION("""COMPUTED_VALUE"""),0.0)</f>
        <v>0</v>
      </c>
    </row>
    <row r="5346">
      <c r="A5346" s="5" t="str">
        <f>IFERROR(__xludf.DUMMYFUNCTION("""COMPUTED_VALUE"""),"74972")</f>
        <v>74972</v>
      </c>
      <c r="B5346" s="64">
        <f>IFERROR(__xludf.DUMMYFUNCTION("""COMPUTED_VALUE"""),44645.0)</f>
        <v>44645</v>
      </c>
      <c r="C5346" s="5"/>
      <c r="D5346" s="5"/>
      <c r="E5346" s="5"/>
      <c r="F5346" s="22">
        <f>IFERROR(__xludf.DUMMYFUNCTION("""COMPUTED_VALUE"""),500000.0)</f>
        <v>500000</v>
      </c>
      <c r="G5346" s="22">
        <f>IFERROR(__xludf.DUMMYFUNCTION("""COMPUTED_VALUE"""),0.0)</f>
        <v>0</v>
      </c>
      <c r="H5346" s="22">
        <f>IFERROR(__xludf.DUMMYFUNCTION("""COMPUTED_VALUE"""),500000.0)</f>
        <v>500000</v>
      </c>
      <c r="I5346" s="24">
        <f>IFERROR(__xludf.DUMMYFUNCTION("""COMPUTED_VALUE"""),0.0)</f>
        <v>0</v>
      </c>
    </row>
    <row r="5347">
      <c r="A5347" s="5" t="str">
        <f>IFERROR(__xludf.DUMMYFUNCTION("""COMPUTED_VALUE"""),"74972")</f>
        <v>74972</v>
      </c>
      <c r="B5347" s="64">
        <f>IFERROR(__xludf.DUMMYFUNCTION("""COMPUTED_VALUE"""),44646.0)</f>
        <v>44646</v>
      </c>
      <c r="C5347" s="5"/>
      <c r="D5347" s="5"/>
      <c r="E5347" s="5"/>
      <c r="F5347" s="22">
        <f>IFERROR(__xludf.DUMMYFUNCTION("""COMPUTED_VALUE"""),500000.0)</f>
        <v>500000</v>
      </c>
      <c r="G5347" s="22">
        <f>IFERROR(__xludf.DUMMYFUNCTION("""COMPUTED_VALUE"""),0.0)</f>
        <v>0</v>
      </c>
      <c r="H5347" s="22">
        <f>IFERROR(__xludf.DUMMYFUNCTION("""COMPUTED_VALUE"""),500000.0)</f>
        <v>500000</v>
      </c>
      <c r="I5347" s="24">
        <f>IFERROR(__xludf.DUMMYFUNCTION("""COMPUTED_VALUE"""),0.0)</f>
        <v>0</v>
      </c>
    </row>
    <row r="5348">
      <c r="A5348" s="5" t="str">
        <f>IFERROR(__xludf.DUMMYFUNCTION("""COMPUTED_VALUE"""),"74972")</f>
        <v>74972</v>
      </c>
      <c r="B5348" s="64">
        <f>IFERROR(__xludf.DUMMYFUNCTION("""COMPUTED_VALUE"""),44647.0)</f>
        <v>44647</v>
      </c>
      <c r="C5348" s="5"/>
      <c r="D5348" s="5"/>
      <c r="E5348" s="5"/>
      <c r="F5348" s="22">
        <f>IFERROR(__xludf.DUMMYFUNCTION("""COMPUTED_VALUE"""),500000.0)</f>
        <v>500000</v>
      </c>
      <c r="G5348" s="22">
        <f>IFERROR(__xludf.DUMMYFUNCTION("""COMPUTED_VALUE"""),0.0)</f>
        <v>0</v>
      </c>
      <c r="H5348" s="22">
        <f>IFERROR(__xludf.DUMMYFUNCTION("""COMPUTED_VALUE"""),500000.0)</f>
        <v>500000</v>
      </c>
      <c r="I5348" s="24">
        <f>IFERROR(__xludf.DUMMYFUNCTION("""COMPUTED_VALUE"""),0.0)</f>
        <v>0</v>
      </c>
    </row>
    <row r="5349">
      <c r="A5349" s="5" t="str">
        <f>IFERROR(__xludf.DUMMYFUNCTION("""COMPUTED_VALUE"""),"74972")</f>
        <v>74972</v>
      </c>
      <c r="B5349" s="64">
        <f>IFERROR(__xludf.DUMMYFUNCTION("""COMPUTED_VALUE"""),44648.0)</f>
        <v>44648</v>
      </c>
      <c r="C5349" s="5"/>
      <c r="D5349" s="5"/>
      <c r="E5349" s="5"/>
      <c r="F5349" s="22">
        <f>IFERROR(__xludf.DUMMYFUNCTION("""COMPUTED_VALUE"""),500000.0)</f>
        <v>500000</v>
      </c>
      <c r="G5349" s="22">
        <f>IFERROR(__xludf.DUMMYFUNCTION("""COMPUTED_VALUE"""),0.0)</f>
        <v>0</v>
      </c>
      <c r="H5349" s="22">
        <f>IFERROR(__xludf.DUMMYFUNCTION("""COMPUTED_VALUE"""),500000.0)</f>
        <v>500000</v>
      </c>
      <c r="I5349" s="24">
        <f>IFERROR(__xludf.DUMMYFUNCTION("""COMPUTED_VALUE"""),0.0)</f>
        <v>0</v>
      </c>
    </row>
    <row r="5350">
      <c r="A5350" s="5" t="str">
        <f>IFERROR(__xludf.DUMMYFUNCTION("""COMPUTED_VALUE"""),"74972")</f>
        <v>74972</v>
      </c>
      <c r="B5350" s="64">
        <f>IFERROR(__xludf.DUMMYFUNCTION("""COMPUTED_VALUE"""),44649.0)</f>
        <v>44649</v>
      </c>
      <c r="C5350" s="5"/>
      <c r="D5350" s="5"/>
      <c r="E5350" s="5"/>
      <c r="F5350" s="22">
        <f>IFERROR(__xludf.DUMMYFUNCTION("""COMPUTED_VALUE"""),500000.0)</f>
        <v>500000</v>
      </c>
      <c r="G5350" s="22">
        <f>IFERROR(__xludf.DUMMYFUNCTION("""COMPUTED_VALUE"""),0.0)</f>
        <v>0</v>
      </c>
      <c r="H5350" s="22">
        <f>IFERROR(__xludf.DUMMYFUNCTION("""COMPUTED_VALUE"""),500000.0)</f>
        <v>500000</v>
      </c>
      <c r="I5350" s="24">
        <f>IFERROR(__xludf.DUMMYFUNCTION("""COMPUTED_VALUE"""),0.0)</f>
        <v>0</v>
      </c>
    </row>
    <row r="5351">
      <c r="A5351" s="5" t="str">
        <f>IFERROR(__xludf.DUMMYFUNCTION("""COMPUTED_VALUE"""),"74972")</f>
        <v>74972</v>
      </c>
      <c r="B5351" s="64">
        <f>IFERROR(__xludf.DUMMYFUNCTION("""COMPUTED_VALUE"""),44650.0)</f>
        <v>44650</v>
      </c>
      <c r="C5351" s="5"/>
      <c r="D5351" s="5"/>
      <c r="E5351" s="5"/>
      <c r="F5351" s="22">
        <f>IFERROR(__xludf.DUMMYFUNCTION("""COMPUTED_VALUE"""),500000.0)</f>
        <v>500000</v>
      </c>
      <c r="G5351" s="22">
        <f>IFERROR(__xludf.DUMMYFUNCTION("""COMPUTED_VALUE"""),0.0)</f>
        <v>0</v>
      </c>
      <c r="H5351" s="22">
        <f>IFERROR(__xludf.DUMMYFUNCTION("""COMPUTED_VALUE"""),500000.0)</f>
        <v>500000</v>
      </c>
      <c r="I5351" s="24">
        <f>IFERROR(__xludf.DUMMYFUNCTION("""COMPUTED_VALUE"""),0.0)</f>
        <v>0</v>
      </c>
    </row>
    <row r="5352">
      <c r="A5352" s="5" t="str">
        <f>IFERROR(__xludf.DUMMYFUNCTION("""COMPUTED_VALUE"""),"74972")</f>
        <v>74972</v>
      </c>
      <c r="B5352" s="64">
        <f>IFERROR(__xludf.DUMMYFUNCTION("""COMPUTED_VALUE"""),44651.0)</f>
        <v>44651</v>
      </c>
      <c r="C5352" s="5"/>
      <c r="D5352" s="5"/>
      <c r="E5352" s="5"/>
      <c r="F5352" s="22">
        <f>IFERROR(__xludf.DUMMYFUNCTION("""COMPUTED_VALUE"""),500000.0)</f>
        <v>500000</v>
      </c>
      <c r="G5352" s="22">
        <f>IFERROR(__xludf.DUMMYFUNCTION("""COMPUTED_VALUE"""),0.0)</f>
        <v>0</v>
      </c>
      <c r="H5352" s="22">
        <f>IFERROR(__xludf.DUMMYFUNCTION("""COMPUTED_VALUE"""),500000.0)</f>
        <v>500000</v>
      </c>
      <c r="I5352" s="24">
        <f>IFERROR(__xludf.DUMMYFUNCTION("""COMPUTED_VALUE"""),0.0)</f>
        <v>0</v>
      </c>
    </row>
    <row r="5353">
      <c r="A5353" s="5" t="str">
        <f>IFERROR(__xludf.DUMMYFUNCTION("""COMPUTED_VALUE"""),"74972")</f>
        <v>74972</v>
      </c>
      <c r="B5353" s="64">
        <f>IFERROR(__xludf.DUMMYFUNCTION("""COMPUTED_VALUE"""),44652.0)</f>
        <v>44652</v>
      </c>
      <c r="C5353" s="5"/>
      <c r="D5353" s="5"/>
      <c r="E5353" s="5"/>
      <c r="F5353" s="22">
        <f>IFERROR(__xludf.DUMMYFUNCTION("""COMPUTED_VALUE"""),500000.0)</f>
        <v>500000</v>
      </c>
      <c r="G5353" s="22">
        <f>IFERROR(__xludf.DUMMYFUNCTION("""COMPUTED_VALUE"""),0.0)</f>
        <v>0</v>
      </c>
      <c r="H5353" s="22">
        <f>IFERROR(__xludf.DUMMYFUNCTION("""COMPUTED_VALUE"""),500000.0)</f>
        <v>500000</v>
      </c>
      <c r="I5353" s="24">
        <f>IFERROR(__xludf.DUMMYFUNCTION("""COMPUTED_VALUE"""),0.0)</f>
        <v>0</v>
      </c>
    </row>
    <row r="5354">
      <c r="A5354" s="5" t="str">
        <f>IFERROR(__xludf.DUMMYFUNCTION("""COMPUTED_VALUE"""),"74972")</f>
        <v>74972</v>
      </c>
      <c r="B5354" s="64">
        <f>IFERROR(__xludf.DUMMYFUNCTION("""COMPUTED_VALUE"""),44653.0)</f>
        <v>44653</v>
      </c>
      <c r="C5354" s="5"/>
      <c r="D5354" s="5"/>
      <c r="E5354" s="5"/>
      <c r="F5354" s="22">
        <f>IFERROR(__xludf.DUMMYFUNCTION("""COMPUTED_VALUE"""),500000.0)</f>
        <v>500000</v>
      </c>
      <c r="G5354" s="22">
        <f>IFERROR(__xludf.DUMMYFUNCTION("""COMPUTED_VALUE"""),0.0)</f>
        <v>0</v>
      </c>
      <c r="H5354" s="22">
        <f>IFERROR(__xludf.DUMMYFUNCTION("""COMPUTED_VALUE"""),500000.0)</f>
        <v>500000</v>
      </c>
      <c r="I5354" s="24">
        <f>IFERROR(__xludf.DUMMYFUNCTION("""COMPUTED_VALUE"""),0.0)</f>
        <v>0</v>
      </c>
    </row>
    <row r="5355">
      <c r="A5355" s="5" t="str">
        <f>IFERROR(__xludf.DUMMYFUNCTION("""COMPUTED_VALUE"""),"74972")</f>
        <v>74972</v>
      </c>
      <c r="B5355" s="64">
        <f>IFERROR(__xludf.DUMMYFUNCTION("""COMPUTED_VALUE"""),44654.0)</f>
        <v>44654</v>
      </c>
      <c r="C5355" s="5"/>
      <c r="D5355" s="5"/>
      <c r="E5355" s="5"/>
      <c r="F5355" s="22">
        <f>IFERROR(__xludf.DUMMYFUNCTION("""COMPUTED_VALUE"""),500000.0)</f>
        <v>500000</v>
      </c>
      <c r="G5355" s="22">
        <f>IFERROR(__xludf.DUMMYFUNCTION("""COMPUTED_VALUE"""),0.0)</f>
        <v>0</v>
      </c>
      <c r="H5355" s="22">
        <f>IFERROR(__xludf.DUMMYFUNCTION("""COMPUTED_VALUE"""),500000.0)</f>
        <v>500000</v>
      </c>
      <c r="I5355" s="24">
        <f>IFERROR(__xludf.DUMMYFUNCTION("""COMPUTED_VALUE"""),0.0)</f>
        <v>0</v>
      </c>
    </row>
    <row r="5356">
      <c r="A5356" s="5" t="str">
        <f>IFERROR(__xludf.DUMMYFUNCTION("""COMPUTED_VALUE"""),"74972")</f>
        <v>74972</v>
      </c>
      <c r="B5356" s="64">
        <f>IFERROR(__xludf.DUMMYFUNCTION("""COMPUTED_VALUE"""),44655.0)</f>
        <v>44655</v>
      </c>
      <c r="C5356" s="5"/>
      <c r="D5356" s="5"/>
      <c r="E5356" s="5"/>
      <c r="F5356" s="22">
        <f>IFERROR(__xludf.DUMMYFUNCTION("""COMPUTED_VALUE"""),500000.0)</f>
        <v>500000</v>
      </c>
      <c r="G5356" s="22">
        <f>IFERROR(__xludf.DUMMYFUNCTION("""COMPUTED_VALUE"""),0.0)</f>
        <v>0</v>
      </c>
      <c r="H5356" s="22">
        <f>IFERROR(__xludf.DUMMYFUNCTION("""COMPUTED_VALUE"""),500000.0)</f>
        <v>500000</v>
      </c>
      <c r="I5356" s="24">
        <f>IFERROR(__xludf.DUMMYFUNCTION("""COMPUTED_VALUE"""),0.0)</f>
        <v>0</v>
      </c>
    </row>
    <row r="5357">
      <c r="A5357" s="5" t="str">
        <f>IFERROR(__xludf.DUMMYFUNCTION("""COMPUTED_VALUE"""),"74972")</f>
        <v>74972</v>
      </c>
      <c r="B5357" s="64">
        <f>IFERROR(__xludf.DUMMYFUNCTION("""COMPUTED_VALUE"""),44656.0)</f>
        <v>44656</v>
      </c>
      <c r="C5357" s="5"/>
      <c r="D5357" s="5"/>
      <c r="E5357" s="5"/>
      <c r="F5357" s="22">
        <f>IFERROR(__xludf.DUMMYFUNCTION("""COMPUTED_VALUE"""),500000.0)</f>
        <v>500000</v>
      </c>
      <c r="G5357" s="22">
        <f>IFERROR(__xludf.DUMMYFUNCTION("""COMPUTED_VALUE"""),0.0)</f>
        <v>0</v>
      </c>
      <c r="H5357" s="22">
        <f>IFERROR(__xludf.DUMMYFUNCTION("""COMPUTED_VALUE"""),500000.0)</f>
        <v>500000</v>
      </c>
      <c r="I5357" s="24">
        <f>IFERROR(__xludf.DUMMYFUNCTION("""COMPUTED_VALUE"""),0.0)</f>
        <v>0</v>
      </c>
    </row>
    <row r="5358">
      <c r="A5358" s="5" t="str">
        <f>IFERROR(__xludf.DUMMYFUNCTION("""COMPUTED_VALUE"""),"74972")</f>
        <v>74972</v>
      </c>
      <c r="B5358" s="64">
        <f>IFERROR(__xludf.DUMMYFUNCTION("""COMPUTED_VALUE"""),44657.0)</f>
        <v>44657</v>
      </c>
      <c r="C5358" s="5"/>
      <c r="D5358" s="5"/>
      <c r="E5358" s="5"/>
      <c r="F5358" s="22">
        <f>IFERROR(__xludf.DUMMYFUNCTION("""COMPUTED_VALUE"""),500000.0)</f>
        <v>500000</v>
      </c>
      <c r="G5358" s="22">
        <f>IFERROR(__xludf.DUMMYFUNCTION("""COMPUTED_VALUE"""),0.0)</f>
        <v>0</v>
      </c>
      <c r="H5358" s="22">
        <f>IFERROR(__xludf.DUMMYFUNCTION("""COMPUTED_VALUE"""),500000.0)</f>
        <v>500000</v>
      </c>
      <c r="I5358" s="24">
        <f>IFERROR(__xludf.DUMMYFUNCTION("""COMPUTED_VALUE"""),0.0)</f>
        <v>0</v>
      </c>
    </row>
    <row r="5359">
      <c r="A5359" s="5" t="str">
        <f>IFERROR(__xludf.DUMMYFUNCTION("""COMPUTED_VALUE"""),"74972")</f>
        <v>74972</v>
      </c>
      <c r="B5359" s="64">
        <f>IFERROR(__xludf.DUMMYFUNCTION("""COMPUTED_VALUE"""),44658.0)</f>
        <v>44658</v>
      </c>
      <c r="C5359" s="5"/>
      <c r="D5359" s="5"/>
      <c r="E5359" s="5"/>
      <c r="F5359" s="22">
        <f>IFERROR(__xludf.DUMMYFUNCTION("""COMPUTED_VALUE"""),500000.0)</f>
        <v>500000</v>
      </c>
      <c r="G5359" s="22">
        <f>IFERROR(__xludf.DUMMYFUNCTION("""COMPUTED_VALUE"""),0.0)</f>
        <v>0</v>
      </c>
      <c r="H5359" s="22">
        <f>IFERROR(__xludf.DUMMYFUNCTION("""COMPUTED_VALUE"""),500000.0)</f>
        <v>500000</v>
      </c>
      <c r="I5359" s="24">
        <f>IFERROR(__xludf.DUMMYFUNCTION("""COMPUTED_VALUE"""),0.0)</f>
        <v>0</v>
      </c>
    </row>
    <row r="5360">
      <c r="A5360" s="5" t="str">
        <f>IFERROR(__xludf.DUMMYFUNCTION("""COMPUTED_VALUE"""),"74972")</f>
        <v>74972</v>
      </c>
      <c r="B5360" s="64">
        <f>IFERROR(__xludf.DUMMYFUNCTION("""COMPUTED_VALUE"""),44659.0)</f>
        <v>44659</v>
      </c>
      <c r="C5360" s="5"/>
      <c r="D5360" s="5"/>
      <c r="E5360" s="5"/>
      <c r="F5360" s="22">
        <f>IFERROR(__xludf.DUMMYFUNCTION("""COMPUTED_VALUE"""),500000.0)</f>
        <v>500000</v>
      </c>
      <c r="G5360" s="22">
        <f>IFERROR(__xludf.DUMMYFUNCTION("""COMPUTED_VALUE"""),0.0)</f>
        <v>0</v>
      </c>
      <c r="H5360" s="22">
        <f>IFERROR(__xludf.DUMMYFUNCTION("""COMPUTED_VALUE"""),500000.0)</f>
        <v>500000</v>
      </c>
      <c r="I5360" s="24">
        <f>IFERROR(__xludf.DUMMYFUNCTION("""COMPUTED_VALUE"""),0.0)</f>
        <v>0</v>
      </c>
    </row>
    <row r="5361">
      <c r="A5361" s="5" t="str">
        <f>IFERROR(__xludf.DUMMYFUNCTION("""COMPUTED_VALUE"""),"74972")</f>
        <v>74972</v>
      </c>
      <c r="B5361" s="64">
        <f>IFERROR(__xludf.DUMMYFUNCTION("""COMPUTED_VALUE"""),44660.0)</f>
        <v>44660</v>
      </c>
      <c r="C5361" s="5"/>
      <c r="D5361" s="5"/>
      <c r="E5361" s="5"/>
      <c r="F5361" s="22">
        <f>IFERROR(__xludf.DUMMYFUNCTION("""COMPUTED_VALUE"""),500000.0)</f>
        <v>500000</v>
      </c>
      <c r="G5361" s="22">
        <f>IFERROR(__xludf.DUMMYFUNCTION("""COMPUTED_VALUE"""),0.0)</f>
        <v>0</v>
      </c>
      <c r="H5361" s="22">
        <f>IFERROR(__xludf.DUMMYFUNCTION("""COMPUTED_VALUE"""),500000.0)</f>
        <v>500000</v>
      </c>
      <c r="I5361" s="24">
        <f>IFERROR(__xludf.DUMMYFUNCTION("""COMPUTED_VALUE"""),0.0)</f>
        <v>0</v>
      </c>
    </row>
    <row r="5362">
      <c r="A5362" s="5" t="str">
        <f>IFERROR(__xludf.DUMMYFUNCTION("""COMPUTED_VALUE"""),"74972")</f>
        <v>74972</v>
      </c>
      <c r="B5362" s="64">
        <f>IFERROR(__xludf.DUMMYFUNCTION("""COMPUTED_VALUE"""),44661.0)</f>
        <v>44661</v>
      </c>
      <c r="C5362" s="5"/>
      <c r="D5362" s="5"/>
      <c r="E5362" s="5"/>
      <c r="F5362" s="22">
        <f>IFERROR(__xludf.DUMMYFUNCTION("""COMPUTED_VALUE"""),500000.0)</f>
        <v>500000</v>
      </c>
      <c r="G5362" s="22">
        <f>IFERROR(__xludf.DUMMYFUNCTION("""COMPUTED_VALUE"""),0.0)</f>
        <v>0</v>
      </c>
      <c r="H5362" s="22">
        <f>IFERROR(__xludf.DUMMYFUNCTION("""COMPUTED_VALUE"""),500000.0)</f>
        <v>500000</v>
      </c>
      <c r="I5362" s="24">
        <f>IFERROR(__xludf.DUMMYFUNCTION("""COMPUTED_VALUE"""),0.0)</f>
        <v>0</v>
      </c>
    </row>
    <row r="5363">
      <c r="A5363" s="5" t="str">
        <f>IFERROR(__xludf.DUMMYFUNCTION("""COMPUTED_VALUE"""),"74972")</f>
        <v>74972</v>
      </c>
      <c r="B5363" s="64">
        <f>IFERROR(__xludf.DUMMYFUNCTION("""COMPUTED_VALUE"""),44662.0)</f>
        <v>44662</v>
      </c>
      <c r="C5363" s="5"/>
      <c r="D5363" s="5"/>
      <c r="E5363" s="5"/>
      <c r="F5363" s="22">
        <f>IFERROR(__xludf.DUMMYFUNCTION("""COMPUTED_VALUE"""),500000.0)</f>
        <v>500000</v>
      </c>
      <c r="G5363" s="22">
        <f>IFERROR(__xludf.DUMMYFUNCTION("""COMPUTED_VALUE"""),0.0)</f>
        <v>0</v>
      </c>
      <c r="H5363" s="22">
        <f>IFERROR(__xludf.DUMMYFUNCTION("""COMPUTED_VALUE"""),500000.0)</f>
        <v>500000</v>
      </c>
      <c r="I5363" s="24">
        <f>IFERROR(__xludf.DUMMYFUNCTION("""COMPUTED_VALUE"""),0.0)</f>
        <v>0</v>
      </c>
    </row>
    <row r="5364">
      <c r="A5364" s="5" t="str">
        <f>IFERROR(__xludf.DUMMYFUNCTION("""COMPUTED_VALUE"""),"74972")</f>
        <v>74972</v>
      </c>
      <c r="B5364" s="64">
        <f>IFERROR(__xludf.DUMMYFUNCTION("""COMPUTED_VALUE"""),44663.0)</f>
        <v>44663</v>
      </c>
      <c r="C5364" s="5"/>
      <c r="D5364" s="5"/>
      <c r="E5364" s="5"/>
      <c r="F5364" s="22">
        <f>IFERROR(__xludf.DUMMYFUNCTION("""COMPUTED_VALUE"""),500000.0)</f>
        <v>500000</v>
      </c>
      <c r="G5364" s="22">
        <f>IFERROR(__xludf.DUMMYFUNCTION("""COMPUTED_VALUE"""),0.0)</f>
        <v>0</v>
      </c>
      <c r="H5364" s="22">
        <f>IFERROR(__xludf.DUMMYFUNCTION("""COMPUTED_VALUE"""),500000.0)</f>
        <v>500000</v>
      </c>
      <c r="I5364" s="24">
        <f>IFERROR(__xludf.DUMMYFUNCTION("""COMPUTED_VALUE"""),0.0)</f>
        <v>0</v>
      </c>
    </row>
    <row r="5365">
      <c r="A5365" s="5" t="str">
        <f>IFERROR(__xludf.DUMMYFUNCTION("""COMPUTED_VALUE"""),"75005")</f>
        <v>75005</v>
      </c>
      <c r="B5365" s="64">
        <f>IFERROR(__xludf.DUMMYFUNCTION("""COMPUTED_VALUE"""),44597.0)</f>
        <v>44597</v>
      </c>
      <c r="C5365" s="5"/>
      <c r="D5365" s="5"/>
      <c r="E5365" s="5"/>
      <c r="F5365" s="22">
        <f>IFERROR(__xludf.DUMMYFUNCTION("""COMPUTED_VALUE"""),500000.0)</f>
        <v>500000</v>
      </c>
      <c r="G5365" s="22">
        <f>IFERROR(__xludf.DUMMYFUNCTION("""COMPUTED_VALUE"""),0.0)</f>
        <v>0</v>
      </c>
      <c r="H5365" s="22">
        <f>IFERROR(__xludf.DUMMYFUNCTION("""COMPUTED_VALUE"""),500000.0)</f>
        <v>500000</v>
      </c>
      <c r="I5365" s="24">
        <f>IFERROR(__xludf.DUMMYFUNCTION("""COMPUTED_VALUE"""),0.0)</f>
        <v>0</v>
      </c>
    </row>
    <row r="5366">
      <c r="A5366" s="5" t="str">
        <f>IFERROR(__xludf.DUMMYFUNCTION("""COMPUTED_VALUE"""),"75005")</f>
        <v>75005</v>
      </c>
      <c r="B5366" s="64">
        <f>IFERROR(__xludf.DUMMYFUNCTION("""COMPUTED_VALUE"""),44598.0)</f>
        <v>44598</v>
      </c>
      <c r="C5366" s="5"/>
      <c r="D5366" s="5"/>
      <c r="E5366" s="5"/>
      <c r="F5366" s="22">
        <f>IFERROR(__xludf.DUMMYFUNCTION("""COMPUTED_VALUE"""),500000.0)</f>
        <v>500000</v>
      </c>
      <c r="G5366" s="22">
        <f>IFERROR(__xludf.DUMMYFUNCTION("""COMPUTED_VALUE"""),0.0)</f>
        <v>0</v>
      </c>
      <c r="H5366" s="22">
        <f>IFERROR(__xludf.DUMMYFUNCTION("""COMPUTED_VALUE"""),500000.0)</f>
        <v>500000</v>
      </c>
      <c r="I5366" s="24">
        <f>IFERROR(__xludf.DUMMYFUNCTION("""COMPUTED_VALUE"""),0.0)</f>
        <v>0</v>
      </c>
    </row>
    <row r="5367">
      <c r="A5367" s="5" t="str">
        <f>IFERROR(__xludf.DUMMYFUNCTION("""COMPUTED_VALUE"""),"75005")</f>
        <v>75005</v>
      </c>
      <c r="B5367" s="64">
        <f>IFERROR(__xludf.DUMMYFUNCTION("""COMPUTED_VALUE"""),44599.0)</f>
        <v>44599</v>
      </c>
      <c r="C5367" s="5"/>
      <c r="D5367" s="5"/>
      <c r="E5367" s="5"/>
      <c r="F5367" s="22">
        <f>IFERROR(__xludf.DUMMYFUNCTION("""COMPUTED_VALUE"""),500000.0)</f>
        <v>500000</v>
      </c>
      <c r="G5367" s="22">
        <f>IFERROR(__xludf.DUMMYFUNCTION("""COMPUTED_VALUE"""),0.0)</f>
        <v>0</v>
      </c>
      <c r="H5367" s="22">
        <f>IFERROR(__xludf.DUMMYFUNCTION("""COMPUTED_VALUE"""),500000.0)</f>
        <v>500000</v>
      </c>
      <c r="I5367" s="24">
        <f>IFERROR(__xludf.DUMMYFUNCTION("""COMPUTED_VALUE"""),0.0)</f>
        <v>0</v>
      </c>
    </row>
    <row r="5368">
      <c r="A5368" s="5" t="str">
        <f>IFERROR(__xludf.DUMMYFUNCTION("""COMPUTED_VALUE"""),"75005")</f>
        <v>75005</v>
      </c>
      <c r="B5368" s="64">
        <f>IFERROR(__xludf.DUMMYFUNCTION("""COMPUTED_VALUE"""),44600.0)</f>
        <v>44600</v>
      </c>
      <c r="C5368" s="5"/>
      <c r="D5368" s="5"/>
      <c r="E5368" s="5"/>
      <c r="F5368" s="22">
        <f>IFERROR(__xludf.DUMMYFUNCTION("""COMPUTED_VALUE"""),500000.0)</f>
        <v>500000</v>
      </c>
      <c r="G5368" s="22">
        <f>IFERROR(__xludf.DUMMYFUNCTION("""COMPUTED_VALUE"""),0.0)</f>
        <v>0</v>
      </c>
      <c r="H5368" s="22">
        <f>IFERROR(__xludf.DUMMYFUNCTION("""COMPUTED_VALUE"""),500000.0)</f>
        <v>500000</v>
      </c>
      <c r="I5368" s="24">
        <f>IFERROR(__xludf.DUMMYFUNCTION("""COMPUTED_VALUE"""),0.0)</f>
        <v>0</v>
      </c>
    </row>
    <row r="5369">
      <c r="A5369" s="5" t="str">
        <f>IFERROR(__xludf.DUMMYFUNCTION("""COMPUTED_VALUE"""),"75005")</f>
        <v>75005</v>
      </c>
      <c r="B5369" s="64">
        <f>IFERROR(__xludf.DUMMYFUNCTION("""COMPUTED_VALUE"""),44601.0)</f>
        <v>44601</v>
      </c>
      <c r="C5369" s="5"/>
      <c r="D5369" s="5"/>
      <c r="E5369" s="5"/>
      <c r="F5369" s="22">
        <f>IFERROR(__xludf.DUMMYFUNCTION("""COMPUTED_VALUE"""),500000.0)</f>
        <v>500000</v>
      </c>
      <c r="G5369" s="22">
        <f>IFERROR(__xludf.DUMMYFUNCTION("""COMPUTED_VALUE"""),0.0)</f>
        <v>0</v>
      </c>
      <c r="H5369" s="22">
        <f>IFERROR(__xludf.DUMMYFUNCTION("""COMPUTED_VALUE"""),500000.0)</f>
        <v>500000</v>
      </c>
      <c r="I5369" s="24">
        <f>IFERROR(__xludf.DUMMYFUNCTION("""COMPUTED_VALUE"""),0.0)</f>
        <v>0</v>
      </c>
    </row>
    <row r="5370">
      <c r="A5370" s="5" t="str">
        <f>IFERROR(__xludf.DUMMYFUNCTION("""COMPUTED_VALUE"""),"75005")</f>
        <v>75005</v>
      </c>
      <c r="B5370" s="64">
        <f>IFERROR(__xludf.DUMMYFUNCTION("""COMPUTED_VALUE"""),44602.0)</f>
        <v>44602</v>
      </c>
      <c r="C5370" s="5"/>
      <c r="D5370" s="5"/>
      <c r="E5370" s="5"/>
      <c r="F5370" s="22">
        <f>IFERROR(__xludf.DUMMYFUNCTION("""COMPUTED_VALUE"""),500000.0)</f>
        <v>500000</v>
      </c>
      <c r="G5370" s="22">
        <f>IFERROR(__xludf.DUMMYFUNCTION("""COMPUTED_VALUE"""),0.0)</f>
        <v>0</v>
      </c>
      <c r="H5370" s="22">
        <f>IFERROR(__xludf.DUMMYFUNCTION("""COMPUTED_VALUE"""),500000.0)</f>
        <v>500000</v>
      </c>
      <c r="I5370" s="24">
        <f>IFERROR(__xludf.DUMMYFUNCTION("""COMPUTED_VALUE"""),0.0)</f>
        <v>0</v>
      </c>
    </row>
    <row r="5371">
      <c r="A5371" s="5" t="str">
        <f>IFERROR(__xludf.DUMMYFUNCTION("""COMPUTED_VALUE"""),"75005")</f>
        <v>75005</v>
      </c>
      <c r="B5371" s="64">
        <f>IFERROR(__xludf.DUMMYFUNCTION("""COMPUTED_VALUE"""),44603.0)</f>
        <v>44603</v>
      </c>
      <c r="C5371" s="5"/>
      <c r="D5371" s="5"/>
      <c r="E5371" s="5"/>
      <c r="F5371" s="22">
        <f>IFERROR(__xludf.DUMMYFUNCTION("""COMPUTED_VALUE"""),500000.0)</f>
        <v>500000</v>
      </c>
      <c r="G5371" s="22">
        <f>IFERROR(__xludf.DUMMYFUNCTION("""COMPUTED_VALUE"""),0.0)</f>
        <v>0</v>
      </c>
      <c r="H5371" s="22">
        <f>IFERROR(__xludf.DUMMYFUNCTION("""COMPUTED_VALUE"""),500000.0)</f>
        <v>500000</v>
      </c>
      <c r="I5371" s="24">
        <f>IFERROR(__xludf.DUMMYFUNCTION("""COMPUTED_VALUE"""),0.0)</f>
        <v>0</v>
      </c>
    </row>
    <row r="5372">
      <c r="A5372" s="5" t="str">
        <f>IFERROR(__xludf.DUMMYFUNCTION("""COMPUTED_VALUE"""),"75005")</f>
        <v>75005</v>
      </c>
      <c r="B5372" s="64">
        <f>IFERROR(__xludf.DUMMYFUNCTION("""COMPUTED_VALUE"""),44604.0)</f>
        <v>44604</v>
      </c>
      <c r="C5372" s="5"/>
      <c r="D5372" s="5"/>
      <c r="E5372" s="5"/>
      <c r="F5372" s="22">
        <f>IFERROR(__xludf.DUMMYFUNCTION("""COMPUTED_VALUE"""),500000.0)</f>
        <v>500000</v>
      </c>
      <c r="G5372" s="22">
        <f>IFERROR(__xludf.DUMMYFUNCTION("""COMPUTED_VALUE"""),0.0)</f>
        <v>0</v>
      </c>
      <c r="H5372" s="22">
        <f>IFERROR(__xludf.DUMMYFUNCTION("""COMPUTED_VALUE"""),500000.0)</f>
        <v>500000</v>
      </c>
      <c r="I5372" s="24">
        <f>IFERROR(__xludf.DUMMYFUNCTION("""COMPUTED_VALUE"""),0.0)</f>
        <v>0</v>
      </c>
    </row>
    <row r="5373">
      <c r="A5373" s="5" t="str">
        <f>IFERROR(__xludf.DUMMYFUNCTION("""COMPUTED_VALUE"""),"75005")</f>
        <v>75005</v>
      </c>
      <c r="B5373" s="64">
        <f>IFERROR(__xludf.DUMMYFUNCTION("""COMPUTED_VALUE"""),44605.0)</f>
        <v>44605</v>
      </c>
      <c r="C5373" s="5"/>
      <c r="D5373" s="5"/>
      <c r="E5373" s="5"/>
      <c r="F5373" s="22">
        <f>IFERROR(__xludf.DUMMYFUNCTION("""COMPUTED_VALUE"""),500000.0)</f>
        <v>500000</v>
      </c>
      <c r="G5373" s="22">
        <f>IFERROR(__xludf.DUMMYFUNCTION("""COMPUTED_VALUE"""),0.0)</f>
        <v>0</v>
      </c>
      <c r="H5373" s="22">
        <f>IFERROR(__xludf.DUMMYFUNCTION("""COMPUTED_VALUE"""),500000.0)</f>
        <v>500000</v>
      </c>
      <c r="I5373" s="24">
        <f>IFERROR(__xludf.DUMMYFUNCTION("""COMPUTED_VALUE"""),0.0)</f>
        <v>0</v>
      </c>
    </row>
    <row r="5374">
      <c r="A5374" s="5" t="str">
        <f>IFERROR(__xludf.DUMMYFUNCTION("""COMPUTED_VALUE"""),"75005")</f>
        <v>75005</v>
      </c>
      <c r="B5374" s="64">
        <f>IFERROR(__xludf.DUMMYFUNCTION("""COMPUTED_VALUE"""),44606.0)</f>
        <v>44606</v>
      </c>
      <c r="C5374" s="5"/>
      <c r="D5374" s="5"/>
      <c r="E5374" s="5"/>
      <c r="F5374" s="22">
        <f>IFERROR(__xludf.DUMMYFUNCTION("""COMPUTED_VALUE"""),500000.0)</f>
        <v>500000</v>
      </c>
      <c r="G5374" s="22">
        <f>IFERROR(__xludf.DUMMYFUNCTION("""COMPUTED_VALUE"""),0.0)</f>
        <v>0</v>
      </c>
      <c r="H5374" s="22">
        <f>IFERROR(__xludf.DUMMYFUNCTION("""COMPUTED_VALUE"""),500000.0)</f>
        <v>500000</v>
      </c>
      <c r="I5374" s="24">
        <f>IFERROR(__xludf.DUMMYFUNCTION("""COMPUTED_VALUE"""),0.0)</f>
        <v>0</v>
      </c>
    </row>
    <row r="5375">
      <c r="A5375" s="5" t="str">
        <f>IFERROR(__xludf.DUMMYFUNCTION("""COMPUTED_VALUE"""),"75005")</f>
        <v>75005</v>
      </c>
      <c r="B5375" s="64">
        <f>IFERROR(__xludf.DUMMYFUNCTION("""COMPUTED_VALUE"""),44607.0)</f>
        <v>44607</v>
      </c>
      <c r="C5375" s="5"/>
      <c r="D5375" s="5"/>
      <c r="E5375" s="5"/>
      <c r="F5375" s="22">
        <f>IFERROR(__xludf.DUMMYFUNCTION("""COMPUTED_VALUE"""),500000.0)</f>
        <v>500000</v>
      </c>
      <c r="G5375" s="22">
        <f>IFERROR(__xludf.DUMMYFUNCTION("""COMPUTED_VALUE"""),0.0)</f>
        <v>0</v>
      </c>
      <c r="H5375" s="22">
        <f>IFERROR(__xludf.DUMMYFUNCTION("""COMPUTED_VALUE"""),500000.0)</f>
        <v>500000</v>
      </c>
      <c r="I5375" s="24">
        <f>IFERROR(__xludf.DUMMYFUNCTION("""COMPUTED_VALUE"""),0.0)</f>
        <v>0</v>
      </c>
    </row>
    <row r="5376">
      <c r="A5376" s="5" t="str">
        <f>IFERROR(__xludf.DUMMYFUNCTION("""COMPUTED_VALUE"""),"75005")</f>
        <v>75005</v>
      </c>
      <c r="B5376" s="64">
        <f>IFERROR(__xludf.DUMMYFUNCTION("""COMPUTED_VALUE"""),44608.0)</f>
        <v>44608</v>
      </c>
      <c r="C5376" s="5"/>
      <c r="D5376" s="5"/>
      <c r="E5376" s="5"/>
      <c r="F5376" s="22">
        <f>IFERROR(__xludf.DUMMYFUNCTION("""COMPUTED_VALUE"""),500000.0)</f>
        <v>500000</v>
      </c>
      <c r="G5376" s="22">
        <f>IFERROR(__xludf.DUMMYFUNCTION("""COMPUTED_VALUE"""),0.0)</f>
        <v>0</v>
      </c>
      <c r="H5376" s="22">
        <f>IFERROR(__xludf.DUMMYFUNCTION("""COMPUTED_VALUE"""),500000.0)</f>
        <v>500000</v>
      </c>
      <c r="I5376" s="24">
        <f>IFERROR(__xludf.DUMMYFUNCTION("""COMPUTED_VALUE"""),0.0)</f>
        <v>0</v>
      </c>
    </row>
    <row r="5377">
      <c r="A5377" s="5" t="str">
        <f>IFERROR(__xludf.DUMMYFUNCTION("""COMPUTED_VALUE"""),"75005")</f>
        <v>75005</v>
      </c>
      <c r="B5377" s="64">
        <f>IFERROR(__xludf.DUMMYFUNCTION("""COMPUTED_VALUE"""),44609.0)</f>
        <v>44609</v>
      </c>
      <c r="C5377" s="5"/>
      <c r="D5377" s="5"/>
      <c r="E5377" s="5"/>
      <c r="F5377" s="22">
        <f>IFERROR(__xludf.DUMMYFUNCTION("""COMPUTED_VALUE"""),500000.0)</f>
        <v>500000</v>
      </c>
      <c r="G5377" s="22">
        <f>IFERROR(__xludf.DUMMYFUNCTION("""COMPUTED_VALUE"""),0.0)</f>
        <v>0</v>
      </c>
      <c r="H5377" s="22">
        <f>IFERROR(__xludf.DUMMYFUNCTION("""COMPUTED_VALUE"""),500000.0)</f>
        <v>500000</v>
      </c>
      <c r="I5377" s="24">
        <f>IFERROR(__xludf.DUMMYFUNCTION("""COMPUTED_VALUE"""),0.0)</f>
        <v>0</v>
      </c>
    </row>
    <row r="5378">
      <c r="A5378" s="5" t="str">
        <f>IFERROR(__xludf.DUMMYFUNCTION("""COMPUTED_VALUE"""),"75005")</f>
        <v>75005</v>
      </c>
      <c r="B5378" s="64">
        <f>IFERROR(__xludf.DUMMYFUNCTION("""COMPUTED_VALUE"""),44610.0)</f>
        <v>44610</v>
      </c>
      <c r="C5378" s="5"/>
      <c r="D5378" s="5"/>
      <c r="E5378" s="5"/>
      <c r="F5378" s="22">
        <f>IFERROR(__xludf.DUMMYFUNCTION("""COMPUTED_VALUE"""),500000.0)</f>
        <v>500000</v>
      </c>
      <c r="G5378" s="22">
        <f>IFERROR(__xludf.DUMMYFUNCTION("""COMPUTED_VALUE"""),0.0)</f>
        <v>0</v>
      </c>
      <c r="H5378" s="22">
        <f>IFERROR(__xludf.DUMMYFUNCTION("""COMPUTED_VALUE"""),500000.0)</f>
        <v>500000</v>
      </c>
      <c r="I5378" s="24">
        <f>IFERROR(__xludf.DUMMYFUNCTION("""COMPUTED_VALUE"""),0.0)</f>
        <v>0</v>
      </c>
    </row>
    <row r="5379">
      <c r="A5379" s="5" t="str">
        <f>IFERROR(__xludf.DUMMYFUNCTION("""COMPUTED_VALUE"""),"75005")</f>
        <v>75005</v>
      </c>
      <c r="B5379" s="64">
        <f>IFERROR(__xludf.DUMMYFUNCTION("""COMPUTED_VALUE"""),44611.0)</f>
        <v>44611</v>
      </c>
      <c r="C5379" s="5"/>
      <c r="D5379" s="5"/>
      <c r="E5379" s="5"/>
      <c r="F5379" s="22">
        <f>IFERROR(__xludf.DUMMYFUNCTION("""COMPUTED_VALUE"""),500000.0)</f>
        <v>500000</v>
      </c>
      <c r="G5379" s="22">
        <f>IFERROR(__xludf.DUMMYFUNCTION("""COMPUTED_VALUE"""),0.0)</f>
        <v>0</v>
      </c>
      <c r="H5379" s="22">
        <f>IFERROR(__xludf.DUMMYFUNCTION("""COMPUTED_VALUE"""),500000.0)</f>
        <v>500000</v>
      </c>
      <c r="I5379" s="24">
        <f>IFERROR(__xludf.DUMMYFUNCTION("""COMPUTED_VALUE"""),0.0)</f>
        <v>0</v>
      </c>
    </row>
    <row r="5380">
      <c r="A5380" s="5" t="str">
        <f>IFERROR(__xludf.DUMMYFUNCTION("""COMPUTED_VALUE"""),"75005")</f>
        <v>75005</v>
      </c>
      <c r="B5380" s="64">
        <f>IFERROR(__xludf.DUMMYFUNCTION("""COMPUTED_VALUE"""),44612.0)</f>
        <v>44612</v>
      </c>
      <c r="C5380" s="5"/>
      <c r="D5380" s="5"/>
      <c r="E5380" s="5"/>
      <c r="F5380" s="22">
        <f>IFERROR(__xludf.DUMMYFUNCTION("""COMPUTED_VALUE"""),500000.0)</f>
        <v>500000</v>
      </c>
      <c r="G5380" s="22">
        <f>IFERROR(__xludf.DUMMYFUNCTION("""COMPUTED_VALUE"""),0.0)</f>
        <v>0</v>
      </c>
      <c r="H5380" s="22">
        <f>IFERROR(__xludf.DUMMYFUNCTION("""COMPUTED_VALUE"""),500000.0)</f>
        <v>500000</v>
      </c>
      <c r="I5380" s="24">
        <f>IFERROR(__xludf.DUMMYFUNCTION("""COMPUTED_VALUE"""),0.0)</f>
        <v>0</v>
      </c>
    </row>
    <row r="5381">
      <c r="A5381" s="5" t="str">
        <f>IFERROR(__xludf.DUMMYFUNCTION("""COMPUTED_VALUE"""),"75005")</f>
        <v>75005</v>
      </c>
      <c r="B5381" s="64">
        <f>IFERROR(__xludf.DUMMYFUNCTION("""COMPUTED_VALUE"""),44613.0)</f>
        <v>44613</v>
      </c>
      <c r="C5381" s="5"/>
      <c r="D5381" s="5"/>
      <c r="E5381" s="5"/>
      <c r="F5381" s="22">
        <f>IFERROR(__xludf.DUMMYFUNCTION("""COMPUTED_VALUE"""),500000.0)</f>
        <v>500000</v>
      </c>
      <c r="G5381" s="22">
        <f>IFERROR(__xludf.DUMMYFUNCTION("""COMPUTED_VALUE"""),0.0)</f>
        <v>0</v>
      </c>
      <c r="H5381" s="22">
        <f>IFERROR(__xludf.DUMMYFUNCTION("""COMPUTED_VALUE"""),500000.0)</f>
        <v>500000</v>
      </c>
      <c r="I5381" s="24">
        <f>IFERROR(__xludf.DUMMYFUNCTION("""COMPUTED_VALUE"""),0.0)</f>
        <v>0</v>
      </c>
    </row>
    <row r="5382">
      <c r="A5382" s="5" t="str">
        <f>IFERROR(__xludf.DUMMYFUNCTION("""COMPUTED_VALUE"""),"75005")</f>
        <v>75005</v>
      </c>
      <c r="B5382" s="64">
        <f>IFERROR(__xludf.DUMMYFUNCTION("""COMPUTED_VALUE"""),44614.0)</f>
        <v>44614</v>
      </c>
      <c r="C5382" s="5"/>
      <c r="D5382" s="5"/>
      <c r="E5382" s="5"/>
      <c r="F5382" s="22">
        <f>IFERROR(__xludf.DUMMYFUNCTION("""COMPUTED_VALUE"""),500000.0)</f>
        <v>500000</v>
      </c>
      <c r="G5382" s="22">
        <f>IFERROR(__xludf.DUMMYFUNCTION("""COMPUTED_VALUE"""),0.0)</f>
        <v>0</v>
      </c>
      <c r="H5382" s="22">
        <f>IFERROR(__xludf.DUMMYFUNCTION("""COMPUTED_VALUE"""),500000.0)</f>
        <v>500000</v>
      </c>
      <c r="I5382" s="24">
        <f>IFERROR(__xludf.DUMMYFUNCTION("""COMPUTED_VALUE"""),0.0)</f>
        <v>0</v>
      </c>
    </row>
    <row r="5383">
      <c r="A5383" s="5" t="str">
        <f>IFERROR(__xludf.DUMMYFUNCTION("""COMPUTED_VALUE"""),"75005")</f>
        <v>75005</v>
      </c>
      <c r="B5383" s="64">
        <f>IFERROR(__xludf.DUMMYFUNCTION("""COMPUTED_VALUE"""),44615.0)</f>
        <v>44615</v>
      </c>
      <c r="C5383" s="5"/>
      <c r="D5383" s="5"/>
      <c r="E5383" s="5"/>
      <c r="F5383" s="22">
        <f>IFERROR(__xludf.DUMMYFUNCTION("""COMPUTED_VALUE"""),500000.0)</f>
        <v>500000</v>
      </c>
      <c r="G5383" s="22">
        <f>IFERROR(__xludf.DUMMYFUNCTION("""COMPUTED_VALUE"""),0.0)</f>
        <v>0</v>
      </c>
      <c r="H5383" s="22">
        <f>IFERROR(__xludf.DUMMYFUNCTION("""COMPUTED_VALUE"""),500000.0)</f>
        <v>500000</v>
      </c>
      <c r="I5383" s="24">
        <f>IFERROR(__xludf.DUMMYFUNCTION("""COMPUTED_VALUE"""),0.0)</f>
        <v>0</v>
      </c>
    </row>
    <row r="5384">
      <c r="A5384" s="5" t="str">
        <f>IFERROR(__xludf.DUMMYFUNCTION("""COMPUTED_VALUE"""),"75005")</f>
        <v>75005</v>
      </c>
      <c r="B5384" s="64">
        <f>IFERROR(__xludf.DUMMYFUNCTION("""COMPUTED_VALUE"""),44616.0)</f>
        <v>44616</v>
      </c>
      <c r="C5384" s="5"/>
      <c r="D5384" s="5"/>
      <c r="E5384" s="5"/>
      <c r="F5384" s="22">
        <f>IFERROR(__xludf.DUMMYFUNCTION("""COMPUTED_VALUE"""),500000.0)</f>
        <v>500000</v>
      </c>
      <c r="G5384" s="22">
        <f>IFERROR(__xludf.DUMMYFUNCTION("""COMPUTED_VALUE"""),0.0)</f>
        <v>0</v>
      </c>
      <c r="H5384" s="22">
        <f>IFERROR(__xludf.DUMMYFUNCTION("""COMPUTED_VALUE"""),500000.0)</f>
        <v>500000</v>
      </c>
      <c r="I5384" s="24">
        <f>IFERROR(__xludf.DUMMYFUNCTION("""COMPUTED_VALUE"""),0.0)</f>
        <v>0</v>
      </c>
    </row>
    <row r="5385">
      <c r="A5385" s="5" t="str">
        <f>IFERROR(__xludf.DUMMYFUNCTION("""COMPUTED_VALUE"""),"75005")</f>
        <v>75005</v>
      </c>
      <c r="B5385" s="64">
        <f>IFERROR(__xludf.DUMMYFUNCTION("""COMPUTED_VALUE"""),44617.0)</f>
        <v>44617</v>
      </c>
      <c r="C5385" s="5"/>
      <c r="D5385" s="5"/>
      <c r="E5385" s="5"/>
      <c r="F5385" s="22">
        <f>IFERROR(__xludf.DUMMYFUNCTION("""COMPUTED_VALUE"""),500000.0)</f>
        <v>500000</v>
      </c>
      <c r="G5385" s="22">
        <f>IFERROR(__xludf.DUMMYFUNCTION("""COMPUTED_VALUE"""),0.0)</f>
        <v>0</v>
      </c>
      <c r="H5385" s="22">
        <f>IFERROR(__xludf.DUMMYFUNCTION("""COMPUTED_VALUE"""),500000.0)</f>
        <v>500000</v>
      </c>
      <c r="I5385" s="24">
        <f>IFERROR(__xludf.DUMMYFUNCTION("""COMPUTED_VALUE"""),0.0)</f>
        <v>0</v>
      </c>
    </row>
    <row r="5386">
      <c r="A5386" s="5" t="str">
        <f>IFERROR(__xludf.DUMMYFUNCTION("""COMPUTED_VALUE"""),"75005")</f>
        <v>75005</v>
      </c>
      <c r="B5386" s="64">
        <f>IFERROR(__xludf.DUMMYFUNCTION("""COMPUTED_VALUE"""),44618.0)</f>
        <v>44618</v>
      </c>
      <c r="C5386" s="5"/>
      <c r="D5386" s="5"/>
      <c r="E5386" s="5"/>
      <c r="F5386" s="22">
        <f>IFERROR(__xludf.DUMMYFUNCTION("""COMPUTED_VALUE"""),500000.0)</f>
        <v>500000</v>
      </c>
      <c r="G5386" s="22">
        <f>IFERROR(__xludf.DUMMYFUNCTION("""COMPUTED_VALUE"""),0.0)</f>
        <v>0</v>
      </c>
      <c r="H5386" s="22">
        <f>IFERROR(__xludf.DUMMYFUNCTION("""COMPUTED_VALUE"""),500000.0)</f>
        <v>500000</v>
      </c>
      <c r="I5386" s="24">
        <f>IFERROR(__xludf.DUMMYFUNCTION("""COMPUTED_VALUE"""),0.0)</f>
        <v>0</v>
      </c>
    </row>
    <row r="5387">
      <c r="A5387" s="5" t="str">
        <f>IFERROR(__xludf.DUMMYFUNCTION("""COMPUTED_VALUE"""),"75005")</f>
        <v>75005</v>
      </c>
      <c r="B5387" s="64">
        <f>IFERROR(__xludf.DUMMYFUNCTION("""COMPUTED_VALUE"""),44619.0)</f>
        <v>44619</v>
      </c>
      <c r="C5387" s="5"/>
      <c r="D5387" s="5"/>
      <c r="E5387" s="5"/>
      <c r="F5387" s="22">
        <f>IFERROR(__xludf.DUMMYFUNCTION("""COMPUTED_VALUE"""),500000.0)</f>
        <v>500000</v>
      </c>
      <c r="G5387" s="22">
        <f>IFERROR(__xludf.DUMMYFUNCTION("""COMPUTED_VALUE"""),0.0)</f>
        <v>0</v>
      </c>
      <c r="H5387" s="22">
        <f>IFERROR(__xludf.DUMMYFUNCTION("""COMPUTED_VALUE"""),500000.0)</f>
        <v>500000</v>
      </c>
      <c r="I5387" s="24">
        <f>IFERROR(__xludf.DUMMYFUNCTION("""COMPUTED_VALUE"""),0.0)</f>
        <v>0</v>
      </c>
    </row>
    <row r="5388">
      <c r="A5388" s="5" t="str">
        <f>IFERROR(__xludf.DUMMYFUNCTION("""COMPUTED_VALUE"""),"75005")</f>
        <v>75005</v>
      </c>
      <c r="B5388" s="64">
        <f>IFERROR(__xludf.DUMMYFUNCTION("""COMPUTED_VALUE"""),44620.0)</f>
        <v>44620</v>
      </c>
      <c r="C5388" s="5"/>
      <c r="D5388" s="5"/>
      <c r="E5388" s="5"/>
      <c r="F5388" s="22">
        <f>IFERROR(__xludf.DUMMYFUNCTION("""COMPUTED_VALUE"""),500000.0)</f>
        <v>500000</v>
      </c>
      <c r="G5388" s="22">
        <f>IFERROR(__xludf.DUMMYFUNCTION("""COMPUTED_VALUE"""),0.0)</f>
        <v>0</v>
      </c>
      <c r="H5388" s="22">
        <f>IFERROR(__xludf.DUMMYFUNCTION("""COMPUTED_VALUE"""),500000.0)</f>
        <v>500000</v>
      </c>
      <c r="I5388" s="24">
        <f>IFERROR(__xludf.DUMMYFUNCTION("""COMPUTED_VALUE"""),0.0)</f>
        <v>0</v>
      </c>
    </row>
    <row r="5389">
      <c r="A5389" s="5" t="str">
        <f>IFERROR(__xludf.DUMMYFUNCTION("""COMPUTED_VALUE"""),"75005")</f>
        <v>75005</v>
      </c>
      <c r="B5389" s="64">
        <f>IFERROR(__xludf.DUMMYFUNCTION("""COMPUTED_VALUE"""),44621.0)</f>
        <v>44621</v>
      </c>
      <c r="C5389" s="5"/>
      <c r="D5389" s="5"/>
      <c r="E5389" s="5"/>
      <c r="F5389" s="22">
        <f>IFERROR(__xludf.DUMMYFUNCTION("""COMPUTED_VALUE"""),500000.0)</f>
        <v>500000</v>
      </c>
      <c r="G5389" s="22">
        <f>IFERROR(__xludf.DUMMYFUNCTION("""COMPUTED_VALUE"""),0.0)</f>
        <v>0</v>
      </c>
      <c r="H5389" s="22">
        <f>IFERROR(__xludf.DUMMYFUNCTION("""COMPUTED_VALUE"""),500000.0)</f>
        <v>500000</v>
      </c>
      <c r="I5389" s="24">
        <f>IFERROR(__xludf.DUMMYFUNCTION("""COMPUTED_VALUE"""),0.0)</f>
        <v>0</v>
      </c>
    </row>
    <row r="5390">
      <c r="A5390" s="5" t="str">
        <f>IFERROR(__xludf.DUMMYFUNCTION("""COMPUTED_VALUE"""),"75005")</f>
        <v>75005</v>
      </c>
      <c r="B5390" s="64">
        <f>IFERROR(__xludf.DUMMYFUNCTION("""COMPUTED_VALUE"""),44622.0)</f>
        <v>44622</v>
      </c>
      <c r="C5390" s="5"/>
      <c r="D5390" s="5"/>
      <c r="E5390" s="5"/>
      <c r="F5390" s="22">
        <f>IFERROR(__xludf.DUMMYFUNCTION("""COMPUTED_VALUE"""),500000.0)</f>
        <v>500000</v>
      </c>
      <c r="G5390" s="22">
        <f>IFERROR(__xludf.DUMMYFUNCTION("""COMPUTED_VALUE"""),0.0)</f>
        <v>0</v>
      </c>
      <c r="H5390" s="22">
        <f>IFERROR(__xludf.DUMMYFUNCTION("""COMPUTED_VALUE"""),500000.0)</f>
        <v>500000</v>
      </c>
      <c r="I5390" s="24">
        <f>IFERROR(__xludf.DUMMYFUNCTION("""COMPUTED_VALUE"""),0.0)</f>
        <v>0</v>
      </c>
    </row>
    <row r="5391">
      <c r="A5391" s="5" t="str">
        <f>IFERROR(__xludf.DUMMYFUNCTION("""COMPUTED_VALUE"""),"75005")</f>
        <v>75005</v>
      </c>
      <c r="B5391" s="64">
        <f>IFERROR(__xludf.DUMMYFUNCTION("""COMPUTED_VALUE"""),44623.0)</f>
        <v>44623</v>
      </c>
      <c r="C5391" s="5"/>
      <c r="D5391" s="5"/>
      <c r="E5391" s="5"/>
      <c r="F5391" s="22">
        <f>IFERROR(__xludf.DUMMYFUNCTION("""COMPUTED_VALUE"""),500000.0)</f>
        <v>500000</v>
      </c>
      <c r="G5391" s="22">
        <f>IFERROR(__xludf.DUMMYFUNCTION("""COMPUTED_VALUE"""),0.0)</f>
        <v>0</v>
      </c>
      <c r="H5391" s="22">
        <f>IFERROR(__xludf.DUMMYFUNCTION("""COMPUTED_VALUE"""),500000.0)</f>
        <v>500000</v>
      </c>
      <c r="I5391" s="24">
        <f>IFERROR(__xludf.DUMMYFUNCTION("""COMPUTED_VALUE"""),0.0)</f>
        <v>0</v>
      </c>
    </row>
    <row r="5392">
      <c r="A5392" s="5" t="str">
        <f>IFERROR(__xludf.DUMMYFUNCTION("""COMPUTED_VALUE"""),"75005")</f>
        <v>75005</v>
      </c>
      <c r="B5392" s="64">
        <f>IFERROR(__xludf.DUMMYFUNCTION("""COMPUTED_VALUE"""),44624.0)</f>
        <v>44624</v>
      </c>
      <c r="C5392" s="5"/>
      <c r="D5392" s="5"/>
      <c r="E5392" s="5"/>
      <c r="F5392" s="22">
        <f>IFERROR(__xludf.DUMMYFUNCTION("""COMPUTED_VALUE"""),500000.0)</f>
        <v>500000</v>
      </c>
      <c r="G5392" s="22">
        <f>IFERROR(__xludf.DUMMYFUNCTION("""COMPUTED_VALUE"""),0.0)</f>
        <v>0</v>
      </c>
      <c r="H5392" s="22">
        <f>IFERROR(__xludf.DUMMYFUNCTION("""COMPUTED_VALUE"""),500000.0)</f>
        <v>500000</v>
      </c>
      <c r="I5392" s="24">
        <f>IFERROR(__xludf.DUMMYFUNCTION("""COMPUTED_VALUE"""),0.0)</f>
        <v>0</v>
      </c>
    </row>
    <row r="5393">
      <c r="A5393" s="5" t="str">
        <f>IFERROR(__xludf.DUMMYFUNCTION("""COMPUTED_VALUE"""),"75005")</f>
        <v>75005</v>
      </c>
      <c r="B5393" s="64">
        <f>IFERROR(__xludf.DUMMYFUNCTION("""COMPUTED_VALUE"""),44625.0)</f>
        <v>44625</v>
      </c>
      <c r="C5393" s="5"/>
      <c r="D5393" s="5"/>
      <c r="E5393" s="5"/>
      <c r="F5393" s="22">
        <f>IFERROR(__xludf.DUMMYFUNCTION("""COMPUTED_VALUE"""),500000.0)</f>
        <v>500000</v>
      </c>
      <c r="G5393" s="22">
        <f>IFERROR(__xludf.DUMMYFUNCTION("""COMPUTED_VALUE"""),0.0)</f>
        <v>0</v>
      </c>
      <c r="H5393" s="22">
        <f>IFERROR(__xludf.DUMMYFUNCTION("""COMPUTED_VALUE"""),500000.0)</f>
        <v>500000</v>
      </c>
      <c r="I5393" s="24">
        <f>IFERROR(__xludf.DUMMYFUNCTION("""COMPUTED_VALUE"""),0.0)</f>
        <v>0</v>
      </c>
    </row>
    <row r="5394">
      <c r="A5394" s="5" t="str">
        <f>IFERROR(__xludf.DUMMYFUNCTION("""COMPUTED_VALUE"""),"75005")</f>
        <v>75005</v>
      </c>
      <c r="B5394" s="64">
        <f>IFERROR(__xludf.DUMMYFUNCTION("""COMPUTED_VALUE"""),44626.0)</f>
        <v>44626</v>
      </c>
      <c r="C5394" s="5"/>
      <c r="D5394" s="5"/>
      <c r="E5394" s="5"/>
      <c r="F5394" s="22">
        <f>IFERROR(__xludf.DUMMYFUNCTION("""COMPUTED_VALUE"""),500000.0)</f>
        <v>500000</v>
      </c>
      <c r="G5394" s="22">
        <f>IFERROR(__xludf.DUMMYFUNCTION("""COMPUTED_VALUE"""),0.0)</f>
        <v>0</v>
      </c>
      <c r="H5394" s="22">
        <f>IFERROR(__xludf.DUMMYFUNCTION("""COMPUTED_VALUE"""),500000.0)</f>
        <v>500000</v>
      </c>
      <c r="I5394" s="24">
        <f>IFERROR(__xludf.DUMMYFUNCTION("""COMPUTED_VALUE"""),0.0)</f>
        <v>0</v>
      </c>
    </row>
    <row r="5395">
      <c r="A5395" s="5" t="str">
        <f>IFERROR(__xludf.DUMMYFUNCTION("""COMPUTED_VALUE"""),"75005")</f>
        <v>75005</v>
      </c>
      <c r="B5395" s="64">
        <f>IFERROR(__xludf.DUMMYFUNCTION("""COMPUTED_VALUE"""),44627.0)</f>
        <v>44627</v>
      </c>
      <c r="C5395" s="5"/>
      <c r="D5395" s="5"/>
      <c r="E5395" s="5"/>
      <c r="F5395" s="22">
        <f>IFERROR(__xludf.DUMMYFUNCTION("""COMPUTED_VALUE"""),500000.0)</f>
        <v>500000</v>
      </c>
      <c r="G5395" s="22">
        <f>IFERROR(__xludf.DUMMYFUNCTION("""COMPUTED_VALUE"""),0.0)</f>
        <v>0</v>
      </c>
      <c r="H5395" s="22">
        <f>IFERROR(__xludf.DUMMYFUNCTION("""COMPUTED_VALUE"""),500000.0)</f>
        <v>500000</v>
      </c>
      <c r="I5395" s="24">
        <f>IFERROR(__xludf.DUMMYFUNCTION("""COMPUTED_VALUE"""),0.0)</f>
        <v>0</v>
      </c>
    </row>
    <row r="5396">
      <c r="A5396" s="5" t="str">
        <f>IFERROR(__xludf.DUMMYFUNCTION("""COMPUTED_VALUE"""),"75005")</f>
        <v>75005</v>
      </c>
      <c r="B5396" s="64">
        <f>IFERROR(__xludf.DUMMYFUNCTION("""COMPUTED_VALUE"""),44628.0)</f>
        <v>44628</v>
      </c>
      <c r="C5396" s="5"/>
      <c r="D5396" s="5"/>
      <c r="E5396" s="5"/>
      <c r="F5396" s="22">
        <f>IFERROR(__xludf.DUMMYFUNCTION("""COMPUTED_VALUE"""),500000.0)</f>
        <v>500000</v>
      </c>
      <c r="G5396" s="22">
        <f>IFERROR(__xludf.DUMMYFUNCTION("""COMPUTED_VALUE"""),0.0)</f>
        <v>0</v>
      </c>
      <c r="H5396" s="22">
        <f>IFERROR(__xludf.DUMMYFUNCTION("""COMPUTED_VALUE"""),500000.0)</f>
        <v>500000</v>
      </c>
      <c r="I5396" s="24">
        <f>IFERROR(__xludf.DUMMYFUNCTION("""COMPUTED_VALUE"""),0.0)</f>
        <v>0</v>
      </c>
    </row>
    <row r="5397">
      <c r="A5397" s="5" t="str">
        <f>IFERROR(__xludf.DUMMYFUNCTION("""COMPUTED_VALUE"""),"75005")</f>
        <v>75005</v>
      </c>
      <c r="B5397" s="64">
        <f>IFERROR(__xludf.DUMMYFUNCTION("""COMPUTED_VALUE"""),44629.0)</f>
        <v>44629</v>
      </c>
      <c r="C5397" s="5"/>
      <c r="D5397" s="5"/>
      <c r="E5397" s="5"/>
      <c r="F5397" s="22">
        <f>IFERROR(__xludf.DUMMYFUNCTION("""COMPUTED_VALUE"""),500000.0)</f>
        <v>500000</v>
      </c>
      <c r="G5397" s="22">
        <f>IFERROR(__xludf.DUMMYFUNCTION("""COMPUTED_VALUE"""),0.0)</f>
        <v>0</v>
      </c>
      <c r="H5397" s="22">
        <f>IFERROR(__xludf.DUMMYFUNCTION("""COMPUTED_VALUE"""),500000.0)</f>
        <v>500000</v>
      </c>
      <c r="I5397" s="24">
        <f>IFERROR(__xludf.DUMMYFUNCTION("""COMPUTED_VALUE"""),0.0)</f>
        <v>0</v>
      </c>
    </row>
    <row r="5398">
      <c r="A5398" s="5" t="str">
        <f>IFERROR(__xludf.DUMMYFUNCTION("""COMPUTED_VALUE"""),"75005")</f>
        <v>75005</v>
      </c>
      <c r="B5398" s="64">
        <f>IFERROR(__xludf.DUMMYFUNCTION("""COMPUTED_VALUE"""),44630.0)</f>
        <v>44630</v>
      </c>
      <c r="C5398" s="5"/>
      <c r="D5398" s="5"/>
      <c r="E5398" s="5"/>
      <c r="F5398" s="22">
        <f>IFERROR(__xludf.DUMMYFUNCTION("""COMPUTED_VALUE"""),500000.0)</f>
        <v>500000</v>
      </c>
      <c r="G5398" s="22">
        <f>IFERROR(__xludf.DUMMYFUNCTION("""COMPUTED_VALUE"""),0.0)</f>
        <v>0</v>
      </c>
      <c r="H5398" s="22">
        <f>IFERROR(__xludf.DUMMYFUNCTION("""COMPUTED_VALUE"""),500000.0)</f>
        <v>500000</v>
      </c>
      <c r="I5398" s="24">
        <f>IFERROR(__xludf.DUMMYFUNCTION("""COMPUTED_VALUE"""),0.0)</f>
        <v>0</v>
      </c>
    </row>
    <row r="5399">
      <c r="A5399" s="5" t="str">
        <f>IFERROR(__xludf.DUMMYFUNCTION("""COMPUTED_VALUE"""),"75005")</f>
        <v>75005</v>
      </c>
      <c r="B5399" s="64">
        <f>IFERROR(__xludf.DUMMYFUNCTION("""COMPUTED_VALUE"""),44631.0)</f>
        <v>44631</v>
      </c>
      <c r="C5399" s="5"/>
      <c r="D5399" s="5"/>
      <c r="E5399" s="5"/>
      <c r="F5399" s="22">
        <f>IFERROR(__xludf.DUMMYFUNCTION("""COMPUTED_VALUE"""),500000.0)</f>
        <v>500000</v>
      </c>
      <c r="G5399" s="22">
        <f>IFERROR(__xludf.DUMMYFUNCTION("""COMPUTED_VALUE"""),0.0)</f>
        <v>0</v>
      </c>
      <c r="H5399" s="22">
        <f>IFERROR(__xludf.DUMMYFUNCTION("""COMPUTED_VALUE"""),500000.0)</f>
        <v>500000</v>
      </c>
      <c r="I5399" s="24">
        <f>IFERROR(__xludf.DUMMYFUNCTION("""COMPUTED_VALUE"""),0.0)</f>
        <v>0</v>
      </c>
    </row>
    <row r="5400">
      <c r="A5400" s="5" t="str">
        <f>IFERROR(__xludf.DUMMYFUNCTION("""COMPUTED_VALUE"""),"75005")</f>
        <v>75005</v>
      </c>
      <c r="B5400" s="64">
        <f>IFERROR(__xludf.DUMMYFUNCTION("""COMPUTED_VALUE"""),44632.0)</f>
        <v>44632</v>
      </c>
      <c r="C5400" s="5"/>
      <c r="D5400" s="5"/>
      <c r="E5400" s="5"/>
      <c r="F5400" s="22">
        <f>IFERROR(__xludf.DUMMYFUNCTION("""COMPUTED_VALUE"""),500000.0)</f>
        <v>500000</v>
      </c>
      <c r="G5400" s="22">
        <f>IFERROR(__xludf.DUMMYFUNCTION("""COMPUTED_VALUE"""),0.0)</f>
        <v>0</v>
      </c>
      <c r="H5400" s="22">
        <f>IFERROR(__xludf.DUMMYFUNCTION("""COMPUTED_VALUE"""),500000.0)</f>
        <v>500000</v>
      </c>
      <c r="I5400" s="24">
        <f>IFERROR(__xludf.DUMMYFUNCTION("""COMPUTED_VALUE"""),0.0)</f>
        <v>0</v>
      </c>
    </row>
    <row r="5401">
      <c r="A5401" s="5" t="str">
        <f>IFERROR(__xludf.DUMMYFUNCTION("""COMPUTED_VALUE"""),"75005")</f>
        <v>75005</v>
      </c>
      <c r="B5401" s="64">
        <f>IFERROR(__xludf.DUMMYFUNCTION("""COMPUTED_VALUE"""),44633.0)</f>
        <v>44633</v>
      </c>
      <c r="C5401" s="5"/>
      <c r="D5401" s="5"/>
      <c r="E5401" s="5"/>
      <c r="F5401" s="22">
        <f>IFERROR(__xludf.DUMMYFUNCTION("""COMPUTED_VALUE"""),500000.0)</f>
        <v>500000</v>
      </c>
      <c r="G5401" s="22">
        <f>IFERROR(__xludf.DUMMYFUNCTION("""COMPUTED_VALUE"""),0.0)</f>
        <v>0</v>
      </c>
      <c r="H5401" s="22">
        <f>IFERROR(__xludf.DUMMYFUNCTION("""COMPUTED_VALUE"""),500000.0)</f>
        <v>500000</v>
      </c>
      <c r="I5401" s="24">
        <f>IFERROR(__xludf.DUMMYFUNCTION("""COMPUTED_VALUE"""),0.0)</f>
        <v>0</v>
      </c>
    </row>
    <row r="5402">
      <c r="A5402" s="5" t="str">
        <f>IFERROR(__xludf.DUMMYFUNCTION("""COMPUTED_VALUE"""),"75005")</f>
        <v>75005</v>
      </c>
      <c r="B5402" s="64">
        <f>IFERROR(__xludf.DUMMYFUNCTION("""COMPUTED_VALUE"""),44634.0)</f>
        <v>44634</v>
      </c>
      <c r="C5402" s="5"/>
      <c r="D5402" s="5"/>
      <c r="E5402" s="5"/>
      <c r="F5402" s="22">
        <f>IFERROR(__xludf.DUMMYFUNCTION("""COMPUTED_VALUE"""),500000.0)</f>
        <v>500000</v>
      </c>
      <c r="G5402" s="22">
        <f>IFERROR(__xludf.DUMMYFUNCTION("""COMPUTED_VALUE"""),0.0)</f>
        <v>0</v>
      </c>
      <c r="H5402" s="22">
        <f>IFERROR(__xludf.DUMMYFUNCTION("""COMPUTED_VALUE"""),500000.0)</f>
        <v>500000</v>
      </c>
      <c r="I5402" s="24">
        <f>IFERROR(__xludf.DUMMYFUNCTION("""COMPUTED_VALUE"""),0.0)</f>
        <v>0</v>
      </c>
    </row>
    <row r="5403">
      <c r="A5403" s="5" t="str">
        <f>IFERROR(__xludf.DUMMYFUNCTION("""COMPUTED_VALUE"""),"75005")</f>
        <v>75005</v>
      </c>
      <c r="B5403" s="64">
        <f>IFERROR(__xludf.DUMMYFUNCTION("""COMPUTED_VALUE"""),44635.0)</f>
        <v>44635</v>
      </c>
      <c r="C5403" s="5"/>
      <c r="D5403" s="5"/>
      <c r="E5403" s="5"/>
      <c r="F5403" s="22">
        <f>IFERROR(__xludf.DUMMYFUNCTION("""COMPUTED_VALUE"""),500000.0)</f>
        <v>500000</v>
      </c>
      <c r="G5403" s="22">
        <f>IFERROR(__xludf.DUMMYFUNCTION("""COMPUTED_VALUE"""),0.0)</f>
        <v>0</v>
      </c>
      <c r="H5403" s="22">
        <f>IFERROR(__xludf.DUMMYFUNCTION("""COMPUTED_VALUE"""),500000.0)</f>
        <v>500000</v>
      </c>
      <c r="I5403" s="24">
        <f>IFERROR(__xludf.DUMMYFUNCTION("""COMPUTED_VALUE"""),0.0)</f>
        <v>0</v>
      </c>
    </row>
    <row r="5404">
      <c r="A5404" s="5" t="str">
        <f>IFERROR(__xludf.DUMMYFUNCTION("""COMPUTED_VALUE"""),"75005")</f>
        <v>75005</v>
      </c>
      <c r="B5404" s="64">
        <f>IFERROR(__xludf.DUMMYFUNCTION("""COMPUTED_VALUE"""),44636.0)</f>
        <v>44636</v>
      </c>
      <c r="C5404" s="5"/>
      <c r="D5404" s="5"/>
      <c r="E5404" s="5"/>
      <c r="F5404" s="22">
        <f>IFERROR(__xludf.DUMMYFUNCTION("""COMPUTED_VALUE"""),500000.0)</f>
        <v>500000</v>
      </c>
      <c r="G5404" s="22">
        <f>IFERROR(__xludf.DUMMYFUNCTION("""COMPUTED_VALUE"""),0.0)</f>
        <v>0</v>
      </c>
      <c r="H5404" s="22">
        <f>IFERROR(__xludf.DUMMYFUNCTION("""COMPUTED_VALUE"""),500000.0)</f>
        <v>500000</v>
      </c>
      <c r="I5404" s="24">
        <f>IFERROR(__xludf.DUMMYFUNCTION("""COMPUTED_VALUE"""),0.0)</f>
        <v>0</v>
      </c>
    </row>
    <row r="5405">
      <c r="A5405" s="5" t="str">
        <f>IFERROR(__xludf.DUMMYFUNCTION("""COMPUTED_VALUE"""),"75005")</f>
        <v>75005</v>
      </c>
      <c r="B5405" s="64">
        <f>IFERROR(__xludf.DUMMYFUNCTION("""COMPUTED_VALUE"""),44637.0)</f>
        <v>44637</v>
      </c>
      <c r="C5405" s="5"/>
      <c r="D5405" s="5"/>
      <c r="E5405" s="5"/>
      <c r="F5405" s="22">
        <f>IFERROR(__xludf.DUMMYFUNCTION("""COMPUTED_VALUE"""),500000.0)</f>
        <v>500000</v>
      </c>
      <c r="G5405" s="22">
        <f>IFERROR(__xludf.DUMMYFUNCTION("""COMPUTED_VALUE"""),0.0)</f>
        <v>0</v>
      </c>
      <c r="H5405" s="22">
        <f>IFERROR(__xludf.DUMMYFUNCTION("""COMPUTED_VALUE"""),500000.0)</f>
        <v>500000</v>
      </c>
      <c r="I5405" s="24">
        <f>IFERROR(__xludf.DUMMYFUNCTION("""COMPUTED_VALUE"""),0.0)</f>
        <v>0</v>
      </c>
    </row>
    <row r="5406">
      <c r="A5406" s="5" t="str">
        <f>IFERROR(__xludf.DUMMYFUNCTION("""COMPUTED_VALUE"""),"75005")</f>
        <v>75005</v>
      </c>
      <c r="B5406" s="64">
        <f>IFERROR(__xludf.DUMMYFUNCTION("""COMPUTED_VALUE"""),44638.0)</f>
        <v>44638</v>
      </c>
      <c r="C5406" s="5"/>
      <c r="D5406" s="5"/>
      <c r="E5406" s="5"/>
      <c r="F5406" s="22">
        <f>IFERROR(__xludf.DUMMYFUNCTION("""COMPUTED_VALUE"""),500000.0)</f>
        <v>500000</v>
      </c>
      <c r="G5406" s="22">
        <f>IFERROR(__xludf.DUMMYFUNCTION("""COMPUTED_VALUE"""),0.0)</f>
        <v>0</v>
      </c>
      <c r="H5406" s="22">
        <f>IFERROR(__xludf.DUMMYFUNCTION("""COMPUTED_VALUE"""),500000.0)</f>
        <v>500000</v>
      </c>
      <c r="I5406" s="24">
        <f>IFERROR(__xludf.DUMMYFUNCTION("""COMPUTED_VALUE"""),0.0)</f>
        <v>0</v>
      </c>
    </row>
    <row r="5407">
      <c r="A5407" s="5" t="str">
        <f>IFERROR(__xludf.DUMMYFUNCTION("""COMPUTED_VALUE"""),"75005")</f>
        <v>75005</v>
      </c>
      <c r="B5407" s="64">
        <f>IFERROR(__xludf.DUMMYFUNCTION("""COMPUTED_VALUE"""),44639.0)</f>
        <v>44639</v>
      </c>
      <c r="C5407" s="5"/>
      <c r="D5407" s="5"/>
      <c r="E5407" s="5"/>
      <c r="F5407" s="22">
        <f>IFERROR(__xludf.DUMMYFUNCTION("""COMPUTED_VALUE"""),500000.0)</f>
        <v>500000</v>
      </c>
      <c r="G5407" s="22">
        <f>IFERROR(__xludf.DUMMYFUNCTION("""COMPUTED_VALUE"""),0.0)</f>
        <v>0</v>
      </c>
      <c r="H5407" s="22">
        <f>IFERROR(__xludf.DUMMYFUNCTION("""COMPUTED_VALUE"""),500000.0)</f>
        <v>500000</v>
      </c>
      <c r="I5407" s="24">
        <f>IFERROR(__xludf.DUMMYFUNCTION("""COMPUTED_VALUE"""),0.0)</f>
        <v>0</v>
      </c>
    </row>
    <row r="5408">
      <c r="A5408" s="5" t="str">
        <f>IFERROR(__xludf.DUMMYFUNCTION("""COMPUTED_VALUE"""),"75005")</f>
        <v>75005</v>
      </c>
      <c r="B5408" s="64">
        <f>IFERROR(__xludf.DUMMYFUNCTION("""COMPUTED_VALUE"""),44640.0)</f>
        <v>44640</v>
      </c>
      <c r="C5408" s="5"/>
      <c r="D5408" s="5"/>
      <c r="E5408" s="5"/>
      <c r="F5408" s="22">
        <f>IFERROR(__xludf.DUMMYFUNCTION("""COMPUTED_VALUE"""),500000.0)</f>
        <v>500000</v>
      </c>
      <c r="G5408" s="22">
        <f>IFERROR(__xludf.DUMMYFUNCTION("""COMPUTED_VALUE"""),0.0)</f>
        <v>0</v>
      </c>
      <c r="H5408" s="22">
        <f>IFERROR(__xludf.DUMMYFUNCTION("""COMPUTED_VALUE"""),500000.0)</f>
        <v>500000</v>
      </c>
      <c r="I5408" s="24">
        <f>IFERROR(__xludf.DUMMYFUNCTION("""COMPUTED_VALUE"""),0.0)</f>
        <v>0</v>
      </c>
    </row>
    <row r="5409">
      <c r="A5409" s="5" t="str">
        <f>IFERROR(__xludf.DUMMYFUNCTION("""COMPUTED_VALUE"""),"75005")</f>
        <v>75005</v>
      </c>
      <c r="B5409" s="64">
        <f>IFERROR(__xludf.DUMMYFUNCTION("""COMPUTED_VALUE"""),44641.0)</f>
        <v>44641</v>
      </c>
      <c r="C5409" s="5"/>
      <c r="D5409" s="5"/>
      <c r="E5409" s="5"/>
      <c r="F5409" s="22">
        <f>IFERROR(__xludf.DUMMYFUNCTION("""COMPUTED_VALUE"""),500000.0)</f>
        <v>500000</v>
      </c>
      <c r="G5409" s="22">
        <f>IFERROR(__xludf.DUMMYFUNCTION("""COMPUTED_VALUE"""),0.0)</f>
        <v>0</v>
      </c>
      <c r="H5409" s="22">
        <f>IFERROR(__xludf.DUMMYFUNCTION("""COMPUTED_VALUE"""),500000.0)</f>
        <v>500000</v>
      </c>
      <c r="I5409" s="24">
        <f>IFERROR(__xludf.DUMMYFUNCTION("""COMPUTED_VALUE"""),0.0)</f>
        <v>0</v>
      </c>
    </row>
    <row r="5410">
      <c r="A5410" s="5" t="str">
        <f>IFERROR(__xludf.DUMMYFUNCTION("""COMPUTED_VALUE"""),"75005")</f>
        <v>75005</v>
      </c>
      <c r="B5410" s="64">
        <f>IFERROR(__xludf.DUMMYFUNCTION("""COMPUTED_VALUE"""),44642.0)</f>
        <v>44642</v>
      </c>
      <c r="C5410" s="5"/>
      <c r="D5410" s="5"/>
      <c r="E5410" s="5"/>
      <c r="F5410" s="22">
        <f>IFERROR(__xludf.DUMMYFUNCTION("""COMPUTED_VALUE"""),500000.0)</f>
        <v>500000</v>
      </c>
      <c r="G5410" s="22">
        <f>IFERROR(__xludf.DUMMYFUNCTION("""COMPUTED_VALUE"""),0.0)</f>
        <v>0</v>
      </c>
      <c r="H5410" s="22">
        <f>IFERROR(__xludf.DUMMYFUNCTION("""COMPUTED_VALUE"""),500000.0)</f>
        <v>500000</v>
      </c>
      <c r="I5410" s="24">
        <f>IFERROR(__xludf.DUMMYFUNCTION("""COMPUTED_VALUE"""),0.0)</f>
        <v>0</v>
      </c>
    </row>
    <row r="5411">
      <c r="A5411" s="5" t="str">
        <f>IFERROR(__xludf.DUMMYFUNCTION("""COMPUTED_VALUE"""),"75005")</f>
        <v>75005</v>
      </c>
      <c r="B5411" s="64">
        <f>IFERROR(__xludf.DUMMYFUNCTION("""COMPUTED_VALUE"""),44643.0)</f>
        <v>44643</v>
      </c>
      <c r="C5411" s="5"/>
      <c r="D5411" s="5"/>
      <c r="E5411" s="5"/>
      <c r="F5411" s="22">
        <f>IFERROR(__xludf.DUMMYFUNCTION("""COMPUTED_VALUE"""),500000.0)</f>
        <v>500000</v>
      </c>
      <c r="G5411" s="22">
        <f>IFERROR(__xludf.DUMMYFUNCTION("""COMPUTED_VALUE"""),0.0)</f>
        <v>0</v>
      </c>
      <c r="H5411" s="22">
        <f>IFERROR(__xludf.DUMMYFUNCTION("""COMPUTED_VALUE"""),500000.0)</f>
        <v>500000</v>
      </c>
      <c r="I5411" s="24">
        <f>IFERROR(__xludf.DUMMYFUNCTION("""COMPUTED_VALUE"""),0.0)</f>
        <v>0</v>
      </c>
    </row>
    <row r="5412">
      <c r="A5412" s="5" t="str">
        <f>IFERROR(__xludf.DUMMYFUNCTION("""COMPUTED_VALUE"""),"75005")</f>
        <v>75005</v>
      </c>
      <c r="B5412" s="64">
        <f>IFERROR(__xludf.DUMMYFUNCTION("""COMPUTED_VALUE"""),44644.0)</f>
        <v>44644</v>
      </c>
      <c r="C5412" s="5"/>
      <c r="D5412" s="5"/>
      <c r="E5412" s="5"/>
      <c r="F5412" s="22">
        <f>IFERROR(__xludf.DUMMYFUNCTION("""COMPUTED_VALUE"""),500000.0)</f>
        <v>500000</v>
      </c>
      <c r="G5412" s="22">
        <f>IFERROR(__xludf.DUMMYFUNCTION("""COMPUTED_VALUE"""),0.0)</f>
        <v>0</v>
      </c>
      <c r="H5412" s="22">
        <f>IFERROR(__xludf.DUMMYFUNCTION("""COMPUTED_VALUE"""),500000.0)</f>
        <v>500000</v>
      </c>
      <c r="I5412" s="24">
        <f>IFERROR(__xludf.DUMMYFUNCTION("""COMPUTED_VALUE"""),0.0)</f>
        <v>0</v>
      </c>
    </row>
    <row r="5413">
      <c r="A5413" s="5" t="str">
        <f>IFERROR(__xludf.DUMMYFUNCTION("""COMPUTED_VALUE"""),"75005")</f>
        <v>75005</v>
      </c>
      <c r="B5413" s="64">
        <f>IFERROR(__xludf.DUMMYFUNCTION("""COMPUTED_VALUE"""),44645.0)</f>
        <v>44645</v>
      </c>
      <c r="C5413" s="5"/>
      <c r="D5413" s="5"/>
      <c r="E5413" s="5"/>
      <c r="F5413" s="22">
        <f>IFERROR(__xludf.DUMMYFUNCTION("""COMPUTED_VALUE"""),500000.0)</f>
        <v>500000</v>
      </c>
      <c r="G5413" s="22">
        <f>IFERROR(__xludf.DUMMYFUNCTION("""COMPUTED_VALUE"""),0.0)</f>
        <v>0</v>
      </c>
      <c r="H5413" s="22">
        <f>IFERROR(__xludf.DUMMYFUNCTION("""COMPUTED_VALUE"""),500000.0)</f>
        <v>500000</v>
      </c>
      <c r="I5413" s="24">
        <f>IFERROR(__xludf.DUMMYFUNCTION("""COMPUTED_VALUE"""),0.0)</f>
        <v>0</v>
      </c>
    </row>
    <row r="5414">
      <c r="A5414" s="5" t="str">
        <f>IFERROR(__xludf.DUMMYFUNCTION("""COMPUTED_VALUE"""),"75005")</f>
        <v>75005</v>
      </c>
      <c r="B5414" s="64">
        <f>IFERROR(__xludf.DUMMYFUNCTION("""COMPUTED_VALUE"""),44646.0)</f>
        <v>44646</v>
      </c>
      <c r="C5414" s="5"/>
      <c r="D5414" s="5"/>
      <c r="E5414" s="5"/>
      <c r="F5414" s="22">
        <f>IFERROR(__xludf.DUMMYFUNCTION("""COMPUTED_VALUE"""),500000.0)</f>
        <v>500000</v>
      </c>
      <c r="G5414" s="22">
        <f>IFERROR(__xludf.DUMMYFUNCTION("""COMPUTED_VALUE"""),0.0)</f>
        <v>0</v>
      </c>
      <c r="H5414" s="22">
        <f>IFERROR(__xludf.DUMMYFUNCTION("""COMPUTED_VALUE"""),500000.0)</f>
        <v>500000</v>
      </c>
      <c r="I5414" s="24">
        <f>IFERROR(__xludf.DUMMYFUNCTION("""COMPUTED_VALUE"""),0.0)</f>
        <v>0</v>
      </c>
    </row>
    <row r="5415">
      <c r="A5415" s="5" t="str">
        <f>IFERROR(__xludf.DUMMYFUNCTION("""COMPUTED_VALUE"""),"75005")</f>
        <v>75005</v>
      </c>
      <c r="B5415" s="64">
        <f>IFERROR(__xludf.DUMMYFUNCTION("""COMPUTED_VALUE"""),44647.0)</f>
        <v>44647</v>
      </c>
      <c r="C5415" s="5"/>
      <c r="D5415" s="5"/>
      <c r="E5415" s="5"/>
      <c r="F5415" s="22">
        <f>IFERROR(__xludf.DUMMYFUNCTION("""COMPUTED_VALUE"""),500000.0)</f>
        <v>500000</v>
      </c>
      <c r="G5415" s="22">
        <f>IFERROR(__xludf.DUMMYFUNCTION("""COMPUTED_VALUE"""),0.0)</f>
        <v>0</v>
      </c>
      <c r="H5415" s="22">
        <f>IFERROR(__xludf.DUMMYFUNCTION("""COMPUTED_VALUE"""),500000.0)</f>
        <v>500000</v>
      </c>
      <c r="I5415" s="24">
        <f>IFERROR(__xludf.DUMMYFUNCTION("""COMPUTED_VALUE"""),0.0)</f>
        <v>0</v>
      </c>
    </row>
    <row r="5416">
      <c r="A5416" s="5" t="str">
        <f>IFERROR(__xludf.DUMMYFUNCTION("""COMPUTED_VALUE"""),"75005")</f>
        <v>75005</v>
      </c>
      <c r="B5416" s="64">
        <f>IFERROR(__xludf.DUMMYFUNCTION("""COMPUTED_VALUE"""),44648.0)</f>
        <v>44648</v>
      </c>
      <c r="C5416" s="5"/>
      <c r="D5416" s="5"/>
      <c r="E5416" s="5"/>
      <c r="F5416" s="22">
        <f>IFERROR(__xludf.DUMMYFUNCTION("""COMPUTED_VALUE"""),500000.0)</f>
        <v>500000</v>
      </c>
      <c r="G5416" s="22">
        <f>IFERROR(__xludf.DUMMYFUNCTION("""COMPUTED_VALUE"""),0.0)</f>
        <v>0</v>
      </c>
      <c r="H5416" s="22">
        <f>IFERROR(__xludf.DUMMYFUNCTION("""COMPUTED_VALUE"""),500000.0)</f>
        <v>500000</v>
      </c>
      <c r="I5416" s="24">
        <f>IFERROR(__xludf.DUMMYFUNCTION("""COMPUTED_VALUE"""),0.0)</f>
        <v>0</v>
      </c>
    </row>
    <row r="5417">
      <c r="A5417" s="5" t="str">
        <f>IFERROR(__xludf.DUMMYFUNCTION("""COMPUTED_VALUE"""),"75005")</f>
        <v>75005</v>
      </c>
      <c r="B5417" s="64">
        <f>IFERROR(__xludf.DUMMYFUNCTION("""COMPUTED_VALUE"""),44649.0)</f>
        <v>44649</v>
      </c>
      <c r="C5417" s="5"/>
      <c r="D5417" s="5"/>
      <c r="E5417" s="5"/>
      <c r="F5417" s="22">
        <f>IFERROR(__xludf.DUMMYFUNCTION("""COMPUTED_VALUE"""),500000.0)</f>
        <v>500000</v>
      </c>
      <c r="G5417" s="22">
        <f>IFERROR(__xludf.DUMMYFUNCTION("""COMPUTED_VALUE"""),0.0)</f>
        <v>0</v>
      </c>
      <c r="H5417" s="22">
        <f>IFERROR(__xludf.DUMMYFUNCTION("""COMPUTED_VALUE"""),500000.0)</f>
        <v>500000</v>
      </c>
      <c r="I5417" s="24">
        <f>IFERROR(__xludf.DUMMYFUNCTION("""COMPUTED_VALUE"""),0.0)</f>
        <v>0</v>
      </c>
    </row>
    <row r="5418">
      <c r="A5418" s="5" t="str">
        <f>IFERROR(__xludf.DUMMYFUNCTION("""COMPUTED_VALUE"""),"75005")</f>
        <v>75005</v>
      </c>
      <c r="B5418" s="64">
        <f>IFERROR(__xludf.DUMMYFUNCTION("""COMPUTED_VALUE"""),44650.0)</f>
        <v>44650</v>
      </c>
      <c r="C5418" s="5"/>
      <c r="D5418" s="5"/>
      <c r="E5418" s="5"/>
      <c r="F5418" s="22">
        <f>IFERROR(__xludf.DUMMYFUNCTION("""COMPUTED_VALUE"""),500000.0)</f>
        <v>500000</v>
      </c>
      <c r="G5418" s="22">
        <f>IFERROR(__xludf.DUMMYFUNCTION("""COMPUTED_VALUE"""),0.0)</f>
        <v>0</v>
      </c>
      <c r="H5418" s="22">
        <f>IFERROR(__xludf.DUMMYFUNCTION("""COMPUTED_VALUE"""),500000.0)</f>
        <v>500000</v>
      </c>
      <c r="I5418" s="24">
        <f>IFERROR(__xludf.DUMMYFUNCTION("""COMPUTED_VALUE"""),0.0)</f>
        <v>0</v>
      </c>
    </row>
    <row r="5419">
      <c r="A5419" s="5" t="str">
        <f>IFERROR(__xludf.DUMMYFUNCTION("""COMPUTED_VALUE"""),"75005")</f>
        <v>75005</v>
      </c>
      <c r="B5419" s="64">
        <f>IFERROR(__xludf.DUMMYFUNCTION("""COMPUTED_VALUE"""),44651.0)</f>
        <v>44651</v>
      </c>
      <c r="C5419" s="5"/>
      <c r="D5419" s="5"/>
      <c r="E5419" s="5"/>
      <c r="F5419" s="22">
        <f>IFERROR(__xludf.DUMMYFUNCTION("""COMPUTED_VALUE"""),500000.0)</f>
        <v>500000</v>
      </c>
      <c r="G5419" s="22">
        <f>IFERROR(__xludf.DUMMYFUNCTION("""COMPUTED_VALUE"""),0.0)</f>
        <v>0</v>
      </c>
      <c r="H5419" s="22">
        <f>IFERROR(__xludf.DUMMYFUNCTION("""COMPUTED_VALUE"""),500000.0)</f>
        <v>500000</v>
      </c>
      <c r="I5419" s="24">
        <f>IFERROR(__xludf.DUMMYFUNCTION("""COMPUTED_VALUE"""),0.0)</f>
        <v>0</v>
      </c>
    </row>
    <row r="5420">
      <c r="A5420" s="5" t="str">
        <f>IFERROR(__xludf.DUMMYFUNCTION("""COMPUTED_VALUE"""),"75005")</f>
        <v>75005</v>
      </c>
      <c r="B5420" s="64">
        <f>IFERROR(__xludf.DUMMYFUNCTION("""COMPUTED_VALUE"""),44652.0)</f>
        <v>44652</v>
      </c>
      <c r="C5420" s="5"/>
      <c r="D5420" s="5"/>
      <c r="E5420" s="5"/>
      <c r="F5420" s="22">
        <f>IFERROR(__xludf.DUMMYFUNCTION("""COMPUTED_VALUE"""),500000.0)</f>
        <v>500000</v>
      </c>
      <c r="G5420" s="22">
        <f>IFERROR(__xludf.DUMMYFUNCTION("""COMPUTED_VALUE"""),0.0)</f>
        <v>0</v>
      </c>
      <c r="H5420" s="22">
        <f>IFERROR(__xludf.DUMMYFUNCTION("""COMPUTED_VALUE"""),500000.0)</f>
        <v>500000</v>
      </c>
      <c r="I5420" s="24">
        <f>IFERROR(__xludf.DUMMYFUNCTION("""COMPUTED_VALUE"""),0.0)</f>
        <v>0</v>
      </c>
    </row>
    <row r="5421">
      <c r="A5421" s="5" t="str">
        <f>IFERROR(__xludf.DUMMYFUNCTION("""COMPUTED_VALUE"""),"75005")</f>
        <v>75005</v>
      </c>
      <c r="B5421" s="64">
        <f>IFERROR(__xludf.DUMMYFUNCTION("""COMPUTED_VALUE"""),44653.0)</f>
        <v>44653</v>
      </c>
      <c r="C5421" s="5"/>
      <c r="D5421" s="5"/>
      <c r="E5421" s="5"/>
      <c r="F5421" s="22">
        <f>IFERROR(__xludf.DUMMYFUNCTION("""COMPUTED_VALUE"""),500000.0)</f>
        <v>500000</v>
      </c>
      <c r="G5421" s="22">
        <f>IFERROR(__xludf.DUMMYFUNCTION("""COMPUTED_VALUE"""),0.0)</f>
        <v>0</v>
      </c>
      <c r="H5421" s="22">
        <f>IFERROR(__xludf.DUMMYFUNCTION("""COMPUTED_VALUE"""),500000.0)</f>
        <v>500000</v>
      </c>
      <c r="I5421" s="24">
        <f>IFERROR(__xludf.DUMMYFUNCTION("""COMPUTED_VALUE"""),0.0)</f>
        <v>0</v>
      </c>
    </row>
    <row r="5422">
      <c r="A5422" s="5" t="str">
        <f>IFERROR(__xludf.DUMMYFUNCTION("""COMPUTED_VALUE"""),"75005")</f>
        <v>75005</v>
      </c>
      <c r="B5422" s="64">
        <f>IFERROR(__xludf.DUMMYFUNCTION("""COMPUTED_VALUE"""),44654.0)</f>
        <v>44654</v>
      </c>
      <c r="C5422" s="5"/>
      <c r="D5422" s="5"/>
      <c r="E5422" s="5"/>
      <c r="F5422" s="22">
        <f>IFERROR(__xludf.DUMMYFUNCTION("""COMPUTED_VALUE"""),500000.0)</f>
        <v>500000</v>
      </c>
      <c r="G5422" s="22">
        <f>IFERROR(__xludf.DUMMYFUNCTION("""COMPUTED_VALUE"""),0.0)</f>
        <v>0</v>
      </c>
      <c r="H5422" s="22">
        <f>IFERROR(__xludf.DUMMYFUNCTION("""COMPUTED_VALUE"""),500000.0)</f>
        <v>500000</v>
      </c>
      <c r="I5422" s="24">
        <f>IFERROR(__xludf.DUMMYFUNCTION("""COMPUTED_VALUE"""),0.0)</f>
        <v>0</v>
      </c>
    </row>
    <row r="5423">
      <c r="A5423" s="5" t="str">
        <f>IFERROR(__xludf.DUMMYFUNCTION("""COMPUTED_VALUE"""),"75005")</f>
        <v>75005</v>
      </c>
      <c r="B5423" s="64">
        <f>IFERROR(__xludf.DUMMYFUNCTION("""COMPUTED_VALUE"""),44655.0)</f>
        <v>44655</v>
      </c>
      <c r="C5423" s="5"/>
      <c r="D5423" s="5"/>
      <c r="E5423" s="5"/>
      <c r="F5423" s="22">
        <f>IFERROR(__xludf.DUMMYFUNCTION("""COMPUTED_VALUE"""),500000.0)</f>
        <v>500000</v>
      </c>
      <c r="G5423" s="22">
        <f>IFERROR(__xludf.DUMMYFUNCTION("""COMPUTED_VALUE"""),0.0)</f>
        <v>0</v>
      </c>
      <c r="H5423" s="22">
        <f>IFERROR(__xludf.DUMMYFUNCTION("""COMPUTED_VALUE"""),500000.0)</f>
        <v>500000</v>
      </c>
      <c r="I5423" s="24">
        <f>IFERROR(__xludf.DUMMYFUNCTION("""COMPUTED_VALUE"""),0.0)</f>
        <v>0</v>
      </c>
    </row>
    <row r="5424">
      <c r="A5424" s="5" t="str">
        <f>IFERROR(__xludf.DUMMYFUNCTION("""COMPUTED_VALUE"""),"75005")</f>
        <v>75005</v>
      </c>
      <c r="B5424" s="64">
        <f>IFERROR(__xludf.DUMMYFUNCTION("""COMPUTED_VALUE"""),44656.0)</f>
        <v>44656</v>
      </c>
      <c r="C5424" s="5"/>
      <c r="D5424" s="5"/>
      <c r="E5424" s="5"/>
      <c r="F5424" s="22">
        <f>IFERROR(__xludf.DUMMYFUNCTION("""COMPUTED_VALUE"""),500000.0)</f>
        <v>500000</v>
      </c>
      <c r="G5424" s="22">
        <f>IFERROR(__xludf.DUMMYFUNCTION("""COMPUTED_VALUE"""),0.0)</f>
        <v>0</v>
      </c>
      <c r="H5424" s="22">
        <f>IFERROR(__xludf.DUMMYFUNCTION("""COMPUTED_VALUE"""),500000.0)</f>
        <v>500000</v>
      </c>
      <c r="I5424" s="24">
        <f>IFERROR(__xludf.DUMMYFUNCTION("""COMPUTED_VALUE"""),0.0)</f>
        <v>0</v>
      </c>
    </row>
    <row r="5425">
      <c r="A5425" s="5" t="str">
        <f>IFERROR(__xludf.DUMMYFUNCTION("""COMPUTED_VALUE"""),"75005")</f>
        <v>75005</v>
      </c>
      <c r="B5425" s="64">
        <f>IFERROR(__xludf.DUMMYFUNCTION("""COMPUTED_VALUE"""),44657.0)</f>
        <v>44657</v>
      </c>
      <c r="C5425" s="5"/>
      <c r="D5425" s="5"/>
      <c r="E5425" s="5"/>
      <c r="F5425" s="22">
        <f>IFERROR(__xludf.DUMMYFUNCTION("""COMPUTED_VALUE"""),500000.0)</f>
        <v>500000</v>
      </c>
      <c r="G5425" s="22">
        <f>IFERROR(__xludf.DUMMYFUNCTION("""COMPUTED_VALUE"""),0.0)</f>
        <v>0</v>
      </c>
      <c r="H5425" s="22">
        <f>IFERROR(__xludf.DUMMYFUNCTION("""COMPUTED_VALUE"""),500000.0)</f>
        <v>500000</v>
      </c>
      <c r="I5425" s="24">
        <f>IFERROR(__xludf.DUMMYFUNCTION("""COMPUTED_VALUE"""),0.0)</f>
        <v>0</v>
      </c>
    </row>
    <row r="5426">
      <c r="A5426" s="5" t="str">
        <f>IFERROR(__xludf.DUMMYFUNCTION("""COMPUTED_VALUE"""),"75005")</f>
        <v>75005</v>
      </c>
      <c r="B5426" s="64">
        <f>IFERROR(__xludf.DUMMYFUNCTION("""COMPUTED_VALUE"""),44658.0)</f>
        <v>44658</v>
      </c>
      <c r="C5426" s="5"/>
      <c r="D5426" s="5"/>
      <c r="E5426" s="5"/>
      <c r="F5426" s="22">
        <f>IFERROR(__xludf.DUMMYFUNCTION("""COMPUTED_VALUE"""),500000.0)</f>
        <v>500000</v>
      </c>
      <c r="G5426" s="22">
        <f>IFERROR(__xludf.DUMMYFUNCTION("""COMPUTED_VALUE"""),0.0)</f>
        <v>0</v>
      </c>
      <c r="H5426" s="22">
        <f>IFERROR(__xludf.DUMMYFUNCTION("""COMPUTED_VALUE"""),500000.0)</f>
        <v>500000</v>
      </c>
      <c r="I5426" s="24">
        <f>IFERROR(__xludf.DUMMYFUNCTION("""COMPUTED_VALUE"""),0.0)</f>
        <v>0</v>
      </c>
    </row>
    <row r="5427">
      <c r="A5427" s="5" t="str">
        <f>IFERROR(__xludf.DUMMYFUNCTION("""COMPUTED_VALUE"""),"75005")</f>
        <v>75005</v>
      </c>
      <c r="B5427" s="64">
        <f>IFERROR(__xludf.DUMMYFUNCTION("""COMPUTED_VALUE"""),44659.0)</f>
        <v>44659</v>
      </c>
      <c r="C5427" s="5"/>
      <c r="D5427" s="5"/>
      <c r="E5427" s="5"/>
      <c r="F5427" s="22">
        <f>IFERROR(__xludf.DUMMYFUNCTION("""COMPUTED_VALUE"""),500000.0)</f>
        <v>500000</v>
      </c>
      <c r="G5427" s="22">
        <f>IFERROR(__xludf.DUMMYFUNCTION("""COMPUTED_VALUE"""),0.0)</f>
        <v>0</v>
      </c>
      <c r="H5427" s="22">
        <f>IFERROR(__xludf.DUMMYFUNCTION("""COMPUTED_VALUE"""),500000.0)</f>
        <v>500000</v>
      </c>
      <c r="I5427" s="24">
        <f>IFERROR(__xludf.DUMMYFUNCTION("""COMPUTED_VALUE"""),0.0)</f>
        <v>0</v>
      </c>
    </row>
    <row r="5428">
      <c r="A5428" s="5" t="str">
        <f>IFERROR(__xludf.DUMMYFUNCTION("""COMPUTED_VALUE"""),"75005")</f>
        <v>75005</v>
      </c>
      <c r="B5428" s="64">
        <f>IFERROR(__xludf.DUMMYFUNCTION("""COMPUTED_VALUE"""),44660.0)</f>
        <v>44660</v>
      </c>
      <c r="C5428" s="5"/>
      <c r="D5428" s="5"/>
      <c r="E5428" s="5"/>
      <c r="F5428" s="22">
        <f>IFERROR(__xludf.DUMMYFUNCTION("""COMPUTED_VALUE"""),500000.0)</f>
        <v>500000</v>
      </c>
      <c r="G5428" s="22">
        <f>IFERROR(__xludf.DUMMYFUNCTION("""COMPUTED_VALUE"""),0.0)</f>
        <v>0</v>
      </c>
      <c r="H5428" s="22">
        <f>IFERROR(__xludf.DUMMYFUNCTION("""COMPUTED_VALUE"""),500000.0)</f>
        <v>500000</v>
      </c>
      <c r="I5428" s="24">
        <f>IFERROR(__xludf.DUMMYFUNCTION("""COMPUTED_VALUE"""),0.0)</f>
        <v>0</v>
      </c>
    </row>
    <row r="5429">
      <c r="A5429" s="5" t="str">
        <f>IFERROR(__xludf.DUMMYFUNCTION("""COMPUTED_VALUE"""),"75005")</f>
        <v>75005</v>
      </c>
      <c r="B5429" s="64">
        <f>IFERROR(__xludf.DUMMYFUNCTION("""COMPUTED_VALUE"""),44661.0)</f>
        <v>44661</v>
      </c>
      <c r="C5429" s="5"/>
      <c r="D5429" s="5"/>
      <c r="E5429" s="5"/>
      <c r="F5429" s="22">
        <f>IFERROR(__xludf.DUMMYFUNCTION("""COMPUTED_VALUE"""),500000.0)</f>
        <v>500000</v>
      </c>
      <c r="G5429" s="22">
        <f>IFERROR(__xludf.DUMMYFUNCTION("""COMPUTED_VALUE"""),0.0)</f>
        <v>0</v>
      </c>
      <c r="H5429" s="22">
        <f>IFERROR(__xludf.DUMMYFUNCTION("""COMPUTED_VALUE"""),500000.0)</f>
        <v>500000</v>
      </c>
      <c r="I5429" s="24">
        <f>IFERROR(__xludf.DUMMYFUNCTION("""COMPUTED_VALUE"""),0.0)</f>
        <v>0</v>
      </c>
    </row>
    <row r="5430">
      <c r="A5430" s="5" t="str">
        <f>IFERROR(__xludf.DUMMYFUNCTION("""COMPUTED_VALUE"""),"75005")</f>
        <v>75005</v>
      </c>
      <c r="B5430" s="64">
        <f>IFERROR(__xludf.DUMMYFUNCTION("""COMPUTED_VALUE"""),44662.0)</f>
        <v>44662</v>
      </c>
      <c r="C5430" s="5"/>
      <c r="D5430" s="5"/>
      <c r="E5430" s="5"/>
      <c r="F5430" s="22">
        <f>IFERROR(__xludf.DUMMYFUNCTION("""COMPUTED_VALUE"""),500000.0)</f>
        <v>500000</v>
      </c>
      <c r="G5430" s="22">
        <f>IFERROR(__xludf.DUMMYFUNCTION("""COMPUTED_VALUE"""),0.0)</f>
        <v>0</v>
      </c>
      <c r="H5430" s="22">
        <f>IFERROR(__xludf.DUMMYFUNCTION("""COMPUTED_VALUE"""),500000.0)</f>
        <v>500000</v>
      </c>
      <c r="I5430" s="24">
        <f>IFERROR(__xludf.DUMMYFUNCTION("""COMPUTED_VALUE"""),0.0)</f>
        <v>0</v>
      </c>
    </row>
    <row r="5431">
      <c r="A5431" s="5" t="str">
        <f>IFERROR(__xludf.DUMMYFUNCTION("""COMPUTED_VALUE"""),"75005")</f>
        <v>75005</v>
      </c>
      <c r="B5431" s="64">
        <f>IFERROR(__xludf.DUMMYFUNCTION("""COMPUTED_VALUE"""),44663.0)</f>
        <v>44663</v>
      </c>
      <c r="C5431" s="5"/>
      <c r="D5431" s="5"/>
      <c r="E5431" s="5"/>
      <c r="F5431" s="22">
        <f>IFERROR(__xludf.DUMMYFUNCTION("""COMPUTED_VALUE"""),500000.0)</f>
        <v>500000</v>
      </c>
      <c r="G5431" s="22">
        <f>IFERROR(__xludf.DUMMYFUNCTION("""COMPUTED_VALUE"""),0.0)</f>
        <v>0</v>
      </c>
      <c r="H5431" s="22">
        <f>IFERROR(__xludf.DUMMYFUNCTION("""COMPUTED_VALUE"""),500000.0)</f>
        <v>500000</v>
      </c>
      <c r="I5431" s="24">
        <f>IFERROR(__xludf.DUMMYFUNCTION("""COMPUTED_VALUE"""),0.0)</f>
        <v>0</v>
      </c>
    </row>
    <row r="5432">
      <c r="A5432" s="5" t="str">
        <f>IFERROR(__xludf.DUMMYFUNCTION("""COMPUTED_VALUE"""),"75076")</f>
        <v>75076</v>
      </c>
      <c r="B5432" s="64">
        <f>IFERROR(__xludf.DUMMYFUNCTION("""COMPUTED_VALUE"""),44597.0)</f>
        <v>44597</v>
      </c>
      <c r="C5432" s="5"/>
      <c r="D5432" s="5"/>
      <c r="E5432" s="5"/>
      <c r="F5432" s="22">
        <f>IFERROR(__xludf.DUMMYFUNCTION("""COMPUTED_VALUE"""),500000.0)</f>
        <v>500000</v>
      </c>
      <c r="G5432" s="22">
        <f>IFERROR(__xludf.DUMMYFUNCTION("""COMPUTED_VALUE"""),0.0)</f>
        <v>0</v>
      </c>
      <c r="H5432" s="22">
        <f>IFERROR(__xludf.DUMMYFUNCTION("""COMPUTED_VALUE"""),500000.0)</f>
        <v>500000</v>
      </c>
      <c r="I5432" s="24">
        <f>IFERROR(__xludf.DUMMYFUNCTION("""COMPUTED_VALUE"""),0.0)</f>
        <v>0</v>
      </c>
    </row>
    <row r="5433">
      <c r="A5433" s="5" t="str">
        <f>IFERROR(__xludf.DUMMYFUNCTION("""COMPUTED_VALUE"""),"75076")</f>
        <v>75076</v>
      </c>
      <c r="B5433" s="64">
        <f>IFERROR(__xludf.DUMMYFUNCTION("""COMPUTED_VALUE"""),44598.0)</f>
        <v>44598</v>
      </c>
      <c r="C5433" s="5"/>
      <c r="D5433" s="5"/>
      <c r="E5433" s="5"/>
      <c r="F5433" s="22">
        <f>IFERROR(__xludf.DUMMYFUNCTION("""COMPUTED_VALUE"""),500000.0)</f>
        <v>500000</v>
      </c>
      <c r="G5433" s="22">
        <f>IFERROR(__xludf.DUMMYFUNCTION("""COMPUTED_VALUE"""),0.0)</f>
        <v>0</v>
      </c>
      <c r="H5433" s="22">
        <f>IFERROR(__xludf.DUMMYFUNCTION("""COMPUTED_VALUE"""),500000.0)</f>
        <v>500000</v>
      </c>
      <c r="I5433" s="24">
        <f>IFERROR(__xludf.DUMMYFUNCTION("""COMPUTED_VALUE"""),0.0)</f>
        <v>0</v>
      </c>
    </row>
    <row r="5434">
      <c r="A5434" s="5" t="str">
        <f>IFERROR(__xludf.DUMMYFUNCTION("""COMPUTED_VALUE"""),"75076")</f>
        <v>75076</v>
      </c>
      <c r="B5434" s="64">
        <f>IFERROR(__xludf.DUMMYFUNCTION("""COMPUTED_VALUE"""),44599.0)</f>
        <v>44599</v>
      </c>
      <c r="C5434" s="5"/>
      <c r="D5434" s="5"/>
      <c r="E5434" s="5"/>
      <c r="F5434" s="22">
        <f>IFERROR(__xludf.DUMMYFUNCTION("""COMPUTED_VALUE"""),500000.0)</f>
        <v>500000</v>
      </c>
      <c r="G5434" s="22">
        <f>IFERROR(__xludf.DUMMYFUNCTION("""COMPUTED_VALUE"""),0.0)</f>
        <v>0</v>
      </c>
      <c r="H5434" s="22">
        <f>IFERROR(__xludf.DUMMYFUNCTION("""COMPUTED_VALUE"""),500000.0)</f>
        <v>500000</v>
      </c>
      <c r="I5434" s="24">
        <f>IFERROR(__xludf.DUMMYFUNCTION("""COMPUTED_VALUE"""),0.0)</f>
        <v>0</v>
      </c>
    </row>
    <row r="5435">
      <c r="A5435" s="5" t="str">
        <f>IFERROR(__xludf.DUMMYFUNCTION("""COMPUTED_VALUE"""),"75076")</f>
        <v>75076</v>
      </c>
      <c r="B5435" s="64">
        <f>IFERROR(__xludf.DUMMYFUNCTION("""COMPUTED_VALUE"""),44600.0)</f>
        <v>44600</v>
      </c>
      <c r="C5435" s="5"/>
      <c r="D5435" s="5"/>
      <c r="E5435" s="5"/>
      <c r="F5435" s="22">
        <f>IFERROR(__xludf.DUMMYFUNCTION("""COMPUTED_VALUE"""),500000.0)</f>
        <v>500000</v>
      </c>
      <c r="G5435" s="22">
        <f>IFERROR(__xludf.DUMMYFUNCTION("""COMPUTED_VALUE"""),0.0)</f>
        <v>0</v>
      </c>
      <c r="H5435" s="22">
        <f>IFERROR(__xludf.DUMMYFUNCTION("""COMPUTED_VALUE"""),500000.0)</f>
        <v>500000</v>
      </c>
      <c r="I5435" s="24">
        <f>IFERROR(__xludf.DUMMYFUNCTION("""COMPUTED_VALUE"""),0.0)</f>
        <v>0</v>
      </c>
    </row>
    <row r="5436">
      <c r="A5436" s="5" t="str">
        <f>IFERROR(__xludf.DUMMYFUNCTION("""COMPUTED_VALUE"""),"75076")</f>
        <v>75076</v>
      </c>
      <c r="B5436" s="64">
        <f>IFERROR(__xludf.DUMMYFUNCTION("""COMPUTED_VALUE"""),44601.0)</f>
        <v>44601</v>
      </c>
      <c r="C5436" s="5"/>
      <c r="D5436" s="5"/>
      <c r="E5436" s="5"/>
      <c r="F5436" s="22">
        <f>IFERROR(__xludf.DUMMYFUNCTION("""COMPUTED_VALUE"""),500000.0)</f>
        <v>500000</v>
      </c>
      <c r="G5436" s="22">
        <f>IFERROR(__xludf.DUMMYFUNCTION("""COMPUTED_VALUE"""),0.0)</f>
        <v>0</v>
      </c>
      <c r="H5436" s="22">
        <f>IFERROR(__xludf.DUMMYFUNCTION("""COMPUTED_VALUE"""),500000.0)</f>
        <v>500000</v>
      </c>
      <c r="I5436" s="24">
        <f>IFERROR(__xludf.DUMMYFUNCTION("""COMPUTED_VALUE"""),0.0)</f>
        <v>0</v>
      </c>
    </row>
    <row r="5437">
      <c r="A5437" s="5" t="str">
        <f>IFERROR(__xludf.DUMMYFUNCTION("""COMPUTED_VALUE"""),"75076")</f>
        <v>75076</v>
      </c>
      <c r="B5437" s="64">
        <f>IFERROR(__xludf.DUMMYFUNCTION("""COMPUTED_VALUE"""),44602.0)</f>
        <v>44602</v>
      </c>
      <c r="C5437" s="5"/>
      <c r="D5437" s="5"/>
      <c r="E5437" s="5"/>
      <c r="F5437" s="22">
        <f>IFERROR(__xludf.DUMMYFUNCTION("""COMPUTED_VALUE"""),500000.0)</f>
        <v>500000</v>
      </c>
      <c r="G5437" s="22">
        <f>IFERROR(__xludf.DUMMYFUNCTION("""COMPUTED_VALUE"""),0.0)</f>
        <v>0</v>
      </c>
      <c r="H5437" s="22">
        <f>IFERROR(__xludf.DUMMYFUNCTION("""COMPUTED_VALUE"""),500000.0)</f>
        <v>500000</v>
      </c>
      <c r="I5437" s="24">
        <f>IFERROR(__xludf.DUMMYFUNCTION("""COMPUTED_VALUE"""),0.0)</f>
        <v>0</v>
      </c>
    </row>
    <row r="5438">
      <c r="A5438" s="5" t="str">
        <f>IFERROR(__xludf.DUMMYFUNCTION("""COMPUTED_VALUE"""),"75076")</f>
        <v>75076</v>
      </c>
      <c r="B5438" s="64">
        <f>IFERROR(__xludf.DUMMYFUNCTION("""COMPUTED_VALUE"""),44603.0)</f>
        <v>44603</v>
      </c>
      <c r="C5438" s="5"/>
      <c r="D5438" s="5"/>
      <c r="E5438" s="5"/>
      <c r="F5438" s="22">
        <f>IFERROR(__xludf.DUMMYFUNCTION("""COMPUTED_VALUE"""),60614.28091999999)</f>
        <v>60614.28092</v>
      </c>
      <c r="G5438" s="22">
        <f>IFERROR(__xludf.DUMMYFUNCTION("""COMPUTED_VALUE"""),0.0)</f>
        <v>0</v>
      </c>
      <c r="H5438" s="22">
        <f>IFERROR(__xludf.DUMMYFUNCTION("""COMPUTED_VALUE"""),500000.0)</f>
        <v>500000</v>
      </c>
      <c r="I5438" s="24">
        <f>IFERROR(__xludf.DUMMYFUNCTION("""COMPUTED_VALUE"""),0.0)</f>
        <v>0</v>
      </c>
    </row>
    <row r="5439">
      <c r="A5439" s="5" t="str">
        <f>IFERROR(__xludf.DUMMYFUNCTION("""COMPUTED_VALUE"""),"75076")</f>
        <v>75076</v>
      </c>
      <c r="B5439" s="64">
        <f>IFERROR(__xludf.DUMMYFUNCTION("""COMPUTED_VALUE"""),44604.0)</f>
        <v>44604</v>
      </c>
      <c r="C5439" s="5"/>
      <c r="D5439" s="5"/>
      <c r="E5439" s="5"/>
      <c r="F5439" s="22">
        <f>IFERROR(__xludf.DUMMYFUNCTION("""COMPUTED_VALUE"""),60614.28091999999)</f>
        <v>60614.28092</v>
      </c>
      <c r="G5439" s="22">
        <f>IFERROR(__xludf.DUMMYFUNCTION("""COMPUTED_VALUE"""),0.0)</f>
        <v>0</v>
      </c>
      <c r="H5439" s="22">
        <f>IFERROR(__xludf.DUMMYFUNCTION("""COMPUTED_VALUE"""),500000.0)</f>
        <v>500000</v>
      </c>
      <c r="I5439" s="24">
        <f>IFERROR(__xludf.DUMMYFUNCTION("""COMPUTED_VALUE"""),0.0)</f>
        <v>0</v>
      </c>
    </row>
    <row r="5440">
      <c r="A5440" s="5" t="str">
        <f>IFERROR(__xludf.DUMMYFUNCTION("""COMPUTED_VALUE"""),"75076")</f>
        <v>75076</v>
      </c>
      <c r="B5440" s="64">
        <f>IFERROR(__xludf.DUMMYFUNCTION("""COMPUTED_VALUE"""),44605.0)</f>
        <v>44605</v>
      </c>
      <c r="C5440" s="5"/>
      <c r="D5440" s="5"/>
      <c r="E5440" s="5"/>
      <c r="F5440" s="22">
        <f>IFERROR(__xludf.DUMMYFUNCTION("""COMPUTED_VALUE"""),60614.28091999999)</f>
        <v>60614.28092</v>
      </c>
      <c r="G5440" s="22">
        <f>IFERROR(__xludf.DUMMYFUNCTION("""COMPUTED_VALUE"""),0.0)</f>
        <v>0</v>
      </c>
      <c r="H5440" s="22">
        <f>IFERROR(__xludf.DUMMYFUNCTION("""COMPUTED_VALUE"""),500000.0)</f>
        <v>500000</v>
      </c>
      <c r="I5440" s="24">
        <f>IFERROR(__xludf.DUMMYFUNCTION("""COMPUTED_VALUE"""),0.0)</f>
        <v>0</v>
      </c>
    </row>
    <row r="5441">
      <c r="A5441" s="5" t="str">
        <f>IFERROR(__xludf.DUMMYFUNCTION("""COMPUTED_VALUE"""),"75076")</f>
        <v>75076</v>
      </c>
      <c r="B5441" s="64">
        <f>IFERROR(__xludf.DUMMYFUNCTION("""COMPUTED_VALUE"""),44606.0)</f>
        <v>44606</v>
      </c>
      <c r="C5441" s="5"/>
      <c r="D5441" s="5"/>
      <c r="E5441" s="5"/>
      <c r="F5441" s="22">
        <f>IFERROR(__xludf.DUMMYFUNCTION("""COMPUTED_VALUE"""),60614.28091999999)</f>
        <v>60614.28092</v>
      </c>
      <c r="G5441" s="22">
        <f>IFERROR(__xludf.DUMMYFUNCTION("""COMPUTED_VALUE"""),0.0)</f>
        <v>0</v>
      </c>
      <c r="H5441" s="22">
        <f>IFERROR(__xludf.DUMMYFUNCTION("""COMPUTED_VALUE"""),489640.95592000004)</f>
        <v>489640.9559</v>
      </c>
      <c r="I5441" s="24">
        <f>IFERROR(__xludf.DUMMYFUNCTION("""COMPUTED_VALUE"""),-0.02071808815999998)</f>
        <v>-0.02071808816</v>
      </c>
    </row>
    <row r="5442">
      <c r="A5442" s="5" t="str">
        <f>IFERROR(__xludf.DUMMYFUNCTION("""COMPUTED_VALUE"""),"75076")</f>
        <v>75076</v>
      </c>
      <c r="B5442" s="64">
        <f>IFERROR(__xludf.DUMMYFUNCTION("""COMPUTED_VALUE"""),44607.0)</f>
        <v>44607</v>
      </c>
      <c r="C5442" s="5"/>
      <c r="D5442" s="5"/>
      <c r="E5442" s="5"/>
      <c r="F5442" s="22">
        <f>IFERROR(__xludf.DUMMYFUNCTION("""COMPUTED_VALUE"""),60614.28091999999)</f>
        <v>60614.28092</v>
      </c>
      <c r="G5442" s="22">
        <f>IFERROR(__xludf.DUMMYFUNCTION("""COMPUTED_VALUE"""),0.0)</f>
        <v>0</v>
      </c>
      <c r="H5442" s="22">
        <f>IFERROR(__xludf.DUMMYFUNCTION("""COMPUTED_VALUE"""),485147.87656000006)</f>
        <v>485147.8766</v>
      </c>
      <c r="I5442" s="24">
        <f>IFERROR(__xludf.DUMMYFUNCTION("""COMPUTED_VALUE"""),-0.02970424687999984)</f>
        <v>-0.02970424688</v>
      </c>
    </row>
    <row r="5443">
      <c r="A5443" s="5" t="str">
        <f>IFERROR(__xludf.DUMMYFUNCTION("""COMPUTED_VALUE"""),"75076")</f>
        <v>75076</v>
      </c>
      <c r="B5443" s="64">
        <f>IFERROR(__xludf.DUMMYFUNCTION("""COMPUTED_VALUE"""),44608.0)</f>
        <v>44608</v>
      </c>
      <c r="C5443" s="5"/>
      <c r="D5443" s="5"/>
      <c r="E5443" s="5"/>
      <c r="F5443" s="22">
        <f>IFERROR(__xludf.DUMMYFUNCTION("""COMPUTED_VALUE"""),60614.28091999999)</f>
        <v>60614.28092</v>
      </c>
      <c r="G5443" s="22">
        <f>IFERROR(__xludf.DUMMYFUNCTION("""COMPUTED_VALUE"""),0.0)</f>
        <v>0</v>
      </c>
      <c r="H5443" s="22">
        <f>IFERROR(__xludf.DUMMYFUNCTION("""COMPUTED_VALUE"""),488580.08996)</f>
        <v>488580.09</v>
      </c>
      <c r="I5443" s="24">
        <f>IFERROR(__xludf.DUMMYFUNCTION("""COMPUTED_VALUE"""),-0.022839820079999962)</f>
        <v>-0.02283982008</v>
      </c>
    </row>
    <row r="5444">
      <c r="A5444" s="5" t="str">
        <f>IFERROR(__xludf.DUMMYFUNCTION("""COMPUTED_VALUE"""),"75076")</f>
        <v>75076</v>
      </c>
      <c r="B5444" s="64">
        <f>IFERROR(__xludf.DUMMYFUNCTION("""COMPUTED_VALUE"""),44609.0)</f>
        <v>44609</v>
      </c>
      <c r="C5444" s="5"/>
      <c r="D5444" s="5"/>
      <c r="E5444" s="5"/>
      <c r="F5444" s="22">
        <f>IFERROR(__xludf.DUMMYFUNCTION("""COMPUTED_VALUE"""),60614.28091999999)</f>
        <v>60614.28092</v>
      </c>
      <c r="G5444" s="22">
        <f>IFERROR(__xludf.DUMMYFUNCTION("""COMPUTED_VALUE"""),0.0)</f>
        <v>0</v>
      </c>
      <c r="H5444" s="22">
        <f>IFERROR(__xludf.DUMMYFUNCTION("""COMPUTED_VALUE"""),487893.64728000003)</f>
        <v>487893.6473</v>
      </c>
      <c r="I5444" s="24">
        <f>IFERROR(__xludf.DUMMYFUNCTION("""COMPUTED_VALUE"""),-0.024212705439999982)</f>
        <v>-0.02421270544</v>
      </c>
    </row>
    <row r="5445">
      <c r="A5445" s="5" t="str">
        <f>IFERROR(__xludf.DUMMYFUNCTION("""COMPUTED_VALUE"""),"75076")</f>
        <v>75076</v>
      </c>
      <c r="B5445" s="64">
        <f>IFERROR(__xludf.DUMMYFUNCTION("""COMPUTED_VALUE"""),44610.0)</f>
        <v>44610</v>
      </c>
      <c r="C5445" s="5"/>
      <c r="D5445" s="5"/>
      <c r="E5445" s="5"/>
      <c r="F5445" s="22">
        <f>IFERROR(__xludf.DUMMYFUNCTION("""COMPUTED_VALUE"""),60614.28091999999)</f>
        <v>60614.28092</v>
      </c>
      <c r="G5445" s="22">
        <f>IFERROR(__xludf.DUMMYFUNCTION("""COMPUTED_VALUE"""),0.0)</f>
        <v>0</v>
      </c>
      <c r="H5445" s="22">
        <f>IFERROR(__xludf.DUMMYFUNCTION("""COMPUTED_VALUE"""),485272.68432)</f>
        <v>485272.6843</v>
      </c>
      <c r="I5445" s="24">
        <f>IFERROR(__xludf.DUMMYFUNCTION("""COMPUTED_VALUE"""),-0.02945463136000004)</f>
        <v>-0.02945463136</v>
      </c>
    </row>
    <row r="5446">
      <c r="A5446" s="5" t="str">
        <f>IFERROR(__xludf.DUMMYFUNCTION("""COMPUTED_VALUE"""),"75076")</f>
        <v>75076</v>
      </c>
      <c r="B5446" s="64">
        <f>IFERROR(__xludf.DUMMYFUNCTION("""COMPUTED_VALUE"""),44611.0)</f>
        <v>44611</v>
      </c>
      <c r="C5446" s="5"/>
      <c r="D5446" s="5"/>
      <c r="E5446" s="5"/>
      <c r="F5446" s="22">
        <f>IFERROR(__xludf.DUMMYFUNCTION("""COMPUTED_VALUE"""),60614.28091999999)</f>
        <v>60614.28092</v>
      </c>
      <c r="G5446" s="22">
        <f>IFERROR(__xludf.DUMMYFUNCTION("""COMPUTED_VALUE"""),0.0)</f>
        <v>0</v>
      </c>
      <c r="H5446" s="22">
        <f>IFERROR(__xludf.DUMMYFUNCTION("""COMPUTED_VALUE"""),485272.68432)</f>
        <v>485272.6843</v>
      </c>
      <c r="I5446" s="24">
        <f>IFERROR(__xludf.DUMMYFUNCTION("""COMPUTED_VALUE"""),-0.02945463136000004)</f>
        <v>-0.02945463136</v>
      </c>
    </row>
    <row r="5447">
      <c r="A5447" s="5" t="str">
        <f>IFERROR(__xludf.DUMMYFUNCTION("""COMPUTED_VALUE"""),"75076")</f>
        <v>75076</v>
      </c>
      <c r="B5447" s="64">
        <f>IFERROR(__xludf.DUMMYFUNCTION("""COMPUTED_VALUE"""),44612.0)</f>
        <v>44612</v>
      </c>
      <c r="C5447" s="5"/>
      <c r="D5447" s="5"/>
      <c r="E5447" s="5"/>
      <c r="F5447" s="22">
        <f>IFERROR(__xludf.DUMMYFUNCTION("""COMPUTED_VALUE"""),60614.28091999999)</f>
        <v>60614.28092</v>
      </c>
      <c r="G5447" s="22">
        <f>IFERROR(__xludf.DUMMYFUNCTION("""COMPUTED_VALUE"""),0.0)</f>
        <v>0</v>
      </c>
      <c r="H5447" s="22">
        <f>IFERROR(__xludf.DUMMYFUNCTION("""COMPUTED_VALUE"""),485272.68432)</f>
        <v>485272.6843</v>
      </c>
      <c r="I5447" s="24">
        <f>IFERROR(__xludf.DUMMYFUNCTION("""COMPUTED_VALUE"""),-0.02945463136000004)</f>
        <v>-0.02945463136</v>
      </c>
    </row>
    <row r="5448">
      <c r="A5448" s="5" t="str">
        <f>IFERROR(__xludf.DUMMYFUNCTION("""COMPUTED_VALUE"""),"75076")</f>
        <v>75076</v>
      </c>
      <c r="B5448" s="64">
        <f>IFERROR(__xludf.DUMMYFUNCTION("""COMPUTED_VALUE"""),44613.0)</f>
        <v>44613</v>
      </c>
      <c r="C5448" s="5"/>
      <c r="D5448" s="5"/>
      <c r="E5448" s="5"/>
      <c r="F5448" s="22">
        <f>IFERROR(__xludf.DUMMYFUNCTION("""COMPUTED_VALUE"""),60614.28091999999)</f>
        <v>60614.28092</v>
      </c>
      <c r="G5448" s="22">
        <f>IFERROR(__xludf.DUMMYFUNCTION("""COMPUTED_VALUE"""),0.0)</f>
        <v>0</v>
      </c>
      <c r="H5448" s="22">
        <f>IFERROR(__xludf.DUMMYFUNCTION("""COMPUTED_VALUE"""),485272.68432)</f>
        <v>485272.6843</v>
      </c>
      <c r="I5448" s="24">
        <f>IFERROR(__xludf.DUMMYFUNCTION("""COMPUTED_VALUE"""),-0.02945463136000004)</f>
        <v>-0.02945463136</v>
      </c>
    </row>
    <row r="5449">
      <c r="A5449" s="5" t="str">
        <f>IFERROR(__xludf.DUMMYFUNCTION("""COMPUTED_VALUE"""),"75076")</f>
        <v>75076</v>
      </c>
      <c r="B5449" s="64">
        <f>IFERROR(__xludf.DUMMYFUNCTION("""COMPUTED_VALUE"""),44614.0)</f>
        <v>44614</v>
      </c>
      <c r="C5449" s="5"/>
      <c r="D5449" s="5"/>
      <c r="E5449" s="5"/>
      <c r="F5449" s="22">
        <f>IFERROR(__xludf.DUMMYFUNCTION("""COMPUTED_VALUE"""),60614.28091999999)</f>
        <v>60614.28092</v>
      </c>
      <c r="G5449" s="22">
        <f>IFERROR(__xludf.DUMMYFUNCTION("""COMPUTED_VALUE"""),0.0)</f>
        <v>0</v>
      </c>
      <c r="H5449" s="22">
        <f>IFERROR(__xludf.DUMMYFUNCTION("""COMPUTED_VALUE"""),478408.25752000004)</f>
        <v>478408.2575</v>
      </c>
      <c r="I5449" s="24">
        <f>IFERROR(__xludf.DUMMYFUNCTION("""COMPUTED_VALUE"""),-0.04318348495999991)</f>
        <v>-0.04318348496</v>
      </c>
    </row>
    <row r="5450">
      <c r="A5450" s="5" t="str">
        <f>IFERROR(__xludf.DUMMYFUNCTION("""COMPUTED_VALUE"""),"75076")</f>
        <v>75076</v>
      </c>
      <c r="B5450" s="64">
        <f>IFERROR(__xludf.DUMMYFUNCTION("""COMPUTED_VALUE"""),44615.0)</f>
        <v>44615</v>
      </c>
      <c r="C5450" s="5"/>
      <c r="D5450" s="5"/>
      <c r="E5450" s="5"/>
      <c r="F5450" s="22">
        <f>IFERROR(__xludf.DUMMYFUNCTION("""COMPUTED_VALUE"""),60614.28091999999)</f>
        <v>60614.28092</v>
      </c>
      <c r="G5450" s="22">
        <f>IFERROR(__xludf.DUMMYFUNCTION("""COMPUTED_VALUE"""),0.0)</f>
        <v>0</v>
      </c>
      <c r="H5450" s="22">
        <f>IFERROR(__xludf.DUMMYFUNCTION("""COMPUTED_VALUE"""),482714.12524)</f>
        <v>482714.1252</v>
      </c>
      <c r="I5450" s="24">
        <f>IFERROR(__xludf.DUMMYFUNCTION("""COMPUTED_VALUE"""),-0.03457174951999997)</f>
        <v>-0.03457174952</v>
      </c>
    </row>
    <row r="5451">
      <c r="A5451" s="5" t="str">
        <f>IFERROR(__xludf.DUMMYFUNCTION("""COMPUTED_VALUE"""),"75076")</f>
        <v>75076</v>
      </c>
      <c r="B5451" s="64">
        <f>IFERROR(__xludf.DUMMYFUNCTION("""COMPUTED_VALUE"""),44616.0)</f>
        <v>44616</v>
      </c>
      <c r="C5451" s="5"/>
      <c r="D5451" s="5"/>
      <c r="E5451" s="5"/>
      <c r="F5451" s="22">
        <f>IFERROR(__xludf.DUMMYFUNCTION("""COMPUTED_VALUE"""),60614.28091999999)</f>
        <v>60614.28092</v>
      </c>
      <c r="G5451" s="22">
        <f>IFERROR(__xludf.DUMMYFUNCTION("""COMPUTED_VALUE"""),0.0)</f>
        <v>0</v>
      </c>
      <c r="H5451" s="22">
        <f>IFERROR(__xludf.DUMMYFUNCTION("""COMPUTED_VALUE"""),479406.7196)</f>
        <v>479406.7196</v>
      </c>
      <c r="I5451" s="24">
        <f>IFERROR(__xludf.DUMMYFUNCTION("""COMPUTED_VALUE"""),-0.04118656079999994)</f>
        <v>-0.0411865608</v>
      </c>
    </row>
    <row r="5452">
      <c r="A5452" s="5" t="str">
        <f>IFERROR(__xludf.DUMMYFUNCTION("""COMPUTED_VALUE"""),"75076")</f>
        <v>75076</v>
      </c>
      <c r="B5452" s="64">
        <f>IFERROR(__xludf.DUMMYFUNCTION("""COMPUTED_VALUE"""),44617.0)</f>
        <v>44617</v>
      </c>
      <c r="C5452" s="5"/>
      <c r="D5452" s="5"/>
      <c r="E5452" s="5"/>
      <c r="F5452" s="22">
        <f>IFERROR(__xludf.DUMMYFUNCTION("""COMPUTED_VALUE"""),60614.28091999999)</f>
        <v>60614.28092</v>
      </c>
      <c r="G5452" s="22">
        <f>IFERROR(__xludf.DUMMYFUNCTION("""COMPUTED_VALUE"""),0.0)</f>
        <v>0</v>
      </c>
      <c r="H5452" s="22">
        <f>IFERROR(__xludf.DUMMYFUNCTION("""COMPUTED_VALUE"""),490452.20636)</f>
        <v>490452.2064</v>
      </c>
      <c r="I5452" s="24">
        <f>IFERROR(__xludf.DUMMYFUNCTION("""COMPUTED_VALUE"""),-0.019095587279999937)</f>
        <v>-0.01909558728</v>
      </c>
    </row>
    <row r="5453">
      <c r="A5453" s="5" t="str">
        <f>IFERROR(__xludf.DUMMYFUNCTION("""COMPUTED_VALUE"""),"75076")</f>
        <v>75076</v>
      </c>
      <c r="B5453" s="64">
        <f>IFERROR(__xludf.DUMMYFUNCTION("""COMPUTED_VALUE"""),44618.0)</f>
        <v>44618</v>
      </c>
      <c r="C5453" s="5"/>
      <c r="D5453" s="5"/>
      <c r="E5453" s="5"/>
      <c r="F5453" s="22">
        <f>IFERROR(__xludf.DUMMYFUNCTION("""COMPUTED_VALUE"""),60614.28091999999)</f>
        <v>60614.28092</v>
      </c>
      <c r="G5453" s="22">
        <f>IFERROR(__xludf.DUMMYFUNCTION("""COMPUTED_VALUE"""),0.0)</f>
        <v>0</v>
      </c>
      <c r="H5453" s="22">
        <f>IFERROR(__xludf.DUMMYFUNCTION("""COMPUTED_VALUE"""),490452.20636)</f>
        <v>490452.2064</v>
      </c>
      <c r="I5453" s="24">
        <f>IFERROR(__xludf.DUMMYFUNCTION("""COMPUTED_VALUE"""),-0.019095587279999937)</f>
        <v>-0.01909558728</v>
      </c>
    </row>
    <row r="5454">
      <c r="A5454" s="5" t="str">
        <f>IFERROR(__xludf.DUMMYFUNCTION("""COMPUTED_VALUE"""),"75076")</f>
        <v>75076</v>
      </c>
      <c r="B5454" s="64">
        <f>IFERROR(__xludf.DUMMYFUNCTION("""COMPUTED_VALUE"""),44619.0)</f>
        <v>44619</v>
      </c>
      <c r="C5454" s="5"/>
      <c r="D5454" s="5"/>
      <c r="E5454" s="5"/>
      <c r="F5454" s="22">
        <f>IFERROR(__xludf.DUMMYFUNCTION("""COMPUTED_VALUE"""),60614.28091999999)</f>
        <v>60614.28092</v>
      </c>
      <c r="G5454" s="22">
        <f>IFERROR(__xludf.DUMMYFUNCTION("""COMPUTED_VALUE"""),0.0)</f>
        <v>0</v>
      </c>
      <c r="H5454" s="22">
        <f>IFERROR(__xludf.DUMMYFUNCTION("""COMPUTED_VALUE"""),490452.20636)</f>
        <v>490452.2064</v>
      </c>
      <c r="I5454" s="24">
        <f>IFERROR(__xludf.DUMMYFUNCTION("""COMPUTED_VALUE"""),-0.019095587279999937)</f>
        <v>-0.01909558728</v>
      </c>
    </row>
    <row r="5455">
      <c r="A5455" s="5" t="str">
        <f>IFERROR(__xludf.DUMMYFUNCTION("""COMPUTED_VALUE"""),"75076")</f>
        <v>75076</v>
      </c>
      <c r="B5455" s="64">
        <f>IFERROR(__xludf.DUMMYFUNCTION("""COMPUTED_VALUE"""),44620.0)</f>
        <v>44620</v>
      </c>
      <c r="C5455" s="5"/>
      <c r="D5455" s="5"/>
      <c r="E5455" s="5"/>
      <c r="F5455" s="22">
        <f>IFERROR(__xludf.DUMMYFUNCTION("""COMPUTED_VALUE"""),60614.28091999999)</f>
        <v>60614.28092</v>
      </c>
      <c r="G5455" s="22">
        <f>IFERROR(__xludf.DUMMYFUNCTION("""COMPUTED_VALUE"""),0.0)</f>
        <v>0</v>
      </c>
      <c r="H5455" s="22">
        <f>IFERROR(__xludf.DUMMYFUNCTION("""COMPUTED_VALUE"""),501060.86596)</f>
        <v>501060.866</v>
      </c>
      <c r="I5455" s="24">
        <f>IFERROR(__xludf.DUMMYFUNCTION("""COMPUTED_VALUE"""),0.0021217319199999807)</f>
        <v>0.00212173192</v>
      </c>
    </row>
    <row r="5456">
      <c r="A5456" s="5" t="str">
        <f>IFERROR(__xludf.DUMMYFUNCTION("""COMPUTED_VALUE"""),"75076")</f>
        <v>75076</v>
      </c>
      <c r="B5456" s="64">
        <f>IFERROR(__xludf.DUMMYFUNCTION("""COMPUTED_VALUE"""),44621.0)</f>
        <v>44621</v>
      </c>
      <c r="C5456" s="5"/>
      <c r="D5456" s="5"/>
      <c r="E5456" s="5"/>
      <c r="F5456" s="22">
        <f>IFERROR(__xludf.DUMMYFUNCTION("""COMPUTED_VALUE"""),60614.28091999999)</f>
        <v>60614.28092</v>
      </c>
      <c r="G5456" s="22">
        <f>IFERROR(__xludf.DUMMYFUNCTION("""COMPUTED_VALUE"""),0.0)</f>
        <v>0</v>
      </c>
      <c r="H5456" s="22">
        <f>IFERROR(__xludf.DUMMYFUNCTION("""COMPUTED_VALUE"""),505491.54144000006)</f>
        <v>505491.5414</v>
      </c>
      <c r="I5456" s="24">
        <f>IFERROR(__xludf.DUMMYFUNCTION("""COMPUTED_VALUE"""),0.010983082880000161)</f>
        <v>0.01098308288</v>
      </c>
    </row>
    <row r="5457">
      <c r="A5457" s="5" t="str">
        <f>IFERROR(__xludf.DUMMYFUNCTION("""COMPUTED_VALUE"""),"75076")</f>
        <v>75076</v>
      </c>
      <c r="B5457" s="64">
        <f>IFERROR(__xludf.DUMMYFUNCTION("""COMPUTED_VALUE"""),44622.0)</f>
        <v>44622</v>
      </c>
      <c r="C5457" s="5"/>
      <c r="D5457" s="5"/>
      <c r="E5457" s="5"/>
      <c r="F5457" s="22">
        <f>IFERROR(__xludf.DUMMYFUNCTION("""COMPUTED_VALUE"""),60614.28091999999)</f>
        <v>60614.28092</v>
      </c>
      <c r="G5457" s="22">
        <f>IFERROR(__xludf.DUMMYFUNCTION("""COMPUTED_VALUE"""),0.0)</f>
        <v>0</v>
      </c>
      <c r="H5457" s="22">
        <f>IFERROR(__xludf.DUMMYFUNCTION("""COMPUTED_VALUE"""),515663.37388)</f>
        <v>515663.3739</v>
      </c>
      <c r="I5457" s="24">
        <f>IFERROR(__xludf.DUMMYFUNCTION("""COMPUTED_VALUE"""),0.031326747760000107)</f>
        <v>0.03132674776</v>
      </c>
    </row>
    <row r="5458">
      <c r="A5458" s="5" t="str">
        <f>IFERROR(__xludf.DUMMYFUNCTION("""COMPUTED_VALUE"""),"75076")</f>
        <v>75076</v>
      </c>
      <c r="B5458" s="64">
        <f>IFERROR(__xludf.DUMMYFUNCTION("""COMPUTED_VALUE"""),44623.0)</f>
        <v>44623</v>
      </c>
      <c r="C5458" s="5"/>
      <c r="D5458" s="5"/>
      <c r="E5458" s="5"/>
      <c r="F5458" s="22">
        <f>IFERROR(__xludf.DUMMYFUNCTION("""COMPUTED_VALUE"""),60614.28091999999)</f>
        <v>60614.28092</v>
      </c>
      <c r="G5458" s="22">
        <f>IFERROR(__xludf.DUMMYFUNCTION("""COMPUTED_VALUE"""),0.0)</f>
        <v>0</v>
      </c>
      <c r="H5458" s="22">
        <f>IFERROR(__xludf.DUMMYFUNCTION("""COMPUTED_VALUE"""),516911.45148000005)</f>
        <v>516911.4515</v>
      </c>
      <c r="I5458" s="24">
        <f>IFERROR(__xludf.DUMMYFUNCTION("""COMPUTED_VALUE"""),0.03382290296000012)</f>
        <v>0.03382290296</v>
      </c>
    </row>
    <row r="5459">
      <c r="A5459" s="5" t="str">
        <f>IFERROR(__xludf.DUMMYFUNCTION("""COMPUTED_VALUE"""),"75076")</f>
        <v>75076</v>
      </c>
      <c r="B5459" s="64">
        <f>IFERROR(__xludf.DUMMYFUNCTION("""COMPUTED_VALUE"""),44624.0)</f>
        <v>44624</v>
      </c>
      <c r="C5459" s="5"/>
      <c r="D5459" s="5"/>
      <c r="E5459" s="5"/>
      <c r="F5459" s="22">
        <f>IFERROR(__xludf.DUMMYFUNCTION("""COMPUTED_VALUE"""),60614.28091999999)</f>
        <v>60614.28092</v>
      </c>
      <c r="G5459" s="22">
        <f>IFERROR(__xludf.DUMMYFUNCTION("""COMPUTED_VALUE"""),0.0)</f>
        <v>0</v>
      </c>
      <c r="H5459" s="22">
        <f>IFERROR(__xludf.DUMMYFUNCTION("""COMPUTED_VALUE"""),530078.6701600001)</f>
        <v>530078.6702</v>
      </c>
      <c r="I5459" s="24">
        <f>IFERROR(__xludf.DUMMYFUNCTION("""COMPUTED_VALUE"""),0.0601573403200002)</f>
        <v>0.06015734032</v>
      </c>
    </row>
    <row r="5460">
      <c r="A5460" s="5" t="str">
        <f>IFERROR(__xludf.DUMMYFUNCTION("""COMPUTED_VALUE"""),"75076")</f>
        <v>75076</v>
      </c>
      <c r="B5460" s="64">
        <f>IFERROR(__xludf.DUMMYFUNCTION("""COMPUTED_VALUE"""),44625.0)</f>
        <v>44625</v>
      </c>
      <c r="C5460" s="5"/>
      <c r="D5460" s="5"/>
      <c r="E5460" s="5"/>
      <c r="F5460" s="22">
        <f>IFERROR(__xludf.DUMMYFUNCTION("""COMPUTED_VALUE"""),60614.28091999999)</f>
        <v>60614.28092</v>
      </c>
      <c r="G5460" s="22">
        <f>IFERROR(__xludf.DUMMYFUNCTION("""COMPUTED_VALUE"""),0.0)</f>
        <v>0</v>
      </c>
      <c r="H5460" s="22">
        <f>IFERROR(__xludf.DUMMYFUNCTION("""COMPUTED_VALUE"""),530078.6701600001)</f>
        <v>530078.6702</v>
      </c>
      <c r="I5460" s="24">
        <f>IFERROR(__xludf.DUMMYFUNCTION("""COMPUTED_VALUE"""),0.0601573403200002)</f>
        <v>0.06015734032</v>
      </c>
    </row>
    <row r="5461">
      <c r="A5461" s="5" t="str">
        <f>IFERROR(__xludf.DUMMYFUNCTION("""COMPUTED_VALUE"""),"75076")</f>
        <v>75076</v>
      </c>
      <c r="B5461" s="64">
        <f>IFERROR(__xludf.DUMMYFUNCTION("""COMPUTED_VALUE"""),44626.0)</f>
        <v>44626</v>
      </c>
      <c r="C5461" s="5"/>
      <c r="D5461" s="5"/>
      <c r="E5461" s="5"/>
      <c r="F5461" s="22">
        <f>IFERROR(__xludf.DUMMYFUNCTION("""COMPUTED_VALUE"""),60614.28091999999)</f>
        <v>60614.28092</v>
      </c>
      <c r="G5461" s="22">
        <f>IFERROR(__xludf.DUMMYFUNCTION("""COMPUTED_VALUE"""),0.0)</f>
        <v>0</v>
      </c>
      <c r="H5461" s="22">
        <f>IFERROR(__xludf.DUMMYFUNCTION("""COMPUTED_VALUE"""),530078.6701600001)</f>
        <v>530078.6702</v>
      </c>
      <c r="I5461" s="24">
        <f>IFERROR(__xludf.DUMMYFUNCTION("""COMPUTED_VALUE"""),0.0601573403200002)</f>
        <v>0.06015734032</v>
      </c>
    </row>
    <row r="5462">
      <c r="A5462" s="5" t="str">
        <f>IFERROR(__xludf.DUMMYFUNCTION("""COMPUTED_VALUE"""),"75076")</f>
        <v>75076</v>
      </c>
      <c r="B5462" s="64">
        <f>IFERROR(__xludf.DUMMYFUNCTION("""COMPUTED_VALUE"""),44627.0)</f>
        <v>44627</v>
      </c>
      <c r="C5462" s="5"/>
      <c r="D5462" s="5"/>
      <c r="E5462" s="5"/>
      <c r="F5462" s="22">
        <f>IFERROR(__xludf.DUMMYFUNCTION("""COMPUTED_VALUE"""),60614.28091999999)</f>
        <v>60614.28092</v>
      </c>
      <c r="G5462" s="22">
        <f>IFERROR(__xludf.DUMMYFUNCTION("""COMPUTED_VALUE"""),0.0)</f>
        <v>0</v>
      </c>
      <c r="H5462" s="22">
        <f>IFERROR(__xludf.DUMMYFUNCTION("""COMPUTED_VALUE"""),537005.5008400001)</f>
        <v>537005.5008</v>
      </c>
      <c r="I5462" s="24">
        <f>IFERROR(__xludf.DUMMYFUNCTION("""COMPUTED_VALUE"""),0.07401100168000019)</f>
        <v>0.07401100168</v>
      </c>
    </row>
    <row r="5463">
      <c r="A5463" s="5" t="str">
        <f>IFERROR(__xludf.DUMMYFUNCTION("""COMPUTED_VALUE"""),"75076")</f>
        <v>75076</v>
      </c>
      <c r="B5463" s="64">
        <f>IFERROR(__xludf.DUMMYFUNCTION("""COMPUTED_VALUE"""),44628.0)</f>
        <v>44628</v>
      </c>
      <c r="C5463" s="5"/>
      <c r="D5463" s="5"/>
      <c r="E5463" s="5"/>
      <c r="F5463" s="22">
        <f>IFERROR(__xludf.DUMMYFUNCTION("""COMPUTED_VALUE"""),60614.28091999999)</f>
        <v>60614.28092</v>
      </c>
      <c r="G5463" s="22">
        <f>IFERROR(__xludf.DUMMYFUNCTION("""COMPUTED_VALUE"""),0.0)</f>
        <v>0</v>
      </c>
      <c r="H5463" s="22">
        <f>IFERROR(__xludf.DUMMYFUNCTION("""COMPUTED_VALUE"""),544493.9664400001)</f>
        <v>544493.9664</v>
      </c>
      <c r="I5463" s="24">
        <f>IFERROR(__xludf.DUMMYFUNCTION("""COMPUTED_VALUE"""),0.08898793288000029)</f>
        <v>0.08898793288</v>
      </c>
    </row>
    <row r="5464">
      <c r="A5464" s="5" t="str">
        <f>IFERROR(__xludf.DUMMYFUNCTION("""COMPUTED_VALUE"""),"75076")</f>
        <v>75076</v>
      </c>
      <c r="B5464" s="64">
        <f>IFERROR(__xludf.DUMMYFUNCTION("""COMPUTED_VALUE"""),44629.0)</f>
        <v>44629</v>
      </c>
      <c r="C5464" s="5"/>
      <c r="D5464" s="5"/>
      <c r="E5464" s="5"/>
      <c r="F5464" s="22">
        <f>IFERROR(__xludf.DUMMYFUNCTION("""COMPUTED_VALUE"""),60614.28091999999)</f>
        <v>60614.28092</v>
      </c>
      <c r="G5464" s="22">
        <f>IFERROR(__xludf.DUMMYFUNCTION("""COMPUTED_VALUE"""),0.0)</f>
        <v>0</v>
      </c>
      <c r="H5464" s="22">
        <f>IFERROR(__xludf.DUMMYFUNCTION("""COMPUTED_VALUE"""),529579.43912)</f>
        <v>529579.4391</v>
      </c>
      <c r="I5464" s="24">
        <f>IFERROR(__xludf.DUMMYFUNCTION("""COMPUTED_VALUE"""),0.0591588782400001)</f>
        <v>0.05915887824</v>
      </c>
    </row>
    <row r="5465">
      <c r="A5465" s="5" t="str">
        <f>IFERROR(__xludf.DUMMYFUNCTION("""COMPUTED_VALUE"""),"75076")</f>
        <v>75076</v>
      </c>
      <c r="B5465" s="64">
        <f>IFERROR(__xludf.DUMMYFUNCTION("""COMPUTED_VALUE"""),44630.0)</f>
        <v>44630</v>
      </c>
      <c r="C5465" s="5"/>
      <c r="D5465" s="5"/>
      <c r="E5465" s="5"/>
      <c r="F5465" s="22">
        <f>IFERROR(__xludf.DUMMYFUNCTION("""COMPUTED_VALUE"""),60614.28091999999)</f>
        <v>60614.28092</v>
      </c>
      <c r="G5465" s="22">
        <f>IFERROR(__xludf.DUMMYFUNCTION("""COMPUTED_VALUE"""),0.0)</f>
        <v>0</v>
      </c>
      <c r="H5465" s="22">
        <f>IFERROR(__xludf.DUMMYFUNCTION("""COMPUTED_VALUE"""),529704.24688)</f>
        <v>529704.2469</v>
      </c>
      <c r="I5465" s="24">
        <f>IFERROR(__xludf.DUMMYFUNCTION("""COMPUTED_VALUE"""),0.0594084937599999)</f>
        <v>0.05940849376</v>
      </c>
    </row>
    <row r="5466">
      <c r="A5466" s="5" t="str">
        <f>IFERROR(__xludf.DUMMYFUNCTION("""COMPUTED_VALUE"""),"75076")</f>
        <v>75076</v>
      </c>
      <c r="B5466" s="64">
        <f>IFERROR(__xludf.DUMMYFUNCTION("""COMPUTED_VALUE"""),44631.0)</f>
        <v>44631</v>
      </c>
      <c r="C5466" s="5"/>
      <c r="D5466" s="5"/>
      <c r="E5466" s="5"/>
      <c r="F5466" s="22">
        <f>IFERROR(__xludf.DUMMYFUNCTION("""COMPUTED_VALUE"""),60614.28091999999)</f>
        <v>60614.28092</v>
      </c>
      <c r="G5466" s="22">
        <f>IFERROR(__xludf.DUMMYFUNCTION("""COMPUTED_VALUE"""),0.0)</f>
        <v>0</v>
      </c>
      <c r="H5466" s="22">
        <f>IFERROR(__xludf.DUMMYFUNCTION("""COMPUTED_VALUE"""),540188.09872)</f>
        <v>540188.0987</v>
      </c>
      <c r="I5466" s="24">
        <f>IFERROR(__xludf.DUMMYFUNCTION("""COMPUTED_VALUE"""),0.08037619743999991)</f>
        <v>0.08037619744</v>
      </c>
    </row>
    <row r="5467">
      <c r="A5467" s="5" t="str">
        <f>IFERROR(__xludf.DUMMYFUNCTION("""COMPUTED_VALUE"""),"75076")</f>
        <v>75076</v>
      </c>
      <c r="B5467" s="64">
        <f>IFERROR(__xludf.DUMMYFUNCTION("""COMPUTED_VALUE"""),44632.0)</f>
        <v>44632</v>
      </c>
      <c r="C5467" s="5"/>
      <c r="D5467" s="5"/>
      <c r="E5467" s="5"/>
      <c r="F5467" s="22">
        <f>IFERROR(__xludf.DUMMYFUNCTION("""COMPUTED_VALUE"""),60614.28091999999)</f>
        <v>60614.28092</v>
      </c>
      <c r="G5467" s="22">
        <f>IFERROR(__xludf.DUMMYFUNCTION("""COMPUTED_VALUE"""),0.0)</f>
        <v>0</v>
      </c>
      <c r="H5467" s="22">
        <f>IFERROR(__xludf.DUMMYFUNCTION("""COMPUTED_VALUE"""),540188.09872)</f>
        <v>540188.0987</v>
      </c>
      <c r="I5467" s="24">
        <f>IFERROR(__xludf.DUMMYFUNCTION("""COMPUTED_VALUE"""),0.08037619743999991)</f>
        <v>0.08037619744</v>
      </c>
    </row>
    <row r="5468">
      <c r="A5468" s="5" t="str">
        <f>IFERROR(__xludf.DUMMYFUNCTION("""COMPUTED_VALUE"""),"75076")</f>
        <v>75076</v>
      </c>
      <c r="B5468" s="64">
        <f>IFERROR(__xludf.DUMMYFUNCTION("""COMPUTED_VALUE"""),44633.0)</f>
        <v>44633</v>
      </c>
      <c r="C5468" s="5"/>
      <c r="D5468" s="5"/>
      <c r="E5468" s="5"/>
      <c r="F5468" s="22">
        <f>IFERROR(__xludf.DUMMYFUNCTION("""COMPUTED_VALUE"""),60614.28091999999)</f>
        <v>60614.28092</v>
      </c>
      <c r="G5468" s="22">
        <f>IFERROR(__xludf.DUMMYFUNCTION("""COMPUTED_VALUE"""),0.0)</f>
        <v>0</v>
      </c>
      <c r="H5468" s="22">
        <f>IFERROR(__xludf.DUMMYFUNCTION("""COMPUTED_VALUE"""),540188.09872)</f>
        <v>540188.0987</v>
      </c>
      <c r="I5468" s="24">
        <f>IFERROR(__xludf.DUMMYFUNCTION("""COMPUTED_VALUE"""),0.08037619743999991)</f>
        <v>0.08037619744</v>
      </c>
    </row>
    <row r="5469">
      <c r="A5469" s="5" t="str">
        <f>IFERROR(__xludf.DUMMYFUNCTION("""COMPUTED_VALUE"""),"75076")</f>
        <v>75076</v>
      </c>
      <c r="B5469" s="64">
        <f>IFERROR(__xludf.DUMMYFUNCTION("""COMPUTED_VALUE"""),44634.0)</f>
        <v>44634</v>
      </c>
      <c r="C5469" s="5"/>
      <c r="D5469" s="5"/>
      <c r="E5469" s="5"/>
      <c r="F5469" s="22">
        <f>IFERROR(__xludf.DUMMYFUNCTION("""COMPUTED_VALUE"""),60614.28091999999)</f>
        <v>60614.28092</v>
      </c>
      <c r="G5469" s="22">
        <f>IFERROR(__xludf.DUMMYFUNCTION("""COMPUTED_VALUE"""),0.0)</f>
        <v>0</v>
      </c>
      <c r="H5469" s="22">
        <f>IFERROR(__xludf.DUMMYFUNCTION("""COMPUTED_VALUE"""),525835.20632)</f>
        <v>525835.2063</v>
      </c>
      <c r="I5469" s="24">
        <f>IFERROR(__xludf.DUMMYFUNCTION("""COMPUTED_VALUE"""),0.05167041264000005)</f>
        <v>0.05167041264</v>
      </c>
    </row>
    <row r="5470">
      <c r="A5470" s="5" t="str">
        <f>IFERROR(__xludf.DUMMYFUNCTION("""COMPUTED_VALUE"""),"75076")</f>
        <v>75076</v>
      </c>
      <c r="B5470" s="64">
        <f>IFERROR(__xludf.DUMMYFUNCTION("""COMPUTED_VALUE"""),44635.0)</f>
        <v>44635</v>
      </c>
      <c r="C5470" s="5"/>
      <c r="D5470" s="5"/>
      <c r="E5470" s="5"/>
      <c r="F5470" s="22">
        <f>IFERROR(__xludf.DUMMYFUNCTION("""COMPUTED_VALUE"""),60614.28091999999)</f>
        <v>60614.28092</v>
      </c>
      <c r="G5470" s="22">
        <f>IFERROR(__xludf.DUMMYFUNCTION("""COMPUTED_VALUE"""),0.0)</f>
        <v>0</v>
      </c>
      <c r="H5470" s="22">
        <f>IFERROR(__xludf.DUMMYFUNCTION("""COMPUTED_VALUE"""),508798.94708)</f>
        <v>508798.9471</v>
      </c>
      <c r="I5470" s="24">
        <f>IFERROR(__xludf.DUMMYFUNCTION("""COMPUTED_VALUE"""),0.017597894160000127)</f>
        <v>0.01759789416</v>
      </c>
    </row>
    <row r="5471">
      <c r="A5471" s="5" t="str">
        <f>IFERROR(__xludf.DUMMYFUNCTION("""COMPUTED_VALUE"""),"75076")</f>
        <v>75076</v>
      </c>
      <c r="B5471" s="64">
        <f>IFERROR(__xludf.DUMMYFUNCTION("""COMPUTED_VALUE"""),44636.0)</f>
        <v>44636</v>
      </c>
      <c r="C5471" s="5"/>
      <c r="D5471" s="5"/>
      <c r="E5471" s="5"/>
      <c r="F5471" s="22">
        <f>IFERROR(__xludf.DUMMYFUNCTION("""COMPUTED_VALUE"""),60614.28091999999)</f>
        <v>60614.28092</v>
      </c>
      <c r="G5471" s="22">
        <f>IFERROR(__xludf.DUMMYFUNCTION("""COMPUTED_VALUE"""),0.0)</f>
        <v>0</v>
      </c>
      <c r="H5471" s="22">
        <f>IFERROR(__xludf.DUMMYFUNCTION("""COMPUTED_VALUE"""),506739.61904)</f>
        <v>506739.619</v>
      </c>
      <c r="I5471" s="24">
        <f>IFERROR(__xludf.DUMMYFUNCTION("""COMPUTED_VALUE"""),0.013479238079999956)</f>
        <v>0.01347923808</v>
      </c>
    </row>
    <row r="5472">
      <c r="A5472" s="5" t="str">
        <f>IFERROR(__xludf.DUMMYFUNCTION("""COMPUTED_VALUE"""),"75076")</f>
        <v>75076</v>
      </c>
      <c r="B5472" s="64">
        <f>IFERROR(__xludf.DUMMYFUNCTION("""COMPUTED_VALUE"""),44637.0)</f>
        <v>44637</v>
      </c>
      <c r="C5472" s="5"/>
      <c r="D5472" s="5"/>
      <c r="E5472" s="5"/>
      <c r="F5472" s="22">
        <f>IFERROR(__xludf.DUMMYFUNCTION("""COMPUTED_VALUE"""),60614.28091999999)</f>
        <v>60614.28092</v>
      </c>
      <c r="G5472" s="22">
        <f>IFERROR(__xludf.DUMMYFUNCTION("""COMPUTED_VALUE"""),0.0)</f>
        <v>0</v>
      </c>
      <c r="H5472" s="22">
        <f>IFERROR(__xludf.DUMMYFUNCTION("""COMPUTED_VALUE"""),522090.97352000006)</f>
        <v>522090.9735</v>
      </c>
      <c r="I5472" s="24">
        <f>IFERROR(__xludf.DUMMYFUNCTION("""COMPUTED_VALUE"""),0.044181947040000225)</f>
        <v>0.04418194704</v>
      </c>
    </row>
    <row r="5473">
      <c r="A5473" s="5" t="str">
        <f>IFERROR(__xludf.DUMMYFUNCTION("""COMPUTED_VALUE"""),"75076")</f>
        <v>75076</v>
      </c>
      <c r="B5473" s="64">
        <f>IFERROR(__xludf.DUMMYFUNCTION("""COMPUTED_VALUE"""),44638.0)</f>
        <v>44638</v>
      </c>
      <c r="C5473" s="5"/>
      <c r="D5473" s="5"/>
      <c r="E5473" s="5"/>
      <c r="F5473" s="22">
        <f>IFERROR(__xludf.DUMMYFUNCTION("""COMPUTED_VALUE"""),60614.28091999999)</f>
        <v>60614.28092</v>
      </c>
      <c r="G5473" s="22">
        <f>IFERROR(__xludf.DUMMYFUNCTION("""COMPUTED_VALUE"""),0.0)</f>
        <v>0</v>
      </c>
      <c r="H5473" s="22">
        <f>IFERROR(__xludf.DUMMYFUNCTION("""COMPUTED_VALUE"""),521654.14636)</f>
        <v>521654.1464</v>
      </c>
      <c r="I5473" s="24">
        <f>IFERROR(__xludf.DUMMYFUNCTION("""COMPUTED_VALUE"""),0.04330829271999992)</f>
        <v>0.04330829272</v>
      </c>
    </row>
    <row r="5474">
      <c r="A5474" s="5" t="str">
        <f>IFERROR(__xludf.DUMMYFUNCTION("""COMPUTED_VALUE"""),"75076")</f>
        <v>75076</v>
      </c>
      <c r="B5474" s="64">
        <f>IFERROR(__xludf.DUMMYFUNCTION("""COMPUTED_VALUE"""),44639.0)</f>
        <v>44639</v>
      </c>
      <c r="C5474" s="5"/>
      <c r="D5474" s="5"/>
      <c r="E5474" s="5"/>
      <c r="F5474" s="22">
        <f>IFERROR(__xludf.DUMMYFUNCTION("""COMPUTED_VALUE"""),60614.28091999999)</f>
        <v>60614.28092</v>
      </c>
      <c r="G5474" s="22">
        <f>IFERROR(__xludf.DUMMYFUNCTION("""COMPUTED_VALUE"""),0.0)</f>
        <v>0</v>
      </c>
      <c r="H5474" s="22">
        <f>IFERROR(__xludf.DUMMYFUNCTION("""COMPUTED_VALUE"""),521654.14636)</f>
        <v>521654.1464</v>
      </c>
      <c r="I5474" s="24">
        <f>IFERROR(__xludf.DUMMYFUNCTION("""COMPUTED_VALUE"""),0.04330829271999992)</f>
        <v>0.04330829272</v>
      </c>
    </row>
    <row r="5475">
      <c r="A5475" s="5" t="str">
        <f>IFERROR(__xludf.DUMMYFUNCTION("""COMPUTED_VALUE"""),"75076")</f>
        <v>75076</v>
      </c>
      <c r="B5475" s="64">
        <f>IFERROR(__xludf.DUMMYFUNCTION("""COMPUTED_VALUE"""),44640.0)</f>
        <v>44640</v>
      </c>
      <c r="C5475" s="5"/>
      <c r="D5475" s="5"/>
      <c r="E5475" s="5"/>
      <c r="F5475" s="22">
        <f>IFERROR(__xludf.DUMMYFUNCTION("""COMPUTED_VALUE"""),60614.28091999999)</f>
        <v>60614.28092</v>
      </c>
      <c r="G5475" s="22">
        <f>IFERROR(__xludf.DUMMYFUNCTION("""COMPUTED_VALUE"""),0.0)</f>
        <v>0</v>
      </c>
      <c r="H5475" s="22">
        <f>IFERROR(__xludf.DUMMYFUNCTION("""COMPUTED_VALUE"""),521654.14636)</f>
        <v>521654.1464</v>
      </c>
      <c r="I5475" s="24">
        <f>IFERROR(__xludf.DUMMYFUNCTION("""COMPUTED_VALUE"""),0.04330829271999992)</f>
        <v>0.04330829272</v>
      </c>
    </row>
    <row r="5476">
      <c r="A5476" s="5" t="str">
        <f>IFERROR(__xludf.DUMMYFUNCTION("""COMPUTED_VALUE"""),"75076")</f>
        <v>75076</v>
      </c>
      <c r="B5476" s="64">
        <f>IFERROR(__xludf.DUMMYFUNCTION("""COMPUTED_VALUE"""),44641.0)</f>
        <v>44641</v>
      </c>
      <c r="C5476" s="5"/>
      <c r="D5476" s="5"/>
      <c r="E5476" s="5"/>
      <c r="F5476" s="22">
        <f>IFERROR(__xludf.DUMMYFUNCTION("""COMPUTED_VALUE"""),60614.28091999999)</f>
        <v>60614.28092</v>
      </c>
      <c r="G5476" s="22">
        <f>IFERROR(__xludf.DUMMYFUNCTION("""COMPUTED_VALUE"""),0.0)</f>
        <v>0</v>
      </c>
      <c r="H5476" s="22">
        <f>IFERROR(__xludf.DUMMYFUNCTION("""COMPUTED_VALUE"""),535695.01936)</f>
        <v>535695.0194</v>
      </c>
      <c r="I5476" s="24">
        <f>IFERROR(__xludf.DUMMYFUNCTION("""COMPUTED_VALUE"""),0.07139003872000016)</f>
        <v>0.07139003872</v>
      </c>
    </row>
    <row r="5477">
      <c r="A5477" s="5" t="str">
        <f>IFERROR(__xludf.DUMMYFUNCTION("""COMPUTED_VALUE"""),"75076")</f>
        <v>75076</v>
      </c>
      <c r="B5477" s="64">
        <f>IFERROR(__xludf.DUMMYFUNCTION("""COMPUTED_VALUE"""),44642.0)</f>
        <v>44642</v>
      </c>
      <c r="C5477" s="5"/>
      <c r="D5477" s="5"/>
      <c r="E5477" s="5"/>
      <c r="F5477" s="22">
        <f>IFERROR(__xludf.DUMMYFUNCTION("""COMPUTED_VALUE"""),60614.28091999999)</f>
        <v>60614.28092</v>
      </c>
      <c r="G5477" s="22">
        <f>IFERROR(__xludf.DUMMYFUNCTION("""COMPUTED_VALUE"""),0.0)</f>
        <v>0</v>
      </c>
      <c r="H5477" s="22">
        <f>IFERROR(__xludf.DUMMYFUNCTION("""COMPUTED_VALUE"""),532200.4020799999)</f>
        <v>532200.4021</v>
      </c>
      <c r="I5477" s="24">
        <f>IFERROR(__xludf.DUMMYFUNCTION("""COMPUTED_VALUE"""),0.06440080415999994)</f>
        <v>0.06440080416</v>
      </c>
    </row>
    <row r="5478">
      <c r="A5478" s="5" t="str">
        <f>IFERROR(__xludf.DUMMYFUNCTION("""COMPUTED_VALUE"""),"75076")</f>
        <v>75076</v>
      </c>
      <c r="B5478" s="64">
        <f>IFERROR(__xludf.DUMMYFUNCTION("""COMPUTED_VALUE"""),44643.0)</f>
        <v>44643</v>
      </c>
      <c r="C5478" s="5"/>
      <c r="D5478" s="5"/>
      <c r="E5478" s="5"/>
      <c r="F5478" s="22">
        <f>IFERROR(__xludf.DUMMYFUNCTION("""COMPUTED_VALUE"""),60614.28091999999)</f>
        <v>60614.28092</v>
      </c>
      <c r="G5478" s="22">
        <f>IFERROR(__xludf.DUMMYFUNCTION("""COMPUTED_VALUE"""),0.0)</f>
        <v>0</v>
      </c>
      <c r="H5478" s="22">
        <f>IFERROR(__xludf.DUMMYFUNCTION("""COMPUTED_VALUE"""),540312.9064800001)</f>
        <v>540312.9065</v>
      </c>
      <c r="I5478" s="24">
        <f>IFERROR(__xludf.DUMMYFUNCTION("""COMPUTED_VALUE"""),0.08062581296000015)</f>
        <v>0.08062581296</v>
      </c>
    </row>
    <row r="5479">
      <c r="A5479" s="5" t="str">
        <f>IFERROR(__xludf.DUMMYFUNCTION("""COMPUTED_VALUE"""),"75076")</f>
        <v>75076</v>
      </c>
      <c r="B5479" s="64">
        <f>IFERROR(__xludf.DUMMYFUNCTION("""COMPUTED_VALUE"""),44644.0)</f>
        <v>44644</v>
      </c>
      <c r="C5479" s="5"/>
      <c r="D5479" s="5"/>
      <c r="E5479" s="5"/>
      <c r="F5479" s="22">
        <f>IFERROR(__xludf.DUMMYFUNCTION("""COMPUTED_VALUE"""),60614.28091999999)</f>
        <v>60614.28092</v>
      </c>
      <c r="G5479" s="22">
        <f>IFERROR(__xludf.DUMMYFUNCTION("""COMPUTED_VALUE"""),0.0)</f>
        <v>0</v>
      </c>
      <c r="H5479" s="22">
        <f>IFERROR(__xludf.DUMMYFUNCTION("""COMPUTED_VALUE"""),541248.96468)</f>
        <v>541248.9647</v>
      </c>
      <c r="I5479" s="24">
        <f>IFERROR(__xludf.DUMMYFUNCTION("""COMPUTED_VALUE"""),0.08249792935999989)</f>
        <v>0.08249792936</v>
      </c>
    </row>
    <row r="5480">
      <c r="A5480" s="5" t="str">
        <f>IFERROR(__xludf.DUMMYFUNCTION("""COMPUTED_VALUE"""),"75076")</f>
        <v>75076</v>
      </c>
      <c r="B5480" s="64">
        <f>IFERROR(__xludf.DUMMYFUNCTION("""COMPUTED_VALUE"""),44645.0)</f>
        <v>44645</v>
      </c>
      <c r="C5480" s="5"/>
      <c r="D5480" s="5"/>
      <c r="E5480" s="5"/>
      <c r="F5480" s="22">
        <f>IFERROR(__xludf.DUMMYFUNCTION("""COMPUTED_VALUE"""),60614.28091999999)</f>
        <v>60614.28092</v>
      </c>
      <c r="G5480" s="22">
        <f>IFERROR(__xludf.DUMMYFUNCTION("""COMPUTED_VALUE"""),0.0)</f>
        <v>0</v>
      </c>
      <c r="H5480" s="22">
        <f>IFERROR(__xludf.DUMMYFUNCTION("""COMPUTED_VALUE"""),552044.83592)</f>
        <v>552044.8359</v>
      </c>
      <c r="I5480" s="24">
        <f>IFERROR(__xludf.DUMMYFUNCTION("""COMPUTED_VALUE"""),0.10408967183999995)</f>
        <v>0.1040896718</v>
      </c>
    </row>
    <row r="5481">
      <c r="A5481" s="5" t="str">
        <f>IFERROR(__xludf.DUMMYFUNCTION("""COMPUTED_VALUE"""),"75076")</f>
        <v>75076</v>
      </c>
      <c r="B5481" s="64">
        <f>IFERROR(__xludf.DUMMYFUNCTION("""COMPUTED_VALUE"""),44646.0)</f>
        <v>44646</v>
      </c>
      <c r="C5481" s="5"/>
      <c r="D5481" s="5"/>
      <c r="E5481" s="5"/>
      <c r="F5481" s="22">
        <f>IFERROR(__xludf.DUMMYFUNCTION("""COMPUTED_VALUE"""),60614.28091999999)</f>
        <v>60614.28092</v>
      </c>
      <c r="G5481" s="22">
        <f>IFERROR(__xludf.DUMMYFUNCTION("""COMPUTED_VALUE"""),0.0)</f>
        <v>0</v>
      </c>
      <c r="H5481" s="22">
        <f>IFERROR(__xludf.DUMMYFUNCTION("""COMPUTED_VALUE"""),552044.83592)</f>
        <v>552044.8359</v>
      </c>
      <c r="I5481" s="24">
        <f>IFERROR(__xludf.DUMMYFUNCTION("""COMPUTED_VALUE"""),0.10408967183999995)</f>
        <v>0.1040896718</v>
      </c>
    </row>
    <row r="5482">
      <c r="A5482" s="5" t="str">
        <f>IFERROR(__xludf.DUMMYFUNCTION("""COMPUTED_VALUE"""),"75076")</f>
        <v>75076</v>
      </c>
      <c r="B5482" s="64">
        <f>IFERROR(__xludf.DUMMYFUNCTION("""COMPUTED_VALUE"""),44647.0)</f>
        <v>44647</v>
      </c>
      <c r="C5482" s="5"/>
      <c r="D5482" s="5"/>
      <c r="E5482" s="5"/>
      <c r="F5482" s="22">
        <f>IFERROR(__xludf.DUMMYFUNCTION("""COMPUTED_VALUE"""),60614.28091999999)</f>
        <v>60614.28092</v>
      </c>
      <c r="G5482" s="22">
        <f>IFERROR(__xludf.DUMMYFUNCTION("""COMPUTED_VALUE"""),0.0)</f>
        <v>0</v>
      </c>
      <c r="H5482" s="22">
        <f>IFERROR(__xludf.DUMMYFUNCTION("""COMPUTED_VALUE"""),552044.83592)</f>
        <v>552044.8359</v>
      </c>
      <c r="I5482" s="24">
        <f>IFERROR(__xludf.DUMMYFUNCTION("""COMPUTED_VALUE"""),0.10408967183999995)</f>
        <v>0.1040896718</v>
      </c>
    </row>
    <row r="5483">
      <c r="A5483" s="5" t="str">
        <f>IFERROR(__xludf.DUMMYFUNCTION("""COMPUTED_VALUE"""),"75076")</f>
        <v>75076</v>
      </c>
      <c r="B5483" s="64">
        <f>IFERROR(__xludf.DUMMYFUNCTION("""COMPUTED_VALUE"""),44648.0)</f>
        <v>44648</v>
      </c>
      <c r="C5483" s="5"/>
      <c r="D5483" s="5"/>
      <c r="E5483" s="5"/>
      <c r="F5483" s="22">
        <f>IFERROR(__xludf.DUMMYFUNCTION("""COMPUTED_VALUE"""),60614.28091999999)</f>
        <v>60614.28092</v>
      </c>
      <c r="G5483" s="22">
        <f>IFERROR(__xludf.DUMMYFUNCTION("""COMPUTED_VALUE"""),0.0)</f>
        <v>0</v>
      </c>
      <c r="H5483" s="22">
        <f>IFERROR(__xludf.DUMMYFUNCTION("""COMPUTED_VALUE"""),539876.07932)</f>
        <v>539876.0793</v>
      </c>
      <c r="I5483" s="24">
        <f>IFERROR(__xludf.DUMMYFUNCTION("""COMPUTED_VALUE"""),0.07975215864000007)</f>
        <v>0.07975215864</v>
      </c>
    </row>
    <row r="5484">
      <c r="A5484" s="5" t="str">
        <f>IFERROR(__xludf.DUMMYFUNCTION("""COMPUTED_VALUE"""),"75076")</f>
        <v>75076</v>
      </c>
      <c r="B5484" s="64">
        <f>IFERROR(__xludf.DUMMYFUNCTION("""COMPUTED_VALUE"""),44649.0)</f>
        <v>44649</v>
      </c>
      <c r="C5484" s="5"/>
      <c r="D5484" s="5"/>
      <c r="E5484" s="5"/>
      <c r="F5484" s="22">
        <f>IFERROR(__xludf.DUMMYFUNCTION("""COMPUTED_VALUE"""),60614.28091999999)</f>
        <v>60614.28092</v>
      </c>
      <c r="G5484" s="22">
        <f>IFERROR(__xludf.DUMMYFUNCTION("""COMPUTED_VALUE"""),0.0)</f>
        <v>0</v>
      </c>
      <c r="H5484" s="22">
        <f>IFERROR(__xludf.DUMMYFUNCTION("""COMPUTED_VALUE"""),538628.0017200001)</f>
        <v>538628.0017</v>
      </c>
      <c r="I5484" s="24">
        <f>IFERROR(__xludf.DUMMYFUNCTION("""COMPUTED_VALUE"""),0.07725600344000005)</f>
        <v>0.07725600344</v>
      </c>
    </row>
    <row r="5485">
      <c r="A5485" s="5" t="str">
        <f>IFERROR(__xludf.DUMMYFUNCTION("""COMPUTED_VALUE"""),"75076")</f>
        <v>75076</v>
      </c>
      <c r="B5485" s="64">
        <f>IFERROR(__xludf.DUMMYFUNCTION("""COMPUTED_VALUE"""),44650.0)</f>
        <v>44650</v>
      </c>
      <c r="C5485" s="5"/>
      <c r="D5485" s="5"/>
      <c r="E5485" s="5"/>
      <c r="F5485" s="22">
        <f>IFERROR(__xludf.DUMMYFUNCTION("""COMPUTED_VALUE"""),60614.28091999999)</f>
        <v>60614.28092</v>
      </c>
      <c r="G5485" s="22">
        <f>IFERROR(__xludf.DUMMYFUNCTION("""COMPUTED_VALUE"""),0.0)</f>
        <v>0</v>
      </c>
      <c r="H5485" s="22">
        <f>IFERROR(__xludf.DUMMYFUNCTION("""COMPUTED_VALUE"""),544181.94704)</f>
        <v>544181.947</v>
      </c>
      <c r="I5485" s="24">
        <f>IFERROR(__xludf.DUMMYFUNCTION("""COMPUTED_VALUE"""),0.08836389408)</f>
        <v>0.08836389408</v>
      </c>
    </row>
    <row r="5486">
      <c r="A5486" s="5" t="str">
        <f>IFERROR(__xludf.DUMMYFUNCTION("""COMPUTED_VALUE"""),"75076")</f>
        <v>75076</v>
      </c>
      <c r="B5486" s="64">
        <f>IFERROR(__xludf.DUMMYFUNCTION("""COMPUTED_VALUE"""),44651.0)</f>
        <v>44651</v>
      </c>
      <c r="C5486" s="5"/>
      <c r="D5486" s="5"/>
      <c r="E5486" s="5"/>
      <c r="F5486" s="22">
        <f>IFERROR(__xludf.DUMMYFUNCTION("""COMPUTED_VALUE"""),60614.28091999999)</f>
        <v>60614.28092</v>
      </c>
      <c r="G5486" s="22">
        <f>IFERROR(__xludf.DUMMYFUNCTION("""COMPUTED_VALUE"""),0.0)</f>
        <v>0</v>
      </c>
      <c r="H5486" s="22">
        <f>IFERROR(__xludf.DUMMYFUNCTION("""COMPUTED_VALUE"""),537629.5396400001)</f>
        <v>537629.5396</v>
      </c>
      <c r="I5486" s="24">
        <f>IFERROR(__xludf.DUMMYFUNCTION("""COMPUTED_VALUE"""),0.07525907928000009)</f>
        <v>0.07525907928</v>
      </c>
    </row>
    <row r="5487">
      <c r="A5487" s="5" t="str">
        <f>IFERROR(__xludf.DUMMYFUNCTION("""COMPUTED_VALUE"""),"75076")</f>
        <v>75076</v>
      </c>
      <c r="B5487" s="64">
        <f>IFERROR(__xludf.DUMMYFUNCTION("""COMPUTED_VALUE"""),44652.0)</f>
        <v>44652</v>
      </c>
      <c r="C5487" s="5"/>
      <c r="D5487" s="5"/>
      <c r="E5487" s="5"/>
      <c r="F5487" s="22">
        <f>IFERROR(__xludf.DUMMYFUNCTION("""COMPUTED_VALUE"""),60614.28091999999)</f>
        <v>60614.28092</v>
      </c>
      <c r="G5487" s="22">
        <f>IFERROR(__xludf.DUMMYFUNCTION("""COMPUTED_VALUE"""),0.0)</f>
        <v>0</v>
      </c>
      <c r="H5487" s="22">
        <f>IFERROR(__xludf.DUMMYFUNCTION("""COMPUTED_VALUE"""),541498.5802000001)</f>
        <v>541498.5802</v>
      </c>
      <c r="I5487" s="24">
        <f>IFERROR(__xludf.DUMMYFUNCTION("""COMPUTED_VALUE"""),0.08299716040000016)</f>
        <v>0.0829971604</v>
      </c>
    </row>
    <row r="5488">
      <c r="A5488" s="5" t="str">
        <f>IFERROR(__xludf.DUMMYFUNCTION("""COMPUTED_VALUE"""),"75076")</f>
        <v>75076</v>
      </c>
      <c r="B5488" s="64">
        <f>IFERROR(__xludf.DUMMYFUNCTION("""COMPUTED_VALUE"""),44653.0)</f>
        <v>44653</v>
      </c>
      <c r="C5488" s="5"/>
      <c r="D5488" s="5"/>
      <c r="E5488" s="5"/>
      <c r="F5488" s="22">
        <f>IFERROR(__xludf.DUMMYFUNCTION("""COMPUTED_VALUE"""),60614.28091999999)</f>
        <v>60614.28092</v>
      </c>
      <c r="G5488" s="22">
        <f>IFERROR(__xludf.DUMMYFUNCTION("""COMPUTED_VALUE"""),0.0)</f>
        <v>0</v>
      </c>
      <c r="H5488" s="22">
        <f>IFERROR(__xludf.DUMMYFUNCTION("""COMPUTED_VALUE"""),541498.5802000001)</f>
        <v>541498.5802</v>
      </c>
      <c r="I5488" s="24">
        <f>IFERROR(__xludf.DUMMYFUNCTION("""COMPUTED_VALUE"""),0.08299716040000016)</f>
        <v>0.0829971604</v>
      </c>
    </row>
    <row r="5489">
      <c r="A5489" s="5" t="str">
        <f>IFERROR(__xludf.DUMMYFUNCTION("""COMPUTED_VALUE"""),"75076")</f>
        <v>75076</v>
      </c>
      <c r="B5489" s="64">
        <f>IFERROR(__xludf.DUMMYFUNCTION("""COMPUTED_VALUE"""),44654.0)</f>
        <v>44654</v>
      </c>
      <c r="C5489" s="5"/>
      <c r="D5489" s="5"/>
      <c r="E5489" s="5"/>
      <c r="F5489" s="22">
        <f>IFERROR(__xludf.DUMMYFUNCTION("""COMPUTED_VALUE"""),60614.28091999999)</f>
        <v>60614.28092</v>
      </c>
      <c r="G5489" s="22">
        <f>IFERROR(__xludf.DUMMYFUNCTION("""COMPUTED_VALUE"""),0.0)</f>
        <v>0</v>
      </c>
      <c r="H5489" s="22">
        <f>IFERROR(__xludf.DUMMYFUNCTION("""COMPUTED_VALUE"""),541498.5802000001)</f>
        <v>541498.5802</v>
      </c>
      <c r="I5489" s="24">
        <f>IFERROR(__xludf.DUMMYFUNCTION("""COMPUTED_VALUE"""),0.08299716040000016)</f>
        <v>0.0829971604</v>
      </c>
    </row>
    <row r="5490">
      <c r="A5490" s="5" t="str">
        <f>IFERROR(__xludf.DUMMYFUNCTION("""COMPUTED_VALUE"""),"75076")</f>
        <v>75076</v>
      </c>
      <c r="B5490" s="64">
        <f>IFERROR(__xludf.DUMMYFUNCTION("""COMPUTED_VALUE"""),44655.0)</f>
        <v>44655</v>
      </c>
      <c r="C5490" s="5"/>
      <c r="D5490" s="5"/>
      <c r="E5490" s="5"/>
      <c r="F5490" s="22">
        <f>IFERROR(__xludf.DUMMYFUNCTION("""COMPUTED_VALUE"""),60614.28091999999)</f>
        <v>60614.28092</v>
      </c>
      <c r="G5490" s="22">
        <f>IFERROR(__xludf.DUMMYFUNCTION("""COMPUTED_VALUE"""),0.0)</f>
        <v>0</v>
      </c>
      <c r="H5490" s="22">
        <f>IFERROR(__xludf.DUMMYFUNCTION("""COMPUTED_VALUE"""),542122.619)</f>
        <v>542122.619</v>
      </c>
      <c r="I5490" s="24">
        <f>IFERROR(__xludf.DUMMYFUNCTION("""COMPUTED_VALUE"""),0.08424523799999983)</f>
        <v>0.084245238</v>
      </c>
    </row>
    <row r="5491">
      <c r="A5491" s="5" t="str">
        <f>IFERROR(__xludf.DUMMYFUNCTION("""COMPUTED_VALUE"""),"75076")</f>
        <v>75076</v>
      </c>
      <c r="B5491" s="64">
        <f>IFERROR(__xludf.DUMMYFUNCTION("""COMPUTED_VALUE"""),44656.0)</f>
        <v>44656</v>
      </c>
      <c r="C5491" s="5"/>
      <c r="D5491" s="5"/>
      <c r="E5491" s="5"/>
      <c r="F5491" s="22">
        <f>IFERROR(__xludf.DUMMYFUNCTION("""COMPUTED_VALUE"""),60614.28091999999)</f>
        <v>60614.28092</v>
      </c>
      <c r="G5491" s="22">
        <f>IFERROR(__xludf.DUMMYFUNCTION("""COMPUTED_VALUE"""),0.0)</f>
        <v>0</v>
      </c>
      <c r="H5491" s="22">
        <f>IFERROR(__xludf.DUMMYFUNCTION("""COMPUTED_VALUE"""),534571.7495200001)</f>
        <v>534571.7495</v>
      </c>
      <c r="I5491" s="24">
        <f>IFERROR(__xludf.DUMMYFUNCTION("""COMPUTED_VALUE"""),0.06914349904000017)</f>
        <v>0.06914349904</v>
      </c>
    </row>
    <row r="5492">
      <c r="A5492" s="5" t="str">
        <f>IFERROR(__xludf.DUMMYFUNCTION("""COMPUTED_VALUE"""),"75076")</f>
        <v>75076</v>
      </c>
      <c r="B5492" s="64">
        <f>IFERROR(__xludf.DUMMYFUNCTION("""COMPUTED_VALUE"""),44657.0)</f>
        <v>44657</v>
      </c>
      <c r="C5492" s="5"/>
      <c r="D5492" s="5"/>
      <c r="E5492" s="5"/>
      <c r="F5492" s="22">
        <f>IFERROR(__xludf.DUMMYFUNCTION("""COMPUTED_VALUE"""),60614.28091999999)</f>
        <v>60614.28092</v>
      </c>
      <c r="G5492" s="22">
        <f>IFERROR(__xludf.DUMMYFUNCTION("""COMPUTED_VALUE"""),0.0)</f>
        <v>0</v>
      </c>
      <c r="H5492" s="22">
        <f>IFERROR(__xludf.DUMMYFUNCTION("""COMPUTED_VALUE"""),537379.9241200001)</f>
        <v>537379.9241</v>
      </c>
      <c r="I5492" s="24">
        <f>IFERROR(__xludf.DUMMYFUNCTION("""COMPUTED_VALUE"""),0.07475984824000026)</f>
        <v>0.07475984824</v>
      </c>
    </row>
    <row r="5493">
      <c r="A5493" s="5" t="str">
        <f>IFERROR(__xludf.DUMMYFUNCTION("""COMPUTED_VALUE"""),"75076")</f>
        <v>75076</v>
      </c>
      <c r="B5493" s="64">
        <f>IFERROR(__xludf.DUMMYFUNCTION("""COMPUTED_VALUE"""),44658.0)</f>
        <v>44658</v>
      </c>
      <c r="C5493" s="5"/>
      <c r="D5493" s="5"/>
      <c r="E5493" s="5"/>
      <c r="F5493" s="22">
        <f>IFERROR(__xludf.DUMMYFUNCTION("""COMPUTED_VALUE"""),60614.28091999999)</f>
        <v>60614.28092</v>
      </c>
      <c r="G5493" s="22">
        <f>IFERROR(__xludf.DUMMYFUNCTION("""COMPUTED_VALUE"""),0.0)</f>
        <v>0</v>
      </c>
      <c r="H5493" s="22">
        <f>IFERROR(__xludf.DUMMYFUNCTION("""COMPUTED_VALUE"""),543745.1198800001)</f>
        <v>543745.1199</v>
      </c>
      <c r="I5493" s="24">
        <f>IFERROR(__xludf.DUMMYFUNCTION("""COMPUTED_VALUE"""),0.08749023976000037)</f>
        <v>0.08749023976</v>
      </c>
    </row>
    <row r="5494">
      <c r="A5494" s="5" t="str">
        <f>IFERROR(__xludf.DUMMYFUNCTION("""COMPUTED_VALUE"""),"75076")</f>
        <v>75076</v>
      </c>
      <c r="B5494" s="64">
        <f>IFERROR(__xludf.DUMMYFUNCTION("""COMPUTED_VALUE"""),44659.0)</f>
        <v>44659</v>
      </c>
      <c r="C5494" s="5"/>
      <c r="D5494" s="5"/>
      <c r="E5494" s="5"/>
      <c r="F5494" s="22">
        <f>IFERROR(__xludf.DUMMYFUNCTION("""COMPUTED_VALUE"""),60614.28091999999)</f>
        <v>60614.28092</v>
      </c>
      <c r="G5494" s="22">
        <f>IFERROR(__xludf.DUMMYFUNCTION("""COMPUTED_VALUE"""),0.0)</f>
        <v>0</v>
      </c>
      <c r="H5494" s="22">
        <f>IFERROR(__xludf.DUMMYFUNCTION("""COMPUTED_VALUE"""),556912.3385600001)</f>
        <v>556912.3386</v>
      </c>
      <c r="I5494" s="24">
        <f>IFERROR(__xludf.DUMMYFUNCTION("""COMPUTED_VALUE"""),0.11382467712000022)</f>
        <v>0.1138246771</v>
      </c>
    </row>
    <row r="5495">
      <c r="A5495" s="5" t="str">
        <f>IFERROR(__xludf.DUMMYFUNCTION("""COMPUTED_VALUE"""),"75076")</f>
        <v>75076</v>
      </c>
      <c r="B5495" s="64">
        <f>IFERROR(__xludf.DUMMYFUNCTION("""COMPUTED_VALUE"""),44660.0)</f>
        <v>44660</v>
      </c>
      <c r="C5495" s="5"/>
      <c r="D5495" s="5"/>
      <c r="E5495" s="5"/>
      <c r="F5495" s="22">
        <f>IFERROR(__xludf.DUMMYFUNCTION("""COMPUTED_VALUE"""),60614.28091999999)</f>
        <v>60614.28092</v>
      </c>
      <c r="G5495" s="22">
        <f>IFERROR(__xludf.DUMMYFUNCTION("""COMPUTED_VALUE"""),0.0)</f>
        <v>0</v>
      </c>
      <c r="H5495" s="22">
        <f>IFERROR(__xludf.DUMMYFUNCTION("""COMPUTED_VALUE"""),556912.3385600001)</f>
        <v>556912.3386</v>
      </c>
      <c r="I5495" s="24">
        <f>IFERROR(__xludf.DUMMYFUNCTION("""COMPUTED_VALUE"""),0.11382467712000022)</f>
        <v>0.1138246771</v>
      </c>
    </row>
    <row r="5496">
      <c r="A5496" s="5" t="str">
        <f>IFERROR(__xludf.DUMMYFUNCTION("""COMPUTED_VALUE"""),"75076")</f>
        <v>75076</v>
      </c>
      <c r="B5496" s="64">
        <f>IFERROR(__xludf.DUMMYFUNCTION("""COMPUTED_VALUE"""),44661.0)</f>
        <v>44661</v>
      </c>
      <c r="C5496" s="5"/>
      <c r="D5496" s="5"/>
      <c r="E5496" s="5"/>
      <c r="F5496" s="22">
        <f>IFERROR(__xludf.DUMMYFUNCTION("""COMPUTED_VALUE"""),60614.28091999999)</f>
        <v>60614.28092</v>
      </c>
      <c r="G5496" s="22">
        <f>IFERROR(__xludf.DUMMYFUNCTION("""COMPUTED_VALUE"""),0.0)</f>
        <v>0</v>
      </c>
      <c r="H5496" s="22">
        <f>IFERROR(__xludf.DUMMYFUNCTION("""COMPUTED_VALUE"""),556912.3385600001)</f>
        <v>556912.3386</v>
      </c>
      <c r="I5496" s="24">
        <f>IFERROR(__xludf.DUMMYFUNCTION("""COMPUTED_VALUE"""),0.11382467712000022)</f>
        <v>0.1138246771</v>
      </c>
    </row>
    <row r="5497">
      <c r="A5497" s="5" t="str">
        <f>IFERROR(__xludf.DUMMYFUNCTION("""COMPUTED_VALUE"""),"75076")</f>
        <v>75076</v>
      </c>
      <c r="B5497" s="64">
        <f>IFERROR(__xludf.DUMMYFUNCTION("""COMPUTED_VALUE"""),44662.0)</f>
        <v>44662</v>
      </c>
      <c r="C5497" s="5"/>
      <c r="D5497" s="5"/>
      <c r="E5497" s="5"/>
      <c r="F5497" s="22">
        <f>IFERROR(__xludf.DUMMYFUNCTION("""COMPUTED_VALUE"""),60614.28091999999)</f>
        <v>60614.28092</v>
      </c>
      <c r="G5497" s="22">
        <f>IFERROR(__xludf.DUMMYFUNCTION("""COMPUTED_VALUE"""),0.0)</f>
        <v>0</v>
      </c>
      <c r="H5497" s="22">
        <f>IFERROR(__xludf.DUMMYFUNCTION("""COMPUTED_VALUE"""),541997.8112400001)</f>
        <v>541997.8112</v>
      </c>
      <c r="I5497" s="24">
        <f>IFERROR(__xludf.DUMMYFUNCTION("""COMPUTED_VALUE"""),0.08399562248000003)</f>
        <v>0.08399562248</v>
      </c>
    </row>
    <row r="5498">
      <c r="A5498" s="5" t="str">
        <f>IFERROR(__xludf.DUMMYFUNCTION("""COMPUTED_VALUE"""),"75076")</f>
        <v>75076</v>
      </c>
      <c r="B5498" s="64">
        <f>IFERROR(__xludf.DUMMYFUNCTION("""COMPUTED_VALUE"""),44663.0)</f>
        <v>44663</v>
      </c>
      <c r="C5498" s="5"/>
      <c r="D5498" s="5"/>
      <c r="E5498" s="5"/>
      <c r="F5498" s="22">
        <f>IFERROR(__xludf.DUMMYFUNCTION("""COMPUTED_VALUE"""),60614.28091999999)</f>
        <v>60614.28092</v>
      </c>
      <c r="G5498" s="22">
        <f>IFERROR(__xludf.DUMMYFUNCTION("""COMPUTED_VALUE"""),0.0)</f>
        <v>0</v>
      </c>
      <c r="H5498" s="22">
        <f>IFERROR(__xludf.DUMMYFUNCTION("""COMPUTED_VALUE"""),549985.50788)</f>
        <v>549985.5079</v>
      </c>
      <c r="I5498" s="24">
        <f>IFERROR(__xludf.DUMMYFUNCTION("""COMPUTED_VALUE"""),0.09997101576)</f>
        <v>0.09997101576</v>
      </c>
    </row>
    <row r="5499">
      <c r="A5499" s="5" t="str">
        <f>IFERROR(__xludf.DUMMYFUNCTION("""COMPUTED_VALUE"""),"75288")</f>
        <v>75288</v>
      </c>
      <c r="B5499" s="64">
        <f>IFERROR(__xludf.DUMMYFUNCTION("""COMPUTED_VALUE"""),44597.0)</f>
        <v>44597</v>
      </c>
      <c r="C5499" s="5"/>
      <c r="D5499" s="5"/>
      <c r="E5499" s="5"/>
      <c r="F5499" s="22">
        <f>IFERROR(__xludf.DUMMYFUNCTION("""COMPUTED_VALUE"""),500000.0)</f>
        <v>500000</v>
      </c>
      <c r="G5499" s="22">
        <f>IFERROR(__xludf.DUMMYFUNCTION("""COMPUTED_VALUE"""),0.0)</f>
        <v>0</v>
      </c>
      <c r="H5499" s="22">
        <f>IFERROR(__xludf.DUMMYFUNCTION("""COMPUTED_VALUE"""),500000.0)</f>
        <v>500000</v>
      </c>
      <c r="I5499" s="24">
        <f>IFERROR(__xludf.DUMMYFUNCTION("""COMPUTED_VALUE"""),0.0)</f>
        <v>0</v>
      </c>
    </row>
    <row r="5500">
      <c r="A5500" s="5" t="str">
        <f>IFERROR(__xludf.DUMMYFUNCTION("""COMPUTED_VALUE"""),"75288")</f>
        <v>75288</v>
      </c>
      <c r="B5500" s="64">
        <f>IFERROR(__xludf.DUMMYFUNCTION("""COMPUTED_VALUE"""),44598.0)</f>
        <v>44598</v>
      </c>
      <c r="C5500" s="5"/>
      <c r="D5500" s="5"/>
      <c r="E5500" s="5"/>
      <c r="F5500" s="22">
        <f>IFERROR(__xludf.DUMMYFUNCTION("""COMPUTED_VALUE"""),500000.0)</f>
        <v>500000</v>
      </c>
      <c r="G5500" s="22">
        <f>IFERROR(__xludf.DUMMYFUNCTION("""COMPUTED_VALUE"""),0.0)</f>
        <v>0</v>
      </c>
      <c r="H5500" s="22">
        <f>IFERROR(__xludf.DUMMYFUNCTION("""COMPUTED_VALUE"""),500000.0)</f>
        <v>500000</v>
      </c>
      <c r="I5500" s="24">
        <f>IFERROR(__xludf.DUMMYFUNCTION("""COMPUTED_VALUE"""),0.0)</f>
        <v>0</v>
      </c>
    </row>
    <row r="5501">
      <c r="A5501" s="5" t="str">
        <f>IFERROR(__xludf.DUMMYFUNCTION("""COMPUTED_VALUE"""),"75288")</f>
        <v>75288</v>
      </c>
      <c r="B5501" s="64">
        <f>IFERROR(__xludf.DUMMYFUNCTION("""COMPUTED_VALUE"""),44599.0)</f>
        <v>44599</v>
      </c>
      <c r="C5501" s="5"/>
      <c r="D5501" s="5"/>
      <c r="E5501" s="5"/>
      <c r="F5501" s="22">
        <f>IFERROR(__xludf.DUMMYFUNCTION("""COMPUTED_VALUE"""),500000.0)</f>
        <v>500000</v>
      </c>
      <c r="G5501" s="22">
        <f>IFERROR(__xludf.DUMMYFUNCTION("""COMPUTED_VALUE"""),0.0)</f>
        <v>0</v>
      </c>
      <c r="H5501" s="22">
        <f>IFERROR(__xludf.DUMMYFUNCTION("""COMPUTED_VALUE"""),500000.0)</f>
        <v>500000</v>
      </c>
      <c r="I5501" s="24">
        <f>IFERROR(__xludf.DUMMYFUNCTION("""COMPUTED_VALUE"""),0.0)</f>
        <v>0</v>
      </c>
    </row>
    <row r="5502">
      <c r="A5502" s="5" t="str">
        <f>IFERROR(__xludf.DUMMYFUNCTION("""COMPUTED_VALUE"""),"75288")</f>
        <v>75288</v>
      </c>
      <c r="B5502" s="64">
        <f>IFERROR(__xludf.DUMMYFUNCTION("""COMPUTED_VALUE"""),44600.0)</f>
        <v>44600</v>
      </c>
      <c r="C5502" s="5"/>
      <c r="D5502" s="5"/>
      <c r="E5502" s="5"/>
      <c r="F5502" s="22">
        <f>IFERROR(__xludf.DUMMYFUNCTION("""COMPUTED_VALUE"""),500000.0)</f>
        <v>500000</v>
      </c>
      <c r="G5502" s="22">
        <f>IFERROR(__xludf.DUMMYFUNCTION("""COMPUTED_VALUE"""),0.0)</f>
        <v>0</v>
      </c>
      <c r="H5502" s="22">
        <f>IFERROR(__xludf.DUMMYFUNCTION("""COMPUTED_VALUE"""),500000.0)</f>
        <v>500000</v>
      </c>
      <c r="I5502" s="24">
        <f>IFERROR(__xludf.DUMMYFUNCTION("""COMPUTED_VALUE"""),0.0)</f>
        <v>0</v>
      </c>
    </row>
    <row r="5503">
      <c r="A5503" s="5" t="str">
        <f>IFERROR(__xludf.DUMMYFUNCTION("""COMPUTED_VALUE"""),"75288")</f>
        <v>75288</v>
      </c>
      <c r="B5503" s="64">
        <f>IFERROR(__xludf.DUMMYFUNCTION("""COMPUTED_VALUE"""),44601.0)</f>
        <v>44601</v>
      </c>
      <c r="C5503" s="5"/>
      <c r="D5503" s="5"/>
      <c r="E5503" s="5"/>
      <c r="F5503" s="22">
        <f>IFERROR(__xludf.DUMMYFUNCTION("""COMPUTED_VALUE"""),500000.0)</f>
        <v>500000</v>
      </c>
      <c r="G5503" s="22">
        <f>IFERROR(__xludf.DUMMYFUNCTION("""COMPUTED_VALUE"""),0.0)</f>
        <v>0</v>
      </c>
      <c r="H5503" s="22">
        <f>IFERROR(__xludf.DUMMYFUNCTION("""COMPUTED_VALUE"""),500000.0)</f>
        <v>500000</v>
      </c>
      <c r="I5503" s="24">
        <f>IFERROR(__xludf.DUMMYFUNCTION("""COMPUTED_VALUE"""),0.0)</f>
        <v>0</v>
      </c>
    </row>
    <row r="5504">
      <c r="A5504" s="5" t="str">
        <f>IFERROR(__xludf.DUMMYFUNCTION("""COMPUTED_VALUE"""),"75288")</f>
        <v>75288</v>
      </c>
      <c r="B5504" s="64">
        <f>IFERROR(__xludf.DUMMYFUNCTION("""COMPUTED_VALUE"""),44602.0)</f>
        <v>44602</v>
      </c>
      <c r="C5504" s="5"/>
      <c r="D5504" s="5"/>
      <c r="E5504" s="5"/>
      <c r="F5504" s="22">
        <f>IFERROR(__xludf.DUMMYFUNCTION("""COMPUTED_VALUE"""),500000.0)</f>
        <v>500000</v>
      </c>
      <c r="G5504" s="22">
        <f>IFERROR(__xludf.DUMMYFUNCTION("""COMPUTED_VALUE"""),0.0)</f>
        <v>0</v>
      </c>
      <c r="H5504" s="22">
        <f>IFERROR(__xludf.DUMMYFUNCTION("""COMPUTED_VALUE"""),500000.0)</f>
        <v>500000</v>
      </c>
      <c r="I5504" s="24">
        <f>IFERROR(__xludf.DUMMYFUNCTION("""COMPUTED_VALUE"""),0.0)</f>
        <v>0</v>
      </c>
    </row>
    <row r="5505">
      <c r="A5505" s="5" t="str">
        <f>IFERROR(__xludf.DUMMYFUNCTION("""COMPUTED_VALUE"""),"75288")</f>
        <v>75288</v>
      </c>
      <c r="B5505" s="64">
        <f>IFERROR(__xludf.DUMMYFUNCTION("""COMPUTED_VALUE"""),44603.0)</f>
        <v>44603</v>
      </c>
      <c r="C5505" s="5"/>
      <c r="D5505" s="5"/>
      <c r="E5505" s="5"/>
      <c r="F5505" s="22">
        <f>IFERROR(__xludf.DUMMYFUNCTION("""COMPUTED_VALUE"""),500000.0)</f>
        <v>500000</v>
      </c>
      <c r="G5505" s="22">
        <f>IFERROR(__xludf.DUMMYFUNCTION("""COMPUTED_VALUE"""),0.0)</f>
        <v>0</v>
      </c>
      <c r="H5505" s="22">
        <f>IFERROR(__xludf.DUMMYFUNCTION("""COMPUTED_VALUE"""),500000.0)</f>
        <v>500000</v>
      </c>
      <c r="I5505" s="24">
        <f>IFERROR(__xludf.DUMMYFUNCTION("""COMPUTED_VALUE"""),0.0)</f>
        <v>0</v>
      </c>
    </row>
    <row r="5506">
      <c r="A5506" s="5" t="str">
        <f>IFERROR(__xludf.DUMMYFUNCTION("""COMPUTED_VALUE"""),"75288")</f>
        <v>75288</v>
      </c>
      <c r="B5506" s="64">
        <f>IFERROR(__xludf.DUMMYFUNCTION("""COMPUTED_VALUE"""),44604.0)</f>
        <v>44604</v>
      </c>
      <c r="C5506" s="5"/>
      <c r="D5506" s="5"/>
      <c r="E5506" s="5"/>
      <c r="F5506" s="22">
        <f>IFERROR(__xludf.DUMMYFUNCTION("""COMPUTED_VALUE"""),500000.0)</f>
        <v>500000</v>
      </c>
      <c r="G5506" s="22">
        <f>IFERROR(__xludf.DUMMYFUNCTION("""COMPUTED_VALUE"""),0.0)</f>
        <v>0</v>
      </c>
      <c r="H5506" s="22">
        <f>IFERROR(__xludf.DUMMYFUNCTION("""COMPUTED_VALUE"""),500000.0)</f>
        <v>500000</v>
      </c>
      <c r="I5506" s="24">
        <f>IFERROR(__xludf.DUMMYFUNCTION("""COMPUTED_VALUE"""),0.0)</f>
        <v>0</v>
      </c>
    </row>
    <row r="5507">
      <c r="A5507" s="5" t="str">
        <f>IFERROR(__xludf.DUMMYFUNCTION("""COMPUTED_VALUE"""),"75288")</f>
        <v>75288</v>
      </c>
      <c r="B5507" s="64">
        <f>IFERROR(__xludf.DUMMYFUNCTION("""COMPUTED_VALUE"""),44605.0)</f>
        <v>44605</v>
      </c>
      <c r="C5507" s="5"/>
      <c r="D5507" s="5"/>
      <c r="E5507" s="5"/>
      <c r="F5507" s="22">
        <f>IFERROR(__xludf.DUMMYFUNCTION("""COMPUTED_VALUE"""),500000.0)</f>
        <v>500000</v>
      </c>
      <c r="G5507" s="22">
        <f>IFERROR(__xludf.DUMMYFUNCTION("""COMPUTED_VALUE"""),0.0)</f>
        <v>0</v>
      </c>
      <c r="H5507" s="22">
        <f>IFERROR(__xludf.DUMMYFUNCTION("""COMPUTED_VALUE"""),500000.0)</f>
        <v>500000</v>
      </c>
      <c r="I5507" s="24">
        <f>IFERROR(__xludf.DUMMYFUNCTION("""COMPUTED_VALUE"""),0.0)</f>
        <v>0</v>
      </c>
    </row>
    <row r="5508">
      <c r="A5508" s="5" t="str">
        <f>IFERROR(__xludf.DUMMYFUNCTION("""COMPUTED_VALUE"""),"75288")</f>
        <v>75288</v>
      </c>
      <c r="B5508" s="64">
        <f>IFERROR(__xludf.DUMMYFUNCTION("""COMPUTED_VALUE"""),44606.0)</f>
        <v>44606</v>
      </c>
      <c r="C5508" s="5"/>
      <c r="D5508" s="5"/>
      <c r="E5508" s="5"/>
      <c r="F5508" s="22">
        <f>IFERROR(__xludf.DUMMYFUNCTION("""COMPUTED_VALUE"""),500000.0)</f>
        <v>500000</v>
      </c>
      <c r="G5508" s="22">
        <f>IFERROR(__xludf.DUMMYFUNCTION("""COMPUTED_VALUE"""),0.0)</f>
        <v>0</v>
      </c>
      <c r="H5508" s="22">
        <f>IFERROR(__xludf.DUMMYFUNCTION("""COMPUTED_VALUE"""),500000.0)</f>
        <v>500000</v>
      </c>
      <c r="I5508" s="24">
        <f>IFERROR(__xludf.DUMMYFUNCTION("""COMPUTED_VALUE"""),0.0)</f>
        <v>0</v>
      </c>
    </row>
    <row r="5509">
      <c r="A5509" s="5" t="str">
        <f>IFERROR(__xludf.DUMMYFUNCTION("""COMPUTED_VALUE"""),"75288")</f>
        <v>75288</v>
      </c>
      <c r="B5509" s="64">
        <f>IFERROR(__xludf.DUMMYFUNCTION("""COMPUTED_VALUE"""),44607.0)</f>
        <v>44607</v>
      </c>
      <c r="C5509" s="5"/>
      <c r="D5509" s="5"/>
      <c r="E5509" s="5"/>
      <c r="F5509" s="22">
        <f>IFERROR(__xludf.DUMMYFUNCTION("""COMPUTED_VALUE"""),500000.0)</f>
        <v>500000</v>
      </c>
      <c r="G5509" s="22">
        <f>IFERROR(__xludf.DUMMYFUNCTION("""COMPUTED_VALUE"""),0.0)</f>
        <v>0</v>
      </c>
      <c r="H5509" s="22">
        <f>IFERROR(__xludf.DUMMYFUNCTION("""COMPUTED_VALUE"""),500000.0)</f>
        <v>500000</v>
      </c>
      <c r="I5509" s="24">
        <f>IFERROR(__xludf.DUMMYFUNCTION("""COMPUTED_VALUE"""),0.0)</f>
        <v>0</v>
      </c>
    </row>
    <row r="5510">
      <c r="A5510" s="5" t="str">
        <f>IFERROR(__xludf.DUMMYFUNCTION("""COMPUTED_VALUE"""),"75288")</f>
        <v>75288</v>
      </c>
      <c r="B5510" s="64">
        <f>IFERROR(__xludf.DUMMYFUNCTION("""COMPUTED_VALUE"""),44608.0)</f>
        <v>44608</v>
      </c>
      <c r="C5510" s="5"/>
      <c r="D5510" s="5"/>
      <c r="E5510" s="5"/>
      <c r="F5510" s="22">
        <f>IFERROR(__xludf.DUMMYFUNCTION("""COMPUTED_VALUE"""),500000.0)</f>
        <v>500000</v>
      </c>
      <c r="G5510" s="22">
        <f>IFERROR(__xludf.DUMMYFUNCTION("""COMPUTED_VALUE"""),0.0)</f>
        <v>0</v>
      </c>
      <c r="H5510" s="22">
        <f>IFERROR(__xludf.DUMMYFUNCTION("""COMPUTED_VALUE"""),500000.0)</f>
        <v>500000</v>
      </c>
      <c r="I5510" s="24">
        <f>IFERROR(__xludf.DUMMYFUNCTION("""COMPUTED_VALUE"""),0.0)</f>
        <v>0</v>
      </c>
    </row>
    <row r="5511">
      <c r="A5511" s="5" t="str">
        <f>IFERROR(__xludf.DUMMYFUNCTION("""COMPUTED_VALUE"""),"75288")</f>
        <v>75288</v>
      </c>
      <c r="B5511" s="64">
        <f>IFERROR(__xludf.DUMMYFUNCTION("""COMPUTED_VALUE"""),44609.0)</f>
        <v>44609</v>
      </c>
      <c r="C5511" s="5"/>
      <c r="D5511" s="5"/>
      <c r="E5511" s="5"/>
      <c r="F5511" s="22">
        <f>IFERROR(__xludf.DUMMYFUNCTION("""COMPUTED_VALUE"""),500000.0)</f>
        <v>500000</v>
      </c>
      <c r="G5511" s="22">
        <f>IFERROR(__xludf.DUMMYFUNCTION("""COMPUTED_VALUE"""),0.0)</f>
        <v>0</v>
      </c>
      <c r="H5511" s="22">
        <f>IFERROR(__xludf.DUMMYFUNCTION("""COMPUTED_VALUE"""),500000.0)</f>
        <v>500000</v>
      </c>
      <c r="I5511" s="24">
        <f>IFERROR(__xludf.DUMMYFUNCTION("""COMPUTED_VALUE"""),0.0)</f>
        <v>0</v>
      </c>
    </row>
    <row r="5512">
      <c r="A5512" s="5" t="str">
        <f>IFERROR(__xludf.DUMMYFUNCTION("""COMPUTED_VALUE"""),"75288")</f>
        <v>75288</v>
      </c>
      <c r="B5512" s="64">
        <f>IFERROR(__xludf.DUMMYFUNCTION("""COMPUTED_VALUE"""),44610.0)</f>
        <v>44610</v>
      </c>
      <c r="C5512" s="5"/>
      <c r="D5512" s="5"/>
      <c r="E5512" s="5"/>
      <c r="F5512" s="22">
        <f>IFERROR(__xludf.DUMMYFUNCTION("""COMPUTED_VALUE"""),500000.0)</f>
        <v>500000</v>
      </c>
      <c r="G5512" s="22">
        <f>IFERROR(__xludf.DUMMYFUNCTION("""COMPUTED_VALUE"""),0.0)</f>
        <v>0</v>
      </c>
      <c r="H5512" s="22">
        <f>IFERROR(__xludf.DUMMYFUNCTION("""COMPUTED_VALUE"""),498110.0)</f>
        <v>498110</v>
      </c>
      <c r="I5512" s="24">
        <f>IFERROR(__xludf.DUMMYFUNCTION("""COMPUTED_VALUE"""),-0.0037800000000000056)</f>
        <v>-0.00378</v>
      </c>
    </row>
    <row r="5513">
      <c r="A5513" s="5" t="str">
        <f>IFERROR(__xludf.DUMMYFUNCTION("""COMPUTED_VALUE"""),"75288")</f>
        <v>75288</v>
      </c>
      <c r="B5513" s="64">
        <f>IFERROR(__xludf.DUMMYFUNCTION("""COMPUTED_VALUE"""),44611.0)</f>
        <v>44611</v>
      </c>
      <c r="C5513" s="5"/>
      <c r="D5513" s="5"/>
      <c r="E5513" s="5"/>
      <c r="F5513" s="22">
        <f>IFERROR(__xludf.DUMMYFUNCTION("""COMPUTED_VALUE"""),500000.0)</f>
        <v>500000</v>
      </c>
      <c r="G5513" s="22">
        <f>IFERROR(__xludf.DUMMYFUNCTION("""COMPUTED_VALUE"""),0.0)</f>
        <v>0</v>
      </c>
      <c r="H5513" s="22">
        <f>IFERROR(__xludf.DUMMYFUNCTION("""COMPUTED_VALUE"""),498110.0)</f>
        <v>498110</v>
      </c>
      <c r="I5513" s="24">
        <f>IFERROR(__xludf.DUMMYFUNCTION("""COMPUTED_VALUE"""),-0.0037800000000000056)</f>
        <v>-0.00378</v>
      </c>
    </row>
    <row r="5514">
      <c r="A5514" s="5" t="str">
        <f>IFERROR(__xludf.DUMMYFUNCTION("""COMPUTED_VALUE"""),"75288")</f>
        <v>75288</v>
      </c>
      <c r="B5514" s="64">
        <f>IFERROR(__xludf.DUMMYFUNCTION("""COMPUTED_VALUE"""),44612.0)</f>
        <v>44612</v>
      </c>
      <c r="C5514" s="5"/>
      <c r="D5514" s="5"/>
      <c r="E5514" s="5"/>
      <c r="F5514" s="22">
        <f>IFERROR(__xludf.DUMMYFUNCTION("""COMPUTED_VALUE"""),500000.0)</f>
        <v>500000</v>
      </c>
      <c r="G5514" s="22">
        <f>IFERROR(__xludf.DUMMYFUNCTION("""COMPUTED_VALUE"""),0.0)</f>
        <v>0</v>
      </c>
      <c r="H5514" s="22">
        <f>IFERROR(__xludf.DUMMYFUNCTION("""COMPUTED_VALUE"""),498110.0)</f>
        <v>498110</v>
      </c>
      <c r="I5514" s="24">
        <f>IFERROR(__xludf.DUMMYFUNCTION("""COMPUTED_VALUE"""),-0.0037800000000000056)</f>
        <v>-0.00378</v>
      </c>
    </row>
    <row r="5515">
      <c r="A5515" s="5" t="str">
        <f>IFERROR(__xludf.DUMMYFUNCTION("""COMPUTED_VALUE"""),"75288")</f>
        <v>75288</v>
      </c>
      <c r="B5515" s="64">
        <f>IFERROR(__xludf.DUMMYFUNCTION("""COMPUTED_VALUE"""),44613.0)</f>
        <v>44613</v>
      </c>
      <c r="C5515" s="5"/>
      <c r="D5515" s="5"/>
      <c r="E5515" s="5"/>
      <c r="F5515" s="22">
        <f>IFERROR(__xludf.DUMMYFUNCTION("""COMPUTED_VALUE"""),500000.0)</f>
        <v>500000</v>
      </c>
      <c r="G5515" s="22">
        <f>IFERROR(__xludf.DUMMYFUNCTION("""COMPUTED_VALUE"""),0.0)</f>
        <v>0</v>
      </c>
      <c r="H5515" s="22">
        <f>IFERROR(__xludf.DUMMYFUNCTION("""COMPUTED_VALUE"""),492944.0)</f>
        <v>492944</v>
      </c>
      <c r="I5515" s="24">
        <f>IFERROR(__xludf.DUMMYFUNCTION("""COMPUTED_VALUE"""),-0.014112000000000013)</f>
        <v>-0.014112</v>
      </c>
    </row>
    <row r="5516">
      <c r="A5516" s="5" t="str">
        <f>IFERROR(__xludf.DUMMYFUNCTION("""COMPUTED_VALUE"""),"75288")</f>
        <v>75288</v>
      </c>
      <c r="B5516" s="64">
        <f>IFERROR(__xludf.DUMMYFUNCTION("""COMPUTED_VALUE"""),44614.0)</f>
        <v>44614</v>
      </c>
      <c r="C5516" s="5"/>
      <c r="D5516" s="5"/>
      <c r="E5516" s="5"/>
      <c r="F5516" s="22">
        <f>IFERROR(__xludf.DUMMYFUNCTION("""COMPUTED_VALUE"""),500000.0)</f>
        <v>500000</v>
      </c>
      <c r="G5516" s="22">
        <f>IFERROR(__xludf.DUMMYFUNCTION("""COMPUTED_VALUE"""),0.0)</f>
        <v>0</v>
      </c>
      <c r="H5516" s="22">
        <f>IFERROR(__xludf.DUMMYFUNCTION("""COMPUTED_VALUE"""),492818.0)</f>
        <v>492818</v>
      </c>
      <c r="I5516" s="24">
        <f>IFERROR(__xludf.DUMMYFUNCTION("""COMPUTED_VALUE"""),-0.014364000000000043)</f>
        <v>-0.014364</v>
      </c>
    </row>
    <row r="5517">
      <c r="A5517" s="5" t="str">
        <f>IFERROR(__xludf.DUMMYFUNCTION("""COMPUTED_VALUE"""),"75288")</f>
        <v>75288</v>
      </c>
      <c r="B5517" s="64">
        <f>IFERROR(__xludf.DUMMYFUNCTION("""COMPUTED_VALUE"""),44615.0)</f>
        <v>44615</v>
      </c>
      <c r="C5517" s="5"/>
      <c r="D5517" s="5"/>
      <c r="E5517" s="5"/>
      <c r="F5517" s="22">
        <f>IFERROR(__xludf.DUMMYFUNCTION("""COMPUTED_VALUE"""),500000.0)</f>
        <v>500000</v>
      </c>
      <c r="G5517" s="22">
        <f>IFERROR(__xludf.DUMMYFUNCTION("""COMPUTED_VALUE"""),0.0)</f>
        <v>0</v>
      </c>
      <c r="H5517" s="22">
        <f>IFERROR(__xludf.DUMMYFUNCTION("""COMPUTED_VALUE"""),492860.0)</f>
        <v>492860</v>
      </c>
      <c r="I5517" s="24">
        <f>IFERROR(__xludf.DUMMYFUNCTION("""COMPUTED_VALUE"""),-0.01427999999999996)</f>
        <v>-0.01428</v>
      </c>
    </row>
    <row r="5518">
      <c r="A5518" s="5" t="str">
        <f>IFERROR(__xludf.DUMMYFUNCTION("""COMPUTED_VALUE"""),"75288")</f>
        <v>75288</v>
      </c>
      <c r="B5518" s="64">
        <f>IFERROR(__xludf.DUMMYFUNCTION("""COMPUTED_VALUE"""),44616.0)</f>
        <v>44616</v>
      </c>
      <c r="C5518" s="5"/>
      <c r="D5518" s="5"/>
      <c r="E5518" s="5"/>
      <c r="F5518" s="22">
        <f>IFERROR(__xludf.DUMMYFUNCTION("""COMPUTED_VALUE"""),500000.0)</f>
        <v>500000</v>
      </c>
      <c r="G5518" s="22">
        <f>IFERROR(__xludf.DUMMYFUNCTION("""COMPUTED_VALUE"""),0.0)</f>
        <v>0</v>
      </c>
      <c r="H5518" s="22">
        <f>IFERROR(__xludf.DUMMYFUNCTION("""COMPUTED_VALUE"""),489248.0)</f>
        <v>489248</v>
      </c>
      <c r="I5518" s="24">
        <f>IFERROR(__xludf.DUMMYFUNCTION("""COMPUTED_VALUE"""),-0.021503999999999968)</f>
        <v>-0.021504</v>
      </c>
    </row>
    <row r="5519">
      <c r="A5519" s="5" t="str">
        <f>IFERROR(__xludf.DUMMYFUNCTION("""COMPUTED_VALUE"""),"75288")</f>
        <v>75288</v>
      </c>
      <c r="B5519" s="64">
        <f>IFERROR(__xludf.DUMMYFUNCTION("""COMPUTED_VALUE"""),44617.0)</f>
        <v>44617</v>
      </c>
      <c r="C5519" s="5"/>
      <c r="D5519" s="5"/>
      <c r="E5519" s="5"/>
      <c r="F5519" s="22">
        <f>IFERROR(__xludf.DUMMYFUNCTION("""COMPUTED_VALUE"""),500000.0)</f>
        <v>500000</v>
      </c>
      <c r="G5519" s="22">
        <f>IFERROR(__xludf.DUMMYFUNCTION("""COMPUTED_VALUE"""),0.0)</f>
        <v>0</v>
      </c>
      <c r="H5519" s="22">
        <f>IFERROR(__xludf.DUMMYFUNCTION("""COMPUTED_VALUE"""),488450.0)</f>
        <v>488450</v>
      </c>
      <c r="I5519" s="24">
        <f>IFERROR(__xludf.DUMMYFUNCTION("""COMPUTED_VALUE"""),-0.02310000000000001)</f>
        <v>-0.0231</v>
      </c>
    </row>
    <row r="5520">
      <c r="A5520" s="5" t="str">
        <f>IFERROR(__xludf.DUMMYFUNCTION("""COMPUTED_VALUE"""),"75288")</f>
        <v>75288</v>
      </c>
      <c r="B5520" s="64">
        <f>IFERROR(__xludf.DUMMYFUNCTION("""COMPUTED_VALUE"""),44618.0)</f>
        <v>44618</v>
      </c>
      <c r="C5520" s="5"/>
      <c r="D5520" s="5"/>
      <c r="E5520" s="5"/>
      <c r="F5520" s="22">
        <f>IFERROR(__xludf.DUMMYFUNCTION("""COMPUTED_VALUE"""),500000.0)</f>
        <v>500000</v>
      </c>
      <c r="G5520" s="22">
        <f>IFERROR(__xludf.DUMMYFUNCTION("""COMPUTED_VALUE"""),0.0)</f>
        <v>0</v>
      </c>
      <c r="H5520" s="22">
        <f>IFERROR(__xludf.DUMMYFUNCTION("""COMPUTED_VALUE"""),488450.0)</f>
        <v>488450</v>
      </c>
      <c r="I5520" s="24">
        <f>IFERROR(__xludf.DUMMYFUNCTION("""COMPUTED_VALUE"""),-0.02310000000000001)</f>
        <v>-0.0231</v>
      </c>
    </row>
    <row r="5521">
      <c r="A5521" s="5" t="str">
        <f>IFERROR(__xludf.DUMMYFUNCTION("""COMPUTED_VALUE"""),"75288")</f>
        <v>75288</v>
      </c>
      <c r="B5521" s="64">
        <f>IFERROR(__xludf.DUMMYFUNCTION("""COMPUTED_VALUE"""),44619.0)</f>
        <v>44619</v>
      </c>
      <c r="C5521" s="5"/>
      <c r="D5521" s="5"/>
      <c r="E5521" s="5"/>
      <c r="F5521" s="22">
        <f>IFERROR(__xludf.DUMMYFUNCTION("""COMPUTED_VALUE"""),500000.0)</f>
        <v>500000</v>
      </c>
      <c r="G5521" s="22">
        <f>IFERROR(__xludf.DUMMYFUNCTION("""COMPUTED_VALUE"""),0.0)</f>
        <v>0</v>
      </c>
      <c r="H5521" s="22">
        <f>IFERROR(__xludf.DUMMYFUNCTION("""COMPUTED_VALUE"""),488450.0)</f>
        <v>488450</v>
      </c>
      <c r="I5521" s="24">
        <f>IFERROR(__xludf.DUMMYFUNCTION("""COMPUTED_VALUE"""),-0.02310000000000001)</f>
        <v>-0.0231</v>
      </c>
    </row>
    <row r="5522">
      <c r="A5522" s="5" t="str">
        <f>IFERROR(__xludf.DUMMYFUNCTION("""COMPUTED_VALUE"""),"75288")</f>
        <v>75288</v>
      </c>
      <c r="B5522" s="64">
        <f>IFERROR(__xludf.DUMMYFUNCTION("""COMPUTED_VALUE"""),44620.0)</f>
        <v>44620</v>
      </c>
      <c r="C5522" s="5"/>
      <c r="D5522" s="5"/>
      <c r="E5522" s="5"/>
      <c r="F5522" s="22">
        <f>IFERROR(__xludf.DUMMYFUNCTION("""COMPUTED_VALUE"""),500000.0)</f>
        <v>500000</v>
      </c>
      <c r="G5522" s="22">
        <f>IFERROR(__xludf.DUMMYFUNCTION("""COMPUTED_VALUE"""),0.0)</f>
        <v>0</v>
      </c>
      <c r="H5522" s="22">
        <f>IFERROR(__xludf.DUMMYFUNCTION("""COMPUTED_VALUE"""),487862.0)</f>
        <v>487862</v>
      </c>
      <c r="I5522" s="24">
        <f>IFERROR(__xludf.DUMMYFUNCTION("""COMPUTED_VALUE"""),-0.024275999999999964)</f>
        <v>-0.024276</v>
      </c>
    </row>
    <row r="5523">
      <c r="A5523" s="5" t="str">
        <f>IFERROR(__xludf.DUMMYFUNCTION("""COMPUTED_VALUE"""),"75288")</f>
        <v>75288</v>
      </c>
      <c r="B5523" s="64">
        <f>IFERROR(__xludf.DUMMYFUNCTION("""COMPUTED_VALUE"""),44621.0)</f>
        <v>44621</v>
      </c>
      <c r="C5523" s="5"/>
      <c r="D5523" s="5"/>
      <c r="E5523" s="5"/>
      <c r="F5523" s="22">
        <f>IFERROR(__xludf.DUMMYFUNCTION("""COMPUTED_VALUE"""),500000.0)</f>
        <v>500000</v>
      </c>
      <c r="G5523" s="22">
        <f>IFERROR(__xludf.DUMMYFUNCTION("""COMPUTED_VALUE"""),0.0)</f>
        <v>0</v>
      </c>
      <c r="H5523" s="22">
        <f>IFERROR(__xludf.DUMMYFUNCTION("""COMPUTED_VALUE"""),489920.0)</f>
        <v>489920</v>
      </c>
      <c r="I5523" s="24">
        <f>IFERROR(__xludf.DUMMYFUNCTION("""COMPUTED_VALUE"""),-0.020159999999999956)</f>
        <v>-0.02016</v>
      </c>
    </row>
    <row r="5524">
      <c r="A5524" s="5" t="str">
        <f>IFERROR(__xludf.DUMMYFUNCTION("""COMPUTED_VALUE"""),"75288")</f>
        <v>75288</v>
      </c>
      <c r="B5524" s="64">
        <f>IFERROR(__xludf.DUMMYFUNCTION("""COMPUTED_VALUE"""),44622.0)</f>
        <v>44622</v>
      </c>
      <c r="C5524" s="5"/>
      <c r="D5524" s="5"/>
      <c r="E5524" s="5"/>
      <c r="F5524" s="22">
        <f>IFERROR(__xludf.DUMMYFUNCTION("""COMPUTED_VALUE"""),500000.0)</f>
        <v>500000</v>
      </c>
      <c r="G5524" s="22">
        <f>IFERROR(__xludf.DUMMYFUNCTION("""COMPUTED_VALUE"""),0.0)</f>
        <v>0</v>
      </c>
      <c r="H5524" s="22">
        <f>IFERROR(__xludf.DUMMYFUNCTION("""COMPUTED_VALUE"""),488324.0)</f>
        <v>488324</v>
      </c>
      <c r="I5524" s="24">
        <f>IFERROR(__xludf.DUMMYFUNCTION("""COMPUTED_VALUE"""),-0.02335200000000004)</f>
        <v>-0.023352</v>
      </c>
    </row>
    <row r="5525">
      <c r="A5525" s="5" t="str">
        <f>IFERROR(__xludf.DUMMYFUNCTION("""COMPUTED_VALUE"""),"75288")</f>
        <v>75288</v>
      </c>
      <c r="B5525" s="64">
        <f>IFERROR(__xludf.DUMMYFUNCTION("""COMPUTED_VALUE"""),44623.0)</f>
        <v>44623</v>
      </c>
      <c r="C5525" s="5"/>
      <c r="D5525" s="5"/>
      <c r="E5525" s="5"/>
      <c r="F5525" s="22">
        <f>IFERROR(__xludf.DUMMYFUNCTION("""COMPUTED_VALUE"""),500000.0)</f>
        <v>500000</v>
      </c>
      <c r="G5525" s="22">
        <f>IFERROR(__xludf.DUMMYFUNCTION("""COMPUTED_VALUE"""),0.0)</f>
        <v>0</v>
      </c>
      <c r="H5525" s="22">
        <f>IFERROR(__xludf.DUMMYFUNCTION("""COMPUTED_VALUE"""),487358.0)</f>
        <v>487358</v>
      </c>
      <c r="I5525" s="24">
        <f>IFERROR(__xludf.DUMMYFUNCTION("""COMPUTED_VALUE"""),-0.025283999999999973)</f>
        <v>-0.025284</v>
      </c>
    </row>
    <row r="5526">
      <c r="A5526" s="5" t="str">
        <f>IFERROR(__xludf.DUMMYFUNCTION("""COMPUTED_VALUE"""),"75288")</f>
        <v>75288</v>
      </c>
      <c r="B5526" s="64">
        <f>IFERROR(__xludf.DUMMYFUNCTION("""COMPUTED_VALUE"""),44624.0)</f>
        <v>44624</v>
      </c>
      <c r="C5526" s="5"/>
      <c r="D5526" s="5"/>
      <c r="E5526" s="5"/>
      <c r="F5526" s="22">
        <f>IFERROR(__xludf.DUMMYFUNCTION("""COMPUTED_VALUE"""),500000.0)</f>
        <v>500000</v>
      </c>
      <c r="G5526" s="22">
        <f>IFERROR(__xludf.DUMMYFUNCTION("""COMPUTED_VALUE"""),0.0)</f>
        <v>0</v>
      </c>
      <c r="H5526" s="22">
        <f>IFERROR(__xludf.DUMMYFUNCTION("""COMPUTED_VALUE"""),484082.0)</f>
        <v>484082</v>
      </c>
      <c r="I5526" s="24">
        <f>IFERROR(__xludf.DUMMYFUNCTION("""COMPUTED_VALUE"""),-0.031835999999999975)</f>
        <v>-0.031836</v>
      </c>
    </row>
    <row r="5527">
      <c r="A5527" s="5" t="str">
        <f>IFERROR(__xludf.DUMMYFUNCTION("""COMPUTED_VALUE"""),"75288")</f>
        <v>75288</v>
      </c>
      <c r="B5527" s="64">
        <f>IFERROR(__xludf.DUMMYFUNCTION("""COMPUTED_VALUE"""),44625.0)</f>
        <v>44625</v>
      </c>
      <c r="C5527" s="5"/>
      <c r="D5527" s="5"/>
      <c r="E5527" s="5"/>
      <c r="F5527" s="22">
        <f>IFERROR(__xludf.DUMMYFUNCTION("""COMPUTED_VALUE"""),500000.0)</f>
        <v>500000</v>
      </c>
      <c r="G5527" s="22">
        <f>IFERROR(__xludf.DUMMYFUNCTION("""COMPUTED_VALUE"""),0.0)</f>
        <v>0</v>
      </c>
      <c r="H5527" s="22">
        <f>IFERROR(__xludf.DUMMYFUNCTION("""COMPUTED_VALUE"""),484082.0)</f>
        <v>484082</v>
      </c>
      <c r="I5527" s="24">
        <f>IFERROR(__xludf.DUMMYFUNCTION("""COMPUTED_VALUE"""),-0.031835999999999975)</f>
        <v>-0.031836</v>
      </c>
    </row>
    <row r="5528">
      <c r="A5528" s="5" t="str">
        <f>IFERROR(__xludf.DUMMYFUNCTION("""COMPUTED_VALUE"""),"75288")</f>
        <v>75288</v>
      </c>
      <c r="B5528" s="64">
        <f>IFERROR(__xludf.DUMMYFUNCTION("""COMPUTED_VALUE"""),44626.0)</f>
        <v>44626</v>
      </c>
      <c r="C5528" s="5"/>
      <c r="D5528" s="5"/>
      <c r="E5528" s="5"/>
      <c r="F5528" s="22">
        <f>IFERROR(__xludf.DUMMYFUNCTION("""COMPUTED_VALUE"""),500000.0)</f>
        <v>500000</v>
      </c>
      <c r="G5528" s="22">
        <f>IFERROR(__xludf.DUMMYFUNCTION("""COMPUTED_VALUE"""),0.0)</f>
        <v>0</v>
      </c>
      <c r="H5528" s="22">
        <f>IFERROR(__xludf.DUMMYFUNCTION("""COMPUTED_VALUE"""),484082.0)</f>
        <v>484082</v>
      </c>
      <c r="I5528" s="24">
        <f>IFERROR(__xludf.DUMMYFUNCTION("""COMPUTED_VALUE"""),-0.031835999999999975)</f>
        <v>-0.031836</v>
      </c>
    </row>
    <row r="5529">
      <c r="A5529" s="5" t="str">
        <f>IFERROR(__xludf.DUMMYFUNCTION("""COMPUTED_VALUE"""),"75288")</f>
        <v>75288</v>
      </c>
      <c r="B5529" s="64">
        <f>IFERROR(__xludf.DUMMYFUNCTION("""COMPUTED_VALUE"""),44627.0)</f>
        <v>44627</v>
      </c>
      <c r="C5529" s="5"/>
      <c r="D5529" s="5"/>
      <c r="E5529" s="5"/>
      <c r="F5529" s="22">
        <f>IFERROR(__xludf.DUMMYFUNCTION("""COMPUTED_VALUE"""),500000.0)</f>
        <v>500000</v>
      </c>
      <c r="G5529" s="22">
        <f>IFERROR(__xludf.DUMMYFUNCTION("""COMPUTED_VALUE"""),0.0)</f>
        <v>0</v>
      </c>
      <c r="H5529" s="22">
        <f>IFERROR(__xludf.DUMMYFUNCTION("""COMPUTED_VALUE"""),480890.0)</f>
        <v>480890</v>
      </c>
      <c r="I5529" s="24">
        <f>IFERROR(__xludf.DUMMYFUNCTION("""COMPUTED_VALUE"""),-0.03822000000000003)</f>
        <v>-0.03822</v>
      </c>
    </row>
    <row r="5530">
      <c r="A5530" s="5" t="str">
        <f>IFERROR(__xludf.DUMMYFUNCTION("""COMPUTED_VALUE"""),"75288")</f>
        <v>75288</v>
      </c>
      <c r="B5530" s="64">
        <f>IFERROR(__xludf.DUMMYFUNCTION("""COMPUTED_VALUE"""),44628.0)</f>
        <v>44628</v>
      </c>
      <c r="C5530" s="5"/>
      <c r="D5530" s="5"/>
      <c r="E5530" s="5"/>
      <c r="F5530" s="22">
        <f>IFERROR(__xludf.DUMMYFUNCTION("""COMPUTED_VALUE"""),500000.0)</f>
        <v>500000</v>
      </c>
      <c r="G5530" s="22">
        <f>IFERROR(__xludf.DUMMYFUNCTION("""COMPUTED_VALUE"""),0.0)</f>
        <v>0</v>
      </c>
      <c r="H5530" s="22">
        <f>IFERROR(__xludf.DUMMYFUNCTION("""COMPUTED_VALUE"""),479882.0)</f>
        <v>479882</v>
      </c>
      <c r="I5530" s="24">
        <f>IFERROR(__xludf.DUMMYFUNCTION("""COMPUTED_VALUE"""),-0.04023600000000005)</f>
        <v>-0.040236</v>
      </c>
    </row>
    <row r="5531">
      <c r="A5531" s="5" t="str">
        <f>IFERROR(__xludf.DUMMYFUNCTION("""COMPUTED_VALUE"""),"75288")</f>
        <v>75288</v>
      </c>
      <c r="B5531" s="64">
        <f>IFERROR(__xludf.DUMMYFUNCTION("""COMPUTED_VALUE"""),44629.0)</f>
        <v>44629</v>
      </c>
      <c r="C5531" s="5"/>
      <c r="D5531" s="5"/>
      <c r="E5531" s="5"/>
      <c r="F5531" s="22">
        <f>IFERROR(__xludf.DUMMYFUNCTION("""COMPUTED_VALUE"""),500000.0)</f>
        <v>500000</v>
      </c>
      <c r="G5531" s="22">
        <f>IFERROR(__xludf.DUMMYFUNCTION("""COMPUTED_VALUE"""),0.0)</f>
        <v>0</v>
      </c>
      <c r="H5531" s="22">
        <f>IFERROR(__xludf.DUMMYFUNCTION("""COMPUTED_VALUE"""),480218.0)</f>
        <v>480218</v>
      </c>
      <c r="I5531" s="24">
        <f>IFERROR(__xludf.DUMMYFUNCTION("""COMPUTED_VALUE"""),-0.039564000000000044)</f>
        <v>-0.039564</v>
      </c>
    </row>
    <row r="5532">
      <c r="A5532" s="5" t="str">
        <f>IFERROR(__xludf.DUMMYFUNCTION("""COMPUTED_VALUE"""),"75288")</f>
        <v>75288</v>
      </c>
      <c r="B5532" s="64">
        <f>IFERROR(__xludf.DUMMYFUNCTION("""COMPUTED_VALUE"""),44630.0)</f>
        <v>44630</v>
      </c>
      <c r="C5532" s="5"/>
      <c r="D5532" s="5"/>
      <c r="E5532" s="5"/>
      <c r="F5532" s="22">
        <f>IFERROR(__xludf.DUMMYFUNCTION("""COMPUTED_VALUE"""),500000.0)</f>
        <v>500000</v>
      </c>
      <c r="G5532" s="22">
        <f>IFERROR(__xludf.DUMMYFUNCTION("""COMPUTED_VALUE"""),0.0)</f>
        <v>0</v>
      </c>
      <c r="H5532" s="22">
        <f>IFERROR(__xludf.DUMMYFUNCTION("""COMPUTED_VALUE"""),480260.0)</f>
        <v>480260</v>
      </c>
      <c r="I5532" s="24">
        <f>IFERROR(__xludf.DUMMYFUNCTION("""COMPUTED_VALUE"""),-0.03947999999999996)</f>
        <v>-0.03948</v>
      </c>
    </row>
    <row r="5533">
      <c r="A5533" s="5" t="str">
        <f>IFERROR(__xludf.DUMMYFUNCTION("""COMPUTED_VALUE"""),"75288")</f>
        <v>75288</v>
      </c>
      <c r="B5533" s="64">
        <f>IFERROR(__xludf.DUMMYFUNCTION("""COMPUTED_VALUE"""),44631.0)</f>
        <v>44631</v>
      </c>
      <c r="C5533" s="5"/>
      <c r="D5533" s="5"/>
      <c r="E5533" s="5"/>
      <c r="F5533" s="22">
        <f>IFERROR(__xludf.DUMMYFUNCTION("""COMPUTED_VALUE"""),500000.0)</f>
        <v>500000</v>
      </c>
      <c r="G5533" s="22">
        <f>IFERROR(__xludf.DUMMYFUNCTION("""COMPUTED_VALUE"""),0.0)</f>
        <v>0</v>
      </c>
      <c r="H5533" s="22">
        <f>IFERROR(__xludf.DUMMYFUNCTION("""COMPUTED_VALUE"""),476231.24)</f>
        <v>476231.24</v>
      </c>
      <c r="I5533" s="24">
        <f>IFERROR(__xludf.DUMMYFUNCTION("""COMPUTED_VALUE"""),-0.04753752)</f>
        <v>-0.04753752</v>
      </c>
    </row>
    <row r="5534">
      <c r="A5534" s="5" t="str">
        <f>IFERROR(__xludf.DUMMYFUNCTION("""COMPUTED_VALUE"""),"75288")</f>
        <v>75288</v>
      </c>
      <c r="B5534" s="64">
        <f>IFERROR(__xludf.DUMMYFUNCTION("""COMPUTED_VALUE"""),44632.0)</f>
        <v>44632</v>
      </c>
      <c r="C5534" s="5"/>
      <c r="D5534" s="5"/>
      <c r="E5534" s="5"/>
      <c r="F5534" s="22">
        <f>IFERROR(__xludf.DUMMYFUNCTION("""COMPUTED_VALUE"""),500000.0)</f>
        <v>500000</v>
      </c>
      <c r="G5534" s="22">
        <f>IFERROR(__xludf.DUMMYFUNCTION("""COMPUTED_VALUE"""),0.0)</f>
        <v>0</v>
      </c>
      <c r="H5534" s="22">
        <f>IFERROR(__xludf.DUMMYFUNCTION("""COMPUTED_VALUE"""),476231.24)</f>
        <v>476231.24</v>
      </c>
      <c r="I5534" s="24">
        <f>IFERROR(__xludf.DUMMYFUNCTION("""COMPUTED_VALUE"""),-0.04753752)</f>
        <v>-0.04753752</v>
      </c>
    </row>
    <row r="5535">
      <c r="A5535" s="5" t="str">
        <f>IFERROR(__xludf.DUMMYFUNCTION("""COMPUTED_VALUE"""),"75288")</f>
        <v>75288</v>
      </c>
      <c r="B5535" s="64">
        <f>IFERROR(__xludf.DUMMYFUNCTION("""COMPUTED_VALUE"""),44633.0)</f>
        <v>44633</v>
      </c>
      <c r="C5535" s="5"/>
      <c r="D5535" s="5"/>
      <c r="E5535" s="5"/>
      <c r="F5535" s="22">
        <f>IFERROR(__xludf.DUMMYFUNCTION("""COMPUTED_VALUE"""),500000.0)</f>
        <v>500000</v>
      </c>
      <c r="G5535" s="22">
        <f>IFERROR(__xludf.DUMMYFUNCTION("""COMPUTED_VALUE"""),0.0)</f>
        <v>0</v>
      </c>
      <c r="H5535" s="22">
        <f>IFERROR(__xludf.DUMMYFUNCTION("""COMPUTED_VALUE"""),476231.24)</f>
        <v>476231.24</v>
      </c>
      <c r="I5535" s="24">
        <f>IFERROR(__xludf.DUMMYFUNCTION("""COMPUTED_VALUE"""),-0.04753752)</f>
        <v>-0.04753752</v>
      </c>
    </row>
    <row r="5536">
      <c r="A5536" s="5" t="str">
        <f>IFERROR(__xludf.DUMMYFUNCTION("""COMPUTED_VALUE"""),"75288")</f>
        <v>75288</v>
      </c>
      <c r="B5536" s="64">
        <f>IFERROR(__xludf.DUMMYFUNCTION("""COMPUTED_VALUE"""),44634.0)</f>
        <v>44634</v>
      </c>
      <c r="C5536" s="5"/>
      <c r="D5536" s="5"/>
      <c r="E5536" s="5"/>
      <c r="F5536" s="22">
        <f>IFERROR(__xludf.DUMMYFUNCTION("""COMPUTED_VALUE"""),500000.0)</f>
        <v>500000</v>
      </c>
      <c r="G5536" s="22">
        <f>IFERROR(__xludf.DUMMYFUNCTION("""COMPUTED_VALUE"""),0.0)</f>
        <v>0</v>
      </c>
      <c r="H5536" s="22">
        <f>IFERROR(__xludf.DUMMYFUNCTION("""COMPUTED_VALUE"""),467872.45)</f>
        <v>467872.45</v>
      </c>
      <c r="I5536" s="24">
        <f>IFERROR(__xludf.DUMMYFUNCTION("""COMPUTED_VALUE"""),-0.06425510000000001)</f>
        <v>-0.0642551</v>
      </c>
    </row>
    <row r="5537">
      <c r="A5537" s="5" t="str">
        <f>IFERROR(__xludf.DUMMYFUNCTION("""COMPUTED_VALUE"""),"75288")</f>
        <v>75288</v>
      </c>
      <c r="B5537" s="64">
        <f>IFERROR(__xludf.DUMMYFUNCTION("""COMPUTED_VALUE"""),44635.0)</f>
        <v>44635</v>
      </c>
      <c r="C5537" s="5"/>
      <c r="D5537" s="5"/>
      <c r="E5537" s="5"/>
      <c r="F5537" s="22">
        <f>IFERROR(__xludf.DUMMYFUNCTION("""COMPUTED_VALUE"""),500000.0)</f>
        <v>500000</v>
      </c>
      <c r="G5537" s="22">
        <f>IFERROR(__xludf.DUMMYFUNCTION("""COMPUTED_VALUE"""),0.0)</f>
        <v>0</v>
      </c>
      <c r="H5537" s="22">
        <f>IFERROR(__xludf.DUMMYFUNCTION("""COMPUTED_VALUE"""),459975.66000000003)</f>
        <v>459975.66</v>
      </c>
      <c r="I5537" s="24">
        <f>IFERROR(__xludf.DUMMYFUNCTION("""COMPUTED_VALUE"""),-0.08004867999999998)</f>
        <v>-0.08004868</v>
      </c>
    </row>
    <row r="5538">
      <c r="A5538" s="5" t="str">
        <f>IFERROR(__xludf.DUMMYFUNCTION("""COMPUTED_VALUE"""),"75288")</f>
        <v>75288</v>
      </c>
      <c r="B5538" s="64">
        <f>IFERROR(__xludf.DUMMYFUNCTION("""COMPUTED_VALUE"""),44636.0)</f>
        <v>44636</v>
      </c>
      <c r="C5538" s="5"/>
      <c r="D5538" s="5"/>
      <c r="E5538" s="5"/>
      <c r="F5538" s="22">
        <f>IFERROR(__xludf.DUMMYFUNCTION("""COMPUTED_VALUE"""),500000.0)</f>
        <v>500000</v>
      </c>
      <c r="G5538" s="22">
        <f>IFERROR(__xludf.DUMMYFUNCTION("""COMPUTED_VALUE"""),0.0)</f>
        <v>0</v>
      </c>
      <c r="H5538" s="22">
        <f>IFERROR(__xludf.DUMMYFUNCTION("""COMPUTED_VALUE"""),475577.02)</f>
        <v>475577.02</v>
      </c>
      <c r="I5538" s="24">
        <f>IFERROR(__xludf.DUMMYFUNCTION("""COMPUTED_VALUE"""),-0.048845959999999966)</f>
        <v>-0.04884596</v>
      </c>
    </row>
    <row r="5539">
      <c r="A5539" s="5" t="str">
        <f>IFERROR(__xludf.DUMMYFUNCTION("""COMPUTED_VALUE"""),"75288")</f>
        <v>75288</v>
      </c>
      <c r="B5539" s="64">
        <f>IFERROR(__xludf.DUMMYFUNCTION("""COMPUTED_VALUE"""),44637.0)</f>
        <v>44637</v>
      </c>
      <c r="C5539" s="5"/>
      <c r="D5539" s="5"/>
      <c r="E5539" s="5"/>
      <c r="F5539" s="22">
        <f>IFERROR(__xludf.DUMMYFUNCTION("""COMPUTED_VALUE"""),500000.0)</f>
        <v>500000</v>
      </c>
      <c r="G5539" s="22">
        <f>IFERROR(__xludf.DUMMYFUNCTION("""COMPUTED_VALUE"""),0.0)</f>
        <v>0</v>
      </c>
      <c r="H5539" s="22">
        <f>IFERROR(__xludf.DUMMYFUNCTION("""COMPUTED_VALUE"""),480198.64)</f>
        <v>480198.64</v>
      </c>
      <c r="I5539" s="24">
        <f>IFERROR(__xludf.DUMMYFUNCTION("""COMPUTED_VALUE"""),-0.03960271999999998)</f>
        <v>-0.03960272</v>
      </c>
    </row>
    <row r="5540">
      <c r="A5540" s="5" t="str">
        <f>IFERROR(__xludf.DUMMYFUNCTION("""COMPUTED_VALUE"""),"75288")</f>
        <v>75288</v>
      </c>
      <c r="B5540" s="64">
        <f>IFERROR(__xludf.DUMMYFUNCTION("""COMPUTED_VALUE"""),44638.0)</f>
        <v>44638</v>
      </c>
      <c r="C5540" s="5"/>
      <c r="D5540" s="5"/>
      <c r="E5540" s="5"/>
      <c r="F5540" s="22">
        <f>IFERROR(__xludf.DUMMYFUNCTION("""COMPUTED_VALUE"""),500000.0)</f>
        <v>500000</v>
      </c>
      <c r="G5540" s="22">
        <f>IFERROR(__xludf.DUMMYFUNCTION("""COMPUTED_VALUE"""),0.0)</f>
        <v>0</v>
      </c>
      <c r="H5540" s="22">
        <f>IFERROR(__xludf.DUMMYFUNCTION("""COMPUTED_VALUE"""),480511.21)</f>
        <v>480511.21</v>
      </c>
      <c r="I5540" s="24">
        <f>IFERROR(__xludf.DUMMYFUNCTION("""COMPUTED_VALUE"""),-0.038977579999999956)</f>
        <v>-0.03897758</v>
      </c>
    </row>
    <row r="5541">
      <c r="A5541" s="5" t="str">
        <f>IFERROR(__xludf.DUMMYFUNCTION("""COMPUTED_VALUE"""),"75288")</f>
        <v>75288</v>
      </c>
      <c r="B5541" s="64">
        <f>IFERROR(__xludf.DUMMYFUNCTION("""COMPUTED_VALUE"""),44639.0)</f>
        <v>44639</v>
      </c>
      <c r="C5541" s="5"/>
      <c r="D5541" s="5"/>
      <c r="E5541" s="5"/>
      <c r="F5541" s="22">
        <f>IFERROR(__xludf.DUMMYFUNCTION("""COMPUTED_VALUE"""),500000.0)</f>
        <v>500000</v>
      </c>
      <c r="G5541" s="22">
        <f>IFERROR(__xludf.DUMMYFUNCTION("""COMPUTED_VALUE"""),0.0)</f>
        <v>0</v>
      </c>
      <c r="H5541" s="22">
        <f>IFERROR(__xludf.DUMMYFUNCTION("""COMPUTED_VALUE"""),480511.21)</f>
        <v>480511.21</v>
      </c>
      <c r="I5541" s="24">
        <f>IFERROR(__xludf.DUMMYFUNCTION("""COMPUTED_VALUE"""),-0.038977579999999956)</f>
        <v>-0.03897758</v>
      </c>
    </row>
    <row r="5542">
      <c r="A5542" s="5" t="str">
        <f>IFERROR(__xludf.DUMMYFUNCTION("""COMPUTED_VALUE"""),"75288")</f>
        <v>75288</v>
      </c>
      <c r="B5542" s="64">
        <f>IFERROR(__xludf.DUMMYFUNCTION("""COMPUTED_VALUE"""),44640.0)</f>
        <v>44640</v>
      </c>
      <c r="C5542" s="5"/>
      <c r="D5542" s="5"/>
      <c r="E5542" s="5"/>
      <c r="F5542" s="22">
        <f>IFERROR(__xludf.DUMMYFUNCTION("""COMPUTED_VALUE"""),500000.0)</f>
        <v>500000</v>
      </c>
      <c r="G5542" s="22">
        <f>IFERROR(__xludf.DUMMYFUNCTION("""COMPUTED_VALUE"""),0.0)</f>
        <v>0</v>
      </c>
      <c r="H5542" s="22">
        <f>IFERROR(__xludf.DUMMYFUNCTION("""COMPUTED_VALUE"""),480511.21)</f>
        <v>480511.21</v>
      </c>
      <c r="I5542" s="24">
        <f>IFERROR(__xludf.DUMMYFUNCTION("""COMPUTED_VALUE"""),-0.038977579999999956)</f>
        <v>-0.03897758</v>
      </c>
    </row>
    <row r="5543">
      <c r="A5543" s="5" t="str">
        <f>IFERROR(__xludf.DUMMYFUNCTION("""COMPUTED_VALUE"""),"75288")</f>
        <v>75288</v>
      </c>
      <c r="B5543" s="64">
        <f>IFERROR(__xludf.DUMMYFUNCTION("""COMPUTED_VALUE"""),44641.0)</f>
        <v>44641</v>
      </c>
      <c r="C5543" s="5"/>
      <c r="D5543" s="5"/>
      <c r="E5543" s="5"/>
      <c r="F5543" s="22">
        <f>IFERROR(__xludf.DUMMYFUNCTION("""COMPUTED_VALUE"""),500000.0)</f>
        <v>500000</v>
      </c>
      <c r="G5543" s="22">
        <f>IFERROR(__xludf.DUMMYFUNCTION("""COMPUTED_VALUE"""),0.0)</f>
        <v>0</v>
      </c>
      <c r="H5543" s="22">
        <f>IFERROR(__xludf.DUMMYFUNCTION("""COMPUTED_VALUE"""),480163.91)</f>
        <v>480163.91</v>
      </c>
      <c r="I5543" s="24">
        <f>IFERROR(__xludf.DUMMYFUNCTION("""COMPUTED_VALUE"""),-0.03967218000000006)</f>
        <v>-0.03967218</v>
      </c>
    </row>
    <row r="5544">
      <c r="A5544" s="5" t="str">
        <f>IFERROR(__xludf.DUMMYFUNCTION("""COMPUTED_VALUE"""),"75288")</f>
        <v>75288</v>
      </c>
      <c r="B5544" s="64">
        <f>IFERROR(__xludf.DUMMYFUNCTION("""COMPUTED_VALUE"""),44642.0)</f>
        <v>44642</v>
      </c>
      <c r="C5544" s="5"/>
      <c r="D5544" s="5"/>
      <c r="E5544" s="5"/>
      <c r="F5544" s="22">
        <f>IFERROR(__xludf.DUMMYFUNCTION("""COMPUTED_VALUE"""),500000.0)</f>
        <v>500000</v>
      </c>
      <c r="G5544" s="22">
        <f>IFERROR(__xludf.DUMMYFUNCTION("""COMPUTED_VALUE"""),0.0)</f>
        <v>0</v>
      </c>
      <c r="H5544" s="22">
        <f>IFERROR(__xludf.DUMMYFUNCTION("""COMPUTED_VALUE"""),484608.64)</f>
        <v>484608.64</v>
      </c>
      <c r="I5544" s="24">
        <f>IFERROR(__xludf.DUMMYFUNCTION("""COMPUTED_VALUE"""),-0.03078271999999993)</f>
        <v>-0.03078272</v>
      </c>
    </row>
    <row r="5545">
      <c r="A5545" s="5" t="str">
        <f>IFERROR(__xludf.DUMMYFUNCTION("""COMPUTED_VALUE"""),"75288")</f>
        <v>75288</v>
      </c>
      <c r="B5545" s="64">
        <f>IFERROR(__xludf.DUMMYFUNCTION("""COMPUTED_VALUE"""),44643.0)</f>
        <v>44643</v>
      </c>
      <c r="C5545" s="5"/>
      <c r="D5545" s="5"/>
      <c r="E5545" s="5"/>
      <c r="F5545" s="22">
        <f>IFERROR(__xludf.DUMMYFUNCTION("""COMPUTED_VALUE"""),500000.0)</f>
        <v>500000</v>
      </c>
      <c r="G5545" s="22">
        <f>IFERROR(__xludf.DUMMYFUNCTION("""COMPUTED_VALUE"""),0.0)</f>
        <v>0</v>
      </c>
      <c r="H5545" s="22">
        <f>IFERROR(__xludf.DUMMYFUNCTION("""COMPUTED_VALUE"""),485773.1)</f>
        <v>485773.1</v>
      </c>
      <c r="I5545" s="24">
        <f>IFERROR(__xludf.DUMMYFUNCTION("""COMPUTED_VALUE"""),-0.028453800000000085)</f>
        <v>-0.0284538</v>
      </c>
    </row>
    <row r="5546">
      <c r="A5546" s="5" t="str">
        <f>IFERROR(__xludf.DUMMYFUNCTION("""COMPUTED_VALUE"""),"75288")</f>
        <v>75288</v>
      </c>
      <c r="B5546" s="64">
        <f>IFERROR(__xludf.DUMMYFUNCTION("""COMPUTED_VALUE"""),44644.0)</f>
        <v>44644</v>
      </c>
      <c r="C5546" s="5"/>
      <c r="D5546" s="5"/>
      <c r="E5546" s="5"/>
      <c r="F5546" s="22">
        <f>IFERROR(__xludf.DUMMYFUNCTION("""COMPUTED_VALUE"""),500000.0)</f>
        <v>500000</v>
      </c>
      <c r="G5546" s="22">
        <f>IFERROR(__xludf.DUMMYFUNCTION("""COMPUTED_VALUE"""),0.0)</f>
        <v>0</v>
      </c>
      <c r="H5546" s="22">
        <f>IFERROR(__xludf.DUMMYFUNCTION("""COMPUTED_VALUE"""),481824.18)</f>
        <v>481824.18</v>
      </c>
      <c r="I5546" s="24">
        <f>IFERROR(__xludf.DUMMYFUNCTION("""COMPUTED_VALUE"""),-0.03635164000000002)</f>
        <v>-0.03635164</v>
      </c>
    </row>
    <row r="5547">
      <c r="A5547" s="5" t="str">
        <f>IFERROR(__xludf.DUMMYFUNCTION("""COMPUTED_VALUE"""),"75288")</f>
        <v>75288</v>
      </c>
      <c r="B5547" s="64">
        <f>IFERROR(__xludf.DUMMYFUNCTION("""COMPUTED_VALUE"""),44645.0)</f>
        <v>44645</v>
      </c>
      <c r="C5547" s="5"/>
      <c r="D5547" s="5"/>
      <c r="E5547" s="5"/>
      <c r="F5547" s="22">
        <f>IFERROR(__xludf.DUMMYFUNCTION("""COMPUTED_VALUE"""),500000.0)</f>
        <v>500000</v>
      </c>
      <c r="G5547" s="22">
        <f>IFERROR(__xludf.DUMMYFUNCTION("""COMPUTED_VALUE"""),0.0)</f>
        <v>0</v>
      </c>
      <c r="H5547" s="22">
        <f>IFERROR(__xludf.DUMMYFUNCTION("""COMPUTED_VALUE"""),479486.61)</f>
        <v>479486.61</v>
      </c>
      <c r="I5547" s="24">
        <f>IFERROR(__xludf.DUMMYFUNCTION("""COMPUTED_VALUE"""),-0.04102678000000004)</f>
        <v>-0.04102678</v>
      </c>
    </row>
    <row r="5548">
      <c r="A5548" s="5" t="str">
        <f>IFERROR(__xludf.DUMMYFUNCTION("""COMPUTED_VALUE"""),"75288")</f>
        <v>75288</v>
      </c>
      <c r="B5548" s="64">
        <f>IFERROR(__xludf.DUMMYFUNCTION("""COMPUTED_VALUE"""),44646.0)</f>
        <v>44646</v>
      </c>
      <c r="C5548" s="5"/>
      <c r="D5548" s="5"/>
      <c r="E5548" s="5"/>
      <c r="F5548" s="22">
        <f>IFERROR(__xludf.DUMMYFUNCTION("""COMPUTED_VALUE"""),500000.0)</f>
        <v>500000</v>
      </c>
      <c r="G5548" s="22">
        <f>IFERROR(__xludf.DUMMYFUNCTION("""COMPUTED_VALUE"""),0.0)</f>
        <v>0</v>
      </c>
      <c r="H5548" s="22">
        <f>IFERROR(__xludf.DUMMYFUNCTION("""COMPUTED_VALUE"""),479486.61)</f>
        <v>479486.61</v>
      </c>
      <c r="I5548" s="24">
        <f>IFERROR(__xludf.DUMMYFUNCTION("""COMPUTED_VALUE"""),-0.04102678000000004)</f>
        <v>-0.04102678</v>
      </c>
    </row>
    <row r="5549">
      <c r="A5549" s="5" t="str">
        <f>IFERROR(__xludf.DUMMYFUNCTION("""COMPUTED_VALUE"""),"75288")</f>
        <v>75288</v>
      </c>
      <c r="B5549" s="64">
        <f>IFERROR(__xludf.DUMMYFUNCTION("""COMPUTED_VALUE"""),44647.0)</f>
        <v>44647</v>
      </c>
      <c r="C5549" s="5"/>
      <c r="D5549" s="5"/>
      <c r="E5549" s="5"/>
      <c r="F5549" s="22">
        <f>IFERROR(__xludf.DUMMYFUNCTION("""COMPUTED_VALUE"""),500000.0)</f>
        <v>500000</v>
      </c>
      <c r="G5549" s="22">
        <f>IFERROR(__xludf.DUMMYFUNCTION("""COMPUTED_VALUE"""),0.0)</f>
        <v>0</v>
      </c>
      <c r="H5549" s="22">
        <f>IFERROR(__xludf.DUMMYFUNCTION("""COMPUTED_VALUE"""),479486.61)</f>
        <v>479486.61</v>
      </c>
      <c r="I5549" s="24">
        <f>IFERROR(__xludf.DUMMYFUNCTION("""COMPUTED_VALUE"""),-0.04102678000000004)</f>
        <v>-0.04102678</v>
      </c>
    </row>
    <row r="5550">
      <c r="A5550" s="5" t="str">
        <f>IFERROR(__xludf.DUMMYFUNCTION("""COMPUTED_VALUE"""),"75288")</f>
        <v>75288</v>
      </c>
      <c r="B5550" s="64">
        <f>IFERROR(__xludf.DUMMYFUNCTION("""COMPUTED_VALUE"""),44648.0)</f>
        <v>44648</v>
      </c>
      <c r="C5550" s="5"/>
      <c r="D5550" s="5"/>
      <c r="E5550" s="5"/>
      <c r="F5550" s="22">
        <f>IFERROR(__xludf.DUMMYFUNCTION("""COMPUTED_VALUE"""),500000.0)</f>
        <v>500000</v>
      </c>
      <c r="G5550" s="22">
        <f>IFERROR(__xludf.DUMMYFUNCTION("""COMPUTED_VALUE"""),0.0)</f>
        <v>0</v>
      </c>
      <c r="H5550" s="22">
        <f>IFERROR(__xludf.DUMMYFUNCTION("""COMPUTED_VALUE"""),480689.72)</f>
        <v>480689.72</v>
      </c>
      <c r="I5550" s="24">
        <f>IFERROR(__xludf.DUMMYFUNCTION("""COMPUTED_VALUE"""),-0.038620560000000026)</f>
        <v>-0.03862056</v>
      </c>
    </row>
    <row r="5551">
      <c r="A5551" s="5" t="str">
        <f>IFERROR(__xludf.DUMMYFUNCTION("""COMPUTED_VALUE"""),"75288")</f>
        <v>75288</v>
      </c>
      <c r="B5551" s="64">
        <f>IFERROR(__xludf.DUMMYFUNCTION("""COMPUTED_VALUE"""),44649.0)</f>
        <v>44649</v>
      </c>
      <c r="C5551" s="5"/>
      <c r="D5551" s="5"/>
      <c r="E5551" s="5"/>
      <c r="F5551" s="22">
        <f>IFERROR(__xludf.DUMMYFUNCTION("""COMPUTED_VALUE"""),500000.0)</f>
        <v>500000</v>
      </c>
      <c r="G5551" s="22">
        <f>IFERROR(__xludf.DUMMYFUNCTION("""COMPUTED_VALUE"""),0.0)</f>
        <v>0</v>
      </c>
      <c r="H5551" s="22">
        <f>IFERROR(__xludf.DUMMYFUNCTION("""COMPUTED_VALUE"""),482773.1)</f>
        <v>482773.1</v>
      </c>
      <c r="I5551" s="24">
        <f>IFERROR(__xludf.DUMMYFUNCTION("""COMPUTED_VALUE"""),-0.03445380000000009)</f>
        <v>-0.0344538</v>
      </c>
    </row>
    <row r="5552">
      <c r="A5552" s="5" t="str">
        <f>IFERROR(__xludf.DUMMYFUNCTION("""COMPUTED_VALUE"""),"75288")</f>
        <v>75288</v>
      </c>
      <c r="B5552" s="64">
        <f>IFERROR(__xludf.DUMMYFUNCTION("""COMPUTED_VALUE"""),44650.0)</f>
        <v>44650</v>
      </c>
      <c r="C5552" s="5"/>
      <c r="D5552" s="5"/>
      <c r="E5552" s="5"/>
      <c r="F5552" s="22">
        <f>IFERROR(__xludf.DUMMYFUNCTION("""COMPUTED_VALUE"""),500000.0)</f>
        <v>500000</v>
      </c>
      <c r="G5552" s="22">
        <f>IFERROR(__xludf.DUMMYFUNCTION("""COMPUTED_VALUE"""),0.0)</f>
        <v>0</v>
      </c>
      <c r="H5552" s="22">
        <f>IFERROR(__xludf.DUMMYFUNCTION("""COMPUTED_VALUE"""),485809.19)</f>
        <v>485809.19</v>
      </c>
      <c r="I5552" s="24">
        <f>IFERROR(__xludf.DUMMYFUNCTION("""COMPUTED_VALUE"""),-0.028381619999999996)</f>
        <v>-0.02838162</v>
      </c>
    </row>
    <row r="5553">
      <c r="A5553" s="5" t="str">
        <f>IFERROR(__xludf.DUMMYFUNCTION("""COMPUTED_VALUE"""),"75288")</f>
        <v>75288</v>
      </c>
      <c r="B5553" s="64">
        <f>IFERROR(__xludf.DUMMYFUNCTION("""COMPUTED_VALUE"""),44651.0)</f>
        <v>44651</v>
      </c>
      <c r="C5553" s="5"/>
      <c r="D5553" s="5"/>
      <c r="E5553" s="5"/>
      <c r="F5553" s="22">
        <f>IFERROR(__xludf.DUMMYFUNCTION("""COMPUTED_VALUE"""),500000.0)</f>
        <v>500000</v>
      </c>
      <c r="G5553" s="22">
        <f>IFERROR(__xludf.DUMMYFUNCTION("""COMPUTED_VALUE"""),0.0)</f>
        <v>0</v>
      </c>
      <c r="H5553" s="22">
        <f>IFERROR(__xludf.DUMMYFUNCTION("""COMPUTED_VALUE"""),483824.59)</f>
        <v>483824.59</v>
      </c>
      <c r="I5553" s="24">
        <f>IFERROR(__xludf.DUMMYFUNCTION("""COMPUTED_VALUE"""),-0.03235082)</f>
        <v>-0.03235082</v>
      </c>
    </row>
    <row r="5554">
      <c r="A5554" s="5" t="str">
        <f>IFERROR(__xludf.DUMMYFUNCTION("""COMPUTED_VALUE"""),"75288")</f>
        <v>75288</v>
      </c>
      <c r="B5554" s="64">
        <f>IFERROR(__xludf.DUMMYFUNCTION("""COMPUTED_VALUE"""),44652.0)</f>
        <v>44652</v>
      </c>
      <c r="C5554" s="5"/>
      <c r="D5554" s="5"/>
      <c r="E5554" s="5"/>
      <c r="F5554" s="22">
        <f>IFERROR(__xludf.DUMMYFUNCTION("""COMPUTED_VALUE"""),500000.0)</f>
        <v>500000</v>
      </c>
      <c r="G5554" s="22">
        <f>IFERROR(__xludf.DUMMYFUNCTION("""COMPUTED_VALUE"""),0.0)</f>
        <v>0</v>
      </c>
      <c r="H5554" s="22">
        <f>IFERROR(__xludf.DUMMYFUNCTION("""COMPUTED_VALUE"""),484265.13)</f>
        <v>484265.13</v>
      </c>
      <c r="I5554" s="24">
        <f>IFERROR(__xludf.DUMMYFUNCTION("""COMPUTED_VALUE"""),-0.031469740000000024)</f>
        <v>-0.03146974</v>
      </c>
    </row>
    <row r="5555">
      <c r="A5555" s="5" t="str">
        <f>IFERROR(__xludf.DUMMYFUNCTION("""COMPUTED_VALUE"""),"75288")</f>
        <v>75288</v>
      </c>
      <c r="B5555" s="64">
        <f>IFERROR(__xludf.DUMMYFUNCTION("""COMPUTED_VALUE"""),44653.0)</f>
        <v>44653</v>
      </c>
      <c r="C5555" s="5"/>
      <c r="D5555" s="5"/>
      <c r="E5555" s="5"/>
      <c r="F5555" s="22">
        <f>IFERROR(__xludf.DUMMYFUNCTION("""COMPUTED_VALUE"""),500000.0)</f>
        <v>500000</v>
      </c>
      <c r="G5555" s="22">
        <f>IFERROR(__xludf.DUMMYFUNCTION("""COMPUTED_VALUE"""),0.0)</f>
        <v>0</v>
      </c>
      <c r="H5555" s="22">
        <f>IFERROR(__xludf.DUMMYFUNCTION("""COMPUTED_VALUE"""),484265.13)</f>
        <v>484265.13</v>
      </c>
      <c r="I5555" s="24">
        <f>IFERROR(__xludf.DUMMYFUNCTION("""COMPUTED_VALUE"""),-0.031469740000000024)</f>
        <v>-0.03146974</v>
      </c>
    </row>
    <row r="5556">
      <c r="A5556" s="5" t="str">
        <f>IFERROR(__xludf.DUMMYFUNCTION("""COMPUTED_VALUE"""),"75288")</f>
        <v>75288</v>
      </c>
      <c r="B5556" s="64">
        <f>IFERROR(__xludf.DUMMYFUNCTION("""COMPUTED_VALUE"""),44654.0)</f>
        <v>44654</v>
      </c>
      <c r="C5556" s="5"/>
      <c r="D5556" s="5"/>
      <c r="E5556" s="5"/>
      <c r="F5556" s="22">
        <f>IFERROR(__xludf.DUMMYFUNCTION("""COMPUTED_VALUE"""),500000.0)</f>
        <v>500000</v>
      </c>
      <c r="G5556" s="22">
        <f>IFERROR(__xludf.DUMMYFUNCTION("""COMPUTED_VALUE"""),0.0)</f>
        <v>0</v>
      </c>
      <c r="H5556" s="22">
        <f>IFERROR(__xludf.DUMMYFUNCTION("""COMPUTED_VALUE"""),484265.13)</f>
        <v>484265.13</v>
      </c>
      <c r="I5556" s="24">
        <f>IFERROR(__xludf.DUMMYFUNCTION("""COMPUTED_VALUE"""),-0.031469740000000024)</f>
        <v>-0.03146974</v>
      </c>
    </row>
    <row r="5557">
      <c r="A5557" s="5" t="str">
        <f>IFERROR(__xludf.DUMMYFUNCTION("""COMPUTED_VALUE"""),"75288")</f>
        <v>75288</v>
      </c>
      <c r="B5557" s="64">
        <f>IFERROR(__xludf.DUMMYFUNCTION("""COMPUTED_VALUE"""),44655.0)</f>
        <v>44655</v>
      </c>
      <c r="C5557" s="5"/>
      <c r="D5557" s="5"/>
      <c r="E5557" s="5"/>
      <c r="F5557" s="22">
        <f>IFERROR(__xludf.DUMMYFUNCTION("""COMPUTED_VALUE"""),500000.0)</f>
        <v>500000</v>
      </c>
      <c r="G5557" s="22">
        <f>IFERROR(__xludf.DUMMYFUNCTION("""COMPUTED_VALUE"""),0.0)</f>
        <v>0</v>
      </c>
      <c r="H5557" s="22">
        <f>IFERROR(__xludf.DUMMYFUNCTION("""COMPUTED_VALUE"""),487704.86)</f>
        <v>487704.86</v>
      </c>
      <c r="I5557" s="24">
        <f>IFERROR(__xludf.DUMMYFUNCTION("""COMPUTED_VALUE"""),-0.024590280000000075)</f>
        <v>-0.02459028</v>
      </c>
    </row>
    <row r="5558">
      <c r="A5558" s="5" t="str">
        <f>IFERROR(__xludf.DUMMYFUNCTION("""COMPUTED_VALUE"""),"75288")</f>
        <v>75288</v>
      </c>
      <c r="B5558" s="64">
        <f>IFERROR(__xludf.DUMMYFUNCTION("""COMPUTED_VALUE"""),44656.0)</f>
        <v>44656</v>
      </c>
      <c r="C5558" s="5"/>
      <c r="D5558" s="5"/>
      <c r="E5558" s="5"/>
      <c r="F5558" s="22">
        <f>IFERROR(__xludf.DUMMYFUNCTION("""COMPUTED_VALUE"""),500000.0)</f>
        <v>500000</v>
      </c>
      <c r="G5558" s="22">
        <f>IFERROR(__xludf.DUMMYFUNCTION("""COMPUTED_VALUE"""),0.0)</f>
        <v>0</v>
      </c>
      <c r="H5558" s="22">
        <f>IFERROR(__xludf.DUMMYFUNCTION("""COMPUTED_VALUE"""),487704.86)</f>
        <v>487704.86</v>
      </c>
      <c r="I5558" s="24">
        <f>IFERROR(__xludf.DUMMYFUNCTION("""COMPUTED_VALUE"""),-0.024590280000000075)</f>
        <v>-0.02459028</v>
      </c>
    </row>
    <row r="5559">
      <c r="A5559" s="5" t="str">
        <f>IFERROR(__xludf.DUMMYFUNCTION("""COMPUTED_VALUE"""),"75288")</f>
        <v>75288</v>
      </c>
      <c r="B5559" s="64">
        <f>IFERROR(__xludf.DUMMYFUNCTION("""COMPUTED_VALUE"""),44657.0)</f>
        <v>44657</v>
      </c>
      <c r="C5559" s="5"/>
      <c r="D5559" s="5"/>
      <c r="E5559" s="5"/>
      <c r="F5559" s="22">
        <f>IFERROR(__xludf.DUMMYFUNCTION("""COMPUTED_VALUE"""),500000.0)</f>
        <v>500000</v>
      </c>
      <c r="G5559" s="22">
        <f>IFERROR(__xludf.DUMMYFUNCTION("""COMPUTED_VALUE"""),0.0)</f>
        <v>0</v>
      </c>
      <c r="H5559" s="22">
        <f>IFERROR(__xludf.DUMMYFUNCTION("""COMPUTED_VALUE"""),484922.83)</f>
        <v>484922.83</v>
      </c>
      <c r="I5559" s="24">
        <f>IFERROR(__xludf.DUMMYFUNCTION("""COMPUTED_VALUE"""),-0.030154339999999946)</f>
        <v>-0.03015434</v>
      </c>
    </row>
    <row r="5560">
      <c r="A5560" s="5" t="str">
        <f>IFERROR(__xludf.DUMMYFUNCTION("""COMPUTED_VALUE"""),"75288")</f>
        <v>75288</v>
      </c>
      <c r="B5560" s="64">
        <f>IFERROR(__xludf.DUMMYFUNCTION("""COMPUTED_VALUE"""),44658.0)</f>
        <v>44658</v>
      </c>
      <c r="C5560" s="5"/>
      <c r="D5560" s="5"/>
      <c r="E5560" s="5"/>
      <c r="F5560" s="22">
        <f>IFERROR(__xludf.DUMMYFUNCTION("""COMPUTED_VALUE"""),500000.0)</f>
        <v>500000</v>
      </c>
      <c r="G5560" s="22">
        <f>IFERROR(__xludf.DUMMYFUNCTION("""COMPUTED_VALUE"""),0.0)</f>
        <v>0</v>
      </c>
      <c r="H5560" s="22">
        <f>IFERROR(__xludf.DUMMYFUNCTION("""COMPUTED_VALUE"""),481951.91)</f>
        <v>481951.91</v>
      </c>
      <c r="I5560" s="24">
        <f>IFERROR(__xludf.DUMMYFUNCTION("""COMPUTED_VALUE"""),-0.03609618000000003)</f>
        <v>-0.03609618</v>
      </c>
    </row>
    <row r="5561">
      <c r="A5561" s="5" t="str">
        <f>IFERROR(__xludf.DUMMYFUNCTION("""COMPUTED_VALUE"""),"75288")</f>
        <v>75288</v>
      </c>
      <c r="B5561" s="64">
        <f>IFERROR(__xludf.DUMMYFUNCTION("""COMPUTED_VALUE"""),44659.0)</f>
        <v>44659</v>
      </c>
      <c r="C5561" s="5"/>
      <c r="D5561" s="5"/>
      <c r="E5561" s="5"/>
      <c r="F5561" s="22">
        <f>IFERROR(__xludf.DUMMYFUNCTION("""COMPUTED_VALUE"""),500000.0)</f>
        <v>500000</v>
      </c>
      <c r="G5561" s="22">
        <f>IFERROR(__xludf.DUMMYFUNCTION("""COMPUTED_VALUE"""),0.0)</f>
        <v>0</v>
      </c>
      <c r="H5561" s="22">
        <f>IFERROR(__xludf.DUMMYFUNCTION("""COMPUTED_VALUE"""),480011.95)</f>
        <v>480011.95</v>
      </c>
      <c r="I5561" s="24">
        <f>IFERROR(__xludf.DUMMYFUNCTION("""COMPUTED_VALUE"""),-0.03997609999999996)</f>
        <v>-0.0399761</v>
      </c>
    </row>
    <row r="5562">
      <c r="A5562" s="5" t="str">
        <f>IFERROR(__xludf.DUMMYFUNCTION("""COMPUTED_VALUE"""),"75288")</f>
        <v>75288</v>
      </c>
      <c r="B5562" s="64">
        <f>IFERROR(__xludf.DUMMYFUNCTION("""COMPUTED_VALUE"""),44660.0)</f>
        <v>44660</v>
      </c>
      <c r="C5562" s="5"/>
      <c r="D5562" s="5"/>
      <c r="E5562" s="5"/>
      <c r="F5562" s="22">
        <f>IFERROR(__xludf.DUMMYFUNCTION("""COMPUTED_VALUE"""),500000.0)</f>
        <v>500000</v>
      </c>
      <c r="G5562" s="22">
        <f>IFERROR(__xludf.DUMMYFUNCTION("""COMPUTED_VALUE"""),0.0)</f>
        <v>0</v>
      </c>
      <c r="H5562" s="22">
        <f>IFERROR(__xludf.DUMMYFUNCTION("""COMPUTED_VALUE"""),480011.95)</f>
        <v>480011.95</v>
      </c>
      <c r="I5562" s="24">
        <f>IFERROR(__xludf.DUMMYFUNCTION("""COMPUTED_VALUE"""),-0.03997609999999996)</f>
        <v>-0.0399761</v>
      </c>
    </row>
    <row r="5563">
      <c r="A5563" s="5" t="str">
        <f>IFERROR(__xludf.DUMMYFUNCTION("""COMPUTED_VALUE"""),"75288")</f>
        <v>75288</v>
      </c>
      <c r="B5563" s="64">
        <f>IFERROR(__xludf.DUMMYFUNCTION("""COMPUTED_VALUE"""),44661.0)</f>
        <v>44661</v>
      </c>
      <c r="C5563" s="5"/>
      <c r="D5563" s="5"/>
      <c r="E5563" s="5"/>
      <c r="F5563" s="22">
        <f>IFERROR(__xludf.DUMMYFUNCTION("""COMPUTED_VALUE"""),500000.0)</f>
        <v>500000</v>
      </c>
      <c r="G5563" s="22">
        <f>IFERROR(__xludf.DUMMYFUNCTION("""COMPUTED_VALUE"""),0.0)</f>
        <v>0</v>
      </c>
      <c r="H5563" s="22">
        <f>IFERROR(__xludf.DUMMYFUNCTION("""COMPUTED_VALUE"""),480011.95)</f>
        <v>480011.95</v>
      </c>
      <c r="I5563" s="24">
        <f>IFERROR(__xludf.DUMMYFUNCTION("""COMPUTED_VALUE"""),-0.03997609999999996)</f>
        <v>-0.0399761</v>
      </c>
    </row>
    <row r="5564">
      <c r="A5564" s="5" t="str">
        <f>IFERROR(__xludf.DUMMYFUNCTION("""COMPUTED_VALUE"""),"75288")</f>
        <v>75288</v>
      </c>
      <c r="B5564" s="64">
        <f>IFERROR(__xludf.DUMMYFUNCTION("""COMPUTED_VALUE"""),44662.0)</f>
        <v>44662</v>
      </c>
      <c r="C5564" s="5"/>
      <c r="D5564" s="5"/>
      <c r="E5564" s="5"/>
      <c r="F5564" s="22">
        <f>IFERROR(__xludf.DUMMYFUNCTION("""COMPUTED_VALUE"""),500000.0)</f>
        <v>500000</v>
      </c>
      <c r="G5564" s="22">
        <f>IFERROR(__xludf.DUMMYFUNCTION("""COMPUTED_VALUE"""),0.0)</f>
        <v>0</v>
      </c>
      <c r="H5564" s="22">
        <f>IFERROR(__xludf.DUMMYFUNCTION("""COMPUTED_VALUE"""),473404.25)</f>
        <v>473404.25</v>
      </c>
      <c r="I5564" s="24">
        <f>IFERROR(__xludf.DUMMYFUNCTION("""COMPUTED_VALUE"""),-0.05319149999999995)</f>
        <v>-0.0531915</v>
      </c>
    </row>
    <row r="5565">
      <c r="A5565" s="5" t="str">
        <f>IFERROR(__xludf.DUMMYFUNCTION("""COMPUTED_VALUE"""),"75288")</f>
        <v>75288</v>
      </c>
      <c r="B5565" s="64">
        <f>IFERROR(__xludf.DUMMYFUNCTION("""COMPUTED_VALUE"""),44663.0)</f>
        <v>44663</v>
      </c>
      <c r="C5565" s="5"/>
      <c r="D5565" s="5"/>
      <c r="E5565" s="5"/>
      <c r="F5565" s="22">
        <f>IFERROR(__xludf.DUMMYFUNCTION("""COMPUTED_VALUE"""),500000.0)</f>
        <v>500000</v>
      </c>
      <c r="G5565" s="22">
        <f>IFERROR(__xludf.DUMMYFUNCTION("""COMPUTED_VALUE"""),0.0)</f>
        <v>0</v>
      </c>
      <c r="H5565" s="22">
        <f>IFERROR(__xludf.DUMMYFUNCTION("""COMPUTED_VALUE"""),476083.71)</f>
        <v>476083.71</v>
      </c>
      <c r="I5565" s="24">
        <f>IFERROR(__xludf.DUMMYFUNCTION("""COMPUTED_VALUE"""),-0.04783258000000001)</f>
        <v>-0.04783258</v>
      </c>
    </row>
    <row r="5566">
      <c r="A5566" s="5" t="str">
        <f>IFERROR(__xludf.DUMMYFUNCTION("""COMPUTED_VALUE"""),"75369")</f>
        <v>75369</v>
      </c>
      <c r="B5566" s="64">
        <f>IFERROR(__xludf.DUMMYFUNCTION("""COMPUTED_VALUE"""),44597.0)</f>
        <v>44597</v>
      </c>
      <c r="C5566" s="5"/>
      <c r="D5566" s="5"/>
      <c r="E5566" s="5"/>
      <c r="F5566" s="22">
        <f>IFERROR(__xludf.DUMMYFUNCTION("""COMPUTED_VALUE"""),500000.0)</f>
        <v>500000</v>
      </c>
      <c r="G5566" s="22">
        <f>IFERROR(__xludf.DUMMYFUNCTION("""COMPUTED_VALUE"""),0.0)</f>
        <v>0</v>
      </c>
      <c r="H5566" s="22">
        <f>IFERROR(__xludf.DUMMYFUNCTION("""COMPUTED_VALUE"""),500000.0)</f>
        <v>500000</v>
      </c>
      <c r="I5566" s="24">
        <f>IFERROR(__xludf.DUMMYFUNCTION("""COMPUTED_VALUE"""),0.0)</f>
        <v>0</v>
      </c>
    </row>
    <row r="5567">
      <c r="A5567" s="5" t="str">
        <f>IFERROR(__xludf.DUMMYFUNCTION("""COMPUTED_VALUE"""),"75369")</f>
        <v>75369</v>
      </c>
      <c r="B5567" s="64">
        <f>IFERROR(__xludf.DUMMYFUNCTION("""COMPUTED_VALUE"""),44598.0)</f>
        <v>44598</v>
      </c>
      <c r="C5567" s="5"/>
      <c r="D5567" s="5"/>
      <c r="E5567" s="5"/>
      <c r="F5567" s="22">
        <f>IFERROR(__xludf.DUMMYFUNCTION("""COMPUTED_VALUE"""),500000.0)</f>
        <v>500000</v>
      </c>
      <c r="G5567" s="22">
        <f>IFERROR(__xludf.DUMMYFUNCTION("""COMPUTED_VALUE"""),0.0)</f>
        <v>0</v>
      </c>
      <c r="H5567" s="22">
        <f>IFERROR(__xludf.DUMMYFUNCTION("""COMPUTED_VALUE"""),500000.0)</f>
        <v>500000</v>
      </c>
      <c r="I5567" s="24">
        <f>IFERROR(__xludf.DUMMYFUNCTION("""COMPUTED_VALUE"""),0.0)</f>
        <v>0</v>
      </c>
    </row>
    <row r="5568">
      <c r="A5568" s="5" t="str">
        <f>IFERROR(__xludf.DUMMYFUNCTION("""COMPUTED_VALUE"""),"75369")</f>
        <v>75369</v>
      </c>
      <c r="B5568" s="64">
        <f>IFERROR(__xludf.DUMMYFUNCTION("""COMPUTED_VALUE"""),44599.0)</f>
        <v>44599</v>
      </c>
      <c r="C5568" s="5"/>
      <c r="D5568" s="5"/>
      <c r="E5568" s="5"/>
      <c r="F5568" s="22">
        <f>IFERROR(__xludf.DUMMYFUNCTION("""COMPUTED_VALUE"""),500000.0)</f>
        <v>500000</v>
      </c>
      <c r="G5568" s="22">
        <f>IFERROR(__xludf.DUMMYFUNCTION("""COMPUTED_VALUE"""),0.0)</f>
        <v>0</v>
      </c>
      <c r="H5568" s="22">
        <f>IFERROR(__xludf.DUMMYFUNCTION("""COMPUTED_VALUE"""),500000.0)</f>
        <v>500000</v>
      </c>
      <c r="I5568" s="24">
        <f>IFERROR(__xludf.DUMMYFUNCTION("""COMPUTED_VALUE"""),0.0)</f>
        <v>0</v>
      </c>
    </row>
    <row r="5569">
      <c r="A5569" s="5" t="str">
        <f>IFERROR(__xludf.DUMMYFUNCTION("""COMPUTED_VALUE"""),"75369")</f>
        <v>75369</v>
      </c>
      <c r="B5569" s="64">
        <f>IFERROR(__xludf.DUMMYFUNCTION("""COMPUTED_VALUE"""),44600.0)</f>
        <v>44600</v>
      </c>
      <c r="C5569" s="5"/>
      <c r="D5569" s="5"/>
      <c r="E5569" s="5"/>
      <c r="F5569" s="22">
        <f>IFERROR(__xludf.DUMMYFUNCTION("""COMPUTED_VALUE"""),500000.0)</f>
        <v>500000</v>
      </c>
      <c r="G5569" s="22">
        <f>IFERROR(__xludf.DUMMYFUNCTION("""COMPUTED_VALUE"""),0.0)</f>
        <v>0</v>
      </c>
      <c r="H5569" s="22">
        <f>IFERROR(__xludf.DUMMYFUNCTION("""COMPUTED_VALUE"""),500000.0)</f>
        <v>500000</v>
      </c>
      <c r="I5569" s="24">
        <f>IFERROR(__xludf.DUMMYFUNCTION("""COMPUTED_VALUE"""),0.0)</f>
        <v>0</v>
      </c>
    </row>
    <row r="5570">
      <c r="A5570" s="5" t="str">
        <f>IFERROR(__xludf.DUMMYFUNCTION("""COMPUTED_VALUE"""),"75369")</f>
        <v>75369</v>
      </c>
      <c r="B5570" s="64">
        <f>IFERROR(__xludf.DUMMYFUNCTION("""COMPUTED_VALUE"""),44601.0)</f>
        <v>44601</v>
      </c>
      <c r="C5570" s="5"/>
      <c r="D5570" s="5"/>
      <c r="E5570" s="5"/>
      <c r="F5570" s="22">
        <f>IFERROR(__xludf.DUMMYFUNCTION("""COMPUTED_VALUE"""),500000.0)</f>
        <v>500000</v>
      </c>
      <c r="G5570" s="22">
        <f>IFERROR(__xludf.DUMMYFUNCTION("""COMPUTED_VALUE"""),0.0)</f>
        <v>0</v>
      </c>
      <c r="H5570" s="22">
        <f>IFERROR(__xludf.DUMMYFUNCTION("""COMPUTED_VALUE"""),500000.0)</f>
        <v>500000</v>
      </c>
      <c r="I5570" s="24">
        <f>IFERROR(__xludf.DUMMYFUNCTION("""COMPUTED_VALUE"""),0.0)</f>
        <v>0</v>
      </c>
    </row>
    <row r="5571">
      <c r="A5571" s="5" t="str">
        <f>IFERROR(__xludf.DUMMYFUNCTION("""COMPUTED_VALUE"""),"75369")</f>
        <v>75369</v>
      </c>
      <c r="B5571" s="64">
        <f>IFERROR(__xludf.DUMMYFUNCTION("""COMPUTED_VALUE"""),44602.0)</f>
        <v>44602</v>
      </c>
      <c r="C5571" s="5"/>
      <c r="D5571" s="5"/>
      <c r="E5571" s="5"/>
      <c r="F5571" s="22">
        <f>IFERROR(__xludf.DUMMYFUNCTION("""COMPUTED_VALUE"""),500000.0)</f>
        <v>500000</v>
      </c>
      <c r="G5571" s="22">
        <f>IFERROR(__xludf.DUMMYFUNCTION("""COMPUTED_VALUE"""),0.0)</f>
        <v>0</v>
      </c>
      <c r="H5571" s="22">
        <f>IFERROR(__xludf.DUMMYFUNCTION("""COMPUTED_VALUE"""),500000.0)</f>
        <v>500000</v>
      </c>
      <c r="I5571" s="24">
        <f>IFERROR(__xludf.DUMMYFUNCTION("""COMPUTED_VALUE"""),0.0)</f>
        <v>0</v>
      </c>
    </row>
    <row r="5572">
      <c r="A5572" s="5" t="str">
        <f>IFERROR(__xludf.DUMMYFUNCTION("""COMPUTED_VALUE"""),"75369")</f>
        <v>75369</v>
      </c>
      <c r="B5572" s="64">
        <f>IFERROR(__xludf.DUMMYFUNCTION("""COMPUTED_VALUE"""),44603.0)</f>
        <v>44603</v>
      </c>
      <c r="C5572" s="5"/>
      <c r="D5572" s="5"/>
      <c r="E5572" s="5"/>
      <c r="F5572" s="22">
        <f>IFERROR(__xludf.DUMMYFUNCTION("""COMPUTED_VALUE"""),500000.0)</f>
        <v>500000</v>
      </c>
      <c r="G5572" s="22">
        <f>IFERROR(__xludf.DUMMYFUNCTION("""COMPUTED_VALUE"""),0.0)</f>
        <v>0</v>
      </c>
      <c r="H5572" s="22">
        <f>IFERROR(__xludf.DUMMYFUNCTION("""COMPUTED_VALUE"""),500000.0)</f>
        <v>500000</v>
      </c>
      <c r="I5572" s="24">
        <f>IFERROR(__xludf.DUMMYFUNCTION("""COMPUTED_VALUE"""),0.0)</f>
        <v>0</v>
      </c>
    </row>
    <row r="5573">
      <c r="A5573" s="5" t="str">
        <f>IFERROR(__xludf.DUMMYFUNCTION("""COMPUTED_VALUE"""),"75369")</f>
        <v>75369</v>
      </c>
      <c r="B5573" s="64">
        <f>IFERROR(__xludf.DUMMYFUNCTION("""COMPUTED_VALUE"""),44604.0)</f>
        <v>44604</v>
      </c>
      <c r="C5573" s="5"/>
      <c r="D5573" s="5"/>
      <c r="E5573" s="5"/>
      <c r="F5573" s="22">
        <f>IFERROR(__xludf.DUMMYFUNCTION("""COMPUTED_VALUE"""),500000.0)</f>
        <v>500000</v>
      </c>
      <c r="G5573" s="22">
        <f>IFERROR(__xludf.DUMMYFUNCTION("""COMPUTED_VALUE"""),0.0)</f>
        <v>0</v>
      </c>
      <c r="H5573" s="22">
        <f>IFERROR(__xludf.DUMMYFUNCTION("""COMPUTED_VALUE"""),500000.0)</f>
        <v>500000</v>
      </c>
      <c r="I5573" s="24">
        <f>IFERROR(__xludf.DUMMYFUNCTION("""COMPUTED_VALUE"""),0.0)</f>
        <v>0</v>
      </c>
    </row>
    <row r="5574">
      <c r="A5574" s="5" t="str">
        <f>IFERROR(__xludf.DUMMYFUNCTION("""COMPUTED_VALUE"""),"75369")</f>
        <v>75369</v>
      </c>
      <c r="B5574" s="64">
        <f>IFERROR(__xludf.DUMMYFUNCTION("""COMPUTED_VALUE"""),44605.0)</f>
        <v>44605</v>
      </c>
      <c r="C5574" s="5"/>
      <c r="D5574" s="5"/>
      <c r="E5574" s="5"/>
      <c r="F5574" s="22">
        <f>IFERROR(__xludf.DUMMYFUNCTION("""COMPUTED_VALUE"""),500000.0)</f>
        <v>500000</v>
      </c>
      <c r="G5574" s="22">
        <f>IFERROR(__xludf.DUMMYFUNCTION("""COMPUTED_VALUE"""),0.0)</f>
        <v>0</v>
      </c>
      <c r="H5574" s="22">
        <f>IFERROR(__xludf.DUMMYFUNCTION("""COMPUTED_VALUE"""),500000.0)</f>
        <v>500000</v>
      </c>
      <c r="I5574" s="24">
        <f>IFERROR(__xludf.DUMMYFUNCTION("""COMPUTED_VALUE"""),0.0)</f>
        <v>0</v>
      </c>
    </row>
    <row r="5575">
      <c r="A5575" s="5" t="str">
        <f>IFERROR(__xludf.DUMMYFUNCTION("""COMPUTED_VALUE"""),"75369")</f>
        <v>75369</v>
      </c>
      <c r="B5575" s="64">
        <f>IFERROR(__xludf.DUMMYFUNCTION("""COMPUTED_VALUE"""),44606.0)</f>
        <v>44606</v>
      </c>
      <c r="C5575" s="5"/>
      <c r="D5575" s="5"/>
      <c r="E5575" s="5"/>
      <c r="F5575" s="22">
        <f>IFERROR(__xludf.DUMMYFUNCTION("""COMPUTED_VALUE"""),500000.0)</f>
        <v>500000</v>
      </c>
      <c r="G5575" s="22">
        <f>IFERROR(__xludf.DUMMYFUNCTION("""COMPUTED_VALUE"""),0.0)</f>
        <v>0</v>
      </c>
      <c r="H5575" s="22">
        <f>IFERROR(__xludf.DUMMYFUNCTION("""COMPUTED_VALUE"""),500000.0)</f>
        <v>500000</v>
      </c>
      <c r="I5575" s="24">
        <f>IFERROR(__xludf.DUMMYFUNCTION("""COMPUTED_VALUE"""),0.0)</f>
        <v>0</v>
      </c>
    </row>
    <row r="5576">
      <c r="A5576" s="5" t="str">
        <f>IFERROR(__xludf.DUMMYFUNCTION("""COMPUTED_VALUE"""),"75369")</f>
        <v>75369</v>
      </c>
      <c r="B5576" s="64">
        <f>IFERROR(__xludf.DUMMYFUNCTION("""COMPUTED_VALUE"""),44607.0)</f>
        <v>44607</v>
      </c>
      <c r="C5576" s="5"/>
      <c r="D5576" s="5"/>
      <c r="E5576" s="5"/>
      <c r="F5576" s="22">
        <f>IFERROR(__xludf.DUMMYFUNCTION("""COMPUTED_VALUE"""),500000.0)</f>
        <v>500000</v>
      </c>
      <c r="G5576" s="22">
        <f>IFERROR(__xludf.DUMMYFUNCTION("""COMPUTED_VALUE"""),0.0)</f>
        <v>0</v>
      </c>
      <c r="H5576" s="22">
        <f>IFERROR(__xludf.DUMMYFUNCTION("""COMPUTED_VALUE"""),500000.0)</f>
        <v>500000</v>
      </c>
      <c r="I5576" s="24">
        <f>IFERROR(__xludf.DUMMYFUNCTION("""COMPUTED_VALUE"""),0.0)</f>
        <v>0</v>
      </c>
    </row>
    <row r="5577">
      <c r="A5577" s="5" t="str">
        <f>IFERROR(__xludf.DUMMYFUNCTION("""COMPUTED_VALUE"""),"75369")</f>
        <v>75369</v>
      </c>
      <c r="B5577" s="64">
        <f>IFERROR(__xludf.DUMMYFUNCTION("""COMPUTED_VALUE"""),44608.0)</f>
        <v>44608</v>
      </c>
      <c r="C5577" s="5"/>
      <c r="D5577" s="5"/>
      <c r="E5577" s="5"/>
      <c r="F5577" s="22">
        <f>IFERROR(__xludf.DUMMYFUNCTION("""COMPUTED_VALUE"""),500000.0)</f>
        <v>500000</v>
      </c>
      <c r="G5577" s="22">
        <f>IFERROR(__xludf.DUMMYFUNCTION("""COMPUTED_VALUE"""),0.0)</f>
        <v>0</v>
      </c>
      <c r="H5577" s="22">
        <f>IFERROR(__xludf.DUMMYFUNCTION("""COMPUTED_VALUE"""),500000.0)</f>
        <v>500000</v>
      </c>
      <c r="I5577" s="24">
        <f>IFERROR(__xludf.DUMMYFUNCTION("""COMPUTED_VALUE"""),0.0)</f>
        <v>0</v>
      </c>
    </row>
    <row r="5578">
      <c r="A5578" s="5" t="str">
        <f>IFERROR(__xludf.DUMMYFUNCTION("""COMPUTED_VALUE"""),"75369")</f>
        <v>75369</v>
      </c>
      <c r="B5578" s="64">
        <f>IFERROR(__xludf.DUMMYFUNCTION("""COMPUTED_VALUE"""),44609.0)</f>
        <v>44609</v>
      </c>
      <c r="C5578" s="5"/>
      <c r="D5578" s="5"/>
      <c r="E5578" s="5"/>
      <c r="F5578" s="22">
        <f>IFERROR(__xludf.DUMMYFUNCTION("""COMPUTED_VALUE"""),500000.0)</f>
        <v>500000</v>
      </c>
      <c r="G5578" s="22">
        <f>IFERROR(__xludf.DUMMYFUNCTION("""COMPUTED_VALUE"""),0.0)</f>
        <v>0</v>
      </c>
      <c r="H5578" s="22">
        <f>IFERROR(__xludf.DUMMYFUNCTION("""COMPUTED_VALUE"""),500000.0)</f>
        <v>500000</v>
      </c>
      <c r="I5578" s="24">
        <f>IFERROR(__xludf.DUMMYFUNCTION("""COMPUTED_VALUE"""),0.0)</f>
        <v>0</v>
      </c>
    </row>
    <row r="5579">
      <c r="A5579" s="5" t="str">
        <f>IFERROR(__xludf.DUMMYFUNCTION("""COMPUTED_VALUE"""),"75369")</f>
        <v>75369</v>
      </c>
      <c r="B5579" s="64">
        <f>IFERROR(__xludf.DUMMYFUNCTION("""COMPUTED_VALUE"""),44610.0)</f>
        <v>44610</v>
      </c>
      <c r="C5579" s="5"/>
      <c r="D5579" s="5"/>
      <c r="E5579" s="5"/>
      <c r="F5579" s="22">
        <f>IFERROR(__xludf.DUMMYFUNCTION("""COMPUTED_VALUE"""),500000.0)</f>
        <v>500000</v>
      </c>
      <c r="G5579" s="22">
        <f>IFERROR(__xludf.DUMMYFUNCTION("""COMPUTED_VALUE"""),0.0)</f>
        <v>0</v>
      </c>
      <c r="H5579" s="22">
        <f>IFERROR(__xludf.DUMMYFUNCTION("""COMPUTED_VALUE"""),500000.0)</f>
        <v>500000</v>
      </c>
      <c r="I5579" s="24">
        <f>IFERROR(__xludf.DUMMYFUNCTION("""COMPUTED_VALUE"""),0.0)</f>
        <v>0</v>
      </c>
    </row>
    <row r="5580">
      <c r="A5580" s="5" t="str">
        <f>IFERROR(__xludf.DUMMYFUNCTION("""COMPUTED_VALUE"""),"75369")</f>
        <v>75369</v>
      </c>
      <c r="B5580" s="64">
        <f>IFERROR(__xludf.DUMMYFUNCTION("""COMPUTED_VALUE"""),44611.0)</f>
        <v>44611</v>
      </c>
      <c r="C5580" s="5"/>
      <c r="D5580" s="5"/>
      <c r="E5580" s="5"/>
      <c r="F5580" s="22">
        <f>IFERROR(__xludf.DUMMYFUNCTION("""COMPUTED_VALUE"""),500000.0)</f>
        <v>500000</v>
      </c>
      <c r="G5580" s="22">
        <f>IFERROR(__xludf.DUMMYFUNCTION("""COMPUTED_VALUE"""),0.0)</f>
        <v>0</v>
      </c>
      <c r="H5580" s="22">
        <f>IFERROR(__xludf.DUMMYFUNCTION("""COMPUTED_VALUE"""),500000.0)</f>
        <v>500000</v>
      </c>
      <c r="I5580" s="24">
        <f>IFERROR(__xludf.DUMMYFUNCTION("""COMPUTED_VALUE"""),0.0)</f>
        <v>0</v>
      </c>
    </row>
    <row r="5581">
      <c r="A5581" s="5" t="str">
        <f>IFERROR(__xludf.DUMMYFUNCTION("""COMPUTED_VALUE"""),"75369")</f>
        <v>75369</v>
      </c>
      <c r="B5581" s="64">
        <f>IFERROR(__xludf.DUMMYFUNCTION("""COMPUTED_VALUE"""),44612.0)</f>
        <v>44612</v>
      </c>
      <c r="C5581" s="5"/>
      <c r="D5581" s="5"/>
      <c r="E5581" s="5"/>
      <c r="F5581" s="22">
        <f>IFERROR(__xludf.DUMMYFUNCTION("""COMPUTED_VALUE"""),500000.0)</f>
        <v>500000</v>
      </c>
      <c r="G5581" s="22">
        <f>IFERROR(__xludf.DUMMYFUNCTION("""COMPUTED_VALUE"""),0.0)</f>
        <v>0</v>
      </c>
      <c r="H5581" s="22">
        <f>IFERROR(__xludf.DUMMYFUNCTION("""COMPUTED_VALUE"""),500000.0)</f>
        <v>500000</v>
      </c>
      <c r="I5581" s="24">
        <f>IFERROR(__xludf.DUMMYFUNCTION("""COMPUTED_VALUE"""),0.0)</f>
        <v>0</v>
      </c>
    </row>
    <row r="5582">
      <c r="A5582" s="5" t="str">
        <f>IFERROR(__xludf.DUMMYFUNCTION("""COMPUTED_VALUE"""),"75369")</f>
        <v>75369</v>
      </c>
      <c r="B5582" s="64">
        <f>IFERROR(__xludf.DUMMYFUNCTION("""COMPUTED_VALUE"""),44613.0)</f>
        <v>44613</v>
      </c>
      <c r="C5582" s="5"/>
      <c r="D5582" s="5"/>
      <c r="E5582" s="5"/>
      <c r="F5582" s="22">
        <f>IFERROR(__xludf.DUMMYFUNCTION("""COMPUTED_VALUE"""),500000.0)</f>
        <v>500000</v>
      </c>
      <c r="G5582" s="22">
        <f>IFERROR(__xludf.DUMMYFUNCTION("""COMPUTED_VALUE"""),0.0)</f>
        <v>0</v>
      </c>
      <c r="H5582" s="22">
        <f>IFERROR(__xludf.DUMMYFUNCTION("""COMPUTED_VALUE"""),500000.0)</f>
        <v>500000</v>
      </c>
      <c r="I5582" s="24">
        <f>IFERROR(__xludf.DUMMYFUNCTION("""COMPUTED_VALUE"""),0.0)</f>
        <v>0</v>
      </c>
    </row>
    <row r="5583">
      <c r="A5583" s="5" t="str">
        <f>IFERROR(__xludf.DUMMYFUNCTION("""COMPUTED_VALUE"""),"75369")</f>
        <v>75369</v>
      </c>
      <c r="B5583" s="64">
        <f>IFERROR(__xludf.DUMMYFUNCTION("""COMPUTED_VALUE"""),44614.0)</f>
        <v>44614</v>
      </c>
      <c r="C5583" s="5"/>
      <c r="D5583" s="5"/>
      <c r="E5583" s="5"/>
      <c r="F5583" s="22">
        <f>IFERROR(__xludf.DUMMYFUNCTION("""COMPUTED_VALUE"""),500000.0)</f>
        <v>500000</v>
      </c>
      <c r="G5583" s="22">
        <f>IFERROR(__xludf.DUMMYFUNCTION("""COMPUTED_VALUE"""),0.0)</f>
        <v>0</v>
      </c>
      <c r="H5583" s="22">
        <f>IFERROR(__xludf.DUMMYFUNCTION("""COMPUTED_VALUE"""),500000.0)</f>
        <v>500000</v>
      </c>
      <c r="I5583" s="24">
        <f>IFERROR(__xludf.DUMMYFUNCTION("""COMPUTED_VALUE"""),0.0)</f>
        <v>0</v>
      </c>
    </row>
    <row r="5584">
      <c r="A5584" s="5" t="str">
        <f>IFERROR(__xludf.DUMMYFUNCTION("""COMPUTED_VALUE"""),"75369")</f>
        <v>75369</v>
      </c>
      <c r="B5584" s="64">
        <f>IFERROR(__xludf.DUMMYFUNCTION("""COMPUTED_VALUE"""),44615.0)</f>
        <v>44615</v>
      </c>
      <c r="C5584" s="5"/>
      <c r="D5584" s="5"/>
      <c r="E5584" s="5"/>
      <c r="F5584" s="22">
        <f>IFERROR(__xludf.DUMMYFUNCTION("""COMPUTED_VALUE"""),500000.0)</f>
        <v>500000</v>
      </c>
      <c r="G5584" s="22">
        <f>IFERROR(__xludf.DUMMYFUNCTION("""COMPUTED_VALUE"""),0.0)</f>
        <v>0</v>
      </c>
      <c r="H5584" s="22">
        <f>IFERROR(__xludf.DUMMYFUNCTION("""COMPUTED_VALUE"""),500000.0)</f>
        <v>500000</v>
      </c>
      <c r="I5584" s="24">
        <f>IFERROR(__xludf.DUMMYFUNCTION("""COMPUTED_VALUE"""),0.0)</f>
        <v>0</v>
      </c>
    </row>
    <row r="5585">
      <c r="A5585" s="5" t="str">
        <f>IFERROR(__xludf.DUMMYFUNCTION("""COMPUTED_VALUE"""),"75369")</f>
        <v>75369</v>
      </c>
      <c r="B5585" s="64">
        <f>IFERROR(__xludf.DUMMYFUNCTION("""COMPUTED_VALUE"""),44616.0)</f>
        <v>44616</v>
      </c>
      <c r="C5585" s="5"/>
      <c r="D5585" s="5"/>
      <c r="E5585" s="5"/>
      <c r="F5585" s="22">
        <f>IFERROR(__xludf.DUMMYFUNCTION("""COMPUTED_VALUE"""),500000.0)</f>
        <v>500000</v>
      </c>
      <c r="G5585" s="22">
        <f>IFERROR(__xludf.DUMMYFUNCTION("""COMPUTED_VALUE"""),0.0)</f>
        <v>0</v>
      </c>
      <c r="H5585" s="22">
        <f>IFERROR(__xludf.DUMMYFUNCTION("""COMPUTED_VALUE"""),500000.0)</f>
        <v>500000</v>
      </c>
      <c r="I5585" s="24">
        <f>IFERROR(__xludf.DUMMYFUNCTION("""COMPUTED_VALUE"""),0.0)</f>
        <v>0</v>
      </c>
    </row>
    <row r="5586">
      <c r="A5586" s="5" t="str">
        <f>IFERROR(__xludf.DUMMYFUNCTION("""COMPUTED_VALUE"""),"75369")</f>
        <v>75369</v>
      </c>
      <c r="B5586" s="64">
        <f>IFERROR(__xludf.DUMMYFUNCTION("""COMPUTED_VALUE"""),44617.0)</f>
        <v>44617</v>
      </c>
      <c r="C5586" s="5"/>
      <c r="D5586" s="5"/>
      <c r="E5586" s="5"/>
      <c r="F5586" s="22">
        <f>IFERROR(__xludf.DUMMYFUNCTION("""COMPUTED_VALUE"""),500000.0)</f>
        <v>500000</v>
      </c>
      <c r="G5586" s="22">
        <f>IFERROR(__xludf.DUMMYFUNCTION("""COMPUTED_VALUE"""),0.0)</f>
        <v>0</v>
      </c>
      <c r="H5586" s="22">
        <f>IFERROR(__xludf.DUMMYFUNCTION("""COMPUTED_VALUE"""),500000.0)</f>
        <v>500000</v>
      </c>
      <c r="I5586" s="24">
        <f>IFERROR(__xludf.DUMMYFUNCTION("""COMPUTED_VALUE"""),0.0)</f>
        <v>0</v>
      </c>
    </row>
    <row r="5587">
      <c r="A5587" s="5" t="str">
        <f>IFERROR(__xludf.DUMMYFUNCTION("""COMPUTED_VALUE"""),"75369")</f>
        <v>75369</v>
      </c>
      <c r="B5587" s="64">
        <f>IFERROR(__xludf.DUMMYFUNCTION("""COMPUTED_VALUE"""),44618.0)</f>
        <v>44618</v>
      </c>
      <c r="C5587" s="5"/>
      <c r="D5587" s="5"/>
      <c r="E5587" s="5"/>
      <c r="F5587" s="22">
        <f>IFERROR(__xludf.DUMMYFUNCTION("""COMPUTED_VALUE"""),500000.0)</f>
        <v>500000</v>
      </c>
      <c r="G5587" s="22">
        <f>IFERROR(__xludf.DUMMYFUNCTION("""COMPUTED_VALUE"""),0.0)</f>
        <v>0</v>
      </c>
      <c r="H5587" s="22">
        <f>IFERROR(__xludf.DUMMYFUNCTION("""COMPUTED_VALUE"""),500000.0)</f>
        <v>500000</v>
      </c>
      <c r="I5587" s="24">
        <f>IFERROR(__xludf.DUMMYFUNCTION("""COMPUTED_VALUE"""),0.0)</f>
        <v>0</v>
      </c>
    </row>
    <row r="5588">
      <c r="A5588" s="5" t="str">
        <f>IFERROR(__xludf.DUMMYFUNCTION("""COMPUTED_VALUE"""),"75369")</f>
        <v>75369</v>
      </c>
      <c r="B5588" s="64">
        <f>IFERROR(__xludf.DUMMYFUNCTION("""COMPUTED_VALUE"""),44619.0)</f>
        <v>44619</v>
      </c>
      <c r="C5588" s="5"/>
      <c r="D5588" s="5"/>
      <c r="E5588" s="5"/>
      <c r="F5588" s="22">
        <f>IFERROR(__xludf.DUMMYFUNCTION("""COMPUTED_VALUE"""),500000.0)</f>
        <v>500000</v>
      </c>
      <c r="G5588" s="22">
        <f>IFERROR(__xludf.DUMMYFUNCTION("""COMPUTED_VALUE"""),0.0)</f>
        <v>0</v>
      </c>
      <c r="H5588" s="22">
        <f>IFERROR(__xludf.DUMMYFUNCTION("""COMPUTED_VALUE"""),500000.0)</f>
        <v>500000</v>
      </c>
      <c r="I5588" s="24">
        <f>IFERROR(__xludf.DUMMYFUNCTION("""COMPUTED_VALUE"""),0.0)</f>
        <v>0</v>
      </c>
    </row>
    <row r="5589">
      <c r="A5589" s="5" t="str">
        <f>IFERROR(__xludf.DUMMYFUNCTION("""COMPUTED_VALUE"""),"75369")</f>
        <v>75369</v>
      </c>
      <c r="B5589" s="64">
        <f>IFERROR(__xludf.DUMMYFUNCTION("""COMPUTED_VALUE"""),44620.0)</f>
        <v>44620</v>
      </c>
      <c r="C5589" s="5"/>
      <c r="D5589" s="5"/>
      <c r="E5589" s="5"/>
      <c r="F5589" s="22">
        <f>IFERROR(__xludf.DUMMYFUNCTION("""COMPUTED_VALUE"""),500000.0)</f>
        <v>500000</v>
      </c>
      <c r="G5589" s="22">
        <f>IFERROR(__xludf.DUMMYFUNCTION("""COMPUTED_VALUE"""),0.0)</f>
        <v>0</v>
      </c>
      <c r="H5589" s="22">
        <f>IFERROR(__xludf.DUMMYFUNCTION("""COMPUTED_VALUE"""),500000.0)</f>
        <v>500000</v>
      </c>
      <c r="I5589" s="24">
        <f>IFERROR(__xludf.DUMMYFUNCTION("""COMPUTED_VALUE"""),0.0)</f>
        <v>0</v>
      </c>
    </row>
    <row r="5590">
      <c r="A5590" s="5" t="str">
        <f>IFERROR(__xludf.DUMMYFUNCTION("""COMPUTED_VALUE"""),"75369")</f>
        <v>75369</v>
      </c>
      <c r="B5590" s="64">
        <f>IFERROR(__xludf.DUMMYFUNCTION("""COMPUTED_VALUE"""),44621.0)</f>
        <v>44621</v>
      </c>
      <c r="C5590" s="5"/>
      <c r="D5590" s="5"/>
      <c r="E5590" s="5"/>
      <c r="F5590" s="22">
        <f>IFERROR(__xludf.DUMMYFUNCTION("""COMPUTED_VALUE"""),500000.0)</f>
        <v>500000</v>
      </c>
      <c r="G5590" s="22">
        <f>IFERROR(__xludf.DUMMYFUNCTION("""COMPUTED_VALUE"""),0.0)</f>
        <v>0</v>
      </c>
      <c r="H5590" s="22">
        <f>IFERROR(__xludf.DUMMYFUNCTION("""COMPUTED_VALUE"""),500000.0)</f>
        <v>500000</v>
      </c>
      <c r="I5590" s="24">
        <f>IFERROR(__xludf.DUMMYFUNCTION("""COMPUTED_VALUE"""),0.0)</f>
        <v>0</v>
      </c>
    </row>
    <row r="5591">
      <c r="A5591" s="5" t="str">
        <f>IFERROR(__xludf.DUMMYFUNCTION("""COMPUTED_VALUE"""),"75369")</f>
        <v>75369</v>
      </c>
      <c r="B5591" s="64">
        <f>IFERROR(__xludf.DUMMYFUNCTION("""COMPUTED_VALUE"""),44622.0)</f>
        <v>44622</v>
      </c>
      <c r="C5591" s="5"/>
      <c r="D5591" s="5"/>
      <c r="E5591" s="5"/>
      <c r="F5591" s="22">
        <f>IFERROR(__xludf.DUMMYFUNCTION("""COMPUTED_VALUE"""),500000.0)</f>
        <v>500000</v>
      </c>
      <c r="G5591" s="22">
        <f>IFERROR(__xludf.DUMMYFUNCTION("""COMPUTED_VALUE"""),0.0)</f>
        <v>0</v>
      </c>
      <c r="H5591" s="22">
        <f>IFERROR(__xludf.DUMMYFUNCTION("""COMPUTED_VALUE"""),500000.0)</f>
        <v>500000</v>
      </c>
      <c r="I5591" s="24">
        <f>IFERROR(__xludf.DUMMYFUNCTION("""COMPUTED_VALUE"""),0.0)</f>
        <v>0</v>
      </c>
    </row>
    <row r="5592">
      <c r="A5592" s="5" t="str">
        <f>IFERROR(__xludf.DUMMYFUNCTION("""COMPUTED_VALUE"""),"75369")</f>
        <v>75369</v>
      </c>
      <c r="B5592" s="64">
        <f>IFERROR(__xludf.DUMMYFUNCTION("""COMPUTED_VALUE"""),44623.0)</f>
        <v>44623</v>
      </c>
      <c r="C5592" s="5"/>
      <c r="D5592" s="5"/>
      <c r="E5592" s="5"/>
      <c r="F5592" s="22">
        <f>IFERROR(__xludf.DUMMYFUNCTION("""COMPUTED_VALUE"""),500000.0)</f>
        <v>500000</v>
      </c>
      <c r="G5592" s="22">
        <f>IFERROR(__xludf.DUMMYFUNCTION("""COMPUTED_VALUE"""),0.0)</f>
        <v>0</v>
      </c>
      <c r="H5592" s="22">
        <f>IFERROR(__xludf.DUMMYFUNCTION("""COMPUTED_VALUE"""),500000.0)</f>
        <v>500000</v>
      </c>
      <c r="I5592" s="24">
        <f>IFERROR(__xludf.DUMMYFUNCTION("""COMPUTED_VALUE"""),0.0)</f>
        <v>0</v>
      </c>
    </row>
    <row r="5593">
      <c r="A5593" s="5" t="str">
        <f>IFERROR(__xludf.DUMMYFUNCTION("""COMPUTED_VALUE"""),"75369")</f>
        <v>75369</v>
      </c>
      <c r="B5593" s="64">
        <f>IFERROR(__xludf.DUMMYFUNCTION("""COMPUTED_VALUE"""),44624.0)</f>
        <v>44624</v>
      </c>
      <c r="C5593" s="5"/>
      <c r="D5593" s="5"/>
      <c r="E5593" s="5"/>
      <c r="F5593" s="22">
        <f>IFERROR(__xludf.DUMMYFUNCTION("""COMPUTED_VALUE"""),500000.0)</f>
        <v>500000</v>
      </c>
      <c r="G5593" s="22">
        <f>IFERROR(__xludf.DUMMYFUNCTION("""COMPUTED_VALUE"""),0.0)</f>
        <v>0</v>
      </c>
      <c r="H5593" s="22">
        <f>IFERROR(__xludf.DUMMYFUNCTION("""COMPUTED_VALUE"""),500000.0)</f>
        <v>500000</v>
      </c>
      <c r="I5593" s="24">
        <f>IFERROR(__xludf.DUMMYFUNCTION("""COMPUTED_VALUE"""),0.0)</f>
        <v>0</v>
      </c>
    </row>
    <row r="5594">
      <c r="A5594" s="5" t="str">
        <f>IFERROR(__xludf.DUMMYFUNCTION("""COMPUTED_VALUE"""),"75369")</f>
        <v>75369</v>
      </c>
      <c r="B5594" s="64">
        <f>IFERROR(__xludf.DUMMYFUNCTION("""COMPUTED_VALUE"""),44625.0)</f>
        <v>44625</v>
      </c>
      <c r="C5594" s="5"/>
      <c r="D5594" s="5"/>
      <c r="E5594" s="5"/>
      <c r="F5594" s="22">
        <f>IFERROR(__xludf.DUMMYFUNCTION("""COMPUTED_VALUE"""),500000.0)</f>
        <v>500000</v>
      </c>
      <c r="G5594" s="22">
        <f>IFERROR(__xludf.DUMMYFUNCTION("""COMPUTED_VALUE"""),0.0)</f>
        <v>0</v>
      </c>
      <c r="H5594" s="22">
        <f>IFERROR(__xludf.DUMMYFUNCTION("""COMPUTED_VALUE"""),500000.0)</f>
        <v>500000</v>
      </c>
      <c r="I5594" s="24">
        <f>IFERROR(__xludf.DUMMYFUNCTION("""COMPUTED_VALUE"""),0.0)</f>
        <v>0</v>
      </c>
    </row>
    <row r="5595">
      <c r="A5595" s="5" t="str">
        <f>IFERROR(__xludf.DUMMYFUNCTION("""COMPUTED_VALUE"""),"75369")</f>
        <v>75369</v>
      </c>
      <c r="B5595" s="64">
        <f>IFERROR(__xludf.DUMMYFUNCTION("""COMPUTED_VALUE"""),44626.0)</f>
        <v>44626</v>
      </c>
      <c r="C5595" s="5"/>
      <c r="D5595" s="5"/>
      <c r="E5595" s="5"/>
      <c r="F5595" s="22">
        <f>IFERROR(__xludf.DUMMYFUNCTION("""COMPUTED_VALUE"""),500000.0)</f>
        <v>500000</v>
      </c>
      <c r="G5595" s="22">
        <f>IFERROR(__xludf.DUMMYFUNCTION("""COMPUTED_VALUE"""),0.0)</f>
        <v>0</v>
      </c>
      <c r="H5595" s="22">
        <f>IFERROR(__xludf.DUMMYFUNCTION("""COMPUTED_VALUE"""),500000.0)</f>
        <v>500000</v>
      </c>
      <c r="I5595" s="24">
        <f>IFERROR(__xludf.DUMMYFUNCTION("""COMPUTED_VALUE"""),0.0)</f>
        <v>0</v>
      </c>
    </row>
    <row r="5596">
      <c r="A5596" s="5" t="str">
        <f>IFERROR(__xludf.DUMMYFUNCTION("""COMPUTED_VALUE"""),"75369")</f>
        <v>75369</v>
      </c>
      <c r="B5596" s="64">
        <f>IFERROR(__xludf.DUMMYFUNCTION("""COMPUTED_VALUE"""),44627.0)</f>
        <v>44627</v>
      </c>
      <c r="C5596" s="5"/>
      <c r="D5596" s="5"/>
      <c r="E5596" s="5"/>
      <c r="F5596" s="22">
        <f>IFERROR(__xludf.DUMMYFUNCTION("""COMPUTED_VALUE"""),500000.0)</f>
        <v>500000</v>
      </c>
      <c r="G5596" s="22">
        <f>IFERROR(__xludf.DUMMYFUNCTION("""COMPUTED_VALUE"""),0.0)</f>
        <v>0</v>
      </c>
      <c r="H5596" s="22">
        <f>IFERROR(__xludf.DUMMYFUNCTION("""COMPUTED_VALUE"""),500000.0)</f>
        <v>500000</v>
      </c>
      <c r="I5596" s="24">
        <f>IFERROR(__xludf.DUMMYFUNCTION("""COMPUTED_VALUE"""),0.0)</f>
        <v>0</v>
      </c>
    </row>
    <row r="5597">
      <c r="A5597" s="5" t="str">
        <f>IFERROR(__xludf.DUMMYFUNCTION("""COMPUTED_VALUE"""),"75369")</f>
        <v>75369</v>
      </c>
      <c r="B5597" s="64">
        <f>IFERROR(__xludf.DUMMYFUNCTION("""COMPUTED_VALUE"""),44628.0)</f>
        <v>44628</v>
      </c>
      <c r="C5597" s="5"/>
      <c r="D5597" s="5"/>
      <c r="E5597" s="5"/>
      <c r="F5597" s="22">
        <f>IFERROR(__xludf.DUMMYFUNCTION("""COMPUTED_VALUE"""),500000.0)</f>
        <v>500000</v>
      </c>
      <c r="G5597" s="22">
        <f>IFERROR(__xludf.DUMMYFUNCTION("""COMPUTED_VALUE"""),0.0)</f>
        <v>0</v>
      </c>
      <c r="H5597" s="22">
        <f>IFERROR(__xludf.DUMMYFUNCTION("""COMPUTED_VALUE"""),500000.0)</f>
        <v>500000</v>
      </c>
      <c r="I5597" s="24">
        <f>IFERROR(__xludf.DUMMYFUNCTION("""COMPUTED_VALUE"""),0.0)</f>
        <v>0</v>
      </c>
    </row>
    <row r="5598">
      <c r="A5598" s="5" t="str">
        <f>IFERROR(__xludf.DUMMYFUNCTION("""COMPUTED_VALUE"""),"75369")</f>
        <v>75369</v>
      </c>
      <c r="B5598" s="64">
        <f>IFERROR(__xludf.DUMMYFUNCTION("""COMPUTED_VALUE"""),44629.0)</f>
        <v>44629</v>
      </c>
      <c r="C5598" s="5"/>
      <c r="D5598" s="5"/>
      <c r="E5598" s="5"/>
      <c r="F5598" s="22">
        <f>IFERROR(__xludf.DUMMYFUNCTION("""COMPUTED_VALUE"""),500000.0)</f>
        <v>500000</v>
      </c>
      <c r="G5598" s="22">
        <f>IFERROR(__xludf.DUMMYFUNCTION("""COMPUTED_VALUE"""),0.0)</f>
        <v>0</v>
      </c>
      <c r="H5598" s="22">
        <f>IFERROR(__xludf.DUMMYFUNCTION("""COMPUTED_VALUE"""),500000.0)</f>
        <v>500000</v>
      </c>
      <c r="I5598" s="24">
        <f>IFERROR(__xludf.DUMMYFUNCTION("""COMPUTED_VALUE"""),0.0)</f>
        <v>0</v>
      </c>
    </row>
    <row r="5599">
      <c r="A5599" s="5" t="str">
        <f>IFERROR(__xludf.DUMMYFUNCTION("""COMPUTED_VALUE"""),"75369")</f>
        <v>75369</v>
      </c>
      <c r="B5599" s="64">
        <f>IFERROR(__xludf.DUMMYFUNCTION("""COMPUTED_VALUE"""),44630.0)</f>
        <v>44630</v>
      </c>
      <c r="C5599" s="5"/>
      <c r="D5599" s="5"/>
      <c r="E5599" s="5"/>
      <c r="F5599" s="22">
        <f>IFERROR(__xludf.DUMMYFUNCTION("""COMPUTED_VALUE"""),500000.0)</f>
        <v>500000</v>
      </c>
      <c r="G5599" s="22">
        <f>IFERROR(__xludf.DUMMYFUNCTION("""COMPUTED_VALUE"""),0.0)</f>
        <v>0</v>
      </c>
      <c r="H5599" s="22">
        <f>IFERROR(__xludf.DUMMYFUNCTION("""COMPUTED_VALUE"""),500000.0)</f>
        <v>500000</v>
      </c>
      <c r="I5599" s="24">
        <f>IFERROR(__xludf.DUMMYFUNCTION("""COMPUTED_VALUE"""),0.0)</f>
        <v>0</v>
      </c>
    </row>
    <row r="5600">
      <c r="A5600" s="5" t="str">
        <f>IFERROR(__xludf.DUMMYFUNCTION("""COMPUTED_VALUE"""),"75369")</f>
        <v>75369</v>
      </c>
      <c r="B5600" s="64">
        <f>IFERROR(__xludf.DUMMYFUNCTION("""COMPUTED_VALUE"""),44631.0)</f>
        <v>44631</v>
      </c>
      <c r="C5600" s="5"/>
      <c r="D5600" s="5"/>
      <c r="E5600" s="5"/>
      <c r="F5600" s="22">
        <f>IFERROR(__xludf.DUMMYFUNCTION("""COMPUTED_VALUE"""),500000.0)</f>
        <v>500000</v>
      </c>
      <c r="G5600" s="22">
        <f>IFERROR(__xludf.DUMMYFUNCTION("""COMPUTED_VALUE"""),0.0)</f>
        <v>0</v>
      </c>
      <c r="H5600" s="22">
        <f>IFERROR(__xludf.DUMMYFUNCTION("""COMPUTED_VALUE"""),500000.0)</f>
        <v>500000</v>
      </c>
      <c r="I5600" s="24">
        <f>IFERROR(__xludf.DUMMYFUNCTION("""COMPUTED_VALUE"""),0.0)</f>
        <v>0</v>
      </c>
    </row>
    <row r="5601">
      <c r="A5601" s="5" t="str">
        <f>IFERROR(__xludf.DUMMYFUNCTION("""COMPUTED_VALUE"""),"75369")</f>
        <v>75369</v>
      </c>
      <c r="B5601" s="64">
        <f>IFERROR(__xludf.DUMMYFUNCTION("""COMPUTED_VALUE"""),44632.0)</f>
        <v>44632</v>
      </c>
      <c r="C5601" s="5"/>
      <c r="D5601" s="5"/>
      <c r="E5601" s="5"/>
      <c r="F5601" s="22">
        <f>IFERROR(__xludf.DUMMYFUNCTION("""COMPUTED_VALUE"""),500000.0)</f>
        <v>500000</v>
      </c>
      <c r="G5601" s="22">
        <f>IFERROR(__xludf.DUMMYFUNCTION("""COMPUTED_VALUE"""),0.0)</f>
        <v>0</v>
      </c>
      <c r="H5601" s="22">
        <f>IFERROR(__xludf.DUMMYFUNCTION("""COMPUTED_VALUE"""),500000.0)</f>
        <v>500000</v>
      </c>
      <c r="I5601" s="24">
        <f>IFERROR(__xludf.DUMMYFUNCTION("""COMPUTED_VALUE"""),0.0)</f>
        <v>0</v>
      </c>
    </row>
    <row r="5602">
      <c r="A5602" s="5" t="str">
        <f>IFERROR(__xludf.DUMMYFUNCTION("""COMPUTED_VALUE"""),"75369")</f>
        <v>75369</v>
      </c>
      <c r="B5602" s="64">
        <f>IFERROR(__xludf.DUMMYFUNCTION("""COMPUTED_VALUE"""),44633.0)</f>
        <v>44633</v>
      </c>
      <c r="C5602" s="5"/>
      <c r="D5602" s="5"/>
      <c r="E5602" s="5"/>
      <c r="F5602" s="22">
        <f>IFERROR(__xludf.DUMMYFUNCTION("""COMPUTED_VALUE"""),500000.0)</f>
        <v>500000</v>
      </c>
      <c r="G5602" s="22">
        <f>IFERROR(__xludf.DUMMYFUNCTION("""COMPUTED_VALUE"""),0.0)</f>
        <v>0</v>
      </c>
      <c r="H5602" s="22">
        <f>IFERROR(__xludf.DUMMYFUNCTION("""COMPUTED_VALUE"""),500000.0)</f>
        <v>500000</v>
      </c>
      <c r="I5602" s="24">
        <f>IFERROR(__xludf.DUMMYFUNCTION("""COMPUTED_VALUE"""),0.0)</f>
        <v>0</v>
      </c>
    </row>
    <row r="5603">
      <c r="A5603" s="5" t="str">
        <f>IFERROR(__xludf.DUMMYFUNCTION("""COMPUTED_VALUE"""),"75369")</f>
        <v>75369</v>
      </c>
      <c r="B5603" s="64">
        <f>IFERROR(__xludf.DUMMYFUNCTION("""COMPUTED_VALUE"""),44634.0)</f>
        <v>44634</v>
      </c>
      <c r="C5603" s="5"/>
      <c r="D5603" s="5"/>
      <c r="E5603" s="5"/>
      <c r="F5603" s="22">
        <f>IFERROR(__xludf.DUMMYFUNCTION("""COMPUTED_VALUE"""),500000.0)</f>
        <v>500000</v>
      </c>
      <c r="G5603" s="22">
        <f>IFERROR(__xludf.DUMMYFUNCTION("""COMPUTED_VALUE"""),0.0)</f>
        <v>0</v>
      </c>
      <c r="H5603" s="22">
        <f>IFERROR(__xludf.DUMMYFUNCTION("""COMPUTED_VALUE"""),500000.0)</f>
        <v>500000</v>
      </c>
      <c r="I5603" s="24">
        <f>IFERROR(__xludf.DUMMYFUNCTION("""COMPUTED_VALUE"""),0.0)</f>
        <v>0</v>
      </c>
    </row>
    <row r="5604">
      <c r="A5604" s="5" t="str">
        <f>IFERROR(__xludf.DUMMYFUNCTION("""COMPUTED_VALUE"""),"75369")</f>
        <v>75369</v>
      </c>
      <c r="B5604" s="64">
        <f>IFERROR(__xludf.DUMMYFUNCTION("""COMPUTED_VALUE"""),44635.0)</f>
        <v>44635</v>
      </c>
      <c r="C5604" s="5"/>
      <c r="D5604" s="5"/>
      <c r="E5604" s="5"/>
      <c r="F5604" s="22">
        <f>IFERROR(__xludf.DUMMYFUNCTION("""COMPUTED_VALUE"""),500000.0)</f>
        <v>500000</v>
      </c>
      <c r="G5604" s="22">
        <f>IFERROR(__xludf.DUMMYFUNCTION("""COMPUTED_VALUE"""),0.0)</f>
        <v>0</v>
      </c>
      <c r="H5604" s="22">
        <f>IFERROR(__xludf.DUMMYFUNCTION("""COMPUTED_VALUE"""),500000.0)</f>
        <v>500000</v>
      </c>
      <c r="I5604" s="24">
        <f>IFERROR(__xludf.DUMMYFUNCTION("""COMPUTED_VALUE"""),0.0)</f>
        <v>0</v>
      </c>
    </row>
    <row r="5605">
      <c r="A5605" s="5" t="str">
        <f>IFERROR(__xludf.DUMMYFUNCTION("""COMPUTED_VALUE"""),"75369")</f>
        <v>75369</v>
      </c>
      <c r="B5605" s="64">
        <f>IFERROR(__xludf.DUMMYFUNCTION("""COMPUTED_VALUE"""),44636.0)</f>
        <v>44636</v>
      </c>
      <c r="C5605" s="5"/>
      <c r="D5605" s="5"/>
      <c r="E5605" s="5"/>
      <c r="F5605" s="22">
        <f>IFERROR(__xludf.DUMMYFUNCTION("""COMPUTED_VALUE"""),500000.0)</f>
        <v>500000</v>
      </c>
      <c r="G5605" s="22">
        <f>IFERROR(__xludf.DUMMYFUNCTION("""COMPUTED_VALUE"""),0.0)</f>
        <v>0</v>
      </c>
      <c r="H5605" s="22">
        <f>IFERROR(__xludf.DUMMYFUNCTION("""COMPUTED_VALUE"""),500000.0)</f>
        <v>500000</v>
      </c>
      <c r="I5605" s="24">
        <f>IFERROR(__xludf.DUMMYFUNCTION("""COMPUTED_VALUE"""),0.0)</f>
        <v>0</v>
      </c>
    </row>
    <row r="5606">
      <c r="A5606" s="5" t="str">
        <f>IFERROR(__xludf.DUMMYFUNCTION("""COMPUTED_VALUE"""),"75369")</f>
        <v>75369</v>
      </c>
      <c r="B5606" s="64">
        <f>IFERROR(__xludf.DUMMYFUNCTION("""COMPUTED_VALUE"""),44637.0)</f>
        <v>44637</v>
      </c>
      <c r="C5606" s="5"/>
      <c r="D5606" s="5"/>
      <c r="E5606" s="5"/>
      <c r="F5606" s="22">
        <f>IFERROR(__xludf.DUMMYFUNCTION("""COMPUTED_VALUE"""),500000.0)</f>
        <v>500000</v>
      </c>
      <c r="G5606" s="22">
        <f>IFERROR(__xludf.DUMMYFUNCTION("""COMPUTED_VALUE"""),0.0)</f>
        <v>0</v>
      </c>
      <c r="H5606" s="22">
        <f>IFERROR(__xludf.DUMMYFUNCTION("""COMPUTED_VALUE"""),500000.0)</f>
        <v>500000</v>
      </c>
      <c r="I5606" s="24">
        <f>IFERROR(__xludf.DUMMYFUNCTION("""COMPUTED_VALUE"""),0.0)</f>
        <v>0</v>
      </c>
    </row>
    <row r="5607">
      <c r="A5607" s="5" t="str">
        <f>IFERROR(__xludf.DUMMYFUNCTION("""COMPUTED_VALUE"""),"75369")</f>
        <v>75369</v>
      </c>
      <c r="B5607" s="64">
        <f>IFERROR(__xludf.DUMMYFUNCTION("""COMPUTED_VALUE"""),44638.0)</f>
        <v>44638</v>
      </c>
      <c r="C5607" s="5"/>
      <c r="D5607" s="5"/>
      <c r="E5607" s="5"/>
      <c r="F5607" s="22">
        <f>IFERROR(__xludf.DUMMYFUNCTION("""COMPUTED_VALUE"""),500000.0)</f>
        <v>500000</v>
      </c>
      <c r="G5607" s="22">
        <f>IFERROR(__xludf.DUMMYFUNCTION("""COMPUTED_VALUE"""),0.0)</f>
        <v>0</v>
      </c>
      <c r="H5607" s="22">
        <f>IFERROR(__xludf.DUMMYFUNCTION("""COMPUTED_VALUE"""),500000.0)</f>
        <v>500000</v>
      </c>
      <c r="I5607" s="24">
        <f>IFERROR(__xludf.DUMMYFUNCTION("""COMPUTED_VALUE"""),0.0)</f>
        <v>0</v>
      </c>
    </row>
    <row r="5608">
      <c r="A5608" s="5" t="str">
        <f>IFERROR(__xludf.DUMMYFUNCTION("""COMPUTED_VALUE"""),"75369")</f>
        <v>75369</v>
      </c>
      <c r="B5608" s="64">
        <f>IFERROR(__xludf.DUMMYFUNCTION("""COMPUTED_VALUE"""),44639.0)</f>
        <v>44639</v>
      </c>
      <c r="C5608" s="5"/>
      <c r="D5608" s="5"/>
      <c r="E5608" s="5"/>
      <c r="F5608" s="22">
        <f>IFERROR(__xludf.DUMMYFUNCTION("""COMPUTED_VALUE"""),500000.0)</f>
        <v>500000</v>
      </c>
      <c r="G5608" s="22">
        <f>IFERROR(__xludf.DUMMYFUNCTION("""COMPUTED_VALUE"""),0.0)</f>
        <v>0</v>
      </c>
      <c r="H5608" s="22">
        <f>IFERROR(__xludf.DUMMYFUNCTION("""COMPUTED_VALUE"""),500000.0)</f>
        <v>500000</v>
      </c>
      <c r="I5608" s="24">
        <f>IFERROR(__xludf.DUMMYFUNCTION("""COMPUTED_VALUE"""),0.0)</f>
        <v>0</v>
      </c>
    </row>
    <row r="5609">
      <c r="A5609" s="5" t="str">
        <f>IFERROR(__xludf.DUMMYFUNCTION("""COMPUTED_VALUE"""),"75369")</f>
        <v>75369</v>
      </c>
      <c r="B5609" s="64">
        <f>IFERROR(__xludf.DUMMYFUNCTION("""COMPUTED_VALUE"""),44640.0)</f>
        <v>44640</v>
      </c>
      <c r="C5609" s="5"/>
      <c r="D5609" s="5"/>
      <c r="E5609" s="5"/>
      <c r="F5609" s="22">
        <f>IFERROR(__xludf.DUMMYFUNCTION("""COMPUTED_VALUE"""),500000.0)</f>
        <v>500000</v>
      </c>
      <c r="G5609" s="22">
        <f>IFERROR(__xludf.DUMMYFUNCTION("""COMPUTED_VALUE"""),0.0)</f>
        <v>0</v>
      </c>
      <c r="H5609" s="22">
        <f>IFERROR(__xludf.DUMMYFUNCTION("""COMPUTED_VALUE"""),500000.0)</f>
        <v>500000</v>
      </c>
      <c r="I5609" s="24">
        <f>IFERROR(__xludf.DUMMYFUNCTION("""COMPUTED_VALUE"""),0.0)</f>
        <v>0</v>
      </c>
    </row>
    <row r="5610">
      <c r="A5610" s="5" t="str">
        <f>IFERROR(__xludf.DUMMYFUNCTION("""COMPUTED_VALUE"""),"75369")</f>
        <v>75369</v>
      </c>
      <c r="B5610" s="64">
        <f>IFERROR(__xludf.DUMMYFUNCTION("""COMPUTED_VALUE"""),44641.0)</f>
        <v>44641</v>
      </c>
      <c r="C5610" s="5"/>
      <c r="D5610" s="5"/>
      <c r="E5610" s="5"/>
      <c r="F5610" s="22">
        <f>IFERROR(__xludf.DUMMYFUNCTION("""COMPUTED_VALUE"""),500000.0)</f>
        <v>500000</v>
      </c>
      <c r="G5610" s="22">
        <f>IFERROR(__xludf.DUMMYFUNCTION("""COMPUTED_VALUE"""),0.0)</f>
        <v>0</v>
      </c>
      <c r="H5610" s="22">
        <f>IFERROR(__xludf.DUMMYFUNCTION("""COMPUTED_VALUE"""),500000.0)</f>
        <v>500000</v>
      </c>
      <c r="I5610" s="24">
        <f>IFERROR(__xludf.DUMMYFUNCTION("""COMPUTED_VALUE"""),0.0)</f>
        <v>0</v>
      </c>
    </row>
    <row r="5611">
      <c r="A5611" s="5" t="str">
        <f>IFERROR(__xludf.DUMMYFUNCTION("""COMPUTED_VALUE"""),"75369")</f>
        <v>75369</v>
      </c>
      <c r="B5611" s="64">
        <f>IFERROR(__xludf.DUMMYFUNCTION("""COMPUTED_VALUE"""),44642.0)</f>
        <v>44642</v>
      </c>
      <c r="C5611" s="5"/>
      <c r="D5611" s="5"/>
      <c r="E5611" s="5"/>
      <c r="F5611" s="22">
        <f>IFERROR(__xludf.DUMMYFUNCTION("""COMPUTED_VALUE"""),500000.0)</f>
        <v>500000</v>
      </c>
      <c r="G5611" s="22">
        <f>IFERROR(__xludf.DUMMYFUNCTION("""COMPUTED_VALUE"""),0.0)</f>
        <v>0</v>
      </c>
      <c r="H5611" s="22">
        <f>IFERROR(__xludf.DUMMYFUNCTION("""COMPUTED_VALUE"""),500000.0)</f>
        <v>500000</v>
      </c>
      <c r="I5611" s="24">
        <f>IFERROR(__xludf.DUMMYFUNCTION("""COMPUTED_VALUE"""),0.0)</f>
        <v>0</v>
      </c>
    </row>
    <row r="5612">
      <c r="A5612" s="5" t="str">
        <f>IFERROR(__xludf.DUMMYFUNCTION("""COMPUTED_VALUE"""),"75369")</f>
        <v>75369</v>
      </c>
      <c r="B5612" s="64">
        <f>IFERROR(__xludf.DUMMYFUNCTION("""COMPUTED_VALUE"""),44643.0)</f>
        <v>44643</v>
      </c>
      <c r="C5612" s="5"/>
      <c r="D5612" s="5"/>
      <c r="E5612" s="5"/>
      <c r="F5612" s="22">
        <f>IFERROR(__xludf.DUMMYFUNCTION("""COMPUTED_VALUE"""),500000.0)</f>
        <v>500000</v>
      </c>
      <c r="G5612" s="22">
        <f>IFERROR(__xludf.DUMMYFUNCTION("""COMPUTED_VALUE"""),0.0)</f>
        <v>0</v>
      </c>
      <c r="H5612" s="22">
        <f>IFERROR(__xludf.DUMMYFUNCTION("""COMPUTED_VALUE"""),500000.0)</f>
        <v>500000</v>
      </c>
      <c r="I5612" s="24">
        <f>IFERROR(__xludf.DUMMYFUNCTION("""COMPUTED_VALUE"""),0.0)</f>
        <v>0</v>
      </c>
    </row>
    <row r="5613">
      <c r="A5613" s="5" t="str">
        <f>IFERROR(__xludf.DUMMYFUNCTION("""COMPUTED_VALUE"""),"75369")</f>
        <v>75369</v>
      </c>
      <c r="B5613" s="64">
        <f>IFERROR(__xludf.DUMMYFUNCTION("""COMPUTED_VALUE"""),44644.0)</f>
        <v>44644</v>
      </c>
      <c r="C5613" s="5"/>
      <c r="D5613" s="5"/>
      <c r="E5613" s="5"/>
      <c r="F5613" s="22">
        <f>IFERROR(__xludf.DUMMYFUNCTION("""COMPUTED_VALUE"""),434000.0)</f>
        <v>434000</v>
      </c>
      <c r="G5613" s="22">
        <f>IFERROR(__xludf.DUMMYFUNCTION("""COMPUTED_VALUE"""),0.0)</f>
        <v>0</v>
      </c>
      <c r="H5613" s="22">
        <f>IFERROR(__xludf.DUMMYFUNCTION("""COMPUTED_VALUE"""),500000.0)</f>
        <v>500000</v>
      </c>
      <c r="I5613" s="24">
        <f>IFERROR(__xludf.DUMMYFUNCTION("""COMPUTED_VALUE"""),0.0)</f>
        <v>0</v>
      </c>
    </row>
    <row r="5614">
      <c r="A5614" s="5" t="str">
        <f>IFERROR(__xludf.DUMMYFUNCTION("""COMPUTED_VALUE"""),"75369")</f>
        <v>75369</v>
      </c>
      <c r="B5614" s="64">
        <f>IFERROR(__xludf.DUMMYFUNCTION("""COMPUTED_VALUE"""),44645.0)</f>
        <v>44645</v>
      </c>
      <c r="C5614" s="5"/>
      <c r="D5614" s="5"/>
      <c r="E5614" s="5"/>
      <c r="F5614" s="22">
        <f>IFERROR(__xludf.DUMMYFUNCTION("""COMPUTED_VALUE"""),434000.0)</f>
        <v>434000</v>
      </c>
      <c r="G5614" s="22">
        <f>IFERROR(__xludf.DUMMYFUNCTION("""COMPUTED_VALUE"""),0.0)</f>
        <v>0</v>
      </c>
      <c r="H5614" s="22">
        <f>IFERROR(__xludf.DUMMYFUNCTION("""COMPUTED_VALUE"""),496640.0)</f>
        <v>496640</v>
      </c>
      <c r="I5614" s="24">
        <f>IFERROR(__xludf.DUMMYFUNCTION("""COMPUTED_VALUE"""),-0.006719999999999948)</f>
        <v>-0.00672</v>
      </c>
    </row>
    <row r="5615">
      <c r="A5615" s="5" t="str">
        <f>IFERROR(__xludf.DUMMYFUNCTION("""COMPUTED_VALUE"""),"75369")</f>
        <v>75369</v>
      </c>
      <c r="B5615" s="64">
        <f>IFERROR(__xludf.DUMMYFUNCTION("""COMPUTED_VALUE"""),44646.0)</f>
        <v>44646</v>
      </c>
      <c r="C5615" s="5"/>
      <c r="D5615" s="5"/>
      <c r="E5615" s="5"/>
      <c r="F5615" s="22">
        <f>IFERROR(__xludf.DUMMYFUNCTION("""COMPUTED_VALUE"""),434000.0)</f>
        <v>434000</v>
      </c>
      <c r="G5615" s="22">
        <f>IFERROR(__xludf.DUMMYFUNCTION("""COMPUTED_VALUE"""),0.0)</f>
        <v>0</v>
      </c>
      <c r="H5615" s="22">
        <f>IFERROR(__xludf.DUMMYFUNCTION("""COMPUTED_VALUE"""),496640.0)</f>
        <v>496640</v>
      </c>
      <c r="I5615" s="24">
        <f>IFERROR(__xludf.DUMMYFUNCTION("""COMPUTED_VALUE"""),-0.006719999999999948)</f>
        <v>-0.00672</v>
      </c>
    </row>
    <row r="5616">
      <c r="A5616" s="5" t="str">
        <f>IFERROR(__xludf.DUMMYFUNCTION("""COMPUTED_VALUE"""),"75369")</f>
        <v>75369</v>
      </c>
      <c r="B5616" s="64">
        <f>IFERROR(__xludf.DUMMYFUNCTION("""COMPUTED_VALUE"""),44647.0)</f>
        <v>44647</v>
      </c>
      <c r="C5616" s="5"/>
      <c r="D5616" s="5"/>
      <c r="E5616" s="5"/>
      <c r="F5616" s="22">
        <f>IFERROR(__xludf.DUMMYFUNCTION("""COMPUTED_VALUE"""),434000.0)</f>
        <v>434000</v>
      </c>
      <c r="G5616" s="22">
        <f>IFERROR(__xludf.DUMMYFUNCTION("""COMPUTED_VALUE"""),0.0)</f>
        <v>0</v>
      </c>
      <c r="H5616" s="22">
        <f>IFERROR(__xludf.DUMMYFUNCTION("""COMPUTED_VALUE"""),496640.0)</f>
        <v>496640</v>
      </c>
      <c r="I5616" s="24">
        <f>IFERROR(__xludf.DUMMYFUNCTION("""COMPUTED_VALUE"""),-0.006719999999999948)</f>
        <v>-0.00672</v>
      </c>
    </row>
    <row r="5617">
      <c r="A5617" s="5" t="str">
        <f>IFERROR(__xludf.DUMMYFUNCTION("""COMPUTED_VALUE"""),"75369")</f>
        <v>75369</v>
      </c>
      <c r="B5617" s="64">
        <f>IFERROR(__xludf.DUMMYFUNCTION("""COMPUTED_VALUE"""),44648.0)</f>
        <v>44648</v>
      </c>
      <c r="C5617" s="5"/>
      <c r="D5617" s="5"/>
      <c r="E5617" s="5"/>
      <c r="F5617" s="22">
        <f>IFERROR(__xludf.DUMMYFUNCTION("""COMPUTED_VALUE"""),434000.0)</f>
        <v>434000</v>
      </c>
      <c r="G5617" s="22">
        <f>IFERROR(__xludf.DUMMYFUNCTION("""COMPUTED_VALUE"""),0.0)</f>
        <v>0</v>
      </c>
      <c r="H5617" s="22">
        <f>IFERROR(__xludf.DUMMYFUNCTION("""COMPUTED_VALUE"""),500760.0)</f>
        <v>500760</v>
      </c>
      <c r="I5617" s="24">
        <f>IFERROR(__xludf.DUMMYFUNCTION("""COMPUTED_VALUE"""),0.0015199999999999658)</f>
        <v>0.00152</v>
      </c>
    </row>
    <row r="5618">
      <c r="A5618" s="5" t="str">
        <f>IFERROR(__xludf.DUMMYFUNCTION("""COMPUTED_VALUE"""),"75369")</f>
        <v>75369</v>
      </c>
      <c r="B5618" s="64">
        <f>IFERROR(__xludf.DUMMYFUNCTION("""COMPUTED_VALUE"""),44649.0)</f>
        <v>44649</v>
      </c>
      <c r="C5618" s="5"/>
      <c r="D5618" s="5"/>
      <c r="E5618" s="5"/>
      <c r="F5618" s="22">
        <f>IFERROR(__xludf.DUMMYFUNCTION("""COMPUTED_VALUE"""),-178188.609625)</f>
        <v>-178188.6096</v>
      </c>
      <c r="G5618" s="22">
        <f>IFERROR(__xludf.DUMMYFUNCTION("""COMPUTED_VALUE"""),178188.609625)</f>
        <v>178188.6096</v>
      </c>
      <c r="H5618" s="22">
        <f>IFERROR(__xludf.DUMMYFUNCTION("""COMPUTED_VALUE"""),514112.035875)</f>
        <v>514112.0359</v>
      </c>
      <c r="I5618" s="24">
        <f>IFERROR(__xludf.DUMMYFUNCTION("""COMPUTED_VALUE"""),0.028224071749999968)</f>
        <v>0.02822407175</v>
      </c>
    </row>
    <row r="5619">
      <c r="A5619" s="5" t="str">
        <f>IFERROR(__xludf.DUMMYFUNCTION("""COMPUTED_VALUE"""),"75369")</f>
        <v>75369</v>
      </c>
      <c r="B5619" s="64">
        <f>IFERROR(__xludf.DUMMYFUNCTION("""COMPUTED_VALUE"""),44650.0)</f>
        <v>44650</v>
      </c>
      <c r="C5619" s="5"/>
      <c r="D5619" s="5"/>
      <c r="E5619" s="5"/>
      <c r="F5619" s="22">
        <f>IFERROR(__xludf.DUMMYFUNCTION("""COMPUTED_VALUE"""),-178188.609625)</f>
        <v>-178188.6096</v>
      </c>
      <c r="G5619" s="22">
        <f>IFERROR(__xludf.DUMMYFUNCTION("""COMPUTED_VALUE"""),178188.609625)</f>
        <v>178188.6096</v>
      </c>
      <c r="H5619" s="22">
        <f>IFERROR(__xludf.DUMMYFUNCTION("""COMPUTED_VALUE"""),507778.3779999999)</f>
        <v>507778.378</v>
      </c>
      <c r="I5619" s="24">
        <f>IFERROR(__xludf.DUMMYFUNCTION("""COMPUTED_VALUE"""),0.015556755999999838)</f>
        <v>0.015556756</v>
      </c>
    </row>
    <row r="5620">
      <c r="A5620" s="5" t="str">
        <f>IFERROR(__xludf.DUMMYFUNCTION("""COMPUTED_VALUE"""),"75369")</f>
        <v>75369</v>
      </c>
      <c r="B5620" s="64">
        <f>IFERROR(__xludf.DUMMYFUNCTION("""COMPUTED_VALUE"""),44651.0)</f>
        <v>44651</v>
      </c>
      <c r="C5620" s="5"/>
      <c r="D5620" s="5"/>
      <c r="E5620" s="5"/>
      <c r="F5620" s="22">
        <f>IFERROR(__xludf.DUMMYFUNCTION("""COMPUTED_VALUE"""),-178188.609625)</f>
        <v>-178188.6096</v>
      </c>
      <c r="G5620" s="22">
        <f>IFERROR(__xludf.DUMMYFUNCTION("""COMPUTED_VALUE"""),178188.609625)</f>
        <v>178188.6096</v>
      </c>
      <c r="H5620" s="22">
        <f>IFERROR(__xludf.DUMMYFUNCTION("""COMPUTED_VALUE"""),474359.256375)</f>
        <v>474359.2564</v>
      </c>
      <c r="I5620" s="24">
        <f>IFERROR(__xludf.DUMMYFUNCTION("""COMPUTED_VALUE"""),-0.051281487250000035)</f>
        <v>-0.05128148725</v>
      </c>
    </row>
    <row r="5621">
      <c r="A5621" s="5" t="str">
        <f>IFERROR(__xludf.DUMMYFUNCTION("""COMPUTED_VALUE"""),"75369")</f>
        <v>75369</v>
      </c>
      <c r="B5621" s="64">
        <f>IFERROR(__xludf.DUMMYFUNCTION("""COMPUTED_VALUE"""),44652.0)</f>
        <v>44652</v>
      </c>
      <c r="C5621" s="5"/>
      <c r="D5621" s="5"/>
      <c r="E5621" s="5"/>
      <c r="F5621" s="22">
        <f>IFERROR(__xludf.DUMMYFUNCTION("""COMPUTED_VALUE"""),-178188.609625)</f>
        <v>-178188.6096</v>
      </c>
      <c r="G5621" s="22">
        <f>IFERROR(__xludf.DUMMYFUNCTION("""COMPUTED_VALUE"""),178188.609625)</f>
        <v>178188.6096</v>
      </c>
      <c r="H5621" s="22">
        <f>IFERROR(__xludf.DUMMYFUNCTION("""COMPUTED_VALUE"""),498061.12749999994)</f>
        <v>498061.1275</v>
      </c>
      <c r="I5621" s="24">
        <f>IFERROR(__xludf.DUMMYFUNCTION("""COMPUTED_VALUE"""),-0.0038777450000001545)</f>
        <v>-0.003877745</v>
      </c>
    </row>
    <row r="5622">
      <c r="A5622" s="5" t="str">
        <f>IFERROR(__xludf.DUMMYFUNCTION("""COMPUTED_VALUE"""),"75369")</f>
        <v>75369</v>
      </c>
      <c r="B5622" s="64">
        <f>IFERROR(__xludf.DUMMYFUNCTION("""COMPUTED_VALUE"""),44653.0)</f>
        <v>44653</v>
      </c>
      <c r="C5622" s="5"/>
      <c r="D5622" s="5"/>
      <c r="E5622" s="5"/>
      <c r="F5622" s="22">
        <f>IFERROR(__xludf.DUMMYFUNCTION("""COMPUTED_VALUE"""),-178188.609625)</f>
        <v>-178188.6096</v>
      </c>
      <c r="G5622" s="22">
        <f>IFERROR(__xludf.DUMMYFUNCTION("""COMPUTED_VALUE"""),178188.609625)</f>
        <v>178188.6096</v>
      </c>
      <c r="H5622" s="22">
        <f>IFERROR(__xludf.DUMMYFUNCTION("""COMPUTED_VALUE"""),498061.12749999994)</f>
        <v>498061.1275</v>
      </c>
      <c r="I5622" s="24">
        <f>IFERROR(__xludf.DUMMYFUNCTION("""COMPUTED_VALUE"""),-0.0038777450000001545)</f>
        <v>-0.003877745</v>
      </c>
    </row>
    <row r="5623">
      <c r="A5623" s="5" t="str">
        <f>IFERROR(__xludf.DUMMYFUNCTION("""COMPUTED_VALUE"""),"75369")</f>
        <v>75369</v>
      </c>
      <c r="B5623" s="64">
        <f>IFERROR(__xludf.DUMMYFUNCTION("""COMPUTED_VALUE"""),44654.0)</f>
        <v>44654</v>
      </c>
      <c r="C5623" s="5"/>
      <c r="D5623" s="5"/>
      <c r="E5623" s="5"/>
      <c r="F5623" s="22">
        <f>IFERROR(__xludf.DUMMYFUNCTION("""COMPUTED_VALUE"""),-178188.609625)</f>
        <v>-178188.6096</v>
      </c>
      <c r="G5623" s="22">
        <f>IFERROR(__xludf.DUMMYFUNCTION("""COMPUTED_VALUE"""),178188.609625)</f>
        <v>178188.6096</v>
      </c>
      <c r="H5623" s="22">
        <f>IFERROR(__xludf.DUMMYFUNCTION("""COMPUTED_VALUE"""),498061.12749999994)</f>
        <v>498061.1275</v>
      </c>
      <c r="I5623" s="24">
        <f>IFERROR(__xludf.DUMMYFUNCTION("""COMPUTED_VALUE"""),-0.0038777450000001545)</f>
        <v>-0.003877745</v>
      </c>
    </row>
    <row r="5624">
      <c r="A5624" s="5" t="str">
        <f>IFERROR(__xludf.DUMMYFUNCTION("""COMPUTED_VALUE"""),"75369")</f>
        <v>75369</v>
      </c>
      <c r="B5624" s="64">
        <f>IFERROR(__xludf.DUMMYFUNCTION("""COMPUTED_VALUE"""),44655.0)</f>
        <v>44655</v>
      </c>
      <c r="C5624" s="5"/>
      <c r="D5624" s="5"/>
      <c r="E5624" s="5"/>
      <c r="F5624" s="22">
        <f>IFERROR(__xludf.DUMMYFUNCTION("""COMPUTED_VALUE"""),-178188.609625)</f>
        <v>-178188.6096</v>
      </c>
      <c r="G5624" s="22">
        <f>IFERROR(__xludf.DUMMYFUNCTION("""COMPUTED_VALUE"""),178188.609625)</f>
        <v>178188.6096</v>
      </c>
      <c r="H5624" s="22">
        <f>IFERROR(__xludf.DUMMYFUNCTION("""COMPUTED_VALUE"""),538497.16525)</f>
        <v>538497.1653</v>
      </c>
      <c r="I5624" s="24">
        <f>IFERROR(__xludf.DUMMYFUNCTION("""COMPUTED_VALUE"""),0.07699433049999982)</f>
        <v>0.0769943305</v>
      </c>
    </row>
    <row r="5625">
      <c r="A5625" s="5" t="str">
        <f>IFERROR(__xludf.DUMMYFUNCTION("""COMPUTED_VALUE"""),"75369")</f>
        <v>75369</v>
      </c>
      <c r="B5625" s="64">
        <f>IFERROR(__xludf.DUMMYFUNCTION("""COMPUTED_VALUE"""),44656.0)</f>
        <v>44656</v>
      </c>
      <c r="C5625" s="5"/>
      <c r="D5625" s="5"/>
      <c r="E5625" s="5"/>
      <c r="F5625" s="22">
        <f>IFERROR(__xludf.DUMMYFUNCTION("""COMPUTED_VALUE"""),-178188.609625)</f>
        <v>-178188.6096</v>
      </c>
      <c r="G5625" s="22">
        <f>IFERROR(__xludf.DUMMYFUNCTION("""COMPUTED_VALUE"""),178188.609625)</f>
        <v>178188.6096</v>
      </c>
      <c r="H5625" s="22">
        <f>IFERROR(__xludf.DUMMYFUNCTION("""COMPUTED_VALUE"""),517656.0498749999)</f>
        <v>517656.0499</v>
      </c>
      <c r="I5625" s="24">
        <f>IFERROR(__xludf.DUMMYFUNCTION("""COMPUTED_VALUE"""),0.035312099749999826)</f>
        <v>0.03531209975</v>
      </c>
    </row>
    <row r="5626">
      <c r="A5626" s="5" t="str">
        <f>IFERROR(__xludf.DUMMYFUNCTION("""COMPUTED_VALUE"""),"75369")</f>
        <v>75369</v>
      </c>
      <c r="B5626" s="64">
        <f>IFERROR(__xludf.DUMMYFUNCTION("""COMPUTED_VALUE"""),44657.0)</f>
        <v>44657</v>
      </c>
      <c r="C5626" s="5"/>
      <c r="D5626" s="5"/>
      <c r="E5626" s="5"/>
      <c r="F5626" s="22">
        <f>IFERROR(__xludf.DUMMYFUNCTION("""COMPUTED_VALUE"""),-178188.609625)</f>
        <v>-178188.6096</v>
      </c>
      <c r="G5626" s="22">
        <f>IFERROR(__xludf.DUMMYFUNCTION("""COMPUTED_VALUE"""),178188.609625)</f>
        <v>178188.6096</v>
      </c>
      <c r="H5626" s="22">
        <f>IFERROR(__xludf.DUMMYFUNCTION("""COMPUTED_VALUE"""),484975.958375)</f>
        <v>484975.9584</v>
      </c>
      <c r="I5626" s="24">
        <f>IFERROR(__xludf.DUMMYFUNCTION("""COMPUTED_VALUE"""),-0.03004808325000008)</f>
        <v>-0.03004808325</v>
      </c>
    </row>
    <row r="5627">
      <c r="A5627" s="5" t="str">
        <f>IFERROR(__xludf.DUMMYFUNCTION("""COMPUTED_VALUE"""),"75369")</f>
        <v>75369</v>
      </c>
      <c r="B5627" s="64">
        <f>IFERROR(__xludf.DUMMYFUNCTION("""COMPUTED_VALUE"""),44658.0)</f>
        <v>44658</v>
      </c>
      <c r="C5627" s="5"/>
      <c r="D5627" s="5"/>
      <c r="E5627" s="5"/>
      <c r="F5627" s="22">
        <f>IFERROR(__xludf.DUMMYFUNCTION("""COMPUTED_VALUE"""),-178188.609625)</f>
        <v>-178188.6096</v>
      </c>
      <c r="G5627" s="22">
        <f>IFERROR(__xludf.DUMMYFUNCTION("""COMPUTED_VALUE"""),178188.609625)</f>
        <v>178188.6096</v>
      </c>
      <c r="H5627" s="22">
        <f>IFERROR(__xludf.DUMMYFUNCTION("""COMPUTED_VALUE"""),474891.76499999996)</f>
        <v>474891.765</v>
      </c>
      <c r="I5627" s="24">
        <f>IFERROR(__xludf.DUMMYFUNCTION("""COMPUTED_VALUE"""),-0.05021647000000007)</f>
        <v>-0.05021647</v>
      </c>
    </row>
    <row r="5628">
      <c r="A5628" s="5" t="str">
        <f>IFERROR(__xludf.DUMMYFUNCTION("""COMPUTED_VALUE"""),"75369")</f>
        <v>75369</v>
      </c>
      <c r="B5628" s="64">
        <f>IFERROR(__xludf.DUMMYFUNCTION("""COMPUTED_VALUE"""),44659.0)</f>
        <v>44659</v>
      </c>
      <c r="C5628" s="5"/>
      <c r="D5628" s="5"/>
      <c r="E5628" s="5"/>
      <c r="F5628" s="22">
        <f>IFERROR(__xludf.DUMMYFUNCTION("""COMPUTED_VALUE"""),-178188.609625)</f>
        <v>-178188.6096</v>
      </c>
      <c r="G5628" s="22">
        <f>IFERROR(__xludf.DUMMYFUNCTION("""COMPUTED_VALUE"""),178188.609625)</f>
        <v>178188.6096</v>
      </c>
      <c r="H5628" s="22">
        <f>IFERROR(__xludf.DUMMYFUNCTION("""COMPUTED_VALUE"""),473350.09875)</f>
        <v>473350.0988</v>
      </c>
      <c r="I5628" s="24">
        <f>IFERROR(__xludf.DUMMYFUNCTION("""COMPUTED_VALUE"""),-0.05329980249999999)</f>
        <v>-0.0532998025</v>
      </c>
    </row>
    <row r="5629">
      <c r="A5629" s="5" t="str">
        <f>IFERROR(__xludf.DUMMYFUNCTION("""COMPUTED_VALUE"""),"75369")</f>
        <v>75369</v>
      </c>
      <c r="B5629" s="64">
        <f>IFERROR(__xludf.DUMMYFUNCTION("""COMPUTED_VALUE"""),44660.0)</f>
        <v>44660</v>
      </c>
      <c r="C5629" s="5"/>
      <c r="D5629" s="5"/>
      <c r="E5629" s="5"/>
      <c r="F5629" s="22">
        <f>IFERROR(__xludf.DUMMYFUNCTION("""COMPUTED_VALUE"""),-178188.609625)</f>
        <v>-178188.6096</v>
      </c>
      <c r="G5629" s="22">
        <f>IFERROR(__xludf.DUMMYFUNCTION("""COMPUTED_VALUE"""),178188.609625)</f>
        <v>178188.6096</v>
      </c>
      <c r="H5629" s="22">
        <f>IFERROR(__xludf.DUMMYFUNCTION("""COMPUTED_VALUE"""),482850.09875)</f>
        <v>482850.0988</v>
      </c>
      <c r="I5629" s="24">
        <f>IFERROR(__xludf.DUMMYFUNCTION("""COMPUTED_VALUE"""),-0.034299802499999976)</f>
        <v>-0.0342998025</v>
      </c>
    </row>
    <row r="5630">
      <c r="A5630" s="5" t="str">
        <f>IFERROR(__xludf.DUMMYFUNCTION("""COMPUTED_VALUE"""),"75369")</f>
        <v>75369</v>
      </c>
      <c r="B5630" s="64">
        <f>IFERROR(__xludf.DUMMYFUNCTION("""COMPUTED_VALUE"""),44661.0)</f>
        <v>44661</v>
      </c>
      <c r="C5630" s="5"/>
      <c r="D5630" s="5"/>
      <c r="E5630" s="5"/>
      <c r="F5630" s="22">
        <f>IFERROR(__xludf.DUMMYFUNCTION("""COMPUTED_VALUE"""),-178188.609625)</f>
        <v>-178188.6096</v>
      </c>
      <c r="G5630" s="22">
        <f>IFERROR(__xludf.DUMMYFUNCTION("""COMPUTED_VALUE"""),178188.609625)</f>
        <v>178188.6096</v>
      </c>
      <c r="H5630" s="22">
        <f>IFERROR(__xludf.DUMMYFUNCTION("""COMPUTED_VALUE"""),482850.09875)</f>
        <v>482850.0988</v>
      </c>
      <c r="I5630" s="24">
        <f>IFERROR(__xludf.DUMMYFUNCTION("""COMPUTED_VALUE"""),-0.034299802499999976)</f>
        <v>-0.0342998025</v>
      </c>
    </row>
    <row r="5631">
      <c r="A5631" s="5" t="str">
        <f>IFERROR(__xludf.DUMMYFUNCTION("""COMPUTED_VALUE"""),"75369")</f>
        <v>75369</v>
      </c>
      <c r="B5631" s="64">
        <f>IFERROR(__xludf.DUMMYFUNCTION("""COMPUTED_VALUE"""),44662.0)</f>
        <v>44662</v>
      </c>
      <c r="C5631" s="5"/>
      <c r="D5631" s="5"/>
      <c r="E5631" s="5"/>
      <c r="F5631" s="22">
        <f>IFERROR(__xludf.DUMMYFUNCTION("""COMPUTED_VALUE"""),-178188.609625)</f>
        <v>-178188.6096</v>
      </c>
      <c r="G5631" s="22">
        <f>IFERROR(__xludf.DUMMYFUNCTION("""COMPUTED_VALUE"""),178188.609625)</f>
        <v>178188.6096</v>
      </c>
      <c r="H5631" s="22">
        <f>IFERROR(__xludf.DUMMYFUNCTION("""COMPUTED_VALUE"""),461337.263875)</f>
        <v>461337.2639</v>
      </c>
      <c r="I5631" s="24">
        <f>IFERROR(__xludf.DUMMYFUNCTION("""COMPUTED_VALUE"""),-0.07732547224999997)</f>
        <v>-0.07732547225</v>
      </c>
    </row>
    <row r="5632">
      <c r="A5632" s="5" t="str">
        <f>IFERROR(__xludf.DUMMYFUNCTION("""COMPUTED_VALUE"""),"75369")</f>
        <v>75369</v>
      </c>
      <c r="B5632" s="64">
        <f>IFERROR(__xludf.DUMMYFUNCTION("""COMPUTED_VALUE"""),44663.0)</f>
        <v>44663</v>
      </c>
      <c r="C5632" s="5"/>
      <c r="D5632" s="5"/>
      <c r="E5632" s="5"/>
      <c r="F5632" s="22">
        <f>IFERROR(__xludf.DUMMYFUNCTION("""COMPUTED_VALUE"""),-178188.609625)</f>
        <v>-178188.6096</v>
      </c>
      <c r="G5632" s="22">
        <f>IFERROR(__xludf.DUMMYFUNCTION("""COMPUTED_VALUE"""),178188.609625)</f>
        <v>178188.6096</v>
      </c>
      <c r="H5632" s="22">
        <f>IFERROR(__xludf.DUMMYFUNCTION("""COMPUTED_VALUE"""),451056.8546249999)</f>
        <v>451056.8546</v>
      </c>
      <c r="I5632" s="24">
        <f>IFERROR(__xludf.DUMMYFUNCTION("""COMPUTED_VALUE"""),-0.09788629075000022)</f>
        <v>-0.09788629075</v>
      </c>
    </row>
    <row r="5633">
      <c r="A5633" s="5" t="str">
        <f>IFERROR(__xludf.DUMMYFUNCTION("""COMPUTED_VALUE"""),"75415")</f>
        <v>75415</v>
      </c>
      <c r="B5633" s="64">
        <f>IFERROR(__xludf.DUMMYFUNCTION("""COMPUTED_VALUE"""),44597.0)</f>
        <v>44597</v>
      </c>
      <c r="C5633" s="5"/>
      <c r="D5633" s="5"/>
      <c r="E5633" s="5"/>
      <c r="F5633" s="22">
        <f>IFERROR(__xludf.DUMMYFUNCTION("""COMPUTED_VALUE"""),500000.0)</f>
        <v>500000</v>
      </c>
      <c r="G5633" s="22">
        <f>IFERROR(__xludf.DUMMYFUNCTION("""COMPUTED_VALUE"""),0.0)</f>
        <v>0</v>
      </c>
      <c r="H5633" s="22">
        <f>IFERROR(__xludf.DUMMYFUNCTION("""COMPUTED_VALUE"""),500000.0)</f>
        <v>500000</v>
      </c>
      <c r="I5633" s="24">
        <f>IFERROR(__xludf.DUMMYFUNCTION("""COMPUTED_VALUE"""),0.0)</f>
        <v>0</v>
      </c>
    </row>
    <row r="5634">
      <c r="A5634" s="5" t="str">
        <f>IFERROR(__xludf.DUMMYFUNCTION("""COMPUTED_VALUE"""),"75415")</f>
        <v>75415</v>
      </c>
      <c r="B5634" s="64">
        <f>IFERROR(__xludf.DUMMYFUNCTION("""COMPUTED_VALUE"""),44598.0)</f>
        <v>44598</v>
      </c>
      <c r="C5634" s="5"/>
      <c r="D5634" s="5"/>
      <c r="E5634" s="5"/>
      <c r="F5634" s="22">
        <f>IFERROR(__xludf.DUMMYFUNCTION("""COMPUTED_VALUE"""),500000.0)</f>
        <v>500000</v>
      </c>
      <c r="G5634" s="22">
        <f>IFERROR(__xludf.DUMMYFUNCTION("""COMPUTED_VALUE"""),0.0)</f>
        <v>0</v>
      </c>
      <c r="H5634" s="22">
        <f>IFERROR(__xludf.DUMMYFUNCTION("""COMPUTED_VALUE"""),500000.0)</f>
        <v>500000</v>
      </c>
      <c r="I5634" s="24">
        <f>IFERROR(__xludf.DUMMYFUNCTION("""COMPUTED_VALUE"""),0.0)</f>
        <v>0</v>
      </c>
    </row>
    <row r="5635">
      <c r="A5635" s="5" t="str">
        <f>IFERROR(__xludf.DUMMYFUNCTION("""COMPUTED_VALUE"""),"75415")</f>
        <v>75415</v>
      </c>
      <c r="B5635" s="64">
        <f>IFERROR(__xludf.DUMMYFUNCTION("""COMPUTED_VALUE"""),44599.0)</f>
        <v>44599</v>
      </c>
      <c r="C5635" s="5"/>
      <c r="D5635" s="5"/>
      <c r="E5635" s="5"/>
      <c r="F5635" s="22">
        <f>IFERROR(__xludf.DUMMYFUNCTION("""COMPUTED_VALUE"""),500000.0)</f>
        <v>500000</v>
      </c>
      <c r="G5635" s="22">
        <f>IFERROR(__xludf.DUMMYFUNCTION("""COMPUTED_VALUE"""),0.0)</f>
        <v>0</v>
      </c>
      <c r="H5635" s="22">
        <f>IFERROR(__xludf.DUMMYFUNCTION("""COMPUTED_VALUE"""),500000.0)</f>
        <v>500000</v>
      </c>
      <c r="I5635" s="24">
        <f>IFERROR(__xludf.DUMMYFUNCTION("""COMPUTED_VALUE"""),0.0)</f>
        <v>0</v>
      </c>
    </row>
    <row r="5636">
      <c r="A5636" s="5" t="str">
        <f>IFERROR(__xludf.DUMMYFUNCTION("""COMPUTED_VALUE"""),"75415")</f>
        <v>75415</v>
      </c>
      <c r="B5636" s="64">
        <f>IFERROR(__xludf.DUMMYFUNCTION("""COMPUTED_VALUE"""),44600.0)</f>
        <v>44600</v>
      </c>
      <c r="C5636" s="5"/>
      <c r="D5636" s="5"/>
      <c r="E5636" s="5"/>
      <c r="F5636" s="22">
        <f>IFERROR(__xludf.DUMMYFUNCTION("""COMPUTED_VALUE"""),500000.0)</f>
        <v>500000</v>
      </c>
      <c r="G5636" s="22">
        <f>IFERROR(__xludf.DUMMYFUNCTION("""COMPUTED_VALUE"""),0.0)</f>
        <v>0</v>
      </c>
      <c r="H5636" s="22">
        <f>IFERROR(__xludf.DUMMYFUNCTION("""COMPUTED_VALUE"""),500000.0)</f>
        <v>500000</v>
      </c>
      <c r="I5636" s="24">
        <f>IFERROR(__xludf.DUMMYFUNCTION("""COMPUTED_VALUE"""),0.0)</f>
        <v>0</v>
      </c>
    </row>
    <row r="5637">
      <c r="A5637" s="5" t="str">
        <f>IFERROR(__xludf.DUMMYFUNCTION("""COMPUTED_VALUE"""),"75415")</f>
        <v>75415</v>
      </c>
      <c r="B5637" s="64">
        <f>IFERROR(__xludf.DUMMYFUNCTION("""COMPUTED_VALUE"""),44601.0)</f>
        <v>44601</v>
      </c>
      <c r="C5637" s="5"/>
      <c r="D5637" s="5"/>
      <c r="E5637" s="5"/>
      <c r="F5637" s="22">
        <f>IFERROR(__xludf.DUMMYFUNCTION("""COMPUTED_VALUE"""),396272.19918)</f>
        <v>396272.1992</v>
      </c>
      <c r="G5637" s="22">
        <f>IFERROR(__xludf.DUMMYFUNCTION("""COMPUTED_VALUE"""),0.0)</f>
        <v>0</v>
      </c>
      <c r="H5637" s="22">
        <f>IFERROR(__xludf.DUMMYFUNCTION("""COMPUTED_VALUE"""),500000.0)</f>
        <v>500000</v>
      </c>
      <c r="I5637" s="24">
        <f>IFERROR(__xludf.DUMMYFUNCTION("""COMPUTED_VALUE"""),0.0)</f>
        <v>0</v>
      </c>
    </row>
    <row r="5638">
      <c r="A5638" s="5" t="str">
        <f>IFERROR(__xludf.DUMMYFUNCTION("""COMPUTED_VALUE"""),"75415")</f>
        <v>75415</v>
      </c>
      <c r="B5638" s="64">
        <f>IFERROR(__xludf.DUMMYFUNCTION("""COMPUTED_VALUE"""),44602.0)</f>
        <v>44602</v>
      </c>
      <c r="C5638" s="5"/>
      <c r="D5638" s="5"/>
      <c r="E5638" s="5"/>
      <c r="F5638" s="22">
        <f>IFERROR(__xludf.DUMMYFUNCTION("""COMPUTED_VALUE"""),396272.19918)</f>
        <v>396272.1992</v>
      </c>
      <c r="G5638" s="22">
        <f>IFERROR(__xludf.DUMMYFUNCTION("""COMPUTED_VALUE"""),0.0)</f>
        <v>0</v>
      </c>
      <c r="H5638" s="22">
        <f>IFERROR(__xludf.DUMMYFUNCTION("""COMPUTED_VALUE"""),496507.91693)</f>
        <v>496507.9169</v>
      </c>
      <c r="I5638" s="24">
        <f>IFERROR(__xludf.DUMMYFUNCTION("""COMPUTED_VALUE"""),-0.00698416613999997)</f>
        <v>-0.00698416614</v>
      </c>
    </row>
    <row r="5639">
      <c r="A5639" s="5" t="str">
        <f>IFERROR(__xludf.DUMMYFUNCTION("""COMPUTED_VALUE"""),"75415")</f>
        <v>75415</v>
      </c>
      <c r="B5639" s="64">
        <f>IFERROR(__xludf.DUMMYFUNCTION("""COMPUTED_VALUE"""),44603.0)</f>
        <v>44603</v>
      </c>
      <c r="C5639" s="5"/>
      <c r="D5639" s="5"/>
      <c r="E5639" s="5"/>
      <c r="F5639" s="22">
        <f>IFERROR(__xludf.DUMMYFUNCTION("""COMPUTED_VALUE"""),396272.19918)</f>
        <v>396272.1992</v>
      </c>
      <c r="G5639" s="22">
        <f>IFERROR(__xludf.DUMMYFUNCTION("""COMPUTED_VALUE"""),0.0)</f>
        <v>0</v>
      </c>
      <c r="H5639" s="22">
        <f>IFERROR(__xludf.DUMMYFUNCTION("""COMPUTED_VALUE"""),492013.4766825)</f>
        <v>492013.4767</v>
      </c>
      <c r="I5639" s="24">
        <f>IFERROR(__xludf.DUMMYFUNCTION("""COMPUTED_VALUE"""),-0.015973046634999988)</f>
        <v>-0.01597304664</v>
      </c>
    </row>
    <row r="5640">
      <c r="A5640" s="5" t="str">
        <f>IFERROR(__xludf.DUMMYFUNCTION("""COMPUTED_VALUE"""),"75415")</f>
        <v>75415</v>
      </c>
      <c r="B5640" s="64">
        <f>IFERROR(__xludf.DUMMYFUNCTION("""COMPUTED_VALUE"""),44604.0)</f>
        <v>44604</v>
      </c>
      <c r="C5640" s="5"/>
      <c r="D5640" s="5"/>
      <c r="E5640" s="5"/>
      <c r="F5640" s="22">
        <f>IFERROR(__xludf.DUMMYFUNCTION("""COMPUTED_VALUE"""),396272.19918)</f>
        <v>396272.1992</v>
      </c>
      <c r="G5640" s="22">
        <f>IFERROR(__xludf.DUMMYFUNCTION("""COMPUTED_VALUE"""),0.0)</f>
        <v>0</v>
      </c>
      <c r="H5640" s="22">
        <f>IFERROR(__xludf.DUMMYFUNCTION("""COMPUTED_VALUE"""),492013.4766825)</f>
        <v>492013.4767</v>
      </c>
      <c r="I5640" s="24">
        <f>IFERROR(__xludf.DUMMYFUNCTION("""COMPUTED_VALUE"""),-0.015973046634999988)</f>
        <v>-0.01597304664</v>
      </c>
    </row>
    <row r="5641">
      <c r="A5641" s="5" t="str">
        <f>IFERROR(__xludf.DUMMYFUNCTION("""COMPUTED_VALUE"""),"75415")</f>
        <v>75415</v>
      </c>
      <c r="B5641" s="64">
        <f>IFERROR(__xludf.DUMMYFUNCTION("""COMPUTED_VALUE"""),44605.0)</f>
        <v>44605</v>
      </c>
      <c r="C5641" s="5"/>
      <c r="D5641" s="5"/>
      <c r="E5641" s="5"/>
      <c r="F5641" s="22">
        <f>IFERROR(__xludf.DUMMYFUNCTION("""COMPUTED_VALUE"""),396272.19918)</f>
        <v>396272.1992</v>
      </c>
      <c r="G5641" s="22">
        <f>IFERROR(__xludf.DUMMYFUNCTION("""COMPUTED_VALUE"""),0.0)</f>
        <v>0</v>
      </c>
      <c r="H5641" s="22">
        <f>IFERROR(__xludf.DUMMYFUNCTION("""COMPUTED_VALUE"""),492013.4766825)</f>
        <v>492013.4767</v>
      </c>
      <c r="I5641" s="24">
        <f>IFERROR(__xludf.DUMMYFUNCTION("""COMPUTED_VALUE"""),-0.015973046634999988)</f>
        <v>-0.01597304664</v>
      </c>
    </row>
    <row r="5642">
      <c r="A5642" s="5" t="str">
        <f>IFERROR(__xludf.DUMMYFUNCTION("""COMPUTED_VALUE"""),"75415")</f>
        <v>75415</v>
      </c>
      <c r="B5642" s="64">
        <f>IFERROR(__xludf.DUMMYFUNCTION("""COMPUTED_VALUE"""),44606.0)</f>
        <v>44606</v>
      </c>
      <c r="C5642" s="5"/>
      <c r="D5642" s="5"/>
      <c r="E5642" s="5"/>
      <c r="F5642" s="22">
        <f>IFERROR(__xludf.DUMMYFUNCTION("""COMPUTED_VALUE"""),396272.19918)</f>
        <v>396272.1992</v>
      </c>
      <c r="G5642" s="22">
        <f>IFERROR(__xludf.DUMMYFUNCTION("""COMPUTED_VALUE"""),0.0)</f>
        <v>0</v>
      </c>
      <c r="H5642" s="22">
        <f>IFERROR(__xludf.DUMMYFUNCTION("""COMPUTED_VALUE"""),491496.1310425)</f>
        <v>491496.131</v>
      </c>
      <c r="I5642" s="24">
        <f>IFERROR(__xludf.DUMMYFUNCTION("""COMPUTED_VALUE"""),-0.017007737914999987)</f>
        <v>-0.01700773792</v>
      </c>
    </row>
    <row r="5643">
      <c r="A5643" s="5" t="str">
        <f>IFERROR(__xludf.DUMMYFUNCTION("""COMPUTED_VALUE"""),"75415")</f>
        <v>75415</v>
      </c>
      <c r="B5643" s="64">
        <f>IFERROR(__xludf.DUMMYFUNCTION("""COMPUTED_VALUE"""),44607.0)</f>
        <v>44607</v>
      </c>
      <c r="C5643" s="5"/>
      <c r="D5643" s="5"/>
      <c r="E5643" s="5"/>
      <c r="F5643" s="22">
        <f>IFERROR(__xludf.DUMMYFUNCTION("""COMPUTED_VALUE"""),396272.19918)</f>
        <v>396272.1992</v>
      </c>
      <c r="G5643" s="22">
        <f>IFERROR(__xludf.DUMMYFUNCTION("""COMPUTED_VALUE"""),0.0)</f>
        <v>0</v>
      </c>
      <c r="H5643" s="22">
        <f>IFERROR(__xludf.DUMMYFUNCTION("""COMPUTED_VALUE"""),497445.6059025)</f>
        <v>497445.6059</v>
      </c>
      <c r="I5643" s="24">
        <f>IFERROR(__xludf.DUMMYFUNCTION("""COMPUTED_VALUE"""),-0.005108788195000047)</f>
        <v>-0.005108788195</v>
      </c>
    </row>
    <row r="5644">
      <c r="A5644" s="5" t="str">
        <f>IFERROR(__xludf.DUMMYFUNCTION("""COMPUTED_VALUE"""),"75415")</f>
        <v>75415</v>
      </c>
      <c r="B5644" s="64">
        <f>IFERROR(__xludf.DUMMYFUNCTION("""COMPUTED_VALUE"""),44608.0)</f>
        <v>44608</v>
      </c>
      <c r="C5644" s="5"/>
      <c r="D5644" s="5"/>
      <c r="E5644" s="5"/>
      <c r="F5644" s="22">
        <f>IFERROR(__xludf.DUMMYFUNCTION("""COMPUTED_VALUE"""),396272.19918)</f>
        <v>396272.1992</v>
      </c>
      <c r="G5644" s="22">
        <f>IFERROR(__xludf.DUMMYFUNCTION("""COMPUTED_VALUE"""),0.0)</f>
        <v>0</v>
      </c>
      <c r="H5644" s="22">
        <f>IFERROR(__xludf.DUMMYFUNCTION("""COMPUTED_VALUE"""),496895.92616000003)</f>
        <v>496895.9262</v>
      </c>
      <c r="I5644" s="24">
        <f>IFERROR(__xludf.DUMMYFUNCTION("""COMPUTED_VALUE"""),-0.006208147679999887)</f>
        <v>-0.00620814768</v>
      </c>
    </row>
    <row r="5645">
      <c r="A5645" s="5" t="str">
        <f>IFERROR(__xludf.DUMMYFUNCTION("""COMPUTED_VALUE"""),"75415")</f>
        <v>75415</v>
      </c>
      <c r="B5645" s="64">
        <f>IFERROR(__xludf.DUMMYFUNCTION("""COMPUTED_VALUE"""),44609.0)</f>
        <v>44609</v>
      </c>
      <c r="C5645" s="5"/>
      <c r="D5645" s="5"/>
      <c r="E5645" s="5"/>
      <c r="F5645" s="22">
        <f>IFERROR(__xludf.DUMMYFUNCTION("""COMPUTED_VALUE"""),396272.19918)</f>
        <v>396272.1992</v>
      </c>
      <c r="G5645" s="22">
        <f>IFERROR(__xludf.DUMMYFUNCTION("""COMPUTED_VALUE"""),0.0)</f>
        <v>0</v>
      </c>
      <c r="H5645" s="22">
        <f>IFERROR(__xludf.DUMMYFUNCTION("""COMPUTED_VALUE"""),487907.045665)</f>
        <v>487907.0457</v>
      </c>
      <c r="I5645" s="24">
        <f>IFERROR(__xludf.DUMMYFUNCTION("""COMPUTED_VALUE"""),-0.024185908670000034)</f>
        <v>-0.02418590867</v>
      </c>
    </row>
    <row r="5646">
      <c r="A5646" s="5" t="str">
        <f>IFERROR(__xludf.DUMMYFUNCTION("""COMPUTED_VALUE"""),"75415")</f>
        <v>75415</v>
      </c>
      <c r="B5646" s="64">
        <f>IFERROR(__xludf.DUMMYFUNCTION("""COMPUTED_VALUE"""),44610.0)</f>
        <v>44610</v>
      </c>
      <c r="C5646" s="5"/>
      <c r="D5646" s="5"/>
      <c r="E5646" s="5"/>
      <c r="F5646" s="22">
        <f>IFERROR(__xludf.DUMMYFUNCTION("""COMPUTED_VALUE"""),396272.19918)</f>
        <v>396272.1992</v>
      </c>
      <c r="G5646" s="22">
        <f>IFERROR(__xludf.DUMMYFUNCTION("""COMPUTED_VALUE"""),0.0)</f>
        <v>0</v>
      </c>
      <c r="H5646" s="22">
        <f>IFERROR(__xludf.DUMMYFUNCTION("""COMPUTED_VALUE"""),484544.29900500004)</f>
        <v>484544.299</v>
      </c>
      <c r="I5646" s="24">
        <f>IFERROR(__xludf.DUMMYFUNCTION("""COMPUTED_VALUE"""),-0.030911401989999976)</f>
        <v>-0.03091140199</v>
      </c>
    </row>
    <row r="5647">
      <c r="A5647" s="5" t="str">
        <f>IFERROR(__xludf.DUMMYFUNCTION("""COMPUTED_VALUE"""),"75415")</f>
        <v>75415</v>
      </c>
      <c r="B5647" s="64">
        <f>IFERROR(__xludf.DUMMYFUNCTION("""COMPUTED_VALUE"""),44611.0)</f>
        <v>44611</v>
      </c>
      <c r="C5647" s="5"/>
      <c r="D5647" s="5"/>
      <c r="E5647" s="5"/>
      <c r="F5647" s="22">
        <f>IFERROR(__xludf.DUMMYFUNCTION("""COMPUTED_VALUE"""),396272.19918)</f>
        <v>396272.1992</v>
      </c>
      <c r="G5647" s="22">
        <f>IFERROR(__xludf.DUMMYFUNCTION("""COMPUTED_VALUE"""),0.0)</f>
        <v>0</v>
      </c>
      <c r="H5647" s="22">
        <f>IFERROR(__xludf.DUMMYFUNCTION("""COMPUTED_VALUE"""),484544.29900500004)</f>
        <v>484544.299</v>
      </c>
      <c r="I5647" s="24">
        <f>IFERROR(__xludf.DUMMYFUNCTION("""COMPUTED_VALUE"""),-0.030911401989999976)</f>
        <v>-0.03091140199</v>
      </c>
    </row>
    <row r="5648">
      <c r="A5648" s="5" t="str">
        <f>IFERROR(__xludf.DUMMYFUNCTION("""COMPUTED_VALUE"""),"75415")</f>
        <v>75415</v>
      </c>
      <c r="B5648" s="64">
        <f>IFERROR(__xludf.DUMMYFUNCTION("""COMPUTED_VALUE"""),44612.0)</f>
        <v>44612</v>
      </c>
      <c r="C5648" s="5"/>
      <c r="D5648" s="5"/>
      <c r="E5648" s="5"/>
      <c r="F5648" s="22">
        <f>IFERROR(__xludf.DUMMYFUNCTION("""COMPUTED_VALUE"""),396272.19918)</f>
        <v>396272.1992</v>
      </c>
      <c r="G5648" s="22">
        <f>IFERROR(__xludf.DUMMYFUNCTION("""COMPUTED_VALUE"""),0.0)</f>
        <v>0</v>
      </c>
      <c r="H5648" s="22">
        <f>IFERROR(__xludf.DUMMYFUNCTION("""COMPUTED_VALUE"""),484544.29900500004)</f>
        <v>484544.299</v>
      </c>
      <c r="I5648" s="24">
        <f>IFERROR(__xludf.DUMMYFUNCTION("""COMPUTED_VALUE"""),-0.030911401989999976)</f>
        <v>-0.03091140199</v>
      </c>
    </row>
    <row r="5649">
      <c r="A5649" s="5" t="str">
        <f>IFERROR(__xludf.DUMMYFUNCTION("""COMPUTED_VALUE"""),"75415")</f>
        <v>75415</v>
      </c>
      <c r="B5649" s="64">
        <f>IFERROR(__xludf.DUMMYFUNCTION("""COMPUTED_VALUE"""),44613.0)</f>
        <v>44613</v>
      </c>
      <c r="C5649" s="5"/>
      <c r="D5649" s="5"/>
      <c r="E5649" s="5"/>
      <c r="F5649" s="22">
        <f>IFERROR(__xludf.DUMMYFUNCTION("""COMPUTED_VALUE"""),396272.19918)</f>
        <v>396272.1992</v>
      </c>
      <c r="G5649" s="22">
        <f>IFERROR(__xludf.DUMMYFUNCTION("""COMPUTED_VALUE"""),0.0)</f>
        <v>0</v>
      </c>
      <c r="H5649" s="22">
        <f>IFERROR(__xludf.DUMMYFUNCTION("""COMPUTED_VALUE"""),484544.29900500004)</f>
        <v>484544.299</v>
      </c>
      <c r="I5649" s="24">
        <f>IFERROR(__xludf.DUMMYFUNCTION("""COMPUTED_VALUE"""),-0.030911401989999976)</f>
        <v>-0.03091140199</v>
      </c>
    </row>
    <row r="5650">
      <c r="A5650" s="5" t="str">
        <f>IFERROR(__xludf.DUMMYFUNCTION("""COMPUTED_VALUE"""),"75415")</f>
        <v>75415</v>
      </c>
      <c r="B5650" s="64">
        <f>IFERROR(__xludf.DUMMYFUNCTION("""COMPUTED_VALUE"""),44614.0)</f>
        <v>44614</v>
      </c>
      <c r="C5650" s="5"/>
      <c r="D5650" s="5"/>
      <c r="E5650" s="5"/>
      <c r="F5650" s="22">
        <f>IFERROR(__xludf.DUMMYFUNCTION("""COMPUTED_VALUE"""),396272.19918)</f>
        <v>396272.1992</v>
      </c>
      <c r="G5650" s="22">
        <f>IFERROR(__xludf.DUMMYFUNCTION("""COMPUTED_VALUE"""),0.0)</f>
        <v>0</v>
      </c>
      <c r="H5650" s="22">
        <f>IFERROR(__xludf.DUMMYFUNCTION("""COMPUTED_VALUE"""),463440.9368375)</f>
        <v>463440.9368</v>
      </c>
      <c r="I5650" s="24">
        <f>IFERROR(__xludf.DUMMYFUNCTION("""COMPUTED_VALUE"""),-0.07311812632499992)</f>
        <v>-0.07311812632</v>
      </c>
    </row>
    <row r="5651">
      <c r="A5651" s="5" t="str">
        <f>IFERROR(__xludf.DUMMYFUNCTION("""COMPUTED_VALUE"""),"75415")</f>
        <v>75415</v>
      </c>
      <c r="B5651" s="64">
        <f>IFERROR(__xludf.DUMMYFUNCTION("""COMPUTED_VALUE"""),44615.0)</f>
        <v>44615</v>
      </c>
      <c r="C5651" s="5"/>
      <c r="D5651" s="5"/>
      <c r="E5651" s="5"/>
      <c r="F5651" s="22">
        <f>IFERROR(__xludf.DUMMYFUNCTION("""COMPUTED_VALUE"""),396272.19918)</f>
        <v>396272.1992</v>
      </c>
      <c r="G5651" s="22">
        <f>IFERROR(__xludf.DUMMYFUNCTION("""COMPUTED_VALUE"""),0.0)</f>
        <v>0</v>
      </c>
      <c r="H5651" s="22">
        <f>IFERROR(__xludf.DUMMYFUNCTION("""COMPUTED_VALUE"""),454912.2195725)</f>
        <v>454912.2196</v>
      </c>
      <c r="I5651" s="24">
        <f>IFERROR(__xludf.DUMMYFUNCTION("""COMPUTED_VALUE"""),-0.090175560855)</f>
        <v>-0.09017556086</v>
      </c>
    </row>
    <row r="5652">
      <c r="A5652" s="5" t="str">
        <f>IFERROR(__xludf.DUMMYFUNCTION("""COMPUTED_VALUE"""),"75415")</f>
        <v>75415</v>
      </c>
      <c r="B5652" s="64">
        <f>IFERROR(__xludf.DUMMYFUNCTION("""COMPUTED_VALUE"""),44616.0)</f>
        <v>44616</v>
      </c>
      <c r="C5652" s="5"/>
      <c r="D5652" s="5"/>
      <c r="E5652" s="5"/>
      <c r="F5652" s="22">
        <f>IFERROR(__xludf.DUMMYFUNCTION("""COMPUTED_VALUE"""),396272.19918)</f>
        <v>396272.1992</v>
      </c>
      <c r="G5652" s="22">
        <f>IFERROR(__xludf.DUMMYFUNCTION("""COMPUTED_VALUE"""),0.0)</f>
        <v>0</v>
      </c>
      <c r="H5652" s="22">
        <f>IFERROR(__xludf.DUMMYFUNCTION("""COMPUTED_VALUE"""),462462.58411249996)</f>
        <v>462462.5841</v>
      </c>
      <c r="I5652" s="24">
        <f>IFERROR(__xludf.DUMMYFUNCTION("""COMPUTED_VALUE"""),-0.07507483177500007)</f>
        <v>-0.07507483178</v>
      </c>
    </row>
    <row r="5653">
      <c r="A5653" s="5" t="str">
        <f>IFERROR(__xludf.DUMMYFUNCTION("""COMPUTED_VALUE"""),"75415")</f>
        <v>75415</v>
      </c>
      <c r="B5653" s="64">
        <f>IFERROR(__xludf.DUMMYFUNCTION("""COMPUTED_VALUE"""),44617.0)</f>
        <v>44617</v>
      </c>
      <c r="C5653" s="5"/>
      <c r="D5653" s="5"/>
      <c r="E5653" s="5"/>
      <c r="F5653" s="22">
        <f>IFERROR(__xludf.DUMMYFUNCTION("""COMPUTED_VALUE"""),396272.19918)</f>
        <v>396272.1992</v>
      </c>
      <c r="G5653" s="22">
        <f>IFERROR(__xludf.DUMMYFUNCTION("""COMPUTED_VALUE"""),0.0)</f>
        <v>0</v>
      </c>
      <c r="H5653" s="22">
        <f>IFERROR(__xludf.DUMMYFUNCTION("""COMPUTED_VALUE"""),479471.51748875)</f>
        <v>479471.5175</v>
      </c>
      <c r="I5653" s="24">
        <f>IFERROR(__xludf.DUMMYFUNCTION("""COMPUTED_VALUE"""),-0.0410569650225)</f>
        <v>-0.04105696502</v>
      </c>
    </row>
    <row r="5654">
      <c r="A5654" s="5" t="str">
        <f>IFERROR(__xludf.DUMMYFUNCTION("""COMPUTED_VALUE"""),"75415")</f>
        <v>75415</v>
      </c>
      <c r="B5654" s="64">
        <f>IFERROR(__xludf.DUMMYFUNCTION("""COMPUTED_VALUE"""),44618.0)</f>
        <v>44618</v>
      </c>
      <c r="C5654" s="5"/>
      <c r="D5654" s="5"/>
      <c r="E5654" s="5"/>
      <c r="F5654" s="22">
        <f>IFERROR(__xludf.DUMMYFUNCTION("""COMPUTED_VALUE"""),396272.19918)</f>
        <v>396272.1992</v>
      </c>
      <c r="G5654" s="22">
        <f>IFERROR(__xludf.DUMMYFUNCTION("""COMPUTED_VALUE"""),0.0)</f>
        <v>0</v>
      </c>
      <c r="H5654" s="22">
        <f>IFERROR(__xludf.DUMMYFUNCTION("""COMPUTED_VALUE"""),479471.51748875)</f>
        <v>479471.5175</v>
      </c>
      <c r="I5654" s="24">
        <f>IFERROR(__xludf.DUMMYFUNCTION("""COMPUTED_VALUE"""),-0.0410569650225)</f>
        <v>-0.04105696502</v>
      </c>
    </row>
    <row r="5655">
      <c r="A5655" s="5" t="str">
        <f>IFERROR(__xludf.DUMMYFUNCTION("""COMPUTED_VALUE"""),"75415")</f>
        <v>75415</v>
      </c>
      <c r="B5655" s="64">
        <f>IFERROR(__xludf.DUMMYFUNCTION("""COMPUTED_VALUE"""),44619.0)</f>
        <v>44619</v>
      </c>
      <c r="C5655" s="5"/>
      <c r="D5655" s="5"/>
      <c r="E5655" s="5"/>
      <c r="F5655" s="22">
        <f>IFERROR(__xludf.DUMMYFUNCTION("""COMPUTED_VALUE"""),396272.19918)</f>
        <v>396272.1992</v>
      </c>
      <c r="G5655" s="22">
        <f>IFERROR(__xludf.DUMMYFUNCTION("""COMPUTED_VALUE"""),0.0)</f>
        <v>0</v>
      </c>
      <c r="H5655" s="22">
        <f>IFERROR(__xludf.DUMMYFUNCTION("""COMPUTED_VALUE"""),479471.51748875)</f>
        <v>479471.5175</v>
      </c>
      <c r="I5655" s="24">
        <f>IFERROR(__xludf.DUMMYFUNCTION("""COMPUTED_VALUE"""),-0.0410569650225)</f>
        <v>-0.04105696502</v>
      </c>
    </row>
    <row r="5656">
      <c r="A5656" s="5" t="str">
        <f>IFERROR(__xludf.DUMMYFUNCTION("""COMPUTED_VALUE"""),"75415")</f>
        <v>75415</v>
      </c>
      <c r="B5656" s="64">
        <f>IFERROR(__xludf.DUMMYFUNCTION("""COMPUTED_VALUE"""),44620.0)</f>
        <v>44620</v>
      </c>
      <c r="C5656" s="5"/>
      <c r="D5656" s="5"/>
      <c r="E5656" s="5"/>
      <c r="F5656" s="22">
        <f>IFERROR(__xludf.DUMMYFUNCTION("""COMPUTED_VALUE"""),396272.19918)</f>
        <v>396272.1992</v>
      </c>
      <c r="G5656" s="22">
        <f>IFERROR(__xludf.DUMMYFUNCTION("""COMPUTED_VALUE"""),0.0)</f>
        <v>0</v>
      </c>
      <c r="H5656" s="22">
        <f>IFERROR(__xludf.DUMMYFUNCTION("""COMPUTED_VALUE"""),480631.02874750004)</f>
        <v>480631.0287</v>
      </c>
      <c r="I5656" s="24">
        <f>IFERROR(__xludf.DUMMYFUNCTION("""COMPUTED_VALUE"""),-0.038737942504999956)</f>
        <v>-0.03873794251</v>
      </c>
    </row>
    <row r="5657">
      <c r="A5657" s="5" t="str">
        <f>IFERROR(__xludf.DUMMYFUNCTION("""COMPUTED_VALUE"""),"75415")</f>
        <v>75415</v>
      </c>
      <c r="B5657" s="64">
        <f>IFERROR(__xludf.DUMMYFUNCTION("""COMPUTED_VALUE"""),44621.0)</f>
        <v>44621</v>
      </c>
      <c r="C5657" s="5"/>
      <c r="D5657" s="5"/>
      <c r="E5657" s="5"/>
      <c r="F5657" s="22">
        <f>IFERROR(__xludf.DUMMYFUNCTION("""COMPUTED_VALUE"""),396272.19918)</f>
        <v>396272.1992</v>
      </c>
      <c r="G5657" s="22">
        <f>IFERROR(__xludf.DUMMYFUNCTION("""COMPUTED_VALUE"""),0.0)</f>
        <v>0</v>
      </c>
      <c r="H5657" s="22">
        <f>IFERROR(__xludf.DUMMYFUNCTION("""COMPUTED_VALUE"""),465909.4166775)</f>
        <v>465909.4167</v>
      </c>
      <c r="I5657" s="24">
        <f>IFERROR(__xludf.DUMMYFUNCTION("""COMPUTED_VALUE"""),-0.06818116664499996)</f>
        <v>-0.06818116665</v>
      </c>
    </row>
    <row r="5658">
      <c r="A5658" s="5" t="str">
        <f>IFERROR(__xludf.DUMMYFUNCTION("""COMPUTED_VALUE"""),"75415")</f>
        <v>75415</v>
      </c>
      <c r="B5658" s="64">
        <f>IFERROR(__xludf.DUMMYFUNCTION("""COMPUTED_VALUE"""),44622.0)</f>
        <v>44622</v>
      </c>
      <c r="C5658" s="5"/>
      <c r="D5658" s="5"/>
      <c r="E5658" s="5"/>
      <c r="F5658" s="22">
        <f>IFERROR(__xludf.DUMMYFUNCTION("""COMPUTED_VALUE"""),396272.19918)</f>
        <v>396272.1992</v>
      </c>
      <c r="G5658" s="22">
        <f>IFERROR(__xludf.DUMMYFUNCTION("""COMPUTED_VALUE"""),0.0)</f>
        <v>0</v>
      </c>
      <c r="H5658" s="22">
        <f>IFERROR(__xludf.DUMMYFUNCTION("""COMPUTED_VALUE"""),495180.70750425)</f>
        <v>495180.7075</v>
      </c>
      <c r="I5658" s="24">
        <f>IFERROR(__xludf.DUMMYFUNCTION("""COMPUTED_VALUE"""),-0.009638584991500054)</f>
        <v>-0.009638584992</v>
      </c>
    </row>
    <row r="5659">
      <c r="A5659" s="5" t="str">
        <f>IFERROR(__xludf.DUMMYFUNCTION("""COMPUTED_VALUE"""),"75415")</f>
        <v>75415</v>
      </c>
      <c r="B5659" s="64">
        <f>IFERROR(__xludf.DUMMYFUNCTION("""COMPUTED_VALUE"""),44623.0)</f>
        <v>44623</v>
      </c>
      <c r="C5659" s="5"/>
      <c r="D5659" s="5"/>
      <c r="E5659" s="5"/>
      <c r="F5659" s="22">
        <f>IFERROR(__xludf.DUMMYFUNCTION("""COMPUTED_VALUE"""),396272.19918)</f>
        <v>396272.1992</v>
      </c>
      <c r="G5659" s="22">
        <f>IFERROR(__xludf.DUMMYFUNCTION("""COMPUTED_VALUE"""),0.0)</f>
        <v>0</v>
      </c>
      <c r="H5659" s="22">
        <f>IFERROR(__xludf.DUMMYFUNCTION("""COMPUTED_VALUE"""),477381.52176750003)</f>
        <v>477381.5218</v>
      </c>
      <c r="I5659" s="24">
        <f>IFERROR(__xludf.DUMMYFUNCTION("""COMPUTED_VALUE"""),-0.04523695646499992)</f>
        <v>-0.04523695646</v>
      </c>
    </row>
    <row r="5660">
      <c r="A5660" s="5" t="str">
        <f>IFERROR(__xludf.DUMMYFUNCTION("""COMPUTED_VALUE"""),"75415")</f>
        <v>75415</v>
      </c>
      <c r="B5660" s="64">
        <f>IFERROR(__xludf.DUMMYFUNCTION("""COMPUTED_VALUE"""),44624.0)</f>
        <v>44624</v>
      </c>
      <c r="C5660" s="5"/>
      <c r="D5660" s="5"/>
      <c r="E5660" s="5"/>
      <c r="F5660" s="22">
        <f>IFERROR(__xludf.DUMMYFUNCTION("""COMPUTED_VALUE"""),396272.19918)</f>
        <v>396272.1992</v>
      </c>
      <c r="G5660" s="22">
        <f>IFERROR(__xludf.DUMMYFUNCTION("""COMPUTED_VALUE"""),0.0)</f>
        <v>0</v>
      </c>
      <c r="H5660" s="22">
        <f>IFERROR(__xludf.DUMMYFUNCTION("""COMPUTED_VALUE"""),454305.77934750007)</f>
        <v>454305.7793</v>
      </c>
      <c r="I5660" s="24">
        <f>IFERROR(__xludf.DUMMYFUNCTION("""COMPUTED_VALUE"""),-0.0913884413049999)</f>
        <v>-0.0913884413</v>
      </c>
    </row>
    <row r="5661">
      <c r="A5661" s="5" t="str">
        <f>IFERROR(__xludf.DUMMYFUNCTION("""COMPUTED_VALUE"""),"75415")</f>
        <v>75415</v>
      </c>
      <c r="B5661" s="64">
        <f>IFERROR(__xludf.DUMMYFUNCTION("""COMPUTED_VALUE"""),44625.0)</f>
        <v>44625</v>
      </c>
      <c r="C5661" s="5"/>
      <c r="D5661" s="5"/>
      <c r="E5661" s="5"/>
      <c r="F5661" s="22">
        <f>IFERROR(__xludf.DUMMYFUNCTION("""COMPUTED_VALUE"""),396272.19918)</f>
        <v>396272.1992</v>
      </c>
      <c r="G5661" s="22">
        <f>IFERROR(__xludf.DUMMYFUNCTION("""COMPUTED_VALUE"""),0.0)</f>
        <v>0</v>
      </c>
      <c r="H5661" s="22">
        <f>IFERROR(__xludf.DUMMYFUNCTION("""COMPUTED_VALUE"""),454305.77934750007)</f>
        <v>454305.7793</v>
      </c>
      <c r="I5661" s="24">
        <f>IFERROR(__xludf.DUMMYFUNCTION("""COMPUTED_VALUE"""),-0.0913884413049999)</f>
        <v>-0.0913884413</v>
      </c>
    </row>
    <row r="5662">
      <c r="A5662" s="5" t="str">
        <f>IFERROR(__xludf.DUMMYFUNCTION("""COMPUTED_VALUE"""),"75415")</f>
        <v>75415</v>
      </c>
      <c r="B5662" s="64">
        <f>IFERROR(__xludf.DUMMYFUNCTION("""COMPUTED_VALUE"""),44626.0)</f>
        <v>44626</v>
      </c>
      <c r="C5662" s="5"/>
      <c r="D5662" s="5"/>
      <c r="E5662" s="5"/>
      <c r="F5662" s="22">
        <f>IFERROR(__xludf.DUMMYFUNCTION("""COMPUTED_VALUE"""),396272.19918)</f>
        <v>396272.1992</v>
      </c>
      <c r="G5662" s="22">
        <f>IFERROR(__xludf.DUMMYFUNCTION("""COMPUTED_VALUE"""),0.0)</f>
        <v>0</v>
      </c>
      <c r="H5662" s="22">
        <f>IFERROR(__xludf.DUMMYFUNCTION("""COMPUTED_VALUE"""),454305.77934750007)</f>
        <v>454305.7793</v>
      </c>
      <c r="I5662" s="24">
        <f>IFERROR(__xludf.DUMMYFUNCTION("""COMPUTED_VALUE"""),-0.0913884413049999)</f>
        <v>-0.0913884413</v>
      </c>
    </row>
    <row r="5663">
      <c r="A5663" s="5" t="str">
        <f>IFERROR(__xludf.DUMMYFUNCTION("""COMPUTED_VALUE"""),"75415")</f>
        <v>75415</v>
      </c>
      <c r="B5663" s="64">
        <f>IFERROR(__xludf.DUMMYFUNCTION("""COMPUTED_VALUE"""),44627.0)</f>
        <v>44627</v>
      </c>
      <c r="C5663" s="5"/>
      <c r="D5663" s="5"/>
      <c r="E5663" s="5"/>
      <c r="F5663" s="22">
        <f>IFERROR(__xludf.DUMMYFUNCTION("""COMPUTED_VALUE"""),396272.19918)</f>
        <v>396272.1992</v>
      </c>
      <c r="G5663" s="22">
        <f>IFERROR(__xludf.DUMMYFUNCTION("""COMPUTED_VALUE"""),0.0)</f>
        <v>0</v>
      </c>
      <c r="H5663" s="22">
        <f>IFERROR(__xludf.DUMMYFUNCTION("""COMPUTED_VALUE"""),430021.32130250003)</f>
        <v>430021.3213</v>
      </c>
      <c r="I5663" s="24">
        <f>IFERROR(__xludf.DUMMYFUNCTION("""COMPUTED_VALUE"""),-0.13995735739499993)</f>
        <v>-0.1399573574</v>
      </c>
    </row>
    <row r="5664">
      <c r="A5664" s="5" t="str">
        <f>IFERROR(__xludf.DUMMYFUNCTION("""COMPUTED_VALUE"""),"75415")</f>
        <v>75415</v>
      </c>
      <c r="B5664" s="64">
        <f>IFERROR(__xludf.DUMMYFUNCTION("""COMPUTED_VALUE"""),44628.0)</f>
        <v>44628</v>
      </c>
      <c r="C5664" s="5"/>
      <c r="D5664" s="5"/>
      <c r="E5664" s="5"/>
      <c r="F5664" s="22">
        <f>IFERROR(__xludf.DUMMYFUNCTION("""COMPUTED_VALUE"""),396272.19918)</f>
        <v>396272.1992</v>
      </c>
      <c r="G5664" s="22">
        <f>IFERROR(__xludf.DUMMYFUNCTION("""COMPUTED_VALUE"""),0.0)</f>
        <v>0</v>
      </c>
      <c r="H5664" s="22">
        <f>IFERROR(__xludf.DUMMYFUNCTION("""COMPUTED_VALUE"""),434038.93902000005)</f>
        <v>434038.939</v>
      </c>
      <c r="I5664" s="24">
        <f>IFERROR(__xludf.DUMMYFUNCTION("""COMPUTED_VALUE"""),-0.13192212195999986)</f>
        <v>-0.131922122</v>
      </c>
    </row>
    <row r="5665">
      <c r="A5665" s="5" t="str">
        <f>IFERROR(__xludf.DUMMYFUNCTION("""COMPUTED_VALUE"""),"75415")</f>
        <v>75415</v>
      </c>
      <c r="B5665" s="64">
        <f>IFERROR(__xludf.DUMMYFUNCTION("""COMPUTED_VALUE"""),44629.0)</f>
        <v>44629</v>
      </c>
      <c r="C5665" s="5"/>
      <c r="D5665" s="5"/>
      <c r="E5665" s="5"/>
      <c r="F5665" s="22">
        <f>IFERROR(__xludf.DUMMYFUNCTION("""COMPUTED_VALUE"""),396272.19918)</f>
        <v>396272.1992</v>
      </c>
      <c r="G5665" s="22">
        <f>IFERROR(__xludf.DUMMYFUNCTION("""COMPUTED_VALUE"""),0.0)</f>
        <v>0</v>
      </c>
      <c r="H5665" s="22">
        <f>IFERROR(__xludf.DUMMYFUNCTION("""COMPUTED_VALUE"""),449893.3425925)</f>
        <v>449893.3426</v>
      </c>
      <c r="I5665" s="24">
        <f>IFERROR(__xludf.DUMMYFUNCTION("""COMPUTED_VALUE"""),-0.10021331481500007)</f>
        <v>-0.1002133148</v>
      </c>
    </row>
    <row r="5666">
      <c r="A5666" s="5" t="str">
        <f>IFERROR(__xludf.DUMMYFUNCTION("""COMPUTED_VALUE"""),"75415")</f>
        <v>75415</v>
      </c>
      <c r="B5666" s="64">
        <f>IFERROR(__xludf.DUMMYFUNCTION("""COMPUTED_VALUE"""),44630.0)</f>
        <v>44630</v>
      </c>
      <c r="C5666" s="5"/>
      <c r="D5666" s="5"/>
      <c r="E5666" s="5"/>
      <c r="F5666" s="22">
        <f>IFERROR(__xludf.DUMMYFUNCTION("""COMPUTED_VALUE"""),396272.19918)</f>
        <v>396272.1992</v>
      </c>
      <c r="G5666" s="22">
        <f>IFERROR(__xludf.DUMMYFUNCTION("""COMPUTED_VALUE"""),0.0)</f>
        <v>0</v>
      </c>
      <c r="H5666" s="22">
        <f>IFERROR(__xludf.DUMMYFUNCTION("""COMPUTED_VALUE"""),450004.49986000004)</f>
        <v>450004.4999</v>
      </c>
      <c r="I5666" s="24">
        <f>IFERROR(__xludf.DUMMYFUNCTION("""COMPUTED_VALUE"""),-0.09999100027999996)</f>
        <v>-0.09999100028</v>
      </c>
    </row>
    <row r="5667">
      <c r="A5667" s="5" t="str">
        <f>IFERROR(__xludf.DUMMYFUNCTION("""COMPUTED_VALUE"""),"75415")</f>
        <v>75415</v>
      </c>
      <c r="B5667" s="64">
        <f>IFERROR(__xludf.DUMMYFUNCTION("""COMPUTED_VALUE"""),44631.0)</f>
        <v>44631</v>
      </c>
      <c r="C5667" s="5"/>
      <c r="D5667" s="5"/>
      <c r="E5667" s="5"/>
      <c r="F5667" s="22">
        <f>IFERROR(__xludf.DUMMYFUNCTION("""COMPUTED_VALUE"""),396272.19918)</f>
        <v>396272.1992</v>
      </c>
      <c r="G5667" s="22">
        <f>IFERROR(__xludf.DUMMYFUNCTION("""COMPUTED_VALUE"""),0.0)</f>
        <v>0</v>
      </c>
      <c r="H5667" s="22">
        <f>IFERROR(__xludf.DUMMYFUNCTION("""COMPUTED_VALUE"""),434293.5876575)</f>
        <v>434293.5877</v>
      </c>
      <c r="I5667" s="24">
        <f>IFERROR(__xludf.DUMMYFUNCTION("""COMPUTED_VALUE"""),-0.13141282468500004)</f>
        <v>-0.1314128247</v>
      </c>
    </row>
    <row r="5668">
      <c r="A5668" s="5" t="str">
        <f>IFERROR(__xludf.DUMMYFUNCTION("""COMPUTED_VALUE"""),"75415")</f>
        <v>75415</v>
      </c>
      <c r="B5668" s="64">
        <f>IFERROR(__xludf.DUMMYFUNCTION("""COMPUTED_VALUE"""),44632.0)</f>
        <v>44632</v>
      </c>
      <c r="C5668" s="5"/>
      <c r="D5668" s="5"/>
      <c r="E5668" s="5"/>
      <c r="F5668" s="22">
        <f>IFERROR(__xludf.DUMMYFUNCTION("""COMPUTED_VALUE"""),396272.19918)</f>
        <v>396272.1992</v>
      </c>
      <c r="G5668" s="22">
        <f>IFERROR(__xludf.DUMMYFUNCTION("""COMPUTED_VALUE"""),0.0)</f>
        <v>0</v>
      </c>
      <c r="H5668" s="22">
        <f>IFERROR(__xludf.DUMMYFUNCTION("""COMPUTED_VALUE"""),434293.5876575)</f>
        <v>434293.5877</v>
      </c>
      <c r="I5668" s="24">
        <f>IFERROR(__xludf.DUMMYFUNCTION("""COMPUTED_VALUE"""),-0.13141282468500004)</f>
        <v>-0.1314128247</v>
      </c>
    </row>
    <row r="5669">
      <c r="A5669" s="5" t="str">
        <f>IFERROR(__xludf.DUMMYFUNCTION("""COMPUTED_VALUE"""),"75415")</f>
        <v>75415</v>
      </c>
      <c r="B5669" s="64">
        <f>IFERROR(__xludf.DUMMYFUNCTION("""COMPUTED_VALUE"""),44633.0)</f>
        <v>44633</v>
      </c>
      <c r="C5669" s="5"/>
      <c r="D5669" s="5"/>
      <c r="E5669" s="5"/>
      <c r="F5669" s="22">
        <f>IFERROR(__xludf.DUMMYFUNCTION("""COMPUTED_VALUE"""),396272.19918)</f>
        <v>396272.1992</v>
      </c>
      <c r="G5669" s="22">
        <f>IFERROR(__xludf.DUMMYFUNCTION("""COMPUTED_VALUE"""),0.0)</f>
        <v>0</v>
      </c>
      <c r="H5669" s="22">
        <f>IFERROR(__xludf.DUMMYFUNCTION("""COMPUTED_VALUE"""),434293.5876575)</f>
        <v>434293.5877</v>
      </c>
      <c r="I5669" s="24">
        <f>IFERROR(__xludf.DUMMYFUNCTION("""COMPUTED_VALUE"""),-0.13141282468500004)</f>
        <v>-0.1314128247</v>
      </c>
    </row>
    <row r="5670">
      <c r="A5670" s="5" t="str">
        <f>IFERROR(__xludf.DUMMYFUNCTION("""COMPUTED_VALUE"""),"75415")</f>
        <v>75415</v>
      </c>
      <c r="B5670" s="64">
        <f>IFERROR(__xludf.DUMMYFUNCTION("""COMPUTED_VALUE"""),44634.0)</f>
        <v>44634</v>
      </c>
      <c r="C5670" s="5"/>
      <c r="D5670" s="5"/>
      <c r="E5670" s="5"/>
      <c r="F5670" s="22">
        <f>IFERROR(__xludf.DUMMYFUNCTION("""COMPUTED_VALUE"""),-4783.221959999995)</f>
        <v>-4783.22196</v>
      </c>
      <c r="G5670" s="22">
        <f>IFERROR(__xludf.DUMMYFUNCTION("""COMPUTED_VALUE"""),4783.221959999995)</f>
        <v>4783.22196</v>
      </c>
      <c r="H5670" s="22">
        <f>IFERROR(__xludf.DUMMYFUNCTION("""COMPUTED_VALUE"""),427268.47648)</f>
        <v>427268.4765</v>
      </c>
      <c r="I5670" s="24">
        <f>IFERROR(__xludf.DUMMYFUNCTION("""COMPUTED_VALUE"""),-0.14546304704000002)</f>
        <v>-0.145463047</v>
      </c>
    </row>
    <row r="5671">
      <c r="A5671" s="5" t="str">
        <f>IFERROR(__xludf.DUMMYFUNCTION("""COMPUTED_VALUE"""),"75415")</f>
        <v>75415</v>
      </c>
      <c r="B5671" s="64">
        <f>IFERROR(__xludf.DUMMYFUNCTION("""COMPUTED_VALUE"""),44635.0)</f>
        <v>44635</v>
      </c>
      <c r="C5671" s="5"/>
      <c r="D5671" s="5"/>
      <c r="E5671" s="5"/>
      <c r="F5671" s="22">
        <f>IFERROR(__xludf.DUMMYFUNCTION("""COMPUTED_VALUE"""),-4783.221959999995)</f>
        <v>-4783.22196</v>
      </c>
      <c r="G5671" s="22">
        <f>IFERROR(__xludf.DUMMYFUNCTION("""COMPUTED_VALUE"""),4783.221959999995)</f>
        <v>4783.22196</v>
      </c>
      <c r="H5671" s="22">
        <f>IFERROR(__xludf.DUMMYFUNCTION("""COMPUTED_VALUE"""),427227.48081)</f>
        <v>427227.4808</v>
      </c>
      <c r="I5671" s="24">
        <f>IFERROR(__xludf.DUMMYFUNCTION("""COMPUTED_VALUE"""),-0.14554503838)</f>
        <v>-0.1455450384</v>
      </c>
    </row>
    <row r="5672">
      <c r="A5672" s="5" t="str">
        <f>IFERROR(__xludf.DUMMYFUNCTION("""COMPUTED_VALUE"""),"75415")</f>
        <v>75415</v>
      </c>
      <c r="B5672" s="64">
        <f>IFERROR(__xludf.DUMMYFUNCTION("""COMPUTED_VALUE"""),44636.0)</f>
        <v>44636</v>
      </c>
      <c r="C5672" s="5"/>
      <c r="D5672" s="5"/>
      <c r="E5672" s="5"/>
      <c r="F5672" s="22">
        <f>IFERROR(__xludf.DUMMYFUNCTION("""COMPUTED_VALUE"""),-4783.221959999995)</f>
        <v>-4783.22196</v>
      </c>
      <c r="G5672" s="22">
        <f>IFERROR(__xludf.DUMMYFUNCTION("""COMPUTED_VALUE"""),4783.221959999995)</f>
        <v>4783.22196</v>
      </c>
      <c r="H5672" s="22">
        <f>IFERROR(__xludf.DUMMYFUNCTION("""COMPUTED_VALUE"""),427166.64307)</f>
        <v>427166.6431</v>
      </c>
      <c r="I5672" s="24">
        <f>IFERROR(__xludf.DUMMYFUNCTION("""COMPUTED_VALUE"""),-0.14566671385999996)</f>
        <v>-0.1456667139</v>
      </c>
    </row>
    <row r="5673">
      <c r="A5673" s="5" t="str">
        <f>IFERROR(__xludf.DUMMYFUNCTION("""COMPUTED_VALUE"""),"75415")</f>
        <v>75415</v>
      </c>
      <c r="B5673" s="64">
        <f>IFERROR(__xludf.DUMMYFUNCTION("""COMPUTED_VALUE"""),44637.0)</f>
        <v>44637</v>
      </c>
      <c r="C5673" s="5"/>
      <c r="D5673" s="5"/>
      <c r="E5673" s="5"/>
      <c r="F5673" s="22">
        <f>IFERROR(__xludf.DUMMYFUNCTION("""COMPUTED_VALUE"""),-4783.221959999995)</f>
        <v>-4783.22196</v>
      </c>
      <c r="G5673" s="22">
        <f>IFERROR(__xludf.DUMMYFUNCTION("""COMPUTED_VALUE"""),4783.221959999995)</f>
        <v>4783.22196</v>
      </c>
      <c r="H5673" s="22">
        <f>IFERROR(__xludf.DUMMYFUNCTION("""COMPUTED_VALUE"""),427164.283795)</f>
        <v>427164.2838</v>
      </c>
      <c r="I5673" s="24">
        <f>IFERROR(__xludf.DUMMYFUNCTION("""COMPUTED_VALUE"""),-0.14567143241000002)</f>
        <v>-0.1456714324</v>
      </c>
    </row>
    <row r="5674">
      <c r="A5674" s="5" t="str">
        <f>IFERROR(__xludf.DUMMYFUNCTION("""COMPUTED_VALUE"""),"75415")</f>
        <v>75415</v>
      </c>
      <c r="B5674" s="64">
        <f>IFERROR(__xludf.DUMMYFUNCTION("""COMPUTED_VALUE"""),44638.0)</f>
        <v>44638</v>
      </c>
      <c r="C5674" s="5"/>
      <c r="D5674" s="5"/>
      <c r="E5674" s="5"/>
      <c r="F5674" s="22">
        <f>IFERROR(__xludf.DUMMYFUNCTION("""COMPUTED_VALUE"""),-4783.221959999995)</f>
        <v>-4783.22196</v>
      </c>
      <c r="G5674" s="22">
        <f>IFERROR(__xludf.DUMMYFUNCTION("""COMPUTED_VALUE"""),4783.221959999995)</f>
        <v>4783.22196</v>
      </c>
      <c r="H5674" s="22">
        <f>IFERROR(__xludf.DUMMYFUNCTION("""COMPUTED_VALUE"""),427124.83435)</f>
        <v>427124.8344</v>
      </c>
      <c r="I5674" s="24">
        <f>IFERROR(__xludf.DUMMYFUNCTION("""COMPUTED_VALUE"""),-0.14575033129999992)</f>
        <v>-0.1457503313</v>
      </c>
    </row>
    <row r="5675">
      <c r="A5675" s="5" t="str">
        <f>IFERROR(__xludf.DUMMYFUNCTION("""COMPUTED_VALUE"""),"75415")</f>
        <v>75415</v>
      </c>
      <c r="B5675" s="64">
        <f>IFERROR(__xludf.DUMMYFUNCTION("""COMPUTED_VALUE"""),44639.0)</f>
        <v>44639</v>
      </c>
      <c r="C5675" s="5"/>
      <c r="D5675" s="5"/>
      <c r="E5675" s="5"/>
      <c r="F5675" s="22">
        <f>IFERROR(__xludf.DUMMYFUNCTION("""COMPUTED_VALUE"""),-4783.221959999995)</f>
        <v>-4783.22196</v>
      </c>
      <c r="G5675" s="22">
        <f>IFERROR(__xludf.DUMMYFUNCTION("""COMPUTED_VALUE"""),4783.221959999995)</f>
        <v>4783.22196</v>
      </c>
      <c r="H5675" s="22">
        <f>IFERROR(__xludf.DUMMYFUNCTION("""COMPUTED_VALUE"""),427124.83435)</f>
        <v>427124.8344</v>
      </c>
      <c r="I5675" s="24">
        <f>IFERROR(__xludf.DUMMYFUNCTION("""COMPUTED_VALUE"""),-0.14575033129999992)</f>
        <v>-0.1457503313</v>
      </c>
    </row>
    <row r="5676">
      <c r="A5676" s="5" t="str">
        <f>IFERROR(__xludf.DUMMYFUNCTION("""COMPUTED_VALUE"""),"75415")</f>
        <v>75415</v>
      </c>
      <c r="B5676" s="64">
        <f>IFERROR(__xludf.DUMMYFUNCTION("""COMPUTED_VALUE"""),44640.0)</f>
        <v>44640</v>
      </c>
      <c r="C5676" s="5"/>
      <c r="D5676" s="5"/>
      <c r="E5676" s="5"/>
      <c r="F5676" s="22">
        <f>IFERROR(__xludf.DUMMYFUNCTION("""COMPUTED_VALUE"""),-4783.221959999995)</f>
        <v>-4783.22196</v>
      </c>
      <c r="G5676" s="22">
        <f>IFERROR(__xludf.DUMMYFUNCTION("""COMPUTED_VALUE"""),4783.221959999995)</f>
        <v>4783.22196</v>
      </c>
      <c r="H5676" s="22">
        <f>IFERROR(__xludf.DUMMYFUNCTION("""COMPUTED_VALUE"""),427124.83435)</f>
        <v>427124.8344</v>
      </c>
      <c r="I5676" s="24">
        <f>IFERROR(__xludf.DUMMYFUNCTION("""COMPUTED_VALUE"""),-0.14575033129999992)</f>
        <v>-0.1457503313</v>
      </c>
    </row>
    <row r="5677">
      <c r="A5677" s="5" t="str">
        <f>IFERROR(__xludf.DUMMYFUNCTION("""COMPUTED_VALUE"""),"75415")</f>
        <v>75415</v>
      </c>
      <c r="B5677" s="64">
        <f>IFERROR(__xludf.DUMMYFUNCTION("""COMPUTED_VALUE"""),44641.0)</f>
        <v>44641</v>
      </c>
      <c r="C5677" s="5"/>
      <c r="D5677" s="5"/>
      <c r="E5677" s="5"/>
      <c r="F5677" s="22">
        <f>IFERROR(__xludf.DUMMYFUNCTION("""COMPUTED_VALUE"""),310871.18754)</f>
        <v>310871.1875</v>
      </c>
      <c r="G5677" s="22">
        <f>IFERROR(__xludf.DUMMYFUNCTION("""COMPUTED_VALUE"""),0.0)</f>
        <v>0</v>
      </c>
      <c r="H5677" s="22">
        <f>IFERROR(__xludf.DUMMYFUNCTION("""COMPUTED_VALUE"""),427171.84555500007)</f>
        <v>427171.8456</v>
      </c>
      <c r="I5677" s="24">
        <f>IFERROR(__xludf.DUMMYFUNCTION("""COMPUTED_VALUE"""),-0.14565630888999992)</f>
        <v>-0.1456563089</v>
      </c>
    </row>
    <row r="5678">
      <c r="A5678" s="5" t="str">
        <f>IFERROR(__xludf.DUMMYFUNCTION("""COMPUTED_VALUE"""),"75415")</f>
        <v>75415</v>
      </c>
      <c r="B5678" s="64">
        <f>IFERROR(__xludf.DUMMYFUNCTION("""COMPUTED_VALUE"""),44642.0)</f>
        <v>44642</v>
      </c>
      <c r="C5678" s="5"/>
      <c r="D5678" s="5"/>
      <c r="E5678" s="5"/>
      <c r="F5678" s="22">
        <f>IFERROR(__xludf.DUMMYFUNCTION("""COMPUTED_VALUE"""),227201.09204000002)</f>
        <v>227201.092</v>
      </c>
      <c r="G5678" s="22">
        <f>IFERROR(__xludf.DUMMYFUNCTION("""COMPUTED_VALUE"""),0.0)</f>
        <v>0</v>
      </c>
      <c r="H5678" s="22">
        <f>IFERROR(__xludf.DUMMYFUNCTION("""COMPUTED_VALUE"""),430000.62535499997)</f>
        <v>430000.6254</v>
      </c>
      <c r="I5678" s="24">
        <f>IFERROR(__xludf.DUMMYFUNCTION("""COMPUTED_VALUE"""),-0.1399987492900001)</f>
        <v>-0.1399987493</v>
      </c>
    </row>
    <row r="5679">
      <c r="A5679" s="5" t="str">
        <f>IFERROR(__xludf.DUMMYFUNCTION("""COMPUTED_VALUE"""),"75415")</f>
        <v>75415</v>
      </c>
      <c r="B5679" s="64">
        <f>IFERROR(__xludf.DUMMYFUNCTION("""COMPUTED_VALUE"""),44643.0)</f>
        <v>44643</v>
      </c>
      <c r="C5679" s="5"/>
      <c r="D5679" s="5"/>
      <c r="E5679" s="5"/>
      <c r="F5679" s="22">
        <f>IFERROR(__xludf.DUMMYFUNCTION("""COMPUTED_VALUE"""),227201.09204000002)</f>
        <v>227201.092</v>
      </c>
      <c r="G5679" s="22">
        <f>IFERROR(__xludf.DUMMYFUNCTION("""COMPUTED_VALUE"""),0.0)</f>
        <v>0</v>
      </c>
      <c r="H5679" s="22">
        <f>IFERROR(__xludf.DUMMYFUNCTION("""COMPUTED_VALUE"""),429801.4965350001)</f>
        <v>429801.4965</v>
      </c>
      <c r="I5679" s="24">
        <f>IFERROR(__xludf.DUMMYFUNCTION("""COMPUTED_VALUE"""),-0.1403970069299998)</f>
        <v>-0.1403970069</v>
      </c>
    </row>
    <row r="5680">
      <c r="A5680" s="5" t="str">
        <f>IFERROR(__xludf.DUMMYFUNCTION("""COMPUTED_VALUE"""),"75415")</f>
        <v>75415</v>
      </c>
      <c r="B5680" s="64">
        <f>IFERROR(__xludf.DUMMYFUNCTION("""COMPUTED_VALUE"""),44644.0)</f>
        <v>44644</v>
      </c>
      <c r="C5680" s="5"/>
      <c r="D5680" s="5"/>
      <c r="E5680" s="5"/>
      <c r="F5680" s="22">
        <f>IFERROR(__xludf.DUMMYFUNCTION("""COMPUTED_VALUE"""),227201.09204000002)</f>
        <v>227201.092</v>
      </c>
      <c r="G5680" s="22">
        <f>IFERROR(__xludf.DUMMYFUNCTION("""COMPUTED_VALUE"""),0.0)</f>
        <v>0</v>
      </c>
      <c r="H5680" s="22">
        <f>IFERROR(__xludf.DUMMYFUNCTION("""COMPUTED_VALUE"""),432497.9935350001)</f>
        <v>432497.9935</v>
      </c>
      <c r="I5680" s="24">
        <f>IFERROR(__xludf.DUMMYFUNCTION("""COMPUTED_VALUE"""),-0.13500401292999986)</f>
        <v>-0.1350040129</v>
      </c>
    </row>
    <row r="5681">
      <c r="A5681" s="5" t="str">
        <f>IFERROR(__xludf.DUMMYFUNCTION("""COMPUTED_VALUE"""),"75415")</f>
        <v>75415</v>
      </c>
      <c r="B5681" s="64">
        <f>IFERROR(__xludf.DUMMYFUNCTION("""COMPUTED_VALUE"""),44645.0)</f>
        <v>44645</v>
      </c>
      <c r="C5681" s="5"/>
      <c r="D5681" s="5"/>
      <c r="E5681" s="5"/>
      <c r="F5681" s="22">
        <f>IFERROR(__xludf.DUMMYFUNCTION("""COMPUTED_VALUE"""),227201.09204000002)</f>
        <v>227201.092</v>
      </c>
      <c r="G5681" s="22">
        <f>IFERROR(__xludf.DUMMYFUNCTION("""COMPUTED_VALUE"""),0.0)</f>
        <v>0</v>
      </c>
      <c r="H5681" s="22">
        <f>IFERROR(__xludf.DUMMYFUNCTION("""COMPUTED_VALUE"""),438245.676965)</f>
        <v>438245.677</v>
      </c>
      <c r="I5681" s="24">
        <f>IFERROR(__xludf.DUMMYFUNCTION("""COMPUTED_VALUE"""),-0.12350864607)</f>
        <v>-0.1235086461</v>
      </c>
    </row>
    <row r="5682">
      <c r="A5682" s="5" t="str">
        <f>IFERROR(__xludf.DUMMYFUNCTION("""COMPUTED_VALUE"""),"75415")</f>
        <v>75415</v>
      </c>
      <c r="B5682" s="64">
        <f>IFERROR(__xludf.DUMMYFUNCTION("""COMPUTED_VALUE"""),44646.0)</f>
        <v>44646</v>
      </c>
      <c r="C5682" s="5"/>
      <c r="D5682" s="5"/>
      <c r="E5682" s="5"/>
      <c r="F5682" s="22">
        <f>IFERROR(__xludf.DUMMYFUNCTION("""COMPUTED_VALUE"""),227201.09204000002)</f>
        <v>227201.092</v>
      </c>
      <c r="G5682" s="22">
        <f>IFERROR(__xludf.DUMMYFUNCTION("""COMPUTED_VALUE"""),0.0)</f>
        <v>0</v>
      </c>
      <c r="H5682" s="22">
        <f>IFERROR(__xludf.DUMMYFUNCTION("""COMPUTED_VALUE"""),438245.676965)</f>
        <v>438245.677</v>
      </c>
      <c r="I5682" s="24">
        <f>IFERROR(__xludf.DUMMYFUNCTION("""COMPUTED_VALUE"""),-0.12350864607)</f>
        <v>-0.1235086461</v>
      </c>
    </row>
    <row r="5683">
      <c r="A5683" s="5" t="str">
        <f>IFERROR(__xludf.DUMMYFUNCTION("""COMPUTED_VALUE"""),"75415")</f>
        <v>75415</v>
      </c>
      <c r="B5683" s="64">
        <f>IFERROR(__xludf.DUMMYFUNCTION("""COMPUTED_VALUE"""),44647.0)</f>
        <v>44647</v>
      </c>
      <c r="C5683" s="5"/>
      <c r="D5683" s="5"/>
      <c r="E5683" s="5"/>
      <c r="F5683" s="22">
        <f>IFERROR(__xludf.DUMMYFUNCTION("""COMPUTED_VALUE"""),227201.09204000002)</f>
        <v>227201.092</v>
      </c>
      <c r="G5683" s="22">
        <f>IFERROR(__xludf.DUMMYFUNCTION("""COMPUTED_VALUE"""),0.0)</f>
        <v>0</v>
      </c>
      <c r="H5683" s="22">
        <f>IFERROR(__xludf.DUMMYFUNCTION("""COMPUTED_VALUE"""),438245.676965)</f>
        <v>438245.677</v>
      </c>
      <c r="I5683" s="24">
        <f>IFERROR(__xludf.DUMMYFUNCTION("""COMPUTED_VALUE"""),-0.12350864607)</f>
        <v>-0.1235086461</v>
      </c>
    </row>
    <row r="5684">
      <c r="A5684" s="5" t="str">
        <f>IFERROR(__xludf.DUMMYFUNCTION("""COMPUTED_VALUE"""),"75415")</f>
        <v>75415</v>
      </c>
      <c r="B5684" s="64">
        <f>IFERROR(__xludf.DUMMYFUNCTION("""COMPUTED_VALUE"""),44648.0)</f>
        <v>44648</v>
      </c>
      <c r="C5684" s="5"/>
      <c r="D5684" s="5"/>
      <c r="E5684" s="5"/>
      <c r="F5684" s="22">
        <f>IFERROR(__xludf.DUMMYFUNCTION("""COMPUTED_VALUE"""),227201.09204000002)</f>
        <v>227201.092</v>
      </c>
      <c r="G5684" s="22">
        <f>IFERROR(__xludf.DUMMYFUNCTION("""COMPUTED_VALUE"""),0.0)</f>
        <v>0</v>
      </c>
      <c r="H5684" s="22">
        <f>IFERROR(__xludf.DUMMYFUNCTION("""COMPUTED_VALUE"""),438108.9924250001)</f>
        <v>438108.9924</v>
      </c>
      <c r="I5684" s="24">
        <f>IFERROR(__xludf.DUMMYFUNCTION("""COMPUTED_VALUE"""),-0.12378201514999976)</f>
        <v>-0.1237820152</v>
      </c>
    </row>
    <row r="5685">
      <c r="A5685" s="5" t="str">
        <f>IFERROR(__xludf.DUMMYFUNCTION("""COMPUTED_VALUE"""),"75415")</f>
        <v>75415</v>
      </c>
      <c r="B5685" s="64">
        <f>IFERROR(__xludf.DUMMYFUNCTION("""COMPUTED_VALUE"""),44649.0)</f>
        <v>44649</v>
      </c>
      <c r="C5685" s="5"/>
      <c r="D5685" s="5"/>
      <c r="E5685" s="5"/>
      <c r="F5685" s="22">
        <f>IFERROR(__xludf.DUMMYFUNCTION("""COMPUTED_VALUE"""),227201.09204000002)</f>
        <v>227201.092</v>
      </c>
      <c r="G5685" s="22">
        <f>IFERROR(__xludf.DUMMYFUNCTION("""COMPUTED_VALUE"""),0.0)</f>
        <v>0</v>
      </c>
      <c r="H5685" s="22">
        <f>IFERROR(__xludf.DUMMYFUNCTION("""COMPUTED_VALUE"""),442323.02949499997)</f>
        <v>442323.0295</v>
      </c>
      <c r="I5685" s="24">
        <f>IFERROR(__xludf.DUMMYFUNCTION("""COMPUTED_VALUE"""),-0.11535394101000007)</f>
        <v>-0.115353941</v>
      </c>
    </row>
    <row r="5686">
      <c r="A5686" s="5" t="str">
        <f>IFERROR(__xludf.DUMMYFUNCTION("""COMPUTED_VALUE"""),"75415")</f>
        <v>75415</v>
      </c>
      <c r="B5686" s="64">
        <f>IFERROR(__xludf.DUMMYFUNCTION("""COMPUTED_VALUE"""),44650.0)</f>
        <v>44650</v>
      </c>
      <c r="C5686" s="5"/>
      <c r="D5686" s="5"/>
      <c r="E5686" s="5"/>
      <c r="F5686" s="22">
        <f>IFERROR(__xludf.DUMMYFUNCTION("""COMPUTED_VALUE"""),227201.09204000002)</f>
        <v>227201.092</v>
      </c>
      <c r="G5686" s="22">
        <f>IFERROR(__xludf.DUMMYFUNCTION("""COMPUTED_VALUE"""),0.0)</f>
        <v>0</v>
      </c>
      <c r="H5686" s="22">
        <f>IFERROR(__xludf.DUMMYFUNCTION("""COMPUTED_VALUE"""),441827.49940000003)</f>
        <v>441827.4994</v>
      </c>
      <c r="I5686" s="24">
        <f>IFERROR(__xludf.DUMMYFUNCTION("""COMPUTED_VALUE"""),-0.11634500119999991)</f>
        <v>-0.1163450012</v>
      </c>
    </row>
    <row r="5687">
      <c r="A5687" s="5" t="str">
        <f>IFERROR(__xludf.DUMMYFUNCTION("""COMPUTED_VALUE"""),"75415")</f>
        <v>75415</v>
      </c>
      <c r="B5687" s="64">
        <f>IFERROR(__xludf.DUMMYFUNCTION("""COMPUTED_VALUE"""),44651.0)</f>
        <v>44651</v>
      </c>
      <c r="C5687" s="5"/>
      <c r="D5687" s="5"/>
      <c r="E5687" s="5"/>
      <c r="F5687" s="22">
        <f>IFERROR(__xludf.DUMMYFUNCTION("""COMPUTED_VALUE"""),227201.09204000002)</f>
        <v>227201.092</v>
      </c>
      <c r="G5687" s="22">
        <f>IFERROR(__xludf.DUMMYFUNCTION("""COMPUTED_VALUE"""),0.0)</f>
        <v>0</v>
      </c>
      <c r="H5687" s="22">
        <f>IFERROR(__xludf.DUMMYFUNCTION("""COMPUTED_VALUE"""),433350.91346000007)</f>
        <v>433350.9135</v>
      </c>
      <c r="I5687" s="24">
        <f>IFERROR(__xludf.DUMMYFUNCTION("""COMPUTED_VALUE"""),-0.13329817307999992)</f>
        <v>-0.1332981731</v>
      </c>
    </row>
    <row r="5688">
      <c r="A5688" s="5" t="str">
        <f>IFERROR(__xludf.DUMMYFUNCTION("""COMPUTED_VALUE"""),"75415")</f>
        <v>75415</v>
      </c>
      <c r="B5688" s="64">
        <f>IFERROR(__xludf.DUMMYFUNCTION("""COMPUTED_VALUE"""),44652.0)</f>
        <v>44652</v>
      </c>
      <c r="C5688" s="5"/>
      <c r="D5688" s="5"/>
      <c r="E5688" s="5"/>
      <c r="F5688" s="22">
        <f>IFERROR(__xludf.DUMMYFUNCTION("""COMPUTED_VALUE"""),227201.09204000002)</f>
        <v>227201.092</v>
      </c>
      <c r="G5688" s="22">
        <f>IFERROR(__xludf.DUMMYFUNCTION("""COMPUTED_VALUE"""),0.0)</f>
        <v>0</v>
      </c>
      <c r="H5688" s="22">
        <f>IFERROR(__xludf.DUMMYFUNCTION("""COMPUTED_VALUE"""),437573.94776500005)</f>
        <v>437573.9478</v>
      </c>
      <c r="I5688" s="24">
        <f>IFERROR(__xludf.DUMMYFUNCTION("""COMPUTED_VALUE"""),-0.12485210446999995)</f>
        <v>-0.1248521045</v>
      </c>
    </row>
    <row r="5689">
      <c r="A5689" s="5" t="str">
        <f>IFERROR(__xludf.DUMMYFUNCTION("""COMPUTED_VALUE"""),"75415")</f>
        <v>75415</v>
      </c>
      <c r="B5689" s="64">
        <f>IFERROR(__xludf.DUMMYFUNCTION("""COMPUTED_VALUE"""),44653.0)</f>
        <v>44653</v>
      </c>
      <c r="C5689" s="5"/>
      <c r="D5689" s="5"/>
      <c r="E5689" s="5"/>
      <c r="F5689" s="22">
        <f>IFERROR(__xludf.DUMMYFUNCTION("""COMPUTED_VALUE"""),227201.09204000002)</f>
        <v>227201.092</v>
      </c>
      <c r="G5689" s="22">
        <f>IFERROR(__xludf.DUMMYFUNCTION("""COMPUTED_VALUE"""),0.0)</f>
        <v>0</v>
      </c>
      <c r="H5689" s="22">
        <f>IFERROR(__xludf.DUMMYFUNCTION("""COMPUTED_VALUE"""),437573.94776500005)</f>
        <v>437573.9478</v>
      </c>
      <c r="I5689" s="24">
        <f>IFERROR(__xludf.DUMMYFUNCTION("""COMPUTED_VALUE"""),-0.12485210446999995)</f>
        <v>-0.1248521045</v>
      </c>
    </row>
    <row r="5690">
      <c r="A5690" s="5" t="str">
        <f>IFERROR(__xludf.DUMMYFUNCTION("""COMPUTED_VALUE"""),"75415")</f>
        <v>75415</v>
      </c>
      <c r="B5690" s="64">
        <f>IFERROR(__xludf.DUMMYFUNCTION("""COMPUTED_VALUE"""),44654.0)</f>
        <v>44654</v>
      </c>
      <c r="C5690" s="5"/>
      <c r="D5690" s="5"/>
      <c r="E5690" s="5"/>
      <c r="F5690" s="22">
        <f>IFERROR(__xludf.DUMMYFUNCTION("""COMPUTED_VALUE"""),227201.09204000002)</f>
        <v>227201.092</v>
      </c>
      <c r="G5690" s="22">
        <f>IFERROR(__xludf.DUMMYFUNCTION("""COMPUTED_VALUE"""),0.0)</f>
        <v>0</v>
      </c>
      <c r="H5690" s="22">
        <f>IFERROR(__xludf.DUMMYFUNCTION("""COMPUTED_VALUE"""),437573.94776500005)</f>
        <v>437573.9478</v>
      </c>
      <c r="I5690" s="24">
        <f>IFERROR(__xludf.DUMMYFUNCTION("""COMPUTED_VALUE"""),-0.12485210446999995)</f>
        <v>-0.1248521045</v>
      </c>
    </row>
    <row r="5691">
      <c r="A5691" s="5" t="str">
        <f>IFERROR(__xludf.DUMMYFUNCTION("""COMPUTED_VALUE"""),"75415")</f>
        <v>75415</v>
      </c>
      <c r="B5691" s="64">
        <f>IFERROR(__xludf.DUMMYFUNCTION("""COMPUTED_VALUE"""),44655.0)</f>
        <v>44655</v>
      </c>
      <c r="C5691" s="5"/>
      <c r="D5691" s="5"/>
      <c r="E5691" s="5"/>
      <c r="F5691" s="22">
        <f>IFERROR(__xludf.DUMMYFUNCTION("""COMPUTED_VALUE"""),227201.09204000002)</f>
        <v>227201.092</v>
      </c>
      <c r="G5691" s="22">
        <f>IFERROR(__xludf.DUMMYFUNCTION("""COMPUTED_VALUE"""),0.0)</f>
        <v>0</v>
      </c>
      <c r="H5691" s="22">
        <f>IFERROR(__xludf.DUMMYFUNCTION("""COMPUTED_VALUE"""),447433.15882000007)</f>
        <v>447433.1588</v>
      </c>
      <c r="I5691" s="24">
        <f>IFERROR(__xludf.DUMMYFUNCTION("""COMPUTED_VALUE"""),-0.10513368235999987)</f>
        <v>-0.1051336824</v>
      </c>
    </row>
    <row r="5692">
      <c r="A5692" s="5" t="str">
        <f>IFERROR(__xludf.DUMMYFUNCTION("""COMPUTED_VALUE"""),"75415")</f>
        <v>75415</v>
      </c>
      <c r="B5692" s="64">
        <f>IFERROR(__xludf.DUMMYFUNCTION("""COMPUTED_VALUE"""),44656.0)</f>
        <v>44656</v>
      </c>
      <c r="C5692" s="5"/>
      <c r="D5692" s="5"/>
      <c r="E5692" s="5"/>
      <c r="F5692" s="22">
        <f>IFERROR(__xludf.DUMMYFUNCTION("""COMPUTED_VALUE"""),227201.09204000002)</f>
        <v>227201.092</v>
      </c>
      <c r="G5692" s="22">
        <f>IFERROR(__xludf.DUMMYFUNCTION("""COMPUTED_VALUE"""),0.0)</f>
        <v>0</v>
      </c>
      <c r="H5692" s="22">
        <f>IFERROR(__xludf.DUMMYFUNCTION("""COMPUTED_VALUE"""),439050.22995500005)</f>
        <v>439050.23</v>
      </c>
      <c r="I5692" s="24">
        <f>IFERROR(__xludf.DUMMYFUNCTION("""COMPUTED_VALUE"""),-0.12189954008999992)</f>
        <v>-0.1218995401</v>
      </c>
    </row>
    <row r="5693">
      <c r="A5693" s="5" t="str">
        <f>IFERROR(__xludf.DUMMYFUNCTION("""COMPUTED_VALUE"""),"75415")</f>
        <v>75415</v>
      </c>
      <c r="B5693" s="64">
        <f>IFERROR(__xludf.DUMMYFUNCTION("""COMPUTED_VALUE"""),44657.0)</f>
        <v>44657</v>
      </c>
      <c r="C5693" s="5"/>
      <c r="D5693" s="5"/>
      <c r="E5693" s="5"/>
      <c r="F5693" s="22">
        <f>IFERROR(__xludf.DUMMYFUNCTION("""COMPUTED_VALUE"""),227201.09204000002)</f>
        <v>227201.092</v>
      </c>
      <c r="G5693" s="22">
        <f>IFERROR(__xludf.DUMMYFUNCTION("""COMPUTED_VALUE"""),0.0)</f>
        <v>0</v>
      </c>
      <c r="H5693" s="22">
        <f>IFERROR(__xludf.DUMMYFUNCTION("""COMPUTED_VALUE"""),435907.23004500003)</f>
        <v>435907.23</v>
      </c>
      <c r="I5693" s="24">
        <f>IFERROR(__xludf.DUMMYFUNCTION("""COMPUTED_VALUE"""),-0.12818553990999992)</f>
        <v>-0.1281855399</v>
      </c>
    </row>
    <row r="5694">
      <c r="A5694" s="5" t="str">
        <f>IFERROR(__xludf.DUMMYFUNCTION("""COMPUTED_VALUE"""),"75415")</f>
        <v>75415</v>
      </c>
      <c r="B5694" s="64">
        <f>IFERROR(__xludf.DUMMYFUNCTION("""COMPUTED_VALUE"""),44658.0)</f>
        <v>44658</v>
      </c>
      <c r="C5694" s="5"/>
      <c r="D5694" s="5"/>
      <c r="E5694" s="5"/>
      <c r="F5694" s="22">
        <f>IFERROR(__xludf.DUMMYFUNCTION("""COMPUTED_VALUE"""),227201.09204000002)</f>
        <v>227201.092</v>
      </c>
      <c r="G5694" s="22">
        <f>IFERROR(__xludf.DUMMYFUNCTION("""COMPUTED_VALUE"""),0.0)</f>
        <v>0</v>
      </c>
      <c r="H5694" s="22">
        <f>IFERROR(__xludf.DUMMYFUNCTION("""COMPUTED_VALUE"""),438598.5676)</f>
        <v>438598.5676</v>
      </c>
      <c r="I5694" s="24">
        <f>IFERROR(__xludf.DUMMYFUNCTION("""COMPUTED_VALUE"""),-0.12280286480000002)</f>
        <v>-0.1228028648</v>
      </c>
    </row>
    <row r="5695">
      <c r="A5695" s="5" t="str">
        <f>IFERROR(__xludf.DUMMYFUNCTION("""COMPUTED_VALUE"""),"75415")</f>
        <v>75415</v>
      </c>
      <c r="B5695" s="64">
        <f>IFERROR(__xludf.DUMMYFUNCTION("""COMPUTED_VALUE"""),44659.0)</f>
        <v>44659</v>
      </c>
      <c r="C5695" s="5"/>
      <c r="D5695" s="5"/>
      <c r="E5695" s="5"/>
      <c r="F5695" s="22">
        <f>IFERROR(__xludf.DUMMYFUNCTION("""COMPUTED_VALUE"""),227201.09204000002)</f>
        <v>227201.092</v>
      </c>
      <c r="G5695" s="22">
        <f>IFERROR(__xludf.DUMMYFUNCTION("""COMPUTED_VALUE"""),0.0)</f>
        <v>0</v>
      </c>
      <c r="H5695" s="22">
        <f>IFERROR(__xludf.DUMMYFUNCTION("""COMPUTED_VALUE"""),441575.80721999996)</f>
        <v>441575.8072</v>
      </c>
      <c r="I5695" s="24">
        <f>IFERROR(__xludf.DUMMYFUNCTION("""COMPUTED_VALUE"""),-0.1168483855600001)</f>
        <v>-0.1168483856</v>
      </c>
    </row>
    <row r="5696">
      <c r="A5696" s="5" t="str">
        <f>IFERROR(__xludf.DUMMYFUNCTION("""COMPUTED_VALUE"""),"75415")</f>
        <v>75415</v>
      </c>
      <c r="B5696" s="64">
        <f>IFERROR(__xludf.DUMMYFUNCTION("""COMPUTED_VALUE"""),44660.0)</f>
        <v>44660</v>
      </c>
      <c r="C5696" s="5"/>
      <c r="D5696" s="5"/>
      <c r="E5696" s="5"/>
      <c r="F5696" s="22">
        <f>IFERROR(__xludf.DUMMYFUNCTION("""COMPUTED_VALUE"""),227201.09204000002)</f>
        <v>227201.092</v>
      </c>
      <c r="G5696" s="22">
        <f>IFERROR(__xludf.DUMMYFUNCTION("""COMPUTED_VALUE"""),0.0)</f>
        <v>0</v>
      </c>
      <c r="H5696" s="22">
        <f>IFERROR(__xludf.DUMMYFUNCTION("""COMPUTED_VALUE"""),441575.80721999996)</f>
        <v>441575.8072</v>
      </c>
      <c r="I5696" s="24">
        <f>IFERROR(__xludf.DUMMYFUNCTION("""COMPUTED_VALUE"""),-0.1168483855600001)</f>
        <v>-0.1168483856</v>
      </c>
    </row>
    <row r="5697">
      <c r="A5697" s="5" t="str">
        <f>IFERROR(__xludf.DUMMYFUNCTION("""COMPUTED_VALUE"""),"75415")</f>
        <v>75415</v>
      </c>
      <c r="B5697" s="64">
        <f>IFERROR(__xludf.DUMMYFUNCTION("""COMPUTED_VALUE"""),44661.0)</f>
        <v>44661</v>
      </c>
      <c r="C5697" s="5"/>
      <c r="D5697" s="5"/>
      <c r="E5697" s="5"/>
      <c r="F5697" s="22">
        <f>IFERROR(__xludf.DUMMYFUNCTION("""COMPUTED_VALUE"""),227201.09204000002)</f>
        <v>227201.092</v>
      </c>
      <c r="G5697" s="22">
        <f>IFERROR(__xludf.DUMMYFUNCTION("""COMPUTED_VALUE"""),0.0)</f>
        <v>0</v>
      </c>
      <c r="H5697" s="22">
        <f>IFERROR(__xludf.DUMMYFUNCTION("""COMPUTED_VALUE"""),441575.80721999996)</f>
        <v>441575.8072</v>
      </c>
      <c r="I5697" s="24">
        <f>IFERROR(__xludf.DUMMYFUNCTION("""COMPUTED_VALUE"""),-0.1168483855600001)</f>
        <v>-0.1168483856</v>
      </c>
    </row>
    <row r="5698">
      <c r="A5698" s="5" t="str">
        <f>IFERROR(__xludf.DUMMYFUNCTION("""COMPUTED_VALUE"""),"75415")</f>
        <v>75415</v>
      </c>
      <c r="B5698" s="64">
        <f>IFERROR(__xludf.DUMMYFUNCTION("""COMPUTED_VALUE"""),44662.0)</f>
        <v>44662</v>
      </c>
      <c r="C5698" s="5"/>
      <c r="D5698" s="5"/>
      <c r="E5698" s="5"/>
      <c r="F5698" s="22">
        <f>IFERROR(__xludf.DUMMYFUNCTION("""COMPUTED_VALUE"""),227201.09204000002)</f>
        <v>227201.092</v>
      </c>
      <c r="G5698" s="22">
        <f>IFERROR(__xludf.DUMMYFUNCTION("""COMPUTED_VALUE"""),0.0)</f>
        <v>0</v>
      </c>
      <c r="H5698" s="22">
        <f>IFERROR(__xludf.DUMMYFUNCTION("""COMPUTED_VALUE"""),435563.90779)</f>
        <v>435563.9078</v>
      </c>
      <c r="I5698" s="24">
        <f>IFERROR(__xludf.DUMMYFUNCTION("""COMPUTED_VALUE"""),-0.12887218441999992)</f>
        <v>-0.1288721844</v>
      </c>
    </row>
    <row r="5699">
      <c r="A5699" s="5" t="str">
        <f>IFERROR(__xludf.DUMMYFUNCTION("""COMPUTED_VALUE"""),"75415")</f>
        <v>75415</v>
      </c>
      <c r="B5699" s="64">
        <f>IFERROR(__xludf.DUMMYFUNCTION("""COMPUTED_VALUE"""),44663.0)</f>
        <v>44663</v>
      </c>
      <c r="C5699" s="5"/>
      <c r="D5699" s="5"/>
      <c r="E5699" s="5"/>
      <c r="F5699" s="22">
        <f>IFERROR(__xludf.DUMMYFUNCTION("""COMPUTED_VALUE"""),227201.09204000002)</f>
        <v>227201.092</v>
      </c>
      <c r="G5699" s="22">
        <f>IFERROR(__xludf.DUMMYFUNCTION("""COMPUTED_VALUE"""),0.0)</f>
        <v>0</v>
      </c>
      <c r="H5699" s="22">
        <f>IFERROR(__xludf.DUMMYFUNCTION("""COMPUTED_VALUE"""),435250.91347)</f>
        <v>435250.9135</v>
      </c>
      <c r="I5699" s="24">
        <f>IFERROR(__xludf.DUMMYFUNCTION("""COMPUTED_VALUE"""),-0.1294981730599999)</f>
        <v>-0.1294981731</v>
      </c>
    </row>
    <row r="5700">
      <c r="A5700" s="5" t="str">
        <f>IFERROR(__xludf.DUMMYFUNCTION("""COMPUTED_VALUE"""),"75597")</f>
        <v>75597</v>
      </c>
      <c r="B5700" s="64">
        <f>IFERROR(__xludf.DUMMYFUNCTION("""COMPUTED_VALUE"""),44597.0)</f>
        <v>44597</v>
      </c>
      <c r="C5700" s="5"/>
      <c r="D5700" s="5"/>
      <c r="E5700" s="5"/>
      <c r="F5700" s="22">
        <f>IFERROR(__xludf.DUMMYFUNCTION("""COMPUTED_VALUE"""),500000.0)</f>
        <v>500000</v>
      </c>
      <c r="G5700" s="22">
        <f>IFERROR(__xludf.DUMMYFUNCTION("""COMPUTED_VALUE"""),0.0)</f>
        <v>0</v>
      </c>
      <c r="H5700" s="22">
        <f>IFERROR(__xludf.DUMMYFUNCTION("""COMPUTED_VALUE"""),500000.0)</f>
        <v>500000</v>
      </c>
      <c r="I5700" s="24">
        <f>IFERROR(__xludf.DUMMYFUNCTION("""COMPUTED_VALUE"""),0.0)</f>
        <v>0</v>
      </c>
    </row>
    <row r="5701">
      <c r="A5701" s="5" t="str">
        <f>IFERROR(__xludf.DUMMYFUNCTION("""COMPUTED_VALUE"""),"75597")</f>
        <v>75597</v>
      </c>
      <c r="B5701" s="64">
        <f>IFERROR(__xludf.DUMMYFUNCTION("""COMPUTED_VALUE"""),44598.0)</f>
        <v>44598</v>
      </c>
      <c r="C5701" s="5"/>
      <c r="D5701" s="5"/>
      <c r="E5701" s="5"/>
      <c r="F5701" s="22">
        <f>IFERROR(__xludf.DUMMYFUNCTION("""COMPUTED_VALUE"""),500000.0)</f>
        <v>500000</v>
      </c>
      <c r="G5701" s="22">
        <f>IFERROR(__xludf.DUMMYFUNCTION("""COMPUTED_VALUE"""),0.0)</f>
        <v>0</v>
      </c>
      <c r="H5701" s="22">
        <f>IFERROR(__xludf.DUMMYFUNCTION("""COMPUTED_VALUE"""),500000.0)</f>
        <v>500000</v>
      </c>
      <c r="I5701" s="24">
        <f>IFERROR(__xludf.DUMMYFUNCTION("""COMPUTED_VALUE"""),0.0)</f>
        <v>0</v>
      </c>
    </row>
    <row r="5702">
      <c r="A5702" s="5" t="str">
        <f>IFERROR(__xludf.DUMMYFUNCTION("""COMPUTED_VALUE"""),"75597")</f>
        <v>75597</v>
      </c>
      <c r="B5702" s="64">
        <f>IFERROR(__xludf.DUMMYFUNCTION("""COMPUTED_VALUE"""),44599.0)</f>
        <v>44599</v>
      </c>
      <c r="C5702" s="5"/>
      <c r="D5702" s="5"/>
      <c r="E5702" s="5"/>
      <c r="F5702" s="22">
        <f>IFERROR(__xludf.DUMMYFUNCTION("""COMPUTED_VALUE"""),500000.0)</f>
        <v>500000</v>
      </c>
      <c r="G5702" s="22">
        <f>IFERROR(__xludf.DUMMYFUNCTION("""COMPUTED_VALUE"""),0.0)</f>
        <v>0</v>
      </c>
      <c r="H5702" s="22">
        <f>IFERROR(__xludf.DUMMYFUNCTION("""COMPUTED_VALUE"""),500000.0)</f>
        <v>500000</v>
      </c>
      <c r="I5702" s="24">
        <f>IFERROR(__xludf.DUMMYFUNCTION("""COMPUTED_VALUE"""),0.0)</f>
        <v>0</v>
      </c>
    </row>
    <row r="5703">
      <c r="A5703" s="5" t="str">
        <f>IFERROR(__xludf.DUMMYFUNCTION("""COMPUTED_VALUE"""),"75597")</f>
        <v>75597</v>
      </c>
      <c r="B5703" s="64">
        <f>IFERROR(__xludf.DUMMYFUNCTION("""COMPUTED_VALUE"""),44600.0)</f>
        <v>44600</v>
      </c>
      <c r="C5703" s="5"/>
      <c r="D5703" s="5"/>
      <c r="E5703" s="5"/>
      <c r="F5703" s="22">
        <f>IFERROR(__xludf.DUMMYFUNCTION("""COMPUTED_VALUE"""),500000.0)</f>
        <v>500000</v>
      </c>
      <c r="G5703" s="22">
        <f>IFERROR(__xludf.DUMMYFUNCTION("""COMPUTED_VALUE"""),0.0)</f>
        <v>0</v>
      </c>
      <c r="H5703" s="22">
        <f>IFERROR(__xludf.DUMMYFUNCTION("""COMPUTED_VALUE"""),500000.0)</f>
        <v>500000</v>
      </c>
      <c r="I5703" s="24">
        <f>IFERROR(__xludf.DUMMYFUNCTION("""COMPUTED_VALUE"""),0.0)</f>
        <v>0</v>
      </c>
    </row>
    <row r="5704">
      <c r="A5704" s="5" t="str">
        <f>IFERROR(__xludf.DUMMYFUNCTION("""COMPUTED_VALUE"""),"75597")</f>
        <v>75597</v>
      </c>
      <c r="B5704" s="64">
        <f>IFERROR(__xludf.DUMMYFUNCTION("""COMPUTED_VALUE"""),44601.0)</f>
        <v>44601</v>
      </c>
      <c r="C5704" s="5"/>
      <c r="D5704" s="5"/>
      <c r="E5704" s="5"/>
      <c r="F5704" s="22">
        <f>IFERROR(__xludf.DUMMYFUNCTION("""COMPUTED_VALUE"""),500000.0)</f>
        <v>500000</v>
      </c>
      <c r="G5704" s="22">
        <f>IFERROR(__xludf.DUMMYFUNCTION("""COMPUTED_VALUE"""),0.0)</f>
        <v>0</v>
      </c>
      <c r="H5704" s="22">
        <f>IFERROR(__xludf.DUMMYFUNCTION("""COMPUTED_VALUE"""),500000.0)</f>
        <v>500000</v>
      </c>
      <c r="I5704" s="24">
        <f>IFERROR(__xludf.DUMMYFUNCTION("""COMPUTED_VALUE"""),0.0)</f>
        <v>0</v>
      </c>
    </row>
    <row r="5705">
      <c r="A5705" s="5" t="str">
        <f>IFERROR(__xludf.DUMMYFUNCTION("""COMPUTED_VALUE"""),"75597")</f>
        <v>75597</v>
      </c>
      <c r="B5705" s="64">
        <f>IFERROR(__xludf.DUMMYFUNCTION("""COMPUTED_VALUE"""),44602.0)</f>
        <v>44602</v>
      </c>
      <c r="C5705" s="5"/>
      <c r="D5705" s="5"/>
      <c r="E5705" s="5"/>
      <c r="F5705" s="22">
        <f>IFERROR(__xludf.DUMMYFUNCTION("""COMPUTED_VALUE"""),500000.0)</f>
        <v>500000</v>
      </c>
      <c r="G5705" s="22">
        <f>IFERROR(__xludf.DUMMYFUNCTION("""COMPUTED_VALUE"""),0.0)</f>
        <v>0</v>
      </c>
      <c r="H5705" s="22">
        <f>IFERROR(__xludf.DUMMYFUNCTION("""COMPUTED_VALUE"""),500000.0)</f>
        <v>500000</v>
      </c>
      <c r="I5705" s="24">
        <f>IFERROR(__xludf.DUMMYFUNCTION("""COMPUTED_VALUE"""),0.0)</f>
        <v>0</v>
      </c>
    </row>
    <row r="5706">
      <c r="A5706" s="5" t="str">
        <f>IFERROR(__xludf.DUMMYFUNCTION("""COMPUTED_VALUE"""),"75597")</f>
        <v>75597</v>
      </c>
      <c r="B5706" s="64">
        <f>IFERROR(__xludf.DUMMYFUNCTION("""COMPUTED_VALUE"""),44603.0)</f>
        <v>44603</v>
      </c>
      <c r="C5706" s="5"/>
      <c r="D5706" s="5"/>
      <c r="E5706" s="5"/>
      <c r="F5706" s="22">
        <f>IFERROR(__xludf.DUMMYFUNCTION("""COMPUTED_VALUE"""),500000.0)</f>
        <v>500000</v>
      </c>
      <c r="G5706" s="22">
        <f>IFERROR(__xludf.DUMMYFUNCTION("""COMPUTED_VALUE"""),0.0)</f>
        <v>0</v>
      </c>
      <c r="H5706" s="22">
        <f>IFERROR(__xludf.DUMMYFUNCTION("""COMPUTED_VALUE"""),500000.0)</f>
        <v>500000</v>
      </c>
      <c r="I5706" s="24">
        <f>IFERROR(__xludf.DUMMYFUNCTION("""COMPUTED_VALUE"""),0.0)</f>
        <v>0</v>
      </c>
    </row>
    <row r="5707">
      <c r="A5707" s="5" t="str">
        <f>IFERROR(__xludf.DUMMYFUNCTION("""COMPUTED_VALUE"""),"75597")</f>
        <v>75597</v>
      </c>
      <c r="B5707" s="64">
        <f>IFERROR(__xludf.DUMMYFUNCTION("""COMPUTED_VALUE"""),44604.0)</f>
        <v>44604</v>
      </c>
      <c r="C5707" s="5"/>
      <c r="D5707" s="5"/>
      <c r="E5707" s="5"/>
      <c r="F5707" s="22">
        <f>IFERROR(__xludf.DUMMYFUNCTION("""COMPUTED_VALUE"""),500000.0)</f>
        <v>500000</v>
      </c>
      <c r="G5707" s="22">
        <f>IFERROR(__xludf.DUMMYFUNCTION("""COMPUTED_VALUE"""),0.0)</f>
        <v>0</v>
      </c>
      <c r="H5707" s="22">
        <f>IFERROR(__xludf.DUMMYFUNCTION("""COMPUTED_VALUE"""),500000.0)</f>
        <v>500000</v>
      </c>
      <c r="I5707" s="24">
        <f>IFERROR(__xludf.DUMMYFUNCTION("""COMPUTED_VALUE"""),0.0)</f>
        <v>0</v>
      </c>
    </row>
    <row r="5708">
      <c r="A5708" s="5" t="str">
        <f>IFERROR(__xludf.DUMMYFUNCTION("""COMPUTED_VALUE"""),"75597")</f>
        <v>75597</v>
      </c>
      <c r="B5708" s="64">
        <f>IFERROR(__xludf.DUMMYFUNCTION("""COMPUTED_VALUE"""),44605.0)</f>
        <v>44605</v>
      </c>
      <c r="C5708" s="5"/>
      <c r="D5708" s="5"/>
      <c r="E5708" s="5"/>
      <c r="F5708" s="22">
        <f>IFERROR(__xludf.DUMMYFUNCTION("""COMPUTED_VALUE"""),500000.0)</f>
        <v>500000</v>
      </c>
      <c r="G5708" s="22">
        <f>IFERROR(__xludf.DUMMYFUNCTION("""COMPUTED_VALUE"""),0.0)</f>
        <v>0</v>
      </c>
      <c r="H5708" s="22">
        <f>IFERROR(__xludf.DUMMYFUNCTION("""COMPUTED_VALUE"""),500000.0)</f>
        <v>500000</v>
      </c>
      <c r="I5708" s="24">
        <f>IFERROR(__xludf.DUMMYFUNCTION("""COMPUTED_VALUE"""),0.0)</f>
        <v>0</v>
      </c>
    </row>
    <row r="5709">
      <c r="A5709" s="5" t="str">
        <f>IFERROR(__xludf.DUMMYFUNCTION("""COMPUTED_VALUE"""),"75597")</f>
        <v>75597</v>
      </c>
      <c r="B5709" s="64">
        <f>IFERROR(__xludf.DUMMYFUNCTION("""COMPUTED_VALUE"""),44606.0)</f>
        <v>44606</v>
      </c>
      <c r="C5709" s="5"/>
      <c r="D5709" s="5"/>
      <c r="E5709" s="5"/>
      <c r="F5709" s="22">
        <f>IFERROR(__xludf.DUMMYFUNCTION("""COMPUTED_VALUE"""),500000.0)</f>
        <v>500000</v>
      </c>
      <c r="G5709" s="22">
        <f>IFERROR(__xludf.DUMMYFUNCTION("""COMPUTED_VALUE"""),0.0)</f>
        <v>0</v>
      </c>
      <c r="H5709" s="22">
        <f>IFERROR(__xludf.DUMMYFUNCTION("""COMPUTED_VALUE"""),500000.0)</f>
        <v>500000</v>
      </c>
      <c r="I5709" s="24">
        <f>IFERROR(__xludf.DUMMYFUNCTION("""COMPUTED_VALUE"""),0.0)</f>
        <v>0</v>
      </c>
    </row>
    <row r="5710">
      <c r="A5710" s="5" t="str">
        <f>IFERROR(__xludf.DUMMYFUNCTION("""COMPUTED_VALUE"""),"75597")</f>
        <v>75597</v>
      </c>
      <c r="B5710" s="64">
        <f>IFERROR(__xludf.DUMMYFUNCTION("""COMPUTED_VALUE"""),44607.0)</f>
        <v>44607</v>
      </c>
      <c r="C5710" s="5"/>
      <c r="D5710" s="5"/>
      <c r="E5710" s="5"/>
      <c r="F5710" s="22">
        <f>IFERROR(__xludf.DUMMYFUNCTION("""COMPUTED_VALUE"""),500000.0)</f>
        <v>500000</v>
      </c>
      <c r="G5710" s="22">
        <f>IFERROR(__xludf.DUMMYFUNCTION("""COMPUTED_VALUE"""),0.0)</f>
        <v>0</v>
      </c>
      <c r="H5710" s="22">
        <f>IFERROR(__xludf.DUMMYFUNCTION("""COMPUTED_VALUE"""),500000.0)</f>
        <v>500000</v>
      </c>
      <c r="I5710" s="24">
        <f>IFERROR(__xludf.DUMMYFUNCTION("""COMPUTED_VALUE"""),0.0)</f>
        <v>0</v>
      </c>
    </row>
    <row r="5711">
      <c r="A5711" s="5" t="str">
        <f>IFERROR(__xludf.DUMMYFUNCTION("""COMPUTED_VALUE"""),"75597")</f>
        <v>75597</v>
      </c>
      <c r="B5711" s="64">
        <f>IFERROR(__xludf.DUMMYFUNCTION("""COMPUTED_VALUE"""),44608.0)</f>
        <v>44608</v>
      </c>
      <c r="C5711" s="5"/>
      <c r="D5711" s="5"/>
      <c r="E5711" s="5"/>
      <c r="F5711" s="22">
        <f>IFERROR(__xludf.DUMMYFUNCTION("""COMPUTED_VALUE"""),500000.0)</f>
        <v>500000</v>
      </c>
      <c r="G5711" s="22">
        <f>IFERROR(__xludf.DUMMYFUNCTION("""COMPUTED_VALUE"""),0.0)</f>
        <v>0</v>
      </c>
      <c r="H5711" s="22">
        <f>IFERROR(__xludf.DUMMYFUNCTION("""COMPUTED_VALUE"""),500000.0)</f>
        <v>500000</v>
      </c>
      <c r="I5711" s="24">
        <f>IFERROR(__xludf.DUMMYFUNCTION("""COMPUTED_VALUE"""),0.0)</f>
        <v>0</v>
      </c>
    </row>
    <row r="5712">
      <c r="A5712" s="5" t="str">
        <f>IFERROR(__xludf.DUMMYFUNCTION("""COMPUTED_VALUE"""),"75597")</f>
        <v>75597</v>
      </c>
      <c r="B5712" s="64">
        <f>IFERROR(__xludf.DUMMYFUNCTION("""COMPUTED_VALUE"""),44609.0)</f>
        <v>44609</v>
      </c>
      <c r="C5712" s="5"/>
      <c r="D5712" s="5"/>
      <c r="E5712" s="5"/>
      <c r="F5712" s="22">
        <f>IFERROR(__xludf.DUMMYFUNCTION("""COMPUTED_VALUE"""),500000.0)</f>
        <v>500000</v>
      </c>
      <c r="G5712" s="22">
        <f>IFERROR(__xludf.DUMMYFUNCTION("""COMPUTED_VALUE"""),0.0)</f>
        <v>0</v>
      </c>
      <c r="H5712" s="22">
        <f>IFERROR(__xludf.DUMMYFUNCTION("""COMPUTED_VALUE"""),500000.0)</f>
        <v>500000</v>
      </c>
      <c r="I5712" s="24">
        <f>IFERROR(__xludf.DUMMYFUNCTION("""COMPUTED_VALUE"""),0.0)</f>
        <v>0</v>
      </c>
    </row>
    <row r="5713">
      <c r="A5713" s="5" t="str">
        <f>IFERROR(__xludf.DUMMYFUNCTION("""COMPUTED_VALUE"""),"75597")</f>
        <v>75597</v>
      </c>
      <c r="B5713" s="64">
        <f>IFERROR(__xludf.DUMMYFUNCTION("""COMPUTED_VALUE"""),44610.0)</f>
        <v>44610</v>
      </c>
      <c r="C5713" s="5"/>
      <c r="D5713" s="5"/>
      <c r="E5713" s="5"/>
      <c r="F5713" s="22">
        <f>IFERROR(__xludf.DUMMYFUNCTION("""COMPUTED_VALUE"""),500000.0)</f>
        <v>500000</v>
      </c>
      <c r="G5713" s="22">
        <f>IFERROR(__xludf.DUMMYFUNCTION("""COMPUTED_VALUE"""),0.0)</f>
        <v>0</v>
      </c>
      <c r="H5713" s="22">
        <f>IFERROR(__xludf.DUMMYFUNCTION("""COMPUTED_VALUE"""),500000.0)</f>
        <v>500000</v>
      </c>
      <c r="I5713" s="24">
        <f>IFERROR(__xludf.DUMMYFUNCTION("""COMPUTED_VALUE"""),0.0)</f>
        <v>0</v>
      </c>
    </row>
    <row r="5714">
      <c r="A5714" s="5" t="str">
        <f>IFERROR(__xludf.DUMMYFUNCTION("""COMPUTED_VALUE"""),"75597")</f>
        <v>75597</v>
      </c>
      <c r="B5714" s="64">
        <f>IFERROR(__xludf.DUMMYFUNCTION("""COMPUTED_VALUE"""),44611.0)</f>
        <v>44611</v>
      </c>
      <c r="C5714" s="5"/>
      <c r="D5714" s="5"/>
      <c r="E5714" s="5"/>
      <c r="F5714" s="22">
        <f>IFERROR(__xludf.DUMMYFUNCTION("""COMPUTED_VALUE"""),500000.0)</f>
        <v>500000</v>
      </c>
      <c r="G5714" s="22">
        <f>IFERROR(__xludf.DUMMYFUNCTION("""COMPUTED_VALUE"""),0.0)</f>
        <v>0</v>
      </c>
      <c r="H5714" s="22">
        <f>IFERROR(__xludf.DUMMYFUNCTION("""COMPUTED_VALUE"""),500000.0)</f>
        <v>500000</v>
      </c>
      <c r="I5714" s="24">
        <f>IFERROR(__xludf.DUMMYFUNCTION("""COMPUTED_VALUE"""),0.0)</f>
        <v>0</v>
      </c>
    </row>
    <row r="5715">
      <c r="A5715" s="5" t="str">
        <f>IFERROR(__xludf.DUMMYFUNCTION("""COMPUTED_VALUE"""),"75597")</f>
        <v>75597</v>
      </c>
      <c r="B5715" s="64">
        <f>IFERROR(__xludf.DUMMYFUNCTION("""COMPUTED_VALUE"""),44612.0)</f>
        <v>44612</v>
      </c>
      <c r="C5715" s="5"/>
      <c r="D5715" s="5"/>
      <c r="E5715" s="5"/>
      <c r="F5715" s="22">
        <f>IFERROR(__xludf.DUMMYFUNCTION("""COMPUTED_VALUE"""),500000.0)</f>
        <v>500000</v>
      </c>
      <c r="G5715" s="22">
        <f>IFERROR(__xludf.DUMMYFUNCTION("""COMPUTED_VALUE"""),0.0)</f>
        <v>0</v>
      </c>
      <c r="H5715" s="22">
        <f>IFERROR(__xludf.DUMMYFUNCTION("""COMPUTED_VALUE"""),500000.0)</f>
        <v>500000</v>
      </c>
      <c r="I5715" s="24">
        <f>IFERROR(__xludf.DUMMYFUNCTION("""COMPUTED_VALUE"""),0.0)</f>
        <v>0</v>
      </c>
    </row>
    <row r="5716">
      <c r="A5716" s="5" t="str">
        <f>IFERROR(__xludf.DUMMYFUNCTION("""COMPUTED_VALUE"""),"75597")</f>
        <v>75597</v>
      </c>
      <c r="B5716" s="64">
        <f>IFERROR(__xludf.DUMMYFUNCTION("""COMPUTED_VALUE"""),44613.0)</f>
        <v>44613</v>
      </c>
      <c r="C5716" s="5"/>
      <c r="D5716" s="5"/>
      <c r="E5716" s="5"/>
      <c r="F5716" s="22">
        <f>IFERROR(__xludf.DUMMYFUNCTION("""COMPUTED_VALUE"""),500000.0)</f>
        <v>500000</v>
      </c>
      <c r="G5716" s="22">
        <f>IFERROR(__xludf.DUMMYFUNCTION("""COMPUTED_VALUE"""),0.0)</f>
        <v>0</v>
      </c>
      <c r="H5716" s="22">
        <f>IFERROR(__xludf.DUMMYFUNCTION("""COMPUTED_VALUE"""),500000.0)</f>
        <v>500000</v>
      </c>
      <c r="I5716" s="24">
        <f>IFERROR(__xludf.DUMMYFUNCTION("""COMPUTED_VALUE"""),0.0)</f>
        <v>0</v>
      </c>
    </row>
    <row r="5717">
      <c r="A5717" s="5" t="str">
        <f>IFERROR(__xludf.DUMMYFUNCTION("""COMPUTED_VALUE"""),"75597")</f>
        <v>75597</v>
      </c>
      <c r="B5717" s="64">
        <f>IFERROR(__xludf.DUMMYFUNCTION("""COMPUTED_VALUE"""),44614.0)</f>
        <v>44614</v>
      </c>
      <c r="C5717" s="5"/>
      <c r="D5717" s="5"/>
      <c r="E5717" s="5"/>
      <c r="F5717" s="22">
        <f>IFERROR(__xludf.DUMMYFUNCTION("""COMPUTED_VALUE"""),500000.0)</f>
        <v>500000</v>
      </c>
      <c r="G5717" s="22">
        <f>IFERROR(__xludf.DUMMYFUNCTION("""COMPUTED_VALUE"""),0.0)</f>
        <v>0</v>
      </c>
      <c r="H5717" s="22">
        <f>IFERROR(__xludf.DUMMYFUNCTION("""COMPUTED_VALUE"""),500000.0)</f>
        <v>500000</v>
      </c>
      <c r="I5717" s="24">
        <f>IFERROR(__xludf.DUMMYFUNCTION("""COMPUTED_VALUE"""),0.0)</f>
        <v>0</v>
      </c>
    </row>
    <row r="5718">
      <c r="A5718" s="5" t="str">
        <f>IFERROR(__xludf.DUMMYFUNCTION("""COMPUTED_VALUE"""),"75597")</f>
        <v>75597</v>
      </c>
      <c r="B5718" s="64">
        <f>IFERROR(__xludf.DUMMYFUNCTION("""COMPUTED_VALUE"""),44615.0)</f>
        <v>44615</v>
      </c>
      <c r="C5718" s="5"/>
      <c r="D5718" s="5"/>
      <c r="E5718" s="5"/>
      <c r="F5718" s="22">
        <f>IFERROR(__xludf.DUMMYFUNCTION("""COMPUTED_VALUE"""),500000.0)</f>
        <v>500000</v>
      </c>
      <c r="G5718" s="22">
        <f>IFERROR(__xludf.DUMMYFUNCTION("""COMPUTED_VALUE"""),0.0)</f>
        <v>0</v>
      </c>
      <c r="H5718" s="22">
        <f>IFERROR(__xludf.DUMMYFUNCTION("""COMPUTED_VALUE"""),500000.0)</f>
        <v>500000</v>
      </c>
      <c r="I5718" s="24">
        <f>IFERROR(__xludf.DUMMYFUNCTION("""COMPUTED_VALUE"""),0.0)</f>
        <v>0</v>
      </c>
    </row>
    <row r="5719">
      <c r="A5719" s="5" t="str">
        <f>IFERROR(__xludf.DUMMYFUNCTION("""COMPUTED_VALUE"""),"75597")</f>
        <v>75597</v>
      </c>
      <c r="B5719" s="64">
        <f>IFERROR(__xludf.DUMMYFUNCTION("""COMPUTED_VALUE"""),44616.0)</f>
        <v>44616</v>
      </c>
      <c r="C5719" s="5"/>
      <c r="D5719" s="5"/>
      <c r="E5719" s="5"/>
      <c r="F5719" s="22">
        <f>IFERROR(__xludf.DUMMYFUNCTION("""COMPUTED_VALUE"""),500000.0)</f>
        <v>500000</v>
      </c>
      <c r="G5719" s="22">
        <f>IFERROR(__xludf.DUMMYFUNCTION("""COMPUTED_VALUE"""),0.0)</f>
        <v>0</v>
      </c>
      <c r="H5719" s="22">
        <f>IFERROR(__xludf.DUMMYFUNCTION("""COMPUTED_VALUE"""),500000.0)</f>
        <v>500000</v>
      </c>
      <c r="I5719" s="24">
        <f>IFERROR(__xludf.DUMMYFUNCTION("""COMPUTED_VALUE"""),0.0)</f>
        <v>0</v>
      </c>
    </row>
    <row r="5720">
      <c r="A5720" s="5" t="str">
        <f>IFERROR(__xludf.DUMMYFUNCTION("""COMPUTED_VALUE"""),"75597")</f>
        <v>75597</v>
      </c>
      <c r="B5720" s="64">
        <f>IFERROR(__xludf.DUMMYFUNCTION("""COMPUTED_VALUE"""),44617.0)</f>
        <v>44617</v>
      </c>
      <c r="C5720" s="5"/>
      <c r="D5720" s="5"/>
      <c r="E5720" s="5"/>
      <c r="F5720" s="22">
        <f>IFERROR(__xludf.DUMMYFUNCTION("""COMPUTED_VALUE"""),500000.0)</f>
        <v>500000</v>
      </c>
      <c r="G5720" s="22">
        <f>IFERROR(__xludf.DUMMYFUNCTION("""COMPUTED_VALUE"""),0.0)</f>
        <v>0</v>
      </c>
      <c r="H5720" s="22">
        <f>IFERROR(__xludf.DUMMYFUNCTION("""COMPUTED_VALUE"""),500000.0)</f>
        <v>500000</v>
      </c>
      <c r="I5720" s="24">
        <f>IFERROR(__xludf.DUMMYFUNCTION("""COMPUTED_VALUE"""),0.0)</f>
        <v>0</v>
      </c>
    </row>
    <row r="5721">
      <c r="A5721" s="5" t="str">
        <f>IFERROR(__xludf.DUMMYFUNCTION("""COMPUTED_VALUE"""),"75597")</f>
        <v>75597</v>
      </c>
      <c r="B5721" s="64">
        <f>IFERROR(__xludf.DUMMYFUNCTION("""COMPUTED_VALUE"""),44618.0)</f>
        <v>44618</v>
      </c>
      <c r="C5721" s="5"/>
      <c r="D5721" s="5"/>
      <c r="E5721" s="5"/>
      <c r="F5721" s="22">
        <f>IFERROR(__xludf.DUMMYFUNCTION("""COMPUTED_VALUE"""),500000.0)</f>
        <v>500000</v>
      </c>
      <c r="G5721" s="22">
        <f>IFERROR(__xludf.DUMMYFUNCTION("""COMPUTED_VALUE"""),0.0)</f>
        <v>0</v>
      </c>
      <c r="H5721" s="22">
        <f>IFERROR(__xludf.DUMMYFUNCTION("""COMPUTED_VALUE"""),500000.0)</f>
        <v>500000</v>
      </c>
      <c r="I5721" s="24">
        <f>IFERROR(__xludf.DUMMYFUNCTION("""COMPUTED_VALUE"""),0.0)</f>
        <v>0</v>
      </c>
    </row>
    <row r="5722">
      <c r="A5722" s="5" t="str">
        <f>IFERROR(__xludf.DUMMYFUNCTION("""COMPUTED_VALUE"""),"75597")</f>
        <v>75597</v>
      </c>
      <c r="B5722" s="64">
        <f>IFERROR(__xludf.DUMMYFUNCTION("""COMPUTED_VALUE"""),44619.0)</f>
        <v>44619</v>
      </c>
      <c r="C5722" s="5"/>
      <c r="D5722" s="5"/>
      <c r="E5722" s="5"/>
      <c r="F5722" s="22">
        <f>IFERROR(__xludf.DUMMYFUNCTION("""COMPUTED_VALUE"""),500000.0)</f>
        <v>500000</v>
      </c>
      <c r="G5722" s="22">
        <f>IFERROR(__xludf.DUMMYFUNCTION("""COMPUTED_VALUE"""),0.0)</f>
        <v>0</v>
      </c>
      <c r="H5722" s="22">
        <f>IFERROR(__xludf.DUMMYFUNCTION("""COMPUTED_VALUE"""),500000.0)</f>
        <v>500000</v>
      </c>
      <c r="I5722" s="24">
        <f>IFERROR(__xludf.DUMMYFUNCTION("""COMPUTED_VALUE"""),0.0)</f>
        <v>0</v>
      </c>
    </row>
    <row r="5723">
      <c r="A5723" s="5" t="str">
        <f>IFERROR(__xludf.DUMMYFUNCTION("""COMPUTED_VALUE"""),"75597")</f>
        <v>75597</v>
      </c>
      <c r="B5723" s="64">
        <f>IFERROR(__xludf.DUMMYFUNCTION("""COMPUTED_VALUE"""),44620.0)</f>
        <v>44620</v>
      </c>
      <c r="C5723" s="5"/>
      <c r="D5723" s="5"/>
      <c r="E5723" s="5"/>
      <c r="F5723" s="22">
        <f>IFERROR(__xludf.DUMMYFUNCTION("""COMPUTED_VALUE"""),500000.0)</f>
        <v>500000</v>
      </c>
      <c r="G5723" s="22">
        <f>IFERROR(__xludf.DUMMYFUNCTION("""COMPUTED_VALUE"""),0.0)</f>
        <v>0</v>
      </c>
      <c r="H5723" s="22">
        <f>IFERROR(__xludf.DUMMYFUNCTION("""COMPUTED_VALUE"""),500000.0)</f>
        <v>500000</v>
      </c>
      <c r="I5723" s="24">
        <f>IFERROR(__xludf.DUMMYFUNCTION("""COMPUTED_VALUE"""),0.0)</f>
        <v>0</v>
      </c>
    </row>
    <row r="5724">
      <c r="A5724" s="5" t="str">
        <f>IFERROR(__xludf.DUMMYFUNCTION("""COMPUTED_VALUE"""),"75597")</f>
        <v>75597</v>
      </c>
      <c r="B5724" s="64">
        <f>IFERROR(__xludf.DUMMYFUNCTION("""COMPUTED_VALUE"""),44621.0)</f>
        <v>44621</v>
      </c>
      <c r="C5724" s="5"/>
      <c r="D5724" s="5"/>
      <c r="E5724" s="5"/>
      <c r="F5724" s="22">
        <f>IFERROR(__xludf.DUMMYFUNCTION("""COMPUTED_VALUE"""),500000.0)</f>
        <v>500000</v>
      </c>
      <c r="G5724" s="22">
        <f>IFERROR(__xludf.DUMMYFUNCTION("""COMPUTED_VALUE"""),0.0)</f>
        <v>0</v>
      </c>
      <c r="H5724" s="22">
        <f>IFERROR(__xludf.DUMMYFUNCTION("""COMPUTED_VALUE"""),500000.0)</f>
        <v>500000</v>
      </c>
      <c r="I5724" s="24">
        <f>IFERROR(__xludf.DUMMYFUNCTION("""COMPUTED_VALUE"""),0.0)</f>
        <v>0</v>
      </c>
    </row>
    <row r="5725">
      <c r="A5725" s="5" t="str">
        <f>IFERROR(__xludf.DUMMYFUNCTION("""COMPUTED_VALUE"""),"75597")</f>
        <v>75597</v>
      </c>
      <c r="B5725" s="64">
        <f>IFERROR(__xludf.DUMMYFUNCTION("""COMPUTED_VALUE"""),44622.0)</f>
        <v>44622</v>
      </c>
      <c r="C5725" s="5"/>
      <c r="D5725" s="5"/>
      <c r="E5725" s="5"/>
      <c r="F5725" s="22">
        <f>IFERROR(__xludf.DUMMYFUNCTION("""COMPUTED_VALUE"""),500000.0)</f>
        <v>500000</v>
      </c>
      <c r="G5725" s="22">
        <f>IFERROR(__xludf.DUMMYFUNCTION("""COMPUTED_VALUE"""),0.0)</f>
        <v>0</v>
      </c>
      <c r="H5725" s="22">
        <f>IFERROR(__xludf.DUMMYFUNCTION("""COMPUTED_VALUE"""),500000.0)</f>
        <v>500000</v>
      </c>
      <c r="I5725" s="24">
        <f>IFERROR(__xludf.DUMMYFUNCTION("""COMPUTED_VALUE"""),0.0)</f>
        <v>0</v>
      </c>
    </row>
    <row r="5726">
      <c r="A5726" s="5" t="str">
        <f>IFERROR(__xludf.DUMMYFUNCTION("""COMPUTED_VALUE"""),"75597")</f>
        <v>75597</v>
      </c>
      <c r="B5726" s="64">
        <f>IFERROR(__xludf.DUMMYFUNCTION("""COMPUTED_VALUE"""),44623.0)</f>
        <v>44623</v>
      </c>
      <c r="C5726" s="5"/>
      <c r="D5726" s="5"/>
      <c r="E5726" s="5"/>
      <c r="F5726" s="22">
        <f>IFERROR(__xludf.DUMMYFUNCTION("""COMPUTED_VALUE"""),500000.0)</f>
        <v>500000</v>
      </c>
      <c r="G5726" s="22">
        <f>IFERROR(__xludf.DUMMYFUNCTION("""COMPUTED_VALUE"""),0.0)</f>
        <v>0</v>
      </c>
      <c r="H5726" s="22">
        <f>IFERROR(__xludf.DUMMYFUNCTION("""COMPUTED_VALUE"""),500000.0)</f>
        <v>500000</v>
      </c>
      <c r="I5726" s="24">
        <f>IFERROR(__xludf.DUMMYFUNCTION("""COMPUTED_VALUE"""),0.0)</f>
        <v>0</v>
      </c>
    </row>
    <row r="5727">
      <c r="A5727" s="5" t="str">
        <f>IFERROR(__xludf.DUMMYFUNCTION("""COMPUTED_VALUE"""),"75597")</f>
        <v>75597</v>
      </c>
      <c r="B5727" s="64">
        <f>IFERROR(__xludf.DUMMYFUNCTION("""COMPUTED_VALUE"""),44624.0)</f>
        <v>44624</v>
      </c>
      <c r="C5727" s="5"/>
      <c r="D5727" s="5"/>
      <c r="E5727" s="5"/>
      <c r="F5727" s="22">
        <f>IFERROR(__xludf.DUMMYFUNCTION("""COMPUTED_VALUE"""),500000.0)</f>
        <v>500000</v>
      </c>
      <c r="G5727" s="22">
        <f>IFERROR(__xludf.DUMMYFUNCTION("""COMPUTED_VALUE"""),0.0)</f>
        <v>0</v>
      </c>
      <c r="H5727" s="22">
        <f>IFERROR(__xludf.DUMMYFUNCTION("""COMPUTED_VALUE"""),500000.0)</f>
        <v>500000</v>
      </c>
      <c r="I5727" s="24">
        <f>IFERROR(__xludf.DUMMYFUNCTION("""COMPUTED_VALUE"""),0.0)</f>
        <v>0</v>
      </c>
    </row>
    <row r="5728">
      <c r="A5728" s="5" t="str">
        <f>IFERROR(__xludf.DUMMYFUNCTION("""COMPUTED_VALUE"""),"75597")</f>
        <v>75597</v>
      </c>
      <c r="B5728" s="64">
        <f>IFERROR(__xludf.DUMMYFUNCTION("""COMPUTED_VALUE"""),44625.0)</f>
        <v>44625</v>
      </c>
      <c r="C5728" s="5"/>
      <c r="D5728" s="5"/>
      <c r="E5728" s="5"/>
      <c r="F5728" s="22">
        <f>IFERROR(__xludf.DUMMYFUNCTION("""COMPUTED_VALUE"""),500000.0)</f>
        <v>500000</v>
      </c>
      <c r="G5728" s="22">
        <f>IFERROR(__xludf.DUMMYFUNCTION("""COMPUTED_VALUE"""),0.0)</f>
        <v>0</v>
      </c>
      <c r="H5728" s="22">
        <f>IFERROR(__xludf.DUMMYFUNCTION("""COMPUTED_VALUE"""),500000.0)</f>
        <v>500000</v>
      </c>
      <c r="I5728" s="24">
        <f>IFERROR(__xludf.DUMMYFUNCTION("""COMPUTED_VALUE"""),0.0)</f>
        <v>0</v>
      </c>
    </row>
    <row r="5729">
      <c r="A5729" s="5" t="str">
        <f>IFERROR(__xludf.DUMMYFUNCTION("""COMPUTED_VALUE"""),"75597")</f>
        <v>75597</v>
      </c>
      <c r="B5729" s="64">
        <f>IFERROR(__xludf.DUMMYFUNCTION("""COMPUTED_VALUE"""),44626.0)</f>
        <v>44626</v>
      </c>
      <c r="C5729" s="5"/>
      <c r="D5729" s="5"/>
      <c r="E5729" s="5"/>
      <c r="F5729" s="22">
        <f>IFERROR(__xludf.DUMMYFUNCTION("""COMPUTED_VALUE"""),500000.0)</f>
        <v>500000</v>
      </c>
      <c r="G5729" s="22">
        <f>IFERROR(__xludf.DUMMYFUNCTION("""COMPUTED_VALUE"""),0.0)</f>
        <v>0</v>
      </c>
      <c r="H5729" s="22">
        <f>IFERROR(__xludf.DUMMYFUNCTION("""COMPUTED_VALUE"""),500000.0)</f>
        <v>500000</v>
      </c>
      <c r="I5729" s="24">
        <f>IFERROR(__xludf.DUMMYFUNCTION("""COMPUTED_VALUE"""),0.0)</f>
        <v>0</v>
      </c>
    </row>
    <row r="5730">
      <c r="A5730" s="5" t="str">
        <f>IFERROR(__xludf.DUMMYFUNCTION("""COMPUTED_VALUE"""),"75597")</f>
        <v>75597</v>
      </c>
      <c r="B5730" s="64">
        <f>IFERROR(__xludf.DUMMYFUNCTION("""COMPUTED_VALUE"""),44627.0)</f>
        <v>44627</v>
      </c>
      <c r="C5730" s="5"/>
      <c r="D5730" s="5"/>
      <c r="E5730" s="5"/>
      <c r="F5730" s="22">
        <f>IFERROR(__xludf.DUMMYFUNCTION("""COMPUTED_VALUE"""),500000.0)</f>
        <v>500000</v>
      </c>
      <c r="G5730" s="22">
        <f>IFERROR(__xludf.DUMMYFUNCTION("""COMPUTED_VALUE"""),0.0)</f>
        <v>0</v>
      </c>
      <c r="H5730" s="22">
        <f>IFERROR(__xludf.DUMMYFUNCTION("""COMPUTED_VALUE"""),500000.0)</f>
        <v>500000</v>
      </c>
      <c r="I5730" s="24">
        <f>IFERROR(__xludf.DUMMYFUNCTION("""COMPUTED_VALUE"""),0.0)</f>
        <v>0</v>
      </c>
    </row>
    <row r="5731">
      <c r="A5731" s="5" t="str">
        <f>IFERROR(__xludf.DUMMYFUNCTION("""COMPUTED_VALUE"""),"75597")</f>
        <v>75597</v>
      </c>
      <c r="B5731" s="64">
        <f>IFERROR(__xludf.DUMMYFUNCTION("""COMPUTED_VALUE"""),44628.0)</f>
        <v>44628</v>
      </c>
      <c r="C5731" s="5"/>
      <c r="D5731" s="5"/>
      <c r="E5731" s="5"/>
      <c r="F5731" s="22">
        <f>IFERROR(__xludf.DUMMYFUNCTION("""COMPUTED_VALUE"""),500000.0)</f>
        <v>500000</v>
      </c>
      <c r="G5731" s="22">
        <f>IFERROR(__xludf.DUMMYFUNCTION("""COMPUTED_VALUE"""),0.0)</f>
        <v>0</v>
      </c>
      <c r="H5731" s="22">
        <f>IFERROR(__xludf.DUMMYFUNCTION("""COMPUTED_VALUE"""),500000.0)</f>
        <v>500000</v>
      </c>
      <c r="I5731" s="24">
        <f>IFERROR(__xludf.DUMMYFUNCTION("""COMPUTED_VALUE"""),0.0)</f>
        <v>0</v>
      </c>
    </row>
    <row r="5732">
      <c r="A5732" s="5" t="str">
        <f>IFERROR(__xludf.DUMMYFUNCTION("""COMPUTED_VALUE"""),"75597")</f>
        <v>75597</v>
      </c>
      <c r="B5732" s="64">
        <f>IFERROR(__xludf.DUMMYFUNCTION("""COMPUTED_VALUE"""),44629.0)</f>
        <v>44629</v>
      </c>
      <c r="C5732" s="5"/>
      <c r="D5732" s="5"/>
      <c r="E5732" s="5"/>
      <c r="F5732" s="22">
        <f>IFERROR(__xludf.DUMMYFUNCTION("""COMPUTED_VALUE"""),500000.0)</f>
        <v>500000</v>
      </c>
      <c r="G5732" s="22">
        <f>IFERROR(__xludf.DUMMYFUNCTION("""COMPUTED_VALUE"""),0.0)</f>
        <v>0</v>
      </c>
      <c r="H5732" s="22">
        <f>IFERROR(__xludf.DUMMYFUNCTION("""COMPUTED_VALUE"""),500000.0)</f>
        <v>500000</v>
      </c>
      <c r="I5732" s="24">
        <f>IFERROR(__xludf.DUMMYFUNCTION("""COMPUTED_VALUE"""),0.0)</f>
        <v>0</v>
      </c>
    </row>
    <row r="5733">
      <c r="A5733" s="5" t="str">
        <f>IFERROR(__xludf.DUMMYFUNCTION("""COMPUTED_VALUE"""),"75597")</f>
        <v>75597</v>
      </c>
      <c r="B5733" s="64">
        <f>IFERROR(__xludf.DUMMYFUNCTION("""COMPUTED_VALUE"""),44630.0)</f>
        <v>44630</v>
      </c>
      <c r="C5733" s="5"/>
      <c r="D5733" s="5"/>
      <c r="E5733" s="5"/>
      <c r="F5733" s="22">
        <f>IFERROR(__xludf.DUMMYFUNCTION("""COMPUTED_VALUE"""),500000.0)</f>
        <v>500000</v>
      </c>
      <c r="G5733" s="22">
        <f>IFERROR(__xludf.DUMMYFUNCTION("""COMPUTED_VALUE"""),0.0)</f>
        <v>0</v>
      </c>
      <c r="H5733" s="22">
        <f>IFERROR(__xludf.DUMMYFUNCTION("""COMPUTED_VALUE"""),500000.0)</f>
        <v>500000</v>
      </c>
      <c r="I5733" s="24">
        <f>IFERROR(__xludf.DUMMYFUNCTION("""COMPUTED_VALUE"""),0.0)</f>
        <v>0</v>
      </c>
    </row>
    <row r="5734">
      <c r="A5734" s="5" t="str">
        <f>IFERROR(__xludf.DUMMYFUNCTION("""COMPUTED_VALUE"""),"75597")</f>
        <v>75597</v>
      </c>
      <c r="B5734" s="64">
        <f>IFERROR(__xludf.DUMMYFUNCTION("""COMPUTED_VALUE"""),44631.0)</f>
        <v>44631</v>
      </c>
      <c r="C5734" s="5"/>
      <c r="D5734" s="5"/>
      <c r="E5734" s="5"/>
      <c r="F5734" s="22">
        <f>IFERROR(__xludf.DUMMYFUNCTION("""COMPUTED_VALUE"""),500000.0)</f>
        <v>500000</v>
      </c>
      <c r="G5734" s="22">
        <f>IFERROR(__xludf.DUMMYFUNCTION("""COMPUTED_VALUE"""),0.0)</f>
        <v>0</v>
      </c>
      <c r="H5734" s="22">
        <f>IFERROR(__xludf.DUMMYFUNCTION("""COMPUTED_VALUE"""),500000.0)</f>
        <v>500000</v>
      </c>
      <c r="I5734" s="24">
        <f>IFERROR(__xludf.DUMMYFUNCTION("""COMPUTED_VALUE"""),0.0)</f>
        <v>0</v>
      </c>
    </row>
    <row r="5735">
      <c r="A5735" s="5" t="str">
        <f>IFERROR(__xludf.DUMMYFUNCTION("""COMPUTED_VALUE"""),"75597")</f>
        <v>75597</v>
      </c>
      <c r="B5735" s="64">
        <f>IFERROR(__xludf.DUMMYFUNCTION("""COMPUTED_VALUE"""),44632.0)</f>
        <v>44632</v>
      </c>
      <c r="C5735" s="5"/>
      <c r="D5735" s="5"/>
      <c r="E5735" s="5"/>
      <c r="F5735" s="22">
        <f>IFERROR(__xludf.DUMMYFUNCTION("""COMPUTED_VALUE"""),500000.0)</f>
        <v>500000</v>
      </c>
      <c r="G5735" s="22">
        <f>IFERROR(__xludf.DUMMYFUNCTION("""COMPUTED_VALUE"""),0.0)</f>
        <v>0</v>
      </c>
      <c r="H5735" s="22">
        <f>IFERROR(__xludf.DUMMYFUNCTION("""COMPUTED_VALUE"""),500000.0)</f>
        <v>500000</v>
      </c>
      <c r="I5735" s="24">
        <f>IFERROR(__xludf.DUMMYFUNCTION("""COMPUTED_VALUE"""),0.0)</f>
        <v>0</v>
      </c>
    </row>
    <row r="5736">
      <c r="A5736" s="5" t="str">
        <f>IFERROR(__xludf.DUMMYFUNCTION("""COMPUTED_VALUE"""),"75597")</f>
        <v>75597</v>
      </c>
      <c r="B5736" s="64">
        <f>IFERROR(__xludf.DUMMYFUNCTION("""COMPUTED_VALUE"""),44633.0)</f>
        <v>44633</v>
      </c>
      <c r="C5736" s="5"/>
      <c r="D5736" s="5"/>
      <c r="E5736" s="5"/>
      <c r="F5736" s="22">
        <f>IFERROR(__xludf.DUMMYFUNCTION("""COMPUTED_VALUE"""),500000.0)</f>
        <v>500000</v>
      </c>
      <c r="G5736" s="22">
        <f>IFERROR(__xludf.DUMMYFUNCTION("""COMPUTED_VALUE"""),0.0)</f>
        <v>0</v>
      </c>
      <c r="H5736" s="22">
        <f>IFERROR(__xludf.DUMMYFUNCTION("""COMPUTED_VALUE"""),500000.0)</f>
        <v>500000</v>
      </c>
      <c r="I5736" s="24">
        <f>IFERROR(__xludf.DUMMYFUNCTION("""COMPUTED_VALUE"""),0.0)</f>
        <v>0</v>
      </c>
    </row>
    <row r="5737">
      <c r="A5737" s="5" t="str">
        <f>IFERROR(__xludf.DUMMYFUNCTION("""COMPUTED_VALUE"""),"75597")</f>
        <v>75597</v>
      </c>
      <c r="B5737" s="64">
        <f>IFERROR(__xludf.DUMMYFUNCTION("""COMPUTED_VALUE"""),44634.0)</f>
        <v>44634</v>
      </c>
      <c r="C5737" s="5"/>
      <c r="D5737" s="5"/>
      <c r="E5737" s="5"/>
      <c r="F5737" s="22">
        <f>IFERROR(__xludf.DUMMYFUNCTION("""COMPUTED_VALUE"""),500000.0)</f>
        <v>500000</v>
      </c>
      <c r="G5737" s="22">
        <f>IFERROR(__xludf.DUMMYFUNCTION("""COMPUTED_VALUE"""),0.0)</f>
        <v>0</v>
      </c>
      <c r="H5737" s="22">
        <f>IFERROR(__xludf.DUMMYFUNCTION("""COMPUTED_VALUE"""),500000.0)</f>
        <v>500000</v>
      </c>
      <c r="I5737" s="24">
        <f>IFERROR(__xludf.DUMMYFUNCTION("""COMPUTED_VALUE"""),0.0)</f>
        <v>0</v>
      </c>
    </row>
    <row r="5738">
      <c r="A5738" s="5" t="str">
        <f>IFERROR(__xludf.DUMMYFUNCTION("""COMPUTED_VALUE"""),"75597")</f>
        <v>75597</v>
      </c>
      <c r="B5738" s="64">
        <f>IFERROR(__xludf.DUMMYFUNCTION("""COMPUTED_VALUE"""),44635.0)</f>
        <v>44635</v>
      </c>
      <c r="C5738" s="5"/>
      <c r="D5738" s="5"/>
      <c r="E5738" s="5"/>
      <c r="F5738" s="22">
        <f>IFERROR(__xludf.DUMMYFUNCTION("""COMPUTED_VALUE"""),500000.0)</f>
        <v>500000</v>
      </c>
      <c r="G5738" s="22">
        <f>IFERROR(__xludf.DUMMYFUNCTION("""COMPUTED_VALUE"""),0.0)</f>
        <v>0</v>
      </c>
      <c r="H5738" s="22">
        <f>IFERROR(__xludf.DUMMYFUNCTION("""COMPUTED_VALUE"""),500000.0)</f>
        <v>500000</v>
      </c>
      <c r="I5738" s="24">
        <f>IFERROR(__xludf.DUMMYFUNCTION("""COMPUTED_VALUE"""),0.0)</f>
        <v>0</v>
      </c>
    </row>
    <row r="5739">
      <c r="A5739" s="5" t="str">
        <f>IFERROR(__xludf.DUMMYFUNCTION("""COMPUTED_VALUE"""),"75597")</f>
        <v>75597</v>
      </c>
      <c r="B5739" s="64">
        <f>IFERROR(__xludf.DUMMYFUNCTION("""COMPUTED_VALUE"""),44636.0)</f>
        <v>44636</v>
      </c>
      <c r="C5739" s="5"/>
      <c r="D5739" s="5"/>
      <c r="E5739" s="5"/>
      <c r="F5739" s="22">
        <f>IFERROR(__xludf.DUMMYFUNCTION("""COMPUTED_VALUE"""),500000.0)</f>
        <v>500000</v>
      </c>
      <c r="G5739" s="22">
        <f>IFERROR(__xludf.DUMMYFUNCTION("""COMPUTED_VALUE"""),0.0)</f>
        <v>0</v>
      </c>
      <c r="H5739" s="22">
        <f>IFERROR(__xludf.DUMMYFUNCTION("""COMPUTED_VALUE"""),500000.0)</f>
        <v>500000</v>
      </c>
      <c r="I5739" s="24">
        <f>IFERROR(__xludf.DUMMYFUNCTION("""COMPUTED_VALUE"""),0.0)</f>
        <v>0</v>
      </c>
    </row>
    <row r="5740">
      <c r="A5740" s="5" t="str">
        <f>IFERROR(__xludf.DUMMYFUNCTION("""COMPUTED_VALUE"""),"75597")</f>
        <v>75597</v>
      </c>
      <c r="B5740" s="64">
        <f>IFERROR(__xludf.DUMMYFUNCTION("""COMPUTED_VALUE"""),44637.0)</f>
        <v>44637</v>
      </c>
      <c r="C5740" s="5"/>
      <c r="D5740" s="5"/>
      <c r="E5740" s="5"/>
      <c r="F5740" s="22">
        <f>IFERROR(__xludf.DUMMYFUNCTION("""COMPUTED_VALUE"""),500000.0)</f>
        <v>500000</v>
      </c>
      <c r="G5740" s="22">
        <f>IFERROR(__xludf.DUMMYFUNCTION("""COMPUTED_VALUE"""),0.0)</f>
        <v>0</v>
      </c>
      <c r="H5740" s="22">
        <f>IFERROR(__xludf.DUMMYFUNCTION("""COMPUTED_VALUE"""),500000.0)</f>
        <v>500000</v>
      </c>
      <c r="I5740" s="24">
        <f>IFERROR(__xludf.DUMMYFUNCTION("""COMPUTED_VALUE"""),0.0)</f>
        <v>0</v>
      </c>
    </row>
    <row r="5741">
      <c r="A5741" s="5" t="str">
        <f>IFERROR(__xludf.DUMMYFUNCTION("""COMPUTED_VALUE"""),"75597")</f>
        <v>75597</v>
      </c>
      <c r="B5741" s="64">
        <f>IFERROR(__xludf.DUMMYFUNCTION("""COMPUTED_VALUE"""),44638.0)</f>
        <v>44638</v>
      </c>
      <c r="C5741" s="5"/>
      <c r="D5741" s="5"/>
      <c r="E5741" s="5"/>
      <c r="F5741" s="22">
        <f>IFERROR(__xludf.DUMMYFUNCTION("""COMPUTED_VALUE"""),500000.0)</f>
        <v>500000</v>
      </c>
      <c r="G5741" s="22">
        <f>IFERROR(__xludf.DUMMYFUNCTION("""COMPUTED_VALUE"""),0.0)</f>
        <v>0</v>
      </c>
      <c r="H5741" s="22">
        <f>IFERROR(__xludf.DUMMYFUNCTION("""COMPUTED_VALUE"""),500000.0)</f>
        <v>500000</v>
      </c>
      <c r="I5741" s="24">
        <f>IFERROR(__xludf.DUMMYFUNCTION("""COMPUTED_VALUE"""),0.0)</f>
        <v>0</v>
      </c>
    </row>
    <row r="5742">
      <c r="A5742" s="5" t="str">
        <f>IFERROR(__xludf.DUMMYFUNCTION("""COMPUTED_VALUE"""),"75597")</f>
        <v>75597</v>
      </c>
      <c r="B5742" s="64">
        <f>IFERROR(__xludf.DUMMYFUNCTION("""COMPUTED_VALUE"""),44639.0)</f>
        <v>44639</v>
      </c>
      <c r="C5742" s="5"/>
      <c r="D5742" s="5"/>
      <c r="E5742" s="5"/>
      <c r="F5742" s="22">
        <f>IFERROR(__xludf.DUMMYFUNCTION("""COMPUTED_VALUE"""),500000.0)</f>
        <v>500000</v>
      </c>
      <c r="G5742" s="22">
        <f>IFERROR(__xludf.DUMMYFUNCTION("""COMPUTED_VALUE"""),0.0)</f>
        <v>0</v>
      </c>
      <c r="H5742" s="22">
        <f>IFERROR(__xludf.DUMMYFUNCTION("""COMPUTED_VALUE"""),500000.0)</f>
        <v>500000</v>
      </c>
      <c r="I5742" s="24">
        <f>IFERROR(__xludf.DUMMYFUNCTION("""COMPUTED_VALUE"""),0.0)</f>
        <v>0</v>
      </c>
    </row>
    <row r="5743">
      <c r="A5743" s="5" t="str">
        <f>IFERROR(__xludf.DUMMYFUNCTION("""COMPUTED_VALUE"""),"75597")</f>
        <v>75597</v>
      </c>
      <c r="B5743" s="64">
        <f>IFERROR(__xludf.DUMMYFUNCTION("""COMPUTED_VALUE"""),44640.0)</f>
        <v>44640</v>
      </c>
      <c r="C5743" s="5"/>
      <c r="D5743" s="5"/>
      <c r="E5743" s="5"/>
      <c r="F5743" s="22">
        <f>IFERROR(__xludf.DUMMYFUNCTION("""COMPUTED_VALUE"""),500000.0)</f>
        <v>500000</v>
      </c>
      <c r="G5743" s="22">
        <f>IFERROR(__xludf.DUMMYFUNCTION("""COMPUTED_VALUE"""),0.0)</f>
        <v>0</v>
      </c>
      <c r="H5743" s="22">
        <f>IFERROR(__xludf.DUMMYFUNCTION("""COMPUTED_VALUE"""),500000.0)</f>
        <v>500000</v>
      </c>
      <c r="I5743" s="24">
        <f>IFERROR(__xludf.DUMMYFUNCTION("""COMPUTED_VALUE"""),0.0)</f>
        <v>0</v>
      </c>
    </row>
    <row r="5744">
      <c r="A5744" s="5" t="str">
        <f>IFERROR(__xludf.DUMMYFUNCTION("""COMPUTED_VALUE"""),"75597")</f>
        <v>75597</v>
      </c>
      <c r="B5744" s="64">
        <f>IFERROR(__xludf.DUMMYFUNCTION("""COMPUTED_VALUE"""),44641.0)</f>
        <v>44641</v>
      </c>
      <c r="C5744" s="5"/>
      <c r="D5744" s="5"/>
      <c r="E5744" s="5"/>
      <c r="F5744" s="22">
        <f>IFERROR(__xludf.DUMMYFUNCTION("""COMPUTED_VALUE"""),500000.0)</f>
        <v>500000</v>
      </c>
      <c r="G5744" s="22">
        <f>IFERROR(__xludf.DUMMYFUNCTION("""COMPUTED_VALUE"""),0.0)</f>
        <v>0</v>
      </c>
      <c r="H5744" s="22">
        <f>IFERROR(__xludf.DUMMYFUNCTION("""COMPUTED_VALUE"""),500000.0)</f>
        <v>500000</v>
      </c>
      <c r="I5744" s="24">
        <f>IFERROR(__xludf.DUMMYFUNCTION("""COMPUTED_VALUE"""),0.0)</f>
        <v>0</v>
      </c>
    </row>
    <row r="5745">
      <c r="A5745" s="5" t="str">
        <f>IFERROR(__xludf.DUMMYFUNCTION("""COMPUTED_VALUE"""),"75597")</f>
        <v>75597</v>
      </c>
      <c r="B5745" s="64">
        <f>IFERROR(__xludf.DUMMYFUNCTION("""COMPUTED_VALUE"""),44642.0)</f>
        <v>44642</v>
      </c>
      <c r="C5745" s="5"/>
      <c r="D5745" s="5"/>
      <c r="E5745" s="5"/>
      <c r="F5745" s="22">
        <f>IFERROR(__xludf.DUMMYFUNCTION("""COMPUTED_VALUE"""),500000.0)</f>
        <v>500000</v>
      </c>
      <c r="G5745" s="22">
        <f>IFERROR(__xludf.DUMMYFUNCTION("""COMPUTED_VALUE"""),0.0)</f>
        <v>0</v>
      </c>
      <c r="H5745" s="22">
        <f>IFERROR(__xludf.DUMMYFUNCTION("""COMPUTED_VALUE"""),499427.522225)</f>
        <v>499427.5222</v>
      </c>
      <c r="I5745" s="24">
        <f>IFERROR(__xludf.DUMMYFUNCTION("""COMPUTED_VALUE"""),-0.0011449555499999375)</f>
        <v>-0.00114495555</v>
      </c>
    </row>
    <row r="5746">
      <c r="A5746" s="5" t="str">
        <f>IFERROR(__xludf.DUMMYFUNCTION("""COMPUTED_VALUE"""),"75597")</f>
        <v>75597</v>
      </c>
      <c r="B5746" s="64">
        <f>IFERROR(__xludf.DUMMYFUNCTION("""COMPUTED_VALUE"""),44643.0)</f>
        <v>44643</v>
      </c>
      <c r="C5746" s="5"/>
      <c r="D5746" s="5"/>
      <c r="E5746" s="5"/>
      <c r="F5746" s="22">
        <f>IFERROR(__xludf.DUMMYFUNCTION("""COMPUTED_VALUE"""),500000.0)</f>
        <v>500000</v>
      </c>
      <c r="G5746" s="22">
        <f>IFERROR(__xludf.DUMMYFUNCTION("""COMPUTED_VALUE"""),0.0)</f>
        <v>0</v>
      </c>
      <c r="H5746" s="22">
        <f>IFERROR(__xludf.DUMMYFUNCTION("""COMPUTED_VALUE"""),502947.9527575)</f>
        <v>502947.9528</v>
      </c>
      <c r="I5746" s="24">
        <f>IFERROR(__xludf.DUMMYFUNCTION("""COMPUTED_VALUE"""),0.005895905515000077)</f>
        <v>0.005895905515</v>
      </c>
    </row>
    <row r="5747">
      <c r="A5747" s="5" t="str">
        <f>IFERROR(__xludf.DUMMYFUNCTION("""COMPUTED_VALUE"""),"75597")</f>
        <v>75597</v>
      </c>
      <c r="B5747" s="64">
        <f>IFERROR(__xludf.DUMMYFUNCTION("""COMPUTED_VALUE"""),44644.0)</f>
        <v>44644</v>
      </c>
      <c r="C5747" s="5"/>
      <c r="D5747" s="5"/>
      <c r="E5747" s="5"/>
      <c r="F5747" s="22">
        <f>IFERROR(__xludf.DUMMYFUNCTION("""COMPUTED_VALUE"""),500000.0)</f>
        <v>500000</v>
      </c>
      <c r="G5747" s="22">
        <f>IFERROR(__xludf.DUMMYFUNCTION("""COMPUTED_VALUE"""),0.0)</f>
        <v>0</v>
      </c>
      <c r="H5747" s="22">
        <f>IFERROR(__xludf.DUMMYFUNCTION("""COMPUTED_VALUE"""),501023.6887525)</f>
        <v>501023.6888</v>
      </c>
      <c r="I5747" s="24">
        <f>IFERROR(__xludf.DUMMYFUNCTION("""COMPUTED_VALUE"""),0.0020473775050000587)</f>
        <v>0.002047377505</v>
      </c>
    </row>
    <row r="5748">
      <c r="A5748" s="5" t="str">
        <f>IFERROR(__xludf.DUMMYFUNCTION("""COMPUTED_VALUE"""),"75597")</f>
        <v>75597</v>
      </c>
      <c r="B5748" s="64">
        <f>IFERROR(__xludf.DUMMYFUNCTION("""COMPUTED_VALUE"""),44645.0)</f>
        <v>44645</v>
      </c>
      <c r="C5748" s="5"/>
      <c r="D5748" s="5"/>
      <c r="E5748" s="5"/>
      <c r="F5748" s="22">
        <f>IFERROR(__xludf.DUMMYFUNCTION("""COMPUTED_VALUE"""),500000.0)</f>
        <v>500000</v>
      </c>
      <c r="G5748" s="22">
        <f>IFERROR(__xludf.DUMMYFUNCTION("""COMPUTED_VALUE"""),0.0)</f>
        <v>0</v>
      </c>
      <c r="H5748" s="22">
        <f>IFERROR(__xludf.DUMMYFUNCTION("""COMPUTED_VALUE"""),499119.738475)</f>
        <v>499119.7385</v>
      </c>
      <c r="I5748" s="24">
        <f>IFERROR(__xludf.DUMMYFUNCTION("""COMPUTED_VALUE"""),-0.0017605230499999625)</f>
        <v>-0.00176052305</v>
      </c>
    </row>
    <row r="5749">
      <c r="A5749" s="5" t="str">
        <f>IFERROR(__xludf.DUMMYFUNCTION("""COMPUTED_VALUE"""),"75597")</f>
        <v>75597</v>
      </c>
      <c r="B5749" s="64">
        <f>IFERROR(__xludf.DUMMYFUNCTION("""COMPUTED_VALUE"""),44646.0)</f>
        <v>44646</v>
      </c>
      <c r="C5749" s="5"/>
      <c r="D5749" s="5"/>
      <c r="E5749" s="5"/>
      <c r="F5749" s="22">
        <f>IFERROR(__xludf.DUMMYFUNCTION("""COMPUTED_VALUE"""),500000.0)</f>
        <v>500000</v>
      </c>
      <c r="G5749" s="22">
        <f>IFERROR(__xludf.DUMMYFUNCTION("""COMPUTED_VALUE"""),0.0)</f>
        <v>0</v>
      </c>
      <c r="H5749" s="22">
        <f>IFERROR(__xludf.DUMMYFUNCTION("""COMPUTED_VALUE"""),499119.738475)</f>
        <v>499119.7385</v>
      </c>
      <c r="I5749" s="24">
        <f>IFERROR(__xludf.DUMMYFUNCTION("""COMPUTED_VALUE"""),-0.0017605230499999625)</f>
        <v>-0.00176052305</v>
      </c>
    </row>
    <row r="5750">
      <c r="A5750" s="5" t="str">
        <f>IFERROR(__xludf.DUMMYFUNCTION("""COMPUTED_VALUE"""),"75597")</f>
        <v>75597</v>
      </c>
      <c r="B5750" s="64">
        <f>IFERROR(__xludf.DUMMYFUNCTION("""COMPUTED_VALUE"""),44647.0)</f>
        <v>44647</v>
      </c>
      <c r="C5750" s="5"/>
      <c r="D5750" s="5"/>
      <c r="E5750" s="5"/>
      <c r="F5750" s="22">
        <f>IFERROR(__xludf.DUMMYFUNCTION("""COMPUTED_VALUE"""),500000.0)</f>
        <v>500000</v>
      </c>
      <c r="G5750" s="22">
        <f>IFERROR(__xludf.DUMMYFUNCTION("""COMPUTED_VALUE"""),0.0)</f>
        <v>0</v>
      </c>
      <c r="H5750" s="22">
        <f>IFERROR(__xludf.DUMMYFUNCTION("""COMPUTED_VALUE"""),499119.738475)</f>
        <v>499119.7385</v>
      </c>
      <c r="I5750" s="24">
        <f>IFERROR(__xludf.DUMMYFUNCTION("""COMPUTED_VALUE"""),-0.0017605230499999625)</f>
        <v>-0.00176052305</v>
      </c>
    </row>
    <row r="5751">
      <c r="A5751" s="5" t="str">
        <f>IFERROR(__xludf.DUMMYFUNCTION("""COMPUTED_VALUE"""),"75597")</f>
        <v>75597</v>
      </c>
      <c r="B5751" s="64">
        <f>IFERROR(__xludf.DUMMYFUNCTION("""COMPUTED_VALUE"""),44648.0)</f>
        <v>44648</v>
      </c>
      <c r="C5751" s="5"/>
      <c r="D5751" s="5"/>
      <c r="E5751" s="5"/>
      <c r="F5751" s="22">
        <f>IFERROR(__xludf.DUMMYFUNCTION("""COMPUTED_VALUE"""),500000.0)</f>
        <v>500000</v>
      </c>
      <c r="G5751" s="22">
        <f>IFERROR(__xludf.DUMMYFUNCTION("""COMPUTED_VALUE"""),0.0)</f>
        <v>0</v>
      </c>
      <c r="H5751" s="22">
        <f>IFERROR(__xludf.DUMMYFUNCTION("""COMPUTED_VALUE"""),497322.281375)</f>
        <v>497322.2814</v>
      </c>
      <c r="I5751" s="24">
        <f>IFERROR(__xludf.DUMMYFUNCTION("""COMPUTED_VALUE"""),-0.005355437249999984)</f>
        <v>-0.00535543725</v>
      </c>
    </row>
    <row r="5752">
      <c r="A5752" s="5" t="str">
        <f>IFERROR(__xludf.DUMMYFUNCTION("""COMPUTED_VALUE"""),"75597")</f>
        <v>75597</v>
      </c>
      <c r="B5752" s="64">
        <f>IFERROR(__xludf.DUMMYFUNCTION("""COMPUTED_VALUE"""),44649.0)</f>
        <v>44649</v>
      </c>
      <c r="C5752" s="5"/>
      <c r="D5752" s="5"/>
      <c r="E5752" s="5"/>
      <c r="F5752" s="22">
        <f>IFERROR(__xludf.DUMMYFUNCTION("""COMPUTED_VALUE"""),500000.0)</f>
        <v>500000</v>
      </c>
      <c r="G5752" s="22">
        <f>IFERROR(__xludf.DUMMYFUNCTION("""COMPUTED_VALUE"""),0.0)</f>
        <v>0</v>
      </c>
      <c r="H5752" s="22">
        <f>IFERROR(__xludf.DUMMYFUNCTION("""COMPUTED_VALUE"""),497703.933225)</f>
        <v>497703.9332</v>
      </c>
      <c r="I5752" s="24">
        <f>IFERROR(__xludf.DUMMYFUNCTION("""COMPUTED_VALUE"""),-0.004592133549999988)</f>
        <v>-0.00459213355</v>
      </c>
    </row>
    <row r="5753">
      <c r="A5753" s="5" t="str">
        <f>IFERROR(__xludf.DUMMYFUNCTION("""COMPUTED_VALUE"""),"75597")</f>
        <v>75597</v>
      </c>
      <c r="B5753" s="64">
        <f>IFERROR(__xludf.DUMMYFUNCTION("""COMPUTED_VALUE"""),44650.0)</f>
        <v>44650</v>
      </c>
      <c r="C5753" s="5"/>
      <c r="D5753" s="5"/>
      <c r="E5753" s="5"/>
      <c r="F5753" s="22">
        <f>IFERROR(__xludf.DUMMYFUNCTION("""COMPUTED_VALUE"""),500000.0)</f>
        <v>500000</v>
      </c>
      <c r="G5753" s="22">
        <f>IFERROR(__xludf.DUMMYFUNCTION("""COMPUTED_VALUE"""),0.0)</f>
        <v>0</v>
      </c>
      <c r="H5753" s="22">
        <f>IFERROR(__xludf.DUMMYFUNCTION("""COMPUTED_VALUE"""),501588.16414999997)</f>
        <v>501588.1642</v>
      </c>
      <c r="I5753" s="24">
        <f>IFERROR(__xludf.DUMMYFUNCTION("""COMPUTED_VALUE"""),0.00317632829999992)</f>
        <v>0.0031763283</v>
      </c>
    </row>
    <row r="5754">
      <c r="A5754" s="5" t="str">
        <f>IFERROR(__xludf.DUMMYFUNCTION("""COMPUTED_VALUE"""),"75597")</f>
        <v>75597</v>
      </c>
      <c r="B5754" s="64">
        <f>IFERROR(__xludf.DUMMYFUNCTION("""COMPUTED_VALUE"""),44651.0)</f>
        <v>44651</v>
      </c>
      <c r="C5754" s="5"/>
      <c r="D5754" s="5"/>
      <c r="E5754" s="5"/>
      <c r="F5754" s="22">
        <f>IFERROR(__xludf.DUMMYFUNCTION("""COMPUTED_VALUE"""),500000.0)</f>
        <v>500000</v>
      </c>
      <c r="G5754" s="22">
        <f>IFERROR(__xludf.DUMMYFUNCTION("""COMPUTED_VALUE"""),0.0)</f>
        <v>0</v>
      </c>
      <c r="H5754" s="22">
        <f>IFERROR(__xludf.DUMMYFUNCTION("""COMPUTED_VALUE"""),500904.884225)</f>
        <v>500904.8842</v>
      </c>
      <c r="I5754" s="24">
        <f>IFERROR(__xludf.DUMMYFUNCTION("""COMPUTED_VALUE"""),0.0018097684500000266)</f>
        <v>0.00180976845</v>
      </c>
    </row>
    <row r="5755">
      <c r="A5755" s="5" t="str">
        <f>IFERROR(__xludf.DUMMYFUNCTION("""COMPUTED_VALUE"""),"75597")</f>
        <v>75597</v>
      </c>
      <c r="B5755" s="64">
        <f>IFERROR(__xludf.DUMMYFUNCTION("""COMPUTED_VALUE"""),44652.0)</f>
        <v>44652</v>
      </c>
      <c r="C5755" s="5"/>
      <c r="D5755" s="5"/>
      <c r="E5755" s="5"/>
      <c r="F5755" s="22">
        <f>IFERROR(__xludf.DUMMYFUNCTION("""COMPUTED_VALUE"""),500000.0)</f>
        <v>500000</v>
      </c>
      <c r="G5755" s="22">
        <f>IFERROR(__xludf.DUMMYFUNCTION("""COMPUTED_VALUE"""),0.0)</f>
        <v>0</v>
      </c>
      <c r="H5755" s="22">
        <f>IFERROR(__xludf.DUMMYFUNCTION("""COMPUTED_VALUE"""),504660.46154250007)</f>
        <v>504660.4615</v>
      </c>
      <c r="I5755" s="24">
        <f>IFERROR(__xludf.DUMMYFUNCTION("""COMPUTED_VALUE"""),0.00932092308500021)</f>
        <v>0.009320923085</v>
      </c>
    </row>
    <row r="5756">
      <c r="A5756" s="5" t="str">
        <f>IFERROR(__xludf.DUMMYFUNCTION("""COMPUTED_VALUE"""),"75597")</f>
        <v>75597</v>
      </c>
      <c r="B5756" s="64">
        <f>IFERROR(__xludf.DUMMYFUNCTION("""COMPUTED_VALUE"""),44653.0)</f>
        <v>44653</v>
      </c>
      <c r="C5756" s="5"/>
      <c r="D5756" s="5"/>
      <c r="E5756" s="5"/>
      <c r="F5756" s="22">
        <f>IFERROR(__xludf.DUMMYFUNCTION("""COMPUTED_VALUE"""),500000.0)</f>
        <v>500000</v>
      </c>
      <c r="G5756" s="22">
        <f>IFERROR(__xludf.DUMMYFUNCTION("""COMPUTED_VALUE"""),0.0)</f>
        <v>0</v>
      </c>
      <c r="H5756" s="22">
        <f>IFERROR(__xludf.DUMMYFUNCTION("""COMPUTED_VALUE"""),504660.46154250007)</f>
        <v>504660.4615</v>
      </c>
      <c r="I5756" s="24">
        <f>IFERROR(__xludf.DUMMYFUNCTION("""COMPUTED_VALUE"""),0.00932092308500021)</f>
        <v>0.009320923085</v>
      </c>
    </row>
    <row r="5757">
      <c r="A5757" s="5" t="str">
        <f>IFERROR(__xludf.DUMMYFUNCTION("""COMPUTED_VALUE"""),"75597")</f>
        <v>75597</v>
      </c>
      <c r="B5757" s="64">
        <f>IFERROR(__xludf.DUMMYFUNCTION("""COMPUTED_VALUE"""),44654.0)</f>
        <v>44654</v>
      </c>
      <c r="C5757" s="5"/>
      <c r="D5757" s="5"/>
      <c r="E5757" s="5"/>
      <c r="F5757" s="22">
        <f>IFERROR(__xludf.DUMMYFUNCTION("""COMPUTED_VALUE"""),500000.0)</f>
        <v>500000</v>
      </c>
      <c r="G5757" s="22">
        <f>IFERROR(__xludf.DUMMYFUNCTION("""COMPUTED_VALUE"""),0.0)</f>
        <v>0</v>
      </c>
      <c r="H5757" s="22">
        <f>IFERROR(__xludf.DUMMYFUNCTION("""COMPUTED_VALUE"""),504660.46154250007)</f>
        <v>504660.4615</v>
      </c>
      <c r="I5757" s="24">
        <f>IFERROR(__xludf.DUMMYFUNCTION("""COMPUTED_VALUE"""),0.00932092308500021)</f>
        <v>0.009320923085</v>
      </c>
    </row>
    <row r="5758">
      <c r="A5758" s="5" t="str">
        <f>IFERROR(__xludf.DUMMYFUNCTION("""COMPUTED_VALUE"""),"75597")</f>
        <v>75597</v>
      </c>
      <c r="B5758" s="64">
        <f>IFERROR(__xludf.DUMMYFUNCTION("""COMPUTED_VALUE"""),44655.0)</f>
        <v>44655</v>
      </c>
      <c r="C5758" s="5"/>
      <c r="D5758" s="5"/>
      <c r="E5758" s="5"/>
      <c r="F5758" s="22">
        <f>IFERROR(__xludf.DUMMYFUNCTION("""COMPUTED_VALUE"""),500000.0)</f>
        <v>500000</v>
      </c>
      <c r="G5758" s="22">
        <f>IFERROR(__xludf.DUMMYFUNCTION("""COMPUTED_VALUE"""),0.0)</f>
        <v>0</v>
      </c>
      <c r="H5758" s="22">
        <f>IFERROR(__xludf.DUMMYFUNCTION("""COMPUTED_VALUE"""),504660.46154250007)</f>
        <v>504660.4615</v>
      </c>
      <c r="I5758" s="24">
        <f>IFERROR(__xludf.DUMMYFUNCTION("""COMPUTED_VALUE"""),0.00932092308500021)</f>
        <v>0.009320923085</v>
      </c>
    </row>
    <row r="5759">
      <c r="A5759" s="5" t="str">
        <f>IFERROR(__xludf.DUMMYFUNCTION("""COMPUTED_VALUE"""),"75597")</f>
        <v>75597</v>
      </c>
      <c r="B5759" s="64">
        <f>IFERROR(__xludf.DUMMYFUNCTION("""COMPUTED_VALUE"""),44656.0)</f>
        <v>44656</v>
      </c>
      <c r="C5759" s="5"/>
      <c r="D5759" s="5"/>
      <c r="E5759" s="5"/>
      <c r="F5759" s="22">
        <f>IFERROR(__xludf.DUMMYFUNCTION("""COMPUTED_VALUE"""),500000.0)</f>
        <v>500000</v>
      </c>
      <c r="G5759" s="22">
        <f>IFERROR(__xludf.DUMMYFUNCTION("""COMPUTED_VALUE"""),0.0)</f>
        <v>0</v>
      </c>
      <c r="H5759" s="22">
        <f>IFERROR(__xludf.DUMMYFUNCTION("""COMPUTED_VALUE"""),504660.46154250007)</f>
        <v>504660.4615</v>
      </c>
      <c r="I5759" s="24">
        <f>IFERROR(__xludf.DUMMYFUNCTION("""COMPUTED_VALUE"""),0.00932092308500021)</f>
        <v>0.009320923085</v>
      </c>
    </row>
    <row r="5760">
      <c r="A5760" s="5" t="str">
        <f>IFERROR(__xludf.DUMMYFUNCTION("""COMPUTED_VALUE"""),"75597")</f>
        <v>75597</v>
      </c>
      <c r="B5760" s="64">
        <f>IFERROR(__xludf.DUMMYFUNCTION("""COMPUTED_VALUE"""),44657.0)</f>
        <v>44657</v>
      </c>
      <c r="C5760" s="5"/>
      <c r="D5760" s="5"/>
      <c r="E5760" s="5"/>
      <c r="F5760" s="22">
        <f>IFERROR(__xludf.DUMMYFUNCTION("""COMPUTED_VALUE"""),500000.0)</f>
        <v>500000</v>
      </c>
      <c r="G5760" s="22">
        <f>IFERROR(__xludf.DUMMYFUNCTION("""COMPUTED_VALUE"""),0.0)</f>
        <v>0</v>
      </c>
      <c r="H5760" s="22">
        <f>IFERROR(__xludf.DUMMYFUNCTION("""COMPUTED_VALUE"""),500040.79556699994)</f>
        <v>500040.7956</v>
      </c>
      <c r="I5760" s="24">
        <f>IFERROR(__xludf.DUMMYFUNCTION("""COMPUTED_VALUE"""),8.159113399996976E-5)</f>
        <v>0.000081591134</v>
      </c>
    </row>
    <row r="5761">
      <c r="A5761" s="5" t="str">
        <f>IFERROR(__xludf.DUMMYFUNCTION("""COMPUTED_VALUE"""),"75597")</f>
        <v>75597</v>
      </c>
      <c r="B5761" s="64">
        <f>IFERROR(__xludf.DUMMYFUNCTION("""COMPUTED_VALUE"""),44658.0)</f>
        <v>44658</v>
      </c>
      <c r="C5761" s="5"/>
      <c r="D5761" s="5"/>
      <c r="E5761" s="5"/>
      <c r="F5761" s="22">
        <f>IFERROR(__xludf.DUMMYFUNCTION("""COMPUTED_VALUE"""),500000.0)</f>
        <v>500000</v>
      </c>
      <c r="G5761" s="22">
        <f>IFERROR(__xludf.DUMMYFUNCTION("""COMPUTED_VALUE"""),0.0)</f>
        <v>0</v>
      </c>
      <c r="H5761" s="22">
        <f>IFERROR(__xludf.DUMMYFUNCTION("""COMPUTED_VALUE"""),500040.79556699994)</f>
        <v>500040.7956</v>
      </c>
      <c r="I5761" s="24">
        <f>IFERROR(__xludf.DUMMYFUNCTION("""COMPUTED_VALUE"""),8.159113399996976E-5)</f>
        <v>0.000081591134</v>
      </c>
    </row>
    <row r="5762">
      <c r="A5762" s="5" t="str">
        <f>IFERROR(__xludf.DUMMYFUNCTION("""COMPUTED_VALUE"""),"75597")</f>
        <v>75597</v>
      </c>
      <c r="B5762" s="64">
        <f>IFERROR(__xludf.DUMMYFUNCTION("""COMPUTED_VALUE"""),44659.0)</f>
        <v>44659</v>
      </c>
      <c r="C5762" s="5"/>
      <c r="D5762" s="5"/>
      <c r="E5762" s="5"/>
      <c r="F5762" s="22">
        <f>IFERROR(__xludf.DUMMYFUNCTION("""COMPUTED_VALUE"""),500000.0)</f>
        <v>500000</v>
      </c>
      <c r="G5762" s="22">
        <f>IFERROR(__xludf.DUMMYFUNCTION("""COMPUTED_VALUE"""),0.0)</f>
        <v>0</v>
      </c>
      <c r="H5762" s="22">
        <f>IFERROR(__xludf.DUMMYFUNCTION("""COMPUTED_VALUE"""),505888.47401699994)</f>
        <v>505888.474</v>
      </c>
      <c r="I5762" s="24">
        <f>IFERROR(__xludf.DUMMYFUNCTION("""COMPUTED_VALUE"""),0.011776948033999979)</f>
        <v>0.01177694803</v>
      </c>
    </row>
    <row r="5763">
      <c r="A5763" s="5" t="str">
        <f>IFERROR(__xludf.DUMMYFUNCTION("""COMPUTED_VALUE"""),"75597")</f>
        <v>75597</v>
      </c>
      <c r="B5763" s="64">
        <f>IFERROR(__xludf.DUMMYFUNCTION("""COMPUTED_VALUE"""),44660.0)</f>
        <v>44660</v>
      </c>
      <c r="C5763" s="5"/>
      <c r="D5763" s="5"/>
      <c r="E5763" s="5"/>
      <c r="F5763" s="22">
        <f>IFERROR(__xludf.DUMMYFUNCTION("""COMPUTED_VALUE"""),500000.0)</f>
        <v>500000</v>
      </c>
      <c r="G5763" s="22">
        <f>IFERROR(__xludf.DUMMYFUNCTION("""COMPUTED_VALUE"""),0.0)</f>
        <v>0</v>
      </c>
      <c r="H5763" s="22">
        <f>IFERROR(__xludf.DUMMYFUNCTION("""COMPUTED_VALUE"""),505888.47401699994)</f>
        <v>505888.474</v>
      </c>
      <c r="I5763" s="24">
        <f>IFERROR(__xludf.DUMMYFUNCTION("""COMPUTED_VALUE"""),0.011776948033999979)</f>
        <v>0.01177694803</v>
      </c>
    </row>
    <row r="5764">
      <c r="A5764" s="5" t="str">
        <f>IFERROR(__xludf.DUMMYFUNCTION("""COMPUTED_VALUE"""),"75597")</f>
        <v>75597</v>
      </c>
      <c r="B5764" s="64">
        <f>IFERROR(__xludf.DUMMYFUNCTION("""COMPUTED_VALUE"""),44661.0)</f>
        <v>44661</v>
      </c>
      <c r="C5764" s="5"/>
      <c r="D5764" s="5"/>
      <c r="E5764" s="5"/>
      <c r="F5764" s="22">
        <f>IFERROR(__xludf.DUMMYFUNCTION("""COMPUTED_VALUE"""),500000.0)</f>
        <v>500000</v>
      </c>
      <c r="G5764" s="22">
        <f>IFERROR(__xludf.DUMMYFUNCTION("""COMPUTED_VALUE"""),0.0)</f>
        <v>0</v>
      </c>
      <c r="H5764" s="22">
        <f>IFERROR(__xludf.DUMMYFUNCTION("""COMPUTED_VALUE"""),505888.47401699994)</f>
        <v>505888.474</v>
      </c>
      <c r="I5764" s="24">
        <f>IFERROR(__xludf.DUMMYFUNCTION("""COMPUTED_VALUE"""),0.011776948033999979)</f>
        <v>0.01177694803</v>
      </c>
    </row>
    <row r="5765">
      <c r="A5765" s="5" t="str">
        <f>IFERROR(__xludf.DUMMYFUNCTION("""COMPUTED_VALUE"""),"75597")</f>
        <v>75597</v>
      </c>
      <c r="B5765" s="64">
        <f>IFERROR(__xludf.DUMMYFUNCTION("""COMPUTED_VALUE"""),44662.0)</f>
        <v>44662</v>
      </c>
      <c r="C5765" s="5"/>
      <c r="D5765" s="5"/>
      <c r="E5765" s="5"/>
      <c r="F5765" s="22">
        <f>IFERROR(__xludf.DUMMYFUNCTION("""COMPUTED_VALUE"""),500000.0)</f>
        <v>500000</v>
      </c>
      <c r="G5765" s="22">
        <f>IFERROR(__xludf.DUMMYFUNCTION("""COMPUTED_VALUE"""),0.0)</f>
        <v>0</v>
      </c>
      <c r="H5765" s="22">
        <f>IFERROR(__xludf.DUMMYFUNCTION("""COMPUTED_VALUE"""),486191.03081699996)</f>
        <v>486191.0308</v>
      </c>
      <c r="I5765" s="24">
        <f>IFERROR(__xludf.DUMMYFUNCTION("""COMPUTED_VALUE"""),-0.027617938366000128)</f>
        <v>-0.02761793837</v>
      </c>
    </row>
    <row r="5766">
      <c r="A5766" s="5" t="str">
        <f>IFERROR(__xludf.DUMMYFUNCTION("""COMPUTED_VALUE"""),"75597")</f>
        <v>75597</v>
      </c>
      <c r="B5766" s="64">
        <f>IFERROR(__xludf.DUMMYFUNCTION("""COMPUTED_VALUE"""),44663.0)</f>
        <v>44663</v>
      </c>
      <c r="C5766" s="5"/>
      <c r="D5766" s="5"/>
      <c r="E5766" s="5"/>
      <c r="F5766" s="22">
        <f>IFERROR(__xludf.DUMMYFUNCTION("""COMPUTED_VALUE"""),500000.0)</f>
        <v>500000</v>
      </c>
      <c r="G5766" s="22">
        <f>IFERROR(__xludf.DUMMYFUNCTION("""COMPUTED_VALUE"""),0.0)</f>
        <v>0</v>
      </c>
      <c r="H5766" s="22">
        <f>IFERROR(__xludf.DUMMYFUNCTION("""COMPUTED_VALUE"""),505272.92891700007)</f>
        <v>505272.9289</v>
      </c>
      <c r="I5766" s="24">
        <f>IFERROR(__xludf.DUMMYFUNCTION("""COMPUTED_VALUE"""),0.010545857834000083)</f>
        <v>0.01054585783</v>
      </c>
    </row>
    <row r="5767">
      <c r="A5767" s="5" t="str">
        <f>IFERROR(__xludf.DUMMYFUNCTION("""COMPUTED_VALUE"""),"75965")</f>
        <v>75965</v>
      </c>
      <c r="B5767" s="64">
        <f>IFERROR(__xludf.DUMMYFUNCTION("""COMPUTED_VALUE"""),44597.0)</f>
        <v>44597</v>
      </c>
      <c r="C5767" s="5"/>
      <c r="D5767" s="5"/>
      <c r="E5767" s="5"/>
      <c r="F5767" s="22">
        <f>IFERROR(__xludf.DUMMYFUNCTION("""COMPUTED_VALUE"""),500000.0)</f>
        <v>500000</v>
      </c>
      <c r="G5767" s="22">
        <f>IFERROR(__xludf.DUMMYFUNCTION("""COMPUTED_VALUE"""),0.0)</f>
        <v>0</v>
      </c>
      <c r="H5767" s="22">
        <f>IFERROR(__xludf.DUMMYFUNCTION("""COMPUTED_VALUE"""),500000.0)</f>
        <v>500000</v>
      </c>
      <c r="I5767" s="24">
        <f>IFERROR(__xludf.DUMMYFUNCTION("""COMPUTED_VALUE"""),0.0)</f>
        <v>0</v>
      </c>
    </row>
    <row r="5768">
      <c r="A5768" s="5" t="str">
        <f>IFERROR(__xludf.DUMMYFUNCTION("""COMPUTED_VALUE"""),"75965")</f>
        <v>75965</v>
      </c>
      <c r="B5768" s="64">
        <f>IFERROR(__xludf.DUMMYFUNCTION("""COMPUTED_VALUE"""),44598.0)</f>
        <v>44598</v>
      </c>
      <c r="C5768" s="5"/>
      <c r="D5768" s="5"/>
      <c r="E5768" s="5"/>
      <c r="F5768" s="22">
        <f>IFERROR(__xludf.DUMMYFUNCTION("""COMPUTED_VALUE"""),500000.0)</f>
        <v>500000</v>
      </c>
      <c r="G5768" s="22">
        <f>IFERROR(__xludf.DUMMYFUNCTION("""COMPUTED_VALUE"""),0.0)</f>
        <v>0</v>
      </c>
      <c r="H5768" s="22">
        <f>IFERROR(__xludf.DUMMYFUNCTION("""COMPUTED_VALUE"""),500000.0)</f>
        <v>500000</v>
      </c>
      <c r="I5768" s="24">
        <f>IFERROR(__xludf.DUMMYFUNCTION("""COMPUTED_VALUE"""),0.0)</f>
        <v>0</v>
      </c>
    </row>
    <row r="5769">
      <c r="A5769" s="5" t="str">
        <f>IFERROR(__xludf.DUMMYFUNCTION("""COMPUTED_VALUE"""),"75965")</f>
        <v>75965</v>
      </c>
      <c r="B5769" s="64">
        <f>IFERROR(__xludf.DUMMYFUNCTION("""COMPUTED_VALUE"""),44599.0)</f>
        <v>44599</v>
      </c>
      <c r="C5769" s="5"/>
      <c r="D5769" s="5"/>
      <c r="E5769" s="5"/>
      <c r="F5769" s="22">
        <f>IFERROR(__xludf.DUMMYFUNCTION("""COMPUTED_VALUE"""),500000.0)</f>
        <v>500000</v>
      </c>
      <c r="G5769" s="22">
        <f>IFERROR(__xludf.DUMMYFUNCTION("""COMPUTED_VALUE"""),0.0)</f>
        <v>0</v>
      </c>
      <c r="H5769" s="22">
        <f>IFERROR(__xludf.DUMMYFUNCTION("""COMPUTED_VALUE"""),500000.0)</f>
        <v>500000</v>
      </c>
      <c r="I5769" s="24">
        <f>IFERROR(__xludf.DUMMYFUNCTION("""COMPUTED_VALUE"""),0.0)</f>
        <v>0</v>
      </c>
    </row>
    <row r="5770">
      <c r="A5770" s="5" t="str">
        <f>IFERROR(__xludf.DUMMYFUNCTION("""COMPUTED_VALUE"""),"75965")</f>
        <v>75965</v>
      </c>
      <c r="B5770" s="64">
        <f>IFERROR(__xludf.DUMMYFUNCTION("""COMPUTED_VALUE"""),44600.0)</f>
        <v>44600</v>
      </c>
      <c r="C5770" s="5"/>
      <c r="D5770" s="5"/>
      <c r="E5770" s="5"/>
      <c r="F5770" s="22">
        <f>IFERROR(__xludf.DUMMYFUNCTION("""COMPUTED_VALUE"""),500000.0)</f>
        <v>500000</v>
      </c>
      <c r="G5770" s="22">
        <f>IFERROR(__xludf.DUMMYFUNCTION("""COMPUTED_VALUE"""),0.0)</f>
        <v>0</v>
      </c>
      <c r="H5770" s="22">
        <f>IFERROR(__xludf.DUMMYFUNCTION("""COMPUTED_VALUE"""),500000.0)</f>
        <v>500000</v>
      </c>
      <c r="I5770" s="24">
        <f>IFERROR(__xludf.DUMMYFUNCTION("""COMPUTED_VALUE"""),0.0)</f>
        <v>0</v>
      </c>
    </row>
    <row r="5771">
      <c r="A5771" s="5" t="str">
        <f>IFERROR(__xludf.DUMMYFUNCTION("""COMPUTED_VALUE"""),"75965")</f>
        <v>75965</v>
      </c>
      <c r="B5771" s="64">
        <f>IFERROR(__xludf.DUMMYFUNCTION("""COMPUTED_VALUE"""),44601.0)</f>
        <v>44601</v>
      </c>
      <c r="C5771" s="5"/>
      <c r="D5771" s="5"/>
      <c r="E5771" s="5"/>
      <c r="F5771" s="22">
        <f>IFERROR(__xludf.DUMMYFUNCTION("""COMPUTED_VALUE"""),500000.0)</f>
        <v>500000</v>
      </c>
      <c r="G5771" s="22">
        <f>IFERROR(__xludf.DUMMYFUNCTION("""COMPUTED_VALUE"""),0.0)</f>
        <v>0</v>
      </c>
      <c r="H5771" s="22">
        <f>IFERROR(__xludf.DUMMYFUNCTION("""COMPUTED_VALUE"""),500000.0)</f>
        <v>500000</v>
      </c>
      <c r="I5771" s="24">
        <f>IFERROR(__xludf.DUMMYFUNCTION("""COMPUTED_VALUE"""),0.0)</f>
        <v>0</v>
      </c>
    </row>
    <row r="5772">
      <c r="A5772" s="5" t="str">
        <f>IFERROR(__xludf.DUMMYFUNCTION("""COMPUTED_VALUE"""),"75965")</f>
        <v>75965</v>
      </c>
      <c r="B5772" s="64">
        <f>IFERROR(__xludf.DUMMYFUNCTION("""COMPUTED_VALUE"""),44602.0)</f>
        <v>44602</v>
      </c>
      <c r="C5772" s="5"/>
      <c r="D5772" s="5"/>
      <c r="E5772" s="5"/>
      <c r="F5772" s="22">
        <f>IFERROR(__xludf.DUMMYFUNCTION("""COMPUTED_VALUE"""),500000.0)</f>
        <v>500000</v>
      </c>
      <c r="G5772" s="22">
        <f>IFERROR(__xludf.DUMMYFUNCTION("""COMPUTED_VALUE"""),0.0)</f>
        <v>0</v>
      </c>
      <c r="H5772" s="22">
        <f>IFERROR(__xludf.DUMMYFUNCTION("""COMPUTED_VALUE"""),500000.0)</f>
        <v>500000</v>
      </c>
      <c r="I5772" s="24">
        <f>IFERROR(__xludf.DUMMYFUNCTION("""COMPUTED_VALUE"""),0.0)</f>
        <v>0</v>
      </c>
    </row>
    <row r="5773">
      <c r="A5773" s="5" t="str">
        <f>IFERROR(__xludf.DUMMYFUNCTION("""COMPUTED_VALUE"""),"75965")</f>
        <v>75965</v>
      </c>
      <c r="B5773" s="64">
        <f>IFERROR(__xludf.DUMMYFUNCTION("""COMPUTED_VALUE"""),44603.0)</f>
        <v>44603</v>
      </c>
      <c r="C5773" s="5"/>
      <c r="D5773" s="5"/>
      <c r="E5773" s="5"/>
      <c r="F5773" s="22">
        <f>IFERROR(__xludf.DUMMYFUNCTION("""COMPUTED_VALUE"""),500000.0)</f>
        <v>500000</v>
      </c>
      <c r="G5773" s="22">
        <f>IFERROR(__xludf.DUMMYFUNCTION("""COMPUTED_VALUE"""),0.0)</f>
        <v>0</v>
      </c>
      <c r="H5773" s="22">
        <f>IFERROR(__xludf.DUMMYFUNCTION("""COMPUTED_VALUE"""),500000.0)</f>
        <v>500000</v>
      </c>
      <c r="I5773" s="24">
        <f>IFERROR(__xludf.DUMMYFUNCTION("""COMPUTED_VALUE"""),0.0)</f>
        <v>0</v>
      </c>
    </row>
    <row r="5774">
      <c r="A5774" s="5" t="str">
        <f>IFERROR(__xludf.DUMMYFUNCTION("""COMPUTED_VALUE"""),"75965")</f>
        <v>75965</v>
      </c>
      <c r="B5774" s="64">
        <f>IFERROR(__xludf.DUMMYFUNCTION("""COMPUTED_VALUE"""),44604.0)</f>
        <v>44604</v>
      </c>
      <c r="C5774" s="5"/>
      <c r="D5774" s="5"/>
      <c r="E5774" s="5"/>
      <c r="F5774" s="22">
        <f>IFERROR(__xludf.DUMMYFUNCTION("""COMPUTED_VALUE"""),500000.0)</f>
        <v>500000</v>
      </c>
      <c r="G5774" s="22">
        <f>IFERROR(__xludf.DUMMYFUNCTION("""COMPUTED_VALUE"""),0.0)</f>
        <v>0</v>
      </c>
      <c r="H5774" s="22">
        <f>IFERROR(__xludf.DUMMYFUNCTION("""COMPUTED_VALUE"""),500000.0)</f>
        <v>500000</v>
      </c>
      <c r="I5774" s="24">
        <f>IFERROR(__xludf.DUMMYFUNCTION("""COMPUTED_VALUE"""),0.0)</f>
        <v>0</v>
      </c>
    </row>
    <row r="5775">
      <c r="A5775" s="5" t="str">
        <f>IFERROR(__xludf.DUMMYFUNCTION("""COMPUTED_VALUE"""),"75965")</f>
        <v>75965</v>
      </c>
      <c r="B5775" s="64">
        <f>IFERROR(__xludf.DUMMYFUNCTION("""COMPUTED_VALUE"""),44605.0)</f>
        <v>44605</v>
      </c>
      <c r="C5775" s="5"/>
      <c r="D5775" s="5"/>
      <c r="E5775" s="5"/>
      <c r="F5775" s="22">
        <f>IFERROR(__xludf.DUMMYFUNCTION("""COMPUTED_VALUE"""),500000.0)</f>
        <v>500000</v>
      </c>
      <c r="G5775" s="22">
        <f>IFERROR(__xludf.DUMMYFUNCTION("""COMPUTED_VALUE"""),0.0)</f>
        <v>0</v>
      </c>
      <c r="H5775" s="22">
        <f>IFERROR(__xludf.DUMMYFUNCTION("""COMPUTED_VALUE"""),500000.0)</f>
        <v>500000</v>
      </c>
      <c r="I5775" s="24">
        <f>IFERROR(__xludf.DUMMYFUNCTION("""COMPUTED_VALUE"""),0.0)</f>
        <v>0</v>
      </c>
    </row>
    <row r="5776">
      <c r="A5776" s="5" t="str">
        <f>IFERROR(__xludf.DUMMYFUNCTION("""COMPUTED_VALUE"""),"75965")</f>
        <v>75965</v>
      </c>
      <c r="B5776" s="64">
        <f>IFERROR(__xludf.DUMMYFUNCTION("""COMPUTED_VALUE"""),44606.0)</f>
        <v>44606</v>
      </c>
      <c r="C5776" s="5"/>
      <c r="D5776" s="5"/>
      <c r="E5776" s="5"/>
      <c r="F5776" s="22">
        <f>IFERROR(__xludf.DUMMYFUNCTION("""COMPUTED_VALUE"""),500000.0)</f>
        <v>500000</v>
      </c>
      <c r="G5776" s="22">
        <f>IFERROR(__xludf.DUMMYFUNCTION("""COMPUTED_VALUE"""),0.0)</f>
        <v>0</v>
      </c>
      <c r="H5776" s="22">
        <f>IFERROR(__xludf.DUMMYFUNCTION("""COMPUTED_VALUE"""),500000.0)</f>
        <v>500000</v>
      </c>
      <c r="I5776" s="24">
        <f>IFERROR(__xludf.DUMMYFUNCTION("""COMPUTED_VALUE"""),0.0)</f>
        <v>0</v>
      </c>
    </row>
    <row r="5777">
      <c r="A5777" s="5" t="str">
        <f>IFERROR(__xludf.DUMMYFUNCTION("""COMPUTED_VALUE"""),"75965")</f>
        <v>75965</v>
      </c>
      <c r="B5777" s="64">
        <f>IFERROR(__xludf.DUMMYFUNCTION("""COMPUTED_VALUE"""),44607.0)</f>
        <v>44607</v>
      </c>
      <c r="C5777" s="5"/>
      <c r="D5777" s="5"/>
      <c r="E5777" s="5"/>
      <c r="F5777" s="22">
        <f>IFERROR(__xludf.DUMMYFUNCTION("""COMPUTED_VALUE"""),500000.0)</f>
        <v>500000</v>
      </c>
      <c r="G5777" s="22">
        <f>IFERROR(__xludf.DUMMYFUNCTION("""COMPUTED_VALUE"""),0.0)</f>
        <v>0</v>
      </c>
      <c r="H5777" s="22">
        <f>IFERROR(__xludf.DUMMYFUNCTION("""COMPUTED_VALUE"""),500000.0)</f>
        <v>500000</v>
      </c>
      <c r="I5777" s="24">
        <f>IFERROR(__xludf.DUMMYFUNCTION("""COMPUTED_VALUE"""),0.0)</f>
        <v>0</v>
      </c>
    </row>
    <row r="5778">
      <c r="A5778" s="5" t="str">
        <f>IFERROR(__xludf.DUMMYFUNCTION("""COMPUTED_VALUE"""),"75965")</f>
        <v>75965</v>
      </c>
      <c r="B5778" s="64">
        <f>IFERROR(__xludf.DUMMYFUNCTION("""COMPUTED_VALUE"""),44608.0)</f>
        <v>44608</v>
      </c>
      <c r="C5778" s="5"/>
      <c r="D5778" s="5"/>
      <c r="E5778" s="5"/>
      <c r="F5778" s="22">
        <f>IFERROR(__xludf.DUMMYFUNCTION("""COMPUTED_VALUE"""),500000.0)</f>
        <v>500000</v>
      </c>
      <c r="G5778" s="22">
        <f>IFERROR(__xludf.DUMMYFUNCTION("""COMPUTED_VALUE"""),0.0)</f>
        <v>0</v>
      </c>
      <c r="H5778" s="22">
        <f>IFERROR(__xludf.DUMMYFUNCTION("""COMPUTED_VALUE"""),500000.0)</f>
        <v>500000</v>
      </c>
      <c r="I5778" s="24">
        <f>IFERROR(__xludf.DUMMYFUNCTION("""COMPUTED_VALUE"""),0.0)</f>
        <v>0</v>
      </c>
    </row>
    <row r="5779">
      <c r="A5779" s="5" t="str">
        <f>IFERROR(__xludf.DUMMYFUNCTION("""COMPUTED_VALUE"""),"75965")</f>
        <v>75965</v>
      </c>
      <c r="B5779" s="64">
        <f>IFERROR(__xludf.DUMMYFUNCTION("""COMPUTED_VALUE"""),44609.0)</f>
        <v>44609</v>
      </c>
      <c r="C5779" s="5"/>
      <c r="D5779" s="5"/>
      <c r="E5779" s="5"/>
      <c r="F5779" s="22">
        <f>IFERROR(__xludf.DUMMYFUNCTION("""COMPUTED_VALUE"""),500000.0)</f>
        <v>500000</v>
      </c>
      <c r="G5779" s="22">
        <f>IFERROR(__xludf.DUMMYFUNCTION("""COMPUTED_VALUE"""),0.0)</f>
        <v>0</v>
      </c>
      <c r="H5779" s="22">
        <f>IFERROR(__xludf.DUMMYFUNCTION("""COMPUTED_VALUE"""),500000.0)</f>
        <v>500000</v>
      </c>
      <c r="I5779" s="24">
        <f>IFERROR(__xludf.DUMMYFUNCTION("""COMPUTED_VALUE"""),0.0)</f>
        <v>0</v>
      </c>
    </row>
    <row r="5780">
      <c r="A5780" s="5" t="str">
        <f>IFERROR(__xludf.DUMMYFUNCTION("""COMPUTED_VALUE"""),"75965")</f>
        <v>75965</v>
      </c>
      <c r="B5780" s="64">
        <f>IFERROR(__xludf.DUMMYFUNCTION("""COMPUTED_VALUE"""),44610.0)</f>
        <v>44610</v>
      </c>
      <c r="C5780" s="5"/>
      <c r="D5780" s="5"/>
      <c r="E5780" s="5"/>
      <c r="F5780" s="22">
        <f>IFERROR(__xludf.DUMMYFUNCTION("""COMPUTED_VALUE"""),500000.0)</f>
        <v>500000</v>
      </c>
      <c r="G5780" s="22">
        <f>IFERROR(__xludf.DUMMYFUNCTION("""COMPUTED_VALUE"""),0.0)</f>
        <v>0</v>
      </c>
      <c r="H5780" s="22">
        <f>IFERROR(__xludf.DUMMYFUNCTION("""COMPUTED_VALUE"""),500000.0)</f>
        <v>500000</v>
      </c>
      <c r="I5780" s="24">
        <f>IFERROR(__xludf.DUMMYFUNCTION("""COMPUTED_VALUE"""),0.0)</f>
        <v>0</v>
      </c>
    </row>
    <row r="5781">
      <c r="A5781" s="5" t="str">
        <f>IFERROR(__xludf.DUMMYFUNCTION("""COMPUTED_VALUE"""),"75965")</f>
        <v>75965</v>
      </c>
      <c r="B5781" s="64">
        <f>IFERROR(__xludf.DUMMYFUNCTION("""COMPUTED_VALUE"""),44611.0)</f>
        <v>44611</v>
      </c>
      <c r="C5781" s="5"/>
      <c r="D5781" s="5"/>
      <c r="E5781" s="5"/>
      <c r="F5781" s="22">
        <f>IFERROR(__xludf.DUMMYFUNCTION("""COMPUTED_VALUE"""),500000.0)</f>
        <v>500000</v>
      </c>
      <c r="G5781" s="22">
        <f>IFERROR(__xludf.DUMMYFUNCTION("""COMPUTED_VALUE"""),0.0)</f>
        <v>0</v>
      </c>
      <c r="H5781" s="22">
        <f>IFERROR(__xludf.DUMMYFUNCTION("""COMPUTED_VALUE"""),500000.0)</f>
        <v>500000</v>
      </c>
      <c r="I5781" s="24">
        <f>IFERROR(__xludf.DUMMYFUNCTION("""COMPUTED_VALUE"""),0.0)</f>
        <v>0</v>
      </c>
    </row>
    <row r="5782">
      <c r="A5782" s="5" t="str">
        <f>IFERROR(__xludf.DUMMYFUNCTION("""COMPUTED_VALUE"""),"75965")</f>
        <v>75965</v>
      </c>
      <c r="B5782" s="64">
        <f>IFERROR(__xludf.DUMMYFUNCTION("""COMPUTED_VALUE"""),44612.0)</f>
        <v>44612</v>
      </c>
      <c r="C5782" s="5"/>
      <c r="D5782" s="5"/>
      <c r="E5782" s="5"/>
      <c r="F5782" s="22">
        <f>IFERROR(__xludf.DUMMYFUNCTION("""COMPUTED_VALUE"""),500000.0)</f>
        <v>500000</v>
      </c>
      <c r="G5782" s="22">
        <f>IFERROR(__xludf.DUMMYFUNCTION("""COMPUTED_VALUE"""),0.0)</f>
        <v>0</v>
      </c>
      <c r="H5782" s="22">
        <f>IFERROR(__xludf.DUMMYFUNCTION("""COMPUTED_VALUE"""),500000.0)</f>
        <v>500000</v>
      </c>
      <c r="I5782" s="24">
        <f>IFERROR(__xludf.DUMMYFUNCTION("""COMPUTED_VALUE"""),0.0)</f>
        <v>0</v>
      </c>
    </row>
    <row r="5783">
      <c r="A5783" s="5" t="str">
        <f>IFERROR(__xludf.DUMMYFUNCTION("""COMPUTED_VALUE"""),"75965")</f>
        <v>75965</v>
      </c>
      <c r="B5783" s="64">
        <f>IFERROR(__xludf.DUMMYFUNCTION("""COMPUTED_VALUE"""),44613.0)</f>
        <v>44613</v>
      </c>
      <c r="C5783" s="5"/>
      <c r="D5783" s="5"/>
      <c r="E5783" s="5"/>
      <c r="F5783" s="22">
        <f>IFERROR(__xludf.DUMMYFUNCTION("""COMPUTED_VALUE"""),500000.0)</f>
        <v>500000</v>
      </c>
      <c r="G5783" s="22">
        <f>IFERROR(__xludf.DUMMYFUNCTION("""COMPUTED_VALUE"""),0.0)</f>
        <v>0</v>
      </c>
      <c r="H5783" s="22">
        <f>IFERROR(__xludf.DUMMYFUNCTION("""COMPUTED_VALUE"""),500000.0)</f>
        <v>500000</v>
      </c>
      <c r="I5783" s="24">
        <f>IFERROR(__xludf.DUMMYFUNCTION("""COMPUTED_VALUE"""),0.0)</f>
        <v>0</v>
      </c>
    </row>
    <row r="5784">
      <c r="A5784" s="5" t="str">
        <f>IFERROR(__xludf.DUMMYFUNCTION("""COMPUTED_VALUE"""),"75965")</f>
        <v>75965</v>
      </c>
      <c r="B5784" s="64">
        <f>IFERROR(__xludf.DUMMYFUNCTION("""COMPUTED_VALUE"""),44614.0)</f>
        <v>44614</v>
      </c>
      <c r="C5784" s="5"/>
      <c r="D5784" s="5"/>
      <c r="E5784" s="5"/>
      <c r="F5784" s="22">
        <f>IFERROR(__xludf.DUMMYFUNCTION("""COMPUTED_VALUE"""),500000.0)</f>
        <v>500000</v>
      </c>
      <c r="G5784" s="22">
        <f>IFERROR(__xludf.DUMMYFUNCTION("""COMPUTED_VALUE"""),0.0)</f>
        <v>0</v>
      </c>
      <c r="H5784" s="22">
        <f>IFERROR(__xludf.DUMMYFUNCTION("""COMPUTED_VALUE"""),500000.0)</f>
        <v>500000</v>
      </c>
      <c r="I5784" s="24">
        <f>IFERROR(__xludf.DUMMYFUNCTION("""COMPUTED_VALUE"""),0.0)</f>
        <v>0</v>
      </c>
    </row>
    <row r="5785">
      <c r="A5785" s="5" t="str">
        <f>IFERROR(__xludf.DUMMYFUNCTION("""COMPUTED_VALUE"""),"75965")</f>
        <v>75965</v>
      </c>
      <c r="B5785" s="64">
        <f>IFERROR(__xludf.DUMMYFUNCTION("""COMPUTED_VALUE"""),44615.0)</f>
        <v>44615</v>
      </c>
      <c r="C5785" s="5"/>
      <c r="D5785" s="5"/>
      <c r="E5785" s="5"/>
      <c r="F5785" s="22">
        <f>IFERROR(__xludf.DUMMYFUNCTION("""COMPUTED_VALUE"""),500000.0)</f>
        <v>500000</v>
      </c>
      <c r="G5785" s="22">
        <f>IFERROR(__xludf.DUMMYFUNCTION("""COMPUTED_VALUE"""),0.0)</f>
        <v>0</v>
      </c>
      <c r="H5785" s="22">
        <f>IFERROR(__xludf.DUMMYFUNCTION("""COMPUTED_VALUE"""),500000.0)</f>
        <v>500000</v>
      </c>
      <c r="I5785" s="24">
        <f>IFERROR(__xludf.DUMMYFUNCTION("""COMPUTED_VALUE"""),0.0)</f>
        <v>0</v>
      </c>
    </row>
    <row r="5786">
      <c r="A5786" s="5" t="str">
        <f>IFERROR(__xludf.DUMMYFUNCTION("""COMPUTED_VALUE"""),"75965")</f>
        <v>75965</v>
      </c>
      <c r="B5786" s="64">
        <f>IFERROR(__xludf.DUMMYFUNCTION("""COMPUTED_VALUE"""),44616.0)</f>
        <v>44616</v>
      </c>
      <c r="C5786" s="5"/>
      <c r="D5786" s="5"/>
      <c r="E5786" s="5"/>
      <c r="F5786" s="22">
        <f>IFERROR(__xludf.DUMMYFUNCTION("""COMPUTED_VALUE"""),500000.0)</f>
        <v>500000</v>
      </c>
      <c r="G5786" s="22">
        <f>IFERROR(__xludf.DUMMYFUNCTION("""COMPUTED_VALUE"""),0.0)</f>
        <v>0</v>
      </c>
      <c r="H5786" s="22">
        <f>IFERROR(__xludf.DUMMYFUNCTION("""COMPUTED_VALUE"""),500000.0)</f>
        <v>500000</v>
      </c>
      <c r="I5786" s="24">
        <f>IFERROR(__xludf.DUMMYFUNCTION("""COMPUTED_VALUE"""),0.0)</f>
        <v>0</v>
      </c>
    </row>
    <row r="5787">
      <c r="A5787" s="5" t="str">
        <f>IFERROR(__xludf.DUMMYFUNCTION("""COMPUTED_VALUE"""),"75965")</f>
        <v>75965</v>
      </c>
      <c r="B5787" s="64">
        <f>IFERROR(__xludf.DUMMYFUNCTION("""COMPUTED_VALUE"""),44617.0)</f>
        <v>44617</v>
      </c>
      <c r="C5787" s="5"/>
      <c r="D5787" s="5"/>
      <c r="E5787" s="5"/>
      <c r="F5787" s="22">
        <f>IFERROR(__xludf.DUMMYFUNCTION("""COMPUTED_VALUE"""),500000.0)</f>
        <v>500000</v>
      </c>
      <c r="G5787" s="22">
        <f>IFERROR(__xludf.DUMMYFUNCTION("""COMPUTED_VALUE"""),0.0)</f>
        <v>0</v>
      </c>
      <c r="H5787" s="22">
        <f>IFERROR(__xludf.DUMMYFUNCTION("""COMPUTED_VALUE"""),500000.0)</f>
        <v>500000</v>
      </c>
      <c r="I5787" s="24">
        <f>IFERROR(__xludf.DUMMYFUNCTION("""COMPUTED_VALUE"""),0.0)</f>
        <v>0</v>
      </c>
    </row>
    <row r="5788">
      <c r="A5788" s="5" t="str">
        <f>IFERROR(__xludf.DUMMYFUNCTION("""COMPUTED_VALUE"""),"75965")</f>
        <v>75965</v>
      </c>
      <c r="B5788" s="64">
        <f>IFERROR(__xludf.DUMMYFUNCTION("""COMPUTED_VALUE"""),44618.0)</f>
        <v>44618</v>
      </c>
      <c r="C5788" s="5"/>
      <c r="D5788" s="5"/>
      <c r="E5788" s="5"/>
      <c r="F5788" s="22">
        <f>IFERROR(__xludf.DUMMYFUNCTION("""COMPUTED_VALUE"""),500000.0)</f>
        <v>500000</v>
      </c>
      <c r="G5788" s="22">
        <f>IFERROR(__xludf.DUMMYFUNCTION("""COMPUTED_VALUE"""),0.0)</f>
        <v>0</v>
      </c>
      <c r="H5788" s="22">
        <f>IFERROR(__xludf.DUMMYFUNCTION("""COMPUTED_VALUE"""),500000.0)</f>
        <v>500000</v>
      </c>
      <c r="I5788" s="24">
        <f>IFERROR(__xludf.DUMMYFUNCTION("""COMPUTED_VALUE"""),0.0)</f>
        <v>0</v>
      </c>
    </row>
    <row r="5789">
      <c r="A5789" s="5" t="str">
        <f>IFERROR(__xludf.DUMMYFUNCTION("""COMPUTED_VALUE"""),"75965")</f>
        <v>75965</v>
      </c>
      <c r="B5789" s="64">
        <f>IFERROR(__xludf.DUMMYFUNCTION("""COMPUTED_VALUE"""),44619.0)</f>
        <v>44619</v>
      </c>
      <c r="C5789" s="5"/>
      <c r="D5789" s="5"/>
      <c r="E5789" s="5"/>
      <c r="F5789" s="22">
        <f>IFERROR(__xludf.DUMMYFUNCTION("""COMPUTED_VALUE"""),500000.0)</f>
        <v>500000</v>
      </c>
      <c r="G5789" s="22">
        <f>IFERROR(__xludf.DUMMYFUNCTION("""COMPUTED_VALUE"""),0.0)</f>
        <v>0</v>
      </c>
      <c r="H5789" s="22">
        <f>IFERROR(__xludf.DUMMYFUNCTION("""COMPUTED_VALUE"""),500000.0)</f>
        <v>500000</v>
      </c>
      <c r="I5789" s="24">
        <f>IFERROR(__xludf.DUMMYFUNCTION("""COMPUTED_VALUE"""),0.0)</f>
        <v>0</v>
      </c>
    </row>
    <row r="5790">
      <c r="A5790" s="5" t="str">
        <f>IFERROR(__xludf.DUMMYFUNCTION("""COMPUTED_VALUE"""),"75965")</f>
        <v>75965</v>
      </c>
      <c r="B5790" s="64">
        <f>IFERROR(__xludf.DUMMYFUNCTION("""COMPUTED_VALUE"""),44620.0)</f>
        <v>44620</v>
      </c>
      <c r="C5790" s="5"/>
      <c r="D5790" s="5"/>
      <c r="E5790" s="5"/>
      <c r="F5790" s="22">
        <f>IFERROR(__xludf.DUMMYFUNCTION("""COMPUTED_VALUE"""),500000.0)</f>
        <v>500000</v>
      </c>
      <c r="G5790" s="22">
        <f>IFERROR(__xludf.DUMMYFUNCTION("""COMPUTED_VALUE"""),0.0)</f>
        <v>0</v>
      </c>
      <c r="H5790" s="22">
        <f>IFERROR(__xludf.DUMMYFUNCTION("""COMPUTED_VALUE"""),500000.0)</f>
        <v>500000</v>
      </c>
      <c r="I5790" s="24">
        <f>IFERROR(__xludf.DUMMYFUNCTION("""COMPUTED_VALUE"""),0.0)</f>
        <v>0</v>
      </c>
    </row>
    <row r="5791">
      <c r="A5791" s="5" t="str">
        <f>IFERROR(__xludf.DUMMYFUNCTION("""COMPUTED_VALUE"""),"75965")</f>
        <v>75965</v>
      </c>
      <c r="B5791" s="64">
        <f>IFERROR(__xludf.DUMMYFUNCTION("""COMPUTED_VALUE"""),44621.0)</f>
        <v>44621</v>
      </c>
      <c r="C5791" s="5"/>
      <c r="D5791" s="5"/>
      <c r="E5791" s="5"/>
      <c r="F5791" s="22">
        <f>IFERROR(__xludf.DUMMYFUNCTION("""COMPUTED_VALUE"""),500000.0)</f>
        <v>500000</v>
      </c>
      <c r="G5791" s="22">
        <f>IFERROR(__xludf.DUMMYFUNCTION("""COMPUTED_VALUE"""),0.0)</f>
        <v>0</v>
      </c>
      <c r="H5791" s="22">
        <f>IFERROR(__xludf.DUMMYFUNCTION("""COMPUTED_VALUE"""),500000.0)</f>
        <v>500000</v>
      </c>
      <c r="I5791" s="24">
        <f>IFERROR(__xludf.DUMMYFUNCTION("""COMPUTED_VALUE"""),0.0)</f>
        <v>0</v>
      </c>
    </row>
    <row r="5792">
      <c r="A5792" s="5" t="str">
        <f>IFERROR(__xludf.DUMMYFUNCTION("""COMPUTED_VALUE"""),"75965")</f>
        <v>75965</v>
      </c>
      <c r="B5792" s="64">
        <f>IFERROR(__xludf.DUMMYFUNCTION("""COMPUTED_VALUE"""),44622.0)</f>
        <v>44622</v>
      </c>
      <c r="C5792" s="5"/>
      <c r="D5792" s="5"/>
      <c r="E5792" s="5"/>
      <c r="F5792" s="22">
        <f>IFERROR(__xludf.DUMMYFUNCTION("""COMPUTED_VALUE"""),500000.0)</f>
        <v>500000</v>
      </c>
      <c r="G5792" s="22">
        <f>IFERROR(__xludf.DUMMYFUNCTION("""COMPUTED_VALUE"""),0.0)</f>
        <v>0</v>
      </c>
      <c r="H5792" s="22">
        <f>IFERROR(__xludf.DUMMYFUNCTION("""COMPUTED_VALUE"""),500000.0)</f>
        <v>500000</v>
      </c>
      <c r="I5792" s="24">
        <f>IFERROR(__xludf.DUMMYFUNCTION("""COMPUTED_VALUE"""),0.0)</f>
        <v>0</v>
      </c>
    </row>
    <row r="5793">
      <c r="A5793" s="5" t="str">
        <f>IFERROR(__xludf.DUMMYFUNCTION("""COMPUTED_VALUE"""),"75965")</f>
        <v>75965</v>
      </c>
      <c r="B5793" s="64">
        <f>IFERROR(__xludf.DUMMYFUNCTION("""COMPUTED_VALUE"""),44623.0)</f>
        <v>44623</v>
      </c>
      <c r="C5793" s="5"/>
      <c r="D5793" s="5"/>
      <c r="E5793" s="5"/>
      <c r="F5793" s="22">
        <f>IFERROR(__xludf.DUMMYFUNCTION("""COMPUTED_VALUE"""),500000.0)</f>
        <v>500000</v>
      </c>
      <c r="G5793" s="22">
        <f>IFERROR(__xludf.DUMMYFUNCTION("""COMPUTED_VALUE"""),0.0)</f>
        <v>0</v>
      </c>
      <c r="H5793" s="22">
        <f>IFERROR(__xludf.DUMMYFUNCTION("""COMPUTED_VALUE"""),500000.0)</f>
        <v>500000</v>
      </c>
      <c r="I5793" s="24">
        <f>IFERROR(__xludf.DUMMYFUNCTION("""COMPUTED_VALUE"""),0.0)</f>
        <v>0</v>
      </c>
    </row>
    <row r="5794">
      <c r="A5794" s="5" t="str">
        <f>IFERROR(__xludf.DUMMYFUNCTION("""COMPUTED_VALUE"""),"75965")</f>
        <v>75965</v>
      </c>
      <c r="B5794" s="64">
        <f>IFERROR(__xludf.DUMMYFUNCTION("""COMPUTED_VALUE"""),44624.0)</f>
        <v>44624</v>
      </c>
      <c r="C5794" s="5"/>
      <c r="D5794" s="5"/>
      <c r="E5794" s="5"/>
      <c r="F5794" s="22">
        <f>IFERROR(__xludf.DUMMYFUNCTION("""COMPUTED_VALUE"""),500000.0)</f>
        <v>500000</v>
      </c>
      <c r="G5794" s="22">
        <f>IFERROR(__xludf.DUMMYFUNCTION("""COMPUTED_VALUE"""),0.0)</f>
        <v>0</v>
      </c>
      <c r="H5794" s="22">
        <f>IFERROR(__xludf.DUMMYFUNCTION("""COMPUTED_VALUE"""),500000.0)</f>
        <v>500000</v>
      </c>
      <c r="I5794" s="24">
        <f>IFERROR(__xludf.DUMMYFUNCTION("""COMPUTED_VALUE"""),0.0)</f>
        <v>0</v>
      </c>
    </row>
    <row r="5795">
      <c r="A5795" s="5" t="str">
        <f>IFERROR(__xludf.DUMMYFUNCTION("""COMPUTED_VALUE"""),"75965")</f>
        <v>75965</v>
      </c>
      <c r="B5795" s="64">
        <f>IFERROR(__xludf.DUMMYFUNCTION("""COMPUTED_VALUE"""),44625.0)</f>
        <v>44625</v>
      </c>
      <c r="C5795" s="5"/>
      <c r="D5795" s="5"/>
      <c r="E5795" s="5"/>
      <c r="F5795" s="22">
        <f>IFERROR(__xludf.DUMMYFUNCTION("""COMPUTED_VALUE"""),500000.0)</f>
        <v>500000</v>
      </c>
      <c r="G5795" s="22">
        <f>IFERROR(__xludf.DUMMYFUNCTION("""COMPUTED_VALUE"""),0.0)</f>
        <v>0</v>
      </c>
      <c r="H5795" s="22">
        <f>IFERROR(__xludf.DUMMYFUNCTION("""COMPUTED_VALUE"""),500000.0)</f>
        <v>500000</v>
      </c>
      <c r="I5795" s="24">
        <f>IFERROR(__xludf.DUMMYFUNCTION("""COMPUTED_VALUE"""),0.0)</f>
        <v>0</v>
      </c>
    </row>
    <row r="5796">
      <c r="A5796" s="5" t="str">
        <f>IFERROR(__xludf.DUMMYFUNCTION("""COMPUTED_VALUE"""),"75965")</f>
        <v>75965</v>
      </c>
      <c r="B5796" s="64">
        <f>IFERROR(__xludf.DUMMYFUNCTION("""COMPUTED_VALUE"""),44626.0)</f>
        <v>44626</v>
      </c>
      <c r="C5796" s="5"/>
      <c r="D5796" s="5"/>
      <c r="E5796" s="5"/>
      <c r="F5796" s="22">
        <f>IFERROR(__xludf.DUMMYFUNCTION("""COMPUTED_VALUE"""),500000.0)</f>
        <v>500000</v>
      </c>
      <c r="G5796" s="22">
        <f>IFERROR(__xludf.DUMMYFUNCTION("""COMPUTED_VALUE"""),0.0)</f>
        <v>0</v>
      </c>
      <c r="H5796" s="22">
        <f>IFERROR(__xludf.DUMMYFUNCTION("""COMPUTED_VALUE"""),500000.0)</f>
        <v>500000</v>
      </c>
      <c r="I5796" s="24">
        <f>IFERROR(__xludf.DUMMYFUNCTION("""COMPUTED_VALUE"""),0.0)</f>
        <v>0</v>
      </c>
    </row>
    <row r="5797">
      <c r="A5797" s="5" t="str">
        <f>IFERROR(__xludf.DUMMYFUNCTION("""COMPUTED_VALUE"""),"75965")</f>
        <v>75965</v>
      </c>
      <c r="B5797" s="64">
        <f>IFERROR(__xludf.DUMMYFUNCTION("""COMPUTED_VALUE"""),44627.0)</f>
        <v>44627</v>
      </c>
      <c r="C5797" s="5"/>
      <c r="D5797" s="5"/>
      <c r="E5797" s="5"/>
      <c r="F5797" s="22">
        <f>IFERROR(__xludf.DUMMYFUNCTION("""COMPUTED_VALUE"""),500000.0)</f>
        <v>500000</v>
      </c>
      <c r="G5797" s="22">
        <f>IFERROR(__xludf.DUMMYFUNCTION("""COMPUTED_VALUE"""),0.0)</f>
        <v>0</v>
      </c>
      <c r="H5797" s="22">
        <f>IFERROR(__xludf.DUMMYFUNCTION("""COMPUTED_VALUE"""),500000.0)</f>
        <v>500000</v>
      </c>
      <c r="I5797" s="24">
        <f>IFERROR(__xludf.DUMMYFUNCTION("""COMPUTED_VALUE"""),0.0)</f>
        <v>0</v>
      </c>
    </row>
    <row r="5798">
      <c r="A5798" s="5" t="str">
        <f>IFERROR(__xludf.DUMMYFUNCTION("""COMPUTED_VALUE"""),"75965")</f>
        <v>75965</v>
      </c>
      <c r="B5798" s="64">
        <f>IFERROR(__xludf.DUMMYFUNCTION("""COMPUTED_VALUE"""),44628.0)</f>
        <v>44628</v>
      </c>
      <c r="C5798" s="5"/>
      <c r="D5798" s="5"/>
      <c r="E5798" s="5"/>
      <c r="F5798" s="22">
        <f>IFERROR(__xludf.DUMMYFUNCTION("""COMPUTED_VALUE"""),500000.0)</f>
        <v>500000</v>
      </c>
      <c r="G5798" s="22">
        <f>IFERROR(__xludf.DUMMYFUNCTION("""COMPUTED_VALUE"""),0.0)</f>
        <v>0</v>
      </c>
      <c r="H5798" s="22">
        <f>IFERROR(__xludf.DUMMYFUNCTION("""COMPUTED_VALUE"""),500000.0)</f>
        <v>500000</v>
      </c>
      <c r="I5798" s="24">
        <f>IFERROR(__xludf.DUMMYFUNCTION("""COMPUTED_VALUE"""),0.0)</f>
        <v>0</v>
      </c>
    </row>
    <row r="5799">
      <c r="A5799" s="5" t="str">
        <f>IFERROR(__xludf.DUMMYFUNCTION("""COMPUTED_VALUE"""),"75965")</f>
        <v>75965</v>
      </c>
      <c r="B5799" s="64">
        <f>IFERROR(__xludf.DUMMYFUNCTION("""COMPUTED_VALUE"""),44629.0)</f>
        <v>44629</v>
      </c>
      <c r="C5799" s="5"/>
      <c r="D5799" s="5"/>
      <c r="E5799" s="5"/>
      <c r="F5799" s="22">
        <f>IFERROR(__xludf.DUMMYFUNCTION("""COMPUTED_VALUE"""),500000.0)</f>
        <v>500000</v>
      </c>
      <c r="G5799" s="22">
        <f>IFERROR(__xludf.DUMMYFUNCTION("""COMPUTED_VALUE"""),0.0)</f>
        <v>0</v>
      </c>
      <c r="H5799" s="22">
        <f>IFERROR(__xludf.DUMMYFUNCTION("""COMPUTED_VALUE"""),500000.0)</f>
        <v>500000</v>
      </c>
      <c r="I5799" s="24">
        <f>IFERROR(__xludf.DUMMYFUNCTION("""COMPUTED_VALUE"""),0.0)</f>
        <v>0</v>
      </c>
    </row>
    <row r="5800">
      <c r="A5800" s="5" t="str">
        <f>IFERROR(__xludf.DUMMYFUNCTION("""COMPUTED_VALUE"""),"75965")</f>
        <v>75965</v>
      </c>
      <c r="B5800" s="64">
        <f>IFERROR(__xludf.DUMMYFUNCTION("""COMPUTED_VALUE"""),44630.0)</f>
        <v>44630</v>
      </c>
      <c r="C5800" s="5"/>
      <c r="D5800" s="5"/>
      <c r="E5800" s="5"/>
      <c r="F5800" s="22">
        <f>IFERROR(__xludf.DUMMYFUNCTION("""COMPUTED_VALUE"""),500000.0)</f>
        <v>500000</v>
      </c>
      <c r="G5800" s="22">
        <f>IFERROR(__xludf.DUMMYFUNCTION("""COMPUTED_VALUE"""),0.0)</f>
        <v>0</v>
      </c>
      <c r="H5800" s="22">
        <f>IFERROR(__xludf.DUMMYFUNCTION("""COMPUTED_VALUE"""),500000.0)</f>
        <v>500000</v>
      </c>
      <c r="I5800" s="24">
        <f>IFERROR(__xludf.DUMMYFUNCTION("""COMPUTED_VALUE"""),0.0)</f>
        <v>0</v>
      </c>
    </row>
    <row r="5801">
      <c r="A5801" s="5" t="str">
        <f>IFERROR(__xludf.DUMMYFUNCTION("""COMPUTED_VALUE"""),"75965")</f>
        <v>75965</v>
      </c>
      <c r="B5801" s="64">
        <f>IFERROR(__xludf.DUMMYFUNCTION("""COMPUTED_VALUE"""),44631.0)</f>
        <v>44631</v>
      </c>
      <c r="C5801" s="5"/>
      <c r="D5801" s="5"/>
      <c r="E5801" s="5"/>
      <c r="F5801" s="22">
        <f>IFERROR(__xludf.DUMMYFUNCTION("""COMPUTED_VALUE"""),500000.0)</f>
        <v>500000</v>
      </c>
      <c r="G5801" s="22">
        <f>IFERROR(__xludf.DUMMYFUNCTION("""COMPUTED_VALUE"""),0.0)</f>
        <v>0</v>
      </c>
      <c r="H5801" s="22">
        <f>IFERROR(__xludf.DUMMYFUNCTION("""COMPUTED_VALUE"""),500000.0)</f>
        <v>500000</v>
      </c>
      <c r="I5801" s="24">
        <f>IFERROR(__xludf.DUMMYFUNCTION("""COMPUTED_VALUE"""),0.0)</f>
        <v>0</v>
      </c>
    </row>
    <row r="5802">
      <c r="A5802" s="5" t="str">
        <f>IFERROR(__xludf.DUMMYFUNCTION("""COMPUTED_VALUE"""),"75965")</f>
        <v>75965</v>
      </c>
      <c r="B5802" s="64">
        <f>IFERROR(__xludf.DUMMYFUNCTION("""COMPUTED_VALUE"""),44632.0)</f>
        <v>44632</v>
      </c>
      <c r="C5802" s="5"/>
      <c r="D5802" s="5"/>
      <c r="E5802" s="5"/>
      <c r="F5802" s="22">
        <f>IFERROR(__xludf.DUMMYFUNCTION("""COMPUTED_VALUE"""),500000.0)</f>
        <v>500000</v>
      </c>
      <c r="G5802" s="22">
        <f>IFERROR(__xludf.DUMMYFUNCTION("""COMPUTED_VALUE"""),0.0)</f>
        <v>0</v>
      </c>
      <c r="H5802" s="22">
        <f>IFERROR(__xludf.DUMMYFUNCTION("""COMPUTED_VALUE"""),500000.0)</f>
        <v>500000</v>
      </c>
      <c r="I5802" s="24">
        <f>IFERROR(__xludf.DUMMYFUNCTION("""COMPUTED_VALUE"""),0.0)</f>
        <v>0</v>
      </c>
    </row>
    <row r="5803">
      <c r="A5803" s="5" t="str">
        <f>IFERROR(__xludf.DUMMYFUNCTION("""COMPUTED_VALUE"""),"75965")</f>
        <v>75965</v>
      </c>
      <c r="B5803" s="64">
        <f>IFERROR(__xludf.DUMMYFUNCTION("""COMPUTED_VALUE"""),44633.0)</f>
        <v>44633</v>
      </c>
      <c r="C5803" s="5"/>
      <c r="D5803" s="5"/>
      <c r="E5803" s="5"/>
      <c r="F5803" s="22">
        <f>IFERROR(__xludf.DUMMYFUNCTION("""COMPUTED_VALUE"""),500000.0)</f>
        <v>500000</v>
      </c>
      <c r="G5803" s="22">
        <f>IFERROR(__xludf.DUMMYFUNCTION("""COMPUTED_VALUE"""),0.0)</f>
        <v>0</v>
      </c>
      <c r="H5803" s="22">
        <f>IFERROR(__xludf.DUMMYFUNCTION("""COMPUTED_VALUE"""),500000.0)</f>
        <v>500000</v>
      </c>
      <c r="I5803" s="24">
        <f>IFERROR(__xludf.DUMMYFUNCTION("""COMPUTED_VALUE"""),0.0)</f>
        <v>0</v>
      </c>
    </row>
    <row r="5804">
      <c r="A5804" s="5" t="str">
        <f>IFERROR(__xludf.DUMMYFUNCTION("""COMPUTED_VALUE"""),"75965")</f>
        <v>75965</v>
      </c>
      <c r="B5804" s="64">
        <f>IFERROR(__xludf.DUMMYFUNCTION("""COMPUTED_VALUE"""),44634.0)</f>
        <v>44634</v>
      </c>
      <c r="C5804" s="5"/>
      <c r="D5804" s="5"/>
      <c r="E5804" s="5"/>
      <c r="F5804" s="22">
        <f>IFERROR(__xludf.DUMMYFUNCTION("""COMPUTED_VALUE"""),500000.0)</f>
        <v>500000</v>
      </c>
      <c r="G5804" s="22">
        <f>IFERROR(__xludf.DUMMYFUNCTION("""COMPUTED_VALUE"""),0.0)</f>
        <v>0</v>
      </c>
      <c r="H5804" s="22">
        <f>IFERROR(__xludf.DUMMYFUNCTION("""COMPUTED_VALUE"""),500000.0)</f>
        <v>500000</v>
      </c>
      <c r="I5804" s="24">
        <f>IFERROR(__xludf.DUMMYFUNCTION("""COMPUTED_VALUE"""),0.0)</f>
        <v>0</v>
      </c>
    </row>
    <row r="5805">
      <c r="A5805" s="5" t="str">
        <f>IFERROR(__xludf.DUMMYFUNCTION("""COMPUTED_VALUE"""),"75965")</f>
        <v>75965</v>
      </c>
      <c r="B5805" s="64">
        <f>IFERROR(__xludf.DUMMYFUNCTION("""COMPUTED_VALUE"""),44635.0)</f>
        <v>44635</v>
      </c>
      <c r="C5805" s="5"/>
      <c r="D5805" s="5"/>
      <c r="E5805" s="5"/>
      <c r="F5805" s="22">
        <f>IFERROR(__xludf.DUMMYFUNCTION("""COMPUTED_VALUE"""),500000.0)</f>
        <v>500000</v>
      </c>
      <c r="G5805" s="22">
        <f>IFERROR(__xludf.DUMMYFUNCTION("""COMPUTED_VALUE"""),0.0)</f>
        <v>0</v>
      </c>
      <c r="H5805" s="22">
        <f>IFERROR(__xludf.DUMMYFUNCTION("""COMPUTED_VALUE"""),500000.0)</f>
        <v>500000</v>
      </c>
      <c r="I5805" s="24">
        <f>IFERROR(__xludf.DUMMYFUNCTION("""COMPUTED_VALUE"""),0.0)</f>
        <v>0</v>
      </c>
    </row>
    <row r="5806">
      <c r="A5806" s="5" t="str">
        <f>IFERROR(__xludf.DUMMYFUNCTION("""COMPUTED_VALUE"""),"75965")</f>
        <v>75965</v>
      </c>
      <c r="B5806" s="64">
        <f>IFERROR(__xludf.DUMMYFUNCTION("""COMPUTED_VALUE"""),44636.0)</f>
        <v>44636</v>
      </c>
      <c r="C5806" s="5"/>
      <c r="D5806" s="5"/>
      <c r="E5806" s="5"/>
      <c r="F5806" s="22">
        <f>IFERROR(__xludf.DUMMYFUNCTION("""COMPUTED_VALUE"""),46638.80622500001)</f>
        <v>46638.80623</v>
      </c>
      <c r="G5806" s="22">
        <f>IFERROR(__xludf.DUMMYFUNCTION("""COMPUTED_VALUE"""),0.0)</f>
        <v>0</v>
      </c>
      <c r="H5806" s="22">
        <f>IFERROR(__xludf.DUMMYFUNCTION("""COMPUTED_VALUE"""),500000.0)</f>
        <v>500000</v>
      </c>
      <c r="I5806" s="24">
        <f>IFERROR(__xludf.DUMMYFUNCTION("""COMPUTED_VALUE"""),0.0)</f>
        <v>0</v>
      </c>
    </row>
    <row r="5807">
      <c r="A5807" s="5" t="str">
        <f>IFERROR(__xludf.DUMMYFUNCTION("""COMPUTED_VALUE"""),"75965")</f>
        <v>75965</v>
      </c>
      <c r="B5807" s="64">
        <f>IFERROR(__xludf.DUMMYFUNCTION("""COMPUTED_VALUE"""),44637.0)</f>
        <v>44637</v>
      </c>
      <c r="C5807" s="5"/>
      <c r="D5807" s="5"/>
      <c r="E5807" s="5"/>
      <c r="F5807" s="22">
        <f>IFERROR(__xludf.DUMMYFUNCTION("""COMPUTED_VALUE"""),46638.80622500001)</f>
        <v>46638.80623</v>
      </c>
      <c r="G5807" s="22">
        <f>IFERROR(__xludf.DUMMYFUNCTION("""COMPUTED_VALUE"""),0.0)</f>
        <v>0</v>
      </c>
      <c r="H5807" s="22">
        <f>IFERROR(__xludf.DUMMYFUNCTION("""COMPUTED_VALUE"""),513072.04932499997)</f>
        <v>513072.0493</v>
      </c>
      <c r="I5807" s="24">
        <f>IFERROR(__xludf.DUMMYFUNCTION("""COMPUTED_VALUE"""),0.026144098649999892)</f>
        <v>0.02614409865</v>
      </c>
    </row>
    <row r="5808">
      <c r="A5808" s="5" t="str">
        <f>IFERROR(__xludf.DUMMYFUNCTION("""COMPUTED_VALUE"""),"75965")</f>
        <v>75965</v>
      </c>
      <c r="B5808" s="64">
        <f>IFERROR(__xludf.DUMMYFUNCTION("""COMPUTED_VALUE"""),44638.0)</f>
        <v>44638</v>
      </c>
      <c r="C5808" s="5"/>
      <c r="D5808" s="5"/>
      <c r="E5808" s="5"/>
      <c r="F5808" s="22">
        <f>IFERROR(__xludf.DUMMYFUNCTION("""COMPUTED_VALUE"""),46638.80622500001)</f>
        <v>46638.80623</v>
      </c>
      <c r="G5808" s="22">
        <f>IFERROR(__xludf.DUMMYFUNCTION("""COMPUTED_VALUE"""),0.0)</f>
        <v>0</v>
      </c>
      <c r="H5808" s="22">
        <f>IFERROR(__xludf.DUMMYFUNCTION("""COMPUTED_VALUE"""),528912.57335)</f>
        <v>528912.5734</v>
      </c>
      <c r="I5808" s="24">
        <f>IFERROR(__xludf.DUMMYFUNCTION("""COMPUTED_VALUE"""),0.05782514669999994)</f>
        <v>0.0578251467</v>
      </c>
    </row>
    <row r="5809">
      <c r="A5809" s="5" t="str">
        <f>IFERROR(__xludf.DUMMYFUNCTION("""COMPUTED_VALUE"""),"75965")</f>
        <v>75965</v>
      </c>
      <c r="B5809" s="64">
        <f>IFERROR(__xludf.DUMMYFUNCTION("""COMPUTED_VALUE"""),44639.0)</f>
        <v>44639</v>
      </c>
      <c r="C5809" s="5"/>
      <c r="D5809" s="5"/>
      <c r="E5809" s="5"/>
      <c r="F5809" s="22">
        <f>IFERROR(__xludf.DUMMYFUNCTION("""COMPUTED_VALUE"""),46638.80622500001)</f>
        <v>46638.80623</v>
      </c>
      <c r="G5809" s="22">
        <f>IFERROR(__xludf.DUMMYFUNCTION("""COMPUTED_VALUE"""),0.0)</f>
        <v>0</v>
      </c>
      <c r="H5809" s="22">
        <f>IFERROR(__xludf.DUMMYFUNCTION("""COMPUTED_VALUE"""),528912.57335)</f>
        <v>528912.5734</v>
      </c>
      <c r="I5809" s="24">
        <f>IFERROR(__xludf.DUMMYFUNCTION("""COMPUTED_VALUE"""),0.05782514669999994)</f>
        <v>0.0578251467</v>
      </c>
    </row>
    <row r="5810">
      <c r="A5810" s="5" t="str">
        <f>IFERROR(__xludf.DUMMYFUNCTION("""COMPUTED_VALUE"""),"75965")</f>
        <v>75965</v>
      </c>
      <c r="B5810" s="64">
        <f>IFERROR(__xludf.DUMMYFUNCTION("""COMPUTED_VALUE"""),44640.0)</f>
        <v>44640</v>
      </c>
      <c r="C5810" s="5"/>
      <c r="D5810" s="5"/>
      <c r="E5810" s="5"/>
      <c r="F5810" s="22">
        <f>IFERROR(__xludf.DUMMYFUNCTION("""COMPUTED_VALUE"""),46638.80622500001)</f>
        <v>46638.80623</v>
      </c>
      <c r="G5810" s="22">
        <f>IFERROR(__xludf.DUMMYFUNCTION("""COMPUTED_VALUE"""),0.0)</f>
        <v>0</v>
      </c>
      <c r="H5810" s="22">
        <f>IFERROR(__xludf.DUMMYFUNCTION("""COMPUTED_VALUE"""),528912.57335)</f>
        <v>528912.5734</v>
      </c>
      <c r="I5810" s="24">
        <f>IFERROR(__xludf.DUMMYFUNCTION("""COMPUTED_VALUE"""),0.05782514669999994)</f>
        <v>0.0578251467</v>
      </c>
    </row>
    <row r="5811">
      <c r="A5811" s="5" t="str">
        <f>IFERROR(__xludf.DUMMYFUNCTION("""COMPUTED_VALUE"""),"75965")</f>
        <v>75965</v>
      </c>
      <c r="B5811" s="64">
        <f>IFERROR(__xludf.DUMMYFUNCTION("""COMPUTED_VALUE"""),44641.0)</f>
        <v>44641</v>
      </c>
      <c r="C5811" s="5"/>
      <c r="D5811" s="5"/>
      <c r="E5811" s="5"/>
      <c r="F5811" s="22">
        <f>IFERROR(__xludf.DUMMYFUNCTION("""COMPUTED_VALUE"""),46638.80622500001)</f>
        <v>46638.80623</v>
      </c>
      <c r="G5811" s="22">
        <f>IFERROR(__xludf.DUMMYFUNCTION("""COMPUTED_VALUE"""),0.0)</f>
        <v>0</v>
      </c>
      <c r="H5811" s="22">
        <f>IFERROR(__xludf.DUMMYFUNCTION("""COMPUTED_VALUE"""),536173.954025)</f>
        <v>536173.954</v>
      </c>
      <c r="I5811" s="24">
        <f>IFERROR(__xludf.DUMMYFUNCTION("""COMPUTED_VALUE"""),0.07234790805000002)</f>
        <v>0.07234790805</v>
      </c>
    </row>
    <row r="5812">
      <c r="A5812" s="5" t="str">
        <f>IFERROR(__xludf.DUMMYFUNCTION("""COMPUTED_VALUE"""),"75965")</f>
        <v>75965</v>
      </c>
      <c r="B5812" s="64">
        <f>IFERROR(__xludf.DUMMYFUNCTION("""COMPUTED_VALUE"""),44642.0)</f>
        <v>44642</v>
      </c>
      <c r="C5812" s="5"/>
      <c r="D5812" s="5"/>
      <c r="E5812" s="5"/>
      <c r="F5812" s="22">
        <f>IFERROR(__xludf.DUMMYFUNCTION("""COMPUTED_VALUE"""),46638.80622500001)</f>
        <v>46638.80623</v>
      </c>
      <c r="G5812" s="22">
        <f>IFERROR(__xludf.DUMMYFUNCTION("""COMPUTED_VALUE"""),0.0)</f>
        <v>0</v>
      </c>
      <c r="H5812" s="22">
        <f>IFERROR(__xludf.DUMMYFUNCTION("""COMPUTED_VALUE"""),567338.845775)</f>
        <v>567338.8458</v>
      </c>
      <c r="I5812" s="24">
        <f>IFERROR(__xludf.DUMMYFUNCTION("""COMPUTED_VALUE"""),0.1346776915500001)</f>
        <v>0.1346776916</v>
      </c>
    </row>
    <row r="5813">
      <c r="A5813" s="5" t="str">
        <f>IFERROR(__xludf.DUMMYFUNCTION("""COMPUTED_VALUE"""),"75965")</f>
        <v>75965</v>
      </c>
      <c r="B5813" s="64">
        <f>IFERROR(__xludf.DUMMYFUNCTION("""COMPUTED_VALUE"""),44643.0)</f>
        <v>44643</v>
      </c>
      <c r="C5813" s="5"/>
      <c r="D5813" s="5"/>
      <c r="E5813" s="5"/>
      <c r="F5813" s="22">
        <f>IFERROR(__xludf.DUMMYFUNCTION("""COMPUTED_VALUE"""),46638.80622500001)</f>
        <v>46638.80623</v>
      </c>
      <c r="G5813" s="22">
        <f>IFERROR(__xludf.DUMMYFUNCTION("""COMPUTED_VALUE"""),0.0)</f>
        <v>0</v>
      </c>
      <c r="H5813" s="22">
        <f>IFERROR(__xludf.DUMMYFUNCTION("""COMPUTED_VALUE"""),570431.8733)</f>
        <v>570431.8733</v>
      </c>
      <c r="I5813" s="24">
        <f>IFERROR(__xludf.DUMMYFUNCTION("""COMPUTED_VALUE"""),0.1408637466)</f>
        <v>0.1408637466</v>
      </c>
    </row>
    <row r="5814">
      <c r="A5814" s="5" t="str">
        <f>IFERROR(__xludf.DUMMYFUNCTION("""COMPUTED_VALUE"""),"75965")</f>
        <v>75965</v>
      </c>
      <c r="B5814" s="64">
        <f>IFERROR(__xludf.DUMMYFUNCTION("""COMPUTED_VALUE"""),44644.0)</f>
        <v>44644</v>
      </c>
      <c r="C5814" s="5"/>
      <c r="D5814" s="5"/>
      <c r="E5814" s="5"/>
      <c r="F5814" s="22">
        <f>IFERROR(__xludf.DUMMYFUNCTION("""COMPUTED_VALUE"""),46638.80622500001)</f>
        <v>46638.80623</v>
      </c>
      <c r="G5814" s="22">
        <f>IFERROR(__xludf.DUMMYFUNCTION("""COMPUTED_VALUE"""),0.0)</f>
        <v>0</v>
      </c>
      <c r="H5814" s="22">
        <f>IFERROR(__xludf.DUMMYFUNCTION("""COMPUTED_VALUE"""),579241.722875)</f>
        <v>579241.7229</v>
      </c>
      <c r="I5814" s="24">
        <f>IFERROR(__xludf.DUMMYFUNCTION("""COMPUTED_VALUE"""),0.15848344574999995)</f>
        <v>0.1584834458</v>
      </c>
    </row>
    <row r="5815">
      <c r="A5815" s="5" t="str">
        <f>IFERROR(__xludf.DUMMYFUNCTION("""COMPUTED_VALUE"""),"75965")</f>
        <v>75965</v>
      </c>
      <c r="B5815" s="64">
        <f>IFERROR(__xludf.DUMMYFUNCTION("""COMPUTED_VALUE"""),44645.0)</f>
        <v>44645</v>
      </c>
      <c r="C5815" s="5"/>
      <c r="D5815" s="5"/>
      <c r="E5815" s="5"/>
      <c r="F5815" s="22">
        <f>IFERROR(__xludf.DUMMYFUNCTION("""COMPUTED_VALUE"""),46638.80622500001)</f>
        <v>46638.80623</v>
      </c>
      <c r="G5815" s="22">
        <f>IFERROR(__xludf.DUMMYFUNCTION("""COMPUTED_VALUE"""),0.0)</f>
        <v>0</v>
      </c>
      <c r="H5815" s="22">
        <f>IFERROR(__xludf.DUMMYFUNCTION("""COMPUTED_VALUE"""),578467.488425)</f>
        <v>578467.4884</v>
      </c>
      <c r="I5815" s="24">
        <f>IFERROR(__xludf.DUMMYFUNCTION("""COMPUTED_VALUE"""),0.1569349768499999)</f>
        <v>0.1569349769</v>
      </c>
    </row>
    <row r="5816">
      <c r="A5816" s="5" t="str">
        <f>IFERROR(__xludf.DUMMYFUNCTION("""COMPUTED_VALUE"""),"75965")</f>
        <v>75965</v>
      </c>
      <c r="B5816" s="64">
        <f>IFERROR(__xludf.DUMMYFUNCTION("""COMPUTED_VALUE"""),44646.0)</f>
        <v>44646</v>
      </c>
      <c r="C5816" s="5"/>
      <c r="D5816" s="5"/>
      <c r="E5816" s="5"/>
      <c r="F5816" s="22">
        <f>IFERROR(__xludf.DUMMYFUNCTION("""COMPUTED_VALUE"""),46638.80622500001)</f>
        <v>46638.80623</v>
      </c>
      <c r="G5816" s="22">
        <f>IFERROR(__xludf.DUMMYFUNCTION("""COMPUTED_VALUE"""),0.0)</f>
        <v>0</v>
      </c>
      <c r="H5816" s="22">
        <f>IFERROR(__xludf.DUMMYFUNCTION("""COMPUTED_VALUE"""),578467.488425)</f>
        <v>578467.4884</v>
      </c>
      <c r="I5816" s="24">
        <f>IFERROR(__xludf.DUMMYFUNCTION("""COMPUTED_VALUE"""),0.1569349768499999)</f>
        <v>0.1569349769</v>
      </c>
    </row>
    <row r="5817">
      <c r="A5817" s="5" t="str">
        <f>IFERROR(__xludf.DUMMYFUNCTION("""COMPUTED_VALUE"""),"75965")</f>
        <v>75965</v>
      </c>
      <c r="B5817" s="64">
        <f>IFERROR(__xludf.DUMMYFUNCTION("""COMPUTED_VALUE"""),44647.0)</f>
        <v>44647</v>
      </c>
      <c r="C5817" s="5"/>
      <c r="D5817" s="5"/>
      <c r="E5817" s="5"/>
      <c r="F5817" s="22">
        <f>IFERROR(__xludf.DUMMYFUNCTION("""COMPUTED_VALUE"""),46638.80622500001)</f>
        <v>46638.80623</v>
      </c>
      <c r="G5817" s="22">
        <f>IFERROR(__xludf.DUMMYFUNCTION("""COMPUTED_VALUE"""),0.0)</f>
        <v>0</v>
      </c>
      <c r="H5817" s="22">
        <f>IFERROR(__xludf.DUMMYFUNCTION("""COMPUTED_VALUE"""),578467.488425)</f>
        <v>578467.4884</v>
      </c>
      <c r="I5817" s="24">
        <f>IFERROR(__xludf.DUMMYFUNCTION("""COMPUTED_VALUE"""),0.1569349768499999)</f>
        <v>0.1569349769</v>
      </c>
    </row>
    <row r="5818">
      <c r="A5818" s="5" t="str">
        <f>IFERROR(__xludf.DUMMYFUNCTION("""COMPUTED_VALUE"""),"75965")</f>
        <v>75965</v>
      </c>
      <c r="B5818" s="64">
        <f>IFERROR(__xludf.DUMMYFUNCTION("""COMPUTED_VALUE"""),44648.0)</f>
        <v>44648</v>
      </c>
      <c r="C5818" s="5"/>
      <c r="D5818" s="5"/>
      <c r="E5818" s="5"/>
      <c r="F5818" s="22">
        <f>IFERROR(__xludf.DUMMYFUNCTION("""COMPUTED_VALUE"""),474042.30382499995)</f>
        <v>474042.3038</v>
      </c>
      <c r="G5818" s="22">
        <f>IFERROR(__xludf.DUMMYFUNCTION("""COMPUTED_VALUE"""),0.0)</f>
        <v>0</v>
      </c>
      <c r="H5818" s="22">
        <f>IFERROR(__xludf.DUMMYFUNCTION("""COMPUTED_VALUE"""),610907.129825)</f>
        <v>610907.1298</v>
      </c>
      <c r="I5818" s="24">
        <f>IFERROR(__xludf.DUMMYFUNCTION("""COMPUTED_VALUE"""),0.2218142596499999)</f>
        <v>0.2218142597</v>
      </c>
    </row>
    <row r="5819">
      <c r="A5819" s="5" t="str">
        <f>IFERROR(__xludf.DUMMYFUNCTION("""COMPUTED_VALUE"""),"75965")</f>
        <v>75965</v>
      </c>
      <c r="B5819" s="64">
        <f>IFERROR(__xludf.DUMMYFUNCTION("""COMPUTED_VALUE"""),44649.0)</f>
        <v>44649</v>
      </c>
      <c r="C5819" s="5"/>
      <c r="D5819" s="5"/>
      <c r="E5819" s="5"/>
      <c r="F5819" s="22">
        <f>IFERROR(__xludf.DUMMYFUNCTION("""COMPUTED_VALUE"""),-146185.34165249998)</f>
        <v>-146185.3417</v>
      </c>
      <c r="G5819" s="22">
        <f>IFERROR(__xludf.DUMMYFUNCTION("""COMPUTED_VALUE"""),146185.34165249998)</f>
        <v>146185.3417</v>
      </c>
      <c r="H5819" s="22">
        <f>IFERROR(__xludf.DUMMYFUNCTION("""COMPUTED_VALUE"""),605780.789875)</f>
        <v>605780.7899</v>
      </c>
      <c r="I5819" s="24">
        <f>IFERROR(__xludf.DUMMYFUNCTION("""COMPUTED_VALUE"""),0.21156157975000012)</f>
        <v>0.2115615798</v>
      </c>
    </row>
    <row r="5820">
      <c r="A5820" s="5" t="str">
        <f>IFERROR(__xludf.DUMMYFUNCTION("""COMPUTED_VALUE"""),"75965")</f>
        <v>75965</v>
      </c>
      <c r="B5820" s="64">
        <f>IFERROR(__xludf.DUMMYFUNCTION("""COMPUTED_VALUE"""),44650.0)</f>
        <v>44650</v>
      </c>
      <c r="C5820" s="5"/>
      <c r="D5820" s="5"/>
      <c r="E5820" s="5"/>
      <c r="F5820" s="22">
        <f>IFERROR(__xludf.DUMMYFUNCTION("""COMPUTED_VALUE"""),-146185.34165249998)</f>
        <v>-146185.3417</v>
      </c>
      <c r="G5820" s="22">
        <f>IFERROR(__xludf.DUMMYFUNCTION("""COMPUTED_VALUE"""),146185.34165249998)</f>
        <v>146185.3417</v>
      </c>
      <c r="H5820" s="22">
        <f>IFERROR(__xludf.DUMMYFUNCTION("""COMPUTED_VALUE"""),659741.50141)</f>
        <v>659741.5014</v>
      </c>
      <c r="I5820" s="24">
        <f>IFERROR(__xludf.DUMMYFUNCTION("""COMPUTED_VALUE"""),0.31948300282)</f>
        <v>0.3194830028</v>
      </c>
    </row>
    <row r="5821">
      <c r="A5821" s="5" t="str">
        <f>IFERROR(__xludf.DUMMYFUNCTION("""COMPUTED_VALUE"""),"75965")</f>
        <v>75965</v>
      </c>
      <c r="B5821" s="64">
        <f>IFERROR(__xludf.DUMMYFUNCTION("""COMPUTED_VALUE"""),44651.0)</f>
        <v>44651</v>
      </c>
      <c r="C5821" s="5"/>
      <c r="D5821" s="5"/>
      <c r="E5821" s="5"/>
      <c r="F5821" s="22">
        <f>IFERROR(__xludf.DUMMYFUNCTION("""COMPUTED_VALUE"""),-146185.34165249998)</f>
        <v>-146185.3417</v>
      </c>
      <c r="G5821" s="22">
        <f>IFERROR(__xludf.DUMMYFUNCTION("""COMPUTED_VALUE"""),146185.34165249998)</f>
        <v>146185.3417</v>
      </c>
      <c r="H5821" s="22">
        <f>IFERROR(__xludf.DUMMYFUNCTION("""COMPUTED_VALUE"""),659816.2782524999)</f>
        <v>659816.2783</v>
      </c>
      <c r="I5821" s="24">
        <f>IFERROR(__xludf.DUMMYFUNCTION("""COMPUTED_VALUE"""),0.3196325565049998)</f>
        <v>0.3196325565</v>
      </c>
    </row>
    <row r="5822">
      <c r="A5822" s="5" t="str">
        <f>IFERROR(__xludf.DUMMYFUNCTION("""COMPUTED_VALUE"""),"75965")</f>
        <v>75965</v>
      </c>
      <c r="B5822" s="64">
        <f>IFERROR(__xludf.DUMMYFUNCTION("""COMPUTED_VALUE"""),44652.0)</f>
        <v>44652</v>
      </c>
      <c r="C5822" s="5"/>
      <c r="D5822" s="5"/>
      <c r="E5822" s="5"/>
      <c r="F5822" s="22">
        <f>IFERROR(__xludf.DUMMYFUNCTION("""COMPUTED_VALUE"""),-146185.34165249998)</f>
        <v>-146185.3417</v>
      </c>
      <c r="G5822" s="22">
        <f>IFERROR(__xludf.DUMMYFUNCTION("""COMPUTED_VALUE"""),146185.34165249998)</f>
        <v>146185.3417</v>
      </c>
      <c r="H5822" s="22">
        <f>IFERROR(__xludf.DUMMYFUNCTION("""COMPUTED_VALUE"""),665378.24526)</f>
        <v>665378.2453</v>
      </c>
      <c r="I5822" s="24">
        <f>IFERROR(__xludf.DUMMYFUNCTION("""COMPUTED_VALUE"""),0.33075649052)</f>
        <v>0.3307564905</v>
      </c>
    </row>
    <row r="5823">
      <c r="A5823" s="5" t="str">
        <f>IFERROR(__xludf.DUMMYFUNCTION("""COMPUTED_VALUE"""),"75965")</f>
        <v>75965</v>
      </c>
      <c r="B5823" s="64">
        <f>IFERROR(__xludf.DUMMYFUNCTION("""COMPUTED_VALUE"""),44653.0)</f>
        <v>44653</v>
      </c>
      <c r="C5823" s="5"/>
      <c r="D5823" s="5"/>
      <c r="E5823" s="5"/>
      <c r="F5823" s="22">
        <f>IFERROR(__xludf.DUMMYFUNCTION("""COMPUTED_VALUE"""),-146185.34165249998)</f>
        <v>-146185.3417</v>
      </c>
      <c r="G5823" s="22">
        <f>IFERROR(__xludf.DUMMYFUNCTION("""COMPUTED_VALUE"""),146185.34165249998)</f>
        <v>146185.3417</v>
      </c>
      <c r="H5823" s="22">
        <f>IFERROR(__xludf.DUMMYFUNCTION("""COMPUTED_VALUE"""),665378.24526)</f>
        <v>665378.2453</v>
      </c>
      <c r="I5823" s="24">
        <f>IFERROR(__xludf.DUMMYFUNCTION("""COMPUTED_VALUE"""),0.33075649052)</f>
        <v>0.3307564905</v>
      </c>
    </row>
    <row r="5824">
      <c r="A5824" s="5" t="str">
        <f>IFERROR(__xludf.DUMMYFUNCTION("""COMPUTED_VALUE"""),"75965")</f>
        <v>75965</v>
      </c>
      <c r="B5824" s="64">
        <f>IFERROR(__xludf.DUMMYFUNCTION("""COMPUTED_VALUE"""),44654.0)</f>
        <v>44654</v>
      </c>
      <c r="C5824" s="5"/>
      <c r="D5824" s="5"/>
      <c r="E5824" s="5"/>
      <c r="F5824" s="22">
        <f>IFERROR(__xludf.DUMMYFUNCTION("""COMPUTED_VALUE"""),-146185.34165249998)</f>
        <v>-146185.3417</v>
      </c>
      <c r="G5824" s="22">
        <f>IFERROR(__xludf.DUMMYFUNCTION("""COMPUTED_VALUE"""),146185.34165249998)</f>
        <v>146185.3417</v>
      </c>
      <c r="H5824" s="22">
        <f>IFERROR(__xludf.DUMMYFUNCTION("""COMPUTED_VALUE"""),665378.24526)</f>
        <v>665378.2453</v>
      </c>
      <c r="I5824" s="24">
        <f>IFERROR(__xludf.DUMMYFUNCTION("""COMPUTED_VALUE"""),0.33075649052)</f>
        <v>0.3307564905</v>
      </c>
    </row>
    <row r="5825">
      <c r="A5825" s="5" t="str">
        <f>IFERROR(__xludf.DUMMYFUNCTION("""COMPUTED_VALUE"""),"75965")</f>
        <v>75965</v>
      </c>
      <c r="B5825" s="64">
        <f>IFERROR(__xludf.DUMMYFUNCTION("""COMPUTED_VALUE"""),44655.0)</f>
        <v>44655</v>
      </c>
      <c r="C5825" s="5"/>
      <c r="D5825" s="5"/>
      <c r="E5825" s="5"/>
      <c r="F5825" s="22">
        <f>IFERROR(__xludf.DUMMYFUNCTION("""COMPUTED_VALUE"""),-146185.34165249998)</f>
        <v>-146185.3417</v>
      </c>
      <c r="G5825" s="22">
        <f>IFERROR(__xludf.DUMMYFUNCTION("""COMPUTED_VALUE"""),146185.34165249998)</f>
        <v>146185.3417</v>
      </c>
      <c r="H5825" s="22">
        <f>IFERROR(__xludf.DUMMYFUNCTION("""COMPUTED_VALUE"""),645539.674715)</f>
        <v>645539.6747</v>
      </c>
      <c r="I5825" s="24">
        <f>IFERROR(__xludf.DUMMYFUNCTION("""COMPUTED_VALUE"""),0.2910793494299999)</f>
        <v>0.2910793494</v>
      </c>
    </row>
    <row r="5826">
      <c r="A5826" s="5" t="str">
        <f>IFERROR(__xludf.DUMMYFUNCTION("""COMPUTED_VALUE"""),"75965")</f>
        <v>75965</v>
      </c>
      <c r="B5826" s="64">
        <f>IFERROR(__xludf.DUMMYFUNCTION("""COMPUTED_VALUE"""),44656.0)</f>
        <v>44656</v>
      </c>
      <c r="C5826" s="5"/>
      <c r="D5826" s="5"/>
      <c r="E5826" s="5"/>
      <c r="F5826" s="22">
        <f>IFERROR(__xludf.DUMMYFUNCTION("""COMPUTED_VALUE"""),-146185.34165249998)</f>
        <v>-146185.3417</v>
      </c>
      <c r="G5826" s="22">
        <f>IFERROR(__xludf.DUMMYFUNCTION("""COMPUTED_VALUE"""),146185.34165249998)</f>
        <v>146185.3417</v>
      </c>
      <c r="H5826" s="22">
        <f>IFERROR(__xludf.DUMMYFUNCTION("""COMPUTED_VALUE"""),674990.4524574999)</f>
        <v>674990.4525</v>
      </c>
      <c r="I5826" s="24">
        <f>IFERROR(__xludf.DUMMYFUNCTION("""COMPUTED_VALUE"""),0.3499809049149998)</f>
        <v>0.3499809049</v>
      </c>
    </row>
    <row r="5827">
      <c r="A5827" s="5" t="str">
        <f>IFERROR(__xludf.DUMMYFUNCTION("""COMPUTED_VALUE"""),"75965")</f>
        <v>75965</v>
      </c>
      <c r="B5827" s="64">
        <f>IFERROR(__xludf.DUMMYFUNCTION("""COMPUTED_VALUE"""),44657.0)</f>
        <v>44657</v>
      </c>
      <c r="C5827" s="5"/>
      <c r="D5827" s="5"/>
      <c r="E5827" s="5"/>
      <c r="F5827" s="22">
        <f>IFERROR(__xludf.DUMMYFUNCTION("""COMPUTED_VALUE"""),263636.2375475)</f>
        <v>263636.2375</v>
      </c>
      <c r="G5827" s="22">
        <f>IFERROR(__xludf.DUMMYFUNCTION("""COMPUTED_VALUE"""),0.0)</f>
        <v>0</v>
      </c>
      <c r="H5827" s="22">
        <f>IFERROR(__xludf.DUMMYFUNCTION("""COMPUTED_VALUE"""),695722.3853825)</f>
        <v>695722.3854</v>
      </c>
      <c r="I5827" s="24">
        <f>IFERROR(__xludf.DUMMYFUNCTION("""COMPUTED_VALUE"""),0.39144477076499995)</f>
        <v>0.3914447708</v>
      </c>
    </row>
    <row r="5828">
      <c r="A5828" s="5" t="str">
        <f>IFERROR(__xludf.DUMMYFUNCTION("""COMPUTED_VALUE"""),"75965")</f>
        <v>75965</v>
      </c>
      <c r="B5828" s="64">
        <f>IFERROR(__xludf.DUMMYFUNCTION("""COMPUTED_VALUE"""),44658.0)</f>
        <v>44658</v>
      </c>
      <c r="C5828" s="5"/>
      <c r="D5828" s="5"/>
      <c r="E5828" s="5"/>
      <c r="F5828" s="22">
        <f>IFERROR(__xludf.DUMMYFUNCTION("""COMPUTED_VALUE"""),263636.2375475)</f>
        <v>263636.2375</v>
      </c>
      <c r="G5828" s="22">
        <f>IFERROR(__xludf.DUMMYFUNCTION("""COMPUTED_VALUE"""),0.0)</f>
        <v>0</v>
      </c>
      <c r="H5828" s="22">
        <f>IFERROR(__xludf.DUMMYFUNCTION("""COMPUTED_VALUE"""),675923.4738084998)</f>
        <v>675923.4738</v>
      </c>
      <c r="I5828" s="24">
        <f>IFERROR(__xludf.DUMMYFUNCTION("""COMPUTED_VALUE"""),0.3518469476169994)</f>
        <v>0.3518469476</v>
      </c>
    </row>
    <row r="5829">
      <c r="A5829" s="5" t="str">
        <f>IFERROR(__xludf.DUMMYFUNCTION("""COMPUTED_VALUE"""),"75965")</f>
        <v>75965</v>
      </c>
      <c r="B5829" s="64">
        <f>IFERROR(__xludf.DUMMYFUNCTION("""COMPUTED_VALUE"""),44659.0)</f>
        <v>44659</v>
      </c>
      <c r="C5829" s="5"/>
      <c r="D5829" s="5"/>
      <c r="E5829" s="5"/>
      <c r="F5829" s="22">
        <f>IFERROR(__xludf.DUMMYFUNCTION("""COMPUTED_VALUE"""),263636.2375475)</f>
        <v>263636.2375</v>
      </c>
      <c r="G5829" s="22">
        <f>IFERROR(__xludf.DUMMYFUNCTION("""COMPUTED_VALUE"""),0.0)</f>
        <v>0</v>
      </c>
      <c r="H5829" s="22">
        <f>IFERROR(__xludf.DUMMYFUNCTION("""COMPUTED_VALUE"""),665720.2201225001)</f>
        <v>665720.2201</v>
      </c>
      <c r="I5829" s="24">
        <f>IFERROR(__xludf.DUMMYFUNCTION("""COMPUTED_VALUE"""),0.3314404402450002)</f>
        <v>0.3314404402</v>
      </c>
    </row>
    <row r="5830">
      <c r="A5830" s="5" t="str">
        <f>IFERROR(__xludf.DUMMYFUNCTION("""COMPUTED_VALUE"""),"75965")</f>
        <v>75965</v>
      </c>
      <c r="B5830" s="64">
        <f>IFERROR(__xludf.DUMMYFUNCTION("""COMPUTED_VALUE"""),44660.0)</f>
        <v>44660</v>
      </c>
      <c r="C5830" s="5"/>
      <c r="D5830" s="5"/>
      <c r="E5830" s="5"/>
      <c r="F5830" s="22">
        <f>IFERROR(__xludf.DUMMYFUNCTION("""COMPUTED_VALUE"""),263636.2375475)</f>
        <v>263636.2375</v>
      </c>
      <c r="G5830" s="22">
        <f>IFERROR(__xludf.DUMMYFUNCTION("""COMPUTED_VALUE"""),0.0)</f>
        <v>0</v>
      </c>
      <c r="H5830" s="22">
        <f>IFERROR(__xludf.DUMMYFUNCTION("""COMPUTED_VALUE"""),665720.2201225001)</f>
        <v>665720.2201</v>
      </c>
      <c r="I5830" s="24">
        <f>IFERROR(__xludf.DUMMYFUNCTION("""COMPUTED_VALUE"""),0.3314404402450002)</f>
        <v>0.3314404402</v>
      </c>
    </row>
    <row r="5831">
      <c r="A5831" s="5" t="str">
        <f>IFERROR(__xludf.DUMMYFUNCTION("""COMPUTED_VALUE"""),"75965")</f>
        <v>75965</v>
      </c>
      <c r="B5831" s="64">
        <f>IFERROR(__xludf.DUMMYFUNCTION("""COMPUTED_VALUE"""),44661.0)</f>
        <v>44661</v>
      </c>
      <c r="C5831" s="5"/>
      <c r="D5831" s="5"/>
      <c r="E5831" s="5"/>
      <c r="F5831" s="22">
        <f>IFERROR(__xludf.DUMMYFUNCTION("""COMPUTED_VALUE"""),263636.2375475)</f>
        <v>263636.2375</v>
      </c>
      <c r="G5831" s="22">
        <f>IFERROR(__xludf.DUMMYFUNCTION("""COMPUTED_VALUE"""),0.0)</f>
        <v>0</v>
      </c>
      <c r="H5831" s="22">
        <f>IFERROR(__xludf.DUMMYFUNCTION("""COMPUTED_VALUE"""),665720.2201225001)</f>
        <v>665720.2201</v>
      </c>
      <c r="I5831" s="24">
        <f>IFERROR(__xludf.DUMMYFUNCTION("""COMPUTED_VALUE"""),0.3314404402450002)</f>
        <v>0.3314404402</v>
      </c>
    </row>
    <row r="5832">
      <c r="A5832" s="5" t="str">
        <f>IFERROR(__xludf.DUMMYFUNCTION("""COMPUTED_VALUE"""),"75965")</f>
        <v>75965</v>
      </c>
      <c r="B5832" s="64">
        <f>IFERROR(__xludf.DUMMYFUNCTION("""COMPUTED_VALUE"""),44662.0)</f>
        <v>44662</v>
      </c>
      <c r="C5832" s="5"/>
      <c r="D5832" s="5"/>
      <c r="E5832" s="5"/>
      <c r="F5832" s="22">
        <f>IFERROR(__xludf.DUMMYFUNCTION("""COMPUTED_VALUE"""),263636.2375475)</f>
        <v>263636.2375</v>
      </c>
      <c r="G5832" s="22">
        <f>IFERROR(__xludf.DUMMYFUNCTION("""COMPUTED_VALUE"""),0.0)</f>
        <v>0</v>
      </c>
      <c r="H5832" s="22">
        <f>IFERROR(__xludf.DUMMYFUNCTION("""COMPUTED_VALUE"""),643628.3367925)</f>
        <v>643628.3368</v>
      </c>
      <c r="I5832" s="24">
        <f>IFERROR(__xludf.DUMMYFUNCTION("""COMPUTED_VALUE"""),0.28725667358499996)</f>
        <v>0.2872566736</v>
      </c>
    </row>
    <row r="5833">
      <c r="A5833" s="5" t="str">
        <f>IFERROR(__xludf.DUMMYFUNCTION("""COMPUTED_VALUE"""),"75965")</f>
        <v>75965</v>
      </c>
      <c r="B5833" s="64">
        <f>IFERROR(__xludf.DUMMYFUNCTION("""COMPUTED_VALUE"""),44663.0)</f>
        <v>44663</v>
      </c>
      <c r="C5833" s="5"/>
      <c r="D5833" s="5"/>
      <c r="E5833" s="5"/>
      <c r="F5833" s="22">
        <f>IFERROR(__xludf.DUMMYFUNCTION("""COMPUTED_VALUE"""),263636.2375475)</f>
        <v>263636.2375</v>
      </c>
      <c r="G5833" s="22">
        <f>IFERROR(__xludf.DUMMYFUNCTION("""COMPUTED_VALUE"""),0.0)</f>
        <v>0</v>
      </c>
      <c r="H5833" s="22">
        <f>IFERROR(__xludf.DUMMYFUNCTION("""COMPUTED_VALUE"""),654222.5634524999)</f>
        <v>654222.5635</v>
      </c>
      <c r="I5833" s="24">
        <f>IFERROR(__xludf.DUMMYFUNCTION("""COMPUTED_VALUE"""),0.3084451269049999)</f>
        <v>0.3084451269</v>
      </c>
    </row>
    <row r="5834">
      <c r="A5834" s="5" t="str">
        <f>IFERROR(__xludf.DUMMYFUNCTION("""COMPUTED_VALUE"""),"75973")</f>
        <v>75973</v>
      </c>
      <c r="B5834" s="64">
        <f>IFERROR(__xludf.DUMMYFUNCTION("""COMPUTED_VALUE"""),44597.0)</f>
        <v>44597</v>
      </c>
      <c r="C5834" s="5"/>
      <c r="D5834" s="5"/>
      <c r="E5834" s="5"/>
      <c r="F5834" s="22">
        <f>IFERROR(__xludf.DUMMYFUNCTION("""COMPUTED_VALUE"""),500000.0)</f>
        <v>500000</v>
      </c>
      <c r="G5834" s="22">
        <f>IFERROR(__xludf.DUMMYFUNCTION("""COMPUTED_VALUE"""),0.0)</f>
        <v>0</v>
      </c>
      <c r="H5834" s="22">
        <f>IFERROR(__xludf.DUMMYFUNCTION("""COMPUTED_VALUE"""),500000.0)</f>
        <v>500000</v>
      </c>
      <c r="I5834" s="24">
        <f>IFERROR(__xludf.DUMMYFUNCTION("""COMPUTED_VALUE"""),0.0)</f>
        <v>0</v>
      </c>
    </row>
    <row r="5835">
      <c r="A5835" s="5" t="str">
        <f>IFERROR(__xludf.DUMMYFUNCTION("""COMPUTED_VALUE"""),"75973")</f>
        <v>75973</v>
      </c>
      <c r="B5835" s="64">
        <f>IFERROR(__xludf.DUMMYFUNCTION("""COMPUTED_VALUE"""),44598.0)</f>
        <v>44598</v>
      </c>
      <c r="C5835" s="5"/>
      <c r="D5835" s="5"/>
      <c r="E5835" s="5"/>
      <c r="F5835" s="22">
        <f>IFERROR(__xludf.DUMMYFUNCTION("""COMPUTED_VALUE"""),500000.0)</f>
        <v>500000</v>
      </c>
      <c r="G5835" s="22">
        <f>IFERROR(__xludf.DUMMYFUNCTION("""COMPUTED_VALUE"""),0.0)</f>
        <v>0</v>
      </c>
      <c r="H5835" s="22">
        <f>IFERROR(__xludf.DUMMYFUNCTION("""COMPUTED_VALUE"""),500000.0)</f>
        <v>500000</v>
      </c>
      <c r="I5835" s="24">
        <f>IFERROR(__xludf.DUMMYFUNCTION("""COMPUTED_VALUE"""),0.0)</f>
        <v>0</v>
      </c>
    </row>
    <row r="5836">
      <c r="A5836" s="5" t="str">
        <f>IFERROR(__xludf.DUMMYFUNCTION("""COMPUTED_VALUE"""),"75973")</f>
        <v>75973</v>
      </c>
      <c r="B5836" s="64">
        <f>IFERROR(__xludf.DUMMYFUNCTION("""COMPUTED_VALUE"""),44599.0)</f>
        <v>44599</v>
      </c>
      <c r="C5836" s="5"/>
      <c r="D5836" s="5"/>
      <c r="E5836" s="5"/>
      <c r="F5836" s="22">
        <f>IFERROR(__xludf.DUMMYFUNCTION("""COMPUTED_VALUE"""),500000.0)</f>
        <v>500000</v>
      </c>
      <c r="G5836" s="22">
        <f>IFERROR(__xludf.DUMMYFUNCTION("""COMPUTED_VALUE"""),0.0)</f>
        <v>0</v>
      </c>
      <c r="H5836" s="22">
        <f>IFERROR(__xludf.DUMMYFUNCTION("""COMPUTED_VALUE"""),500000.0)</f>
        <v>500000</v>
      </c>
      <c r="I5836" s="24">
        <f>IFERROR(__xludf.DUMMYFUNCTION("""COMPUTED_VALUE"""),0.0)</f>
        <v>0</v>
      </c>
    </row>
    <row r="5837">
      <c r="A5837" s="5" t="str">
        <f>IFERROR(__xludf.DUMMYFUNCTION("""COMPUTED_VALUE"""),"75973")</f>
        <v>75973</v>
      </c>
      <c r="B5837" s="64">
        <f>IFERROR(__xludf.DUMMYFUNCTION("""COMPUTED_VALUE"""),44600.0)</f>
        <v>44600</v>
      </c>
      <c r="C5837" s="5"/>
      <c r="D5837" s="5"/>
      <c r="E5837" s="5"/>
      <c r="F5837" s="22">
        <f>IFERROR(__xludf.DUMMYFUNCTION("""COMPUTED_VALUE"""),500000.0)</f>
        <v>500000</v>
      </c>
      <c r="G5837" s="22">
        <f>IFERROR(__xludf.DUMMYFUNCTION("""COMPUTED_VALUE"""),0.0)</f>
        <v>0</v>
      </c>
      <c r="H5837" s="22">
        <f>IFERROR(__xludf.DUMMYFUNCTION("""COMPUTED_VALUE"""),500000.0)</f>
        <v>500000</v>
      </c>
      <c r="I5837" s="24">
        <f>IFERROR(__xludf.DUMMYFUNCTION("""COMPUTED_VALUE"""),0.0)</f>
        <v>0</v>
      </c>
    </row>
    <row r="5838">
      <c r="A5838" s="5" t="str">
        <f>IFERROR(__xludf.DUMMYFUNCTION("""COMPUTED_VALUE"""),"75973")</f>
        <v>75973</v>
      </c>
      <c r="B5838" s="64">
        <f>IFERROR(__xludf.DUMMYFUNCTION("""COMPUTED_VALUE"""),44601.0)</f>
        <v>44601</v>
      </c>
      <c r="C5838" s="5"/>
      <c r="D5838" s="5"/>
      <c r="E5838" s="5"/>
      <c r="F5838" s="22">
        <f>IFERROR(__xludf.DUMMYFUNCTION("""COMPUTED_VALUE"""),500000.0)</f>
        <v>500000</v>
      </c>
      <c r="G5838" s="22">
        <f>IFERROR(__xludf.DUMMYFUNCTION("""COMPUTED_VALUE"""),0.0)</f>
        <v>0</v>
      </c>
      <c r="H5838" s="22">
        <f>IFERROR(__xludf.DUMMYFUNCTION("""COMPUTED_VALUE"""),500000.0)</f>
        <v>500000</v>
      </c>
      <c r="I5838" s="24">
        <f>IFERROR(__xludf.DUMMYFUNCTION("""COMPUTED_VALUE"""),0.0)</f>
        <v>0</v>
      </c>
    </row>
    <row r="5839">
      <c r="A5839" s="5" t="str">
        <f>IFERROR(__xludf.DUMMYFUNCTION("""COMPUTED_VALUE"""),"75973")</f>
        <v>75973</v>
      </c>
      <c r="B5839" s="64">
        <f>IFERROR(__xludf.DUMMYFUNCTION("""COMPUTED_VALUE"""),44602.0)</f>
        <v>44602</v>
      </c>
      <c r="C5839" s="5"/>
      <c r="D5839" s="5"/>
      <c r="E5839" s="5"/>
      <c r="F5839" s="22">
        <f>IFERROR(__xludf.DUMMYFUNCTION("""COMPUTED_VALUE"""),500000.0)</f>
        <v>500000</v>
      </c>
      <c r="G5839" s="22">
        <f>IFERROR(__xludf.DUMMYFUNCTION("""COMPUTED_VALUE"""),0.0)</f>
        <v>0</v>
      </c>
      <c r="H5839" s="22">
        <f>IFERROR(__xludf.DUMMYFUNCTION("""COMPUTED_VALUE"""),500000.0)</f>
        <v>500000</v>
      </c>
      <c r="I5839" s="24">
        <f>IFERROR(__xludf.DUMMYFUNCTION("""COMPUTED_VALUE"""),0.0)</f>
        <v>0</v>
      </c>
    </row>
    <row r="5840">
      <c r="A5840" s="5" t="str">
        <f>IFERROR(__xludf.DUMMYFUNCTION("""COMPUTED_VALUE"""),"75973")</f>
        <v>75973</v>
      </c>
      <c r="B5840" s="64">
        <f>IFERROR(__xludf.DUMMYFUNCTION("""COMPUTED_VALUE"""),44603.0)</f>
        <v>44603</v>
      </c>
      <c r="C5840" s="5"/>
      <c r="D5840" s="5"/>
      <c r="E5840" s="5"/>
      <c r="F5840" s="22">
        <f>IFERROR(__xludf.DUMMYFUNCTION("""COMPUTED_VALUE"""),500000.0)</f>
        <v>500000</v>
      </c>
      <c r="G5840" s="22">
        <f>IFERROR(__xludf.DUMMYFUNCTION("""COMPUTED_VALUE"""),0.0)</f>
        <v>0</v>
      </c>
      <c r="H5840" s="22">
        <f>IFERROR(__xludf.DUMMYFUNCTION("""COMPUTED_VALUE"""),500000.0)</f>
        <v>500000</v>
      </c>
      <c r="I5840" s="24">
        <f>IFERROR(__xludf.DUMMYFUNCTION("""COMPUTED_VALUE"""),0.0)</f>
        <v>0</v>
      </c>
    </row>
    <row r="5841">
      <c r="A5841" s="5" t="str">
        <f>IFERROR(__xludf.DUMMYFUNCTION("""COMPUTED_VALUE"""),"75973")</f>
        <v>75973</v>
      </c>
      <c r="B5841" s="64">
        <f>IFERROR(__xludf.DUMMYFUNCTION("""COMPUTED_VALUE"""),44604.0)</f>
        <v>44604</v>
      </c>
      <c r="C5841" s="5"/>
      <c r="D5841" s="5"/>
      <c r="E5841" s="5"/>
      <c r="F5841" s="22">
        <f>IFERROR(__xludf.DUMMYFUNCTION("""COMPUTED_VALUE"""),500000.0)</f>
        <v>500000</v>
      </c>
      <c r="G5841" s="22">
        <f>IFERROR(__xludf.DUMMYFUNCTION("""COMPUTED_VALUE"""),0.0)</f>
        <v>0</v>
      </c>
      <c r="H5841" s="22">
        <f>IFERROR(__xludf.DUMMYFUNCTION("""COMPUTED_VALUE"""),500000.0)</f>
        <v>500000</v>
      </c>
      <c r="I5841" s="24">
        <f>IFERROR(__xludf.DUMMYFUNCTION("""COMPUTED_VALUE"""),0.0)</f>
        <v>0</v>
      </c>
    </row>
    <row r="5842">
      <c r="A5842" s="5" t="str">
        <f>IFERROR(__xludf.DUMMYFUNCTION("""COMPUTED_VALUE"""),"75973")</f>
        <v>75973</v>
      </c>
      <c r="B5842" s="64">
        <f>IFERROR(__xludf.DUMMYFUNCTION("""COMPUTED_VALUE"""),44605.0)</f>
        <v>44605</v>
      </c>
      <c r="C5842" s="5"/>
      <c r="D5842" s="5"/>
      <c r="E5842" s="5"/>
      <c r="F5842" s="22">
        <f>IFERROR(__xludf.DUMMYFUNCTION("""COMPUTED_VALUE"""),500000.0)</f>
        <v>500000</v>
      </c>
      <c r="G5842" s="22">
        <f>IFERROR(__xludf.DUMMYFUNCTION("""COMPUTED_VALUE"""),0.0)</f>
        <v>0</v>
      </c>
      <c r="H5842" s="22">
        <f>IFERROR(__xludf.DUMMYFUNCTION("""COMPUTED_VALUE"""),500000.0)</f>
        <v>500000</v>
      </c>
      <c r="I5842" s="24">
        <f>IFERROR(__xludf.DUMMYFUNCTION("""COMPUTED_VALUE"""),0.0)</f>
        <v>0</v>
      </c>
    </row>
    <row r="5843">
      <c r="A5843" s="5" t="str">
        <f>IFERROR(__xludf.DUMMYFUNCTION("""COMPUTED_VALUE"""),"75973")</f>
        <v>75973</v>
      </c>
      <c r="B5843" s="64">
        <f>IFERROR(__xludf.DUMMYFUNCTION("""COMPUTED_VALUE"""),44606.0)</f>
        <v>44606</v>
      </c>
      <c r="C5843" s="5"/>
      <c r="D5843" s="5"/>
      <c r="E5843" s="5"/>
      <c r="F5843" s="22">
        <f>IFERROR(__xludf.DUMMYFUNCTION("""COMPUTED_VALUE"""),500000.0)</f>
        <v>500000</v>
      </c>
      <c r="G5843" s="22">
        <f>IFERROR(__xludf.DUMMYFUNCTION("""COMPUTED_VALUE"""),0.0)</f>
        <v>0</v>
      </c>
      <c r="H5843" s="22">
        <f>IFERROR(__xludf.DUMMYFUNCTION("""COMPUTED_VALUE"""),500000.0)</f>
        <v>500000</v>
      </c>
      <c r="I5843" s="24">
        <f>IFERROR(__xludf.DUMMYFUNCTION("""COMPUTED_VALUE"""),0.0)</f>
        <v>0</v>
      </c>
    </row>
    <row r="5844">
      <c r="A5844" s="5" t="str">
        <f>IFERROR(__xludf.DUMMYFUNCTION("""COMPUTED_VALUE"""),"75973")</f>
        <v>75973</v>
      </c>
      <c r="B5844" s="64">
        <f>IFERROR(__xludf.DUMMYFUNCTION("""COMPUTED_VALUE"""),44607.0)</f>
        <v>44607</v>
      </c>
      <c r="C5844" s="5"/>
      <c r="D5844" s="5"/>
      <c r="E5844" s="5"/>
      <c r="F5844" s="22">
        <f>IFERROR(__xludf.DUMMYFUNCTION("""COMPUTED_VALUE"""),500000.0)</f>
        <v>500000</v>
      </c>
      <c r="G5844" s="22">
        <f>IFERROR(__xludf.DUMMYFUNCTION("""COMPUTED_VALUE"""),0.0)</f>
        <v>0</v>
      </c>
      <c r="H5844" s="22">
        <f>IFERROR(__xludf.DUMMYFUNCTION("""COMPUTED_VALUE"""),500000.0)</f>
        <v>500000</v>
      </c>
      <c r="I5844" s="24">
        <f>IFERROR(__xludf.DUMMYFUNCTION("""COMPUTED_VALUE"""),0.0)</f>
        <v>0</v>
      </c>
    </row>
    <row r="5845">
      <c r="A5845" s="5" t="str">
        <f>IFERROR(__xludf.DUMMYFUNCTION("""COMPUTED_VALUE"""),"75973")</f>
        <v>75973</v>
      </c>
      <c r="B5845" s="64">
        <f>IFERROR(__xludf.DUMMYFUNCTION("""COMPUTED_VALUE"""),44608.0)</f>
        <v>44608</v>
      </c>
      <c r="C5845" s="5"/>
      <c r="D5845" s="5"/>
      <c r="E5845" s="5"/>
      <c r="F5845" s="22">
        <f>IFERROR(__xludf.DUMMYFUNCTION("""COMPUTED_VALUE"""),500000.0)</f>
        <v>500000</v>
      </c>
      <c r="G5845" s="22">
        <f>IFERROR(__xludf.DUMMYFUNCTION("""COMPUTED_VALUE"""),0.0)</f>
        <v>0</v>
      </c>
      <c r="H5845" s="22">
        <f>IFERROR(__xludf.DUMMYFUNCTION("""COMPUTED_VALUE"""),500000.0)</f>
        <v>500000</v>
      </c>
      <c r="I5845" s="24">
        <f>IFERROR(__xludf.DUMMYFUNCTION("""COMPUTED_VALUE"""),0.0)</f>
        <v>0</v>
      </c>
    </row>
    <row r="5846">
      <c r="A5846" s="5" t="str">
        <f>IFERROR(__xludf.DUMMYFUNCTION("""COMPUTED_VALUE"""),"75973")</f>
        <v>75973</v>
      </c>
      <c r="B5846" s="64">
        <f>IFERROR(__xludf.DUMMYFUNCTION("""COMPUTED_VALUE"""),44609.0)</f>
        <v>44609</v>
      </c>
      <c r="C5846" s="5"/>
      <c r="D5846" s="5"/>
      <c r="E5846" s="5"/>
      <c r="F5846" s="22">
        <f>IFERROR(__xludf.DUMMYFUNCTION("""COMPUTED_VALUE"""),500000.0)</f>
        <v>500000</v>
      </c>
      <c r="G5846" s="22">
        <f>IFERROR(__xludf.DUMMYFUNCTION("""COMPUTED_VALUE"""),0.0)</f>
        <v>0</v>
      </c>
      <c r="H5846" s="22">
        <f>IFERROR(__xludf.DUMMYFUNCTION("""COMPUTED_VALUE"""),500000.0)</f>
        <v>500000</v>
      </c>
      <c r="I5846" s="24">
        <f>IFERROR(__xludf.DUMMYFUNCTION("""COMPUTED_VALUE"""),0.0)</f>
        <v>0</v>
      </c>
    </row>
    <row r="5847">
      <c r="A5847" s="5" t="str">
        <f>IFERROR(__xludf.DUMMYFUNCTION("""COMPUTED_VALUE"""),"75973")</f>
        <v>75973</v>
      </c>
      <c r="B5847" s="64">
        <f>IFERROR(__xludf.DUMMYFUNCTION("""COMPUTED_VALUE"""),44610.0)</f>
        <v>44610</v>
      </c>
      <c r="C5847" s="5"/>
      <c r="D5847" s="5"/>
      <c r="E5847" s="5"/>
      <c r="F5847" s="22">
        <f>IFERROR(__xludf.DUMMYFUNCTION("""COMPUTED_VALUE"""),500000.0)</f>
        <v>500000</v>
      </c>
      <c r="G5847" s="22">
        <f>IFERROR(__xludf.DUMMYFUNCTION("""COMPUTED_VALUE"""),0.0)</f>
        <v>0</v>
      </c>
      <c r="H5847" s="22">
        <f>IFERROR(__xludf.DUMMYFUNCTION("""COMPUTED_VALUE"""),500000.0)</f>
        <v>500000</v>
      </c>
      <c r="I5847" s="24">
        <f>IFERROR(__xludf.DUMMYFUNCTION("""COMPUTED_VALUE"""),0.0)</f>
        <v>0</v>
      </c>
    </row>
    <row r="5848">
      <c r="A5848" s="5" t="str">
        <f>IFERROR(__xludf.DUMMYFUNCTION("""COMPUTED_VALUE"""),"75973")</f>
        <v>75973</v>
      </c>
      <c r="B5848" s="64">
        <f>IFERROR(__xludf.DUMMYFUNCTION("""COMPUTED_VALUE"""),44611.0)</f>
        <v>44611</v>
      </c>
      <c r="C5848" s="5"/>
      <c r="D5848" s="5"/>
      <c r="E5848" s="5"/>
      <c r="F5848" s="22">
        <f>IFERROR(__xludf.DUMMYFUNCTION("""COMPUTED_VALUE"""),500000.0)</f>
        <v>500000</v>
      </c>
      <c r="G5848" s="22">
        <f>IFERROR(__xludf.DUMMYFUNCTION("""COMPUTED_VALUE"""),0.0)</f>
        <v>0</v>
      </c>
      <c r="H5848" s="22">
        <f>IFERROR(__xludf.DUMMYFUNCTION("""COMPUTED_VALUE"""),500000.0)</f>
        <v>500000</v>
      </c>
      <c r="I5848" s="24">
        <f>IFERROR(__xludf.DUMMYFUNCTION("""COMPUTED_VALUE"""),0.0)</f>
        <v>0</v>
      </c>
    </row>
    <row r="5849">
      <c r="A5849" s="5" t="str">
        <f>IFERROR(__xludf.DUMMYFUNCTION("""COMPUTED_VALUE"""),"75973")</f>
        <v>75973</v>
      </c>
      <c r="B5849" s="64">
        <f>IFERROR(__xludf.DUMMYFUNCTION("""COMPUTED_VALUE"""),44612.0)</f>
        <v>44612</v>
      </c>
      <c r="C5849" s="5"/>
      <c r="D5849" s="5"/>
      <c r="E5849" s="5"/>
      <c r="F5849" s="22">
        <f>IFERROR(__xludf.DUMMYFUNCTION("""COMPUTED_VALUE"""),500000.0)</f>
        <v>500000</v>
      </c>
      <c r="G5849" s="22">
        <f>IFERROR(__xludf.DUMMYFUNCTION("""COMPUTED_VALUE"""),0.0)</f>
        <v>0</v>
      </c>
      <c r="H5849" s="22">
        <f>IFERROR(__xludf.DUMMYFUNCTION("""COMPUTED_VALUE"""),500000.0)</f>
        <v>500000</v>
      </c>
      <c r="I5849" s="24">
        <f>IFERROR(__xludf.DUMMYFUNCTION("""COMPUTED_VALUE"""),0.0)</f>
        <v>0</v>
      </c>
    </row>
    <row r="5850">
      <c r="A5850" s="5" t="str">
        <f>IFERROR(__xludf.DUMMYFUNCTION("""COMPUTED_VALUE"""),"75973")</f>
        <v>75973</v>
      </c>
      <c r="B5850" s="64">
        <f>IFERROR(__xludf.DUMMYFUNCTION("""COMPUTED_VALUE"""),44613.0)</f>
        <v>44613</v>
      </c>
      <c r="C5850" s="5"/>
      <c r="D5850" s="5"/>
      <c r="E5850" s="5"/>
      <c r="F5850" s="22">
        <f>IFERROR(__xludf.DUMMYFUNCTION("""COMPUTED_VALUE"""),500000.0)</f>
        <v>500000</v>
      </c>
      <c r="G5850" s="22">
        <f>IFERROR(__xludf.DUMMYFUNCTION("""COMPUTED_VALUE"""),0.0)</f>
        <v>0</v>
      </c>
      <c r="H5850" s="22">
        <f>IFERROR(__xludf.DUMMYFUNCTION("""COMPUTED_VALUE"""),500000.0)</f>
        <v>500000</v>
      </c>
      <c r="I5850" s="24">
        <f>IFERROR(__xludf.DUMMYFUNCTION("""COMPUTED_VALUE"""),0.0)</f>
        <v>0</v>
      </c>
    </row>
    <row r="5851">
      <c r="A5851" s="5" t="str">
        <f>IFERROR(__xludf.DUMMYFUNCTION("""COMPUTED_VALUE"""),"75973")</f>
        <v>75973</v>
      </c>
      <c r="B5851" s="64">
        <f>IFERROR(__xludf.DUMMYFUNCTION("""COMPUTED_VALUE"""),44614.0)</f>
        <v>44614</v>
      </c>
      <c r="C5851" s="5"/>
      <c r="D5851" s="5"/>
      <c r="E5851" s="5"/>
      <c r="F5851" s="22">
        <f>IFERROR(__xludf.DUMMYFUNCTION("""COMPUTED_VALUE"""),500000.0)</f>
        <v>500000</v>
      </c>
      <c r="G5851" s="22">
        <f>IFERROR(__xludf.DUMMYFUNCTION("""COMPUTED_VALUE"""),0.0)</f>
        <v>0</v>
      </c>
      <c r="H5851" s="22">
        <f>IFERROR(__xludf.DUMMYFUNCTION("""COMPUTED_VALUE"""),500000.0)</f>
        <v>500000</v>
      </c>
      <c r="I5851" s="24">
        <f>IFERROR(__xludf.DUMMYFUNCTION("""COMPUTED_VALUE"""),0.0)</f>
        <v>0</v>
      </c>
    </row>
    <row r="5852">
      <c r="A5852" s="5" t="str">
        <f>IFERROR(__xludf.DUMMYFUNCTION("""COMPUTED_VALUE"""),"75973")</f>
        <v>75973</v>
      </c>
      <c r="B5852" s="64">
        <f>IFERROR(__xludf.DUMMYFUNCTION("""COMPUTED_VALUE"""),44615.0)</f>
        <v>44615</v>
      </c>
      <c r="C5852" s="5"/>
      <c r="D5852" s="5"/>
      <c r="E5852" s="5"/>
      <c r="F5852" s="22">
        <f>IFERROR(__xludf.DUMMYFUNCTION("""COMPUTED_VALUE"""),500000.0)</f>
        <v>500000</v>
      </c>
      <c r="G5852" s="22">
        <f>IFERROR(__xludf.DUMMYFUNCTION("""COMPUTED_VALUE"""),0.0)</f>
        <v>0</v>
      </c>
      <c r="H5852" s="22">
        <f>IFERROR(__xludf.DUMMYFUNCTION("""COMPUTED_VALUE"""),500000.0)</f>
        <v>500000</v>
      </c>
      <c r="I5852" s="24">
        <f>IFERROR(__xludf.DUMMYFUNCTION("""COMPUTED_VALUE"""),0.0)</f>
        <v>0</v>
      </c>
    </row>
    <row r="5853">
      <c r="A5853" s="5" t="str">
        <f>IFERROR(__xludf.DUMMYFUNCTION("""COMPUTED_VALUE"""),"75973")</f>
        <v>75973</v>
      </c>
      <c r="B5853" s="64">
        <f>IFERROR(__xludf.DUMMYFUNCTION("""COMPUTED_VALUE"""),44616.0)</f>
        <v>44616</v>
      </c>
      <c r="C5853" s="5"/>
      <c r="D5853" s="5"/>
      <c r="E5853" s="5"/>
      <c r="F5853" s="22">
        <f>IFERROR(__xludf.DUMMYFUNCTION("""COMPUTED_VALUE"""),500000.0)</f>
        <v>500000</v>
      </c>
      <c r="G5853" s="22">
        <f>IFERROR(__xludf.DUMMYFUNCTION("""COMPUTED_VALUE"""),0.0)</f>
        <v>0</v>
      </c>
      <c r="H5853" s="22">
        <f>IFERROR(__xludf.DUMMYFUNCTION("""COMPUTED_VALUE"""),500000.0)</f>
        <v>500000</v>
      </c>
      <c r="I5853" s="24">
        <f>IFERROR(__xludf.DUMMYFUNCTION("""COMPUTED_VALUE"""),0.0)</f>
        <v>0</v>
      </c>
    </row>
    <row r="5854">
      <c r="A5854" s="5" t="str">
        <f>IFERROR(__xludf.DUMMYFUNCTION("""COMPUTED_VALUE"""),"75973")</f>
        <v>75973</v>
      </c>
      <c r="B5854" s="64">
        <f>IFERROR(__xludf.DUMMYFUNCTION("""COMPUTED_VALUE"""),44617.0)</f>
        <v>44617</v>
      </c>
      <c r="C5854" s="5"/>
      <c r="D5854" s="5"/>
      <c r="E5854" s="5"/>
      <c r="F5854" s="22">
        <f>IFERROR(__xludf.DUMMYFUNCTION("""COMPUTED_VALUE"""),500000.0)</f>
        <v>500000</v>
      </c>
      <c r="G5854" s="22">
        <f>IFERROR(__xludf.DUMMYFUNCTION("""COMPUTED_VALUE"""),0.0)</f>
        <v>0</v>
      </c>
      <c r="H5854" s="22">
        <f>IFERROR(__xludf.DUMMYFUNCTION("""COMPUTED_VALUE"""),500000.0)</f>
        <v>500000</v>
      </c>
      <c r="I5854" s="24">
        <f>IFERROR(__xludf.DUMMYFUNCTION("""COMPUTED_VALUE"""),0.0)</f>
        <v>0</v>
      </c>
    </row>
    <row r="5855">
      <c r="A5855" s="5" t="str">
        <f>IFERROR(__xludf.DUMMYFUNCTION("""COMPUTED_VALUE"""),"75973")</f>
        <v>75973</v>
      </c>
      <c r="B5855" s="64">
        <f>IFERROR(__xludf.DUMMYFUNCTION("""COMPUTED_VALUE"""),44618.0)</f>
        <v>44618</v>
      </c>
      <c r="C5855" s="5"/>
      <c r="D5855" s="5"/>
      <c r="E5855" s="5"/>
      <c r="F5855" s="22">
        <f>IFERROR(__xludf.DUMMYFUNCTION("""COMPUTED_VALUE"""),500000.0)</f>
        <v>500000</v>
      </c>
      <c r="G5855" s="22">
        <f>IFERROR(__xludf.DUMMYFUNCTION("""COMPUTED_VALUE"""),0.0)</f>
        <v>0</v>
      </c>
      <c r="H5855" s="22">
        <f>IFERROR(__xludf.DUMMYFUNCTION("""COMPUTED_VALUE"""),500000.0)</f>
        <v>500000</v>
      </c>
      <c r="I5855" s="24">
        <f>IFERROR(__xludf.DUMMYFUNCTION("""COMPUTED_VALUE"""),0.0)</f>
        <v>0</v>
      </c>
    </row>
    <row r="5856">
      <c r="A5856" s="5" t="str">
        <f>IFERROR(__xludf.DUMMYFUNCTION("""COMPUTED_VALUE"""),"75973")</f>
        <v>75973</v>
      </c>
      <c r="B5856" s="64">
        <f>IFERROR(__xludf.DUMMYFUNCTION("""COMPUTED_VALUE"""),44619.0)</f>
        <v>44619</v>
      </c>
      <c r="C5856" s="5"/>
      <c r="D5856" s="5"/>
      <c r="E5856" s="5"/>
      <c r="F5856" s="22">
        <f>IFERROR(__xludf.DUMMYFUNCTION("""COMPUTED_VALUE"""),500000.0)</f>
        <v>500000</v>
      </c>
      <c r="G5856" s="22">
        <f>IFERROR(__xludf.DUMMYFUNCTION("""COMPUTED_VALUE"""),0.0)</f>
        <v>0</v>
      </c>
      <c r="H5856" s="22">
        <f>IFERROR(__xludf.DUMMYFUNCTION("""COMPUTED_VALUE"""),500000.0)</f>
        <v>500000</v>
      </c>
      <c r="I5856" s="24">
        <f>IFERROR(__xludf.DUMMYFUNCTION("""COMPUTED_VALUE"""),0.0)</f>
        <v>0</v>
      </c>
    </row>
    <row r="5857">
      <c r="A5857" s="5" t="str">
        <f>IFERROR(__xludf.DUMMYFUNCTION("""COMPUTED_VALUE"""),"75973")</f>
        <v>75973</v>
      </c>
      <c r="B5857" s="64">
        <f>IFERROR(__xludf.DUMMYFUNCTION("""COMPUTED_VALUE"""),44620.0)</f>
        <v>44620</v>
      </c>
      <c r="C5857" s="5"/>
      <c r="D5857" s="5"/>
      <c r="E5857" s="5"/>
      <c r="F5857" s="22">
        <f>IFERROR(__xludf.DUMMYFUNCTION("""COMPUTED_VALUE"""),500000.0)</f>
        <v>500000</v>
      </c>
      <c r="G5857" s="22">
        <f>IFERROR(__xludf.DUMMYFUNCTION("""COMPUTED_VALUE"""),0.0)</f>
        <v>0</v>
      </c>
      <c r="H5857" s="22">
        <f>IFERROR(__xludf.DUMMYFUNCTION("""COMPUTED_VALUE"""),500000.0)</f>
        <v>500000</v>
      </c>
      <c r="I5857" s="24">
        <f>IFERROR(__xludf.DUMMYFUNCTION("""COMPUTED_VALUE"""),0.0)</f>
        <v>0</v>
      </c>
    </row>
    <row r="5858">
      <c r="A5858" s="5" t="str">
        <f>IFERROR(__xludf.DUMMYFUNCTION("""COMPUTED_VALUE"""),"75973")</f>
        <v>75973</v>
      </c>
      <c r="B5858" s="64">
        <f>IFERROR(__xludf.DUMMYFUNCTION("""COMPUTED_VALUE"""),44621.0)</f>
        <v>44621</v>
      </c>
      <c r="C5858" s="5"/>
      <c r="D5858" s="5"/>
      <c r="E5858" s="5"/>
      <c r="F5858" s="22">
        <f>IFERROR(__xludf.DUMMYFUNCTION("""COMPUTED_VALUE"""),500000.0)</f>
        <v>500000</v>
      </c>
      <c r="G5858" s="22">
        <f>IFERROR(__xludf.DUMMYFUNCTION("""COMPUTED_VALUE"""),0.0)</f>
        <v>0</v>
      </c>
      <c r="H5858" s="22">
        <f>IFERROR(__xludf.DUMMYFUNCTION("""COMPUTED_VALUE"""),500000.0)</f>
        <v>500000</v>
      </c>
      <c r="I5858" s="24">
        <f>IFERROR(__xludf.DUMMYFUNCTION("""COMPUTED_VALUE"""),0.0)</f>
        <v>0</v>
      </c>
    </row>
    <row r="5859">
      <c r="A5859" s="5" t="str">
        <f>IFERROR(__xludf.DUMMYFUNCTION("""COMPUTED_VALUE"""),"75973")</f>
        <v>75973</v>
      </c>
      <c r="B5859" s="64">
        <f>IFERROR(__xludf.DUMMYFUNCTION("""COMPUTED_VALUE"""),44622.0)</f>
        <v>44622</v>
      </c>
      <c r="C5859" s="5"/>
      <c r="D5859" s="5"/>
      <c r="E5859" s="5"/>
      <c r="F5859" s="22">
        <f>IFERROR(__xludf.DUMMYFUNCTION("""COMPUTED_VALUE"""),500000.0)</f>
        <v>500000</v>
      </c>
      <c r="G5859" s="22">
        <f>IFERROR(__xludf.DUMMYFUNCTION("""COMPUTED_VALUE"""),0.0)</f>
        <v>0</v>
      </c>
      <c r="H5859" s="22">
        <f>IFERROR(__xludf.DUMMYFUNCTION("""COMPUTED_VALUE"""),500000.0)</f>
        <v>500000</v>
      </c>
      <c r="I5859" s="24">
        <f>IFERROR(__xludf.DUMMYFUNCTION("""COMPUTED_VALUE"""),0.0)</f>
        <v>0</v>
      </c>
    </row>
    <row r="5860">
      <c r="A5860" s="5" t="str">
        <f>IFERROR(__xludf.DUMMYFUNCTION("""COMPUTED_VALUE"""),"75973")</f>
        <v>75973</v>
      </c>
      <c r="B5860" s="64">
        <f>IFERROR(__xludf.DUMMYFUNCTION("""COMPUTED_VALUE"""),44623.0)</f>
        <v>44623</v>
      </c>
      <c r="C5860" s="5"/>
      <c r="D5860" s="5"/>
      <c r="E5860" s="5"/>
      <c r="F5860" s="22">
        <f>IFERROR(__xludf.DUMMYFUNCTION("""COMPUTED_VALUE"""),500000.0)</f>
        <v>500000</v>
      </c>
      <c r="G5860" s="22">
        <f>IFERROR(__xludf.DUMMYFUNCTION("""COMPUTED_VALUE"""),0.0)</f>
        <v>0</v>
      </c>
      <c r="H5860" s="22">
        <f>IFERROR(__xludf.DUMMYFUNCTION("""COMPUTED_VALUE"""),500000.0)</f>
        <v>500000</v>
      </c>
      <c r="I5860" s="24">
        <f>IFERROR(__xludf.DUMMYFUNCTION("""COMPUTED_VALUE"""),0.0)</f>
        <v>0</v>
      </c>
    </row>
    <row r="5861">
      <c r="A5861" s="5" t="str">
        <f>IFERROR(__xludf.DUMMYFUNCTION("""COMPUTED_VALUE"""),"75973")</f>
        <v>75973</v>
      </c>
      <c r="B5861" s="64">
        <f>IFERROR(__xludf.DUMMYFUNCTION("""COMPUTED_VALUE"""),44624.0)</f>
        <v>44624</v>
      </c>
      <c r="C5861" s="5"/>
      <c r="D5861" s="5"/>
      <c r="E5861" s="5"/>
      <c r="F5861" s="22">
        <f>IFERROR(__xludf.DUMMYFUNCTION("""COMPUTED_VALUE"""),500000.0)</f>
        <v>500000</v>
      </c>
      <c r="G5861" s="22">
        <f>IFERROR(__xludf.DUMMYFUNCTION("""COMPUTED_VALUE"""),0.0)</f>
        <v>0</v>
      </c>
      <c r="H5861" s="22">
        <f>IFERROR(__xludf.DUMMYFUNCTION("""COMPUTED_VALUE"""),500000.0)</f>
        <v>500000</v>
      </c>
      <c r="I5861" s="24">
        <f>IFERROR(__xludf.DUMMYFUNCTION("""COMPUTED_VALUE"""),0.0)</f>
        <v>0</v>
      </c>
    </row>
    <row r="5862">
      <c r="A5862" s="5" t="str">
        <f>IFERROR(__xludf.DUMMYFUNCTION("""COMPUTED_VALUE"""),"75973")</f>
        <v>75973</v>
      </c>
      <c r="B5862" s="64">
        <f>IFERROR(__xludf.DUMMYFUNCTION("""COMPUTED_VALUE"""),44625.0)</f>
        <v>44625</v>
      </c>
      <c r="C5862" s="5"/>
      <c r="D5862" s="5"/>
      <c r="E5862" s="5"/>
      <c r="F5862" s="22">
        <f>IFERROR(__xludf.DUMMYFUNCTION("""COMPUTED_VALUE"""),500000.0)</f>
        <v>500000</v>
      </c>
      <c r="G5862" s="22">
        <f>IFERROR(__xludf.DUMMYFUNCTION("""COMPUTED_VALUE"""),0.0)</f>
        <v>0</v>
      </c>
      <c r="H5862" s="22">
        <f>IFERROR(__xludf.DUMMYFUNCTION("""COMPUTED_VALUE"""),500000.0)</f>
        <v>500000</v>
      </c>
      <c r="I5862" s="24">
        <f>IFERROR(__xludf.DUMMYFUNCTION("""COMPUTED_VALUE"""),0.0)</f>
        <v>0</v>
      </c>
    </row>
    <row r="5863">
      <c r="A5863" s="5" t="str">
        <f>IFERROR(__xludf.DUMMYFUNCTION("""COMPUTED_VALUE"""),"75973")</f>
        <v>75973</v>
      </c>
      <c r="B5863" s="64">
        <f>IFERROR(__xludf.DUMMYFUNCTION("""COMPUTED_VALUE"""),44626.0)</f>
        <v>44626</v>
      </c>
      <c r="C5863" s="5"/>
      <c r="D5863" s="5"/>
      <c r="E5863" s="5"/>
      <c r="F5863" s="22">
        <f>IFERROR(__xludf.DUMMYFUNCTION("""COMPUTED_VALUE"""),500000.0)</f>
        <v>500000</v>
      </c>
      <c r="G5863" s="22">
        <f>IFERROR(__xludf.DUMMYFUNCTION("""COMPUTED_VALUE"""),0.0)</f>
        <v>0</v>
      </c>
      <c r="H5863" s="22">
        <f>IFERROR(__xludf.DUMMYFUNCTION("""COMPUTED_VALUE"""),500000.0)</f>
        <v>500000</v>
      </c>
      <c r="I5863" s="24">
        <f>IFERROR(__xludf.DUMMYFUNCTION("""COMPUTED_VALUE"""),0.0)</f>
        <v>0</v>
      </c>
    </row>
    <row r="5864">
      <c r="A5864" s="5" t="str">
        <f>IFERROR(__xludf.DUMMYFUNCTION("""COMPUTED_VALUE"""),"75973")</f>
        <v>75973</v>
      </c>
      <c r="B5864" s="64">
        <f>IFERROR(__xludf.DUMMYFUNCTION("""COMPUTED_VALUE"""),44627.0)</f>
        <v>44627</v>
      </c>
      <c r="C5864" s="5"/>
      <c r="D5864" s="5"/>
      <c r="E5864" s="5"/>
      <c r="F5864" s="22">
        <f>IFERROR(__xludf.DUMMYFUNCTION("""COMPUTED_VALUE"""),500000.0)</f>
        <v>500000</v>
      </c>
      <c r="G5864" s="22">
        <f>IFERROR(__xludf.DUMMYFUNCTION("""COMPUTED_VALUE"""),0.0)</f>
        <v>0</v>
      </c>
      <c r="H5864" s="22">
        <f>IFERROR(__xludf.DUMMYFUNCTION("""COMPUTED_VALUE"""),500000.0)</f>
        <v>500000</v>
      </c>
      <c r="I5864" s="24">
        <f>IFERROR(__xludf.DUMMYFUNCTION("""COMPUTED_VALUE"""),0.0)</f>
        <v>0</v>
      </c>
    </row>
    <row r="5865">
      <c r="A5865" s="5" t="str">
        <f>IFERROR(__xludf.DUMMYFUNCTION("""COMPUTED_VALUE"""),"75973")</f>
        <v>75973</v>
      </c>
      <c r="B5865" s="64">
        <f>IFERROR(__xludf.DUMMYFUNCTION("""COMPUTED_VALUE"""),44628.0)</f>
        <v>44628</v>
      </c>
      <c r="C5865" s="5"/>
      <c r="D5865" s="5"/>
      <c r="E5865" s="5"/>
      <c r="F5865" s="22">
        <f>IFERROR(__xludf.DUMMYFUNCTION("""COMPUTED_VALUE"""),500000.0)</f>
        <v>500000</v>
      </c>
      <c r="G5865" s="22">
        <f>IFERROR(__xludf.DUMMYFUNCTION("""COMPUTED_VALUE"""),0.0)</f>
        <v>0</v>
      </c>
      <c r="H5865" s="22">
        <f>IFERROR(__xludf.DUMMYFUNCTION("""COMPUTED_VALUE"""),500000.0)</f>
        <v>500000</v>
      </c>
      <c r="I5865" s="24">
        <f>IFERROR(__xludf.DUMMYFUNCTION("""COMPUTED_VALUE"""),0.0)</f>
        <v>0</v>
      </c>
    </row>
    <row r="5866">
      <c r="A5866" s="5" t="str">
        <f>IFERROR(__xludf.DUMMYFUNCTION("""COMPUTED_VALUE"""),"75973")</f>
        <v>75973</v>
      </c>
      <c r="B5866" s="64">
        <f>IFERROR(__xludf.DUMMYFUNCTION("""COMPUTED_VALUE"""),44629.0)</f>
        <v>44629</v>
      </c>
      <c r="C5866" s="5"/>
      <c r="D5866" s="5"/>
      <c r="E5866" s="5"/>
      <c r="F5866" s="22">
        <f>IFERROR(__xludf.DUMMYFUNCTION("""COMPUTED_VALUE"""),500000.0)</f>
        <v>500000</v>
      </c>
      <c r="G5866" s="22">
        <f>IFERROR(__xludf.DUMMYFUNCTION("""COMPUTED_VALUE"""),0.0)</f>
        <v>0</v>
      </c>
      <c r="H5866" s="22">
        <f>IFERROR(__xludf.DUMMYFUNCTION("""COMPUTED_VALUE"""),500000.0)</f>
        <v>500000</v>
      </c>
      <c r="I5866" s="24">
        <f>IFERROR(__xludf.DUMMYFUNCTION("""COMPUTED_VALUE"""),0.0)</f>
        <v>0</v>
      </c>
    </row>
    <row r="5867">
      <c r="A5867" s="5" t="str">
        <f>IFERROR(__xludf.DUMMYFUNCTION("""COMPUTED_VALUE"""),"75973")</f>
        <v>75973</v>
      </c>
      <c r="B5867" s="64">
        <f>IFERROR(__xludf.DUMMYFUNCTION("""COMPUTED_VALUE"""),44630.0)</f>
        <v>44630</v>
      </c>
      <c r="C5867" s="5"/>
      <c r="D5867" s="5"/>
      <c r="E5867" s="5"/>
      <c r="F5867" s="22">
        <f>IFERROR(__xludf.DUMMYFUNCTION("""COMPUTED_VALUE"""),500000.0)</f>
        <v>500000</v>
      </c>
      <c r="G5867" s="22">
        <f>IFERROR(__xludf.DUMMYFUNCTION("""COMPUTED_VALUE"""),0.0)</f>
        <v>0</v>
      </c>
      <c r="H5867" s="22">
        <f>IFERROR(__xludf.DUMMYFUNCTION("""COMPUTED_VALUE"""),500000.0)</f>
        <v>500000</v>
      </c>
      <c r="I5867" s="24">
        <f>IFERROR(__xludf.DUMMYFUNCTION("""COMPUTED_VALUE"""),0.0)</f>
        <v>0</v>
      </c>
    </row>
    <row r="5868">
      <c r="A5868" s="5" t="str">
        <f>IFERROR(__xludf.DUMMYFUNCTION("""COMPUTED_VALUE"""),"75973")</f>
        <v>75973</v>
      </c>
      <c r="B5868" s="64">
        <f>IFERROR(__xludf.DUMMYFUNCTION("""COMPUTED_VALUE"""),44631.0)</f>
        <v>44631</v>
      </c>
      <c r="C5868" s="5"/>
      <c r="D5868" s="5"/>
      <c r="E5868" s="5"/>
      <c r="F5868" s="22">
        <f>IFERROR(__xludf.DUMMYFUNCTION("""COMPUTED_VALUE"""),500000.0)</f>
        <v>500000</v>
      </c>
      <c r="G5868" s="22">
        <f>IFERROR(__xludf.DUMMYFUNCTION("""COMPUTED_VALUE"""),0.0)</f>
        <v>0</v>
      </c>
      <c r="H5868" s="22">
        <f>IFERROR(__xludf.DUMMYFUNCTION("""COMPUTED_VALUE"""),500000.0)</f>
        <v>500000</v>
      </c>
      <c r="I5868" s="24">
        <f>IFERROR(__xludf.DUMMYFUNCTION("""COMPUTED_VALUE"""),0.0)</f>
        <v>0</v>
      </c>
    </row>
    <row r="5869">
      <c r="A5869" s="5" t="str">
        <f>IFERROR(__xludf.DUMMYFUNCTION("""COMPUTED_VALUE"""),"75973")</f>
        <v>75973</v>
      </c>
      <c r="B5869" s="64">
        <f>IFERROR(__xludf.DUMMYFUNCTION("""COMPUTED_VALUE"""),44632.0)</f>
        <v>44632</v>
      </c>
      <c r="C5869" s="5"/>
      <c r="D5869" s="5"/>
      <c r="E5869" s="5"/>
      <c r="F5869" s="22">
        <f>IFERROR(__xludf.DUMMYFUNCTION("""COMPUTED_VALUE"""),500000.0)</f>
        <v>500000</v>
      </c>
      <c r="G5869" s="22">
        <f>IFERROR(__xludf.DUMMYFUNCTION("""COMPUTED_VALUE"""),0.0)</f>
        <v>0</v>
      </c>
      <c r="H5869" s="22">
        <f>IFERROR(__xludf.DUMMYFUNCTION("""COMPUTED_VALUE"""),500000.0)</f>
        <v>500000</v>
      </c>
      <c r="I5869" s="24">
        <f>IFERROR(__xludf.DUMMYFUNCTION("""COMPUTED_VALUE"""),0.0)</f>
        <v>0</v>
      </c>
    </row>
    <row r="5870">
      <c r="A5870" s="5" t="str">
        <f>IFERROR(__xludf.DUMMYFUNCTION("""COMPUTED_VALUE"""),"75973")</f>
        <v>75973</v>
      </c>
      <c r="B5870" s="64">
        <f>IFERROR(__xludf.DUMMYFUNCTION("""COMPUTED_VALUE"""),44633.0)</f>
        <v>44633</v>
      </c>
      <c r="C5870" s="5"/>
      <c r="D5870" s="5"/>
      <c r="E5870" s="5"/>
      <c r="F5870" s="22">
        <f>IFERROR(__xludf.DUMMYFUNCTION("""COMPUTED_VALUE"""),500000.0)</f>
        <v>500000</v>
      </c>
      <c r="G5870" s="22">
        <f>IFERROR(__xludf.DUMMYFUNCTION("""COMPUTED_VALUE"""),0.0)</f>
        <v>0</v>
      </c>
      <c r="H5870" s="22">
        <f>IFERROR(__xludf.DUMMYFUNCTION("""COMPUTED_VALUE"""),500000.0)</f>
        <v>500000</v>
      </c>
      <c r="I5870" s="24">
        <f>IFERROR(__xludf.DUMMYFUNCTION("""COMPUTED_VALUE"""),0.0)</f>
        <v>0</v>
      </c>
    </row>
    <row r="5871">
      <c r="A5871" s="5" t="str">
        <f>IFERROR(__xludf.DUMMYFUNCTION("""COMPUTED_VALUE"""),"75973")</f>
        <v>75973</v>
      </c>
      <c r="B5871" s="64">
        <f>IFERROR(__xludf.DUMMYFUNCTION("""COMPUTED_VALUE"""),44634.0)</f>
        <v>44634</v>
      </c>
      <c r="C5871" s="5"/>
      <c r="D5871" s="5"/>
      <c r="E5871" s="5"/>
      <c r="F5871" s="22">
        <f>IFERROR(__xludf.DUMMYFUNCTION("""COMPUTED_VALUE"""),500000.0)</f>
        <v>500000</v>
      </c>
      <c r="G5871" s="22">
        <f>IFERROR(__xludf.DUMMYFUNCTION("""COMPUTED_VALUE"""),0.0)</f>
        <v>0</v>
      </c>
      <c r="H5871" s="22">
        <f>IFERROR(__xludf.DUMMYFUNCTION("""COMPUTED_VALUE"""),500000.0)</f>
        <v>500000</v>
      </c>
      <c r="I5871" s="24">
        <f>IFERROR(__xludf.DUMMYFUNCTION("""COMPUTED_VALUE"""),0.0)</f>
        <v>0</v>
      </c>
    </row>
    <row r="5872">
      <c r="A5872" s="5" t="str">
        <f>IFERROR(__xludf.DUMMYFUNCTION("""COMPUTED_VALUE"""),"75973")</f>
        <v>75973</v>
      </c>
      <c r="B5872" s="64">
        <f>IFERROR(__xludf.DUMMYFUNCTION("""COMPUTED_VALUE"""),44635.0)</f>
        <v>44635</v>
      </c>
      <c r="C5872" s="5"/>
      <c r="D5872" s="5"/>
      <c r="E5872" s="5"/>
      <c r="F5872" s="22">
        <f>IFERROR(__xludf.DUMMYFUNCTION("""COMPUTED_VALUE"""),500000.0)</f>
        <v>500000</v>
      </c>
      <c r="G5872" s="22">
        <f>IFERROR(__xludf.DUMMYFUNCTION("""COMPUTED_VALUE"""),0.0)</f>
        <v>0</v>
      </c>
      <c r="H5872" s="22">
        <f>IFERROR(__xludf.DUMMYFUNCTION("""COMPUTED_VALUE"""),500000.0)</f>
        <v>500000</v>
      </c>
      <c r="I5872" s="24">
        <f>IFERROR(__xludf.DUMMYFUNCTION("""COMPUTED_VALUE"""),0.0)</f>
        <v>0</v>
      </c>
    </row>
    <row r="5873">
      <c r="A5873" s="5" t="str">
        <f>IFERROR(__xludf.DUMMYFUNCTION("""COMPUTED_VALUE"""),"75973")</f>
        <v>75973</v>
      </c>
      <c r="B5873" s="64">
        <f>IFERROR(__xludf.DUMMYFUNCTION("""COMPUTED_VALUE"""),44636.0)</f>
        <v>44636</v>
      </c>
      <c r="C5873" s="5"/>
      <c r="D5873" s="5"/>
      <c r="E5873" s="5"/>
      <c r="F5873" s="22">
        <f>IFERROR(__xludf.DUMMYFUNCTION("""COMPUTED_VALUE"""),500000.0)</f>
        <v>500000</v>
      </c>
      <c r="G5873" s="22">
        <f>IFERROR(__xludf.DUMMYFUNCTION("""COMPUTED_VALUE"""),0.0)</f>
        <v>0</v>
      </c>
      <c r="H5873" s="22">
        <f>IFERROR(__xludf.DUMMYFUNCTION("""COMPUTED_VALUE"""),500000.0)</f>
        <v>500000</v>
      </c>
      <c r="I5873" s="24">
        <f>IFERROR(__xludf.DUMMYFUNCTION("""COMPUTED_VALUE"""),0.0)</f>
        <v>0</v>
      </c>
    </row>
    <row r="5874">
      <c r="A5874" s="5" t="str">
        <f>IFERROR(__xludf.DUMMYFUNCTION("""COMPUTED_VALUE"""),"75973")</f>
        <v>75973</v>
      </c>
      <c r="B5874" s="64">
        <f>IFERROR(__xludf.DUMMYFUNCTION("""COMPUTED_VALUE"""),44637.0)</f>
        <v>44637</v>
      </c>
      <c r="C5874" s="5"/>
      <c r="D5874" s="5"/>
      <c r="E5874" s="5"/>
      <c r="F5874" s="22">
        <f>IFERROR(__xludf.DUMMYFUNCTION("""COMPUTED_VALUE"""),500000.0)</f>
        <v>500000</v>
      </c>
      <c r="G5874" s="22">
        <f>IFERROR(__xludf.DUMMYFUNCTION("""COMPUTED_VALUE"""),0.0)</f>
        <v>0</v>
      </c>
      <c r="H5874" s="22">
        <f>IFERROR(__xludf.DUMMYFUNCTION("""COMPUTED_VALUE"""),500000.0)</f>
        <v>500000</v>
      </c>
      <c r="I5874" s="24">
        <f>IFERROR(__xludf.DUMMYFUNCTION("""COMPUTED_VALUE"""),0.0)</f>
        <v>0</v>
      </c>
    </row>
    <row r="5875">
      <c r="A5875" s="5" t="str">
        <f>IFERROR(__xludf.DUMMYFUNCTION("""COMPUTED_VALUE"""),"75973")</f>
        <v>75973</v>
      </c>
      <c r="B5875" s="64">
        <f>IFERROR(__xludf.DUMMYFUNCTION("""COMPUTED_VALUE"""),44638.0)</f>
        <v>44638</v>
      </c>
      <c r="C5875" s="5"/>
      <c r="D5875" s="5"/>
      <c r="E5875" s="5"/>
      <c r="F5875" s="22">
        <f>IFERROR(__xludf.DUMMYFUNCTION("""COMPUTED_VALUE"""),500000.0)</f>
        <v>500000</v>
      </c>
      <c r="G5875" s="22">
        <f>IFERROR(__xludf.DUMMYFUNCTION("""COMPUTED_VALUE"""),0.0)</f>
        <v>0</v>
      </c>
      <c r="H5875" s="22">
        <f>IFERROR(__xludf.DUMMYFUNCTION("""COMPUTED_VALUE"""),500000.0)</f>
        <v>500000</v>
      </c>
      <c r="I5875" s="24">
        <f>IFERROR(__xludf.DUMMYFUNCTION("""COMPUTED_VALUE"""),0.0)</f>
        <v>0</v>
      </c>
    </row>
    <row r="5876">
      <c r="A5876" s="5" t="str">
        <f>IFERROR(__xludf.DUMMYFUNCTION("""COMPUTED_VALUE"""),"75973")</f>
        <v>75973</v>
      </c>
      <c r="B5876" s="64">
        <f>IFERROR(__xludf.DUMMYFUNCTION("""COMPUTED_VALUE"""),44639.0)</f>
        <v>44639</v>
      </c>
      <c r="C5876" s="5"/>
      <c r="D5876" s="5"/>
      <c r="E5876" s="5"/>
      <c r="F5876" s="22">
        <f>IFERROR(__xludf.DUMMYFUNCTION("""COMPUTED_VALUE"""),500000.0)</f>
        <v>500000</v>
      </c>
      <c r="G5876" s="22">
        <f>IFERROR(__xludf.DUMMYFUNCTION("""COMPUTED_VALUE"""),0.0)</f>
        <v>0</v>
      </c>
      <c r="H5876" s="22">
        <f>IFERROR(__xludf.DUMMYFUNCTION("""COMPUTED_VALUE"""),500000.0)</f>
        <v>500000</v>
      </c>
      <c r="I5876" s="24">
        <f>IFERROR(__xludf.DUMMYFUNCTION("""COMPUTED_VALUE"""),0.0)</f>
        <v>0</v>
      </c>
    </row>
    <row r="5877">
      <c r="A5877" s="5" t="str">
        <f>IFERROR(__xludf.DUMMYFUNCTION("""COMPUTED_VALUE"""),"75973")</f>
        <v>75973</v>
      </c>
      <c r="B5877" s="64">
        <f>IFERROR(__xludf.DUMMYFUNCTION("""COMPUTED_VALUE"""),44640.0)</f>
        <v>44640</v>
      </c>
      <c r="C5877" s="5"/>
      <c r="D5877" s="5"/>
      <c r="E5877" s="5"/>
      <c r="F5877" s="22">
        <f>IFERROR(__xludf.DUMMYFUNCTION("""COMPUTED_VALUE"""),500000.0)</f>
        <v>500000</v>
      </c>
      <c r="G5877" s="22">
        <f>IFERROR(__xludf.DUMMYFUNCTION("""COMPUTED_VALUE"""),0.0)</f>
        <v>0</v>
      </c>
      <c r="H5877" s="22">
        <f>IFERROR(__xludf.DUMMYFUNCTION("""COMPUTED_VALUE"""),500000.0)</f>
        <v>500000</v>
      </c>
      <c r="I5877" s="24">
        <f>IFERROR(__xludf.DUMMYFUNCTION("""COMPUTED_VALUE"""),0.0)</f>
        <v>0</v>
      </c>
    </row>
    <row r="5878">
      <c r="A5878" s="5" t="str">
        <f>IFERROR(__xludf.DUMMYFUNCTION("""COMPUTED_VALUE"""),"75973")</f>
        <v>75973</v>
      </c>
      <c r="B5878" s="64">
        <f>IFERROR(__xludf.DUMMYFUNCTION("""COMPUTED_VALUE"""),44641.0)</f>
        <v>44641</v>
      </c>
      <c r="C5878" s="5"/>
      <c r="D5878" s="5"/>
      <c r="E5878" s="5"/>
      <c r="F5878" s="22">
        <f>IFERROR(__xludf.DUMMYFUNCTION("""COMPUTED_VALUE"""),500000.0)</f>
        <v>500000</v>
      </c>
      <c r="G5878" s="22">
        <f>IFERROR(__xludf.DUMMYFUNCTION("""COMPUTED_VALUE"""),0.0)</f>
        <v>0</v>
      </c>
      <c r="H5878" s="22">
        <f>IFERROR(__xludf.DUMMYFUNCTION("""COMPUTED_VALUE"""),500000.0)</f>
        <v>500000</v>
      </c>
      <c r="I5878" s="24">
        <f>IFERROR(__xludf.DUMMYFUNCTION("""COMPUTED_VALUE"""),0.0)</f>
        <v>0</v>
      </c>
    </row>
    <row r="5879">
      <c r="A5879" s="5" t="str">
        <f>IFERROR(__xludf.DUMMYFUNCTION("""COMPUTED_VALUE"""),"75973")</f>
        <v>75973</v>
      </c>
      <c r="B5879" s="64">
        <f>IFERROR(__xludf.DUMMYFUNCTION("""COMPUTED_VALUE"""),44642.0)</f>
        <v>44642</v>
      </c>
      <c r="C5879" s="5"/>
      <c r="D5879" s="5"/>
      <c r="E5879" s="5"/>
      <c r="F5879" s="22">
        <f>IFERROR(__xludf.DUMMYFUNCTION("""COMPUTED_VALUE"""),500000.0)</f>
        <v>500000</v>
      </c>
      <c r="G5879" s="22">
        <f>IFERROR(__xludf.DUMMYFUNCTION("""COMPUTED_VALUE"""),0.0)</f>
        <v>0</v>
      </c>
      <c r="H5879" s="22">
        <f>IFERROR(__xludf.DUMMYFUNCTION("""COMPUTED_VALUE"""),500000.0)</f>
        <v>500000</v>
      </c>
      <c r="I5879" s="24">
        <f>IFERROR(__xludf.DUMMYFUNCTION("""COMPUTED_VALUE"""),0.0)</f>
        <v>0</v>
      </c>
    </row>
    <row r="5880">
      <c r="A5880" s="5" t="str">
        <f>IFERROR(__xludf.DUMMYFUNCTION("""COMPUTED_VALUE"""),"75973")</f>
        <v>75973</v>
      </c>
      <c r="B5880" s="64">
        <f>IFERROR(__xludf.DUMMYFUNCTION("""COMPUTED_VALUE"""),44643.0)</f>
        <v>44643</v>
      </c>
      <c r="C5880" s="5"/>
      <c r="D5880" s="5"/>
      <c r="E5880" s="5"/>
      <c r="F5880" s="22">
        <f>IFERROR(__xludf.DUMMYFUNCTION("""COMPUTED_VALUE"""),407479.84308705)</f>
        <v>407479.8431</v>
      </c>
      <c r="G5880" s="22">
        <f>IFERROR(__xludf.DUMMYFUNCTION("""COMPUTED_VALUE"""),0.0)</f>
        <v>0</v>
      </c>
      <c r="H5880" s="22">
        <f>IFERROR(__xludf.DUMMYFUNCTION("""COMPUTED_VALUE"""),499867.663044825)</f>
        <v>499867.663</v>
      </c>
      <c r="I5880" s="24">
        <f>IFERROR(__xludf.DUMMYFUNCTION("""COMPUTED_VALUE"""),-2.6467391035001064E-4)</f>
        <v>-0.0002646739104</v>
      </c>
    </row>
    <row r="5881">
      <c r="A5881" s="5" t="str">
        <f>IFERROR(__xludf.DUMMYFUNCTION("""COMPUTED_VALUE"""),"75973")</f>
        <v>75973</v>
      </c>
      <c r="B5881" s="64">
        <f>IFERROR(__xludf.DUMMYFUNCTION("""COMPUTED_VALUE"""),44644.0)</f>
        <v>44644</v>
      </c>
      <c r="C5881" s="5"/>
      <c r="D5881" s="5"/>
      <c r="E5881" s="5"/>
      <c r="F5881" s="22">
        <f>IFERROR(__xludf.DUMMYFUNCTION("""COMPUTED_VALUE"""),407479.84308705)</f>
        <v>407479.8431</v>
      </c>
      <c r="G5881" s="22">
        <f>IFERROR(__xludf.DUMMYFUNCTION("""COMPUTED_VALUE"""),0.0)</f>
        <v>0</v>
      </c>
      <c r="H5881" s="22">
        <f>IFERROR(__xludf.DUMMYFUNCTION("""COMPUTED_VALUE"""),500058.121858705)</f>
        <v>500058.1219</v>
      </c>
      <c r="I5881" s="24">
        <f>IFERROR(__xludf.DUMMYFUNCTION("""COMPUTED_VALUE"""),1.1624371741003614E-4)</f>
        <v>0.0001162437174</v>
      </c>
    </row>
    <row r="5882">
      <c r="A5882" s="5" t="str">
        <f>IFERROR(__xludf.DUMMYFUNCTION("""COMPUTED_VALUE"""),"75973")</f>
        <v>75973</v>
      </c>
      <c r="B5882" s="64">
        <f>IFERROR(__xludf.DUMMYFUNCTION("""COMPUTED_VALUE"""),44645.0)</f>
        <v>44645</v>
      </c>
      <c r="C5882" s="5"/>
      <c r="D5882" s="5"/>
      <c r="E5882" s="5"/>
      <c r="F5882" s="22">
        <f>IFERROR(__xludf.DUMMYFUNCTION("""COMPUTED_VALUE"""),407479.84308705)</f>
        <v>407479.8431</v>
      </c>
      <c r="G5882" s="22">
        <f>IFERROR(__xludf.DUMMYFUNCTION("""COMPUTED_VALUE"""),0.0)</f>
        <v>0</v>
      </c>
      <c r="H5882" s="22">
        <f>IFERROR(__xludf.DUMMYFUNCTION("""COMPUTED_VALUE"""),471304.40953776747)</f>
        <v>471304.4095</v>
      </c>
      <c r="I5882" s="24">
        <f>IFERROR(__xludf.DUMMYFUNCTION("""COMPUTED_VALUE"""),-0.057391180924465046)</f>
        <v>-0.05739118092</v>
      </c>
    </row>
    <row r="5883">
      <c r="A5883" s="5" t="str">
        <f>IFERROR(__xludf.DUMMYFUNCTION("""COMPUTED_VALUE"""),"75973")</f>
        <v>75973</v>
      </c>
      <c r="B5883" s="64">
        <f>IFERROR(__xludf.DUMMYFUNCTION("""COMPUTED_VALUE"""),44646.0)</f>
        <v>44646</v>
      </c>
      <c r="C5883" s="5"/>
      <c r="D5883" s="5"/>
      <c r="E5883" s="5"/>
      <c r="F5883" s="22">
        <f>IFERROR(__xludf.DUMMYFUNCTION("""COMPUTED_VALUE"""),407479.84308705)</f>
        <v>407479.8431</v>
      </c>
      <c r="G5883" s="22">
        <f>IFERROR(__xludf.DUMMYFUNCTION("""COMPUTED_VALUE"""),0.0)</f>
        <v>0</v>
      </c>
      <c r="H5883" s="22">
        <f>IFERROR(__xludf.DUMMYFUNCTION("""COMPUTED_VALUE"""),471304.40953776747)</f>
        <v>471304.4095</v>
      </c>
      <c r="I5883" s="24">
        <f>IFERROR(__xludf.DUMMYFUNCTION("""COMPUTED_VALUE"""),-0.057391180924465046)</f>
        <v>-0.05739118092</v>
      </c>
    </row>
    <row r="5884">
      <c r="A5884" s="5" t="str">
        <f>IFERROR(__xludf.DUMMYFUNCTION("""COMPUTED_VALUE"""),"75973")</f>
        <v>75973</v>
      </c>
      <c r="B5884" s="64">
        <f>IFERROR(__xludf.DUMMYFUNCTION("""COMPUTED_VALUE"""),44647.0)</f>
        <v>44647</v>
      </c>
      <c r="C5884" s="5"/>
      <c r="D5884" s="5"/>
      <c r="E5884" s="5"/>
      <c r="F5884" s="22">
        <f>IFERROR(__xludf.DUMMYFUNCTION("""COMPUTED_VALUE"""),407479.84308705)</f>
        <v>407479.8431</v>
      </c>
      <c r="G5884" s="22">
        <f>IFERROR(__xludf.DUMMYFUNCTION("""COMPUTED_VALUE"""),0.0)</f>
        <v>0</v>
      </c>
      <c r="H5884" s="22">
        <f>IFERROR(__xludf.DUMMYFUNCTION("""COMPUTED_VALUE"""),471304.40953776747)</f>
        <v>471304.4095</v>
      </c>
      <c r="I5884" s="24">
        <f>IFERROR(__xludf.DUMMYFUNCTION("""COMPUTED_VALUE"""),-0.057391180924465046)</f>
        <v>-0.05739118092</v>
      </c>
    </row>
    <row r="5885">
      <c r="A5885" s="5" t="str">
        <f>IFERROR(__xludf.DUMMYFUNCTION("""COMPUTED_VALUE"""),"75973")</f>
        <v>75973</v>
      </c>
      <c r="B5885" s="64">
        <f>IFERROR(__xludf.DUMMYFUNCTION("""COMPUTED_VALUE"""),44648.0)</f>
        <v>44648</v>
      </c>
      <c r="C5885" s="5"/>
      <c r="D5885" s="5"/>
      <c r="E5885" s="5"/>
      <c r="F5885" s="22">
        <f>IFERROR(__xludf.DUMMYFUNCTION("""COMPUTED_VALUE"""),407479.84308705)</f>
        <v>407479.8431</v>
      </c>
      <c r="G5885" s="22">
        <f>IFERROR(__xludf.DUMMYFUNCTION("""COMPUTED_VALUE"""),0.0)</f>
        <v>0</v>
      </c>
      <c r="H5885" s="22">
        <f>IFERROR(__xludf.DUMMYFUNCTION("""COMPUTED_VALUE"""),472268.486998075)</f>
        <v>472268.487</v>
      </c>
      <c r="I5885" s="24">
        <f>IFERROR(__xludf.DUMMYFUNCTION("""COMPUTED_VALUE"""),-0.05546302600385)</f>
        <v>-0.055463026</v>
      </c>
    </row>
    <row r="5886">
      <c r="A5886" s="5" t="str">
        <f>IFERROR(__xludf.DUMMYFUNCTION("""COMPUTED_VALUE"""),"75973")</f>
        <v>75973</v>
      </c>
      <c r="B5886" s="64">
        <f>IFERROR(__xludf.DUMMYFUNCTION("""COMPUTED_VALUE"""),44649.0)</f>
        <v>44649</v>
      </c>
      <c r="C5886" s="5"/>
      <c r="D5886" s="5"/>
      <c r="E5886" s="5"/>
      <c r="F5886" s="22">
        <f>IFERROR(__xludf.DUMMYFUNCTION("""COMPUTED_VALUE"""),407479.84308705)</f>
        <v>407479.8431</v>
      </c>
      <c r="G5886" s="22">
        <f>IFERROR(__xludf.DUMMYFUNCTION("""COMPUTED_VALUE"""),0.0)</f>
        <v>0</v>
      </c>
      <c r="H5886" s="22">
        <f>IFERROR(__xludf.DUMMYFUNCTION("""COMPUTED_VALUE"""),483744.237570155)</f>
        <v>483744.2376</v>
      </c>
      <c r="I5886" s="24">
        <f>IFERROR(__xludf.DUMMYFUNCTION("""COMPUTED_VALUE"""),-0.03251152485969)</f>
        <v>-0.03251152486</v>
      </c>
    </row>
    <row r="5887">
      <c r="A5887" s="5" t="str">
        <f>IFERROR(__xludf.DUMMYFUNCTION("""COMPUTED_VALUE"""),"75973")</f>
        <v>75973</v>
      </c>
      <c r="B5887" s="64">
        <f>IFERROR(__xludf.DUMMYFUNCTION("""COMPUTED_VALUE"""),44650.0)</f>
        <v>44650</v>
      </c>
      <c r="C5887" s="5"/>
      <c r="D5887" s="5"/>
      <c r="E5887" s="5"/>
      <c r="F5887" s="22">
        <f>IFERROR(__xludf.DUMMYFUNCTION("""COMPUTED_VALUE"""),407479.84308705)</f>
        <v>407479.8431</v>
      </c>
      <c r="G5887" s="22">
        <f>IFERROR(__xludf.DUMMYFUNCTION("""COMPUTED_VALUE"""),0.0)</f>
        <v>0</v>
      </c>
      <c r="H5887" s="22">
        <f>IFERROR(__xludf.DUMMYFUNCTION("""COMPUTED_VALUE"""),502395.9030096725)</f>
        <v>502395.903</v>
      </c>
      <c r="I5887" s="24">
        <f>IFERROR(__xludf.DUMMYFUNCTION("""COMPUTED_VALUE"""),0.004791806019345035)</f>
        <v>0.004791806019</v>
      </c>
    </row>
    <row r="5888">
      <c r="A5888" s="5" t="str">
        <f>IFERROR(__xludf.DUMMYFUNCTION("""COMPUTED_VALUE"""),"75973")</f>
        <v>75973</v>
      </c>
      <c r="B5888" s="64">
        <f>IFERROR(__xludf.DUMMYFUNCTION("""COMPUTED_VALUE"""),44651.0)</f>
        <v>44651</v>
      </c>
      <c r="C5888" s="5"/>
      <c r="D5888" s="5"/>
      <c r="E5888" s="5"/>
      <c r="F5888" s="22">
        <f>IFERROR(__xludf.DUMMYFUNCTION("""COMPUTED_VALUE"""),407479.84308705)</f>
        <v>407479.8431</v>
      </c>
      <c r="G5888" s="22">
        <f>IFERROR(__xludf.DUMMYFUNCTION("""COMPUTED_VALUE"""),0.0)</f>
        <v>0</v>
      </c>
      <c r="H5888" s="22">
        <f>IFERROR(__xludf.DUMMYFUNCTION("""COMPUTED_VALUE"""),505399.84165623)</f>
        <v>505399.8417</v>
      </c>
      <c r="I5888" s="24">
        <f>IFERROR(__xludf.DUMMYFUNCTION("""COMPUTED_VALUE"""),0.010799683312459951)</f>
        <v>0.01079968331</v>
      </c>
    </row>
    <row r="5889">
      <c r="A5889" s="5" t="str">
        <f>IFERROR(__xludf.DUMMYFUNCTION("""COMPUTED_VALUE"""),"75973")</f>
        <v>75973</v>
      </c>
      <c r="B5889" s="64">
        <f>IFERROR(__xludf.DUMMYFUNCTION("""COMPUTED_VALUE"""),44652.0)</f>
        <v>44652</v>
      </c>
      <c r="C5889" s="5"/>
      <c r="D5889" s="5"/>
      <c r="E5889" s="5"/>
      <c r="F5889" s="22">
        <f>IFERROR(__xludf.DUMMYFUNCTION("""COMPUTED_VALUE"""),407479.84308705)</f>
        <v>407479.8431</v>
      </c>
      <c r="G5889" s="22">
        <f>IFERROR(__xludf.DUMMYFUNCTION("""COMPUTED_VALUE"""),0.0)</f>
        <v>0</v>
      </c>
      <c r="H5889" s="22">
        <f>IFERROR(__xludf.DUMMYFUNCTION("""COMPUTED_VALUE"""),508625.5719239925)</f>
        <v>508625.5719</v>
      </c>
      <c r="I5889" s="24">
        <f>IFERROR(__xludf.DUMMYFUNCTION("""COMPUTED_VALUE"""),0.017251143847984984)</f>
        <v>0.01725114385</v>
      </c>
    </row>
    <row r="5890">
      <c r="A5890" s="5" t="str">
        <f>IFERROR(__xludf.DUMMYFUNCTION("""COMPUTED_VALUE"""),"75973")</f>
        <v>75973</v>
      </c>
      <c r="B5890" s="64">
        <f>IFERROR(__xludf.DUMMYFUNCTION("""COMPUTED_VALUE"""),44653.0)</f>
        <v>44653</v>
      </c>
      <c r="C5890" s="5"/>
      <c r="D5890" s="5"/>
      <c r="E5890" s="5"/>
      <c r="F5890" s="22">
        <f>IFERROR(__xludf.DUMMYFUNCTION("""COMPUTED_VALUE"""),407479.84308705)</f>
        <v>407479.8431</v>
      </c>
      <c r="G5890" s="22">
        <f>IFERROR(__xludf.DUMMYFUNCTION("""COMPUTED_VALUE"""),0.0)</f>
        <v>0</v>
      </c>
      <c r="H5890" s="22">
        <f>IFERROR(__xludf.DUMMYFUNCTION("""COMPUTED_VALUE"""),508625.5719239925)</f>
        <v>508625.5719</v>
      </c>
      <c r="I5890" s="24">
        <f>IFERROR(__xludf.DUMMYFUNCTION("""COMPUTED_VALUE"""),0.017251143847984984)</f>
        <v>0.01725114385</v>
      </c>
    </row>
    <row r="5891">
      <c r="A5891" s="5" t="str">
        <f>IFERROR(__xludf.DUMMYFUNCTION("""COMPUTED_VALUE"""),"75973")</f>
        <v>75973</v>
      </c>
      <c r="B5891" s="64">
        <f>IFERROR(__xludf.DUMMYFUNCTION("""COMPUTED_VALUE"""),44654.0)</f>
        <v>44654</v>
      </c>
      <c r="C5891" s="5"/>
      <c r="D5891" s="5"/>
      <c r="E5891" s="5"/>
      <c r="F5891" s="22">
        <f>IFERROR(__xludf.DUMMYFUNCTION("""COMPUTED_VALUE"""),407479.84308705)</f>
        <v>407479.8431</v>
      </c>
      <c r="G5891" s="22">
        <f>IFERROR(__xludf.DUMMYFUNCTION("""COMPUTED_VALUE"""),0.0)</f>
        <v>0</v>
      </c>
      <c r="H5891" s="22">
        <f>IFERROR(__xludf.DUMMYFUNCTION("""COMPUTED_VALUE"""),508625.5719239925)</f>
        <v>508625.5719</v>
      </c>
      <c r="I5891" s="24">
        <f>IFERROR(__xludf.DUMMYFUNCTION("""COMPUTED_VALUE"""),0.017251143847984984)</f>
        <v>0.01725114385</v>
      </c>
    </row>
    <row r="5892">
      <c r="A5892" s="5" t="str">
        <f>IFERROR(__xludf.DUMMYFUNCTION("""COMPUTED_VALUE"""),"75973")</f>
        <v>75973</v>
      </c>
      <c r="B5892" s="64">
        <f>IFERROR(__xludf.DUMMYFUNCTION("""COMPUTED_VALUE"""),44655.0)</f>
        <v>44655</v>
      </c>
      <c r="C5892" s="5"/>
      <c r="D5892" s="5"/>
      <c r="E5892" s="5"/>
      <c r="F5892" s="22">
        <f>IFERROR(__xludf.DUMMYFUNCTION("""COMPUTED_VALUE"""),407479.84308705)</f>
        <v>407479.8431</v>
      </c>
      <c r="G5892" s="22">
        <f>IFERROR(__xludf.DUMMYFUNCTION("""COMPUTED_VALUE"""),0.0)</f>
        <v>0</v>
      </c>
      <c r="H5892" s="22">
        <f>IFERROR(__xludf.DUMMYFUNCTION("""COMPUTED_VALUE"""),545814.4696696525)</f>
        <v>545814.4697</v>
      </c>
      <c r="I5892" s="24">
        <f>IFERROR(__xludf.DUMMYFUNCTION("""COMPUTED_VALUE"""),0.09162893933930505)</f>
        <v>0.09162893934</v>
      </c>
    </row>
    <row r="5893">
      <c r="A5893" s="5" t="str">
        <f>IFERROR(__xludf.DUMMYFUNCTION("""COMPUTED_VALUE"""),"75973")</f>
        <v>75973</v>
      </c>
      <c r="B5893" s="64">
        <f>IFERROR(__xludf.DUMMYFUNCTION("""COMPUTED_VALUE"""),44656.0)</f>
        <v>44656</v>
      </c>
      <c r="C5893" s="5"/>
      <c r="D5893" s="5"/>
      <c r="E5893" s="5"/>
      <c r="F5893" s="22">
        <f>IFERROR(__xludf.DUMMYFUNCTION("""COMPUTED_VALUE"""),407479.84308705)</f>
        <v>407479.8431</v>
      </c>
      <c r="G5893" s="22">
        <f>IFERROR(__xludf.DUMMYFUNCTION("""COMPUTED_VALUE"""),0.0)</f>
        <v>0</v>
      </c>
      <c r="H5893" s="22">
        <f>IFERROR(__xludf.DUMMYFUNCTION("""COMPUTED_VALUE"""),545597.210959825)</f>
        <v>545597.211</v>
      </c>
      <c r="I5893" s="24">
        <f>IFERROR(__xludf.DUMMYFUNCTION("""COMPUTED_VALUE"""),0.09119442191964988)</f>
        <v>0.09119442192</v>
      </c>
    </row>
    <row r="5894">
      <c r="A5894" s="5" t="str">
        <f>IFERROR(__xludf.DUMMYFUNCTION("""COMPUTED_VALUE"""),"75973")</f>
        <v>75973</v>
      </c>
      <c r="B5894" s="64">
        <f>IFERROR(__xludf.DUMMYFUNCTION("""COMPUTED_VALUE"""),44657.0)</f>
        <v>44657</v>
      </c>
      <c r="C5894" s="5"/>
      <c r="D5894" s="5"/>
      <c r="E5894" s="5"/>
      <c r="F5894" s="22">
        <f>IFERROR(__xludf.DUMMYFUNCTION("""COMPUTED_VALUE"""),407479.84308705)</f>
        <v>407479.8431</v>
      </c>
      <c r="G5894" s="22">
        <f>IFERROR(__xludf.DUMMYFUNCTION("""COMPUTED_VALUE"""),0.0)</f>
        <v>0</v>
      </c>
      <c r="H5894" s="22">
        <f>IFERROR(__xludf.DUMMYFUNCTION("""COMPUTED_VALUE"""),538744.711962215)</f>
        <v>538744.712</v>
      </c>
      <c r="I5894" s="24">
        <f>IFERROR(__xludf.DUMMYFUNCTION("""COMPUTED_VALUE"""),0.07748942392443015)</f>
        <v>0.07748942392</v>
      </c>
    </row>
    <row r="5895">
      <c r="A5895" s="5" t="str">
        <f>IFERROR(__xludf.DUMMYFUNCTION("""COMPUTED_VALUE"""),"75973")</f>
        <v>75973</v>
      </c>
      <c r="B5895" s="64">
        <f>IFERROR(__xludf.DUMMYFUNCTION("""COMPUTED_VALUE"""),44658.0)</f>
        <v>44658</v>
      </c>
      <c r="C5895" s="5"/>
      <c r="D5895" s="5"/>
      <c r="E5895" s="5"/>
      <c r="F5895" s="22">
        <f>IFERROR(__xludf.DUMMYFUNCTION("""COMPUTED_VALUE"""),407479.84308705)</f>
        <v>407479.8431</v>
      </c>
      <c r="G5895" s="22">
        <f>IFERROR(__xludf.DUMMYFUNCTION("""COMPUTED_VALUE"""),0.0)</f>
        <v>0</v>
      </c>
      <c r="H5895" s="22">
        <f>IFERROR(__xludf.DUMMYFUNCTION("""COMPUTED_VALUE"""),529772.415238795)</f>
        <v>529772.4152</v>
      </c>
      <c r="I5895" s="24">
        <f>IFERROR(__xludf.DUMMYFUNCTION("""COMPUTED_VALUE"""),0.05954483047759007)</f>
        <v>0.05954483048</v>
      </c>
    </row>
    <row r="5896">
      <c r="A5896" s="5" t="str">
        <f>IFERROR(__xludf.DUMMYFUNCTION("""COMPUTED_VALUE"""),"75973")</f>
        <v>75973</v>
      </c>
      <c r="B5896" s="64">
        <f>IFERROR(__xludf.DUMMYFUNCTION("""COMPUTED_VALUE"""),44659.0)</f>
        <v>44659</v>
      </c>
      <c r="C5896" s="5"/>
      <c r="D5896" s="5"/>
      <c r="E5896" s="5"/>
      <c r="F5896" s="22">
        <f>IFERROR(__xludf.DUMMYFUNCTION("""COMPUTED_VALUE"""),407479.84308705)</f>
        <v>407479.8431</v>
      </c>
      <c r="G5896" s="22">
        <f>IFERROR(__xludf.DUMMYFUNCTION("""COMPUTED_VALUE"""),0.0)</f>
        <v>0</v>
      </c>
      <c r="H5896" s="22">
        <f>IFERROR(__xludf.DUMMYFUNCTION("""COMPUTED_VALUE"""),535847.139482185)</f>
        <v>535847.1395</v>
      </c>
      <c r="I5896" s="24">
        <f>IFERROR(__xludf.DUMMYFUNCTION("""COMPUTED_VALUE"""),0.07169427896436997)</f>
        <v>0.07169427896</v>
      </c>
    </row>
    <row r="5897">
      <c r="A5897" s="5" t="str">
        <f>IFERROR(__xludf.DUMMYFUNCTION("""COMPUTED_VALUE"""),"75973")</f>
        <v>75973</v>
      </c>
      <c r="B5897" s="64">
        <f>IFERROR(__xludf.DUMMYFUNCTION("""COMPUTED_VALUE"""),44660.0)</f>
        <v>44660</v>
      </c>
      <c r="C5897" s="5"/>
      <c r="D5897" s="5"/>
      <c r="E5897" s="5"/>
      <c r="F5897" s="22">
        <f>IFERROR(__xludf.DUMMYFUNCTION("""COMPUTED_VALUE"""),407479.84308705)</f>
        <v>407479.8431</v>
      </c>
      <c r="G5897" s="22">
        <f>IFERROR(__xludf.DUMMYFUNCTION("""COMPUTED_VALUE"""),0.0)</f>
        <v>0</v>
      </c>
      <c r="H5897" s="22">
        <f>IFERROR(__xludf.DUMMYFUNCTION("""COMPUTED_VALUE"""),535847.139482185)</f>
        <v>535847.1395</v>
      </c>
      <c r="I5897" s="24">
        <f>IFERROR(__xludf.DUMMYFUNCTION("""COMPUTED_VALUE"""),0.07169427896436997)</f>
        <v>0.07169427896</v>
      </c>
    </row>
    <row r="5898">
      <c r="A5898" s="5" t="str">
        <f>IFERROR(__xludf.DUMMYFUNCTION("""COMPUTED_VALUE"""),"75973")</f>
        <v>75973</v>
      </c>
      <c r="B5898" s="64">
        <f>IFERROR(__xludf.DUMMYFUNCTION("""COMPUTED_VALUE"""),44661.0)</f>
        <v>44661</v>
      </c>
      <c r="C5898" s="5"/>
      <c r="D5898" s="5"/>
      <c r="E5898" s="5"/>
      <c r="F5898" s="22">
        <f>IFERROR(__xludf.DUMMYFUNCTION("""COMPUTED_VALUE"""),407479.84308705)</f>
        <v>407479.8431</v>
      </c>
      <c r="G5898" s="22">
        <f>IFERROR(__xludf.DUMMYFUNCTION("""COMPUTED_VALUE"""),0.0)</f>
        <v>0</v>
      </c>
      <c r="H5898" s="22">
        <f>IFERROR(__xludf.DUMMYFUNCTION("""COMPUTED_VALUE"""),535847.139482185)</f>
        <v>535847.1395</v>
      </c>
      <c r="I5898" s="24">
        <f>IFERROR(__xludf.DUMMYFUNCTION("""COMPUTED_VALUE"""),0.07169427896436997)</f>
        <v>0.07169427896</v>
      </c>
    </row>
    <row r="5899">
      <c r="A5899" s="5" t="str">
        <f>IFERROR(__xludf.DUMMYFUNCTION("""COMPUTED_VALUE"""),"75973")</f>
        <v>75973</v>
      </c>
      <c r="B5899" s="64">
        <f>IFERROR(__xludf.DUMMYFUNCTION("""COMPUTED_VALUE"""),44662.0)</f>
        <v>44662</v>
      </c>
      <c r="C5899" s="5"/>
      <c r="D5899" s="5"/>
      <c r="E5899" s="5"/>
      <c r="F5899" s="22">
        <f>IFERROR(__xludf.DUMMYFUNCTION("""COMPUTED_VALUE"""),407479.84308705)</f>
        <v>407479.8431</v>
      </c>
      <c r="G5899" s="22">
        <f>IFERROR(__xludf.DUMMYFUNCTION("""COMPUTED_VALUE"""),0.0)</f>
        <v>0</v>
      </c>
      <c r="H5899" s="22">
        <f>IFERROR(__xludf.DUMMYFUNCTION("""COMPUTED_VALUE"""),498283.0256154075)</f>
        <v>498283.0256</v>
      </c>
      <c r="I5899" s="24">
        <f>IFERROR(__xludf.DUMMYFUNCTION("""COMPUTED_VALUE"""),-0.0034339487691850135)</f>
        <v>-0.003433948769</v>
      </c>
    </row>
    <row r="5900">
      <c r="A5900" s="5" t="str">
        <f>IFERROR(__xludf.DUMMYFUNCTION("""COMPUTED_VALUE"""),"75973")</f>
        <v>75973</v>
      </c>
      <c r="B5900" s="64">
        <f>IFERROR(__xludf.DUMMYFUNCTION("""COMPUTED_VALUE"""),44663.0)</f>
        <v>44663</v>
      </c>
      <c r="C5900" s="5"/>
      <c r="D5900" s="5"/>
      <c r="E5900" s="5"/>
      <c r="F5900" s="22">
        <f>IFERROR(__xludf.DUMMYFUNCTION("""COMPUTED_VALUE"""),407479.84308705)</f>
        <v>407479.8431</v>
      </c>
      <c r="G5900" s="22">
        <f>IFERROR(__xludf.DUMMYFUNCTION("""COMPUTED_VALUE"""),0.0)</f>
        <v>0</v>
      </c>
      <c r="H5900" s="22">
        <f>IFERROR(__xludf.DUMMYFUNCTION("""COMPUTED_VALUE"""),503422.0095961475)</f>
        <v>503422.0096</v>
      </c>
      <c r="I5900" s="24">
        <f>IFERROR(__xludf.DUMMYFUNCTION("""COMPUTED_VALUE"""),0.006844019192294937)</f>
        <v>0.006844019192</v>
      </c>
    </row>
    <row r="5901">
      <c r="A5901" s="5" t="str">
        <f>IFERROR(__xludf.DUMMYFUNCTION("""COMPUTED_VALUE"""),"76369")</f>
        <v>76369</v>
      </c>
      <c r="B5901" s="64">
        <f>IFERROR(__xludf.DUMMYFUNCTION("""COMPUTED_VALUE"""),44597.0)</f>
        <v>44597</v>
      </c>
      <c r="C5901" s="5"/>
      <c r="D5901" s="5"/>
      <c r="E5901" s="5"/>
      <c r="F5901" s="22">
        <f>IFERROR(__xludf.DUMMYFUNCTION("""COMPUTED_VALUE"""),500000.0)</f>
        <v>500000</v>
      </c>
      <c r="G5901" s="22">
        <f>IFERROR(__xludf.DUMMYFUNCTION("""COMPUTED_VALUE"""),0.0)</f>
        <v>0</v>
      </c>
      <c r="H5901" s="22">
        <f>IFERROR(__xludf.DUMMYFUNCTION("""COMPUTED_VALUE"""),500000.0)</f>
        <v>500000</v>
      </c>
      <c r="I5901" s="24">
        <f>IFERROR(__xludf.DUMMYFUNCTION("""COMPUTED_VALUE"""),0.0)</f>
        <v>0</v>
      </c>
    </row>
    <row r="5902">
      <c r="A5902" s="5" t="str">
        <f>IFERROR(__xludf.DUMMYFUNCTION("""COMPUTED_VALUE"""),"76369")</f>
        <v>76369</v>
      </c>
      <c r="B5902" s="64">
        <f>IFERROR(__xludf.DUMMYFUNCTION("""COMPUTED_VALUE"""),44598.0)</f>
        <v>44598</v>
      </c>
      <c r="C5902" s="5"/>
      <c r="D5902" s="5"/>
      <c r="E5902" s="5"/>
      <c r="F5902" s="22">
        <f>IFERROR(__xludf.DUMMYFUNCTION("""COMPUTED_VALUE"""),500000.0)</f>
        <v>500000</v>
      </c>
      <c r="G5902" s="22">
        <f>IFERROR(__xludf.DUMMYFUNCTION("""COMPUTED_VALUE"""),0.0)</f>
        <v>0</v>
      </c>
      <c r="H5902" s="22">
        <f>IFERROR(__xludf.DUMMYFUNCTION("""COMPUTED_VALUE"""),500000.0)</f>
        <v>500000</v>
      </c>
      <c r="I5902" s="24">
        <f>IFERROR(__xludf.DUMMYFUNCTION("""COMPUTED_VALUE"""),0.0)</f>
        <v>0</v>
      </c>
    </row>
    <row r="5903">
      <c r="A5903" s="5" t="str">
        <f>IFERROR(__xludf.DUMMYFUNCTION("""COMPUTED_VALUE"""),"76369")</f>
        <v>76369</v>
      </c>
      <c r="B5903" s="64">
        <f>IFERROR(__xludf.DUMMYFUNCTION("""COMPUTED_VALUE"""),44599.0)</f>
        <v>44599</v>
      </c>
      <c r="C5903" s="5"/>
      <c r="D5903" s="5"/>
      <c r="E5903" s="5"/>
      <c r="F5903" s="22">
        <f>IFERROR(__xludf.DUMMYFUNCTION("""COMPUTED_VALUE"""),500000.0)</f>
        <v>500000</v>
      </c>
      <c r="G5903" s="22">
        <f>IFERROR(__xludf.DUMMYFUNCTION("""COMPUTED_VALUE"""),0.0)</f>
        <v>0</v>
      </c>
      <c r="H5903" s="22">
        <f>IFERROR(__xludf.DUMMYFUNCTION("""COMPUTED_VALUE"""),500000.0)</f>
        <v>500000</v>
      </c>
      <c r="I5903" s="24">
        <f>IFERROR(__xludf.DUMMYFUNCTION("""COMPUTED_VALUE"""),0.0)</f>
        <v>0</v>
      </c>
    </row>
    <row r="5904">
      <c r="A5904" s="5" t="str">
        <f>IFERROR(__xludf.DUMMYFUNCTION("""COMPUTED_VALUE"""),"76369")</f>
        <v>76369</v>
      </c>
      <c r="B5904" s="64">
        <f>IFERROR(__xludf.DUMMYFUNCTION("""COMPUTED_VALUE"""),44600.0)</f>
        <v>44600</v>
      </c>
      <c r="C5904" s="5"/>
      <c r="D5904" s="5"/>
      <c r="E5904" s="5"/>
      <c r="F5904" s="22">
        <f>IFERROR(__xludf.DUMMYFUNCTION("""COMPUTED_VALUE"""),500000.0)</f>
        <v>500000</v>
      </c>
      <c r="G5904" s="22">
        <f>IFERROR(__xludf.DUMMYFUNCTION("""COMPUTED_VALUE"""),0.0)</f>
        <v>0</v>
      </c>
      <c r="H5904" s="22">
        <f>IFERROR(__xludf.DUMMYFUNCTION("""COMPUTED_VALUE"""),500000.0)</f>
        <v>500000</v>
      </c>
      <c r="I5904" s="24">
        <f>IFERROR(__xludf.DUMMYFUNCTION("""COMPUTED_VALUE"""),0.0)</f>
        <v>0</v>
      </c>
    </row>
    <row r="5905">
      <c r="A5905" s="5" t="str">
        <f>IFERROR(__xludf.DUMMYFUNCTION("""COMPUTED_VALUE"""),"76369")</f>
        <v>76369</v>
      </c>
      <c r="B5905" s="64">
        <f>IFERROR(__xludf.DUMMYFUNCTION("""COMPUTED_VALUE"""),44601.0)</f>
        <v>44601</v>
      </c>
      <c r="C5905" s="5"/>
      <c r="D5905" s="5"/>
      <c r="E5905" s="5"/>
      <c r="F5905" s="22">
        <f>IFERROR(__xludf.DUMMYFUNCTION("""COMPUTED_VALUE"""),500000.0)</f>
        <v>500000</v>
      </c>
      <c r="G5905" s="22">
        <f>IFERROR(__xludf.DUMMYFUNCTION("""COMPUTED_VALUE"""),0.0)</f>
        <v>0</v>
      </c>
      <c r="H5905" s="22">
        <f>IFERROR(__xludf.DUMMYFUNCTION("""COMPUTED_VALUE"""),500000.0)</f>
        <v>500000</v>
      </c>
      <c r="I5905" s="24">
        <f>IFERROR(__xludf.DUMMYFUNCTION("""COMPUTED_VALUE"""),0.0)</f>
        <v>0</v>
      </c>
    </row>
    <row r="5906">
      <c r="A5906" s="5" t="str">
        <f>IFERROR(__xludf.DUMMYFUNCTION("""COMPUTED_VALUE"""),"76369")</f>
        <v>76369</v>
      </c>
      <c r="B5906" s="64">
        <f>IFERROR(__xludf.DUMMYFUNCTION("""COMPUTED_VALUE"""),44602.0)</f>
        <v>44602</v>
      </c>
      <c r="C5906" s="5"/>
      <c r="D5906" s="5"/>
      <c r="E5906" s="5"/>
      <c r="F5906" s="22">
        <f>IFERROR(__xludf.DUMMYFUNCTION("""COMPUTED_VALUE"""),498482.747585)</f>
        <v>498482.7476</v>
      </c>
      <c r="G5906" s="22">
        <f>IFERROR(__xludf.DUMMYFUNCTION("""COMPUTED_VALUE"""),0.0)</f>
        <v>0</v>
      </c>
      <c r="H5906" s="22">
        <f>IFERROR(__xludf.DUMMYFUNCTION("""COMPUTED_VALUE"""),500000.0)</f>
        <v>500000</v>
      </c>
      <c r="I5906" s="24">
        <f>IFERROR(__xludf.DUMMYFUNCTION("""COMPUTED_VALUE"""),0.0)</f>
        <v>0</v>
      </c>
    </row>
    <row r="5907">
      <c r="A5907" s="5" t="str">
        <f>IFERROR(__xludf.DUMMYFUNCTION("""COMPUTED_VALUE"""),"76369")</f>
        <v>76369</v>
      </c>
      <c r="B5907" s="64">
        <f>IFERROR(__xludf.DUMMYFUNCTION("""COMPUTED_VALUE"""),44603.0)</f>
        <v>44603</v>
      </c>
      <c r="C5907" s="5"/>
      <c r="D5907" s="5"/>
      <c r="E5907" s="5"/>
      <c r="F5907" s="22">
        <f>IFERROR(__xludf.DUMMYFUNCTION("""COMPUTED_VALUE"""),498482.747585)</f>
        <v>498482.7476</v>
      </c>
      <c r="G5907" s="22">
        <f>IFERROR(__xludf.DUMMYFUNCTION("""COMPUTED_VALUE"""),0.0)</f>
        <v>0</v>
      </c>
      <c r="H5907" s="22">
        <f>IFERROR(__xludf.DUMMYFUNCTION("""COMPUTED_VALUE"""),499872.91256749997)</f>
        <v>499872.9126</v>
      </c>
      <c r="I5907" s="24">
        <f>IFERROR(__xludf.DUMMYFUNCTION("""COMPUTED_VALUE"""),-2.5417486500001196E-4)</f>
        <v>-0.000254174865</v>
      </c>
    </row>
    <row r="5908">
      <c r="A5908" s="5" t="str">
        <f>IFERROR(__xludf.DUMMYFUNCTION("""COMPUTED_VALUE"""),"76369")</f>
        <v>76369</v>
      </c>
      <c r="B5908" s="64">
        <f>IFERROR(__xludf.DUMMYFUNCTION("""COMPUTED_VALUE"""),44604.0)</f>
        <v>44604</v>
      </c>
      <c r="C5908" s="5"/>
      <c r="D5908" s="5"/>
      <c r="E5908" s="5"/>
      <c r="F5908" s="22">
        <f>IFERROR(__xludf.DUMMYFUNCTION("""COMPUTED_VALUE"""),498482.747585)</f>
        <v>498482.7476</v>
      </c>
      <c r="G5908" s="22">
        <f>IFERROR(__xludf.DUMMYFUNCTION("""COMPUTED_VALUE"""),0.0)</f>
        <v>0</v>
      </c>
      <c r="H5908" s="22">
        <f>IFERROR(__xludf.DUMMYFUNCTION("""COMPUTED_VALUE"""),499872.91256749997)</f>
        <v>499872.9126</v>
      </c>
      <c r="I5908" s="24">
        <f>IFERROR(__xludf.DUMMYFUNCTION("""COMPUTED_VALUE"""),-2.5417486500001196E-4)</f>
        <v>-0.000254174865</v>
      </c>
    </row>
    <row r="5909">
      <c r="A5909" s="5" t="str">
        <f>IFERROR(__xludf.DUMMYFUNCTION("""COMPUTED_VALUE"""),"76369")</f>
        <v>76369</v>
      </c>
      <c r="B5909" s="64">
        <f>IFERROR(__xludf.DUMMYFUNCTION("""COMPUTED_VALUE"""),44605.0)</f>
        <v>44605</v>
      </c>
      <c r="C5909" s="5"/>
      <c r="D5909" s="5"/>
      <c r="E5909" s="5"/>
      <c r="F5909" s="22">
        <f>IFERROR(__xludf.DUMMYFUNCTION("""COMPUTED_VALUE"""),498482.747585)</f>
        <v>498482.7476</v>
      </c>
      <c r="G5909" s="22">
        <f>IFERROR(__xludf.DUMMYFUNCTION("""COMPUTED_VALUE"""),0.0)</f>
        <v>0</v>
      </c>
      <c r="H5909" s="22">
        <f>IFERROR(__xludf.DUMMYFUNCTION("""COMPUTED_VALUE"""),499872.91256749997)</f>
        <v>499872.9126</v>
      </c>
      <c r="I5909" s="24">
        <f>IFERROR(__xludf.DUMMYFUNCTION("""COMPUTED_VALUE"""),-2.5417486500001196E-4)</f>
        <v>-0.000254174865</v>
      </c>
    </row>
    <row r="5910">
      <c r="A5910" s="5" t="str">
        <f>IFERROR(__xludf.DUMMYFUNCTION("""COMPUTED_VALUE"""),"76369")</f>
        <v>76369</v>
      </c>
      <c r="B5910" s="64">
        <f>IFERROR(__xludf.DUMMYFUNCTION("""COMPUTED_VALUE"""),44606.0)</f>
        <v>44606</v>
      </c>
      <c r="C5910" s="5"/>
      <c r="D5910" s="5"/>
      <c r="E5910" s="5"/>
      <c r="F5910" s="22">
        <f>IFERROR(__xludf.DUMMYFUNCTION("""COMPUTED_VALUE"""),498482.747585)</f>
        <v>498482.7476</v>
      </c>
      <c r="G5910" s="22">
        <f>IFERROR(__xludf.DUMMYFUNCTION("""COMPUTED_VALUE"""),0.0)</f>
        <v>0</v>
      </c>
      <c r="H5910" s="22">
        <f>IFERROR(__xludf.DUMMYFUNCTION("""COMPUTED_VALUE"""),499831.19982125)</f>
        <v>499831.1998</v>
      </c>
      <c r="I5910" s="24">
        <f>IFERROR(__xludf.DUMMYFUNCTION("""COMPUTED_VALUE"""),-3.3760035749996753E-4)</f>
        <v>-0.0003376003575</v>
      </c>
    </row>
    <row r="5911">
      <c r="A5911" s="5" t="str">
        <f>IFERROR(__xludf.DUMMYFUNCTION("""COMPUTED_VALUE"""),"76369")</f>
        <v>76369</v>
      </c>
      <c r="B5911" s="64">
        <f>IFERROR(__xludf.DUMMYFUNCTION("""COMPUTED_VALUE"""),44607.0)</f>
        <v>44607</v>
      </c>
      <c r="C5911" s="5"/>
      <c r="D5911" s="5"/>
      <c r="E5911" s="5"/>
      <c r="F5911" s="22">
        <f>IFERROR(__xludf.DUMMYFUNCTION("""COMPUTED_VALUE"""),498482.747585)</f>
        <v>498482.7476</v>
      </c>
      <c r="G5911" s="22">
        <f>IFERROR(__xludf.DUMMYFUNCTION("""COMPUTED_VALUE"""),0.0)</f>
        <v>0</v>
      </c>
      <c r="H5911" s="22">
        <f>IFERROR(__xludf.DUMMYFUNCTION("""COMPUTED_VALUE"""),499966.86370625)</f>
        <v>499966.8637</v>
      </c>
      <c r="I5911" s="24">
        <f>IFERROR(__xludf.DUMMYFUNCTION("""COMPUTED_VALUE"""),-6.627258750002696E-5)</f>
        <v>-0.0000662725875</v>
      </c>
    </row>
    <row r="5912">
      <c r="A5912" s="5" t="str">
        <f>IFERROR(__xludf.DUMMYFUNCTION("""COMPUTED_VALUE"""),"76369")</f>
        <v>76369</v>
      </c>
      <c r="B5912" s="64">
        <f>IFERROR(__xludf.DUMMYFUNCTION("""COMPUTED_VALUE"""),44608.0)</f>
        <v>44608</v>
      </c>
      <c r="C5912" s="5"/>
      <c r="D5912" s="5"/>
      <c r="E5912" s="5"/>
      <c r="F5912" s="22">
        <f>IFERROR(__xludf.DUMMYFUNCTION("""COMPUTED_VALUE"""),498482.747585)</f>
        <v>498482.7476</v>
      </c>
      <c r="G5912" s="22">
        <f>IFERROR(__xludf.DUMMYFUNCTION("""COMPUTED_VALUE"""),0.0)</f>
        <v>0</v>
      </c>
      <c r="H5912" s="22">
        <f>IFERROR(__xludf.DUMMYFUNCTION("""COMPUTED_VALUE"""),499934.89692875004)</f>
        <v>499934.8969</v>
      </c>
      <c r="I5912" s="24">
        <f>IFERROR(__xludf.DUMMYFUNCTION("""COMPUTED_VALUE"""),-1.3020614249992235E-4)</f>
        <v>-0.0001302061425</v>
      </c>
    </row>
    <row r="5913">
      <c r="A5913" s="5" t="str">
        <f>IFERROR(__xludf.DUMMYFUNCTION("""COMPUTED_VALUE"""),"76369")</f>
        <v>76369</v>
      </c>
      <c r="B5913" s="64">
        <f>IFERROR(__xludf.DUMMYFUNCTION("""COMPUTED_VALUE"""),44609.0)</f>
        <v>44609</v>
      </c>
      <c r="C5913" s="5"/>
      <c r="D5913" s="5"/>
      <c r="E5913" s="5"/>
      <c r="F5913" s="22">
        <f>IFERROR(__xludf.DUMMYFUNCTION("""COMPUTED_VALUE"""),498482.747585)</f>
        <v>498482.7476</v>
      </c>
      <c r="G5913" s="22">
        <f>IFERROR(__xludf.DUMMYFUNCTION("""COMPUTED_VALUE"""),0.0)</f>
        <v>0</v>
      </c>
      <c r="H5913" s="22">
        <f>IFERROR(__xludf.DUMMYFUNCTION("""COMPUTED_VALUE"""),499884.99756875)</f>
        <v>499884.9976</v>
      </c>
      <c r="I5913" s="24">
        <f>IFERROR(__xludf.DUMMYFUNCTION("""COMPUTED_VALUE"""),-2.3000486250002172E-4)</f>
        <v>-0.0002300048625</v>
      </c>
    </row>
    <row r="5914">
      <c r="A5914" s="5" t="str">
        <f>IFERROR(__xludf.DUMMYFUNCTION("""COMPUTED_VALUE"""),"76369")</f>
        <v>76369</v>
      </c>
      <c r="B5914" s="64">
        <f>IFERROR(__xludf.DUMMYFUNCTION("""COMPUTED_VALUE"""),44610.0)</f>
        <v>44610</v>
      </c>
      <c r="C5914" s="5"/>
      <c r="D5914" s="5"/>
      <c r="E5914" s="5"/>
      <c r="F5914" s="22">
        <f>IFERROR(__xludf.DUMMYFUNCTION("""COMPUTED_VALUE"""),498482.747585)</f>
        <v>498482.7476</v>
      </c>
      <c r="G5914" s="22">
        <f>IFERROR(__xludf.DUMMYFUNCTION("""COMPUTED_VALUE"""),0.0)</f>
        <v>0</v>
      </c>
      <c r="H5914" s="22">
        <f>IFERROR(__xludf.DUMMYFUNCTION("""COMPUTED_VALUE"""),499823.0132075)</f>
        <v>499823.0132</v>
      </c>
      <c r="I5914" s="24">
        <f>IFERROR(__xludf.DUMMYFUNCTION("""COMPUTED_VALUE"""),-3.539735850000003E-4)</f>
        <v>-0.000353973585</v>
      </c>
    </row>
    <row r="5915">
      <c r="A5915" s="5" t="str">
        <f>IFERROR(__xludf.DUMMYFUNCTION("""COMPUTED_VALUE"""),"76369")</f>
        <v>76369</v>
      </c>
      <c r="B5915" s="64">
        <f>IFERROR(__xludf.DUMMYFUNCTION("""COMPUTED_VALUE"""),44611.0)</f>
        <v>44611</v>
      </c>
      <c r="C5915" s="5"/>
      <c r="D5915" s="5"/>
      <c r="E5915" s="5"/>
      <c r="F5915" s="22">
        <f>IFERROR(__xludf.DUMMYFUNCTION("""COMPUTED_VALUE"""),498482.747585)</f>
        <v>498482.7476</v>
      </c>
      <c r="G5915" s="22">
        <f>IFERROR(__xludf.DUMMYFUNCTION("""COMPUTED_VALUE"""),0.0)</f>
        <v>0</v>
      </c>
      <c r="H5915" s="22">
        <f>IFERROR(__xludf.DUMMYFUNCTION("""COMPUTED_VALUE"""),499823.0132075)</f>
        <v>499823.0132</v>
      </c>
      <c r="I5915" s="24">
        <f>IFERROR(__xludf.DUMMYFUNCTION("""COMPUTED_VALUE"""),-3.539735850000003E-4)</f>
        <v>-0.000353973585</v>
      </c>
    </row>
    <row r="5916">
      <c r="A5916" s="5" t="str">
        <f>IFERROR(__xludf.DUMMYFUNCTION("""COMPUTED_VALUE"""),"76369")</f>
        <v>76369</v>
      </c>
      <c r="B5916" s="64">
        <f>IFERROR(__xludf.DUMMYFUNCTION("""COMPUTED_VALUE"""),44612.0)</f>
        <v>44612</v>
      </c>
      <c r="C5916" s="5"/>
      <c r="D5916" s="5"/>
      <c r="E5916" s="5"/>
      <c r="F5916" s="22">
        <f>IFERROR(__xludf.DUMMYFUNCTION("""COMPUTED_VALUE"""),498482.747585)</f>
        <v>498482.7476</v>
      </c>
      <c r="G5916" s="22">
        <f>IFERROR(__xludf.DUMMYFUNCTION("""COMPUTED_VALUE"""),0.0)</f>
        <v>0</v>
      </c>
      <c r="H5916" s="22">
        <f>IFERROR(__xludf.DUMMYFUNCTION("""COMPUTED_VALUE"""),499823.0132075)</f>
        <v>499823.0132</v>
      </c>
      <c r="I5916" s="24">
        <f>IFERROR(__xludf.DUMMYFUNCTION("""COMPUTED_VALUE"""),-3.539735850000003E-4)</f>
        <v>-0.000353973585</v>
      </c>
    </row>
    <row r="5917">
      <c r="A5917" s="5" t="str">
        <f>IFERROR(__xludf.DUMMYFUNCTION("""COMPUTED_VALUE"""),"76369")</f>
        <v>76369</v>
      </c>
      <c r="B5917" s="64">
        <f>IFERROR(__xludf.DUMMYFUNCTION("""COMPUTED_VALUE"""),44613.0)</f>
        <v>44613</v>
      </c>
      <c r="C5917" s="5"/>
      <c r="D5917" s="5"/>
      <c r="E5917" s="5"/>
      <c r="F5917" s="22">
        <f>IFERROR(__xludf.DUMMYFUNCTION("""COMPUTED_VALUE"""),498482.747585)</f>
        <v>498482.7476</v>
      </c>
      <c r="G5917" s="22">
        <f>IFERROR(__xludf.DUMMYFUNCTION("""COMPUTED_VALUE"""),0.0)</f>
        <v>0</v>
      </c>
      <c r="H5917" s="22">
        <f>IFERROR(__xludf.DUMMYFUNCTION("""COMPUTED_VALUE"""),499823.0132075)</f>
        <v>499823.0132</v>
      </c>
      <c r="I5917" s="24">
        <f>IFERROR(__xludf.DUMMYFUNCTION("""COMPUTED_VALUE"""),-3.539735850000003E-4)</f>
        <v>-0.000353973585</v>
      </c>
    </row>
    <row r="5918">
      <c r="A5918" s="5" t="str">
        <f>IFERROR(__xludf.DUMMYFUNCTION("""COMPUTED_VALUE"""),"76369")</f>
        <v>76369</v>
      </c>
      <c r="B5918" s="64">
        <f>IFERROR(__xludf.DUMMYFUNCTION("""COMPUTED_VALUE"""),44614.0)</f>
        <v>44614</v>
      </c>
      <c r="C5918" s="5"/>
      <c r="D5918" s="5"/>
      <c r="E5918" s="5"/>
      <c r="F5918" s="22">
        <f>IFERROR(__xludf.DUMMYFUNCTION("""COMPUTED_VALUE"""),498482.747585)</f>
        <v>498482.7476</v>
      </c>
      <c r="G5918" s="22">
        <f>IFERROR(__xludf.DUMMYFUNCTION("""COMPUTED_VALUE"""),0.0)</f>
        <v>0</v>
      </c>
      <c r="H5918" s="22">
        <f>IFERROR(__xludf.DUMMYFUNCTION("""COMPUTED_VALUE"""),499678.51883875)</f>
        <v>499678.5188</v>
      </c>
      <c r="I5918" s="24">
        <f>IFERROR(__xludf.DUMMYFUNCTION("""COMPUTED_VALUE"""),-6.429623224999403E-4)</f>
        <v>-0.0006429623225</v>
      </c>
    </row>
    <row r="5919">
      <c r="A5919" s="5" t="str">
        <f>IFERROR(__xludf.DUMMYFUNCTION("""COMPUTED_VALUE"""),"76369")</f>
        <v>76369</v>
      </c>
      <c r="B5919" s="64">
        <f>IFERROR(__xludf.DUMMYFUNCTION("""COMPUTED_VALUE"""),44615.0)</f>
        <v>44615</v>
      </c>
      <c r="C5919" s="5"/>
      <c r="D5919" s="5"/>
      <c r="E5919" s="5"/>
      <c r="F5919" s="22">
        <f>IFERROR(__xludf.DUMMYFUNCTION("""COMPUTED_VALUE"""),498482.747585)</f>
        <v>498482.7476</v>
      </c>
      <c r="G5919" s="22">
        <f>IFERROR(__xludf.DUMMYFUNCTION("""COMPUTED_VALUE"""),0.0)</f>
        <v>0</v>
      </c>
      <c r="H5919" s="22">
        <f>IFERROR(__xludf.DUMMYFUNCTION("""COMPUTED_VALUE"""),499627.4499625)</f>
        <v>499627.45</v>
      </c>
      <c r="I5919" s="24">
        <f>IFERROR(__xludf.DUMMYFUNCTION("""COMPUTED_VALUE"""),-7.451000749999492E-4)</f>
        <v>-0.000745100075</v>
      </c>
    </row>
    <row r="5920">
      <c r="A5920" s="5" t="str">
        <f>IFERROR(__xludf.DUMMYFUNCTION("""COMPUTED_VALUE"""),"76369")</f>
        <v>76369</v>
      </c>
      <c r="B5920" s="64">
        <f>IFERROR(__xludf.DUMMYFUNCTION("""COMPUTED_VALUE"""),44616.0)</f>
        <v>44616</v>
      </c>
      <c r="C5920" s="5"/>
      <c r="D5920" s="5"/>
      <c r="E5920" s="5"/>
      <c r="F5920" s="22">
        <f>IFERROR(__xludf.DUMMYFUNCTION("""COMPUTED_VALUE"""),498482.747585)</f>
        <v>498482.7476</v>
      </c>
      <c r="G5920" s="22">
        <f>IFERROR(__xludf.DUMMYFUNCTION("""COMPUTED_VALUE"""),0.0)</f>
        <v>0</v>
      </c>
      <c r="H5920" s="22">
        <f>IFERROR(__xludf.DUMMYFUNCTION("""COMPUTED_VALUE"""),499503.22795000003)</f>
        <v>499503.228</v>
      </c>
      <c r="I5920" s="24">
        <f>IFERROR(__xludf.DUMMYFUNCTION("""COMPUTED_VALUE"""),-9.935440999999656E-4)</f>
        <v>-0.0009935441</v>
      </c>
    </row>
    <row r="5921">
      <c r="A5921" s="5" t="str">
        <f>IFERROR(__xludf.DUMMYFUNCTION("""COMPUTED_VALUE"""),"76369")</f>
        <v>76369</v>
      </c>
      <c r="B5921" s="64">
        <f>IFERROR(__xludf.DUMMYFUNCTION("""COMPUTED_VALUE"""),44617.0)</f>
        <v>44617</v>
      </c>
      <c r="C5921" s="5"/>
      <c r="D5921" s="5"/>
      <c r="E5921" s="5"/>
      <c r="F5921" s="22">
        <f>IFERROR(__xludf.DUMMYFUNCTION("""COMPUTED_VALUE"""),498482.747585)</f>
        <v>498482.7476</v>
      </c>
      <c r="G5921" s="22">
        <f>IFERROR(__xludf.DUMMYFUNCTION("""COMPUTED_VALUE"""),0.0)</f>
        <v>0</v>
      </c>
      <c r="H5921" s="22">
        <f>IFERROR(__xludf.DUMMYFUNCTION("""COMPUTED_VALUE"""),494924.016265)</f>
        <v>494924.0163</v>
      </c>
      <c r="I5921" s="24">
        <f>IFERROR(__xludf.DUMMYFUNCTION("""COMPUTED_VALUE"""),-0.010151967470000023)</f>
        <v>-0.01015196747</v>
      </c>
    </row>
    <row r="5922">
      <c r="A5922" s="5" t="str">
        <f>IFERROR(__xludf.DUMMYFUNCTION("""COMPUTED_VALUE"""),"76369")</f>
        <v>76369</v>
      </c>
      <c r="B5922" s="64">
        <f>IFERROR(__xludf.DUMMYFUNCTION("""COMPUTED_VALUE"""),44618.0)</f>
        <v>44618</v>
      </c>
      <c r="C5922" s="5"/>
      <c r="D5922" s="5"/>
      <c r="E5922" s="5"/>
      <c r="F5922" s="22">
        <f>IFERROR(__xludf.DUMMYFUNCTION("""COMPUTED_VALUE"""),498482.747585)</f>
        <v>498482.7476</v>
      </c>
      <c r="G5922" s="22">
        <f>IFERROR(__xludf.DUMMYFUNCTION("""COMPUTED_VALUE"""),0.0)</f>
        <v>0</v>
      </c>
      <c r="H5922" s="22">
        <f>IFERROR(__xludf.DUMMYFUNCTION("""COMPUTED_VALUE"""),494924.016265)</f>
        <v>494924.0163</v>
      </c>
      <c r="I5922" s="24">
        <f>IFERROR(__xludf.DUMMYFUNCTION("""COMPUTED_VALUE"""),-0.010151967470000023)</f>
        <v>-0.01015196747</v>
      </c>
    </row>
    <row r="5923">
      <c r="A5923" s="5" t="str">
        <f>IFERROR(__xludf.DUMMYFUNCTION("""COMPUTED_VALUE"""),"76369")</f>
        <v>76369</v>
      </c>
      <c r="B5923" s="64">
        <f>IFERROR(__xludf.DUMMYFUNCTION("""COMPUTED_VALUE"""),44619.0)</f>
        <v>44619</v>
      </c>
      <c r="C5923" s="5"/>
      <c r="D5923" s="5"/>
      <c r="E5923" s="5"/>
      <c r="F5923" s="22">
        <f>IFERROR(__xludf.DUMMYFUNCTION("""COMPUTED_VALUE"""),498482.747585)</f>
        <v>498482.7476</v>
      </c>
      <c r="G5923" s="22">
        <f>IFERROR(__xludf.DUMMYFUNCTION("""COMPUTED_VALUE"""),0.0)</f>
        <v>0</v>
      </c>
      <c r="H5923" s="22">
        <f>IFERROR(__xludf.DUMMYFUNCTION("""COMPUTED_VALUE"""),494924.016265)</f>
        <v>494924.0163</v>
      </c>
      <c r="I5923" s="24">
        <f>IFERROR(__xludf.DUMMYFUNCTION("""COMPUTED_VALUE"""),-0.010151967470000023)</f>
        <v>-0.01015196747</v>
      </c>
    </row>
    <row r="5924">
      <c r="A5924" s="5" t="str">
        <f>IFERROR(__xludf.DUMMYFUNCTION("""COMPUTED_VALUE"""),"76369")</f>
        <v>76369</v>
      </c>
      <c r="B5924" s="64">
        <f>IFERROR(__xludf.DUMMYFUNCTION("""COMPUTED_VALUE"""),44620.0)</f>
        <v>44620</v>
      </c>
      <c r="C5924" s="5"/>
      <c r="D5924" s="5"/>
      <c r="E5924" s="5"/>
      <c r="F5924" s="22">
        <f>IFERROR(__xludf.DUMMYFUNCTION("""COMPUTED_VALUE"""),498482.747585)</f>
        <v>498482.7476</v>
      </c>
      <c r="G5924" s="22">
        <f>IFERROR(__xludf.DUMMYFUNCTION("""COMPUTED_VALUE"""),0.0)</f>
        <v>0</v>
      </c>
      <c r="H5924" s="22">
        <f>IFERROR(__xludf.DUMMYFUNCTION("""COMPUTED_VALUE"""),495306.11888625)</f>
        <v>495306.1189</v>
      </c>
      <c r="I5924" s="24">
        <f>IFERROR(__xludf.DUMMYFUNCTION("""COMPUTED_VALUE"""),-0.00938776222749993)</f>
        <v>-0.009387762227</v>
      </c>
    </row>
    <row r="5925">
      <c r="A5925" s="5" t="str">
        <f>IFERROR(__xludf.DUMMYFUNCTION("""COMPUTED_VALUE"""),"76369")</f>
        <v>76369</v>
      </c>
      <c r="B5925" s="64">
        <f>IFERROR(__xludf.DUMMYFUNCTION("""COMPUTED_VALUE"""),44621.0)</f>
        <v>44621</v>
      </c>
      <c r="C5925" s="5"/>
      <c r="D5925" s="5"/>
      <c r="E5925" s="5"/>
      <c r="F5925" s="22">
        <f>IFERROR(__xludf.DUMMYFUNCTION("""COMPUTED_VALUE"""),498482.747585)</f>
        <v>498482.7476</v>
      </c>
      <c r="G5925" s="22">
        <f>IFERROR(__xludf.DUMMYFUNCTION("""COMPUTED_VALUE"""),0.0)</f>
        <v>0</v>
      </c>
      <c r="H5925" s="22">
        <f>IFERROR(__xludf.DUMMYFUNCTION("""COMPUTED_VALUE"""),494653.29501874995)</f>
        <v>494653.295</v>
      </c>
      <c r="I5925" s="24">
        <f>IFERROR(__xludf.DUMMYFUNCTION("""COMPUTED_VALUE"""),-0.010693409962500122)</f>
        <v>-0.01069340996</v>
      </c>
    </row>
    <row r="5926">
      <c r="A5926" s="5" t="str">
        <f>IFERROR(__xludf.DUMMYFUNCTION("""COMPUTED_VALUE"""),"76369")</f>
        <v>76369</v>
      </c>
      <c r="B5926" s="64">
        <f>IFERROR(__xludf.DUMMYFUNCTION("""COMPUTED_VALUE"""),44622.0)</f>
        <v>44622</v>
      </c>
      <c r="C5926" s="5"/>
      <c r="D5926" s="5"/>
      <c r="E5926" s="5"/>
      <c r="F5926" s="22">
        <f>IFERROR(__xludf.DUMMYFUNCTION("""COMPUTED_VALUE"""),498482.747585)</f>
        <v>498482.7476</v>
      </c>
      <c r="G5926" s="22">
        <f>IFERROR(__xludf.DUMMYFUNCTION("""COMPUTED_VALUE"""),0.0)</f>
        <v>0</v>
      </c>
      <c r="H5926" s="22">
        <f>IFERROR(__xludf.DUMMYFUNCTION("""COMPUTED_VALUE"""),495359.31777500006)</f>
        <v>495359.3178</v>
      </c>
      <c r="I5926" s="24">
        <f>IFERROR(__xludf.DUMMYFUNCTION("""COMPUTED_VALUE"""),-0.00928136444999983)</f>
        <v>-0.00928136445</v>
      </c>
    </row>
    <row r="5927">
      <c r="A5927" s="5" t="str">
        <f>IFERROR(__xludf.DUMMYFUNCTION("""COMPUTED_VALUE"""),"76369")</f>
        <v>76369</v>
      </c>
      <c r="B5927" s="64">
        <f>IFERROR(__xludf.DUMMYFUNCTION("""COMPUTED_VALUE"""),44623.0)</f>
        <v>44623</v>
      </c>
      <c r="C5927" s="5"/>
      <c r="D5927" s="5"/>
      <c r="E5927" s="5"/>
      <c r="F5927" s="22">
        <f>IFERROR(__xludf.DUMMYFUNCTION("""COMPUTED_VALUE"""),498482.747585)</f>
        <v>498482.7476</v>
      </c>
      <c r="G5927" s="22">
        <f>IFERROR(__xludf.DUMMYFUNCTION("""COMPUTED_VALUE"""),0.0)</f>
        <v>0</v>
      </c>
      <c r="H5927" s="22">
        <f>IFERROR(__xludf.DUMMYFUNCTION("""COMPUTED_VALUE"""),495348.6429125)</f>
        <v>495348.6429</v>
      </c>
      <c r="I5927" s="24">
        <f>IFERROR(__xludf.DUMMYFUNCTION("""COMPUTED_VALUE"""),-0.009302714174999949)</f>
        <v>-0.009302714175</v>
      </c>
    </row>
    <row r="5928">
      <c r="A5928" s="5" t="str">
        <f>IFERROR(__xludf.DUMMYFUNCTION("""COMPUTED_VALUE"""),"76369")</f>
        <v>76369</v>
      </c>
      <c r="B5928" s="64">
        <f>IFERROR(__xludf.DUMMYFUNCTION("""COMPUTED_VALUE"""),44624.0)</f>
        <v>44624</v>
      </c>
      <c r="C5928" s="5"/>
      <c r="D5928" s="5"/>
      <c r="E5928" s="5"/>
      <c r="F5928" s="22">
        <f>IFERROR(__xludf.DUMMYFUNCTION("""COMPUTED_VALUE"""),498482.747585)</f>
        <v>498482.7476</v>
      </c>
      <c r="G5928" s="22">
        <f>IFERROR(__xludf.DUMMYFUNCTION("""COMPUTED_VALUE"""),0.0)</f>
        <v>0</v>
      </c>
      <c r="H5928" s="22">
        <f>IFERROR(__xludf.DUMMYFUNCTION("""COMPUTED_VALUE"""),494448.25987500005)</f>
        <v>494448.2599</v>
      </c>
      <c r="I5928" s="24">
        <f>IFERROR(__xludf.DUMMYFUNCTION("""COMPUTED_VALUE"""),-0.011103480249999853)</f>
        <v>-0.01110348025</v>
      </c>
    </row>
    <row r="5929">
      <c r="A5929" s="5" t="str">
        <f>IFERROR(__xludf.DUMMYFUNCTION("""COMPUTED_VALUE"""),"76369")</f>
        <v>76369</v>
      </c>
      <c r="B5929" s="64">
        <f>IFERROR(__xludf.DUMMYFUNCTION("""COMPUTED_VALUE"""),44625.0)</f>
        <v>44625</v>
      </c>
      <c r="C5929" s="5"/>
      <c r="D5929" s="5"/>
      <c r="E5929" s="5"/>
      <c r="F5929" s="22">
        <f>IFERROR(__xludf.DUMMYFUNCTION("""COMPUTED_VALUE"""),498482.747585)</f>
        <v>498482.7476</v>
      </c>
      <c r="G5929" s="22">
        <f>IFERROR(__xludf.DUMMYFUNCTION("""COMPUTED_VALUE"""),0.0)</f>
        <v>0</v>
      </c>
      <c r="H5929" s="22">
        <f>IFERROR(__xludf.DUMMYFUNCTION("""COMPUTED_VALUE"""),494448.25987500005)</f>
        <v>494448.2599</v>
      </c>
      <c r="I5929" s="24">
        <f>IFERROR(__xludf.DUMMYFUNCTION("""COMPUTED_VALUE"""),-0.011103480249999853)</f>
        <v>-0.01110348025</v>
      </c>
    </row>
    <row r="5930">
      <c r="A5930" s="5" t="str">
        <f>IFERROR(__xludf.DUMMYFUNCTION("""COMPUTED_VALUE"""),"76369")</f>
        <v>76369</v>
      </c>
      <c r="B5930" s="64">
        <f>IFERROR(__xludf.DUMMYFUNCTION("""COMPUTED_VALUE"""),44626.0)</f>
        <v>44626</v>
      </c>
      <c r="C5930" s="5"/>
      <c r="D5930" s="5"/>
      <c r="E5930" s="5"/>
      <c r="F5930" s="22">
        <f>IFERROR(__xludf.DUMMYFUNCTION("""COMPUTED_VALUE"""),498482.747585)</f>
        <v>498482.7476</v>
      </c>
      <c r="G5930" s="22">
        <f>IFERROR(__xludf.DUMMYFUNCTION("""COMPUTED_VALUE"""),0.0)</f>
        <v>0</v>
      </c>
      <c r="H5930" s="22">
        <f>IFERROR(__xludf.DUMMYFUNCTION("""COMPUTED_VALUE"""),494448.25987500005)</f>
        <v>494448.2599</v>
      </c>
      <c r="I5930" s="24">
        <f>IFERROR(__xludf.DUMMYFUNCTION("""COMPUTED_VALUE"""),-0.011103480249999853)</f>
        <v>-0.01110348025</v>
      </c>
    </row>
    <row r="5931">
      <c r="A5931" s="5" t="str">
        <f>IFERROR(__xludf.DUMMYFUNCTION("""COMPUTED_VALUE"""),"76369")</f>
        <v>76369</v>
      </c>
      <c r="B5931" s="64">
        <f>IFERROR(__xludf.DUMMYFUNCTION("""COMPUTED_VALUE"""),44627.0)</f>
        <v>44627</v>
      </c>
      <c r="C5931" s="5"/>
      <c r="D5931" s="5"/>
      <c r="E5931" s="5"/>
      <c r="F5931" s="22">
        <f>IFERROR(__xludf.DUMMYFUNCTION("""COMPUTED_VALUE"""),498482.747585)</f>
        <v>498482.7476</v>
      </c>
      <c r="G5931" s="22">
        <f>IFERROR(__xludf.DUMMYFUNCTION("""COMPUTED_VALUE"""),0.0)</f>
        <v>0</v>
      </c>
      <c r="H5931" s="22">
        <f>IFERROR(__xludf.DUMMYFUNCTION("""COMPUTED_VALUE"""),494302.16454250005)</f>
        <v>494302.1645</v>
      </c>
      <c r="I5931" s="24">
        <f>IFERROR(__xludf.DUMMYFUNCTION("""COMPUTED_VALUE"""),-0.011395670914999934)</f>
        <v>-0.01139567091</v>
      </c>
    </row>
    <row r="5932">
      <c r="A5932" s="5" t="str">
        <f>IFERROR(__xludf.DUMMYFUNCTION("""COMPUTED_VALUE"""),"76369")</f>
        <v>76369</v>
      </c>
      <c r="B5932" s="64">
        <f>IFERROR(__xludf.DUMMYFUNCTION("""COMPUTED_VALUE"""),44628.0)</f>
        <v>44628</v>
      </c>
      <c r="C5932" s="5"/>
      <c r="D5932" s="5"/>
      <c r="E5932" s="5"/>
      <c r="F5932" s="22">
        <f>IFERROR(__xludf.DUMMYFUNCTION("""COMPUTED_VALUE"""),498482.747585)</f>
        <v>498482.7476</v>
      </c>
      <c r="G5932" s="22">
        <f>IFERROR(__xludf.DUMMYFUNCTION("""COMPUTED_VALUE"""),0.0)</f>
        <v>0</v>
      </c>
      <c r="H5932" s="22">
        <f>IFERROR(__xludf.DUMMYFUNCTION("""COMPUTED_VALUE"""),493625.11743150005)</f>
        <v>493625.1174</v>
      </c>
      <c r="I5932" s="24">
        <f>IFERROR(__xludf.DUMMYFUNCTION("""COMPUTED_VALUE"""),-0.01274976513699988)</f>
        <v>-0.01274976514</v>
      </c>
    </row>
    <row r="5933">
      <c r="A5933" s="5" t="str">
        <f>IFERROR(__xludf.DUMMYFUNCTION("""COMPUTED_VALUE"""),"76369")</f>
        <v>76369</v>
      </c>
      <c r="B5933" s="64">
        <f>IFERROR(__xludf.DUMMYFUNCTION("""COMPUTED_VALUE"""),44629.0)</f>
        <v>44629</v>
      </c>
      <c r="C5933" s="5"/>
      <c r="D5933" s="5"/>
      <c r="E5933" s="5"/>
      <c r="F5933" s="22">
        <f>IFERROR(__xludf.DUMMYFUNCTION("""COMPUTED_VALUE"""),498482.747585)</f>
        <v>498482.7476</v>
      </c>
      <c r="G5933" s="22">
        <f>IFERROR(__xludf.DUMMYFUNCTION("""COMPUTED_VALUE"""),0.0)</f>
        <v>0</v>
      </c>
      <c r="H5933" s="22">
        <f>IFERROR(__xludf.DUMMYFUNCTION("""COMPUTED_VALUE"""),493091.00959775003)</f>
        <v>493091.0096</v>
      </c>
      <c r="I5933" s="24">
        <f>IFERROR(__xludf.DUMMYFUNCTION("""COMPUTED_VALUE"""),-0.013817980804499919)</f>
        <v>-0.0138179808</v>
      </c>
    </row>
    <row r="5934">
      <c r="A5934" s="5" t="str">
        <f>IFERROR(__xludf.DUMMYFUNCTION("""COMPUTED_VALUE"""),"76369")</f>
        <v>76369</v>
      </c>
      <c r="B5934" s="64">
        <f>IFERROR(__xludf.DUMMYFUNCTION("""COMPUTED_VALUE"""),44630.0)</f>
        <v>44630</v>
      </c>
      <c r="C5934" s="5"/>
      <c r="D5934" s="5"/>
      <c r="E5934" s="5"/>
      <c r="F5934" s="22">
        <f>IFERROR(__xludf.DUMMYFUNCTION("""COMPUTED_VALUE"""),498482.747585)</f>
        <v>498482.7476</v>
      </c>
      <c r="G5934" s="22">
        <f>IFERROR(__xludf.DUMMYFUNCTION("""COMPUTED_VALUE"""),0.0)</f>
        <v>0</v>
      </c>
      <c r="H5934" s="22">
        <f>IFERROR(__xludf.DUMMYFUNCTION("""COMPUTED_VALUE"""),492990.13115150004)</f>
        <v>492990.1312</v>
      </c>
      <c r="I5934" s="24">
        <f>IFERROR(__xludf.DUMMYFUNCTION("""COMPUTED_VALUE"""),-0.014019737696999934)</f>
        <v>-0.0140197377</v>
      </c>
    </row>
    <row r="5935">
      <c r="A5935" s="5" t="str">
        <f>IFERROR(__xludf.DUMMYFUNCTION("""COMPUTED_VALUE"""),"76369")</f>
        <v>76369</v>
      </c>
      <c r="B5935" s="64">
        <f>IFERROR(__xludf.DUMMYFUNCTION("""COMPUTED_VALUE"""),44631.0)</f>
        <v>44631</v>
      </c>
      <c r="C5935" s="5"/>
      <c r="D5935" s="5"/>
      <c r="E5935" s="5"/>
      <c r="F5935" s="22">
        <f>IFERROR(__xludf.DUMMYFUNCTION("""COMPUTED_VALUE"""),498482.747585)</f>
        <v>498482.7476</v>
      </c>
      <c r="G5935" s="22">
        <f>IFERROR(__xludf.DUMMYFUNCTION("""COMPUTED_VALUE"""),0.0)</f>
        <v>0</v>
      </c>
      <c r="H5935" s="22">
        <f>IFERROR(__xludf.DUMMYFUNCTION("""COMPUTED_VALUE"""),491517.31682725006)</f>
        <v>491517.3168</v>
      </c>
      <c r="I5935" s="24">
        <f>IFERROR(__xludf.DUMMYFUNCTION("""COMPUTED_VALUE"""),-0.016965366345499833)</f>
        <v>-0.01696536635</v>
      </c>
    </row>
    <row r="5936">
      <c r="A5936" s="5" t="str">
        <f>IFERROR(__xludf.DUMMYFUNCTION("""COMPUTED_VALUE"""),"76369")</f>
        <v>76369</v>
      </c>
      <c r="B5936" s="64">
        <f>IFERROR(__xludf.DUMMYFUNCTION("""COMPUTED_VALUE"""),44632.0)</f>
        <v>44632</v>
      </c>
      <c r="C5936" s="5"/>
      <c r="D5936" s="5"/>
      <c r="E5936" s="5"/>
      <c r="F5936" s="22">
        <f>IFERROR(__xludf.DUMMYFUNCTION("""COMPUTED_VALUE"""),498482.747585)</f>
        <v>498482.7476</v>
      </c>
      <c r="G5936" s="22">
        <f>IFERROR(__xludf.DUMMYFUNCTION("""COMPUTED_VALUE"""),0.0)</f>
        <v>0</v>
      </c>
      <c r="H5936" s="22">
        <f>IFERROR(__xludf.DUMMYFUNCTION("""COMPUTED_VALUE"""),491517.31682725006)</f>
        <v>491517.3168</v>
      </c>
      <c r="I5936" s="24">
        <f>IFERROR(__xludf.DUMMYFUNCTION("""COMPUTED_VALUE"""),-0.016965366345499833)</f>
        <v>-0.01696536635</v>
      </c>
    </row>
    <row r="5937">
      <c r="A5937" s="5" t="str">
        <f>IFERROR(__xludf.DUMMYFUNCTION("""COMPUTED_VALUE"""),"76369")</f>
        <v>76369</v>
      </c>
      <c r="B5937" s="64">
        <f>IFERROR(__xludf.DUMMYFUNCTION("""COMPUTED_VALUE"""),44633.0)</f>
        <v>44633</v>
      </c>
      <c r="C5937" s="5"/>
      <c r="D5937" s="5"/>
      <c r="E5937" s="5"/>
      <c r="F5937" s="22">
        <f>IFERROR(__xludf.DUMMYFUNCTION("""COMPUTED_VALUE"""),498482.747585)</f>
        <v>498482.7476</v>
      </c>
      <c r="G5937" s="22">
        <f>IFERROR(__xludf.DUMMYFUNCTION("""COMPUTED_VALUE"""),0.0)</f>
        <v>0</v>
      </c>
      <c r="H5937" s="22">
        <f>IFERROR(__xludf.DUMMYFUNCTION("""COMPUTED_VALUE"""),491517.31682725006)</f>
        <v>491517.3168</v>
      </c>
      <c r="I5937" s="24">
        <f>IFERROR(__xludf.DUMMYFUNCTION("""COMPUTED_VALUE"""),-0.016965366345499833)</f>
        <v>-0.01696536635</v>
      </c>
    </row>
    <row r="5938">
      <c r="A5938" s="5" t="str">
        <f>IFERROR(__xludf.DUMMYFUNCTION("""COMPUTED_VALUE"""),"76369")</f>
        <v>76369</v>
      </c>
      <c r="B5938" s="64">
        <f>IFERROR(__xludf.DUMMYFUNCTION("""COMPUTED_VALUE"""),44634.0)</f>
        <v>44634</v>
      </c>
      <c r="C5938" s="5"/>
      <c r="D5938" s="5"/>
      <c r="E5938" s="5"/>
      <c r="F5938" s="22">
        <f>IFERROR(__xludf.DUMMYFUNCTION("""COMPUTED_VALUE"""),498482.747585)</f>
        <v>498482.7476</v>
      </c>
      <c r="G5938" s="22">
        <f>IFERROR(__xludf.DUMMYFUNCTION("""COMPUTED_VALUE"""),0.0)</f>
        <v>0</v>
      </c>
      <c r="H5938" s="22">
        <f>IFERROR(__xludf.DUMMYFUNCTION("""COMPUTED_VALUE"""),487282.7977350001)</f>
        <v>487282.7977</v>
      </c>
      <c r="I5938" s="24">
        <f>IFERROR(__xludf.DUMMYFUNCTION("""COMPUTED_VALUE"""),-0.025434404529999788)</f>
        <v>-0.02543440453</v>
      </c>
    </row>
    <row r="5939">
      <c r="A5939" s="5" t="str">
        <f>IFERROR(__xludf.DUMMYFUNCTION("""COMPUTED_VALUE"""),"76369")</f>
        <v>76369</v>
      </c>
      <c r="B5939" s="64">
        <f>IFERROR(__xludf.DUMMYFUNCTION("""COMPUTED_VALUE"""),44635.0)</f>
        <v>44635</v>
      </c>
      <c r="C5939" s="5"/>
      <c r="D5939" s="5"/>
      <c r="E5939" s="5"/>
      <c r="F5939" s="22">
        <f>IFERROR(__xludf.DUMMYFUNCTION("""COMPUTED_VALUE"""),498482.747585)</f>
        <v>498482.7476</v>
      </c>
      <c r="G5939" s="22">
        <f>IFERROR(__xludf.DUMMYFUNCTION("""COMPUTED_VALUE"""),0.0)</f>
        <v>0</v>
      </c>
      <c r="H5939" s="22">
        <f>IFERROR(__xludf.DUMMYFUNCTION("""COMPUTED_VALUE"""),483919.91552325006)</f>
        <v>483919.9155</v>
      </c>
      <c r="I5939" s="24">
        <f>IFERROR(__xludf.DUMMYFUNCTION("""COMPUTED_VALUE"""),-0.032160168953499824)</f>
        <v>-0.03216016895</v>
      </c>
    </row>
    <row r="5940">
      <c r="A5940" s="5" t="str">
        <f>IFERROR(__xludf.DUMMYFUNCTION("""COMPUTED_VALUE"""),"76369")</f>
        <v>76369</v>
      </c>
      <c r="B5940" s="64">
        <f>IFERROR(__xludf.DUMMYFUNCTION("""COMPUTED_VALUE"""),44636.0)</f>
        <v>44636</v>
      </c>
      <c r="C5940" s="5"/>
      <c r="D5940" s="5"/>
      <c r="E5940" s="5"/>
      <c r="F5940" s="22">
        <f>IFERROR(__xludf.DUMMYFUNCTION("""COMPUTED_VALUE"""),498482.747585)</f>
        <v>498482.7476</v>
      </c>
      <c r="G5940" s="22">
        <f>IFERROR(__xludf.DUMMYFUNCTION("""COMPUTED_VALUE"""),0.0)</f>
        <v>0</v>
      </c>
      <c r="H5940" s="22">
        <f>IFERROR(__xludf.DUMMYFUNCTION("""COMPUTED_VALUE"""),485541.09403525)</f>
        <v>485541.094</v>
      </c>
      <c r="I5940" s="24">
        <f>IFERROR(__xludf.DUMMYFUNCTION("""COMPUTED_VALUE"""),-0.028917811929499937)</f>
        <v>-0.02891781193</v>
      </c>
    </row>
    <row r="5941">
      <c r="A5941" s="5" t="str">
        <f>IFERROR(__xludf.DUMMYFUNCTION("""COMPUTED_VALUE"""),"76369")</f>
        <v>76369</v>
      </c>
      <c r="B5941" s="64">
        <f>IFERROR(__xludf.DUMMYFUNCTION("""COMPUTED_VALUE"""),44637.0)</f>
        <v>44637</v>
      </c>
      <c r="C5941" s="5"/>
      <c r="D5941" s="5"/>
      <c r="E5941" s="5"/>
      <c r="F5941" s="22">
        <f>IFERROR(__xludf.DUMMYFUNCTION("""COMPUTED_VALUE"""),498482.747585)</f>
        <v>498482.7476</v>
      </c>
      <c r="G5941" s="22">
        <f>IFERROR(__xludf.DUMMYFUNCTION("""COMPUTED_VALUE"""),0.0)</f>
        <v>0</v>
      </c>
      <c r="H5941" s="22">
        <f>IFERROR(__xludf.DUMMYFUNCTION("""COMPUTED_VALUE"""),491912.0527360001)</f>
        <v>491912.0527</v>
      </c>
      <c r="I5941" s="24">
        <f>IFERROR(__xludf.DUMMYFUNCTION("""COMPUTED_VALUE"""),-0.016175894527999835)</f>
        <v>-0.01617589453</v>
      </c>
    </row>
    <row r="5942">
      <c r="A5942" s="5" t="str">
        <f>IFERROR(__xludf.DUMMYFUNCTION("""COMPUTED_VALUE"""),"76369")</f>
        <v>76369</v>
      </c>
      <c r="B5942" s="64">
        <f>IFERROR(__xludf.DUMMYFUNCTION("""COMPUTED_VALUE"""),44638.0)</f>
        <v>44638</v>
      </c>
      <c r="C5942" s="5"/>
      <c r="D5942" s="5"/>
      <c r="E5942" s="5"/>
      <c r="F5942" s="22">
        <f>IFERROR(__xludf.DUMMYFUNCTION("""COMPUTED_VALUE"""),498482.747585)</f>
        <v>498482.7476</v>
      </c>
      <c r="G5942" s="22">
        <f>IFERROR(__xludf.DUMMYFUNCTION("""COMPUTED_VALUE"""),0.0)</f>
        <v>0</v>
      </c>
      <c r="H5942" s="22">
        <f>IFERROR(__xludf.DUMMYFUNCTION("""COMPUTED_VALUE"""),492024.11418825004)</f>
        <v>492024.1142</v>
      </c>
      <c r="I5942" s="24">
        <f>IFERROR(__xludf.DUMMYFUNCTION("""COMPUTED_VALUE"""),-0.015951771623499922)</f>
        <v>-0.01595177162</v>
      </c>
    </row>
    <row r="5943">
      <c r="A5943" s="5" t="str">
        <f>IFERROR(__xludf.DUMMYFUNCTION("""COMPUTED_VALUE"""),"76369")</f>
        <v>76369</v>
      </c>
      <c r="B5943" s="64">
        <f>IFERROR(__xludf.DUMMYFUNCTION("""COMPUTED_VALUE"""),44639.0)</f>
        <v>44639</v>
      </c>
      <c r="C5943" s="5"/>
      <c r="D5943" s="5"/>
      <c r="E5943" s="5"/>
      <c r="F5943" s="22">
        <f>IFERROR(__xludf.DUMMYFUNCTION("""COMPUTED_VALUE"""),498482.747585)</f>
        <v>498482.7476</v>
      </c>
      <c r="G5943" s="22">
        <f>IFERROR(__xludf.DUMMYFUNCTION("""COMPUTED_VALUE"""),0.0)</f>
        <v>0</v>
      </c>
      <c r="H5943" s="22">
        <f>IFERROR(__xludf.DUMMYFUNCTION("""COMPUTED_VALUE"""),492024.11418825004)</f>
        <v>492024.1142</v>
      </c>
      <c r="I5943" s="24">
        <f>IFERROR(__xludf.DUMMYFUNCTION("""COMPUTED_VALUE"""),-0.015951771623499922)</f>
        <v>-0.01595177162</v>
      </c>
    </row>
    <row r="5944">
      <c r="A5944" s="5" t="str">
        <f>IFERROR(__xludf.DUMMYFUNCTION("""COMPUTED_VALUE"""),"76369")</f>
        <v>76369</v>
      </c>
      <c r="B5944" s="64">
        <f>IFERROR(__xludf.DUMMYFUNCTION("""COMPUTED_VALUE"""),44640.0)</f>
        <v>44640</v>
      </c>
      <c r="C5944" s="5"/>
      <c r="D5944" s="5"/>
      <c r="E5944" s="5"/>
      <c r="F5944" s="22">
        <f>IFERROR(__xludf.DUMMYFUNCTION("""COMPUTED_VALUE"""),498482.747585)</f>
        <v>498482.7476</v>
      </c>
      <c r="G5944" s="22">
        <f>IFERROR(__xludf.DUMMYFUNCTION("""COMPUTED_VALUE"""),0.0)</f>
        <v>0</v>
      </c>
      <c r="H5944" s="22">
        <f>IFERROR(__xludf.DUMMYFUNCTION("""COMPUTED_VALUE"""),492024.11418825004)</f>
        <v>492024.1142</v>
      </c>
      <c r="I5944" s="24">
        <f>IFERROR(__xludf.DUMMYFUNCTION("""COMPUTED_VALUE"""),-0.015951771623499922)</f>
        <v>-0.01595177162</v>
      </c>
    </row>
    <row r="5945">
      <c r="A5945" s="5" t="str">
        <f>IFERROR(__xludf.DUMMYFUNCTION("""COMPUTED_VALUE"""),"76369")</f>
        <v>76369</v>
      </c>
      <c r="B5945" s="64">
        <f>IFERROR(__xludf.DUMMYFUNCTION("""COMPUTED_VALUE"""),44641.0)</f>
        <v>44641</v>
      </c>
      <c r="C5945" s="5"/>
      <c r="D5945" s="5"/>
      <c r="E5945" s="5"/>
      <c r="F5945" s="22">
        <f>IFERROR(__xludf.DUMMYFUNCTION("""COMPUTED_VALUE"""),498482.747585)</f>
        <v>498482.7476</v>
      </c>
      <c r="G5945" s="22">
        <f>IFERROR(__xludf.DUMMYFUNCTION("""COMPUTED_VALUE"""),0.0)</f>
        <v>0</v>
      </c>
      <c r="H5945" s="22">
        <f>IFERROR(__xludf.DUMMYFUNCTION("""COMPUTED_VALUE"""),495036.851522)</f>
        <v>495036.8515</v>
      </c>
      <c r="I5945" s="24">
        <f>IFERROR(__xludf.DUMMYFUNCTION("""COMPUTED_VALUE"""),-0.009926296956000003)</f>
        <v>-0.009926296956</v>
      </c>
    </row>
    <row r="5946">
      <c r="A5946" s="5" t="str">
        <f>IFERROR(__xludf.DUMMYFUNCTION("""COMPUTED_VALUE"""),"76369")</f>
        <v>76369</v>
      </c>
      <c r="B5946" s="64">
        <f>IFERROR(__xludf.DUMMYFUNCTION("""COMPUTED_VALUE"""),44642.0)</f>
        <v>44642</v>
      </c>
      <c r="C5946" s="5"/>
      <c r="D5946" s="5"/>
      <c r="E5946" s="5"/>
      <c r="F5946" s="22">
        <f>IFERROR(__xludf.DUMMYFUNCTION("""COMPUTED_VALUE"""),498482.747585)</f>
        <v>498482.7476</v>
      </c>
      <c r="G5946" s="22">
        <f>IFERROR(__xludf.DUMMYFUNCTION("""COMPUTED_VALUE"""),0.0)</f>
        <v>0</v>
      </c>
      <c r="H5946" s="22">
        <f>IFERROR(__xludf.DUMMYFUNCTION("""COMPUTED_VALUE"""),489569.70238125004)</f>
        <v>489569.7024</v>
      </c>
      <c r="I5946" s="24">
        <f>IFERROR(__xludf.DUMMYFUNCTION("""COMPUTED_VALUE"""),-0.020860595237499946)</f>
        <v>-0.02086059524</v>
      </c>
    </row>
    <row r="5947">
      <c r="A5947" s="5" t="str">
        <f>IFERROR(__xludf.DUMMYFUNCTION("""COMPUTED_VALUE"""),"76369")</f>
        <v>76369</v>
      </c>
      <c r="B5947" s="64">
        <f>IFERROR(__xludf.DUMMYFUNCTION("""COMPUTED_VALUE"""),44643.0)</f>
        <v>44643</v>
      </c>
      <c r="C5947" s="5"/>
      <c r="D5947" s="5"/>
      <c r="E5947" s="5"/>
      <c r="F5947" s="22">
        <f>IFERROR(__xludf.DUMMYFUNCTION("""COMPUTED_VALUE"""),498482.747585)</f>
        <v>498482.7476</v>
      </c>
      <c r="G5947" s="22">
        <f>IFERROR(__xludf.DUMMYFUNCTION("""COMPUTED_VALUE"""),0.0)</f>
        <v>0</v>
      </c>
      <c r="H5947" s="22">
        <f>IFERROR(__xludf.DUMMYFUNCTION("""COMPUTED_VALUE"""),490552.1823845001)</f>
        <v>490552.1824</v>
      </c>
      <c r="I5947" s="24">
        <f>IFERROR(__xludf.DUMMYFUNCTION("""COMPUTED_VALUE"""),-0.018895635230999797)</f>
        <v>-0.01889563523</v>
      </c>
    </row>
    <row r="5948">
      <c r="A5948" s="5" t="str">
        <f>IFERROR(__xludf.DUMMYFUNCTION("""COMPUTED_VALUE"""),"76369")</f>
        <v>76369</v>
      </c>
      <c r="B5948" s="64">
        <f>IFERROR(__xludf.DUMMYFUNCTION("""COMPUTED_VALUE"""),44644.0)</f>
        <v>44644</v>
      </c>
      <c r="C5948" s="5"/>
      <c r="D5948" s="5"/>
      <c r="E5948" s="5"/>
      <c r="F5948" s="22">
        <f>IFERROR(__xludf.DUMMYFUNCTION("""COMPUTED_VALUE"""),498482.747585)</f>
        <v>498482.7476</v>
      </c>
      <c r="G5948" s="22">
        <f>IFERROR(__xludf.DUMMYFUNCTION("""COMPUTED_VALUE"""),0.0)</f>
        <v>0</v>
      </c>
      <c r="H5948" s="22">
        <f>IFERROR(__xludf.DUMMYFUNCTION("""COMPUTED_VALUE"""),491776.5801622501)</f>
        <v>491776.5802</v>
      </c>
      <c r="I5948" s="24">
        <f>IFERROR(__xludf.DUMMYFUNCTION("""COMPUTED_VALUE"""),-0.01644683967549987)</f>
        <v>-0.01644683968</v>
      </c>
    </row>
    <row r="5949">
      <c r="A5949" s="5" t="str">
        <f>IFERROR(__xludf.DUMMYFUNCTION("""COMPUTED_VALUE"""),"76369")</f>
        <v>76369</v>
      </c>
      <c r="B5949" s="64">
        <f>IFERROR(__xludf.DUMMYFUNCTION("""COMPUTED_VALUE"""),44645.0)</f>
        <v>44645</v>
      </c>
      <c r="C5949" s="5"/>
      <c r="D5949" s="5"/>
      <c r="E5949" s="5"/>
      <c r="F5949" s="22">
        <f>IFERROR(__xludf.DUMMYFUNCTION("""COMPUTED_VALUE"""),498482.747585)</f>
        <v>498482.7476</v>
      </c>
      <c r="G5949" s="22">
        <f>IFERROR(__xludf.DUMMYFUNCTION("""COMPUTED_VALUE"""),0.0)</f>
        <v>0</v>
      </c>
      <c r="H5949" s="22">
        <f>IFERROR(__xludf.DUMMYFUNCTION("""COMPUTED_VALUE"""),491985.11674450006)</f>
        <v>491985.1167</v>
      </c>
      <c r="I5949" s="24">
        <f>IFERROR(__xludf.DUMMYFUNCTION("""COMPUTED_VALUE"""),-0.016029766510999854)</f>
        <v>-0.01602976651</v>
      </c>
    </row>
    <row r="5950">
      <c r="A5950" s="5" t="str">
        <f>IFERROR(__xludf.DUMMYFUNCTION("""COMPUTED_VALUE"""),"76369")</f>
        <v>76369</v>
      </c>
      <c r="B5950" s="64">
        <f>IFERROR(__xludf.DUMMYFUNCTION("""COMPUTED_VALUE"""),44646.0)</f>
        <v>44646</v>
      </c>
      <c r="C5950" s="5"/>
      <c r="D5950" s="5"/>
      <c r="E5950" s="5"/>
      <c r="F5950" s="22">
        <f>IFERROR(__xludf.DUMMYFUNCTION("""COMPUTED_VALUE"""),498482.747585)</f>
        <v>498482.7476</v>
      </c>
      <c r="G5950" s="22">
        <f>IFERROR(__xludf.DUMMYFUNCTION("""COMPUTED_VALUE"""),0.0)</f>
        <v>0</v>
      </c>
      <c r="H5950" s="22">
        <f>IFERROR(__xludf.DUMMYFUNCTION("""COMPUTED_VALUE"""),491985.11674450006)</f>
        <v>491985.1167</v>
      </c>
      <c r="I5950" s="24">
        <f>IFERROR(__xludf.DUMMYFUNCTION("""COMPUTED_VALUE"""),-0.016029766510999854)</f>
        <v>-0.01602976651</v>
      </c>
    </row>
    <row r="5951">
      <c r="A5951" s="5" t="str">
        <f>IFERROR(__xludf.DUMMYFUNCTION("""COMPUTED_VALUE"""),"76369")</f>
        <v>76369</v>
      </c>
      <c r="B5951" s="64">
        <f>IFERROR(__xludf.DUMMYFUNCTION("""COMPUTED_VALUE"""),44647.0)</f>
        <v>44647</v>
      </c>
      <c r="C5951" s="5"/>
      <c r="D5951" s="5"/>
      <c r="E5951" s="5"/>
      <c r="F5951" s="22">
        <f>IFERROR(__xludf.DUMMYFUNCTION("""COMPUTED_VALUE"""),498482.747585)</f>
        <v>498482.7476</v>
      </c>
      <c r="G5951" s="22">
        <f>IFERROR(__xludf.DUMMYFUNCTION("""COMPUTED_VALUE"""),0.0)</f>
        <v>0</v>
      </c>
      <c r="H5951" s="22">
        <f>IFERROR(__xludf.DUMMYFUNCTION("""COMPUTED_VALUE"""),491985.11674450006)</f>
        <v>491985.1167</v>
      </c>
      <c r="I5951" s="24">
        <f>IFERROR(__xludf.DUMMYFUNCTION("""COMPUTED_VALUE"""),-0.016029766510999854)</f>
        <v>-0.01602976651</v>
      </c>
    </row>
    <row r="5952">
      <c r="A5952" s="5" t="str">
        <f>IFERROR(__xludf.DUMMYFUNCTION("""COMPUTED_VALUE"""),"76369")</f>
        <v>76369</v>
      </c>
      <c r="B5952" s="64">
        <f>IFERROR(__xludf.DUMMYFUNCTION("""COMPUTED_VALUE"""),44648.0)</f>
        <v>44648</v>
      </c>
      <c r="C5952" s="5"/>
      <c r="D5952" s="5"/>
      <c r="E5952" s="5"/>
      <c r="F5952" s="22">
        <f>IFERROR(__xludf.DUMMYFUNCTION("""COMPUTED_VALUE"""),498482.747585)</f>
        <v>498482.7476</v>
      </c>
      <c r="G5952" s="22">
        <f>IFERROR(__xludf.DUMMYFUNCTION("""COMPUTED_VALUE"""),0.0)</f>
        <v>0</v>
      </c>
      <c r="H5952" s="22">
        <f>IFERROR(__xludf.DUMMYFUNCTION("""COMPUTED_VALUE"""),495376.47935275)</f>
        <v>495376.4794</v>
      </c>
      <c r="I5952" s="24">
        <f>IFERROR(__xludf.DUMMYFUNCTION("""COMPUTED_VALUE"""),-0.009247041294500047)</f>
        <v>-0.009247041295</v>
      </c>
    </row>
    <row r="5953">
      <c r="A5953" s="5" t="str">
        <f>IFERROR(__xludf.DUMMYFUNCTION("""COMPUTED_VALUE"""),"76369")</f>
        <v>76369</v>
      </c>
      <c r="B5953" s="64">
        <f>IFERROR(__xludf.DUMMYFUNCTION("""COMPUTED_VALUE"""),44649.0)</f>
        <v>44649</v>
      </c>
      <c r="C5953" s="5"/>
      <c r="D5953" s="5"/>
      <c r="E5953" s="5"/>
      <c r="F5953" s="22">
        <f>IFERROR(__xludf.DUMMYFUNCTION("""COMPUTED_VALUE"""),498482.747585)</f>
        <v>498482.7476</v>
      </c>
      <c r="G5953" s="22">
        <f>IFERROR(__xludf.DUMMYFUNCTION("""COMPUTED_VALUE"""),0.0)</f>
        <v>0</v>
      </c>
      <c r="H5953" s="22">
        <f>IFERROR(__xludf.DUMMYFUNCTION("""COMPUTED_VALUE"""),496837.83607049996)</f>
        <v>496837.8361</v>
      </c>
      <c r="I5953" s="24">
        <f>IFERROR(__xludf.DUMMYFUNCTION("""COMPUTED_VALUE"""),-0.006324327859000056)</f>
        <v>-0.006324327859</v>
      </c>
    </row>
    <row r="5954">
      <c r="A5954" s="5" t="str">
        <f>IFERROR(__xludf.DUMMYFUNCTION("""COMPUTED_VALUE"""),"76369")</f>
        <v>76369</v>
      </c>
      <c r="B5954" s="64">
        <f>IFERROR(__xludf.DUMMYFUNCTION("""COMPUTED_VALUE"""),44650.0)</f>
        <v>44650</v>
      </c>
      <c r="C5954" s="5"/>
      <c r="D5954" s="5"/>
      <c r="E5954" s="5"/>
      <c r="F5954" s="22">
        <f>IFERROR(__xludf.DUMMYFUNCTION("""COMPUTED_VALUE"""),498482.747585)</f>
        <v>498482.7476</v>
      </c>
      <c r="G5954" s="22">
        <f>IFERROR(__xludf.DUMMYFUNCTION("""COMPUTED_VALUE"""),0.0)</f>
        <v>0</v>
      </c>
      <c r="H5954" s="22">
        <f>IFERROR(__xludf.DUMMYFUNCTION("""COMPUTED_VALUE"""),501241.40355675004)</f>
        <v>501241.4036</v>
      </c>
      <c r="I5954" s="24">
        <f>IFERROR(__xludf.DUMMYFUNCTION("""COMPUTED_VALUE"""),0.0024828071135001295)</f>
        <v>0.002482807114</v>
      </c>
    </row>
    <row r="5955">
      <c r="A5955" s="5" t="str">
        <f>IFERROR(__xludf.DUMMYFUNCTION("""COMPUTED_VALUE"""),"76369")</f>
        <v>76369</v>
      </c>
      <c r="B5955" s="64">
        <f>IFERROR(__xludf.DUMMYFUNCTION("""COMPUTED_VALUE"""),44651.0)</f>
        <v>44651</v>
      </c>
      <c r="C5955" s="5"/>
      <c r="D5955" s="5"/>
      <c r="E5955" s="5"/>
      <c r="F5955" s="22">
        <f>IFERROR(__xludf.DUMMYFUNCTION("""COMPUTED_VALUE"""),498482.747585)</f>
        <v>498482.7476</v>
      </c>
      <c r="G5955" s="22">
        <f>IFERROR(__xludf.DUMMYFUNCTION("""COMPUTED_VALUE"""),0.0)</f>
        <v>0</v>
      </c>
      <c r="H5955" s="22">
        <f>IFERROR(__xludf.DUMMYFUNCTION("""COMPUTED_VALUE"""),495296.8099495)</f>
        <v>495296.8099</v>
      </c>
      <c r="I5955" s="24">
        <f>IFERROR(__xludf.DUMMYFUNCTION("""COMPUTED_VALUE"""),-0.009406380100999923)</f>
        <v>-0.009406380101</v>
      </c>
    </row>
    <row r="5956">
      <c r="A5956" s="5" t="str">
        <f>IFERROR(__xludf.DUMMYFUNCTION("""COMPUTED_VALUE"""),"76369")</f>
        <v>76369</v>
      </c>
      <c r="B5956" s="64">
        <f>IFERROR(__xludf.DUMMYFUNCTION("""COMPUTED_VALUE"""),44652.0)</f>
        <v>44652</v>
      </c>
      <c r="C5956" s="5"/>
      <c r="D5956" s="5"/>
      <c r="E5956" s="5"/>
      <c r="F5956" s="22">
        <f>IFERROR(__xludf.DUMMYFUNCTION("""COMPUTED_VALUE"""),498482.747585)</f>
        <v>498482.7476</v>
      </c>
      <c r="G5956" s="22">
        <f>IFERROR(__xludf.DUMMYFUNCTION("""COMPUTED_VALUE"""),0.0)</f>
        <v>0</v>
      </c>
      <c r="H5956" s="22">
        <f>IFERROR(__xludf.DUMMYFUNCTION("""COMPUTED_VALUE"""),488689.42001925)</f>
        <v>488689.42</v>
      </c>
      <c r="I5956" s="24">
        <f>IFERROR(__xludf.DUMMYFUNCTION("""COMPUTED_VALUE"""),-0.022621159961499937)</f>
        <v>-0.02262115996</v>
      </c>
    </row>
    <row r="5957">
      <c r="A5957" s="5" t="str">
        <f>IFERROR(__xludf.DUMMYFUNCTION("""COMPUTED_VALUE"""),"76369")</f>
        <v>76369</v>
      </c>
      <c r="B5957" s="64">
        <f>IFERROR(__xludf.DUMMYFUNCTION("""COMPUTED_VALUE"""),44653.0)</f>
        <v>44653</v>
      </c>
      <c r="C5957" s="5"/>
      <c r="D5957" s="5"/>
      <c r="E5957" s="5"/>
      <c r="F5957" s="22">
        <f>IFERROR(__xludf.DUMMYFUNCTION("""COMPUTED_VALUE"""),498482.747585)</f>
        <v>498482.7476</v>
      </c>
      <c r="G5957" s="22">
        <f>IFERROR(__xludf.DUMMYFUNCTION("""COMPUTED_VALUE"""),0.0)</f>
        <v>0</v>
      </c>
      <c r="H5957" s="22">
        <f>IFERROR(__xludf.DUMMYFUNCTION("""COMPUTED_VALUE"""),488689.42001925)</f>
        <v>488689.42</v>
      </c>
      <c r="I5957" s="24">
        <f>IFERROR(__xludf.DUMMYFUNCTION("""COMPUTED_VALUE"""),-0.022621159961499937)</f>
        <v>-0.02262115996</v>
      </c>
    </row>
    <row r="5958">
      <c r="A5958" s="5" t="str">
        <f>IFERROR(__xludf.DUMMYFUNCTION("""COMPUTED_VALUE"""),"76369")</f>
        <v>76369</v>
      </c>
      <c r="B5958" s="64">
        <f>IFERROR(__xludf.DUMMYFUNCTION("""COMPUTED_VALUE"""),44654.0)</f>
        <v>44654</v>
      </c>
      <c r="C5958" s="5"/>
      <c r="D5958" s="5"/>
      <c r="E5958" s="5"/>
      <c r="F5958" s="22">
        <f>IFERROR(__xludf.DUMMYFUNCTION("""COMPUTED_VALUE"""),498482.747585)</f>
        <v>498482.7476</v>
      </c>
      <c r="G5958" s="22">
        <f>IFERROR(__xludf.DUMMYFUNCTION("""COMPUTED_VALUE"""),0.0)</f>
        <v>0</v>
      </c>
      <c r="H5958" s="22">
        <f>IFERROR(__xludf.DUMMYFUNCTION("""COMPUTED_VALUE"""),488689.42001925)</f>
        <v>488689.42</v>
      </c>
      <c r="I5958" s="24">
        <f>IFERROR(__xludf.DUMMYFUNCTION("""COMPUTED_VALUE"""),-0.022621159961499937)</f>
        <v>-0.02262115996</v>
      </c>
    </row>
    <row r="5959">
      <c r="A5959" s="5" t="str">
        <f>IFERROR(__xludf.DUMMYFUNCTION("""COMPUTED_VALUE"""),"76369")</f>
        <v>76369</v>
      </c>
      <c r="B5959" s="64">
        <f>IFERROR(__xludf.DUMMYFUNCTION("""COMPUTED_VALUE"""),44655.0)</f>
        <v>44655</v>
      </c>
      <c r="C5959" s="5"/>
      <c r="D5959" s="5"/>
      <c r="E5959" s="5"/>
      <c r="F5959" s="22">
        <f>IFERROR(__xludf.DUMMYFUNCTION("""COMPUTED_VALUE"""),498482.747585)</f>
        <v>498482.7476</v>
      </c>
      <c r="G5959" s="22">
        <f>IFERROR(__xludf.DUMMYFUNCTION("""COMPUTED_VALUE"""),0.0)</f>
        <v>0</v>
      </c>
      <c r="H5959" s="22">
        <f>IFERROR(__xludf.DUMMYFUNCTION("""COMPUTED_VALUE"""),489610.20460425003)</f>
        <v>489610.2046</v>
      </c>
      <c r="I5959" s="24">
        <f>IFERROR(__xludf.DUMMYFUNCTION("""COMPUTED_VALUE"""),-0.020779590791499936)</f>
        <v>-0.02077959079</v>
      </c>
    </row>
    <row r="5960">
      <c r="A5960" s="5" t="str">
        <f>IFERROR(__xludf.DUMMYFUNCTION("""COMPUTED_VALUE"""),"76369")</f>
        <v>76369</v>
      </c>
      <c r="B5960" s="64">
        <f>IFERROR(__xludf.DUMMYFUNCTION("""COMPUTED_VALUE"""),44656.0)</f>
        <v>44656</v>
      </c>
      <c r="C5960" s="5"/>
      <c r="D5960" s="5"/>
      <c r="E5960" s="5"/>
      <c r="F5960" s="22">
        <f>IFERROR(__xludf.DUMMYFUNCTION("""COMPUTED_VALUE"""),498482.747585)</f>
        <v>498482.7476</v>
      </c>
      <c r="G5960" s="22">
        <f>IFERROR(__xludf.DUMMYFUNCTION("""COMPUTED_VALUE"""),0.0)</f>
        <v>0</v>
      </c>
      <c r="H5960" s="22">
        <f>IFERROR(__xludf.DUMMYFUNCTION("""COMPUTED_VALUE"""),489499.803738)</f>
        <v>489499.8037</v>
      </c>
      <c r="I5960" s="24">
        <f>IFERROR(__xludf.DUMMYFUNCTION("""COMPUTED_VALUE"""),-0.02100039252399999)</f>
        <v>-0.02100039252</v>
      </c>
    </row>
    <row r="5961">
      <c r="A5961" s="5" t="str">
        <f>IFERROR(__xludf.DUMMYFUNCTION("""COMPUTED_VALUE"""),"76369")</f>
        <v>76369</v>
      </c>
      <c r="B5961" s="64">
        <f>IFERROR(__xludf.DUMMYFUNCTION("""COMPUTED_VALUE"""),44657.0)</f>
        <v>44657</v>
      </c>
      <c r="C5961" s="5"/>
      <c r="D5961" s="5"/>
      <c r="E5961" s="5"/>
      <c r="F5961" s="22">
        <f>IFERROR(__xludf.DUMMYFUNCTION("""COMPUTED_VALUE"""),498482.747585)</f>
        <v>498482.7476</v>
      </c>
      <c r="G5961" s="22">
        <f>IFERROR(__xludf.DUMMYFUNCTION("""COMPUTED_VALUE"""),0.0)</f>
        <v>0</v>
      </c>
      <c r="H5961" s="22">
        <f>IFERROR(__xludf.DUMMYFUNCTION("""COMPUTED_VALUE"""),491270.8599495)</f>
        <v>491270.8599</v>
      </c>
      <c r="I5961" s="24">
        <f>IFERROR(__xludf.DUMMYFUNCTION("""COMPUTED_VALUE"""),-0.017458280101000034)</f>
        <v>-0.0174582801</v>
      </c>
    </row>
    <row r="5962">
      <c r="A5962" s="5" t="str">
        <f>IFERROR(__xludf.DUMMYFUNCTION("""COMPUTED_VALUE"""),"76369")</f>
        <v>76369</v>
      </c>
      <c r="B5962" s="64">
        <f>IFERROR(__xludf.DUMMYFUNCTION("""COMPUTED_VALUE"""),44658.0)</f>
        <v>44658</v>
      </c>
      <c r="C5962" s="5"/>
      <c r="D5962" s="5"/>
      <c r="E5962" s="5"/>
      <c r="F5962" s="22">
        <f>IFERROR(__xludf.DUMMYFUNCTION("""COMPUTED_VALUE"""),498482.747585)</f>
        <v>498482.7476</v>
      </c>
      <c r="G5962" s="22">
        <f>IFERROR(__xludf.DUMMYFUNCTION("""COMPUTED_VALUE"""),0.0)</f>
        <v>0</v>
      </c>
      <c r="H5962" s="22">
        <f>IFERROR(__xludf.DUMMYFUNCTION("""COMPUTED_VALUE"""),488236.2954045001)</f>
        <v>488236.2954</v>
      </c>
      <c r="I5962" s="24">
        <f>IFERROR(__xludf.DUMMYFUNCTION("""COMPUTED_VALUE"""),-0.023527409190999826)</f>
        <v>-0.02352740919</v>
      </c>
    </row>
    <row r="5963">
      <c r="A5963" s="5" t="str">
        <f>IFERROR(__xludf.DUMMYFUNCTION("""COMPUTED_VALUE"""),"76369")</f>
        <v>76369</v>
      </c>
      <c r="B5963" s="64">
        <f>IFERROR(__xludf.DUMMYFUNCTION("""COMPUTED_VALUE"""),44659.0)</f>
        <v>44659</v>
      </c>
      <c r="C5963" s="5"/>
      <c r="D5963" s="5"/>
      <c r="E5963" s="5"/>
      <c r="F5963" s="22">
        <f>IFERROR(__xludf.DUMMYFUNCTION("""COMPUTED_VALUE"""),498482.747585)</f>
        <v>498482.7476</v>
      </c>
      <c r="G5963" s="22">
        <f>IFERROR(__xludf.DUMMYFUNCTION("""COMPUTED_VALUE"""),0.0)</f>
        <v>0</v>
      </c>
      <c r="H5963" s="22">
        <f>IFERROR(__xludf.DUMMYFUNCTION("""COMPUTED_VALUE"""),488766.09650200006)</f>
        <v>488766.0965</v>
      </c>
      <c r="I5963" s="24">
        <f>IFERROR(__xludf.DUMMYFUNCTION("""COMPUTED_VALUE"""),-0.022467806995999928)</f>
        <v>-0.022467807</v>
      </c>
    </row>
    <row r="5964">
      <c r="A5964" s="5" t="str">
        <f>IFERROR(__xludf.DUMMYFUNCTION("""COMPUTED_VALUE"""),"76369")</f>
        <v>76369</v>
      </c>
      <c r="B5964" s="64">
        <f>IFERROR(__xludf.DUMMYFUNCTION("""COMPUTED_VALUE"""),44660.0)</f>
        <v>44660</v>
      </c>
      <c r="C5964" s="5"/>
      <c r="D5964" s="5"/>
      <c r="E5964" s="5"/>
      <c r="F5964" s="22">
        <f>IFERROR(__xludf.DUMMYFUNCTION("""COMPUTED_VALUE"""),498482.747585)</f>
        <v>498482.7476</v>
      </c>
      <c r="G5964" s="22">
        <f>IFERROR(__xludf.DUMMYFUNCTION("""COMPUTED_VALUE"""),0.0)</f>
        <v>0</v>
      </c>
      <c r="H5964" s="22">
        <f>IFERROR(__xludf.DUMMYFUNCTION("""COMPUTED_VALUE"""),488766.09650200006)</f>
        <v>488766.0965</v>
      </c>
      <c r="I5964" s="24">
        <f>IFERROR(__xludf.DUMMYFUNCTION("""COMPUTED_VALUE"""),-0.022467806995999928)</f>
        <v>-0.022467807</v>
      </c>
    </row>
    <row r="5965">
      <c r="A5965" s="5" t="str">
        <f>IFERROR(__xludf.DUMMYFUNCTION("""COMPUTED_VALUE"""),"76369")</f>
        <v>76369</v>
      </c>
      <c r="B5965" s="64">
        <f>IFERROR(__xludf.DUMMYFUNCTION("""COMPUTED_VALUE"""),44661.0)</f>
        <v>44661</v>
      </c>
      <c r="C5965" s="5"/>
      <c r="D5965" s="5"/>
      <c r="E5965" s="5"/>
      <c r="F5965" s="22">
        <f>IFERROR(__xludf.DUMMYFUNCTION("""COMPUTED_VALUE"""),498482.747585)</f>
        <v>498482.7476</v>
      </c>
      <c r="G5965" s="22">
        <f>IFERROR(__xludf.DUMMYFUNCTION("""COMPUTED_VALUE"""),0.0)</f>
        <v>0</v>
      </c>
      <c r="H5965" s="22">
        <f>IFERROR(__xludf.DUMMYFUNCTION("""COMPUTED_VALUE"""),488766.09650200006)</f>
        <v>488766.0965</v>
      </c>
      <c r="I5965" s="24">
        <f>IFERROR(__xludf.DUMMYFUNCTION("""COMPUTED_VALUE"""),-0.022467806995999928)</f>
        <v>-0.022467807</v>
      </c>
    </row>
    <row r="5966">
      <c r="A5966" s="5" t="str">
        <f>IFERROR(__xludf.DUMMYFUNCTION("""COMPUTED_VALUE"""),"76369")</f>
        <v>76369</v>
      </c>
      <c r="B5966" s="64">
        <f>IFERROR(__xludf.DUMMYFUNCTION("""COMPUTED_VALUE"""),44662.0)</f>
        <v>44662</v>
      </c>
      <c r="C5966" s="5"/>
      <c r="D5966" s="5"/>
      <c r="E5966" s="5"/>
      <c r="F5966" s="22">
        <f>IFERROR(__xludf.DUMMYFUNCTION("""COMPUTED_VALUE"""),498482.747585)</f>
        <v>498482.7476</v>
      </c>
      <c r="G5966" s="22">
        <f>IFERROR(__xludf.DUMMYFUNCTION("""COMPUTED_VALUE"""),0.0)</f>
        <v>0</v>
      </c>
      <c r="H5966" s="22">
        <f>IFERROR(__xludf.DUMMYFUNCTION("""COMPUTED_VALUE"""),489172.865887)</f>
        <v>489172.8659</v>
      </c>
      <c r="I5966" s="24">
        <f>IFERROR(__xludf.DUMMYFUNCTION("""COMPUTED_VALUE"""),-0.02165426822600003)</f>
        <v>-0.02165426823</v>
      </c>
    </row>
    <row r="5967">
      <c r="A5967" s="5" t="str">
        <f>IFERROR(__xludf.DUMMYFUNCTION("""COMPUTED_VALUE"""),"76369")</f>
        <v>76369</v>
      </c>
      <c r="B5967" s="64">
        <f>IFERROR(__xludf.DUMMYFUNCTION("""COMPUTED_VALUE"""),44663.0)</f>
        <v>44663</v>
      </c>
      <c r="C5967" s="5"/>
      <c r="D5967" s="5"/>
      <c r="E5967" s="5"/>
      <c r="F5967" s="22">
        <f>IFERROR(__xludf.DUMMYFUNCTION("""COMPUTED_VALUE"""),498482.747585)</f>
        <v>498482.7476</v>
      </c>
      <c r="G5967" s="22">
        <f>IFERROR(__xludf.DUMMYFUNCTION("""COMPUTED_VALUE"""),0.0)</f>
        <v>0</v>
      </c>
      <c r="H5967" s="22">
        <f>IFERROR(__xludf.DUMMYFUNCTION("""COMPUTED_VALUE"""),489300.2209985)</f>
        <v>489300.221</v>
      </c>
      <c r="I5967" s="24">
        <f>IFERROR(__xludf.DUMMYFUNCTION("""COMPUTED_VALUE"""),-0.021399558002999974)</f>
        <v>-0.021399558</v>
      </c>
    </row>
    <row r="5968">
      <c r="A5968" s="5" t="str">
        <f>IFERROR(__xludf.DUMMYFUNCTION("""COMPUTED_VALUE"""),"76796")</f>
        <v>76796</v>
      </c>
      <c r="B5968" s="64">
        <f>IFERROR(__xludf.DUMMYFUNCTION("""COMPUTED_VALUE"""),44597.0)</f>
        <v>44597</v>
      </c>
      <c r="C5968" s="5"/>
      <c r="D5968" s="5"/>
      <c r="E5968" s="5"/>
      <c r="F5968" s="22">
        <f>IFERROR(__xludf.DUMMYFUNCTION("""COMPUTED_VALUE"""),500000.0)</f>
        <v>500000</v>
      </c>
      <c r="G5968" s="22">
        <f>IFERROR(__xludf.DUMMYFUNCTION("""COMPUTED_VALUE"""),0.0)</f>
        <v>0</v>
      </c>
      <c r="H5968" s="22">
        <f>IFERROR(__xludf.DUMMYFUNCTION("""COMPUTED_VALUE"""),500000.0)</f>
        <v>500000</v>
      </c>
      <c r="I5968" s="24">
        <f>IFERROR(__xludf.DUMMYFUNCTION("""COMPUTED_VALUE"""),0.0)</f>
        <v>0</v>
      </c>
    </row>
    <row r="5969">
      <c r="A5969" s="5" t="str">
        <f>IFERROR(__xludf.DUMMYFUNCTION("""COMPUTED_VALUE"""),"76796")</f>
        <v>76796</v>
      </c>
      <c r="B5969" s="64">
        <f>IFERROR(__xludf.DUMMYFUNCTION("""COMPUTED_VALUE"""),44598.0)</f>
        <v>44598</v>
      </c>
      <c r="C5969" s="5"/>
      <c r="D5969" s="5"/>
      <c r="E5969" s="5"/>
      <c r="F5969" s="22">
        <f>IFERROR(__xludf.DUMMYFUNCTION("""COMPUTED_VALUE"""),500000.0)</f>
        <v>500000</v>
      </c>
      <c r="G5969" s="22">
        <f>IFERROR(__xludf.DUMMYFUNCTION("""COMPUTED_VALUE"""),0.0)</f>
        <v>0</v>
      </c>
      <c r="H5969" s="22">
        <f>IFERROR(__xludf.DUMMYFUNCTION("""COMPUTED_VALUE"""),500000.0)</f>
        <v>500000</v>
      </c>
      <c r="I5969" s="24">
        <f>IFERROR(__xludf.DUMMYFUNCTION("""COMPUTED_VALUE"""),0.0)</f>
        <v>0</v>
      </c>
    </row>
    <row r="5970">
      <c r="A5970" s="5" t="str">
        <f>IFERROR(__xludf.DUMMYFUNCTION("""COMPUTED_VALUE"""),"76796")</f>
        <v>76796</v>
      </c>
      <c r="B5970" s="64">
        <f>IFERROR(__xludf.DUMMYFUNCTION("""COMPUTED_VALUE"""),44599.0)</f>
        <v>44599</v>
      </c>
      <c r="C5970" s="5"/>
      <c r="D5970" s="5"/>
      <c r="E5970" s="5"/>
      <c r="F5970" s="22">
        <f>IFERROR(__xludf.DUMMYFUNCTION("""COMPUTED_VALUE"""),500000.0)</f>
        <v>500000</v>
      </c>
      <c r="G5970" s="22">
        <f>IFERROR(__xludf.DUMMYFUNCTION("""COMPUTED_VALUE"""),0.0)</f>
        <v>0</v>
      </c>
      <c r="H5970" s="22">
        <f>IFERROR(__xludf.DUMMYFUNCTION("""COMPUTED_VALUE"""),500000.0)</f>
        <v>500000</v>
      </c>
      <c r="I5970" s="24">
        <f>IFERROR(__xludf.DUMMYFUNCTION("""COMPUTED_VALUE"""),0.0)</f>
        <v>0</v>
      </c>
    </row>
    <row r="5971">
      <c r="A5971" s="5" t="str">
        <f>IFERROR(__xludf.DUMMYFUNCTION("""COMPUTED_VALUE"""),"76796")</f>
        <v>76796</v>
      </c>
      <c r="B5971" s="64">
        <f>IFERROR(__xludf.DUMMYFUNCTION("""COMPUTED_VALUE"""),44600.0)</f>
        <v>44600</v>
      </c>
      <c r="C5971" s="5"/>
      <c r="D5971" s="5"/>
      <c r="E5971" s="5"/>
      <c r="F5971" s="22">
        <f>IFERROR(__xludf.DUMMYFUNCTION("""COMPUTED_VALUE"""),500000.0)</f>
        <v>500000</v>
      </c>
      <c r="G5971" s="22">
        <f>IFERROR(__xludf.DUMMYFUNCTION("""COMPUTED_VALUE"""),0.0)</f>
        <v>0</v>
      </c>
      <c r="H5971" s="22">
        <f>IFERROR(__xludf.DUMMYFUNCTION("""COMPUTED_VALUE"""),500000.0)</f>
        <v>500000</v>
      </c>
      <c r="I5971" s="24">
        <f>IFERROR(__xludf.DUMMYFUNCTION("""COMPUTED_VALUE"""),0.0)</f>
        <v>0</v>
      </c>
    </row>
    <row r="5972">
      <c r="A5972" s="5" t="str">
        <f>IFERROR(__xludf.DUMMYFUNCTION("""COMPUTED_VALUE"""),"76796")</f>
        <v>76796</v>
      </c>
      <c r="B5972" s="64">
        <f>IFERROR(__xludf.DUMMYFUNCTION("""COMPUTED_VALUE"""),44601.0)</f>
        <v>44601</v>
      </c>
      <c r="C5972" s="5"/>
      <c r="D5972" s="5"/>
      <c r="E5972" s="5"/>
      <c r="F5972" s="22">
        <f>IFERROR(__xludf.DUMMYFUNCTION("""COMPUTED_VALUE"""),500000.0)</f>
        <v>500000</v>
      </c>
      <c r="G5972" s="22">
        <f>IFERROR(__xludf.DUMMYFUNCTION("""COMPUTED_VALUE"""),0.0)</f>
        <v>0</v>
      </c>
      <c r="H5972" s="22">
        <f>IFERROR(__xludf.DUMMYFUNCTION("""COMPUTED_VALUE"""),500000.0)</f>
        <v>500000</v>
      </c>
      <c r="I5972" s="24">
        <f>IFERROR(__xludf.DUMMYFUNCTION("""COMPUTED_VALUE"""),0.0)</f>
        <v>0</v>
      </c>
    </row>
    <row r="5973">
      <c r="A5973" s="5" t="str">
        <f>IFERROR(__xludf.DUMMYFUNCTION("""COMPUTED_VALUE"""),"76796")</f>
        <v>76796</v>
      </c>
      <c r="B5973" s="64">
        <f>IFERROR(__xludf.DUMMYFUNCTION("""COMPUTED_VALUE"""),44602.0)</f>
        <v>44602</v>
      </c>
      <c r="C5973" s="5"/>
      <c r="D5973" s="5"/>
      <c r="E5973" s="5"/>
      <c r="F5973" s="22">
        <f>IFERROR(__xludf.DUMMYFUNCTION("""COMPUTED_VALUE"""),500000.0)</f>
        <v>500000</v>
      </c>
      <c r="G5973" s="22">
        <f>IFERROR(__xludf.DUMMYFUNCTION("""COMPUTED_VALUE"""),0.0)</f>
        <v>0</v>
      </c>
      <c r="H5973" s="22">
        <f>IFERROR(__xludf.DUMMYFUNCTION("""COMPUTED_VALUE"""),493120.23795)</f>
        <v>493120.238</v>
      </c>
      <c r="I5973" s="24">
        <f>IFERROR(__xludf.DUMMYFUNCTION("""COMPUTED_VALUE"""),-0.013759524100000031)</f>
        <v>-0.0137595241</v>
      </c>
    </row>
    <row r="5974">
      <c r="A5974" s="5" t="str">
        <f>IFERROR(__xludf.DUMMYFUNCTION("""COMPUTED_VALUE"""),"76796")</f>
        <v>76796</v>
      </c>
      <c r="B5974" s="64">
        <f>IFERROR(__xludf.DUMMYFUNCTION("""COMPUTED_VALUE"""),44603.0)</f>
        <v>44603</v>
      </c>
      <c r="C5974" s="5"/>
      <c r="D5974" s="5"/>
      <c r="E5974" s="5"/>
      <c r="F5974" s="22">
        <f>IFERROR(__xludf.DUMMYFUNCTION("""COMPUTED_VALUE"""),500000.0)</f>
        <v>500000</v>
      </c>
      <c r="G5974" s="22">
        <f>IFERROR(__xludf.DUMMYFUNCTION("""COMPUTED_VALUE"""),0.0)</f>
        <v>0</v>
      </c>
      <c r="H5974" s="22">
        <f>IFERROR(__xludf.DUMMYFUNCTION("""COMPUTED_VALUE"""),487401.38705)</f>
        <v>487401.3871</v>
      </c>
      <c r="I5974" s="24">
        <f>IFERROR(__xludf.DUMMYFUNCTION("""COMPUTED_VALUE"""),-0.025197225899999953)</f>
        <v>-0.0251972259</v>
      </c>
    </row>
    <row r="5975">
      <c r="A5975" s="5" t="str">
        <f>IFERROR(__xludf.DUMMYFUNCTION("""COMPUTED_VALUE"""),"76796")</f>
        <v>76796</v>
      </c>
      <c r="B5975" s="64">
        <f>IFERROR(__xludf.DUMMYFUNCTION("""COMPUTED_VALUE"""),44604.0)</f>
        <v>44604</v>
      </c>
      <c r="C5975" s="5"/>
      <c r="D5975" s="5"/>
      <c r="E5975" s="5"/>
      <c r="F5975" s="22">
        <f>IFERROR(__xludf.DUMMYFUNCTION("""COMPUTED_VALUE"""),500000.0)</f>
        <v>500000</v>
      </c>
      <c r="G5975" s="22">
        <f>IFERROR(__xludf.DUMMYFUNCTION("""COMPUTED_VALUE"""),0.0)</f>
        <v>0</v>
      </c>
      <c r="H5975" s="22">
        <f>IFERROR(__xludf.DUMMYFUNCTION("""COMPUTED_VALUE"""),487401.38705)</f>
        <v>487401.3871</v>
      </c>
      <c r="I5975" s="24">
        <f>IFERROR(__xludf.DUMMYFUNCTION("""COMPUTED_VALUE"""),-0.025197225899999953)</f>
        <v>-0.0251972259</v>
      </c>
    </row>
    <row r="5976">
      <c r="A5976" s="5" t="str">
        <f>IFERROR(__xludf.DUMMYFUNCTION("""COMPUTED_VALUE"""),"76796")</f>
        <v>76796</v>
      </c>
      <c r="B5976" s="64">
        <f>IFERROR(__xludf.DUMMYFUNCTION("""COMPUTED_VALUE"""),44605.0)</f>
        <v>44605</v>
      </c>
      <c r="C5976" s="5"/>
      <c r="D5976" s="5"/>
      <c r="E5976" s="5"/>
      <c r="F5976" s="22">
        <f>IFERROR(__xludf.DUMMYFUNCTION("""COMPUTED_VALUE"""),500000.0)</f>
        <v>500000</v>
      </c>
      <c r="G5976" s="22">
        <f>IFERROR(__xludf.DUMMYFUNCTION("""COMPUTED_VALUE"""),0.0)</f>
        <v>0</v>
      </c>
      <c r="H5976" s="22">
        <f>IFERROR(__xludf.DUMMYFUNCTION("""COMPUTED_VALUE"""),487401.38705)</f>
        <v>487401.3871</v>
      </c>
      <c r="I5976" s="24">
        <f>IFERROR(__xludf.DUMMYFUNCTION("""COMPUTED_VALUE"""),-0.025197225899999953)</f>
        <v>-0.0251972259</v>
      </c>
    </row>
    <row r="5977">
      <c r="A5977" s="5" t="str">
        <f>IFERROR(__xludf.DUMMYFUNCTION("""COMPUTED_VALUE"""),"76796")</f>
        <v>76796</v>
      </c>
      <c r="B5977" s="64">
        <f>IFERROR(__xludf.DUMMYFUNCTION("""COMPUTED_VALUE"""),44606.0)</f>
        <v>44606</v>
      </c>
      <c r="C5977" s="5"/>
      <c r="D5977" s="5"/>
      <c r="E5977" s="5"/>
      <c r="F5977" s="22">
        <f>IFERROR(__xludf.DUMMYFUNCTION("""COMPUTED_VALUE"""),500000.0)</f>
        <v>500000</v>
      </c>
      <c r="G5977" s="22">
        <f>IFERROR(__xludf.DUMMYFUNCTION("""COMPUTED_VALUE"""),0.0)</f>
        <v>0</v>
      </c>
      <c r="H5977" s="22">
        <f>IFERROR(__xludf.DUMMYFUNCTION("""COMPUTED_VALUE"""),487370.22165)</f>
        <v>487370.2217</v>
      </c>
      <c r="I5977" s="24">
        <f>IFERROR(__xludf.DUMMYFUNCTION("""COMPUTED_VALUE"""),-0.025259556699999908)</f>
        <v>-0.0252595567</v>
      </c>
    </row>
    <row r="5978">
      <c r="A5978" s="5" t="str">
        <f>IFERROR(__xludf.DUMMYFUNCTION("""COMPUTED_VALUE"""),"76796")</f>
        <v>76796</v>
      </c>
      <c r="B5978" s="64">
        <f>IFERROR(__xludf.DUMMYFUNCTION("""COMPUTED_VALUE"""),44607.0)</f>
        <v>44607</v>
      </c>
      <c r="C5978" s="5"/>
      <c r="D5978" s="5"/>
      <c r="E5978" s="5"/>
      <c r="F5978" s="22">
        <f>IFERROR(__xludf.DUMMYFUNCTION("""COMPUTED_VALUE"""),500000.0)</f>
        <v>500000</v>
      </c>
      <c r="G5978" s="22">
        <f>IFERROR(__xludf.DUMMYFUNCTION("""COMPUTED_VALUE"""),0.0)</f>
        <v>0</v>
      </c>
      <c r="H5978" s="22">
        <f>IFERROR(__xludf.DUMMYFUNCTION("""COMPUTED_VALUE"""),491632.09010000003)</f>
        <v>491632.0901</v>
      </c>
      <c r="I5978" s="24">
        <f>IFERROR(__xludf.DUMMYFUNCTION("""COMPUTED_VALUE"""),-0.01673581979999994)</f>
        <v>-0.0167358198</v>
      </c>
    </row>
    <row r="5979">
      <c r="A5979" s="5" t="str">
        <f>IFERROR(__xludf.DUMMYFUNCTION("""COMPUTED_VALUE"""),"76796")</f>
        <v>76796</v>
      </c>
      <c r="B5979" s="64">
        <f>IFERROR(__xludf.DUMMYFUNCTION("""COMPUTED_VALUE"""),44608.0)</f>
        <v>44608</v>
      </c>
      <c r="C5979" s="5"/>
      <c r="D5979" s="5"/>
      <c r="E5979" s="5"/>
      <c r="F5979" s="22">
        <f>IFERROR(__xludf.DUMMYFUNCTION("""COMPUTED_VALUE"""),500000.0)</f>
        <v>500000</v>
      </c>
      <c r="G5979" s="22">
        <f>IFERROR(__xludf.DUMMYFUNCTION("""COMPUTED_VALUE"""),0.0)</f>
        <v>0</v>
      </c>
      <c r="H5979" s="22">
        <f>IFERROR(__xludf.DUMMYFUNCTION("""COMPUTED_VALUE"""),490876.32915)</f>
        <v>490876.3292</v>
      </c>
      <c r="I5979" s="24">
        <f>IFERROR(__xludf.DUMMYFUNCTION("""COMPUTED_VALUE"""),-0.018247341699999975)</f>
        <v>-0.0182473417</v>
      </c>
    </row>
    <row r="5980">
      <c r="A5980" s="5" t="str">
        <f>IFERROR(__xludf.DUMMYFUNCTION("""COMPUTED_VALUE"""),"76796")</f>
        <v>76796</v>
      </c>
      <c r="B5980" s="64">
        <f>IFERROR(__xludf.DUMMYFUNCTION("""COMPUTED_VALUE"""),44609.0)</f>
        <v>44609</v>
      </c>
      <c r="C5980" s="5"/>
      <c r="D5980" s="5"/>
      <c r="E5980" s="5"/>
      <c r="F5980" s="22">
        <f>IFERROR(__xludf.DUMMYFUNCTION("""COMPUTED_VALUE"""),500000.0)</f>
        <v>500000</v>
      </c>
      <c r="G5980" s="22">
        <f>IFERROR(__xludf.DUMMYFUNCTION("""COMPUTED_VALUE"""),0.0)</f>
        <v>0</v>
      </c>
      <c r="H5980" s="22">
        <f>IFERROR(__xludf.DUMMYFUNCTION("""COMPUTED_VALUE"""),484043.3152)</f>
        <v>484043.3152</v>
      </c>
      <c r="I5980" s="24">
        <f>IFERROR(__xludf.DUMMYFUNCTION("""COMPUTED_VALUE"""),-0.03191336960000002)</f>
        <v>-0.0319133696</v>
      </c>
    </row>
    <row r="5981">
      <c r="A5981" s="5" t="str">
        <f>IFERROR(__xludf.DUMMYFUNCTION("""COMPUTED_VALUE"""),"76796")</f>
        <v>76796</v>
      </c>
      <c r="B5981" s="64">
        <f>IFERROR(__xludf.DUMMYFUNCTION("""COMPUTED_VALUE"""),44610.0)</f>
        <v>44610</v>
      </c>
      <c r="C5981" s="5"/>
      <c r="D5981" s="5"/>
      <c r="E5981" s="5"/>
      <c r="F5981" s="22">
        <f>IFERROR(__xludf.DUMMYFUNCTION("""COMPUTED_VALUE"""),500000.0)</f>
        <v>500000</v>
      </c>
      <c r="G5981" s="22">
        <f>IFERROR(__xludf.DUMMYFUNCTION("""COMPUTED_VALUE"""),0.0)</f>
        <v>0</v>
      </c>
      <c r="H5981" s="22">
        <f>IFERROR(__xludf.DUMMYFUNCTION("""COMPUTED_VALUE"""),481861.7372)</f>
        <v>481861.7372</v>
      </c>
      <c r="I5981" s="24">
        <f>IFERROR(__xludf.DUMMYFUNCTION("""COMPUTED_VALUE"""),-0.036276525600000054)</f>
        <v>-0.0362765256</v>
      </c>
    </row>
    <row r="5982">
      <c r="A5982" s="5" t="str">
        <f>IFERROR(__xludf.DUMMYFUNCTION("""COMPUTED_VALUE"""),"76796")</f>
        <v>76796</v>
      </c>
      <c r="B5982" s="64">
        <f>IFERROR(__xludf.DUMMYFUNCTION("""COMPUTED_VALUE"""),44611.0)</f>
        <v>44611</v>
      </c>
      <c r="C5982" s="5"/>
      <c r="D5982" s="5"/>
      <c r="E5982" s="5"/>
      <c r="F5982" s="22">
        <f>IFERROR(__xludf.DUMMYFUNCTION("""COMPUTED_VALUE"""),500000.0)</f>
        <v>500000</v>
      </c>
      <c r="G5982" s="22">
        <f>IFERROR(__xludf.DUMMYFUNCTION("""COMPUTED_VALUE"""),0.0)</f>
        <v>0</v>
      </c>
      <c r="H5982" s="22">
        <f>IFERROR(__xludf.DUMMYFUNCTION("""COMPUTED_VALUE"""),481861.7372)</f>
        <v>481861.7372</v>
      </c>
      <c r="I5982" s="24">
        <f>IFERROR(__xludf.DUMMYFUNCTION("""COMPUTED_VALUE"""),-0.036276525600000054)</f>
        <v>-0.0362765256</v>
      </c>
    </row>
    <row r="5983">
      <c r="A5983" s="5" t="str">
        <f>IFERROR(__xludf.DUMMYFUNCTION("""COMPUTED_VALUE"""),"76796")</f>
        <v>76796</v>
      </c>
      <c r="B5983" s="64">
        <f>IFERROR(__xludf.DUMMYFUNCTION("""COMPUTED_VALUE"""),44612.0)</f>
        <v>44612</v>
      </c>
      <c r="C5983" s="5"/>
      <c r="D5983" s="5"/>
      <c r="E5983" s="5"/>
      <c r="F5983" s="22">
        <f>IFERROR(__xludf.DUMMYFUNCTION("""COMPUTED_VALUE"""),500000.0)</f>
        <v>500000</v>
      </c>
      <c r="G5983" s="22">
        <f>IFERROR(__xludf.DUMMYFUNCTION("""COMPUTED_VALUE"""),0.0)</f>
        <v>0</v>
      </c>
      <c r="H5983" s="22">
        <f>IFERROR(__xludf.DUMMYFUNCTION("""COMPUTED_VALUE"""),481861.7372)</f>
        <v>481861.7372</v>
      </c>
      <c r="I5983" s="24">
        <f>IFERROR(__xludf.DUMMYFUNCTION("""COMPUTED_VALUE"""),-0.036276525600000054)</f>
        <v>-0.0362765256</v>
      </c>
    </row>
    <row r="5984">
      <c r="A5984" s="5" t="str">
        <f>IFERROR(__xludf.DUMMYFUNCTION("""COMPUTED_VALUE"""),"76796")</f>
        <v>76796</v>
      </c>
      <c r="B5984" s="64">
        <f>IFERROR(__xludf.DUMMYFUNCTION("""COMPUTED_VALUE"""),44613.0)</f>
        <v>44613</v>
      </c>
      <c r="C5984" s="5"/>
      <c r="D5984" s="5"/>
      <c r="E5984" s="5"/>
      <c r="F5984" s="22">
        <f>IFERROR(__xludf.DUMMYFUNCTION("""COMPUTED_VALUE"""),500000.0)</f>
        <v>500000</v>
      </c>
      <c r="G5984" s="22">
        <f>IFERROR(__xludf.DUMMYFUNCTION("""COMPUTED_VALUE"""),0.0)</f>
        <v>0</v>
      </c>
      <c r="H5984" s="22">
        <f>IFERROR(__xludf.DUMMYFUNCTION("""COMPUTED_VALUE"""),481861.7372)</f>
        <v>481861.7372</v>
      </c>
      <c r="I5984" s="24">
        <f>IFERROR(__xludf.DUMMYFUNCTION("""COMPUTED_VALUE"""),-0.036276525600000054)</f>
        <v>-0.0362765256</v>
      </c>
    </row>
    <row r="5985">
      <c r="A5985" s="5" t="str">
        <f>IFERROR(__xludf.DUMMYFUNCTION("""COMPUTED_VALUE"""),"76796")</f>
        <v>76796</v>
      </c>
      <c r="B5985" s="64">
        <f>IFERROR(__xludf.DUMMYFUNCTION("""COMPUTED_VALUE"""),44614.0)</f>
        <v>44614</v>
      </c>
      <c r="C5985" s="5"/>
      <c r="D5985" s="5"/>
      <c r="E5985" s="5"/>
      <c r="F5985" s="22">
        <f>IFERROR(__xludf.DUMMYFUNCTION("""COMPUTED_VALUE"""),500000.0)</f>
        <v>500000</v>
      </c>
      <c r="G5985" s="22">
        <f>IFERROR(__xludf.DUMMYFUNCTION("""COMPUTED_VALUE"""),0.0)</f>
        <v>0</v>
      </c>
      <c r="H5985" s="22">
        <f>IFERROR(__xludf.DUMMYFUNCTION("""COMPUTED_VALUE"""),481698.11885)</f>
        <v>481698.1189</v>
      </c>
      <c r="I5985" s="24">
        <f>IFERROR(__xludf.DUMMYFUNCTION("""COMPUTED_VALUE"""),-0.03660376229999995)</f>
        <v>-0.0366037623</v>
      </c>
    </row>
    <row r="5986">
      <c r="A5986" s="5" t="str">
        <f>IFERROR(__xludf.DUMMYFUNCTION("""COMPUTED_VALUE"""),"76796")</f>
        <v>76796</v>
      </c>
      <c r="B5986" s="64">
        <f>IFERROR(__xludf.DUMMYFUNCTION("""COMPUTED_VALUE"""),44615.0)</f>
        <v>44615</v>
      </c>
      <c r="C5986" s="5"/>
      <c r="D5986" s="5"/>
      <c r="E5986" s="5"/>
      <c r="F5986" s="22">
        <f>IFERROR(__xludf.DUMMYFUNCTION("""COMPUTED_VALUE"""),500000.0)</f>
        <v>500000</v>
      </c>
      <c r="G5986" s="22">
        <f>IFERROR(__xludf.DUMMYFUNCTION("""COMPUTED_VALUE"""),0.0)</f>
        <v>0</v>
      </c>
      <c r="H5986" s="22">
        <f>IFERROR(__xludf.DUMMYFUNCTION("""COMPUTED_VALUE"""),475893.5631)</f>
        <v>475893.5631</v>
      </c>
      <c r="I5986" s="24">
        <f>IFERROR(__xludf.DUMMYFUNCTION("""COMPUTED_VALUE"""),-0.048212873799999945)</f>
        <v>-0.0482128738</v>
      </c>
    </row>
    <row r="5987">
      <c r="A5987" s="5" t="str">
        <f>IFERROR(__xludf.DUMMYFUNCTION("""COMPUTED_VALUE"""),"76796")</f>
        <v>76796</v>
      </c>
      <c r="B5987" s="64">
        <f>IFERROR(__xludf.DUMMYFUNCTION("""COMPUTED_VALUE"""),44616.0)</f>
        <v>44616</v>
      </c>
      <c r="C5987" s="5"/>
      <c r="D5987" s="5"/>
      <c r="E5987" s="5"/>
      <c r="F5987" s="22">
        <f>IFERROR(__xludf.DUMMYFUNCTION("""COMPUTED_VALUE"""),500000.0)</f>
        <v>500000</v>
      </c>
      <c r="G5987" s="22">
        <f>IFERROR(__xludf.DUMMYFUNCTION("""COMPUTED_VALUE"""),0.0)</f>
        <v>0</v>
      </c>
      <c r="H5987" s="22">
        <f>IFERROR(__xludf.DUMMYFUNCTION("""COMPUTED_VALUE"""),487050.7763)</f>
        <v>487050.7763</v>
      </c>
      <c r="I5987" s="24">
        <f>IFERROR(__xludf.DUMMYFUNCTION("""COMPUTED_VALUE"""),-0.025898447399999913)</f>
        <v>-0.0258984474</v>
      </c>
    </row>
    <row r="5988">
      <c r="A5988" s="5" t="str">
        <f>IFERROR(__xludf.DUMMYFUNCTION("""COMPUTED_VALUE"""),"76796")</f>
        <v>76796</v>
      </c>
      <c r="B5988" s="64">
        <f>IFERROR(__xludf.DUMMYFUNCTION("""COMPUTED_VALUE"""),44617.0)</f>
        <v>44617</v>
      </c>
      <c r="C5988" s="5"/>
      <c r="D5988" s="5"/>
      <c r="E5988" s="5"/>
      <c r="F5988" s="22">
        <f>IFERROR(__xludf.DUMMYFUNCTION("""COMPUTED_VALUE"""),500000.0)</f>
        <v>500000</v>
      </c>
      <c r="G5988" s="22">
        <f>IFERROR(__xludf.DUMMYFUNCTION("""COMPUTED_VALUE"""),0.0)</f>
        <v>0</v>
      </c>
      <c r="H5988" s="22">
        <f>IFERROR(__xludf.DUMMYFUNCTION("""COMPUTED_VALUE"""),489170.0235)</f>
        <v>489170.0235</v>
      </c>
      <c r="I5988" s="24">
        <f>IFERROR(__xludf.DUMMYFUNCTION("""COMPUTED_VALUE"""),-0.02165995300000001)</f>
        <v>-0.021659953</v>
      </c>
    </row>
    <row r="5989">
      <c r="A5989" s="5" t="str">
        <f>IFERROR(__xludf.DUMMYFUNCTION("""COMPUTED_VALUE"""),"76796")</f>
        <v>76796</v>
      </c>
      <c r="B5989" s="64">
        <f>IFERROR(__xludf.DUMMYFUNCTION("""COMPUTED_VALUE"""),44618.0)</f>
        <v>44618</v>
      </c>
      <c r="C5989" s="5"/>
      <c r="D5989" s="5"/>
      <c r="E5989" s="5"/>
      <c r="F5989" s="22">
        <f>IFERROR(__xludf.DUMMYFUNCTION("""COMPUTED_VALUE"""),500000.0)</f>
        <v>500000</v>
      </c>
      <c r="G5989" s="22">
        <f>IFERROR(__xludf.DUMMYFUNCTION("""COMPUTED_VALUE"""),0.0)</f>
        <v>0</v>
      </c>
      <c r="H5989" s="22">
        <f>IFERROR(__xludf.DUMMYFUNCTION("""COMPUTED_VALUE"""),489170.0235)</f>
        <v>489170.0235</v>
      </c>
      <c r="I5989" s="24">
        <f>IFERROR(__xludf.DUMMYFUNCTION("""COMPUTED_VALUE"""),-0.02165995300000001)</f>
        <v>-0.021659953</v>
      </c>
    </row>
    <row r="5990">
      <c r="A5990" s="5" t="str">
        <f>IFERROR(__xludf.DUMMYFUNCTION("""COMPUTED_VALUE"""),"76796")</f>
        <v>76796</v>
      </c>
      <c r="B5990" s="64">
        <f>IFERROR(__xludf.DUMMYFUNCTION("""COMPUTED_VALUE"""),44619.0)</f>
        <v>44619</v>
      </c>
      <c r="C5990" s="5"/>
      <c r="D5990" s="5"/>
      <c r="E5990" s="5"/>
      <c r="F5990" s="22">
        <f>IFERROR(__xludf.DUMMYFUNCTION("""COMPUTED_VALUE"""),500000.0)</f>
        <v>500000</v>
      </c>
      <c r="G5990" s="22">
        <f>IFERROR(__xludf.DUMMYFUNCTION("""COMPUTED_VALUE"""),0.0)</f>
        <v>0</v>
      </c>
      <c r="H5990" s="22">
        <f>IFERROR(__xludf.DUMMYFUNCTION("""COMPUTED_VALUE"""),489170.0235)</f>
        <v>489170.0235</v>
      </c>
      <c r="I5990" s="24">
        <f>IFERROR(__xludf.DUMMYFUNCTION("""COMPUTED_VALUE"""),-0.02165995300000001)</f>
        <v>-0.021659953</v>
      </c>
    </row>
    <row r="5991">
      <c r="A5991" s="5" t="str">
        <f>IFERROR(__xludf.DUMMYFUNCTION("""COMPUTED_VALUE"""),"76796")</f>
        <v>76796</v>
      </c>
      <c r="B5991" s="64">
        <f>IFERROR(__xludf.DUMMYFUNCTION("""COMPUTED_VALUE"""),44620.0)</f>
        <v>44620</v>
      </c>
      <c r="C5991" s="5"/>
      <c r="D5991" s="5"/>
      <c r="E5991" s="5"/>
      <c r="F5991" s="22">
        <f>IFERROR(__xludf.DUMMYFUNCTION("""COMPUTED_VALUE"""),500000.0)</f>
        <v>500000</v>
      </c>
      <c r="G5991" s="22">
        <f>IFERROR(__xludf.DUMMYFUNCTION("""COMPUTED_VALUE"""),0.0)</f>
        <v>0</v>
      </c>
      <c r="H5991" s="22">
        <f>IFERROR(__xludf.DUMMYFUNCTION("""COMPUTED_VALUE"""),490323.1433)</f>
        <v>490323.1433</v>
      </c>
      <c r="I5991" s="24">
        <f>IFERROR(__xludf.DUMMYFUNCTION("""COMPUTED_VALUE"""),-0.019353713400000028)</f>
        <v>-0.0193537134</v>
      </c>
    </row>
    <row r="5992">
      <c r="A5992" s="5" t="str">
        <f>IFERROR(__xludf.DUMMYFUNCTION("""COMPUTED_VALUE"""),"76796")</f>
        <v>76796</v>
      </c>
      <c r="B5992" s="64">
        <f>IFERROR(__xludf.DUMMYFUNCTION("""COMPUTED_VALUE"""),44621.0)</f>
        <v>44621</v>
      </c>
      <c r="C5992" s="5"/>
      <c r="D5992" s="5"/>
      <c r="E5992" s="5"/>
      <c r="F5992" s="22">
        <f>IFERROR(__xludf.DUMMYFUNCTION("""COMPUTED_VALUE"""),500000.0)</f>
        <v>500000</v>
      </c>
      <c r="G5992" s="22">
        <f>IFERROR(__xludf.DUMMYFUNCTION("""COMPUTED_VALUE"""),0.0)</f>
        <v>0</v>
      </c>
      <c r="H5992" s="22">
        <f>IFERROR(__xludf.DUMMYFUNCTION("""COMPUTED_VALUE"""),487331.2649)</f>
        <v>487331.2649</v>
      </c>
      <c r="I5992" s="24">
        <f>IFERROR(__xludf.DUMMYFUNCTION("""COMPUTED_VALUE"""),-0.02533747019999999)</f>
        <v>-0.0253374702</v>
      </c>
    </row>
    <row r="5993">
      <c r="A5993" s="5" t="str">
        <f>IFERROR(__xludf.DUMMYFUNCTION("""COMPUTED_VALUE"""),"76796")</f>
        <v>76796</v>
      </c>
      <c r="B5993" s="64">
        <f>IFERROR(__xludf.DUMMYFUNCTION("""COMPUTED_VALUE"""),44622.0)</f>
        <v>44622</v>
      </c>
      <c r="C5993" s="5"/>
      <c r="D5993" s="5"/>
      <c r="E5993" s="5"/>
      <c r="F5993" s="22">
        <f>IFERROR(__xludf.DUMMYFUNCTION("""COMPUTED_VALUE"""),500000.0)</f>
        <v>500000</v>
      </c>
      <c r="G5993" s="22">
        <f>IFERROR(__xludf.DUMMYFUNCTION("""COMPUTED_VALUE"""),0.0)</f>
        <v>0</v>
      </c>
      <c r="H5993" s="22">
        <f>IFERROR(__xludf.DUMMYFUNCTION("""COMPUTED_VALUE"""),491413.9323)</f>
        <v>491413.9323</v>
      </c>
      <c r="I5993" s="24">
        <f>IFERROR(__xludf.DUMMYFUNCTION("""COMPUTED_VALUE"""),-0.017172135400000066)</f>
        <v>-0.0171721354</v>
      </c>
    </row>
    <row r="5994">
      <c r="A5994" s="5" t="str">
        <f>IFERROR(__xludf.DUMMYFUNCTION("""COMPUTED_VALUE"""),"76796")</f>
        <v>76796</v>
      </c>
      <c r="B5994" s="64">
        <f>IFERROR(__xludf.DUMMYFUNCTION("""COMPUTED_VALUE"""),44623.0)</f>
        <v>44623</v>
      </c>
      <c r="C5994" s="5"/>
      <c r="D5994" s="5"/>
      <c r="E5994" s="5"/>
      <c r="F5994" s="22">
        <f>IFERROR(__xludf.DUMMYFUNCTION("""COMPUTED_VALUE"""),500000.0)</f>
        <v>500000</v>
      </c>
      <c r="G5994" s="22">
        <f>IFERROR(__xludf.DUMMYFUNCTION("""COMPUTED_VALUE"""),0.0)</f>
        <v>0</v>
      </c>
      <c r="H5994" s="22">
        <f>IFERROR(__xludf.DUMMYFUNCTION("""COMPUTED_VALUE"""),488087.02585)</f>
        <v>488087.0259</v>
      </c>
      <c r="I5994" s="24">
        <f>IFERROR(__xludf.DUMMYFUNCTION("""COMPUTED_VALUE"""),-0.023825948300000066)</f>
        <v>-0.0238259483</v>
      </c>
    </row>
    <row r="5995">
      <c r="A5995" s="5" t="str">
        <f>IFERROR(__xludf.DUMMYFUNCTION("""COMPUTED_VALUE"""),"76796")</f>
        <v>76796</v>
      </c>
      <c r="B5995" s="64">
        <f>IFERROR(__xludf.DUMMYFUNCTION("""COMPUTED_VALUE"""),44624.0)</f>
        <v>44624</v>
      </c>
      <c r="C5995" s="5"/>
      <c r="D5995" s="5"/>
      <c r="E5995" s="5"/>
      <c r="F5995" s="22">
        <f>IFERROR(__xludf.DUMMYFUNCTION("""COMPUTED_VALUE"""),500000.0)</f>
        <v>500000</v>
      </c>
      <c r="G5995" s="22">
        <f>IFERROR(__xludf.DUMMYFUNCTION("""COMPUTED_VALUE"""),0.0)</f>
        <v>0</v>
      </c>
      <c r="H5995" s="22">
        <f>IFERROR(__xludf.DUMMYFUNCTION("""COMPUTED_VALUE"""),483365.46775)</f>
        <v>483365.4678</v>
      </c>
      <c r="I5995" s="24">
        <f>IFERROR(__xludf.DUMMYFUNCTION("""COMPUTED_VALUE"""),-0.0332690645)</f>
        <v>-0.0332690645</v>
      </c>
    </row>
    <row r="5996">
      <c r="A5996" s="5" t="str">
        <f>IFERROR(__xludf.DUMMYFUNCTION("""COMPUTED_VALUE"""),"76796")</f>
        <v>76796</v>
      </c>
      <c r="B5996" s="64">
        <f>IFERROR(__xludf.DUMMYFUNCTION("""COMPUTED_VALUE"""),44625.0)</f>
        <v>44625</v>
      </c>
      <c r="C5996" s="5"/>
      <c r="D5996" s="5"/>
      <c r="E5996" s="5"/>
      <c r="F5996" s="22">
        <f>IFERROR(__xludf.DUMMYFUNCTION("""COMPUTED_VALUE"""),500000.0)</f>
        <v>500000</v>
      </c>
      <c r="G5996" s="22">
        <f>IFERROR(__xludf.DUMMYFUNCTION("""COMPUTED_VALUE"""),0.0)</f>
        <v>0</v>
      </c>
      <c r="H5996" s="22">
        <f>IFERROR(__xludf.DUMMYFUNCTION("""COMPUTED_VALUE"""),483365.46775)</f>
        <v>483365.4678</v>
      </c>
      <c r="I5996" s="24">
        <f>IFERROR(__xludf.DUMMYFUNCTION("""COMPUTED_VALUE"""),-0.0332690645)</f>
        <v>-0.0332690645</v>
      </c>
    </row>
    <row r="5997">
      <c r="A5997" s="5" t="str">
        <f>IFERROR(__xludf.DUMMYFUNCTION("""COMPUTED_VALUE"""),"76796")</f>
        <v>76796</v>
      </c>
      <c r="B5997" s="64">
        <f>IFERROR(__xludf.DUMMYFUNCTION("""COMPUTED_VALUE"""),44626.0)</f>
        <v>44626</v>
      </c>
      <c r="C5997" s="5"/>
      <c r="D5997" s="5"/>
      <c r="E5997" s="5"/>
      <c r="F5997" s="22">
        <f>IFERROR(__xludf.DUMMYFUNCTION("""COMPUTED_VALUE"""),500000.0)</f>
        <v>500000</v>
      </c>
      <c r="G5997" s="22">
        <f>IFERROR(__xludf.DUMMYFUNCTION("""COMPUTED_VALUE"""),0.0)</f>
        <v>0</v>
      </c>
      <c r="H5997" s="22">
        <f>IFERROR(__xludf.DUMMYFUNCTION("""COMPUTED_VALUE"""),483365.46775)</f>
        <v>483365.4678</v>
      </c>
      <c r="I5997" s="24">
        <f>IFERROR(__xludf.DUMMYFUNCTION("""COMPUTED_VALUE"""),-0.0332690645)</f>
        <v>-0.0332690645</v>
      </c>
    </row>
    <row r="5998">
      <c r="A5998" s="5" t="str">
        <f>IFERROR(__xludf.DUMMYFUNCTION("""COMPUTED_VALUE"""),"76796")</f>
        <v>76796</v>
      </c>
      <c r="B5998" s="64">
        <f>IFERROR(__xludf.DUMMYFUNCTION("""COMPUTED_VALUE"""),44627.0)</f>
        <v>44627</v>
      </c>
      <c r="C5998" s="5"/>
      <c r="D5998" s="5"/>
      <c r="E5998" s="5"/>
      <c r="F5998" s="22">
        <f>IFERROR(__xludf.DUMMYFUNCTION("""COMPUTED_VALUE"""),500000.0)</f>
        <v>500000</v>
      </c>
      <c r="G5998" s="22">
        <f>IFERROR(__xludf.DUMMYFUNCTION("""COMPUTED_VALUE"""),0.0)</f>
        <v>0</v>
      </c>
      <c r="H5998" s="22">
        <f>IFERROR(__xludf.DUMMYFUNCTION("""COMPUTED_VALUE"""),474833.93950000004)</f>
        <v>474833.9395</v>
      </c>
      <c r="I5998" s="24">
        <f>IFERROR(__xludf.DUMMYFUNCTION("""COMPUTED_VALUE"""),-0.05033212099999995)</f>
        <v>-0.050332121</v>
      </c>
    </row>
    <row r="5999">
      <c r="A5999" s="5" t="str">
        <f>IFERROR(__xludf.DUMMYFUNCTION("""COMPUTED_VALUE"""),"76796")</f>
        <v>76796</v>
      </c>
      <c r="B5999" s="64">
        <f>IFERROR(__xludf.DUMMYFUNCTION("""COMPUTED_VALUE"""),44628.0)</f>
        <v>44628</v>
      </c>
      <c r="C5999" s="5"/>
      <c r="D5999" s="5"/>
      <c r="E5999" s="5"/>
      <c r="F5999" s="22">
        <f>IFERROR(__xludf.DUMMYFUNCTION("""COMPUTED_VALUE"""),500000.0)</f>
        <v>500000</v>
      </c>
      <c r="G5999" s="22">
        <f>IFERROR(__xludf.DUMMYFUNCTION("""COMPUTED_VALUE"""),0.0)</f>
        <v>0</v>
      </c>
      <c r="H5999" s="22">
        <f>IFERROR(__xludf.DUMMYFUNCTION("""COMPUTED_VALUE"""),472449.7864)</f>
        <v>472449.7864</v>
      </c>
      <c r="I5999" s="24">
        <f>IFERROR(__xludf.DUMMYFUNCTION("""COMPUTED_VALUE"""),-0.05510042720000008)</f>
        <v>-0.0551004272</v>
      </c>
    </row>
    <row r="6000">
      <c r="A6000" s="5" t="str">
        <f>IFERROR(__xludf.DUMMYFUNCTION("""COMPUTED_VALUE"""),"76796")</f>
        <v>76796</v>
      </c>
      <c r="B6000" s="64">
        <f>IFERROR(__xludf.DUMMYFUNCTION("""COMPUTED_VALUE"""),44629.0)</f>
        <v>44629</v>
      </c>
      <c r="C6000" s="5"/>
      <c r="D6000" s="5"/>
      <c r="E6000" s="5"/>
      <c r="F6000" s="22">
        <f>IFERROR(__xludf.DUMMYFUNCTION("""COMPUTED_VALUE"""),500000.0)</f>
        <v>500000</v>
      </c>
      <c r="G6000" s="22">
        <f>IFERROR(__xludf.DUMMYFUNCTION("""COMPUTED_VALUE"""),0.0)</f>
        <v>0</v>
      </c>
      <c r="H6000" s="22">
        <f>IFERROR(__xludf.DUMMYFUNCTION("""COMPUTED_VALUE"""),482305.84415)</f>
        <v>482305.8442</v>
      </c>
      <c r="I6000" s="24">
        <f>IFERROR(__xludf.DUMMYFUNCTION("""COMPUTED_VALUE"""),-0.03538831170000001)</f>
        <v>-0.0353883117</v>
      </c>
    </row>
    <row r="6001">
      <c r="A6001" s="5" t="str">
        <f>IFERROR(__xludf.DUMMYFUNCTION("""COMPUTED_VALUE"""),"76796")</f>
        <v>76796</v>
      </c>
      <c r="B6001" s="64">
        <f>IFERROR(__xludf.DUMMYFUNCTION("""COMPUTED_VALUE"""),44630.0)</f>
        <v>44630</v>
      </c>
      <c r="C6001" s="5"/>
      <c r="D6001" s="5"/>
      <c r="E6001" s="5"/>
      <c r="F6001" s="22">
        <f>IFERROR(__xludf.DUMMYFUNCTION("""COMPUTED_VALUE"""),500000.0)</f>
        <v>500000</v>
      </c>
      <c r="G6001" s="22">
        <f>IFERROR(__xludf.DUMMYFUNCTION("""COMPUTED_VALUE"""),0.0)</f>
        <v>0</v>
      </c>
      <c r="H6001" s="22">
        <f>IFERROR(__xludf.DUMMYFUNCTION("""COMPUTED_VALUE"""),482305.84415)</f>
        <v>482305.8442</v>
      </c>
      <c r="I6001" s="24">
        <f>IFERROR(__xludf.DUMMYFUNCTION("""COMPUTED_VALUE"""),-0.03538831170000001)</f>
        <v>-0.0353883117</v>
      </c>
    </row>
    <row r="6002">
      <c r="A6002" s="5" t="str">
        <f>IFERROR(__xludf.DUMMYFUNCTION("""COMPUTED_VALUE"""),"76796")</f>
        <v>76796</v>
      </c>
      <c r="B6002" s="64">
        <f>IFERROR(__xludf.DUMMYFUNCTION("""COMPUTED_VALUE"""),44631.0)</f>
        <v>44631</v>
      </c>
      <c r="C6002" s="5"/>
      <c r="D6002" s="5"/>
      <c r="E6002" s="5"/>
      <c r="F6002" s="22">
        <f>IFERROR(__xludf.DUMMYFUNCTION("""COMPUTED_VALUE"""),500000.0)</f>
        <v>500000</v>
      </c>
      <c r="G6002" s="22">
        <f>IFERROR(__xludf.DUMMYFUNCTION("""COMPUTED_VALUE"""),0.0)</f>
        <v>0</v>
      </c>
      <c r="H6002" s="22">
        <f>IFERROR(__xludf.DUMMYFUNCTION("""COMPUTED_VALUE"""),475737.7361)</f>
        <v>475737.7361</v>
      </c>
      <c r="I6002" s="24">
        <f>IFERROR(__xludf.DUMMYFUNCTION("""COMPUTED_VALUE"""),-0.04852452780000005)</f>
        <v>-0.0485245278</v>
      </c>
    </row>
    <row r="6003">
      <c r="A6003" s="5" t="str">
        <f>IFERROR(__xludf.DUMMYFUNCTION("""COMPUTED_VALUE"""),"76796")</f>
        <v>76796</v>
      </c>
      <c r="B6003" s="64">
        <f>IFERROR(__xludf.DUMMYFUNCTION("""COMPUTED_VALUE"""),44632.0)</f>
        <v>44632</v>
      </c>
      <c r="C6003" s="5"/>
      <c r="D6003" s="5"/>
      <c r="E6003" s="5"/>
      <c r="F6003" s="22">
        <f>IFERROR(__xludf.DUMMYFUNCTION("""COMPUTED_VALUE"""),500000.0)</f>
        <v>500000</v>
      </c>
      <c r="G6003" s="22">
        <f>IFERROR(__xludf.DUMMYFUNCTION("""COMPUTED_VALUE"""),0.0)</f>
        <v>0</v>
      </c>
      <c r="H6003" s="22">
        <f>IFERROR(__xludf.DUMMYFUNCTION("""COMPUTED_VALUE"""),475737.7361)</f>
        <v>475737.7361</v>
      </c>
      <c r="I6003" s="24">
        <f>IFERROR(__xludf.DUMMYFUNCTION("""COMPUTED_VALUE"""),-0.04852452780000005)</f>
        <v>-0.0485245278</v>
      </c>
    </row>
    <row r="6004">
      <c r="A6004" s="5" t="str">
        <f>IFERROR(__xludf.DUMMYFUNCTION("""COMPUTED_VALUE"""),"76796")</f>
        <v>76796</v>
      </c>
      <c r="B6004" s="64">
        <f>IFERROR(__xludf.DUMMYFUNCTION("""COMPUTED_VALUE"""),44633.0)</f>
        <v>44633</v>
      </c>
      <c r="C6004" s="5"/>
      <c r="D6004" s="5"/>
      <c r="E6004" s="5"/>
      <c r="F6004" s="22">
        <f>IFERROR(__xludf.DUMMYFUNCTION("""COMPUTED_VALUE"""),500000.0)</f>
        <v>500000</v>
      </c>
      <c r="G6004" s="22">
        <f>IFERROR(__xludf.DUMMYFUNCTION("""COMPUTED_VALUE"""),0.0)</f>
        <v>0</v>
      </c>
      <c r="H6004" s="22">
        <f>IFERROR(__xludf.DUMMYFUNCTION("""COMPUTED_VALUE"""),475737.7361)</f>
        <v>475737.7361</v>
      </c>
      <c r="I6004" s="24">
        <f>IFERROR(__xludf.DUMMYFUNCTION("""COMPUTED_VALUE"""),-0.04852452780000005)</f>
        <v>-0.0485245278</v>
      </c>
    </row>
    <row r="6005">
      <c r="A6005" s="5" t="str">
        <f>IFERROR(__xludf.DUMMYFUNCTION("""COMPUTED_VALUE"""),"76796")</f>
        <v>76796</v>
      </c>
      <c r="B6005" s="64">
        <f>IFERROR(__xludf.DUMMYFUNCTION("""COMPUTED_VALUE"""),44634.0)</f>
        <v>44634</v>
      </c>
      <c r="C6005" s="5"/>
      <c r="D6005" s="5"/>
      <c r="E6005" s="5"/>
      <c r="F6005" s="22">
        <f>IFERROR(__xludf.DUMMYFUNCTION("""COMPUTED_VALUE"""),500000.0)</f>
        <v>500000</v>
      </c>
      <c r="G6005" s="22">
        <f>IFERROR(__xludf.DUMMYFUNCTION("""COMPUTED_VALUE"""),0.0)</f>
        <v>0</v>
      </c>
      <c r="H6005" s="22">
        <f>IFERROR(__xludf.DUMMYFUNCTION("""COMPUTED_VALUE"""),472909.47605)</f>
        <v>472909.4761</v>
      </c>
      <c r="I6005" s="24">
        <f>IFERROR(__xludf.DUMMYFUNCTION("""COMPUTED_VALUE"""),-0.0541810479)</f>
        <v>-0.0541810479</v>
      </c>
    </row>
    <row r="6006">
      <c r="A6006" s="5" t="str">
        <f>IFERROR(__xludf.DUMMYFUNCTION("""COMPUTED_VALUE"""),"76796")</f>
        <v>76796</v>
      </c>
      <c r="B6006" s="64">
        <f>IFERROR(__xludf.DUMMYFUNCTION("""COMPUTED_VALUE"""),44635.0)</f>
        <v>44635</v>
      </c>
      <c r="C6006" s="5"/>
      <c r="D6006" s="5"/>
      <c r="E6006" s="5"/>
      <c r="F6006" s="22">
        <f>IFERROR(__xludf.DUMMYFUNCTION("""COMPUTED_VALUE"""),500000.0)</f>
        <v>500000</v>
      </c>
      <c r="G6006" s="22">
        <f>IFERROR(__xludf.DUMMYFUNCTION("""COMPUTED_VALUE"""),0.0)</f>
        <v>0</v>
      </c>
      <c r="H6006" s="22">
        <f>IFERROR(__xludf.DUMMYFUNCTION("""COMPUTED_VALUE"""),481254.0119)</f>
        <v>481254.0119</v>
      </c>
      <c r="I6006" s="24">
        <f>IFERROR(__xludf.DUMMYFUNCTION("""COMPUTED_VALUE"""),-0.0374919762)</f>
        <v>-0.0374919762</v>
      </c>
    </row>
    <row r="6007">
      <c r="A6007" s="5" t="str">
        <f>IFERROR(__xludf.DUMMYFUNCTION("""COMPUTED_VALUE"""),"76796")</f>
        <v>76796</v>
      </c>
      <c r="B6007" s="64">
        <f>IFERROR(__xludf.DUMMYFUNCTION("""COMPUTED_VALUE"""),44636.0)</f>
        <v>44636</v>
      </c>
      <c r="C6007" s="5"/>
      <c r="D6007" s="5"/>
      <c r="E6007" s="5"/>
      <c r="F6007" s="22">
        <f>IFERROR(__xludf.DUMMYFUNCTION("""COMPUTED_VALUE"""),500000.0)</f>
        <v>500000</v>
      </c>
      <c r="G6007" s="22">
        <f>IFERROR(__xludf.DUMMYFUNCTION("""COMPUTED_VALUE"""),0.0)</f>
        <v>0</v>
      </c>
      <c r="H6007" s="22">
        <f>IFERROR(__xludf.DUMMYFUNCTION("""COMPUTED_VALUE"""),486894.9493)</f>
        <v>486894.9493</v>
      </c>
      <c r="I6007" s="24">
        <f>IFERROR(__xludf.DUMMYFUNCTION("""COMPUTED_VALUE"""),-0.02621010140000002)</f>
        <v>-0.0262101014</v>
      </c>
    </row>
    <row r="6008">
      <c r="A6008" s="5" t="str">
        <f>IFERROR(__xludf.DUMMYFUNCTION("""COMPUTED_VALUE"""),"76796")</f>
        <v>76796</v>
      </c>
      <c r="B6008" s="64">
        <f>IFERROR(__xludf.DUMMYFUNCTION("""COMPUTED_VALUE"""),44637.0)</f>
        <v>44637</v>
      </c>
      <c r="C6008" s="5"/>
      <c r="D6008" s="5"/>
      <c r="E6008" s="5"/>
      <c r="F6008" s="22">
        <f>IFERROR(__xludf.DUMMYFUNCTION("""COMPUTED_VALUE"""),500000.0)</f>
        <v>500000</v>
      </c>
      <c r="G6008" s="22">
        <f>IFERROR(__xludf.DUMMYFUNCTION("""COMPUTED_VALUE"""),0.0)</f>
        <v>0</v>
      </c>
      <c r="H6008" s="22">
        <f>IFERROR(__xludf.DUMMYFUNCTION("""COMPUTED_VALUE"""),487541.63135000004)</f>
        <v>487541.6314</v>
      </c>
      <c r="I6008" s="24">
        <f>IFERROR(__xludf.DUMMYFUNCTION("""COMPUTED_VALUE"""),-0.02491673729999988)</f>
        <v>-0.0249167373</v>
      </c>
    </row>
    <row r="6009">
      <c r="A6009" s="5" t="str">
        <f>IFERROR(__xludf.DUMMYFUNCTION("""COMPUTED_VALUE"""),"76796")</f>
        <v>76796</v>
      </c>
      <c r="B6009" s="64">
        <f>IFERROR(__xludf.DUMMYFUNCTION("""COMPUTED_VALUE"""),44638.0)</f>
        <v>44638</v>
      </c>
      <c r="C6009" s="5"/>
      <c r="D6009" s="5"/>
      <c r="E6009" s="5"/>
      <c r="F6009" s="22">
        <f>IFERROR(__xludf.DUMMYFUNCTION("""COMPUTED_VALUE"""),500000.0)</f>
        <v>500000</v>
      </c>
      <c r="G6009" s="22">
        <f>IFERROR(__xludf.DUMMYFUNCTION("""COMPUTED_VALUE"""),0.0)</f>
        <v>0</v>
      </c>
      <c r="H6009" s="22">
        <f>IFERROR(__xludf.DUMMYFUNCTION("""COMPUTED_VALUE"""),491600.9247)</f>
        <v>491600.9247</v>
      </c>
      <c r="I6009" s="24">
        <f>IFERROR(__xludf.DUMMYFUNCTION("""COMPUTED_VALUE"""),-0.016798150600000006)</f>
        <v>-0.0167981506</v>
      </c>
    </row>
    <row r="6010">
      <c r="A6010" s="5" t="str">
        <f>IFERROR(__xludf.DUMMYFUNCTION("""COMPUTED_VALUE"""),"76796")</f>
        <v>76796</v>
      </c>
      <c r="B6010" s="64">
        <f>IFERROR(__xludf.DUMMYFUNCTION("""COMPUTED_VALUE"""),44639.0)</f>
        <v>44639</v>
      </c>
      <c r="C6010" s="5"/>
      <c r="D6010" s="5"/>
      <c r="E6010" s="5"/>
      <c r="F6010" s="22">
        <f>IFERROR(__xludf.DUMMYFUNCTION("""COMPUTED_VALUE"""),500000.0)</f>
        <v>500000</v>
      </c>
      <c r="G6010" s="22">
        <f>IFERROR(__xludf.DUMMYFUNCTION("""COMPUTED_VALUE"""),0.0)</f>
        <v>0</v>
      </c>
      <c r="H6010" s="22">
        <f>IFERROR(__xludf.DUMMYFUNCTION("""COMPUTED_VALUE"""),491600.9247)</f>
        <v>491600.9247</v>
      </c>
      <c r="I6010" s="24">
        <f>IFERROR(__xludf.DUMMYFUNCTION("""COMPUTED_VALUE"""),-0.016798150600000006)</f>
        <v>-0.0167981506</v>
      </c>
    </row>
    <row r="6011">
      <c r="A6011" s="5" t="str">
        <f>IFERROR(__xludf.DUMMYFUNCTION("""COMPUTED_VALUE"""),"76796")</f>
        <v>76796</v>
      </c>
      <c r="B6011" s="64">
        <f>IFERROR(__xludf.DUMMYFUNCTION("""COMPUTED_VALUE"""),44640.0)</f>
        <v>44640</v>
      </c>
      <c r="C6011" s="5"/>
      <c r="D6011" s="5"/>
      <c r="E6011" s="5"/>
      <c r="F6011" s="22">
        <f>IFERROR(__xludf.DUMMYFUNCTION("""COMPUTED_VALUE"""),500000.0)</f>
        <v>500000</v>
      </c>
      <c r="G6011" s="22">
        <f>IFERROR(__xludf.DUMMYFUNCTION("""COMPUTED_VALUE"""),0.0)</f>
        <v>0</v>
      </c>
      <c r="H6011" s="22">
        <f>IFERROR(__xludf.DUMMYFUNCTION("""COMPUTED_VALUE"""),491600.9247)</f>
        <v>491600.9247</v>
      </c>
      <c r="I6011" s="24">
        <f>IFERROR(__xludf.DUMMYFUNCTION("""COMPUTED_VALUE"""),-0.016798150600000006)</f>
        <v>-0.0167981506</v>
      </c>
    </row>
    <row r="6012">
      <c r="A6012" s="5" t="str">
        <f>IFERROR(__xludf.DUMMYFUNCTION("""COMPUTED_VALUE"""),"76796")</f>
        <v>76796</v>
      </c>
      <c r="B6012" s="64">
        <f>IFERROR(__xludf.DUMMYFUNCTION("""COMPUTED_VALUE"""),44641.0)</f>
        <v>44641</v>
      </c>
      <c r="C6012" s="5"/>
      <c r="D6012" s="5"/>
      <c r="E6012" s="5"/>
      <c r="F6012" s="22">
        <f>IFERROR(__xludf.DUMMYFUNCTION("""COMPUTED_VALUE"""),500000.0)</f>
        <v>500000</v>
      </c>
      <c r="G6012" s="22">
        <f>IFERROR(__xludf.DUMMYFUNCTION("""COMPUTED_VALUE"""),0.0)</f>
        <v>0</v>
      </c>
      <c r="H6012" s="22">
        <f>IFERROR(__xludf.DUMMYFUNCTION("""COMPUTED_VALUE"""),490611.42325)</f>
        <v>490611.4233</v>
      </c>
      <c r="I6012" s="24">
        <f>IFERROR(__xludf.DUMMYFUNCTION("""COMPUTED_VALUE"""),-0.018777153499999977)</f>
        <v>-0.0187771535</v>
      </c>
    </row>
    <row r="6013">
      <c r="A6013" s="5" t="str">
        <f>IFERROR(__xludf.DUMMYFUNCTION("""COMPUTED_VALUE"""),"76796")</f>
        <v>76796</v>
      </c>
      <c r="B6013" s="64">
        <f>IFERROR(__xludf.DUMMYFUNCTION("""COMPUTED_VALUE"""),44642.0)</f>
        <v>44642</v>
      </c>
      <c r="C6013" s="5"/>
      <c r="D6013" s="5"/>
      <c r="E6013" s="5"/>
      <c r="F6013" s="22">
        <f>IFERROR(__xludf.DUMMYFUNCTION("""COMPUTED_VALUE"""),500000.0)</f>
        <v>500000</v>
      </c>
      <c r="G6013" s="22">
        <f>IFERROR(__xludf.DUMMYFUNCTION("""COMPUTED_VALUE"""),0.0)</f>
        <v>0</v>
      </c>
      <c r="H6013" s="22">
        <f>IFERROR(__xludf.DUMMYFUNCTION("""COMPUTED_VALUE"""),494429.18475)</f>
        <v>494429.1848</v>
      </c>
      <c r="I6013" s="24">
        <f>IFERROR(__xludf.DUMMYFUNCTION("""COMPUTED_VALUE"""),-0.011141630499999944)</f>
        <v>-0.0111416305</v>
      </c>
    </row>
    <row r="6014">
      <c r="A6014" s="5" t="str">
        <f>IFERROR(__xludf.DUMMYFUNCTION("""COMPUTED_VALUE"""),"76796")</f>
        <v>76796</v>
      </c>
      <c r="B6014" s="64">
        <f>IFERROR(__xludf.DUMMYFUNCTION("""COMPUTED_VALUE"""),44643.0)</f>
        <v>44643</v>
      </c>
      <c r="C6014" s="5"/>
      <c r="D6014" s="5"/>
      <c r="E6014" s="5"/>
      <c r="F6014" s="22">
        <f>IFERROR(__xludf.DUMMYFUNCTION("""COMPUTED_VALUE"""),500000.0)</f>
        <v>500000</v>
      </c>
      <c r="G6014" s="22">
        <f>IFERROR(__xludf.DUMMYFUNCTION("""COMPUTED_VALUE"""),0.0)</f>
        <v>0</v>
      </c>
      <c r="H6014" s="22">
        <f>IFERROR(__xludf.DUMMYFUNCTION("""COMPUTED_VALUE"""),490868.53780000005)</f>
        <v>490868.5378</v>
      </c>
      <c r="I6014" s="24">
        <f>IFERROR(__xludf.DUMMYFUNCTION("""COMPUTED_VALUE"""),-0.01826292439999988)</f>
        <v>-0.0182629244</v>
      </c>
    </row>
    <row r="6015">
      <c r="A6015" s="5" t="str">
        <f>IFERROR(__xludf.DUMMYFUNCTION("""COMPUTED_VALUE"""),"76796")</f>
        <v>76796</v>
      </c>
      <c r="B6015" s="64">
        <f>IFERROR(__xludf.DUMMYFUNCTION("""COMPUTED_VALUE"""),44644.0)</f>
        <v>44644</v>
      </c>
      <c r="C6015" s="5"/>
      <c r="D6015" s="5"/>
      <c r="E6015" s="5"/>
      <c r="F6015" s="22">
        <f>IFERROR(__xludf.DUMMYFUNCTION("""COMPUTED_VALUE"""),500000.0)</f>
        <v>500000</v>
      </c>
      <c r="G6015" s="22">
        <f>IFERROR(__xludf.DUMMYFUNCTION("""COMPUTED_VALUE"""),0.0)</f>
        <v>0</v>
      </c>
      <c r="H6015" s="22">
        <f>IFERROR(__xludf.DUMMYFUNCTION("""COMPUTED_VALUE"""),494460.35015)</f>
        <v>494460.3502</v>
      </c>
      <c r="I6015" s="24">
        <f>IFERROR(__xludf.DUMMYFUNCTION("""COMPUTED_VALUE"""),-0.01107929969999999)</f>
        <v>-0.0110792997</v>
      </c>
    </row>
    <row r="6016">
      <c r="A6016" s="5" t="str">
        <f>IFERROR(__xludf.DUMMYFUNCTION("""COMPUTED_VALUE"""),"76796")</f>
        <v>76796</v>
      </c>
      <c r="B6016" s="64">
        <f>IFERROR(__xludf.DUMMYFUNCTION("""COMPUTED_VALUE"""),44645.0)</f>
        <v>44645</v>
      </c>
      <c r="C6016" s="5"/>
      <c r="D6016" s="5"/>
      <c r="E6016" s="5"/>
      <c r="F6016" s="22">
        <f>IFERROR(__xludf.DUMMYFUNCTION("""COMPUTED_VALUE"""),500000.0)</f>
        <v>500000</v>
      </c>
      <c r="G6016" s="22">
        <f>IFERROR(__xludf.DUMMYFUNCTION("""COMPUTED_VALUE"""),0.0)</f>
        <v>0</v>
      </c>
      <c r="H6016" s="22">
        <f>IFERROR(__xludf.DUMMYFUNCTION("""COMPUTED_VALUE"""),494133.11345)</f>
        <v>494133.1135</v>
      </c>
      <c r="I6016" s="24">
        <f>IFERROR(__xludf.DUMMYFUNCTION("""COMPUTED_VALUE"""),-0.011733773100000011)</f>
        <v>-0.0117337731</v>
      </c>
    </row>
    <row r="6017">
      <c r="A6017" s="5" t="str">
        <f>IFERROR(__xludf.DUMMYFUNCTION("""COMPUTED_VALUE"""),"76796")</f>
        <v>76796</v>
      </c>
      <c r="B6017" s="64">
        <f>IFERROR(__xludf.DUMMYFUNCTION("""COMPUTED_VALUE"""),44646.0)</f>
        <v>44646</v>
      </c>
      <c r="C6017" s="5"/>
      <c r="D6017" s="5"/>
      <c r="E6017" s="5"/>
      <c r="F6017" s="22">
        <f>IFERROR(__xludf.DUMMYFUNCTION("""COMPUTED_VALUE"""),500000.0)</f>
        <v>500000</v>
      </c>
      <c r="G6017" s="22">
        <f>IFERROR(__xludf.DUMMYFUNCTION("""COMPUTED_VALUE"""),0.0)</f>
        <v>0</v>
      </c>
      <c r="H6017" s="22">
        <f>IFERROR(__xludf.DUMMYFUNCTION("""COMPUTED_VALUE"""),494133.11345)</f>
        <v>494133.1135</v>
      </c>
      <c r="I6017" s="24">
        <f>IFERROR(__xludf.DUMMYFUNCTION("""COMPUTED_VALUE"""),-0.011733773100000011)</f>
        <v>-0.0117337731</v>
      </c>
    </row>
    <row r="6018">
      <c r="A6018" s="5" t="str">
        <f>IFERROR(__xludf.DUMMYFUNCTION("""COMPUTED_VALUE"""),"76796")</f>
        <v>76796</v>
      </c>
      <c r="B6018" s="64">
        <f>IFERROR(__xludf.DUMMYFUNCTION("""COMPUTED_VALUE"""),44647.0)</f>
        <v>44647</v>
      </c>
      <c r="C6018" s="5"/>
      <c r="D6018" s="5"/>
      <c r="E6018" s="5"/>
      <c r="F6018" s="22">
        <f>IFERROR(__xludf.DUMMYFUNCTION("""COMPUTED_VALUE"""),500000.0)</f>
        <v>500000</v>
      </c>
      <c r="G6018" s="22">
        <f>IFERROR(__xludf.DUMMYFUNCTION("""COMPUTED_VALUE"""),0.0)</f>
        <v>0</v>
      </c>
      <c r="H6018" s="22">
        <f>IFERROR(__xludf.DUMMYFUNCTION("""COMPUTED_VALUE"""),494133.11345)</f>
        <v>494133.1135</v>
      </c>
      <c r="I6018" s="24">
        <f>IFERROR(__xludf.DUMMYFUNCTION("""COMPUTED_VALUE"""),-0.011733773100000011)</f>
        <v>-0.0117337731</v>
      </c>
    </row>
    <row r="6019">
      <c r="A6019" s="5" t="str">
        <f>IFERROR(__xludf.DUMMYFUNCTION("""COMPUTED_VALUE"""),"76796")</f>
        <v>76796</v>
      </c>
      <c r="B6019" s="64">
        <f>IFERROR(__xludf.DUMMYFUNCTION("""COMPUTED_VALUE"""),44648.0)</f>
        <v>44648</v>
      </c>
      <c r="C6019" s="5"/>
      <c r="D6019" s="5"/>
      <c r="E6019" s="5"/>
      <c r="F6019" s="22">
        <f>IFERROR(__xludf.DUMMYFUNCTION("""COMPUTED_VALUE"""),500000.0)</f>
        <v>500000</v>
      </c>
      <c r="G6019" s="22">
        <f>IFERROR(__xludf.DUMMYFUNCTION("""COMPUTED_VALUE"""),0.0)</f>
        <v>0</v>
      </c>
      <c r="H6019" s="22">
        <f>IFERROR(__xludf.DUMMYFUNCTION("""COMPUTED_VALUE"""),499602.64115000004)</f>
        <v>499602.6412</v>
      </c>
      <c r="I6019" s="24">
        <f>IFERROR(__xludf.DUMMYFUNCTION("""COMPUTED_VALUE"""),-7.947176999999472E-4)</f>
        <v>-0.0007947177</v>
      </c>
    </row>
    <row r="6020">
      <c r="A6020" s="5" t="str">
        <f>IFERROR(__xludf.DUMMYFUNCTION("""COMPUTED_VALUE"""),"76796")</f>
        <v>76796</v>
      </c>
      <c r="B6020" s="64">
        <f>IFERROR(__xludf.DUMMYFUNCTION("""COMPUTED_VALUE"""),44649.0)</f>
        <v>44649</v>
      </c>
      <c r="C6020" s="5"/>
      <c r="D6020" s="5"/>
      <c r="E6020" s="5"/>
      <c r="F6020" s="22">
        <f>IFERROR(__xludf.DUMMYFUNCTION("""COMPUTED_VALUE"""),500000.0)</f>
        <v>500000</v>
      </c>
      <c r="G6020" s="22">
        <f>IFERROR(__xludf.DUMMYFUNCTION("""COMPUTED_VALUE"""),0.0)</f>
        <v>0</v>
      </c>
      <c r="H6020" s="22">
        <f>IFERROR(__xludf.DUMMYFUNCTION("""COMPUTED_VALUE"""),503272.367)</f>
        <v>503272.367</v>
      </c>
      <c r="I6020" s="24">
        <f>IFERROR(__xludf.DUMMYFUNCTION("""COMPUTED_VALUE"""),0.0065447339999999965)</f>
        <v>0.006544734</v>
      </c>
    </row>
    <row r="6021">
      <c r="A6021" s="5" t="str">
        <f>IFERROR(__xludf.DUMMYFUNCTION("""COMPUTED_VALUE"""),"76796")</f>
        <v>76796</v>
      </c>
      <c r="B6021" s="64">
        <f>IFERROR(__xludf.DUMMYFUNCTION("""COMPUTED_VALUE"""),44650.0)</f>
        <v>44650</v>
      </c>
      <c r="C6021" s="5"/>
      <c r="D6021" s="5"/>
      <c r="E6021" s="5"/>
      <c r="F6021" s="22">
        <f>IFERROR(__xludf.DUMMYFUNCTION("""COMPUTED_VALUE"""),500000.0)</f>
        <v>500000</v>
      </c>
      <c r="G6021" s="22">
        <f>IFERROR(__xludf.DUMMYFUNCTION("""COMPUTED_VALUE"""),0.0)</f>
        <v>0</v>
      </c>
      <c r="H6021" s="22">
        <f>IFERROR(__xludf.DUMMYFUNCTION("""COMPUTED_VALUE"""),502064.70775000006)</f>
        <v>502064.7078</v>
      </c>
      <c r="I6021" s="24">
        <f>IFERROR(__xludf.DUMMYFUNCTION("""COMPUTED_VALUE"""),0.004129415500000011)</f>
        <v>0.0041294155</v>
      </c>
    </row>
    <row r="6022">
      <c r="A6022" s="5" t="str">
        <f>IFERROR(__xludf.DUMMYFUNCTION("""COMPUTED_VALUE"""),"76796")</f>
        <v>76796</v>
      </c>
      <c r="B6022" s="64">
        <f>IFERROR(__xludf.DUMMYFUNCTION("""COMPUTED_VALUE"""),44651.0)</f>
        <v>44651</v>
      </c>
      <c r="C6022" s="5"/>
      <c r="D6022" s="5"/>
      <c r="E6022" s="5"/>
      <c r="F6022" s="22">
        <f>IFERROR(__xludf.DUMMYFUNCTION("""COMPUTED_VALUE"""),500000.0)</f>
        <v>500000</v>
      </c>
      <c r="G6022" s="22">
        <f>IFERROR(__xludf.DUMMYFUNCTION("""COMPUTED_VALUE"""),0.0)</f>
        <v>0</v>
      </c>
      <c r="H6022" s="22">
        <f>IFERROR(__xludf.DUMMYFUNCTION("""COMPUTED_VALUE"""),497740.5085)</f>
        <v>497740.5085</v>
      </c>
      <c r="I6022" s="24">
        <f>IFERROR(__xludf.DUMMYFUNCTION("""COMPUTED_VALUE"""),-0.0045189829999999764)</f>
        <v>-0.004518983</v>
      </c>
    </row>
    <row r="6023">
      <c r="A6023" s="5" t="str">
        <f>IFERROR(__xludf.DUMMYFUNCTION("""COMPUTED_VALUE"""),"76796")</f>
        <v>76796</v>
      </c>
      <c r="B6023" s="64">
        <f>IFERROR(__xludf.DUMMYFUNCTION("""COMPUTED_VALUE"""),44652.0)</f>
        <v>44652</v>
      </c>
      <c r="C6023" s="5"/>
      <c r="D6023" s="5"/>
      <c r="E6023" s="5"/>
      <c r="F6023" s="22">
        <f>IFERROR(__xludf.DUMMYFUNCTION("""COMPUTED_VALUE"""),500000.0)</f>
        <v>500000</v>
      </c>
      <c r="G6023" s="22">
        <f>IFERROR(__xludf.DUMMYFUNCTION("""COMPUTED_VALUE"""),0.0)</f>
        <v>0</v>
      </c>
      <c r="H6023" s="22">
        <f>IFERROR(__xludf.DUMMYFUNCTION("""COMPUTED_VALUE"""),498605.34835)</f>
        <v>498605.3484</v>
      </c>
      <c r="I6023" s="24">
        <f>IFERROR(__xludf.DUMMYFUNCTION("""COMPUTED_VALUE"""),-0.0027893033000000456)</f>
        <v>-0.0027893033</v>
      </c>
    </row>
    <row r="6024">
      <c r="A6024" s="5" t="str">
        <f>IFERROR(__xludf.DUMMYFUNCTION("""COMPUTED_VALUE"""),"76796")</f>
        <v>76796</v>
      </c>
      <c r="B6024" s="64">
        <f>IFERROR(__xludf.DUMMYFUNCTION("""COMPUTED_VALUE"""),44653.0)</f>
        <v>44653</v>
      </c>
      <c r="C6024" s="5"/>
      <c r="D6024" s="5"/>
      <c r="E6024" s="5"/>
      <c r="F6024" s="22">
        <f>IFERROR(__xludf.DUMMYFUNCTION("""COMPUTED_VALUE"""),500000.0)</f>
        <v>500000</v>
      </c>
      <c r="G6024" s="22">
        <f>IFERROR(__xludf.DUMMYFUNCTION("""COMPUTED_VALUE"""),0.0)</f>
        <v>0</v>
      </c>
      <c r="H6024" s="22">
        <f>IFERROR(__xludf.DUMMYFUNCTION("""COMPUTED_VALUE"""),498605.34835)</f>
        <v>498605.3484</v>
      </c>
      <c r="I6024" s="24">
        <f>IFERROR(__xludf.DUMMYFUNCTION("""COMPUTED_VALUE"""),-0.0027893033000000456)</f>
        <v>-0.0027893033</v>
      </c>
    </row>
    <row r="6025">
      <c r="A6025" s="5" t="str">
        <f>IFERROR(__xludf.DUMMYFUNCTION("""COMPUTED_VALUE"""),"76796")</f>
        <v>76796</v>
      </c>
      <c r="B6025" s="64">
        <f>IFERROR(__xludf.DUMMYFUNCTION("""COMPUTED_VALUE"""),44654.0)</f>
        <v>44654</v>
      </c>
      <c r="C6025" s="5"/>
      <c r="D6025" s="5"/>
      <c r="E6025" s="5"/>
      <c r="F6025" s="22">
        <f>IFERROR(__xludf.DUMMYFUNCTION("""COMPUTED_VALUE"""),500000.0)</f>
        <v>500000</v>
      </c>
      <c r="G6025" s="22">
        <f>IFERROR(__xludf.DUMMYFUNCTION("""COMPUTED_VALUE"""),0.0)</f>
        <v>0</v>
      </c>
      <c r="H6025" s="22">
        <f>IFERROR(__xludf.DUMMYFUNCTION("""COMPUTED_VALUE"""),498605.34835)</f>
        <v>498605.3484</v>
      </c>
      <c r="I6025" s="24">
        <f>IFERROR(__xludf.DUMMYFUNCTION("""COMPUTED_VALUE"""),-0.0027893033000000456)</f>
        <v>-0.0027893033</v>
      </c>
    </row>
    <row r="6026">
      <c r="A6026" s="5" t="str">
        <f>IFERROR(__xludf.DUMMYFUNCTION("""COMPUTED_VALUE"""),"76796")</f>
        <v>76796</v>
      </c>
      <c r="B6026" s="64">
        <f>IFERROR(__xludf.DUMMYFUNCTION("""COMPUTED_VALUE"""),44655.0)</f>
        <v>44655</v>
      </c>
      <c r="C6026" s="5"/>
      <c r="D6026" s="5"/>
      <c r="E6026" s="5"/>
      <c r="F6026" s="22">
        <f>IFERROR(__xludf.DUMMYFUNCTION("""COMPUTED_VALUE"""),500000.0)</f>
        <v>500000</v>
      </c>
      <c r="G6026" s="22">
        <f>IFERROR(__xludf.DUMMYFUNCTION("""COMPUTED_VALUE"""),0.0)</f>
        <v>0</v>
      </c>
      <c r="H6026" s="22">
        <f>IFERROR(__xludf.DUMMYFUNCTION("""COMPUTED_VALUE"""),502929.54760000005)</f>
        <v>502929.5476</v>
      </c>
      <c r="I6026" s="24">
        <f>IFERROR(__xludf.DUMMYFUNCTION("""COMPUTED_VALUE"""),0.005859095200000164)</f>
        <v>0.0058590952</v>
      </c>
    </row>
    <row r="6027">
      <c r="A6027" s="5" t="str">
        <f>IFERROR(__xludf.DUMMYFUNCTION("""COMPUTED_VALUE"""),"76796")</f>
        <v>76796</v>
      </c>
      <c r="B6027" s="64">
        <f>IFERROR(__xludf.DUMMYFUNCTION("""COMPUTED_VALUE"""),44656.0)</f>
        <v>44656</v>
      </c>
      <c r="C6027" s="5"/>
      <c r="D6027" s="5"/>
      <c r="E6027" s="5"/>
      <c r="F6027" s="22">
        <f>IFERROR(__xludf.DUMMYFUNCTION("""COMPUTED_VALUE"""),500000.0)</f>
        <v>500000</v>
      </c>
      <c r="G6027" s="22">
        <f>IFERROR(__xludf.DUMMYFUNCTION("""COMPUTED_VALUE"""),0.0)</f>
        <v>0</v>
      </c>
      <c r="H6027" s="22">
        <f>IFERROR(__xludf.DUMMYFUNCTION("""COMPUTED_VALUE"""),499742.88545)</f>
        <v>499742.8855</v>
      </c>
      <c r="I6027" s="24">
        <f>IFERROR(__xludf.DUMMYFUNCTION("""COMPUTED_VALUE"""),-5.142290999999855E-4)</f>
        <v>-0.0005142291</v>
      </c>
    </row>
    <row r="6028">
      <c r="A6028" s="5" t="str">
        <f>IFERROR(__xludf.DUMMYFUNCTION("""COMPUTED_VALUE"""),"76796")</f>
        <v>76796</v>
      </c>
      <c r="B6028" s="64">
        <f>IFERROR(__xludf.DUMMYFUNCTION("""COMPUTED_VALUE"""),44657.0)</f>
        <v>44657</v>
      </c>
      <c r="C6028" s="5"/>
      <c r="D6028" s="5"/>
      <c r="E6028" s="5"/>
      <c r="F6028" s="22">
        <f>IFERROR(__xludf.DUMMYFUNCTION("""COMPUTED_VALUE"""),500000.0)</f>
        <v>500000</v>
      </c>
      <c r="G6028" s="22">
        <f>IFERROR(__xludf.DUMMYFUNCTION("""COMPUTED_VALUE"""),0.0)</f>
        <v>0</v>
      </c>
      <c r="H6028" s="22">
        <f>IFERROR(__xludf.DUMMYFUNCTION("""COMPUTED_VALUE"""),490876.32915)</f>
        <v>490876.3292</v>
      </c>
      <c r="I6028" s="24">
        <f>IFERROR(__xludf.DUMMYFUNCTION("""COMPUTED_VALUE"""),-0.018247341699999975)</f>
        <v>-0.0182473417</v>
      </c>
    </row>
    <row r="6029">
      <c r="A6029" s="5" t="str">
        <f>IFERROR(__xludf.DUMMYFUNCTION("""COMPUTED_VALUE"""),"76796")</f>
        <v>76796</v>
      </c>
      <c r="B6029" s="64">
        <f>IFERROR(__xludf.DUMMYFUNCTION("""COMPUTED_VALUE"""),44658.0)</f>
        <v>44658</v>
      </c>
      <c r="C6029" s="5"/>
      <c r="D6029" s="5"/>
      <c r="E6029" s="5"/>
      <c r="F6029" s="22">
        <f>IFERROR(__xludf.DUMMYFUNCTION("""COMPUTED_VALUE"""),500000.0)</f>
        <v>500000</v>
      </c>
      <c r="G6029" s="22">
        <f>IFERROR(__xludf.DUMMYFUNCTION("""COMPUTED_VALUE"""),0.0)</f>
        <v>0</v>
      </c>
      <c r="H6029" s="22">
        <f>IFERROR(__xludf.DUMMYFUNCTION("""COMPUTED_VALUE"""),492130.7365)</f>
        <v>492130.7365</v>
      </c>
      <c r="I6029" s="24">
        <f>IFERROR(__xludf.DUMMYFUNCTION("""COMPUTED_VALUE"""),-0.015738527000000002)</f>
        <v>-0.015738527</v>
      </c>
    </row>
    <row r="6030">
      <c r="A6030" s="5" t="str">
        <f>IFERROR(__xludf.DUMMYFUNCTION("""COMPUTED_VALUE"""),"76796")</f>
        <v>76796</v>
      </c>
      <c r="B6030" s="64">
        <f>IFERROR(__xludf.DUMMYFUNCTION("""COMPUTED_VALUE"""),44659.0)</f>
        <v>44659</v>
      </c>
      <c r="C6030" s="5"/>
      <c r="D6030" s="5"/>
      <c r="E6030" s="5"/>
      <c r="F6030" s="22">
        <f>IFERROR(__xludf.DUMMYFUNCTION("""COMPUTED_VALUE"""),500000.0)</f>
        <v>500000</v>
      </c>
      <c r="G6030" s="22">
        <f>IFERROR(__xludf.DUMMYFUNCTION("""COMPUTED_VALUE"""),0.0)</f>
        <v>0</v>
      </c>
      <c r="H6030" s="22">
        <f>IFERROR(__xludf.DUMMYFUNCTION("""COMPUTED_VALUE"""),488905.1176)</f>
        <v>488905.1176</v>
      </c>
      <c r="I6030" s="24">
        <f>IFERROR(__xludf.DUMMYFUNCTION("""COMPUTED_VALUE"""),-0.02218976480000001)</f>
        <v>-0.0221897648</v>
      </c>
    </row>
    <row r="6031">
      <c r="A6031" s="5" t="str">
        <f>IFERROR(__xludf.DUMMYFUNCTION("""COMPUTED_VALUE"""),"76796")</f>
        <v>76796</v>
      </c>
      <c r="B6031" s="64">
        <f>IFERROR(__xludf.DUMMYFUNCTION("""COMPUTED_VALUE"""),44660.0)</f>
        <v>44660</v>
      </c>
      <c r="C6031" s="5"/>
      <c r="D6031" s="5"/>
      <c r="E6031" s="5"/>
      <c r="F6031" s="22">
        <f>IFERROR(__xludf.DUMMYFUNCTION("""COMPUTED_VALUE"""),500000.0)</f>
        <v>500000</v>
      </c>
      <c r="G6031" s="22">
        <f>IFERROR(__xludf.DUMMYFUNCTION("""COMPUTED_VALUE"""),0.0)</f>
        <v>0</v>
      </c>
      <c r="H6031" s="22">
        <f>IFERROR(__xludf.DUMMYFUNCTION("""COMPUTED_VALUE"""),488905.1176)</f>
        <v>488905.1176</v>
      </c>
      <c r="I6031" s="24">
        <f>IFERROR(__xludf.DUMMYFUNCTION("""COMPUTED_VALUE"""),-0.02218976480000001)</f>
        <v>-0.0221897648</v>
      </c>
    </row>
    <row r="6032">
      <c r="A6032" s="5" t="str">
        <f>IFERROR(__xludf.DUMMYFUNCTION("""COMPUTED_VALUE"""),"76796")</f>
        <v>76796</v>
      </c>
      <c r="B6032" s="64">
        <f>IFERROR(__xludf.DUMMYFUNCTION("""COMPUTED_VALUE"""),44661.0)</f>
        <v>44661</v>
      </c>
      <c r="C6032" s="5"/>
      <c r="D6032" s="5"/>
      <c r="E6032" s="5"/>
      <c r="F6032" s="22">
        <f>IFERROR(__xludf.DUMMYFUNCTION("""COMPUTED_VALUE"""),500000.0)</f>
        <v>500000</v>
      </c>
      <c r="G6032" s="22">
        <f>IFERROR(__xludf.DUMMYFUNCTION("""COMPUTED_VALUE"""),0.0)</f>
        <v>0</v>
      </c>
      <c r="H6032" s="22">
        <f>IFERROR(__xludf.DUMMYFUNCTION("""COMPUTED_VALUE"""),488905.1176)</f>
        <v>488905.1176</v>
      </c>
      <c r="I6032" s="24">
        <f>IFERROR(__xludf.DUMMYFUNCTION("""COMPUTED_VALUE"""),-0.02218976480000001)</f>
        <v>-0.0221897648</v>
      </c>
    </row>
    <row r="6033">
      <c r="A6033" s="5" t="str">
        <f>IFERROR(__xludf.DUMMYFUNCTION("""COMPUTED_VALUE"""),"76796")</f>
        <v>76796</v>
      </c>
      <c r="B6033" s="64">
        <f>IFERROR(__xludf.DUMMYFUNCTION("""COMPUTED_VALUE"""),44662.0)</f>
        <v>44662</v>
      </c>
      <c r="C6033" s="5"/>
      <c r="D6033" s="5"/>
      <c r="E6033" s="5"/>
      <c r="F6033" s="22">
        <f>IFERROR(__xludf.DUMMYFUNCTION("""COMPUTED_VALUE"""),500000.0)</f>
        <v>500000</v>
      </c>
      <c r="G6033" s="22">
        <f>IFERROR(__xludf.DUMMYFUNCTION("""COMPUTED_VALUE"""),0.0)</f>
        <v>0</v>
      </c>
      <c r="H6033" s="22">
        <f>IFERROR(__xludf.DUMMYFUNCTION("""COMPUTED_VALUE"""),479781.44675)</f>
        <v>479781.4468</v>
      </c>
      <c r="I6033" s="24">
        <f>IFERROR(__xludf.DUMMYFUNCTION("""COMPUTED_VALUE"""),-0.040437106499999986)</f>
        <v>-0.0404371065</v>
      </c>
    </row>
    <row r="6034">
      <c r="A6034" s="5" t="str">
        <f>IFERROR(__xludf.DUMMYFUNCTION("""COMPUTED_VALUE"""),"76796")</f>
        <v>76796</v>
      </c>
      <c r="B6034" s="64">
        <f>IFERROR(__xludf.DUMMYFUNCTION("""COMPUTED_VALUE"""),44663.0)</f>
        <v>44663</v>
      </c>
      <c r="C6034" s="5"/>
      <c r="D6034" s="5"/>
      <c r="E6034" s="5"/>
      <c r="F6034" s="22">
        <f>IFERROR(__xludf.DUMMYFUNCTION("""COMPUTED_VALUE"""),500000.0)</f>
        <v>500000</v>
      </c>
      <c r="G6034" s="22">
        <f>IFERROR(__xludf.DUMMYFUNCTION("""COMPUTED_VALUE"""),0.0)</f>
        <v>0</v>
      </c>
      <c r="H6034" s="22">
        <f>IFERROR(__xludf.DUMMYFUNCTION("""COMPUTED_VALUE"""),477288.21475000004)</f>
        <v>477288.2148</v>
      </c>
      <c r="I6034" s="24">
        <f>IFERROR(__xludf.DUMMYFUNCTION("""COMPUTED_VALUE"""),-0.0454235704999999)</f>
        <v>-0.0454235705</v>
      </c>
    </row>
    <row r="6035">
      <c r="A6035" s="5" t="str">
        <f>IFERROR(__xludf.DUMMYFUNCTION("""COMPUTED_VALUE"""),"76848")</f>
        <v>76848</v>
      </c>
      <c r="B6035" s="64">
        <f>IFERROR(__xludf.DUMMYFUNCTION("""COMPUTED_VALUE"""),44597.0)</f>
        <v>44597</v>
      </c>
      <c r="C6035" s="5"/>
      <c r="D6035" s="5"/>
      <c r="E6035" s="5"/>
      <c r="F6035" s="22">
        <f>IFERROR(__xludf.DUMMYFUNCTION("""COMPUTED_VALUE"""),500000.0)</f>
        <v>500000</v>
      </c>
      <c r="G6035" s="22">
        <f>IFERROR(__xludf.DUMMYFUNCTION("""COMPUTED_VALUE"""),0.0)</f>
        <v>0</v>
      </c>
      <c r="H6035" s="22">
        <f>IFERROR(__xludf.DUMMYFUNCTION("""COMPUTED_VALUE"""),500000.0)</f>
        <v>500000</v>
      </c>
      <c r="I6035" s="24">
        <f>IFERROR(__xludf.DUMMYFUNCTION("""COMPUTED_VALUE"""),0.0)</f>
        <v>0</v>
      </c>
    </row>
    <row r="6036">
      <c r="A6036" s="5" t="str">
        <f>IFERROR(__xludf.DUMMYFUNCTION("""COMPUTED_VALUE"""),"76848")</f>
        <v>76848</v>
      </c>
      <c r="B6036" s="64">
        <f>IFERROR(__xludf.DUMMYFUNCTION("""COMPUTED_VALUE"""),44598.0)</f>
        <v>44598</v>
      </c>
      <c r="C6036" s="5"/>
      <c r="D6036" s="5"/>
      <c r="E6036" s="5"/>
      <c r="F6036" s="22">
        <f>IFERROR(__xludf.DUMMYFUNCTION("""COMPUTED_VALUE"""),500000.0)</f>
        <v>500000</v>
      </c>
      <c r="G6036" s="22">
        <f>IFERROR(__xludf.DUMMYFUNCTION("""COMPUTED_VALUE"""),0.0)</f>
        <v>0</v>
      </c>
      <c r="H6036" s="22">
        <f>IFERROR(__xludf.DUMMYFUNCTION("""COMPUTED_VALUE"""),500000.0)</f>
        <v>500000</v>
      </c>
      <c r="I6036" s="24">
        <f>IFERROR(__xludf.DUMMYFUNCTION("""COMPUTED_VALUE"""),0.0)</f>
        <v>0</v>
      </c>
    </row>
    <row r="6037">
      <c r="A6037" s="5" t="str">
        <f>IFERROR(__xludf.DUMMYFUNCTION("""COMPUTED_VALUE"""),"76848")</f>
        <v>76848</v>
      </c>
      <c r="B6037" s="64">
        <f>IFERROR(__xludf.DUMMYFUNCTION("""COMPUTED_VALUE"""),44599.0)</f>
        <v>44599</v>
      </c>
      <c r="C6037" s="5"/>
      <c r="D6037" s="5"/>
      <c r="E6037" s="5"/>
      <c r="F6037" s="22">
        <f>IFERROR(__xludf.DUMMYFUNCTION("""COMPUTED_VALUE"""),500000.0)</f>
        <v>500000</v>
      </c>
      <c r="G6037" s="22">
        <f>IFERROR(__xludf.DUMMYFUNCTION("""COMPUTED_VALUE"""),0.0)</f>
        <v>0</v>
      </c>
      <c r="H6037" s="22">
        <f>IFERROR(__xludf.DUMMYFUNCTION("""COMPUTED_VALUE"""),500000.0)</f>
        <v>500000</v>
      </c>
      <c r="I6037" s="24">
        <f>IFERROR(__xludf.DUMMYFUNCTION("""COMPUTED_VALUE"""),0.0)</f>
        <v>0</v>
      </c>
    </row>
    <row r="6038">
      <c r="A6038" s="5" t="str">
        <f>IFERROR(__xludf.DUMMYFUNCTION("""COMPUTED_VALUE"""),"76848")</f>
        <v>76848</v>
      </c>
      <c r="B6038" s="64">
        <f>IFERROR(__xludf.DUMMYFUNCTION("""COMPUTED_VALUE"""),44600.0)</f>
        <v>44600</v>
      </c>
      <c r="C6038" s="5"/>
      <c r="D6038" s="5"/>
      <c r="E6038" s="5"/>
      <c r="F6038" s="22">
        <f>IFERROR(__xludf.DUMMYFUNCTION("""COMPUTED_VALUE"""),500000.0)</f>
        <v>500000</v>
      </c>
      <c r="G6038" s="22">
        <f>IFERROR(__xludf.DUMMYFUNCTION("""COMPUTED_VALUE"""),0.0)</f>
        <v>0</v>
      </c>
      <c r="H6038" s="22">
        <f>IFERROR(__xludf.DUMMYFUNCTION("""COMPUTED_VALUE"""),500000.0)</f>
        <v>500000</v>
      </c>
      <c r="I6038" s="24">
        <f>IFERROR(__xludf.DUMMYFUNCTION("""COMPUTED_VALUE"""),0.0)</f>
        <v>0</v>
      </c>
    </row>
    <row r="6039">
      <c r="A6039" s="5" t="str">
        <f>IFERROR(__xludf.DUMMYFUNCTION("""COMPUTED_VALUE"""),"76848")</f>
        <v>76848</v>
      </c>
      <c r="B6039" s="64">
        <f>IFERROR(__xludf.DUMMYFUNCTION("""COMPUTED_VALUE"""),44601.0)</f>
        <v>44601</v>
      </c>
      <c r="C6039" s="5"/>
      <c r="D6039" s="5"/>
      <c r="E6039" s="5"/>
      <c r="F6039" s="22">
        <f>IFERROR(__xludf.DUMMYFUNCTION("""COMPUTED_VALUE"""),500000.0)</f>
        <v>500000</v>
      </c>
      <c r="G6039" s="22">
        <f>IFERROR(__xludf.DUMMYFUNCTION("""COMPUTED_VALUE"""),0.0)</f>
        <v>0</v>
      </c>
      <c r="H6039" s="22">
        <f>IFERROR(__xludf.DUMMYFUNCTION("""COMPUTED_VALUE"""),500000.0)</f>
        <v>500000</v>
      </c>
      <c r="I6039" s="24">
        <f>IFERROR(__xludf.DUMMYFUNCTION("""COMPUTED_VALUE"""),0.0)</f>
        <v>0</v>
      </c>
    </row>
    <row r="6040">
      <c r="A6040" s="5" t="str">
        <f>IFERROR(__xludf.DUMMYFUNCTION("""COMPUTED_VALUE"""),"76848")</f>
        <v>76848</v>
      </c>
      <c r="B6040" s="64">
        <f>IFERROR(__xludf.DUMMYFUNCTION("""COMPUTED_VALUE"""),44602.0)</f>
        <v>44602</v>
      </c>
      <c r="C6040" s="5"/>
      <c r="D6040" s="5"/>
      <c r="E6040" s="5"/>
      <c r="F6040" s="22">
        <f>IFERROR(__xludf.DUMMYFUNCTION("""COMPUTED_VALUE"""),500000.0)</f>
        <v>500000</v>
      </c>
      <c r="G6040" s="22">
        <f>IFERROR(__xludf.DUMMYFUNCTION("""COMPUTED_VALUE"""),0.0)</f>
        <v>0</v>
      </c>
      <c r="H6040" s="22">
        <f>IFERROR(__xludf.DUMMYFUNCTION("""COMPUTED_VALUE"""),500000.0)</f>
        <v>500000</v>
      </c>
      <c r="I6040" s="24">
        <f>IFERROR(__xludf.DUMMYFUNCTION("""COMPUTED_VALUE"""),0.0)</f>
        <v>0</v>
      </c>
    </row>
    <row r="6041">
      <c r="A6041" s="5" t="str">
        <f>IFERROR(__xludf.DUMMYFUNCTION("""COMPUTED_VALUE"""),"76848")</f>
        <v>76848</v>
      </c>
      <c r="B6041" s="64">
        <f>IFERROR(__xludf.DUMMYFUNCTION("""COMPUTED_VALUE"""),44603.0)</f>
        <v>44603</v>
      </c>
      <c r="C6041" s="5"/>
      <c r="D6041" s="5"/>
      <c r="E6041" s="5"/>
      <c r="F6041" s="22">
        <f>IFERROR(__xludf.DUMMYFUNCTION("""COMPUTED_VALUE"""),491815.731138)</f>
        <v>491815.7311</v>
      </c>
      <c r="G6041" s="22">
        <f>IFERROR(__xludf.DUMMYFUNCTION("""COMPUTED_VALUE"""),0.0)</f>
        <v>0</v>
      </c>
      <c r="H6041" s="22">
        <f>IFERROR(__xludf.DUMMYFUNCTION("""COMPUTED_VALUE"""),500000.0)</f>
        <v>500000</v>
      </c>
      <c r="I6041" s="24">
        <f>IFERROR(__xludf.DUMMYFUNCTION("""COMPUTED_VALUE"""),0.0)</f>
        <v>0</v>
      </c>
    </row>
    <row r="6042">
      <c r="A6042" s="5" t="str">
        <f>IFERROR(__xludf.DUMMYFUNCTION("""COMPUTED_VALUE"""),"76848")</f>
        <v>76848</v>
      </c>
      <c r="B6042" s="64">
        <f>IFERROR(__xludf.DUMMYFUNCTION("""COMPUTED_VALUE"""),44604.0)</f>
        <v>44604</v>
      </c>
      <c r="C6042" s="5"/>
      <c r="D6042" s="5"/>
      <c r="E6042" s="5"/>
      <c r="F6042" s="22">
        <f>IFERROR(__xludf.DUMMYFUNCTION("""COMPUTED_VALUE"""),491815.731138)</f>
        <v>491815.7311</v>
      </c>
      <c r="G6042" s="22">
        <f>IFERROR(__xludf.DUMMYFUNCTION("""COMPUTED_VALUE"""),0.0)</f>
        <v>0</v>
      </c>
      <c r="H6042" s="22">
        <f>IFERROR(__xludf.DUMMYFUNCTION("""COMPUTED_VALUE"""),500000.0)</f>
        <v>500000</v>
      </c>
      <c r="I6042" s="24">
        <f>IFERROR(__xludf.DUMMYFUNCTION("""COMPUTED_VALUE"""),0.0)</f>
        <v>0</v>
      </c>
    </row>
    <row r="6043">
      <c r="A6043" s="5" t="str">
        <f>IFERROR(__xludf.DUMMYFUNCTION("""COMPUTED_VALUE"""),"76848")</f>
        <v>76848</v>
      </c>
      <c r="B6043" s="64">
        <f>IFERROR(__xludf.DUMMYFUNCTION("""COMPUTED_VALUE"""),44605.0)</f>
        <v>44605</v>
      </c>
      <c r="C6043" s="5"/>
      <c r="D6043" s="5"/>
      <c r="E6043" s="5"/>
      <c r="F6043" s="22">
        <f>IFERROR(__xludf.DUMMYFUNCTION("""COMPUTED_VALUE"""),491815.731138)</f>
        <v>491815.7311</v>
      </c>
      <c r="G6043" s="22">
        <f>IFERROR(__xludf.DUMMYFUNCTION("""COMPUTED_VALUE"""),0.0)</f>
        <v>0</v>
      </c>
      <c r="H6043" s="22">
        <f>IFERROR(__xludf.DUMMYFUNCTION("""COMPUTED_VALUE"""),500000.0)</f>
        <v>500000</v>
      </c>
      <c r="I6043" s="24">
        <f>IFERROR(__xludf.DUMMYFUNCTION("""COMPUTED_VALUE"""),0.0)</f>
        <v>0</v>
      </c>
    </row>
    <row r="6044">
      <c r="A6044" s="5" t="str">
        <f>IFERROR(__xludf.DUMMYFUNCTION("""COMPUTED_VALUE"""),"76848")</f>
        <v>76848</v>
      </c>
      <c r="B6044" s="64">
        <f>IFERROR(__xludf.DUMMYFUNCTION("""COMPUTED_VALUE"""),44606.0)</f>
        <v>44606</v>
      </c>
      <c r="C6044" s="5"/>
      <c r="D6044" s="5"/>
      <c r="E6044" s="5"/>
      <c r="F6044" s="22">
        <f>IFERROR(__xludf.DUMMYFUNCTION("""COMPUTED_VALUE"""),491815.731138)</f>
        <v>491815.7311</v>
      </c>
      <c r="G6044" s="22">
        <f>IFERROR(__xludf.DUMMYFUNCTION("""COMPUTED_VALUE"""),0.0)</f>
        <v>0</v>
      </c>
      <c r="H6044" s="22">
        <f>IFERROR(__xludf.DUMMYFUNCTION("""COMPUTED_VALUE"""),500024.923104)</f>
        <v>500024.9231</v>
      </c>
      <c r="I6044" s="24">
        <f>IFERROR(__xludf.DUMMYFUNCTION("""COMPUTED_VALUE"""),4.984620800008166E-5)</f>
        <v>0.000049846208</v>
      </c>
    </row>
    <row r="6045">
      <c r="A6045" s="5" t="str">
        <f>IFERROR(__xludf.DUMMYFUNCTION("""COMPUTED_VALUE"""),"76848")</f>
        <v>76848</v>
      </c>
      <c r="B6045" s="64">
        <f>IFERROR(__xludf.DUMMYFUNCTION("""COMPUTED_VALUE"""),44607.0)</f>
        <v>44607</v>
      </c>
      <c r="C6045" s="5"/>
      <c r="D6045" s="5"/>
      <c r="E6045" s="5"/>
      <c r="F6045" s="22">
        <f>IFERROR(__xludf.DUMMYFUNCTION("""COMPUTED_VALUE"""),491815.731138)</f>
        <v>491815.7311</v>
      </c>
      <c r="G6045" s="22">
        <f>IFERROR(__xludf.DUMMYFUNCTION("""COMPUTED_VALUE"""),0.0)</f>
        <v>0</v>
      </c>
      <c r="H6045" s="22">
        <f>IFERROR(__xludf.DUMMYFUNCTION("""COMPUTED_VALUE"""),500723.5905855)</f>
        <v>500723.5906</v>
      </c>
      <c r="I6045" s="24">
        <f>IFERROR(__xludf.DUMMYFUNCTION("""COMPUTED_VALUE"""),0.001447181170999956)</f>
        <v>0.001447181171</v>
      </c>
    </row>
    <row r="6046">
      <c r="A6046" s="5" t="str">
        <f>IFERROR(__xludf.DUMMYFUNCTION("""COMPUTED_VALUE"""),"76848")</f>
        <v>76848</v>
      </c>
      <c r="B6046" s="64">
        <f>IFERROR(__xludf.DUMMYFUNCTION("""COMPUTED_VALUE"""),44608.0)</f>
        <v>44608</v>
      </c>
      <c r="C6046" s="5"/>
      <c r="D6046" s="5"/>
      <c r="E6046" s="5"/>
      <c r="F6046" s="22">
        <f>IFERROR(__xludf.DUMMYFUNCTION("""COMPUTED_VALUE"""),491815.731138)</f>
        <v>491815.7311</v>
      </c>
      <c r="G6046" s="22">
        <f>IFERROR(__xludf.DUMMYFUNCTION("""COMPUTED_VALUE"""),0.0)</f>
        <v>0</v>
      </c>
      <c r="H6046" s="22">
        <f>IFERROR(__xludf.DUMMYFUNCTION("""COMPUTED_VALUE"""),500466.4942895)</f>
        <v>500466.4943</v>
      </c>
      <c r="I6046" s="24">
        <f>IFERROR(__xludf.DUMMYFUNCTION("""COMPUTED_VALUE"""),9.32988578999927E-4)</f>
        <v>0.000932988579</v>
      </c>
    </row>
    <row r="6047">
      <c r="A6047" s="5" t="str">
        <f>IFERROR(__xludf.DUMMYFUNCTION("""COMPUTED_VALUE"""),"76848")</f>
        <v>76848</v>
      </c>
      <c r="B6047" s="64">
        <f>IFERROR(__xludf.DUMMYFUNCTION("""COMPUTED_VALUE"""),44609.0)</f>
        <v>44609</v>
      </c>
      <c r="C6047" s="5"/>
      <c r="D6047" s="5"/>
      <c r="E6047" s="5"/>
      <c r="F6047" s="22">
        <f>IFERROR(__xludf.DUMMYFUNCTION("""COMPUTED_VALUE"""),491815.731138)</f>
        <v>491815.7311</v>
      </c>
      <c r="G6047" s="22">
        <f>IFERROR(__xludf.DUMMYFUNCTION("""COMPUTED_VALUE"""),0.0)</f>
        <v>0</v>
      </c>
      <c r="H6047" s="22">
        <f>IFERROR(__xludf.DUMMYFUNCTION("""COMPUTED_VALUE"""),499843.4146165)</f>
        <v>499843.4146</v>
      </c>
      <c r="I6047" s="24">
        <f>IFERROR(__xludf.DUMMYFUNCTION("""COMPUTED_VALUE"""),-3.131707669999928E-4)</f>
        <v>-0.000313170767</v>
      </c>
    </row>
    <row r="6048">
      <c r="A6048" s="5" t="str">
        <f>IFERROR(__xludf.DUMMYFUNCTION("""COMPUTED_VALUE"""),"76848")</f>
        <v>76848</v>
      </c>
      <c r="B6048" s="64">
        <f>IFERROR(__xludf.DUMMYFUNCTION("""COMPUTED_VALUE"""),44610.0)</f>
        <v>44610</v>
      </c>
      <c r="C6048" s="5"/>
      <c r="D6048" s="5"/>
      <c r="E6048" s="5"/>
      <c r="F6048" s="22">
        <f>IFERROR(__xludf.DUMMYFUNCTION("""COMPUTED_VALUE"""),491815.731138)</f>
        <v>491815.7311</v>
      </c>
      <c r="G6048" s="22">
        <f>IFERROR(__xludf.DUMMYFUNCTION("""COMPUTED_VALUE"""),0.0)</f>
        <v>0</v>
      </c>
      <c r="H6048" s="22">
        <f>IFERROR(__xludf.DUMMYFUNCTION("""COMPUTED_VALUE"""),498007.39416749997)</f>
        <v>498007.3942</v>
      </c>
      <c r="I6048" s="24">
        <f>IFERROR(__xludf.DUMMYFUNCTION("""COMPUTED_VALUE"""),-0.003985211665000099)</f>
        <v>-0.003985211665</v>
      </c>
    </row>
    <row r="6049">
      <c r="A6049" s="5" t="str">
        <f>IFERROR(__xludf.DUMMYFUNCTION("""COMPUTED_VALUE"""),"76848")</f>
        <v>76848</v>
      </c>
      <c r="B6049" s="64">
        <f>IFERROR(__xludf.DUMMYFUNCTION("""COMPUTED_VALUE"""),44611.0)</f>
        <v>44611</v>
      </c>
      <c r="C6049" s="5"/>
      <c r="D6049" s="5"/>
      <c r="E6049" s="5"/>
      <c r="F6049" s="22">
        <f>IFERROR(__xludf.DUMMYFUNCTION("""COMPUTED_VALUE"""),491815.731138)</f>
        <v>491815.7311</v>
      </c>
      <c r="G6049" s="22">
        <f>IFERROR(__xludf.DUMMYFUNCTION("""COMPUTED_VALUE"""),0.0)</f>
        <v>0</v>
      </c>
      <c r="H6049" s="22">
        <f>IFERROR(__xludf.DUMMYFUNCTION("""COMPUTED_VALUE"""),498007.39416749997)</f>
        <v>498007.3942</v>
      </c>
      <c r="I6049" s="24">
        <f>IFERROR(__xludf.DUMMYFUNCTION("""COMPUTED_VALUE"""),-0.003985211665000099)</f>
        <v>-0.003985211665</v>
      </c>
    </row>
    <row r="6050">
      <c r="A6050" s="5" t="str">
        <f>IFERROR(__xludf.DUMMYFUNCTION("""COMPUTED_VALUE"""),"76848")</f>
        <v>76848</v>
      </c>
      <c r="B6050" s="64">
        <f>IFERROR(__xludf.DUMMYFUNCTION("""COMPUTED_VALUE"""),44612.0)</f>
        <v>44612</v>
      </c>
      <c r="C6050" s="5"/>
      <c r="D6050" s="5"/>
      <c r="E6050" s="5"/>
      <c r="F6050" s="22">
        <f>IFERROR(__xludf.DUMMYFUNCTION("""COMPUTED_VALUE"""),491815.731138)</f>
        <v>491815.7311</v>
      </c>
      <c r="G6050" s="22">
        <f>IFERROR(__xludf.DUMMYFUNCTION("""COMPUTED_VALUE"""),0.0)</f>
        <v>0</v>
      </c>
      <c r="H6050" s="22">
        <f>IFERROR(__xludf.DUMMYFUNCTION("""COMPUTED_VALUE"""),498007.39416749997)</f>
        <v>498007.3942</v>
      </c>
      <c r="I6050" s="24">
        <f>IFERROR(__xludf.DUMMYFUNCTION("""COMPUTED_VALUE"""),-0.003985211665000099)</f>
        <v>-0.003985211665</v>
      </c>
    </row>
    <row r="6051">
      <c r="A6051" s="5" t="str">
        <f>IFERROR(__xludf.DUMMYFUNCTION("""COMPUTED_VALUE"""),"76848")</f>
        <v>76848</v>
      </c>
      <c r="B6051" s="64">
        <f>IFERROR(__xludf.DUMMYFUNCTION("""COMPUTED_VALUE"""),44613.0)</f>
        <v>44613</v>
      </c>
      <c r="C6051" s="5"/>
      <c r="D6051" s="5"/>
      <c r="E6051" s="5"/>
      <c r="F6051" s="22">
        <f>IFERROR(__xludf.DUMMYFUNCTION("""COMPUTED_VALUE"""),491815.731138)</f>
        <v>491815.7311</v>
      </c>
      <c r="G6051" s="22">
        <f>IFERROR(__xludf.DUMMYFUNCTION("""COMPUTED_VALUE"""),0.0)</f>
        <v>0</v>
      </c>
      <c r="H6051" s="22">
        <f>IFERROR(__xludf.DUMMYFUNCTION("""COMPUTED_VALUE"""),498027.39416749997)</f>
        <v>498027.3942</v>
      </c>
      <c r="I6051" s="24">
        <f>IFERROR(__xludf.DUMMYFUNCTION("""COMPUTED_VALUE"""),-0.003945211665000059)</f>
        <v>-0.003945211665</v>
      </c>
    </row>
    <row r="6052">
      <c r="A6052" s="5" t="str">
        <f>IFERROR(__xludf.DUMMYFUNCTION("""COMPUTED_VALUE"""),"76848")</f>
        <v>76848</v>
      </c>
      <c r="B6052" s="64">
        <f>IFERROR(__xludf.DUMMYFUNCTION("""COMPUTED_VALUE"""),44614.0)</f>
        <v>44614</v>
      </c>
      <c r="C6052" s="5"/>
      <c r="D6052" s="5"/>
      <c r="E6052" s="5"/>
      <c r="F6052" s="22">
        <f>IFERROR(__xludf.DUMMYFUNCTION("""COMPUTED_VALUE"""),491815.731138)</f>
        <v>491815.7311</v>
      </c>
      <c r="G6052" s="22">
        <f>IFERROR(__xludf.DUMMYFUNCTION("""COMPUTED_VALUE"""),0.0)</f>
        <v>0</v>
      </c>
      <c r="H6052" s="22">
        <f>IFERROR(__xludf.DUMMYFUNCTION("""COMPUTED_VALUE"""),496698.505371)</f>
        <v>496698.5054</v>
      </c>
      <c r="I6052" s="24">
        <f>IFERROR(__xludf.DUMMYFUNCTION("""COMPUTED_VALUE"""),-0.006602989258000069)</f>
        <v>-0.006602989258</v>
      </c>
    </row>
    <row r="6053">
      <c r="A6053" s="5" t="str">
        <f>IFERROR(__xludf.DUMMYFUNCTION("""COMPUTED_VALUE"""),"76848")</f>
        <v>76848</v>
      </c>
      <c r="B6053" s="64">
        <f>IFERROR(__xludf.DUMMYFUNCTION("""COMPUTED_VALUE"""),44615.0)</f>
        <v>44615</v>
      </c>
      <c r="C6053" s="5"/>
      <c r="D6053" s="5"/>
      <c r="E6053" s="5"/>
      <c r="F6053" s="22">
        <f>IFERROR(__xludf.DUMMYFUNCTION("""COMPUTED_VALUE"""),491815.731138)</f>
        <v>491815.7311</v>
      </c>
      <c r="G6053" s="22">
        <f>IFERROR(__xludf.DUMMYFUNCTION("""COMPUTED_VALUE"""),0.0)</f>
        <v>0</v>
      </c>
      <c r="H6053" s="22">
        <f>IFERROR(__xludf.DUMMYFUNCTION("""COMPUTED_VALUE"""),495488.1751295)</f>
        <v>495488.1751</v>
      </c>
      <c r="I6053" s="24">
        <f>IFERROR(__xludf.DUMMYFUNCTION("""COMPUTED_VALUE"""),-0.009023649741000006)</f>
        <v>-0.009023649741</v>
      </c>
    </row>
    <row r="6054">
      <c r="A6054" s="5" t="str">
        <f>IFERROR(__xludf.DUMMYFUNCTION("""COMPUTED_VALUE"""),"76848")</f>
        <v>76848</v>
      </c>
      <c r="B6054" s="64">
        <f>IFERROR(__xludf.DUMMYFUNCTION("""COMPUTED_VALUE"""),44616.0)</f>
        <v>44616</v>
      </c>
      <c r="C6054" s="5"/>
      <c r="D6054" s="5"/>
      <c r="E6054" s="5"/>
      <c r="F6054" s="22">
        <f>IFERROR(__xludf.DUMMYFUNCTION("""COMPUTED_VALUE"""),372131.7816354999)</f>
        <v>372131.7816</v>
      </c>
      <c r="G6054" s="22">
        <f>IFERROR(__xludf.DUMMYFUNCTION("""COMPUTED_VALUE"""),0.0)</f>
        <v>0</v>
      </c>
      <c r="H6054" s="22">
        <f>IFERROR(__xludf.DUMMYFUNCTION("""COMPUTED_VALUE"""),500314.6957435)</f>
        <v>500314.6957</v>
      </c>
      <c r="I6054" s="24">
        <f>IFERROR(__xludf.DUMMYFUNCTION("""COMPUTED_VALUE"""),6.293914870001416E-4)</f>
        <v>0.000629391487</v>
      </c>
    </row>
    <row r="6055">
      <c r="A6055" s="5" t="str">
        <f>IFERROR(__xludf.DUMMYFUNCTION("""COMPUTED_VALUE"""),"76848")</f>
        <v>76848</v>
      </c>
      <c r="B6055" s="64">
        <f>IFERROR(__xludf.DUMMYFUNCTION("""COMPUTED_VALUE"""),44617.0)</f>
        <v>44617</v>
      </c>
      <c r="C6055" s="5"/>
      <c r="D6055" s="5"/>
      <c r="E6055" s="5"/>
      <c r="F6055" s="22">
        <f>IFERROR(__xludf.DUMMYFUNCTION("""COMPUTED_VALUE"""),372131.7816354999)</f>
        <v>372131.7816</v>
      </c>
      <c r="G6055" s="22">
        <f>IFERROR(__xludf.DUMMYFUNCTION("""COMPUTED_VALUE"""),0.0)</f>
        <v>0</v>
      </c>
      <c r="H6055" s="22">
        <f>IFERROR(__xludf.DUMMYFUNCTION("""COMPUTED_VALUE"""),499123.09105999995)</f>
        <v>499123.0911</v>
      </c>
      <c r="I6055" s="24">
        <f>IFERROR(__xludf.DUMMYFUNCTION("""COMPUTED_VALUE"""),-0.0017538178800000637)</f>
        <v>-0.00175381788</v>
      </c>
    </row>
    <row r="6056">
      <c r="A6056" s="5" t="str">
        <f>IFERROR(__xludf.DUMMYFUNCTION("""COMPUTED_VALUE"""),"76848")</f>
        <v>76848</v>
      </c>
      <c r="B6056" s="64">
        <f>IFERROR(__xludf.DUMMYFUNCTION("""COMPUTED_VALUE"""),44618.0)</f>
        <v>44618</v>
      </c>
      <c r="C6056" s="5"/>
      <c r="D6056" s="5"/>
      <c r="E6056" s="5"/>
      <c r="F6056" s="22">
        <f>IFERROR(__xludf.DUMMYFUNCTION("""COMPUTED_VALUE"""),372131.7816354999)</f>
        <v>372131.7816</v>
      </c>
      <c r="G6056" s="22">
        <f>IFERROR(__xludf.DUMMYFUNCTION("""COMPUTED_VALUE"""),0.0)</f>
        <v>0</v>
      </c>
      <c r="H6056" s="22">
        <f>IFERROR(__xludf.DUMMYFUNCTION("""COMPUTED_VALUE"""),499123.09105999995)</f>
        <v>499123.0911</v>
      </c>
      <c r="I6056" s="24">
        <f>IFERROR(__xludf.DUMMYFUNCTION("""COMPUTED_VALUE"""),-0.0017538178800000637)</f>
        <v>-0.00175381788</v>
      </c>
    </row>
    <row r="6057">
      <c r="A6057" s="5" t="str">
        <f>IFERROR(__xludf.DUMMYFUNCTION("""COMPUTED_VALUE"""),"76848")</f>
        <v>76848</v>
      </c>
      <c r="B6057" s="64">
        <f>IFERROR(__xludf.DUMMYFUNCTION("""COMPUTED_VALUE"""),44619.0)</f>
        <v>44619</v>
      </c>
      <c r="C6057" s="5"/>
      <c r="D6057" s="5"/>
      <c r="E6057" s="5"/>
      <c r="F6057" s="22">
        <f>IFERROR(__xludf.DUMMYFUNCTION("""COMPUTED_VALUE"""),372131.7816354999)</f>
        <v>372131.7816</v>
      </c>
      <c r="G6057" s="22">
        <f>IFERROR(__xludf.DUMMYFUNCTION("""COMPUTED_VALUE"""),0.0)</f>
        <v>0</v>
      </c>
      <c r="H6057" s="22">
        <f>IFERROR(__xludf.DUMMYFUNCTION("""COMPUTED_VALUE"""),499123.09105999995)</f>
        <v>499123.0911</v>
      </c>
      <c r="I6057" s="24">
        <f>IFERROR(__xludf.DUMMYFUNCTION("""COMPUTED_VALUE"""),-0.0017538178800000637)</f>
        <v>-0.00175381788</v>
      </c>
    </row>
    <row r="6058">
      <c r="A6058" s="5" t="str">
        <f>IFERROR(__xludf.DUMMYFUNCTION("""COMPUTED_VALUE"""),"76848")</f>
        <v>76848</v>
      </c>
      <c r="B6058" s="64">
        <f>IFERROR(__xludf.DUMMYFUNCTION("""COMPUTED_VALUE"""),44620.0)</f>
        <v>44620</v>
      </c>
      <c r="C6058" s="5"/>
      <c r="D6058" s="5"/>
      <c r="E6058" s="5"/>
      <c r="F6058" s="22">
        <f>IFERROR(__xludf.DUMMYFUNCTION("""COMPUTED_VALUE"""),372131.7816354999)</f>
        <v>372131.7816</v>
      </c>
      <c r="G6058" s="22">
        <f>IFERROR(__xludf.DUMMYFUNCTION("""COMPUTED_VALUE"""),0.0)</f>
        <v>0</v>
      </c>
      <c r="H6058" s="22">
        <f>IFERROR(__xludf.DUMMYFUNCTION("""COMPUTED_VALUE"""),501709.86137249996)</f>
        <v>501709.8614</v>
      </c>
      <c r="I6058" s="24">
        <f>IFERROR(__xludf.DUMMYFUNCTION("""COMPUTED_VALUE"""),0.003419722744999909)</f>
        <v>0.003419722745</v>
      </c>
    </row>
    <row r="6059">
      <c r="A6059" s="5" t="str">
        <f>IFERROR(__xludf.DUMMYFUNCTION("""COMPUTED_VALUE"""),"76848")</f>
        <v>76848</v>
      </c>
      <c r="B6059" s="64">
        <f>IFERROR(__xludf.DUMMYFUNCTION("""COMPUTED_VALUE"""),44621.0)</f>
        <v>44621</v>
      </c>
      <c r="C6059" s="5"/>
      <c r="D6059" s="5"/>
      <c r="E6059" s="5"/>
      <c r="F6059" s="22">
        <f>IFERROR(__xludf.DUMMYFUNCTION("""COMPUTED_VALUE"""),372131.7816354999)</f>
        <v>372131.7816</v>
      </c>
      <c r="G6059" s="22">
        <f>IFERROR(__xludf.DUMMYFUNCTION("""COMPUTED_VALUE"""),0.0)</f>
        <v>0</v>
      </c>
      <c r="H6059" s="22">
        <f>IFERROR(__xludf.DUMMYFUNCTION("""COMPUTED_VALUE"""),507743.24062050006)</f>
        <v>507743.2406</v>
      </c>
      <c r="I6059" s="24">
        <f>IFERROR(__xludf.DUMMYFUNCTION("""COMPUTED_VALUE"""),0.01548648124100005)</f>
        <v>0.01548648124</v>
      </c>
    </row>
    <row r="6060">
      <c r="A6060" s="5" t="str">
        <f>IFERROR(__xludf.DUMMYFUNCTION("""COMPUTED_VALUE"""),"76848")</f>
        <v>76848</v>
      </c>
      <c r="B6060" s="64">
        <f>IFERROR(__xludf.DUMMYFUNCTION("""COMPUTED_VALUE"""),44622.0)</f>
        <v>44622</v>
      </c>
      <c r="C6060" s="5"/>
      <c r="D6060" s="5"/>
      <c r="E6060" s="5"/>
      <c r="F6060" s="22">
        <f>IFERROR(__xludf.DUMMYFUNCTION("""COMPUTED_VALUE"""),372131.7816354999)</f>
        <v>372131.7816</v>
      </c>
      <c r="G6060" s="22">
        <f>IFERROR(__xludf.DUMMYFUNCTION("""COMPUTED_VALUE"""),0.0)</f>
        <v>0</v>
      </c>
      <c r="H6060" s="22">
        <f>IFERROR(__xludf.DUMMYFUNCTION("""COMPUTED_VALUE"""),514051.2252005)</f>
        <v>514051.2252</v>
      </c>
      <c r="I6060" s="24">
        <f>IFERROR(__xludf.DUMMYFUNCTION("""COMPUTED_VALUE"""),0.0281024504009999)</f>
        <v>0.0281024504</v>
      </c>
    </row>
    <row r="6061">
      <c r="A6061" s="5" t="str">
        <f>IFERROR(__xludf.DUMMYFUNCTION("""COMPUTED_VALUE"""),"76848")</f>
        <v>76848</v>
      </c>
      <c r="B6061" s="64">
        <f>IFERROR(__xludf.DUMMYFUNCTION("""COMPUTED_VALUE"""),44623.0)</f>
        <v>44623</v>
      </c>
      <c r="C6061" s="5"/>
      <c r="D6061" s="5"/>
      <c r="E6061" s="5"/>
      <c r="F6061" s="22">
        <f>IFERROR(__xludf.DUMMYFUNCTION("""COMPUTED_VALUE"""),372131.7816354999)</f>
        <v>372131.7816</v>
      </c>
      <c r="G6061" s="22">
        <f>IFERROR(__xludf.DUMMYFUNCTION("""COMPUTED_VALUE"""),0.0)</f>
        <v>0</v>
      </c>
      <c r="H6061" s="22">
        <f>IFERROR(__xludf.DUMMYFUNCTION("""COMPUTED_VALUE"""),511137.4859655)</f>
        <v>511137.486</v>
      </c>
      <c r="I6061" s="24">
        <f>IFERROR(__xludf.DUMMYFUNCTION("""COMPUTED_VALUE"""),0.02227497193100003)</f>
        <v>0.02227497193</v>
      </c>
    </row>
    <row r="6062">
      <c r="A6062" s="5" t="str">
        <f>IFERROR(__xludf.DUMMYFUNCTION("""COMPUTED_VALUE"""),"76848")</f>
        <v>76848</v>
      </c>
      <c r="B6062" s="64">
        <f>IFERROR(__xludf.DUMMYFUNCTION("""COMPUTED_VALUE"""),44624.0)</f>
        <v>44624</v>
      </c>
      <c r="C6062" s="5"/>
      <c r="D6062" s="5"/>
      <c r="E6062" s="5"/>
      <c r="F6062" s="22">
        <f>IFERROR(__xludf.DUMMYFUNCTION("""COMPUTED_VALUE"""),372131.7816354999)</f>
        <v>372131.7816</v>
      </c>
      <c r="G6062" s="22">
        <f>IFERROR(__xludf.DUMMYFUNCTION("""COMPUTED_VALUE"""),0.0)</f>
        <v>0</v>
      </c>
      <c r="H6062" s="22">
        <f>IFERROR(__xludf.DUMMYFUNCTION("""COMPUTED_VALUE"""),513296.6115289999)</f>
        <v>513296.6115</v>
      </c>
      <c r="I6062" s="24">
        <f>IFERROR(__xludf.DUMMYFUNCTION("""COMPUTED_VALUE"""),0.026593223057999937)</f>
        <v>0.02659322306</v>
      </c>
    </row>
    <row r="6063">
      <c r="A6063" s="5" t="str">
        <f>IFERROR(__xludf.DUMMYFUNCTION("""COMPUTED_VALUE"""),"76848")</f>
        <v>76848</v>
      </c>
      <c r="B6063" s="64">
        <f>IFERROR(__xludf.DUMMYFUNCTION("""COMPUTED_VALUE"""),44625.0)</f>
        <v>44625</v>
      </c>
      <c r="C6063" s="5"/>
      <c r="D6063" s="5"/>
      <c r="E6063" s="5"/>
      <c r="F6063" s="22">
        <f>IFERROR(__xludf.DUMMYFUNCTION("""COMPUTED_VALUE"""),372131.7816354999)</f>
        <v>372131.7816</v>
      </c>
      <c r="G6063" s="22">
        <f>IFERROR(__xludf.DUMMYFUNCTION("""COMPUTED_VALUE"""),0.0)</f>
        <v>0</v>
      </c>
      <c r="H6063" s="22">
        <f>IFERROR(__xludf.DUMMYFUNCTION("""COMPUTED_VALUE"""),513296.6115289999)</f>
        <v>513296.6115</v>
      </c>
      <c r="I6063" s="24">
        <f>IFERROR(__xludf.DUMMYFUNCTION("""COMPUTED_VALUE"""),0.026593223057999937)</f>
        <v>0.02659322306</v>
      </c>
    </row>
    <row r="6064">
      <c r="A6064" s="5" t="str">
        <f>IFERROR(__xludf.DUMMYFUNCTION("""COMPUTED_VALUE"""),"76848")</f>
        <v>76848</v>
      </c>
      <c r="B6064" s="64">
        <f>IFERROR(__xludf.DUMMYFUNCTION("""COMPUTED_VALUE"""),44626.0)</f>
        <v>44626</v>
      </c>
      <c r="C6064" s="5"/>
      <c r="D6064" s="5"/>
      <c r="E6064" s="5"/>
      <c r="F6064" s="22">
        <f>IFERROR(__xludf.DUMMYFUNCTION("""COMPUTED_VALUE"""),372131.7816354999)</f>
        <v>372131.7816</v>
      </c>
      <c r="G6064" s="22">
        <f>IFERROR(__xludf.DUMMYFUNCTION("""COMPUTED_VALUE"""),0.0)</f>
        <v>0</v>
      </c>
      <c r="H6064" s="22">
        <f>IFERROR(__xludf.DUMMYFUNCTION("""COMPUTED_VALUE"""),513296.6115289999)</f>
        <v>513296.6115</v>
      </c>
      <c r="I6064" s="24">
        <f>IFERROR(__xludf.DUMMYFUNCTION("""COMPUTED_VALUE"""),0.026593223057999937)</f>
        <v>0.02659322306</v>
      </c>
    </row>
    <row r="6065">
      <c r="A6065" s="5" t="str">
        <f>IFERROR(__xludf.DUMMYFUNCTION("""COMPUTED_VALUE"""),"76848")</f>
        <v>76848</v>
      </c>
      <c r="B6065" s="64">
        <f>IFERROR(__xludf.DUMMYFUNCTION("""COMPUTED_VALUE"""),44627.0)</f>
        <v>44627</v>
      </c>
      <c r="C6065" s="5"/>
      <c r="D6065" s="5"/>
      <c r="E6065" s="5"/>
      <c r="F6065" s="22">
        <f>IFERROR(__xludf.DUMMYFUNCTION("""COMPUTED_VALUE"""),372131.7816354999)</f>
        <v>372131.7816</v>
      </c>
      <c r="G6065" s="22">
        <f>IFERROR(__xludf.DUMMYFUNCTION("""COMPUTED_VALUE"""),0.0)</f>
        <v>0</v>
      </c>
      <c r="H6065" s="22">
        <f>IFERROR(__xludf.DUMMYFUNCTION("""COMPUTED_VALUE"""),515576.77977049997)</f>
        <v>515576.7798</v>
      </c>
      <c r="I6065" s="24">
        <f>IFERROR(__xludf.DUMMYFUNCTION("""COMPUTED_VALUE"""),0.031153559540999964)</f>
        <v>0.03115355954</v>
      </c>
    </row>
    <row r="6066">
      <c r="A6066" s="5" t="str">
        <f>IFERROR(__xludf.DUMMYFUNCTION("""COMPUTED_VALUE"""),"76848")</f>
        <v>76848</v>
      </c>
      <c r="B6066" s="64">
        <f>IFERROR(__xludf.DUMMYFUNCTION("""COMPUTED_VALUE"""),44628.0)</f>
        <v>44628</v>
      </c>
      <c r="C6066" s="5"/>
      <c r="D6066" s="5"/>
      <c r="E6066" s="5"/>
      <c r="F6066" s="22">
        <f>IFERROR(__xludf.DUMMYFUNCTION("""COMPUTED_VALUE"""),372131.7816354999)</f>
        <v>372131.7816</v>
      </c>
      <c r="G6066" s="22">
        <f>IFERROR(__xludf.DUMMYFUNCTION("""COMPUTED_VALUE"""),0.0)</f>
        <v>0</v>
      </c>
      <c r="H6066" s="22">
        <f>IFERROR(__xludf.DUMMYFUNCTION("""COMPUTED_VALUE"""),522373.0108845)</f>
        <v>522373.0109</v>
      </c>
      <c r="I6066" s="24">
        <f>IFERROR(__xludf.DUMMYFUNCTION("""COMPUTED_VALUE"""),0.04474602176899989)</f>
        <v>0.04474602177</v>
      </c>
    </row>
    <row r="6067">
      <c r="A6067" s="5" t="str">
        <f>IFERROR(__xludf.DUMMYFUNCTION("""COMPUTED_VALUE"""),"76848")</f>
        <v>76848</v>
      </c>
      <c r="B6067" s="64">
        <f>IFERROR(__xludf.DUMMYFUNCTION("""COMPUTED_VALUE"""),44629.0)</f>
        <v>44629</v>
      </c>
      <c r="C6067" s="5"/>
      <c r="D6067" s="5"/>
      <c r="E6067" s="5"/>
      <c r="F6067" s="22">
        <f>IFERROR(__xludf.DUMMYFUNCTION("""COMPUTED_VALUE"""),372131.7816354999)</f>
        <v>372131.7816</v>
      </c>
      <c r="G6067" s="22">
        <f>IFERROR(__xludf.DUMMYFUNCTION("""COMPUTED_VALUE"""),0.0)</f>
        <v>0</v>
      </c>
      <c r="H6067" s="22">
        <f>IFERROR(__xludf.DUMMYFUNCTION("""COMPUTED_VALUE"""),510332.2458695)</f>
        <v>510332.2459</v>
      </c>
      <c r="I6067" s="24">
        <f>IFERROR(__xludf.DUMMYFUNCTION("""COMPUTED_VALUE"""),0.02066449173899998)</f>
        <v>0.02066449174</v>
      </c>
    </row>
    <row r="6068">
      <c r="A6068" s="5" t="str">
        <f>IFERROR(__xludf.DUMMYFUNCTION("""COMPUTED_VALUE"""),"76848")</f>
        <v>76848</v>
      </c>
      <c r="B6068" s="64">
        <f>IFERROR(__xludf.DUMMYFUNCTION("""COMPUTED_VALUE"""),44630.0)</f>
        <v>44630</v>
      </c>
      <c r="C6068" s="5"/>
      <c r="D6068" s="5"/>
      <c r="E6068" s="5"/>
      <c r="F6068" s="22">
        <f>IFERROR(__xludf.DUMMYFUNCTION("""COMPUTED_VALUE"""),372131.7816354999)</f>
        <v>372131.7816</v>
      </c>
      <c r="G6068" s="22">
        <f>IFERROR(__xludf.DUMMYFUNCTION("""COMPUTED_VALUE"""),0.0)</f>
        <v>0</v>
      </c>
      <c r="H6068" s="22">
        <f>IFERROR(__xludf.DUMMYFUNCTION("""COMPUTED_VALUE"""),507048.98088850005)</f>
        <v>507048.9809</v>
      </c>
      <c r="I6068" s="24">
        <f>IFERROR(__xludf.DUMMYFUNCTION("""COMPUTED_VALUE"""),0.014097961777000068)</f>
        <v>0.01409796178</v>
      </c>
    </row>
    <row r="6069">
      <c r="A6069" s="5" t="str">
        <f>IFERROR(__xludf.DUMMYFUNCTION("""COMPUTED_VALUE"""),"76848")</f>
        <v>76848</v>
      </c>
      <c r="B6069" s="64">
        <f>IFERROR(__xludf.DUMMYFUNCTION("""COMPUTED_VALUE"""),44631.0)</f>
        <v>44631</v>
      </c>
      <c r="C6069" s="5"/>
      <c r="D6069" s="5"/>
      <c r="E6069" s="5"/>
      <c r="F6069" s="22">
        <f>IFERROR(__xludf.DUMMYFUNCTION("""COMPUTED_VALUE"""),372131.7816354999)</f>
        <v>372131.7816</v>
      </c>
      <c r="G6069" s="22">
        <f>IFERROR(__xludf.DUMMYFUNCTION("""COMPUTED_VALUE"""),0.0)</f>
        <v>0</v>
      </c>
      <c r="H6069" s="22">
        <f>IFERROR(__xludf.DUMMYFUNCTION("""COMPUTED_VALUE"""),508885.7784655)</f>
        <v>508885.7785</v>
      </c>
      <c r="I6069" s="24">
        <f>IFERROR(__xludf.DUMMYFUNCTION("""COMPUTED_VALUE"""),0.017771556930999965)</f>
        <v>0.01777155693</v>
      </c>
    </row>
    <row r="6070">
      <c r="A6070" s="5" t="str">
        <f>IFERROR(__xludf.DUMMYFUNCTION("""COMPUTED_VALUE"""),"76848")</f>
        <v>76848</v>
      </c>
      <c r="B6070" s="64">
        <f>IFERROR(__xludf.DUMMYFUNCTION("""COMPUTED_VALUE"""),44632.0)</f>
        <v>44632</v>
      </c>
      <c r="C6070" s="5"/>
      <c r="D6070" s="5"/>
      <c r="E6070" s="5"/>
      <c r="F6070" s="22">
        <f>IFERROR(__xludf.DUMMYFUNCTION("""COMPUTED_VALUE"""),372131.7816354999)</f>
        <v>372131.7816</v>
      </c>
      <c r="G6070" s="22">
        <f>IFERROR(__xludf.DUMMYFUNCTION("""COMPUTED_VALUE"""),0.0)</f>
        <v>0</v>
      </c>
      <c r="H6070" s="22">
        <f>IFERROR(__xludf.DUMMYFUNCTION("""COMPUTED_VALUE"""),508885.7784655)</f>
        <v>508885.7785</v>
      </c>
      <c r="I6070" s="24">
        <f>IFERROR(__xludf.DUMMYFUNCTION("""COMPUTED_VALUE"""),0.017771556930999965)</f>
        <v>0.01777155693</v>
      </c>
    </row>
    <row r="6071">
      <c r="A6071" s="5" t="str">
        <f>IFERROR(__xludf.DUMMYFUNCTION("""COMPUTED_VALUE"""),"76848")</f>
        <v>76848</v>
      </c>
      <c r="B6071" s="64">
        <f>IFERROR(__xludf.DUMMYFUNCTION("""COMPUTED_VALUE"""),44633.0)</f>
        <v>44633</v>
      </c>
      <c r="C6071" s="5"/>
      <c r="D6071" s="5"/>
      <c r="E6071" s="5"/>
      <c r="F6071" s="22">
        <f>IFERROR(__xludf.DUMMYFUNCTION("""COMPUTED_VALUE"""),372131.7816354999)</f>
        <v>372131.7816</v>
      </c>
      <c r="G6071" s="22">
        <f>IFERROR(__xludf.DUMMYFUNCTION("""COMPUTED_VALUE"""),0.0)</f>
        <v>0</v>
      </c>
      <c r="H6071" s="22">
        <f>IFERROR(__xludf.DUMMYFUNCTION("""COMPUTED_VALUE"""),508885.7784655)</f>
        <v>508885.7785</v>
      </c>
      <c r="I6071" s="24">
        <f>IFERROR(__xludf.DUMMYFUNCTION("""COMPUTED_VALUE"""),0.017771556930999965)</f>
        <v>0.01777155693</v>
      </c>
    </row>
    <row r="6072">
      <c r="A6072" s="5" t="str">
        <f>IFERROR(__xludf.DUMMYFUNCTION("""COMPUTED_VALUE"""),"76848")</f>
        <v>76848</v>
      </c>
      <c r="B6072" s="64">
        <f>IFERROR(__xludf.DUMMYFUNCTION("""COMPUTED_VALUE"""),44634.0)</f>
        <v>44634</v>
      </c>
      <c r="C6072" s="5"/>
      <c r="D6072" s="5"/>
      <c r="E6072" s="5"/>
      <c r="F6072" s="22">
        <f>IFERROR(__xludf.DUMMYFUNCTION("""COMPUTED_VALUE"""),372131.7816354999)</f>
        <v>372131.7816</v>
      </c>
      <c r="G6072" s="22">
        <f>IFERROR(__xludf.DUMMYFUNCTION("""COMPUTED_VALUE"""),0.0)</f>
        <v>0</v>
      </c>
      <c r="H6072" s="22">
        <f>IFERROR(__xludf.DUMMYFUNCTION("""COMPUTED_VALUE"""),493822.594861)</f>
        <v>493822.5949</v>
      </c>
      <c r="I6072" s="24">
        <f>IFERROR(__xludf.DUMMYFUNCTION("""COMPUTED_VALUE"""),-0.012354810278000006)</f>
        <v>-0.01235481028</v>
      </c>
    </row>
    <row r="6073">
      <c r="A6073" s="5" t="str">
        <f>IFERROR(__xludf.DUMMYFUNCTION("""COMPUTED_VALUE"""),"76848")</f>
        <v>76848</v>
      </c>
      <c r="B6073" s="64">
        <f>IFERROR(__xludf.DUMMYFUNCTION("""COMPUTED_VALUE"""),44635.0)</f>
        <v>44635</v>
      </c>
      <c r="C6073" s="5"/>
      <c r="D6073" s="5"/>
      <c r="E6073" s="5"/>
      <c r="F6073" s="22">
        <f>IFERROR(__xludf.DUMMYFUNCTION("""COMPUTED_VALUE"""),372131.7816354999)</f>
        <v>372131.7816</v>
      </c>
      <c r="G6073" s="22">
        <f>IFERROR(__xludf.DUMMYFUNCTION("""COMPUTED_VALUE"""),0.0)</f>
        <v>0</v>
      </c>
      <c r="H6073" s="22">
        <f>IFERROR(__xludf.DUMMYFUNCTION("""COMPUTED_VALUE"""),488762.15506)</f>
        <v>488762.1551</v>
      </c>
      <c r="I6073" s="24">
        <f>IFERROR(__xludf.DUMMYFUNCTION("""COMPUTED_VALUE"""),-0.022475689879999927)</f>
        <v>-0.02247568988</v>
      </c>
    </row>
    <row r="6074">
      <c r="A6074" s="5" t="str">
        <f>IFERROR(__xludf.DUMMYFUNCTION("""COMPUTED_VALUE"""),"76848")</f>
        <v>76848</v>
      </c>
      <c r="B6074" s="64">
        <f>IFERROR(__xludf.DUMMYFUNCTION("""COMPUTED_VALUE"""),44636.0)</f>
        <v>44636</v>
      </c>
      <c r="C6074" s="5"/>
      <c r="D6074" s="5"/>
      <c r="E6074" s="5"/>
      <c r="F6074" s="22">
        <f>IFERROR(__xludf.DUMMYFUNCTION("""COMPUTED_VALUE"""),372131.7816354999)</f>
        <v>372131.7816</v>
      </c>
      <c r="G6074" s="22">
        <f>IFERROR(__xludf.DUMMYFUNCTION("""COMPUTED_VALUE"""),0.0)</f>
        <v>0</v>
      </c>
      <c r="H6074" s="22">
        <f>IFERROR(__xludf.DUMMYFUNCTION("""COMPUTED_VALUE"""),491789.8839375)</f>
        <v>491789.8839</v>
      </c>
      <c r="I6074" s="24">
        <f>IFERROR(__xludf.DUMMYFUNCTION("""COMPUTED_VALUE"""),-0.01642023212499999)</f>
        <v>-0.01642023213</v>
      </c>
    </row>
    <row r="6075">
      <c r="A6075" s="5" t="str">
        <f>IFERROR(__xludf.DUMMYFUNCTION("""COMPUTED_VALUE"""),"76848")</f>
        <v>76848</v>
      </c>
      <c r="B6075" s="64">
        <f>IFERROR(__xludf.DUMMYFUNCTION("""COMPUTED_VALUE"""),44637.0)</f>
        <v>44637</v>
      </c>
      <c r="C6075" s="5"/>
      <c r="D6075" s="5"/>
      <c r="E6075" s="5"/>
      <c r="F6075" s="22">
        <f>IFERROR(__xludf.DUMMYFUNCTION("""COMPUTED_VALUE"""),372131.7816354999)</f>
        <v>372131.7816</v>
      </c>
      <c r="G6075" s="22">
        <f>IFERROR(__xludf.DUMMYFUNCTION("""COMPUTED_VALUE"""),0.0)</f>
        <v>0</v>
      </c>
      <c r="H6075" s="22">
        <f>IFERROR(__xludf.DUMMYFUNCTION("""COMPUTED_VALUE"""),492794.6164905)</f>
        <v>492794.6165</v>
      </c>
      <c r="I6075" s="24">
        <f>IFERROR(__xludf.DUMMYFUNCTION("""COMPUTED_VALUE"""),-0.014410767019000015)</f>
        <v>-0.01441076702</v>
      </c>
    </row>
    <row r="6076">
      <c r="A6076" s="5" t="str">
        <f>IFERROR(__xludf.DUMMYFUNCTION("""COMPUTED_VALUE"""),"76848")</f>
        <v>76848</v>
      </c>
      <c r="B6076" s="64">
        <f>IFERROR(__xludf.DUMMYFUNCTION("""COMPUTED_VALUE"""),44638.0)</f>
        <v>44638</v>
      </c>
      <c r="C6076" s="5"/>
      <c r="D6076" s="5"/>
      <c r="E6076" s="5"/>
      <c r="F6076" s="22">
        <f>IFERROR(__xludf.DUMMYFUNCTION("""COMPUTED_VALUE"""),372131.7816354999)</f>
        <v>372131.7816</v>
      </c>
      <c r="G6076" s="22">
        <f>IFERROR(__xludf.DUMMYFUNCTION("""COMPUTED_VALUE"""),0.0)</f>
        <v>0</v>
      </c>
      <c r="H6076" s="22">
        <f>IFERROR(__xludf.DUMMYFUNCTION("""COMPUTED_VALUE"""),494618.2662805)</f>
        <v>494618.2663</v>
      </c>
      <c r="I6076" s="24">
        <f>IFERROR(__xludf.DUMMYFUNCTION("""COMPUTED_VALUE"""),-0.01076346743900003)</f>
        <v>-0.01076346744</v>
      </c>
    </row>
    <row r="6077">
      <c r="A6077" s="5" t="str">
        <f>IFERROR(__xludf.DUMMYFUNCTION("""COMPUTED_VALUE"""),"76848")</f>
        <v>76848</v>
      </c>
      <c r="B6077" s="64">
        <f>IFERROR(__xludf.DUMMYFUNCTION("""COMPUTED_VALUE"""),44639.0)</f>
        <v>44639</v>
      </c>
      <c r="C6077" s="5"/>
      <c r="D6077" s="5"/>
      <c r="E6077" s="5"/>
      <c r="F6077" s="22">
        <f>IFERROR(__xludf.DUMMYFUNCTION("""COMPUTED_VALUE"""),372131.7816354999)</f>
        <v>372131.7816</v>
      </c>
      <c r="G6077" s="22">
        <f>IFERROR(__xludf.DUMMYFUNCTION("""COMPUTED_VALUE"""),0.0)</f>
        <v>0</v>
      </c>
      <c r="H6077" s="22">
        <f>IFERROR(__xludf.DUMMYFUNCTION("""COMPUTED_VALUE"""),494618.2662805)</f>
        <v>494618.2663</v>
      </c>
      <c r="I6077" s="24">
        <f>IFERROR(__xludf.DUMMYFUNCTION("""COMPUTED_VALUE"""),-0.01076346743900003)</f>
        <v>-0.01076346744</v>
      </c>
    </row>
    <row r="6078">
      <c r="A6078" s="5" t="str">
        <f>IFERROR(__xludf.DUMMYFUNCTION("""COMPUTED_VALUE"""),"76848")</f>
        <v>76848</v>
      </c>
      <c r="B6078" s="64">
        <f>IFERROR(__xludf.DUMMYFUNCTION("""COMPUTED_VALUE"""),44640.0)</f>
        <v>44640</v>
      </c>
      <c r="C6078" s="5"/>
      <c r="D6078" s="5"/>
      <c r="E6078" s="5"/>
      <c r="F6078" s="22">
        <f>IFERROR(__xludf.DUMMYFUNCTION("""COMPUTED_VALUE"""),372131.7816354999)</f>
        <v>372131.7816</v>
      </c>
      <c r="G6078" s="22">
        <f>IFERROR(__xludf.DUMMYFUNCTION("""COMPUTED_VALUE"""),0.0)</f>
        <v>0</v>
      </c>
      <c r="H6078" s="22">
        <f>IFERROR(__xludf.DUMMYFUNCTION("""COMPUTED_VALUE"""),494618.2662805)</f>
        <v>494618.2663</v>
      </c>
      <c r="I6078" s="24">
        <f>IFERROR(__xludf.DUMMYFUNCTION("""COMPUTED_VALUE"""),-0.01076346743900003)</f>
        <v>-0.01076346744</v>
      </c>
    </row>
    <row r="6079">
      <c r="A6079" s="5" t="str">
        <f>IFERROR(__xludf.DUMMYFUNCTION("""COMPUTED_VALUE"""),"76848")</f>
        <v>76848</v>
      </c>
      <c r="B6079" s="64">
        <f>IFERROR(__xludf.DUMMYFUNCTION("""COMPUTED_VALUE"""),44641.0)</f>
        <v>44641</v>
      </c>
      <c r="C6079" s="5"/>
      <c r="D6079" s="5"/>
      <c r="E6079" s="5"/>
      <c r="F6079" s="22">
        <f>IFERROR(__xludf.DUMMYFUNCTION("""COMPUTED_VALUE"""),372131.7816354999)</f>
        <v>372131.7816</v>
      </c>
      <c r="G6079" s="22">
        <f>IFERROR(__xludf.DUMMYFUNCTION("""COMPUTED_VALUE"""),0.0)</f>
        <v>0</v>
      </c>
      <c r="H6079" s="22">
        <f>IFERROR(__xludf.DUMMYFUNCTION("""COMPUTED_VALUE"""),494393.91315900005)</f>
        <v>494393.9132</v>
      </c>
      <c r="I6079" s="24">
        <f>IFERROR(__xludf.DUMMYFUNCTION("""COMPUTED_VALUE"""),-0.011212173681999893)</f>
        <v>-0.01121217368</v>
      </c>
    </row>
    <row r="6080">
      <c r="A6080" s="5" t="str">
        <f>IFERROR(__xludf.DUMMYFUNCTION("""COMPUTED_VALUE"""),"76848")</f>
        <v>76848</v>
      </c>
      <c r="B6080" s="64">
        <f>IFERROR(__xludf.DUMMYFUNCTION("""COMPUTED_VALUE"""),44642.0)</f>
        <v>44642</v>
      </c>
      <c r="C6080" s="5"/>
      <c r="D6080" s="5"/>
      <c r="E6080" s="5"/>
      <c r="F6080" s="22">
        <f>IFERROR(__xludf.DUMMYFUNCTION("""COMPUTED_VALUE"""),372131.7816354999)</f>
        <v>372131.7816</v>
      </c>
      <c r="G6080" s="22">
        <f>IFERROR(__xludf.DUMMYFUNCTION("""COMPUTED_VALUE"""),0.0)</f>
        <v>0</v>
      </c>
      <c r="H6080" s="22">
        <f>IFERROR(__xludf.DUMMYFUNCTION("""COMPUTED_VALUE"""),495495.9720285)</f>
        <v>495495.972</v>
      </c>
      <c r="I6080" s="24">
        <f>IFERROR(__xludf.DUMMYFUNCTION("""COMPUTED_VALUE"""),-0.009008055943000026)</f>
        <v>-0.009008055943</v>
      </c>
    </row>
    <row r="6081">
      <c r="A6081" s="5" t="str">
        <f>IFERROR(__xludf.DUMMYFUNCTION("""COMPUTED_VALUE"""),"76848")</f>
        <v>76848</v>
      </c>
      <c r="B6081" s="64">
        <f>IFERROR(__xludf.DUMMYFUNCTION("""COMPUTED_VALUE"""),44643.0)</f>
        <v>44643</v>
      </c>
      <c r="C6081" s="5"/>
      <c r="D6081" s="5"/>
      <c r="E6081" s="5"/>
      <c r="F6081" s="22">
        <f>IFERROR(__xludf.DUMMYFUNCTION("""COMPUTED_VALUE"""),372131.7816354999)</f>
        <v>372131.7816</v>
      </c>
      <c r="G6081" s="22">
        <f>IFERROR(__xludf.DUMMYFUNCTION("""COMPUTED_VALUE"""),0.0)</f>
        <v>0</v>
      </c>
      <c r="H6081" s="22">
        <f>IFERROR(__xludf.DUMMYFUNCTION("""COMPUTED_VALUE"""),494118.907923)</f>
        <v>494118.9079</v>
      </c>
      <c r="I6081" s="24">
        <f>IFERROR(__xludf.DUMMYFUNCTION("""COMPUTED_VALUE"""),-0.011762184153999988)</f>
        <v>-0.01176218415</v>
      </c>
    </row>
    <row r="6082">
      <c r="A6082" s="5" t="str">
        <f>IFERROR(__xludf.DUMMYFUNCTION("""COMPUTED_VALUE"""),"76848")</f>
        <v>76848</v>
      </c>
      <c r="B6082" s="64">
        <f>IFERROR(__xludf.DUMMYFUNCTION("""COMPUTED_VALUE"""),44644.0)</f>
        <v>44644</v>
      </c>
      <c r="C6082" s="5"/>
      <c r="D6082" s="5"/>
      <c r="E6082" s="5"/>
      <c r="F6082" s="22">
        <f>IFERROR(__xludf.DUMMYFUNCTION("""COMPUTED_VALUE"""),372131.7816354999)</f>
        <v>372131.7816</v>
      </c>
      <c r="G6082" s="22">
        <f>IFERROR(__xludf.DUMMYFUNCTION("""COMPUTED_VALUE"""),0.0)</f>
        <v>0</v>
      </c>
      <c r="H6082" s="22">
        <f>IFERROR(__xludf.DUMMYFUNCTION("""COMPUTED_VALUE"""),497575.0024985)</f>
        <v>497575.0025</v>
      </c>
      <c r="I6082" s="24">
        <f>IFERROR(__xludf.DUMMYFUNCTION("""COMPUTED_VALUE"""),-0.004849995002999985)</f>
        <v>-0.004849995003</v>
      </c>
    </row>
    <row r="6083">
      <c r="A6083" s="5" t="str">
        <f>IFERROR(__xludf.DUMMYFUNCTION("""COMPUTED_VALUE"""),"76848")</f>
        <v>76848</v>
      </c>
      <c r="B6083" s="64">
        <f>IFERROR(__xludf.DUMMYFUNCTION("""COMPUTED_VALUE"""),44645.0)</f>
        <v>44645</v>
      </c>
      <c r="C6083" s="5"/>
      <c r="D6083" s="5"/>
      <c r="E6083" s="5"/>
      <c r="F6083" s="22">
        <f>IFERROR(__xludf.DUMMYFUNCTION("""COMPUTED_VALUE"""),372131.7816354999)</f>
        <v>372131.7816</v>
      </c>
      <c r="G6083" s="22">
        <f>IFERROR(__xludf.DUMMYFUNCTION("""COMPUTED_VALUE"""),0.0)</f>
        <v>0</v>
      </c>
      <c r="H6083" s="22">
        <f>IFERROR(__xludf.DUMMYFUNCTION("""COMPUTED_VALUE"""),497124.84031700005)</f>
        <v>497124.8403</v>
      </c>
      <c r="I6083" s="24">
        <f>IFERROR(__xludf.DUMMYFUNCTION("""COMPUTED_VALUE"""),-0.005750319365999901)</f>
        <v>-0.005750319366</v>
      </c>
    </row>
    <row r="6084">
      <c r="A6084" s="5" t="str">
        <f>IFERROR(__xludf.DUMMYFUNCTION("""COMPUTED_VALUE"""),"76848")</f>
        <v>76848</v>
      </c>
      <c r="B6084" s="64">
        <f>IFERROR(__xludf.DUMMYFUNCTION("""COMPUTED_VALUE"""),44646.0)</f>
        <v>44646</v>
      </c>
      <c r="C6084" s="5"/>
      <c r="D6084" s="5"/>
      <c r="E6084" s="5"/>
      <c r="F6084" s="22">
        <f>IFERROR(__xludf.DUMMYFUNCTION("""COMPUTED_VALUE"""),372131.7816354999)</f>
        <v>372131.7816</v>
      </c>
      <c r="G6084" s="22">
        <f>IFERROR(__xludf.DUMMYFUNCTION("""COMPUTED_VALUE"""),0.0)</f>
        <v>0</v>
      </c>
      <c r="H6084" s="22">
        <f>IFERROR(__xludf.DUMMYFUNCTION("""COMPUTED_VALUE"""),497124.84031700005)</f>
        <v>497124.8403</v>
      </c>
      <c r="I6084" s="24">
        <f>IFERROR(__xludf.DUMMYFUNCTION("""COMPUTED_VALUE"""),-0.005750319365999901)</f>
        <v>-0.005750319366</v>
      </c>
    </row>
    <row r="6085">
      <c r="A6085" s="5" t="str">
        <f>IFERROR(__xludf.DUMMYFUNCTION("""COMPUTED_VALUE"""),"76848")</f>
        <v>76848</v>
      </c>
      <c r="B6085" s="64">
        <f>IFERROR(__xludf.DUMMYFUNCTION("""COMPUTED_VALUE"""),44647.0)</f>
        <v>44647</v>
      </c>
      <c r="C6085" s="5"/>
      <c r="D6085" s="5"/>
      <c r="E6085" s="5"/>
      <c r="F6085" s="22">
        <f>IFERROR(__xludf.DUMMYFUNCTION("""COMPUTED_VALUE"""),372131.7816354999)</f>
        <v>372131.7816</v>
      </c>
      <c r="G6085" s="22">
        <f>IFERROR(__xludf.DUMMYFUNCTION("""COMPUTED_VALUE"""),0.0)</f>
        <v>0</v>
      </c>
      <c r="H6085" s="22">
        <f>IFERROR(__xludf.DUMMYFUNCTION("""COMPUTED_VALUE"""),497124.84031700005)</f>
        <v>497124.8403</v>
      </c>
      <c r="I6085" s="24">
        <f>IFERROR(__xludf.DUMMYFUNCTION("""COMPUTED_VALUE"""),-0.005750319365999901)</f>
        <v>-0.005750319366</v>
      </c>
    </row>
    <row r="6086">
      <c r="A6086" s="5" t="str">
        <f>IFERROR(__xludf.DUMMYFUNCTION("""COMPUTED_VALUE"""),"76848")</f>
        <v>76848</v>
      </c>
      <c r="B6086" s="64">
        <f>IFERROR(__xludf.DUMMYFUNCTION("""COMPUTED_VALUE"""),44648.0)</f>
        <v>44648</v>
      </c>
      <c r="C6086" s="5"/>
      <c r="D6086" s="5"/>
      <c r="E6086" s="5"/>
      <c r="F6086" s="22">
        <f>IFERROR(__xludf.DUMMYFUNCTION("""COMPUTED_VALUE"""),372131.7816354999)</f>
        <v>372131.7816</v>
      </c>
      <c r="G6086" s="22">
        <f>IFERROR(__xludf.DUMMYFUNCTION("""COMPUTED_VALUE"""),0.0)</f>
        <v>0</v>
      </c>
      <c r="H6086" s="22">
        <f>IFERROR(__xludf.DUMMYFUNCTION("""COMPUTED_VALUE"""),497517.5698725)</f>
        <v>497517.5699</v>
      </c>
      <c r="I6086" s="24">
        <f>IFERROR(__xludf.DUMMYFUNCTION("""COMPUTED_VALUE"""),-0.004964860254999981)</f>
        <v>-0.004964860255</v>
      </c>
    </row>
    <row r="6087">
      <c r="A6087" s="5" t="str">
        <f>IFERROR(__xludf.DUMMYFUNCTION("""COMPUTED_VALUE"""),"76848")</f>
        <v>76848</v>
      </c>
      <c r="B6087" s="64">
        <f>IFERROR(__xludf.DUMMYFUNCTION("""COMPUTED_VALUE"""),44649.0)</f>
        <v>44649</v>
      </c>
      <c r="C6087" s="5"/>
      <c r="D6087" s="5"/>
      <c r="E6087" s="5"/>
      <c r="F6087" s="22">
        <f>IFERROR(__xludf.DUMMYFUNCTION("""COMPUTED_VALUE"""),372131.7816354999)</f>
        <v>372131.7816</v>
      </c>
      <c r="G6087" s="22">
        <f>IFERROR(__xludf.DUMMYFUNCTION("""COMPUTED_VALUE"""),0.0)</f>
        <v>0</v>
      </c>
      <c r="H6087" s="22">
        <f>IFERROR(__xludf.DUMMYFUNCTION("""COMPUTED_VALUE"""),499556.5458765)</f>
        <v>499556.5459</v>
      </c>
      <c r="I6087" s="24">
        <f>IFERROR(__xludf.DUMMYFUNCTION("""COMPUTED_VALUE"""),-8.869082469999956E-4)</f>
        <v>-0.000886908247</v>
      </c>
    </row>
    <row r="6088">
      <c r="A6088" s="5" t="str">
        <f>IFERROR(__xludf.DUMMYFUNCTION("""COMPUTED_VALUE"""),"76848")</f>
        <v>76848</v>
      </c>
      <c r="B6088" s="64">
        <f>IFERROR(__xludf.DUMMYFUNCTION("""COMPUTED_VALUE"""),44650.0)</f>
        <v>44650</v>
      </c>
      <c r="C6088" s="5"/>
      <c r="D6088" s="5"/>
      <c r="E6088" s="5"/>
      <c r="F6088" s="22">
        <f>IFERROR(__xludf.DUMMYFUNCTION("""COMPUTED_VALUE"""),372131.7816354999)</f>
        <v>372131.7816</v>
      </c>
      <c r="G6088" s="22">
        <f>IFERROR(__xludf.DUMMYFUNCTION("""COMPUTED_VALUE"""),0.0)</f>
        <v>0</v>
      </c>
      <c r="H6088" s="22">
        <f>IFERROR(__xludf.DUMMYFUNCTION("""COMPUTED_VALUE"""),497226.75946150004)</f>
        <v>497226.7595</v>
      </c>
      <c r="I6088" s="24">
        <f>IFERROR(__xludf.DUMMYFUNCTION("""COMPUTED_VALUE"""),-0.005546481076999954)</f>
        <v>-0.005546481077</v>
      </c>
    </row>
    <row r="6089">
      <c r="A6089" s="5" t="str">
        <f>IFERROR(__xludf.DUMMYFUNCTION("""COMPUTED_VALUE"""),"76848")</f>
        <v>76848</v>
      </c>
      <c r="B6089" s="64">
        <f>IFERROR(__xludf.DUMMYFUNCTION("""COMPUTED_VALUE"""),44651.0)</f>
        <v>44651</v>
      </c>
      <c r="C6089" s="5"/>
      <c r="D6089" s="5"/>
      <c r="E6089" s="5"/>
      <c r="F6089" s="22">
        <f>IFERROR(__xludf.DUMMYFUNCTION("""COMPUTED_VALUE"""),372131.7816354999)</f>
        <v>372131.7816</v>
      </c>
      <c r="G6089" s="22">
        <f>IFERROR(__xludf.DUMMYFUNCTION("""COMPUTED_VALUE"""),0.0)</f>
        <v>0</v>
      </c>
      <c r="H6089" s="22">
        <f>IFERROR(__xludf.DUMMYFUNCTION("""COMPUTED_VALUE"""),495262.12951650005)</f>
        <v>495262.1295</v>
      </c>
      <c r="I6089" s="24">
        <f>IFERROR(__xludf.DUMMYFUNCTION("""COMPUTED_VALUE"""),-0.00947574096699988)</f>
        <v>-0.009475740967</v>
      </c>
    </row>
    <row r="6090">
      <c r="A6090" s="5" t="str">
        <f>IFERROR(__xludf.DUMMYFUNCTION("""COMPUTED_VALUE"""),"76848")</f>
        <v>76848</v>
      </c>
      <c r="B6090" s="64">
        <f>IFERROR(__xludf.DUMMYFUNCTION("""COMPUTED_VALUE"""),44652.0)</f>
        <v>44652</v>
      </c>
      <c r="C6090" s="5"/>
      <c r="D6090" s="5"/>
      <c r="E6090" s="5"/>
      <c r="F6090" s="22">
        <f>IFERROR(__xludf.DUMMYFUNCTION("""COMPUTED_VALUE"""),372131.7816354999)</f>
        <v>372131.7816</v>
      </c>
      <c r="G6090" s="22">
        <f>IFERROR(__xludf.DUMMYFUNCTION("""COMPUTED_VALUE"""),0.0)</f>
        <v>0</v>
      </c>
      <c r="H6090" s="22">
        <f>IFERROR(__xludf.DUMMYFUNCTION("""COMPUTED_VALUE"""),493550.59920000006)</f>
        <v>493550.5992</v>
      </c>
      <c r="I6090" s="24">
        <f>IFERROR(__xludf.DUMMYFUNCTION("""COMPUTED_VALUE"""),-0.012898801599999898)</f>
        <v>-0.0128988016</v>
      </c>
    </row>
    <row r="6091">
      <c r="A6091" s="5" t="str">
        <f>IFERROR(__xludf.DUMMYFUNCTION("""COMPUTED_VALUE"""),"76848")</f>
        <v>76848</v>
      </c>
      <c r="B6091" s="64">
        <f>IFERROR(__xludf.DUMMYFUNCTION("""COMPUTED_VALUE"""),44653.0)</f>
        <v>44653</v>
      </c>
      <c r="C6091" s="5"/>
      <c r="D6091" s="5"/>
      <c r="E6091" s="5"/>
      <c r="F6091" s="22">
        <f>IFERROR(__xludf.DUMMYFUNCTION("""COMPUTED_VALUE"""),372131.7816354999)</f>
        <v>372131.7816</v>
      </c>
      <c r="G6091" s="22">
        <f>IFERROR(__xludf.DUMMYFUNCTION("""COMPUTED_VALUE"""),0.0)</f>
        <v>0</v>
      </c>
      <c r="H6091" s="22">
        <f>IFERROR(__xludf.DUMMYFUNCTION("""COMPUTED_VALUE"""),493550.59920000006)</f>
        <v>493550.5992</v>
      </c>
      <c r="I6091" s="24">
        <f>IFERROR(__xludf.DUMMYFUNCTION("""COMPUTED_VALUE"""),-0.012898801599999898)</f>
        <v>-0.0128988016</v>
      </c>
    </row>
    <row r="6092">
      <c r="A6092" s="5" t="str">
        <f>IFERROR(__xludf.DUMMYFUNCTION("""COMPUTED_VALUE"""),"76848")</f>
        <v>76848</v>
      </c>
      <c r="B6092" s="64">
        <f>IFERROR(__xludf.DUMMYFUNCTION("""COMPUTED_VALUE"""),44654.0)</f>
        <v>44654</v>
      </c>
      <c r="C6092" s="5"/>
      <c r="D6092" s="5"/>
      <c r="E6092" s="5"/>
      <c r="F6092" s="22">
        <f>IFERROR(__xludf.DUMMYFUNCTION("""COMPUTED_VALUE"""),372131.7816354999)</f>
        <v>372131.7816</v>
      </c>
      <c r="G6092" s="22">
        <f>IFERROR(__xludf.DUMMYFUNCTION("""COMPUTED_VALUE"""),0.0)</f>
        <v>0</v>
      </c>
      <c r="H6092" s="22">
        <f>IFERROR(__xludf.DUMMYFUNCTION("""COMPUTED_VALUE"""),493550.59920000006)</f>
        <v>493550.5992</v>
      </c>
      <c r="I6092" s="24">
        <f>IFERROR(__xludf.DUMMYFUNCTION("""COMPUTED_VALUE"""),-0.012898801599999898)</f>
        <v>-0.0128988016</v>
      </c>
    </row>
    <row r="6093">
      <c r="A6093" s="5" t="str">
        <f>IFERROR(__xludf.DUMMYFUNCTION("""COMPUTED_VALUE"""),"76848")</f>
        <v>76848</v>
      </c>
      <c r="B6093" s="64">
        <f>IFERROR(__xludf.DUMMYFUNCTION("""COMPUTED_VALUE"""),44655.0)</f>
        <v>44655</v>
      </c>
      <c r="C6093" s="5"/>
      <c r="D6093" s="5"/>
      <c r="E6093" s="5"/>
      <c r="F6093" s="22">
        <f>IFERROR(__xludf.DUMMYFUNCTION("""COMPUTED_VALUE"""),372131.7816354999)</f>
        <v>372131.7816</v>
      </c>
      <c r="G6093" s="22">
        <f>IFERROR(__xludf.DUMMYFUNCTION("""COMPUTED_VALUE"""),0.0)</f>
        <v>0</v>
      </c>
      <c r="H6093" s="22">
        <f>IFERROR(__xludf.DUMMYFUNCTION("""COMPUTED_VALUE"""),495002.9091725)</f>
        <v>495002.9092</v>
      </c>
      <c r="I6093" s="24">
        <f>IFERROR(__xludf.DUMMYFUNCTION("""COMPUTED_VALUE"""),-0.00999418165499999)</f>
        <v>-0.009994181655</v>
      </c>
    </row>
    <row r="6094">
      <c r="A6094" s="5" t="str">
        <f>IFERROR(__xludf.DUMMYFUNCTION("""COMPUTED_VALUE"""),"76848")</f>
        <v>76848</v>
      </c>
      <c r="B6094" s="64">
        <f>IFERROR(__xludf.DUMMYFUNCTION("""COMPUTED_VALUE"""),44656.0)</f>
        <v>44656</v>
      </c>
      <c r="C6094" s="5"/>
      <c r="D6094" s="5"/>
      <c r="E6094" s="5"/>
      <c r="F6094" s="22">
        <f>IFERROR(__xludf.DUMMYFUNCTION("""COMPUTED_VALUE"""),372131.7816354999)</f>
        <v>372131.7816</v>
      </c>
      <c r="G6094" s="22">
        <f>IFERROR(__xludf.DUMMYFUNCTION("""COMPUTED_VALUE"""),0.0)</f>
        <v>0</v>
      </c>
      <c r="H6094" s="22">
        <f>IFERROR(__xludf.DUMMYFUNCTION("""COMPUTED_VALUE"""),491469.52904)</f>
        <v>491469.529</v>
      </c>
      <c r="I6094" s="24">
        <f>IFERROR(__xludf.DUMMYFUNCTION("""COMPUTED_VALUE"""),-0.01706094191999996)</f>
        <v>-0.01706094192</v>
      </c>
    </row>
    <row r="6095">
      <c r="A6095" s="5" t="str">
        <f>IFERROR(__xludf.DUMMYFUNCTION("""COMPUTED_VALUE"""),"76848")</f>
        <v>76848</v>
      </c>
      <c r="B6095" s="64">
        <f>IFERROR(__xludf.DUMMYFUNCTION("""COMPUTED_VALUE"""),44657.0)</f>
        <v>44657</v>
      </c>
      <c r="C6095" s="5"/>
      <c r="D6095" s="5"/>
      <c r="E6095" s="5"/>
      <c r="F6095" s="22">
        <f>IFERROR(__xludf.DUMMYFUNCTION("""COMPUTED_VALUE"""),372131.7816354999)</f>
        <v>372131.7816</v>
      </c>
      <c r="G6095" s="22">
        <f>IFERROR(__xludf.DUMMYFUNCTION("""COMPUTED_VALUE"""),0.0)</f>
        <v>0</v>
      </c>
      <c r="H6095" s="22">
        <f>IFERROR(__xludf.DUMMYFUNCTION("""COMPUTED_VALUE"""),489969.5515195)</f>
        <v>489969.5515</v>
      </c>
      <c r="I6095" s="24">
        <f>IFERROR(__xludf.DUMMYFUNCTION("""COMPUTED_VALUE"""),-0.020060896960999997)</f>
        <v>-0.02006089696</v>
      </c>
    </row>
    <row r="6096">
      <c r="A6096" s="5" t="str">
        <f>IFERROR(__xludf.DUMMYFUNCTION("""COMPUTED_VALUE"""),"76848")</f>
        <v>76848</v>
      </c>
      <c r="B6096" s="64">
        <f>IFERROR(__xludf.DUMMYFUNCTION("""COMPUTED_VALUE"""),44658.0)</f>
        <v>44658</v>
      </c>
      <c r="C6096" s="5"/>
      <c r="D6096" s="5"/>
      <c r="E6096" s="5"/>
      <c r="F6096" s="22">
        <f>IFERROR(__xludf.DUMMYFUNCTION("""COMPUTED_VALUE"""),372131.7816354999)</f>
        <v>372131.7816</v>
      </c>
      <c r="G6096" s="22">
        <f>IFERROR(__xludf.DUMMYFUNCTION("""COMPUTED_VALUE"""),0.0)</f>
        <v>0</v>
      </c>
      <c r="H6096" s="22">
        <f>IFERROR(__xludf.DUMMYFUNCTION("""COMPUTED_VALUE"""),491160.49041950004)</f>
        <v>491160.4904</v>
      </c>
      <c r="I6096" s="24">
        <f>IFERROR(__xludf.DUMMYFUNCTION("""COMPUTED_VALUE"""),-0.017679019160999898)</f>
        <v>-0.01767901916</v>
      </c>
    </row>
    <row r="6097">
      <c r="A6097" s="5" t="str">
        <f>IFERROR(__xludf.DUMMYFUNCTION("""COMPUTED_VALUE"""),"76848")</f>
        <v>76848</v>
      </c>
      <c r="B6097" s="64">
        <f>IFERROR(__xludf.DUMMYFUNCTION("""COMPUTED_VALUE"""),44659.0)</f>
        <v>44659</v>
      </c>
      <c r="C6097" s="5"/>
      <c r="D6097" s="5"/>
      <c r="E6097" s="5"/>
      <c r="F6097" s="22">
        <f>IFERROR(__xludf.DUMMYFUNCTION("""COMPUTED_VALUE"""),372131.7816354999)</f>
        <v>372131.7816</v>
      </c>
      <c r="G6097" s="22">
        <f>IFERROR(__xludf.DUMMYFUNCTION("""COMPUTED_VALUE"""),0.0)</f>
        <v>0</v>
      </c>
      <c r="H6097" s="22">
        <f>IFERROR(__xludf.DUMMYFUNCTION("""COMPUTED_VALUE"""),489899.817263)</f>
        <v>489899.8173</v>
      </c>
      <c r="I6097" s="24">
        <f>IFERROR(__xludf.DUMMYFUNCTION("""COMPUTED_VALUE"""),-0.02020036547399995)</f>
        <v>-0.02020036547</v>
      </c>
    </row>
    <row r="6098">
      <c r="A6098" s="5" t="str">
        <f>IFERROR(__xludf.DUMMYFUNCTION("""COMPUTED_VALUE"""),"76848")</f>
        <v>76848</v>
      </c>
      <c r="B6098" s="64">
        <f>IFERROR(__xludf.DUMMYFUNCTION("""COMPUTED_VALUE"""),44660.0)</f>
        <v>44660</v>
      </c>
      <c r="C6098" s="5"/>
      <c r="D6098" s="5"/>
      <c r="E6098" s="5"/>
      <c r="F6098" s="22">
        <f>IFERROR(__xludf.DUMMYFUNCTION("""COMPUTED_VALUE"""),372131.7816354999)</f>
        <v>372131.7816</v>
      </c>
      <c r="G6098" s="22">
        <f>IFERROR(__xludf.DUMMYFUNCTION("""COMPUTED_VALUE"""),0.0)</f>
        <v>0</v>
      </c>
      <c r="H6098" s="22">
        <f>IFERROR(__xludf.DUMMYFUNCTION("""COMPUTED_VALUE"""),489899.817263)</f>
        <v>489899.8173</v>
      </c>
      <c r="I6098" s="24">
        <f>IFERROR(__xludf.DUMMYFUNCTION("""COMPUTED_VALUE"""),-0.02020036547399995)</f>
        <v>-0.02020036547</v>
      </c>
    </row>
    <row r="6099">
      <c r="A6099" s="5" t="str">
        <f>IFERROR(__xludf.DUMMYFUNCTION("""COMPUTED_VALUE"""),"76848")</f>
        <v>76848</v>
      </c>
      <c r="B6099" s="64">
        <f>IFERROR(__xludf.DUMMYFUNCTION("""COMPUTED_VALUE"""),44661.0)</f>
        <v>44661</v>
      </c>
      <c r="C6099" s="5"/>
      <c r="D6099" s="5"/>
      <c r="E6099" s="5"/>
      <c r="F6099" s="22">
        <f>IFERROR(__xludf.DUMMYFUNCTION("""COMPUTED_VALUE"""),372131.7816354999)</f>
        <v>372131.7816</v>
      </c>
      <c r="G6099" s="22">
        <f>IFERROR(__xludf.DUMMYFUNCTION("""COMPUTED_VALUE"""),0.0)</f>
        <v>0</v>
      </c>
      <c r="H6099" s="22">
        <f>IFERROR(__xludf.DUMMYFUNCTION("""COMPUTED_VALUE"""),489899.817263)</f>
        <v>489899.8173</v>
      </c>
      <c r="I6099" s="24">
        <f>IFERROR(__xludf.DUMMYFUNCTION("""COMPUTED_VALUE"""),-0.02020036547399995)</f>
        <v>-0.02020036547</v>
      </c>
    </row>
    <row r="6100">
      <c r="A6100" s="5" t="str">
        <f>IFERROR(__xludf.DUMMYFUNCTION("""COMPUTED_VALUE"""),"76848")</f>
        <v>76848</v>
      </c>
      <c r="B6100" s="64">
        <f>IFERROR(__xludf.DUMMYFUNCTION("""COMPUTED_VALUE"""),44662.0)</f>
        <v>44662</v>
      </c>
      <c r="C6100" s="5"/>
      <c r="D6100" s="5"/>
      <c r="E6100" s="5"/>
      <c r="F6100" s="22">
        <f>IFERROR(__xludf.DUMMYFUNCTION("""COMPUTED_VALUE"""),372131.7816354999)</f>
        <v>372131.7816</v>
      </c>
      <c r="G6100" s="22">
        <f>IFERROR(__xludf.DUMMYFUNCTION("""COMPUTED_VALUE"""),0.0)</f>
        <v>0</v>
      </c>
      <c r="H6100" s="22">
        <f>IFERROR(__xludf.DUMMYFUNCTION("""COMPUTED_VALUE"""),487777.1391135)</f>
        <v>487777.1391</v>
      </c>
      <c r="I6100" s="24">
        <f>IFERROR(__xludf.DUMMYFUNCTION("""COMPUTED_VALUE"""),-0.024445721772999973)</f>
        <v>-0.02444572177</v>
      </c>
    </row>
    <row r="6101">
      <c r="A6101" s="5" t="str">
        <f>IFERROR(__xludf.DUMMYFUNCTION("""COMPUTED_VALUE"""),"76848")</f>
        <v>76848</v>
      </c>
      <c r="B6101" s="64">
        <f>IFERROR(__xludf.DUMMYFUNCTION("""COMPUTED_VALUE"""),44663.0)</f>
        <v>44663</v>
      </c>
      <c r="C6101" s="5"/>
      <c r="D6101" s="5"/>
      <c r="E6101" s="5"/>
      <c r="F6101" s="22">
        <f>IFERROR(__xludf.DUMMYFUNCTION("""COMPUTED_VALUE"""),372131.7816354999)</f>
        <v>372131.7816</v>
      </c>
      <c r="G6101" s="22">
        <f>IFERROR(__xludf.DUMMYFUNCTION("""COMPUTED_VALUE"""),0.0)</f>
        <v>0</v>
      </c>
      <c r="H6101" s="22">
        <f>IFERROR(__xludf.DUMMYFUNCTION("""COMPUTED_VALUE"""),487361.03729750006)</f>
        <v>487361.0373</v>
      </c>
      <c r="I6101" s="24">
        <f>IFERROR(__xludf.DUMMYFUNCTION("""COMPUTED_VALUE"""),-0.025277925404999846)</f>
        <v>-0.0252779254</v>
      </c>
    </row>
    <row r="6102">
      <c r="A6102" s="5" t="str">
        <f>IFERROR(__xludf.DUMMYFUNCTION("""COMPUTED_VALUE"""),"76937")</f>
        <v>76937</v>
      </c>
      <c r="B6102" s="64">
        <f>IFERROR(__xludf.DUMMYFUNCTION("""COMPUTED_VALUE"""),44597.0)</f>
        <v>44597</v>
      </c>
      <c r="C6102" s="5"/>
      <c r="D6102" s="5"/>
      <c r="E6102" s="5"/>
      <c r="F6102" s="22">
        <f>IFERROR(__xludf.DUMMYFUNCTION("""COMPUTED_VALUE"""),500000.0)</f>
        <v>500000</v>
      </c>
      <c r="G6102" s="22">
        <f>IFERROR(__xludf.DUMMYFUNCTION("""COMPUTED_VALUE"""),0.0)</f>
        <v>0</v>
      </c>
      <c r="H6102" s="22">
        <f>IFERROR(__xludf.DUMMYFUNCTION("""COMPUTED_VALUE"""),500000.0)</f>
        <v>500000</v>
      </c>
      <c r="I6102" s="24">
        <f>IFERROR(__xludf.DUMMYFUNCTION("""COMPUTED_VALUE"""),0.0)</f>
        <v>0</v>
      </c>
    </row>
    <row r="6103">
      <c r="A6103" s="5" t="str">
        <f>IFERROR(__xludf.DUMMYFUNCTION("""COMPUTED_VALUE"""),"76937")</f>
        <v>76937</v>
      </c>
      <c r="B6103" s="64">
        <f>IFERROR(__xludf.DUMMYFUNCTION("""COMPUTED_VALUE"""),44598.0)</f>
        <v>44598</v>
      </c>
      <c r="C6103" s="5"/>
      <c r="D6103" s="5"/>
      <c r="E6103" s="5"/>
      <c r="F6103" s="22">
        <f>IFERROR(__xludf.DUMMYFUNCTION("""COMPUTED_VALUE"""),500000.0)</f>
        <v>500000</v>
      </c>
      <c r="G6103" s="22">
        <f>IFERROR(__xludf.DUMMYFUNCTION("""COMPUTED_VALUE"""),0.0)</f>
        <v>0</v>
      </c>
      <c r="H6103" s="22">
        <f>IFERROR(__xludf.DUMMYFUNCTION("""COMPUTED_VALUE"""),500000.0)</f>
        <v>500000</v>
      </c>
      <c r="I6103" s="24">
        <f>IFERROR(__xludf.DUMMYFUNCTION("""COMPUTED_VALUE"""),0.0)</f>
        <v>0</v>
      </c>
    </row>
    <row r="6104">
      <c r="A6104" s="5" t="str">
        <f>IFERROR(__xludf.DUMMYFUNCTION("""COMPUTED_VALUE"""),"76937")</f>
        <v>76937</v>
      </c>
      <c r="B6104" s="64">
        <f>IFERROR(__xludf.DUMMYFUNCTION("""COMPUTED_VALUE"""),44599.0)</f>
        <v>44599</v>
      </c>
      <c r="C6104" s="5"/>
      <c r="D6104" s="5"/>
      <c r="E6104" s="5"/>
      <c r="F6104" s="22">
        <f>IFERROR(__xludf.DUMMYFUNCTION("""COMPUTED_VALUE"""),500000.0)</f>
        <v>500000</v>
      </c>
      <c r="G6104" s="22">
        <f>IFERROR(__xludf.DUMMYFUNCTION("""COMPUTED_VALUE"""),0.0)</f>
        <v>0</v>
      </c>
      <c r="H6104" s="22">
        <f>IFERROR(__xludf.DUMMYFUNCTION("""COMPUTED_VALUE"""),500000.0)</f>
        <v>500000</v>
      </c>
      <c r="I6104" s="24">
        <f>IFERROR(__xludf.DUMMYFUNCTION("""COMPUTED_VALUE"""),0.0)</f>
        <v>0</v>
      </c>
    </row>
    <row r="6105">
      <c r="A6105" s="5" t="str">
        <f>IFERROR(__xludf.DUMMYFUNCTION("""COMPUTED_VALUE"""),"76937")</f>
        <v>76937</v>
      </c>
      <c r="B6105" s="64">
        <f>IFERROR(__xludf.DUMMYFUNCTION("""COMPUTED_VALUE"""),44600.0)</f>
        <v>44600</v>
      </c>
      <c r="C6105" s="5"/>
      <c r="D6105" s="5"/>
      <c r="E6105" s="5"/>
      <c r="F6105" s="22">
        <f>IFERROR(__xludf.DUMMYFUNCTION("""COMPUTED_VALUE"""),500000.0)</f>
        <v>500000</v>
      </c>
      <c r="G6105" s="22">
        <f>IFERROR(__xludf.DUMMYFUNCTION("""COMPUTED_VALUE"""),0.0)</f>
        <v>0</v>
      </c>
      <c r="H6105" s="22">
        <f>IFERROR(__xludf.DUMMYFUNCTION("""COMPUTED_VALUE"""),500000.0)</f>
        <v>500000</v>
      </c>
      <c r="I6105" s="24">
        <f>IFERROR(__xludf.DUMMYFUNCTION("""COMPUTED_VALUE"""),0.0)</f>
        <v>0</v>
      </c>
    </row>
    <row r="6106">
      <c r="A6106" s="5" t="str">
        <f>IFERROR(__xludf.DUMMYFUNCTION("""COMPUTED_VALUE"""),"76937")</f>
        <v>76937</v>
      </c>
      <c r="B6106" s="64">
        <f>IFERROR(__xludf.DUMMYFUNCTION("""COMPUTED_VALUE"""),44601.0)</f>
        <v>44601</v>
      </c>
      <c r="C6106" s="5"/>
      <c r="D6106" s="5"/>
      <c r="E6106" s="5"/>
      <c r="F6106" s="22">
        <f>IFERROR(__xludf.DUMMYFUNCTION("""COMPUTED_VALUE"""),500000.0)</f>
        <v>500000</v>
      </c>
      <c r="G6106" s="22">
        <f>IFERROR(__xludf.DUMMYFUNCTION("""COMPUTED_VALUE"""),0.0)</f>
        <v>0</v>
      </c>
      <c r="H6106" s="22">
        <f>IFERROR(__xludf.DUMMYFUNCTION("""COMPUTED_VALUE"""),500000.0)</f>
        <v>500000</v>
      </c>
      <c r="I6106" s="24">
        <f>IFERROR(__xludf.DUMMYFUNCTION("""COMPUTED_VALUE"""),0.0)</f>
        <v>0</v>
      </c>
    </row>
    <row r="6107">
      <c r="A6107" s="5" t="str">
        <f>IFERROR(__xludf.DUMMYFUNCTION("""COMPUTED_VALUE"""),"76937")</f>
        <v>76937</v>
      </c>
      <c r="B6107" s="64">
        <f>IFERROR(__xludf.DUMMYFUNCTION("""COMPUTED_VALUE"""),44602.0)</f>
        <v>44602</v>
      </c>
      <c r="C6107" s="5"/>
      <c r="D6107" s="5"/>
      <c r="E6107" s="5"/>
      <c r="F6107" s="22">
        <f>IFERROR(__xludf.DUMMYFUNCTION("""COMPUTED_VALUE"""),500000.0)</f>
        <v>500000</v>
      </c>
      <c r="G6107" s="22">
        <f>IFERROR(__xludf.DUMMYFUNCTION("""COMPUTED_VALUE"""),0.0)</f>
        <v>0</v>
      </c>
      <c r="H6107" s="22">
        <f>IFERROR(__xludf.DUMMYFUNCTION("""COMPUTED_VALUE"""),500000.0)</f>
        <v>500000</v>
      </c>
      <c r="I6107" s="24">
        <f>IFERROR(__xludf.DUMMYFUNCTION("""COMPUTED_VALUE"""),0.0)</f>
        <v>0</v>
      </c>
    </row>
    <row r="6108">
      <c r="A6108" s="5" t="str">
        <f>IFERROR(__xludf.DUMMYFUNCTION("""COMPUTED_VALUE"""),"76937")</f>
        <v>76937</v>
      </c>
      <c r="B6108" s="64">
        <f>IFERROR(__xludf.DUMMYFUNCTION("""COMPUTED_VALUE"""),44603.0)</f>
        <v>44603</v>
      </c>
      <c r="C6108" s="5"/>
      <c r="D6108" s="5"/>
      <c r="E6108" s="5"/>
      <c r="F6108" s="22">
        <f>IFERROR(__xludf.DUMMYFUNCTION("""COMPUTED_VALUE"""),500000.0)</f>
        <v>500000</v>
      </c>
      <c r="G6108" s="22">
        <f>IFERROR(__xludf.DUMMYFUNCTION("""COMPUTED_VALUE"""),0.0)</f>
        <v>0</v>
      </c>
      <c r="H6108" s="22">
        <f>IFERROR(__xludf.DUMMYFUNCTION("""COMPUTED_VALUE"""),500000.0)</f>
        <v>500000</v>
      </c>
      <c r="I6108" s="24">
        <f>IFERROR(__xludf.DUMMYFUNCTION("""COMPUTED_VALUE"""),0.0)</f>
        <v>0</v>
      </c>
    </row>
    <row r="6109">
      <c r="A6109" s="5" t="str">
        <f>IFERROR(__xludf.DUMMYFUNCTION("""COMPUTED_VALUE"""),"76937")</f>
        <v>76937</v>
      </c>
      <c r="B6109" s="64">
        <f>IFERROR(__xludf.DUMMYFUNCTION("""COMPUTED_VALUE"""),44604.0)</f>
        <v>44604</v>
      </c>
      <c r="C6109" s="5"/>
      <c r="D6109" s="5"/>
      <c r="E6109" s="5"/>
      <c r="F6109" s="22">
        <f>IFERROR(__xludf.DUMMYFUNCTION("""COMPUTED_VALUE"""),500000.0)</f>
        <v>500000</v>
      </c>
      <c r="G6109" s="22">
        <f>IFERROR(__xludf.DUMMYFUNCTION("""COMPUTED_VALUE"""),0.0)</f>
        <v>0</v>
      </c>
      <c r="H6109" s="22">
        <f>IFERROR(__xludf.DUMMYFUNCTION("""COMPUTED_VALUE"""),500000.0)</f>
        <v>500000</v>
      </c>
      <c r="I6109" s="24">
        <f>IFERROR(__xludf.DUMMYFUNCTION("""COMPUTED_VALUE"""),0.0)</f>
        <v>0</v>
      </c>
    </row>
    <row r="6110">
      <c r="A6110" s="5" t="str">
        <f>IFERROR(__xludf.DUMMYFUNCTION("""COMPUTED_VALUE"""),"76937")</f>
        <v>76937</v>
      </c>
      <c r="B6110" s="64">
        <f>IFERROR(__xludf.DUMMYFUNCTION("""COMPUTED_VALUE"""),44605.0)</f>
        <v>44605</v>
      </c>
      <c r="C6110" s="5"/>
      <c r="D6110" s="5"/>
      <c r="E6110" s="5"/>
      <c r="F6110" s="22">
        <f>IFERROR(__xludf.DUMMYFUNCTION("""COMPUTED_VALUE"""),500000.0)</f>
        <v>500000</v>
      </c>
      <c r="G6110" s="22">
        <f>IFERROR(__xludf.DUMMYFUNCTION("""COMPUTED_VALUE"""),0.0)</f>
        <v>0</v>
      </c>
      <c r="H6110" s="22">
        <f>IFERROR(__xludf.DUMMYFUNCTION("""COMPUTED_VALUE"""),500000.0)</f>
        <v>500000</v>
      </c>
      <c r="I6110" s="24">
        <f>IFERROR(__xludf.DUMMYFUNCTION("""COMPUTED_VALUE"""),0.0)</f>
        <v>0</v>
      </c>
    </row>
    <row r="6111">
      <c r="A6111" s="5" t="str">
        <f>IFERROR(__xludf.DUMMYFUNCTION("""COMPUTED_VALUE"""),"76937")</f>
        <v>76937</v>
      </c>
      <c r="B6111" s="64">
        <f>IFERROR(__xludf.DUMMYFUNCTION("""COMPUTED_VALUE"""),44606.0)</f>
        <v>44606</v>
      </c>
      <c r="C6111" s="5"/>
      <c r="D6111" s="5"/>
      <c r="E6111" s="5"/>
      <c r="F6111" s="22">
        <f>IFERROR(__xludf.DUMMYFUNCTION("""COMPUTED_VALUE"""),500000.0)</f>
        <v>500000</v>
      </c>
      <c r="G6111" s="22">
        <f>IFERROR(__xludf.DUMMYFUNCTION("""COMPUTED_VALUE"""),0.0)</f>
        <v>0</v>
      </c>
      <c r="H6111" s="22">
        <f>IFERROR(__xludf.DUMMYFUNCTION("""COMPUTED_VALUE"""),500000.0)</f>
        <v>500000</v>
      </c>
      <c r="I6111" s="24">
        <f>IFERROR(__xludf.DUMMYFUNCTION("""COMPUTED_VALUE"""),0.0)</f>
        <v>0</v>
      </c>
    </row>
    <row r="6112">
      <c r="A6112" s="5" t="str">
        <f>IFERROR(__xludf.DUMMYFUNCTION("""COMPUTED_VALUE"""),"76937")</f>
        <v>76937</v>
      </c>
      <c r="B6112" s="64">
        <f>IFERROR(__xludf.DUMMYFUNCTION("""COMPUTED_VALUE"""),44607.0)</f>
        <v>44607</v>
      </c>
      <c r="C6112" s="5"/>
      <c r="D6112" s="5"/>
      <c r="E6112" s="5"/>
      <c r="F6112" s="22">
        <f>IFERROR(__xludf.DUMMYFUNCTION("""COMPUTED_VALUE"""),500000.0)</f>
        <v>500000</v>
      </c>
      <c r="G6112" s="22">
        <f>IFERROR(__xludf.DUMMYFUNCTION("""COMPUTED_VALUE"""),0.0)</f>
        <v>0</v>
      </c>
      <c r="H6112" s="22">
        <f>IFERROR(__xludf.DUMMYFUNCTION("""COMPUTED_VALUE"""),500000.0)</f>
        <v>500000</v>
      </c>
      <c r="I6112" s="24">
        <f>IFERROR(__xludf.DUMMYFUNCTION("""COMPUTED_VALUE"""),0.0)</f>
        <v>0</v>
      </c>
    </row>
    <row r="6113">
      <c r="A6113" s="5" t="str">
        <f>IFERROR(__xludf.DUMMYFUNCTION("""COMPUTED_VALUE"""),"76937")</f>
        <v>76937</v>
      </c>
      <c r="B6113" s="64">
        <f>IFERROR(__xludf.DUMMYFUNCTION("""COMPUTED_VALUE"""),44608.0)</f>
        <v>44608</v>
      </c>
      <c r="C6113" s="5"/>
      <c r="D6113" s="5"/>
      <c r="E6113" s="5"/>
      <c r="F6113" s="22">
        <f>IFERROR(__xludf.DUMMYFUNCTION("""COMPUTED_VALUE"""),500000.0)</f>
        <v>500000</v>
      </c>
      <c r="G6113" s="22">
        <f>IFERROR(__xludf.DUMMYFUNCTION("""COMPUTED_VALUE"""),0.0)</f>
        <v>0</v>
      </c>
      <c r="H6113" s="22">
        <f>IFERROR(__xludf.DUMMYFUNCTION("""COMPUTED_VALUE"""),500000.0)</f>
        <v>500000</v>
      </c>
      <c r="I6113" s="24">
        <f>IFERROR(__xludf.DUMMYFUNCTION("""COMPUTED_VALUE"""),0.0)</f>
        <v>0</v>
      </c>
    </row>
    <row r="6114">
      <c r="A6114" s="5" t="str">
        <f>IFERROR(__xludf.DUMMYFUNCTION("""COMPUTED_VALUE"""),"76937")</f>
        <v>76937</v>
      </c>
      <c r="B6114" s="64">
        <f>IFERROR(__xludf.DUMMYFUNCTION("""COMPUTED_VALUE"""),44609.0)</f>
        <v>44609</v>
      </c>
      <c r="C6114" s="5"/>
      <c r="D6114" s="5"/>
      <c r="E6114" s="5"/>
      <c r="F6114" s="22">
        <f>IFERROR(__xludf.DUMMYFUNCTION("""COMPUTED_VALUE"""),500000.0)</f>
        <v>500000</v>
      </c>
      <c r="G6114" s="22">
        <f>IFERROR(__xludf.DUMMYFUNCTION("""COMPUTED_VALUE"""),0.0)</f>
        <v>0</v>
      </c>
      <c r="H6114" s="22">
        <f>IFERROR(__xludf.DUMMYFUNCTION("""COMPUTED_VALUE"""),500000.0)</f>
        <v>500000</v>
      </c>
      <c r="I6114" s="24">
        <f>IFERROR(__xludf.DUMMYFUNCTION("""COMPUTED_VALUE"""),0.0)</f>
        <v>0</v>
      </c>
    </row>
    <row r="6115">
      <c r="A6115" s="5" t="str">
        <f>IFERROR(__xludf.DUMMYFUNCTION("""COMPUTED_VALUE"""),"76937")</f>
        <v>76937</v>
      </c>
      <c r="B6115" s="64">
        <f>IFERROR(__xludf.DUMMYFUNCTION("""COMPUTED_VALUE"""),44610.0)</f>
        <v>44610</v>
      </c>
      <c r="C6115" s="5"/>
      <c r="D6115" s="5"/>
      <c r="E6115" s="5"/>
      <c r="F6115" s="22">
        <f>IFERROR(__xludf.DUMMYFUNCTION("""COMPUTED_VALUE"""),500000.0)</f>
        <v>500000</v>
      </c>
      <c r="G6115" s="22">
        <f>IFERROR(__xludf.DUMMYFUNCTION("""COMPUTED_VALUE"""),0.0)</f>
        <v>0</v>
      </c>
      <c r="H6115" s="22">
        <f>IFERROR(__xludf.DUMMYFUNCTION("""COMPUTED_VALUE"""),500000.0)</f>
        <v>500000</v>
      </c>
      <c r="I6115" s="24">
        <f>IFERROR(__xludf.DUMMYFUNCTION("""COMPUTED_VALUE"""),0.0)</f>
        <v>0</v>
      </c>
    </row>
    <row r="6116">
      <c r="A6116" s="5" t="str">
        <f>IFERROR(__xludf.DUMMYFUNCTION("""COMPUTED_VALUE"""),"76937")</f>
        <v>76937</v>
      </c>
      <c r="B6116" s="64">
        <f>IFERROR(__xludf.DUMMYFUNCTION("""COMPUTED_VALUE"""),44611.0)</f>
        <v>44611</v>
      </c>
      <c r="C6116" s="5"/>
      <c r="D6116" s="5"/>
      <c r="E6116" s="5"/>
      <c r="F6116" s="22">
        <f>IFERROR(__xludf.DUMMYFUNCTION("""COMPUTED_VALUE"""),500000.0)</f>
        <v>500000</v>
      </c>
      <c r="G6116" s="22">
        <f>IFERROR(__xludf.DUMMYFUNCTION("""COMPUTED_VALUE"""),0.0)</f>
        <v>0</v>
      </c>
      <c r="H6116" s="22">
        <f>IFERROR(__xludf.DUMMYFUNCTION("""COMPUTED_VALUE"""),500000.0)</f>
        <v>500000</v>
      </c>
      <c r="I6116" s="24">
        <f>IFERROR(__xludf.DUMMYFUNCTION("""COMPUTED_VALUE"""),0.0)</f>
        <v>0</v>
      </c>
    </row>
    <row r="6117">
      <c r="A6117" s="5" t="str">
        <f>IFERROR(__xludf.DUMMYFUNCTION("""COMPUTED_VALUE"""),"76937")</f>
        <v>76937</v>
      </c>
      <c r="B6117" s="64">
        <f>IFERROR(__xludf.DUMMYFUNCTION("""COMPUTED_VALUE"""),44612.0)</f>
        <v>44612</v>
      </c>
      <c r="C6117" s="5"/>
      <c r="D6117" s="5"/>
      <c r="E6117" s="5"/>
      <c r="F6117" s="22">
        <f>IFERROR(__xludf.DUMMYFUNCTION("""COMPUTED_VALUE"""),500000.0)</f>
        <v>500000</v>
      </c>
      <c r="G6117" s="22">
        <f>IFERROR(__xludf.DUMMYFUNCTION("""COMPUTED_VALUE"""),0.0)</f>
        <v>0</v>
      </c>
      <c r="H6117" s="22">
        <f>IFERROR(__xludf.DUMMYFUNCTION("""COMPUTED_VALUE"""),500000.0)</f>
        <v>500000</v>
      </c>
      <c r="I6117" s="24">
        <f>IFERROR(__xludf.DUMMYFUNCTION("""COMPUTED_VALUE"""),0.0)</f>
        <v>0</v>
      </c>
    </row>
    <row r="6118">
      <c r="A6118" s="5" t="str">
        <f>IFERROR(__xludf.DUMMYFUNCTION("""COMPUTED_VALUE"""),"76937")</f>
        <v>76937</v>
      </c>
      <c r="B6118" s="64">
        <f>IFERROR(__xludf.DUMMYFUNCTION("""COMPUTED_VALUE"""),44613.0)</f>
        <v>44613</v>
      </c>
      <c r="C6118" s="5"/>
      <c r="D6118" s="5"/>
      <c r="E6118" s="5"/>
      <c r="F6118" s="22">
        <f>IFERROR(__xludf.DUMMYFUNCTION("""COMPUTED_VALUE"""),500000.0)</f>
        <v>500000</v>
      </c>
      <c r="G6118" s="22">
        <f>IFERROR(__xludf.DUMMYFUNCTION("""COMPUTED_VALUE"""),0.0)</f>
        <v>0</v>
      </c>
      <c r="H6118" s="22">
        <f>IFERROR(__xludf.DUMMYFUNCTION("""COMPUTED_VALUE"""),500000.0)</f>
        <v>500000</v>
      </c>
      <c r="I6118" s="24">
        <f>IFERROR(__xludf.DUMMYFUNCTION("""COMPUTED_VALUE"""),0.0)</f>
        <v>0</v>
      </c>
    </row>
    <row r="6119">
      <c r="A6119" s="5" t="str">
        <f>IFERROR(__xludf.DUMMYFUNCTION("""COMPUTED_VALUE"""),"76937")</f>
        <v>76937</v>
      </c>
      <c r="B6119" s="64">
        <f>IFERROR(__xludf.DUMMYFUNCTION("""COMPUTED_VALUE"""),44614.0)</f>
        <v>44614</v>
      </c>
      <c r="C6119" s="5"/>
      <c r="D6119" s="5"/>
      <c r="E6119" s="5"/>
      <c r="F6119" s="22">
        <f>IFERROR(__xludf.DUMMYFUNCTION("""COMPUTED_VALUE"""),500000.0)</f>
        <v>500000</v>
      </c>
      <c r="G6119" s="22">
        <f>IFERROR(__xludf.DUMMYFUNCTION("""COMPUTED_VALUE"""),0.0)</f>
        <v>0</v>
      </c>
      <c r="H6119" s="22">
        <f>IFERROR(__xludf.DUMMYFUNCTION("""COMPUTED_VALUE"""),500000.0)</f>
        <v>500000</v>
      </c>
      <c r="I6119" s="24">
        <f>IFERROR(__xludf.DUMMYFUNCTION("""COMPUTED_VALUE"""),0.0)</f>
        <v>0</v>
      </c>
    </row>
    <row r="6120">
      <c r="A6120" s="5" t="str">
        <f>IFERROR(__xludf.DUMMYFUNCTION("""COMPUTED_VALUE"""),"76937")</f>
        <v>76937</v>
      </c>
      <c r="B6120" s="64">
        <f>IFERROR(__xludf.DUMMYFUNCTION("""COMPUTED_VALUE"""),44615.0)</f>
        <v>44615</v>
      </c>
      <c r="C6120" s="5"/>
      <c r="D6120" s="5"/>
      <c r="E6120" s="5"/>
      <c r="F6120" s="22">
        <f>IFERROR(__xludf.DUMMYFUNCTION("""COMPUTED_VALUE"""),500000.0)</f>
        <v>500000</v>
      </c>
      <c r="G6120" s="22">
        <f>IFERROR(__xludf.DUMMYFUNCTION("""COMPUTED_VALUE"""),0.0)</f>
        <v>0</v>
      </c>
      <c r="H6120" s="22">
        <f>IFERROR(__xludf.DUMMYFUNCTION("""COMPUTED_VALUE"""),500000.0)</f>
        <v>500000</v>
      </c>
      <c r="I6120" s="24">
        <f>IFERROR(__xludf.DUMMYFUNCTION("""COMPUTED_VALUE"""),0.0)</f>
        <v>0</v>
      </c>
    </row>
    <row r="6121">
      <c r="A6121" s="5" t="str">
        <f>IFERROR(__xludf.DUMMYFUNCTION("""COMPUTED_VALUE"""),"76937")</f>
        <v>76937</v>
      </c>
      <c r="B6121" s="64">
        <f>IFERROR(__xludf.DUMMYFUNCTION("""COMPUTED_VALUE"""),44616.0)</f>
        <v>44616</v>
      </c>
      <c r="C6121" s="5"/>
      <c r="D6121" s="5"/>
      <c r="E6121" s="5"/>
      <c r="F6121" s="22">
        <f>IFERROR(__xludf.DUMMYFUNCTION("""COMPUTED_VALUE"""),500000.0)</f>
        <v>500000</v>
      </c>
      <c r="G6121" s="22">
        <f>IFERROR(__xludf.DUMMYFUNCTION("""COMPUTED_VALUE"""),0.0)</f>
        <v>0</v>
      </c>
      <c r="H6121" s="22">
        <f>IFERROR(__xludf.DUMMYFUNCTION("""COMPUTED_VALUE"""),500000.0)</f>
        <v>500000</v>
      </c>
      <c r="I6121" s="24">
        <f>IFERROR(__xludf.DUMMYFUNCTION("""COMPUTED_VALUE"""),0.0)</f>
        <v>0</v>
      </c>
    </row>
    <row r="6122">
      <c r="A6122" s="5" t="str">
        <f>IFERROR(__xludf.DUMMYFUNCTION("""COMPUTED_VALUE"""),"76937")</f>
        <v>76937</v>
      </c>
      <c r="B6122" s="64">
        <f>IFERROR(__xludf.DUMMYFUNCTION("""COMPUTED_VALUE"""),44617.0)</f>
        <v>44617</v>
      </c>
      <c r="C6122" s="5"/>
      <c r="D6122" s="5"/>
      <c r="E6122" s="5"/>
      <c r="F6122" s="22">
        <f>IFERROR(__xludf.DUMMYFUNCTION("""COMPUTED_VALUE"""),500000.0)</f>
        <v>500000</v>
      </c>
      <c r="G6122" s="22">
        <f>IFERROR(__xludf.DUMMYFUNCTION("""COMPUTED_VALUE"""),0.0)</f>
        <v>0</v>
      </c>
      <c r="H6122" s="22">
        <f>IFERROR(__xludf.DUMMYFUNCTION("""COMPUTED_VALUE"""),500000.0)</f>
        <v>500000</v>
      </c>
      <c r="I6122" s="24">
        <f>IFERROR(__xludf.DUMMYFUNCTION("""COMPUTED_VALUE"""),0.0)</f>
        <v>0</v>
      </c>
    </row>
    <row r="6123">
      <c r="A6123" s="5" t="str">
        <f>IFERROR(__xludf.DUMMYFUNCTION("""COMPUTED_VALUE"""),"76937")</f>
        <v>76937</v>
      </c>
      <c r="B6123" s="64">
        <f>IFERROR(__xludf.DUMMYFUNCTION("""COMPUTED_VALUE"""),44618.0)</f>
        <v>44618</v>
      </c>
      <c r="C6123" s="5"/>
      <c r="D6123" s="5"/>
      <c r="E6123" s="5"/>
      <c r="F6123" s="22">
        <f>IFERROR(__xludf.DUMMYFUNCTION("""COMPUTED_VALUE"""),500000.0)</f>
        <v>500000</v>
      </c>
      <c r="G6123" s="22">
        <f>IFERROR(__xludf.DUMMYFUNCTION("""COMPUTED_VALUE"""),0.0)</f>
        <v>0</v>
      </c>
      <c r="H6123" s="22">
        <f>IFERROR(__xludf.DUMMYFUNCTION("""COMPUTED_VALUE"""),500000.0)</f>
        <v>500000</v>
      </c>
      <c r="I6123" s="24">
        <f>IFERROR(__xludf.DUMMYFUNCTION("""COMPUTED_VALUE"""),0.0)</f>
        <v>0</v>
      </c>
    </row>
    <row r="6124">
      <c r="A6124" s="5" t="str">
        <f>IFERROR(__xludf.DUMMYFUNCTION("""COMPUTED_VALUE"""),"76937")</f>
        <v>76937</v>
      </c>
      <c r="B6124" s="64">
        <f>IFERROR(__xludf.DUMMYFUNCTION("""COMPUTED_VALUE"""),44619.0)</f>
        <v>44619</v>
      </c>
      <c r="C6124" s="5"/>
      <c r="D6124" s="5"/>
      <c r="E6124" s="5"/>
      <c r="F6124" s="22">
        <f>IFERROR(__xludf.DUMMYFUNCTION("""COMPUTED_VALUE"""),500000.0)</f>
        <v>500000</v>
      </c>
      <c r="G6124" s="22">
        <f>IFERROR(__xludf.DUMMYFUNCTION("""COMPUTED_VALUE"""),0.0)</f>
        <v>0</v>
      </c>
      <c r="H6124" s="22">
        <f>IFERROR(__xludf.DUMMYFUNCTION("""COMPUTED_VALUE"""),500000.0)</f>
        <v>500000</v>
      </c>
      <c r="I6124" s="24">
        <f>IFERROR(__xludf.DUMMYFUNCTION("""COMPUTED_VALUE"""),0.0)</f>
        <v>0</v>
      </c>
    </row>
    <row r="6125">
      <c r="A6125" s="5" t="str">
        <f>IFERROR(__xludf.DUMMYFUNCTION("""COMPUTED_VALUE"""),"76937")</f>
        <v>76937</v>
      </c>
      <c r="B6125" s="64">
        <f>IFERROR(__xludf.DUMMYFUNCTION("""COMPUTED_VALUE"""),44620.0)</f>
        <v>44620</v>
      </c>
      <c r="C6125" s="5"/>
      <c r="D6125" s="5"/>
      <c r="E6125" s="5"/>
      <c r="F6125" s="22">
        <f>IFERROR(__xludf.DUMMYFUNCTION("""COMPUTED_VALUE"""),500000.0)</f>
        <v>500000</v>
      </c>
      <c r="G6125" s="22">
        <f>IFERROR(__xludf.DUMMYFUNCTION("""COMPUTED_VALUE"""),0.0)</f>
        <v>0</v>
      </c>
      <c r="H6125" s="22">
        <f>IFERROR(__xludf.DUMMYFUNCTION("""COMPUTED_VALUE"""),500000.0)</f>
        <v>500000</v>
      </c>
      <c r="I6125" s="24">
        <f>IFERROR(__xludf.DUMMYFUNCTION("""COMPUTED_VALUE"""),0.0)</f>
        <v>0</v>
      </c>
    </row>
    <row r="6126">
      <c r="A6126" s="5" t="str">
        <f>IFERROR(__xludf.DUMMYFUNCTION("""COMPUTED_VALUE"""),"76937")</f>
        <v>76937</v>
      </c>
      <c r="B6126" s="64">
        <f>IFERROR(__xludf.DUMMYFUNCTION("""COMPUTED_VALUE"""),44621.0)</f>
        <v>44621</v>
      </c>
      <c r="C6126" s="5"/>
      <c r="D6126" s="5"/>
      <c r="E6126" s="5"/>
      <c r="F6126" s="22">
        <f>IFERROR(__xludf.DUMMYFUNCTION("""COMPUTED_VALUE"""),500000.0)</f>
        <v>500000</v>
      </c>
      <c r="G6126" s="22">
        <f>IFERROR(__xludf.DUMMYFUNCTION("""COMPUTED_VALUE"""),0.0)</f>
        <v>0</v>
      </c>
      <c r="H6126" s="22">
        <f>IFERROR(__xludf.DUMMYFUNCTION("""COMPUTED_VALUE"""),500000.0)</f>
        <v>500000</v>
      </c>
      <c r="I6126" s="24">
        <f>IFERROR(__xludf.DUMMYFUNCTION("""COMPUTED_VALUE"""),0.0)</f>
        <v>0</v>
      </c>
    </row>
    <row r="6127">
      <c r="A6127" s="5" t="str">
        <f>IFERROR(__xludf.DUMMYFUNCTION("""COMPUTED_VALUE"""),"76937")</f>
        <v>76937</v>
      </c>
      <c r="B6127" s="64">
        <f>IFERROR(__xludf.DUMMYFUNCTION("""COMPUTED_VALUE"""),44622.0)</f>
        <v>44622</v>
      </c>
      <c r="C6127" s="5"/>
      <c r="D6127" s="5"/>
      <c r="E6127" s="5"/>
      <c r="F6127" s="22">
        <f>IFERROR(__xludf.DUMMYFUNCTION("""COMPUTED_VALUE"""),500000.0)</f>
        <v>500000</v>
      </c>
      <c r="G6127" s="22">
        <f>IFERROR(__xludf.DUMMYFUNCTION("""COMPUTED_VALUE"""),0.0)</f>
        <v>0</v>
      </c>
      <c r="H6127" s="22">
        <f>IFERROR(__xludf.DUMMYFUNCTION("""COMPUTED_VALUE"""),500000.0)</f>
        <v>500000</v>
      </c>
      <c r="I6127" s="24">
        <f>IFERROR(__xludf.DUMMYFUNCTION("""COMPUTED_VALUE"""),0.0)</f>
        <v>0</v>
      </c>
    </row>
    <row r="6128">
      <c r="A6128" s="5" t="str">
        <f>IFERROR(__xludf.DUMMYFUNCTION("""COMPUTED_VALUE"""),"76937")</f>
        <v>76937</v>
      </c>
      <c r="B6128" s="64">
        <f>IFERROR(__xludf.DUMMYFUNCTION("""COMPUTED_VALUE"""),44623.0)</f>
        <v>44623</v>
      </c>
      <c r="C6128" s="5"/>
      <c r="D6128" s="5"/>
      <c r="E6128" s="5"/>
      <c r="F6128" s="22">
        <f>IFERROR(__xludf.DUMMYFUNCTION("""COMPUTED_VALUE"""),500000.0)</f>
        <v>500000</v>
      </c>
      <c r="G6128" s="22">
        <f>IFERROR(__xludf.DUMMYFUNCTION("""COMPUTED_VALUE"""),0.0)</f>
        <v>0</v>
      </c>
      <c r="H6128" s="22">
        <f>IFERROR(__xludf.DUMMYFUNCTION("""COMPUTED_VALUE"""),500000.0)</f>
        <v>500000</v>
      </c>
      <c r="I6128" s="24">
        <f>IFERROR(__xludf.DUMMYFUNCTION("""COMPUTED_VALUE"""),0.0)</f>
        <v>0</v>
      </c>
    </row>
    <row r="6129">
      <c r="A6129" s="5" t="str">
        <f>IFERROR(__xludf.DUMMYFUNCTION("""COMPUTED_VALUE"""),"76937")</f>
        <v>76937</v>
      </c>
      <c r="B6129" s="64">
        <f>IFERROR(__xludf.DUMMYFUNCTION("""COMPUTED_VALUE"""),44624.0)</f>
        <v>44624</v>
      </c>
      <c r="C6129" s="5"/>
      <c r="D6129" s="5"/>
      <c r="E6129" s="5"/>
      <c r="F6129" s="22">
        <f>IFERROR(__xludf.DUMMYFUNCTION("""COMPUTED_VALUE"""),500000.0)</f>
        <v>500000</v>
      </c>
      <c r="G6129" s="22">
        <f>IFERROR(__xludf.DUMMYFUNCTION("""COMPUTED_VALUE"""),0.0)</f>
        <v>0</v>
      </c>
      <c r="H6129" s="22">
        <f>IFERROR(__xludf.DUMMYFUNCTION("""COMPUTED_VALUE"""),500000.0)</f>
        <v>500000</v>
      </c>
      <c r="I6129" s="24">
        <f>IFERROR(__xludf.DUMMYFUNCTION("""COMPUTED_VALUE"""),0.0)</f>
        <v>0</v>
      </c>
    </row>
    <row r="6130">
      <c r="A6130" s="5" t="str">
        <f>IFERROR(__xludf.DUMMYFUNCTION("""COMPUTED_VALUE"""),"76937")</f>
        <v>76937</v>
      </c>
      <c r="B6130" s="64">
        <f>IFERROR(__xludf.DUMMYFUNCTION("""COMPUTED_VALUE"""),44625.0)</f>
        <v>44625</v>
      </c>
      <c r="C6130" s="5"/>
      <c r="D6130" s="5"/>
      <c r="E6130" s="5"/>
      <c r="F6130" s="22">
        <f>IFERROR(__xludf.DUMMYFUNCTION("""COMPUTED_VALUE"""),500000.0)</f>
        <v>500000</v>
      </c>
      <c r="G6130" s="22">
        <f>IFERROR(__xludf.DUMMYFUNCTION("""COMPUTED_VALUE"""),0.0)</f>
        <v>0</v>
      </c>
      <c r="H6130" s="22">
        <f>IFERROR(__xludf.DUMMYFUNCTION("""COMPUTED_VALUE"""),500000.0)</f>
        <v>500000</v>
      </c>
      <c r="I6130" s="24">
        <f>IFERROR(__xludf.DUMMYFUNCTION("""COMPUTED_VALUE"""),0.0)</f>
        <v>0</v>
      </c>
    </row>
    <row r="6131">
      <c r="A6131" s="5" t="str">
        <f>IFERROR(__xludf.DUMMYFUNCTION("""COMPUTED_VALUE"""),"76937")</f>
        <v>76937</v>
      </c>
      <c r="B6131" s="64">
        <f>IFERROR(__xludf.DUMMYFUNCTION("""COMPUTED_VALUE"""),44626.0)</f>
        <v>44626</v>
      </c>
      <c r="C6131" s="5"/>
      <c r="D6131" s="5"/>
      <c r="E6131" s="5"/>
      <c r="F6131" s="22">
        <f>IFERROR(__xludf.DUMMYFUNCTION("""COMPUTED_VALUE"""),500000.0)</f>
        <v>500000</v>
      </c>
      <c r="G6131" s="22">
        <f>IFERROR(__xludf.DUMMYFUNCTION("""COMPUTED_VALUE"""),0.0)</f>
        <v>0</v>
      </c>
      <c r="H6131" s="22">
        <f>IFERROR(__xludf.DUMMYFUNCTION("""COMPUTED_VALUE"""),500000.0)</f>
        <v>500000</v>
      </c>
      <c r="I6131" s="24">
        <f>IFERROR(__xludf.DUMMYFUNCTION("""COMPUTED_VALUE"""),0.0)</f>
        <v>0</v>
      </c>
    </row>
    <row r="6132">
      <c r="A6132" s="5" t="str">
        <f>IFERROR(__xludf.DUMMYFUNCTION("""COMPUTED_VALUE"""),"76937")</f>
        <v>76937</v>
      </c>
      <c r="B6132" s="64">
        <f>IFERROR(__xludf.DUMMYFUNCTION("""COMPUTED_VALUE"""),44627.0)</f>
        <v>44627</v>
      </c>
      <c r="C6132" s="5"/>
      <c r="D6132" s="5"/>
      <c r="E6132" s="5"/>
      <c r="F6132" s="22">
        <f>IFERROR(__xludf.DUMMYFUNCTION("""COMPUTED_VALUE"""),500000.0)</f>
        <v>500000</v>
      </c>
      <c r="G6132" s="22">
        <f>IFERROR(__xludf.DUMMYFUNCTION("""COMPUTED_VALUE"""),0.0)</f>
        <v>0</v>
      </c>
      <c r="H6132" s="22">
        <f>IFERROR(__xludf.DUMMYFUNCTION("""COMPUTED_VALUE"""),500000.0)</f>
        <v>500000</v>
      </c>
      <c r="I6132" s="24">
        <f>IFERROR(__xludf.DUMMYFUNCTION("""COMPUTED_VALUE"""),0.0)</f>
        <v>0</v>
      </c>
    </row>
    <row r="6133">
      <c r="A6133" s="5" t="str">
        <f>IFERROR(__xludf.DUMMYFUNCTION("""COMPUTED_VALUE"""),"76937")</f>
        <v>76937</v>
      </c>
      <c r="B6133" s="64">
        <f>IFERROR(__xludf.DUMMYFUNCTION("""COMPUTED_VALUE"""),44628.0)</f>
        <v>44628</v>
      </c>
      <c r="C6133" s="5"/>
      <c r="D6133" s="5"/>
      <c r="E6133" s="5"/>
      <c r="F6133" s="22">
        <f>IFERROR(__xludf.DUMMYFUNCTION("""COMPUTED_VALUE"""),500000.0)</f>
        <v>500000</v>
      </c>
      <c r="G6133" s="22">
        <f>IFERROR(__xludf.DUMMYFUNCTION("""COMPUTED_VALUE"""),0.0)</f>
        <v>0</v>
      </c>
      <c r="H6133" s="22">
        <f>IFERROR(__xludf.DUMMYFUNCTION("""COMPUTED_VALUE"""),500000.0)</f>
        <v>500000</v>
      </c>
      <c r="I6133" s="24">
        <f>IFERROR(__xludf.DUMMYFUNCTION("""COMPUTED_VALUE"""),0.0)</f>
        <v>0</v>
      </c>
    </row>
    <row r="6134">
      <c r="A6134" s="5" t="str">
        <f>IFERROR(__xludf.DUMMYFUNCTION("""COMPUTED_VALUE"""),"76937")</f>
        <v>76937</v>
      </c>
      <c r="B6134" s="64">
        <f>IFERROR(__xludf.DUMMYFUNCTION("""COMPUTED_VALUE"""),44629.0)</f>
        <v>44629</v>
      </c>
      <c r="C6134" s="5"/>
      <c r="D6134" s="5"/>
      <c r="E6134" s="5"/>
      <c r="F6134" s="22">
        <f>IFERROR(__xludf.DUMMYFUNCTION("""COMPUTED_VALUE"""),500000.0)</f>
        <v>500000</v>
      </c>
      <c r="G6134" s="22">
        <f>IFERROR(__xludf.DUMMYFUNCTION("""COMPUTED_VALUE"""),0.0)</f>
        <v>0</v>
      </c>
      <c r="H6134" s="22">
        <f>IFERROR(__xludf.DUMMYFUNCTION("""COMPUTED_VALUE"""),500000.0)</f>
        <v>500000</v>
      </c>
      <c r="I6134" s="24">
        <f>IFERROR(__xludf.DUMMYFUNCTION("""COMPUTED_VALUE"""),0.0)</f>
        <v>0</v>
      </c>
    </row>
    <row r="6135">
      <c r="A6135" s="5" t="str">
        <f>IFERROR(__xludf.DUMMYFUNCTION("""COMPUTED_VALUE"""),"76937")</f>
        <v>76937</v>
      </c>
      <c r="B6135" s="64">
        <f>IFERROR(__xludf.DUMMYFUNCTION("""COMPUTED_VALUE"""),44630.0)</f>
        <v>44630</v>
      </c>
      <c r="C6135" s="5"/>
      <c r="D6135" s="5"/>
      <c r="E6135" s="5"/>
      <c r="F6135" s="22">
        <f>IFERROR(__xludf.DUMMYFUNCTION("""COMPUTED_VALUE"""),500000.0)</f>
        <v>500000</v>
      </c>
      <c r="G6135" s="22">
        <f>IFERROR(__xludf.DUMMYFUNCTION("""COMPUTED_VALUE"""),0.0)</f>
        <v>0</v>
      </c>
      <c r="H6135" s="22">
        <f>IFERROR(__xludf.DUMMYFUNCTION("""COMPUTED_VALUE"""),500000.0)</f>
        <v>500000</v>
      </c>
      <c r="I6135" s="24">
        <f>IFERROR(__xludf.DUMMYFUNCTION("""COMPUTED_VALUE"""),0.0)</f>
        <v>0</v>
      </c>
    </row>
    <row r="6136">
      <c r="A6136" s="5" t="str">
        <f>IFERROR(__xludf.DUMMYFUNCTION("""COMPUTED_VALUE"""),"76937")</f>
        <v>76937</v>
      </c>
      <c r="B6136" s="64">
        <f>IFERROR(__xludf.DUMMYFUNCTION("""COMPUTED_VALUE"""),44631.0)</f>
        <v>44631</v>
      </c>
      <c r="C6136" s="5"/>
      <c r="D6136" s="5"/>
      <c r="E6136" s="5"/>
      <c r="F6136" s="22">
        <f>IFERROR(__xludf.DUMMYFUNCTION("""COMPUTED_VALUE"""),500000.0)</f>
        <v>500000</v>
      </c>
      <c r="G6136" s="22">
        <f>IFERROR(__xludf.DUMMYFUNCTION("""COMPUTED_VALUE"""),0.0)</f>
        <v>0</v>
      </c>
      <c r="H6136" s="22">
        <f>IFERROR(__xludf.DUMMYFUNCTION("""COMPUTED_VALUE"""),500000.0)</f>
        <v>500000</v>
      </c>
      <c r="I6136" s="24">
        <f>IFERROR(__xludf.DUMMYFUNCTION("""COMPUTED_VALUE"""),0.0)</f>
        <v>0</v>
      </c>
    </row>
    <row r="6137">
      <c r="A6137" s="5" t="str">
        <f>IFERROR(__xludf.DUMMYFUNCTION("""COMPUTED_VALUE"""),"76937")</f>
        <v>76937</v>
      </c>
      <c r="B6137" s="64">
        <f>IFERROR(__xludf.DUMMYFUNCTION("""COMPUTED_VALUE"""),44632.0)</f>
        <v>44632</v>
      </c>
      <c r="C6137" s="5"/>
      <c r="D6137" s="5"/>
      <c r="E6137" s="5"/>
      <c r="F6137" s="22">
        <f>IFERROR(__xludf.DUMMYFUNCTION("""COMPUTED_VALUE"""),500000.0)</f>
        <v>500000</v>
      </c>
      <c r="G6137" s="22">
        <f>IFERROR(__xludf.DUMMYFUNCTION("""COMPUTED_VALUE"""),0.0)</f>
        <v>0</v>
      </c>
      <c r="H6137" s="22">
        <f>IFERROR(__xludf.DUMMYFUNCTION("""COMPUTED_VALUE"""),500000.0)</f>
        <v>500000</v>
      </c>
      <c r="I6137" s="24">
        <f>IFERROR(__xludf.DUMMYFUNCTION("""COMPUTED_VALUE"""),0.0)</f>
        <v>0</v>
      </c>
    </row>
    <row r="6138">
      <c r="A6138" s="5" t="str">
        <f>IFERROR(__xludf.DUMMYFUNCTION("""COMPUTED_VALUE"""),"76937")</f>
        <v>76937</v>
      </c>
      <c r="B6138" s="64">
        <f>IFERROR(__xludf.DUMMYFUNCTION("""COMPUTED_VALUE"""),44633.0)</f>
        <v>44633</v>
      </c>
      <c r="C6138" s="5"/>
      <c r="D6138" s="5"/>
      <c r="E6138" s="5"/>
      <c r="F6138" s="22">
        <f>IFERROR(__xludf.DUMMYFUNCTION("""COMPUTED_VALUE"""),500000.0)</f>
        <v>500000</v>
      </c>
      <c r="G6138" s="22">
        <f>IFERROR(__xludf.DUMMYFUNCTION("""COMPUTED_VALUE"""),0.0)</f>
        <v>0</v>
      </c>
      <c r="H6138" s="22">
        <f>IFERROR(__xludf.DUMMYFUNCTION("""COMPUTED_VALUE"""),500000.0)</f>
        <v>500000</v>
      </c>
      <c r="I6138" s="24">
        <f>IFERROR(__xludf.DUMMYFUNCTION("""COMPUTED_VALUE"""),0.0)</f>
        <v>0</v>
      </c>
    </row>
    <row r="6139">
      <c r="A6139" s="5" t="str">
        <f>IFERROR(__xludf.DUMMYFUNCTION("""COMPUTED_VALUE"""),"76937")</f>
        <v>76937</v>
      </c>
      <c r="B6139" s="64">
        <f>IFERROR(__xludf.DUMMYFUNCTION("""COMPUTED_VALUE"""),44634.0)</f>
        <v>44634</v>
      </c>
      <c r="C6139" s="5"/>
      <c r="D6139" s="5"/>
      <c r="E6139" s="5"/>
      <c r="F6139" s="22">
        <f>IFERROR(__xludf.DUMMYFUNCTION("""COMPUTED_VALUE"""),500000.0)</f>
        <v>500000</v>
      </c>
      <c r="G6139" s="22">
        <f>IFERROR(__xludf.DUMMYFUNCTION("""COMPUTED_VALUE"""),0.0)</f>
        <v>0</v>
      </c>
      <c r="H6139" s="22">
        <f>IFERROR(__xludf.DUMMYFUNCTION("""COMPUTED_VALUE"""),500000.0)</f>
        <v>500000</v>
      </c>
      <c r="I6139" s="24">
        <f>IFERROR(__xludf.DUMMYFUNCTION("""COMPUTED_VALUE"""),0.0)</f>
        <v>0</v>
      </c>
    </row>
    <row r="6140">
      <c r="A6140" s="5" t="str">
        <f>IFERROR(__xludf.DUMMYFUNCTION("""COMPUTED_VALUE"""),"76937")</f>
        <v>76937</v>
      </c>
      <c r="B6140" s="64">
        <f>IFERROR(__xludf.DUMMYFUNCTION("""COMPUTED_VALUE"""),44635.0)</f>
        <v>44635</v>
      </c>
      <c r="C6140" s="5"/>
      <c r="D6140" s="5"/>
      <c r="E6140" s="5"/>
      <c r="F6140" s="22">
        <f>IFERROR(__xludf.DUMMYFUNCTION("""COMPUTED_VALUE"""),500000.0)</f>
        <v>500000</v>
      </c>
      <c r="G6140" s="22">
        <f>IFERROR(__xludf.DUMMYFUNCTION("""COMPUTED_VALUE"""),0.0)</f>
        <v>0</v>
      </c>
      <c r="H6140" s="22">
        <f>IFERROR(__xludf.DUMMYFUNCTION("""COMPUTED_VALUE"""),500000.0)</f>
        <v>500000</v>
      </c>
      <c r="I6140" s="24">
        <f>IFERROR(__xludf.DUMMYFUNCTION("""COMPUTED_VALUE"""),0.0)</f>
        <v>0</v>
      </c>
    </row>
    <row r="6141">
      <c r="A6141" s="5" t="str">
        <f>IFERROR(__xludf.DUMMYFUNCTION("""COMPUTED_VALUE"""),"76937")</f>
        <v>76937</v>
      </c>
      <c r="B6141" s="64">
        <f>IFERROR(__xludf.DUMMYFUNCTION("""COMPUTED_VALUE"""),44636.0)</f>
        <v>44636</v>
      </c>
      <c r="C6141" s="5"/>
      <c r="D6141" s="5"/>
      <c r="E6141" s="5"/>
      <c r="F6141" s="22">
        <f>IFERROR(__xludf.DUMMYFUNCTION("""COMPUTED_VALUE"""),500000.0)</f>
        <v>500000</v>
      </c>
      <c r="G6141" s="22">
        <f>IFERROR(__xludf.DUMMYFUNCTION("""COMPUTED_VALUE"""),0.0)</f>
        <v>0</v>
      </c>
      <c r="H6141" s="22">
        <f>IFERROR(__xludf.DUMMYFUNCTION("""COMPUTED_VALUE"""),500000.0)</f>
        <v>500000</v>
      </c>
      <c r="I6141" s="24">
        <f>IFERROR(__xludf.DUMMYFUNCTION("""COMPUTED_VALUE"""),0.0)</f>
        <v>0</v>
      </c>
    </row>
    <row r="6142">
      <c r="A6142" s="5" t="str">
        <f>IFERROR(__xludf.DUMMYFUNCTION("""COMPUTED_VALUE"""),"76937")</f>
        <v>76937</v>
      </c>
      <c r="B6142" s="64">
        <f>IFERROR(__xludf.DUMMYFUNCTION("""COMPUTED_VALUE"""),44637.0)</f>
        <v>44637</v>
      </c>
      <c r="C6142" s="5"/>
      <c r="D6142" s="5"/>
      <c r="E6142" s="5"/>
      <c r="F6142" s="22">
        <f>IFERROR(__xludf.DUMMYFUNCTION("""COMPUTED_VALUE"""),500000.0)</f>
        <v>500000</v>
      </c>
      <c r="G6142" s="22">
        <f>IFERROR(__xludf.DUMMYFUNCTION("""COMPUTED_VALUE"""),0.0)</f>
        <v>0</v>
      </c>
      <c r="H6142" s="22">
        <f>IFERROR(__xludf.DUMMYFUNCTION("""COMPUTED_VALUE"""),500000.0)</f>
        <v>500000</v>
      </c>
      <c r="I6142" s="24">
        <f>IFERROR(__xludf.DUMMYFUNCTION("""COMPUTED_VALUE"""),0.0)</f>
        <v>0</v>
      </c>
    </row>
    <row r="6143">
      <c r="A6143" s="5" t="str">
        <f>IFERROR(__xludf.DUMMYFUNCTION("""COMPUTED_VALUE"""),"76937")</f>
        <v>76937</v>
      </c>
      <c r="B6143" s="64">
        <f>IFERROR(__xludf.DUMMYFUNCTION("""COMPUTED_VALUE"""),44638.0)</f>
        <v>44638</v>
      </c>
      <c r="C6143" s="5"/>
      <c r="D6143" s="5"/>
      <c r="E6143" s="5"/>
      <c r="F6143" s="22">
        <f>IFERROR(__xludf.DUMMYFUNCTION("""COMPUTED_VALUE"""),500000.0)</f>
        <v>500000</v>
      </c>
      <c r="G6143" s="22">
        <f>IFERROR(__xludf.DUMMYFUNCTION("""COMPUTED_VALUE"""),0.0)</f>
        <v>0</v>
      </c>
      <c r="H6143" s="22">
        <f>IFERROR(__xludf.DUMMYFUNCTION("""COMPUTED_VALUE"""),500000.0)</f>
        <v>500000</v>
      </c>
      <c r="I6143" s="24">
        <f>IFERROR(__xludf.DUMMYFUNCTION("""COMPUTED_VALUE"""),0.0)</f>
        <v>0</v>
      </c>
    </row>
    <row r="6144">
      <c r="A6144" s="5" t="str">
        <f>IFERROR(__xludf.DUMMYFUNCTION("""COMPUTED_VALUE"""),"76937")</f>
        <v>76937</v>
      </c>
      <c r="B6144" s="64">
        <f>IFERROR(__xludf.DUMMYFUNCTION("""COMPUTED_VALUE"""),44639.0)</f>
        <v>44639</v>
      </c>
      <c r="C6144" s="5"/>
      <c r="D6144" s="5"/>
      <c r="E6144" s="5"/>
      <c r="F6144" s="22">
        <f>IFERROR(__xludf.DUMMYFUNCTION("""COMPUTED_VALUE"""),500000.0)</f>
        <v>500000</v>
      </c>
      <c r="G6144" s="22">
        <f>IFERROR(__xludf.DUMMYFUNCTION("""COMPUTED_VALUE"""),0.0)</f>
        <v>0</v>
      </c>
      <c r="H6144" s="22">
        <f>IFERROR(__xludf.DUMMYFUNCTION("""COMPUTED_VALUE"""),500000.0)</f>
        <v>500000</v>
      </c>
      <c r="I6144" s="24">
        <f>IFERROR(__xludf.DUMMYFUNCTION("""COMPUTED_VALUE"""),0.0)</f>
        <v>0</v>
      </c>
    </row>
    <row r="6145">
      <c r="A6145" s="5" t="str">
        <f>IFERROR(__xludf.DUMMYFUNCTION("""COMPUTED_VALUE"""),"76937")</f>
        <v>76937</v>
      </c>
      <c r="B6145" s="64">
        <f>IFERROR(__xludf.DUMMYFUNCTION("""COMPUTED_VALUE"""),44640.0)</f>
        <v>44640</v>
      </c>
      <c r="C6145" s="5"/>
      <c r="D6145" s="5"/>
      <c r="E6145" s="5"/>
      <c r="F6145" s="22">
        <f>IFERROR(__xludf.DUMMYFUNCTION("""COMPUTED_VALUE"""),500000.0)</f>
        <v>500000</v>
      </c>
      <c r="G6145" s="22">
        <f>IFERROR(__xludf.DUMMYFUNCTION("""COMPUTED_VALUE"""),0.0)</f>
        <v>0</v>
      </c>
      <c r="H6145" s="22">
        <f>IFERROR(__xludf.DUMMYFUNCTION("""COMPUTED_VALUE"""),500000.0)</f>
        <v>500000</v>
      </c>
      <c r="I6145" s="24">
        <f>IFERROR(__xludf.DUMMYFUNCTION("""COMPUTED_VALUE"""),0.0)</f>
        <v>0</v>
      </c>
    </row>
    <row r="6146">
      <c r="A6146" s="5" t="str">
        <f>IFERROR(__xludf.DUMMYFUNCTION("""COMPUTED_VALUE"""),"76937")</f>
        <v>76937</v>
      </c>
      <c r="B6146" s="64">
        <f>IFERROR(__xludf.DUMMYFUNCTION("""COMPUTED_VALUE"""),44641.0)</f>
        <v>44641</v>
      </c>
      <c r="C6146" s="5"/>
      <c r="D6146" s="5"/>
      <c r="E6146" s="5"/>
      <c r="F6146" s="22">
        <f>IFERROR(__xludf.DUMMYFUNCTION("""COMPUTED_VALUE"""),500000.0)</f>
        <v>500000</v>
      </c>
      <c r="G6146" s="22">
        <f>IFERROR(__xludf.DUMMYFUNCTION("""COMPUTED_VALUE"""),0.0)</f>
        <v>0</v>
      </c>
      <c r="H6146" s="22">
        <f>IFERROR(__xludf.DUMMYFUNCTION("""COMPUTED_VALUE"""),500000.0)</f>
        <v>500000</v>
      </c>
      <c r="I6146" s="24">
        <f>IFERROR(__xludf.DUMMYFUNCTION("""COMPUTED_VALUE"""),0.0)</f>
        <v>0</v>
      </c>
    </row>
    <row r="6147">
      <c r="A6147" s="5" t="str">
        <f>IFERROR(__xludf.DUMMYFUNCTION("""COMPUTED_VALUE"""),"76937")</f>
        <v>76937</v>
      </c>
      <c r="B6147" s="64">
        <f>IFERROR(__xludf.DUMMYFUNCTION("""COMPUTED_VALUE"""),44642.0)</f>
        <v>44642</v>
      </c>
      <c r="C6147" s="5"/>
      <c r="D6147" s="5"/>
      <c r="E6147" s="5"/>
      <c r="F6147" s="22">
        <f>IFERROR(__xludf.DUMMYFUNCTION("""COMPUTED_VALUE"""),500000.0)</f>
        <v>500000</v>
      </c>
      <c r="G6147" s="22">
        <f>IFERROR(__xludf.DUMMYFUNCTION("""COMPUTED_VALUE"""),0.0)</f>
        <v>0</v>
      </c>
      <c r="H6147" s="22">
        <f>IFERROR(__xludf.DUMMYFUNCTION("""COMPUTED_VALUE"""),500000.0)</f>
        <v>500000</v>
      </c>
      <c r="I6147" s="24">
        <f>IFERROR(__xludf.DUMMYFUNCTION("""COMPUTED_VALUE"""),0.0)</f>
        <v>0</v>
      </c>
    </row>
    <row r="6148">
      <c r="A6148" s="5" t="str">
        <f>IFERROR(__xludf.DUMMYFUNCTION("""COMPUTED_VALUE"""),"76937")</f>
        <v>76937</v>
      </c>
      <c r="B6148" s="64">
        <f>IFERROR(__xludf.DUMMYFUNCTION("""COMPUTED_VALUE"""),44643.0)</f>
        <v>44643</v>
      </c>
      <c r="C6148" s="5"/>
      <c r="D6148" s="5"/>
      <c r="E6148" s="5"/>
      <c r="F6148" s="22">
        <f>IFERROR(__xludf.DUMMYFUNCTION("""COMPUTED_VALUE"""),500000.0)</f>
        <v>500000</v>
      </c>
      <c r="G6148" s="22">
        <f>IFERROR(__xludf.DUMMYFUNCTION("""COMPUTED_VALUE"""),0.0)</f>
        <v>0</v>
      </c>
      <c r="H6148" s="22">
        <f>IFERROR(__xludf.DUMMYFUNCTION("""COMPUTED_VALUE"""),500000.0)</f>
        <v>500000</v>
      </c>
      <c r="I6148" s="24">
        <f>IFERROR(__xludf.DUMMYFUNCTION("""COMPUTED_VALUE"""),0.0)</f>
        <v>0</v>
      </c>
    </row>
    <row r="6149">
      <c r="A6149" s="5" t="str">
        <f>IFERROR(__xludf.DUMMYFUNCTION("""COMPUTED_VALUE"""),"76937")</f>
        <v>76937</v>
      </c>
      <c r="B6149" s="64">
        <f>IFERROR(__xludf.DUMMYFUNCTION("""COMPUTED_VALUE"""),44644.0)</f>
        <v>44644</v>
      </c>
      <c r="C6149" s="5"/>
      <c r="D6149" s="5"/>
      <c r="E6149" s="5"/>
      <c r="F6149" s="22">
        <f>IFERROR(__xludf.DUMMYFUNCTION("""COMPUTED_VALUE"""),500000.0)</f>
        <v>500000</v>
      </c>
      <c r="G6149" s="22">
        <f>IFERROR(__xludf.DUMMYFUNCTION("""COMPUTED_VALUE"""),0.0)</f>
        <v>0</v>
      </c>
      <c r="H6149" s="22">
        <f>IFERROR(__xludf.DUMMYFUNCTION("""COMPUTED_VALUE"""),500000.0)</f>
        <v>500000</v>
      </c>
      <c r="I6149" s="24">
        <f>IFERROR(__xludf.DUMMYFUNCTION("""COMPUTED_VALUE"""),0.0)</f>
        <v>0</v>
      </c>
    </row>
    <row r="6150">
      <c r="A6150" s="5" t="str">
        <f>IFERROR(__xludf.DUMMYFUNCTION("""COMPUTED_VALUE"""),"76937")</f>
        <v>76937</v>
      </c>
      <c r="B6150" s="64">
        <f>IFERROR(__xludf.DUMMYFUNCTION("""COMPUTED_VALUE"""),44645.0)</f>
        <v>44645</v>
      </c>
      <c r="C6150" s="5"/>
      <c r="D6150" s="5"/>
      <c r="E6150" s="5"/>
      <c r="F6150" s="22">
        <f>IFERROR(__xludf.DUMMYFUNCTION("""COMPUTED_VALUE"""),500000.0)</f>
        <v>500000</v>
      </c>
      <c r="G6150" s="22">
        <f>IFERROR(__xludf.DUMMYFUNCTION("""COMPUTED_VALUE"""),0.0)</f>
        <v>0</v>
      </c>
      <c r="H6150" s="22">
        <f>IFERROR(__xludf.DUMMYFUNCTION("""COMPUTED_VALUE"""),500000.0)</f>
        <v>500000</v>
      </c>
      <c r="I6150" s="24">
        <f>IFERROR(__xludf.DUMMYFUNCTION("""COMPUTED_VALUE"""),0.0)</f>
        <v>0</v>
      </c>
    </row>
    <row r="6151">
      <c r="A6151" s="5" t="str">
        <f>IFERROR(__xludf.DUMMYFUNCTION("""COMPUTED_VALUE"""),"76937")</f>
        <v>76937</v>
      </c>
      <c r="B6151" s="64">
        <f>IFERROR(__xludf.DUMMYFUNCTION("""COMPUTED_VALUE"""),44646.0)</f>
        <v>44646</v>
      </c>
      <c r="C6151" s="5"/>
      <c r="D6151" s="5"/>
      <c r="E6151" s="5"/>
      <c r="F6151" s="22">
        <f>IFERROR(__xludf.DUMMYFUNCTION("""COMPUTED_VALUE"""),500000.0)</f>
        <v>500000</v>
      </c>
      <c r="G6151" s="22">
        <f>IFERROR(__xludf.DUMMYFUNCTION("""COMPUTED_VALUE"""),0.0)</f>
        <v>0</v>
      </c>
      <c r="H6151" s="22">
        <f>IFERROR(__xludf.DUMMYFUNCTION("""COMPUTED_VALUE"""),500000.0)</f>
        <v>500000</v>
      </c>
      <c r="I6151" s="24">
        <f>IFERROR(__xludf.DUMMYFUNCTION("""COMPUTED_VALUE"""),0.0)</f>
        <v>0</v>
      </c>
    </row>
    <row r="6152">
      <c r="A6152" s="5" t="str">
        <f>IFERROR(__xludf.DUMMYFUNCTION("""COMPUTED_VALUE"""),"76937")</f>
        <v>76937</v>
      </c>
      <c r="B6152" s="64">
        <f>IFERROR(__xludf.DUMMYFUNCTION("""COMPUTED_VALUE"""),44647.0)</f>
        <v>44647</v>
      </c>
      <c r="C6152" s="5"/>
      <c r="D6152" s="5"/>
      <c r="E6152" s="5"/>
      <c r="F6152" s="22">
        <f>IFERROR(__xludf.DUMMYFUNCTION("""COMPUTED_VALUE"""),500000.0)</f>
        <v>500000</v>
      </c>
      <c r="G6152" s="22">
        <f>IFERROR(__xludf.DUMMYFUNCTION("""COMPUTED_VALUE"""),0.0)</f>
        <v>0</v>
      </c>
      <c r="H6152" s="22">
        <f>IFERROR(__xludf.DUMMYFUNCTION("""COMPUTED_VALUE"""),500000.0)</f>
        <v>500000</v>
      </c>
      <c r="I6152" s="24">
        <f>IFERROR(__xludf.DUMMYFUNCTION("""COMPUTED_VALUE"""),0.0)</f>
        <v>0</v>
      </c>
    </row>
    <row r="6153">
      <c r="A6153" s="5" t="str">
        <f>IFERROR(__xludf.DUMMYFUNCTION("""COMPUTED_VALUE"""),"76937")</f>
        <v>76937</v>
      </c>
      <c r="B6153" s="64">
        <f>IFERROR(__xludf.DUMMYFUNCTION("""COMPUTED_VALUE"""),44648.0)</f>
        <v>44648</v>
      </c>
      <c r="C6153" s="5"/>
      <c r="D6153" s="5"/>
      <c r="E6153" s="5"/>
      <c r="F6153" s="22">
        <f>IFERROR(__xludf.DUMMYFUNCTION("""COMPUTED_VALUE"""),500000.0)</f>
        <v>500000</v>
      </c>
      <c r="G6153" s="22">
        <f>IFERROR(__xludf.DUMMYFUNCTION("""COMPUTED_VALUE"""),0.0)</f>
        <v>0</v>
      </c>
      <c r="H6153" s="22">
        <f>IFERROR(__xludf.DUMMYFUNCTION("""COMPUTED_VALUE"""),500000.0)</f>
        <v>500000</v>
      </c>
      <c r="I6153" s="24">
        <f>IFERROR(__xludf.DUMMYFUNCTION("""COMPUTED_VALUE"""),0.0)</f>
        <v>0</v>
      </c>
    </row>
    <row r="6154">
      <c r="A6154" s="5" t="str">
        <f>IFERROR(__xludf.DUMMYFUNCTION("""COMPUTED_VALUE"""),"76937")</f>
        <v>76937</v>
      </c>
      <c r="B6154" s="64">
        <f>IFERROR(__xludf.DUMMYFUNCTION("""COMPUTED_VALUE"""),44649.0)</f>
        <v>44649</v>
      </c>
      <c r="C6154" s="5"/>
      <c r="D6154" s="5"/>
      <c r="E6154" s="5"/>
      <c r="F6154" s="22">
        <f>IFERROR(__xludf.DUMMYFUNCTION("""COMPUTED_VALUE"""),500000.0)</f>
        <v>500000</v>
      </c>
      <c r="G6154" s="22">
        <f>IFERROR(__xludf.DUMMYFUNCTION("""COMPUTED_VALUE"""),0.0)</f>
        <v>0</v>
      </c>
      <c r="H6154" s="22">
        <f>IFERROR(__xludf.DUMMYFUNCTION("""COMPUTED_VALUE"""),500000.0)</f>
        <v>500000</v>
      </c>
      <c r="I6154" s="24">
        <f>IFERROR(__xludf.DUMMYFUNCTION("""COMPUTED_VALUE"""),0.0)</f>
        <v>0</v>
      </c>
    </row>
    <row r="6155">
      <c r="A6155" s="5" t="str">
        <f>IFERROR(__xludf.DUMMYFUNCTION("""COMPUTED_VALUE"""),"76937")</f>
        <v>76937</v>
      </c>
      <c r="B6155" s="64">
        <f>IFERROR(__xludf.DUMMYFUNCTION("""COMPUTED_VALUE"""),44650.0)</f>
        <v>44650</v>
      </c>
      <c r="C6155" s="5"/>
      <c r="D6155" s="5"/>
      <c r="E6155" s="5"/>
      <c r="F6155" s="22">
        <f>IFERROR(__xludf.DUMMYFUNCTION("""COMPUTED_VALUE"""),500000.0)</f>
        <v>500000</v>
      </c>
      <c r="G6155" s="22">
        <f>IFERROR(__xludf.DUMMYFUNCTION("""COMPUTED_VALUE"""),0.0)</f>
        <v>0</v>
      </c>
      <c r="H6155" s="22">
        <f>IFERROR(__xludf.DUMMYFUNCTION("""COMPUTED_VALUE"""),500000.0)</f>
        <v>500000</v>
      </c>
      <c r="I6155" s="24">
        <f>IFERROR(__xludf.DUMMYFUNCTION("""COMPUTED_VALUE"""),0.0)</f>
        <v>0</v>
      </c>
    </row>
    <row r="6156">
      <c r="A6156" s="5" t="str">
        <f>IFERROR(__xludf.DUMMYFUNCTION("""COMPUTED_VALUE"""),"76937")</f>
        <v>76937</v>
      </c>
      <c r="B6156" s="64">
        <f>IFERROR(__xludf.DUMMYFUNCTION("""COMPUTED_VALUE"""),44651.0)</f>
        <v>44651</v>
      </c>
      <c r="C6156" s="5"/>
      <c r="D6156" s="5"/>
      <c r="E6156" s="5"/>
      <c r="F6156" s="22">
        <f>IFERROR(__xludf.DUMMYFUNCTION("""COMPUTED_VALUE"""),500000.0)</f>
        <v>500000</v>
      </c>
      <c r="G6156" s="22">
        <f>IFERROR(__xludf.DUMMYFUNCTION("""COMPUTED_VALUE"""),0.0)</f>
        <v>0</v>
      </c>
      <c r="H6156" s="22">
        <f>IFERROR(__xludf.DUMMYFUNCTION("""COMPUTED_VALUE"""),500000.0)</f>
        <v>500000</v>
      </c>
      <c r="I6156" s="24">
        <f>IFERROR(__xludf.DUMMYFUNCTION("""COMPUTED_VALUE"""),0.0)</f>
        <v>0</v>
      </c>
    </row>
    <row r="6157">
      <c r="A6157" s="5" t="str">
        <f>IFERROR(__xludf.DUMMYFUNCTION("""COMPUTED_VALUE"""),"76937")</f>
        <v>76937</v>
      </c>
      <c r="B6157" s="64">
        <f>IFERROR(__xludf.DUMMYFUNCTION("""COMPUTED_VALUE"""),44652.0)</f>
        <v>44652</v>
      </c>
      <c r="C6157" s="5"/>
      <c r="D6157" s="5"/>
      <c r="E6157" s="5"/>
      <c r="F6157" s="22">
        <f>IFERROR(__xludf.DUMMYFUNCTION("""COMPUTED_VALUE"""),500000.0)</f>
        <v>500000</v>
      </c>
      <c r="G6157" s="22">
        <f>IFERROR(__xludf.DUMMYFUNCTION("""COMPUTED_VALUE"""),0.0)</f>
        <v>0</v>
      </c>
      <c r="H6157" s="22">
        <f>IFERROR(__xludf.DUMMYFUNCTION("""COMPUTED_VALUE"""),500000.0)</f>
        <v>500000</v>
      </c>
      <c r="I6157" s="24">
        <f>IFERROR(__xludf.DUMMYFUNCTION("""COMPUTED_VALUE"""),0.0)</f>
        <v>0</v>
      </c>
    </row>
    <row r="6158">
      <c r="A6158" s="5" t="str">
        <f>IFERROR(__xludf.DUMMYFUNCTION("""COMPUTED_VALUE"""),"76937")</f>
        <v>76937</v>
      </c>
      <c r="B6158" s="64">
        <f>IFERROR(__xludf.DUMMYFUNCTION("""COMPUTED_VALUE"""),44653.0)</f>
        <v>44653</v>
      </c>
      <c r="C6158" s="5"/>
      <c r="D6158" s="5"/>
      <c r="E6158" s="5"/>
      <c r="F6158" s="22">
        <f>IFERROR(__xludf.DUMMYFUNCTION("""COMPUTED_VALUE"""),500000.0)</f>
        <v>500000</v>
      </c>
      <c r="G6158" s="22">
        <f>IFERROR(__xludf.DUMMYFUNCTION("""COMPUTED_VALUE"""),0.0)</f>
        <v>0</v>
      </c>
      <c r="H6158" s="22">
        <f>IFERROR(__xludf.DUMMYFUNCTION("""COMPUTED_VALUE"""),500000.0)</f>
        <v>500000</v>
      </c>
      <c r="I6158" s="24">
        <f>IFERROR(__xludf.DUMMYFUNCTION("""COMPUTED_VALUE"""),0.0)</f>
        <v>0</v>
      </c>
    </row>
    <row r="6159">
      <c r="A6159" s="5" t="str">
        <f>IFERROR(__xludf.DUMMYFUNCTION("""COMPUTED_VALUE"""),"76937")</f>
        <v>76937</v>
      </c>
      <c r="B6159" s="64">
        <f>IFERROR(__xludf.DUMMYFUNCTION("""COMPUTED_VALUE"""),44654.0)</f>
        <v>44654</v>
      </c>
      <c r="C6159" s="5"/>
      <c r="D6159" s="5"/>
      <c r="E6159" s="5"/>
      <c r="F6159" s="22">
        <f>IFERROR(__xludf.DUMMYFUNCTION("""COMPUTED_VALUE"""),500000.0)</f>
        <v>500000</v>
      </c>
      <c r="G6159" s="22">
        <f>IFERROR(__xludf.DUMMYFUNCTION("""COMPUTED_VALUE"""),0.0)</f>
        <v>0</v>
      </c>
      <c r="H6159" s="22">
        <f>IFERROR(__xludf.DUMMYFUNCTION("""COMPUTED_VALUE"""),500000.0)</f>
        <v>500000</v>
      </c>
      <c r="I6159" s="24">
        <f>IFERROR(__xludf.DUMMYFUNCTION("""COMPUTED_VALUE"""),0.0)</f>
        <v>0</v>
      </c>
    </row>
    <row r="6160">
      <c r="A6160" s="5" t="str">
        <f>IFERROR(__xludf.DUMMYFUNCTION("""COMPUTED_VALUE"""),"76937")</f>
        <v>76937</v>
      </c>
      <c r="B6160" s="64">
        <f>IFERROR(__xludf.DUMMYFUNCTION("""COMPUTED_VALUE"""),44655.0)</f>
        <v>44655</v>
      </c>
      <c r="C6160" s="5"/>
      <c r="D6160" s="5"/>
      <c r="E6160" s="5"/>
      <c r="F6160" s="22">
        <f>IFERROR(__xludf.DUMMYFUNCTION("""COMPUTED_VALUE"""),500000.0)</f>
        <v>500000</v>
      </c>
      <c r="G6160" s="22">
        <f>IFERROR(__xludf.DUMMYFUNCTION("""COMPUTED_VALUE"""),0.0)</f>
        <v>0</v>
      </c>
      <c r="H6160" s="22">
        <f>IFERROR(__xludf.DUMMYFUNCTION("""COMPUTED_VALUE"""),500000.0)</f>
        <v>500000</v>
      </c>
      <c r="I6160" s="24">
        <f>IFERROR(__xludf.DUMMYFUNCTION("""COMPUTED_VALUE"""),0.0)</f>
        <v>0</v>
      </c>
    </row>
    <row r="6161">
      <c r="A6161" s="5" t="str">
        <f>IFERROR(__xludf.DUMMYFUNCTION("""COMPUTED_VALUE"""),"76937")</f>
        <v>76937</v>
      </c>
      <c r="B6161" s="64">
        <f>IFERROR(__xludf.DUMMYFUNCTION("""COMPUTED_VALUE"""),44656.0)</f>
        <v>44656</v>
      </c>
      <c r="C6161" s="5"/>
      <c r="D6161" s="5"/>
      <c r="E6161" s="5"/>
      <c r="F6161" s="22">
        <f>IFERROR(__xludf.DUMMYFUNCTION("""COMPUTED_VALUE"""),500000.0)</f>
        <v>500000</v>
      </c>
      <c r="G6161" s="22">
        <f>IFERROR(__xludf.DUMMYFUNCTION("""COMPUTED_VALUE"""),0.0)</f>
        <v>0</v>
      </c>
      <c r="H6161" s="22">
        <f>IFERROR(__xludf.DUMMYFUNCTION("""COMPUTED_VALUE"""),500000.0)</f>
        <v>500000</v>
      </c>
      <c r="I6161" s="24">
        <f>IFERROR(__xludf.DUMMYFUNCTION("""COMPUTED_VALUE"""),0.0)</f>
        <v>0</v>
      </c>
    </row>
    <row r="6162">
      <c r="A6162" s="5" t="str">
        <f>IFERROR(__xludf.DUMMYFUNCTION("""COMPUTED_VALUE"""),"76937")</f>
        <v>76937</v>
      </c>
      <c r="B6162" s="64">
        <f>IFERROR(__xludf.DUMMYFUNCTION("""COMPUTED_VALUE"""),44657.0)</f>
        <v>44657</v>
      </c>
      <c r="C6162" s="5"/>
      <c r="D6162" s="5"/>
      <c r="E6162" s="5"/>
      <c r="F6162" s="22">
        <f>IFERROR(__xludf.DUMMYFUNCTION("""COMPUTED_VALUE"""),500000.0)</f>
        <v>500000</v>
      </c>
      <c r="G6162" s="22">
        <f>IFERROR(__xludf.DUMMYFUNCTION("""COMPUTED_VALUE"""),0.0)</f>
        <v>0</v>
      </c>
      <c r="H6162" s="22">
        <f>IFERROR(__xludf.DUMMYFUNCTION("""COMPUTED_VALUE"""),500000.0)</f>
        <v>500000</v>
      </c>
      <c r="I6162" s="24">
        <f>IFERROR(__xludf.DUMMYFUNCTION("""COMPUTED_VALUE"""),0.0)</f>
        <v>0</v>
      </c>
    </row>
    <row r="6163">
      <c r="A6163" s="5" t="str">
        <f>IFERROR(__xludf.DUMMYFUNCTION("""COMPUTED_VALUE"""),"76937")</f>
        <v>76937</v>
      </c>
      <c r="B6163" s="64">
        <f>IFERROR(__xludf.DUMMYFUNCTION("""COMPUTED_VALUE"""),44658.0)</f>
        <v>44658</v>
      </c>
      <c r="C6163" s="5"/>
      <c r="D6163" s="5"/>
      <c r="E6163" s="5"/>
      <c r="F6163" s="22">
        <f>IFERROR(__xludf.DUMMYFUNCTION("""COMPUTED_VALUE"""),500000.0)</f>
        <v>500000</v>
      </c>
      <c r="G6163" s="22">
        <f>IFERROR(__xludf.DUMMYFUNCTION("""COMPUTED_VALUE"""),0.0)</f>
        <v>0</v>
      </c>
      <c r="H6163" s="22">
        <f>IFERROR(__xludf.DUMMYFUNCTION("""COMPUTED_VALUE"""),500000.0)</f>
        <v>500000</v>
      </c>
      <c r="I6163" s="24">
        <f>IFERROR(__xludf.DUMMYFUNCTION("""COMPUTED_VALUE"""),0.0)</f>
        <v>0</v>
      </c>
    </row>
    <row r="6164">
      <c r="A6164" s="5" t="str">
        <f>IFERROR(__xludf.DUMMYFUNCTION("""COMPUTED_VALUE"""),"76937")</f>
        <v>76937</v>
      </c>
      <c r="B6164" s="64">
        <f>IFERROR(__xludf.DUMMYFUNCTION("""COMPUTED_VALUE"""),44659.0)</f>
        <v>44659</v>
      </c>
      <c r="C6164" s="5"/>
      <c r="D6164" s="5"/>
      <c r="E6164" s="5"/>
      <c r="F6164" s="22">
        <f>IFERROR(__xludf.DUMMYFUNCTION("""COMPUTED_VALUE"""),500000.0)</f>
        <v>500000</v>
      </c>
      <c r="G6164" s="22">
        <f>IFERROR(__xludf.DUMMYFUNCTION("""COMPUTED_VALUE"""),0.0)</f>
        <v>0</v>
      </c>
      <c r="H6164" s="22">
        <f>IFERROR(__xludf.DUMMYFUNCTION("""COMPUTED_VALUE"""),500000.0)</f>
        <v>500000</v>
      </c>
      <c r="I6164" s="24">
        <f>IFERROR(__xludf.DUMMYFUNCTION("""COMPUTED_VALUE"""),0.0)</f>
        <v>0</v>
      </c>
    </row>
    <row r="6165">
      <c r="A6165" s="5" t="str">
        <f>IFERROR(__xludf.DUMMYFUNCTION("""COMPUTED_VALUE"""),"76937")</f>
        <v>76937</v>
      </c>
      <c r="B6165" s="64">
        <f>IFERROR(__xludf.DUMMYFUNCTION("""COMPUTED_VALUE"""),44660.0)</f>
        <v>44660</v>
      </c>
      <c r="C6165" s="5"/>
      <c r="D6165" s="5"/>
      <c r="E6165" s="5"/>
      <c r="F6165" s="22">
        <f>IFERROR(__xludf.DUMMYFUNCTION("""COMPUTED_VALUE"""),500000.0)</f>
        <v>500000</v>
      </c>
      <c r="G6165" s="22">
        <f>IFERROR(__xludf.DUMMYFUNCTION("""COMPUTED_VALUE"""),0.0)</f>
        <v>0</v>
      </c>
      <c r="H6165" s="22">
        <f>IFERROR(__xludf.DUMMYFUNCTION("""COMPUTED_VALUE"""),500000.0)</f>
        <v>500000</v>
      </c>
      <c r="I6165" s="24">
        <f>IFERROR(__xludf.DUMMYFUNCTION("""COMPUTED_VALUE"""),0.0)</f>
        <v>0</v>
      </c>
    </row>
    <row r="6166">
      <c r="A6166" s="5" t="str">
        <f>IFERROR(__xludf.DUMMYFUNCTION("""COMPUTED_VALUE"""),"76937")</f>
        <v>76937</v>
      </c>
      <c r="B6166" s="64">
        <f>IFERROR(__xludf.DUMMYFUNCTION("""COMPUTED_VALUE"""),44661.0)</f>
        <v>44661</v>
      </c>
      <c r="C6166" s="5"/>
      <c r="D6166" s="5"/>
      <c r="E6166" s="5"/>
      <c r="F6166" s="22">
        <f>IFERROR(__xludf.DUMMYFUNCTION("""COMPUTED_VALUE"""),500000.0)</f>
        <v>500000</v>
      </c>
      <c r="G6166" s="22">
        <f>IFERROR(__xludf.DUMMYFUNCTION("""COMPUTED_VALUE"""),0.0)</f>
        <v>0</v>
      </c>
      <c r="H6166" s="22">
        <f>IFERROR(__xludf.DUMMYFUNCTION("""COMPUTED_VALUE"""),500000.0)</f>
        <v>500000</v>
      </c>
      <c r="I6166" s="24">
        <f>IFERROR(__xludf.DUMMYFUNCTION("""COMPUTED_VALUE"""),0.0)</f>
        <v>0</v>
      </c>
    </row>
    <row r="6167">
      <c r="A6167" s="5" t="str">
        <f>IFERROR(__xludf.DUMMYFUNCTION("""COMPUTED_VALUE"""),"76937")</f>
        <v>76937</v>
      </c>
      <c r="B6167" s="64">
        <f>IFERROR(__xludf.DUMMYFUNCTION("""COMPUTED_VALUE"""),44662.0)</f>
        <v>44662</v>
      </c>
      <c r="C6167" s="5"/>
      <c r="D6167" s="5"/>
      <c r="E6167" s="5"/>
      <c r="F6167" s="22">
        <f>IFERROR(__xludf.DUMMYFUNCTION("""COMPUTED_VALUE"""),500000.0)</f>
        <v>500000</v>
      </c>
      <c r="G6167" s="22">
        <f>IFERROR(__xludf.DUMMYFUNCTION("""COMPUTED_VALUE"""),0.0)</f>
        <v>0</v>
      </c>
      <c r="H6167" s="22">
        <f>IFERROR(__xludf.DUMMYFUNCTION("""COMPUTED_VALUE"""),500000.0)</f>
        <v>500000</v>
      </c>
      <c r="I6167" s="24">
        <f>IFERROR(__xludf.DUMMYFUNCTION("""COMPUTED_VALUE"""),0.0)</f>
        <v>0</v>
      </c>
    </row>
    <row r="6168">
      <c r="A6168" s="5" t="str">
        <f>IFERROR(__xludf.DUMMYFUNCTION("""COMPUTED_VALUE"""),"76937")</f>
        <v>76937</v>
      </c>
      <c r="B6168" s="64">
        <f>IFERROR(__xludf.DUMMYFUNCTION("""COMPUTED_VALUE"""),44663.0)</f>
        <v>44663</v>
      </c>
      <c r="C6168" s="5"/>
      <c r="D6168" s="5"/>
      <c r="E6168" s="5"/>
      <c r="F6168" s="22">
        <f>IFERROR(__xludf.DUMMYFUNCTION("""COMPUTED_VALUE"""),500000.0)</f>
        <v>500000</v>
      </c>
      <c r="G6168" s="22">
        <f>IFERROR(__xludf.DUMMYFUNCTION("""COMPUTED_VALUE"""),0.0)</f>
        <v>0</v>
      </c>
      <c r="H6168" s="22">
        <f>IFERROR(__xludf.DUMMYFUNCTION("""COMPUTED_VALUE"""),500000.0)</f>
        <v>500000</v>
      </c>
      <c r="I6168" s="24">
        <f>IFERROR(__xludf.DUMMYFUNCTION("""COMPUTED_VALUE"""),0.0)</f>
        <v>0</v>
      </c>
    </row>
    <row r="6169">
      <c r="A6169" s="5" t="str">
        <f>IFERROR(__xludf.DUMMYFUNCTION("""COMPUTED_VALUE"""),"76938")</f>
        <v>76938</v>
      </c>
      <c r="B6169" s="64">
        <f>IFERROR(__xludf.DUMMYFUNCTION("""COMPUTED_VALUE"""),44597.0)</f>
        <v>44597</v>
      </c>
      <c r="C6169" s="5"/>
      <c r="D6169" s="5"/>
      <c r="E6169" s="5"/>
      <c r="F6169" s="22">
        <f>IFERROR(__xludf.DUMMYFUNCTION("""COMPUTED_VALUE"""),500000.0)</f>
        <v>500000</v>
      </c>
      <c r="G6169" s="22">
        <f>IFERROR(__xludf.DUMMYFUNCTION("""COMPUTED_VALUE"""),0.0)</f>
        <v>0</v>
      </c>
      <c r="H6169" s="22">
        <f>IFERROR(__xludf.DUMMYFUNCTION("""COMPUTED_VALUE"""),500000.0)</f>
        <v>500000</v>
      </c>
      <c r="I6169" s="24">
        <f>IFERROR(__xludf.DUMMYFUNCTION("""COMPUTED_VALUE"""),0.0)</f>
        <v>0</v>
      </c>
    </row>
    <row r="6170">
      <c r="A6170" s="5" t="str">
        <f>IFERROR(__xludf.DUMMYFUNCTION("""COMPUTED_VALUE"""),"76938")</f>
        <v>76938</v>
      </c>
      <c r="B6170" s="64">
        <f>IFERROR(__xludf.DUMMYFUNCTION("""COMPUTED_VALUE"""),44598.0)</f>
        <v>44598</v>
      </c>
      <c r="C6170" s="5"/>
      <c r="D6170" s="5"/>
      <c r="E6170" s="5"/>
      <c r="F6170" s="22">
        <f>IFERROR(__xludf.DUMMYFUNCTION("""COMPUTED_VALUE"""),500000.0)</f>
        <v>500000</v>
      </c>
      <c r="G6170" s="22">
        <f>IFERROR(__xludf.DUMMYFUNCTION("""COMPUTED_VALUE"""),0.0)</f>
        <v>0</v>
      </c>
      <c r="H6170" s="22">
        <f>IFERROR(__xludf.DUMMYFUNCTION("""COMPUTED_VALUE"""),500000.0)</f>
        <v>500000</v>
      </c>
      <c r="I6170" s="24">
        <f>IFERROR(__xludf.DUMMYFUNCTION("""COMPUTED_VALUE"""),0.0)</f>
        <v>0</v>
      </c>
    </row>
    <row r="6171">
      <c r="A6171" s="5" t="str">
        <f>IFERROR(__xludf.DUMMYFUNCTION("""COMPUTED_VALUE"""),"76938")</f>
        <v>76938</v>
      </c>
      <c r="B6171" s="64">
        <f>IFERROR(__xludf.DUMMYFUNCTION("""COMPUTED_VALUE"""),44599.0)</f>
        <v>44599</v>
      </c>
      <c r="C6171" s="5"/>
      <c r="D6171" s="5"/>
      <c r="E6171" s="5"/>
      <c r="F6171" s="22">
        <f>IFERROR(__xludf.DUMMYFUNCTION("""COMPUTED_VALUE"""),500000.0)</f>
        <v>500000</v>
      </c>
      <c r="G6171" s="22">
        <f>IFERROR(__xludf.DUMMYFUNCTION("""COMPUTED_VALUE"""),0.0)</f>
        <v>0</v>
      </c>
      <c r="H6171" s="22">
        <f>IFERROR(__xludf.DUMMYFUNCTION("""COMPUTED_VALUE"""),500000.0)</f>
        <v>500000</v>
      </c>
      <c r="I6171" s="24">
        <f>IFERROR(__xludf.DUMMYFUNCTION("""COMPUTED_VALUE"""),0.0)</f>
        <v>0</v>
      </c>
    </row>
    <row r="6172">
      <c r="A6172" s="5" t="str">
        <f>IFERROR(__xludf.DUMMYFUNCTION("""COMPUTED_VALUE"""),"76938")</f>
        <v>76938</v>
      </c>
      <c r="B6172" s="64">
        <f>IFERROR(__xludf.DUMMYFUNCTION("""COMPUTED_VALUE"""),44600.0)</f>
        <v>44600</v>
      </c>
      <c r="C6172" s="5"/>
      <c r="D6172" s="5"/>
      <c r="E6172" s="5"/>
      <c r="F6172" s="22">
        <f>IFERROR(__xludf.DUMMYFUNCTION("""COMPUTED_VALUE"""),500000.0)</f>
        <v>500000</v>
      </c>
      <c r="G6172" s="22">
        <f>IFERROR(__xludf.DUMMYFUNCTION("""COMPUTED_VALUE"""),0.0)</f>
        <v>0</v>
      </c>
      <c r="H6172" s="22">
        <f>IFERROR(__xludf.DUMMYFUNCTION("""COMPUTED_VALUE"""),500000.0)</f>
        <v>500000</v>
      </c>
      <c r="I6172" s="24">
        <f>IFERROR(__xludf.DUMMYFUNCTION("""COMPUTED_VALUE"""),0.0)</f>
        <v>0</v>
      </c>
    </row>
    <row r="6173">
      <c r="A6173" s="5" t="str">
        <f>IFERROR(__xludf.DUMMYFUNCTION("""COMPUTED_VALUE"""),"76938")</f>
        <v>76938</v>
      </c>
      <c r="B6173" s="64">
        <f>IFERROR(__xludf.DUMMYFUNCTION("""COMPUTED_VALUE"""),44601.0)</f>
        <v>44601</v>
      </c>
      <c r="C6173" s="5"/>
      <c r="D6173" s="5"/>
      <c r="E6173" s="5"/>
      <c r="F6173" s="22">
        <f>IFERROR(__xludf.DUMMYFUNCTION("""COMPUTED_VALUE"""),500000.0)</f>
        <v>500000</v>
      </c>
      <c r="G6173" s="22">
        <f>IFERROR(__xludf.DUMMYFUNCTION("""COMPUTED_VALUE"""),0.0)</f>
        <v>0</v>
      </c>
      <c r="H6173" s="22">
        <f>IFERROR(__xludf.DUMMYFUNCTION("""COMPUTED_VALUE"""),500000.0)</f>
        <v>500000</v>
      </c>
      <c r="I6173" s="24">
        <f>IFERROR(__xludf.DUMMYFUNCTION("""COMPUTED_VALUE"""),0.0)</f>
        <v>0</v>
      </c>
    </row>
    <row r="6174">
      <c r="A6174" s="5" t="str">
        <f>IFERROR(__xludf.DUMMYFUNCTION("""COMPUTED_VALUE"""),"76938")</f>
        <v>76938</v>
      </c>
      <c r="B6174" s="64">
        <f>IFERROR(__xludf.DUMMYFUNCTION("""COMPUTED_VALUE"""),44602.0)</f>
        <v>44602</v>
      </c>
      <c r="C6174" s="5"/>
      <c r="D6174" s="5"/>
      <c r="E6174" s="5"/>
      <c r="F6174" s="22">
        <f>IFERROR(__xludf.DUMMYFUNCTION("""COMPUTED_VALUE"""),500000.0)</f>
        <v>500000</v>
      </c>
      <c r="G6174" s="22">
        <f>IFERROR(__xludf.DUMMYFUNCTION("""COMPUTED_VALUE"""),0.0)</f>
        <v>0</v>
      </c>
      <c r="H6174" s="22">
        <f>IFERROR(__xludf.DUMMYFUNCTION("""COMPUTED_VALUE"""),500000.0)</f>
        <v>500000</v>
      </c>
      <c r="I6174" s="24">
        <f>IFERROR(__xludf.DUMMYFUNCTION("""COMPUTED_VALUE"""),0.0)</f>
        <v>0</v>
      </c>
    </row>
    <row r="6175">
      <c r="A6175" s="5" t="str">
        <f>IFERROR(__xludf.DUMMYFUNCTION("""COMPUTED_VALUE"""),"76938")</f>
        <v>76938</v>
      </c>
      <c r="B6175" s="64">
        <f>IFERROR(__xludf.DUMMYFUNCTION("""COMPUTED_VALUE"""),44603.0)</f>
        <v>44603</v>
      </c>
      <c r="C6175" s="5"/>
      <c r="D6175" s="5"/>
      <c r="E6175" s="5"/>
      <c r="F6175" s="22">
        <f>IFERROR(__xludf.DUMMYFUNCTION("""COMPUTED_VALUE"""),500000.0)</f>
        <v>500000</v>
      </c>
      <c r="G6175" s="22">
        <f>IFERROR(__xludf.DUMMYFUNCTION("""COMPUTED_VALUE"""),0.0)</f>
        <v>0</v>
      </c>
      <c r="H6175" s="22">
        <f>IFERROR(__xludf.DUMMYFUNCTION("""COMPUTED_VALUE"""),500000.0)</f>
        <v>500000</v>
      </c>
      <c r="I6175" s="24">
        <f>IFERROR(__xludf.DUMMYFUNCTION("""COMPUTED_VALUE"""),0.0)</f>
        <v>0</v>
      </c>
    </row>
    <row r="6176">
      <c r="A6176" s="5" t="str">
        <f>IFERROR(__xludf.DUMMYFUNCTION("""COMPUTED_VALUE"""),"76938")</f>
        <v>76938</v>
      </c>
      <c r="B6176" s="64">
        <f>IFERROR(__xludf.DUMMYFUNCTION("""COMPUTED_VALUE"""),44604.0)</f>
        <v>44604</v>
      </c>
      <c r="C6176" s="5"/>
      <c r="D6176" s="5"/>
      <c r="E6176" s="5"/>
      <c r="F6176" s="22">
        <f>IFERROR(__xludf.DUMMYFUNCTION("""COMPUTED_VALUE"""),500000.0)</f>
        <v>500000</v>
      </c>
      <c r="G6176" s="22">
        <f>IFERROR(__xludf.DUMMYFUNCTION("""COMPUTED_VALUE"""),0.0)</f>
        <v>0</v>
      </c>
      <c r="H6176" s="22">
        <f>IFERROR(__xludf.DUMMYFUNCTION("""COMPUTED_VALUE"""),500000.0)</f>
        <v>500000</v>
      </c>
      <c r="I6176" s="24">
        <f>IFERROR(__xludf.DUMMYFUNCTION("""COMPUTED_VALUE"""),0.0)</f>
        <v>0</v>
      </c>
    </row>
    <row r="6177">
      <c r="A6177" s="5" t="str">
        <f>IFERROR(__xludf.DUMMYFUNCTION("""COMPUTED_VALUE"""),"76938")</f>
        <v>76938</v>
      </c>
      <c r="B6177" s="64">
        <f>IFERROR(__xludf.DUMMYFUNCTION("""COMPUTED_VALUE"""),44605.0)</f>
        <v>44605</v>
      </c>
      <c r="C6177" s="5"/>
      <c r="D6177" s="5"/>
      <c r="E6177" s="5"/>
      <c r="F6177" s="22">
        <f>IFERROR(__xludf.DUMMYFUNCTION("""COMPUTED_VALUE"""),500000.0)</f>
        <v>500000</v>
      </c>
      <c r="G6177" s="22">
        <f>IFERROR(__xludf.DUMMYFUNCTION("""COMPUTED_VALUE"""),0.0)</f>
        <v>0</v>
      </c>
      <c r="H6177" s="22">
        <f>IFERROR(__xludf.DUMMYFUNCTION("""COMPUTED_VALUE"""),500000.0)</f>
        <v>500000</v>
      </c>
      <c r="I6177" s="24">
        <f>IFERROR(__xludf.DUMMYFUNCTION("""COMPUTED_VALUE"""),0.0)</f>
        <v>0</v>
      </c>
    </row>
    <row r="6178">
      <c r="A6178" s="5" t="str">
        <f>IFERROR(__xludf.DUMMYFUNCTION("""COMPUTED_VALUE"""),"76938")</f>
        <v>76938</v>
      </c>
      <c r="B6178" s="64">
        <f>IFERROR(__xludf.DUMMYFUNCTION("""COMPUTED_VALUE"""),44606.0)</f>
        <v>44606</v>
      </c>
      <c r="C6178" s="5"/>
      <c r="D6178" s="5"/>
      <c r="E6178" s="5"/>
      <c r="F6178" s="22">
        <f>IFERROR(__xludf.DUMMYFUNCTION("""COMPUTED_VALUE"""),500000.0)</f>
        <v>500000</v>
      </c>
      <c r="G6178" s="22">
        <f>IFERROR(__xludf.DUMMYFUNCTION("""COMPUTED_VALUE"""),0.0)</f>
        <v>0</v>
      </c>
      <c r="H6178" s="22">
        <f>IFERROR(__xludf.DUMMYFUNCTION("""COMPUTED_VALUE"""),500000.0)</f>
        <v>500000</v>
      </c>
      <c r="I6178" s="24">
        <f>IFERROR(__xludf.DUMMYFUNCTION("""COMPUTED_VALUE"""),0.0)</f>
        <v>0</v>
      </c>
    </row>
    <row r="6179">
      <c r="A6179" s="5" t="str">
        <f>IFERROR(__xludf.DUMMYFUNCTION("""COMPUTED_VALUE"""),"76938")</f>
        <v>76938</v>
      </c>
      <c r="B6179" s="64">
        <f>IFERROR(__xludf.DUMMYFUNCTION("""COMPUTED_VALUE"""),44607.0)</f>
        <v>44607</v>
      </c>
      <c r="C6179" s="5"/>
      <c r="D6179" s="5"/>
      <c r="E6179" s="5"/>
      <c r="F6179" s="22">
        <f>IFERROR(__xludf.DUMMYFUNCTION("""COMPUTED_VALUE"""),500000.0)</f>
        <v>500000</v>
      </c>
      <c r="G6179" s="22">
        <f>IFERROR(__xludf.DUMMYFUNCTION("""COMPUTED_VALUE"""),0.0)</f>
        <v>0</v>
      </c>
      <c r="H6179" s="22">
        <f>IFERROR(__xludf.DUMMYFUNCTION("""COMPUTED_VALUE"""),500000.0)</f>
        <v>500000</v>
      </c>
      <c r="I6179" s="24">
        <f>IFERROR(__xludf.DUMMYFUNCTION("""COMPUTED_VALUE"""),0.0)</f>
        <v>0</v>
      </c>
    </row>
    <row r="6180">
      <c r="A6180" s="5" t="str">
        <f>IFERROR(__xludf.DUMMYFUNCTION("""COMPUTED_VALUE"""),"76938")</f>
        <v>76938</v>
      </c>
      <c r="B6180" s="64">
        <f>IFERROR(__xludf.DUMMYFUNCTION("""COMPUTED_VALUE"""),44608.0)</f>
        <v>44608</v>
      </c>
      <c r="C6180" s="5"/>
      <c r="D6180" s="5"/>
      <c r="E6180" s="5"/>
      <c r="F6180" s="22">
        <f>IFERROR(__xludf.DUMMYFUNCTION("""COMPUTED_VALUE"""),500000.0)</f>
        <v>500000</v>
      </c>
      <c r="G6180" s="22">
        <f>IFERROR(__xludf.DUMMYFUNCTION("""COMPUTED_VALUE"""),0.0)</f>
        <v>0</v>
      </c>
      <c r="H6180" s="22">
        <f>IFERROR(__xludf.DUMMYFUNCTION("""COMPUTED_VALUE"""),500000.0)</f>
        <v>500000</v>
      </c>
      <c r="I6180" s="24">
        <f>IFERROR(__xludf.DUMMYFUNCTION("""COMPUTED_VALUE"""),0.0)</f>
        <v>0</v>
      </c>
    </row>
    <row r="6181">
      <c r="A6181" s="5" t="str">
        <f>IFERROR(__xludf.DUMMYFUNCTION("""COMPUTED_VALUE"""),"76938")</f>
        <v>76938</v>
      </c>
      <c r="B6181" s="64">
        <f>IFERROR(__xludf.DUMMYFUNCTION("""COMPUTED_VALUE"""),44609.0)</f>
        <v>44609</v>
      </c>
      <c r="C6181" s="5"/>
      <c r="D6181" s="5"/>
      <c r="E6181" s="5"/>
      <c r="F6181" s="22">
        <f>IFERROR(__xludf.DUMMYFUNCTION("""COMPUTED_VALUE"""),500000.0)</f>
        <v>500000</v>
      </c>
      <c r="G6181" s="22">
        <f>IFERROR(__xludf.DUMMYFUNCTION("""COMPUTED_VALUE"""),0.0)</f>
        <v>0</v>
      </c>
      <c r="H6181" s="22">
        <f>IFERROR(__xludf.DUMMYFUNCTION("""COMPUTED_VALUE"""),500000.0)</f>
        <v>500000</v>
      </c>
      <c r="I6181" s="24">
        <f>IFERROR(__xludf.DUMMYFUNCTION("""COMPUTED_VALUE"""),0.0)</f>
        <v>0</v>
      </c>
    </row>
    <row r="6182">
      <c r="A6182" s="5" t="str">
        <f>IFERROR(__xludf.DUMMYFUNCTION("""COMPUTED_VALUE"""),"76938")</f>
        <v>76938</v>
      </c>
      <c r="B6182" s="64">
        <f>IFERROR(__xludf.DUMMYFUNCTION("""COMPUTED_VALUE"""),44610.0)</f>
        <v>44610</v>
      </c>
      <c r="C6182" s="5"/>
      <c r="D6182" s="5"/>
      <c r="E6182" s="5"/>
      <c r="F6182" s="22">
        <f>IFERROR(__xludf.DUMMYFUNCTION("""COMPUTED_VALUE"""),500000.0)</f>
        <v>500000</v>
      </c>
      <c r="G6182" s="22">
        <f>IFERROR(__xludf.DUMMYFUNCTION("""COMPUTED_VALUE"""),0.0)</f>
        <v>0</v>
      </c>
      <c r="H6182" s="22">
        <f>IFERROR(__xludf.DUMMYFUNCTION("""COMPUTED_VALUE"""),500000.0)</f>
        <v>500000</v>
      </c>
      <c r="I6182" s="24">
        <f>IFERROR(__xludf.DUMMYFUNCTION("""COMPUTED_VALUE"""),0.0)</f>
        <v>0</v>
      </c>
    </row>
    <row r="6183">
      <c r="A6183" s="5" t="str">
        <f>IFERROR(__xludf.DUMMYFUNCTION("""COMPUTED_VALUE"""),"76938")</f>
        <v>76938</v>
      </c>
      <c r="B6183" s="64">
        <f>IFERROR(__xludf.DUMMYFUNCTION("""COMPUTED_VALUE"""),44611.0)</f>
        <v>44611</v>
      </c>
      <c r="C6183" s="5"/>
      <c r="D6183" s="5"/>
      <c r="E6183" s="5"/>
      <c r="F6183" s="22">
        <f>IFERROR(__xludf.DUMMYFUNCTION("""COMPUTED_VALUE"""),500000.0)</f>
        <v>500000</v>
      </c>
      <c r="G6183" s="22">
        <f>IFERROR(__xludf.DUMMYFUNCTION("""COMPUTED_VALUE"""),0.0)</f>
        <v>0</v>
      </c>
      <c r="H6183" s="22">
        <f>IFERROR(__xludf.DUMMYFUNCTION("""COMPUTED_VALUE"""),500000.0)</f>
        <v>500000</v>
      </c>
      <c r="I6183" s="24">
        <f>IFERROR(__xludf.DUMMYFUNCTION("""COMPUTED_VALUE"""),0.0)</f>
        <v>0</v>
      </c>
    </row>
    <row r="6184">
      <c r="A6184" s="5" t="str">
        <f>IFERROR(__xludf.DUMMYFUNCTION("""COMPUTED_VALUE"""),"76938")</f>
        <v>76938</v>
      </c>
      <c r="B6184" s="64">
        <f>IFERROR(__xludf.DUMMYFUNCTION("""COMPUTED_VALUE"""),44612.0)</f>
        <v>44612</v>
      </c>
      <c r="C6184" s="5"/>
      <c r="D6184" s="5"/>
      <c r="E6184" s="5"/>
      <c r="F6184" s="22">
        <f>IFERROR(__xludf.DUMMYFUNCTION("""COMPUTED_VALUE"""),500000.0)</f>
        <v>500000</v>
      </c>
      <c r="G6184" s="22">
        <f>IFERROR(__xludf.DUMMYFUNCTION("""COMPUTED_VALUE"""),0.0)</f>
        <v>0</v>
      </c>
      <c r="H6184" s="22">
        <f>IFERROR(__xludf.DUMMYFUNCTION("""COMPUTED_VALUE"""),500000.0)</f>
        <v>500000</v>
      </c>
      <c r="I6184" s="24">
        <f>IFERROR(__xludf.DUMMYFUNCTION("""COMPUTED_VALUE"""),0.0)</f>
        <v>0</v>
      </c>
    </row>
    <row r="6185">
      <c r="A6185" s="5" t="str">
        <f>IFERROR(__xludf.DUMMYFUNCTION("""COMPUTED_VALUE"""),"76938")</f>
        <v>76938</v>
      </c>
      <c r="B6185" s="64">
        <f>IFERROR(__xludf.DUMMYFUNCTION("""COMPUTED_VALUE"""),44613.0)</f>
        <v>44613</v>
      </c>
      <c r="C6185" s="5"/>
      <c r="D6185" s="5"/>
      <c r="E6185" s="5"/>
      <c r="F6185" s="22">
        <f>IFERROR(__xludf.DUMMYFUNCTION("""COMPUTED_VALUE"""),500000.0)</f>
        <v>500000</v>
      </c>
      <c r="G6185" s="22">
        <f>IFERROR(__xludf.DUMMYFUNCTION("""COMPUTED_VALUE"""),0.0)</f>
        <v>0</v>
      </c>
      <c r="H6185" s="22">
        <f>IFERROR(__xludf.DUMMYFUNCTION("""COMPUTED_VALUE"""),500000.0)</f>
        <v>500000</v>
      </c>
      <c r="I6185" s="24">
        <f>IFERROR(__xludf.DUMMYFUNCTION("""COMPUTED_VALUE"""),0.0)</f>
        <v>0</v>
      </c>
    </row>
    <row r="6186">
      <c r="A6186" s="5" t="str">
        <f>IFERROR(__xludf.DUMMYFUNCTION("""COMPUTED_VALUE"""),"76938")</f>
        <v>76938</v>
      </c>
      <c r="B6186" s="64">
        <f>IFERROR(__xludf.DUMMYFUNCTION("""COMPUTED_VALUE"""),44614.0)</f>
        <v>44614</v>
      </c>
      <c r="C6186" s="5"/>
      <c r="D6186" s="5"/>
      <c r="E6186" s="5"/>
      <c r="F6186" s="22">
        <f>IFERROR(__xludf.DUMMYFUNCTION("""COMPUTED_VALUE"""),500000.0)</f>
        <v>500000</v>
      </c>
      <c r="G6186" s="22">
        <f>IFERROR(__xludf.DUMMYFUNCTION("""COMPUTED_VALUE"""),0.0)</f>
        <v>0</v>
      </c>
      <c r="H6186" s="22">
        <f>IFERROR(__xludf.DUMMYFUNCTION("""COMPUTED_VALUE"""),500000.0)</f>
        <v>500000</v>
      </c>
      <c r="I6186" s="24">
        <f>IFERROR(__xludf.DUMMYFUNCTION("""COMPUTED_VALUE"""),0.0)</f>
        <v>0</v>
      </c>
    </row>
    <row r="6187">
      <c r="A6187" s="5" t="str">
        <f>IFERROR(__xludf.DUMMYFUNCTION("""COMPUTED_VALUE"""),"76938")</f>
        <v>76938</v>
      </c>
      <c r="B6187" s="64">
        <f>IFERROR(__xludf.DUMMYFUNCTION("""COMPUTED_VALUE"""),44615.0)</f>
        <v>44615</v>
      </c>
      <c r="C6187" s="5"/>
      <c r="D6187" s="5"/>
      <c r="E6187" s="5"/>
      <c r="F6187" s="22">
        <f>IFERROR(__xludf.DUMMYFUNCTION("""COMPUTED_VALUE"""),500000.0)</f>
        <v>500000</v>
      </c>
      <c r="G6187" s="22">
        <f>IFERROR(__xludf.DUMMYFUNCTION("""COMPUTED_VALUE"""),0.0)</f>
        <v>0</v>
      </c>
      <c r="H6187" s="22">
        <f>IFERROR(__xludf.DUMMYFUNCTION("""COMPUTED_VALUE"""),500000.0)</f>
        <v>500000</v>
      </c>
      <c r="I6187" s="24">
        <f>IFERROR(__xludf.DUMMYFUNCTION("""COMPUTED_VALUE"""),0.0)</f>
        <v>0</v>
      </c>
    </row>
    <row r="6188">
      <c r="A6188" s="5" t="str">
        <f>IFERROR(__xludf.DUMMYFUNCTION("""COMPUTED_VALUE"""),"76938")</f>
        <v>76938</v>
      </c>
      <c r="B6188" s="64">
        <f>IFERROR(__xludf.DUMMYFUNCTION("""COMPUTED_VALUE"""),44616.0)</f>
        <v>44616</v>
      </c>
      <c r="C6188" s="5"/>
      <c r="D6188" s="5"/>
      <c r="E6188" s="5"/>
      <c r="F6188" s="22">
        <f>IFERROR(__xludf.DUMMYFUNCTION("""COMPUTED_VALUE"""),500000.0)</f>
        <v>500000</v>
      </c>
      <c r="G6188" s="22">
        <f>IFERROR(__xludf.DUMMYFUNCTION("""COMPUTED_VALUE"""),0.0)</f>
        <v>0</v>
      </c>
      <c r="H6188" s="22">
        <f>IFERROR(__xludf.DUMMYFUNCTION("""COMPUTED_VALUE"""),500000.0)</f>
        <v>500000</v>
      </c>
      <c r="I6188" s="24">
        <f>IFERROR(__xludf.DUMMYFUNCTION("""COMPUTED_VALUE"""),0.0)</f>
        <v>0</v>
      </c>
    </row>
    <row r="6189">
      <c r="A6189" s="5" t="str">
        <f>IFERROR(__xludf.DUMMYFUNCTION("""COMPUTED_VALUE"""),"76938")</f>
        <v>76938</v>
      </c>
      <c r="B6189" s="64">
        <f>IFERROR(__xludf.DUMMYFUNCTION("""COMPUTED_VALUE"""),44617.0)</f>
        <v>44617</v>
      </c>
      <c r="C6189" s="5"/>
      <c r="D6189" s="5"/>
      <c r="E6189" s="5"/>
      <c r="F6189" s="22">
        <f>IFERROR(__xludf.DUMMYFUNCTION("""COMPUTED_VALUE"""),500000.0)</f>
        <v>500000</v>
      </c>
      <c r="G6189" s="22">
        <f>IFERROR(__xludf.DUMMYFUNCTION("""COMPUTED_VALUE"""),0.0)</f>
        <v>0</v>
      </c>
      <c r="H6189" s="22">
        <f>IFERROR(__xludf.DUMMYFUNCTION("""COMPUTED_VALUE"""),500000.0)</f>
        <v>500000</v>
      </c>
      <c r="I6189" s="24">
        <f>IFERROR(__xludf.DUMMYFUNCTION("""COMPUTED_VALUE"""),0.0)</f>
        <v>0</v>
      </c>
    </row>
    <row r="6190">
      <c r="A6190" s="5" t="str">
        <f>IFERROR(__xludf.DUMMYFUNCTION("""COMPUTED_VALUE"""),"76938")</f>
        <v>76938</v>
      </c>
      <c r="B6190" s="64">
        <f>IFERROR(__xludf.DUMMYFUNCTION("""COMPUTED_VALUE"""),44618.0)</f>
        <v>44618</v>
      </c>
      <c r="C6190" s="5"/>
      <c r="D6190" s="5"/>
      <c r="E6190" s="5"/>
      <c r="F6190" s="22">
        <f>IFERROR(__xludf.DUMMYFUNCTION("""COMPUTED_VALUE"""),500000.0)</f>
        <v>500000</v>
      </c>
      <c r="G6190" s="22">
        <f>IFERROR(__xludf.DUMMYFUNCTION("""COMPUTED_VALUE"""),0.0)</f>
        <v>0</v>
      </c>
      <c r="H6190" s="22">
        <f>IFERROR(__xludf.DUMMYFUNCTION("""COMPUTED_VALUE"""),500000.0)</f>
        <v>500000</v>
      </c>
      <c r="I6190" s="24">
        <f>IFERROR(__xludf.DUMMYFUNCTION("""COMPUTED_VALUE"""),0.0)</f>
        <v>0</v>
      </c>
    </row>
    <row r="6191">
      <c r="A6191" s="5" t="str">
        <f>IFERROR(__xludf.DUMMYFUNCTION("""COMPUTED_VALUE"""),"76938")</f>
        <v>76938</v>
      </c>
      <c r="B6191" s="64">
        <f>IFERROR(__xludf.DUMMYFUNCTION("""COMPUTED_VALUE"""),44619.0)</f>
        <v>44619</v>
      </c>
      <c r="C6191" s="5"/>
      <c r="D6191" s="5"/>
      <c r="E6191" s="5"/>
      <c r="F6191" s="22">
        <f>IFERROR(__xludf.DUMMYFUNCTION("""COMPUTED_VALUE"""),500000.0)</f>
        <v>500000</v>
      </c>
      <c r="G6191" s="22">
        <f>IFERROR(__xludf.DUMMYFUNCTION("""COMPUTED_VALUE"""),0.0)</f>
        <v>0</v>
      </c>
      <c r="H6191" s="22">
        <f>IFERROR(__xludf.DUMMYFUNCTION("""COMPUTED_VALUE"""),500000.0)</f>
        <v>500000</v>
      </c>
      <c r="I6191" s="24">
        <f>IFERROR(__xludf.DUMMYFUNCTION("""COMPUTED_VALUE"""),0.0)</f>
        <v>0</v>
      </c>
    </row>
    <row r="6192">
      <c r="A6192" s="5" t="str">
        <f>IFERROR(__xludf.DUMMYFUNCTION("""COMPUTED_VALUE"""),"76938")</f>
        <v>76938</v>
      </c>
      <c r="B6192" s="64">
        <f>IFERROR(__xludf.DUMMYFUNCTION("""COMPUTED_VALUE"""),44620.0)</f>
        <v>44620</v>
      </c>
      <c r="C6192" s="5"/>
      <c r="D6192" s="5"/>
      <c r="E6192" s="5"/>
      <c r="F6192" s="22">
        <f>IFERROR(__xludf.DUMMYFUNCTION("""COMPUTED_VALUE"""),500000.0)</f>
        <v>500000</v>
      </c>
      <c r="G6192" s="22">
        <f>IFERROR(__xludf.DUMMYFUNCTION("""COMPUTED_VALUE"""),0.0)</f>
        <v>0</v>
      </c>
      <c r="H6192" s="22">
        <f>IFERROR(__xludf.DUMMYFUNCTION("""COMPUTED_VALUE"""),500000.0)</f>
        <v>500000</v>
      </c>
      <c r="I6192" s="24">
        <f>IFERROR(__xludf.DUMMYFUNCTION("""COMPUTED_VALUE"""),0.0)</f>
        <v>0</v>
      </c>
    </row>
    <row r="6193">
      <c r="A6193" s="5" t="str">
        <f>IFERROR(__xludf.DUMMYFUNCTION("""COMPUTED_VALUE"""),"76938")</f>
        <v>76938</v>
      </c>
      <c r="B6193" s="64">
        <f>IFERROR(__xludf.DUMMYFUNCTION("""COMPUTED_VALUE"""),44621.0)</f>
        <v>44621</v>
      </c>
      <c r="C6193" s="5"/>
      <c r="D6193" s="5"/>
      <c r="E6193" s="5"/>
      <c r="F6193" s="22">
        <f>IFERROR(__xludf.DUMMYFUNCTION("""COMPUTED_VALUE"""),500000.0)</f>
        <v>500000</v>
      </c>
      <c r="G6193" s="22">
        <f>IFERROR(__xludf.DUMMYFUNCTION("""COMPUTED_VALUE"""),0.0)</f>
        <v>0</v>
      </c>
      <c r="H6193" s="22">
        <f>IFERROR(__xludf.DUMMYFUNCTION("""COMPUTED_VALUE"""),500000.0)</f>
        <v>500000</v>
      </c>
      <c r="I6193" s="24">
        <f>IFERROR(__xludf.DUMMYFUNCTION("""COMPUTED_VALUE"""),0.0)</f>
        <v>0</v>
      </c>
    </row>
    <row r="6194">
      <c r="A6194" s="5" t="str">
        <f>IFERROR(__xludf.DUMMYFUNCTION("""COMPUTED_VALUE"""),"76938")</f>
        <v>76938</v>
      </c>
      <c r="B6194" s="64">
        <f>IFERROR(__xludf.DUMMYFUNCTION("""COMPUTED_VALUE"""),44622.0)</f>
        <v>44622</v>
      </c>
      <c r="C6194" s="5"/>
      <c r="D6194" s="5"/>
      <c r="E6194" s="5"/>
      <c r="F6194" s="22">
        <f>IFERROR(__xludf.DUMMYFUNCTION("""COMPUTED_VALUE"""),500000.0)</f>
        <v>500000</v>
      </c>
      <c r="G6194" s="22">
        <f>IFERROR(__xludf.DUMMYFUNCTION("""COMPUTED_VALUE"""),0.0)</f>
        <v>0</v>
      </c>
      <c r="H6194" s="22">
        <f>IFERROR(__xludf.DUMMYFUNCTION("""COMPUTED_VALUE"""),500000.0)</f>
        <v>500000</v>
      </c>
      <c r="I6194" s="24">
        <f>IFERROR(__xludf.DUMMYFUNCTION("""COMPUTED_VALUE"""),0.0)</f>
        <v>0</v>
      </c>
    </row>
    <row r="6195">
      <c r="A6195" s="5" t="str">
        <f>IFERROR(__xludf.DUMMYFUNCTION("""COMPUTED_VALUE"""),"76938")</f>
        <v>76938</v>
      </c>
      <c r="B6195" s="64">
        <f>IFERROR(__xludf.DUMMYFUNCTION("""COMPUTED_VALUE"""),44623.0)</f>
        <v>44623</v>
      </c>
      <c r="C6195" s="5"/>
      <c r="D6195" s="5"/>
      <c r="E6195" s="5"/>
      <c r="F6195" s="22">
        <f>IFERROR(__xludf.DUMMYFUNCTION("""COMPUTED_VALUE"""),500000.0)</f>
        <v>500000</v>
      </c>
      <c r="G6195" s="22">
        <f>IFERROR(__xludf.DUMMYFUNCTION("""COMPUTED_VALUE"""),0.0)</f>
        <v>0</v>
      </c>
      <c r="H6195" s="22">
        <f>IFERROR(__xludf.DUMMYFUNCTION("""COMPUTED_VALUE"""),500000.0)</f>
        <v>500000</v>
      </c>
      <c r="I6195" s="24">
        <f>IFERROR(__xludf.DUMMYFUNCTION("""COMPUTED_VALUE"""),0.0)</f>
        <v>0</v>
      </c>
    </row>
    <row r="6196">
      <c r="A6196" s="5" t="str">
        <f>IFERROR(__xludf.DUMMYFUNCTION("""COMPUTED_VALUE"""),"76938")</f>
        <v>76938</v>
      </c>
      <c r="B6196" s="64">
        <f>IFERROR(__xludf.DUMMYFUNCTION("""COMPUTED_VALUE"""),44624.0)</f>
        <v>44624</v>
      </c>
      <c r="C6196" s="5"/>
      <c r="D6196" s="5"/>
      <c r="E6196" s="5"/>
      <c r="F6196" s="22">
        <f>IFERROR(__xludf.DUMMYFUNCTION("""COMPUTED_VALUE"""),500000.0)</f>
        <v>500000</v>
      </c>
      <c r="G6196" s="22">
        <f>IFERROR(__xludf.DUMMYFUNCTION("""COMPUTED_VALUE"""),0.0)</f>
        <v>0</v>
      </c>
      <c r="H6196" s="22">
        <f>IFERROR(__xludf.DUMMYFUNCTION("""COMPUTED_VALUE"""),500000.0)</f>
        <v>500000</v>
      </c>
      <c r="I6196" s="24">
        <f>IFERROR(__xludf.DUMMYFUNCTION("""COMPUTED_VALUE"""),0.0)</f>
        <v>0</v>
      </c>
    </row>
    <row r="6197">
      <c r="A6197" s="5" t="str">
        <f>IFERROR(__xludf.DUMMYFUNCTION("""COMPUTED_VALUE"""),"76938")</f>
        <v>76938</v>
      </c>
      <c r="B6197" s="64">
        <f>IFERROR(__xludf.DUMMYFUNCTION("""COMPUTED_VALUE"""),44625.0)</f>
        <v>44625</v>
      </c>
      <c r="C6197" s="5"/>
      <c r="D6197" s="5"/>
      <c r="E6197" s="5"/>
      <c r="F6197" s="22">
        <f>IFERROR(__xludf.DUMMYFUNCTION("""COMPUTED_VALUE"""),500000.0)</f>
        <v>500000</v>
      </c>
      <c r="G6197" s="22">
        <f>IFERROR(__xludf.DUMMYFUNCTION("""COMPUTED_VALUE"""),0.0)</f>
        <v>0</v>
      </c>
      <c r="H6197" s="22">
        <f>IFERROR(__xludf.DUMMYFUNCTION("""COMPUTED_VALUE"""),500000.0)</f>
        <v>500000</v>
      </c>
      <c r="I6197" s="24">
        <f>IFERROR(__xludf.DUMMYFUNCTION("""COMPUTED_VALUE"""),0.0)</f>
        <v>0</v>
      </c>
    </row>
    <row r="6198">
      <c r="A6198" s="5" t="str">
        <f>IFERROR(__xludf.DUMMYFUNCTION("""COMPUTED_VALUE"""),"76938")</f>
        <v>76938</v>
      </c>
      <c r="B6198" s="64">
        <f>IFERROR(__xludf.DUMMYFUNCTION("""COMPUTED_VALUE"""),44626.0)</f>
        <v>44626</v>
      </c>
      <c r="C6198" s="5"/>
      <c r="D6198" s="5"/>
      <c r="E6198" s="5"/>
      <c r="F6198" s="22">
        <f>IFERROR(__xludf.DUMMYFUNCTION("""COMPUTED_VALUE"""),500000.0)</f>
        <v>500000</v>
      </c>
      <c r="G6198" s="22">
        <f>IFERROR(__xludf.DUMMYFUNCTION("""COMPUTED_VALUE"""),0.0)</f>
        <v>0</v>
      </c>
      <c r="H6198" s="22">
        <f>IFERROR(__xludf.DUMMYFUNCTION("""COMPUTED_VALUE"""),500000.0)</f>
        <v>500000</v>
      </c>
      <c r="I6198" s="24">
        <f>IFERROR(__xludf.DUMMYFUNCTION("""COMPUTED_VALUE"""),0.0)</f>
        <v>0</v>
      </c>
    </row>
    <row r="6199">
      <c r="A6199" s="5" t="str">
        <f>IFERROR(__xludf.DUMMYFUNCTION("""COMPUTED_VALUE"""),"76938")</f>
        <v>76938</v>
      </c>
      <c r="B6199" s="64">
        <f>IFERROR(__xludf.DUMMYFUNCTION("""COMPUTED_VALUE"""),44627.0)</f>
        <v>44627</v>
      </c>
      <c r="C6199" s="5"/>
      <c r="D6199" s="5"/>
      <c r="E6199" s="5"/>
      <c r="F6199" s="22">
        <f>IFERROR(__xludf.DUMMYFUNCTION("""COMPUTED_VALUE"""),500000.0)</f>
        <v>500000</v>
      </c>
      <c r="G6199" s="22">
        <f>IFERROR(__xludf.DUMMYFUNCTION("""COMPUTED_VALUE"""),0.0)</f>
        <v>0</v>
      </c>
      <c r="H6199" s="22">
        <f>IFERROR(__xludf.DUMMYFUNCTION("""COMPUTED_VALUE"""),500000.0)</f>
        <v>500000</v>
      </c>
      <c r="I6199" s="24">
        <f>IFERROR(__xludf.DUMMYFUNCTION("""COMPUTED_VALUE"""),0.0)</f>
        <v>0</v>
      </c>
    </row>
    <row r="6200">
      <c r="A6200" s="5" t="str">
        <f>IFERROR(__xludf.DUMMYFUNCTION("""COMPUTED_VALUE"""),"76938")</f>
        <v>76938</v>
      </c>
      <c r="B6200" s="64">
        <f>IFERROR(__xludf.DUMMYFUNCTION("""COMPUTED_VALUE"""),44628.0)</f>
        <v>44628</v>
      </c>
      <c r="C6200" s="5"/>
      <c r="D6200" s="5"/>
      <c r="E6200" s="5"/>
      <c r="F6200" s="22">
        <f>IFERROR(__xludf.DUMMYFUNCTION("""COMPUTED_VALUE"""),500000.0)</f>
        <v>500000</v>
      </c>
      <c r="G6200" s="22">
        <f>IFERROR(__xludf.DUMMYFUNCTION("""COMPUTED_VALUE"""),0.0)</f>
        <v>0</v>
      </c>
      <c r="H6200" s="22">
        <f>IFERROR(__xludf.DUMMYFUNCTION("""COMPUTED_VALUE"""),500000.0)</f>
        <v>500000</v>
      </c>
      <c r="I6200" s="24">
        <f>IFERROR(__xludf.DUMMYFUNCTION("""COMPUTED_VALUE"""),0.0)</f>
        <v>0</v>
      </c>
    </row>
    <row r="6201">
      <c r="A6201" s="5" t="str">
        <f>IFERROR(__xludf.DUMMYFUNCTION("""COMPUTED_VALUE"""),"76938")</f>
        <v>76938</v>
      </c>
      <c r="B6201" s="64">
        <f>IFERROR(__xludf.DUMMYFUNCTION("""COMPUTED_VALUE"""),44629.0)</f>
        <v>44629</v>
      </c>
      <c r="C6201" s="5"/>
      <c r="D6201" s="5"/>
      <c r="E6201" s="5"/>
      <c r="F6201" s="22">
        <f>IFERROR(__xludf.DUMMYFUNCTION("""COMPUTED_VALUE"""),500000.0)</f>
        <v>500000</v>
      </c>
      <c r="G6201" s="22">
        <f>IFERROR(__xludf.DUMMYFUNCTION("""COMPUTED_VALUE"""),0.0)</f>
        <v>0</v>
      </c>
      <c r="H6201" s="22">
        <f>IFERROR(__xludf.DUMMYFUNCTION("""COMPUTED_VALUE"""),500000.0)</f>
        <v>500000</v>
      </c>
      <c r="I6201" s="24">
        <f>IFERROR(__xludf.DUMMYFUNCTION("""COMPUTED_VALUE"""),0.0)</f>
        <v>0</v>
      </c>
    </row>
    <row r="6202">
      <c r="A6202" s="5" t="str">
        <f>IFERROR(__xludf.DUMMYFUNCTION("""COMPUTED_VALUE"""),"76938")</f>
        <v>76938</v>
      </c>
      <c r="B6202" s="64">
        <f>IFERROR(__xludf.DUMMYFUNCTION("""COMPUTED_VALUE"""),44630.0)</f>
        <v>44630</v>
      </c>
      <c r="C6202" s="5"/>
      <c r="D6202" s="5"/>
      <c r="E6202" s="5"/>
      <c r="F6202" s="22">
        <f>IFERROR(__xludf.DUMMYFUNCTION("""COMPUTED_VALUE"""),500000.0)</f>
        <v>500000</v>
      </c>
      <c r="G6202" s="22">
        <f>IFERROR(__xludf.DUMMYFUNCTION("""COMPUTED_VALUE"""),0.0)</f>
        <v>0</v>
      </c>
      <c r="H6202" s="22">
        <f>IFERROR(__xludf.DUMMYFUNCTION("""COMPUTED_VALUE"""),500000.0)</f>
        <v>500000</v>
      </c>
      <c r="I6202" s="24">
        <f>IFERROR(__xludf.DUMMYFUNCTION("""COMPUTED_VALUE"""),0.0)</f>
        <v>0</v>
      </c>
    </row>
    <row r="6203">
      <c r="A6203" s="5" t="str">
        <f>IFERROR(__xludf.DUMMYFUNCTION("""COMPUTED_VALUE"""),"76938")</f>
        <v>76938</v>
      </c>
      <c r="B6203" s="64">
        <f>IFERROR(__xludf.DUMMYFUNCTION("""COMPUTED_VALUE"""),44631.0)</f>
        <v>44631</v>
      </c>
      <c r="C6203" s="5"/>
      <c r="D6203" s="5"/>
      <c r="E6203" s="5"/>
      <c r="F6203" s="22">
        <f>IFERROR(__xludf.DUMMYFUNCTION("""COMPUTED_VALUE"""),500000.0)</f>
        <v>500000</v>
      </c>
      <c r="G6203" s="22">
        <f>IFERROR(__xludf.DUMMYFUNCTION("""COMPUTED_VALUE"""),0.0)</f>
        <v>0</v>
      </c>
      <c r="H6203" s="22">
        <f>IFERROR(__xludf.DUMMYFUNCTION("""COMPUTED_VALUE"""),500000.0)</f>
        <v>500000</v>
      </c>
      <c r="I6203" s="24">
        <f>IFERROR(__xludf.DUMMYFUNCTION("""COMPUTED_VALUE"""),0.0)</f>
        <v>0</v>
      </c>
    </row>
    <row r="6204">
      <c r="A6204" s="5" t="str">
        <f>IFERROR(__xludf.DUMMYFUNCTION("""COMPUTED_VALUE"""),"76938")</f>
        <v>76938</v>
      </c>
      <c r="B6204" s="64">
        <f>IFERROR(__xludf.DUMMYFUNCTION("""COMPUTED_VALUE"""),44632.0)</f>
        <v>44632</v>
      </c>
      <c r="C6204" s="5"/>
      <c r="D6204" s="5"/>
      <c r="E6204" s="5"/>
      <c r="F6204" s="22">
        <f>IFERROR(__xludf.DUMMYFUNCTION("""COMPUTED_VALUE"""),500000.0)</f>
        <v>500000</v>
      </c>
      <c r="G6204" s="22">
        <f>IFERROR(__xludf.DUMMYFUNCTION("""COMPUTED_VALUE"""),0.0)</f>
        <v>0</v>
      </c>
      <c r="H6204" s="22">
        <f>IFERROR(__xludf.DUMMYFUNCTION("""COMPUTED_VALUE"""),500000.0)</f>
        <v>500000</v>
      </c>
      <c r="I6204" s="24">
        <f>IFERROR(__xludf.DUMMYFUNCTION("""COMPUTED_VALUE"""),0.0)</f>
        <v>0</v>
      </c>
    </row>
    <row r="6205">
      <c r="A6205" s="5" t="str">
        <f>IFERROR(__xludf.DUMMYFUNCTION("""COMPUTED_VALUE"""),"76938")</f>
        <v>76938</v>
      </c>
      <c r="B6205" s="64">
        <f>IFERROR(__xludf.DUMMYFUNCTION("""COMPUTED_VALUE"""),44633.0)</f>
        <v>44633</v>
      </c>
      <c r="C6205" s="5"/>
      <c r="D6205" s="5"/>
      <c r="E6205" s="5"/>
      <c r="F6205" s="22">
        <f>IFERROR(__xludf.DUMMYFUNCTION("""COMPUTED_VALUE"""),500000.0)</f>
        <v>500000</v>
      </c>
      <c r="G6205" s="22">
        <f>IFERROR(__xludf.DUMMYFUNCTION("""COMPUTED_VALUE"""),0.0)</f>
        <v>0</v>
      </c>
      <c r="H6205" s="22">
        <f>IFERROR(__xludf.DUMMYFUNCTION("""COMPUTED_VALUE"""),500000.0)</f>
        <v>500000</v>
      </c>
      <c r="I6205" s="24">
        <f>IFERROR(__xludf.DUMMYFUNCTION("""COMPUTED_VALUE"""),0.0)</f>
        <v>0</v>
      </c>
    </row>
    <row r="6206">
      <c r="A6206" s="5" t="str">
        <f>IFERROR(__xludf.DUMMYFUNCTION("""COMPUTED_VALUE"""),"76938")</f>
        <v>76938</v>
      </c>
      <c r="B6206" s="64">
        <f>IFERROR(__xludf.DUMMYFUNCTION("""COMPUTED_VALUE"""),44634.0)</f>
        <v>44634</v>
      </c>
      <c r="C6206" s="5"/>
      <c r="D6206" s="5"/>
      <c r="E6206" s="5"/>
      <c r="F6206" s="22">
        <f>IFERROR(__xludf.DUMMYFUNCTION("""COMPUTED_VALUE"""),500000.0)</f>
        <v>500000</v>
      </c>
      <c r="G6206" s="22">
        <f>IFERROR(__xludf.DUMMYFUNCTION("""COMPUTED_VALUE"""),0.0)</f>
        <v>0</v>
      </c>
      <c r="H6206" s="22">
        <f>IFERROR(__xludf.DUMMYFUNCTION("""COMPUTED_VALUE"""),500000.0)</f>
        <v>500000</v>
      </c>
      <c r="I6206" s="24">
        <f>IFERROR(__xludf.DUMMYFUNCTION("""COMPUTED_VALUE"""),0.0)</f>
        <v>0</v>
      </c>
    </row>
    <row r="6207">
      <c r="A6207" s="5" t="str">
        <f>IFERROR(__xludf.DUMMYFUNCTION("""COMPUTED_VALUE"""),"76938")</f>
        <v>76938</v>
      </c>
      <c r="B6207" s="64">
        <f>IFERROR(__xludf.DUMMYFUNCTION("""COMPUTED_VALUE"""),44635.0)</f>
        <v>44635</v>
      </c>
      <c r="C6207" s="5"/>
      <c r="D6207" s="5"/>
      <c r="E6207" s="5"/>
      <c r="F6207" s="22">
        <f>IFERROR(__xludf.DUMMYFUNCTION("""COMPUTED_VALUE"""),500000.0)</f>
        <v>500000</v>
      </c>
      <c r="G6207" s="22">
        <f>IFERROR(__xludf.DUMMYFUNCTION("""COMPUTED_VALUE"""),0.0)</f>
        <v>0</v>
      </c>
      <c r="H6207" s="22">
        <f>IFERROR(__xludf.DUMMYFUNCTION("""COMPUTED_VALUE"""),500000.0)</f>
        <v>500000</v>
      </c>
      <c r="I6207" s="24">
        <f>IFERROR(__xludf.DUMMYFUNCTION("""COMPUTED_VALUE"""),0.0)</f>
        <v>0</v>
      </c>
    </row>
    <row r="6208">
      <c r="A6208" s="5" t="str">
        <f>IFERROR(__xludf.DUMMYFUNCTION("""COMPUTED_VALUE"""),"76938")</f>
        <v>76938</v>
      </c>
      <c r="B6208" s="64">
        <f>IFERROR(__xludf.DUMMYFUNCTION("""COMPUTED_VALUE"""),44636.0)</f>
        <v>44636</v>
      </c>
      <c r="C6208" s="5"/>
      <c r="D6208" s="5"/>
      <c r="E6208" s="5"/>
      <c r="F6208" s="22">
        <f>IFERROR(__xludf.DUMMYFUNCTION("""COMPUTED_VALUE"""),500000.0)</f>
        <v>500000</v>
      </c>
      <c r="G6208" s="22">
        <f>IFERROR(__xludf.DUMMYFUNCTION("""COMPUTED_VALUE"""),0.0)</f>
        <v>0</v>
      </c>
      <c r="H6208" s="22">
        <f>IFERROR(__xludf.DUMMYFUNCTION("""COMPUTED_VALUE"""),500000.0)</f>
        <v>500000</v>
      </c>
      <c r="I6208" s="24">
        <f>IFERROR(__xludf.DUMMYFUNCTION("""COMPUTED_VALUE"""),0.0)</f>
        <v>0</v>
      </c>
    </row>
    <row r="6209">
      <c r="A6209" s="5" t="str">
        <f>IFERROR(__xludf.DUMMYFUNCTION("""COMPUTED_VALUE"""),"76938")</f>
        <v>76938</v>
      </c>
      <c r="B6209" s="64">
        <f>IFERROR(__xludf.DUMMYFUNCTION("""COMPUTED_VALUE"""),44637.0)</f>
        <v>44637</v>
      </c>
      <c r="C6209" s="5"/>
      <c r="D6209" s="5"/>
      <c r="E6209" s="5"/>
      <c r="F6209" s="22">
        <f>IFERROR(__xludf.DUMMYFUNCTION("""COMPUTED_VALUE"""),500000.0)</f>
        <v>500000</v>
      </c>
      <c r="G6209" s="22">
        <f>IFERROR(__xludf.DUMMYFUNCTION("""COMPUTED_VALUE"""),0.0)</f>
        <v>0</v>
      </c>
      <c r="H6209" s="22">
        <f>IFERROR(__xludf.DUMMYFUNCTION("""COMPUTED_VALUE"""),500000.0)</f>
        <v>500000</v>
      </c>
      <c r="I6209" s="24">
        <f>IFERROR(__xludf.DUMMYFUNCTION("""COMPUTED_VALUE"""),0.0)</f>
        <v>0</v>
      </c>
    </row>
    <row r="6210">
      <c r="A6210" s="5" t="str">
        <f>IFERROR(__xludf.DUMMYFUNCTION("""COMPUTED_VALUE"""),"76938")</f>
        <v>76938</v>
      </c>
      <c r="B6210" s="64">
        <f>IFERROR(__xludf.DUMMYFUNCTION("""COMPUTED_VALUE"""),44638.0)</f>
        <v>44638</v>
      </c>
      <c r="C6210" s="5"/>
      <c r="D6210" s="5"/>
      <c r="E6210" s="5"/>
      <c r="F6210" s="22">
        <f>IFERROR(__xludf.DUMMYFUNCTION("""COMPUTED_VALUE"""),500000.0)</f>
        <v>500000</v>
      </c>
      <c r="G6210" s="22">
        <f>IFERROR(__xludf.DUMMYFUNCTION("""COMPUTED_VALUE"""),0.0)</f>
        <v>0</v>
      </c>
      <c r="H6210" s="22">
        <f>IFERROR(__xludf.DUMMYFUNCTION("""COMPUTED_VALUE"""),500000.0)</f>
        <v>500000</v>
      </c>
      <c r="I6210" s="24">
        <f>IFERROR(__xludf.DUMMYFUNCTION("""COMPUTED_VALUE"""),0.0)</f>
        <v>0</v>
      </c>
    </row>
    <row r="6211">
      <c r="A6211" s="5" t="str">
        <f>IFERROR(__xludf.DUMMYFUNCTION("""COMPUTED_VALUE"""),"76938")</f>
        <v>76938</v>
      </c>
      <c r="B6211" s="64">
        <f>IFERROR(__xludf.DUMMYFUNCTION("""COMPUTED_VALUE"""),44639.0)</f>
        <v>44639</v>
      </c>
      <c r="C6211" s="5"/>
      <c r="D6211" s="5"/>
      <c r="E6211" s="5"/>
      <c r="F6211" s="22">
        <f>IFERROR(__xludf.DUMMYFUNCTION("""COMPUTED_VALUE"""),500000.0)</f>
        <v>500000</v>
      </c>
      <c r="G6211" s="22">
        <f>IFERROR(__xludf.DUMMYFUNCTION("""COMPUTED_VALUE"""),0.0)</f>
        <v>0</v>
      </c>
      <c r="H6211" s="22">
        <f>IFERROR(__xludf.DUMMYFUNCTION("""COMPUTED_VALUE"""),500000.0)</f>
        <v>500000</v>
      </c>
      <c r="I6211" s="24">
        <f>IFERROR(__xludf.DUMMYFUNCTION("""COMPUTED_VALUE"""),0.0)</f>
        <v>0</v>
      </c>
    </row>
    <row r="6212">
      <c r="A6212" s="5" t="str">
        <f>IFERROR(__xludf.DUMMYFUNCTION("""COMPUTED_VALUE"""),"76938")</f>
        <v>76938</v>
      </c>
      <c r="B6212" s="64">
        <f>IFERROR(__xludf.DUMMYFUNCTION("""COMPUTED_VALUE"""),44640.0)</f>
        <v>44640</v>
      </c>
      <c r="C6212" s="5"/>
      <c r="D6212" s="5"/>
      <c r="E6212" s="5"/>
      <c r="F6212" s="22">
        <f>IFERROR(__xludf.DUMMYFUNCTION("""COMPUTED_VALUE"""),500000.0)</f>
        <v>500000</v>
      </c>
      <c r="G6212" s="22">
        <f>IFERROR(__xludf.DUMMYFUNCTION("""COMPUTED_VALUE"""),0.0)</f>
        <v>0</v>
      </c>
      <c r="H6212" s="22">
        <f>IFERROR(__xludf.DUMMYFUNCTION("""COMPUTED_VALUE"""),500000.0)</f>
        <v>500000</v>
      </c>
      <c r="I6212" s="24">
        <f>IFERROR(__xludf.DUMMYFUNCTION("""COMPUTED_VALUE"""),0.0)</f>
        <v>0</v>
      </c>
    </row>
    <row r="6213">
      <c r="A6213" s="5" t="str">
        <f>IFERROR(__xludf.DUMMYFUNCTION("""COMPUTED_VALUE"""),"76938")</f>
        <v>76938</v>
      </c>
      <c r="B6213" s="64">
        <f>IFERROR(__xludf.DUMMYFUNCTION("""COMPUTED_VALUE"""),44641.0)</f>
        <v>44641</v>
      </c>
      <c r="C6213" s="5"/>
      <c r="D6213" s="5"/>
      <c r="E6213" s="5"/>
      <c r="F6213" s="22">
        <f>IFERROR(__xludf.DUMMYFUNCTION("""COMPUTED_VALUE"""),500000.0)</f>
        <v>500000</v>
      </c>
      <c r="G6213" s="22">
        <f>IFERROR(__xludf.DUMMYFUNCTION("""COMPUTED_VALUE"""),0.0)</f>
        <v>0</v>
      </c>
      <c r="H6213" s="22">
        <f>IFERROR(__xludf.DUMMYFUNCTION("""COMPUTED_VALUE"""),500000.0)</f>
        <v>500000</v>
      </c>
      <c r="I6213" s="24">
        <f>IFERROR(__xludf.DUMMYFUNCTION("""COMPUTED_VALUE"""),0.0)</f>
        <v>0</v>
      </c>
    </row>
    <row r="6214">
      <c r="A6214" s="5" t="str">
        <f>IFERROR(__xludf.DUMMYFUNCTION("""COMPUTED_VALUE"""),"76938")</f>
        <v>76938</v>
      </c>
      <c r="B6214" s="64">
        <f>IFERROR(__xludf.DUMMYFUNCTION("""COMPUTED_VALUE"""),44642.0)</f>
        <v>44642</v>
      </c>
      <c r="C6214" s="5"/>
      <c r="D6214" s="5"/>
      <c r="E6214" s="5"/>
      <c r="F6214" s="22">
        <f>IFERROR(__xludf.DUMMYFUNCTION("""COMPUTED_VALUE"""),500000.0)</f>
        <v>500000</v>
      </c>
      <c r="G6214" s="22">
        <f>IFERROR(__xludf.DUMMYFUNCTION("""COMPUTED_VALUE"""),0.0)</f>
        <v>0</v>
      </c>
      <c r="H6214" s="22">
        <f>IFERROR(__xludf.DUMMYFUNCTION("""COMPUTED_VALUE"""),500000.0)</f>
        <v>500000</v>
      </c>
      <c r="I6214" s="24">
        <f>IFERROR(__xludf.DUMMYFUNCTION("""COMPUTED_VALUE"""),0.0)</f>
        <v>0</v>
      </c>
    </row>
    <row r="6215">
      <c r="A6215" s="5" t="str">
        <f>IFERROR(__xludf.DUMMYFUNCTION("""COMPUTED_VALUE"""),"76938")</f>
        <v>76938</v>
      </c>
      <c r="B6215" s="64">
        <f>IFERROR(__xludf.DUMMYFUNCTION("""COMPUTED_VALUE"""),44643.0)</f>
        <v>44643</v>
      </c>
      <c r="C6215" s="5"/>
      <c r="D6215" s="5"/>
      <c r="E6215" s="5"/>
      <c r="F6215" s="22">
        <f>IFERROR(__xludf.DUMMYFUNCTION("""COMPUTED_VALUE"""),500000.0)</f>
        <v>500000</v>
      </c>
      <c r="G6215" s="22">
        <f>IFERROR(__xludf.DUMMYFUNCTION("""COMPUTED_VALUE"""),0.0)</f>
        <v>0</v>
      </c>
      <c r="H6215" s="22">
        <f>IFERROR(__xludf.DUMMYFUNCTION("""COMPUTED_VALUE"""),500000.0)</f>
        <v>500000</v>
      </c>
      <c r="I6215" s="24">
        <f>IFERROR(__xludf.DUMMYFUNCTION("""COMPUTED_VALUE"""),0.0)</f>
        <v>0</v>
      </c>
    </row>
    <row r="6216">
      <c r="A6216" s="5" t="str">
        <f>IFERROR(__xludf.DUMMYFUNCTION("""COMPUTED_VALUE"""),"76938")</f>
        <v>76938</v>
      </c>
      <c r="B6216" s="64">
        <f>IFERROR(__xludf.DUMMYFUNCTION("""COMPUTED_VALUE"""),44644.0)</f>
        <v>44644</v>
      </c>
      <c r="C6216" s="5"/>
      <c r="D6216" s="5"/>
      <c r="E6216" s="5"/>
      <c r="F6216" s="22">
        <f>IFERROR(__xludf.DUMMYFUNCTION("""COMPUTED_VALUE"""),500000.0)</f>
        <v>500000</v>
      </c>
      <c r="G6216" s="22">
        <f>IFERROR(__xludf.DUMMYFUNCTION("""COMPUTED_VALUE"""),0.0)</f>
        <v>0</v>
      </c>
      <c r="H6216" s="22">
        <f>IFERROR(__xludf.DUMMYFUNCTION("""COMPUTED_VALUE"""),500000.0)</f>
        <v>500000</v>
      </c>
      <c r="I6216" s="24">
        <f>IFERROR(__xludf.DUMMYFUNCTION("""COMPUTED_VALUE"""),0.0)</f>
        <v>0</v>
      </c>
    </row>
    <row r="6217">
      <c r="A6217" s="5" t="str">
        <f>IFERROR(__xludf.DUMMYFUNCTION("""COMPUTED_VALUE"""),"76938")</f>
        <v>76938</v>
      </c>
      <c r="B6217" s="64">
        <f>IFERROR(__xludf.DUMMYFUNCTION("""COMPUTED_VALUE"""),44645.0)</f>
        <v>44645</v>
      </c>
      <c r="C6217" s="5"/>
      <c r="D6217" s="5"/>
      <c r="E6217" s="5"/>
      <c r="F6217" s="22">
        <f>IFERROR(__xludf.DUMMYFUNCTION("""COMPUTED_VALUE"""),500000.0)</f>
        <v>500000</v>
      </c>
      <c r="G6217" s="22">
        <f>IFERROR(__xludf.DUMMYFUNCTION("""COMPUTED_VALUE"""),0.0)</f>
        <v>0</v>
      </c>
      <c r="H6217" s="22">
        <f>IFERROR(__xludf.DUMMYFUNCTION("""COMPUTED_VALUE"""),500000.0)</f>
        <v>500000</v>
      </c>
      <c r="I6217" s="24">
        <f>IFERROR(__xludf.DUMMYFUNCTION("""COMPUTED_VALUE"""),0.0)</f>
        <v>0</v>
      </c>
    </row>
    <row r="6218">
      <c r="A6218" s="5" t="str">
        <f>IFERROR(__xludf.DUMMYFUNCTION("""COMPUTED_VALUE"""),"76938")</f>
        <v>76938</v>
      </c>
      <c r="B6218" s="64">
        <f>IFERROR(__xludf.DUMMYFUNCTION("""COMPUTED_VALUE"""),44646.0)</f>
        <v>44646</v>
      </c>
      <c r="C6218" s="5"/>
      <c r="D6218" s="5"/>
      <c r="E6218" s="5"/>
      <c r="F6218" s="22">
        <f>IFERROR(__xludf.DUMMYFUNCTION("""COMPUTED_VALUE"""),500000.0)</f>
        <v>500000</v>
      </c>
      <c r="G6218" s="22">
        <f>IFERROR(__xludf.DUMMYFUNCTION("""COMPUTED_VALUE"""),0.0)</f>
        <v>0</v>
      </c>
      <c r="H6218" s="22">
        <f>IFERROR(__xludf.DUMMYFUNCTION("""COMPUTED_VALUE"""),500000.0)</f>
        <v>500000</v>
      </c>
      <c r="I6218" s="24">
        <f>IFERROR(__xludf.DUMMYFUNCTION("""COMPUTED_VALUE"""),0.0)</f>
        <v>0</v>
      </c>
    </row>
    <row r="6219">
      <c r="A6219" s="5" t="str">
        <f>IFERROR(__xludf.DUMMYFUNCTION("""COMPUTED_VALUE"""),"76938")</f>
        <v>76938</v>
      </c>
      <c r="B6219" s="64">
        <f>IFERROR(__xludf.DUMMYFUNCTION("""COMPUTED_VALUE"""),44647.0)</f>
        <v>44647</v>
      </c>
      <c r="C6219" s="5"/>
      <c r="D6219" s="5"/>
      <c r="E6219" s="5"/>
      <c r="F6219" s="22">
        <f>IFERROR(__xludf.DUMMYFUNCTION("""COMPUTED_VALUE"""),500000.0)</f>
        <v>500000</v>
      </c>
      <c r="G6219" s="22">
        <f>IFERROR(__xludf.DUMMYFUNCTION("""COMPUTED_VALUE"""),0.0)</f>
        <v>0</v>
      </c>
      <c r="H6219" s="22">
        <f>IFERROR(__xludf.DUMMYFUNCTION("""COMPUTED_VALUE"""),500000.0)</f>
        <v>500000</v>
      </c>
      <c r="I6219" s="24">
        <f>IFERROR(__xludf.DUMMYFUNCTION("""COMPUTED_VALUE"""),0.0)</f>
        <v>0</v>
      </c>
    </row>
    <row r="6220">
      <c r="A6220" s="5" t="str">
        <f>IFERROR(__xludf.DUMMYFUNCTION("""COMPUTED_VALUE"""),"76938")</f>
        <v>76938</v>
      </c>
      <c r="B6220" s="64">
        <f>IFERROR(__xludf.DUMMYFUNCTION("""COMPUTED_VALUE"""),44648.0)</f>
        <v>44648</v>
      </c>
      <c r="C6220" s="5"/>
      <c r="D6220" s="5"/>
      <c r="E6220" s="5"/>
      <c r="F6220" s="22">
        <f>IFERROR(__xludf.DUMMYFUNCTION("""COMPUTED_VALUE"""),500000.0)</f>
        <v>500000</v>
      </c>
      <c r="G6220" s="22">
        <f>IFERROR(__xludf.DUMMYFUNCTION("""COMPUTED_VALUE"""),0.0)</f>
        <v>0</v>
      </c>
      <c r="H6220" s="22">
        <f>IFERROR(__xludf.DUMMYFUNCTION("""COMPUTED_VALUE"""),500000.0)</f>
        <v>500000</v>
      </c>
      <c r="I6220" s="24">
        <f>IFERROR(__xludf.DUMMYFUNCTION("""COMPUTED_VALUE"""),0.0)</f>
        <v>0</v>
      </c>
    </row>
    <row r="6221">
      <c r="A6221" s="5" t="str">
        <f>IFERROR(__xludf.DUMMYFUNCTION("""COMPUTED_VALUE"""),"76938")</f>
        <v>76938</v>
      </c>
      <c r="B6221" s="64">
        <f>IFERROR(__xludf.DUMMYFUNCTION("""COMPUTED_VALUE"""),44649.0)</f>
        <v>44649</v>
      </c>
      <c r="C6221" s="5"/>
      <c r="D6221" s="5"/>
      <c r="E6221" s="5"/>
      <c r="F6221" s="22">
        <f>IFERROR(__xludf.DUMMYFUNCTION("""COMPUTED_VALUE"""),500000.0)</f>
        <v>500000</v>
      </c>
      <c r="G6221" s="22">
        <f>IFERROR(__xludf.DUMMYFUNCTION("""COMPUTED_VALUE"""),0.0)</f>
        <v>0</v>
      </c>
      <c r="H6221" s="22">
        <f>IFERROR(__xludf.DUMMYFUNCTION("""COMPUTED_VALUE"""),500000.0)</f>
        <v>500000</v>
      </c>
      <c r="I6221" s="24">
        <f>IFERROR(__xludf.DUMMYFUNCTION("""COMPUTED_VALUE"""),0.0)</f>
        <v>0</v>
      </c>
    </row>
    <row r="6222">
      <c r="A6222" s="5" t="str">
        <f>IFERROR(__xludf.DUMMYFUNCTION("""COMPUTED_VALUE"""),"76938")</f>
        <v>76938</v>
      </c>
      <c r="B6222" s="64">
        <f>IFERROR(__xludf.DUMMYFUNCTION("""COMPUTED_VALUE"""),44650.0)</f>
        <v>44650</v>
      </c>
      <c r="C6222" s="5"/>
      <c r="D6222" s="5"/>
      <c r="E6222" s="5"/>
      <c r="F6222" s="22">
        <f>IFERROR(__xludf.DUMMYFUNCTION("""COMPUTED_VALUE"""),500000.0)</f>
        <v>500000</v>
      </c>
      <c r="G6222" s="22">
        <f>IFERROR(__xludf.DUMMYFUNCTION("""COMPUTED_VALUE"""),0.0)</f>
        <v>0</v>
      </c>
      <c r="H6222" s="22">
        <f>IFERROR(__xludf.DUMMYFUNCTION("""COMPUTED_VALUE"""),500000.0)</f>
        <v>500000</v>
      </c>
      <c r="I6222" s="24">
        <f>IFERROR(__xludf.DUMMYFUNCTION("""COMPUTED_VALUE"""),0.0)</f>
        <v>0</v>
      </c>
    </row>
    <row r="6223">
      <c r="A6223" s="5" t="str">
        <f>IFERROR(__xludf.DUMMYFUNCTION("""COMPUTED_VALUE"""),"76938")</f>
        <v>76938</v>
      </c>
      <c r="B6223" s="64">
        <f>IFERROR(__xludf.DUMMYFUNCTION("""COMPUTED_VALUE"""),44651.0)</f>
        <v>44651</v>
      </c>
      <c r="C6223" s="5"/>
      <c r="D6223" s="5"/>
      <c r="E6223" s="5"/>
      <c r="F6223" s="22">
        <f>IFERROR(__xludf.DUMMYFUNCTION("""COMPUTED_VALUE"""),500000.0)</f>
        <v>500000</v>
      </c>
      <c r="G6223" s="22">
        <f>IFERROR(__xludf.DUMMYFUNCTION("""COMPUTED_VALUE"""),0.0)</f>
        <v>0</v>
      </c>
      <c r="H6223" s="22">
        <f>IFERROR(__xludf.DUMMYFUNCTION("""COMPUTED_VALUE"""),500000.0)</f>
        <v>500000</v>
      </c>
      <c r="I6223" s="24">
        <f>IFERROR(__xludf.DUMMYFUNCTION("""COMPUTED_VALUE"""),0.0)</f>
        <v>0</v>
      </c>
    </row>
    <row r="6224">
      <c r="A6224" s="5" t="str">
        <f>IFERROR(__xludf.DUMMYFUNCTION("""COMPUTED_VALUE"""),"76938")</f>
        <v>76938</v>
      </c>
      <c r="B6224" s="64">
        <f>IFERROR(__xludf.DUMMYFUNCTION("""COMPUTED_VALUE"""),44652.0)</f>
        <v>44652</v>
      </c>
      <c r="C6224" s="5"/>
      <c r="D6224" s="5"/>
      <c r="E6224" s="5"/>
      <c r="F6224" s="22">
        <f>IFERROR(__xludf.DUMMYFUNCTION("""COMPUTED_VALUE"""),500000.0)</f>
        <v>500000</v>
      </c>
      <c r="G6224" s="22">
        <f>IFERROR(__xludf.DUMMYFUNCTION("""COMPUTED_VALUE"""),0.0)</f>
        <v>0</v>
      </c>
      <c r="H6224" s="22">
        <f>IFERROR(__xludf.DUMMYFUNCTION("""COMPUTED_VALUE"""),500000.0)</f>
        <v>500000</v>
      </c>
      <c r="I6224" s="24">
        <f>IFERROR(__xludf.DUMMYFUNCTION("""COMPUTED_VALUE"""),0.0)</f>
        <v>0</v>
      </c>
    </row>
    <row r="6225">
      <c r="A6225" s="5" t="str">
        <f>IFERROR(__xludf.DUMMYFUNCTION("""COMPUTED_VALUE"""),"76938")</f>
        <v>76938</v>
      </c>
      <c r="B6225" s="64">
        <f>IFERROR(__xludf.DUMMYFUNCTION("""COMPUTED_VALUE"""),44653.0)</f>
        <v>44653</v>
      </c>
      <c r="C6225" s="5"/>
      <c r="D6225" s="5"/>
      <c r="E6225" s="5"/>
      <c r="F6225" s="22">
        <f>IFERROR(__xludf.DUMMYFUNCTION("""COMPUTED_VALUE"""),500000.0)</f>
        <v>500000</v>
      </c>
      <c r="G6225" s="22">
        <f>IFERROR(__xludf.DUMMYFUNCTION("""COMPUTED_VALUE"""),0.0)</f>
        <v>0</v>
      </c>
      <c r="H6225" s="22">
        <f>IFERROR(__xludf.DUMMYFUNCTION("""COMPUTED_VALUE"""),500000.0)</f>
        <v>500000</v>
      </c>
      <c r="I6225" s="24">
        <f>IFERROR(__xludf.DUMMYFUNCTION("""COMPUTED_VALUE"""),0.0)</f>
        <v>0</v>
      </c>
    </row>
    <row r="6226">
      <c r="A6226" s="5" t="str">
        <f>IFERROR(__xludf.DUMMYFUNCTION("""COMPUTED_VALUE"""),"76938")</f>
        <v>76938</v>
      </c>
      <c r="B6226" s="64">
        <f>IFERROR(__xludf.DUMMYFUNCTION("""COMPUTED_VALUE"""),44654.0)</f>
        <v>44654</v>
      </c>
      <c r="C6226" s="5"/>
      <c r="D6226" s="5"/>
      <c r="E6226" s="5"/>
      <c r="F6226" s="22">
        <f>IFERROR(__xludf.DUMMYFUNCTION("""COMPUTED_VALUE"""),500000.0)</f>
        <v>500000</v>
      </c>
      <c r="G6226" s="22">
        <f>IFERROR(__xludf.DUMMYFUNCTION("""COMPUTED_VALUE"""),0.0)</f>
        <v>0</v>
      </c>
      <c r="H6226" s="22">
        <f>IFERROR(__xludf.DUMMYFUNCTION("""COMPUTED_VALUE"""),500000.0)</f>
        <v>500000</v>
      </c>
      <c r="I6226" s="24">
        <f>IFERROR(__xludf.DUMMYFUNCTION("""COMPUTED_VALUE"""),0.0)</f>
        <v>0</v>
      </c>
    </row>
    <row r="6227">
      <c r="A6227" s="5" t="str">
        <f>IFERROR(__xludf.DUMMYFUNCTION("""COMPUTED_VALUE"""),"76938")</f>
        <v>76938</v>
      </c>
      <c r="B6227" s="64">
        <f>IFERROR(__xludf.DUMMYFUNCTION("""COMPUTED_VALUE"""),44655.0)</f>
        <v>44655</v>
      </c>
      <c r="C6227" s="5"/>
      <c r="D6227" s="5"/>
      <c r="E6227" s="5"/>
      <c r="F6227" s="22">
        <f>IFERROR(__xludf.DUMMYFUNCTION("""COMPUTED_VALUE"""),500000.0)</f>
        <v>500000</v>
      </c>
      <c r="G6227" s="22">
        <f>IFERROR(__xludf.DUMMYFUNCTION("""COMPUTED_VALUE"""),0.0)</f>
        <v>0</v>
      </c>
      <c r="H6227" s="22">
        <f>IFERROR(__xludf.DUMMYFUNCTION("""COMPUTED_VALUE"""),500000.0)</f>
        <v>500000</v>
      </c>
      <c r="I6227" s="24">
        <f>IFERROR(__xludf.DUMMYFUNCTION("""COMPUTED_VALUE"""),0.0)</f>
        <v>0</v>
      </c>
    </row>
    <row r="6228">
      <c r="A6228" s="5" t="str">
        <f>IFERROR(__xludf.DUMMYFUNCTION("""COMPUTED_VALUE"""),"76938")</f>
        <v>76938</v>
      </c>
      <c r="B6228" s="64">
        <f>IFERROR(__xludf.DUMMYFUNCTION("""COMPUTED_VALUE"""),44656.0)</f>
        <v>44656</v>
      </c>
      <c r="C6228" s="5"/>
      <c r="D6228" s="5"/>
      <c r="E6228" s="5"/>
      <c r="F6228" s="22">
        <f>IFERROR(__xludf.DUMMYFUNCTION("""COMPUTED_VALUE"""),500000.0)</f>
        <v>500000</v>
      </c>
      <c r="G6228" s="22">
        <f>IFERROR(__xludf.DUMMYFUNCTION("""COMPUTED_VALUE"""),0.0)</f>
        <v>0</v>
      </c>
      <c r="H6228" s="22">
        <f>IFERROR(__xludf.DUMMYFUNCTION("""COMPUTED_VALUE"""),500000.0)</f>
        <v>500000</v>
      </c>
      <c r="I6228" s="24">
        <f>IFERROR(__xludf.DUMMYFUNCTION("""COMPUTED_VALUE"""),0.0)</f>
        <v>0</v>
      </c>
    </row>
    <row r="6229">
      <c r="A6229" s="5" t="str">
        <f>IFERROR(__xludf.DUMMYFUNCTION("""COMPUTED_VALUE"""),"76938")</f>
        <v>76938</v>
      </c>
      <c r="B6229" s="64">
        <f>IFERROR(__xludf.DUMMYFUNCTION("""COMPUTED_VALUE"""),44657.0)</f>
        <v>44657</v>
      </c>
      <c r="C6229" s="5"/>
      <c r="D6229" s="5"/>
      <c r="E6229" s="5"/>
      <c r="F6229" s="22">
        <f>IFERROR(__xludf.DUMMYFUNCTION("""COMPUTED_VALUE"""),500000.0)</f>
        <v>500000</v>
      </c>
      <c r="G6229" s="22">
        <f>IFERROR(__xludf.DUMMYFUNCTION("""COMPUTED_VALUE"""),0.0)</f>
        <v>0</v>
      </c>
      <c r="H6229" s="22">
        <f>IFERROR(__xludf.DUMMYFUNCTION("""COMPUTED_VALUE"""),500000.0)</f>
        <v>500000</v>
      </c>
      <c r="I6229" s="24">
        <f>IFERROR(__xludf.DUMMYFUNCTION("""COMPUTED_VALUE"""),0.0)</f>
        <v>0</v>
      </c>
    </row>
    <row r="6230">
      <c r="A6230" s="5" t="str">
        <f>IFERROR(__xludf.DUMMYFUNCTION("""COMPUTED_VALUE"""),"76938")</f>
        <v>76938</v>
      </c>
      <c r="B6230" s="64">
        <f>IFERROR(__xludf.DUMMYFUNCTION("""COMPUTED_VALUE"""),44658.0)</f>
        <v>44658</v>
      </c>
      <c r="C6230" s="5"/>
      <c r="D6230" s="5"/>
      <c r="E6230" s="5"/>
      <c r="F6230" s="22">
        <f>IFERROR(__xludf.DUMMYFUNCTION("""COMPUTED_VALUE"""),500000.0)</f>
        <v>500000</v>
      </c>
      <c r="G6230" s="22">
        <f>IFERROR(__xludf.DUMMYFUNCTION("""COMPUTED_VALUE"""),0.0)</f>
        <v>0</v>
      </c>
      <c r="H6230" s="22">
        <f>IFERROR(__xludf.DUMMYFUNCTION("""COMPUTED_VALUE"""),500000.0)</f>
        <v>500000</v>
      </c>
      <c r="I6230" s="24">
        <f>IFERROR(__xludf.DUMMYFUNCTION("""COMPUTED_VALUE"""),0.0)</f>
        <v>0</v>
      </c>
    </row>
    <row r="6231">
      <c r="A6231" s="5" t="str">
        <f>IFERROR(__xludf.DUMMYFUNCTION("""COMPUTED_VALUE"""),"76938")</f>
        <v>76938</v>
      </c>
      <c r="B6231" s="64">
        <f>IFERROR(__xludf.DUMMYFUNCTION("""COMPUTED_VALUE"""),44659.0)</f>
        <v>44659</v>
      </c>
      <c r="C6231" s="5"/>
      <c r="D6231" s="5"/>
      <c r="E6231" s="5"/>
      <c r="F6231" s="22">
        <f>IFERROR(__xludf.DUMMYFUNCTION("""COMPUTED_VALUE"""),500000.0)</f>
        <v>500000</v>
      </c>
      <c r="G6231" s="22">
        <f>IFERROR(__xludf.DUMMYFUNCTION("""COMPUTED_VALUE"""),0.0)</f>
        <v>0</v>
      </c>
      <c r="H6231" s="22">
        <f>IFERROR(__xludf.DUMMYFUNCTION("""COMPUTED_VALUE"""),500000.0)</f>
        <v>500000</v>
      </c>
      <c r="I6231" s="24">
        <f>IFERROR(__xludf.DUMMYFUNCTION("""COMPUTED_VALUE"""),0.0)</f>
        <v>0</v>
      </c>
    </row>
    <row r="6232">
      <c r="A6232" s="5" t="str">
        <f>IFERROR(__xludf.DUMMYFUNCTION("""COMPUTED_VALUE"""),"76938")</f>
        <v>76938</v>
      </c>
      <c r="B6232" s="64">
        <f>IFERROR(__xludf.DUMMYFUNCTION("""COMPUTED_VALUE"""),44660.0)</f>
        <v>44660</v>
      </c>
      <c r="C6232" s="5"/>
      <c r="D6232" s="5"/>
      <c r="E6232" s="5"/>
      <c r="F6232" s="22">
        <f>IFERROR(__xludf.DUMMYFUNCTION("""COMPUTED_VALUE"""),500000.0)</f>
        <v>500000</v>
      </c>
      <c r="G6232" s="22">
        <f>IFERROR(__xludf.DUMMYFUNCTION("""COMPUTED_VALUE"""),0.0)</f>
        <v>0</v>
      </c>
      <c r="H6232" s="22">
        <f>IFERROR(__xludf.DUMMYFUNCTION("""COMPUTED_VALUE"""),500000.0)</f>
        <v>500000</v>
      </c>
      <c r="I6232" s="24">
        <f>IFERROR(__xludf.DUMMYFUNCTION("""COMPUTED_VALUE"""),0.0)</f>
        <v>0</v>
      </c>
    </row>
    <row r="6233">
      <c r="A6233" s="5" t="str">
        <f>IFERROR(__xludf.DUMMYFUNCTION("""COMPUTED_VALUE"""),"76938")</f>
        <v>76938</v>
      </c>
      <c r="B6233" s="64">
        <f>IFERROR(__xludf.DUMMYFUNCTION("""COMPUTED_VALUE"""),44661.0)</f>
        <v>44661</v>
      </c>
      <c r="C6233" s="5"/>
      <c r="D6233" s="5"/>
      <c r="E6233" s="5"/>
      <c r="F6233" s="22">
        <f>IFERROR(__xludf.DUMMYFUNCTION("""COMPUTED_VALUE"""),500000.0)</f>
        <v>500000</v>
      </c>
      <c r="G6233" s="22">
        <f>IFERROR(__xludf.DUMMYFUNCTION("""COMPUTED_VALUE"""),0.0)</f>
        <v>0</v>
      </c>
      <c r="H6233" s="22">
        <f>IFERROR(__xludf.DUMMYFUNCTION("""COMPUTED_VALUE"""),500000.0)</f>
        <v>500000</v>
      </c>
      <c r="I6233" s="24">
        <f>IFERROR(__xludf.DUMMYFUNCTION("""COMPUTED_VALUE"""),0.0)</f>
        <v>0</v>
      </c>
    </row>
    <row r="6234">
      <c r="A6234" s="5" t="str">
        <f>IFERROR(__xludf.DUMMYFUNCTION("""COMPUTED_VALUE"""),"76938")</f>
        <v>76938</v>
      </c>
      <c r="B6234" s="64">
        <f>IFERROR(__xludf.DUMMYFUNCTION("""COMPUTED_VALUE"""),44662.0)</f>
        <v>44662</v>
      </c>
      <c r="C6234" s="5"/>
      <c r="D6234" s="5"/>
      <c r="E6234" s="5"/>
      <c r="F6234" s="22">
        <f>IFERROR(__xludf.DUMMYFUNCTION("""COMPUTED_VALUE"""),500000.0)</f>
        <v>500000</v>
      </c>
      <c r="G6234" s="22">
        <f>IFERROR(__xludf.DUMMYFUNCTION("""COMPUTED_VALUE"""),0.0)</f>
        <v>0</v>
      </c>
      <c r="H6234" s="22">
        <f>IFERROR(__xludf.DUMMYFUNCTION("""COMPUTED_VALUE"""),500000.0)</f>
        <v>500000</v>
      </c>
      <c r="I6234" s="24">
        <f>IFERROR(__xludf.DUMMYFUNCTION("""COMPUTED_VALUE"""),0.0)</f>
        <v>0</v>
      </c>
    </row>
    <row r="6235">
      <c r="A6235" s="5" t="str">
        <f>IFERROR(__xludf.DUMMYFUNCTION("""COMPUTED_VALUE"""),"76938")</f>
        <v>76938</v>
      </c>
      <c r="B6235" s="64">
        <f>IFERROR(__xludf.DUMMYFUNCTION("""COMPUTED_VALUE"""),44663.0)</f>
        <v>44663</v>
      </c>
      <c r="C6235" s="5"/>
      <c r="D6235" s="5"/>
      <c r="E6235" s="5"/>
      <c r="F6235" s="22">
        <f>IFERROR(__xludf.DUMMYFUNCTION("""COMPUTED_VALUE"""),500000.0)</f>
        <v>500000</v>
      </c>
      <c r="G6235" s="22">
        <f>IFERROR(__xludf.DUMMYFUNCTION("""COMPUTED_VALUE"""),0.0)</f>
        <v>0</v>
      </c>
      <c r="H6235" s="22">
        <f>IFERROR(__xludf.DUMMYFUNCTION("""COMPUTED_VALUE"""),500000.0)</f>
        <v>500000</v>
      </c>
      <c r="I6235" s="24">
        <f>IFERROR(__xludf.DUMMYFUNCTION("""COMPUTED_VALUE"""),0.0)</f>
        <v>0</v>
      </c>
    </row>
    <row r="6236">
      <c r="A6236" s="5" t="str">
        <f>IFERROR(__xludf.DUMMYFUNCTION("""COMPUTED_VALUE"""),"76975")</f>
        <v>76975</v>
      </c>
      <c r="B6236" s="64">
        <f>IFERROR(__xludf.DUMMYFUNCTION("""COMPUTED_VALUE"""),44597.0)</f>
        <v>44597</v>
      </c>
      <c r="C6236" s="5"/>
      <c r="D6236" s="5"/>
      <c r="E6236" s="5"/>
      <c r="F6236" s="22">
        <f>IFERROR(__xludf.DUMMYFUNCTION("""COMPUTED_VALUE"""),500000.0)</f>
        <v>500000</v>
      </c>
      <c r="G6236" s="22">
        <f>IFERROR(__xludf.DUMMYFUNCTION("""COMPUTED_VALUE"""),0.0)</f>
        <v>0</v>
      </c>
      <c r="H6236" s="22">
        <f>IFERROR(__xludf.DUMMYFUNCTION("""COMPUTED_VALUE"""),500000.0)</f>
        <v>500000</v>
      </c>
      <c r="I6236" s="24">
        <f>IFERROR(__xludf.DUMMYFUNCTION("""COMPUTED_VALUE"""),0.0)</f>
        <v>0</v>
      </c>
    </row>
    <row r="6237">
      <c r="A6237" s="5" t="str">
        <f>IFERROR(__xludf.DUMMYFUNCTION("""COMPUTED_VALUE"""),"76975")</f>
        <v>76975</v>
      </c>
      <c r="B6237" s="64">
        <f>IFERROR(__xludf.DUMMYFUNCTION("""COMPUTED_VALUE"""),44598.0)</f>
        <v>44598</v>
      </c>
      <c r="C6237" s="5"/>
      <c r="D6237" s="5"/>
      <c r="E6237" s="5"/>
      <c r="F6237" s="22">
        <f>IFERROR(__xludf.DUMMYFUNCTION("""COMPUTED_VALUE"""),500000.0)</f>
        <v>500000</v>
      </c>
      <c r="G6237" s="22">
        <f>IFERROR(__xludf.DUMMYFUNCTION("""COMPUTED_VALUE"""),0.0)</f>
        <v>0</v>
      </c>
      <c r="H6237" s="22">
        <f>IFERROR(__xludf.DUMMYFUNCTION("""COMPUTED_VALUE"""),500000.0)</f>
        <v>500000</v>
      </c>
      <c r="I6237" s="24">
        <f>IFERROR(__xludf.DUMMYFUNCTION("""COMPUTED_VALUE"""),0.0)</f>
        <v>0</v>
      </c>
    </row>
    <row r="6238">
      <c r="A6238" s="5" t="str">
        <f>IFERROR(__xludf.DUMMYFUNCTION("""COMPUTED_VALUE"""),"76975")</f>
        <v>76975</v>
      </c>
      <c r="B6238" s="64">
        <f>IFERROR(__xludf.DUMMYFUNCTION("""COMPUTED_VALUE"""),44599.0)</f>
        <v>44599</v>
      </c>
      <c r="C6238" s="5"/>
      <c r="D6238" s="5"/>
      <c r="E6238" s="5"/>
      <c r="F6238" s="22">
        <f>IFERROR(__xludf.DUMMYFUNCTION("""COMPUTED_VALUE"""),500000.0)</f>
        <v>500000</v>
      </c>
      <c r="G6238" s="22">
        <f>IFERROR(__xludf.DUMMYFUNCTION("""COMPUTED_VALUE"""),0.0)</f>
        <v>0</v>
      </c>
      <c r="H6238" s="22">
        <f>IFERROR(__xludf.DUMMYFUNCTION("""COMPUTED_VALUE"""),500000.0)</f>
        <v>500000</v>
      </c>
      <c r="I6238" s="24">
        <f>IFERROR(__xludf.DUMMYFUNCTION("""COMPUTED_VALUE"""),0.0)</f>
        <v>0</v>
      </c>
    </row>
    <row r="6239">
      <c r="A6239" s="5" t="str">
        <f>IFERROR(__xludf.DUMMYFUNCTION("""COMPUTED_VALUE"""),"76975")</f>
        <v>76975</v>
      </c>
      <c r="B6239" s="64">
        <f>IFERROR(__xludf.DUMMYFUNCTION("""COMPUTED_VALUE"""),44600.0)</f>
        <v>44600</v>
      </c>
      <c r="C6239" s="5"/>
      <c r="D6239" s="5"/>
      <c r="E6239" s="5"/>
      <c r="F6239" s="22">
        <f>IFERROR(__xludf.DUMMYFUNCTION("""COMPUTED_VALUE"""),500000.0)</f>
        <v>500000</v>
      </c>
      <c r="G6239" s="22">
        <f>IFERROR(__xludf.DUMMYFUNCTION("""COMPUTED_VALUE"""),0.0)</f>
        <v>0</v>
      </c>
      <c r="H6239" s="22">
        <f>IFERROR(__xludf.DUMMYFUNCTION("""COMPUTED_VALUE"""),500000.0)</f>
        <v>500000</v>
      </c>
      <c r="I6239" s="24">
        <f>IFERROR(__xludf.DUMMYFUNCTION("""COMPUTED_VALUE"""),0.0)</f>
        <v>0</v>
      </c>
    </row>
    <row r="6240">
      <c r="A6240" s="5" t="str">
        <f>IFERROR(__xludf.DUMMYFUNCTION("""COMPUTED_VALUE"""),"76975")</f>
        <v>76975</v>
      </c>
      <c r="B6240" s="64">
        <f>IFERROR(__xludf.DUMMYFUNCTION("""COMPUTED_VALUE"""),44601.0)</f>
        <v>44601</v>
      </c>
      <c r="C6240" s="5"/>
      <c r="D6240" s="5"/>
      <c r="E6240" s="5"/>
      <c r="F6240" s="22">
        <f>IFERROR(__xludf.DUMMYFUNCTION("""COMPUTED_VALUE"""),500000.0)</f>
        <v>500000</v>
      </c>
      <c r="G6240" s="22">
        <f>IFERROR(__xludf.DUMMYFUNCTION("""COMPUTED_VALUE"""),0.0)</f>
        <v>0</v>
      </c>
      <c r="H6240" s="22">
        <f>IFERROR(__xludf.DUMMYFUNCTION("""COMPUTED_VALUE"""),500000.0)</f>
        <v>500000</v>
      </c>
      <c r="I6240" s="24">
        <f>IFERROR(__xludf.DUMMYFUNCTION("""COMPUTED_VALUE"""),0.0)</f>
        <v>0</v>
      </c>
    </row>
    <row r="6241">
      <c r="A6241" s="5" t="str">
        <f>IFERROR(__xludf.DUMMYFUNCTION("""COMPUTED_VALUE"""),"76975")</f>
        <v>76975</v>
      </c>
      <c r="B6241" s="64">
        <f>IFERROR(__xludf.DUMMYFUNCTION("""COMPUTED_VALUE"""),44602.0)</f>
        <v>44602</v>
      </c>
      <c r="C6241" s="5"/>
      <c r="D6241" s="5"/>
      <c r="E6241" s="5"/>
      <c r="F6241" s="22">
        <f>IFERROR(__xludf.DUMMYFUNCTION("""COMPUTED_VALUE"""),500000.0)</f>
        <v>500000</v>
      </c>
      <c r="G6241" s="22">
        <f>IFERROR(__xludf.DUMMYFUNCTION("""COMPUTED_VALUE"""),0.0)</f>
        <v>0</v>
      </c>
      <c r="H6241" s="22">
        <f>IFERROR(__xludf.DUMMYFUNCTION("""COMPUTED_VALUE"""),500000.0)</f>
        <v>500000</v>
      </c>
      <c r="I6241" s="24">
        <f>IFERROR(__xludf.DUMMYFUNCTION("""COMPUTED_VALUE"""),0.0)</f>
        <v>0</v>
      </c>
    </row>
    <row r="6242">
      <c r="A6242" s="5" t="str">
        <f>IFERROR(__xludf.DUMMYFUNCTION("""COMPUTED_VALUE"""),"76975")</f>
        <v>76975</v>
      </c>
      <c r="B6242" s="64">
        <f>IFERROR(__xludf.DUMMYFUNCTION("""COMPUTED_VALUE"""),44603.0)</f>
        <v>44603</v>
      </c>
      <c r="C6242" s="5"/>
      <c r="D6242" s="5"/>
      <c r="E6242" s="5"/>
      <c r="F6242" s="22">
        <f>IFERROR(__xludf.DUMMYFUNCTION("""COMPUTED_VALUE"""),500000.0)</f>
        <v>500000</v>
      </c>
      <c r="G6242" s="22">
        <f>IFERROR(__xludf.DUMMYFUNCTION("""COMPUTED_VALUE"""),0.0)</f>
        <v>0</v>
      </c>
      <c r="H6242" s="22">
        <f>IFERROR(__xludf.DUMMYFUNCTION("""COMPUTED_VALUE"""),500000.0)</f>
        <v>500000</v>
      </c>
      <c r="I6242" s="24">
        <f>IFERROR(__xludf.DUMMYFUNCTION("""COMPUTED_VALUE"""),0.0)</f>
        <v>0</v>
      </c>
    </row>
    <row r="6243">
      <c r="A6243" s="5" t="str">
        <f>IFERROR(__xludf.DUMMYFUNCTION("""COMPUTED_VALUE"""),"76975")</f>
        <v>76975</v>
      </c>
      <c r="B6243" s="64">
        <f>IFERROR(__xludf.DUMMYFUNCTION("""COMPUTED_VALUE"""),44604.0)</f>
        <v>44604</v>
      </c>
      <c r="C6243" s="5"/>
      <c r="D6243" s="5"/>
      <c r="E6243" s="5"/>
      <c r="F6243" s="22">
        <f>IFERROR(__xludf.DUMMYFUNCTION("""COMPUTED_VALUE"""),500000.0)</f>
        <v>500000</v>
      </c>
      <c r="G6243" s="22">
        <f>IFERROR(__xludf.DUMMYFUNCTION("""COMPUTED_VALUE"""),0.0)</f>
        <v>0</v>
      </c>
      <c r="H6243" s="22">
        <f>IFERROR(__xludf.DUMMYFUNCTION("""COMPUTED_VALUE"""),500000.0)</f>
        <v>500000</v>
      </c>
      <c r="I6243" s="24">
        <f>IFERROR(__xludf.DUMMYFUNCTION("""COMPUTED_VALUE"""),0.0)</f>
        <v>0</v>
      </c>
    </row>
    <row r="6244">
      <c r="A6244" s="5" t="str">
        <f>IFERROR(__xludf.DUMMYFUNCTION("""COMPUTED_VALUE"""),"76975")</f>
        <v>76975</v>
      </c>
      <c r="B6244" s="64">
        <f>IFERROR(__xludf.DUMMYFUNCTION("""COMPUTED_VALUE"""),44605.0)</f>
        <v>44605</v>
      </c>
      <c r="C6244" s="5"/>
      <c r="D6244" s="5"/>
      <c r="E6244" s="5"/>
      <c r="F6244" s="22">
        <f>IFERROR(__xludf.DUMMYFUNCTION("""COMPUTED_VALUE"""),500000.0)</f>
        <v>500000</v>
      </c>
      <c r="G6244" s="22">
        <f>IFERROR(__xludf.DUMMYFUNCTION("""COMPUTED_VALUE"""),0.0)</f>
        <v>0</v>
      </c>
      <c r="H6244" s="22">
        <f>IFERROR(__xludf.DUMMYFUNCTION("""COMPUTED_VALUE"""),500000.0)</f>
        <v>500000</v>
      </c>
      <c r="I6244" s="24">
        <f>IFERROR(__xludf.DUMMYFUNCTION("""COMPUTED_VALUE"""),0.0)</f>
        <v>0</v>
      </c>
    </row>
    <row r="6245">
      <c r="A6245" s="5" t="str">
        <f>IFERROR(__xludf.DUMMYFUNCTION("""COMPUTED_VALUE"""),"76975")</f>
        <v>76975</v>
      </c>
      <c r="B6245" s="64">
        <f>IFERROR(__xludf.DUMMYFUNCTION("""COMPUTED_VALUE"""),44606.0)</f>
        <v>44606</v>
      </c>
      <c r="C6245" s="5"/>
      <c r="D6245" s="5"/>
      <c r="E6245" s="5"/>
      <c r="F6245" s="22">
        <f>IFERROR(__xludf.DUMMYFUNCTION("""COMPUTED_VALUE"""),500000.0)</f>
        <v>500000</v>
      </c>
      <c r="G6245" s="22">
        <f>IFERROR(__xludf.DUMMYFUNCTION("""COMPUTED_VALUE"""),0.0)</f>
        <v>0</v>
      </c>
      <c r="H6245" s="22">
        <f>IFERROR(__xludf.DUMMYFUNCTION("""COMPUTED_VALUE"""),500000.0)</f>
        <v>500000</v>
      </c>
      <c r="I6245" s="24">
        <f>IFERROR(__xludf.DUMMYFUNCTION("""COMPUTED_VALUE"""),0.0)</f>
        <v>0</v>
      </c>
    </row>
    <row r="6246">
      <c r="A6246" s="5" t="str">
        <f>IFERROR(__xludf.DUMMYFUNCTION("""COMPUTED_VALUE"""),"76975")</f>
        <v>76975</v>
      </c>
      <c r="B6246" s="64">
        <f>IFERROR(__xludf.DUMMYFUNCTION("""COMPUTED_VALUE"""),44607.0)</f>
        <v>44607</v>
      </c>
      <c r="C6246" s="5"/>
      <c r="D6246" s="5"/>
      <c r="E6246" s="5"/>
      <c r="F6246" s="22">
        <f>IFERROR(__xludf.DUMMYFUNCTION("""COMPUTED_VALUE"""),500000.0)</f>
        <v>500000</v>
      </c>
      <c r="G6246" s="22">
        <f>IFERROR(__xludf.DUMMYFUNCTION("""COMPUTED_VALUE"""),0.0)</f>
        <v>0</v>
      </c>
      <c r="H6246" s="22">
        <f>IFERROR(__xludf.DUMMYFUNCTION("""COMPUTED_VALUE"""),500000.0)</f>
        <v>500000</v>
      </c>
      <c r="I6246" s="24">
        <f>IFERROR(__xludf.DUMMYFUNCTION("""COMPUTED_VALUE"""),0.0)</f>
        <v>0</v>
      </c>
    </row>
    <row r="6247">
      <c r="A6247" s="5" t="str">
        <f>IFERROR(__xludf.DUMMYFUNCTION("""COMPUTED_VALUE"""),"76975")</f>
        <v>76975</v>
      </c>
      <c r="B6247" s="64">
        <f>IFERROR(__xludf.DUMMYFUNCTION("""COMPUTED_VALUE"""),44608.0)</f>
        <v>44608</v>
      </c>
      <c r="C6247" s="5"/>
      <c r="D6247" s="5"/>
      <c r="E6247" s="5"/>
      <c r="F6247" s="22">
        <f>IFERROR(__xludf.DUMMYFUNCTION("""COMPUTED_VALUE"""),500000.0)</f>
        <v>500000</v>
      </c>
      <c r="G6247" s="22">
        <f>IFERROR(__xludf.DUMMYFUNCTION("""COMPUTED_VALUE"""),0.0)</f>
        <v>0</v>
      </c>
      <c r="H6247" s="22">
        <f>IFERROR(__xludf.DUMMYFUNCTION("""COMPUTED_VALUE"""),500000.0)</f>
        <v>500000</v>
      </c>
      <c r="I6247" s="24">
        <f>IFERROR(__xludf.DUMMYFUNCTION("""COMPUTED_VALUE"""),0.0)</f>
        <v>0</v>
      </c>
    </row>
    <row r="6248">
      <c r="A6248" s="5" t="str">
        <f>IFERROR(__xludf.DUMMYFUNCTION("""COMPUTED_VALUE"""),"76975")</f>
        <v>76975</v>
      </c>
      <c r="B6248" s="64">
        <f>IFERROR(__xludf.DUMMYFUNCTION("""COMPUTED_VALUE"""),44609.0)</f>
        <v>44609</v>
      </c>
      <c r="C6248" s="5"/>
      <c r="D6248" s="5"/>
      <c r="E6248" s="5"/>
      <c r="F6248" s="22">
        <f>IFERROR(__xludf.DUMMYFUNCTION("""COMPUTED_VALUE"""),500000.0)</f>
        <v>500000</v>
      </c>
      <c r="G6248" s="22">
        <f>IFERROR(__xludf.DUMMYFUNCTION("""COMPUTED_VALUE"""),0.0)</f>
        <v>0</v>
      </c>
      <c r="H6248" s="22">
        <f>IFERROR(__xludf.DUMMYFUNCTION("""COMPUTED_VALUE"""),500000.0)</f>
        <v>500000</v>
      </c>
      <c r="I6248" s="24">
        <f>IFERROR(__xludf.DUMMYFUNCTION("""COMPUTED_VALUE"""),0.0)</f>
        <v>0</v>
      </c>
    </row>
    <row r="6249">
      <c r="A6249" s="5" t="str">
        <f>IFERROR(__xludf.DUMMYFUNCTION("""COMPUTED_VALUE"""),"76975")</f>
        <v>76975</v>
      </c>
      <c r="B6249" s="64">
        <f>IFERROR(__xludf.DUMMYFUNCTION("""COMPUTED_VALUE"""),44610.0)</f>
        <v>44610</v>
      </c>
      <c r="C6249" s="5"/>
      <c r="D6249" s="5"/>
      <c r="E6249" s="5"/>
      <c r="F6249" s="22">
        <f>IFERROR(__xludf.DUMMYFUNCTION("""COMPUTED_VALUE"""),500000.0)</f>
        <v>500000</v>
      </c>
      <c r="G6249" s="22">
        <f>IFERROR(__xludf.DUMMYFUNCTION("""COMPUTED_VALUE"""),0.0)</f>
        <v>0</v>
      </c>
      <c r="H6249" s="22">
        <f>IFERROR(__xludf.DUMMYFUNCTION("""COMPUTED_VALUE"""),498110.0)</f>
        <v>498110</v>
      </c>
      <c r="I6249" s="24">
        <f>IFERROR(__xludf.DUMMYFUNCTION("""COMPUTED_VALUE"""),-0.0037800000000000056)</f>
        <v>-0.00378</v>
      </c>
    </row>
    <row r="6250">
      <c r="A6250" s="5" t="str">
        <f>IFERROR(__xludf.DUMMYFUNCTION("""COMPUTED_VALUE"""),"76975")</f>
        <v>76975</v>
      </c>
      <c r="B6250" s="64">
        <f>IFERROR(__xludf.DUMMYFUNCTION("""COMPUTED_VALUE"""),44611.0)</f>
        <v>44611</v>
      </c>
      <c r="C6250" s="5"/>
      <c r="D6250" s="5"/>
      <c r="E6250" s="5"/>
      <c r="F6250" s="22">
        <f>IFERROR(__xludf.DUMMYFUNCTION("""COMPUTED_VALUE"""),500000.0)</f>
        <v>500000</v>
      </c>
      <c r="G6250" s="22">
        <f>IFERROR(__xludf.DUMMYFUNCTION("""COMPUTED_VALUE"""),0.0)</f>
        <v>0</v>
      </c>
      <c r="H6250" s="22">
        <f>IFERROR(__xludf.DUMMYFUNCTION("""COMPUTED_VALUE"""),498110.0)</f>
        <v>498110</v>
      </c>
      <c r="I6250" s="24">
        <f>IFERROR(__xludf.DUMMYFUNCTION("""COMPUTED_VALUE"""),-0.0037800000000000056)</f>
        <v>-0.00378</v>
      </c>
    </row>
    <row r="6251">
      <c r="A6251" s="5" t="str">
        <f>IFERROR(__xludf.DUMMYFUNCTION("""COMPUTED_VALUE"""),"76975")</f>
        <v>76975</v>
      </c>
      <c r="B6251" s="64">
        <f>IFERROR(__xludf.DUMMYFUNCTION("""COMPUTED_VALUE"""),44612.0)</f>
        <v>44612</v>
      </c>
      <c r="C6251" s="5"/>
      <c r="D6251" s="5"/>
      <c r="E6251" s="5"/>
      <c r="F6251" s="22">
        <f>IFERROR(__xludf.DUMMYFUNCTION("""COMPUTED_VALUE"""),500000.0)</f>
        <v>500000</v>
      </c>
      <c r="G6251" s="22">
        <f>IFERROR(__xludf.DUMMYFUNCTION("""COMPUTED_VALUE"""),0.0)</f>
        <v>0</v>
      </c>
      <c r="H6251" s="22">
        <f>IFERROR(__xludf.DUMMYFUNCTION("""COMPUTED_VALUE"""),498110.0)</f>
        <v>498110</v>
      </c>
      <c r="I6251" s="24">
        <f>IFERROR(__xludf.DUMMYFUNCTION("""COMPUTED_VALUE"""),-0.0037800000000000056)</f>
        <v>-0.00378</v>
      </c>
    </row>
    <row r="6252">
      <c r="A6252" s="5" t="str">
        <f>IFERROR(__xludf.DUMMYFUNCTION("""COMPUTED_VALUE"""),"76975")</f>
        <v>76975</v>
      </c>
      <c r="B6252" s="64">
        <f>IFERROR(__xludf.DUMMYFUNCTION("""COMPUTED_VALUE"""),44613.0)</f>
        <v>44613</v>
      </c>
      <c r="C6252" s="5"/>
      <c r="D6252" s="5"/>
      <c r="E6252" s="5"/>
      <c r="F6252" s="22">
        <f>IFERROR(__xludf.DUMMYFUNCTION("""COMPUTED_VALUE"""),500000.0)</f>
        <v>500000</v>
      </c>
      <c r="G6252" s="22">
        <f>IFERROR(__xludf.DUMMYFUNCTION("""COMPUTED_VALUE"""),0.0)</f>
        <v>0</v>
      </c>
      <c r="H6252" s="22">
        <f>IFERROR(__xludf.DUMMYFUNCTION("""COMPUTED_VALUE"""),492944.0)</f>
        <v>492944</v>
      </c>
      <c r="I6252" s="24">
        <f>IFERROR(__xludf.DUMMYFUNCTION("""COMPUTED_VALUE"""),-0.014112000000000013)</f>
        <v>-0.014112</v>
      </c>
    </row>
    <row r="6253">
      <c r="A6253" s="5" t="str">
        <f>IFERROR(__xludf.DUMMYFUNCTION("""COMPUTED_VALUE"""),"76975")</f>
        <v>76975</v>
      </c>
      <c r="B6253" s="64">
        <f>IFERROR(__xludf.DUMMYFUNCTION("""COMPUTED_VALUE"""),44614.0)</f>
        <v>44614</v>
      </c>
      <c r="C6253" s="5"/>
      <c r="D6253" s="5"/>
      <c r="E6253" s="5"/>
      <c r="F6253" s="22">
        <f>IFERROR(__xludf.DUMMYFUNCTION("""COMPUTED_VALUE"""),500000.0)</f>
        <v>500000</v>
      </c>
      <c r="G6253" s="22">
        <f>IFERROR(__xludf.DUMMYFUNCTION("""COMPUTED_VALUE"""),0.0)</f>
        <v>0</v>
      </c>
      <c r="H6253" s="22">
        <f>IFERROR(__xludf.DUMMYFUNCTION("""COMPUTED_VALUE"""),490334.0)</f>
        <v>490334</v>
      </c>
      <c r="I6253" s="24">
        <f>IFERROR(__xludf.DUMMYFUNCTION("""COMPUTED_VALUE"""),-0.019332000000000016)</f>
        <v>-0.019332</v>
      </c>
    </row>
    <row r="6254">
      <c r="A6254" s="5" t="str">
        <f>IFERROR(__xludf.DUMMYFUNCTION("""COMPUTED_VALUE"""),"76975")</f>
        <v>76975</v>
      </c>
      <c r="B6254" s="64">
        <f>IFERROR(__xludf.DUMMYFUNCTION("""COMPUTED_VALUE"""),44615.0)</f>
        <v>44615</v>
      </c>
      <c r="C6254" s="5"/>
      <c r="D6254" s="5"/>
      <c r="E6254" s="5"/>
      <c r="F6254" s="22">
        <f>IFERROR(__xludf.DUMMYFUNCTION("""COMPUTED_VALUE"""),500000.0)</f>
        <v>500000</v>
      </c>
      <c r="G6254" s="22">
        <f>IFERROR(__xludf.DUMMYFUNCTION("""COMPUTED_VALUE"""),0.0)</f>
        <v>0</v>
      </c>
      <c r="H6254" s="22">
        <f>IFERROR(__xludf.DUMMYFUNCTION("""COMPUTED_VALUE"""),491807.0)</f>
        <v>491807</v>
      </c>
      <c r="I6254" s="24">
        <f>IFERROR(__xludf.DUMMYFUNCTION("""COMPUTED_VALUE"""),-0.01638600000000001)</f>
        <v>-0.016386</v>
      </c>
    </row>
    <row r="6255">
      <c r="A6255" s="5" t="str">
        <f>IFERROR(__xludf.DUMMYFUNCTION("""COMPUTED_VALUE"""),"76975")</f>
        <v>76975</v>
      </c>
      <c r="B6255" s="64">
        <f>IFERROR(__xludf.DUMMYFUNCTION("""COMPUTED_VALUE"""),44616.0)</f>
        <v>44616</v>
      </c>
      <c r="C6255" s="5"/>
      <c r="D6255" s="5"/>
      <c r="E6255" s="5"/>
      <c r="F6255" s="22">
        <f>IFERROR(__xludf.DUMMYFUNCTION("""COMPUTED_VALUE"""),500000.0)</f>
        <v>500000</v>
      </c>
      <c r="G6255" s="22">
        <f>IFERROR(__xludf.DUMMYFUNCTION("""COMPUTED_VALUE"""),0.0)</f>
        <v>0</v>
      </c>
      <c r="H6255" s="22">
        <f>IFERROR(__xludf.DUMMYFUNCTION("""COMPUTED_VALUE"""),486467.0)</f>
        <v>486467</v>
      </c>
      <c r="I6255" s="24">
        <f>IFERROR(__xludf.DUMMYFUNCTION("""COMPUTED_VALUE"""),-0.027066000000000034)</f>
        <v>-0.027066</v>
      </c>
    </row>
    <row r="6256">
      <c r="A6256" s="5" t="str">
        <f>IFERROR(__xludf.DUMMYFUNCTION("""COMPUTED_VALUE"""),"76975")</f>
        <v>76975</v>
      </c>
      <c r="B6256" s="64">
        <f>IFERROR(__xludf.DUMMYFUNCTION("""COMPUTED_VALUE"""),44617.0)</f>
        <v>44617</v>
      </c>
      <c r="C6256" s="5"/>
      <c r="D6256" s="5"/>
      <c r="E6256" s="5"/>
      <c r="F6256" s="22">
        <f>IFERROR(__xludf.DUMMYFUNCTION("""COMPUTED_VALUE"""),500000.0)</f>
        <v>500000</v>
      </c>
      <c r="G6256" s="22">
        <f>IFERROR(__xludf.DUMMYFUNCTION("""COMPUTED_VALUE"""),0.0)</f>
        <v>0</v>
      </c>
      <c r="H6256" s="22">
        <f>IFERROR(__xludf.DUMMYFUNCTION("""COMPUTED_VALUE"""),485669.0)</f>
        <v>485669</v>
      </c>
      <c r="I6256" s="24">
        <f>IFERROR(__xludf.DUMMYFUNCTION("""COMPUTED_VALUE"""),-0.028661999999999965)</f>
        <v>-0.028662</v>
      </c>
    </row>
    <row r="6257">
      <c r="A6257" s="5" t="str">
        <f>IFERROR(__xludf.DUMMYFUNCTION("""COMPUTED_VALUE"""),"76975")</f>
        <v>76975</v>
      </c>
      <c r="B6257" s="64">
        <f>IFERROR(__xludf.DUMMYFUNCTION("""COMPUTED_VALUE"""),44618.0)</f>
        <v>44618</v>
      </c>
      <c r="C6257" s="5"/>
      <c r="D6257" s="5"/>
      <c r="E6257" s="5"/>
      <c r="F6257" s="22">
        <f>IFERROR(__xludf.DUMMYFUNCTION("""COMPUTED_VALUE"""),500000.0)</f>
        <v>500000</v>
      </c>
      <c r="G6257" s="22">
        <f>IFERROR(__xludf.DUMMYFUNCTION("""COMPUTED_VALUE"""),0.0)</f>
        <v>0</v>
      </c>
      <c r="H6257" s="22">
        <f>IFERROR(__xludf.DUMMYFUNCTION("""COMPUTED_VALUE"""),485669.0)</f>
        <v>485669</v>
      </c>
      <c r="I6257" s="24">
        <f>IFERROR(__xludf.DUMMYFUNCTION("""COMPUTED_VALUE"""),-0.028661999999999965)</f>
        <v>-0.028662</v>
      </c>
    </row>
    <row r="6258">
      <c r="A6258" s="5" t="str">
        <f>IFERROR(__xludf.DUMMYFUNCTION("""COMPUTED_VALUE"""),"76975")</f>
        <v>76975</v>
      </c>
      <c r="B6258" s="64">
        <f>IFERROR(__xludf.DUMMYFUNCTION("""COMPUTED_VALUE"""),44619.0)</f>
        <v>44619</v>
      </c>
      <c r="C6258" s="5"/>
      <c r="D6258" s="5"/>
      <c r="E6258" s="5"/>
      <c r="F6258" s="22">
        <f>IFERROR(__xludf.DUMMYFUNCTION("""COMPUTED_VALUE"""),500000.0)</f>
        <v>500000</v>
      </c>
      <c r="G6258" s="22">
        <f>IFERROR(__xludf.DUMMYFUNCTION("""COMPUTED_VALUE"""),0.0)</f>
        <v>0</v>
      </c>
      <c r="H6258" s="22">
        <f>IFERROR(__xludf.DUMMYFUNCTION("""COMPUTED_VALUE"""),485669.0)</f>
        <v>485669</v>
      </c>
      <c r="I6258" s="24">
        <f>IFERROR(__xludf.DUMMYFUNCTION("""COMPUTED_VALUE"""),-0.028661999999999965)</f>
        <v>-0.028662</v>
      </c>
    </row>
    <row r="6259">
      <c r="A6259" s="5" t="str">
        <f>IFERROR(__xludf.DUMMYFUNCTION("""COMPUTED_VALUE"""),"76975")</f>
        <v>76975</v>
      </c>
      <c r="B6259" s="64">
        <f>IFERROR(__xludf.DUMMYFUNCTION("""COMPUTED_VALUE"""),44620.0)</f>
        <v>44620</v>
      </c>
      <c r="C6259" s="5"/>
      <c r="D6259" s="5"/>
      <c r="E6259" s="5"/>
      <c r="F6259" s="22">
        <f>IFERROR(__xludf.DUMMYFUNCTION("""COMPUTED_VALUE"""),500000.0)</f>
        <v>500000</v>
      </c>
      <c r="G6259" s="22">
        <f>IFERROR(__xludf.DUMMYFUNCTION("""COMPUTED_VALUE"""),0.0)</f>
        <v>0</v>
      </c>
      <c r="H6259" s="22">
        <f>IFERROR(__xludf.DUMMYFUNCTION("""COMPUTED_VALUE"""),485621.0)</f>
        <v>485621</v>
      </c>
      <c r="I6259" s="24">
        <f>IFERROR(__xludf.DUMMYFUNCTION("""COMPUTED_VALUE"""),-0.02875799999999995)</f>
        <v>-0.028758</v>
      </c>
    </row>
    <row r="6260">
      <c r="A6260" s="5" t="str">
        <f>IFERROR(__xludf.DUMMYFUNCTION("""COMPUTED_VALUE"""),"76975")</f>
        <v>76975</v>
      </c>
      <c r="B6260" s="64">
        <f>IFERROR(__xludf.DUMMYFUNCTION("""COMPUTED_VALUE"""),44621.0)</f>
        <v>44621</v>
      </c>
      <c r="C6260" s="5"/>
      <c r="D6260" s="5"/>
      <c r="E6260" s="5"/>
      <c r="F6260" s="22">
        <f>IFERROR(__xludf.DUMMYFUNCTION("""COMPUTED_VALUE"""),281927.17922)</f>
        <v>281927.1792</v>
      </c>
      <c r="G6260" s="22">
        <f>IFERROR(__xludf.DUMMYFUNCTION("""COMPUTED_VALUE"""),0.0)</f>
        <v>0</v>
      </c>
      <c r="H6260" s="22">
        <f>IFERROR(__xludf.DUMMYFUNCTION("""COMPUTED_VALUE"""),488003.0)</f>
        <v>488003</v>
      </c>
      <c r="I6260" s="24">
        <f>IFERROR(__xludf.DUMMYFUNCTION("""COMPUTED_VALUE"""),-0.02399399999999996)</f>
        <v>-0.023994</v>
      </c>
    </row>
    <row r="6261">
      <c r="A6261" s="5" t="str">
        <f>IFERROR(__xludf.DUMMYFUNCTION("""COMPUTED_VALUE"""),"76975")</f>
        <v>76975</v>
      </c>
      <c r="B6261" s="64">
        <f>IFERROR(__xludf.DUMMYFUNCTION("""COMPUTED_VALUE"""),44622.0)</f>
        <v>44622</v>
      </c>
      <c r="C6261" s="5"/>
      <c r="D6261" s="5"/>
      <c r="E6261" s="5"/>
      <c r="F6261" s="22">
        <f>IFERROR(__xludf.DUMMYFUNCTION("""COMPUTED_VALUE"""),281927.17922)</f>
        <v>281927.1792</v>
      </c>
      <c r="G6261" s="22">
        <f>IFERROR(__xludf.DUMMYFUNCTION("""COMPUTED_VALUE"""),0.0)</f>
        <v>0</v>
      </c>
      <c r="H6261" s="22">
        <f>IFERROR(__xludf.DUMMYFUNCTION("""COMPUTED_VALUE"""),485800.77613400004)</f>
        <v>485800.7761</v>
      </c>
      <c r="I6261" s="24">
        <f>IFERROR(__xludf.DUMMYFUNCTION("""COMPUTED_VALUE"""),-0.028398447731999954)</f>
        <v>-0.02839844773</v>
      </c>
    </row>
    <row r="6262">
      <c r="A6262" s="5" t="str">
        <f>IFERROR(__xludf.DUMMYFUNCTION("""COMPUTED_VALUE"""),"76975")</f>
        <v>76975</v>
      </c>
      <c r="B6262" s="64">
        <f>IFERROR(__xludf.DUMMYFUNCTION("""COMPUTED_VALUE"""),44623.0)</f>
        <v>44623</v>
      </c>
      <c r="C6262" s="5"/>
      <c r="D6262" s="5"/>
      <c r="E6262" s="5"/>
      <c r="F6262" s="22">
        <f>IFERROR(__xludf.DUMMYFUNCTION("""COMPUTED_VALUE"""),281927.17922)</f>
        <v>281927.1792</v>
      </c>
      <c r="G6262" s="22">
        <f>IFERROR(__xludf.DUMMYFUNCTION("""COMPUTED_VALUE"""),0.0)</f>
        <v>0</v>
      </c>
      <c r="H6262" s="22">
        <f>IFERROR(__xludf.DUMMYFUNCTION("""COMPUTED_VALUE"""),479974.70559800003)</f>
        <v>479974.7056</v>
      </c>
      <c r="I6262" s="24">
        <f>IFERROR(__xludf.DUMMYFUNCTION("""COMPUTED_VALUE"""),-0.04005058880399992)</f>
        <v>-0.0400505888</v>
      </c>
    </row>
    <row r="6263">
      <c r="A6263" s="5" t="str">
        <f>IFERROR(__xludf.DUMMYFUNCTION("""COMPUTED_VALUE"""),"76975")</f>
        <v>76975</v>
      </c>
      <c r="B6263" s="64">
        <f>IFERROR(__xludf.DUMMYFUNCTION("""COMPUTED_VALUE"""),44624.0)</f>
        <v>44624</v>
      </c>
      <c r="C6263" s="5"/>
      <c r="D6263" s="5"/>
      <c r="E6263" s="5"/>
      <c r="F6263" s="22">
        <f>IFERROR(__xludf.DUMMYFUNCTION("""COMPUTED_VALUE"""),281927.17922)</f>
        <v>281927.1792</v>
      </c>
      <c r="G6263" s="22">
        <f>IFERROR(__xludf.DUMMYFUNCTION("""COMPUTED_VALUE"""),0.0)</f>
        <v>0</v>
      </c>
      <c r="H6263" s="22">
        <f>IFERROR(__xludf.DUMMYFUNCTION("""COMPUTED_VALUE"""),468312.024014)</f>
        <v>468312.024</v>
      </c>
      <c r="I6263" s="24">
        <f>IFERROR(__xludf.DUMMYFUNCTION("""COMPUTED_VALUE"""),-0.06337595197199997)</f>
        <v>-0.06337595197</v>
      </c>
    </row>
    <row r="6264">
      <c r="A6264" s="5" t="str">
        <f>IFERROR(__xludf.DUMMYFUNCTION("""COMPUTED_VALUE"""),"76975")</f>
        <v>76975</v>
      </c>
      <c r="B6264" s="64">
        <f>IFERROR(__xludf.DUMMYFUNCTION("""COMPUTED_VALUE"""),44625.0)</f>
        <v>44625</v>
      </c>
      <c r="C6264" s="5"/>
      <c r="D6264" s="5"/>
      <c r="E6264" s="5"/>
      <c r="F6264" s="22">
        <f>IFERROR(__xludf.DUMMYFUNCTION("""COMPUTED_VALUE"""),281927.17922)</f>
        <v>281927.1792</v>
      </c>
      <c r="G6264" s="22">
        <f>IFERROR(__xludf.DUMMYFUNCTION("""COMPUTED_VALUE"""),0.0)</f>
        <v>0</v>
      </c>
      <c r="H6264" s="22">
        <f>IFERROR(__xludf.DUMMYFUNCTION("""COMPUTED_VALUE"""),468312.024014)</f>
        <v>468312.024</v>
      </c>
      <c r="I6264" s="24">
        <f>IFERROR(__xludf.DUMMYFUNCTION("""COMPUTED_VALUE"""),-0.06337595197199997)</f>
        <v>-0.06337595197</v>
      </c>
    </row>
    <row r="6265">
      <c r="A6265" s="5" t="str">
        <f>IFERROR(__xludf.DUMMYFUNCTION("""COMPUTED_VALUE"""),"76975")</f>
        <v>76975</v>
      </c>
      <c r="B6265" s="64">
        <f>IFERROR(__xludf.DUMMYFUNCTION("""COMPUTED_VALUE"""),44626.0)</f>
        <v>44626</v>
      </c>
      <c r="C6265" s="5"/>
      <c r="D6265" s="5"/>
      <c r="E6265" s="5"/>
      <c r="F6265" s="22">
        <f>IFERROR(__xludf.DUMMYFUNCTION("""COMPUTED_VALUE"""),281927.17922)</f>
        <v>281927.1792</v>
      </c>
      <c r="G6265" s="22">
        <f>IFERROR(__xludf.DUMMYFUNCTION("""COMPUTED_VALUE"""),0.0)</f>
        <v>0</v>
      </c>
      <c r="H6265" s="22">
        <f>IFERROR(__xludf.DUMMYFUNCTION("""COMPUTED_VALUE"""),468312.024014)</f>
        <v>468312.024</v>
      </c>
      <c r="I6265" s="24">
        <f>IFERROR(__xludf.DUMMYFUNCTION("""COMPUTED_VALUE"""),-0.06337595197199997)</f>
        <v>-0.06337595197</v>
      </c>
    </row>
    <row r="6266">
      <c r="A6266" s="5" t="str">
        <f>IFERROR(__xludf.DUMMYFUNCTION("""COMPUTED_VALUE"""),"76975")</f>
        <v>76975</v>
      </c>
      <c r="B6266" s="64">
        <f>IFERROR(__xludf.DUMMYFUNCTION("""COMPUTED_VALUE"""),44627.0)</f>
        <v>44627</v>
      </c>
      <c r="C6266" s="5"/>
      <c r="D6266" s="5"/>
      <c r="E6266" s="5"/>
      <c r="F6266" s="22">
        <f>IFERROR(__xludf.DUMMYFUNCTION("""COMPUTED_VALUE"""),281927.17922)</f>
        <v>281927.1792</v>
      </c>
      <c r="G6266" s="22">
        <f>IFERROR(__xludf.DUMMYFUNCTION("""COMPUTED_VALUE"""),0.0)</f>
        <v>0</v>
      </c>
      <c r="H6266" s="22">
        <f>IFERROR(__xludf.DUMMYFUNCTION("""COMPUTED_VALUE"""),455394.681452)</f>
        <v>455394.6815</v>
      </c>
      <c r="I6266" s="24">
        <f>IFERROR(__xludf.DUMMYFUNCTION("""COMPUTED_VALUE"""),-0.08921063709599997)</f>
        <v>-0.0892106371</v>
      </c>
    </row>
    <row r="6267">
      <c r="A6267" s="5" t="str">
        <f>IFERROR(__xludf.DUMMYFUNCTION("""COMPUTED_VALUE"""),"76975")</f>
        <v>76975</v>
      </c>
      <c r="B6267" s="64">
        <f>IFERROR(__xludf.DUMMYFUNCTION("""COMPUTED_VALUE"""),44628.0)</f>
        <v>44628</v>
      </c>
      <c r="C6267" s="5"/>
      <c r="D6267" s="5"/>
      <c r="E6267" s="5"/>
      <c r="F6267" s="22">
        <f>IFERROR(__xludf.DUMMYFUNCTION("""COMPUTED_VALUE"""),281927.17922)</f>
        <v>281927.1792</v>
      </c>
      <c r="G6267" s="22">
        <f>IFERROR(__xludf.DUMMYFUNCTION("""COMPUTED_VALUE"""),0.0)</f>
        <v>0</v>
      </c>
      <c r="H6267" s="22">
        <f>IFERROR(__xludf.DUMMYFUNCTION("""COMPUTED_VALUE"""),451905.330674)</f>
        <v>451905.3307</v>
      </c>
      <c r="I6267" s="24">
        <f>IFERROR(__xludf.DUMMYFUNCTION("""COMPUTED_VALUE"""),-0.09618933865199997)</f>
        <v>-0.09618933865</v>
      </c>
    </row>
    <row r="6268">
      <c r="A6268" s="5" t="str">
        <f>IFERROR(__xludf.DUMMYFUNCTION("""COMPUTED_VALUE"""),"76975")</f>
        <v>76975</v>
      </c>
      <c r="B6268" s="64">
        <f>IFERROR(__xludf.DUMMYFUNCTION("""COMPUTED_VALUE"""),44629.0)</f>
        <v>44629</v>
      </c>
      <c r="C6268" s="5"/>
      <c r="D6268" s="5"/>
      <c r="E6268" s="5"/>
      <c r="F6268" s="22">
        <f>IFERROR(__xludf.DUMMYFUNCTION("""COMPUTED_VALUE"""),281927.17922)</f>
        <v>281927.1792</v>
      </c>
      <c r="G6268" s="22">
        <f>IFERROR(__xludf.DUMMYFUNCTION("""COMPUTED_VALUE"""),0.0)</f>
        <v>0</v>
      </c>
      <c r="H6268" s="22">
        <f>IFERROR(__xludf.DUMMYFUNCTION("""COMPUTED_VALUE"""),457138.92706)</f>
        <v>457138.9271</v>
      </c>
      <c r="I6268" s="24">
        <f>IFERROR(__xludf.DUMMYFUNCTION("""COMPUTED_VALUE"""),-0.08572214587999993)</f>
        <v>-0.08572214588</v>
      </c>
    </row>
    <row r="6269">
      <c r="A6269" s="5" t="str">
        <f>IFERROR(__xludf.DUMMYFUNCTION("""COMPUTED_VALUE"""),"76975")</f>
        <v>76975</v>
      </c>
      <c r="B6269" s="64">
        <f>IFERROR(__xludf.DUMMYFUNCTION("""COMPUTED_VALUE"""),44630.0)</f>
        <v>44630</v>
      </c>
      <c r="C6269" s="5"/>
      <c r="D6269" s="5"/>
      <c r="E6269" s="5"/>
      <c r="F6269" s="22">
        <f>IFERROR(__xludf.DUMMYFUNCTION("""COMPUTED_VALUE"""),281927.17922)</f>
        <v>281927.1792</v>
      </c>
      <c r="G6269" s="22">
        <f>IFERROR(__xludf.DUMMYFUNCTION("""COMPUTED_VALUE"""),0.0)</f>
        <v>0</v>
      </c>
      <c r="H6269" s="22">
        <f>IFERROR(__xludf.DUMMYFUNCTION("""COMPUTED_VALUE"""),456095.92706)</f>
        <v>456095.9271</v>
      </c>
      <c r="I6269" s="24">
        <f>IFERROR(__xludf.DUMMYFUNCTION("""COMPUTED_VALUE"""),-0.08780814587999997)</f>
        <v>-0.08780814588</v>
      </c>
    </row>
    <row r="6270">
      <c r="A6270" s="5" t="str">
        <f>IFERROR(__xludf.DUMMYFUNCTION("""COMPUTED_VALUE"""),"76975")</f>
        <v>76975</v>
      </c>
      <c r="B6270" s="64">
        <f>IFERROR(__xludf.DUMMYFUNCTION("""COMPUTED_VALUE"""),44631.0)</f>
        <v>44631</v>
      </c>
      <c r="C6270" s="5"/>
      <c r="D6270" s="5"/>
      <c r="E6270" s="5"/>
      <c r="F6270" s="22">
        <f>IFERROR(__xludf.DUMMYFUNCTION("""COMPUTED_VALUE"""),281927.17922)</f>
        <v>281927.1792</v>
      </c>
      <c r="G6270" s="22">
        <f>IFERROR(__xludf.DUMMYFUNCTION("""COMPUTED_VALUE"""),0.0)</f>
        <v>0</v>
      </c>
      <c r="H6270" s="22">
        <f>IFERROR(__xludf.DUMMYFUNCTION("""COMPUTED_VALUE"""),430056.837054)</f>
        <v>430056.8371</v>
      </c>
      <c r="I6270" s="24">
        <f>IFERROR(__xludf.DUMMYFUNCTION("""COMPUTED_VALUE"""),-0.139886325892)</f>
        <v>-0.1398863259</v>
      </c>
    </row>
    <row r="6271">
      <c r="A6271" s="5" t="str">
        <f>IFERROR(__xludf.DUMMYFUNCTION("""COMPUTED_VALUE"""),"76975")</f>
        <v>76975</v>
      </c>
      <c r="B6271" s="64">
        <f>IFERROR(__xludf.DUMMYFUNCTION("""COMPUTED_VALUE"""),44632.0)</f>
        <v>44632</v>
      </c>
      <c r="C6271" s="5"/>
      <c r="D6271" s="5"/>
      <c r="E6271" s="5"/>
      <c r="F6271" s="22">
        <f>IFERROR(__xludf.DUMMYFUNCTION("""COMPUTED_VALUE"""),281927.17922)</f>
        <v>281927.1792</v>
      </c>
      <c r="G6271" s="22">
        <f>IFERROR(__xludf.DUMMYFUNCTION("""COMPUTED_VALUE"""),0.0)</f>
        <v>0</v>
      </c>
      <c r="H6271" s="22">
        <f>IFERROR(__xludf.DUMMYFUNCTION("""COMPUTED_VALUE"""),430056.837054)</f>
        <v>430056.8371</v>
      </c>
      <c r="I6271" s="24">
        <f>IFERROR(__xludf.DUMMYFUNCTION("""COMPUTED_VALUE"""),-0.139886325892)</f>
        <v>-0.1398863259</v>
      </c>
    </row>
    <row r="6272">
      <c r="A6272" s="5" t="str">
        <f>IFERROR(__xludf.DUMMYFUNCTION("""COMPUTED_VALUE"""),"76975")</f>
        <v>76975</v>
      </c>
      <c r="B6272" s="64">
        <f>IFERROR(__xludf.DUMMYFUNCTION("""COMPUTED_VALUE"""),44633.0)</f>
        <v>44633</v>
      </c>
      <c r="C6272" s="5"/>
      <c r="D6272" s="5"/>
      <c r="E6272" s="5"/>
      <c r="F6272" s="22">
        <f>IFERROR(__xludf.DUMMYFUNCTION("""COMPUTED_VALUE"""),281927.17922)</f>
        <v>281927.1792</v>
      </c>
      <c r="G6272" s="22">
        <f>IFERROR(__xludf.DUMMYFUNCTION("""COMPUTED_VALUE"""),0.0)</f>
        <v>0</v>
      </c>
      <c r="H6272" s="22">
        <f>IFERROR(__xludf.DUMMYFUNCTION("""COMPUTED_VALUE"""),430056.837054)</f>
        <v>430056.8371</v>
      </c>
      <c r="I6272" s="24">
        <f>IFERROR(__xludf.DUMMYFUNCTION("""COMPUTED_VALUE"""),-0.139886325892)</f>
        <v>-0.1398863259</v>
      </c>
    </row>
    <row r="6273">
      <c r="A6273" s="5" t="str">
        <f>IFERROR(__xludf.DUMMYFUNCTION("""COMPUTED_VALUE"""),"76975")</f>
        <v>76975</v>
      </c>
      <c r="B6273" s="64">
        <f>IFERROR(__xludf.DUMMYFUNCTION("""COMPUTED_VALUE"""),44634.0)</f>
        <v>44634</v>
      </c>
      <c r="C6273" s="5"/>
      <c r="D6273" s="5"/>
      <c r="E6273" s="5"/>
      <c r="F6273" s="22">
        <f>IFERROR(__xludf.DUMMYFUNCTION("""COMPUTED_VALUE"""),281927.17922)</f>
        <v>281927.1792</v>
      </c>
      <c r="G6273" s="22">
        <f>IFERROR(__xludf.DUMMYFUNCTION("""COMPUTED_VALUE"""),0.0)</f>
        <v>0</v>
      </c>
      <c r="H6273" s="22">
        <f>IFERROR(__xludf.DUMMYFUNCTION("""COMPUTED_VALUE"""),397924.459224)</f>
        <v>397924.4592</v>
      </c>
      <c r="I6273" s="24">
        <f>IFERROR(__xludf.DUMMYFUNCTION("""COMPUTED_VALUE"""),-0.204151081552)</f>
        <v>-0.2041510816</v>
      </c>
    </row>
    <row r="6274">
      <c r="A6274" s="5" t="str">
        <f>IFERROR(__xludf.DUMMYFUNCTION("""COMPUTED_VALUE"""),"76975")</f>
        <v>76975</v>
      </c>
      <c r="B6274" s="64">
        <f>IFERROR(__xludf.DUMMYFUNCTION("""COMPUTED_VALUE"""),44635.0)</f>
        <v>44635</v>
      </c>
      <c r="C6274" s="5"/>
      <c r="D6274" s="5"/>
      <c r="E6274" s="5"/>
      <c r="F6274" s="22">
        <f>IFERROR(__xludf.DUMMYFUNCTION("""COMPUTED_VALUE"""),281927.17922)</f>
        <v>281927.1792</v>
      </c>
      <c r="G6274" s="22">
        <f>IFERROR(__xludf.DUMMYFUNCTION("""COMPUTED_VALUE"""),0.0)</f>
        <v>0</v>
      </c>
      <c r="H6274" s="22">
        <f>IFERROR(__xludf.DUMMYFUNCTION("""COMPUTED_VALUE"""),379051.664888)</f>
        <v>379051.6649</v>
      </c>
      <c r="I6274" s="24">
        <f>IFERROR(__xludf.DUMMYFUNCTION("""COMPUTED_VALUE"""),-0.24189667022399997)</f>
        <v>-0.2418966702</v>
      </c>
    </row>
    <row r="6275">
      <c r="A6275" s="5" t="str">
        <f>IFERROR(__xludf.DUMMYFUNCTION("""COMPUTED_VALUE"""),"76975")</f>
        <v>76975</v>
      </c>
      <c r="B6275" s="64">
        <f>IFERROR(__xludf.DUMMYFUNCTION("""COMPUTED_VALUE"""),44636.0)</f>
        <v>44636</v>
      </c>
      <c r="C6275" s="5"/>
      <c r="D6275" s="5"/>
      <c r="E6275" s="5"/>
      <c r="F6275" s="22">
        <f>IFERROR(__xludf.DUMMYFUNCTION("""COMPUTED_VALUE"""),281927.17922)</f>
        <v>281927.1792</v>
      </c>
      <c r="G6275" s="22">
        <f>IFERROR(__xludf.DUMMYFUNCTION("""COMPUTED_VALUE"""),0.0)</f>
        <v>0</v>
      </c>
      <c r="H6275" s="22">
        <f>IFERROR(__xludf.DUMMYFUNCTION("""COMPUTED_VALUE"""),445917.593348)</f>
        <v>445917.5933</v>
      </c>
      <c r="I6275" s="24">
        <f>IFERROR(__xludf.DUMMYFUNCTION("""COMPUTED_VALUE"""),-0.10816481330399996)</f>
        <v>-0.1081648133</v>
      </c>
    </row>
    <row r="6276">
      <c r="A6276" s="5" t="str">
        <f>IFERROR(__xludf.DUMMYFUNCTION("""COMPUTED_VALUE"""),"76975")</f>
        <v>76975</v>
      </c>
      <c r="B6276" s="64">
        <f>IFERROR(__xludf.DUMMYFUNCTION("""COMPUTED_VALUE"""),44637.0)</f>
        <v>44637</v>
      </c>
      <c r="C6276" s="5"/>
      <c r="D6276" s="5"/>
      <c r="E6276" s="5"/>
      <c r="F6276" s="22">
        <f>IFERROR(__xludf.DUMMYFUNCTION("""COMPUTED_VALUE"""),281927.17922)</f>
        <v>281927.1792</v>
      </c>
      <c r="G6276" s="22">
        <f>IFERROR(__xludf.DUMMYFUNCTION("""COMPUTED_VALUE"""),0.0)</f>
        <v>0</v>
      </c>
      <c r="H6276" s="22">
        <f>IFERROR(__xludf.DUMMYFUNCTION("""COMPUTED_VALUE"""),462124.494624)</f>
        <v>462124.4946</v>
      </c>
      <c r="I6276" s="24">
        <f>IFERROR(__xludf.DUMMYFUNCTION("""COMPUTED_VALUE"""),-0.07575101075200008)</f>
        <v>-0.07575101075</v>
      </c>
    </row>
    <row r="6277">
      <c r="A6277" s="5" t="str">
        <f>IFERROR(__xludf.DUMMYFUNCTION("""COMPUTED_VALUE"""),"76975")</f>
        <v>76975</v>
      </c>
      <c r="B6277" s="64">
        <f>IFERROR(__xludf.DUMMYFUNCTION("""COMPUTED_VALUE"""),44638.0)</f>
        <v>44638</v>
      </c>
      <c r="C6277" s="5"/>
      <c r="D6277" s="5"/>
      <c r="E6277" s="5"/>
      <c r="F6277" s="22">
        <f>IFERROR(__xludf.DUMMYFUNCTION("""COMPUTED_VALUE"""),281927.17922)</f>
        <v>281927.1792</v>
      </c>
      <c r="G6277" s="22">
        <f>IFERROR(__xludf.DUMMYFUNCTION("""COMPUTED_VALUE"""),0.0)</f>
        <v>0</v>
      </c>
      <c r="H6277" s="22">
        <f>IFERROR(__xludf.DUMMYFUNCTION("""COMPUTED_VALUE"""),458753.384778)</f>
        <v>458753.3848</v>
      </c>
      <c r="I6277" s="24">
        <f>IFERROR(__xludf.DUMMYFUNCTION("""COMPUTED_VALUE"""),-0.08249323044400003)</f>
        <v>-0.08249323044</v>
      </c>
    </row>
    <row r="6278">
      <c r="A6278" s="5" t="str">
        <f>IFERROR(__xludf.DUMMYFUNCTION("""COMPUTED_VALUE"""),"76975")</f>
        <v>76975</v>
      </c>
      <c r="B6278" s="64">
        <f>IFERROR(__xludf.DUMMYFUNCTION("""COMPUTED_VALUE"""),44639.0)</f>
        <v>44639</v>
      </c>
      <c r="C6278" s="5"/>
      <c r="D6278" s="5"/>
      <c r="E6278" s="5"/>
      <c r="F6278" s="22">
        <f>IFERROR(__xludf.DUMMYFUNCTION("""COMPUTED_VALUE"""),281927.17922)</f>
        <v>281927.1792</v>
      </c>
      <c r="G6278" s="22">
        <f>IFERROR(__xludf.DUMMYFUNCTION("""COMPUTED_VALUE"""),0.0)</f>
        <v>0</v>
      </c>
      <c r="H6278" s="22">
        <f>IFERROR(__xludf.DUMMYFUNCTION("""COMPUTED_VALUE"""),458753.384778)</f>
        <v>458753.3848</v>
      </c>
      <c r="I6278" s="24">
        <f>IFERROR(__xludf.DUMMYFUNCTION("""COMPUTED_VALUE"""),-0.08249323044400003)</f>
        <v>-0.08249323044</v>
      </c>
    </row>
    <row r="6279">
      <c r="A6279" s="5" t="str">
        <f>IFERROR(__xludf.DUMMYFUNCTION("""COMPUTED_VALUE"""),"76975")</f>
        <v>76975</v>
      </c>
      <c r="B6279" s="64">
        <f>IFERROR(__xludf.DUMMYFUNCTION("""COMPUTED_VALUE"""),44640.0)</f>
        <v>44640</v>
      </c>
      <c r="C6279" s="5"/>
      <c r="D6279" s="5"/>
      <c r="E6279" s="5"/>
      <c r="F6279" s="22">
        <f>IFERROR(__xludf.DUMMYFUNCTION("""COMPUTED_VALUE"""),281927.17922)</f>
        <v>281927.1792</v>
      </c>
      <c r="G6279" s="22">
        <f>IFERROR(__xludf.DUMMYFUNCTION("""COMPUTED_VALUE"""),0.0)</f>
        <v>0</v>
      </c>
      <c r="H6279" s="22">
        <f>IFERROR(__xludf.DUMMYFUNCTION("""COMPUTED_VALUE"""),458753.384778)</f>
        <v>458753.3848</v>
      </c>
      <c r="I6279" s="24">
        <f>IFERROR(__xludf.DUMMYFUNCTION("""COMPUTED_VALUE"""),-0.08249323044400003)</f>
        <v>-0.08249323044</v>
      </c>
    </row>
    <row r="6280">
      <c r="A6280" s="5" t="str">
        <f>IFERROR(__xludf.DUMMYFUNCTION("""COMPUTED_VALUE"""),"76975")</f>
        <v>76975</v>
      </c>
      <c r="B6280" s="64">
        <f>IFERROR(__xludf.DUMMYFUNCTION("""COMPUTED_VALUE"""),44641.0)</f>
        <v>44641</v>
      </c>
      <c r="C6280" s="5"/>
      <c r="D6280" s="5"/>
      <c r="E6280" s="5"/>
      <c r="F6280" s="22">
        <f>IFERROR(__xludf.DUMMYFUNCTION("""COMPUTED_VALUE"""),281927.17922)</f>
        <v>281927.1792</v>
      </c>
      <c r="G6280" s="22">
        <f>IFERROR(__xludf.DUMMYFUNCTION("""COMPUTED_VALUE"""),0.0)</f>
        <v>0</v>
      </c>
      <c r="H6280" s="22">
        <f>IFERROR(__xludf.DUMMYFUNCTION("""COMPUTED_VALUE"""),447680.546324)</f>
        <v>447680.5463</v>
      </c>
      <c r="I6280" s="24">
        <f>IFERROR(__xludf.DUMMYFUNCTION("""COMPUTED_VALUE"""),-0.10463890735199999)</f>
        <v>-0.1046389074</v>
      </c>
    </row>
    <row r="6281">
      <c r="A6281" s="5" t="str">
        <f>IFERROR(__xludf.DUMMYFUNCTION("""COMPUTED_VALUE"""),"76975")</f>
        <v>76975</v>
      </c>
      <c r="B6281" s="64">
        <f>IFERROR(__xludf.DUMMYFUNCTION("""COMPUTED_VALUE"""),44642.0)</f>
        <v>44642</v>
      </c>
      <c r="C6281" s="5"/>
      <c r="D6281" s="5"/>
      <c r="E6281" s="5"/>
      <c r="F6281" s="22">
        <f>IFERROR(__xludf.DUMMYFUNCTION("""COMPUTED_VALUE"""),281927.17922)</f>
        <v>281927.1792</v>
      </c>
      <c r="G6281" s="22">
        <f>IFERROR(__xludf.DUMMYFUNCTION("""COMPUTED_VALUE"""),0.0)</f>
        <v>0</v>
      </c>
      <c r="H6281" s="22">
        <f>IFERROR(__xludf.DUMMYFUNCTION("""COMPUTED_VALUE"""),462427.226138)</f>
        <v>462427.2261</v>
      </c>
      <c r="I6281" s="24">
        <f>IFERROR(__xludf.DUMMYFUNCTION("""COMPUTED_VALUE"""),-0.07514554772399995)</f>
        <v>-0.07514554772</v>
      </c>
    </row>
    <row r="6282">
      <c r="A6282" s="5" t="str">
        <f>IFERROR(__xludf.DUMMYFUNCTION("""COMPUTED_VALUE"""),"76975")</f>
        <v>76975</v>
      </c>
      <c r="B6282" s="64">
        <f>IFERROR(__xludf.DUMMYFUNCTION("""COMPUTED_VALUE"""),44643.0)</f>
        <v>44643</v>
      </c>
      <c r="C6282" s="5"/>
      <c r="D6282" s="5"/>
      <c r="E6282" s="5"/>
      <c r="F6282" s="22">
        <f>IFERROR(__xludf.DUMMYFUNCTION("""COMPUTED_VALUE"""),281927.17922)</f>
        <v>281927.1792</v>
      </c>
      <c r="G6282" s="22">
        <f>IFERROR(__xludf.DUMMYFUNCTION("""COMPUTED_VALUE"""),0.0)</f>
        <v>0</v>
      </c>
      <c r="H6282" s="22">
        <f>IFERROR(__xludf.DUMMYFUNCTION("""COMPUTED_VALUE"""),463468.55163400003)</f>
        <v>463468.5516</v>
      </c>
      <c r="I6282" s="24">
        <f>IFERROR(__xludf.DUMMYFUNCTION("""COMPUTED_VALUE"""),-0.07306289673199995)</f>
        <v>-0.07306289673</v>
      </c>
    </row>
    <row r="6283">
      <c r="A6283" s="5" t="str">
        <f>IFERROR(__xludf.DUMMYFUNCTION("""COMPUTED_VALUE"""),"76975")</f>
        <v>76975</v>
      </c>
      <c r="B6283" s="64">
        <f>IFERROR(__xludf.DUMMYFUNCTION("""COMPUTED_VALUE"""),44644.0)</f>
        <v>44644</v>
      </c>
      <c r="C6283" s="5"/>
      <c r="D6283" s="5"/>
      <c r="E6283" s="5"/>
      <c r="F6283" s="22">
        <f>IFERROR(__xludf.DUMMYFUNCTION("""COMPUTED_VALUE"""),281927.17922)</f>
        <v>281927.1792</v>
      </c>
      <c r="G6283" s="22">
        <f>IFERROR(__xludf.DUMMYFUNCTION("""COMPUTED_VALUE"""),0.0)</f>
        <v>0</v>
      </c>
      <c r="H6283" s="22">
        <f>IFERROR(__xludf.DUMMYFUNCTION("""COMPUTED_VALUE"""),444816.578052)</f>
        <v>444816.5781</v>
      </c>
      <c r="I6283" s="24">
        <f>IFERROR(__xludf.DUMMYFUNCTION("""COMPUTED_VALUE"""),-0.11036684389599993)</f>
        <v>-0.1103668439</v>
      </c>
    </row>
    <row r="6284">
      <c r="A6284" s="5" t="str">
        <f>IFERROR(__xludf.DUMMYFUNCTION("""COMPUTED_VALUE"""),"76975")</f>
        <v>76975</v>
      </c>
      <c r="B6284" s="64">
        <f>IFERROR(__xludf.DUMMYFUNCTION("""COMPUTED_VALUE"""),44645.0)</f>
        <v>44645</v>
      </c>
      <c r="C6284" s="5"/>
      <c r="D6284" s="5"/>
      <c r="E6284" s="5"/>
      <c r="F6284" s="22">
        <f>IFERROR(__xludf.DUMMYFUNCTION("""COMPUTED_VALUE"""),281927.17922)</f>
        <v>281927.1792</v>
      </c>
      <c r="G6284" s="22">
        <f>IFERROR(__xludf.DUMMYFUNCTION("""COMPUTED_VALUE"""),0.0)</f>
        <v>0</v>
      </c>
      <c r="H6284" s="22">
        <f>IFERROR(__xludf.DUMMYFUNCTION("""COMPUTED_VALUE"""),434411.943492)</f>
        <v>434411.9435</v>
      </c>
      <c r="I6284" s="24">
        <f>IFERROR(__xludf.DUMMYFUNCTION("""COMPUTED_VALUE"""),-0.13117611301599996)</f>
        <v>-0.131176113</v>
      </c>
    </row>
    <row r="6285">
      <c r="A6285" s="5" t="str">
        <f>IFERROR(__xludf.DUMMYFUNCTION("""COMPUTED_VALUE"""),"76975")</f>
        <v>76975</v>
      </c>
      <c r="B6285" s="64">
        <f>IFERROR(__xludf.DUMMYFUNCTION("""COMPUTED_VALUE"""),44646.0)</f>
        <v>44646</v>
      </c>
      <c r="C6285" s="5"/>
      <c r="D6285" s="5"/>
      <c r="E6285" s="5"/>
      <c r="F6285" s="22">
        <f>IFERROR(__xludf.DUMMYFUNCTION("""COMPUTED_VALUE"""),281927.17922)</f>
        <v>281927.1792</v>
      </c>
      <c r="G6285" s="22">
        <f>IFERROR(__xludf.DUMMYFUNCTION("""COMPUTED_VALUE"""),0.0)</f>
        <v>0</v>
      </c>
      <c r="H6285" s="22">
        <f>IFERROR(__xludf.DUMMYFUNCTION("""COMPUTED_VALUE"""),434411.943492)</f>
        <v>434411.9435</v>
      </c>
      <c r="I6285" s="24">
        <f>IFERROR(__xludf.DUMMYFUNCTION("""COMPUTED_VALUE"""),-0.13117611301599996)</f>
        <v>-0.131176113</v>
      </c>
    </row>
    <row r="6286">
      <c r="A6286" s="5" t="str">
        <f>IFERROR(__xludf.DUMMYFUNCTION("""COMPUTED_VALUE"""),"76975")</f>
        <v>76975</v>
      </c>
      <c r="B6286" s="64">
        <f>IFERROR(__xludf.DUMMYFUNCTION("""COMPUTED_VALUE"""),44647.0)</f>
        <v>44647</v>
      </c>
      <c r="C6286" s="5"/>
      <c r="D6286" s="5"/>
      <c r="E6286" s="5"/>
      <c r="F6286" s="22">
        <f>IFERROR(__xludf.DUMMYFUNCTION("""COMPUTED_VALUE"""),281927.17922)</f>
        <v>281927.1792</v>
      </c>
      <c r="G6286" s="22">
        <f>IFERROR(__xludf.DUMMYFUNCTION("""COMPUTED_VALUE"""),0.0)</f>
        <v>0</v>
      </c>
      <c r="H6286" s="22">
        <f>IFERROR(__xludf.DUMMYFUNCTION("""COMPUTED_VALUE"""),434411.943492)</f>
        <v>434411.9435</v>
      </c>
      <c r="I6286" s="24">
        <f>IFERROR(__xludf.DUMMYFUNCTION("""COMPUTED_VALUE"""),-0.13117611301599996)</f>
        <v>-0.131176113</v>
      </c>
    </row>
    <row r="6287">
      <c r="A6287" s="5" t="str">
        <f>IFERROR(__xludf.DUMMYFUNCTION("""COMPUTED_VALUE"""),"76975")</f>
        <v>76975</v>
      </c>
      <c r="B6287" s="64">
        <f>IFERROR(__xludf.DUMMYFUNCTION("""COMPUTED_VALUE"""),44648.0)</f>
        <v>44648</v>
      </c>
      <c r="C6287" s="5"/>
      <c r="D6287" s="5"/>
      <c r="E6287" s="5"/>
      <c r="F6287" s="22">
        <f>IFERROR(__xludf.DUMMYFUNCTION("""COMPUTED_VALUE"""),281927.17922)</f>
        <v>281927.1792</v>
      </c>
      <c r="G6287" s="22">
        <f>IFERROR(__xludf.DUMMYFUNCTION("""COMPUTED_VALUE"""),0.0)</f>
        <v>0</v>
      </c>
      <c r="H6287" s="22">
        <f>IFERROR(__xludf.DUMMYFUNCTION("""COMPUTED_VALUE"""),444383.25900200004)</f>
        <v>444383.259</v>
      </c>
      <c r="I6287" s="24">
        <f>IFERROR(__xludf.DUMMYFUNCTION("""COMPUTED_VALUE"""),-0.11123348199599992)</f>
        <v>-0.111233482</v>
      </c>
    </row>
    <row r="6288">
      <c r="A6288" s="5" t="str">
        <f>IFERROR(__xludf.DUMMYFUNCTION("""COMPUTED_VALUE"""),"76975")</f>
        <v>76975</v>
      </c>
      <c r="B6288" s="64">
        <f>IFERROR(__xludf.DUMMYFUNCTION("""COMPUTED_VALUE"""),44649.0)</f>
        <v>44649</v>
      </c>
      <c r="C6288" s="5"/>
      <c r="D6288" s="5"/>
      <c r="E6288" s="5"/>
      <c r="F6288" s="22">
        <f>IFERROR(__xludf.DUMMYFUNCTION("""COMPUTED_VALUE"""),281927.17922)</f>
        <v>281927.1792</v>
      </c>
      <c r="G6288" s="22">
        <f>IFERROR(__xludf.DUMMYFUNCTION("""COMPUTED_VALUE"""),0.0)</f>
        <v>0</v>
      </c>
      <c r="H6288" s="22">
        <f>IFERROR(__xludf.DUMMYFUNCTION("""COMPUTED_VALUE"""),455880.432938)</f>
        <v>455880.4329</v>
      </c>
      <c r="I6288" s="24">
        <f>IFERROR(__xludf.DUMMYFUNCTION("""COMPUTED_VALUE"""),-0.08823913412399997)</f>
        <v>-0.08823913412</v>
      </c>
    </row>
    <row r="6289">
      <c r="A6289" s="5" t="str">
        <f>IFERROR(__xludf.DUMMYFUNCTION("""COMPUTED_VALUE"""),"76975")</f>
        <v>76975</v>
      </c>
      <c r="B6289" s="64">
        <f>IFERROR(__xludf.DUMMYFUNCTION("""COMPUTED_VALUE"""),44650.0)</f>
        <v>44650</v>
      </c>
      <c r="C6289" s="5"/>
      <c r="D6289" s="5"/>
      <c r="E6289" s="5"/>
      <c r="F6289" s="22">
        <f>IFERROR(__xludf.DUMMYFUNCTION("""COMPUTED_VALUE"""),281927.17922)</f>
        <v>281927.1792</v>
      </c>
      <c r="G6289" s="22">
        <f>IFERROR(__xludf.DUMMYFUNCTION("""COMPUTED_VALUE"""),0.0)</f>
        <v>0</v>
      </c>
      <c r="H6289" s="22">
        <f>IFERROR(__xludf.DUMMYFUNCTION("""COMPUTED_VALUE"""),456939.441154)</f>
        <v>456939.4412</v>
      </c>
      <c r="I6289" s="24">
        <f>IFERROR(__xludf.DUMMYFUNCTION("""COMPUTED_VALUE"""),-0.08612111769200004)</f>
        <v>-0.08612111769</v>
      </c>
    </row>
    <row r="6290">
      <c r="A6290" s="5" t="str">
        <f>IFERROR(__xludf.DUMMYFUNCTION("""COMPUTED_VALUE"""),"76975")</f>
        <v>76975</v>
      </c>
      <c r="B6290" s="64">
        <f>IFERROR(__xludf.DUMMYFUNCTION("""COMPUTED_VALUE"""),44651.0)</f>
        <v>44651</v>
      </c>
      <c r="C6290" s="5"/>
      <c r="D6290" s="5"/>
      <c r="E6290" s="5"/>
      <c r="F6290" s="22">
        <f>IFERROR(__xludf.DUMMYFUNCTION("""COMPUTED_VALUE"""),281927.17922)</f>
        <v>281927.1792</v>
      </c>
      <c r="G6290" s="22">
        <f>IFERROR(__xludf.DUMMYFUNCTION("""COMPUTED_VALUE"""),0.0)</f>
        <v>0</v>
      </c>
      <c r="H6290" s="22">
        <f>IFERROR(__xludf.DUMMYFUNCTION("""COMPUTED_VALUE"""),448553.25546200003)</f>
        <v>448553.2555</v>
      </c>
      <c r="I6290" s="24">
        <f>IFERROR(__xludf.DUMMYFUNCTION("""COMPUTED_VALUE"""),-0.10289348907599993)</f>
        <v>-0.1028934891</v>
      </c>
    </row>
    <row r="6291">
      <c r="A6291" s="5" t="str">
        <f>IFERROR(__xludf.DUMMYFUNCTION("""COMPUTED_VALUE"""),"76975")</f>
        <v>76975</v>
      </c>
      <c r="B6291" s="64">
        <f>IFERROR(__xludf.DUMMYFUNCTION("""COMPUTED_VALUE"""),44652.0)</f>
        <v>44652</v>
      </c>
      <c r="C6291" s="5"/>
      <c r="D6291" s="5"/>
      <c r="E6291" s="5"/>
      <c r="F6291" s="22">
        <f>IFERROR(__xludf.DUMMYFUNCTION("""COMPUTED_VALUE"""),281927.17922)</f>
        <v>281927.1792</v>
      </c>
      <c r="G6291" s="22">
        <f>IFERROR(__xludf.DUMMYFUNCTION("""COMPUTED_VALUE"""),0.0)</f>
        <v>0</v>
      </c>
      <c r="H6291" s="22">
        <f>IFERROR(__xludf.DUMMYFUNCTION("""COMPUTED_VALUE"""),452384.489314)</f>
        <v>452384.4893</v>
      </c>
      <c r="I6291" s="24">
        <f>IFERROR(__xludf.DUMMYFUNCTION("""COMPUTED_VALUE"""),-0.09523102137200001)</f>
        <v>-0.09523102137</v>
      </c>
    </row>
    <row r="6292">
      <c r="A6292" s="5" t="str">
        <f>IFERROR(__xludf.DUMMYFUNCTION("""COMPUTED_VALUE"""),"76975")</f>
        <v>76975</v>
      </c>
      <c r="B6292" s="64">
        <f>IFERROR(__xludf.DUMMYFUNCTION("""COMPUTED_VALUE"""),44653.0)</f>
        <v>44653</v>
      </c>
      <c r="C6292" s="5"/>
      <c r="D6292" s="5"/>
      <c r="E6292" s="5"/>
      <c r="F6292" s="22">
        <f>IFERROR(__xludf.DUMMYFUNCTION("""COMPUTED_VALUE"""),281927.17922)</f>
        <v>281927.1792</v>
      </c>
      <c r="G6292" s="22">
        <f>IFERROR(__xludf.DUMMYFUNCTION("""COMPUTED_VALUE"""),0.0)</f>
        <v>0</v>
      </c>
      <c r="H6292" s="22">
        <f>IFERROR(__xludf.DUMMYFUNCTION("""COMPUTED_VALUE"""),452384.489314)</f>
        <v>452384.4893</v>
      </c>
      <c r="I6292" s="24">
        <f>IFERROR(__xludf.DUMMYFUNCTION("""COMPUTED_VALUE"""),-0.09523102137200001)</f>
        <v>-0.09523102137</v>
      </c>
    </row>
    <row r="6293">
      <c r="A6293" s="5" t="str">
        <f>IFERROR(__xludf.DUMMYFUNCTION("""COMPUTED_VALUE"""),"76975")</f>
        <v>76975</v>
      </c>
      <c r="B6293" s="64">
        <f>IFERROR(__xludf.DUMMYFUNCTION("""COMPUTED_VALUE"""),44654.0)</f>
        <v>44654</v>
      </c>
      <c r="C6293" s="5"/>
      <c r="D6293" s="5"/>
      <c r="E6293" s="5"/>
      <c r="F6293" s="22">
        <f>IFERROR(__xludf.DUMMYFUNCTION("""COMPUTED_VALUE"""),281927.17922)</f>
        <v>281927.1792</v>
      </c>
      <c r="G6293" s="22">
        <f>IFERROR(__xludf.DUMMYFUNCTION("""COMPUTED_VALUE"""),0.0)</f>
        <v>0</v>
      </c>
      <c r="H6293" s="22">
        <f>IFERROR(__xludf.DUMMYFUNCTION("""COMPUTED_VALUE"""),452384.489314)</f>
        <v>452384.4893</v>
      </c>
      <c r="I6293" s="24">
        <f>IFERROR(__xludf.DUMMYFUNCTION("""COMPUTED_VALUE"""),-0.09523102137200001)</f>
        <v>-0.09523102137</v>
      </c>
    </row>
    <row r="6294">
      <c r="A6294" s="5" t="str">
        <f>IFERROR(__xludf.DUMMYFUNCTION("""COMPUTED_VALUE"""),"76975")</f>
        <v>76975</v>
      </c>
      <c r="B6294" s="64">
        <f>IFERROR(__xludf.DUMMYFUNCTION("""COMPUTED_VALUE"""),44655.0)</f>
        <v>44655</v>
      </c>
      <c r="C6294" s="5"/>
      <c r="D6294" s="5"/>
      <c r="E6294" s="5"/>
      <c r="F6294" s="22">
        <f>IFERROR(__xludf.DUMMYFUNCTION("""COMPUTED_VALUE"""),281927.17922)</f>
        <v>281927.1792</v>
      </c>
      <c r="G6294" s="22">
        <f>IFERROR(__xludf.DUMMYFUNCTION("""COMPUTED_VALUE"""),0.0)</f>
        <v>0</v>
      </c>
      <c r="H6294" s="22">
        <f>IFERROR(__xludf.DUMMYFUNCTION("""COMPUTED_VALUE"""),466055.41296600003)</f>
        <v>466055.413</v>
      </c>
      <c r="I6294" s="24">
        <f>IFERROR(__xludf.DUMMYFUNCTION("""COMPUTED_VALUE"""),-0.06788917406799988)</f>
        <v>-0.06788917407</v>
      </c>
    </row>
    <row r="6295">
      <c r="A6295" s="5" t="str">
        <f>IFERROR(__xludf.DUMMYFUNCTION("""COMPUTED_VALUE"""),"76975")</f>
        <v>76975</v>
      </c>
      <c r="B6295" s="64">
        <f>IFERROR(__xludf.DUMMYFUNCTION("""COMPUTED_VALUE"""),44656.0)</f>
        <v>44656</v>
      </c>
      <c r="C6295" s="5"/>
      <c r="D6295" s="5"/>
      <c r="E6295" s="5"/>
      <c r="F6295" s="22">
        <f>IFERROR(__xludf.DUMMYFUNCTION("""COMPUTED_VALUE"""),281927.17922)</f>
        <v>281927.1792</v>
      </c>
      <c r="G6295" s="22">
        <f>IFERROR(__xludf.DUMMYFUNCTION("""COMPUTED_VALUE"""),0.0)</f>
        <v>0</v>
      </c>
      <c r="H6295" s="22">
        <f>IFERROR(__xludf.DUMMYFUNCTION("""COMPUTED_VALUE"""),463813.840092)</f>
        <v>463813.8401</v>
      </c>
      <c r="I6295" s="24">
        <f>IFERROR(__xludf.DUMMYFUNCTION("""COMPUTED_VALUE"""),-0.0723723198159999)</f>
        <v>-0.07237231982</v>
      </c>
    </row>
    <row r="6296">
      <c r="A6296" s="5" t="str">
        <f>IFERROR(__xludf.DUMMYFUNCTION("""COMPUTED_VALUE"""),"76975")</f>
        <v>76975</v>
      </c>
      <c r="B6296" s="64">
        <f>IFERROR(__xludf.DUMMYFUNCTION("""COMPUTED_VALUE"""),44657.0)</f>
        <v>44657</v>
      </c>
      <c r="C6296" s="5"/>
      <c r="D6296" s="5"/>
      <c r="E6296" s="5"/>
      <c r="F6296" s="22">
        <f>IFERROR(__xludf.DUMMYFUNCTION("""COMPUTED_VALUE"""),281927.17922)</f>
        <v>281927.1792</v>
      </c>
      <c r="G6296" s="22">
        <f>IFERROR(__xludf.DUMMYFUNCTION("""COMPUTED_VALUE"""),0.0)</f>
        <v>0</v>
      </c>
      <c r="H6296" s="22">
        <f>IFERROR(__xludf.DUMMYFUNCTION("""COMPUTED_VALUE"""),455121.731382)</f>
        <v>455121.7314</v>
      </c>
      <c r="I6296" s="24">
        <f>IFERROR(__xludf.DUMMYFUNCTION("""COMPUTED_VALUE"""),-0.08975653723599997)</f>
        <v>-0.08975653724</v>
      </c>
    </row>
    <row r="6297">
      <c r="A6297" s="5" t="str">
        <f>IFERROR(__xludf.DUMMYFUNCTION("""COMPUTED_VALUE"""),"76975")</f>
        <v>76975</v>
      </c>
      <c r="B6297" s="64">
        <f>IFERROR(__xludf.DUMMYFUNCTION("""COMPUTED_VALUE"""),44658.0)</f>
        <v>44658</v>
      </c>
      <c r="C6297" s="5"/>
      <c r="D6297" s="5"/>
      <c r="E6297" s="5"/>
      <c r="F6297" s="22">
        <f>IFERROR(__xludf.DUMMYFUNCTION("""COMPUTED_VALUE"""),281927.17922)</f>
        <v>281927.1792</v>
      </c>
      <c r="G6297" s="22">
        <f>IFERROR(__xludf.DUMMYFUNCTION("""COMPUTED_VALUE"""),0.0)</f>
        <v>0</v>
      </c>
      <c r="H6297" s="22">
        <f>IFERROR(__xludf.DUMMYFUNCTION("""COMPUTED_VALUE"""),448938.696114)</f>
        <v>448938.6961</v>
      </c>
      <c r="I6297" s="24">
        <f>IFERROR(__xludf.DUMMYFUNCTION("""COMPUTED_VALUE"""),-0.102122607772)</f>
        <v>-0.1021226078</v>
      </c>
    </row>
    <row r="6298">
      <c r="A6298" s="5" t="str">
        <f>IFERROR(__xludf.DUMMYFUNCTION("""COMPUTED_VALUE"""),"76975")</f>
        <v>76975</v>
      </c>
      <c r="B6298" s="64">
        <f>IFERROR(__xludf.DUMMYFUNCTION("""COMPUTED_VALUE"""),44659.0)</f>
        <v>44659</v>
      </c>
      <c r="C6298" s="5"/>
      <c r="D6298" s="5"/>
      <c r="E6298" s="5"/>
      <c r="F6298" s="22">
        <f>IFERROR(__xludf.DUMMYFUNCTION("""COMPUTED_VALUE"""),281927.17922)</f>
        <v>281927.1792</v>
      </c>
      <c r="G6298" s="22">
        <f>IFERROR(__xludf.DUMMYFUNCTION("""COMPUTED_VALUE"""),0.0)</f>
        <v>0</v>
      </c>
      <c r="H6298" s="22">
        <f>IFERROR(__xludf.DUMMYFUNCTION("""COMPUTED_VALUE"""),444834.852984)</f>
        <v>444834.853</v>
      </c>
      <c r="I6298" s="24">
        <f>IFERROR(__xludf.DUMMYFUNCTION("""COMPUTED_VALUE"""),-0.11033029403200001)</f>
        <v>-0.110330294</v>
      </c>
    </row>
    <row r="6299">
      <c r="A6299" s="5" t="str">
        <f>IFERROR(__xludf.DUMMYFUNCTION("""COMPUTED_VALUE"""),"76975")</f>
        <v>76975</v>
      </c>
      <c r="B6299" s="64">
        <f>IFERROR(__xludf.DUMMYFUNCTION("""COMPUTED_VALUE"""),44660.0)</f>
        <v>44660</v>
      </c>
      <c r="C6299" s="5"/>
      <c r="D6299" s="5"/>
      <c r="E6299" s="5"/>
      <c r="F6299" s="22">
        <f>IFERROR(__xludf.DUMMYFUNCTION("""COMPUTED_VALUE"""),281927.17922)</f>
        <v>281927.1792</v>
      </c>
      <c r="G6299" s="22">
        <f>IFERROR(__xludf.DUMMYFUNCTION("""COMPUTED_VALUE"""),0.0)</f>
        <v>0</v>
      </c>
      <c r="H6299" s="22">
        <f>IFERROR(__xludf.DUMMYFUNCTION("""COMPUTED_VALUE"""),444834.852984)</f>
        <v>444834.853</v>
      </c>
      <c r="I6299" s="24">
        <f>IFERROR(__xludf.DUMMYFUNCTION("""COMPUTED_VALUE"""),-0.11033029403200001)</f>
        <v>-0.110330294</v>
      </c>
    </row>
    <row r="6300">
      <c r="A6300" s="5" t="str">
        <f>IFERROR(__xludf.DUMMYFUNCTION("""COMPUTED_VALUE"""),"76975")</f>
        <v>76975</v>
      </c>
      <c r="B6300" s="64">
        <f>IFERROR(__xludf.DUMMYFUNCTION("""COMPUTED_VALUE"""),44661.0)</f>
        <v>44661</v>
      </c>
      <c r="C6300" s="5"/>
      <c r="D6300" s="5"/>
      <c r="E6300" s="5"/>
      <c r="F6300" s="22">
        <f>IFERROR(__xludf.DUMMYFUNCTION("""COMPUTED_VALUE"""),281927.17922)</f>
        <v>281927.1792</v>
      </c>
      <c r="G6300" s="22">
        <f>IFERROR(__xludf.DUMMYFUNCTION("""COMPUTED_VALUE"""),0.0)</f>
        <v>0</v>
      </c>
      <c r="H6300" s="22">
        <f>IFERROR(__xludf.DUMMYFUNCTION("""COMPUTED_VALUE"""),444834.852984)</f>
        <v>444834.853</v>
      </c>
      <c r="I6300" s="24">
        <f>IFERROR(__xludf.DUMMYFUNCTION("""COMPUTED_VALUE"""),-0.11033029403200001)</f>
        <v>-0.110330294</v>
      </c>
    </row>
    <row r="6301">
      <c r="A6301" s="5" t="str">
        <f>IFERROR(__xludf.DUMMYFUNCTION("""COMPUTED_VALUE"""),"76975")</f>
        <v>76975</v>
      </c>
      <c r="B6301" s="64">
        <f>IFERROR(__xludf.DUMMYFUNCTION("""COMPUTED_VALUE"""),44662.0)</f>
        <v>44662</v>
      </c>
      <c r="C6301" s="5"/>
      <c r="D6301" s="5"/>
      <c r="E6301" s="5"/>
      <c r="F6301" s="22">
        <f>IFERROR(__xludf.DUMMYFUNCTION("""COMPUTED_VALUE"""),281927.17922)</f>
        <v>281927.1792</v>
      </c>
      <c r="G6301" s="22">
        <f>IFERROR(__xludf.DUMMYFUNCTION("""COMPUTED_VALUE"""),0.0)</f>
        <v>0</v>
      </c>
      <c r="H6301" s="22">
        <f>IFERROR(__xludf.DUMMYFUNCTION("""COMPUTED_VALUE"""),433236.842998)</f>
        <v>433236.843</v>
      </c>
      <c r="I6301" s="24">
        <f>IFERROR(__xludf.DUMMYFUNCTION("""COMPUTED_VALUE"""),-0.13352631400400006)</f>
        <v>-0.133526314</v>
      </c>
    </row>
    <row r="6302">
      <c r="A6302" s="5" t="str">
        <f>IFERROR(__xludf.DUMMYFUNCTION("""COMPUTED_VALUE"""),"76975")</f>
        <v>76975</v>
      </c>
      <c r="B6302" s="64">
        <f>IFERROR(__xludf.DUMMYFUNCTION("""COMPUTED_VALUE"""),44663.0)</f>
        <v>44663</v>
      </c>
      <c r="C6302" s="5"/>
      <c r="D6302" s="5"/>
      <c r="E6302" s="5"/>
      <c r="F6302" s="22">
        <f>IFERROR(__xludf.DUMMYFUNCTION("""COMPUTED_VALUE"""),281927.17922)</f>
        <v>281927.1792</v>
      </c>
      <c r="G6302" s="22">
        <f>IFERROR(__xludf.DUMMYFUNCTION("""COMPUTED_VALUE"""),0.0)</f>
        <v>0</v>
      </c>
      <c r="H6302" s="22">
        <f>IFERROR(__xludf.DUMMYFUNCTION("""COMPUTED_VALUE"""),442188.579188)</f>
        <v>442188.5792</v>
      </c>
      <c r="I6302" s="24">
        <f>IFERROR(__xludf.DUMMYFUNCTION("""COMPUTED_VALUE"""),-0.11562284162399994)</f>
        <v>-0.1156228416</v>
      </c>
    </row>
    <row r="6303">
      <c r="A6303" s="5" t="str">
        <f>IFERROR(__xludf.DUMMYFUNCTION("""COMPUTED_VALUE"""),"77134")</f>
        <v>77134</v>
      </c>
      <c r="B6303" s="64">
        <f>IFERROR(__xludf.DUMMYFUNCTION("""COMPUTED_VALUE"""),44597.0)</f>
        <v>44597</v>
      </c>
      <c r="C6303" s="5"/>
      <c r="D6303" s="5"/>
      <c r="E6303" s="5"/>
      <c r="F6303" s="22">
        <f>IFERROR(__xludf.DUMMYFUNCTION("""COMPUTED_VALUE"""),500000.0)</f>
        <v>500000</v>
      </c>
      <c r="G6303" s="22">
        <f>IFERROR(__xludf.DUMMYFUNCTION("""COMPUTED_VALUE"""),0.0)</f>
        <v>0</v>
      </c>
      <c r="H6303" s="22">
        <f>IFERROR(__xludf.DUMMYFUNCTION("""COMPUTED_VALUE"""),500000.0)</f>
        <v>500000</v>
      </c>
      <c r="I6303" s="24">
        <f>IFERROR(__xludf.DUMMYFUNCTION("""COMPUTED_VALUE"""),0.0)</f>
        <v>0</v>
      </c>
    </row>
    <row r="6304">
      <c r="A6304" s="5" t="str">
        <f>IFERROR(__xludf.DUMMYFUNCTION("""COMPUTED_VALUE"""),"77134")</f>
        <v>77134</v>
      </c>
      <c r="B6304" s="64">
        <f>IFERROR(__xludf.DUMMYFUNCTION("""COMPUTED_VALUE"""),44598.0)</f>
        <v>44598</v>
      </c>
      <c r="C6304" s="5"/>
      <c r="D6304" s="5"/>
      <c r="E6304" s="5"/>
      <c r="F6304" s="22">
        <f>IFERROR(__xludf.DUMMYFUNCTION("""COMPUTED_VALUE"""),500000.0)</f>
        <v>500000</v>
      </c>
      <c r="G6304" s="22">
        <f>IFERROR(__xludf.DUMMYFUNCTION("""COMPUTED_VALUE"""),0.0)</f>
        <v>0</v>
      </c>
      <c r="H6304" s="22">
        <f>IFERROR(__xludf.DUMMYFUNCTION("""COMPUTED_VALUE"""),500000.0)</f>
        <v>500000</v>
      </c>
      <c r="I6304" s="24">
        <f>IFERROR(__xludf.DUMMYFUNCTION("""COMPUTED_VALUE"""),0.0)</f>
        <v>0</v>
      </c>
    </row>
    <row r="6305">
      <c r="A6305" s="5" t="str">
        <f>IFERROR(__xludf.DUMMYFUNCTION("""COMPUTED_VALUE"""),"77134")</f>
        <v>77134</v>
      </c>
      <c r="B6305" s="64">
        <f>IFERROR(__xludf.DUMMYFUNCTION("""COMPUTED_VALUE"""),44599.0)</f>
        <v>44599</v>
      </c>
      <c r="C6305" s="5"/>
      <c r="D6305" s="5"/>
      <c r="E6305" s="5"/>
      <c r="F6305" s="22">
        <f>IFERROR(__xludf.DUMMYFUNCTION("""COMPUTED_VALUE"""),500000.0)</f>
        <v>500000</v>
      </c>
      <c r="G6305" s="22">
        <f>IFERROR(__xludf.DUMMYFUNCTION("""COMPUTED_VALUE"""),0.0)</f>
        <v>0</v>
      </c>
      <c r="H6305" s="22">
        <f>IFERROR(__xludf.DUMMYFUNCTION("""COMPUTED_VALUE"""),500000.0)</f>
        <v>500000</v>
      </c>
      <c r="I6305" s="24">
        <f>IFERROR(__xludf.DUMMYFUNCTION("""COMPUTED_VALUE"""),0.0)</f>
        <v>0</v>
      </c>
    </row>
    <row r="6306">
      <c r="A6306" s="5" t="str">
        <f>IFERROR(__xludf.DUMMYFUNCTION("""COMPUTED_VALUE"""),"77134")</f>
        <v>77134</v>
      </c>
      <c r="B6306" s="64">
        <f>IFERROR(__xludf.DUMMYFUNCTION("""COMPUTED_VALUE"""),44600.0)</f>
        <v>44600</v>
      </c>
      <c r="C6306" s="5"/>
      <c r="D6306" s="5"/>
      <c r="E6306" s="5"/>
      <c r="F6306" s="22">
        <f>IFERROR(__xludf.DUMMYFUNCTION("""COMPUTED_VALUE"""),500000.0)</f>
        <v>500000</v>
      </c>
      <c r="G6306" s="22">
        <f>IFERROR(__xludf.DUMMYFUNCTION("""COMPUTED_VALUE"""),0.0)</f>
        <v>0</v>
      </c>
      <c r="H6306" s="22">
        <f>IFERROR(__xludf.DUMMYFUNCTION("""COMPUTED_VALUE"""),500000.0)</f>
        <v>500000</v>
      </c>
      <c r="I6306" s="24">
        <f>IFERROR(__xludf.DUMMYFUNCTION("""COMPUTED_VALUE"""),0.0)</f>
        <v>0</v>
      </c>
    </row>
    <row r="6307">
      <c r="A6307" s="5" t="str">
        <f>IFERROR(__xludf.DUMMYFUNCTION("""COMPUTED_VALUE"""),"77134")</f>
        <v>77134</v>
      </c>
      <c r="B6307" s="64">
        <f>IFERROR(__xludf.DUMMYFUNCTION("""COMPUTED_VALUE"""),44601.0)</f>
        <v>44601</v>
      </c>
      <c r="C6307" s="5"/>
      <c r="D6307" s="5"/>
      <c r="E6307" s="5"/>
      <c r="F6307" s="22">
        <f>IFERROR(__xludf.DUMMYFUNCTION("""COMPUTED_VALUE"""),500000.0)</f>
        <v>500000</v>
      </c>
      <c r="G6307" s="22">
        <f>IFERROR(__xludf.DUMMYFUNCTION("""COMPUTED_VALUE"""),0.0)</f>
        <v>0</v>
      </c>
      <c r="H6307" s="22">
        <f>IFERROR(__xludf.DUMMYFUNCTION("""COMPUTED_VALUE"""),500000.0)</f>
        <v>500000</v>
      </c>
      <c r="I6307" s="24">
        <f>IFERROR(__xludf.DUMMYFUNCTION("""COMPUTED_VALUE"""),0.0)</f>
        <v>0</v>
      </c>
    </row>
    <row r="6308">
      <c r="A6308" s="5" t="str">
        <f>IFERROR(__xludf.DUMMYFUNCTION("""COMPUTED_VALUE"""),"77134")</f>
        <v>77134</v>
      </c>
      <c r="B6308" s="64">
        <f>IFERROR(__xludf.DUMMYFUNCTION("""COMPUTED_VALUE"""),44602.0)</f>
        <v>44602</v>
      </c>
      <c r="C6308" s="5"/>
      <c r="D6308" s="5"/>
      <c r="E6308" s="5"/>
      <c r="F6308" s="22">
        <f>IFERROR(__xludf.DUMMYFUNCTION("""COMPUTED_VALUE"""),500000.0)</f>
        <v>500000</v>
      </c>
      <c r="G6308" s="22">
        <f>IFERROR(__xludf.DUMMYFUNCTION("""COMPUTED_VALUE"""),0.0)</f>
        <v>0</v>
      </c>
      <c r="H6308" s="22">
        <f>IFERROR(__xludf.DUMMYFUNCTION("""COMPUTED_VALUE"""),500000.0)</f>
        <v>500000</v>
      </c>
      <c r="I6308" s="24">
        <f>IFERROR(__xludf.DUMMYFUNCTION("""COMPUTED_VALUE"""),0.0)</f>
        <v>0</v>
      </c>
    </row>
    <row r="6309">
      <c r="A6309" s="5" t="str">
        <f>IFERROR(__xludf.DUMMYFUNCTION("""COMPUTED_VALUE"""),"77134")</f>
        <v>77134</v>
      </c>
      <c r="B6309" s="64">
        <f>IFERROR(__xludf.DUMMYFUNCTION("""COMPUTED_VALUE"""),44603.0)</f>
        <v>44603</v>
      </c>
      <c r="C6309" s="5"/>
      <c r="D6309" s="5"/>
      <c r="E6309" s="5"/>
      <c r="F6309" s="22">
        <f>IFERROR(__xludf.DUMMYFUNCTION("""COMPUTED_VALUE"""),500000.0)</f>
        <v>500000</v>
      </c>
      <c r="G6309" s="22">
        <f>IFERROR(__xludf.DUMMYFUNCTION("""COMPUTED_VALUE"""),0.0)</f>
        <v>0</v>
      </c>
      <c r="H6309" s="22">
        <f>IFERROR(__xludf.DUMMYFUNCTION("""COMPUTED_VALUE"""),500000.0)</f>
        <v>500000</v>
      </c>
      <c r="I6309" s="24">
        <f>IFERROR(__xludf.DUMMYFUNCTION("""COMPUTED_VALUE"""),0.0)</f>
        <v>0</v>
      </c>
    </row>
    <row r="6310">
      <c r="A6310" s="5" t="str">
        <f>IFERROR(__xludf.DUMMYFUNCTION("""COMPUTED_VALUE"""),"77134")</f>
        <v>77134</v>
      </c>
      <c r="B6310" s="64">
        <f>IFERROR(__xludf.DUMMYFUNCTION("""COMPUTED_VALUE"""),44604.0)</f>
        <v>44604</v>
      </c>
      <c r="C6310" s="5"/>
      <c r="D6310" s="5"/>
      <c r="E6310" s="5"/>
      <c r="F6310" s="22">
        <f>IFERROR(__xludf.DUMMYFUNCTION("""COMPUTED_VALUE"""),500000.0)</f>
        <v>500000</v>
      </c>
      <c r="G6310" s="22">
        <f>IFERROR(__xludf.DUMMYFUNCTION("""COMPUTED_VALUE"""),0.0)</f>
        <v>0</v>
      </c>
      <c r="H6310" s="22">
        <f>IFERROR(__xludf.DUMMYFUNCTION("""COMPUTED_VALUE"""),500000.0)</f>
        <v>500000</v>
      </c>
      <c r="I6310" s="24">
        <f>IFERROR(__xludf.DUMMYFUNCTION("""COMPUTED_VALUE"""),0.0)</f>
        <v>0</v>
      </c>
    </row>
    <row r="6311">
      <c r="A6311" s="5" t="str">
        <f>IFERROR(__xludf.DUMMYFUNCTION("""COMPUTED_VALUE"""),"77134")</f>
        <v>77134</v>
      </c>
      <c r="B6311" s="64">
        <f>IFERROR(__xludf.DUMMYFUNCTION("""COMPUTED_VALUE"""),44605.0)</f>
        <v>44605</v>
      </c>
      <c r="C6311" s="5"/>
      <c r="D6311" s="5"/>
      <c r="E6311" s="5"/>
      <c r="F6311" s="22">
        <f>IFERROR(__xludf.DUMMYFUNCTION("""COMPUTED_VALUE"""),500000.0)</f>
        <v>500000</v>
      </c>
      <c r="G6311" s="22">
        <f>IFERROR(__xludf.DUMMYFUNCTION("""COMPUTED_VALUE"""),0.0)</f>
        <v>0</v>
      </c>
      <c r="H6311" s="22">
        <f>IFERROR(__xludf.DUMMYFUNCTION("""COMPUTED_VALUE"""),500000.0)</f>
        <v>500000</v>
      </c>
      <c r="I6311" s="24">
        <f>IFERROR(__xludf.DUMMYFUNCTION("""COMPUTED_VALUE"""),0.0)</f>
        <v>0</v>
      </c>
    </row>
    <row r="6312">
      <c r="A6312" s="5" t="str">
        <f>IFERROR(__xludf.DUMMYFUNCTION("""COMPUTED_VALUE"""),"77134")</f>
        <v>77134</v>
      </c>
      <c r="B6312" s="64">
        <f>IFERROR(__xludf.DUMMYFUNCTION("""COMPUTED_VALUE"""),44606.0)</f>
        <v>44606</v>
      </c>
      <c r="C6312" s="5"/>
      <c r="D6312" s="5"/>
      <c r="E6312" s="5"/>
      <c r="F6312" s="22">
        <f>IFERROR(__xludf.DUMMYFUNCTION("""COMPUTED_VALUE"""),500000.0)</f>
        <v>500000</v>
      </c>
      <c r="G6312" s="22">
        <f>IFERROR(__xludf.DUMMYFUNCTION("""COMPUTED_VALUE"""),0.0)</f>
        <v>0</v>
      </c>
      <c r="H6312" s="22">
        <f>IFERROR(__xludf.DUMMYFUNCTION("""COMPUTED_VALUE"""),500000.0)</f>
        <v>500000</v>
      </c>
      <c r="I6312" s="24">
        <f>IFERROR(__xludf.DUMMYFUNCTION("""COMPUTED_VALUE"""),0.0)</f>
        <v>0</v>
      </c>
    </row>
    <row r="6313">
      <c r="A6313" s="5" t="str">
        <f>IFERROR(__xludf.DUMMYFUNCTION("""COMPUTED_VALUE"""),"77134")</f>
        <v>77134</v>
      </c>
      <c r="B6313" s="64">
        <f>IFERROR(__xludf.DUMMYFUNCTION("""COMPUTED_VALUE"""),44607.0)</f>
        <v>44607</v>
      </c>
      <c r="C6313" s="5"/>
      <c r="D6313" s="5"/>
      <c r="E6313" s="5"/>
      <c r="F6313" s="22">
        <f>IFERROR(__xludf.DUMMYFUNCTION("""COMPUTED_VALUE"""),500000.0)</f>
        <v>500000</v>
      </c>
      <c r="G6313" s="22">
        <f>IFERROR(__xludf.DUMMYFUNCTION("""COMPUTED_VALUE"""),0.0)</f>
        <v>0</v>
      </c>
      <c r="H6313" s="22">
        <f>IFERROR(__xludf.DUMMYFUNCTION("""COMPUTED_VALUE"""),500000.0)</f>
        <v>500000</v>
      </c>
      <c r="I6313" s="24">
        <f>IFERROR(__xludf.DUMMYFUNCTION("""COMPUTED_VALUE"""),0.0)</f>
        <v>0</v>
      </c>
    </row>
    <row r="6314">
      <c r="A6314" s="5" t="str">
        <f>IFERROR(__xludf.DUMMYFUNCTION("""COMPUTED_VALUE"""),"77134")</f>
        <v>77134</v>
      </c>
      <c r="B6314" s="64">
        <f>IFERROR(__xludf.DUMMYFUNCTION("""COMPUTED_VALUE"""),44608.0)</f>
        <v>44608</v>
      </c>
      <c r="C6314" s="5"/>
      <c r="D6314" s="5"/>
      <c r="E6314" s="5"/>
      <c r="F6314" s="22">
        <f>IFERROR(__xludf.DUMMYFUNCTION("""COMPUTED_VALUE"""),500000.0)</f>
        <v>500000</v>
      </c>
      <c r="G6314" s="22">
        <f>IFERROR(__xludf.DUMMYFUNCTION("""COMPUTED_VALUE"""),0.0)</f>
        <v>0</v>
      </c>
      <c r="H6314" s="22">
        <f>IFERROR(__xludf.DUMMYFUNCTION("""COMPUTED_VALUE"""),500000.0)</f>
        <v>500000</v>
      </c>
      <c r="I6314" s="24">
        <f>IFERROR(__xludf.DUMMYFUNCTION("""COMPUTED_VALUE"""),0.0)</f>
        <v>0</v>
      </c>
    </row>
    <row r="6315">
      <c r="A6315" s="5" t="str">
        <f>IFERROR(__xludf.DUMMYFUNCTION("""COMPUTED_VALUE"""),"77134")</f>
        <v>77134</v>
      </c>
      <c r="B6315" s="64">
        <f>IFERROR(__xludf.DUMMYFUNCTION("""COMPUTED_VALUE"""),44609.0)</f>
        <v>44609</v>
      </c>
      <c r="C6315" s="5"/>
      <c r="D6315" s="5"/>
      <c r="E6315" s="5"/>
      <c r="F6315" s="22">
        <f>IFERROR(__xludf.DUMMYFUNCTION("""COMPUTED_VALUE"""),500000.0)</f>
        <v>500000</v>
      </c>
      <c r="G6315" s="22">
        <f>IFERROR(__xludf.DUMMYFUNCTION("""COMPUTED_VALUE"""),0.0)</f>
        <v>0</v>
      </c>
      <c r="H6315" s="22">
        <f>IFERROR(__xludf.DUMMYFUNCTION("""COMPUTED_VALUE"""),500000.0)</f>
        <v>500000</v>
      </c>
      <c r="I6315" s="24">
        <f>IFERROR(__xludf.DUMMYFUNCTION("""COMPUTED_VALUE"""),0.0)</f>
        <v>0</v>
      </c>
    </row>
    <row r="6316">
      <c r="A6316" s="5" t="str">
        <f>IFERROR(__xludf.DUMMYFUNCTION("""COMPUTED_VALUE"""),"77134")</f>
        <v>77134</v>
      </c>
      <c r="B6316" s="64">
        <f>IFERROR(__xludf.DUMMYFUNCTION("""COMPUTED_VALUE"""),44610.0)</f>
        <v>44610</v>
      </c>
      <c r="C6316" s="5"/>
      <c r="D6316" s="5"/>
      <c r="E6316" s="5"/>
      <c r="F6316" s="22">
        <f>IFERROR(__xludf.DUMMYFUNCTION("""COMPUTED_VALUE"""),500000.0)</f>
        <v>500000</v>
      </c>
      <c r="G6316" s="22">
        <f>IFERROR(__xludf.DUMMYFUNCTION("""COMPUTED_VALUE"""),0.0)</f>
        <v>0</v>
      </c>
      <c r="H6316" s="22">
        <f>IFERROR(__xludf.DUMMYFUNCTION("""COMPUTED_VALUE"""),500000.0)</f>
        <v>500000</v>
      </c>
      <c r="I6316" s="24">
        <f>IFERROR(__xludf.DUMMYFUNCTION("""COMPUTED_VALUE"""),0.0)</f>
        <v>0</v>
      </c>
    </row>
    <row r="6317">
      <c r="A6317" s="5" t="str">
        <f>IFERROR(__xludf.DUMMYFUNCTION("""COMPUTED_VALUE"""),"77134")</f>
        <v>77134</v>
      </c>
      <c r="B6317" s="64">
        <f>IFERROR(__xludf.DUMMYFUNCTION("""COMPUTED_VALUE"""),44611.0)</f>
        <v>44611</v>
      </c>
      <c r="C6317" s="5"/>
      <c r="D6317" s="5"/>
      <c r="E6317" s="5"/>
      <c r="F6317" s="22">
        <f>IFERROR(__xludf.DUMMYFUNCTION("""COMPUTED_VALUE"""),500000.0)</f>
        <v>500000</v>
      </c>
      <c r="G6317" s="22">
        <f>IFERROR(__xludf.DUMMYFUNCTION("""COMPUTED_VALUE"""),0.0)</f>
        <v>0</v>
      </c>
      <c r="H6317" s="22">
        <f>IFERROR(__xludf.DUMMYFUNCTION("""COMPUTED_VALUE"""),500000.0)</f>
        <v>500000</v>
      </c>
      <c r="I6317" s="24">
        <f>IFERROR(__xludf.DUMMYFUNCTION("""COMPUTED_VALUE"""),0.0)</f>
        <v>0</v>
      </c>
    </row>
    <row r="6318">
      <c r="A6318" s="5" t="str">
        <f>IFERROR(__xludf.DUMMYFUNCTION("""COMPUTED_VALUE"""),"77134")</f>
        <v>77134</v>
      </c>
      <c r="B6318" s="64">
        <f>IFERROR(__xludf.DUMMYFUNCTION("""COMPUTED_VALUE"""),44612.0)</f>
        <v>44612</v>
      </c>
      <c r="C6318" s="5"/>
      <c r="D6318" s="5"/>
      <c r="E6318" s="5"/>
      <c r="F6318" s="22">
        <f>IFERROR(__xludf.DUMMYFUNCTION("""COMPUTED_VALUE"""),500000.0)</f>
        <v>500000</v>
      </c>
      <c r="G6318" s="22">
        <f>IFERROR(__xludf.DUMMYFUNCTION("""COMPUTED_VALUE"""),0.0)</f>
        <v>0</v>
      </c>
      <c r="H6318" s="22">
        <f>IFERROR(__xludf.DUMMYFUNCTION("""COMPUTED_VALUE"""),500000.0)</f>
        <v>500000</v>
      </c>
      <c r="I6318" s="24">
        <f>IFERROR(__xludf.DUMMYFUNCTION("""COMPUTED_VALUE"""),0.0)</f>
        <v>0</v>
      </c>
    </row>
    <row r="6319">
      <c r="A6319" s="5" t="str">
        <f>IFERROR(__xludf.DUMMYFUNCTION("""COMPUTED_VALUE"""),"77134")</f>
        <v>77134</v>
      </c>
      <c r="B6319" s="64">
        <f>IFERROR(__xludf.DUMMYFUNCTION("""COMPUTED_VALUE"""),44613.0)</f>
        <v>44613</v>
      </c>
      <c r="C6319" s="5"/>
      <c r="D6319" s="5"/>
      <c r="E6319" s="5"/>
      <c r="F6319" s="22">
        <f>IFERROR(__xludf.DUMMYFUNCTION("""COMPUTED_VALUE"""),500000.0)</f>
        <v>500000</v>
      </c>
      <c r="G6319" s="22">
        <f>IFERROR(__xludf.DUMMYFUNCTION("""COMPUTED_VALUE"""),0.0)</f>
        <v>0</v>
      </c>
      <c r="H6319" s="22">
        <f>IFERROR(__xludf.DUMMYFUNCTION("""COMPUTED_VALUE"""),500000.0)</f>
        <v>500000</v>
      </c>
      <c r="I6319" s="24">
        <f>IFERROR(__xludf.DUMMYFUNCTION("""COMPUTED_VALUE"""),0.0)</f>
        <v>0</v>
      </c>
    </row>
    <row r="6320">
      <c r="A6320" s="5" t="str">
        <f>IFERROR(__xludf.DUMMYFUNCTION("""COMPUTED_VALUE"""),"77134")</f>
        <v>77134</v>
      </c>
      <c r="B6320" s="64">
        <f>IFERROR(__xludf.DUMMYFUNCTION("""COMPUTED_VALUE"""),44614.0)</f>
        <v>44614</v>
      </c>
      <c r="C6320" s="5"/>
      <c r="D6320" s="5"/>
      <c r="E6320" s="5"/>
      <c r="F6320" s="22">
        <f>IFERROR(__xludf.DUMMYFUNCTION("""COMPUTED_VALUE"""),500000.0)</f>
        <v>500000</v>
      </c>
      <c r="G6320" s="22">
        <f>IFERROR(__xludf.DUMMYFUNCTION("""COMPUTED_VALUE"""),0.0)</f>
        <v>0</v>
      </c>
      <c r="H6320" s="22">
        <f>IFERROR(__xludf.DUMMYFUNCTION("""COMPUTED_VALUE"""),500000.0)</f>
        <v>500000</v>
      </c>
      <c r="I6320" s="24">
        <f>IFERROR(__xludf.DUMMYFUNCTION("""COMPUTED_VALUE"""),0.0)</f>
        <v>0</v>
      </c>
    </row>
    <row r="6321">
      <c r="A6321" s="5" t="str">
        <f>IFERROR(__xludf.DUMMYFUNCTION("""COMPUTED_VALUE"""),"77134")</f>
        <v>77134</v>
      </c>
      <c r="B6321" s="64">
        <f>IFERROR(__xludf.DUMMYFUNCTION("""COMPUTED_VALUE"""),44615.0)</f>
        <v>44615</v>
      </c>
      <c r="C6321" s="5"/>
      <c r="D6321" s="5"/>
      <c r="E6321" s="5"/>
      <c r="F6321" s="22">
        <f>IFERROR(__xludf.DUMMYFUNCTION("""COMPUTED_VALUE"""),500000.0)</f>
        <v>500000</v>
      </c>
      <c r="G6321" s="22">
        <f>IFERROR(__xludf.DUMMYFUNCTION("""COMPUTED_VALUE"""),0.0)</f>
        <v>0</v>
      </c>
      <c r="H6321" s="22">
        <f>IFERROR(__xludf.DUMMYFUNCTION("""COMPUTED_VALUE"""),500000.0)</f>
        <v>500000</v>
      </c>
      <c r="I6321" s="24">
        <f>IFERROR(__xludf.DUMMYFUNCTION("""COMPUTED_VALUE"""),0.0)</f>
        <v>0</v>
      </c>
    </row>
    <row r="6322">
      <c r="A6322" s="5" t="str">
        <f>IFERROR(__xludf.DUMMYFUNCTION("""COMPUTED_VALUE"""),"77134")</f>
        <v>77134</v>
      </c>
      <c r="B6322" s="64">
        <f>IFERROR(__xludf.DUMMYFUNCTION("""COMPUTED_VALUE"""),44616.0)</f>
        <v>44616</v>
      </c>
      <c r="C6322" s="5"/>
      <c r="D6322" s="5"/>
      <c r="E6322" s="5"/>
      <c r="F6322" s="22">
        <f>IFERROR(__xludf.DUMMYFUNCTION("""COMPUTED_VALUE"""),500000.0)</f>
        <v>500000</v>
      </c>
      <c r="G6322" s="22">
        <f>IFERROR(__xludf.DUMMYFUNCTION("""COMPUTED_VALUE"""),0.0)</f>
        <v>0</v>
      </c>
      <c r="H6322" s="22">
        <f>IFERROR(__xludf.DUMMYFUNCTION("""COMPUTED_VALUE"""),500000.0)</f>
        <v>500000</v>
      </c>
      <c r="I6322" s="24">
        <f>IFERROR(__xludf.DUMMYFUNCTION("""COMPUTED_VALUE"""),0.0)</f>
        <v>0</v>
      </c>
    </row>
    <row r="6323">
      <c r="A6323" s="5" t="str">
        <f>IFERROR(__xludf.DUMMYFUNCTION("""COMPUTED_VALUE"""),"77134")</f>
        <v>77134</v>
      </c>
      <c r="B6323" s="64">
        <f>IFERROR(__xludf.DUMMYFUNCTION("""COMPUTED_VALUE"""),44617.0)</f>
        <v>44617</v>
      </c>
      <c r="C6323" s="5"/>
      <c r="D6323" s="5"/>
      <c r="E6323" s="5"/>
      <c r="F6323" s="22">
        <f>IFERROR(__xludf.DUMMYFUNCTION("""COMPUTED_VALUE"""),500000.0)</f>
        <v>500000</v>
      </c>
      <c r="G6323" s="22">
        <f>IFERROR(__xludf.DUMMYFUNCTION("""COMPUTED_VALUE"""),0.0)</f>
        <v>0</v>
      </c>
      <c r="H6323" s="22">
        <f>IFERROR(__xludf.DUMMYFUNCTION("""COMPUTED_VALUE"""),500000.0)</f>
        <v>500000</v>
      </c>
      <c r="I6323" s="24">
        <f>IFERROR(__xludf.DUMMYFUNCTION("""COMPUTED_VALUE"""),0.0)</f>
        <v>0</v>
      </c>
    </row>
    <row r="6324">
      <c r="A6324" s="5" t="str">
        <f>IFERROR(__xludf.DUMMYFUNCTION("""COMPUTED_VALUE"""),"77134")</f>
        <v>77134</v>
      </c>
      <c r="B6324" s="64">
        <f>IFERROR(__xludf.DUMMYFUNCTION("""COMPUTED_VALUE"""),44618.0)</f>
        <v>44618</v>
      </c>
      <c r="C6324" s="5"/>
      <c r="D6324" s="5"/>
      <c r="E6324" s="5"/>
      <c r="F6324" s="22">
        <f>IFERROR(__xludf.DUMMYFUNCTION("""COMPUTED_VALUE"""),500000.0)</f>
        <v>500000</v>
      </c>
      <c r="G6324" s="22">
        <f>IFERROR(__xludf.DUMMYFUNCTION("""COMPUTED_VALUE"""),0.0)</f>
        <v>0</v>
      </c>
      <c r="H6324" s="22">
        <f>IFERROR(__xludf.DUMMYFUNCTION("""COMPUTED_VALUE"""),500000.0)</f>
        <v>500000</v>
      </c>
      <c r="I6324" s="24">
        <f>IFERROR(__xludf.DUMMYFUNCTION("""COMPUTED_VALUE"""),0.0)</f>
        <v>0</v>
      </c>
    </row>
    <row r="6325">
      <c r="A6325" s="5" t="str">
        <f>IFERROR(__xludf.DUMMYFUNCTION("""COMPUTED_VALUE"""),"77134")</f>
        <v>77134</v>
      </c>
      <c r="B6325" s="64">
        <f>IFERROR(__xludf.DUMMYFUNCTION("""COMPUTED_VALUE"""),44619.0)</f>
        <v>44619</v>
      </c>
      <c r="C6325" s="5"/>
      <c r="D6325" s="5"/>
      <c r="E6325" s="5"/>
      <c r="F6325" s="22">
        <f>IFERROR(__xludf.DUMMYFUNCTION("""COMPUTED_VALUE"""),500000.0)</f>
        <v>500000</v>
      </c>
      <c r="G6325" s="22">
        <f>IFERROR(__xludf.DUMMYFUNCTION("""COMPUTED_VALUE"""),0.0)</f>
        <v>0</v>
      </c>
      <c r="H6325" s="22">
        <f>IFERROR(__xludf.DUMMYFUNCTION("""COMPUTED_VALUE"""),500000.0)</f>
        <v>500000</v>
      </c>
      <c r="I6325" s="24">
        <f>IFERROR(__xludf.DUMMYFUNCTION("""COMPUTED_VALUE"""),0.0)</f>
        <v>0</v>
      </c>
    </row>
    <row r="6326">
      <c r="A6326" s="5" t="str">
        <f>IFERROR(__xludf.DUMMYFUNCTION("""COMPUTED_VALUE"""),"77134")</f>
        <v>77134</v>
      </c>
      <c r="B6326" s="64">
        <f>IFERROR(__xludf.DUMMYFUNCTION("""COMPUTED_VALUE"""),44620.0)</f>
        <v>44620</v>
      </c>
      <c r="C6326" s="5"/>
      <c r="D6326" s="5"/>
      <c r="E6326" s="5"/>
      <c r="F6326" s="22">
        <f>IFERROR(__xludf.DUMMYFUNCTION("""COMPUTED_VALUE"""),500000.0)</f>
        <v>500000</v>
      </c>
      <c r="G6326" s="22">
        <f>IFERROR(__xludf.DUMMYFUNCTION("""COMPUTED_VALUE"""),0.0)</f>
        <v>0</v>
      </c>
      <c r="H6326" s="22">
        <f>IFERROR(__xludf.DUMMYFUNCTION("""COMPUTED_VALUE"""),500000.0)</f>
        <v>500000</v>
      </c>
      <c r="I6326" s="24">
        <f>IFERROR(__xludf.DUMMYFUNCTION("""COMPUTED_VALUE"""),0.0)</f>
        <v>0</v>
      </c>
    </row>
    <row r="6327">
      <c r="A6327" s="5" t="str">
        <f>IFERROR(__xludf.DUMMYFUNCTION("""COMPUTED_VALUE"""),"77134")</f>
        <v>77134</v>
      </c>
      <c r="B6327" s="64">
        <f>IFERROR(__xludf.DUMMYFUNCTION("""COMPUTED_VALUE"""),44621.0)</f>
        <v>44621</v>
      </c>
      <c r="C6327" s="5"/>
      <c r="D6327" s="5"/>
      <c r="E6327" s="5"/>
      <c r="F6327" s="22">
        <f>IFERROR(__xludf.DUMMYFUNCTION("""COMPUTED_VALUE"""),500000.0)</f>
        <v>500000</v>
      </c>
      <c r="G6327" s="22">
        <f>IFERROR(__xludf.DUMMYFUNCTION("""COMPUTED_VALUE"""),0.0)</f>
        <v>0</v>
      </c>
      <c r="H6327" s="22">
        <f>IFERROR(__xludf.DUMMYFUNCTION("""COMPUTED_VALUE"""),500000.0)</f>
        <v>500000</v>
      </c>
      <c r="I6327" s="24">
        <f>IFERROR(__xludf.DUMMYFUNCTION("""COMPUTED_VALUE"""),0.0)</f>
        <v>0</v>
      </c>
    </row>
    <row r="6328">
      <c r="A6328" s="5" t="str">
        <f>IFERROR(__xludf.DUMMYFUNCTION("""COMPUTED_VALUE"""),"77134")</f>
        <v>77134</v>
      </c>
      <c r="B6328" s="64">
        <f>IFERROR(__xludf.DUMMYFUNCTION("""COMPUTED_VALUE"""),44622.0)</f>
        <v>44622</v>
      </c>
      <c r="C6328" s="5"/>
      <c r="D6328" s="5"/>
      <c r="E6328" s="5"/>
      <c r="F6328" s="22">
        <f>IFERROR(__xludf.DUMMYFUNCTION("""COMPUTED_VALUE"""),500000.0)</f>
        <v>500000</v>
      </c>
      <c r="G6328" s="22">
        <f>IFERROR(__xludf.DUMMYFUNCTION("""COMPUTED_VALUE"""),0.0)</f>
        <v>0</v>
      </c>
      <c r="H6328" s="22">
        <f>IFERROR(__xludf.DUMMYFUNCTION("""COMPUTED_VALUE"""),500000.0)</f>
        <v>500000</v>
      </c>
      <c r="I6328" s="24">
        <f>IFERROR(__xludf.DUMMYFUNCTION("""COMPUTED_VALUE"""),0.0)</f>
        <v>0</v>
      </c>
    </row>
    <row r="6329">
      <c r="A6329" s="5" t="str">
        <f>IFERROR(__xludf.DUMMYFUNCTION("""COMPUTED_VALUE"""),"77134")</f>
        <v>77134</v>
      </c>
      <c r="B6329" s="64">
        <f>IFERROR(__xludf.DUMMYFUNCTION("""COMPUTED_VALUE"""),44623.0)</f>
        <v>44623</v>
      </c>
      <c r="C6329" s="5"/>
      <c r="D6329" s="5"/>
      <c r="E6329" s="5"/>
      <c r="F6329" s="22">
        <f>IFERROR(__xludf.DUMMYFUNCTION("""COMPUTED_VALUE"""),500000.0)</f>
        <v>500000</v>
      </c>
      <c r="G6329" s="22">
        <f>IFERROR(__xludf.DUMMYFUNCTION("""COMPUTED_VALUE"""),0.0)</f>
        <v>0</v>
      </c>
      <c r="H6329" s="22">
        <f>IFERROR(__xludf.DUMMYFUNCTION("""COMPUTED_VALUE"""),500000.0)</f>
        <v>500000</v>
      </c>
      <c r="I6329" s="24">
        <f>IFERROR(__xludf.DUMMYFUNCTION("""COMPUTED_VALUE"""),0.0)</f>
        <v>0</v>
      </c>
    </row>
    <row r="6330">
      <c r="A6330" s="5" t="str">
        <f>IFERROR(__xludf.DUMMYFUNCTION("""COMPUTED_VALUE"""),"77134")</f>
        <v>77134</v>
      </c>
      <c r="B6330" s="64">
        <f>IFERROR(__xludf.DUMMYFUNCTION("""COMPUTED_VALUE"""),44624.0)</f>
        <v>44624</v>
      </c>
      <c r="C6330" s="5"/>
      <c r="D6330" s="5"/>
      <c r="E6330" s="5"/>
      <c r="F6330" s="22">
        <f>IFERROR(__xludf.DUMMYFUNCTION("""COMPUTED_VALUE"""),500000.0)</f>
        <v>500000</v>
      </c>
      <c r="G6330" s="22">
        <f>IFERROR(__xludf.DUMMYFUNCTION("""COMPUTED_VALUE"""),0.0)</f>
        <v>0</v>
      </c>
      <c r="H6330" s="22">
        <f>IFERROR(__xludf.DUMMYFUNCTION("""COMPUTED_VALUE"""),500000.0)</f>
        <v>500000</v>
      </c>
      <c r="I6330" s="24">
        <f>IFERROR(__xludf.DUMMYFUNCTION("""COMPUTED_VALUE"""),0.0)</f>
        <v>0</v>
      </c>
    </row>
    <row r="6331">
      <c r="A6331" s="5" t="str">
        <f>IFERROR(__xludf.DUMMYFUNCTION("""COMPUTED_VALUE"""),"77134")</f>
        <v>77134</v>
      </c>
      <c r="B6331" s="64">
        <f>IFERROR(__xludf.DUMMYFUNCTION("""COMPUTED_VALUE"""),44625.0)</f>
        <v>44625</v>
      </c>
      <c r="C6331" s="5"/>
      <c r="D6331" s="5"/>
      <c r="E6331" s="5"/>
      <c r="F6331" s="22">
        <f>IFERROR(__xludf.DUMMYFUNCTION("""COMPUTED_VALUE"""),500000.0)</f>
        <v>500000</v>
      </c>
      <c r="G6331" s="22">
        <f>IFERROR(__xludf.DUMMYFUNCTION("""COMPUTED_VALUE"""),0.0)</f>
        <v>0</v>
      </c>
      <c r="H6331" s="22">
        <f>IFERROR(__xludf.DUMMYFUNCTION("""COMPUTED_VALUE"""),500000.0)</f>
        <v>500000</v>
      </c>
      <c r="I6331" s="24">
        <f>IFERROR(__xludf.DUMMYFUNCTION("""COMPUTED_VALUE"""),0.0)</f>
        <v>0</v>
      </c>
    </row>
    <row r="6332">
      <c r="A6332" s="5" t="str">
        <f>IFERROR(__xludf.DUMMYFUNCTION("""COMPUTED_VALUE"""),"77134")</f>
        <v>77134</v>
      </c>
      <c r="B6332" s="64">
        <f>IFERROR(__xludf.DUMMYFUNCTION("""COMPUTED_VALUE"""),44626.0)</f>
        <v>44626</v>
      </c>
      <c r="C6332" s="5"/>
      <c r="D6332" s="5"/>
      <c r="E6332" s="5"/>
      <c r="F6332" s="22">
        <f>IFERROR(__xludf.DUMMYFUNCTION("""COMPUTED_VALUE"""),500000.0)</f>
        <v>500000</v>
      </c>
      <c r="G6332" s="22">
        <f>IFERROR(__xludf.DUMMYFUNCTION("""COMPUTED_VALUE"""),0.0)</f>
        <v>0</v>
      </c>
      <c r="H6332" s="22">
        <f>IFERROR(__xludf.DUMMYFUNCTION("""COMPUTED_VALUE"""),500000.0)</f>
        <v>500000</v>
      </c>
      <c r="I6332" s="24">
        <f>IFERROR(__xludf.DUMMYFUNCTION("""COMPUTED_VALUE"""),0.0)</f>
        <v>0</v>
      </c>
    </row>
    <row r="6333">
      <c r="A6333" s="5" t="str">
        <f>IFERROR(__xludf.DUMMYFUNCTION("""COMPUTED_VALUE"""),"77134")</f>
        <v>77134</v>
      </c>
      <c r="B6333" s="64">
        <f>IFERROR(__xludf.DUMMYFUNCTION("""COMPUTED_VALUE"""),44627.0)</f>
        <v>44627</v>
      </c>
      <c r="C6333" s="5"/>
      <c r="D6333" s="5"/>
      <c r="E6333" s="5"/>
      <c r="F6333" s="22">
        <f>IFERROR(__xludf.DUMMYFUNCTION("""COMPUTED_VALUE"""),500000.0)</f>
        <v>500000</v>
      </c>
      <c r="G6333" s="22">
        <f>IFERROR(__xludf.DUMMYFUNCTION("""COMPUTED_VALUE"""),0.0)</f>
        <v>0</v>
      </c>
      <c r="H6333" s="22">
        <f>IFERROR(__xludf.DUMMYFUNCTION("""COMPUTED_VALUE"""),500000.0)</f>
        <v>500000</v>
      </c>
      <c r="I6333" s="24">
        <f>IFERROR(__xludf.DUMMYFUNCTION("""COMPUTED_VALUE"""),0.0)</f>
        <v>0</v>
      </c>
    </row>
    <row r="6334">
      <c r="A6334" s="5" t="str">
        <f>IFERROR(__xludf.DUMMYFUNCTION("""COMPUTED_VALUE"""),"77134")</f>
        <v>77134</v>
      </c>
      <c r="B6334" s="64">
        <f>IFERROR(__xludf.DUMMYFUNCTION("""COMPUTED_VALUE"""),44628.0)</f>
        <v>44628</v>
      </c>
      <c r="C6334" s="5"/>
      <c r="D6334" s="5"/>
      <c r="E6334" s="5"/>
      <c r="F6334" s="22">
        <f>IFERROR(__xludf.DUMMYFUNCTION("""COMPUTED_VALUE"""),500000.0)</f>
        <v>500000</v>
      </c>
      <c r="G6334" s="22">
        <f>IFERROR(__xludf.DUMMYFUNCTION("""COMPUTED_VALUE"""),0.0)</f>
        <v>0</v>
      </c>
      <c r="H6334" s="22">
        <f>IFERROR(__xludf.DUMMYFUNCTION("""COMPUTED_VALUE"""),500000.0)</f>
        <v>500000</v>
      </c>
      <c r="I6334" s="24">
        <f>IFERROR(__xludf.DUMMYFUNCTION("""COMPUTED_VALUE"""),0.0)</f>
        <v>0</v>
      </c>
    </row>
    <row r="6335">
      <c r="A6335" s="5" t="str">
        <f>IFERROR(__xludf.DUMMYFUNCTION("""COMPUTED_VALUE"""),"77134")</f>
        <v>77134</v>
      </c>
      <c r="B6335" s="64">
        <f>IFERROR(__xludf.DUMMYFUNCTION("""COMPUTED_VALUE"""),44629.0)</f>
        <v>44629</v>
      </c>
      <c r="C6335" s="5"/>
      <c r="D6335" s="5"/>
      <c r="E6335" s="5"/>
      <c r="F6335" s="22">
        <f>IFERROR(__xludf.DUMMYFUNCTION("""COMPUTED_VALUE"""),500000.0)</f>
        <v>500000</v>
      </c>
      <c r="G6335" s="22">
        <f>IFERROR(__xludf.DUMMYFUNCTION("""COMPUTED_VALUE"""),0.0)</f>
        <v>0</v>
      </c>
      <c r="H6335" s="22">
        <f>IFERROR(__xludf.DUMMYFUNCTION("""COMPUTED_VALUE"""),500000.0)</f>
        <v>500000</v>
      </c>
      <c r="I6335" s="24">
        <f>IFERROR(__xludf.DUMMYFUNCTION("""COMPUTED_VALUE"""),0.0)</f>
        <v>0</v>
      </c>
    </row>
    <row r="6336">
      <c r="A6336" s="5" t="str">
        <f>IFERROR(__xludf.DUMMYFUNCTION("""COMPUTED_VALUE"""),"77134")</f>
        <v>77134</v>
      </c>
      <c r="B6336" s="64">
        <f>IFERROR(__xludf.DUMMYFUNCTION("""COMPUTED_VALUE"""),44630.0)</f>
        <v>44630</v>
      </c>
      <c r="C6336" s="5"/>
      <c r="D6336" s="5"/>
      <c r="E6336" s="5"/>
      <c r="F6336" s="22">
        <f>IFERROR(__xludf.DUMMYFUNCTION("""COMPUTED_VALUE"""),500000.0)</f>
        <v>500000</v>
      </c>
      <c r="G6336" s="22">
        <f>IFERROR(__xludf.DUMMYFUNCTION("""COMPUTED_VALUE"""),0.0)</f>
        <v>0</v>
      </c>
      <c r="H6336" s="22">
        <f>IFERROR(__xludf.DUMMYFUNCTION("""COMPUTED_VALUE"""),500000.0)</f>
        <v>500000</v>
      </c>
      <c r="I6336" s="24">
        <f>IFERROR(__xludf.DUMMYFUNCTION("""COMPUTED_VALUE"""),0.0)</f>
        <v>0</v>
      </c>
    </row>
    <row r="6337">
      <c r="A6337" s="5" t="str">
        <f>IFERROR(__xludf.DUMMYFUNCTION("""COMPUTED_VALUE"""),"77134")</f>
        <v>77134</v>
      </c>
      <c r="B6337" s="64">
        <f>IFERROR(__xludf.DUMMYFUNCTION("""COMPUTED_VALUE"""),44631.0)</f>
        <v>44631</v>
      </c>
      <c r="C6337" s="5"/>
      <c r="D6337" s="5"/>
      <c r="E6337" s="5"/>
      <c r="F6337" s="22">
        <f>IFERROR(__xludf.DUMMYFUNCTION("""COMPUTED_VALUE"""),500000.0)</f>
        <v>500000</v>
      </c>
      <c r="G6337" s="22">
        <f>IFERROR(__xludf.DUMMYFUNCTION("""COMPUTED_VALUE"""),0.0)</f>
        <v>0</v>
      </c>
      <c r="H6337" s="22">
        <f>IFERROR(__xludf.DUMMYFUNCTION("""COMPUTED_VALUE"""),500000.0)</f>
        <v>500000</v>
      </c>
      <c r="I6337" s="24">
        <f>IFERROR(__xludf.DUMMYFUNCTION("""COMPUTED_VALUE"""),0.0)</f>
        <v>0</v>
      </c>
    </row>
    <row r="6338">
      <c r="A6338" s="5" t="str">
        <f>IFERROR(__xludf.DUMMYFUNCTION("""COMPUTED_VALUE"""),"77134")</f>
        <v>77134</v>
      </c>
      <c r="B6338" s="64">
        <f>IFERROR(__xludf.DUMMYFUNCTION("""COMPUTED_VALUE"""),44632.0)</f>
        <v>44632</v>
      </c>
      <c r="C6338" s="5"/>
      <c r="D6338" s="5"/>
      <c r="E6338" s="5"/>
      <c r="F6338" s="22">
        <f>IFERROR(__xludf.DUMMYFUNCTION("""COMPUTED_VALUE"""),500000.0)</f>
        <v>500000</v>
      </c>
      <c r="G6338" s="22">
        <f>IFERROR(__xludf.DUMMYFUNCTION("""COMPUTED_VALUE"""),0.0)</f>
        <v>0</v>
      </c>
      <c r="H6338" s="22">
        <f>IFERROR(__xludf.DUMMYFUNCTION("""COMPUTED_VALUE"""),500000.0)</f>
        <v>500000</v>
      </c>
      <c r="I6338" s="24">
        <f>IFERROR(__xludf.DUMMYFUNCTION("""COMPUTED_VALUE"""),0.0)</f>
        <v>0</v>
      </c>
    </row>
    <row r="6339">
      <c r="A6339" s="5" t="str">
        <f>IFERROR(__xludf.DUMMYFUNCTION("""COMPUTED_VALUE"""),"77134")</f>
        <v>77134</v>
      </c>
      <c r="B6339" s="64">
        <f>IFERROR(__xludf.DUMMYFUNCTION("""COMPUTED_VALUE"""),44633.0)</f>
        <v>44633</v>
      </c>
      <c r="C6339" s="5"/>
      <c r="D6339" s="5"/>
      <c r="E6339" s="5"/>
      <c r="F6339" s="22">
        <f>IFERROR(__xludf.DUMMYFUNCTION("""COMPUTED_VALUE"""),500000.0)</f>
        <v>500000</v>
      </c>
      <c r="G6339" s="22">
        <f>IFERROR(__xludf.DUMMYFUNCTION("""COMPUTED_VALUE"""),0.0)</f>
        <v>0</v>
      </c>
      <c r="H6339" s="22">
        <f>IFERROR(__xludf.DUMMYFUNCTION("""COMPUTED_VALUE"""),500000.0)</f>
        <v>500000</v>
      </c>
      <c r="I6339" s="24">
        <f>IFERROR(__xludf.DUMMYFUNCTION("""COMPUTED_VALUE"""),0.0)</f>
        <v>0</v>
      </c>
    </row>
    <row r="6340">
      <c r="A6340" s="5" t="str">
        <f>IFERROR(__xludf.DUMMYFUNCTION("""COMPUTED_VALUE"""),"77134")</f>
        <v>77134</v>
      </c>
      <c r="B6340" s="64">
        <f>IFERROR(__xludf.DUMMYFUNCTION("""COMPUTED_VALUE"""),44634.0)</f>
        <v>44634</v>
      </c>
      <c r="C6340" s="5"/>
      <c r="D6340" s="5"/>
      <c r="E6340" s="5"/>
      <c r="F6340" s="22">
        <f>IFERROR(__xludf.DUMMYFUNCTION("""COMPUTED_VALUE"""),500000.0)</f>
        <v>500000</v>
      </c>
      <c r="G6340" s="22">
        <f>IFERROR(__xludf.DUMMYFUNCTION("""COMPUTED_VALUE"""),0.0)</f>
        <v>0</v>
      </c>
      <c r="H6340" s="22">
        <f>IFERROR(__xludf.DUMMYFUNCTION("""COMPUTED_VALUE"""),500000.0)</f>
        <v>500000</v>
      </c>
      <c r="I6340" s="24">
        <f>IFERROR(__xludf.DUMMYFUNCTION("""COMPUTED_VALUE"""),0.0)</f>
        <v>0</v>
      </c>
    </row>
    <row r="6341">
      <c r="A6341" s="5" t="str">
        <f>IFERROR(__xludf.DUMMYFUNCTION("""COMPUTED_VALUE"""),"77134")</f>
        <v>77134</v>
      </c>
      <c r="B6341" s="64">
        <f>IFERROR(__xludf.DUMMYFUNCTION("""COMPUTED_VALUE"""),44635.0)</f>
        <v>44635</v>
      </c>
      <c r="C6341" s="5"/>
      <c r="D6341" s="5"/>
      <c r="E6341" s="5"/>
      <c r="F6341" s="22">
        <f>IFERROR(__xludf.DUMMYFUNCTION("""COMPUTED_VALUE"""),500000.0)</f>
        <v>500000</v>
      </c>
      <c r="G6341" s="22">
        <f>IFERROR(__xludf.DUMMYFUNCTION("""COMPUTED_VALUE"""),0.0)</f>
        <v>0</v>
      </c>
      <c r="H6341" s="22">
        <f>IFERROR(__xludf.DUMMYFUNCTION("""COMPUTED_VALUE"""),500000.0)</f>
        <v>500000</v>
      </c>
      <c r="I6341" s="24">
        <f>IFERROR(__xludf.DUMMYFUNCTION("""COMPUTED_VALUE"""),0.0)</f>
        <v>0</v>
      </c>
    </row>
    <row r="6342">
      <c r="A6342" s="5" t="str">
        <f>IFERROR(__xludf.DUMMYFUNCTION("""COMPUTED_VALUE"""),"77134")</f>
        <v>77134</v>
      </c>
      <c r="B6342" s="64">
        <f>IFERROR(__xludf.DUMMYFUNCTION("""COMPUTED_VALUE"""),44636.0)</f>
        <v>44636</v>
      </c>
      <c r="C6342" s="5"/>
      <c r="D6342" s="5"/>
      <c r="E6342" s="5"/>
      <c r="F6342" s="22">
        <f>IFERROR(__xludf.DUMMYFUNCTION("""COMPUTED_VALUE"""),500000.0)</f>
        <v>500000</v>
      </c>
      <c r="G6342" s="22">
        <f>IFERROR(__xludf.DUMMYFUNCTION("""COMPUTED_VALUE"""),0.0)</f>
        <v>0</v>
      </c>
      <c r="H6342" s="22">
        <f>IFERROR(__xludf.DUMMYFUNCTION("""COMPUTED_VALUE"""),500000.0)</f>
        <v>500000</v>
      </c>
      <c r="I6342" s="24">
        <f>IFERROR(__xludf.DUMMYFUNCTION("""COMPUTED_VALUE"""),0.0)</f>
        <v>0</v>
      </c>
    </row>
    <row r="6343">
      <c r="A6343" s="5" t="str">
        <f>IFERROR(__xludf.DUMMYFUNCTION("""COMPUTED_VALUE"""),"77134")</f>
        <v>77134</v>
      </c>
      <c r="B6343" s="64">
        <f>IFERROR(__xludf.DUMMYFUNCTION("""COMPUTED_VALUE"""),44637.0)</f>
        <v>44637</v>
      </c>
      <c r="C6343" s="5"/>
      <c r="D6343" s="5"/>
      <c r="E6343" s="5"/>
      <c r="F6343" s="22">
        <f>IFERROR(__xludf.DUMMYFUNCTION("""COMPUTED_VALUE"""),500000.0)</f>
        <v>500000</v>
      </c>
      <c r="G6343" s="22">
        <f>IFERROR(__xludf.DUMMYFUNCTION("""COMPUTED_VALUE"""),0.0)</f>
        <v>0</v>
      </c>
      <c r="H6343" s="22">
        <f>IFERROR(__xludf.DUMMYFUNCTION("""COMPUTED_VALUE"""),500000.0)</f>
        <v>500000</v>
      </c>
      <c r="I6343" s="24">
        <f>IFERROR(__xludf.DUMMYFUNCTION("""COMPUTED_VALUE"""),0.0)</f>
        <v>0</v>
      </c>
    </row>
    <row r="6344">
      <c r="A6344" s="5" t="str">
        <f>IFERROR(__xludf.DUMMYFUNCTION("""COMPUTED_VALUE"""),"77134")</f>
        <v>77134</v>
      </c>
      <c r="B6344" s="64">
        <f>IFERROR(__xludf.DUMMYFUNCTION("""COMPUTED_VALUE"""),44638.0)</f>
        <v>44638</v>
      </c>
      <c r="C6344" s="5"/>
      <c r="D6344" s="5"/>
      <c r="E6344" s="5"/>
      <c r="F6344" s="22">
        <f>IFERROR(__xludf.DUMMYFUNCTION("""COMPUTED_VALUE"""),500000.0)</f>
        <v>500000</v>
      </c>
      <c r="G6344" s="22">
        <f>IFERROR(__xludf.DUMMYFUNCTION("""COMPUTED_VALUE"""),0.0)</f>
        <v>0</v>
      </c>
      <c r="H6344" s="22">
        <f>IFERROR(__xludf.DUMMYFUNCTION("""COMPUTED_VALUE"""),500000.0)</f>
        <v>500000</v>
      </c>
      <c r="I6344" s="24">
        <f>IFERROR(__xludf.DUMMYFUNCTION("""COMPUTED_VALUE"""),0.0)</f>
        <v>0</v>
      </c>
    </row>
    <row r="6345">
      <c r="A6345" s="5" t="str">
        <f>IFERROR(__xludf.DUMMYFUNCTION("""COMPUTED_VALUE"""),"77134")</f>
        <v>77134</v>
      </c>
      <c r="B6345" s="64">
        <f>IFERROR(__xludf.DUMMYFUNCTION("""COMPUTED_VALUE"""),44639.0)</f>
        <v>44639</v>
      </c>
      <c r="C6345" s="5"/>
      <c r="D6345" s="5"/>
      <c r="E6345" s="5"/>
      <c r="F6345" s="22">
        <f>IFERROR(__xludf.DUMMYFUNCTION("""COMPUTED_VALUE"""),500000.0)</f>
        <v>500000</v>
      </c>
      <c r="G6345" s="22">
        <f>IFERROR(__xludf.DUMMYFUNCTION("""COMPUTED_VALUE"""),0.0)</f>
        <v>0</v>
      </c>
      <c r="H6345" s="22">
        <f>IFERROR(__xludf.DUMMYFUNCTION("""COMPUTED_VALUE"""),500000.0)</f>
        <v>500000</v>
      </c>
      <c r="I6345" s="24">
        <f>IFERROR(__xludf.DUMMYFUNCTION("""COMPUTED_VALUE"""),0.0)</f>
        <v>0</v>
      </c>
    </row>
    <row r="6346">
      <c r="A6346" s="5" t="str">
        <f>IFERROR(__xludf.DUMMYFUNCTION("""COMPUTED_VALUE"""),"77134")</f>
        <v>77134</v>
      </c>
      <c r="B6346" s="64">
        <f>IFERROR(__xludf.DUMMYFUNCTION("""COMPUTED_VALUE"""),44640.0)</f>
        <v>44640</v>
      </c>
      <c r="C6346" s="5"/>
      <c r="D6346" s="5"/>
      <c r="E6346" s="5"/>
      <c r="F6346" s="22">
        <f>IFERROR(__xludf.DUMMYFUNCTION("""COMPUTED_VALUE"""),500000.0)</f>
        <v>500000</v>
      </c>
      <c r="G6346" s="22">
        <f>IFERROR(__xludf.DUMMYFUNCTION("""COMPUTED_VALUE"""),0.0)</f>
        <v>0</v>
      </c>
      <c r="H6346" s="22">
        <f>IFERROR(__xludf.DUMMYFUNCTION("""COMPUTED_VALUE"""),500000.0)</f>
        <v>500000</v>
      </c>
      <c r="I6346" s="24">
        <f>IFERROR(__xludf.DUMMYFUNCTION("""COMPUTED_VALUE"""),0.0)</f>
        <v>0</v>
      </c>
    </row>
    <row r="6347">
      <c r="A6347" s="5" t="str">
        <f>IFERROR(__xludf.DUMMYFUNCTION("""COMPUTED_VALUE"""),"77134")</f>
        <v>77134</v>
      </c>
      <c r="B6347" s="64">
        <f>IFERROR(__xludf.DUMMYFUNCTION("""COMPUTED_VALUE"""),44641.0)</f>
        <v>44641</v>
      </c>
      <c r="C6347" s="5"/>
      <c r="D6347" s="5"/>
      <c r="E6347" s="5"/>
      <c r="F6347" s="22">
        <f>IFERROR(__xludf.DUMMYFUNCTION("""COMPUTED_VALUE"""),500000.0)</f>
        <v>500000</v>
      </c>
      <c r="G6347" s="22">
        <f>IFERROR(__xludf.DUMMYFUNCTION("""COMPUTED_VALUE"""),0.0)</f>
        <v>0</v>
      </c>
      <c r="H6347" s="22">
        <f>IFERROR(__xludf.DUMMYFUNCTION("""COMPUTED_VALUE"""),500000.0)</f>
        <v>500000</v>
      </c>
      <c r="I6347" s="24">
        <f>IFERROR(__xludf.DUMMYFUNCTION("""COMPUTED_VALUE"""),0.0)</f>
        <v>0</v>
      </c>
    </row>
    <row r="6348">
      <c r="A6348" s="5" t="str">
        <f>IFERROR(__xludf.DUMMYFUNCTION("""COMPUTED_VALUE"""),"77134")</f>
        <v>77134</v>
      </c>
      <c r="B6348" s="64">
        <f>IFERROR(__xludf.DUMMYFUNCTION("""COMPUTED_VALUE"""),44642.0)</f>
        <v>44642</v>
      </c>
      <c r="C6348" s="5"/>
      <c r="D6348" s="5"/>
      <c r="E6348" s="5"/>
      <c r="F6348" s="22">
        <f>IFERROR(__xludf.DUMMYFUNCTION("""COMPUTED_VALUE"""),500000.0)</f>
        <v>500000</v>
      </c>
      <c r="G6348" s="22">
        <f>IFERROR(__xludf.DUMMYFUNCTION("""COMPUTED_VALUE"""),0.0)</f>
        <v>0</v>
      </c>
      <c r="H6348" s="22">
        <f>IFERROR(__xludf.DUMMYFUNCTION("""COMPUTED_VALUE"""),500000.0)</f>
        <v>500000</v>
      </c>
      <c r="I6348" s="24">
        <f>IFERROR(__xludf.DUMMYFUNCTION("""COMPUTED_VALUE"""),0.0)</f>
        <v>0</v>
      </c>
    </row>
    <row r="6349">
      <c r="A6349" s="5" t="str">
        <f>IFERROR(__xludf.DUMMYFUNCTION("""COMPUTED_VALUE"""),"77134")</f>
        <v>77134</v>
      </c>
      <c r="B6349" s="64">
        <f>IFERROR(__xludf.DUMMYFUNCTION("""COMPUTED_VALUE"""),44643.0)</f>
        <v>44643</v>
      </c>
      <c r="C6349" s="5"/>
      <c r="D6349" s="5"/>
      <c r="E6349" s="5"/>
      <c r="F6349" s="22">
        <f>IFERROR(__xludf.DUMMYFUNCTION("""COMPUTED_VALUE"""),500000.0)</f>
        <v>500000</v>
      </c>
      <c r="G6349" s="22">
        <f>IFERROR(__xludf.DUMMYFUNCTION("""COMPUTED_VALUE"""),0.0)</f>
        <v>0</v>
      </c>
      <c r="H6349" s="22">
        <f>IFERROR(__xludf.DUMMYFUNCTION("""COMPUTED_VALUE"""),500000.0)</f>
        <v>500000</v>
      </c>
      <c r="I6349" s="24">
        <f>IFERROR(__xludf.DUMMYFUNCTION("""COMPUTED_VALUE"""),0.0)</f>
        <v>0</v>
      </c>
    </row>
    <row r="6350">
      <c r="A6350" s="5" t="str">
        <f>IFERROR(__xludf.DUMMYFUNCTION("""COMPUTED_VALUE"""),"77134")</f>
        <v>77134</v>
      </c>
      <c r="B6350" s="64">
        <f>IFERROR(__xludf.DUMMYFUNCTION("""COMPUTED_VALUE"""),44644.0)</f>
        <v>44644</v>
      </c>
      <c r="C6350" s="5"/>
      <c r="D6350" s="5"/>
      <c r="E6350" s="5"/>
      <c r="F6350" s="22">
        <f>IFERROR(__xludf.DUMMYFUNCTION("""COMPUTED_VALUE"""),500000.0)</f>
        <v>500000</v>
      </c>
      <c r="G6350" s="22">
        <f>IFERROR(__xludf.DUMMYFUNCTION("""COMPUTED_VALUE"""),0.0)</f>
        <v>0</v>
      </c>
      <c r="H6350" s="22">
        <f>IFERROR(__xludf.DUMMYFUNCTION("""COMPUTED_VALUE"""),500000.0)</f>
        <v>500000</v>
      </c>
      <c r="I6350" s="24">
        <f>IFERROR(__xludf.DUMMYFUNCTION("""COMPUTED_VALUE"""),0.0)</f>
        <v>0</v>
      </c>
    </row>
    <row r="6351">
      <c r="A6351" s="5" t="str">
        <f>IFERROR(__xludf.DUMMYFUNCTION("""COMPUTED_VALUE"""),"77134")</f>
        <v>77134</v>
      </c>
      <c r="B6351" s="64">
        <f>IFERROR(__xludf.DUMMYFUNCTION("""COMPUTED_VALUE"""),44645.0)</f>
        <v>44645</v>
      </c>
      <c r="C6351" s="5"/>
      <c r="D6351" s="5"/>
      <c r="E6351" s="5"/>
      <c r="F6351" s="22">
        <f>IFERROR(__xludf.DUMMYFUNCTION("""COMPUTED_VALUE"""),500000.0)</f>
        <v>500000</v>
      </c>
      <c r="G6351" s="22">
        <f>IFERROR(__xludf.DUMMYFUNCTION("""COMPUTED_VALUE"""),0.0)</f>
        <v>0</v>
      </c>
      <c r="H6351" s="22">
        <f>IFERROR(__xludf.DUMMYFUNCTION("""COMPUTED_VALUE"""),500000.0)</f>
        <v>500000</v>
      </c>
      <c r="I6351" s="24">
        <f>IFERROR(__xludf.DUMMYFUNCTION("""COMPUTED_VALUE"""),0.0)</f>
        <v>0</v>
      </c>
    </row>
    <row r="6352">
      <c r="A6352" s="5" t="str">
        <f>IFERROR(__xludf.DUMMYFUNCTION("""COMPUTED_VALUE"""),"77134")</f>
        <v>77134</v>
      </c>
      <c r="B6352" s="64">
        <f>IFERROR(__xludf.DUMMYFUNCTION("""COMPUTED_VALUE"""),44646.0)</f>
        <v>44646</v>
      </c>
      <c r="C6352" s="5"/>
      <c r="D6352" s="5"/>
      <c r="E6352" s="5"/>
      <c r="F6352" s="22">
        <f>IFERROR(__xludf.DUMMYFUNCTION("""COMPUTED_VALUE"""),500000.0)</f>
        <v>500000</v>
      </c>
      <c r="G6352" s="22">
        <f>IFERROR(__xludf.DUMMYFUNCTION("""COMPUTED_VALUE"""),0.0)</f>
        <v>0</v>
      </c>
      <c r="H6352" s="22">
        <f>IFERROR(__xludf.DUMMYFUNCTION("""COMPUTED_VALUE"""),500000.0)</f>
        <v>500000</v>
      </c>
      <c r="I6352" s="24">
        <f>IFERROR(__xludf.DUMMYFUNCTION("""COMPUTED_VALUE"""),0.0)</f>
        <v>0</v>
      </c>
    </row>
    <row r="6353">
      <c r="A6353" s="5" t="str">
        <f>IFERROR(__xludf.DUMMYFUNCTION("""COMPUTED_VALUE"""),"77134")</f>
        <v>77134</v>
      </c>
      <c r="B6353" s="64">
        <f>IFERROR(__xludf.DUMMYFUNCTION("""COMPUTED_VALUE"""),44647.0)</f>
        <v>44647</v>
      </c>
      <c r="C6353" s="5"/>
      <c r="D6353" s="5"/>
      <c r="E6353" s="5"/>
      <c r="F6353" s="22">
        <f>IFERROR(__xludf.DUMMYFUNCTION("""COMPUTED_VALUE"""),500000.0)</f>
        <v>500000</v>
      </c>
      <c r="G6353" s="22">
        <f>IFERROR(__xludf.DUMMYFUNCTION("""COMPUTED_VALUE"""),0.0)</f>
        <v>0</v>
      </c>
      <c r="H6353" s="22">
        <f>IFERROR(__xludf.DUMMYFUNCTION("""COMPUTED_VALUE"""),500000.0)</f>
        <v>500000</v>
      </c>
      <c r="I6353" s="24">
        <f>IFERROR(__xludf.DUMMYFUNCTION("""COMPUTED_VALUE"""),0.0)</f>
        <v>0</v>
      </c>
    </row>
    <row r="6354">
      <c r="A6354" s="5" t="str">
        <f>IFERROR(__xludf.DUMMYFUNCTION("""COMPUTED_VALUE"""),"77134")</f>
        <v>77134</v>
      </c>
      <c r="B6354" s="64">
        <f>IFERROR(__xludf.DUMMYFUNCTION("""COMPUTED_VALUE"""),44648.0)</f>
        <v>44648</v>
      </c>
      <c r="C6354" s="5"/>
      <c r="D6354" s="5"/>
      <c r="E6354" s="5"/>
      <c r="F6354" s="22">
        <f>IFERROR(__xludf.DUMMYFUNCTION("""COMPUTED_VALUE"""),500000.0)</f>
        <v>500000</v>
      </c>
      <c r="G6354" s="22">
        <f>IFERROR(__xludf.DUMMYFUNCTION("""COMPUTED_VALUE"""),0.0)</f>
        <v>0</v>
      </c>
      <c r="H6354" s="22">
        <f>IFERROR(__xludf.DUMMYFUNCTION("""COMPUTED_VALUE"""),500000.0)</f>
        <v>500000</v>
      </c>
      <c r="I6354" s="24">
        <f>IFERROR(__xludf.DUMMYFUNCTION("""COMPUTED_VALUE"""),0.0)</f>
        <v>0</v>
      </c>
    </row>
    <row r="6355">
      <c r="A6355" s="5" t="str">
        <f>IFERROR(__xludf.DUMMYFUNCTION("""COMPUTED_VALUE"""),"77134")</f>
        <v>77134</v>
      </c>
      <c r="B6355" s="64">
        <f>IFERROR(__xludf.DUMMYFUNCTION("""COMPUTED_VALUE"""),44649.0)</f>
        <v>44649</v>
      </c>
      <c r="C6355" s="5"/>
      <c r="D6355" s="5"/>
      <c r="E6355" s="5"/>
      <c r="F6355" s="22">
        <f>IFERROR(__xludf.DUMMYFUNCTION("""COMPUTED_VALUE"""),500000.0)</f>
        <v>500000</v>
      </c>
      <c r="G6355" s="22">
        <f>IFERROR(__xludf.DUMMYFUNCTION("""COMPUTED_VALUE"""),0.0)</f>
        <v>0</v>
      </c>
      <c r="H6355" s="22">
        <f>IFERROR(__xludf.DUMMYFUNCTION("""COMPUTED_VALUE"""),500000.0)</f>
        <v>500000</v>
      </c>
      <c r="I6355" s="24">
        <f>IFERROR(__xludf.DUMMYFUNCTION("""COMPUTED_VALUE"""),0.0)</f>
        <v>0</v>
      </c>
    </row>
    <row r="6356">
      <c r="A6356" s="5" t="str">
        <f>IFERROR(__xludf.DUMMYFUNCTION("""COMPUTED_VALUE"""),"77134")</f>
        <v>77134</v>
      </c>
      <c r="B6356" s="64">
        <f>IFERROR(__xludf.DUMMYFUNCTION("""COMPUTED_VALUE"""),44650.0)</f>
        <v>44650</v>
      </c>
      <c r="C6356" s="5"/>
      <c r="D6356" s="5"/>
      <c r="E6356" s="5"/>
      <c r="F6356" s="22">
        <f>IFERROR(__xludf.DUMMYFUNCTION("""COMPUTED_VALUE"""),500000.0)</f>
        <v>500000</v>
      </c>
      <c r="G6356" s="22">
        <f>IFERROR(__xludf.DUMMYFUNCTION("""COMPUTED_VALUE"""),0.0)</f>
        <v>0</v>
      </c>
      <c r="H6356" s="22">
        <f>IFERROR(__xludf.DUMMYFUNCTION("""COMPUTED_VALUE"""),500000.0)</f>
        <v>500000</v>
      </c>
      <c r="I6356" s="24">
        <f>IFERROR(__xludf.DUMMYFUNCTION("""COMPUTED_VALUE"""),0.0)</f>
        <v>0</v>
      </c>
    </row>
    <row r="6357">
      <c r="A6357" s="5" t="str">
        <f>IFERROR(__xludf.DUMMYFUNCTION("""COMPUTED_VALUE"""),"77134")</f>
        <v>77134</v>
      </c>
      <c r="B6357" s="64">
        <f>IFERROR(__xludf.DUMMYFUNCTION("""COMPUTED_VALUE"""),44651.0)</f>
        <v>44651</v>
      </c>
      <c r="C6357" s="5"/>
      <c r="D6357" s="5"/>
      <c r="E6357" s="5"/>
      <c r="F6357" s="22">
        <f>IFERROR(__xludf.DUMMYFUNCTION("""COMPUTED_VALUE"""),500000.0)</f>
        <v>500000</v>
      </c>
      <c r="G6357" s="22">
        <f>IFERROR(__xludf.DUMMYFUNCTION("""COMPUTED_VALUE"""),0.0)</f>
        <v>0</v>
      </c>
      <c r="H6357" s="22">
        <f>IFERROR(__xludf.DUMMYFUNCTION("""COMPUTED_VALUE"""),500000.0)</f>
        <v>500000</v>
      </c>
      <c r="I6357" s="24">
        <f>IFERROR(__xludf.DUMMYFUNCTION("""COMPUTED_VALUE"""),0.0)</f>
        <v>0</v>
      </c>
    </row>
    <row r="6358">
      <c r="A6358" s="5" t="str">
        <f>IFERROR(__xludf.DUMMYFUNCTION("""COMPUTED_VALUE"""),"77134")</f>
        <v>77134</v>
      </c>
      <c r="B6358" s="64">
        <f>IFERROR(__xludf.DUMMYFUNCTION("""COMPUTED_VALUE"""),44652.0)</f>
        <v>44652</v>
      </c>
      <c r="C6358" s="5"/>
      <c r="D6358" s="5"/>
      <c r="E6358" s="5"/>
      <c r="F6358" s="22">
        <f>IFERROR(__xludf.DUMMYFUNCTION("""COMPUTED_VALUE"""),500000.0)</f>
        <v>500000</v>
      </c>
      <c r="G6358" s="22">
        <f>IFERROR(__xludf.DUMMYFUNCTION("""COMPUTED_VALUE"""),0.0)</f>
        <v>0</v>
      </c>
      <c r="H6358" s="22">
        <f>IFERROR(__xludf.DUMMYFUNCTION("""COMPUTED_VALUE"""),500000.0)</f>
        <v>500000</v>
      </c>
      <c r="I6358" s="24">
        <f>IFERROR(__xludf.DUMMYFUNCTION("""COMPUTED_VALUE"""),0.0)</f>
        <v>0</v>
      </c>
    </row>
    <row r="6359">
      <c r="A6359" s="5" t="str">
        <f>IFERROR(__xludf.DUMMYFUNCTION("""COMPUTED_VALUE"""),"77134")</f>
        <v>77134</v>
      </c>
      <c r="B6359" s="64">
        <f>IFERROR(__xludf.DUMMYFUNCTION("""COMPUTED_VALUE"""),44653.0)</f>
        <v>44653</v>
      </c>
      <c r="C6359" s="5"/>
      <c r="D6359" s="5"/>
      <c r="E6359" s="5"/>
      <c r="F6359" s="22">
        <f>IFERROR(__xludf.DUMMYFUNCTION("""COMPUTED_VALUE"""),500000.0)</f>
        <v>500000</v>
      </c>
      <c r="G6359" s="22">
        <f>IFERROR(__xludf.DUMMYFUNCTION("""COMPUTED_VALUE"""),0.0)</f>
        <v>0</v>
      </c>
      <c r="H6359" s="22">
        <f>IFERROR(__xludf.DUMMYFUNCTION("""COMPUTED_VALUE"""),500000.0)</f>
        <v>500000</v>
      </c>
      <c r="I6359" s="24">
        <f>IFERROR(__xludf.DUMMYFUNCTION("""COMPUTED_VALUE"""),0.0)</f>
        <v>0</v>
      </c>
    </row>
    <row r="6360">
      <c r="A6360" s="5" t="str">
        <f>IFERROR(__xludf.DUMMYFUNCTION("""COMPUTED_VALUE"""),"77134")</f>
        <v>77134</v>
      </c>
      <c r="B6360" s="64">
        <f>IFERROR(__xludf.DUMMYFUNCTION("""COMPUTED_VALUE"""),44654.0)</f>
        <v>44654</v>
      </c>
      <c r="C6360" s="5"/>
      <c r="D6360" s="5"/>
      <c r="E6360" s="5"/>
      <c r="F6360" s="22">
        <f>IFERROR(__xludf.DUMMYFUNCTION("""COMPUTED_VALUE"""),500000.0)</f>
        <v>500000</v>
      </c>
      <c r="G6360" s="22">
        <f>IFERROR(__xludf.DUMMYFUNCTION("""COMPUTED_VALUE"""),0.0)</f>
        <v>0</v>
      </c>
      <c r="H6360" s="22">
        <f>IFERROR(__xludf.DUMMYFUNCTION("""COMPUTED_VALUE"""),500000.0)</f>
        <v>500000</v>
      </c>
      <c r="I6360" s="24">
        <f>IFERROR(__xludf.DUMMYFUNCTION("""COMPUTED_VALUE"""),0.0)</f>
        <v>0</v>
      </c>
    </row>
    <row r="6361">
      <c r="A6361" s="5" t="str">
        <f>IFERROR(__xludf.DUMMYFUNCTION("""COMPUTED_VALUE"""),"77134")</f>
        <v>77134</v>
      </c>
      <c r="B6361" s="64">
        <f>IFERROR(__xludf.DUMMYFUNCTION("""COMPUTED_VALUE"""),44655.0)</f>
        <v>44655</v>
      </c>
      <c r="C6361" s="5"/>
      <c r="D6361" s="5"/>
      <c r="E6361" s="5"/>
      <c r="F6361" s="22">
        <f>IFERROR(__xludf.DUMMYFUNCTION("""COMPUTED_VALUE"""),500000.0)</f>
        <v>500000</v>
      </c>
      <c r="G6361" s="22">
        <f>IFERROR(__xludf.DUMMYFUNCTION("""COMPUTED_VALUE"""),0.0)</f>
        <v>0</v>
      </c>
      <c r="H6361" s="22">
        <f>IFERROR(__xludf.DUMMYFUNCTION("""COMPUTED_VALUE"""),500000.0)</f>
        <v>500000</v>
      </c>
      <c r="I6361" s="24">
        <f>IFERROR(__xludf.DUMMYFUNCTION("""COMPUTED_VALUE"""),0.0)</f>
        <v>0</v>
      </c>
    </row>
    <row r="6362">
      <c r="A6362" s="5" t="str">
        <f>IFERROR(__xludf.DUMMYFUNCTION("""COMPUTED_VALUE"""),"77134")</f>
        <v>77134</v>
      </c>
      <c r="B6362" s="64">
        <f>IFERROR(__xludf.DUMMYFUNCTION("""COMPUTED_VALUE"""),44656.0)</f>
        <v>44656</v>
      </c>
      <c r="C6362" s="5"/>
      <c r="D6362" s="5"/>
      <c r="E6362" s="5"/>
      <c r="F6362" s="22">
        <f>IFERROR(__xludf.DUMMYFUNCTION("""COMPUTED_VALUE"""),500000.0)</f>
        <v>500000</v>
      </c>
      <c r="G6362" s="22">
        <f>IFERROR(__xludf.DUMMYFUNCTION("""COMPUTED_VALUE"""),0.0)</f>
        <v>0</v>
      </c>
      <c r="H6362" s="22">
        <f>IFERROR(__xludf.DUMMYFUNCTION("""COMPUTED_VALUE"""),500000.0)</f>
        <v>500000</v>
      </c>
      <c r="I6362" s="24">
        <f>IFERROR(__xludf.DUMMYFUNCTION("""COMPUTED_VALUE"""),0.0)</f>
        <v>0</v>
      </c>
    </row>
    <row r="6363">
      <c r="A6363" s="5" t="str">
        <f>IFERROR(__xludf.DUMMYFUNCTION("""COMPUTED_VALUE"""),"77134")</f>
        <v>77134</v>
      </c>
      <c r="B6363" s="64">
        <f>IFERROR(__xludf.DUMMYFUNCTION("""COMPUTED_VALUE"""),44657.0)</f>
        <v>44657</v>
      </c>
      <c r="C6363" s="5"/>
      <c r="D6363" s="5"/>
      <c r="E6363" s="5"/>
      <c r="F6363" s="22">
        <f>IFERROR(__xludf.DUMMYFUNCTION("""COMPUTED_VALUE"""),500000.0)</f>
        <v>500000</v>
      </c>
      <c r="G6363" s="22">
        <f>IFERROR(__xludf.DUMMYFUNCTION("""COMPUTED_VALUE"""),0.0)</f>
        <v>0</v>
      </c>
      <c r="H6363" s="22">
        <f>IFERROR(__xludf.DUMMYFUNCTION("""COMPUTED_VALUE"""),500000.0)</f>
        <v>500000</v>
      </c>
      <c r="I6363" s="24">
        <f>IFERROR(__xludf.DUMMYFUNCTION("""COMPUTED_VALUE"""),0.0)</f>
        <v>0</v>
      </c>
    </row>
    <row r="6364">
      <c r="A6364" s="5" t="str">
        <f>IFERROR(__xludf.DUMMYFUNCTION("""COMPUTED_VALUE"""),"77134")</f>
        <v>77134</v>
      </c>
      <c r="B6364" s="64">
        <f>IFERROR(__xludf.DUMMYFUNCTION("""COMPUTED_VALUE"""),44658.0)</f>
        <v>44658</v>
      </c>
      <c r="C6364" s="5"/>
      <c r="D6364" s="5"/>
      <c r="E6364" s="5"/>
      <c r="F6364" s="22">
        <f>IFERROR(__xludf.DUMMYFUNCTION("""COMPUTED_VALUE"""),500000.0)</f>
        <v>500000</v>
      </c>
      <c r="G6364" s="22">
        <f>IFERROR(__xludf.DUMMYFUNCTION("""COMPUTED_VALUE"""),0.0)</f>
        <v>0</v>
      </c>
      <c r="H6364" s="22">
        <f>IFERROR(__xludf.DUMMYFUNCTION("""COMPUTED_VALUE"""),500000.0)</f>
        <v>500000</v>
      </c>
      <c r="I6364" s="24">
        <f>IFERROR(__xludf.DUMMYFUNCTION("""COMPUTED_VALUE"""),0.0)</f>
        <v>0</v>
      </c>
    </row>
    <row r="6365">
      <c r="A6365" s="5" t="str">
        <f>IFERROR(__xludf.DUMMYFUNCTION("""COMPUTED_VALUE"""),"77134")</f>
        <v>77134</v>
      </c>
      <c r="B6365" s="64">
        <f>IFERROR(__xludf.DUMMYFUNCTION("""COMPUTED_VALUE"""),44659.0)</f>
        <v>44659</v>
      </c>
      <c r="C6365" s="5"/>
      <c r="D6365" s="5"/>
      <c r="E6365" s="5"/>
      <c r="F6365" s="22">
        <f>IFERROR(__xludf.DUMMYFUNCTION("""COMPUTED_VALUE"""),500000.0)</f>
        <v>500000</v>
      </c>
      <c r="G6365" s="22">
        <f>IFERROR(__xludf.DUMMYFUNCTION("""COMPUTED_VALUE"""),0.0)</f>
        <v>0</v>
      </c>
      <c r="H6365" s="22">
        <f>IFERROR(__xludf.DUMMYFUNCTION("""COMPUTED_VALUE"""),500000.0)</f>
        <v>500000</v>
      </c>
      <c r="I6365" s="24">
        <f>IFERROR(__xludf.DUMMYFUNCTION("""COMPUTED_VALUE"""),0.0)</f>
        <v>0</v>
      </c>
    </row>
    <row r="6366">
      <c r="A6366" s="5" t="str">
        <f>IFERROR(__xludf.DUMMYFUNCTION("""COMPUTED_VALUE"""),"77134")</f>
        <v>77134</v>
      </c>
      <c r="B6366" s="64">
        <f>IFERROR(__xludf.DUMMYFUNCTION("""COMPUTED_VALUE"""),44660.0)</f>
        <v>44660</v>
      </c>
      <c r="C6366" s="5"/>
      <c r="D6366" s="5"/>
      <c r="E6366" s="5"/>
      <c r="F6366" s="22">
        <f>IFERROR(__xludf.DUMMYFUNCTION("""COMPUTED_VALUE"""),500000.0)</f>
        <v>500000</v>
      </c>
      <c r="G6366" s="22">
        <f>IFERROR(__xludf.DUMMYFUNCTION("""COMPUTED_VALUE"""),0.0)</f>
        <v>0</v>
      </c>
      <c r="H6366" s="22">
        <f>IFERROR(__xludf.DUMMYFUNCTION("""COMPUTED_VALUE"""),500000.0)</f>
        <v>500000</v>
      </c>
      <c r="I6366" s="24">
        <f>IFERROR(__xludf.DUMMYFUNCTION("""COMPUTED_VALUE"""),0.0)</f>
        <v>0</v>
      </c>
    </row>
    <row r="6367">
      <c r="A6367" s="5" t="str">
        <f>IFERROR(__xludf.DUMMYFUNCTION("""COMPUTED_VALUE"""),"77134")</f>
        <v>77134</v>
      </c>
      <c r="B6367" s="64">
        <f>IFERROR(__xludf.DUMMYFUNCTION("""COMPUTED_VALUE"""),44661.0)</f>
        <v>44661</v>
      </c>
      <c r="C6367" s="5"/>
      <c r="D6367" s="5"/>
      <c r="E6367" s="5"/>
      <c r="F6367" s="22">
        <f>IFERROR(__xludf.DUMMYFUNCTION("""COMPUTED_VALUE"""),500000.0)</f>
        <v>500000</v>
      </c>
      <c r="G6367" s="22">
        <f>IFERROR(__xludf.DUMMYFUNCTION("""COMPUTED_VALUE"""),0.0)</f>
        <v>0</v>
      </c>
      <c r="H6367" s="22">
        <f>IFERROR(__xludf.DUMMYFUNCTION("""COMPUTED_VALUE"""),500000.0)</f>
        <v>500000</v>
      </c>
      <c r="I6367" s="24">
        <f>IFERROR(__xludf.DUMMYFUNCTION("""COMPUTED_VALUE"""),0.0)</f>
        <v>0</v>
      </c>
    </row>
    <row r="6368">
      <c r="A6368" s="5" t="str">
        <f>IFERROR(__xludf.DUMMYFUNCTION("""COMPUTED_VALUE"""),"77134")</f>
        <v>77134</v>
      </c>
      <c r="B6368" s="64">
        <f>IFERROR(__xludf.DUMMYFUNCTION("""COMPUTED_VALUE"""),44662.0)</f>
        <v>44662</v>
      </c>
      <c r="C6368" s="5"/>
      <c r="D6368" s="5"/>
      <c r="E6368" s="5"/>
      <c r="F6368" s="22">
        <f>IFERROR(__xludf.DUMMYFUNCTION("""COMPUTED_VALUE"""),500000.0)</f>
        <v>500000</v>
      </c>
      <c r="G6368" s="22">
        <f>IFERROR(__xludf.DUMMYFUNCTION("""COMPUTED_VALUE"""),0.0)</f>
        <v>0</v>
      </c>
      <c r="H6368" s="22">
        <f>IFERROR(__xludf.DUMMYFUNCTION("""COMPUTED_VALUE"""),500000.0)</f>
        <v>500000</v>
      </c>
      <c r="I6368" s="24">
        <f>IFERROR(__xludf.DUMMYFUNCTION("""COMPUTED_VALUE"""),0.0)</f>
        <v>0</v>
      </c>
    </row>
    <row r="6369">
      <c r="A6369" s="5" t="str">
        <f>IFERROR(__xludf.DUMMYFUNCTION("""COMPUTED_VALUE"""),"77134")</f>
        <v>77134</v>
      </c>
      <c r="B6369" s="64">
        <f>IFERROR(__xludf.DUMMYFUNCTION("""COMPUTED_VALUE"""),44663.0)</f>
        <v>44663</v>
      </c>
      <c r="C6369" s="5"/>
      <c r="D6369" s="5"/>
      <c r="E6369" s="5"/>
      <c r="F6369" s="22">
        <f>IFERROR(__xludf.DUMMYFUNCTION("""COMPUTED_VALUE"""),500000.0)</f>
        <v>500000</v>
      </c>
      <c r="G6369" s="22">
        <f>IFERROR(__xludf.DUMMYFUNCTION("""COMPUTED_VALUE"""),0.0)</f>
        <v>0</v>
      </c>
      <c r="H6369" s="22">
        <f>IFERROR(__xludf.DUMMYFUNCTION("""COMPUTED_VALUE"""),500000.0)</f>
        <v>500000</v>
      </c>
      <c r="I6369" s="24">
        <f>IFERROR(__xludf.DUMMYFUNCTION("""COMPUTED_VALUE"""),0.0)</f>
        <v>0</v>
      </c>
    </row>
    <row r="6370">
      <c r="A6370" s="5" t="str">
        <f>IFERROR(__xludf.DUMMYFUNCTION("""COMPUTED_VALUE"""),"77216")</f>
        <v>77216</v>
      </c>
      <c r="B6370" s="64">
        <f>IFERROR(__xludf.DUMMYFUNCTION("""COMPUTED_VALUE"""),44597.0)</f>
        <v>44597</v>
      </c>
      <c r="C6370" s="5"/>
      <c r="D6370" s="5"/>
      <c r="E6370" s="5"/>
      <c r="F6370" s="22">
        <f>IFERROR(__xludf.DUMMYFUNCTION("""COMPUTED_VALUE"""),500000.0)</f>
        <v>500000</v>
      </c>
      <c r="G6370" s="22">
        <f>IFERROR(__xludf.DUMMYFUNCTION("""COMPUTED_VALUE"""),0.0)</f>
        <v>0</v>
      </c>
      <c r="H6370" s="22">
        <f>IFERROR(__xludf.DUMMYFUNCTION("""COMPUTED_VALUE"""),500000.0)</f>
        <v>500000</v>
      </c>
      <c r="I6370" s="24">
        <f>IFERROR(__xludf.DUMMYFUNCTION("""COMPUTED_VALUE"""),0.0)</f>
        <v>0</v>
      </c>
    </row>
    <row r="6371">
      <c r="A6371" s="5" t="str">
        <f>IFERROR(__xludf.DUMMYFUNCTION("""COMPUTED_VALUE"""),"77216")</f>
        <v>77216</v>
      </c>
      <c r="B6371" s="64">
        <f>IFERROR(__xludf.DUMMYFUNCTION("""COMPUTED_VALUE"""),44598.0)</f>
        <v>44598</v>
      </c>
      <c r="C6371" s="5"/>
      <c r="D6371" s="5"/>
      <c r="E6371" s="5"/>
      <c r="F6371" s="22">
        <f>IFERROR(__xludf.DUMMYFUNCTION("""COMPUTED_VALUE"""),500000.0)</f>
        <v>500000</v>
      </c>
      <c r="G6371" s="22">
        <f>IFERROR(__xludf.DUMMYFUNCTION("""COMPUTED_VALUE"""),0.0)</f>
        <v>0</v>
      </c>
      <c r="H6371" s="22">
        <f>IFERROR(__xludf.DUMMYFUNCTION("""COMPUTED_VALUE"""),500000.0)</f>
        <v>500000</v>
      </c>
      <c r="I6371" s="24">
        <f>IFERROR(__xludf.DUMMYFUNCTION("""COMPUTED_VALUE"""),0.0)</f>
        <v>0</v>
      </c>
    </row>
    <row r="6372">
      <c r="A6372" s="5" t="str">
        <f>IFERROR(__xludf.DUMMYFUNCTION("""COMPUTED_VALUE"""),"77216")</f>
        <v>77216</v>
      </c>
      <c r="B6372" s="64">
        <f>IFERROR(__xludf.DUMMYFUNCTION("""COMPUTED_VALUE"""),44599.0)</f>
        <v>44599</v>
      </c>
      <c r="C6372" s="5"/>
      <c r="D6372" s="5"/>
      <c r="E6372" s="5"/>
      <c r="F6372" s="22">
        <f>IFERROR(__xludf.DUMMYFUNCTION("""COMPUTED_VALUE"""),500000.0)</f>
        <v>500000</v>
      </c>
      <c r="G6372" s="22">
        <f>IFERROR(__xludf.DUMMYFUNCTION("""COMPUTED_VALUE"""),0.0)</f>
        <v>0</v>
      </c>
      <c r="H6372" s="22">
        <f>IFERROR(__xludf.DUMMYFUNCTION("""COMPUTED_VALUE"""),500000.0)</f>
        <v>500000</v>
      </c>
      <c r="I6372" s="24">
        <f>IFERROR(__xludf.DUMMYFUNCTION("""COMPUTED_VALUE"""),0.0)</f>
        <v>0</v>
      </c>
    </row>
    <row r="6373">
      <c r="A6373" s="5" t="str">
        <f>IFERROR(__xludf.DUMMYFUNCTION("""COMPUTED_VALUE"""),"77216")</f>
        <v>77216</v>
      </c>
      <c r="B6373" s="64">
        <f>IFERROR(__xludf.DUMMYFUNCTION("""COMPUTED_VALUE"""),44600.0)</f>
        <v>44600</v>
      </c>
      <c r="C6373" s="5"/>
      <c r="D6373" s="5"/>
      <c r="E6373" s="5"/>
      <c r="F6373" s="22">
        <f>IFERROR(__xludf.DUMMYFUNCTION("""COMPUTED_VALUE"""),500000.0)</f>
        <v>500000</v>
      </c>
      <c r="G6373" s="22">
        <f>IFERROR(__xludf.DUMMYFUNCTION("""COMPUTED_VALUE"""),0.0)</f>
        <v>0</v>
      </c>
      <c r="H6373" s="22">
        <f>IFERROR(__xludf.DUMMYFUNCTION("""COMPUTED_VALUE"""),500000.0)</f>
        <v>500000</v>
      </c>
      <c r="I6373" s="24">
        <f>IFERROR(__xludf.DUMMYFUNCTION("""COMPUTED_VALUE"""),0.0)</f>
        <v>0</v>
      </c>
    </row>
    <row r="6374">
      <c r="A6374" s="5" t="str">
        <f>IFERROR(__xludf.DUMMYFUNCTION("""COMPUTED_VALUE"""),"77216")</f>
        <v>77216</v>
      </c>
      <c r="B6374" s="64">
        <f>IFERROR(__xludf.DUMMYFUNCTION("""COMPUTED_VALUE"""),44601.0)</f>
        <v>44601</v>
      </c>
      <c r="C6374" s="5"/>
      <c r="D6374" s="5"/>
      <c r="E6374" s="5"/>
      <c r="F6374" s="22">
        <f>IFERROR(__xludf.DUMMYFUNCTION("""COMPUTED_VALUE"""),500000.0)</f>
        <v>500000</v>
      </c>
      <c r="G6374" s="22">
        <f>IFERROR(__xludf.DUMMYFUNCTION("""COMPUTED_VALUE"""),0.0)</f>
        <v>0</v>
      </c>
      <c r="H6374" s="22">
        <f>IFERROR(__xludf.DUMMYFUNCTION("""COMPUTED_VALUE"""),500000.0)</f>
        <v>500000</v>
      </c>
      <c r="I6374" s="24">
        <f>IFERROR(__xludf.DUMMYFUNCTION("""COMPUTED_VALUE"""),0.0)</f>
        <v>0</v>
      </c>
    </row>
    <row r="6375">
      <c r="A6375" s="5" t="str">
        <f>IFERROR(__xludf.DUMMYFUNCTION("""COMPUTED_VALUE"""),"77216")</f>
        <v>77216</v>
      </c>
      <c r="B6375" s="64">
        <f>IFERROR(__xludf.DUMMYFUNCTION("""COMPUTED_VALUE"""),44602.0)</f>
        <v>44602</v>
      </c>
      <c r="C6375" s="5"/>
      <c r="D6375" s="5"/>
      <c r="E6375" s="5"/>
      <c r="F6375" s="22">
        <f>IFERROR(__xludf.DUMMYFUNCTION("""COMPUTED_VALUE"""),500000.0)</f>
        <v>500000</v>
      </c>
      <c r="G6375" s="22">
        <f>IFERROR(__xludf.DUMMYFUNCTION("""COMPUTED_VALUE"""),0.0)</f>
        <v>0</v>
      </c>
      <c r="H6375" s="22">
        <f>IFERROR(__xludf.DUMMYFUNCTION("""COMPUTED_VALUE"""),500000.0)</f>
        <v>500000</v>
      </c>
      <c r="I6375" s="24">
        <f>IFERROR(__xludf.DUMMYFUNCTION("""COMPUTED_VALUE"""),0.0)</f>
        <v>0</v>
      </c>
    </row>
    <row r="6376">
      <c r="A6376" s="5" t="str">
        <f>IFERROR(__xludf.DUMMYFUNCTION("""COMPUTED_VALUE"""),"77216")</f>
        <v>77216</v>
      </c>
      <c r="B6376" s="64">
        <f>IFERROR(__xludf.DUMMYFUNCTION("""COMPUTED_VALUE"""),44603.0)</f>
        <v>44603</v>
      </c>
      <c r="C6376" s="5"/>
      <c r="D6376" s="5"/>
      <c r="E6376" s="5"/>
      <c r="F6376" s="22">
        <f>IFERROR(__xludf.DUMMYFUNCTION("""COMPUTED_VALUE"""),500000.0)</f>
        <v>500000</v>
      </c>
      <c r="G6376" s="22">
        <f>IFERROR(__xludf.DUMMYFUNCTION("""COMPUTED_VALUE"""),0.0)</f>
        <v>0</v>
      </c>
      <c r="H6376" s="22">
        <f>IFERROR(__xludf.DUMMYFUNCTION("""COMPUTED_VALUE"""),500000.0)</f>
        <v>500000</v>
      </c>
      <c r="I6376" s="24">
        <f>IFERROR(__xludf.DUMMYFUNCTION("""COMPUTED_VALUE"""),0.0)</f>
        <v>0</v>
      </c>
    </row>
    <row r="6377">
      <c r="A6377" s="5" t="str">
        <f>IFERROR(__xludf.DUMMYFUNCTION("""COMPUTED_VALUE"""),"77216")</f>
        <v>77216</v>
      </c>
      <c r="B6377" s="64">
        <f>IFERROR(__xludf.DUMMYFUNCTION("""COMPUTED_VALUE"""),44604.0)</f>
        <v>44604</v>
      </c>
      <c r="C6377" s="5"/>
      <c r="D6377" s="5"/>
      <c r="E6377" s="5"/>
      <c r="F6377" s="22">
        <f>IFERROR(__xludf.DUMMYFUNCTION("""COMPUTED_VALUE"""),500000.0)</f>
        <v>500000</v>
      </c>
      <c r="G6377" s="22">
        <f>IFERROR(__xludf.DUMMYFUNCTION("""COMPUTED_VALUE"""),0.0)</f>
        <v>0</v>
      </c>
      <c r="H6377" s="22">
        <f>IFERROR(__xludf.DUMMYFUNCTION("""COMPUTED_VALUE"""),500000.0)</f>
        <v>500000</v>
      </c>
      <c r="I6377" s="24">
        <f>IFERROR(__xludf.DUMMYFUNCTION("""COMPUTED_VALUE"""),0.0)</f>
        <v>0</v>
      </c>
    </row>
    <row r="6378">
      <c r="A6378" s="5" t="str">
        <f>IFERROR(__xludf.DUMMYFUNCTION("""COMPUTED_VALUE"""),"77216")</f>
        <v>77216</v>
      </c>
      <c r="B6378" s="64">
        <f>IFERROR(__xludf.DUMMYFUNCTION("""COMPUTED_VALUE"""),44605.0)</f>
        <v>44605</v>
      </c>
      <c r="C6378" s="5"/>
      <c r="D6378" s="5"/>
      <c r="E6378" s="5"/>
      <c r="F6378" s="22">
        <f>IFERROR(__xludf.DUMMYFUNCTION("""COMPUTED_VALUE"""),500000.0)</f>
        <v>500000</v>
      </c>
      <c r="G6378" s="22">
        <f>IFERROR(__xludf.DUMMYFUNCTION("""COMPUTED_VALUE"""),0.0)</f>
        <v>0</v>
      </c>
      <c r="H6378" s="22">
        <f>IFERROR(__xludf.DUMMYFUNCTION("""COMPUTED_VALUE"""),500000.0)</f>
        <v>500000</v>
      </c>
      <c r="I6378" s="24">
        <f>IFERROR(__xludf.DUMMYFUNCTION("""COMPUTED_VALUE"""),0.0)</f>
        <v>0</v>
      </c>
    </row>
    <row r="6379">
      <c r="A6379" s="5" t="str">
        <f>IFERROR(__xludf.DUMMYFUNCTION("""COMPUTED_VALUE"""),"77216")</f>
        <v>77216</v>
      </c>
      <c r="B6379" s="64">
        <f>IFERROR(__xludf.DUMMYFUNCTION("""COMPUTED_VALUE"""),44606.0)</f>
        <v>44606</v>
      </c>
      <c r="C6379" s="5"/>
      <c r="D6379" s="5"/>
      <c r="E6379" s="5"/>
      <c r="F6379" s="22">
        <f>IFERROR(__xludf.DUMMYFUNCTION("""COMPUTED_VALUE"""),500000.0)</f>
        <v>500000</v>
      </c>
      <c r="G6379" s="22">
        <f>IFERROR(__xludf.DUMMYFUNCTION("""COMPUTED_VALUE"""),0.0)</f>
        <v>0</v>
      </c>
      <c r="H6379" s="22">
        <f>IFERROR(__xludf.DUMMYFUNCTION("""COMPUTED_VALUE"""),500000.0)</f>
        <v>500000</v>
      </c>
      <c r="I6379" s="24">
        <f>IFERROR(__xludf.DUMMYFUNCTION("""COMPUTED_VALUE"""),0.0)</f>
        <v>0</v>
      </c>
    </row>
    <row r="6380">
      <c r="A6380" s="5" t="str">
        <f>IFERROR(__xludf.DUMMYFUNCTION("""COMPUTED_VALUE"""),"77216")</f>
        <v>77216</v>
      </c>
      <c r="B6380" s="64">
        <f>IFERROR(__xludf.DUMMYFUNCTION("""COMPUTED_VALUE"""),44607.0)</f>
        <v>44607</v>
      </c>
      <c r="C6380" s="5"/>
      <c r="D6380" s="5"/>
      <c r="E6380" s="5"/>
      <c r="F6380" s="22">
        <f>IFERROR(__xludf.DUMMYFUNCTION("""COMPUTED_VALUE"""),500000.0)</f>
        <v>500000</v>
      </c>
      <c r="G6380" s="22">
        <f>IFERROR(__xludf.DUMMYFUNCTION("""COMPUTED_VALUE"""),0.0)</f>
        <v>0</v>
      </c>
      <c r="H6380" s="22">
        <f>IFERROR(__xludf.DUMMYFUNCTION("""COMPUTED_VALUE"""),500000.0)</f>
        <v>500000</v>
      </c>
      <c r="I6380" s="24">
        <f>IFERROR(__xludf.DUMMYFUNCTION("""COMPUTED_VALUE"""),0.0)</f>
        <v>0</v>
      </c>
    </row>
    <row r="6381">
      <c r="A6381" s="5" t="str">
        <f>IFERROR(__xludf.DUMMYFUNCTION("""COMPUTED_VALUE"""),"77216")</f>
        <v>77216</v>
      </c>
      <c r="B6381" s="64">
        <f>IFERROR(__xludf.DUMMYFUNCTION("""COMPUTED_VALUE"""),44608.0)</f>
        <v>44608</v>
      </c>
      <c r="C6381" s="5"/>
      <c r="D6381" s="5"/>
      <c r="E6381" s="5"/>
      <c r="F6381" s="22">
        <f>IFERROR(__xludf.DUMMYFUNCTION("""COMPUTED_VALUE"""),500000.0)</f>
        <v>500000</v>
      </c>
      <c r="G6381" s="22">
        <f>IFERROR(__xludf.DUMMYFUNCTION("""COMPUTED_VALUE"""),0.0)</f>
        <v>0</v>
      </c>
      <c r="H6381" s="22">
        <f>IFERROR(__xludf.DUMMYFUNCTION("""COMPUTED_VALUE"""),500000.0)</f>
        <v>500000</v>
      </c>
      <c r="I6381" s="24">
        <f>IFERROR(__xludf.DUMMYFUNCTION("""COMPUTED_VALUE"""),0.0)</f>
        <v>0</v>
      </c>
    </row>
    <row r="6382">
      <c r="A6382" s="5" t="str">
        <f>IFERROR(__xludf.DUMMYFUNCTION("""COMPUTED_VALUE"""),"77216")</f>
        <v>77216</v>
      </c>
      <c r="B6382" s="64">
        <f>IFERROR(__xludf.DUMMYFUNCTION("""COMPUTED_VALUE"""),44609.0)</f>
        <v>44609</v>
      </c>
      <c r="C6382" s="5"/>
      <c r="D6382" s="5"/>
      <c r="E6382" s="5"/>
      <c r="F6382" s="22">
        <f>IFERROR(__xludf.DUMMYFUNCTION("""COMPUTED_VALUE"""),500000.0)</f>
        <v>500000</v>
      </c>
      <c r="G6382" s="22">
        <f>IFERROR(__xludf.DUMMYFUNCTION("""COMPUTED_VALUE"""),0.0)</f>
        <v>0</v>
      </c>
      <c r="H6382" s="22">
        <f>IFERROR(__xludf.DUMMYFUNCTION("""COMPUTED_VALUE"""),500000.0)</f>
        <v>500000</v>
      </c>
      <c r="I6382" s="24">
        <f>IFERROR(__xludf.DUMMYFUNCTION("""COMPUTED_VALUE"""),0.0)</f>
        <v>0</v>
      </c>
    </row>
    <row r="6383">
      <c r="A6383" s="5" t="str">
        <f>IFERROR(__xludf.DUMMYFUNCTION("""COMPUTED_VALUE"""),"77216")</f>
        <v>77216</v>
      </c>
      <c r="B6383" s="64">
        <f>IFERROR(__xludf.DUMMYFUNCTION("""COMPUTED_VALUE"""),44610.0)</f>
        <v>44610</v>
      </c>
      <c r="C6383" s="5"/>
      <c r="D6383" s="5"/>
      <c r="E6383" s="5"/>
      <c r="F6383" s="22">
        <f>IFERROR(__xludf.DUMMYFUNCTION("""COMPUTED_VALUE"""),500000.0)</f>
        <v>500000</v>
      </c>
      <c r="G6383" s="22">
        <f>IFERROR(__xludf.DUMMYFUNCTION("""COMPUTED_VALUE"""),0.0)</f>
        <v>0</v>
      </c>
      <c r="H6383" s="22">
        <f>IFERROR(__xludf.DUMMYFUNCTION("""COMPUTED_VALUE"""),500000.0)</f>
        <v>500000</v>
      </c>
      <c r="I6383" s="24">
        <f>IFERROR(__xludf.DUMMYFUNCTION("""COMPUTED_VALUE"""),0.0)</f>
        <v>0</v>
      </c>
    </row>
    <row r="6384">
      <c r="A6384" s="5" t="str">
        <f>IFERROR(__xludf.DUMMYFUNCTION("""COMPUTED_VALUE"""),"77216")</f>
        <v>77216</v>
      </c>
      <c r="B6384" s="64">
        <f>IFERROR(__xludf.DUMMYFUNCTION("""COMPUTED_VALUE"""),44611.0)</f>
        <v>44611</v>
      </c>
      <c r="C6384" s="5"/>
      <c r="D6384" s="5"/>
      <c r="E6384" s="5"/>
      <c r="F6384" s="22">
        <f>IFERROR(__xludf.DUMMYFUNCTION("""COMPUTED_VALUE"""),500000.0)</f>
        <v>500000</v>
      </c>
      <c r="G6384" s="22">
        <f>IFERROR(__xludf.DUMMYFUNCTION("""COMPUTED_VALUE"""),0.0)</f>
        <v>0</v>
      </c>
      <c r="H6384" s="22">
        <f>IFERROR(__xludf.DUMMYFUNCTION("""COMPUTED_VALUE"""),500000.0)</f>
        <v>500000</v>
      </c>
      <c r="I6384" s="24">
        <f>IFERROR(__xludf.DUMMYFUNCTION("""COMPUTED_VALUE"""),0.0)</f>
        <v>0</v>
      </c>
    </row>
    <row r="6385">
      <c r="A6385" s="5" t="str">
        <f>IFERROR(__xludf.DUMMYFUNCTION("""COMPUTED_VALUE"""),"77216")</f>
        <v>77216</v>
      </c>
      <c r="B6385" s="64">
        <f>IFERROR(__xludf.DUMMYFUNCTION("""COMPUTED_VALUE"""),44612.0)</f>
        <v>44612</v>
      </c>
      <c r="C6385" s="5"/>
      <c r="D6385" s="5"/>
      <c r="E6385" s="5"/>
      <c r="F6385" s="22">
        <f>IFERROR(__xludf.DUMMYFUNCTION("""COMPUTED_VALUE"""),500000.0)</f>
        <v>500000</v>
      </c>
      <c r="G6385" s="22">
        <f>IFERROR(__xludf.DUMMYFUNCTION("""COMPUTED_VALUE"""),0.0)</f>
        <v>0</v>
      </c>
      <c r="H6385" s="22">
        <f>IFERROR(__xludf.DUMMYFUNCTION("""COMPUTED_VALUE"""),500000.0)</f>
        <v>500000</v>
      </c>
      <c r="I6385" s="24">
        <f>IFERROR(__xludf.DUMMYFUNCTION("""COMPUTED_VALUE"""),0.0)</f>
        <v>0</v>
      </c>
    </row>
    <row r="6386">
      <c r="A6386" s="5" t="str">
        <f>IFERROR(__xludf.DUMMYFUNCTION("""COMPUTED_VALUE"""),"77216")</f>
        <v>77216</v>
      </c>
      <c r="B6386" s="64">
        <f>IFERROR(__xludf.DUMMYFUNCTION("""COMPUTED_VALUE"""),44613.0)</f>
        <v>44613</v>
      </c>
      <c r="C6386" s="5"/>
      <c r="D6386" s="5"/>
      <c r="E6386" s="5"/>
      <c r="F6386" s="22">
        <f>IFERROR(__xludf.DUMMYFUNCTION("""COMPUTED_VALUE"""),500000.0)</f>
        <v>500000</v>
      </c>
      <c r="G6386" s="22">
        <f>IFERROR(__xludf.DUMMYFUNCTION("""COMPUTED_VALUE"""),0.0)</f>
        <v>0</v>
      </c>
      <c r="H6386" s="22">
        <f>IFERROR(__xludf.DUMMYFUNCTION("""COMPUTED_VALUE"""),500000.0)</f>
        <v>500000</v>
      </c>
      <c r="I6386" s="24">
        <f>IFERROR(__xludf.DUMMYFUNCTION("""COMPUTED_VALUE"""),0.0)</f>
        <v>0</v>
      </c>
    </row>
    <row r="6387">
      <c r="A6387" s="5" t="str">
        <f>IFERROR(__xludf.DUMMYFUNCTION("""COMPUTED_VALUE"""),"77216")</f>
        <v>77216</v>
      </c>
      <c r="B6387" s="64">
        <f>IFERROR(__xludf.DUMMYFUNCTION("""COMPUTED_VALUE"""),44614.0)</f>
        <v>44614</v>
      </c>
      <c r="C6387" s="5"/>
      <c r="D6387" s="5"/>
      <c r="E6387" s="5"/>
      <c r="F6387" s="22">
        <f>IFERROR(__xludf.DUMMYFUNCTION("""COMPUTED_VALUE"""),500000.0)</f>
        <v>500000</v>
      </c>
      <c r="G6387" s="22">
        <f>IFERROR(__xludf.DUMMYFUNCTION("""COMPUTED_VALUE"""),0.0)</f>
        <v>0</v>
      </c>
      <c r="H6387" s="22">
        <f>IFERROR(__xludf.DUMMYFUNCTION("""COMPUTED_VALUE"""),500000.0)</f>
        <v>500000</v>
      </c>
      <c r="I6387" s="24">
        <f>IFERROR(__xludf.DUMMYFUNCTION("""COMPUTED_VALUE"""),0.0)</f>
        <v>0</v>
      </c>
    </row>
    <row r="6388">
      <c r="A6388" s="5" t="str">
        <f>IFERROR(__xludf.DUMMYFUNCTION("""COMPUTED_VALUE"""),"77216")</f>
        <v>77216</v>
      </c>
      <c r="B6388" s="64">
        <f>IFERROR(__xludf.DUMMYFUNCTION("""COMPUTED_VALUE"""),44615.0)</f>
        <v>44615</v>
      </c>
      <c r="C6388" s="5"/>
      <c r="D6388" s="5"/>
      <c r="E6388" s="5"/>
      <c r="F6388" s="22">
        <f>IFERROR(__xludf.DUMMYFUNCTION("""COMPUTED_VALUE"""),500000.0)</f>
        <v>500000</v>
      </c>
      <c r="G6388" s="22">
        <f>IFERROR(__xludf.DUMMYFUNCTION("""COMPUTED_VALUE"""),0.0)</f>
        <v>0</v>
      </c>
      <c r="H6388" s="22">
        <f>IFERROR(__xludf.DUMMYFUNCTION("""COMPUTED_VALUE"""),500000.0)</f>
        <v>500000</v>
      </c>
      <c r="I6388" s="24">
        <f>IFERROR(__xludf.DUMMYFUNCTION("""COMPUTED_VALUE"""),0.0)</f>
        <v>0</v>
      </c>
    </row>
    <row r="6389">
      <c r="A6389" s="5" t="str">
        <f>IFERROR(__xludf.DUMMYFUNCTION("""COMPUTED_VALUE"""),"77216")</f>
        <v>77216</v>
      </c>
      <c r="B6389" s="64">
        <f>IFERROR(__xludf.DUMMYFUNCTION("""COMPUTED_VALUE"""),44616.0)</f>
        <v>44616</v>
      </c>
      <c r="C6389" s="5"/>
      <c r="D6389" s="5"/>
      <c r="E6389" s="5"/>
      <c r="F6389" s="22">
        <f>IFERROR(__xludf.DUMMYFUNCTION("""COMPUTED_VALUE"""),500000.0)</f>
        <v>500000</v>
      </c>
      <c r="G6389" s="22">
        <f>IFERROR(__xludf.DUMMYFUNCTION("""COMPUTED_VALUE"""),0.0)</f>
        <v>0</v>
      </c>
      <c r="H6389" s="22">
        <f>IFERROR(__xludf.DUMMYFUNCTION("""COMPUTED_VALUE"""),500000.0)</f>
        <v>500000</v>
      </c>
      <c r="I6389" s="24">
        <f>IFERROR(__xludf.DUMMYFUNCTION("""COMPUTED_VALUE"""),0.0)</f>
        <v>0</v>
      </c>
    </row>
    <row r="6390">
      <c r="A6390" s="5" t="str">
        <f>IFERROR(__xludf.DUMMYFUNCTION("""COMPUTED_VALUE"""),"77216")</f>
        <v>77216</v>
      </c>
      <c r="B6390" s="64">
        <f>IFERROR(__xludf.DUMMYFUNCTION("""COMPUTED_VALUE"""),44617.0)</f>
        <v>44617</v>
      </c>
      <c r="C6390" s="5"/>
      <c r="D6390" s="5"/>
      <c r="E6390" s="5"/>
      <c r="F6390" s="22">
        <f>IFERROR(__xludf.DUMMYFUNCTION("""COMPUTED_VALUE"""),500000.0)</f>
        <v>500000</v>
      </c>
      <c r="G6390" s="22">
        <f>IFERROR(__xludf.DUMMYFUNCTION("""COMPUTED_VALUE"""),0.0)</f>
        <v>0</v>
      </c>
      <c r="H6390" s="22">
        <f>IFERROR(__xludf.DUMMYFUNCTION("""COMPUTED_VALUE"""),500000.0)</f>
        <v>500000</v>
      </c>
      <c r="I6390" s="24">
        <f>IFERROR(__xludf.DUMMYFUNCTION("""COMPUTED_VALUE"""),0.0)</f>
        <v>0</v>
      </c>
    </row>
    <row r="6391">
      <c r="A6391" s="5" t="str">
        <f>IFERROR(__xludf.DUMMYFUNCTION("""COMPUTED_VALUE"""),"77216")</f>
        <v>77216</v>
      </c>
      <c r="B6391" s="64">
        <f>IFERROR(__xludf.DUMMYFUNCTION("""COMPUTED_VALUE"""),44618.0)</f>
        <v>44618</v>
      </c>
      <c r="C6391" s="5"/>
      <c r="D6391" s="5"/>
      <c r="E6391" s="5"/>
      <c r="F6391" s="22">
        <f>IFERROR(__xludf.DUMMYFUNCTION("""COMPUTED_VALUE"""),500000.0)</f>
        <v>500000</v>
      </c>
      <c r="G6391" s="22">
        <f>IFERROR(__xludf.DUMMYFUNCTION("""COMPUTED_VALUE"""),0.0)</f>
        <v>0</v>
      </c>
      <c r="H6391" s="22">
        <f>IFERROR(__xludf.DUMMYFUNCTION("""COMPUTED_VALUE"""),500000.0)</f>
        <v>500000</v>
      </c>
      <c r="I6391" s="24">
        <f>IFERROR(__xludf.DUMMYFUNCTION("""COMPUTED_VALUE"""),0.0)</f>
        <v>0</v>
      </c>
    </row>
    <row r="6392">
      <c r="A6392" s="5" t="str">
        <f>IFERROR(__xludf.DUMMYFUNCTION("""COMPUTED_VALUE"""),"77216")</f>
        <v>77216</v>
      </c>
      <c r="B6392" s="64">
        <f>IFERROR(__xludf.DUMMYFUNCTION("""COMPUTED_VALUE"""),44619.0)</f>
        <v>44619</v>
      </c>
      <c r="C6392" s="5"/>
      <c r="D6392" s="5"/>
      <c r="E6392" s="5"/>
      <c r="F6392" s="22">
        <f>IFERROR(__xludf.DUMMYFUNCTION("""COMPUTED_VALUE"""),500000.0)</f>
        <v>500000</v>
      </c>
      <c r="G6392" s="22">
        <f>IFERROR(__xludf.DUMMYFUNCTION("""COMPUTED_VALUE"""),0.0)</f>
        <v>0</v>
      </c>
      <c r="H6392" s="22">
        <f>IFERROR(__xludf.DUMMYFUNCTION("""COMPUTED_VALUE"""),500000.0)</f>
        <v>500000</v>
      </c>
      <c r="I6392" s="24">
        <f>IFERROR(__xludf.DUMMYFUNCTION("""COMPUTED_VALUE"""),0.0)</f>
        <v>0</v>
      </c>
    </row>
    <row r="6393">
      <c r="A6393" s="5" t="str">
        <f>IFERROR(__xludf.DUMMYFUNCTION("""COMPUTED_VALUE"""),"77216")</f>
        <v>77216</v>
      </c>
      <c r="B6393" s="64">
        <f>IFERROR(__xludf.DUMMYFUNCTION("""COMPUTED_VALUE"""),44620.0)</f>
        <v>44620</v>
      </c>
      <c r="C6393" s="5"/>
      <c r="D6393" s="5"/>
      <c r="E6393" s="5"/>
      <c r="F6393" s="22">
        <f>IFERROR(__xludf.DUMMYFUNCTION("""COMPUTED_VALUE"""),500000.0)</f>
        <v>500000</v>
      </c>
      <c r="G6393" s="22">
        <f>IFERROR(__xludf.DUMMYFUNCTION("""COMPUTED_VALUE"""),0.0)</f>
        <v>0</v>
      </c>
      <c r="H6393" s="22">
        <f>IFERROR(__xludf.DUMMYFUNCTION("""COMPUTED_VALUE"""),500000.0)</f>
        <v>500000</v>
      </c>
      <c r="I6393" s="24">
        <f>IFERROR(__xludf.DUMMYFUNCTION("""COMPUTED_VALUE"""),0.0)</f>
        <v>0</v>
      </c>
    </row>
    <row r="6394">
      <c r="A6394" s="5" t="str">
        <f>IFERROR(__xludf.DUMMYFUNCTION("""COMPUTED_VALUE"""),"77216")</f>
        <v>77216</v>
      </c>
      <c r="B6394" s="64">
        <f>IFERROR(__xludf.DUMMYFUNCTION("""COMPUTED_VALUE"""),44621.0)</f>
        <v>44621</v>
      </c>
      <c r="C6394" s="5"/>
      <c r="D6394" s="5"/>
      <c r="E6394" s="5"/>
      <c r="F6394" s="22">
        <f>IFERROR(__xludf.DUMMYFUNCTION("""COMPUTED_VALUE"""),500000.0)</f>
        <v>500000</v>
      </c>
      <c r="G6394" s="22">
        <f>IFERROR(__xludf.DUMMYFUNCTION("""COMPUTED_VALUE"""),0.0)</f>
        <v>0</v>
      </c>
      <c r="H6394" s="22">
        <f>IFERROR(__xludf.DUMMYFUNCTION("""COMPUTED_VALUE"""),500000.0)</f>
        <v>500000</v>
      </c>
      <c r="I6394" s="24">
        <f>IFERROR(__xludf.DUMMYFUNCTION("""COMPUTED_VALUE"""),0.0)</f>
        <v>0</v>
      </c>
    </row>
    <row r="6395">
      <c r="A6395" s="5" t="str">
        <f>IFERROR(__xludf.DUMMYFUNCTION("""COMPUTED_VALUE"""),"77216")</f>
        <v>77216</v>
      </c>
      <c r="B6395" s="64">
        <f>IFERROR(__xludf.DUMMYFUNCTION("""COMPUTED_VALUE"""),44622.0)</f>
        <v>44622</v>
      </c>
      <c r="C6395" s="5"/>
      <c r="D6395" s="5"/>
      <c r="E6395" s="5"/>
      <c r="F6395" s="22">
        <f>IFERROR(__xludf.DUMMYFUNCTION("""COMPUTED_VALUE"""),500000.0)</f>
        <v>500000</v>
      </c>
      <c r="G6395" s="22">
        <f>IFERROR(__xludf.DUMMYFUNCTION("""COMPUTED_VALUE"""),0.0)</f>
        <v>0</v>
      </c>
      <c r="H6395" s="22">
        <f>IFERROR(__xludf.DUMMYFUNCTION("""COMPUTED_VALUE"""),500000.0)</f>
        <v>500000</v>
      </c>
      <c r="I6395" s="24">
        <f>IFERROR(__xludf.DUMMYFUNCTION("""COMPUTED_VALUE"""),0.0)</f>
        <v>0</v>
      </c>
    </row>
    <row r="6396">
      <c r="A6396" s="5" t="str">
        <f>IFERROR(__xludf.DUMMYFUNCTION("""COMPUTED_VALUE"""),"77216")</f>
        <v>77216</v>
      </c>
      <c r="B6396" s="64">
        <f>IFERROR(__xludf.DUMMYFUNCTION("""COMPUTED_VALUE"""),44623.0)</f>
        <v>44623</v>
      </c>
      <c r="C6396" s="5"/>
      <c r="D6396" s="5"/>
      <c r="E6396" s="5"/>
      <c r="F6396" s="22">
        <f>IFERROR(__xludf.DUMMYFUNCTION("""COMPUTED_VALUE"""),500000.0)</f>
        <v>500000</v>
      </c>
      <c r="G6396" s="22">
        <f>IFERROR(__xludf.DUMMYFUNCTION("""COMPUTED_VALUE"""),0.0)</f>
        <v>0</v>
      </c>
      <c r="H6396" s="22">
        <f>IFERROR(__xludf.DUMMYFUNCTION("""COMPUTED_VALUE"""),500000.0)</f>
        <v>500000</v>
      </c>
      <c r="I6396" s="24">
        <f>IFERROR(__xludf.DUMMYFUNCTION("""COMPUTED_VALUE"""),0.0)</f>
        <v>0</v>
      </c>
    </row>
    <row r="6397">
      <c r="A6397" s="5" t="str">
        <f>IFERROR(__xludf.DUMMYFUNCTION("""COMPUTED_VALUE"""),"77216")</f>
        <v>77216</v>
      </c>
      <c r="B6397" s="64">
        <f>IFERROR(__xludf.DUMMYFUNCTION("""COMPUTED_VALUE"""),44624.0)</f>
        <v>44624</v>
      </c>
      <c r="C6397" s="5"/>
      <c r="D6397" s="5"/>
      <c r="E6397" s="5"/>
      <c r="F6397" s="22">
        <f>IFERROR(__xludf.DUMMYFUNCTION("""COMPUTED_VALUE"""),500000.0)</f>
        <v>500000</v>
      </c>
      <c r="G6397" s="22">
        <f>IFERROR(__xludf.DUMMYFUNCTION("""COMPUTED_VALUE"""),0.0)</f>
        <v>0</v>
      </c>
      <c r="H6397" s="22">
        <f>IFERROR(__xludf.DUMMYFUNCTION("""COMPUTED_VALUE"""),500000.0)</f>
        <v>500000</v>
      </c>
      <c r="I6397" s="24">
        <f>IFERROR(__xludf.DUMMYFUNCTION("""COMPUTED_VALUE"""),0.0)</f>
        <v>0</v>
      </c>
    </row>
    <row r="6398">
      <c r="A6398" s="5" t="str">
        <f>IFERROR(__xludf.DUMMYFUNCTION("""COMPUTED_VALUE"""),"77216")</f>
        <v>77216</v>
      </c>
      <c r="B6398" s="64">
        <f>IFERROR(__xludf.DUMMYFUNCTION("""COMPUTED_VALUE"""),44625.0)</f>
        <v>44625</v>
      </c>
      <c r="C6398" s="5"/>
      <c r="D6398" s="5"/>
      <c r="E6398" s="5"/>
      <c r="F6398" s="22">
        <f>IFERROR(__xludf.DUMMYFUNCTION("""COMPUTED_VALUE"""),500000.0)</f>
        <v>500000</v>
      </c>
      <c r="G6398" s="22">
        <f>IFERROR(__xludf.DUMMYFUNCTION("""COMPUTED_VALUE"""),0.0)</f>
        <v>0</v>
      </c>
      <c r="H6398" s="22">
        <f>IFERROR(__xludf.DUMMYFUNCTION("""COMPUTED_VALUE"""),500000.0)</f>
        <v>500000</v>
      </c>
      <c r="I6398" s="24">
        <f>IFERROR(__xludf.DUMMYFUNCTION("""COMPUTED_VALUE"""),0.0)</f>
        <v>0</v>
      </c>
    </row>
    <row r="6399">
      <c r="A6399" s="5" t="str">
        <f>IFERROR(__xludf.DUMMYFUNCTION("""COMPUTED_VALUE"""),"77216")</f>
        <v>77216</v>
      </c>
      <c r="B6399" s="64">
        <f>IFERROR(__xludf.DUMMYFUNCTION("""COMPUTED_VALUE"""),44626.0)</f>
        <v>44626</v>
      </c>
      <c r="C6399" s="5"/>
      <c r="D6399" s="5"/>
      <c r="E6399" s="5"/>
      <c r="F6399" s="22">
        <f>IFERROR(__xludf.DUMMYFUNCTION("""COMPUTED_VALUE"""),500000.0)</f>
        <v>500000</v>
      </c>
      <c r="G6399" s="22">
        <f>IFERROR(__xludf.DUMMYFUNCTION("""COMPUTED_VALUE"""),0.0)</f>
        <v>0</v>
      </c>
      <c r="H6399" s="22">
        <f>IFERROR(__xludf.DUMMYFUNCTION("""COMPUTED_VALUE"""),500000.0)</f>
        <v>500000</v>
      </c>
      <c r="I6399" s="24">
        <f>IFERROR(__xludf.DUMMYFUNCTION("""COMPUTED_VALUE"""),0.0)</f>
        <v>0</v>
      </c>
    </row>
    <row r="6400">
      <c r="A6400" s="5" t="str">
        <f>IFERROR(__xludf.DUMMYFUNCTION("""COMPUTED_VALUE"""),"77216")</f>
        <v>77216</v>
      </c>
      <c r="B6400" s="64">
        <f>IFERROR(__xludf.DUMMYFUNCTION("""COMPUTED_VALUE"""),44627.0)</f>
        <v>44627</v>
      </c>
      <c r="C6400" s="5"/>
      <c r="D6400" s="5"/>
      <c r="E6400" s="5"/>
      <c r="F6400" s="22">
        <f>IFERROR(__xludf.DUMMYFUNCTION("""COMPUTED_VALUE"""),500000.0)</f>
        <v>500000</v>
      </c>
      <c r="G6400" s="22">
        <f>IFERROR(__xludf.DUMMYFUNCTION("""COMPUTED_VALUE"""),0.0)</f>
        <v>0</v>
      </c>
      <c r="H6400" s="22">
        <f>IFERROR(__xludf.DUMMYFUNCTION("""COMPUTED_VALUE"""),500000.0)</f>
        <v>500000</v>
      </c>
      <c r="I6400" s="24">
        <f>IFERROR(__xludf.DUMMYFUNCTION("""COMPUTED_VALUE"""),0.0)</f>
        <v>0</v>
      </c>
    </row>
    <row r="6401">
      <c r="A6401" s="5" t="str">
        <f>IFERROR(__xludf.DUMMYFUNCTION("""COMPUTED_VALUE"""),"77216")</f>
        <v>77216</v>
      </c>
      <c r="B6401" s="64">
        <f>IFERROR(__xludf.DUMMYFUNCTION("""COMPUTED_VALUE"""),44628.0)</f>
        <v>44628</v>
      </c>
      <c r="C6401" s="5"/>
      <c r="D6401" s="5"/>
      <c r="E6401" s="5"/>
      <c r="F6401" s="22">
        <f>IFERROR(__xludf.DUMMYFUNCTION("""COMPUTED_VALUE"""),500000.0)</f>
        <v>500000</v>
      </c>
      <c r="G6401" s="22">
        <f>IFERROR(__xludf.DUMMYFUNCTION("""COMPUTED_VALUE"""),0.0)</f>
        <v>0</v>
      </c>
      <c r="H6401" s="22">
        <f>IFERROR(__xludf.DUMMYFUNCTION("""COMPUTED_VALUE"""),500000.0)</f>
        <v>500000</v>
      </c>
      <c r="I6401" s="24">
        <f>IFERROR(__xludf.DUMMYFUNCTION("""COMPUTED_VALUE"""),0.0)</f>
        <v>0</v>
      </c>
    </row>
    <row r="6402">
      <c r="A6402" s="5" t="str">
        <f>IFERROR(__xludf.DUMMYFUNCTION("""COMPUTED_VALUE"""),"77216")</f>
        <v>77216</v>
      </c>
      <c r="B6402" s="64">
        <f>IFERROR(__xludf.DUMMYFUNCTION("""COMPUTED_VALUE"""),44629.0)</f>
        <v>44629</v>
      </c>
      <c r="C6402" s="5"/>
      <c r="D6402" s="5"/>
      <c r="E6402" s="5"/>
      <c r="F6402" s="22">
        <f>IFERROR(__xludf.DUMMYFUNCTION("""COMPUTED_VALUE"""),500000.0)</f>
        <v>500000</v>
      </c>
      <c r="G6402" s="22">
        <f>IFERROR(__xludf.DUMMYFUNCTION("""COMPUTED_VALUE"""),0.0)</f>
        <v>0</v>
      </c>
      <c r="H6402" s="22">
        <f>IFERROR(__xludf.DUMMYFUNCTION("""COMPUTED_VALUE"""),500000.0)</f>
        <v>500000</v>
      </c>
      <c r="I6402" s="24">
        <f>IFERROR(__xludf.DUMMYFUNCTION("""COMPUTED_VALUE"""),0.0)</f>
        <v>0</v>
      </c>
    </row>
    <row r="6403">
      <c r="A6403" s="5" t="str">
        <f>IFERROR(__xludf.DUMMYFUNCTION("""COMPUTED_VALUE"""),"77216")</f>
        <v>77216</v>
      </c>
      <c r="B6403" s="64">
        <f>IFERROR(__xludf.DUMMYFUNCTION("""COMPUTED_VALUE"""),44630.0)</f>
        <v>44630</v>
      </c>
      <c r="C6403" s="5"/>
      <c r="D6403" s="5"/>
      <c r="E6403" s="5"/>
      <c r="F6403" s="22">
        <f>IFERROR(__xludf.DUMMYFUNCTION("""COMPUTED_VALUE"""),500000.0)</f>
        <v>500000</v>
      </c>
      <c r="G6403" s="22">
        <f>IFERROR(__xludf.DUMMYFUNCTION("""COMPUTED_VALUE"""),0.0)</f>
        <v>0</v>
      </c>
      <c r="H6403" s="22">
        <f>IFERROR(__xludf.DUMMYFUNCTION("""COMPUTED_VALUE"""),500000.0)</f>
        <v>500000</v>
      </c>
      <c r="I6403" s="24">
        <f>IFERROR(__xludf.DUMMYFUNCTION("""COMPUTED_VALUE"""),0.0)</f>
        <v>0</v>
      </c>
    </row>
    <row r="6404">
      <c r="A6404" s="5" t="str">
        <f>IFERROR(__xludf.DUMMYFUNCTION("""COMPUTED_VALUE"""),"77216")</f>
        <v>77216</v>
      </c>
      <c r="B6404" s="64">
        <f>IFERROR(__xludf.DUMMYFUNCTION("""COMPUTED_VALUE"""),44631.0)</f>
        <v>44631</v>
      </c>
      <c r="C6404" s="5"/>
      <c r="D6404" s="5"/>
      <c r="E6404" s="5"/>
      <c r="F6404" s="22">
        <f>IFERROR(__xludf.DUMMYFUNCTION("""COMPUTED_VALUE"""),500000.0)</f>
        <v>500000</v>
      </c>
      <c r="G6404" s="22">
        <f>IFERROR(__xludf.DUMMYFUNCTION("""COMPUTED_VALUE"""),0.0)</f>
        <v>0</v>
      </c>
      <c r="H6404" s="22">
        <f>IFERROR(__xludf.DUMMYFUNCTION("""COMPUTED_VALUE"""),500000.0)</f>
        <v>500000</v>
      </c>
      <c r="I6404" s="24">
        <f>IFERROR(__xludf.DUMMYFUNCTION("""COMPUTED_VALUE"""),0.0)</f>
        <v>0</v>
      </c>
    </row>
    <row r="6405">
      <c r="A6405" s="5" t="str">
        <f>IFERROR(__xludf.DUMMYFUNCTION("""COMPUTED_VALUE"""),"77216")</f>
        <v>77216</v>
      </c>
      <c r="B6405" s="64">
        <f>IFERROR(__xludf.DUMMYFUNCTION("""COMPUTED_VALUE"""),44632.0)</f>
        <v>44632</v>
      </c>
      <c r="C6405" s="5"/>
      <c r="D6405" s="5"/>
      <c r="E6405" s="5"/>
      <c r="F6405" s="22">
        <f>IFERROR(__xludf.DUMMYFUNCTION("""COMPUTED_VALUE"""),500000.0)</f>
        <v>500000</v>
      </c>
      <c r="G6405" s="22">
        <f>IFERROR(__xludf.DUMMYFUNCTION("""COMPUTED_VALUE"""),0.0)</f>
        <v>0</v>
      </c>
      <c r="H6405" s="22">
        <f>IFERROR(__xludf.DUMMYFUNCTION("""COMPUTED_VALUE"""),500000.0)</f>
        <v>500000</v>
      </c>
      <c r="I6405" s="24">
        <f>IFERROR(__xludf.DUMMYFUNCTION("""COMPUTED_VALUE"""),0.0)</f>
        <v>0</v>
      </c>
    </row>
    <row r="6406">
      <c r="A6406" s="5" t="str">
        <f>IFERROR(__xludf.DUMMYFUNCTION("""COMPUTED_VALUE"""),"77216")</f>
        <v>77216</v>
      </c>
      <c r="B6406" s="64">
        <f>IFERROR(__xludf.DUMMYFUNCTION("""COMPUTED_VALUE"""),44633.0)</f>
        <v>44633</v>
      </c>
      <c r="C6406" s="5"/>
      <c r="D6406" s="5"/>
      <c r="E6406" s="5"/>
      <c r="F6406" s="22">
        <f>IFERROR(__xludf.DUMMYFUNCTION("""COMPUTED_VALUE"""),500000.0)</f>
        <v>500000</v>
      </c>
      <c r="G6406" s="22">
        <f>IFERROR(__xludf.DUMMYFUNCTION("""COMPUTED_VALUE"""),0.0)</f>
        <v>0</v>
      </c>
      <c r="H6406" s="22">
        <f>IFERROR(__xludf.DUMMYFUNCTION("""COMPUTED_VALUE"""),500000.0)</f>
        <v>500000</v>
      </c>
      <c r="I6406" s="24">
        <f>IFERROR(__xludf.DUMMYFUNCTION("""COMPUTED_VALUE"""),0.0)</f>
        <v>0</v>
      </c>
    </row>
    <row r="6407">
      <c r="A6407" s="5" t="str">
        <f>IFERROR(__xludf.DUMMYFUNCTION("""COMPUTED_VALUE"""),"77216")</f>
        <v>77216</v>
      </c>
      <c r="B6407" s="64">
        <f>IFERROR(__xludf.DUMMYFUNCTION("""COMPUTED_VALUE"""),44634.0)</f>
        <v>44634</v>
      </c>
      <c r="C6407" s="5"/>
      <c r="D6407" s="5"/>
      <c r="E6407" s="5"/>
      <c r="F6407" s="22">
        <f>IFERROR(__xludf.DUMMYFUNCTION("""COMPUTED_VALUE"""),500000.0)</f>
        <v>500000</v>
      </c>
      <c r="G6407" s="22">
        <f>IFERROR(__xludf.DUMMYFUNCTION("""COMPUTED_VALUE"""),0.0)</f>
        <v>0</v>
      </c>
      <c r="H6407" s="22">
        <f>IFERROR(__xludf.DUMMYFUNCTION("""COMPUTED_VALUE"""),500000.0)</f>
        <v>500000</v>
      </c>
      <c r="I6407" s="24">
        <f>IFERROR(__xludf.DUMMYFUNCTION("""COMPUTED_VALUE"""),0.0)</f>
        <v>0</v>
      </c>
    </row>
    <row r="6408">
      <c r="A6408" s="5" t="str">
        <f>IFERROR(__xludf.DUMMYFUNCTION("""COMPUTED_VALUE"""),"77216")</f>
        <v>77216</v>
      </c>
      <c r="B6408" s="64">
        <f>IFERROR(__xludf.DUMMYFUNCTION("""COMPUTED_VALUE"""),44635.0)</f>
        <v>44635</v>
      </c>
      <c r="C6408" s="5"/>
      <c r="D6408" s="5"/>
      <c r="E6408" s="5"/>
      <c r="F6408" s="22">
        <f>IFERROR(__xludf.DUMMYFUNCTION("""COMPUTED_VALUE"""),500000.0)</f>
        <v>500000</v>
      </c>
      <c r="G6408" s="22">
        <f>IFERROR(__xludf.DUMMYFUNCTION("""COMPUTED_VALUE"""),0.0)</f>
        <v>0</v>
      </c>
      <c r="H6408" s="22">
        <f>IFERROR(__xludf.DUMMYFUNCTION("""COMPUTED_VALUE"""),500000.0)</f>
        <v>500000</v>
      </c>
      <c r="I6408" s="24">
        <f>IFERROR(__xludf.DUMMYFUNCTION("""COMPUTED_VALUE"""),0.0)</f>
        <v>0</v>
      </c>
    </row>
    <row r="6409">
      <c r="A6409" s="5" t="str">
        <f>IFERROR(__xludf.DUMMYFUNCTION("""COMPUTED_VALUE"""),"77216")</f>
        <v>77216</v>
      </c>
      <c r="B6409" s="64">
        <f>IFERROR(__xludf.DUMMYFUNCTION("""COMPUTED_VALUE"""),44636.0)</f>
        <v>44636</v>
      </c>
      <c r="C6409" s="5"/>
      <c r="D6409" s="5"/>
      <c r="E6409" s="5"/>
      <c r="F6409" s="22">
        <f>IFERROR(__xludf.DUMMYFUNCTION("""COMPUTED_VALUE"""),500000.0)</f>
        <v>500000</v>
      </c>
      <c r="G6409" s="22">
        <f>IFERROR(__xludf.DUMMYFUNCTION("""COMPUTED_VALUE"""),0.0)</f>
        <v>0</v>
      </c>
      <c r="H6409" s="22">
        <f>IFERROR(__xludf.DUMMYFUNCTION("""COMPUTED_VALUE"""),500000.0)</f>
        <v>500000</v>
      </c>
      <c r="I6409" s="24">
        <f>IFERROR(__xludf.DUMMYFUNCTION("""COMPUTED_VALUE"""),0.0)</f>
        <v>0</v>
      </c>
    </row>
    <row r="6410">
      <c r="A6410" s="5" t="str">
        <f>IFERROR(__xludf.DUMMYFUNCTION("""COMPUTED_VALUE"""),"77216")</f>
        <v>77216</v>
      </c>
      <c r="B6410" s="64">
        <f>IFERROR(__xludf.DUMMYFUNCTION("""COMPUTED_VALUE"""),44637.0)</f>
        <v>44637</v>
      </c>
      <c r="C6410" s="5"/>
      <c r="D6410" s="5"/>
      <c r="E6410" s="5"/>
      <c r="F6410" s="22">
        <f>IFERROR(__xludf.DUMMYFUNCTION("""COMPUTED_VALUE"""),500000.0)</f>
        <v>500000</v>
      </c>
      <c r="G6410" s="22">
        <f>IFERROR(__xludf.DUMMYFUNCTION("""COMPUTED_VALUE"""),0.0)</f>
        <v>0</v>
      </c>
      <c r="H6410" s="22">
        <f>IFERROR(__xludf.DUMMYFUNCTION("""COMPUTED_VALUE"""),500000.0)</f>
        <v>500000</v>
      </c>
      <c r="I6410" s="24">
        <f>IFERROR(__xludf.DUMMYFUNCTION("""COMPUTED_VALUE"""),0.0)</f>
        <v>0</v>
      </c>
    </row>
    <row r="6411">
      <c r="A6411" s="5" t="str">
        <f>IFERROR(__xludf.DUMMYFUNCTION("""COMPUTED_VALUE"""),"77216")</f>
        <v>77216</v>
      </c>
      <c r="B6411" s="64">
        <f>IFERROR(__xludf.DUMMYFUNCTION("""COMPUTED_VALUE"""),44638.0)</f>
        <v>44638</v>
      </c>
      <c r="C6411" s="5"/>
      <c r="D6411" s="5"/>
      <c r="E6411" s="5"/>
      <c r="F6411" s="22">
        <f>IFERROR(__xludf.DUMMYFUNCTION("""COMPUTED_VALUE"""),500000.0)</f>
        <v>500000</v>
      </c>
      <c r="G6411" s="22">
        <f>IFERROR(__xludf.DUMMYFUNCTION("""COMPUTED_VALUE"""),0.0)</f>
        <v>0</v>
      </c>
      <c r="H6411" s="22">
        <f>IFERROR(__xludf.DUMMYFUNCTION("""COMPUTED_VALUE"""),500000.0)</f>
        <v>500000</v>
      </c>
      <c r="I6411" s="24">
        <f>IFERROR(__xludf.DUMMYFUNCTION("""COMPUTED_VALUE"""),0.0)</f>
        <v>0</v>
      </c>
    </row>
    <row r="6412">
      <c r="A6412" s="5" t="str">
        <f>IFERROR(__xludf.DUMMYFUNCTION("""COMPUTED_VALUE"""),"77216")</f>
        <v>77216</v>
      </c>
      <c r="B6412" s="64">
        <f>IFERROR(__xludf.DUMMYFUNCTION("""COMPUTED_VALUE"""),44639.0)</f>
        <v>44639</v>
      </c>
      <c r="C6412" s="5"/>
      <c r="D6412" s="5"/>
      <c r="E6412" s="5"/>
      <c r="F6412" s="22">
        <f>IFERROR(__xludf.DUMMYFUNCTION("""COMPUTED_VALUE"""),500000.0)</f>
        <v>500000</v>
      </c>
      <c r="G6412" s="22">
        <f>IFERROR(__xludf.DUMMYFUNCTION("""COMPUTED_VALUE"""),0.0)</f>
        <v>0</v>
      </c>
      <c r="H6412" s="22">
        <f>IFERROR(__xludf.DUMMYFUNCTION("""COMPUTED_VALUE"""),500000.0)</f>
        <v>500000</v>
      </c>
      <c r="I6412" s="24">
        <f>IFERROR(__xludf.DUMMYFUNCTION("""COMPUTED_VALUE"""),0.0)</f>
        <v>0</v>
      </c>
    </row>
    <row r="6413">
      <c r="A6413" s="5" t="str">
        <f>IFERROR(__xludf.DUMMYFUNCTION("""COMPUTED_VALUE"""),"77216")</f>
        <v>77216</v>
      </c>
      <c r="B6413" s="64">
        <f>IFERROR(__xludf.DUMMYFUNCTION("""COMPUTED_VALUE"""),44640.0)</f>
        <v>44640</v>
      </c>
      <c r="C6413" s="5"/>
      <c r="D6413" s="5"/>
      <c r="E6413" s="5"/>
      <c r="F6413" s="22">
        <f>IFERROR(__xludf.DUMMYFUNCTION("""COMPUTED_VALUE"""),500000.0)</f>
        <v>500000</v>
      </c>
      <c r="G6413" s="22">
        <f>IFERROR(__xludf.DUMMYFUNCTION("""COMPUTED_VALUE"""),0.0)</f>
        <v>0</v>
      </c>
      <c r="H6413" s="22">
        <f>IFERROR(__xludf.DUMMYFUNCTION("""COMPUTED_VALUE"""),500000.0)</f>
        <v>500000</v>
      </c>
      <c r="I6413" s="24">
        <f>IFERROR(__xludf.DUMMYFUNCTION("""COMPUTED_VALUE"""),0.0)</f>
        <v>0</v>
      </c>
    </row>
    <row r="6414">
      <c r="A6414" s="5" t="str">
        <f>IFERROR(__xludf.DUMMYFUNCTION("""COMPUTED_VALUE"""),"77216")</f>
        <v>77216</v>
      </c>
      <c r="B6414" s="64">
        <f>IFERROR(__xludf.DUMMYFUNCTION("""COMPUTED_VALUE"""),44641.0)</f>
        <v>44641</v>
      </c>
      <c r="C6414" s="5"/>
      <c r="D6414" s="5"/>
      <c r="E6414" s="5"/>
      <c r="F6414" s="22">
        <f>IFERROR(__xludf.DUMMYFUNCTION("""COMPUTED_VALUE"""),500000.0)</f>
        <v>500000</v>
      </c>
      <c r="G6414" s="22">
        <f>IFERROR(__xludf.DUMMYFUNCTION("""COMPUTED_VALUE"""),0.0)</f>
        <v>0</v>
      </c>
      <c r="H6414" s="22">
        <f>IFERROR(__xludf.DUMMYFUNCTION("""COMPUTED_VALUE"""),500000.0)</f>
        <v>500000</v>
      </c>
      <c r="I6414" s="24">
        <f>IFERROR(__xludf.DUMMYFUNCTION("""COMPUTED_VALUE"""),0.0)</f>
        <v>0</v>
      </c>
    </row>
    <row r="6415">
      <c r="A6415" s="5" t="str">
        <f>IFERROR(__xludf.DUMMYFUNCTION("""COMPUTED_VALUE"""),"77216")</f>
        <v>77216</v>
      </c>
      <c r="B6415" s="64">
        <f>IFERROR(__xludf.DUMMYFUNCTION("""COMPUTED_VALUE"""),44642.0)</f>
        <v>44642</v>
      </c>
      <c r="C6415" s="5"/>
      <c r="D6415" s="5"/>
      <c r="E6415" s="5"/>
      <c r="F6415" s="22">
        <f>IFERROR(__xludf.DUMMYFUNCTION("""COMPUTED_VALUE"""),500000.0)</f>
        <v>500000</v>
      </c>
      <c r="G6415" s="22">
        <f>IFERROR(__xludf.DUMMYFUNCTION("""COMPUTED_VALUE"""),0.0)</f>
        <v>0</v>
      </c>
      <c r="H6415" s="22">
        <f>IFERROR(__xludf.DUMMYFUNCTION("""COMPUTED_VALUE"""),500000.0)</f>
        <v>500000</v>
      </c>
      <c r="I6415" s="24">
        <f>IFERROR(__xludf.DUMMYFUNCTION("""COMPUTED_VALUE"""),0.0)</f>
        <v>0</v>
      </c>
    </row>
    <row r="6416">
      <c r="A6416" s="5" t="str">
        <f>IFERROR(__xludf.DUMMYFUNCTION("""COMPUTED_VALUE"""),"77216")</f>
        <v>77216</v>
      </c>
      <c r="B6416" s="64">
        <f>IFERROR(__xludf.DUMMYFUNCTION("""COMPUTED_VALUE"""),44643.0)</f>
        <v>44643</v>
      </c>
      <c r="C6416" s="5"/>
      <c r="D6416" s="5"/>
      <c r="E6416" s="5"/>
      <c r="F6416" s="22">
        <f>IFERROR(__xludf.DUMMYFUNCTION("""COMPUTED_VALUE"""),500000.0)</f>
        <v>500000</v>
      </c>
      <c r="G6416" s="22">
        <f>IFERROR(__xludf.DUMMYFUNCTION("""COMPUTED_VALUE"""),0.0)</f>
        <v>0</v>
      </c>
      <c r="H6416" s="22">
        <f>IFERROR(__xludf.DUMMYFUNCTION("""COMPUTED_VALUE"""),500000.0)</f>
        <v>500000</v>
      </c>
      <c r="I6416" s="24">
        <f>IFERROR(__xludf.DUMMYFUNCTION("""COMPUTED_VALUE"""),0.0)</f>
        <v>0</v>
      </c>
    </row>
    <row r="6417">
      <c r="A6417" s="5" t="str">
        <f>IFERROR(__xludf.DUMMYFUNCTION("""COMPUTED_VALUE"""),"77216")</f>
        <v>77216</v>
      </c>
      <c r="B6417" s="64">
        <f>IFERROR(__xludf.DUMMYFUNCTION("""COMPUTED_VALUE"""),44644.0)</f>
        <v>44644</v>
      </c>
      <c r="C6417" s="5"/>
      <c r="D6417" s="5"/>
      <c r="E6417" s="5"/>
      <c r="F6417" s="22">
        <f>IFERROR(__xludf.DUMMYFUNCTION("""COMPUTED_VALUE"""),500000.0)</f>
        <v>500000</v>
      </c>
      <c r="G6417" s="22">
        <f>IFERROR(__xludf.DUMMYFUNCTION("""COMPUTED_VALUE"""),0.0)</f>
        <v>0</v>
      </c>
      <c r="H6417" s="22">
        <f>IFERROR(__xludf.DUMMYFUNCTION("""COMPUTED_VALUE"""),500000.0)</f>
        <v>500000</v>
      </c>
      <c r="I6417" s="24">
        <f>IFERROR(__xludf.DUMMYFUNCTION("""COMPUTED_VALUE"""),0.0)</f>
        <v>0</v>
      </c>
    </row>
    <row r="6418">
      <c r="A6418" s="5" t="str">
        <f>IFERROR(__xludf.DUMMYFUNCTION("""COMPUTED_VALUE"""),"77216")</f>
        <v>77216</v>
      </c>
      <c r="B6418" s="64">
        <f>IFERROR(__xludf.DUMMYFUNCTION("""COMPUTED_VALUE"""),44645.0)</f>
        <v>44645</v>
      </c>
      <c r="C6418" s="5"/>
      <c r="D6418" s="5"/>
      <c r="E6418" s="5"/>
      <c r="F6418" s="22">
        <f>IFERROR(__xludf.DUMMYFUNCTION("""COMPUTED_VALUE"""),500000.0)</f>
        <v>500000</v>
      </c>
      <c r="G6418" s="22">
        <f>IFERROR(__xludf.DUMMYFUNCTION("""COMPUTED_VALUE"""),0.0)</f>
        <v>0</v>
      </c>
      <c r="H6418" s="22">
        <f>IFERROR(__xludf.DUMMYFUNCTION("""COMPUTED_VALUE"""),500000.0)</f>
        <v>500000</v>
      </c>
      <c r="I6418" s="24">
        <f>IFERROR(__xludf.DUMMYFUNCTION("""COMPUTED_VALUE"""),0.0)</f>
        <v>0</v>
      </c>
    </row>
    <row r="6419">
      <c r="A6419" s="5" t="str">
        <f>IFERROR(__xludf.DUMMYFUNCTION("""COMPUTED_VALUE"""),"77216")</f>
        <v>77216</v>
      </c>
      <c r="B6419" s="64">
        <f>IFERROR(__xludf.DUMMYFUNCTION("""COMPUTED_VALUE"""),44646.0)</f>
        <v>44646</v>
      </c>
      <c r="C6419" s="5"/>
      <c r="D6419" s="5"/>
      <c r="E6419" s="5"/>
      <c r="F6419" s="22">
        <f>IFERROR(__xludf.DUMMYFUNCTION("""COMPUTED_VALUE"""),500000.0)</f>
        <v>500000</v>
      </c>
      <c r="G6419" s="22">
        <f>IFERROR(__xludf.DUMMYFUNCTION("""COMPUTED_VALUE"""),0.0)</f>
        <v>0</v>
      </c>
      <c r="H6419" s="22">
        <f>IFERROR(__xludf.DUMMYFUNCTION("""COMPUTED_VALUE"""),500000.0)</f>
        <v>500000</v>
      </c>
      <c r="I6419" s="24">
        <f>IFERROR(__xludf.DUMMYFUNCTION("""COMPUTED_VALUE"""),0.0)</f>
        <v>0</v>
      </c>
    </row>
    <row r="6420">
      <c r="A6420" s="5" t="str">
        <f>IFERROR(__xludf.DUMMYFUNCTION("""COMPUTED_VALUE"""),"77216")</f>
        <v>77216</v>
      </c>
      <c r="B6420" s="64">
        <f>IFERROR(__xludf.DUMMYFUNCTION("""COMPUTED_VALUE"""),44647.0)</f>
        <v>44647</v>
      </c>
      <c r="C6420" s="5"/>
      <c r="D6420" s="5"/>
      <c r="E6420" s="5"/>
      <c r="F6420" s="22">
        <f>IFERROR(__xludf.DUMMYFUNCTION("""COMPUTED_VALUE"""),500000.0)</f>
        <v>500000</v>
      </c>
      <c r="G6420" s="22">
        <f>IFERROR(__xludf.DUMMYFUNCTION("""COMPUTED_VALUE"""),0.0)</f>
        <v>0</v>
      </c>
      <c r="H6420" s="22">
        <f>IFERROR(__xludf.DUMMYFUNCTION("""COMPUTED_VALUE"""),500000.0)</f>
        <v>500000</v>
      </c>
      <c r="I6420" s="24">
        <f>IFERROR(__xludf.DUMMYFUNCTION("""COMPUTED_VALUE"""),0.0)</f>
        <v>0</v>
      </c>
    </row>
    <row r="6421">
      <c r="A6421" s="5" t="str">
        <f>IFERROR(__xludf.DUMMYFUNCTION("""COMPUTED_VALUE"""),"77216")</f>
        <v>77216</v>
      </c>
      <c r="B6421" s="64">
        <f>IFERROR(__xludf.DUMMYFUNCTION("""COMPUTED_VALUE"""),44648.0)</f>
        <v>44648</v>
      </c>
      <c r="C6421" s="5"/>
      <c r="D6421" s="5"/>
      <c r="E6421" s="5"/>
      <c r="F6421" s="22">
        <f>IFERROR(__xludf.DUMMYFUNCTION("""COMPUTED_VALUE"""),500000.0)</f>
        <v>500000</v>
      </c>
      <c r="G6421" s="22">
        <f>IFERROR(__xludf.DUMMYFUNCTION("""COMPUTED_VALUE"""),0.0)</f>
        <v>0</v>
      </c>
      <c r="H6421" s="22">
        <f>IFERROR(__xludf.DUMMYFUNCTION("""COMPUTED_VALUE"""),500000.0)</f>
        <v>500000</v>
      </c>
      <c r="I6421" s="24">
        <f>IFERROR(__xludf.DUMMYFUNCTION("""COMPUTED_VALUE"""),0.0)</f>
        <v>0</v>
      </c>
    </row>
    <row r="6422">
      <c r="A6422" s="5" t="str">
        <f>IFERROR(__xludf.DUMMYFUNCTION("""COMPUTED_VALUE"""),"77216")</f>
        <v>77216</v>
      </c>
      <c r="B6422" s="64">
        <f>IFERROR(__xludf.DUMMYFUNCTION("""COMPUTED_VALUE"""),44649.0)</f>
        <v>44649</v>
      </c>
      <c r="C6422" s="5"/>
      <c r="D6422" s="5"/>
      <c r="E6422" s="5"/>
      <c r="F6422" s="22">
        <f>IFERROR(__xludf.DUMMYFUNCTION("""COMPUTED_VALUE"""),500000.0)</f>
        <v>500000</v>
      </c>
      <c r="G6422" s="22">
        <f>IFERROR(__xludf.DUMMYFUNCTION("""COMPUTED_VALUE"""),0.0)</f>
        <v>0</v>
      </c>
      <c r="H6422" s="22">
        <f>IFERROR(__xludf.DUMMYFUNCTION("""COMPUTED_VALUE"""),500000.0)</f>
        <v>500000</v>
      </c>
      <c r="I6422" s="24">
        <f>IFERROR(__xludf.DUMMYFUNCTION("""COMPUTED_VALUE"""),0.0)</f>
        <v>0</v>
      </c>
    </row>
    <row r="6423">
      <c r="A6423" s="5" t="str">
        <f>IFERROR(__xludf.DUMMYFUNCTION("""COMPUTED_VALUE"""),"77216")</f>
        <v>77216</v>
      </c>
      <c r="B6423" s="64">
        <f>IFERROR(__xludf.DUMMYFUNCTION("""COMPUTED_VALUE"""),44650.0)</f>
        <v>44650</v>
      </c>
      <c r="C6423" s="5"/>
      <c r="D6423" s="5"/>
      <c r="E6423" s="5"/>
      <c r="F6423" s="22">
        <f>IFERROR(__xludf.DUMMYFUNCTION("""COMPUTED_VALUE"""),500000.0)</f>
        <v>500000</v>
      </c>
      <c r="G6423" s="22">
        <f>IFERROR(__xludf.DUMMYFUNCTION("""COMPUTED_VALUE"""),0.0)</f>
        <v>0</v>
      </c>
      <c r="H6423" s="22">
        <f>IFERROR(__xludf.DUMMYFUNCTION("""COMPUTED_VALUE"""),500000.0)</f>
        <v>500000</v>
      </c>
      <c r="I6423" s="24">
        <f>IFERROR(__xludf.DUMMYFUNCTION("""COMPUTED_VALUE"""),0.0)</f>
        <v>0</v>
      </c>
    </row>
    <row r="6424">
      <c r="A6424" s="5" t="str">
        <f>IFERROR(__xludf.DUMMYFUNCTION("""COMPUTED_VALUE"""),"77216")</f>
        <v>77216</v>
      </c>
      <c r="B6424" s="64">
        <f>IFERROR(__xludf.DUMMYFUNCTION("""COMPUTED_VALUE"""),44651.0)</f>
        <v>44651</v>
      </c>
      <c r="C6424" s="5"/>
      <c r="D6424" s="5"/>
      <c r="E6424" s="5"/>
      <c r="F6424" s="22">
        <f>IFERROR(__xludf.DUMMYFUNCTION("""COMPUTED_VALUE"""),500000.0)</f>
        <v>500000</v>
      </c>
      <c r="G6424" s="22">
        <f>IFERROR(__xludf.DUMMYFUNCTION("""COMPUTED_VALUE"""),0.0)</f>
        <v>0</v>
      </c>
      <c r="H6424" s="22">
        <f>IFERROR(__xludf.DUMMYFUNCTION("""COMPUTED_VALUE"""),500000.0)</f>
        <v>500000</v>
      </c>
      <c r="I6424" s="24">
        <f>IFERROR(__xludf.DUMMYFUNCTION("""COMPUTED_VALUE"""),0.0)</f>
        <v>0</v>
      </c>
    </row>
    <row r="6425">
      <c r="A6425" s="5" t="str">
        <f>IFERROR(__xludf.DUMMYFUNCTION("""COMPUTED_VALUE"""),"77216")</f>
        <v>77216</v>
      </c>
      <c r="B6425" s="64">
        <f>IFERROR(__xludf.DUMMYFUNCTION("""COMPUTED_VALUE"""),44652.0)</f>
        <v>44652</v>
      </c>
      <c r="C6425" s="5"/>
      <c r="D6425" s="5"/>
      <c r="E6425" s="5"/>
      <c r="F6425" s="22">
        <f>IFERROR(__xludf.DUMMYFUNCTION("""COMPUTED_VALUE"""),500000.0)</f>
        <v>500000</v>
      </c>
      <c r="G6425" s="22">
        <f>IFERROR(__xludf.DUMMYFUNCTION("""COMPUTED_VALUE"""),0.0)</f>
        <v>0</v>
      </c>
      <c r="H6425" s="22">
        <f>IFERROR(__xludf.DUMMYFUNCTION("""COMPUTED_VALUE"""),500000.0)</f>
        <v>500000</v>
      </c>
      <c r="I6425" s="24">
        <f>IFERROR(__xludf.DUMMYFUNCTION("""COMPUTED_VALUE"""),0.0)</f>
        <v>0</v>
      </c>
    </row>
    <row r="6426">
      <c r="A6426" s="5" t="str">
        <f>IFERROR(__xludf.DUMMYFUNCTION("""COMPUTED_VALUE"""),"77216")</f>
        <v>77216</v>
      </c>
      <c r="B6426" s="64">
        <f>IFERROR(__xludf.DUMMYFUNCTION("""COMPUTED_VALUE"""),44653.0)</f>
        <v>44653</v>
      </c>
      <c r="C6426" s="5"/>
      <c r="D6426" s="5"/>
      <c r="E6426" s="5"/>
      <c r="F6426" s="22">
        <f>IFERROR(__xludf.DUMMYFUNCTION("""COMPUTED_VALUE"""),500000.0)</f>
        <v>500000</v>
      </c>
      <c r="G6426" s="22">
        <f>IFERROR(__xludf.DUMMYFUNCTION("""COMPUTED_VALUE"""),0.0)</f>
        <v>0</v>
      </c>
      <c r="H6426" s="22">
        <f>IFERROR(__xludf.DUMMYFUNCTION("""COMPUTED_VALUE"""),500000.0)</f>
        <v>500000</v>
      </c>
      <c r="I6426" s="24">
        <f>IFERROR(__xludf.DUMMYFUNCTION("""COMPUTED_VALUE"""),0.0)</f>
        <v>0</v>
      </c>
    </row>
    <row r="6427">
      <c r="A6427" s="5" t="str">
        <f>IFERROR(__xludf.DUMMYFUNCTION("""COMPUTED_VALUE"""),"77216")</f>
        <v>77216</v>
      </c>
      <c r="B6427" s="64">
        <f>IFERROR(__xludf.DUMMYFUNCTION("""COMPUTED_VALUE"""),44654.0)</f>
        <v>44654</v>
      </c>
      <c r="C6427" s="5"/>
      <c r="D6427" s="5"/>
      <c r="E6427" s="5"/>
      <c r="F6427" s="22">
        <f>IFERROR(__xludf.DUMMYFUNCTION("""COMPUTED_VALUE"""),500000.0)</f>
        <v>500000</v>
      </c>
      <c r="G6427" s="22">
        <f>IFERROR(__xludf.DUMMYFUNCTION("""COMPUTED_VALUE"""),0.0)</f>
        <v>0</v>
      </c>
      <c r="H6427" s="22">
        <f>IFERROR(__xludf.DUMMYFUNCTION("""COMPUTED_VALUE"""),500000.0)</f>
        <v>500000</v>
      </c>
      <c r="I6427" s="24">
        <f>IFERROR(__xludf.DUMMYFUNCTION("""COMPUTED_VALUE"""),0.0)</f>
        <v>0</v>
      </c>
    </row>
    <row r="6428">
      <c r="A6428" s="5" t="str">
        <f>IFERROR(__xludf.DUMMYFUNCTION("""COMPUTED_VALUE"""),"77216")</f>
        <v>77216</v>
      </c>
      <c r="B6428" s="64">
        <f>IFERROR(__xludf.DUMMYFUNCTION("""COMPUTED_VALUE"""),44655.0)</f>
        <v>44655</v>
      </c>
      <c r="C6428" s="5"/>
      <c r="D6428" s="5"/>
      <c r="E6428" s="5"/>
      <c r="F6428" s="22">
        <f>IFERROR(__xludf.DUMMYFUNCTION("""COMPUTED_VALUE"""),500000.0)</f>
        <v>500000</v>
      </c>
      <c r="G6428" s="22">
        <f>IFERROR(__xludf.DUMMYFUNCTION("""COMPUTED_VALUE"""),0.0)</f>
        <v>0</v>
      </c>
      <c r="H6428" s="22">
        <f>IFERROR(__xludf.DUMMYFUNCTION("""COMPUTED_VALUE"""),500000.0)</f>
        <v>500000</v>
      </c>
      <c r="I6428" s="24">
        <f>IFERROR(__xludf.DUMMYFUNCTION("""COMPUTED_VALUE"""),0.0)</f>
        <v>0</v>
      </c>
    </row>
    <row r="6429">
      <c r="A6429" s="5" t="str">
        <f>IFERROR(__xludf.DUMMYFUNCTION("""COMPUTED_VALUE"""),"77216")</f>
        <v>77216</v>
      </c>
      <c r="B6429" s="64">
        <f>IFERROR(__xludf.DUMMYFUNCTION("""COMPUTED_VALUE"""),44656.0)</f>
        <v>44656</v>
      </c>
      <c r="C6429" s="5"/>
      <c r="D6429" s="5"/>
      <c r="E6429" s="5"/>
      <c r="F6429" s="22">
        <f>IFERROR(__xludf.DUMMYFUNCTION("""COMPUTED_VALUE"""),500000.0)</f>
        <v>500000</v>
      </c>
      <c r="G6429" s="22">
        <f>IFERROR(__xludf.DUMMYFUNCTION("""COMPUTED_VALUE"""),0.0)</f>
        <v>0</v>
      </c>
      <c r="H6429" s="22">
        <f>IFERROR(__xludf.DUMMYFUNCTION("""COMPUTED_VALUE"""),500000.0)</f>
        <v>500000</v>
      </c>
      <c r="I6429" s="24">
        <f>IFERROR(__xludf.DUMMYFUNCTION("""COMPUTED_VALUE"""),0.0)</f>
        <v>0</v>
      </c>
    </row>
    <row r="6430">
      <c r="A6430" s="5" t="str">
        <f>IFERROR(__xludf.DUMMYFUNCTION("""COMPUTED_VALUE"""),"77216")</f>
        <v>77216</v>
      </c>
      <c r="B6430" s="64">
        <f>IFERROR(__xludf.DUMMYFUNCTION("""COMPUTED_VALUE"""),44657.0)</f>
        <v>44657</v>
      </c>
      <c r="C6430" s="5"/>
      <c r="D6430" s="5"/>
      <c r="E6430" s="5"/>
      <c r="F6430" s="22">
        <f>IFERROR(__xludf.DUMMYFUNCTION("""COMPUTED_VALUE"""),500000.0)</f>
        <v>500000</v>
      </c>
      <c r="G6430" s="22">
        <f>IFERROR(__xludf.DUMMYFUNCTION("""COMPUTED_VALUE"""),0.0)</f>
        <v>0</v>
      </c>
      <c r="H6430" s="22">
        <f>IFERROR(__xludf.DUMMYFUNCTION("""COMPUTED_VALUE"""),500000.0)</f>
        <v>500000</v>
      </c>
      <c r="I6430" s="24">
        <f>IFERROR(__xludf.DUMMYFUNCTION("""COMPUTED_VALUE"""),0.0)</f>
        <v>0</v>
      </c>
    </row>
    <row r="6431">
      <c r="A6431" s="5" t="str">
        <f>IFERROR(__xludf.DUMMYFUNCTION("""COMPUTED_VALUE"""),"77216")</f>
        <v>77216</v>
      </c>
      <c r="B6431" s="64">
        <f>IFERROR(__xludf.DUMMYFUNCTION("""COMPUTED_VALUE"""),44658.0)</f>
        <v>44658</v>
      </c>
      <c r="C6431" s="5"/>
      <c r="D6431" s="5"/>
      <c r="E6431" s="5"/>
      <c r="F6431" s="22">
        <f>IFERROR(__xludf.DUMMYFUNCTION("""COMPUTED_VALUE"""),500000.0)</f>
        <v>500000</v>
      </c>
      <c r="G6431" s="22">
        <f>IFERROR(__xludf.DUMMYFUNCTION("""COMPUTED_VALUE"""),0.0)</f>
        <v>0</v>
      </c>
      <c r="H6431" s="22">
        <f>IFERROR(__xludf.DUMMYFUNCTION("""COMPUTED_VALUE"""),500000.0)</f>
        <v>500000</v>
      </c>
      <c r="I6431" s="24">
        <f>IFERROR(__xludf.DUMMYFUNCTION("""COMPUTED_VALUE"""),0.0)</f>
        <v>0</v>
      </c>
    </row>
    <row r="6432">
      <c r="A6432" s="5" t="str">
        <f>IFERROR(__xludf.DUMMYFUNCTION("""COMPUTED_VALUE"""),"77216")</f>
        <v>77216</v>
      </c>
      <c r="B6432" s="64">
        <f>IFERROR(__xludf.DUMMYFUNCTION("""COMPUTED_VALUE"""),44659.0)</f>
        <v>44659</v>
      </c>
      <c r="C6432" s="5"/>
      <c r="D6432" s="5"/>
      <c r="E6432" s="5"/>
      <c r="F6432" s="22">
        <f>IFERROR(__xludf.DUMMYFUNCTION("""COMPUTED_VALUE"""),500000.0)</f>
        <v>500000</v>
      </c>
      <c r="G6432" s="22">
        <f>IFERROR(__xludf.DUMMYFUNCTION("""COMPUTED_VALUE"""),0.0)</f>
        <v>0</v>
      </c>
      <c r="H6432" s="22">
        <f>IFERROR(__xludf.DUMMYFUNCTION("""COMPUTED_VALUE"""),500000.0)</f>
        <v>500000</v>
      </c>
      <c r="I6432" s="24">
        <f>IFERROR(__xludf.DUMMYFUNCTION("""COMPUTED_VALUE"""),0.0)</f>
        <v>0</v>
      </c>
    </row>
    <row r="6433">
      <c r="A6433" s="5" t="str">
        <f>IFERROR(__xludf.DUMMYFUNCTION("""COMPUTED_VALUE"""),"77216")</f>
        <v>77216</v>
      </c>
      <c r="B6433" s="64">
        <f>IFERROR(__xludf.DUMMYFUNCTION("""COMPUTED_VALUE"""),44660.0)</f>
        <v>44660</v>
      </c>
      <c r="C6433" s="5"/>
      <c r="D6433" s="5"/>
      <c r="E6433" s="5"/>
      <c r="F6433" s="22">
        <f>IFERROR(__xludf.DUMMYFUNCTION("""COMPUTED_VALUE"""),25881.252800000017)</f>
        <v>25881.2528</v>
      </c>
      <c r="G6433" s="22">
        <f>IFERROR(__xludf.DUMMYFUNCTION("""COMPUTED_VALUE"""),0.0)</f>
        <v>0</v>
      </c>
      <c r="H6433" s="22">
        <f>IFERROR(__xludf.DUMMYFUNCTION("""COMPUTED_VALUE"""),500000.0)</f>
        <v>500000</v>
      </c>
      <c r="I6433" s="24">
        <f>IFERROR(__xludf.DUMMYFUNCTION("""COMPUTED_VALUE"""),0.0)</f>
        <v>0</v>
      </c>
    </row>
    <row r="6434">
      <c r="A6434" s="5" t="str">
        <f>IFERROR(__xludf.DUMMYFUNCTION("""COMPUTED_VALUE"""),"77216")</f>
        <v>77216</v>
      </c>
      <c r="B6434" s="64">
        <f>IFERROR(__xludf.DUMMYFUNCTION("""COMPUTED_VALUE"""),44661.0)</f>
        <v>44661</v>
      </c>
      <c r="C6434" s="5"/>
      <c r="D6434" s="5"/>
      <c r="E6434" s="5"/>
      <c r="F6434" s="22">
        <f>IFERROR(__xludf.DUMMYFUNCTION("""COMPUTED_VALUE"""),25881.252800000017)</f>
        <v>25881.2528</v>
      </c>
      <c r="G6434" s="22">
        <f>IFERROR(__xludf.DUMMYFUNCTION("""COMPUTED_VALUE"""),0.0)</f>
        <v>0</v>
      </c>
      <c r="H6434" s="22">
        <f>IFERROR(__xludf.DUMMYFUNCTION("""COMPUTED_VALUE"""),500000.0)</f>
        <v>500000</v>
      </c>
      <c r="I6434" s="24">
        <f>IFERROR(__xludf.DUMMYFUNCTION("""COMPUTED_VALUE"""),0.0)</f>
        <v>0</v>
      </c>
    </row>
    <row r="6435">
      <c r="A6435" s="5" t="str">
        <f>IFERROR(__xludf.DUMMYFUNCTION("""COMPUTED_VALUE"""),"77216")</f>
        <v>77216</v>
      </c>
      <c r="B6435" s="64">
        <f>IFERROR(__xludf.DUMMYFUNCTION("""COMPUTED_VALUE"""),44662.0)</f>
        <v>44662</v>
      </c>
      <c r="C6435" s="5"/>
      <c r="D6435" s="5"/>
      <c r="E6435" s="5"/>
      <c r="F6435" s="22">
        <f>IFERROR(__xludf.DUMMYFUNCTION("""COMPUTED_VALUE"""),25881.252800000017)</f>
        <v>25881.2528</v>
      </c>
      <c r="G6435" s="22">
        <f>IFERROR(__xludf.DUMMYFUNCTION("""COMPUTED_VALUE"""),0.0)</f>
        <v>0</v>
      </c>
      <c r="H6435" s="22">
        <f>IFERROR(__xludf.DUMMYFUNCTION("""COMPUTED_VALUE"""),505644.27079999994)</f>
        <v>505644.2708</v>
      </c>
      <c r="I6435" s="24">
        <f>IFERROR(__xludf.DUMMYFUNCTION("""COMPUTED_VALUE"""),0.011288541599999924)</f>
        <v>0.0112885416</v>
      </c>
    </row>
    <row r="6436">
      <c r="A6436" s="5" t="str">
        <f>IFERROR(__xludf.DUMMYFUNCTION("""COMPUTED_VALUE"""),"77216")</f>
        <v>77216</v>
      </c>
      <c r="B6436" s="64">
        <f>IFERROR(__xludf.DUMMYFUNCTION("""COMPUTED_VALUE"""),44663.0)</f>
        <v>44663</v>
      </c>
      <c r="C6436" s="5"/>
      <c r="D6436" s="5"/>
      <c r="E6436" s="5"/>
      <c r="F6436" s="22">
        <f>IFERROR(__xludf.DUMMYFUNCTION("""COMPUTED_VALUE"""),25881.252800000017)</f>
        <v>25881.2528</v>
      </c>
      <c r="G6436" s="22">
        <f>IFERROR(__xludf.DUMMYFUNCTION("""COMPUTED_VALUE"""),0.0)</f>
        <v>0</v>
      </c>
      <c r="H6436" s="22">
        <f>IFERROR(__xludf.DUMMYFUNCTION("""COMPUTED_VALUE"""),488711.4584)</f>
        <v>488711.4584</v>
      </c>
      <c r="I6436" s="24">
        <f>IFERROR(__xludf.DUMMYFUNCTION("""COMPUTED_VALUE"""),-0.02257708319999996)</f>
        <v>-0.0225770832</v>
      </c>
    </row>
    <row r="6437">
      <c r="A6437" s="5" t="str">
        <f>IFERROR(__xludf.DUMMYFUNCTION("""COMPUTED_VALUE"""),"77393")</f>
        <v>77393</v>
      </c>
      <c r="B6437" s="64">
        <f>IFERROR(__xludf.DUMMYFUNCTION("""COMPUTED_VALUE"""),44597.0)</f>
        <v>44597</v>
      </c>
      <c r="C6437" s="5"/>
      <c r="D6437" s="5"/>
      <c r="E6437" s="5"/>
      <c r="F6437" s="22">
        <f>IFERROR(__xludf.DUMMYFUNCTION("""COMPUTED_VALUE"""),500000.0)</f>
        <v>500000</v>
      </c>
      <c r="G6437" s="22">
        <f>IFERROR(__xludf.DUMMYFUNCTION("""COMPUTED_VALUE"""),0.0)</f>
        <v>0</v>
      </c>
      <c r="H6437" s="22">
        <f>IFERROR(__xludf.DUMMYFUNCTION("""COMPUTED_VALUE"""),500000.0)</f>
        <v>500000</v>
      </c>
      <c r="I6437" s="24">
        <f>IFERROR(__xludf.DUMMYFUNCTION("""COMPUTED_VALUE"""),0.0)</f>
        <v>0</v>
      </c>
    </row>
    <row r="6438">
      <c r="A6438" s="5" t="str">
        <f>IFERROR(__xludf.DUMMYFUNCTION("""COMPUTED_VALUE"""),"77393")</f>
        <v>77393</v>
      </c>
      <c r="B6438" s="64">
        <f>IFERROR(__xludf.DUMMYFUNCTION("""COMPUTED_VALUE"""),44598.0)</f>
        <v>44598</v>
      </c>
      <c r="C6438" s="5"/>
      <c r="D6438" s="5"/>
      <c r="E6438" s="5"/>
      <c r="F6438" s="22">
        <f>IFERROR(__xludf.DUMMYFUNCTION("""COMPUTED_VALUE"""),500000.0)</f>
        <v>500000</v>
      </c>
      <c r="G6438" s="22">
        <f>IFERROR(__xludf.DUMMYFUNCTION("""COMPUTED_VALUE"""),0.0)</f>
        <v>0</v>
      </c>
      <c r="H6438" s="22">
        <f>IFERROR(__xludf.DUMMYFUNCTION("""COMPUTED_VALUE"""),500000.0)</f>
        <v>500000</v>
      </c>
      <c r="I6438" s="24">
        <f>IFERROR(__xludf.DUMMYFUNCTION("""COMPUTED_VALUE"""),0.0)</f>
        <v>0</v>
      </c>
    </row>
    <row r="6439">
      <c r="A6439" s="5" t="str">
        <f>IFERROR(__xludf.DUMMYFUNCTION("""COMPUTED_VALUE"""),"77393")</f>
        <v>77393</v>
      </c>
      <c r="B6439" s="64">
        <f>IFERROR(__xludf.DUMMYFUNCTION("""COMPUTED_VALUE"""),44599.0)</f>
        <v>44599</v>
      </c>
      <c r="C6439" s="5"/>
      <c r="D6439" s="5"/>
      <c r="E6439" s="5"/>
      <c r="F6439" s="22">
        <f>IFERROR(__xludf.DUMMYFUNCTION("""COMPUTED_VALUE"""),500000.0)</f>
        <v>500000</v>
      </c>
      <c r="G6439" s="22">
        <f>IFERROR(__xludf.DUMMYFUNCTION("""COMPUTED_VALUE"""),0.0)</f>
        <v>0</v>
      </c>
      <c r="H6439" s="22">
        <f>IFERROR(__xludf.DUMMYFUNCTION("""COMPUTED_VALUE"""),500000.0)</f>
        <v>500000</v>
      </c>
      <c r="I6439" s="24">
        <f>IFERROR(__xludf.DUMMYFUNCTION("""COMPUTED_VALUE"""),0.0)</f>
        <v>0</v>
      </c>
    </row>
    <row r="6440">
      <c r="A6440" s="5" t="str">
        <f>IFERROR(__xludf.DUMMYFUNCTION("""COMPUTED_VALUE"""),"77393")</f>
        <v>77393</v>
      </c>
      <c r="B6440" s="64">
        <f>IFERROR(__xludf.DUMMYFUNCTION("""COMPUTED_VALUE"""),44600.0)</f>
        <v>44600</v>
      </c>
      <c r="C6440" s="5"/>
      <c r="D6440" s="5"/>
      <c r="E6440" s="5"/>
      <c r="F6440" s="22">
        <f>IFERROR(__xludf.DUMMYFUNCTION("""COMPUTED_VALUE"""),500000.0)</f>
        <v>500000</v>
      </c>
      <c r="G6440" s="22">
        <f>IFERROR(__xludf.DUMMYFUNCTION("""COMPUTED_VALUE"""),0.0)</f>
        <v>0</v>
      </c>
      <c r="H6440" s="22">
        <f>IFERROR(__xludf.DUMMYFUNCTION("""COMPUTED_VALUE"""),500000.0)</f>
        <v>500000</v>
      </c>
      <c r="I6440" s="24">
        <f>IFERROR(__xludf.DUMMYFUNCTION("""COMPUTED_VALUE"""),0.0)</f>
        <v>0</v>
      </c>
    </row>
    <row r="6441">
      <c r="A6441" s="5" t="str">
        <f>IFERROR(__xludf.DUMMYFUNCTION("""COMPUTED_VALUE"""),"77393")</f>
        <v>77393</v>
      </c>
      <c r="B6441" s="64">
        <f>IFERROR(__xludf.DUMMYFUNCTION("""COMPUTED_VALUE"""),44601.0)</f>
        <v>44601</v>
      </c>
      <c r="C6441" s="5"/>
      <c r="D6441" s="5"/>
      <c r="E6441" s="5"/>
      <c r="F6441" s="22">
        <f>IFERROR(__xludf.DUMMYFUNCTION("""COMPUTED_VALUE"""),500000.0)</f>
        <v>500000</v>
      </c>
      <c r="G6441" s="22">
        <f>IFERROR(__xludf.DUMMYFUNCTION("""COMPUTED_VALUE"""),0.0)</f>
        <v>0</v>
      </c>
      <c r="H6441" s="22">
        <f>IFERROR(__xludf.DUMMYFUNCTION("""COMPUTED_VALUE"""),500000.0)</f>
        <v>500000</v>
      </c>
      <c r="I6441" s="24">
        <f>IFERROR(__xludf.DUMMYFUNCTION("""COMPUTED_VALUE"""),0.0)</f>
        <v>0</v>
      </c>
    </row>
    <row r="6442">
      <c r="A6442" s="5" t="str">
        <f>IFERROR(__xludf.DUMMYFUNCTION("""COMPUTED_VALUE"""),"77393")</f>
        <v>77393</v>
      </c>
      <c r="B6442" s="64">
        <f>IFERROR(__xludf.DUMMYFUNCTION("""COMPUTED_VALUE"""),44602.0)</f>
        <v>44602</v>
      </c>
      <c r="C6442" s="5"/>
      <c r="D6442" s="5"/>
      <c r="E6442" s="5"/>
      <c r="F6442" s="22">
        <f>IFERROR(__xludf.DUMMYFUNCTION("""COMPUTED_VALUE"""),500000.0)</f>
        <v>500000</v>
      </c>
      <c r="G6442" s="22">
        <f>IFERROR(__xludf.DUMMYFUNCTION("""COMPUTED_VALUE"""),0.0)</f>
        <v>0</v>
      </c>
      <c r="H6442" s="22">
        <f>IFERROR(__xludf.DUMMYFUNCTION("""COMPUTED_VALUE"""),500000.0)</f>
        <v>500000</v>
      </c>
      <c r="I6442" s="24">
        <f>IFERROR(__xludf.DUMMYFUNCTION("""COMPUTED_VALUE"""),0.0)</f>
        <v>0</v>
      </c>
    </row>
    <row r="6443">
      <c r="A6443" s="5" t="str">
        <f>IFERROR(__xludf.DUMMYFUNCTION("""COMPUTED_VALUE"""),"77393")</f>
        <v>77393</v>
      </c>
      <c r="B6443" s="64">
        <f>IFERROR(__xludf.DUMMYFUNCTION("""COMPUTED_VALUE"""),44603.0)</f>
        <v>44603</v>
      </c>
      <c r="C6443" s="5"/>
      <c r="D6443" s="5"/>
      <c r="E6443" s="5"/>
      <c r="F6443" s="22">
        <f>IFERROR(__xludf.DUMMYFUNCTION("""COMPUTED_VALUE"""),500000.0)</f>
        <v>500000</v>
      </c>
      <c r="G6443" s="22">
        <f>IFERROR(__xludf.DUMMYFUNCTION("""COMPUTED_VALUE"""),0.0)</f>
        <v>0</v>
      </c>
      <c r="H6443" s="22">
        <f>IFERROR(__xludf.DUMMYFUNCTION("""COMPUTED_VALUE"""),500000.0)</f>
        <v>500000</v>
      </c>
      <c r="I6443" s="24">
        <f>IFERROR(__xludf.DUMMYFUNCTION("""COMPUTED_VALUE"""),0.0)</f>
        <v>0</v>
      </c>
    </row>
    <row r="6444">
      <c r="A6444" s="5" t="str">
        <f>IFERROR(__xludf.DUMMYFUNCTION("""COMPUTED_VALUE"""),"77393")</f>
        <v>77393</v>
      </c>
      <c r="B6444" s="64">
        <f>IFERROR(__xludf.DUMMYFUNCTION("""COMPUTED_VALUE"""),44604.0)</f>
        <v>44604</v>
      </c>
      <c r="C6444" s="5"/>
      <c r="D6444" s="5"/>
      <c r="E6444" s="5"/>
      <c r="F6444" s="22">
        <f>IFERROR(__xludf.DUMMYFUNCTION("""COMPUTED_VALUE"""),500000.0)</f>
        <v>500000</v>
      </c>
      <c r="G6444" s="22">
        <f>IFERROR(__xludf.DUMMYFUNCTION("""COMPUTED_VALUE"""),0.0)</f>
        <v>0</v>
      </c>
      <c r="H6444" s="22">
        <f>IFERROR(__xludf.DUMMYFUNCTION("""COMPUTED_VALUE"""),500000.0)</f>
        <v>500000</v>
      </c>
      <c r="I6444" s="24">
        <f>IFERROR(__xludf.DUMMYFUNCTION("""COMPUTED_VALUE"""),0.0)</f>
        <v>0</v>
      </c>
    </row>
    <row r="6445">
      <c r="A6445" s="5" t="str">
        <f>IFERROR(__xludf.DUMMYFUNCTION("""COMPUTED_VALUE"""),"77393")</f>
        <v>77393</v>
      </c>
      <c r="B6445" s="64">
        <f>IFERROR(__xludf.DUMMYFUNCTION("""COMPUTED_VALUE"""),44605.0)</f>
        <v>44605</v>
      </c>
      <c r="C6445" s="5"/>
      <c r="D6445" s="5"/>
      <c r="E6445" s="5"/>
      <c r="F6445" s="22">
        <f>IFERROR(__xludf.DUMMYFUNCTION("""COMPUTED_VALUE"""),500000.0)</f>
        <v>500000</v>
      </c>
      <c r="G6445" s="22">
        <f>IFERROR(__xludf.DUMMYFUNCTION("""COMPUTED_VALUE"""),0.0)</f>
        <v>0</v>
      </c>
      <c r="H6445" s="22">
        <f>IFERROR(__xludf.DUMMYFUNCTION("""COMPUTED_VALUE"""),500000.0)</f>
        <v>500000</v>
      </c>
      <c r="I6445" s="24">
        <f>IFERROR(__xludf.DUMMYFUNCTION("""COMPUTED_VALUE"""),0.0)</f>
        <v>0</v>
      </c>
    </row>
    <row r="6446">
      <c r="A6446" s="5" t="str">
        <f>IFERROR(__xludf.DUMMYFUNCTION("""COMPUTED_VALUE"""),"77393")</f>
        <v>77393</v>
      </c>
      <c r="B6446" s="64">
        <f>IFERROR(__xludf.DUMMYFUNCTION("""COMPUTED_VALUE"""),44606.0)</f>
        <v>44606</v>
      </c>
      <c r="C6446" s="5"/>
      <c r="D6446" s="5"/>
      <c r="E6446" s="5"/>
      <c r="F6446" s="22">
        <f>IFERROR(__xludf.DUMMYFUNCTION("""COMPUTED_VALUE"""),500000.0)</f>
        <v>500000</v>
      </c>
      <c r="G6446" s="22">
        <f>IFERROR(__xludf.DUMMYFUNCTION("""COMPUTED_VALUE"""),0.0)</f>
        <v>0</v>
      </c>
      <c r="H6446" s="22">
        <f>IFERROR(__xludf.DUMMYFUNCTION("""COMPUTED_VALUE"""),500000.0)</f>
        <v>500000</v>
      </c>
      <c r="I6446" s="24">
        <f>IFERROR(__xludf.DUMMYFUNCTION("""COMPUTED_VALUE"""),0.0)</f>
        <v>0</v>
      </c>
    </row>
    <row r="6447">
      <c r="A6447" s="5" t="str">
        <f>IFERROR(__xludf.DUMMYFUNCTION("""COMPUTED_VALUE"""),"77393")</f>
        <v>77393</v>
      </c>
      <c r="B6447" s="64">
        <f>IFERROR(__xludf.DUMMYFUNCTION("""COMPUTED_VALUE"""),44607.0)</f>
        <v>44607</v>
      </c>
      <c r="C6447" s="5"/>
      <c r="D6447" s="5"/>
      <c r="E6447" s="5"/>
      <c r="F6447" s="22">
        <f>IFERROR(__xludf.DUMMYFUNCTION("""COMPUTED_VALUE"""),500000.0)</f>
        <v>500000</v>
      </c>
      <c r="G6447" s="22">
        <f>IFERROR(__xludf.DUMMYFUNCTION("""COMPUTED_VALUE"""),0.0)</f>
        <v>0</v>
      </c>
      <c r="H6447" s="22">
        <f>IFERROR(__xludf.DUMMYFUNCTION("""COMPUTED_VALUE"""),500000.0)</f>
        <v>500000</v>
      </c>
      <c r="I6447" s="24">
        <f>IFERROR(__xludf.DUMMYFUNCTION("""COMPUTED_VALUE"""),0.0)</f>
        <v>0</v>
      </c>
    </row>
    <row r="6448">
      <c r="A6448" s="5" t="str">
        <f>IFERROR(__xludf.DUMMYFUNCTION("""COMPUTED_VALUE"""),"77393")</f>
        <v>77393</v>
      </c>
      <c r="B6448" s="64">
        <f>IFERROR(__xludf.DUMMYFUNCTION("""COMPUTED_VALUE"""),44608.0)</f>
        <v>44608</v>
      </c>
      <c r="C6448" s="5"/>
      <c r="D6448" s="5"/>
      <c r="E6448" s="5"/>
      <c r="F6448" s="22">
        <f>IFERROR(__xludf.DUMMYFUNCTION("""COMPUTED_VALUE"""),500000.0)</f>
        <v>500000</v>
      </c>
      <c r="G6448" s="22">
        <f>IFERROR(__xludf.DUMMYFUNCTION("""COMPUTED_VALUE"""),0.0)</f>
        <v>0</v>
      </c>
      <c r="H6448" s="22">
        <f>IFERROR(__xludf.DUMMYFUNCTION("""COMPUTED_VALUE"""),500000.0)</f>
        <v>500000</v>
      </c>
      <c r="I6448" s="24">
        <f>IFERROR(__xludf.DUMMYFUNCTION("""COMPUTED_VALUE"""),0.0)</f>
        <v>0</v>
      </c>
    </row>
    <row r="6449">
      <c r="A6449" s="5" t="str">
        <f>IFERROR(__xludf.DUMMYFUNCTION("""COMPUTED_VALUE"""),"77393")</f>
        <v>77393</v>
      </c>
      <c r="B6449" s="64">
        <f>IFERROR(__xludf.DUMMYFUNCTION("""COMPUTED_VALUE"""),44609.0)</f>
        <v>44609</v>
      </c>
      <c r="C6449" s="5"/>
      <c r="D6449" s="5"/>
      <c r="E6449" s="5"/>
      <c r="F6449" s="22">
        <f>IFERROR(__xludf.DUMMYFUNCTION("""COMPUTED_VALUE"""),500000.0)</f>
        <v>500000</v>
      </c>
      <c r="G6449" s="22">
        <f>IFERROR(__xludf.DUMMYFUNCTION("""COMPUTED_VALUE"""),0.0)</f>
        <v>0</v>
      </c>
      <c r="H6449" s="22">
        <f>IFERROR(__xludf.DUMMYFUNCTION("""COMPUTED_VALUE"""),500000.0)</f>
        <v>500000</v>
      </c>
      <c r="I6449" s="24">
        <f>IFERROR(__xludf.DUMMYFUNCTION("""COMPUTED_VALUE"""),0.0)</f>
        <v>0</v>
      </c>
    </row>
    <row r="6450">
      <c r="A6450" s="5" t="str">
        <f>IFERROR(__xludf.DUMMYFUNCTION("""COMPUTED_VALUE"""),"77393")</f>
        <v>77393</v>
      </c>
      <c r="B6450" s="64">
        <f>IFERROR(__xludf.DUMMYFUNCTION("""COMPUTED_VALUE"""),44610.0)</f>
        <v>44610</v>
      </c>
      <c r="C6450" s="5"/>
      <c r="D6450" s="5"/>
      <c r="E6450" s="5"/>
      <c r="F6450" s="22">
        <f>IFERROR(__xludf.DUMMYFUNCTION("""COMPUTED_VALUE"""),500000.0)</f>
        <v>500000</v>
      </c>
      <c r="G6450" s="22">
        <f>IFERROR(__xludf.DUMMYFUNCTION("""COMPUTED_VALUE"""),0.0)</f>
        <v>0</v>
      </c>
      <c r="H6450" s="22">
        <f>IFERROR(__xludf.DUMMYFUNCTION("""COMPUTED_VALUE"""),500000.0)</f>
        <v>500000</v>
      </c>
      <c r="I6450" s="24">
        <f>IFERROR(__xludf.DUMMYFUNCTION("""COMPUTED_VALUE"""),0.0)</f>
        <v>0</v>
      </c>
    </row>
    <row r="6451">
      <c r="A6451" s="5" t="str">
        <f>IFERROR(__xludf.DUMMYFUNCTION("""COMPUTED_VALUE"""),"77393")</f>
        <v>77393</v>
      </c>
      <c r="B6451" s="64">
        <f>IFERROR(__xludf.DUMMYFUNCTION("""COMPUTED_VALUE"""),44611.0)</f>
        <v>44611</v>
      </c>
      <c r="C6451" s="5"/>
      <c r="D6451" s="5"/>
      <c r="E6451" s="5"/>
      <c r="F6451" s="22">
        <f>IFERROR(__xludf.DUMMYFUNCTION("""COMPUTED_VALUE"""),500000.0)</f>
        <v>500000</v>
      </c>
      <c r="G6451" s="22">
        <f>IFERROR(__xludf.DUMMYFUNCTION("""COMPUTED_VALUE"""),0.0)</f>
        <v>0</v>
      </c>
      <c r="H6451" s="22">
        <f>IFERROR(__xludf.DUMMYFUNCTION("""COMPUTED_VALUE"""),500000.0)</f>
        <v>500000</v>
      </c>
      <c r="I6451" s="24">
        <f>IFERROR(__xludf.DUMMYFUNCTION("""COMPUTED_VALUE"""),0.0)</f>
        <v>0</v>
      </c>
    </row>
    <row r="6452">
      <c r="A6452" s="5" t="str">
        <f>IFERROR(__xludf.DUMMYFUNCTION("""COMPUTED_VALUE"""),"77393")</f>
        <v>77393</v>
      </c>
      <c r="B6452" s="64">
        <f>IFERROR(__xludf.DUMMYFUNCTION("""COMPUTED_VALUE"""),44612.0)</f>
        <v>44612</v>
      </c>
      <c r="C6452" s="5"/>
      <c r="D6452" s="5"/>
      <c r="E6452" s="5"/>
      <c r="F6452" s="22">
        <f>IFERROR(__xludf.DUMMYFUNCTION("""COMPUTED_VALUE"""),500000.0)</f>
        <v>500000</v>
      </c>
      <c r="G6452" s="22">
        <f>IFERROR(__xludf.DUMMYFUNCTION("""COMPUTED_VALUE"""),0.0)</f>
        <v>0</v>
      </c>
      <c r="H6452" s="22">
        <f>IFERROR(__xludf.DUMMYFUNCTION("""COMPUTED_VALUE"""),500000.0)</f>
        <v>500000</v>
      </c>
      <c r="I6452" s="24">
        <f>IFERROR(__xludf.DUMMYFUNCTION("""COMPUTED_VALUE"""),0.0)</f>
        <v>0</v>
      </c>
    </row>
    <row r="6453">
      <c r="A6453" s="5" t="str">
        <f>IFERROR(__xludf.DUMMYFUNCTION("""COMPUTED_VALUE"""),"77393")</f>
        <v>77393</v>
      </c>
      <c r="B6453" s="64">
        <f>IFERROR(__xludf.DUMMYFUNCTION("""COMPUTED_VALUE"""),44613.0)</f>
        <v>44613</v>
      </c>
      <c r="C6453" s="5"/>
      <c r="D6453" s="5"/>
      <c r="E6453" s="5"/>
      <c r="F6453" s="22">
        <f>IFERROR(__xludf.DUMMYFUNCTION("""COMPUTED_VALUE"""),500000.0)</f>
        <v>500000</v>
      </c>
      <c r="G6453" s="22">
        <f>IFERROR(__xludf.DUMMYFUNCTION("""COMPUTED_VALUE"""),0.0)</f>
        <v>0</v>
      </c>
      <c r="H6453" s="22">
        <f>IFERROR(__xludf.DUMMYFUNCTION("""COMPUTED_VALUE"""),500000.0)</f>
        <v>500000</v>
      </c>
      <c r="I6453" s="24">
        <f>IFERROR(__xludf.DUMMYFUNCTION("""COMPUTED_VALUE"""),0.0)</f>
        <v>0</v>
      </c>
    </row>
    <row r="6454">
      <c r="A6454" s="5" t="str">
        <f>IFERROR(__xludf.DUMMYFUNCTION("""COMPUTED_VALUE"""),"77393")</f>
        <v>77393</v>
      </c>
      <c r="B6454" s="64">
        <f>IFERROR(__xludf.DUMMYFUNCTION("""COMPUTED_VALUE"""),44614.0)</f>
        <v>44614</v>
      </c>
      <c r="C6454" s="5"/>
      <c r="D6454" s="5"/>
      <c r="E6454" s="5"/>
      <c r="F6454" s="22">
        <f>IFERROR(__xludf.DUMMYFUNCTION("""COMPUTED_VALUE"""),500000.0)</f>
        <v>500000</v>
      </c>
      <c r="G6454" s="22">
        <f>IFERROR(__xludf.DUMMYFUNCTION("""COMPUTED_VALUE"""),0.0)</f>
        <v>0</v>
      </c>
      <c r="H6454" s="22">
        <f>IFERROR(__xludf.DUMMYFUNCTION("""COMPUTED_VALUE"""),500000.0)</f>
        <v>500000</v>
      </c>
      <c r="I6454" s="24">
        <f>IFERROR(__xludf.DUMMYFUNCTION("""COMPUTED_VALUE"""),0.0)</f>
        <v>0</v>
      </c>
    </row>
    <row r="6455">
      <c r="A6455" s="5" t="str">
        <f>IFERROR(__xludf.DUMMYFUNCTION("""COMPUTED_VALUE"""),"77393")</f>
        <v>77393</v>
      </c>
      <c r="B6455" s="64">
        <f>IFERROR(__xludf.DUMMYFUNCTION("""COMPUTED_VALUE"""),44615.0)</f>
        <v>44615</v>
      </c>
      <c r="C6455" s="5"/>
      <c r="D6455" s="5"/>
      <c r="E6455" s="5"/>
      <c r="F6455" s="22">
        <f>IFERROR(__xludf.DUMMYFUNCTION("""COMPUTED_VALUE"""),500000.0)</f>
        <v>500000</v>
      </c>
      <c r="G6455" s="22">
        <f>IFERROR(__xludf.DUMMYFUNCTION("""COMPUTED_VALUE"""),0.0)</f>
        <v>0</v>
      </c>
      <c r="H6455" s="22">
        <f>IFERROR(__xludf.DUMMYFUNCTION("""COMPUTED_VALUE"""),500000.0)</f>
        <v>500000</v>
      </c>
      <c r="I6455" s="24">
        <f>IFERROR(__xludf.DUMMYFUNCTION("""COMPUTED_VALUE"""),0.0)</f>
        <v>0</v>
      </c>
    </row>
    <row r="6456">
      <c r="A6456" s="5" t="str">
        <f>IFERROR(__xludf.DUMMYFUNCTION("""COMPUTED_VALUE"""),"77393")</f>
        <v>77393</v>
      </c>
      <c r="B6456" s="64">
        <f>IFERROR(__xludf.DUMMYFUNCTION("""COMPUTED_VALUE"""),44616.0)</f>
        <v>44616</v>
      </c>
      <c r="C6456" s="5"/>
      <c r="D6456" s="5"/>
      <c r="E6456" s="5"/>
      <c r="F6456" s="22">
        <f>IFERROR(__xludf.DUMMYFUNCTION("""COMPUTED_VALUE"""),500000.0)</f>
        <v>500000</v>
      </c>
      <c r="G6456" s="22">
        <f>IFERROR(__xludf.DUMMYFUNCTION("""COMPUTED_VALUE"""),0.0)</f>
        <v>0</v>
      </c>
      <c r="H6456" s="22">
        <f>IFERROR(__xludf.DUMMYFUNCTION("""COMPUTED_VALUE"""),500000.0)</f>
        <v>500000</v>
      </c>
      <c r="I6456" s="24">
        <f>IFERROR(__xludf.DUMMYFUNCTION("""COMPUTED_VALUE"""),0.0)</f>
        <v>0</v>
      </c>
    </row>
    <row r="6457">
      <c r="A6457" s="5" t="str">
        <f>IFERROR(__xludf.DUMMYFUNCTION("""COMPUTED_VALUE"""),"77393")</f>
        <v>77393</v>
      </c>
      <c r="B6457" s="64">
        <f>IFERROR(__xludf.DUMMYFUNCTION("""COMPUTED_VALUE"""),44617.0)</f>
        <v>44617</v>
      </c>
      <c r="C6457" s="5"/>
      <c r="D6457" s="5"/>
      <c r="E6457" s="5"/>
      <c r="F6457" s="22">
        <f>IFERROR(__xludf.DUMMYFUNCTION("""COMPUTED_VALUE"""),500000.0)</f>
        <v>500000</v>
      </c>
      <c r="G6457" s="22">
        <f>IFERROR(__xludf.DUMMYFUNCTION("""COMPUTED_VALUE"""),0.0)</f>
        <v>0</v>
      </c>
      <c r="H6457" s="22">
        <f>IFERROR(__xludf.DUMMYFUNCTION("""COMPUTED_VALUE"""),500000.0)</f>
        <v>500000</v>
      </c>
      <c r="I6457" s="24">
        <f>IFERROR(__xludf.DUMMYFUNCTION("""COMPUTED_VALUE"""),0.0)</f>
        <v>0</v>
      </c>
    </row>
    <row r="6458">
      <c r="A6458" s="5" t="str">
        <f>IFERROR(__xludf.DUMMYFUNCTION("""COMPUTED_VALUE"""),"77393")</f>
        <v>77393</v>
      </c>
      <c r="B6458" s="64">
        <f>IFERROR(__xludf.DUMMYFUNCTION("""COMPUTED_VALUE"""),44618.0)</f>
        <v>44618</v>
      </c>
      <c r="C6458" s="5"/>
      <c r="D6458" s="5"/>
      <c r="E6458" s="5"/>
      <c r="F6458" s="22">
        <f>IFERROR(__xludf.DUMMYFUNCTION("""COMPUTED_VALUE"""),500000.0)</f>
        <v>500000</v>
      </c>
      <c r="G6458" s="22">
        <f>IFERROR(__xludf.DUMMYFUNCTION("""COMPUTED_VALUE"""),0.0)</f>
        <v>0</v>
      </c>
      <c r="H6458" s="22">
        <f>IFERROR(__xludf.DUMMYFUNCTION("""COMPUTED_VALUE"""),500000.0)</f>
        <v>500000</v>
      </c>
      <c r="I6458" s="24">
        <f>IFERROR(__xludf.DUMMYFUNCTION("""COMPUTED_VALUE"""),0.0)</f>
        <v>0</v>
      </c>
    </row>
    <row r="6459">
      <c r="A6459" s="5" t="str">
        <f>IFERROR(__xludf.DUMMYFUNCTION("""COMPUTED_VALUE"""),"77393")</f>
        <v>77393</v>
      </c>
      <c r="B6459" s="64">
        <f>IFERROR(__xludf.DUMMYFUNCTION("""COMPUTED_VALUE"""),44619.0)</f>
        <v>44619</v>
      </c>
      <c r="C6459" s="5"/>
      <c r="D6459" s="5"/>
      <c r="E6459" s="5"/>
      <c r="F6459" s="22">
        <f>IFERROR(__xludf.DUMMYFUNCTION("""COMPUTED_VALUE"""),500000.0)</f>
        <v>500000</v>
      </c>
      <c r="G6459" s="22">
        <f>IFERROR(__xludf.DUMMYFUNCTION("""COMPUTED_VALUE"""),0.0)</f>
        <v>0</v>
      </c>
      <c r="H6459" s="22">
        <f>IFERROR(__xludf.DUMMYFUNCTION("""COMPUTED_VALUE"""),500000.0)</f>
        <v>500000</v>
      </c>
      <c r="I6459" s="24">
        <f>IFERROR(__xludf.DUMMYFUNCTION("""COMPUTED_VALUE"""),0.0)</f>
        <v>0</v>
      </c>
    </row>
    <row r="6460">
      <c r="A6460" s="5" t="str">
        <f>IFERROR(__xludf.DUMMYFUNCTION("""COMPUTED_VALUE"""),"77393")</f>
        <v>77393</v>
      </c>
      <c r="B6460" s="64">
        <f>IFERROR(__xludf.DUMMYFUNCTION("""COMPUTED_VALUE"""),44620.0)</f>
        <v>44620</v>
      </c>
      <c r="C6460" s="5"/>
      <c r="D6460" s="5"/>
      <c r="E6460" s="5"/>
      <c r="F6460" s="22">
        <f>IFERROR(__xludf.DUMMYFUNCTION("""COMPUTED_VALUE"""),500000.0)</f>
        <v>500000</v>
      </c>
      <c r="G6460" s="22">
        <f>IFERROR(__xludf.DUMMYFUNCTION("""COMPUTED_VALUE"""),0.0)</f>
        <v>0</v>
      </c>
      <c r="H6460" s="22">
        <f>IFERROR(__xludf.DUMMYFUNCTION("""COMPUTED_VALUE"""),500000.0)</f>
        <v>500000</v>
      </c>
      <c r="I6460" s="24">
        <f>IFERROR(__xludf.DUMMYFUNCTION("""COMPUTED_VALUE"""),0.0)</f>
        <v>0</v>
      </c>
    </row>
    <row r="6461">
      <c r="A6461" s="5" t="str">
        <f>IFERROR(__xludf.DUMMYFUNCTION("""COMPUTED_VALUE"""),"77393")</f>
        <v>77393</v>
      </c>
      <c r="B6461" s="64">
        <f>IFERROR(__xludf.DUMMYFUNCTION("""COMPUTED_VALUE"""),44621.0)</f>
        <v>44621</v>
      </c>
      <c r="C6461" s="5"/>
      <c r="D6461" s="5"/>
      <c r="E6461" s="5"/>
      <c r="F6461" s="22">
        <f>IFERROR(__xludf.DUMMYFUNCTION("""COMPUTED_VALUE"""),500000.0)</f>
        <v>500000</v>
      </c>
      <c r="G6461" s="22">
        <f>IFERROR(__xludf.DUMMYFUNCTION("""COMPUTED_VALUE"""),0.0)</f>
        <v>0</v>
      </c>
      <c r="H6461" s="22">
        <f>IFERROR(__xludf.DUMMYFUNCTION("""COMPUTED_VALUE"""),500000.0)</f>
        <v>500000</v>
      </c>
      <c r="I6461" s="24">
        <f>IFERROR(__xludf.DUMMYFUNCTION("""COMPUTED_VALUE"""),0.0)</f>
        <v>0</v>
      </c>
    </row>
    <row r="6462">
      <c r="A6462" s="5" t="str">
        <f>IFERROR(__xludf.DUMMYFUNCTION("""COMPUTED_VALUE"""),"77393")</f>
        <v>77393</v>
      </c>
      <c r="B6462" s="64">
        <f>IFERROR(__xludf.DUMMYFUNCTION("""COMPUTED_VALUE"""),44622.0)</f>
        <v>44622</v>
      </c>
      <c r="C6462" s="5"/>
      <c r="D6462" s="5"/>
      <c r="E6462" s="5"/>
      <c r="F6462" s="22">
        <f>IFERROR(__xludf.DUMMYFUNCTION("""COMPUTED_VALUE"""),500000.0)</f>
        <v>500000</v>
      </c>
      <c r="G6462" s="22">
        <f>IFERROR(__xludf.DUMMYFUNCTION("""COMPUTED_VALUE"""),0.0)</f>
        <v>0</v>
      </c>
      <c r="H6462" s="22">
        <f>IFERROR(__xludf.DUMMYFUNCTION("""COMPUTED_VALUE"""),500000.0)</f>
        <v>500000</v>
      </c>
      <c r="I6462" s="24">
        <f>IFERROR(__xludf.DUMMYFUNCTION("""COMPUTED_VALUE"""),0.0)</f>
        <v>0</v>
      </c>
    </row>
    <row r="6463">
      <c r="A6463" s="5" t="str">
        <f>IFERROR(__xludf.DUMMYFUNCTION("""COMPUTED_VALUE"""),"77393")</f>
        <v>77393</v>
      </c>
      <c r="B6463" s="64">
        <f>IFERROR(__xludf.DUMMYFUNCTION("""COMPUTED_VALUE"""),44623.0)</f>
        <v>44623</v>
      </c>
      <c r="C6463" s="5"/>
      <c r="D6463" s="5"/>
      <c r="E6463" s="5"/>
      <c r="F6463" s="22">
        <f>IFERROR(__xludf.DUMMYFUNCTION("""COMPUTED_VALUE"""),500000.0)</f>
        <v>500000</v>
      </c>
      <c r="G6463" s="22">
        <f>IFERROR(__xludf.DUMMYFUNCTION("""COMPUTED_VALUE"""),0.0)</f>
        <v>0</v>
      </c>
      <c r="H6463" s="22">
        <f>IFERROR(__xludf.DUMMYFUNCTION("""COMPUTED_VALUE"""),500000.0)</f>
        <v>500000</v>
      </c>
      <c r="I6463" s="24">
        <f>IFERROR(__xludf.DUMMYFUNCTION("""COMPUTED_VALUE"""),0.0)</f>
        <v>0</v>
      </c>
    </row>
    <row r="6464">
      <c r="A6464" s="5" t="str">
        <f>IFERROR(__xludf.DUMMYFUNCTION("""COMPUTED_VALUE"""),"77393")</f>
        <v>77393</v>
      </c>
      <c r="B6464" s="64">
        <f>IFERROR(__xludf.DUMMYFUNCTION("""COMPUTED_VALUE"""),44624.0)</f>
        <v>44624</v>
      </c>
      <c r="C6464" s="5"/>
      <c r="D6464" s="5"/>
      <c r="E6464" s="5"/>
      <c r="F6464" s="22">
        <f>IFERROR(__xludf.DUMMYFUNCTION("""COMPUTED_VALUE"""),500000.0)</f>
        <v>500000</v>
      </c>
      <c r="G6464" s="22">
        <f>IFERROR(__xludf.DUMMYFUNCTION("""COMPUTED_VALUE"""),0.0)</f>
        <v>0</v>
      </c>
      <c r="H6464" s="22">
        <f>IFERROR(__xludf.DUMMYFUNCTION("""COMPUTED_VALUE"""),500000.0)</f>
        <v>500000</v>
      </c>
      <c r="I6464" s="24">
        <f>IFERROR(__xludf.DUMMYFUNCTION("""COMPUTED_VALUE"""),0.0)</f>
        <v>0</v>
      </c>
    </row>
    <row r="6465">
      <c r="A6465" s="5" t="str">
        <f>IFERROR(__xludf.DUMMYFUNCTION("""COMPUTED_VALUE"""),"77393")</f>
        <v>77393</v>
      </c>
      <c r="B6465" s="64">
        <f>IFERROR(__xludf.DUMMYFUNCTION("""COMPUTED_VALUE"""),44625.0)</f>
        <v>44625</v>
      </c>
      <c r="C6465" s="5"/>
      <c r="D6465" s="5"/>
      <c r="E6465" s="5"/>
      <c r="F6465" s="22">
        <f>IFERROR(__xludf.DUMMYFUNCTION("""COMPUTED_VALUE"""),500000.0)</f>
        <v>500000</v>
      </c>
      <c r="G6465" s="22">
        <f>IFERROR(__xludf.DUMMYFUNCTION("""COMPUTED_VALUE"""),0.0)</f>
        <v>0</v>
      </c>
      <c r="H6465" s="22">
        <f>IFERROR(__xludf.DUMMYFUNCTION("""COMPUTED_VALUE"""),500000.0)</f>
        <v>500000</v>
      </c>
      <c r="I6465" s="24">
        <f>IFERROR(__xludf.DUMMYFUNCTION("""COMPUTED_VALUE"""),0.0)</f>
        <v>0</v>
      </c>
    </row>
    <row r="6466">
      <c r="A6466" s="5" t="str">
        <f>IFERROR(__xludf.DUMMYFUNCTION("""COMPUTED_VALUE"""),"77393")</f>
        <v>77393</v>
      </c>
      <c r="B6466" s="64">
        <f>IFERROR(__xludf.DUMMYFUNCTION("""COMPUTED_VALUE"""),44626.0)</f>
        <v>44626</v>
      </c>
      <c r="C6466" s="5"/>
      <c r="D6466" s="5"/>
      <c r="E6466" s="5"/>
      <c r="F6466" s="22">
        <f>IFERROR(__xludf.DUMMYFUNCTION("""COMPUTED_VALUE"""),500000.0)</f>
        <v>500000</v>
      </c>
      <c r="G6466" s="22">
        <f>IFERROR(__xludf.DUMMYFUNCTION("""COMPUTED_VALUE"""),0.0)</f>
        <v>0</v>
      </c>
      <c r="H6466" s="22">
        <f>IFERROR(__xludf.DUMMYFUNCTION("""COMPUTED_VALUE"""),500000.0)</f>
        <v>500000</v>
      </c>
      <c r="I6466" s="24">
        <f>IFERROR(__xludf.DUMMYFUNCTION("""COMPUTED_VALUE"""),0.0)</f>
        <v>0</v>
      </c>
    </row>
    <row r="6467">
      <c r="A6467" s="5" t="str">
        <f>IFERROR(__xludf.DUMMYFUNCTION("""COMPUTED_VALUE"""),"77393")</f>
        <v>77393</v>
      </c>
      <c r="B6467" s="64">
        <f>IFERROR(__xludf.DUMMYFUNCTION("""COMPUTED_VALUE"""),44627.0)</f>
        <v>44627</v>
      </c>
      <c r="C6467" s="5"/>
      <c r="D6467" s="5"/>
      <c r="E6467" s="5"/>
      <c r="F6467" s="22">
        <f>IFERROR(__xludf.DUMMYFUNCTION("""COMPUTED_VALUE"""),500000.0)</f>
        <v>500000</v>
      </c>
      <c r="G6467" s="22">
        <f>IFERROR(__xludf.DUMMYFUNCTION("""COMPUTED_VALUE"""),0.0)</f>
        <v>0</v>
      </c>
      <c r="H6467" s="22">
        <f>IFERROR(__xludf.DUMMYFUNCTION("""COMPUTED_VALUE"""),500000.0)</f>
        <v>500000</v>
      </c>
      <c r="I6467" s="24">
        <f>IFERROR(__xludf.DUMMYFUNCTION("""COMPUTED_VALUE"""),0.0)</f>
        <v>0</v>
      </c>
    </row>
    <row r="6468">
      <c r="A6468" s="5" t="str">
        <f>IFERROR(__xludf.DUMMYFUNCTION("""COMPUTED_VALUE"""),"77393")</f>
        <v>77393</v>
      </c>
      <c r="B6468" s="64">
        <f>IFERROR(__xludf.DUMMYFUNCTION("""COMPUTED_VALUE"""),44628.0)</f>
        <v>44628</v>
      </c>
      <c r="C6468" s="5"/>
      <c r="D6468" s="5"/>
      <c r="E6468" s="5"/>
      <c r="F6468" s="22">
        <f>IFERROR(__xludf.DUMMYFUNCTION("""COMPUTED_VALUE"""),500000.0)</f>
        <v>500000</v>
      </c>
      <c r="G6468" s="22">
        <f>IFERROR(__xludf.DUMMYFUNCTION("""COMPUTED_VALUE"""),0.0)</f>
        <v>0</v>
      </c>
      <c r="H6468" s="22">
        <f>IFERROR(__xludf.DUMMYFUNCTION("""COMPUTED_VALUE"""),500000.0)</f>
        <v>500000</v>
      </c>
      <c r="I6468" s="24">
        <f>IFERROR(__xludf.DUMMYFUNCTION("""COMPUTED_VALUE"""),0.0)</f>
        <v>0</v>
      </c>
    </row>
    <row r="6469">
      <c r="A6469" s="5" t="str">
        <f>IFERROR(__xludf.DUMMYFUNCTION("""COMPUTED_VALUE"""),"77393")</f>
        <v>77393</v>
      </c>
      <c r="B6469" s="64">
        <f>IFERROR(__xludf.DUMMYFUNCTION("""COMPUTED_VALUE"""),44629.0)</f>
        <v>44629</v>
      </c>
      <c r="C6469" s="5"/>
      <c r="D6469" s="5"/>
      <c r="E6469" s="5"/>
      <c r="F6469" s="22">
        <f>IFERROR(__xludf.DUMMYFUNCTION("""COMPUTED_VALUE"""),500000.0)</f>
        <v>500000</v>
      </c>
      <c r="G6469" s="22">
        <f>IFERROR(__xludf.DUMMYFUNCTION("""COMPUTED_VALUE"""),0.0)</f>
        <v>0</v>
      </c>
      <c r="H6469" s="22">
        <f>IFERROR(__xludf.DUMMYFUNCTION("""COMPUTED_VALUE"""),500000.0)</f>
        <v>500000</v>
      </c>
      <c r="I6469" s="24">
        <f>IFERROR(__xludf.DUMMYFUNCTION("""COMPUTED_VALUE"""),0.0)</f>
        <v>0</v>
      </c>
    </row>
    <row r="6470">
      <c r="A6470" s="5" t="str">
        <f>IFERROR(__xludf.DUMMYFUNCTION("""COMPUTED_VALUE"""),"77393")</f>
        <v>77393</v>
      </c>
      <c r="B6470" s="64">
        <f>IFERROR(__xludf.DUMMYFUNCTION("""COMPUTED_VALUE"""),44630.0)</f>
        <v>44630</v>
      </c>
      <c r="C6470" s="5"/>
      <c r="D6470" s="5"/>
      <c r="E6470" s="5"/>
      <c r="F6470" s="22">
        <f>IFERROR(__xludf.DUMMYFUNCTION("""COMPUTED_VALUE"""),500000.0)</f>
        <v>500000</v>
      </c>
      <c r="G6470" s="22">
        <f>IFERROR(__xludf.DUMMYFUNCTION("""COMPUTED_VALUE"""),0.0)</f>
        <v>0</v>
      </c>
      <c r="H6470" s="22">
        <f>IFERROR(__xludf.DUMMYFUNCTION("""COMPUTED_VALUE"""),500000.0)</f>
        <v>500000</v>
      </c>
      <c r="I6470" s="24">
        <f>IFERROR(__xludf.DUMMYFUNCTION("""COMPUTED_VALUE"""),0.0)</f>
        <v>0</v>
      </c>
    </row>
    <row r="6471">
      <c r="A6471" s="5" t="str">
        <f>IFERROR(__xludf.DUMMYFUNCTION("""COMPUTED_VALUE"""),"77393")</f>
        <v>77393</v>
      </c>
      <c r="B6471" s="64">
        <f>IFERROR(__xludf.DUMMYFUNCTION("""COMPUTED_VALUE"""),44631.0)</f>
        <v>44631</v>
      </c>
      <c r="C6471" s="5"/>
      <c r="D6471" s="5"/>
      <c r="E6471" s="5"/>
      <c r="F6471" s="22">
        <f>IFERROR(__xludf.DUMMYFUNCTION("""COMPUTED_VALUE"""),500000.0)</f>
        <v>500000</v>
      </c>
      <c r="G6471" s="22">
        <f>IFERROR(__xludf.DUMMYFUNCTION("""COMPUTED_VALUE"""),0.0)</f>
        <v>0</v>
      </c>
      <c r="H6471" s="22">
        <f>IFERROR(__xludf.DUMMYFUNCTION("""COMPUTED_VALUE"""),500000.0)</f>
        <v>500000</v>
      </c>
      <c r="I6471" s="24">
        <f>IFERROR(__xludf.DUMMYFUNCTION("""COMPUTED_VALUE"""),0.0)</f>
        <v>0</v>
      </c>
    </row>
    <row r="6472">
      <c r="A6472" s="5" t="str">
        <f>IFERROR(__xludf.DUMMYFUNCTION("""COMPUTED_VALUE"""),"77393")</f>
        <v>77393</v>
      </c>
      <c r="B6472" s="64">
        <f>IFERROR(__xludf.DUMMYFUNCTION("""COMPUTED_VALUE"""),44632.0)</f>
        <v>44632</v>
      </c>
      <c r="C6472" s="5"/>
      <c r="D6472" s="5"/>
      <c r="E6472" s="5"/>
      <c r="F6472" s="22">
        <f>IFERROR(__xludf.DUMMYFUNCTION("""COMPUTED_VALUE"""),500000.0)</f>
        <v>500000</v>
      </c>
      <c r="G6472" s="22">
        <f>IFERROR(__xludf.DUMMYFUNCTION("""COMPUTED_VALUE"""),0.0)</f>
        <v>0</v>
      </c>
      <c r="H6472" s="22">
        <f>IFERROR(__xludf.DUMMYFUNCTION("""COMPUTED_VALUE"""),500000.0)</f>
        <v>500000</v>
      </c>
      <c r="I6472" s="24">
        <f>IFERROR(__xludf.DUMMYFUNCTION("""COMPUTED_VALUE"""),0.0)</f>
        <v>0</v>
      </c>
    </row>
    <row r="6473">
      <c r="A6473" s="5" t="str">
        <f>IFERROR(__xludf.DUMMYFUNCTION("""COMPUTED_VALUE"""),"77393")</f>
        <v>77393</v>
      </c>
      <c r="B6473" s="64">
        <f>IFERROR(__xludf.DUMMYFUNCTION("""COMPUTED_VALUE"""),44633.0)</f>
        <v>44633</v>
      </c>
      <c r="C6473" s="5"/>
      <c r="D6473" s="5"/>
      <c r="E6473" s="5"/>
      <c r="F6473" s="22">
        <f>IFERROR(__xludf.DUMMYFUNCTION("""COMPUTED_VALUE"""),500000.0)</f>
        <v>500000</v>
      </c>
      <c r="G6473" s="22">
        <f>IFERROR(__xludf.DUMMYFUNCTION("""COMPUTED_VALUE"""),0.0)</f>
        <v>0</v>
      </c>
      <c r="H6473" s="22">
        <f>IFERROR(__xludf.DUMMYFUNCTION("""COMPUTED_VALUE"""),500000.0)</f>
        <v>500000</v>
      </c>
      <c r="I6473" s="24">
        <f>IFERROR(__xludf.DUMMYFUNCTION("""COMPUTED_VALUE"""),0.0)</f>
        <v>0</v>
      </c>
    </row>
    <row r="6474">
      <c r="A6474" s="5" t="str">
        <f>IFERROR(__xludf.DUMMYFUNCTION("""COMPUTED_VALUE"""),"77393")</f>
        <v>77393</v>
      </c>
      <c r="B6474" s="64">
        <f>IFERROR(__xludf.DUMMYFUNCTION("""COMPUTED_VALUE"""),44634.0)</f>
        <v>44634</v>
      </c>
      <c r="C6474" s="5"/>
      <c r="D6474" s="5"/>
      <c r="E6474" s="5"/>
      <c r="F6474" s="22">
        <f>IFERROR(__xludf.DUMMYFUNCTION("""COMPUTED_VALUE"""),500000.0)</f>
        <v>500000</v>
      </c>
      <c r="G6474" s="22">
        <f>IFERROR(__xludf.DUMMYFUNCTION("""COMPUTED_VALUE"""),0.0)</f>
        <v>0</v>
      </c>
      <c r="H6474" s="22">
        <f>IFERROR(__xludf.DUMMYFUNCTION("""COMPUTED_VALUE"""),500000.0)</f>
        <v>500000</v>
      </c>
      <c r="I6474" s="24">
        <f>IFERROR(__xludf.DUMMYFUNCTION("""COMPUTED_VALUE"""),0.0)</f>
        <v>0</v>
      </c>
    </row>
    <row r="6475">
      <c r="A6475" s="5" t="str">
        <f>IFERROR(__xludf.DUMMYFUNCTION("""COMPUTED_VALUE"""),"77393")</f>
        <v>77393</v>
      </c>
      <c r="B6475" s="64">
        <f>IFERROR(__xludf.DUMMYFUNCTION("""COMPUTED_VALUE"""),44635.0)</f>
        <v>44635</v>
      </c>
      <c r="C6475" s="5"/>
      <c r="D6475" s="5"/>
      <c r="E6475" s="5"/>
      <c r="F6475" s="22">
        <f>IFERROR(__xludf.DUMMYFUNCTION("""COMPUTED_VALUE"""),500000.0)</f>
        <v>500000</v>
      </c>
      <c r="G6475" s="22">
        <f>IFERROR(__xludf.DUMMYFUNCTION("""COMPUTED_VALUE"""),0.0)</f>
        <v>0</v>
      </c>
      <c r="H6475" s="22">
        <f>IFERROR(__xludf.DUMMYFUNCTION("""COMPUTED_VALUE"""),500000.0)</f>
        <v>500000</v>
      </c>
      <c r="I6475" s="24">
        <f>IFERROR(__xludf.DUMMYFUNCTION("""COMPUTED_VALUE"""),0.0)</f>
        <v>0</v>
      </c>
    </row>
    <row r="6476">
      <c r="A6476" s="5" t="str">
        <f>IFERROR(__xludf.DUMMYFUNCTION("""COMPUTED_VALUE"""),"77393")</f>
        <v>77393</v>
      </c>
      <c r="B6476" s="64">
        <f>IFERROR(__xludf.DUMMYFUNCTION("""COMPUTED_VALUE"""),44636.0)</f>
        <v>44636</v>
      </c>
      <c r="C6476" s="5"/>
      <c r="D6476" s="5"/>
      <c r="E6476" s="5"/>
      <c r="F6476" s="22">
        <f>IFERROR(__xludf.DUMMYFUNCTION("""COMPUTED_VALUE"""),500000.0)</f>
        <v>500000</v>
      </c>
      <c r="G6476" s="22">
        <f>IFERROR(__xludf.DUMMYFUNCTION("""COMPUTED_VALUE"""),0.0)</f>
        <v>0</v>
      </c>
      <c r="H6476" s="22">
        <f>IFERROR(__xludf.DUMMYFUNCTION("""COMPUTED_VALUE"""),500000.0)</f>
        <v>500000</v>
      </c>
      <c r="I6476" s="24">
        <f>IFERROR(__xludf.DUMMYFUNCTION("""COMPUTED_VALUE"""),0.0)</f>
        <v>0</v>
      </c>
    </row>
    <row r="6477">
      <c r="A6477" s="5" t="str">
        <f>IFERROR(__xludf.DUMMYFUNCTION("""COMPUTED_VALUE"""),"77393")</f>
        <v>77393</v>
      </c>
      <c r="B6477" s="64">
        <f>IFERROR(__xludf.DUMMYFUNCTION("""COMPUTED_VALUE"""),44637.0)</f>
        <v>44637</v>
      </c>
      <c r="C6477" s="5"/>
      <c r="D6477" s="5"/>
      <c r="E6477" s="5"/>
      <c r="F6477" s="22">
        <f>IFERROR(__xludf.DUMMYFUNCTION("""COMPUTED_VALUE"""),500000.0)</f>
        <v>500000</v>
      </c>
      <c r="G6477" s="22">
        <f>IFERROR(__xludf.DUMMYFUNCTION("""COMPUTED_VALUE"""),0.0)</f>
        <v>0</v>
      </c>
      <c r="H6477" s="22">
        <f>IFERROR(__xludf.DUMMYFUNCTION("""COMPUTED_VALUE"""),500000.0)</f>
        <v>500000</v>
      </c>
      <c r="I6477" s="24">
        <f>IFERROR(__xludf.DUMMYFUNCTION("""COMPUTED_VALUE"""),0.0)</f>
        <v>0</v>
      </c>
    </row>
    <row r="6478">
      <c r="A6478" s="5" t="str">
        <f>IFERROR(__xludf.DUMMYFUNCTION("""COMPUTED_VALUE"""),"77393")</f>
        <v>77393</v>
      </c>
      <c r="B6478" s="64">
        <f>IFERROR(__xludf.DUMMYFUNCTION("""COMPUTED_VALUE"""),44638.0)</f>
        <v>44638</v>
      </c>
      <c r="C6478" s="5"/>
      <c r="D6478" s="5"/>
      <c r="E6478" s="5"/>
      <c r="F6478" s="22">
        <f>IFERROR(__xludf.DUMMYFUNCTION("""COMPUTED_VALUE"""),500000.0)</f>
        <v>500000</v>
      </c>
      <c r="G6478" s="22">
        <f>IFERROR(__xludf.DUMMYFUNCTION("""COMPUTED_VALUE"""),0.0)</f>
        <v>0</v>
      </c>
      <c r="H6478" s="22">
        <f>IFERROR(__xludf.DUMMYFUNCTION("""COMPUTED_VALUE"""),500000.0)</f>
        <v>500000</v>
      </c>
      <c r="I6478" s="24">
        <f>IFERROR(__xludf.DUMMYFUNCTION("""COMPUTED_VALUE"""),0.0)</f>
        <v>0</v>
      </c>
    </row>
    <row r="6479">
      <c r="A6479" s="5" t="str">
        <f>IFERROR(__xludf.DUMMYFUNCTION("""COMPUTED_VALUE"""),"77393")</f>
        <v>77393</v>
      </c>
      <c r="B6479" s="64">
        <f>IFERROR(__xludf.DUMMYFUNCTION("""COMPUTED_VALUE"""),44639.0)</f>
        <v>44639</v>
      </c>
      <c r="C6479" s="5"/>
      <c r="D6479" s="5"/>
      <c r="E6479" s="5"/>
      <c r="F6479" s="22">
        <f>IFERROR(__xludf.DUMMYFUNCTION("""COMPUTED_VALUE"""),500000.0)</f>
        <v>500000</v>
      </c>
      <c r="G6479" s="22">
        <f>IFERROR(__xludf.DUMMYFUNCTION("""COMPUTED_VALUE"""),0.0)</f>
        <v>0</v>
      </c>
      <c r="H6479" s="22">
        <f>IFERROR(__xludf.DUMMYFUNCTION("""COMPUTED_VALUE"""),500000.0)</f>
        <v>500000</v>
      </c>
      <c r="I6479" s="24">
        <f>IFERROR(__xludf.DUMMYFUNCTION("""COMPUTED_VALUE"""),0.0)</f>
        <v>0</v>
      </c>
    </row>
    <row r="6480">
      <c r="A6480" s="5" t="str">
        <f>IFERROR(__xludf.DUMMYFUNCTION("""COMPUTED_VALUE"""),"77393")</f>
        <v>77393</v>
      </c>
      <c r="B6480" s="64">
        <f>IFERROR(__xludf.DUMMYFUNCTION("""COMPUTED_VALUE"""),44640.0)</f>
        <v>44640</v>
      </c>
      <c r="C6480" s="5"/>
      <c r="D6480" s="5"/>
      <c r="E6480" s="5"/>
      <c r="F6480" s="22">
        <f>IFERROR(__xludf.DUMMYFUNCTION("""COMPUTED_VALUE"""),500000.0)</f>
        <v>500000</v>
      </c>
      <c r="G6480" s="22">
        <f>IFERROR(__xludf.DUMMYFUNCTION("""COMPUTED_VALUE"""),0.0)</f>
        <v>0</v>
      </c>
      <c r="H6480" s="22">
        <f>IFERROR(__xludf.DUMMYFUNCTION("""COMPUTED_VALUE"""),500000.0)</f>
        <v>500000</v>
      </c>
      <c r="I6480" s="24">
        <f>IFERROR(__xludf.DUMMYFUNCTION("""COMPUTED_VALUE"""),0.0)</f>
        <v>0</v>
      </c>
    </row>
    <row r="6481">
      <c r="A6481" s="5" t="str">
        <f>IFERROR(__xludf.DUMMYFUNCTION("""COMPUTED_VALUE"""),"77393")</f>
        <v>77393</v>
      </c>
      <c r="B6481" s="64">
        <f>IFERROR(__xludf.DUMMYFUNCTION("""COMPUTED_VALUE"""),44641.0)</f>
        <v>44641</v>
      </c>
      <c r="C6481" s="5"/>
      <c r="D6481" s="5"/>
      <c r="E6481" s="5"/>
      <c r="F6481" s="22">
        <f>IFERROR(__xludf.DUMMYFUNCTION("""COMPUTED_VALUE"""),500000.0)</f>
        <v>500000</v>
      </c>
      <c r="G6481" s="22">
        <f>IFERROR(__xludf.DUMMYFUNCTION("""COMPUTED_VALUE"""),0.0)</f>
        <v>0</v>
      </c>
      <c r="H6481" s="22">
        <f>IFERROR(__xludf.DUMMYFUNCTION("""COMPUTED_VALUE"""),500000.0)</f>
        <v>500000</v>
      </c>
      <c r="I6481" s="24">
        <f>IFERROR(__xludf.DUMMYFUNCTION("""COMPUTED_VALUE"""),0.0)</f>
        <v>0</v>
      </c>
    </row>
    <row r="6482">
      <c r="A6482" s="5" t="str">
        <f>IFERROR(__xludf.DUMMYFUNCTION("""COMPUTED_VALUE"""),"77393")</f>
        <v>77393</v>
      </c>
      <c r="B6482" s="64">
        <f>IFERROR(__xludf.DUMMYFUNCTION("""COMPUTED_VALUE"""),44642.0)</f>
        <v>44642</v>
      </c>
      <c r="C6482" s="5"/>
      <c r="D6482" s="5"/>
      <c r="E6482" s="5"/>
      <c r="F6482" s="22">
        <f>IFERROR(__xludf.DUMMYFUNCTION("""COMPUTED_VALUE"""),500000.0)</f>
        <v>500000</v>
      </c>
      <c r="G6482" s="22">
        <f>IFERROR(__xludf.DUMMYFUNCTION("""COMPUTED_VALUE"""),0.0)</f>
        <v>0</v>
      </c>
      <c r="H6482" s="22">
        <f>IFERROR(__xludf.DUMMYFUNCTION("""COMPUTED_VALUE"""),500000.0)</f>
        <v>500000</v>
      </c>
      <c r="I6482" s="24">
        <f>IFERROR(__xludf.DUMMYFUNCTION("""COMPUTED_VALUE"""),0.0)</f>
        <v>0</v>
      </c>
    </row>
    <row r="6483">
      <c r="A6483" s="5" t="str">
        <f>IFERROR(__xludf.DUMMYFUNCTION("""COMPUTED_VALUE"""),"77393")</f>
        <v>77393</v>
      </c>
      <c r="B6483" s="64">
        <f>IFERROR(__xludf.DUMMYFUNCTION("""COMPUTED_VALUE"""),44643.0)</f>
        <v>44643</v>
      </c>
      <c r="C6483" s="5"/>
      <c r="D6483" s="5"/>
      <c r="E6483" s="5"/>
      <c r="F6483" s="22">
        <f>IFERROR(__xludf.DUMMYFUNCTION("""COMPUTED_VALUE"""),500000.0)</f>
        <v>500000</v>
      </c>
      <c r="G6483" s="22">
        <f>IFERROR(__xludf.DUMMYFUNCTION("""COMPUTED_VALUE"""),0.0)</f>
        <v>0</v>
      </c>
      <c r="H6483" s="22">
        <f>IFERROR(__xludf.DUMMYFUNCTION("""COMPUTED_VALUE"""),500000.0)</f>
        <v>500000</v>
      </c>
      <c r="I6483" s="24">
        <f>IFERROR(__xludf.DUMMYFUNCTION("""COMPUTED_VALUE"""),0.0)</f>
        <v>0</v>
      </c>
    </row>
    <row r="6484">
      <c r="A6484" s="5" t="str">
        <f>IFERROR(__xludf.DUMMYFUNCTION("""COMPUTED_VALUE"""),"77393")</f>
        <v>77393</v>
      </c>
      <c r="B6484" s="64">
        <f>IFERROR(__xludf.DUMMYFUNCTION("""COMPUTED_VALUE"""),44644.0)</f>
        <v>44644</v>
      </c>
      <c r="C6484" s="5"/>
      <c r="D6484" s="5"/>
      <c r="E6484" s="5"/>
      <c r="F6484" s="22">
        <f>IFERROR(__xludf.DUMMYFUNCTION("""COMPUTED_VALUE"""),500000.0)</f>
        <v>500000</v>
      </c>
      <c r="G6484" s="22">
        <f>IFERROR(__xludf.DUMMYFUNCTION("""COMPUTED_VALUE"""),0.0)</f>
        <v>0</v>
      </c>
      <c r="H6484" s="22">
        <f>IFERROR(__xludf.DUMMYFUNCTION("""COMPUTED_VALUE"""),500000.0)</f>
        <v>500000</v>
      </c>
      <c r="I6484" s="24">
        <f>IFERROR(__xludf.DUMMYFUNCTION("""COMPUTED_VALUE"""),0.0)</f>
        <v>0</v>
      </c>
    </row>
    <row r="6485">
      <c r="A6485" s="5" t="str">
        <f>IFERROR(__xludf.DUMMYFUNCTION("""COMPUTED_VALUE"""),"77393")</f>
        <v>77393</v>
      </c>
      <c r="B6485" s="64">
        <f>IFERROR(__xludf.DUMMYFUNCTION("""COMPUTED_VALUE"""),44645.0)</f>
        <v>44645</v>
      </c>
      <c r="C6485" s="5"/>
      <c r="D6485" s="5"/>
      <c r="E6485" s="5"/>
      <c r="F6485" s="22">
        <f>IFERROR(__xludf.DUMMYFUNCTION("""COMPUTED_VALUE"""),500000.0)</f>
        <v>500000</v>
      </c>
      <c r="G6485" s="22">
        <f>IFERROR(__xludf.DUMMYFUNCTION("""COMPUTED_VALUE"""),0.0)</f>
        <v>0</v>
      </c>
      <c r="H6485" s="22">
        <f>IFERROR(__xludf.DUMMYFUNCTION("""COMPUTED_VALUE"""),500000.0)</f>
        <v>500000</v>
      </c>
      <c r="I6485" s="24">
        <f>IFERROR(__xludf.DUMMYFUNCTION("""COMPUTED_VALUE"""),0.0)</f>
        <v>0</v>
      </c>
    </row>
    <row r="6486">
      <c r="A6486" s="5" t="str">
        <f>IFERROR(__xludf.DUMMYFUNCTION("""COMPUTED_VALUE"""),"77393")</f>
        <v>77393</v>
      </c>
      <c r="B6486" s="64">
        <f>IFERROR(__xludf.DUMMYFUNCTION("""COMPUTED_VALUE"""),44646.0)</f>
        <v>44646</v>
      </c>
      <c r="C6486" s="5"/>
      <c r="D6486" s="5"/>
      <c r="E6486" s="5"/>
      <c r="F6486" s="22">
        <f>IFERROR(__xludf.DUMMYFUNCTION("""COMPUTED_VALUE"""),500000.0)</f>
        <v>500000</v>
      </c>
      <c r="G6486" s="22">
        <f>IFERROR(__xludf.DUMMYFUNCTION("""COMPUTED_VALUE"""),0.0)</f>
        <v>0</v>
      </c>
      <c r="H6486" s="22">
        <f>IFERROR(__xludf.DUMMYFUNCTION("""COMPUTED_VALUE"""),500000.0)</f>
        <v>500000</v>
      </c>
      <c r="I6486" s="24">
        <f>IFERROR(__xludf.DUMMYFUNCTION("""COMPUTED_VALUE"""),0.0)</f>
        <v>0</v>
      </c>
    </row>
    <row r="6487">
      <c r="A6487" s="5" t="str">
        <f>IFERROR(__xludf.DUMMYFUNCTION("""COMPUTED_VALUE"""),"77393")</f>
        <v>77393</v>
      </c>
      <c r="B6487" s="64">
        <f>IFERROR(__xludf.DUMMYFUNCTION("""COMPUTED_VALUE"""),44647.0)</f>
        <v>44647</v>
      </c>
      <c r="C6487" s="5"/>
      <c r="D6487" s="5"/>
      <c r="E6487" s="5"/>
      <c r="F6487" s="22">
        <f>IFERROR(__xludf.DUMMYFUNCTION("""COMPUTED_VALUE"""),500000.0)</f>
        <v>500000</v>
      </c>
      <c r="G6487" s="22">
        <f>IFERROR(__xludf.DUMMYFUNCTION("""COMPUTED_VALUE"""),0.0)</f>
        <v>0</v>
      </c>
      <c r="H6487" s="22">
        <f>IFERROR(__xludf.DUMMYFUNCTION("""COMPUTED_VALUE"""),500000.0)</f>
        <v>500000</v>
      </c>
      <c r="I6487" s="24">
        <f>IFERROR(__xludf.DUMMYFUNCTION("""COMPUTED_VALUE"""),0.0)</f>
        <v>0</v>
      </c>
    </row>
    <row r="6488">
      <c r="A6488" s="5" t="str">
        <f>IFERROR(__xludf.DUMMYFUNCTION("""COMPUTED_VALUE"""),"77393")</f>
        <v>77393</v>
      </c>
      <c r="B6488" s="64">
        <f>IFERROR(__xludf.DUMMYFUNCTION("""COMPUTED_VALUE"""),44648.0)</f>
        <v>44648</v>
      </c>
      <c r="C6488" s="5"/>
      <c r="D6488" s="5"/>
      <c r="E6488" s="5"/>
      <c r="F6488" s="22">
        <f>IFERROR(__xludf.DUMMYFUNCTION("""COMPUTED_VALUE"""),500000.0)</f>
        <v>500000</v>
      </c>
      <c r="G6488" s="22">
        <f>IFERROR(__xludf.DUMMYFUNCTION("""COMPUTED_VALUE"""),0.0)</f>
        <v>0</v>
      </c>
      <c r="H6488" s="22">
        <f>IFERROR(__xludf.DUMMYFUNCTION("""COMPUTED_VALUE"""),500000.0)</f>
        <v>500000</v>
      </c>
      <c r="I6488" s="24">
        <f>IFERROR(__xludf.DUMMYFUNCTION("""COMPUTED_VALUE"""),0.0)</f>
        <v>0</v>
      </c>
    </row>
    <row r="6489">
      <c r="A6489" s="5" t="str">
        <f>IFERROR(__xludf.DUMMYFUNCTION("""COMPUTED_VALUE"""),"77393")</f>
        <v>77393</v>
      </c>
      <c r="B6489" s="64">
        <f>IFERROR(__xludf.DUMMYFUNCTION("""COMPUTED_VALUE"""),44649.0)</f>
        <v>44649</v>
      </c>
      <c r="C6489" s="5"/>
      <c r="D6489" s="5"/>
      <c r="E6489" s="5"/>
      <c r="F6489" s="22">
        <f>IFERROR(__xludf.DUMMYFUNCTION("""COMPUTED_VALUE"""),500000.0)</f>
        <v>500000</v>
      </c>
      <c r="G6489" s="22">
        <f>IFERROR(__xludf.DUMMYFUNCTION("""COMPUTED_VALUE"""),0.0)</f>
        <v>0</v>
      </c>
      <c r="H6489" s="22">
        <f>IFERROR(__xludf.DUMMYFUNCTION("""COMPUTED_VALUE"""),500000.0)</f>
        <v>500000</v>
      </c>
      <c r="I6489" s="24">
        <f>IFERROR(__xludf.DUMMYFUNCTION("""COMPUTED_VALUE"""),0.0)</f>
        <v>0</v>
      </c>
    </row>
    <row r="6490">
      <c r="A6490" s="5" t="str">
        <f>IFERROR(__xludf.DUMMYFUNCTION("""COMPUTED_VALUE"""),"77393")</f>
        <v>77393</v>
      </c>
      <c r="B6490" s="64">
        <f>IFERROR(__xludf.DUMMYFUNCTION("""COMPUTED_VALUE"""),44650.0)</f>
        <v>44650</v>
      </c>
      <c r="C6490" s="5"/>
      <c r="D6490" s="5"/>
      <c r="E6490" s="5"/>
      <c r="F6490" s="22">
        <f>IFERROR(__xludf.DUMMYFUNCTION("""COMPUTED_VALUE"""),500000.0)</f>
        <v>500000</v>
      </c>
      <c r="G6490" s="22">
        <f>IFERROR(__xludf.DUMMYFUNCTION("""COMPUTED_VALUE"""),0.0)</f>
        <v>0</v>
      </c>
      <c r="H6490" s="22">
        <f>IFERROR(__xludf.DUMMYFUNCTION("""COMPUTED_VALUE"""),500000.0)</f>
        <v>500000</v>
      </c>
      <c r="I6490" s="24">
        <f>IFERROR(__xludf.DUMMYFUNCTION("""COMPUTED_VALUE"""),0.0)</f>
        <v>0</v>
      </c>
    </row>
    <row r="6491">
      <c r="A6491" s="5" t="str">
        <f>IFERROR(__xludf.DUMMYFUNCTION("""COMPUTED_VALUE"""),"77393")</f>
        <v>77393</v>
      </c>
      <c r="B6491" s="64">
        <f>IFERROR(__xludf.DUMMYFUNCTION("""COMPUTED_VALUE"""),44651.0)</f>
        <v>44651</v>
      </c>
      <c r="C6491" s="5"/>
      <c r="D6491" s="5"/>
      <c r="E6491" s="5"/>
      <c r="F6491" s="22">
        <f>IFERROR(__xludf.DUMMYFUNCTION("""COMPUTED_VALUE"""),500000.0)</f>
        <v>500000</v>
      </c>
      <c r="G6491" s="22">
        <f>IFERROR(__xludf.DUMMYFUNCTION("""COMPUTED_VALUE"""),0.0)</f>
        <v>0</v>
      </c>
      <c r="H6491" s="22">
        <f>IFERROR(__xludf.DUMMYFUNCTION("""COMPUTED_VALUE"""),500000.0)</f>
        <v>500000</v>
      </c>
      <c r="I6491" s="24">
        <f>IFERROR(__xludf.DUMMYFUNCTION("""COMPUTED_VALUE"""),0.0)</f>
        <v>0</v>
      </c>
    </row>
    <row r="6492">
      <c r="A6492" s="5" t="str">
        <f>IFERROR(__xludf.DUMMYFUNCTION("""COMPUTED_VALUE"""),"77393")</f>
        <v>77393</v>
      </c>
      <c r="B6492" s="64">
        <f>IFERROR(__xludf.DUMMYFUNCTION("""COMPUTED_VALUE"""),44652.0)</f>
        <v>44652</v>
      </c>
      <c r="C6492" s="5"/>
      <c r="D6492" s="5"/>
      <c r="E6492" s="5"/>
      <c r="F6492" s="22">
        <f>IFERROR(__xludf.DUMMYFUNCTION("""COMPUTED_VALUE"""),500000.0)</f>
        <v>500000</v>
      </c>
      <c r="G6492" s="22">
        <f>IFERROR(__xludf.DUMMYFUNCTION("""COMPUTED_VALUE"""),0.0)</f>
        <v>0</v>
      </c>
      <c r="H6492" s="22">
        <f>IFERROR(__xludf.DUMMYFUNCTION("""COMPUTED_VALUE"""),500000.0)</f>
        <v>500000</v>
      </c>
      <c r="I6492" s="24">
        <f>IFERROR(__xludf.DUMMYFUNCTION("""COMPUTED_VALUE"""),0.0)</f>
        <v>0</v>
      </c>
    </row>
    <row r="6493">
      <c r="A6493" s="5" t="str">
        <f>IFERROR(__xludf.DUMMYFUNCTION("""COMPUTED_VALUE"""),"77393")</f>
        <v>77393</v>
      </c>
      <c r="B6493" s="64">
        <f>IFERROR(__xludf.DUMMYFUNCTION("""COMPUTED_VALUE"""),44653.0)</f>
        <v>44653</v>
      </c>
      <c r="C6493" s="5"/>
      <c r="D6493" s="5"/>
      <c r="E6493" s="5"/>
      <c r="F6493" s="22">
        <f>IFERROR(__xludf.DUMMYFUNCTION("""COMPUTED_VALUE"""),500000.0)</f>
        <v>500000</v>
      </c>
      <c r="G6493" s="22">
        <f>IFERROR(__xludf.DUMMYFUNCTION("""COMPUTED_VALUE"""),0.0)</f>
        <v>0</v>
      </c>
      <c r="H6493" s="22">
        <f>IFERROR(__xludf.DUMMYFUNCTION("""COMPUTED_VALUE"""),500000.0)</f>
        <v>500000</v>
      </c>
      <c r="I6493" s="24">
        <f>IFERROR(__xludf.DUMMYFUNCTION("""COMPUTED_VALUE"""),0.0)</f>
        <v>0</v>
      </c>
    </row>
    <row r="6494">
      <c r="A6494" s="5" t="str">
        <f>IFERROR(__xludf.DUMMYFUNCTION("""COMPUTED_VALUE"""),"77393")</f>
        <v>77393</v>
      </c>
      <c r="B6494" s="64">
        <f>IFERROR(__xludf.DUMMYFUNCTION("""COMPUTED_VALUE"""),44654.0)</f>
        <v>44654</v>
      </c>
      <c r="C6494" s="5"/>
      <c r="D6494" s="5"/>
      <c r="E6494" s="5"/>
      <c r="F6494" s="22">
        <f>IFERROR(__xludf.DUMMYFUNCTION("""COMPUTED_VALUE"""),500000.0)</f>
        <v>500000</v>
      </c>
      <c r="G6494" s="22">
        <f>IFERROR(__xludf.DUMMYFUNCTION("""COMPUTED_VALUE"""),0.0)</f>
        <v>0</v>
      </c>
      <c r="H6494" s="22">
        <f>IFERROR(__xludf.DUMMYFUNCTION("""COMPUTED_VALUE"""),500000.0)</f>
        <v>500000</v>
      </c>
      <c r="I6494" s="24">
        <f>IFERROR(__xludf.DUMMYFUNCTION("""COMPUTED_VALUE"""),0.0)</f>
        <v>0</v>
      </c>
    </row>
    <row r="6495">
      <c r="A6495" s="5" t="str">
        <f>IFERROR(__xludf.DUMMYFUNCTION("""COMPUTED_VALUE"""),"77393")</f>
        <v>77393</v>
      </c>
      <c r="B6495" s="64">
        <f>IFERROR(__xludf.DUMMYFUNCTION("""COMPUTED_VALUE"""),44655.0)</f>
        <v>44655</v>
      </c>
      <c r="C6495" s="5"/>
      <c r="D6495" s="5"/>
      <c r="E6495" s="5"/>
      <c r="F6495" s="22">
        <f>IFERROR(__xludf.DUMMYFUNCTION("""COMPUTED_VALUE"""),500000.0)</f>
        <v>500000</v>
      </c>
      <c r="G6495" s="22">
        <f>IFERROR(__xludf.DUMMYFUNCTION("""COMPUTED_VALUE"""),0.0)</f>
        <v>0</v>
      </c>
      <c r="H6495" s="22">
        <f>IFERROR(__xludf.DUMMYFUNCTION("""COMPUTED_VALUE"""),500000.0)</f>
        <v>500000</v>
      </c>
      <c r="I6495" s="24">
        <f>IFERROR(__xludf.DUMMYFUNCTION("""COMPUTED_VALUE"""),0.0)</f>
        <v>0</v>
      </c>
    </row>
    <row r="6496">
      <c r="A6496" s="5" t="str">
        <f>IFERROR(__xludf.DUMMYFUNCTION("""COMPUTED_VALUE"""),"77393")</f>
        <v>77393</v>
      </c>
      <c r="B6496" s="64">
        <f>IFERROR(__xludf.DUMMYFUNCTION("""COMPUTED_VALUE"""),44656.0)</f>
        <v>44656</v>
      </c>
      <c r="C6496" s="5"/>
      <c r="D6496" s="5"/>
      <c r="E6496" s="5"/>
      <c r="F6496" s="22">
        <f>IFERROR(__xludf.DUMMYFUNCTION("""COMPUTED_VALUE"""),500000.0)</f>
        <v>500000</v>
      </c>
      <c r="G6496" s="22">
        <f>IFERROR(__xludf.DUMMYFUNCTION("""COMPUTED_VALUE"""),0.0)</f>
        <v>0</v>
      </c>
      <c r="H6496" s="22">
        <f>IFERROR(__xludf.DUMMYFUNCTION("""COMPUTED_VALUE"""),500000.0)</f>
        <v>500000</v>
      </c>
      <c r="I6496" s="24">
        <f>IFERROR(__xludf.DUMMYFUNCTION("""COMPUTED_VALUE"""),0.0)</f>
        <v>0</v>
      </c>
    </row>
    <row r="6497">
      <c r="A6497" s="5" t="str">
        <f>IFERROR(__xludf.DUMMYFUNCTION("""COMPUTED_VALUE"""),"77393")</f>
        <v>77393</v>
      </c>
      <c r="B6497" s="64">
        <f>IFERROR(__xludf.DUMMYFUNCTION("""COMPUTED_VALUE"""),44657.0)</f>
        <v>44657</v>
      </c>
      <c r="C6497" s="5"/>
      <c r="D6497" s="5"/>
      <c r="E6497" s="5"/>
      <c r="F6497" s="22">
        <f>IFERROR(__xludf.DUMMYFUNCTION("""COMPUTED_VALUE"""),500000.0)</f>
        <v>500000</v>
      </c>
      <c r="G6497" s="22">
        <f>IFERROR(__xludf.DUMMYFUNCTION("""COMPUTED_VALUE"""),0.0)</f>
        <v>0</v>
      </c>
      <c r="H6497" s="22">
        <f>IFERROR(__xludf.DUMMYFUNCTION("""COMPUTED_VALUE"""),492121.09440000006)</f>
        <v>492121.0944</v>
      </c>
      <c r="I6497" s="24">
        <f>IFERROR(__xludf.DUMMYFUNCTION("""COMPUTED_VALUE"""),-0.01575781119999986)</f>
        <v>-0.0157578112</v>
      </c>
    </row>
    <row r="6498">
      <c r="A6498" s="5" t="str">
        <f>IFERROR(__xludf.DUMMYFUNCTION("""COMPUTED_VALUE"""),"77393")</f>
        <v>77393</v>
      </c>
      <c r="B6498" s="64">
        <f>IFERROR(__xludf.DUMMYFUNCTION("""COMPUTED_VALUE"""),44658.0)</f>
        <v>44658</v>
      </c>
      <c r="C6498" s="5"/>
      <c r="D6498" s="5"/>
      <c r="E6498" s="5"/>
      <c r="F6498" s="22">
        <f>IFERROR(__xludf.DUMMYFUNCTION("""COMPUTED_VALUE"""),500000.0)</f>
        <v>500000</v>
      </c>
      <c r="G6498" s="22">
        <f>IFERROR(__xludf.DUMMYFUNCTION("""COMPUTED_VALUE"""),0.0)</f>
        <v>0</v>
      </c>
      <c r="H6498" s="22">
        <f>IFERROR(__xludf.DUMMYFUNCTION("""COMPUTED_VALUE"""),492785.8770600001)</f>
        <v>492785.8771</v>
      </c>
      <c r="I6498" s="24">
        <f>IFERROR(__xludf.DUMMYFUNCTION("""COMPUTED_VALUE"""),-0.014428245879999801)</f>
        <v>-0.01442824588</v>
      </c>
    </row>
    <row r="6499">
      <c r="A6499" s="5" t="str">
        <f>IFERROR(__xludf.DUMMYFUNCTION("""COMPUTED_VALUE"""),"77393")</f>
        <v>77393</v>
      </c>
      <c r="B6499" s="64">
        <f>IFERROR(__xludf.DUMMYFUNCTION("""COMPUTED_VALUE"""),44659.0)</f>
        <v>44659</v>
      </c>
      <c r="C6499" s="5"/>
      <c r="D6499" s="5"/>
      <c r="E6499" s="5"/>
      <c r="F6499" s="22">
        <f>IFERROR(__xludf.DUMMYFUNCTION("""COMPUTED_VALUE"""),500000.0)</f>
        <v>500000</v>
      </c>
      <c r="G6499" s="22">
        <f>IFERROR(__xludf.DUMMYFUNCTION("""COMPUTED_VALUE"""),0.0)</f>
        <v>0</v>
      </c>
      <c r="H6499" s="22">
        <f>IFERROR(__xludf.DUMMYFUNCTION("""COMPUTED_VALUE"""),495001.81926)</f>
        <v>495001.8193</v>
      </c>
      <c r="I6499" s="24">
        <f>IFERROR(__xludf.DUMMYFUNCTION("""COMPUTED_VALUE"""),-0.009996361479999938)</f>
        <v>-0.00999636148</v>
      </c>
    </row>
    <row r="6500">
      <c r="A6500" s="5" t="str">
        <f>IFERROR(__xludf.DUMMYFUNCTION("""COMPUTED_VALUE"""),"77393")</f>
        <v>77393</v>
      </c>
      <c r="B6500" s="64">
        <f>IFERROR(__xludf.DUMMYFUNCTION("""COMPUTED_VALUE"""),44660.0)</f>
        <v>44660</v>
      </c>
      <c r="C6500" s="5"/>
      <c r="D6500" s="5"/>
      <c r="E6500" s="5"/>
      <c r="F6500" s="22">
        <f>IFERROR(__xludf.DUMMYFUNCTION("""COMPUTED_VALUE"""),500000.0)</f>
        <v>500000</v>
      </c>
      <c r="G6500" s="22">
        <f>IFERROR(__xludf.DUMMYFUNCTION("""COMPUTED_VALUE"""),0.0)</f>
        <v>0</v>
      </c>
      <c r="H6500" s="22">
        <f>IFERROR(__xludf.DUMMYFUNCTION("""COMPUTED_VALUE"""),495001.81926)</f>
        <v>495001.8193</v>
      </c>
      <c r="I6500" s="24">
        <f>IFERROR(__xludf.DUMMYFUNCTION("""COMPUTED_VALUE"""),-0.009996361479999938)</f>
        <v>-0.00999636148</v>
      </c>
    </row>
    <row r="6501">
      <c r="A6501" s="5" t="str">
        <f>IFERROR(__xludf.DUMMYFUNCTION("""COMPUTED_VALUE"""),"77393")</f>
        <v>77393</v>
      </c>
      <c r="B6501" s="64">
        <f>IFERROR(__xludf.DUMMYFUNCTION("""COMPUTED_VALUE"""),44661.0)</f>
        <v>44661</v>
      </c>
      <c r="C6501" s="5"/>
      <c r="D6501" s="5"/>
      <c r="E6501" s="5"/>
      <c r="F6501" s="22">
        <f>IFERROR(__xludf.DUMMYFUNCTION("""COMPUTED_VALUE"""),500000.0)</f>
        <v>500000</v>
      </c>
      <c r="G6501" s="22">
        <f>IFERROR(__xludf.DUMMYFUNCTION("""COMPUTED_VALUE"""),0.0)</f>
        <v>0</v>
      </c>
      <c r="H6501" s="22">
        <f>IFERROR(__xludf.DUMMYFUNCTION("""COMPUTED_VALUE"""),495001.81926)</f>
        <v>495001.8193</v>
      </c>
      <c r="I6501" s="24">
        <f>IFERROR(__xludf.DUMMYFUNCTION("""COMPUTED_VALUE"""),-0.009996361479999938)</f>
        <v>-0.00999636148</v>
      </c>
    </row>
    <row r="6502">
      <c r="A6502" s="5" t="str">
        <f>IFERROR(__xludf.DUMMYFUNCTION("""COMPUTED_VALUE"""),"77393")</f>
        <v>77393</v>
      </c>
      <c r="B6502" s="64">
        <f>IFERROR(__xludf.DUMMYFUNCTION("""COMPUTED_VALUE"""),44662.0)</f>
        <v>44662</v>
      </c>
      <c r="C6502" s="5"/>
      <c r="D6502" s="5"/>
      <c r="E6502" s="5"/>
      <c r="F6502" s="22">
        <f>IFERROR(__xludf.DUMMYFUNCTION("""COMPUTED_VALUE"""),500000.0)</f>
        <v>500000</v>
      </c>
      <c r="G6502" s="22">
        <f>IFERROR(__xludf.DUMMYFUNCTION("""COMPUTED_VALUE"""),0.0)</f>
        <v>0</v>
      </c>
      <c r="H6502" s="22">
        <f>IFERROR(__xludf.DUMMYFUNCTION("""COMPUTED_VALUE"""),473901.1252)</f>
        <v>473901.1252</v>
      </c>
      <c r="I6502" s="24">
        <f>IFERROR(__xludf.DUMMYFUNCTION("""COMPUTED_VALUE"""),-0.05219774960000001)</f>
        <v>-0.0521977496</v>
      </c>
    </row>
    <row r="6503">
      <c r="A6503" s="5" t="str">
        <f>IFERROR(__xludf.DUMMYFUNCTION("""COMPUTED_VALUE"""),"77393")</f>
        <v>77393</v>
      </c>
      <c r="B6503" s="64">
        <f>IFERROR(__xludf.DUMMYFUNCTION("""COMPUTED_VALUE"""),44663.0)</f>
        <v>44663</v>
      </c>
      <c r="C6503" s="5"/>
      <c r="D6503" s="5"/>
      <c r="E6503" s="5"/>
      <c r="F6503" s="22">
        <f>IFERROR(__xludf.DUMMYFUNCTION("""COMPUTED_VALUE"""),500000.0)</f>
        <v>500000</v>
      </c>
      <c r="G6503" s="22">
        <f>IFERROR(__xludf.DUMMYFUNCTION("""COMPUTED_VALUE"""),0.0)</f>
        <v>0</v>
      </c>
      <c r="H6503" s="22">
        <f>IFERROR(__xludf.DUMMYFUNCTION("""COMPUTED_VALUE"""),505662.96340000007)</f>
        <v>505662.9634</v>
      </c>
      <c r="I6503" s="24">
        <f>IFERROR(__xludf.DUMMYFUNCTION("""COMPUTED_VALUE"""),0.011325926800000108)</f>
        <v>0.0113259268</v>
      </c>
    </row>
    <row r="6504">
      <c r="A6504" s="5" t="str">
        <f>IFERROR(__xludf.DUMMYFUNCTION("""COMPUTED_VALUE"""),"77603")</f>
        <v>77603</v>
      </c>
      <c r="B6504" s="64">
        <f>IFERROR(__xludf.DUMMYFUNCTION("""COMPUTED_VALUE"""),44597.0)</f>
        <v>44597</v>
      </c>
      <c r="C6504" s="5"/>
      <c r="D6504" s="5"/>
      <c r="E6504" s="5"/>
      <c r="F6504" s="22">
        <f>IFERROR(__xludf.DUMMYFUNCTION("""COMPUTED_VALUE"""),500000.0)</f>
        <v>500000</v>
      </c>
      <c r="G6504" s="22">
        <f>IFERROR(__xludf.DUMMYFUNCTION("""COMPUTED_VALUE"""),0.0)</f>
        <v>0</v>
      </c>
      <c r="H6504" s="22">
        <f>IFERROR(__xludf.DUMMYFUNCTION("""COMPUTED_VALUE"""),500000.0)</f>
        <v>500000</v>
      </c>
      <c r="I6504" s="24">
        <f>IFERROR(__xludf.DUMMYFUNCTION("""COMPUTED_VALUE"""),0.0)</f>
        <v>0</v>
      </c>
    </row>
    <row r="6505">
      <c r="A6505" s="5" t="str">
        <f>IFERROR(__xludf.DUMMYFUNCTION("""COMPUTED_VALUE"""),"77603")</f>
        <v>77603</v>
      </c>
      <c r="B6505" s="64">
        <f>IFERROR(__xludf.DUMMYFUNCTION("""COMPUTED_VALUE"""),44598.0)</f>
        <v>44598</v>
      </c>
      <c r="C6505" s="5"/>
      <c r="D6505" s="5"/>
      <c r="E6505" s="5"/>
      <c r="F6505" s="22">
        <f>IFERROR(__xludf.DUMMYFUNCTION("""COMPUTED_VALUE"""),500000.0)</f>
        <v>500000</v>
      </c>
      <c r="G6505" s="22">
        <f>IFERROR(__xludf.DUMMYFUNCTION("""COMPUTED_VALUE"""),0.0)</f>
        <v>0</v>
      </c>
      <c r="H6505" s="22">
        <f>IFERROR(__xludf.DUMMYFUNCTION("""COMPUTED_VALUE"""),500000.0)</f>
        <v>500000</v>
      </c>
      <c r="I6505" s="24">
        <f>IFERROR(__xludf.DUMMYFUNCTION("""COMPUTED_VALUE"""),0.0)</f>
        <v>0</v>
      </c>
    </row>
    <row r="6506">
      <c r="A6506" s="5" t="str">
        <f>IFERROR(__xludf.DUMMYFUNCTION("""COMPUTED_VALUE"""),"77603")</f>
        <v>77603</v>
      </c>
      <c r="B6506" s="64">
        <f>IFERROR(__xludf.DUMMYFUNCTION("""COMPUTED_VALUE"""),44599.0)</f>
        <v>44599</v>
      </c>
      <c r="C6506" s="5"/>
      <c r="D6506" s="5"/>
      <c r="E6506" s="5"/>
      <c r="F6506" s="22">
        <f>IFERROR(__xludf.DUMMYFUNCTION("""COMPUTED_VALUE"""),500000.0)</f>
        <v>500000</v>
      </c>
      <c r="G6506" s="22">
        <f>IFERROR(__xludf.DUMMYFUNCTION("""COMPUTED_VALUE"""),0.0)</f>
        <v>0</v>
      </c>
      <c r="H6506" s="22">
        <f>IFERROR(__xludf.DUMMYFUNCTION("""COMPUTED_VALUE"""),500000.0)</f>
        <v>500000</v>
      </c>
      <c r="I6506" s="24">
        <f>IFERROR(__xludf.DUMMYFUNCTION("""COMPUTED_VALUE"""),0.0)</f>
        <v>0</v>
      </c>
    </row>
    <row r="6507">
      <c r="A6507" s="5" t="str">
        <f>IFERROR(__xludf.DUMMYFUNCTION("""COMPUTED_VALUE"""),"77603")</f>
        <v>77603</v>
      </c>
      <c r="B6507" s="64">
        <f>IFERROR(__xludf.DUMMYFUNCTION("""COMPUTED_VALUE"""),44600.0)</f>
        <v>44600</v>
      </c>
      <c r="C6507" s="5"/>
      <c r="D6507" s="5"/>
      <c r="E6507" s="5"/>
      <c r="F6507" s="22">
        <f>IFERROR(__xludf.DUMMYFUNCTION("""COMPUTED_VALUE"""),500000.0)</f>
        <v>500000</v>
      </c>
      <c r="G6507" s="22">
        <f>IFERROR(__xludf.DUMMYFUNCTION("""COMPUTED_VALUE"""),0.0)</f>
        <v>0</v>
      </c>
      <c r="H6507" s="22">
        <f>IFERROR(__xludf.DUMMYFUNCTION("""COMPUTED_VALUE"""),500000.0)</f>
        <v>500000</v>
      </c>
      <c r="I6507" s="24">
        <f>IFERROR(__xludf.DUMMYFUNCTION("""COMPUTED_VALUE"""),0.0)</f>
        <v>0</v>
      </c>
    </row>
    <row r="6508">
      <c r="A6508" s="5" t="str">
        <f>IFERROR(__xludf.DUMMYFUNCTION("""COMPUTED_VALUE"""),"77603")</f>
        <v>77603</v>
      </c>
      <c r="B6508" s="64">
        <f>IFERROR(__xludf.DUMMYFUNCTION("""COMPUTED_VALUE"""),44601.0)</f>
        <v>44601</v>
      </c>
      <c r="C6508" s="5"/>
      <c r="D6508" s="5"/>
      <c r="E6508" s="5"/>
      <c r="F6508" s="22">
        <f>IFERROR(__xludf.DUMMYFUNCTION("""COMPUTED_VALUE"""),500000.0)</f>
        <v>500000</v>
      </c>
      <c r="G6508" s="22">
        <f>IFERROR(__xludf.DUMMYFUNCTION("""COMPUTED_VALUE"""),0.0)</f>
        <v>0</v>
      </c>
      <c r="H6508" s="22">
        <f>IFERROR(__xludf.DUMMYFUNCTION("""COMPUTED_VALUE"""),500000.0)</f>
        <v>500000</v>
      </c>
      <c r="I6508" s="24">
        <f>IFERROR(__xludf.DUMMYFUNCTION("""COMPUTED_VALUE"""),0.0)</f>
        <v>0</v>
      </c>
    </row>
    <row r="6509">
      <c r="A6509" s="5" t="str">
        <f>IFERROR(__xludf.DUMMYFUNCTION("""COMPUTED_VALUE"""),"77603")</f>
        <v>77603</v>
      </c>
      <c r="B6509" s="64">
        <f>IFERROR(__xludf.DUMMYFUNCTION("""COMPUTED_VALUE"""),44602.0)</f>
        <v>44602</v>
      </c>
      <c r="C6509" s="5"/>
      <c r="D6509" s="5"/>
      <c r="E6509" s="5"/>
      <c r="F6509" s="22">
        <f>IFERROR(__xludf.DUMMYFUNCTION("""COMPUTED_VALUE"""),500000.0)</f>
        <v>500000</v>
      </c>
      <c r="G6509" s="22">
        <f>IFERROR(__xludf.DUMMYFUNCTION("""COMPUTED_VALUE"""),0.0)</f>
        <v>0</v>
      </c>
      <c r="H6509" s="22">
        <f>IFERROR(__xludf.DUMMYFUNCTION("""COMPUTED_VALUE"""),500000.0)</f>
        <v>500000</v>
      </c>
      <c r="I6509" s="24">
        <f>IFERROR(__xludf.DUMMYFUNCTION("""COMPUTED_VALUE"""),0.0)</f>
        <v>0</v>
      </c>
    </row>
    <row r="6510">
      <c r="A6510" s="5" t="str">
        <f>IFERROR(__xludf.DUMMYFUNCTION("""COMPUTED_VALUE"""),"77603")</f>
        <v>77603</v>
      </c>
      <c r="B6510" s="64">
        <f>IFERROR(__xludf.DUMMYFUNCTION("""COMPUTED_VALUE"""),44603.0)</f>
        <v>44603</v>
      </c>
      <c r="C6510" s="5"/>
      <c r="D6510" s="5"/>
      <c r="E6510" s="5"/>
      <c r="F6510" s="22">
        <f>IFERROR(__xludf.DUMMYFUNCTION("""COMPUTED_VALUE"""),500000.0)</f>
        <v>500000</v>
      </c>
      <c r="G6510" s="22">
        <f>IFERROR(__xludf.DUMMYFUNCTION("""COMPUTED_VALUE"""),0.0)</f>
        <v>0</v>
      </c>
      <c r="H6510" s="22">
        <f>IFERROR(__xludf.DUMMYFUNCTION("""COMPUTED_VALUE"""),500000.0)</f>
        <v>500000</v>
      </c>
      <c r="I6510" s="24">
        <f>IFERROR(__xludf.DUMMYFUNCTION("""COMPUTED_VALUE"""),0.0)</f>
        <v>0</v>
      </c>
    </row>
    <row r="6511">
      <c r="A6511" s="5" t="str">
        <f>IFERROR(__xludf.DUMMYFUNCTION("""COMPUTED_VALUE"""),"77603")</f>
        <v>77603</v>
      </c>
      <c r="B6511" s="64">
        <f>IFERROR(__xludf.DUMMYFUNCTION("""COMPUTED_VALUE"""),44604.0)</f>
        <v>44604</v>
      </c>
      <c r="C6511" s="5"/>
      <c r="D6511" s="5"/>
      <c r="E6511" s="5"/>
      <c r="F6511" s="22">
        <f>IFERROR(__xludf.DUMMYFUNCTION("""COMPUTED_VALUE"""),500000.0)</f>
        <v>500000</v>
      </c>
      <c r="G6511" s="22">
        <f>IFERROR(__xludf.DUMMYFUNCTION("""COMPUTED_VALUE"""),0.0)</f>
        <v>0</v>
      </c>
      <c r="H6511" s="22">
        <f>IFERROR(__xludf.DUMMYFUNCTION("""COMPUTED_VALUE"""),500000.0)</f>
        <v>500000</v>
      </c>
      <c r="I6511" s="24">
        <f>IFERROR(__xludf.DUMMYFUNCTION("""COMPUTED_VALUE"""),0.0)</f>
        <v>0</v>
      </c>
    </row>
    <row r="6512">
      <c r="A6512" s="5" t="str">
        <f>IFERROR(__xludf.DUMMYFUNCTION("""COMPUTED_VALUE"""),"77603")</f>
        <v>77603</v>
      </c>
      <c r="B6512" s="64">
        <f>IFERROR(__xludf.DUMMYFUNCTION("""COMPUTED_VALUE"""),44605.0)</f>
        <v>44605</v>
      </c>
      <c r="C6512" s="5"/>
      <c r="D6512" s="5"/>
      <c r="E6512" s="5"/>
      <c r="F6512" s="22">
        <f>IFERROR(__xludf.DUMMYFUNCTION("""COMPUTED_VALUE"""),500000.0)</f>
        <v>500000</v>
      </c>
      <c r="G6512" s="22">
        <f>IFERROR(__xludf.DUMMYFUNCTION("""COMPUTED_VALUE"""),0.0)</f>
        <v>0</v>
      </c>
      <c r="H6512" s="22">
        <f>IFERROR(__xludf.DUMMYFUNCTION("""COMPUTED_VALUE"""),500000.0)</f>
        <v>500000</v>
      </c>
      <c r="I6512" s="24">
        <f>IFERROR(__xludf.DUMMYFUNCTION("""COMPUTED_VALUE"""),0.0)</f>
        <v>0</v>
      </c>
    </row>
    <row r="6513">
      <c r="A6513" s="5" t="str">
        <f>IFERROR(__xludf.DUMMYFUNCTION("""COMPUTED_VALUE"""),"77603")</f>
        <v>77603</v>
      </c>
      <c r="B6513" s="64">
        <f>IFERROR(__xludf.DUMMYFUNCTION("""COMPUTED_VALUE"""),44606.0)</f>
        <v>44606</v>
      </c>
      <c r="C6513" s="5"/>
      <c r="D6513" s="5"/>
      <c r="E6513" s="5"/>
      <c r="F6513" s="22">
        <f>IFERROR(__xludf.DUMMYFUNCTION("""COMPUTED_VALUE"""),500000.0)</f>
        <v>500000</v>
      </c>
      <c r="G6513" s="22">
        <f>IFERROR(__xludf.DUMMYFUNCTION("""COMPUTED_VALUE"""),0.0)</f>
        <v>0</v>
      </c>
      <c r="H6513" s="22">
        <f>IFERROR(__xludf.DUMMYFUNCTION("""COMPUTED_VALUE"""),500000.0)</f>
        <v>500000</v>
      </c>
      <c r="I6513" s="24">
        <f>IFERROR(__xludf.DUMMYFUNCTION("""COMPUTED_VALUE"""),0.0)</f>
        <v>0</v>
      </c>
    </row>
    <row r="6514">
      <c r="A6514" s="5" t="str">
        <f>IFERROR(__xludf.DUMMYFUNCTION("""COMPUTED_VALUE"""),"77603")</f>
        <v>77603</v>
      </c>
      <c r="B6514" s="64">
        <f>IFERROR(__xludf.DUMMYFUNCTION("""COMPUTED_VALUE"""),44607.0)</f>
        <v>44607</v>
      </c>
      <c r="C6514" s="5"/>
      <c r="D6514" s="5"/>
      <c r="E6514" s="5"/>
      <c r="F6514" s="22">
        <f>IFERROR(__xludf.DUMMYFUNCTION("""COMPUTED_VALUE"""),500000.0)</f>
        <v>500000</v>
      </c>
      <c r="G6514" s="22">
        <f>IFERROR(__xludf.DUMMYFUNCTION("""COMPUTED_VALUE"""),0.0)</f>
        <v>0</v>
      </c>
      <c r="H6514" s="22">
        <f>IFERROR(__xludf.DUMMYFUNCTION("""COMPUTED_VALUE"""),500000.0)</f>
        <v>500000</v>
      </c>
      <c r="I6514" s="24">
        <f>IFERROR(__xludf.DUMMYFUNCTION("""COMPUTED_VALUE"""),0.0)</f>
        <v>0</v>
      </c>
    </row>
    <row r="6515">
      <c r="A6515" s="5" t="str">
        <f>IFERROR(__xludf.DUMMYFUNCTION("""COMPUTED_VALUE"""),"77603")</f>
        <v>77603</v>
      </c>
      <c r="B6515" s="64">
        <f>IFERROR(__xludf.DUMMYFUNCTION("""COMPUTED_VALUE"""),44608.0)</f>
        <v>44608</v>
      </c>
      <c r="C6515" s="5"/>
      <c r="D6515" s="5"/>
      <c r="E6515" s="5"/>
      <c r="F6515" s="22">
        <f>IFERROR(__xludf.DUMMYFUNCTION("""COMPUTED_VALUE"""),500000.0)</f>
        <v>500000</v>
      </c>
      <c r="G6515" s="22">
        <f>IFERROR(__xludf.DUMMYFUNCTION("""COMPUTED_VALUE"""),0.0)</f>
        <v>0</v>
      </c>
      <c r="H6515" s="22">
        <f>IFERROR(__xludf.DUMMYFUNCTION("""COMPUTED_VALUE"""),500000.0)</f>
        <v>500000</v>
      </c>
      <c r="I6515" s="24">
        <f>IFERROR(__xludf.DUMMYFUNCTION("""COMPUTED_VALUE"""),0.0)</f>
        <v>0</v>
      </c>
    </row>
    <row r="6516">
      <c r="A6516" s="5" t="str">
        <f>IFERROR(__xludf.DUMMYFUNCTION("""COMPUTED_VALUE"""),"77603")</f>
        <v>77603</v>
      </c>
      <c r="B6516" s="64">
        <f>IFERROR(__xludf.DUMMYFUNCTION("""COMPUTED_VALUE"""),44609.0)</f>
        <v>44609</v>
      </c>
      <c r="C6516" s="5"/>
      <c r="D6516" s="5"/>
      <c r="E6516" s="5"/>
      <c r="F6516" s="22">
        <f>IFERROR(__xludf.DUMMYFUNCTION("""COMPUTED_VALUE"""),500000.0)</f>
        <v>500000</v>
      </c>
      <c r="G6516" s="22">
        <f>IFERROR(__xludf.DUMMYFUNCTION("""COMPUTED_VALUE"""),0.0)</f>
        <v>0</v>
      </c>
      <c r="H6516" s="22">
        <f>IFERROR(__xludf.DUMMYFUNCTION("""COMPUTED_VALUE"""),500000.0)</f>
        <v>500000</v>
      </c>
      <c r="I6516" s="24">
        <f>IFERROR(__xludf.DUMMYFUNCTION("""COMPUTED_VALUE"""),0.0)</f>
        <v>0</v>
      </c>
    </row>
    <row r="6517">
      <c r="A6517" s="5" t="str">
        <f>IFERROR(__xludf.DUMMYFUNCTION("""COMPUTED_VALUE"""),"77603")</f>
        <v>77603</v>
      </c>
      <c r="B6517" s="64">
        <f>IFERROR(__xludf.DUMMYFUNCTION("""COMPUTED_VALUE"""),44610.0)</f>
        <v>44610</v>
      </c>
      <c r="C6517" s="5"/>
      <c r="D6517" s="5"/>
      <c r="E6517" s="5"/>
      <c r="F6517" s="22">
        <f>IFERROR(__xludf.DUMMYFUNCTION("""COMPUTED_VALUE"""),500000.0)</f>
        <v>500000</v>
      </c>
      <c r="G6517" s="22">
        <f>IFERROR(__xludf.DUMMYFUNCTION("""COMPUTED_VALUE"""),0.0)</f>
        <v>0</v>
      </c>
      <c r="H6517" s="22">
        <f>IFERROR(__xludf.DUMMYFUNCTION("""COMPUTED_VALUE"""),500000.0)</f>
        <v>500000</v>
      </c>
      <c r="I6517" s="24">
        <f>IFERROR(__xludf.DUMMYFUNCTION("""COMPUTED_VALUE"""),0.0)</f>
        <v>0</v>
      </c>
    </row>
    <row r="6518">
      <c r="A6518" s="5" t="str">
        <f>IFERROR(__xludf.DUMMYFUNCTION("""COMPUTED_VALUE"""),"77603")</f>
        <v>77603</v>
      </c>
      <c r="B6518" s="64">
        <f>IFERROR(__xludf.DUMMYFUNCTION("""COMPUTED_VALUE"""),44611.0)</f>
        <v>44611</v>
      </c>
      <c r="C6518" s="5"/>
      <c r="D6518" s="5"/>
      <c r="E6518" s="5"/>
      <c r="F6518" s="22">
        <f>IFERROR(__xludf.DUMMYFUNCTION("""COMPUTED_VALUE"""),500000.0)</f>
        <v>500000</v>
      </c>
      <c r="G6518" s="22">
        <f>IFERROR(__xludf.DUMMYFUNCTION("""COMPUTED_VALUE"""),0.0)</f>
        <v>0</v>
      </c>
      <c r="H6518" s="22">
        <f>IFERROR(__xludf.DUMMYFUNCTION("""COMPUTED_VALUE"""),500000.0)</f>
        <v>500000</v>
      </c>
      <c r="I6518" s="24">
        <f>IFERROR(__xludf.DUMMYFUNCTION("""COMPUTED_VALUE"""),0.0)</f>
        <v>0</v>
      </c>
    </row>
    <row r="6519">
      <c r="A6519" s="5" t="str">
        <f>IFERROR(__xludf.DUMMYFUNCTION("""COMPUTED_VALUE"""),"77603")</f>
        <v>77603</v>
      </c>
      <c r="B6519" s="64">
        <f>IFERROR(__xludf.DUMMYFUNCTION("""COMPUTED_VALUE"""),44612.0)</f>
        <v>44612</v>
      </c>
      <c r="C6519" s="5"/>
      <c r="D6519" s="5"/>
      <c r="E6519" s="5"/>
      <c r="F6519" s="22">
        <f>IFERROR(__xludf.DUMMYFUNCTION("""COMPUTED_VALUE"""),500000.0)</f>
        <v>500000</v>
      </c>
      <c r="G6519" s="22">
        <f>IFERROR(__xludf.DUMMYFUNCTION("""COMPUTED_VALUE"""),0.0)</f>
        <v>0</v>
      </c>
      <c r="H6519" s="22">
        <f>IFERROR(__xludf.DUMMYFUNCTION("""COMPUTED_VALUE"""),500000.0)</f>
        <v>500000</v>
      </c>
      <c r="I6519" s="24">
        <f>IFERROR(__xludf.DUMMYFUNCTION("""COMPUTED_VALUE"""),0.0)</f>
        <v>0</v>
      </c>
    </row>
    <row r="6520">
      <c r="A6520" s="5" t="str">
        <f>IFERROR(__xludf.DUMMYFUNCTION("""COMPUTED_VALUE"""),"77603")</f>
        <v>77603</v>
      </c>
      <c r="B6520" s="64">
        <f>IFERROR(__xludf.DUMMYFUNCTION("""COMPUTED_VALUE"""),44613.0)</f>
        <v>44613</v>
      </c>
      <c r="C6520" s="5"/>
      <c r="D6520" s="5"/>
      <c r="E6520" s="5"/>
      <c r="F6520" s="22">
        <f>IFERROR(__xludf.DUMMYFUNCTION("""COMPUTED_VALUE"""),500000.0)</f>
        <v>500000</v>
      </c>
      <c r="G6520" s="22">
        <f>IFERROR(__xludf.DUMMYFUNCTION("""COMPUTED_VALUE"""),0.0)</f>
        <v>0</v>
      </c>
      <c r="H6520" s="22">
        <f>IFERROR(__xludf.DUMMYFUNCTION("""COMPUTED_VALUE"""),500000.0)</f>
        <v>500000</v>
      </c>
      <c r="I6520" s="24">
        <f>IFERROR(__xludf.DUMMYFUNCTION("""COMPUTED_VALUE"""),0.0)</f>
        <v>0</v>
      </c>
    </row>
    <row r="6521">
      <c r="A6521" s="5" t="str">
        <f>IFERROR(__xludf.DUMMYFUNCTION("""COMPUTED_VALUE"""),"77603")</f>
        <v>77603</v>
      </c>
      <c r="B6521" s="64">
        <f>IFERROR(__xludf.DUMMYFUNCTION("""COMPUTED_VALUE"""),44614.0)</f>
        <v>44614</v>
      </c>
      <c r="C6521" s="5"/>
      <c r="D6521" s="5"/>
      <c r="E6521" s="5"/>
      <c r="F6521" s="22">
        <f>IFERROR(__xludf.DUMMYFUNCTION("""COMPUTED_VALUE"""),500000.0)</f>
        <v>500000</v>
      </c>
      <c r="G6521" s="22">
        <f>IFERROR(__xludf.DUMMYFUNCTION("""COMPUTED_VALUE"""),0.0)</f>
        <v>0</v>
      </c>
      <c r="H6521" s="22">
        <f>IFERROR(__xludf.DUMMYFUNCTION("""COMPUTED_VALUE"""),500000.0)</f>
        <v>500000</v>
      </c>
      <c r="I6521" s="24">
        <f>IFERROR(__xludf.DUMMYFUNCTION("""COMPUTED_VALUE"""),0.0)</f>
        <v>0</v>
      </c>
    </row>
    <row r="6522">
      <c r="A6522" s="5" t="str">
        <f>IFERROR(__xludf.DUMMYFUNCTION("""COMPUTED_VALUE"""),"77603")</f>
        <v>77603</v>
      </c>
      <c r="B6522" s="64">
        <f>IFERROR(__xludf.DUMMYFUNCTION("""COMPUTED_VALUE"""),44615.0)</f>
        <v>44615</v>
      </c>
      <c r="C6522" s="5"/>
      <c r="D6522" s="5"/>
      <c r="E6522" s="5"/>
      <c r="F6522" s="22">
        <f>IFERROR(__xludf.DUMMYFUNCTION("""COMPUTED_VALUE"""),500000.0)</f>
        <v>500000</v>
      </c>
      <c r="G6522" s="22">
        <f>IFERROR(__xludf.DUMMYFUNCTION("""COMPUTED_VALUE"""),0.0)</f>
        <v>0</v>
      </c>
      <c r="H6522" s="22">
        <f>IFERROR(__xludf.DUMMYFUNCTION("""COMPUTED_VALUE"""),500000.0)</f>
        <v>500000</v>
      </c>
      <c r="I6522" s="24">
        <f>IFERROR(__xludf.DUMMYFUNCTION("""COMPUTED_VALUE"""),0.0)</f>
        <v>0</v>
      </c>
    </row>
    <row r="6523">
      <c r="A6523" s="5" t="str">
        <f>IFERROR(__xludf.DUMMYFUNCTION("""COMPUTED_VALUE"""),"77603")</f>
        <v>77603</v>
      </c>
      <c r="B6523" s="64">
        <f>IFERROR(__xludf.DUMMYFUNCTION("""COMPUTED_VALUE"""),44616.0)</f>
        <v>44616</v>
      </c>
      <c r="C6523" s="5"/>
      <c r="D6523" s="5"/>
      <c r="E6523" s="5"/>
      <c r="F6523" s="22">
        <f>IFERROR(__xludf.DUMMYFUNCTION("""COMPUTED_VALUE"""),500000.0)</f>
        <v>500000</v>
      </c>
      <c r="G6523" s="22">
        <f>IFERROR(__xludf.DUMMYFUNCTION("""COMPUTED_VALUE"""),0.0)</f>
        <v>0</v>
      </c>
      <c r="H6523" s="22">
        <f>IFERROR(__xludf.DUMMYFUNCTION("""COMPUTED_VALUE"""),500000.0)</f>
        <v>500000</v>
      </c>
      <c r="I6523" s="24">
        <f>IFERROR(__xludf.DUMMYFUNCTION("""COMPUTED_VALUE"""),0.0)</f>
        <v>0</v>
      </c>
    </row>
    <row r="6524">
      <c r="A6524" s="5" t="str">
        <f>IFERROR(__xludf.DUMMYFUNCTION("""COMPUTED_VALUE"""),"77603")</f>
        <v>77603</v>
      </c>
      <c r="B6524" s="64">
        <f>IFERROR(__xludf.DUMMYFUNCTION("""COMPUTED_VALUE"""),44617.0)</f>
        <v>44617</v>
      </c>
      <c r="C6524" s="5"/>
      <c r="D6524" s="5"/>
      <c r="E6524" s="5"/>
      <c r="F6524" s="22">
        <f>IFERROR(__xludf.DUMMYFUNCTION("""COMPUTED_VALUE"""),500000.0)</f>
        <v>500000</v>
      </c>
      <c r="G6524" s="22">
        <f>IFERROR(__xludf.DUMMYFUNCTION("""COMPUTED_VALUE"""),0.0)</f>
        <v>0</v>
      </c>
      <c r="H6524" s="22">
        <f>IFERROR(__xludf.DUMMYFUNCTION("""COMPUTED_VALUE"""),500000.0)</f>
        <v>500000</v>
      </c>
      <c r="I6524" s="24">
        <f>IFERROR(__xludf.DUMMYFUNCTION("""COMPUTED_VALUE"""),0.0)</f>
        <v>0</v>
      </c>
    </row>
    <row r="6525">
      <c r="A6525" s="5" t="str">
        <f>IFERROR(__xludf.DUMMYFUNCTION("""COMPUTED_VALUE"""),"77603")</f>
        <v>77603</v>
      </c>
      <c r="B6525" s="64">
        <f>IFERROR(__xludf.DUMMYFUNCTION("""COMPUTED_VALUE"""),44618.0)</f>
        <v>44618</v>
      </c>
      <c r="C6525" s="5"/>
      <c r="D6525" s="5"/>
      <c r="E6525" s="5"/>
      <c r="F6525" s="22">
        <f>IFERROR(__xludf.DUMMYFUNCTION("""COMPUTED_VALUE"""),500000.0)</f>
        <v>500000</v>
      </c>
      <c r="G6525" s="22">
        <f>IFERROR(__xludf.DUMMYFUNCTION("""COMPUTED_VALUE"""),0.0)</f>
        <v>0</v>
      </c>
      <c r="H6525" s="22">
        <f>IFERROR(__xludf.DUMMYFUNCTION("""COMPUTED_VALUE"""),500000.0)</f>
        <v>500000</v>
      </c>
      <c r="I6525" s="24">
        <f>IFERROR(__xludf.DUMMYFUNCTION("""COMPUTED_VALUE"""),0.0)</f>
        <v>0</v>
      </c>
    </row>
    <row r="6526">
      <c r="A6526" s="5" t="str">
        <f>IFERROR(__xludf.DUMMYFUNCTION("""COMPUTED_VALUE"""),"77603")</f>
        <v>77603</v>
      </c>
      <c r="B6526" s="64">
        <f>IFERROR(__xludf.DUMMYFUNCTION("""COMPUTED_VALUE"""),44619.0)</f>
        <v>44619</v>
      </c>
      <c r="C6526" s="5"/>
      <c r="D6526" s="5"/>
      <c r="E6526" s="5"/>
      <c r="F6526" s="22">
        <f>IFERROR(__xludf.DUMMYFUNCTION("""COMPUTED_VALUE"""),500000.0)</f>
        <v>500000</v>
      </c>
      <c r="G6526" s="22">
        <f>IFERROR(__xludf.DUMMYFUNCTION("""COMPUTED_VALUE"""),0.0)</f>
        <v>0</v>
      </c>
      <c r="H6526" s="22">
        <f>IFERROR(__xludf.DUMMYFUNCTION("""COMPUTED_VALUE"""),500000.0)</f>
        <v>500000</v>
      </c>
      <c r="I6526" s="24">
        <f>IFERROR(__xludf.DUMMYFUNCTION("""COMPUTED_VALUE"""),0.0)</f>
        <v>0</v>
      </c>
    </row>
    <row r="6527">
      <c r="A6527" s="5" t="str">
        <f>IFERROR(__xludf.DUMMYFUNCTION("""COMPUTED_VALUE"""),"77603")</f>
        <v>77603</v>
      </c>
      <c r="B6527" s="64">
        <f>IFERROR(__xludf.DUMMYFUNCTION("""COMPUTED_VALUE"""),44620.0)</f>
        <v>44620</v>
      </c>
      <c r="C6527" s="5"/>
      <c r="D6527" s="5"/>
      <c r="E6527" s="5"/>
      <c r="F6527" s="22">
        <f>IFERROR(__xludf.DUMMYFUNCTION("""COMPUTED_VALUE"""),500000.0)</f>
        <v>500000</v>
      </c>
      <c r="G6527" s="22">
        <f>IFERROR(__xludf.DUMMYFUNCTION("""COMPUTED_VALUE"""),0.0)</f>
        <v>0</v>
      </c>
      <c r="H6527" s="22">
        <f>IFERROR(__xludf.DUMMYFUNCTION("""COMPUTED_VALUE"""),500000.0)</f>
        <v>500000</v>
      </c>
      <c r="I6527" s="24">
        <f>IFERROR(__xludf.DUMMYFUNCTION("""COMPUTED_VALUE"""),0.0)</f>
        <v>0</v>
      </c>
    </row>
    <row r="6528">
      <c r="A6528" s="5" t="str">
        <f>IFERROR(__xludf.DUMMYFUNCTION("""COMPUTED_VALUE"""),"77603")</f>
        <v>77603</v>
      </c>
      <c r="B6528" s="64">
        <f>IFERROR(__xludf.DUMMYFUNCTION("""COMPUTED_VALUE"""),44621.0)</f>
        <v>44621</v>
      </c>
      <c r="C6528" s="5"/>
      <c r="D6528" s="5"/>
      <c r="E6528" s="5"/>
      <c r="F6528" s="22">
        <f>IFERROR(__xludf.DUMMYFUNCTION("""COMPUTED_VALUE"""),500000.0)</f>
        <v>500000</v>
      </c>
      <c r="G6528" s="22">
        <f>IFERROR(__xludf.DUMMYFUNCTION("""COMPUTED_VALUE"""),0.0)</f>
        <v>0</v>
      </c>
      <c r="H6528" s="22">
        <f>IFERROR(__xludf.DUMMYFUNCTION("""COMPUTED_VALUE"""),500000.0)</f>
        <v>500000</v>
      </c>
      <c r="I6528" s="24">
        <f>IFERROR(__xludf.DUMMYFUNCTION("""COMPUTED_VALUE"""),0.0)</f>
        <v>0</v>
      </c>
    </row>
    <row r="6529">
      <c r="A6529" s="5" t="str">
        <f>IFERROR(__xludf.DUMMYFUNCTION("""COMPUTED_VALUE"""),"77603")</f>
        <v>77603</v>
      </c>
      <c r="B6529" s="64">
        <f>IFERROR(__xludf.DUMMYFUNCTION("""COMPUTED_VALUE"""),44622.0)</f>
        <v>44622</v>
      </c>
      <c r="C6529" s="5"/>
      <c r="D6529" s="5"/>
      <c r="E6529" s="5"/>
      <c r="F6529" s="22">
        <f>IFERROR(__xludf.DUMMYFUNCTION("""COMPUTED_VALUE"""),500000.0)</f>
        <v>500000</v>
      </c>
      <c r="G6529" s="22">
        <f>IFERROR(__xludf.DUMMYFUNCTION("""COMPUTED_VALUE"""),0.0)</f>
        <v>0</v>
      </c>
      <c r="H6529" s="22">
        <f>IFERROR(__xludf.DUMMYFUNCTION("""COMPUTED_VALUE"""),500000.0)</f>
        <v>500000</v>
      </c>
      <c r="I6529" s="24">
        <f>IFERROR(__xludf.DUMMYFUNCTION("""COMPUTED_VALUE"""),0.0)</f>
        <v>0</v>
      </c>
    </row>
    <row r="6530">
      <c r="A6530" s="5" t="str">
        <f>IFERROR(__xludf.DUMMYFUNCTION("""COMPUTED_VALUE"""),"77603")</f>
        <v>77603</v>
      </c>
      <c r="B6530" s="64">
        <f>IFERROR(__xludf.DUMMYFUNCTION("""COMPUTED_VALUE"""),44623.0)</f>
        <v>44623</v>
      </c>
      <c r="C6530" s="5"/>
      <c r="D6530" s="5"/>
      <c r="E6530" s="5"/>
      <c r="F6530" s="22">
        <f>IFERROR(__xludf.DUMMYFUNCTION("""COMPUTED_VALUE"""),500000.0)</f>
        <v>500000</v>
      </c>
      <c r="G6530" s="22">
        <f>IFERROR(__xludf.DUMMYFUNCTION("""COMPUTED_VALUE"""),0.0)</f>
        <v>0</v>
      </c>
      <c r="H6530" s="22">
        <f>IFERROR(__xludf.DUMMYFUNCTION("""COMPUTED_VALUE"""),500000.0)</f>
        <v>500000</v>
      </c>
      <c r="I6530" s="24">
        <f>IFERROR(__xludf.DUMMYFUNCTION("""COMPUTED_VALUE"""),0.0)</f>
        <v>0</v>
      </c>
    </row>
    <row r="6531">
      <c r="A6531" s="5" t="str">
        <f>IFERROR(__xludf.DUMMYFUNCTION("""COMPUTED_VALUE"""),"77603")</f>
        <v>77603</v>
      </c>
      <c r="B6531" s="64">
        <f>IFERROR(__xludf.DUMMYFUNCTION("""COMPUTED_VALUE"""),44624.0)</f>
        <v>44624</v>
      </c>
      <c r="C6531" s="5"/>
      <c r="D6531" s="5"/>
      <c r="E6531" s="5"/>
      <c r="F6531" s="22">
        <f>IFERROR(__xludf.DUMMYFUNCTION("""COMPUTED_VALUE"""),500000.0)</f>
        <v>500000</v>
      </c>
      <c r="G6531" s="22">
        <f>IFERROR(__xludf.DUMMYFUNCTION("""COMPUTED_VALUE"""),0.0)</f>
        <v>0</v>
      </c>
      <c r="H6531" s="22">
        <f>IFERROR(__xludf.DUMMYFUNCTION("""COMPUTED_VALUE"""),500000.0)</f>
        <v>500000</v>
      </c>
      <c r="I6531" s="24">
        <f>IFERROR(__xludf.DUMMYFUNCTION("""COMPUTED_VALUE"""),0.0)</f>
        <v>0</v>
      </c>
    </row>
    <row r="6532">
      <c r="A6532" s="5" t="str">
        <f>IFERROR(__xludf.DUMMYFUNCTION("""COMPUTED_VALUE"""),"77603")</f>
        <v>77603</v>
      </c>
      <c r="B6532" s="64">
        <f>IFERROR(__xludf.DUMMYFUNCTION("""COMPUTED_VALUE"""),44625.0)</f>
        <v>44625</v>
      </c>
      <c r="C6532" s="5"/>
      <c r="D6532" s="5"/>
      <c r="E6532" s="5"/>
      <c r="F6532" s="22">
        <f>IFERROR(__xludf.DUMMYFUNCTION("""COMPUTED_VALUE"""),500000.0)</f>
        <v>500000</v>
      </c>
      <c r="G6532" s="22">
        <f>IFERROR(__xludf.DUMMYFUNCTION("""COMPUTED_VALUE"""),0.0)</f>
        <v>0</v>
      </c>
      <c r="H6532" s="22">
        <f>IFERROR(__xludf.DUMMYFUNCTION("""COMPUTED_VALUE"""),500000.0)</f>
        <v>500000</v>
      </c>
      <c r="I6532" s="24">
        <f>IFERROR(__xludf.DUMMYFUNCTION("""COMPUTED_VALUE"""),0.0)</f>
        <v>0</v>
      </c>
    </row>
    <row r="6533">
      <c r="A6533" s="5" t="str">
        <f>IFERROR(__xludf.DUMMYFUNCTION("""COMPUTED_VALUE"""),"77603")</f>
        <v>77603</v>
      </c>
      <c r="B6533" s="64">
        <f>IFERROR(__xludf.DUMMYFUNCTION("""COMPUTED_VALUE"""),44626.0)</f>
        <v>44626</v>
      </c>
      <c r="C6533" s="5"/>
      <c r="D6533" s="5"/>
      <c r="E6533" s="5"/>
      <c r="F6533" s="22">
        <f>IFERROR(__xludf.DUMMYFUNCTION("""COMPUTED_VALUE"""),500000.0)</f>
        <v>500000</v>
      </c>
      <c r="G6533" s="22">
        <f>IFERROR(__xludf.DUMMYFUNCTION("""COMPUTED_VALUE"""),0.0)</f>
        <v>0</v>
      </c>
      <c r="H6533" s="22">
        <f>IFERROR(__xludf.DUMMYFUNCTION("""COMPUTED_VALUE"""),500000.0)</f>
        <v>500000</v>
      </c>
      <c r="I6533" s="24">
        <f>IFERROR(__xludf.DUMMYFUNCTION("""COMPUTED_VALUE"""),0.0)</f>
        <v>0</v>
      </c>
    </row>
    <row r="6534">
      <c r="A6534" s="5" t="str">
        <f>IFERROR(__xludf.DUMMYFUNCTION("""COMPUTED_VALUE"""),"77603")</f>
        <v>77603</v>
      </c>
      <c r="B6534" s="64">
        <f>IFERROR(__xludf.DUMMYFUNCTION("""COMPUTED_VALUE"""),44627.0)</f>
        <v>44627</v>
      </c>
      <c r="C6534" s="5"/>
      <c r="D6534" s="5"/>
      <c r="E6534" s="5"/>
      <c r="F6534" s="22">
        <f>IFERROR(__xludf.DUMMYFUNCTION("""COMPUTED_VALUE"""),500000.0)</f>
        <v>500000</v>
      </c>
      <c r="G6534" s="22">
        <f>IFERROR(__xludf.DUMMYFUNCTION("""COMPUTED_VALUE"""),0.0)</f>
        <v>0</v>
      </c>
      <c r="H6534" s="22">
        <f>IFERROR(__xludf.DUMMYFUNCTION("""COMPUTED_VALUE"""),500000.0)</f>
        <v>500000</v>
      </c>
      <c r="I6534" s="24">
        <f>IFERROR(__xludf.DUMMYFUNCTION("""COMPUTED_VALUE"""),0.0)</f>
        <v>0</v>
      </c>
    </row>
    <row r="6535">
      <c r="A6535" s="5" t="str">
        <f>IFERROR(__xludf.DUMMYFUNCTION("""COMPUTED_VALUE"""),"77603")</f>
        <v>77603</v>
      </c>
      <c r="B6535" s="64">
        <f>IFERROR(__xludf.DUMMYFUNCTION("""COMPUTED_VALUE"""),44628.0)</f>
        <v>44628</v>
      </c>
      <c r="C6535" s="5"/>
      <c r="D6535" s="5"/>
      <c r="E6535" s="5"/>
      <c r="F6535" s="22">
        <f>IFERROR(__xludf.DUMMYFUNCTION("""COMPUTED_VALUE"""),500000.0)</f>
        <v>500000</v>
      </c>
      <c r="G6535" s="22">
        <f>IFERROR(__xludf.DUMMYFUNCTION("""COMPUTED_VALUE"""),0.0)</f>
        <v>0</v>
      </c>
      <c r="H6535" s="22">
        <f>IFERROR(__xludf.DUMMYFUNCTION("""COMPUTED_VALUE"""),500000.0)</f>
        <v>500000</v>
      </c>
      <c r="I6535" s="24">
        <f>IFERROR(__xludf.DUMMYFUNCTION("""COMPUTED_VALUE"""),0.0)</f>
        <v>0</v>
      </c>
    </row>
    <row r="6536">
      <c r="A6536" s="5" t="str">
        <f>IFERROR(__xludf.DUMMYFUNCTION("""COMPUTED_VALUE"""),"77603")</f>
        <v>77603</v>
      </c>
      <c r="B6536" s="64">
        <f>IFERROR(__xludf.DUMMYFUNCTION("""COMPUTED_VALUE"""),44629.0)</f>
        <v>44629</v>
      </c>
      <c r="C6536" s="5"/>
      <c r="D6536" s="5"/>
      <c r="E6536" s="5"/>
      <c r="F6536" s="22">
        <f>IFERROR(__xludf.DUMMYFUNCTION("""COMPUTED_VALUE"""),500000.0)</f>
        <v>500000</v>
      </c>
      <c r="G6536" s="22">
        <f>IFERROR(__xludf.DUMMYFUNCTION("""COMPUTED_VALUE"""),0.0)</f>
        <v>0</v>
      </c>
      <c r="H6536" s="22">
        <f>IFERROR(__xludf.DUMMYFUNCTION("""COMPUTED_VALUE"""),500000.0)</f>
        <v>500000</v>
      </c>
      <c r="I6536" s="24">
        <f>IFERROR(__xludf.DUMMYFUNCTION("""COMPUTED_VALUE"""),0.0)</f>
        <v>0</v>
      </c>
    </row>
    <row r="6537">
      <c r="A6537" s="5" t="str">
        <f>IFERROR(__xludf.DUMMYFUNCTION("""COMPUTED_VALUE"""),"77603")</f>
        <v>77603</v>
      </c>
      <c r="B6537" s="64">
        <f>IFERROR(__xludf.DUMMYFUNCTION("""COMPUTED_VALUE"""),44630.0)</f>
        <v>44630</v>
      </c>
      <c r="C6537" s="5"/>
      <c r="D6537" s="5"/>
      <c r="E6537" s="5"/>
      <c r="F6537" s="22">
        <f>IFERROR(__xludf.DUMMYFUNCTION("""COMPUTED_VALUE"""),500000.0)</f>
        <v>500000</v>
      </c>
      <c r="G6537" s="22">
        <f>IFERROR(__xludf.DUMMYFUNCTION("""COMPUTED_VALUE"""),0.0)</f>
        <v>0</v>
      </c>
      <c r="H6537" s="22">
        <f>IFERROR(__xludf.DUMMYFUNCTION("""COMPUTED_VALUE"""),500000.0)</f>
        <v>500000</v>
      </c>
      <c r="I6537" s="24">
        <f>IFERROR(__xludf.DUMMYFUNCTION("""COMPUTED_VALUE"""),0.0)</f>
        <v>0</v>
      </c>
    </row>
    <row r="6538">
      <c r="A6538" s="5" t="str">
        <f>IFERROR(__xludf.DUMMYFUNCTION("""COMPUTED_VALUE"""),"77603")</f>
        <v>77603</v>
      </c>
      <c r="B6538" s="64">
        <f>IFERROR(__xludf.DUMMYFUNCTION("""COMPUTED_VALUE"""),44631.0)</f>
        <v>44631</v>
      </c>
      <c r="C6538" s="5"/>
      <c r="D6538" s="5"/>
      <c r="E6538" s="5"/>
      <c r="F6538" s="22">
        <f>IFERROR(__xludf.DUMMYFUNCTION("""COMPUTED_VALUE"""),500000.0)</f>
        <v>500000</v>
      </c>
      <c r="G6538" s="22">
        <f>IFERROR(__xludf.DUMMYFUNCTION("""COMPUTED_VALUE"""),0.0)</f>
        <v>0</v>
      </c>
      <c r="H6538" s="22">
        <f>IFERROR(__xludf.DUMMYFUNCTION("""COMPUTED_VALUE"""),500000.0)</f>
        <v>500000</v>
      </c>
      <c r="I6538" s="24">
        <f>IFERROR(__xludf.DUMMYFUNCTION("""COMPUTED_VALUE"""),0.0)</f>
        <v>0</v>
      </c>
    </row>
    <row r="6539">
      <c r="A6539" s="5" t="str">
        <f>IFERROR(__xludf.DUMMYFUNCTION("""COMPUTED_VALUE"""),"77603")</f>
        <v>77603</v>
      </c>
      <c r="B6539" s="64">
        <f>IFERROR(__xludf.DUMMYFUNCTION("""COMPUTED_VALUE"""),44632.0)</f>
        <v>44632</v>
      </c>
      <c r="C6539" s="5"/>
      <c r="D6539" s="5"/>
      <c r="E6539" s="5"/>
      <c r="F6539" s="22">
        <f>IFERROR(__xludf.DUMMYFUNCTION("""COMPUTED_VALUE"""),500000.0)</f>
        <v>500000</v>
      </c>
      <c r="G6539" s="22">
        <f>IFERROR(__xludf.DUMMYFUNCTION("""COMPUTED_VALUE"""),0.0)</f>
        <v>0</v>
      </c>
      <c r="H6539" s="22">
        <f>IFERROR(__xludf.DUMMYFUNCTION("""COMPUTED_VALUE"""),500000.0)</f>
        <v>500000</v>
      </c>
      <c r="I6539" s="24">
        <f>IFERROR(__xludf.DUMMYFUNCTION("""COMPUTED_VALUE"""),0.0)</f>
        <v>0</v>
      </c>
    </row>
    <row r="6540">
      <c r="A6540" s="5" t="str">
        <f>IFERROR(__xludf.DUMMYFUNCTION("""COMPUTED_VALUE"""),"77603")</f>
        <v>77603</v>
      </c>
      <c r="B6540" s="64">
        <f>IFERROR(__xludf.DUMMYFUNCTION("""COMPUTED_VALUE"""),44633.0)</f>
        <v>44633</v>
      </c>
      <c r="C6540" s="5"/>
      <c r="D6540" s="5"/>
      <c r="E6540" s="5"/>
      <c r="F6540" s="22">
        <f>IFERROR(__xludf.DUMMYFUNCTION("""COMPUTED_VALUE"""),500000.0)</f>
        <v>500000</v>
      </c>
      <c r="G6540" s="22">
        <f>IFERROR(__xludf.DUMMYFUNCTION("""COMPUTED_VALUE"""),0.0)</f>
        <v>0</v>
      </c>
      <c r="H6540" s="22">
        <f>IFERROR(__xludf.DUMMYFUNCTION("""COMPUTED_VALUE"""),500000.0)</f>
        <v>500000</v>
      </c>
      <c r="I6540" s="24">
        <f>IFERROR(__xludf.DUMMYFUNCTION("""COMPUTED_VALUE"""),0.0)</f>
        <v>0</v>
      </c>
    </row>
    <row r="6541">
      <c r="A6541" s="5" t="str">
        <f>IFERROR(__xludf.DUMMYFUNCTION("""COMPUTED_VALUE"""),"77603")</f>
        <v>77603</v>
      </c>
      <c r="B6541" s="64">
        <f>IFERROR(__xludf.DUMMYFUNCTION("""COMPUTED_VALUE"""),44634.0)</f>
        <v>44634</v>
      </c>
      <c r="C6541" s="5"/>
      <c r="D6541" s="5"/>
      <c r="E6541" s="5"/>
      <c r="F6541" s="22">
        <f>IFERROR(__xludf.DUMMYFUNCTION("""COMPUTED_VALUE"""),500000.0)</f>
        <v>500000</v>
      </c>
      <c r="G6541" s="22">
        <f>IFERROR(__xludf.DUMMYFUNCTION("""COMPUTED_VALUE"""),0.0)</f>
        <v>0</v>
      </c>
      <c r="H6541" s="22">
        <f>IFERROR(__xludf.DUMMYFUNCTION("""COMPUTED_VALUE"""),500000.0)</f>
        <v>500000</v>
      </c>
      <c r="I6541" s="24">
        <f>IFERROR(__xludf.DUMMYFUNCTION("""COMPUTED_VALUE"""),0.0)</f>
        <v>0</v>
      </c>
    </row>
    <row r="6542">
      <c r="A6542" s="5" t="str">
        <f>IFERROR(__xludf.DUMMYFUNCTION("""COMPUTED_VALUE"""),"77603")</f>
        <v>77603</v>
      </c>
      <c r="B6542" s="64">
        <f>IFERROR(__xludf.DUMMYFUNCTION("""COMPUTED_VALUE"""),44635.0)</f>
        <v>44635</v>
      </c>
      <c r="C6542" s="5"/>
      <c r="D6542" s="5"/>
      <c r="E6542" s="5"/>
      <c r="F6542" s="22">
        <f>IFERROR(__xludf.DUMMYFUNCTION("""COMPUTED_VALUE"""),500000.0)</f>
        <v>500000</v>
      </c>
      <c r="G6542" s="22">
        <f>IFERROR(__xludf.DUMMYFUNCTION("""COMPUTED_VALUE"""),0.0)</f>
        <v>0</v>
      </c>
      <c r="H6542" s="22">
        <f>IFERROR(__xludf.DUMMYFUNCTION("""COMPUTED_VALUE"""),471650.0)</f>
        <v>471650</v>
      </c>
      <c r="I6542" s="24">
        <f>IFERROR(__xludf.DUMMYFUNCTION("""COMPUTED_VALUE"""),-0.05669999999999997)</f>
        <v>-0.0567</v>
      </c>
    </row>
    <row r="6543">
      <c r="A6543" s="5" t="str">
        <f>IFERROR(__xludf.DUMMYFUNCTION("""COMPUTED_VALUE"""),"77603")</f>
        <v>77603</v>
      </c>
      <c r="B6543" s="64">
        <f>IFERROR(__xludf.DUMMYFUNCTION("""COMPUTED_VALUE"""),44636.0)</f>
        <v>44636</v>
      </c>
      <c r="C6543" s="5"/>
      <c r="D6543" s="5"/>
      <c r="E6543" s="5"/>
      <c r="F6543" s="22">
        <f>IFERROR(__xludf.DUMMYFUNCTION("""COMPUTED_VALUE"""),500000.0)</f>
        <v>500000</v>
      </c>
      <c r="G6543" s="22">
        <f>IFERROR(__xludf.DUMMYFUNCTION("""COMPUTED_VALUE"""),0.0)</f>
        <v>0</v>
      </c>
      <c r="H6543" s="22">
        <f>IFERROR(__xludf.DUMMYFUNCTION("""COMPUTED_VALUE"""),607800.0)</f>
        <v>607800</v>
      </c>
      <c r="I6543" s="24">
        <f>IFERROR(__xludf.DUMMYFUNCTION("""COMPUTED_VALUE"""),0.2156)</f>
        <v>0.2156</v>
      </c>
    </row>
    <row r="6544">
      <c r="A6544" s="5" t="str">
        <f>IFERROR(__xludf.DUMMYFUNCTION("""COMPUTED_VALUE"""),"77603")</f>
        <v>77603</v>
      </c>
      <c r="B6544" s="64">
        <f>IFERROR(__xludf.DUMMYFUNCTION("""COMPUTED_VALUE"""),44637.0)</f>
        <v>44637</v>
      </c>
      <c r="C6544" s="5"/>
      <c r="D6544" s="5"/>
      <c r="E6544" s="5"/>
      <c r="F6544" s="22">
        <f>IFERROR(__xludf.DUMMYFUNCTION("""COMPUTED_VALUE"""),500000.0)</f>
        <v>500000</v>
      </c>
      <c r="G6544" s="22">
        <f>IFERROR(__xludf.DUMMYFUNCTION("""COMPUTED_VALUE"""),0.0)</f>
        <v>0</v>
      </c>
      <c r="H6544" s="22">
        <f>IFERROR(__xludf.DUMMYFUNCTION("""COMPUTED_VALUE"""),603250.0)</f>
        <v>603250</v>
      </c>
      <c r="I6544" s="24">
        <f>IFERROR(__xludf.DUMMYFUNCTION("""COMPUTED_VALUE"""),0.2064999999999999)</f>
        <v>0.2065</v>
      </c>
    </row>
    <row r="6545">
      <c r="A6545" s="5" t="str">
        <f>IFERROR(__xludf.DUMMYFUNCTION("""COMPUTED_VALUE"""),"77603")</f>
        <v>77603</v>
      </c>
      <c r="B6545" s="64">
        <f>IFERROR(__xludf.DUMMYFUNCTION("""COMPUTED_VALUE"""),44638.0)</f>
        <v>44638</v>
      </c>
      <c r="C6545" s="5"/>
      <c r="D6545" s="5"/>
      <c r="E6545" s="5"/>
      <c r="F6545" s="22">
        <f>IFERROR(__xludf.DUMMYFUNCTION("""COMPUTED_VALUE"""),500000.0)</f>
        <v>500000</v>
      </c>
      <c r="G6545" s="22">
        <f>IFERROR(__xludf.DUMMYFUNCTION("""COMPUTED_VALUE"""),0.0)</f>
        <v>0</v>
      </c>
      <c r="H6545" s="22">
        <f>IFERROR(__xludf.DUMMYFUNCTION("""COMPUTED_VALUE"""),613400.0)</f>
        <v>613400</v>
      </c>
      <c r="I6545" s="24">
        <f>IFERROR(__xludf.DUMMYFUNCTION("""COMPUTED_VALUE"""),0.2267999999999999)</f>
        <v>0.2268</v>
      </c>
    </row>
    <row r="6546">
      <c r="A6546" s="5" t="str">
        <f>IFERROR(__xludf.DUMMYFUNCTION("""COMPUTED_VALUE"""),"77603")</f>
        <v>77603</v>
      </c>
      <c r="B6546" s="64">
        <f>IFERROR(__xludf.DUMMYFUNCTION("""COMPUTED_VALUE"""),44639.0)</f>
        <v>44639</v>
      </c>
      <c r="C6546" s="5"/>
      <c r="D6546" s="5"/>
      <c r="E6546" s="5"/>
      <c r="F6546" s="22">
        <f>IFERROR(__xludf.DUMMYFUNCTION("""COMPUTED_VALUE"""),500000.0)</f>
        <v>500000</v>
      </c>
      <c r="G6546" s="22">
        <f>IFERROR(__xludf.DUMMYFUNCTION("""COMPUTED_VALUE"""),0.0)</f>
        <v>0</v>
      </c>
      <c r="H6546" s="22">
        <f>IFERROR(__xludf.DUMMYFUNCTION("""COMPUTED_VALUE"""),613400.0)</f>
        <v>613400</v>
      </c>
      <c r="I6546" s="24">
        <f>IFERROR(__xludf.DUMMYFUNCTION("""COMPUTED_VALUE"""),0.2267999999999999)</f>
        <v>0.2268</v>
      </c>
    </row>
    <row r="6547">
      <c r="A6547" s="5" t="str">
        <f>IFERROR(__xludf.DUMMYFUNCTION("""COMPUTED_VALUE"""),"77603")</f>
        <v>77603</v>
      </c>
      <c r="B6547" s="64">
        <f>IFERROR(__xludf.DUMMYFUNCTION("""COMPUTED_VALUE"""),44640.0)</f>
        <v>44640</v>
      </c>
      <c r="C6547" s="5"/>
      <c r="D6547" s="5"/>
      <c r="E6547" s="5"/>
      <c r="F6547" s="22">
        <f>IFERROR(__xludf.DUMMYFUNCTION("""COMPUTED_VALUE"""),500000.0)</f>
        <v>500000</v>
      </c>
      <c r="G6547" s="22">
        <f>IFERROR(__xludf.DUMMYFUNCTION("""COMPUTED_VALUE"""),0.0)</f>
        <v>0</v>
      </c>
      <c r="H6547" s="22">
        <f>IFERROR(__xludf.DUMMYFUNCTION("""COMPUTED_VALUE"""),613400.0)</f>
        <v>613400</v>
      </c>
      <c r="I6547" s="24">
        <f>IFERROR(__xludf.DUMMYFUNCTION("""COMPUTED_VALUE"""),0.2267999999999999)</f>
        <v>0.2268</v>
      </c>
    </row>
    <row r="6548">
      <c r="A6548" s="5" t="str">
        <f>IFERROR(__xludf.DUMMYFUNCTION("""COMPUTED_VALUE"""),"77603")</f>
        <v>77603</v>
      </c>
      <c r="B6548" s="64">
        <f>IFERROR(__xludf.DUMMYFUNCTION("""COMPUTED_VALUE"""),44641.0)</f>
        <v>44641</v>
      </c>
      <c r="C6548" s="5"/>
      <c r="D6548" s="5"/>
      <c r="E6548" s="5"/>
      <c r="F6548" s="22">
        <f>IFERROR(__xludf.DUMMYFUNCTION("""COMPUTED_VALUE"""),500000.0)</f>
        <v>500000</v>
      </c>
      <c r="G6548" s="22">
        <f>IFERROR(__xludf.DUMMYFUNCTION("""COMPUTED_VALUE"""),0.0)</f>
        <v>0</v>
      </c>
      <c r="H6548" s="22">
        <f>IFERROR(__xludf.DUMMYFUNCTION("""COMPUTED_VALUE"""),581200.0)</f>
        <v>581200</v>
      </c>
      <c r="I6548" s="24">
        <f>IFERROR(__xludf.DUMMYFUNCTION("""COMPUTED_VALUE"""),0.1624000000000001)</f>
        <v>0.1624</v>
      </c>
    </row>
    <row r="6549">
      <c r="A6549" s="5" t="str">
        <f>IFERROR(__xludf.DUMMYFUNCTION("""COMPUTED_VALUE"""),"77603")</f>
        <v>77603</v>
      </c>
      <c r="B6549" s="64">
        <f>IFERROR(__xludf.DUMMYFUNCTION("""COMPUTED_VALUE"""),44642.0)</f>
        <v>44642</v>
      </c>
      <c r="C6549" s="5"/>
      <c r="D6549" s="5"/>
      <c r="E6549" s="5"/>
      <c r="F6549" s="22">
        <f>IFERROR(__xludf.DUMMYFUNCTION("""COMPUTED_VALUE"""),500000.0)</f>
        <v>500000</v>
      </c>
      <c r="G6549" s="22">
        <f>IFERROR(__xludf.DUMMYFUNCTION("""COMPUTED_VALUE"""),0.0)</f>
        <v>0</v>
      </c>
      <c r="H6549" s="22">
        <f>IFERROR(__xludf.DUMMYFUNCTION("""COMPUTED_VALUE"""),606750.0)</f>
        <v>606750</v>
      </c>
      <c r="I6549" s="24">
        <f>IFERROR(__xludf.DUMMYFUNCTION("""COMPUTED_VALUE"""),0.21350000000000002)</f>
        <v>0.2135</v>
      </c>
    </row>
    <row r="6550">
      <c r="A6550" s="5" t="str">
        <f>IFERROR(__xludf.DUMMYFUNCTION("""COMPUTED_VALUE"""),"77603")</f>
        <v>77603</v>
      </c>
      <c r="B6550" s="64">
        <f>IFERROR(__xludf.DUMMYFUNCTION("""COMPUTED_VALUE"""),44643.0)</f>
        <v>44643</v>
      </c>
      <c r="C6550" s="5"/>
      <c r="D6550" s="5"/>
      <c r="E6550" s="5"/>
      <c r="F6550" s="22">
        <f>IFERROR(__xludf.DUMMYFUNCTION("""COMPUTED_VALUE"""),500000.0)</f>
        <v>500000</v>
      </c>
      <c r="G6550" s="22">
        <f>IFERROR(__xludf.DUMMYFUNCTION("""COMPUTED_VALUE"""),0.0)</f>
        <v>0</v>
      </c>
      <c r="H6550" s="22">
        <f>IFERROR(__xludf.DUMMYFUNCTION("""COMPUTED_VALUE"""),640000.0)</f>
        <v>640000</v>
      </c>
      <c r="I6550" s="24">
        <f>IFERROR(__xludf.DUMMYFUNCTION("""COMPUTED_VALUE"""),0.28)</f>
        <v>0.28</v>
      </c>
    </row>
    <row r="6551">
      <c r="A6551" s="5" t="str">
        <f>IFERROR(__xludf.DUMMYFUNCTION("""COMPUTED_VALUE"""),"77603")</f>
        <v>77603</v>
      </c>
      <c r="B6551" s="64">
        <f>IFERROR(__xludf.DUMMYFUNCTION("""COMPUTED_VALUE"""),44644.0)</f>
        <v>44644</v>
      </c>
      <c r="C6551" s="5"/>
      <c r="D6551" s="5"/>
      <c r="E6551" s="5"/>
      <c r="F6551" s="22">
        <f>IFERROR(__xludf.DUMMYFUNCTION("""COMPUTED_VALUE"""),500000.0)</f>
        <v>500000</v>
      </c>
      <c r="G6551" s="22">
        <f>IFERROR(__xludf.DUMMYFUNCTION("""COMPUTED_VALUE"""),0.0)</f>
        <v>0</v>
      </c>
      <c r="H6551" s="22">
        <f>IFERROR(__xludf.DUMMYFUNCTION("""COMPUTED_VALUE"""),617250.0)</f>
        <v>617250</v>
      </c>
      <c r="I6551" s="24">
        <f>IFERROR(__xludf.DUMMYFUNCTION("""COMPUTED_VALUE"""),0.23449999999999993)</f>
        <v>0.2345</v>
      </c>
    </row>
    <row r="6552">
      <c r="A6552" s="5" t="str">
        <f>IFERROR(__xludf.DUMMYFUNCTION("""COMPUTED_VALUE"""),"77603")</f>
        <v>77603</v>
      </c>
      <c r="B6552" s="64">
        <f>IFERROR(__xludf.DUMMYFUNCTION("""COMPUTED_VALUE"""),44645.0)</f>
        <v>44645</v>
      </c>
      <c r="C6552" s="5"/>
      <c r="D6552" s="5"/>
      <c r="E6552" s="5"/>
      <c r="F6552" s="22">
        <f>IFERROR(__xludf.DUMMYFUNCTION("""COMPUTED_VALUE"""),500000.0)</f>
        <v>500000</v>
      </c>
      <c r="G6552" s="22">
        <f>IFERROR(__xludf.DUMMYFUNCTION("""COMPUTED_VALUE"""),0.0)</f>
        <v>0</v>
      </c>
      <c r="H6552" s="22">
        <f>IFERROR(__xludf.DUMMYFUNCTION("""COMPUTED_VALUE"""),573850.0)</f>
        <v>573850</v>
      </c>
      <c r="I6552" s="24">
        <f>IFERROR(__xludf.DUMMYFUNCTION("""COMPUTED_VALUE"""),0.14769999999999994)</f>
        <v>0.1477</v>
      </c>
    </row>
    <row r="6553">
      <c r="A6553" s="5" t="str">
        <f>IFERROR(__xludf.DUMMYFUNCTION("""COMPUTED_VALUE"""),"77603")</f>
        <v>77603</v>
      </c>
      <c r="B6553" s="64">
        <f>IFERROR(__xludf.DUMMYFUNCTION("""COMPUTED_VALUE"""),44646.0)</f>
        <v>44646</v>
      </c>
      <c r="C6553" s="5"/>
      <c r="D6553" s="5"/>
      <c r="E6553" s="5"/>
      <c r="F6553" s="22">
        <f>IFERROR(__xludf.DUMMYFUNCTION("""COMPUTED_VALUE"""),500000.0)</f>
        <v>500000</v>
      </c>
      <c r="G6553" s="22">
        <f>IFERROR(__xludf.DUMMYFUNCTION("""COMPUTED_VALUE"""),0.0)</f>
        <v>0</v>
      </c>
      <c r="H6553" s="22">
        <f>IFERROR(__xludf.DUMMYFUNCTION("""COMPUTED_VALUE"""),573850.0)</f>
        <v>573850</v>
      </c>
      <c r="I6553" s="24">
        <f>IFERROR(__xludf.DUMMYFUNCTION("""COMPUTED_VALUE"""),0.14769999999999994)</f>
        <v>0.1477</v>
      </c>
    </row>
    <row r="6554">
      <c r="A6554" s="5" t="str">
        <f>IFERROR(__xludf.DUMMYFUNCTION("""COMPUTED_VALUE"""),"77603")</f>
        <v>77603</v>
      </c>
      <c r="B6554" s="64">
        <f>IFERROR(__xludf.DUMMYFUNCTION("""COMPUTED_VALUE"""),44647.0)</f>
        <v>44647</v>
      </c>
      <c r="C6554" s="5"/>
      <c r="D6554" s="5"/>
      <c r="E6554" s="5"/>
      <c r="F6554" s="22">
        <f>IFERROR(__xludf.DUMMYFUNCTION("""COMPUTED_VALUE"""),500000.0)</f>
        <v>500000</v>
      </c>
      <c r="G6554" s="22">
        <f>IFERROR(__xludf.DUMMYFUNCTION("""COMPUTED_VALUE"""),0.0)</f>
        <v>0</v>
      </c>
      <c r="H6554" s="22">
        <f>IFERROR(__xludf.DUMMYFUNCTION("""COMPUTED_VALUE"""),573850.0)</f>
        <v>573850</v>
      </c>
      <c r="I6554" s="24">
        <f>IFERROR(__xludf.DUMMYFUNCTION("""COMPUTED_VALUE"""),0.14769999999999994)</f>
        <v>0.1477</v>
      </c>
    </row>
    <row r="6555">
      <c r="A6555" s="5" t="str">
        <f>IFERROR(__xludf.DUMMYFUNCTION("""COMPUTED_VALUE"""),"77603")</f>
        <v>77603</v>
      </c>
      <c r="B6555" s="64">
        <f>IFERROR(__xludf.DUMMYFUNCTION("""COMPUTED_VALUE"""),44648.0)</f>
        <v>44648</v>
      </c>
      <c r="C6555" s="5"/>
      <c r="D6555" s="5"/>
      <c r="E6555" s="5"/>
      <c r="F6555" s="22">
        <f>IFERROR(__xludf.DUMMYFUNCTION("""COMPUTED_VALUE"""),500000.0)</f>
        <v>500000</v>
      </c>
      <c r="G6555" s="22">
        <f>IFERROR(__xludf.DUMMYFUNCTION("""COMPUTED_VALUE"""),0.0)</f>
        <v>0</v>
      </c>
      <c r="H6555" s="22">
        <f>IFERROR(__xludf.DUMMYFUNCTION("""COMPUTED_VALUE"""),603950.0)</f>
        <v>603950</v>
      </c>
      <c r="I6555" s="24">
        <f>IFERROR(__xludf.DUMMYFUNCTION("""COMPUTED_VALUE"""),0.20789999999999997)</f>
        <v>0.2079</v>
      </c>
    </row>
    <row r="6556">
      <c r="A6556" s="5" t="str">
        <f>IFERROR(__xludf.DUMMYFUNCTION("""COMPUTED_VALUE"""),"77603")</f>
        <v>77603</v>
      </c>
      <c r="B6556" s="64">
        <f>IFERROR(__xludf.DUMMYFUNCTION("""COMPUTED_VALUE"""),44649.0)</f>
        <v>44649</v>
      </c>
      <c r="C6556" s="5"/>
      <c r="D6556" s="5"/>
      <c r="E6556" s="5"/>
      <c r="F6556" s="22">
        <f>IFERROR(__xludf.DUMMYFUNCTION("""COMPUTED_VALUE"""),500000.0)</f>
        <v>500000</v>
      </c>
      <c r="G6556" s="22">
        <f>IFERROR(__xludf.DUMMYFUNCTION("""COMPUTED_VALUE"""),0.0)</f>
        <v>0</v>
      </c>
      <c r="H6556" s="22">
        <f>IFERROR(__xludf.DUMMYFUNCTION("""COMPUTED_VALUE"""),628100.0)</f>
        <v>628100</v>
      </c>
      <c r="I6556" s="24">
        <f>IFERROR(__xludf.DUMMYFUNCTION("""COMPUTED_VALUE"""),0.2562)</f>
        <v>0.2562</v>
      </c>
    </row>
    <row r="6557">
      <c r="A6557" s="5" t="str">
        <f>IFERROR(__xludf.DUMMYFUNCTION("""COMPUTED_VALUE"""),"77603")</f>
        <v>77603</v>
      </c>
      <c r="B6557" s="64">
        <f>IFERROR(__xludf.DUMMYFUNCTION("""COMPUTED_VALUE"""),44650.0)</f>
        <v>44650</v>
      </c>
      <c r="C6557" s="5"/>
      <c r="D6557" s="5"/>
      <c r="E6557" s="5"/>
      <c r="F6557" s="22">
        <f>IFERROR(__xludf.DUMMYFUNCTION("""COMPUTED_VALUE"""),500000.0)</f>
        <v>500000</v>
      </c>
      <c r="G6557" s="22">
        <f>IFERROR(__xludf.DUMMYFUNCTION("""COMPUTED_VALUE"""),0.0)</f>
        <v>0</v>
      </c>
      <c r="H6557" s="22">
        <f>IFERROR(__xludf.DUMMYFUNCTION("""COMPUTED_VALUE"""),593800.0)</f>
        <v>593800</v>
      </c>
      <c r="I6557" s="24">
        <f>IFERROR(__xludf.DUMMYFUNCTION("""COMPUTED_VALUE"""),0.1876)</f>
        <v>0.1876</v>
      </c>
    </row>
    <row r="6558">
      <c r="A6558" s="5" t="str">
        <f>IFERROR(__xludf.DUMMYFUNCTION("""COMPUTED_VALUE"""),"77603")</f>
        <v>77603</v>
      </c>
      <c r="B6558" s="64">
        <f>IFERROR(__xludf.DUMMYFUNCTION("""COMPUTED_VALUE"""),44651.0)</f>
        <v>44651</v>
      </c>
      <c r="C6558" s="5"/>
      <c r="D6558" s="5"/>
      <c r="E6558" s="5"/>
      <c r="F6558" s="22">
        <f>IFERROR(__xludf.DUMMYFUNCTION("""COMPUTED_VALUE"""),500000.0)</f>
        <v>500000</v>
      </c>
      <c r="G6558" s="22">
        <f>IFERROR(__xludf.DUMMYFUNCTION("""COMPUTED_VALUE"""),0.0)</f>
        <v>0</v>
      </c>
      <c r="H6558" s="22">
        <f>IFERROR(__xludf.DUMMYFUNCTION("""COMPUTED_VALUE"""),598000.0)</f>
        <v>598000</v>
      </c>
      <c r="I6558" s="24">
        <f>IFERROR(__xludf.DUMMYFUNCTION("""COMPUTED_VALUE"""),0.19599999999999995)</f>
        <v>0.196</v>
      </c>
    </row>
    <row r="6559">
      <c r="A6559" s="5" t="str">
        <f>IFERROR(__xludf.DUMMYFUNCTION("""COMPUTED_VALUE"""),"77603")</f>
        <v>77603</v>
      </c>
      <c r="B6559" s="64">
        <f>IFERROR(__xludf.DUMMYFUNCTION("""COMPUTED_VALUE"""),44652.0)</f>
        <v>44652</v>
      </c>
      <c r="C6559" s="5"/>
      <c r="D6559" s="5"/>
      <c r="E6559" s="5"/>
      <c r="F6559" s="22">
        <f>IFERROR(__xludf.DUMMYFUNCTION("""COMPUTED_VALUE"""),500000.0)</f>
        <v>500000</v>
      </c>
      <c r="G6559" s="22">
        <f>IFERROR(__xludf.DUMMYFUNCTION("""COMPUTED_VALUE"""),0.0)</f>
        <v>0</v>
      </c>
      <c r="H6559" s="22">
        <f>IFERROR(__xludf.DUMMYFUNCTION("""COMPUTED_VALUE"""),590300.0)</f>
        <v>590300</v>
      </c>
      <c r="I6559" s="24">
        <f>IFERROR(__xludf.DUMMYFUNCTION("""COMPUTED_VALUE"""),0.1806000000000001)</f>
        <v>0.1806</v>
      </c>
    </row>
    <row r="6560">
      <c r="A6560" s="5" t="str">
        <f>IFERROR(__xludf.DUMMYFUNCTION("""COMPUTED_VALUE"""),"77603")</f>
        <v>77603</v>
      </c>
      <c r="B6560" s="64">
        <f>IFERROR(__xludf.DUMMYFUNCTION("""COMPUTED_VALUE"""),44653.0)</f>
        <v>44653</v>
      </c>
      <c r="C6560" s="5"/>
      <c r="D6560" s="5"/>
      <c r="E6560" s="5"/>
      <c r="F6560" s="22">
        <f>IFERROR(__xludf.DUMMYFUNCTION("""COMPUTED_VALUE"""),500000.0)</f>
        <v>500000</v>
      </c>
      <c r="G6560" s="22">
        <f>IFERROR(__xludf.DUMMYFUNCTION("""COMPUTED_VALUE"""),0.0)</f>
        <v>0</v>
      </c>
      <c r="H6560" s="22">
        <f>IFERROR(__xludf.DUMMYFUNCTION("""COMPUTED_VALUE"""),590300.0)</f>
        <v>590300</v>
      </c>
      <c r="I6560" s="24">
        <f>IFERROR(__xludf.DUMMYFUNCTION("""COMPUTED_VALUE"""),0.1806000000000001)</f>
        <v>0.1806</v>
      </c>
    </row>
    <row r="6561">
      <c r="A6561" s="5" t="str">
        <f>IFERROR(__xludf.DUMMYFUNCTION("""COMPUTED_VALUE"""),"77603")</f>
        <v>77603</v>
      </c>
      <c r="B6561" s="64">
        <f>IFERROR(__xludf.DUMMYFUNCTION("""COMPUTED_VALUE"""),44654.0)</f>
        <v>44654</v>
      </c>
      <c r="C6561" s="5"/>
      <c r="D6561" s="5"/>
      <c r="E6561" s="5"/>
      <c r="F6561" s="22">
        <f>IFERROR(__xludf.DUMMYFUNCTION("""COMPUTED_VALUE"""),500000.0)</f>
        <v>500000</v>
      </c>
      <c r="G6561" s="22">
        <f>IFERROR(__xludf.DUMMYFUNCTION("""COMPUTED_VALUE"""),0.0)</f>
        <v>0</v>
      </c>
      <c r="H6561" s="22">
        <f>IFERROR(__xludf.DUMMYFUNCTION("""COMPUTED_VALUE"""),590300.0)</f>
        <v>590300</v>
      </c>
      <c r="I6561" s="24">
        <f>IFERROR(__xludf.DUMMYFUNCTION("""COMPUTED_VALUE"""),0.1806000000000001)</f>
        <v>0.1806</v>
      </c>
    </row>
    <row r="6562">
      <c r="A6562" s="5" t="str">
        <f>IFERROR(__xludf.DUMMYFUNCTION("""COMPUTED_VALUE"""),"77603")</f>
        <v>77603</v>
      </c>
      <c r="B6562" s="64">
        <f>IFERROR(__xludf.DUMMYFUNCTION("""COMPUTED_VALUE"""),44655.0)</f>
        <v>44655</v>
      </c>
      <c r="C6562" s="5"/>
      <c r="D6562" s="5"/>
      <c r="E6562" s="5"/>
      <c r="F6562" s="22">
        <f>IFERROR(__xludf.DUMMYFUNCTION("""COMPUTED_VALUE"""),500000.0)</f>
        <v>500000</v>
      </c>
      <c r="G6562" s="22">
        <f>IFERROR(__xludf.DUMMYFUNCTION("""COMPUTED_VALUE"""),0.0)</f>
        <v>0</v>
      </c>
      <c r="H6562" s="22">
        <f>IFERROR(__xludf.DUMMYFUNCTION("""COMPUTED_VALUE"""),635100.0)</f>
        <v>635100</v>
      </c>
      <c r="I6562" s="24">
        <f>IFERROR(__xludf.DUMMYFUNCTION("""COMPUTED_VALUE"""),0.2702)</f>
        <v>0.2702</v>
      </c>
    </row>
    <row r="6563">
      <c r="A6563" s="5" t="str">
        <f>IFERROR(__xludf.DUMMYFUNCTION("""COMPUTED_VALUE"""),"77603")</f>
        <v>77603</v>
      </c>
      <c r="B6563" s="64">
        <f>IFERROR(__xludf.DUMMYFUNCTION("""COMPUTED_VALUE"""),44656.0)</f>
        <v>44656</v>
      </c>
      <c r="C6563" s="5"/>
      <c r="D6563" s="5"/>
      <c r="E6563" s="5"/>
      <c r="F6563" s="22">
        <f>IFERROR(__xludf.DUMMYFUNCTION("""COMPUTED_VALUE"""),500000.0)</f>
        <v>500000</v>
      </c>
      <c r="G6563" s="22">
        <f>IFERROR(__xludf.DUMMYFUNCTION("""COMPUTED_VALUE"""),0.0)</f>
        <v>0</v>
      </c>
      <c r="H6563" s="22">
        <f>IFERROR(__xludf.DUMMYFUNCTION("""COMPUTED_VALUE"""),635100.0)</f>
        <v>635100</v>
      </c>
      <c r="I6563" s="24">
        <f>IFERROR(__xludf.DUMMYFUNCTION("""COMPUTED_VALUE"""),0.2702)</f>
        <v>0.2702</v>
      </c>
    </row>
    <row r="6564">
      <c r="A6564" s="5" t="str">
        <f>IFERROR(__xludf.DUMMYFUNCTION("""COMPUTED_VALUE"""),"77603")</f>
        <v>77603</v>
      </c>
      <c r="B6564" s="64">
        <f>IFERROR(__xludf.DUMMYFUNCTION("""COMPUTED_VALUE"""),44657.0)</f>
        <v>44657</v>
      </c>
      <c r="C6564" s="5"/>
      <c r="D6564" s="5"/>
      <c r="E6564" s="5"/>
      <c r="F6564" s="22">
        <f>IFERROR(__xludf.DUMMYFUNCTION("""COMPUTED_VALUE"""),500000.0)</f>
        <v>500000</v>
      </c>
      <c r="G6564" s="22">
        <f>IFERROR(__xludf.DUMMYFUNCTION("""COMPUTED_VALUE"""),0.0)</f>
        <v>0</v>
      </c>
      <c r="H6564" s="22">
        <f>IFERROR(__xludf.DUMMYFUNCTION("""COMPUTED_VALUE"""),605700.0)</f>
        <v>605700</v>
      </c>
      <c r="I6564" s="24">
        <f>IFERROR(__xludf.DUMMYFUNCTION("""COMPUTED_VALUE"""),0.21140000000000003)</f>
        <v>0.2114</v>
      </c>
    </row>
    <row r="6565">
      <c r="A6565" s="5" t="str">
        <f>IFERROR(__xludf.DUMMYFUNCTION("""COMPUTED_VALUE"""),"77603")</f>
        <v>77603</v>
      </c>
      <c r="B6565" s="64">
        <f>IFERROR(__xludf.DUMMYFUNCTION("""COMPUTED_VALUE"""),44658.0)</f>
        <v>44658</v>
      </c>
      <c r="C6565" s="5"/>
      <c r="D6565" s="5"/>
      <c r="E6565" s="5"/>
      <c r="F6565" s="22">
        <f>IFERROR(__xludf.DUMMYFUNCTION("""COMPUTED_VALUE"""),500000.0)</f>
        <v>500000</v>
      </c>
      <c r="G6565" s="22">
        <f>IFERROR(__xludf.DUMMYFUNCTION("""COMPUTED_VALUE"""),0.0)</f>
        <v>0</v>
      </c>
      <c r="H6565" s="22">
        <f>IFERROR(__xludf.DUMMYFUNCTION("""COMPUTED_VALUE"""),583050.0)</f>
        <v>583050</v>
      </c>
      <c r="I6565" s="24">
        <f>IFERROR(__xludf.DUMMYFUNCTION("""COMPUTED_VALUE"""),0.16609999999999991)</f>
        <v>0.1661</v>
      </c>
    </row>
    <row r="6566">
      <c r="A6566" s="5" t="str">
        <f>IFERROR(__xludf.DUMMYFUNCTION("""COMPUTED_VALUE"""),"77603")</f>
        <v>77603</v>
      </c>
      <c r="B6566" s="64">
        <f>IFERROR(__xludf.DUMMYFUNCTION("""COMPUTED_VALUE"""),44659.0)</f>
        <v>44659</v>
      </c>
      <c r="C6566" s="5"/>
      <c r="D6566" s="5"/>
      <c r="E6566" s="5"/>
      <c r="F6566" s="22">
        <f>IFERROR(__xludf.DUMMYFUNCTION("""COMPUTED_VALUE"""),500000.0)</f>
        <v>500000</v>
      </c>
      <c r="G6566" s="22">
        <f>IFERROR(__xludf.DUMMYFUNCTION("""COMPUTED_VALUE"""),0.0)</f>
        <v>0</v>
      </c>
      <c r="H6566" s="22">
        <f>IFERROR(__xludf.DUMMYFUNCTION("""COMPUTED_VALUE"""),570950.0)</f>
        <v>570950</v>
      </c>
      <c r="I6566" s="24">
        <f>IFERROR(__xludf.DUMMYFUNCTION("""COMPUTED_VALUE"""),0.14189999999999992)</f>
        <v>0.1419</v>
      </c>
    </row>
    <row r="6567">
      <c r="A6567" s="5" t="str">
        <f>IFERROR(__xludf.DUMMYFUNCTION("""COMPUTED_VALUE"""),"77603")</f>
        <v>77603</v>
      </c>
      <c r="B6567" s="64">
        <f>IFERROR(__xludf.DUMMYFUNCTION("""COMPUTED_VALUE"""),44660.0)</f>
        <v>44660</v>
      </c>
      <c r="C6567" s="5"/>
      <c r="D6567" s="5"/>
      <c r="E6567" s="5"/>
      <c r="F6567" s="22">
        <f>IFERROR(__xludf.DUMMYFUNCTION("""COMPUTED_VALUE"""),500000.0)</f>
        <v>500000</v>
      </c>
      <c r="G6567" s="22">
        <f>IFERROR(__xludf.DUMMYFUNCTION("""COMPUTED_VALUE"""),0.0)</f>
        <v>0</v>
      </c>
      <c r="H6567" s="22">
        <f>IFERROR(__xludf.DUMMYFUNCTION("""COMPUTED_VALUE"""),570950.0)</f>
        <v>570950</v>
      </c>
      <c r="I6567" s="24">
        <f>IFERROR(__xludf.DUMMYFUNCTION("""COMPUTED_VALUE"""),0.14189999999999992)</f>
        <v>0.1419</v>
      </c>
    </row>
    <row r="6568">
      <c r="A6568" s="5" t="str">
        <f>IFERROR(__xludf.DUMMYFUNCTION("""COMPUTED_VALUE"""),"77603")</f>
        <v>77603</v>
      </c>
      <c r="B6568" s="64">
        <f>IFERROR(__xludf.DUMMYFUNCTION("""COMPUTED_VALUE"""),44661.0)</f>
        <v>44661</v>
      </c>
      <c r="C6568" s="5"/>
      <c r="D6568" s="5"/>
      <c r="E6568" s="5"/>
      <c r="F6568" s="22">
        <f>IFERROR(__xludf.DUMMYFUNCTION("""COMPUTED_VALUE"""),500000.0)</f>
        <v>500000</v>
      </c>
      <c r="G6568" s="22">
        <f>IFERROR(__xludf.DUMMYFUNCTION("""COMPUTED_VALUE"""),0.0)</f>
        <v>0</v>
      </c>
      <c r="H6568" s="22">
        <f>IFERROR(__xludf.DUMMYFUNCTION("""COMPUTED_VALUE"""),570950.0)</f>
        <v>570950</v>
      </c>
      <c r="I6568" s="24">
        <f>IFERROR(__xludf.DUMMYFUNCTION("""COMPUTED_VALUE"""),0.14189999999999992)</f>
        <v>0.1419</v>
      </c>
    </row>
    <row r="6569">
      <c r="A6569" s="5" t="str">
        <f>IFERROR(__xludf.DUMMYFUNCTION("""COMPUTED_VALUE"""),"77603")</f>
        <v>77603</v>
      </c>
      <c r="B6569" s="64">
        <f>IFERROR(__xludf.DUMMYFUNCTION("""COMPUTED_VALUE"""),44662.0)</f>
        <v>44662</v>
      </c>
      <c r="C6569" s="5"/>
      <c r="D6569" s="5"/>
      <c r="E6569" s="5"/>
      <c r="F6569" s="22">
        <f>IFERROR(__xludf.DUMMYFUNCTION("""COMPUTED_VALUE"""),500000.0)</f>
        <v>500000</v>
      </c>
      <c r="G6569" s="22">
        <f>IFERROR(__xludf.DUMMYFUNCTION("""COMPUTED_VALUE"""),0.0)</f>
        <v>0</v>
      </c>
      <c r="H6569" s="22">
        <f>IFERROR(__xludf.DUMMYFUNCTION("""COMPUTED_VALUE"""),537200.0)</f>
        <v>537200</v>
      </c>
      <c r="I6569" s="24">
        <f>IFERROR(__xludf.DUMMYFUNCTION("""COMPUTED_VALUE"""),0.07440000000000002)</f>
        <v>0.0744</v>
      </c>
    </row>
    <row r="6570">
      <c r="A6570" s="5" t="str">
        <f>IFERROR(__xludf.DUMMYFUNCTION("""COMPUTED_VALUE"""),"77603")</f>
        <v>77603</v>
      </c>
      <c r="B6570" s="64">
        <f>IFERROR(__xludf.DUMMYFUNCTION("""COMPUTED_VALUE"""),44663.0)</f>
        <v>44663</v>
      </c>
      <c r="C6570" s="5"/>
      <c r="D6570" s="5"/>
      <c r="E6570" s="5"/>
      <c r="F6570" s="22">
        <f>IFERROR(__xludf.DUMMYFUNCTION("""COMPUTED_VALUE"""),500000.0)</f>
        <v>500000</v>
      </c>
      <c r="G6570" s="22">
        <f>IFERROR(__xludf.DUMMYFUNCTION("""COMPUTED_VALUE"""),0.0)</f>
        <v>0</v>
      </c>
      <c r="H6570" s="22">
        <f>IFERROR(__xludf.DUMMYFUNCTION("""COMPUTED_VALUE"""),503800.0)</f>
        <v>503800</v>
      </c>
      <c r="I6570" s="24">
        <f>IFERROR(__xludf.DUMMYFUNCTION("""COMPUTED_VALUE"""),0.007600000000000051)</f>
        <v>0.0076</v>
      </c>
    </row>
    <row r="6571">
      <c r="A6571" s="5" t="str">
        <f>IFERROR(__xludf.DUMMYFUNCTION("""COMPUTED_VALUE"""),"77665")</f>
        <v>77665</v>
      </c>
      <c r="B6571" s="64">
        <f>IFERROR(__xludf.DUMMYFUNCTION("""COMPUTED_VALUE"""),44597.0)</f>
        <v>44597</v>
      </c>
      <c r="C6571" s="5"/>
      <c r="D6571" s="5"/>
      <c r="E6571" s="5"/>
      <c r="F6571" s="22">
        <f>IFERROR(__xludf.DUMMYFUNCTION("""COMPUTED_VALUE"""),500000.0)</f>
        <v>500000</v>
      </c>
      <c r="G6571" s="22">
        <f>IFERROR(__xludf.DUMMYFUNCTION("""COMPUTED_VALUE"""),0.0)</f>
        <v>0</v>
      </c>
      <c r="H6571" s="22">
        <f>IFERROR(__xludf.DUMMYFUNCTION("""COMPUTED_VALUE"""),500000.0)</f>
        <v>500000</v>
      </c>
      <c r="I6571" s="24">
        <f>IFERROR(__xludf.DUMMYFUNCTION("""COMPUTED_VALUE"""),0.0)</f>
        <v>0</v>
      </c>
    </row>
    <row r="6572">
      <c r="A6572" s="5" t="str">
        <f>IFERROR(__xludf.DUMMYFUNCTION("""COMPUTED_VALUE"""),"77665")</f>
        <v>77665</v>
      </c>
      <c r="B6572" s="64">
        <f>IFERROR(__xludf.DUMMYFUNCTION("""COMPUTED_VALUE"""),44598.0)</f>
        <v>44598</v>
      </c>
      <c r="C6572" s="5"/>
      <c r="D6572" s="5"/>
      <c r="E6572" s="5"/>
      <c r="F6572" s="22">
        <f>IFERROR(__xludf.DUMMYFUNCTION("""COMPUTED_VALUE"""),500000.0)</f>
        <v>500000</v>
      </c>
      <c r="G6572" s="22">
        <f>IFERROR(__xludf.DUMMYFUNCTION("""COMPUTED_VALUE"""),0.0)</f>
        <v>0</v>
      </c>
      <c r="H6572" s="22">
        <f>IFERROR(__xludf.DUMMYFUNCTION("""COMPUTED_VALUE"""),500000.0)</f>
        <v>500000</v>
      </c>
      <c r="I6572" s="24">
        <f>IFERROR(__xludf.DUMMYFUNCTION("""COMPUTED_VALUE"""),0.0)</f>
        <v>0</v>
      </c>
    </row>
    <row r="6573">
      <c r="A6573" s="5" t="str">
        <f>IFERROR(__xludf.DUMMYFUNCTION("""COMPUTED_VALUE"""),"77665")</f>
        <v>77665</v>
      </c>
      <c r="B6573" s="64">
        <f>IFERROR(__xludf.DUMMYFUNCTION("""COMPUTED_VALUE"""),44599.0)</f>
        <v>44599</v>
      </c>
      <c r="C6573" s="5"/>
      <c r="D6573" s="5"/>
      <c r="E6573" s="5"/>
      <c r="F6573" s="22">
        <f>IFERROR(__xludf.DUMMYFUNCTION("""COMPUTED_VALUE"""),500000.0)</f>
        <v>500000</v>
      </c>
      <c r="G6573" s="22">
        <f>IFERROR(__xludf.DUMMYFUNCTION("""COMPUTED_VALUE"""),0.0)</f>
        <v>0</v>
      </c>
      <c r="H6573" s="22">
        <f>IFERROR(__xludf.DUMMYFUNCTION("""COMPUTED_VALUE"""),500000.0)</f>
        <v>500000</v>
      </c>
      <c r="I6573" s="24">
        <f>IFERROR(__xludf.DUMMYFUNCTION("""COMPUTED_VALUE"""),0.0)</f>
        <v>0</v>
      </c>
    </row>
    <row r="6574">
      <c r="A6574" s="5" t="str">
        <f>IFERROR(__xludf.DUMMYFUNCTION("""COMPUTED_VALUE"""),"77665")</f>
        <v>77665</v>
      </c>
      <c r="B6574" s="64">
        <f>IFERROR(__xludf.DUMMYFUNCTION("""COMPUTED_VALUE"""),44600.0)</f>
        <v>44600</v>
      </c>
      <c r="C6574" s="5"/>
      <c r="D6574" s="5"/>
      <c r="E6574" s="5"/>
      <c r="F6574" s="22">
        <f>IFERROR(__xludf.DUMMYFUNCTION("""COMPUTED_VALUE"""),500000.0)</f>
        <v>500000</v>
      </c>
      <c r="G6574" s="22">
        <f>IFERROR(__xludf.DUMMYFUNCTION("""COMPUTED_VALUE"""),0.0)</f>
        <v>0</v>
      </c>
      <c r="H6574" s="22">
        <f>IFERROR(__xludf.DUMMYFUNCTION("""COMPUTED_VALUE"""),500000.0)</f>
        <v>500000</v>
      </c>
      <c r="I6574" s="24">
        <f>IFERROR(__xludf.DUMMYFUNCTION("""COMPUTED_VALUE"""),0.0)</f>
        <v>0</v>
      </c>
    </row>
    <row r="6575">
      <c r="A6575" s="5" t="str">
        <f>IFERROR(__xludf.DUMMYFUNCTION("""COMPUTED_VALUE"""),"77665")</f>
        <v>77665</v>
      </c>
      <c r="B6575" s="64">
        <f>IFERROR(__xludf.DUMMYFUNCTION("""COMPUTED_VALUE"""),44601.0)</f>
        <v>44601</v>
      </c>
      <c r="C6575" s="5"/>
      <c r="D6575" s="5"/>
      <c r="E6575" s="5"/>
      <c r="F6575" s="22">
        <f>IFERROR(__xludf.DUMMYFUNCTION("""COMPUTED_VALUE"""),500000.0)</f>
        <v>500000</v>
      </c>
      <c r="G6575" s="22">
        <f>IFERROR(__xludf.DUMMYFUNCTION("""COMPUTED_VALUE"""),0.0)</f>
        <v>0</v>
      </c>
      <c r="H6575" s="22">
        <f>IFERROR(__xludf.DUMMYFUNCTION("""COMPUTED_VALUE"""),500000.0)</f>
        <v>500000</v>
      </c>
      <c r="I6575" s="24">
        <f>IFERROR(__xludf.DUMMYFUNCTION("""COMPUTED_VALUE"""),0.0)</f>
        <v>0</v>
      </c>
    </row>
    <row r="6576">
      <c r="A6576" s="5" t="str">
        <f>IFERROR(__xludf.DUMMYFUNCTION("""COMPUTED_VALUE"""),"77665")</f>
        <v>77665</v>
      </c>
      <c r="B6576" s="64">
        <f>IFERROR(__xludf.DUMMYFUNCTION("""COMPUTED_VALUE"""),44602.0)</f>
        <v>44602</v>
      </c>
      <c r="C6576" s="5"/>
      <c r="D6576" s="5"/>
      <c r="E6576" s="5"/>
      <c r="F6576" s="22">
        <f>IFERROR(__xludf.DUMMYFUNCTION("""COMPUTED_VALUE"""),500000.0)</f>
        <v>500000</v>
      </c>
      <c r="G6576" s="22">
        <f>IFERROR(__xludf.DUMMYFUNCTION("""COMPUTED_VALUE"""),0.0)</f>
        <v>0</v>
      </c>
      <c r="H6576" s="22">
        <f>IFERROR(__xludf.DUMMYFUNCTION("""COMPUTED_VALUE"""),500000.0)</f>
        <v>500000</v>
      </c>
      <c r="I6576" s="24">
        <f>IFERROR(__xludf.DUMMYFUNCTION("""COMPUTED_VALUE"""),0.0)</f>
        <v>0</v>
      </c>
    </row>
    <row r="6577">
      <c r="A6577" s="5" t="str">
        <f>IFERROR(__xludf.DUMMYFUNCTION("""COMPUTED_VALUE"""),"77665")</f>
        <v>77665</v>
      </c>
      <c r="B6577" s="64">
        <f>IFERROR(__xludf.DUMMYFUNCTION("""COMPUTED_VALUE"""),44603.0)</f>
        <v>44603</v>
      </c>
      <c r="C6577" s="5"/>
      <c r="D6577" s="5"/>
      <c r="E6577" s="5"/>
      <c r="F6577" s="22">
        <f>IFERROR(__xludf.DUMMYFUNCTION("""COMPUTED_VALUE"""),500000.0)</f>
        <v>500000</v>
      </c>
      <c r="G6577" s="22">
        <f>IFERROR(__xludf.DUMMYFUNCTION("""COMPUTED_VALUE"""),0.0)</f>
        <v>0</v>
      </c>
      <c r="H6577" s="22">
        <f>IFERROR(__xludf.DUMMYFUNCTION("""COMPUTED_VALUE"""),500000.0)</f>
        <v>500000</v>
      </c>
      <c r="I6577" s="24">
        <f>IFERROR(__xludf.DUMMYFUNCTION("""COMPUTED_VALUE"""),0.0)</f>
        <v>0</v>
      </c>
    </row>
    <row r="6578">
      <c r="A6578" s="5" t="str">
        <f>IFERROR(__xludf.DUMMYFUNCTION("""COMPUTED_VALUE"""),"77665")</f>
        <v>77665</v>
      </c>
      <c r="B6578" s="64">
        <f>IFERROR(__xludf.DUMMYFUNCTION("""COMPUTED_VALUE"""),44604.0)</f>
        <v>44604</v>
      </c>
      <c r="C6578" s="5"/>
      <c r="D6578" s="5"/>
      <c r="E6578" s="5"/>
      <c r="F6578" s="22">
        <f>IFERROR(__xludf.DUMMYFUNCTION("""COMPUTED_VALUE"""),500000.0)</f>
        <v>500000</v>
      </c>
      <c r="G6578" s="22">
        <f>IFERROR(__xludf.DUMMYFUNCTION("""COMPUTED_VALUE"""),0.0)</f>
        <v>0</v>
      </c>
      <c r="H6578" s="22">
        <f>IFERROR(__xludf.DUMMYFUNCTION("""COMPUTED_VALUE"""),500000.0)</f>
        <v>500000</v>
      </c>
      <c r="I6578" s="24">
        <f>IFERROR(__xludf.DUMMYFUNCTION("""COMPUTED_VALUE"""),0.0)</f>
        <v>0</v>
      </c>
    </row>
    <row r="6579">
      <c r="A6579" s="5" t="str">
        <f>IFERROR(__xludf.DUMMYFUNCTION("""COMPUTED_VALUE"""),"77665")</f>
        <v>77665</v>
      </c>
      <c r="B6579" s="64">
        <f>IFERROR(__xludf.DUMMYFUNCTION("""COMPUTED_VALUE"""),44605.0)</f>
        <v>44605</v>
      </c>
      <c r="C6579" s="5"/>
      <c r="D6579" s="5"/>
      <c r="E6579" s="5"/>
      <c r="F6579" s="22">
        <f>IFERROR(__xludf.DUMMYFUNCTION("""COMPUTED_VALUE"""),500000.0)</f>
        <v>500000</v>
      </c>
      <c r="G6579" s="22">
        <f>IFERROR(__xludf.DUMMYFUNCTION("""COMPUTED_VALUE"""),0.0)</f>
        <v>0</v>
      </c>
      <c r="H6579" s="22">
        <f>IFERROR(__xludf.DUMMYFUNCTION("""COMPUTED_VALUE"""),500000.0)</f>
        <v>500000</v>
      </c>
      <c r="I6579" s="24">
        <f>IFERROR(__xludf.DUMMYFUNCTION("""COMPUTED_VALUE"""),0.0)</f>
        <v>0</v>
      </c>
    </row>
    <row r="6580">
      <c r="A6580" s="5" t="str">
        <f>IFERROR(__xludf.DUMMYFUNCTION("""COMPUTED_VALUE"""),"77665")</f>
        <v>77665</v>
      </c>
      <c r="B6580" s="64">
        <f>IFERROR(__xludf.DUMMYFUNCTION("""COMPUTED_VALUE"""),44606.0)</f>
        <v>44606</v>
      </c>
      <c r="C6580" s="5"/>
      <c r="D6580" s="5"/>
      <c r="E6580" s="5"/>
      <c r="F6580" s="22">
        <f>IFERROR(__xludf.DUMMYFUNCTION("""COMPUTED_VALUE"""),500000.0)</f>
        <v>500000</v>
      </c>
      <c r="G6580" s="22">
        <f>IFERROR(__xludf.DUMMYFUNCTION("""COMPUTED_VALUE"""),0.0)</f>
        <v>0</v>
      </c>
      <c r="H6580" s="22">
        <f>IFERROR(__xludf.DUMMYFUNCTION("""COMPUTED_VALUE"""),500000.0)</f>
        <v>500000</v>
      </c>
      <c r="I6580" s="24">
        <f>IFERROR(__xludf.DUMMYFUNCTION("""COMPUTED_VALUE"""),0.0)</f>
        <v>0</v>
      </c>
    </row>
    <row r="6581">
      <c r="A6581" s="5" t="str">
        <f>IFERROR(__xludf.DUMMYFUNCTION("""COMPUTED_VALUE"""),"77665")</f>
        <v>77665</v>
      </c>
      <c r="B6581" s="64">
        <f>IFERROR(__xludf.DUMMYFUNCTION("""COMPUTED_VALUE"""),44607.0)</f>
        <v>44607</v>
      </c>
      <c r="C6581" s="5"/>
      <c r="D6581" s="5"/>
      <c r="E6581" s="5"/>
      <c r="F6581" s="22">
        <f>IFERROR(__xludf.DUMMYFUNCTION("""COMPUTED_VALUE"""),500000.0)</f>
        <v>500000</v>
      </c>
      <c r="G6581" s="22">
        <f>IFERROR(__xludf.DUMMYFUNCTION("""COMPUTED_VALUE"""),0.0)</f>
        <v>0</v>
      </c>
      <c r="H6581" s="22">
        <f>IFERROR(__xludf.DUMMYFUNCTION("""COMPUTED_VALUE"""),500000.0)</f>
        <v>500000</v>
      </c>
      <c r="I6581" s="24">
        <f>IFERROR(__xludf.DUMMYFUNCTION("""COMPUTED_VALUE"""),0.0)</f>
        <v>0</v>
      </c>
    </row>
    <row r="6582">
      <c r="A6582" s="5" t="str">
        <f>IFERROR(__xludf.DUMMYFUNCTION("""COMPUTED_VALUE"""),"77665")</f>
        <v>77665</v>
      </c>
      <c r="B6582" s="64">
        <f>IFERROR(__xludf.DUMMYFUNCTION("""COMPUTED_VALUE"""),44608.0)</f>
        <v>44608</v>
      </c>
      <c r="C6582" s="5"/>
      <c r="D6582" s="5"/>
      <c r="E6582" s="5"/>
      <c r="F6582" s="22">
        <f>IFERROR(__xludf.DUMMYFUNCTION("""COMPUTED_VALUE"""),500000.0)</f>
        <v>500000</v>
      </c>
      <c r="G6582" s="22">
        <f>IFERROR(__xludf.DUMMYFUNCTION("""COMPUTED_VALUE"""),0.0)</f>
        <v>0</v>
      </c>
      <c r="H6582" s="22">
        <f>IFERROR(__xludf.DUMMYFUNCTION("""COMPUTED_VALUE"""),500000.0)</f>
        <v>500000</v>
      </c>
      <c r="I6582" s="24">
        <f>IFERROR(__xludf.DUMMYFUNCTION("""COMPUTED_VALUE"""),0.0)</f>
        <v>0</v>
      </c>
    </row>
    <row r="6583">
      <c r="A6583" s="5" t="str">
        <f>IFERROR(__xludf.DUMMYFUNCTION("""COMPUTED_VALUE"""),"77665")</f>
        <v>77665</v>
      </c>
      <c r="B6583" s="64">
        <f>IFERROR(__xludf.DUMMYFUNCTION("""COMPUTED_VALUE"""),44609.0)</f>
        <v>44609</v>
      </c>
      <c r="C6583" s="5"/>
      <c r="D6583" s="5"/>
      <c r="E6583" s="5"/>
      <c r="F6583" s="22">
        <f>IFERROR(__xludf.DUMMYFUNCTION("""COMPUTED_VALUE"""),500000.0)</f>
        <v>500000</v>
      </c>
      <c r="G6583" s="22">
        <f>IFERROR(__xludf.DUMMYFUNCTION("""COMPUTED_VALUE"""),0.0)</f>
        <v>0</v>
      </c>
      <c r="H6583" s="22">
        <f>IFERROR(__xludf.DUMMYFUNCTION("""COMPUTED_VALUE"""),500000.0)</f>
        <v>500000</v>
      </c>
      <c r="I6583" s="24">
        <f>IFERROR(__xludf.DUMMYFUNCTION("""COMPUTED_VALUE"""),0.0)</f>
        <v>0</v>
      </c>
    </row>
    <row r="6584">
      <c r="A6584" s="5" t="str">
        <f>IFERROR(__xludf.DUMMYFUNCTION("""COMPUTED_VALUE"""),"77665")</f>
        <v>77665</v>
      </c>
      <c r="B6584" s="64">
        <f>IFERROR(__xludf.DUMMYFUNCTION("""COMPUTED_VALUE"""),44610.0)</f>
        <v>44610</v>
      </c>
      <c r="C6584" s="5"/>
      <c r="D6584" s="5"/>
      <c r="E6584" s="5"/>
      <c r="F6584" s="22">
        <f>IFERROR(__xludf.DUMMYFUNCTION("""COMPUTED_VALUE"""),500000.0)</f>
        <v>500000</v>
      </c>
      <c r="G6584" s="22">
        <f>IFERROR(__xludf.DUMMYFUNCTION("""COMPUTED_VALUE"""),0.0)</f>
        <v>0</v>
      </c>
      <c r="H6584" s="22">
        <f>IFERROR(__xludf.DUMMYFUNCTION("""COMPUTED_VALUE"""),500000.0)</f>
        <v>500000</v>
      </c>
      <c r="I6584" s="24">
        <f>IFERROR(__xludf.DUMMYFUNCTION("""COMPUTED_VALUE"""),0.0)</f>
        <v>0</v>
      </c>
    </row>
    <row r="6585">
      <c r="A6585" s="5" t="str">
        <f>IFERROR(__xludf.DUMMYFUNCTION("""COMPUTED_VALUE"""),"77665")</f>
        <v>77665</v>
      </c>
      <c r="B6585" s="64">
        <f>IFERROR(__xludf.DUMMYFUNCTION("""COMPUTED_VALUE"""),44611.0)</f>
        <v>44611</v>
      </c>
      <c r="C6585" s="5"/>
      <c r="D6585" s="5"/>
      <c r="E6585" s="5"/>
      <c r="F6585" s="22">
        <f>IFERROR(__xludf.DUMMYFUNCTION("""COMPUTED_VALUE"""),500000.0)</f>
        <v>500000</v>
      </c>
      <c r="G6585" s="22">
        <f>IFERROR(__xludf.DUMMYFUNCTION("""COMPUTED_VALUE"""),0.0)</f>
        <v>0</v>
      </c>
      <c r="H6585" s="22">
        <f>IFERROR(__xludf.DUMMYFUNCTION("""COMPUTED_VALUE"""),500000.0)</f>
        <v>500000</v>
      </c>
      <c r="I6585" s="24">
        <f>IFERROR(__xludf.DUMMYFUNCTION("""COMPUTED_VALUE"""),0.0)</f>
        <v>0</v>
      </c>
    </row>
    <row r="6586">
      <c r="A6586" s="5" t="str">
        <f>IFERROR(__xludf.DUMMYFUNCTION("""COMPUTED_VALUE"""),"77665")</f>
        <v>77665</v>
      </c>
      <c r="B6586" s="64">
        <f>IFERROR(__xludf.DUMMYFUNCTION("""COMPUTED_VALUE"""),44612.0)</f>
        <v>44612</v>
      </c>
      <c r="C6586" s="5"/>
      <c r="D6586" s="5"/>
      <c r="E6586" s="5"/>
      <c r="F6586" s="22">
        <f>IFERROR(__xludf.DUMMYFUNCTION("""COMPUTED_VALUE"""),500000.0)</f>
        <v>500000</v>
      </c>
      <c r="G6586" s="22">
        <f>IFERROR(__xludf.DUMMYFUNCTION("""COMPUTED_VALUE"""),0.0)</f>
        <v>0</v>
      </c>
      <c r="H6586" s="22">
        <f>IFERROR(__xludf.DUMMYFUNCTION("""COMPUTED_VALUE"""),500000.0)</f>
        <v>500000</v>
      </c>
      <c r="I6586" s="24">
        <f>IFERROR(__xludf.DUMMYFUNCTION("""COMPUTED_VALUE"""),0.0)</f>
        <v>0</v>
      </c>
    </row>
    <row r="6587">
      <c r="A6587" s="5" t="str">
        <f>IFERROR(__xludf.DUMMYFUNCTION("""COMPUTED_VALUE"""),"77665")</f>
        <v>77665</v>
      </c>
      <c r="B6587" s="64">
        <f>IFERROR(__xludf.DUMMYFUNCTION("""COMPUTED_VALUE"""),44613.0)</f>
        <v>44613</v>
      </c>
      <c r="C6587" s="5"/>
      <c r="D6587" s="5"/>
      <c r="E6587" s="5"/>
      <c r="F6587" s="22">
        <f>IFERROR(__xludf.DUMMYFUNCTION("""COMPUTED_VALUE"""),500000.0)</f>
        <v>500000</v>
      </c>
      <c r="G6587" s="22">
        <f>IFERROR(__xludf.DUMMYFUNCTION("""COMPUTED_VALUE"""),0.0)</f>
        <v>0</v>
      </c>
      <c r="H6587" s="22">
        <f>IFERROR(__xludf.DUMMYFUNCTION("""COMPUTED_VALUE"""),500000.0)</f>
        <v>500000</v>
      </c>
      <c r="I6587" s="24">
        <f>IFERROR(__xludf.DUMMYFUNCTION("""COMPUTED_VALUE"""),0.0)</f>
        <v>0</v>
      </c>
    </row>
    <row r="6588">
      <c r="A6588" s="5" t="str">
        <f>IFERROR(__xludf.DUMMYFUNCTION("""COMPUTED_VALUE"""),"77665")</f>
        <v>77665</v>
      </c>
      <c r="B6588" s="64">
        <f>IFERROR(__xludf.DUMMYFUNCTION("""COMPUTED_VALUE"""),44614.0)</f>
        <v>44614</v>
      </c>
      <c r="C6588" s="5"/>
      <c r="D6588" s="5"/>
      <c r="E6588" s="5"/>
      <c r="F6588" s="22">
        <f>IFERROR(__xludf.DUMMYFUNCTION("""COMPUTED_VALUE"""),500000.0)</f>
        <v>500000</v>
      </c>
      <c r="G6588" s="22">
        <f>IFERROR(__xludf.DUMMYFUNCTION("""COMPUTED_VALUE"""),0.0)</f>
        <v>0</v>
      </c>
      <c r="H6588" s="22">
        <f>IFERROR(__xludf.DUMMYFUNCTION("""COMPUTED_VALUE"""),500000.0)</f>
        <v>500000</v>
      </c>
      <c r="I6588" s="24">
        <f>IFERROR(__xludf.DUMMYFUNCTION("""COMPUTED_VALUE"""),0.0)</f>
        <v>0</v>
      </c>
    </row>
    <row r="6589">
      <c r="A6589" s="5" t="str">
        <f>IFERROR(__xludf.DUMMYFUNCTION("""COMPUTED_VALUE"""),"77665")</f>
        <v>77665</v>
      </c>
      <c r="B6589" s="64">
        <f>IFERROR(__xludf.DUMMYFUNCTION("""COMPUTED_VALUE"""),44615.0)</f>
        <v>44615</v>
      </c>
      <c r="C6589" s="5"/>
      <c r="D6589" s="5"/>
      <c r="E6589" s="5"/>
      <c r="F6589" s="22">
        <f>IFERROR(__xludf.DUMMYFUNCTION("""COMPUTED_VALUE"""),500000.0)</f>
        <v>500000</v>
      </c>
      <c r="G6589" s="22">
        <f>IFERROR(__xludf.DUMMYFUNCTION("""COMPUTED_VALUE"""),0.0)</f>
        <v>0</v>
      </c>
      <c r="H6589" s="22">
        <f>IFERROR(__xludf.DUMMYFUNCTION("""COMPUTED_VALUE"""),500000.0)</f>
        <v>500000</v>
      </c>
      <c r="I6589" s="24">
        <f>IFERROR(__xludf.DUMMYFUNCTION("""COMPUTED_VALUE"""),0.0)</f>
        <v>0</v>
      </c>
    </row>
    <row r="6590">
      <c r="A6590" s="5" t="str">
        <f>IFERROR(__xludf.DUMMYFUNCTION("""COMPUTED_VALUE"""),"77665")</f>
        <v>77665</v>
      </c>
      <c r="B6590" s="64">
        <f>IFERROR(__xludf.DUMMYFUNCTION("""COMPUTED_VALUE"""),44616.0)</f>
        <v>44616</v>
      </c>
      <c r="C6590" s="5"/>
      <c r="D6590" s="5"/>
      <c r="E6590" s="5"/>
      <c r="F6590" s="22">
        <f>IFERROR(__xludf.DUMMYFUNCTION("""COMPUTED_VALUE"""),500000.0)</f>
        <v>500000</v>
      </c>
      <c r="G6590" s="22">
        <f>IFERROR(__xludf.DUMMYFUNCTION("""COMPUTED_VALUE"""),0.0)</f>
        <v>0</v>
      </c>
      <c r="H6590" s="22">
        <f>IFERROR(__xludf.DUMMYFUNCTION("""COMPUTED_VALUE"""),500000.0)</f>
        <v>500000</v>
      </c>
      <c r="I6590" s="24">
        <f>IFERROR(__xludf.DUMMYFUNCTION("""COMPUTED_VALUE"""),0.0)</f>
        <v>0</v>
      </c>
    </row>
    <row r="6591">
      <c r="A6591" s="5" t="str">
        <f>IFERROR(__xludf.DUMMYFUNCTION("""COMPUTED_VALUE"""),"77665")</f>
        <v>77665</v>
      </c>
      <c r="B6591" s="64">
        <f>IFERROR(__xludf.DUMMYFUNCTION("""COMPUTED_VALUE"""),44617.0)</f>
        <v>44617</v>
      </c>
      <c r="C6591" s="5"/>
      <c r="D6591" s="5"/>
      <c r="E6591" s="5"/>
      <c r="F6591" s="22">
        <f>IFERROR(__xludf.DUMMYFUNCTION("""COMPUTED_VALUE"""),500000.0)</f>
        <v>500000</v>
      </c>
      <c r="G6591" s="22">
        <f>IFERROR(__xludf.DUMMYFUNCTION("""COMPUTED_VALUE"""),0.0)</f>
        <v>0</v>
      </c>
      <c r="H6591" s="22">
        <f>IFERROR(__xludf.DUMMYFUNCTION("""COMPUTED_VALUE"""),500000.0)</f>
        <v>500000</v>
      </c>
      <c r="I6591" s="24">
        <f>IFERROR(__xludf.DUMMYFUNCTION("""COMPUTED_VALUE"""),0.0)</f>
        <v>0</v>
      </c>
    </row>
    <row r="6592">
      <c r="A6592" s="5" t="str">
        <f>IFERROR(__xludf.DUMMYFUNCTION("""COMPUTED_VALUE"""),"77665")</f>
        <v>77665</v>
      </c>
      <c r="B6592" s="64">
        <f>IFERROR(__xludf.DUMMYFUNCTION("""COMPUTED_VALUE"""),44618.0)</f>
        <v>44618</v>
      </c>
      <c r="C6592" s="5"/>
      <c r="D6592" s="5"/>
      <c r="E6592" s="5"/>
      <c r="F6592" s="22">
        <f>IFERROR(__xludf.DUMMYFUNCTION("""COMPUTED_VALUE"""),500000.0)</f>
        <v>500000</v>
      </c>
      <c r="G6592" s="22">
        <f>IFERROR(__xludf.DUMMYFUNCTION("""COMPUTED_VALUE"""),0.0)</f>
        <v>0</v>
      </c>
      <c r="H6592" s="22">
        <f>IFERROR(__xludf.DUMMYFUNCTION("""COMPUTED_VALUE"""),500000.0)</f>
        <v>500000</v>
      </c>
      <c r="I6592" s="24">
        <f>IFERROR(__xludf.DUMMYFUNCTION("""COMPUTED_VALUE"""),0.0)</f>
        <v>0</v>
      </c>
    </row>
    <row r="6593">
      <c r="A6593" s="5" t="str">
        <f>IFERROR(__xludf.DUMMYFUNCTION("""COMPUTED_VALUE"""),"77665")</f>
        <v>77665</v>
      </c>
      <c r="B6593" s="64">
        <f>IFERROR(__xludf.DUMMYFUNCTION("""COMPUTED_VALUE"""),44619.0)</f>
        <v>44619</v>
      </c>
      <c r="C6593" s="5"/>
      <c r="D6593" s="5"/>
      <c r="E6593" s="5"/>
      <c r="F6593" s="22">
        <f>IFERROR(__xludf.DUMMYFUNCTION("""COMPUTED_VALUE"""),500000.0)</f>
        <v>500000</v>
      </c>
      <c r="G6593" s="22">
        <f>IFERROR(__xludf.DUMMYFUNCTION("""COMPUTED_VALUE"""),0.0)</f>
        <v>0</v>
      </c>
      <c r="H6593" s="22">
        <f>IFERROR(__xludf.DUMMYFUNCTION("""COMPUTED_VALUE"""),500000.0)</f>
        <v>500000</v>
      </c>
      <c r="I6593" s="24">
        <f>IFERROR(__xludf.DUMMYFUNCTION("""COMPUTED_VALUE"""),0.0)</f>
        <v>0</v>
      </c>
    </row>
    <row r="6594">
      <c r="A6594" s="5" t="str">
        <f>IFERROR(__xludf.DUMMYFUNCTION("""COMPUTED_VALUE"""),"77665")</f>
        <v>77665</v>
      </c>
      <c r="B6594" s="64">
        <f>IFERROR(__xludf.DUMMYFUNCTION("""COMPUTED_VALUE"""),44620.0)</f>
        <v>44620</v>
      </c>
      <c r="C6594" s="5"/>
      <c r="D6594" s="5"/>
      <c r="E6594" s="5"/>
      <c r="F6594" s="22">
        <f>IFERROR(__xludf.DUMMYFUNCTION("""COMPUTED_VALUE"""),500000.0)</f>
        <v>500000</v>
      </c>
      <c r="G6594" s="22">
        <f>IFERROR(__xludf.DUMMYFUNCTION("""COMPUTED_VALUE"""),0.0)</f>
        <v>0</v>
      </c>
      <c r="H6594" s="22">
        <f>IFERROR(__xludf.DUMMYFUNCTION("""COMPUTED_VALUE"""),500000.0)</f>
        <v>500000</v>
      </c>
      <c r="I6594" s="24">
        <f>IFERROR(__xludf.DUMMYFUNCTION("""COMPUTED_VALUE"""),0.0)</f>
        <v>0</v>
      </c>
    </row>
    <row r="6595">
      <c r="A6595" s="5" t="str">
        <f>IFERROR(__xludf.DUMMYFUNCTION("""COMPUTED_VALUE"""),"77665")</f>
        <v>77665</v>
      </c>
      <c r="B6595" s="64">
        <f>IFERROR(__xludf.DUMMYFUNCTION("""COMPUTED_VALUE"""),44621.0)</f>
        <v>44621</v>
      </c>
      <c r="C6595" s="5"/>
      <c r="D6595" s="5"/>
      <c r="E6595" s="5"/>
      <c r="F6595" s="22">
        <f>IFERROR(__xludf.DUMMYFUNCTION("""COMPUTED_VALUE"""),500000.0)</f>
        <v>500000</v>
      </c>
      <c r="G6595" s="22">
        <f>IFERROR(__xludf.DUMMYFUNCTION("""COMPUTED_VALUE"""),0.0)</f>
        <v>0</v>
      </c>
      <c r="H6595" s="22">
        <f>IFERROR(__xludf.DUMMYFUNCTION("""COMPUTED_VALUE"""),500000.0)</f>
        <v>500000</v>
      </c>
      <c r="I6595" s="24">
        <f>IFERROR(__xludf.DUMMYFUNCTION("""COMPUTED_VALUE"""),0.0)</f>
        <v>0</v>
      </c>
    </row>
    <row r="6596">
      <c r="A6596" s="5" t="str">
        <f>IFERROR(__xludf.DUMMYFUNCTION("""COMPUTED_VALUE"""),"77665")</f>
        <v>77665</v>
      </c>
      <c r="B6596" s="64">
        <f>IFERROR(__xludf.DUMMYFUNCTION("""COMPUTED_VALUE"""),44622.0)</f>
        <v>44622</v>
      </c>
      <c r="C6596" s="5"/>
      <c r="D6596" s="5"/>
      <c r="E6596" s="5"/>
      <c r="F6596" s="22">
        <f>IFERROR(__xludf.DUMMYFUNCTION("""COMPUTED_VALUE"""),500000.0)</f>
        <v>500000</v>
      </c>
      <c r="G6596" s="22">
        <f>IFERROR(__xludf.DUMMYFUNCTION("""COMPUTED_VALUE"""),0.0)</f>
        <v>0</v>
      </c>
      <c r="H6596" s="22">
        <f>IFERROR(__xludf.DUMMYFUNCTION("""COMPUTED_VALUE"""),500000.0)</f>
        <v>500000</v>
      </c>
      <c r="I6596" s="24">
        <f>IFERROR(__xludf.DUMMYFUNCTION("""COMPUTED_VALUE"""),0.0)</f>
        <v>0</v>
      </c>
    </row>
    <row r="6597">
      <c r="A6597" s="5" t="str">
        <f>IFERROR(__xludf.DUMMYFUNCTION("""COMPUTED_VALUE"""),"77665")</f>
        <v>77665</v>
      </c>
      <c r="B6597" s="64">
        <f>IFERROR(__xludf.DUMMYFUNCTION("""COMPUTED_VALUE"""),44623.0)</f>
        <v>44623</v>
      </c>
      <c r="C6597" s="5"/>
      <c r="D6597" s="5"/>
      <c r="E6597" s="5"/>
      <c r="F6597" s="22">
        <f>IFERROR(__xludf.DUMMYFUNCTION("""COMPUTED_VALUE"""),500000.0)</f>
        <v>500000</v>
      </c>
      <c r="G6597" s="22">
        <f>IFERROR(__xludf.DUMMYFUNCTION("""COMPUTED_VALUE"""),0.0)</f>
        <v>0</v>
      </c>
      <c r="H6597" s="22">
        <f>IFERROR(__xludf.DUMMYFUNCTION("""COMPUTED_VALUE"""),500000.0)</f>
        <v>500000</v>
      </c>
      <c r="I6597" s="24">
        <f>IFERROR(__xludf.DUMMYFUNCTION("""COMPUTED_VALUE"""),0.0)</f>
        <v>0</v>
      </c>
    </row>
    <row r="6598">
      <c r="A6598" s="5" t="str">
        <f>IFERROR(__xludf.DUMMYFUNCTION("""COMPUTED_VALUE"""),"77665")</f>
        <v>77665</v>
      </c>
      <c r="B6598" s="64">
        <f>IFERROR(__xludf.DUMMYFUNCTION("""COMPUTED_VALUE"""),44624.0)</f>
        <v>44624</v>
      </c>
      <c r="C6598" s="5"/>
      <c r="D6598" s="5"/>
      <c r="E6598" s="5"/>
      <c r="F6598" s="22">
        <f>IFERROR(__xludf.DUMMYFUNCTION("""COMPUTED_VALUE"""),500000.0)</f>
        <v>500000</v>
      </c>
      <c r="G6598" s="22">
        <f>IFERROR(__xludf.DUMMYFUNCTION("""COMPUTED_VALUE"""),0.0)</f>
        <v>0</v>
      </c>
      <c r="H6598" s="22">
        <f>IFERROR(__xludf.DUMMYFUNCTION("""COMPUTED_VALUE"""),500000.0)</f>
        <v>500000</v>
      </c>
      <c r="I6598" s="24">
        <f>IFERROR(__xludf.DUMMYFUNCTION("""COMPUTED_VALUE"""),0.0)</f>
        <v>0</v>
      </c>
    </row>
    <row r="6599">
      <c r="A6599" s="5" t="str">
        <f>IFERROR(__xludf.DUMMYFUNCTION("""COMPUTED_VALUE"""),"77665")</f>
        <v>77665</v>
      </c>
      <c r="B6599" s="64">
        <f>IFERROR(__xludf.DUMMYFUNCTION("""COMPUTED_VALUE"""),44625.0)</f>
        <v>44625</v>
      </c>
      <c r="C6599" s="5"/>
      <c r="D6599" s="5"/>
      <c r="E6599" s="5"/>
      <c r="F6599" s="22">
        <f>IFERROR(__xludf.DUMMYFUNCTION("""COMPUTED_VALUE"""),500000.0)</f>
        <v>500000</v>
      </c>
      <c r="G6599" s="22">
        <f>IFERROR(__xludf.DUMMYFUNCTION("""COMPUTED_VALUE"""),0.0)</f>
        <v>0</v>
      </c>
      <c r="H6599" s="22">
        <f>IFERROR(__xludf.DUMMYFUNCTION("""COMPUTED_VALUE"""),500000.0)</f>
        <v>500000</v>
      </c>
      <c r="I6599" s="24">
        <f>IFERROR(__xludf.DUMMYFUNCTION("""COMPUTED_VALUE"""),0.0)</f>
        <v>0</v>
      </c>
    </row>
    <row r="6600">
      <c r="A6600" s="5" t="str">
        <f>IFERROR(__xludf.DUMMYFUNCTION("""COMPUTED_VALUE"""),"77665")</f>
        <v>77665</v>
      </c>
      <c r="B6600" s="64">
        <f>IFERROR(__xludf.DUMMYFUNCTION("""COMPUTED_VALUE"""),44626.0)</f>
        <v>44626</v>
      </c>
      <c r="C6600" s="5"/>
      <c r="D6600" s="5"/>
      <c r="E6600" s="5"/>
      <c r="F6600" s="22">
        <f>IFERROR(__xludf.DUMMYFUNCTION("""COMPUTED_VALUE"""),500000.0)</f>
        <v>500000</v>
      </c>
      <c r="G6600" s="22">
        <f>IFERROR(__xludf.DUMMYFUNCTION("""COMPUTED_VALUE"""),0.0)</f>
        <v>0</v>
      </c>
      <c r="H6600" s="22">
        <f>IFERROR(__xludf.DUMMYFUNCTION("""COMPUTED_VALUE"""),500000.0)</f>
        <v>500000</v>
      </c>
      <c r="I6600" s="24">
        <f>IFERROR(__xludf.DUMMYFUNCTION("""COMPUTED_VALUE"""),0.0)</f>
        <v>0</v>
      </c>
    </row>
    <row r="6601">
      <c r="A6601" s="5" t="str">
        <f>IFERROR(__xludf.DUMMYFUNCTION("""COMPUTED_VALUE"""),"77665")</f>
        <v>77665</v>
      </c>
      <c r="B6601" s="64">
        <f>IFERROR(__xludf.DUMMYFUNCTION("""COMPUTED_VALUE"""),44627.0)</f>
        <v>44627</v>
      </c>
      <c r="C6601" s="5"/>
      <c r="D6601" s="5"/>
      <c r="E6601" s="5"/>
      <c r="F6601" s="22">
        <f>IFERROR(__xludf.DUMMYFUNCTION("""COMPUTED_VALUE"""),500000.0)</f>
        <v>500000</v>
      </c>
      <c r="G6601" s="22">
        <f>IFERROR(__xludf.DUMMYFUNCTION("""COMPUTED_VALUE"""),0.0)</f>
        <v>0</v>
      </c>
      <c r="H6601" s="22">
        <f>IFERROR(__xludf.DUMMYFUNCTION("""COMPUTED_VALUE"""),500000.0)</f>
        <v>500000</v>
      </c>
      <c r="I6601" s="24">
        <f>IFERROR(__xludf.DUMMYFUNCTION("""COMPUTED_VALUE"""),0.0)</f>
        <v>0</v>
      </c>
    </row>
    <row r="6602">
      <c r="A6602" s="5" t="str">
        <f>IFERROR(__xludf.DUMMYFUNCTION("""COMPUTED_VALUE"""),"77665")</f>
        <v>77665</v>
      </c>
      <c r="B6602" s="64">
        <f>IFERROR(__xludf.DUMMYFUNCTION("""COMPUTED_VALUE"""),44628.0)</f>
        <v>44628</v>
      </c>
      <c r="C6602" s="5"/>
      <c r="D6602" s="5"/>
      <c r="E6602" s="5"/>
      <c r="F6602" s="22">
        <f>IFERROR(__xludf.DUMMYFUNCTION("""COMPUTED_VALUE"""),500000.0)</f>
        <v>500000</v>
      </c>
      <c r="G6602" s="22">
        <f>IFERROR(__xludf.DUMMYFUNCTION("""COMPUTED_VALUE"""),0.0)</f>
        <v>0</v>
      </c>
      <c r="H6602" s="22">
        <f>IFERROR(__xludf.DUMMYFUNCTION("""COMPUTED_VALUE"""),500000.0)</f>
        <v>500000</v>
      </c>
      <c r="I6602" s="24">
        <f>IFERROR(__xludf.DUMMYFUNCTION("""COMPUTED_VALUE"""),0.0)</f>
        <v>0</v>
      </c>
    </row>
    <row r="6603">
      <c r="A6603" s="5" t="str">
        <f>IFERROR(__xludf.DUMMYFUNCTION("""COMPUTED_VALUE"""),"77665")</f>
        <v>77665</v>
      </c>
      <c r="B6603" s="64">
        <f>IFERROR(__xludf.DUMMYFUNCTION("""COMPUTED_VALUE"""),44629.0)</f>
        <v>44629</v>
      </c>
      <c r="C6603" s="5"/>
      <c r="D6603" s="5"/>
      <c r="E6603" s="5"/>
      <c r="F6603" s="22">
        <f>IFERROR(__xludf.DUMMYFUNCTION("""COMPUTED_VALUE"""),500000.0)</f>
        <v>500000</v>
      </c>
      <c r="G6603" s="22">
        <f>IFERROR(__xludf.DUMMYFUNCTION("""COMPUTED_VALUE"""),0.0)</f>
        <v>0</v>
      </c>
      <c r="H6603" s="22">
        <f>IFERROR(__xludf.DUMMYFUNCTION("""COMPUTED_VALUE"""),500000.0)</f>
        <v>500000</v>
      </c>
      <c r="I6603" s="24">
        <f>IFERROR(__xludf.DUMMYFUNCTION("""COMPUTED_VALUE"""),0.0)</f>
        <v>0</v>
      </c>
    </row>
    <row r="6604">
      <c r="A6604" s="5" t="str">
        <f>IFERROR(__xludf.DUMMYFUNCTION("""COMPUTED_VALUE"""),"77665")</f>
        <v>77665</v>
      </c>
      <c r="B6604" s="64">
        <f>IFERROR(__xludf.DUMMYFUNCTION("""COMPUTED_VALUE"""),44630.0)</f>
        <v>44630</v>
      </c>
      <c r="C6604" s="5"/>
      <c r="D6604" s="5"/>
      <c r="E6604" s="5"/>
      <c r="F6604" s="22">
        <f>IFERROR(__xludf.DUMMYFUNCTION("""COMPUTED_VALUE"""),500000.0)</f>
        <v>500000</v>
      </c>
      <c r="G6604" s="22">
        <f>IFERROR(__xludf.DUMMYFUNCTION("""COMPUTED_VALUE"""),0.0)</f>
        <v>0</v>
      </c>
      <c r="H6604" s="22">
        <f>IFERROR(__xludf.DUMMYFUNCTION("""COMPUTED_VALUE"""),500000.0)</f>
        <v>500000</v>
      </c>
      <c r="I6604" s="24">
        <f>IFERROR(__xludf.DUMMYFUNCTION("""COMPUTED_VALUE"""),0.0)</f>
        <v>0</v>
      </c>
    </row>
    <row r="6605">
      <c r="A6605" s="5" t="str">
        <f>IFERROR(__xludf.DUMMYFUNCTION("""COMPUTED_VALUE"""),"77665")</f>
        <v>77665</v>
      </c>
      <c r="B6605" s="64">
        <f>IFERROR(__xludf.DUMMYFUNCTION("""COMPUTED_VALUE"""),44631.0)</f>
        <v>44631</v>
      </c>
      <c r="C6605" s="5"/>
      <c r="D6605" s="5"/>
      <c r="E6605" s="5"/>
      <c r="F6605" s="22">
        <f>IFERROR(__xludf.DUMMYFUNCTION("""COMPUTED_VALUE"""),500000.0)</f>
        <v>500000</v>
      </c>
      <c r="G6605" s="22">
        <f>IFERROR(__xludf.DUMMYFUNCTION("""COMPUTED_VALUE"""),0.0)</f>
        <v>0</v>
      </c>
      <c r="H6605" s="22">
        <f>IFERROR(__xludf.DUMMYFUNCTION("""COMPUTED_VALUE"""),500000.0)</f>
        <v>500000</v>
      </c>
      <c r="I6605" s="24">
        <f>IFERROR(__xludf.DUMMYFUNCTION("""COMPUTED_VALUE"""),0.0)</f>
        <v>0</v>
      </c>
    </row>
    <row r="6606">
      <c r="A6606" s="5" t="str">
        <f>IFERROR(__xludf.DUMMYFUNCTION("""COMPUTED_VALUE"""),"77665")</f>
        <v>77665</v>
      </c>
      <c r="B6606" s="64">
        <f>IFERROR(__xludf.DUMMYFUNCTION("""COMPUTED_VALUE"""),44632.0)</f>
        <v>44632</v>
      </c>
      <c r="C6606" s="5"/>
      <c r="D6606" s="5"/>
      <c r="E6606" s="5"/>
      <c r="F6606" s="22">
        <f>IFERROR(__xludf.DUMMYFUNCTION("""COMPUTED_VALUE"""),500000.0)</f>
        <v>500000</v>
      </c>
      <c r="G6606" s="22">
        <f>IFERROR(__xludf.DUMMYFUNCTION("""COMPUTED_VALUE"""),0.0)</f>
        <v>0</v>
      </c>
      <c r="H6606" s="22">
        <f>IFERROR(__xludf.DUMMYFUNCTION("""COMPUTED_VALUE"""),500000.0)</f>
        <v>500000</v>
      </c>
      <c r="I6606" s="24">
        <f>IFERROR(__xludf.DUMMYFUNCTION("""COMPUTED_VALUE"""),0.0)</f>
        <v>0</v>
      </c>
    </row>
    <row r="6607">
      <c r="A6607" s="5" t="str">
        <f>IFERROR(__xludf.DUMMYFUNCTION("""COMPUTED_VALUE"""),"77665")</f>
        <v>77665</v>
      </c>
      <c r="B6607" s="64">
        <f>IFERROR(__xludf.DUMMYFUNCTION("""COMPUTED_VALUE"""),44633.0)</f>
        <v>44633</v>
      </c>
      <c r="C6607" s="5"/>
      <c r="D6607" s="5"/>
      <c r="E6607" s="5"/>
      <c r="F6607" s="22">
        <f>IFERROR(__xludf.DUMMYFUNCTION("""COMPUTED_VALUE"""),500000.0)</f>
        <v>500000</v>
      </c>
      <c r="G6607" s="22">
        <f>IFERROR(__xludf.DUMMYFUNCTION("""COMPUTED_VALUE"""),0.0)</f>
        <v>0</v>
      </c>
      <c r="H6607" s="22">
        <f>IFERROR(__xludf.DUMMYFUNCTION("""COMPUTED_VALUE"""),500000.0)</f>
        <v>500000</v>
      </c>
      <c r="I6607" s="24">
        <f>IFERROR(__xludf.DUMMYFUNCTION("""COMPUTED_VALUE"""),0.0)</f>
        <v>0</v>
      </c>
    </row>
    <row r="6608">
      <c r="A6608" s="5" t="str">
        <f>IFERROR(__xludf.DUMMYFUNCTION("""COMPUTED_VALUE"""),"77665")</f>
        <v>77665</v>
      </c>
      <c r="B6608" s="64">
        <f>IFERROR(__xludf.DUMMYFUNCTION("""COMPUTED_VALUE"""),44634.0)</f>
        <v>44634</v>
      </c>
      <c r="C6608" s="5"/>
      <c r="D6608" s="5"/>
      <c r="E6608" s="5"/>
      <c r="F6608" s="22">
        <f>IFERROR(__xludf.DUMMYFUNCTION("""COMPUTED_VALUE"""),500000.0)</f>
        <v>500000</v>
      </c>
      <c r="G6608" s="22">
        <f>IFERROR(__xludf.DUMMYFUNCTION("""COMPUTED_VALUE"""),0.0)</f>
        <v>0</v>
      </c>
      <c r="H6608" s="22">
        <f>IFERROR(__xludf.DUMMYFUNCTION("""COMPUTED_VALUE"""),500000.0)</f>
        <v>500000</v>
      </c>
      <c r="I6608" s="24">
        <f>IFERROR(__xludf.DUMMYFUNCTION("""COMPUTED_VALUE"""),0.0)</f>
        <v>0</v>
      </c>
    </row>
    <row r="6609">
      <c r="A6609" s="5" t="str">
        <f>IFERROR(__xludf.DUMMYFUNCTION("""COMPUTED_VALUE"""),"77665")</f>
        <v>77665</v>
      </c>
      <c r="B6609" s="64">
        <f>IFERROR(__xludf.DUMMYFUNCTION("""COMPUTED_VALUE"""),44635.0)</f>
        <v>44635</v>
      </c>
      <c r="C6609" s="5"/>
      <c r="D6609" s="5"/>
      <c r="E6609" s="5"/>
      <c r="F6609" s="22">
        <f>IFERROR(__xludf.DUMMYFUNCTION("""COMPUTED_VALUE"""),500000.0)</f>
        <v>500000</v>
      </c>
      <c r="G6609" s="22">
        <f>IFERROR(__xludf.DUMMYFUNCTION("""COMPUTED_VALUE"""),0.0)</f>
        <v>0</v>
      </c>
      <c r="H6609" s="22">
        <f>IFERROR(__xludf.DUMMYFUNCTION("""COMPUTED_VALUE"""),500000.0)</f>
        <v>500000</v>
      </c>
      <c r="I6609" s="24">
        <f>IFERROR(__xludf.DUMMYFUNCTION("""COMPUTED_VALUE"""),0.0)</f>
        <v>0</v>
      </c>
    </row>
    <row r="6610">
      <c r="A6610" s="5" t="str">
        <f>IFERROR(__xludf.DUMMYFUNCTION("""COMPUTED_VALUE"""),"77665")</f>
        <v>77665</v>
      </c>
      <c r="B6610" s="64">
        <f>IFERROR(__xludf.DUMMYFUNCTION("""COMPUTED_VALUE"""),44636.0)</f>
        <v>44636</v>
      </c>
      <c r="C6610" s="5"/>
      <c r="D6610" s="5"/>
      <c r="E6610" s="5"/>
      <c r="F6610" s="22">
        <f>IFERROR(__xludf.DUMMYFUNCTION("""COMPUTED_VALUE"""),500000.0)</f>
        <v>500000</v>
      </c>
      <c r="G6610" s="22">
        <f>IFERROR(__xludf.DUMMYFUNCTION("""COMPUTED_VALUE"""),0.0)</f>
        <v>0</v>
      </c>
      <c r="H6610" s="22">
        <f>IFERROR(__xludf.DUMMYFUNCTION("""COMPUTED_VALUE"""),500000.0)</f>
        <v>500000</v>
      </c>
      <c r="I6610" s="24">
        <f>IFERROR(__xludf.DUMMYFUNCTION("""COMPUTED_VALUE"""),0.0)</f>
        <v>0</v>
      </c>
    </row>
    <row r="6611">
      <c r="A6611" s="5" t="str">
        <f>IFERROR(__xludf.DUMMYFUNCTION("""COMPUTED_VALUE"""),"77665")</f>
        <v>77665</v>
      </c>
      <c r="B6611" s="64">
        <f>IFERROR(__xludf.DUMMYFUNCTION("""COMPUTED_VALUE"""),44637.0)</f>
        <v>44637</v>
      </c>
      <c r="C6611" s="5"/>
      <c r="D6611" s="5"/>
      <c r="E6611" s="5"/>
      <c r="F6611" s="22">
        <f>IFERROR(__xludf.DUMMYFUNCTION("""COMPUTED_VALUE"""),500000.0)</f>
        <v>500000</v>
      </c>
      <c r="G6611" s="22">
        <f>IFERROR(__xludf.DUMMYFUNCTION("""COMPUTED_VALUE"""),0.0)</f>
        <v>0</v>
      </c>
      <c r="H6611" s="22">
        <f>IFERROR(__xludf.DUMMYFUNCTION("""COMPUTED_VALUE"""),500000.0)</f>
        <v>500000</v>
      </c>
      <c r="I6611" s="24">
        <f>IFERROR(__xludf.DUMMYFUNCTION("""COMPUTED_VALUE"""),0.0)</f>
        <v>0</v>
      </c>
    </row>
    <row r="6612">
      <c r="A6612" s="5" t="str">
        <f>IFERROR(__xludf.DUMMYFUNCTION("""COMPUTED_VALUE"""),"77665")</f>
        <v>77665</v>
      </c>
      <c r="B6612" s="64">
        <f>IFERROR(__xludf.DUMMYFUNCTION("""COMPUTED_VALUE"""),44638.0)</f>
        <v>44638</v>
      </c>
      <c r="C6612" s="5"/>
      <c r="D6612" s="5"/>
      <c r="E6612" s="5"/>
      <c r="F6612" s="22">
        <f>IFERROR(__xludf.DUMMYFUNCTION("""COMPUTED_VALUE"""),500000.0)</f>
        <v>500000</v>
      </c>
      <c r="G6612" s="22">
        <f>IFERROR(__xludf.DUMMYFUNCTION("""COMPUTED_VALUE"""),0.0)</f>
        <v>0</v>
      </c>
      <c r="H6612" s="22">
        <f>IFERROR(__xludf.DUMMYFUNCTION("""COMPUTED_VALUE"""),500000.0)</f>
        <v>500000</v>
      </c>
      <c r="I6612" s="24">
        <f>IFERROR(__xludf.DUMMYFUNCTION("""COMPUTED_VALUE"""),0.0)</f>
        <v>0</v>
      </c>
    </row>
    <row r="6613">
      <c r="A6613" s="5" t="str">
        <f>IFERROR(__xludf.DUMMYFUNCTION("""COMPUTED_VALUE"""),"77665")</f>
        <v>77665</v>
      </c>
      <c r="B6613" s="64">
        <f>IFERROR(__xludf.DUMMYFUNCTION("""COMPUTED_VALUE"""),44639.0)</f>
        <v>44639</v>
      </c>
      <c r="C6613" s="5"/>
      <c r="D6613" s="5"/>
      <c r="E6613" s="5"/>
      <c r="F6613" s="22">
        <f>IFERROR(__xludf.DUMMYFUNCTION("""COMPUTED_VALUE"""),500000.0)</f>
        <v>500000</v>
      </c>
      <c r="G6613" s="22">
        <f>IFERROR(__xludf.DUMMYFUNCTION("""COMPUTED_VALUE"""),0.0)</f>
        <v>0</v>
      </c>
      <c r="H6613" s="22">
        <f>IFERROR(__xludf.DUMMYFUNCTION("""COMPUTED_VALUE"""),500000.0)</f>
        <v>500000</v>
      </c>
      <c r="I6613" s="24">
        <f>IFERROR(__xludf.DUMMYFUNCTION("""COMPUTED_VALUE"""),0.0)</f>
        <v>0</v>
      </c>
    </row>
    <row r="6614">
      <c r="A6614" s="5" t="str">
        <f>IFERROR(__xludf.DUMMYFUNCTION("""COMPUTED_VALUE"""),"77665")</f>
        <v>77665</v>
      </c>
      <c r="B6614" s="64">
        <f>IFERROR(__xludf.DUMMYFUNCTION("""COMPUTED_VALUE"""),44640.0)</f>
        <v>44640</v>
      </c>
      <c r="C6614" s="5"/>
      <c r="D6614" s="5"/>
      <c r="E6614" s="5"/>
      <c r="F6614" s="22">
        <f>IFERROR(__xludf.DUMMYFUNCTION("""COMPUTED_VALUE"""),500000.0)</f>
        <v>500000</v>
      </c>
      <c r="G6614" s="22">
        <f>IFERROR(__xludf.DUMMYFUNCTION("""COMPUTED_VALUE"""),0.0)</f>
        <v>0</v>
      </c>
      <c r="H6614" s="22">
        <f>IFERROR(__xludf.DUMMYFUNCTION("""COMPUTED_VALUE"""),500000.0)</f>
        <v>500000</v>
      </c>
      <c r="I6614" s="24">
        <f>IFERROR(__xludf.DUMMYFUNCTION("""COMPUTED_VALUE"""),0.0)</f>
        <v>0</v>
      </c>
    </row>
    <row r="6615">
      <c r="A6615" s="5" t="str">
        <f>IFERROR(__xludf.DUMMYFUNCTION("""COMPUTED_VALUE"""),"77665")</f>
        <v>77665</v>
      </c>
      <c r="B6615" s="64">
        <f>IFERROR(__xludf.DUMMYFUNCTION("""COMPUTED_VALUE"""),44641.0)</f>
        <v>44641</v>
      </c>
      <c r="C6615" s="5"/>
      <c r="D6615" s="5"/>
      <c r="E6615" s="5"/>
      <c r="F6615" s="22">
        <f>IFERROR(__xludf.DUMMYFUNCTION("""COMPUTED_VALUE"""),500000.0)</f>
        <v>500000</v>
      </c>
      <c r="G6615" s="22">
        <f>IFERROR(__xludf.DUMMYFUNCTION("""COMPUTED_VALUE"""),0.0)</f>
        <v>0</v>
      </c>
      <c r="H6615" s="22">
        <f>IFERROR(__xludf.DUMMYFUNCTION("""COMPUTED_VALUE"""),500000.0)</f>
        <v>500000</v>
      </c>
      <c r="I6615" s="24">
        <f>IFERROR(__xludf.DUMMYFUNCTION("""COMPUTED_VALUE"""),0.0)</f>
        <v>0</v>
      </c>
    </row>
    <row r="6616">
      <c r="A6616" s="5" t="str">
        <f>IFERROR(__xludf.DUMMYFUNCTION("""COMPUTED_VALUE"""),"77665")</f>
        <v>77665</v>
      </c>
      <c r="B6616" s="64">
        <f>IFERROR(__xludf.DUMMYFUNCTION("""COMPUTED_VALUE"""),44642.0)</f>
        <v>44642</v>
      </c>
      <c r="C6616" s="5"/>
      <c r="D6616" s="5"/>
      <c r="E6616" s="5"/>
      <c r="F6616" s="22">
        <f>IFERROR(__xludf.DUMMYFUNCTION("""COMPUTED_VALUE"""),500000.0)</f>
        <v>500000</v>
      </c>
      <c r="G6616" s="22">
        <f>IFERROR(__xludf.DUMMYFUNCTION("""COMPUTED_VALUE"""),0.0)</f>
        <v>0</v>
      </c>
      <c r="H6616" s="22">
        <f>IFERROR(__xludf.DUMMYFUNCTION("""COMPUTED_VALUE"""),500000.0)</f>
        <v>500000</v>
      </c>
      <c r="I6616" s="24">
        <f>IFERROR(__xludf.DUMMYFUNCTION("""COMPUTED_VALUE"""),0.0)</f>
        <v>0</v>
      </c>
    </row>
    <row r="6617">
      <c r="A6617" s="5" t="str">
        <f>IFERROR(__xludf.DUMMYFUNCTION("""COMPUTED_VALUE"""),"77665")</f>
        <v>77665</v>
      </c>
      <c r="B6617" s="64">
        <f>IFERROR(__xludf.DUMMYFUNCTION("""COMPUTED_VALUE"""),44643.0)</f>
        <v>44643</v>
      </c>
      <c r="C6617" s="5"/>
      <c r="D6617" s="5"/>
      <c r="E6617" s="5"/>
      <c r="F6617" s="22">
        <f>IFERROR(__xludf.DUMMYFUNCTION("""COMPUTED_VALUE"""),500000.0)</f>
        <v>500000</v>
      </c>
      <c r="G6617" s="22">
        <f>IFERROR(__xludf.DUMMYFUNCTION("""COMPUTED_VALUE"""),0.0)</f>
        <v>0</v>
      </c>
      <c r="H6617" s="22">
        <f>IFERROR(__xludf.DUMMYFUNCTION("""COMPUTED_VALUE"""),500000.0)</f>
        <v>500000</v>
      </c>
      <c r="I6617" s="24">
        <f>IFERROR(__xludf.DUMMYFUNCTION("""COMPUTED_VALUE"""),0.0)</f>
        <v>0</v>
      </c>
    </row>
    <row r="6618">
      <c r="A6618" s="5" t="str">
        <f>IFERROR(__xludf.DUMMYFUNCTION("""COMPUTED_VALUE"""),"77665")</f>
        <v>77665</v>
      </c>
      <c r="B6618" s="64">
        <f>IFERROR(__xludf.DUMMYFUNCTION("""COMPUTED_VALUE"""),44644.0)</f>
        <v>44644</v>
      </c>
      <c r="C6618" s="5"/>
      <c r="D6618" s="5"/>
      <c r="E6618" s="5"/>
      <c r="F6618" s="22">
        <f>IFERROR(__xludf.DUMMYFUNCTION("""COMPUTED_VALUE"""),500000.0)</f>
        <v>500000</v>
      </c>
      <c r="G6618" s="22">
        <f>IFERROR(__xludf.DUMMYFUNCTION("""COMPUTED_VALUE"""),0.0)</f>
        <v>0</v>
      </c>
      <c r="H6618" s="22">
        <f>IFERROR(__xludf.DUMMYFUNCTION("""COMPUTED_VALUE"""),500000.0)</f>
        <v>500000</v>
      </c>
      <c r="I6618" s="24">
        <f>IFERROR(__xludf.DUMMYFUNCTION("""COMPUTED_VALUE"""),0.0)</f>
        <v>0</v>
      </c>
    </row>
    <row r="6619">
      <c r="A6619" s="5" t="str">
        <f>IFERROR(__xludf.DUMMYFUNCTION("""COMPUTED_VALUE"""),"77665")</f>
        <v>77665</v>
      </c>
      <c r="B6619" s="64">
        <f>IFERROR(__xludf.DUMMYFUNCTION("""COMPUTED_VALUE"""),44645.0)</f>
        <v>44645</v>
      </c>
      <c r="C6619" s="5"/>
      <c r="D6619" s="5"/>
      <c r="E6619" s="5"/>
      <c r="F6619" s="22">
        <f>IFERROR(__xludf.DUMMYFUNCTION("""COMPUTED_VALUE"""),500000.0)</f>
        <v>500000</v>
      </c>
      <c r="G6619" s="22">
        <f>IFERROR(__xludf.DUMMYFUNCTION("""COMPUTED_VALUE"""),0.0)</f>
        <v>0</v>
      </c>
      <c r="H6619" s="22">
        <f>IFERROR(__xludf.DUMMYFUNCTION("""COMPUTED_VALUE"""),500000.0)</f>
        <v>500000</v>
      </c>
      <c r="I6619" s="24">
        <f>IFERROR(__xludf.DUMMYFUNCTION("""COMPUTED_VALUE"""),0.0)</f>
        <v>0</v>
      </c>
    </row>
    <row r="6620">
      <c r="A6620" s="5" t="str">
        <f>IFERROR(__xludf.DUMMYFUNCTION("""COMPUTED_VALUE"""),"77665")</f>
        <v>77665</v>
      </c>
      <c r="B6620" s="64">
        <f>IFERROR(__xludf.DUMMYFUNCTION("""COMPUTED_VALUE"""),44646.0)</f>
        <v>44646</v>
      </c>
      <c r="C6620" s="5"/>
      <c r="D6620" s="5"/>
      <c r="E6620" s="5"/>
      <c r="F6620" s="22">
        <f>IFERROR(__xludf.DUMMYFUNCTION("""COMPUTED_VALUE"""),500000.0)</f>
        <v>500000</v>
      </c>
      <c r="G6620" s="22">
        <f>IFERROR(__xludf.DUMMYFUNCTION("""COMPUTED_VALUE"""),0.0)</f>
        <v>0</v>
      </c>
      <c r="H6620" s="22">
        <f>IFERROR(__xludf.DUMMYFUNCTION("""COMPUTED_VALUE"""),500000.0)</f>
        <v>500000</v>
      </c>
      <c r="I6620" s="24">
        <f>IFERROR(__xludf.DUMMYFUNCTION("""COMPUTED_VALUE"""),0.0)</f>
        <v>0</v>
      </c>
    </row>
    <row r="6621">
      <c r="A6621" s="5" t="str">
        <f>IFERROR(__xludf.DUMMYFUNCTION("""COMPUTED_VALUE"""),"77665")</f>
        <v>77665</v>
      </c>
      <c r="B6621" s="64">
        <f>IFERROR(__xludf.DUMMYFUNCTION("""COMPUTED_VALUE"""),44647.0)</f>
        <v>44647</v>
      </c>
      <c r="C6621" s="5"/>
      <c r="D6621" s="5"/>
      <c r="E6621" s="5"/>
      <c r="F6621" s="22">
        <f>IFERROR(__xludf.DUMMYFUNCTION("""COMPUTED_VALUE"""),500000.0)</f>
        <v>500000</v>
      </c>
      <c r="G6621" s="22">
        <f>IFERROR(__xludf.DUMMYFUNCTION("""COMPUTED_VALUE"""),0.0)</f>
        <v>0</v>
      </c>
      <c r="H6621" s="22">
        <f>IFERROR(__xludf.DUMMYFUNCTION("""COMPUTED_VALUE"""),500000.0)</f>
        <v>500000</v>
      </c>
      <c r="I6621" s="24">
        <f>IFERROR(__xludf.DUMMYFUNCTION("""COMPUTED_VALUE"""),0.0)</f>
        <v>0</v>
      </c>
    </row>
    <row r="6622">
      <c r="A6622" s="5" t="str">
        <f>IFERROR(__xludf.DUMMYFUNCTION("""COMPUTED_VALUE"""),"77665")</f>
        <v>77665</v>
      </c>
      <c r="B6622" s="64">
        <f>IFERROR(__xludf.DUMMYFUNCTION("""COMPUTED_VALUE"""),44648.0)</f>
        <v>44648</v>
      </c>
      <c r="C6622" s="5"/>
      <c r="D6622" s="5"/>
      <c r="E6622" s="5"/>
      <c r="F6622" s="22">
        <f>IFERROR(__xludf.DUMMYFUNCTION("""COMPUTED_VALUE"""),500000.0)</f>
        <v>500000</v>
      </c>
      <c r="G6622" s="22">
        <f>IFERROR(__xludf.DUMMYFUNCTION("""COMPUTED_VALUE"""),0.0)</f>
        <v>0</v>
      </c>
      <c r="H6622" s="22">
        <f>IFERROR(__xludf.DUMMYFUNCTION("""COMPUTED_VALUE"""),500000.0)</f>
        <v>500000</v>
      </c>
      <c r="I6622" s="24">
        <f>IFERROR(__xludf.DUMMYFUNCTION("""COMPUTED_VALUE"""),0.0)</f>
        <v>0</v>
      </c>
    </row>
    <row r="6623">
      <c r="A6623" s="5" t="str">
        <f>IFERROR(__xludf.DUMMYFUNCTION("""COMPUTED_VALUE"""),"77665")</f>
        <v>77665</v>
      </c>
      <c r="B6623" s="64">
        <f>IFERROR(__xludf.DUMMYFUNCTION("""COMPUTED_VALUE"""),44649.0)</f>
        <v>44649</v>
      </c>
      <c r="C6623" s="5"/>
      <c r="D6623" s="5"/>
      <c r="E6623" s="5"/>
      <c r="F6623" s="22">
        <f>IFERROR(__xludf.DUMMYFUNCTION("""COMPUTED_VALUE"""),500000.0)</f>
        <v>500000</v>
      </c>
      <c r="G6623" s="22">
        <f>IFERROR(__xludf.DUMMYFUNCTION("""COMPUTED_VALUE"""),0.0)</f>
        <v>0</v>
      </c>
      <c r="H6623" s="22">
        <f>IFERROR(__xludf.DUMMYFUNCTION("""COMPUTED_VALUE"""),500000.0)</f>
        <v>500000</v>
      </c>
      <c r="I6623" s="24">
        <f>IFERROR(__xludf.DUMMYFUNCTION("""COMPUTED_VALUE"""),0.0)</f>
        <v>0</v>
      </c>
    </row>
    <row r="6624">
      <c r="A6624" s="5" t="str">
        <f>IFERROR(__xludf.DUMMYFUNCTION("""COMPUTED_VALUE"""),"77665")</f>
        <v>77665</v>
      </c>
      <c r="B6624" s="64">
        <f>IFERROR(__xludf.DUMMYFUNCTION("""COMPUTED_VALUE"""),44650.0)</f>
        <v>44650</v>
      </c>
      <c r="C6624" s="5"/>
      <c r="D6624" s="5"/>
      <c r="E6624" s="5"/>
      <c r="F6624" s="22">
        <f>IFERROR(__xludf.DUMMYFUNCTION("""COMPUTED_VALUE"""),500000.0)</f>
        <v>500000</v>
      </c>
      <c r="G6624" s="22">
        <f>IFERROR(__xludf.DUMMYFUNCTION("""COMPUTED_VALUE"""),0.0)</f>
        <v>0</v>
      </c>
      <c r="H6624" s="22">
        <f>IFERROR(__xludf.DUMMYFUNCTION("""COMPUTED_VALUE"""),500000.0)</f>
        <v>500000</v>
      </c>
      <c r="I6624" s="24">
        <f>IFERROR(__xludf.DUMMYFUNCTION("""COMPUTED_VALUE"""),0.0)</f>
        <v>0</v>
      </c>
    </row>
    <row r="6625">
      <c r="A6625" s="5" t="str">
        <f>IFERROR(__xludf.DUMMYFUNCTION("""COMPUTED_VALUE"""),"77665")</f>
        <v>77665</v>
      </c>
      <c r="B6625" s="64">
        <f>IFERROR(__xludf.DUMMYFUNCTION("""COMPUTED_VALUE"""),44651.0)</f>
        <v>44651</v>
      </c>
      <c r="C6625" s="5"/>
      <c r="D6625" s="5"/>
      <c r="E6625" s="5"/>
      <c r="F6625" s="22">
        <f>IFERROR(__xludf.DUMMYFUNCTION("""COMPUTED_VALUE"""),500000.0)</f>
        <v>500000</v>
      </c>
      <c r="G6625" s="22">
        <f>IFERROR(__xludf.DUMMYFUNCTION("""COMPUTED_VALUE"""),0.0)</f>
        <v>0</v>
      </c>
      <c r="H6625" s="22">
        <f>IFERROR(__xludf.DUMMYFUNCTION("""COMPUTED_VALUE"""),500000.0)</f>
        <v>500000</v>
      </c>
      <c r="I6625" s="24">
        <f>IFERROR(__xludf.DUMMYFUNCTION("""COMPUTED_VALUE"""),0.0)</f>
        <v>0</v>
      </c>
    </row>
    <row r="6626">
      <c r="A6626" s="5" t="str">
        <f>IFERROR(__xludf.DUMMYFUNCTION("""COMPUTED_VALUE"""),"77665")</f>
        <v>77665</v>
      </c>
      <c r="B6626" s="64">
        <f>IFERROR(__xludf.DUMMYFUNCTION("""COMPUTED_VALUE"""),44652.0)</f>
        <v>44652</v>
      </c>
      <c r="C6626" s="5"/>
      <c r="D6626" s="5"/>
      <c r="E6626" s="5"/>
      <c r="F6626" s="22">
        <f>IFERROR(__xludf.DUMMYFUNCTION("""COMPUTED_VALUE"""),500000.0)</f>
        <v>500000</v>
      </c>
      <c r="G6626" s="22">
        <f>IFERROR(__xludf.DUMMYFUNCTION("""COMPUTED_VALUE"""),0.0)</f>
        <v>0</v>
      </c>
      <c r="H6626" s="22">
        <f>IFERROR(__xludf.DUMMYFUNCTION("""COMPUTED_VALUE"""),500000.0)</f>
        <v>500000</v>
      </c>
      <c r="I6626" s="24">
        <f>IFERROR(__xludf.DUMMYFUNCTION("""COMPUTED_VALUE"""),0.0)</f>
        <v>0</v>
      </c>
    </row>
    <row r="6627">
      <c r="A6627" s="5" t="str">
        <f>IFERROR(__xludf.DUMMYFUNCTION("""COMPUTED_VALUE"""),"77665")</f>
        <v>77665</v>
      </c>
      <c r="B6627" s="64">
        <f>IFERROR(__xludf.DUMMYFUNCTION("""COMPUTED_VALUE"""),44653.0)</f>
        <v>44653</v>
      </c>
      <c r="C6627" s="5"/>
      <c r="D6627" s="5"/>
      <c r="E6627" s="5"/>
      <c r="F6627" s="22">
        <f>IFERROR(__xludf.DUMMYFUNCTION("""COMPUTED_VALUE"""),500000.0)</f>
        <v>500000</v>
      </c>
      <c r="G6627" s="22">
        <f>IFERROR(__xludf.DUMMYFUNCTION("""COMPUTED_VALUE"""),0.0)</f>
        <v>0</v>
      </c>
      <c r="H6627" s="22">
        <f>IFERROR(__xludf.DUMMYFUNCTION("""COMPUTED_VALUE"""),500000.0)</f>
        <v>500000</v>
      </c>
      <c r="I6627" s="24">
        <f>IFERROR(__xludf.DUMMYFUNCTION("""COMPUTED_VALUE"""),0.0)</f>
        <v>0</v>
      </c>
    </row>
    <row r="6628">
      <c r="A6628" s="5" t="str">
        <f>IFERROR(__xludf.DUMMYFUNCTION("""COMPUTED_VALUE"""),"77665")</f>
        <v>77665</v>
      </c>
      <c r="B6628" s="64">
        <f>IFERROR(__xludf.DUMMYFUNCTION("""COMPUTED_VALUE"""),44654.0)</f>
        <v>44654</v>
      </c>
      <c r="C6628" s="5"/>
      <c r="D6628" s="5"/>
      <c r="E6628" s="5"/>
      <c r="F6628" s="22">
        <f>IFERROR(__xludf.DUMMYFUNCTION("""COMPUTED_VALUE"""),500000.0)</f>
        <v>500000</v>
      </c>
      <c r="G6628" s="22">
        <f>IFERROR(__xludf.DUMMYFUNCTION("""COMPUTED_VALUE"""),0.0)</f>
        <v>0</v>
      </c>
      <c r="H6628" s="22">
        <f>IFERROR(__xludf.DUMMYFUNCTION("""COMPUTED_VALUE"""),500000.0)</f>
        <v>500000</v>
      </c>
      <c r="I6628" s="24">
        <f>IFERROR(__xludf.DUMMYFUNCTION("""COMPUTED_VALUE"""),0.0)</f>
        <v>0</v>
      </c>
    </row>
    <row r="6629">
      <c r="A6629" s="5" t="str">
        <f>IFERROR(__xludf.DUMMYFUNCTION("""COMPUTED_VALUE"""),"77665")</f>
        <v>77665</v>
      </c>
      <c r="B6629" s="64">
        <f>IFERROR(__xludf.DUMMYFUNCTION("""COMPUTED_VALUE"""),44655.0)</f>
        <v>44655</v>
      </c>
      <c r="C6629" s="5"/>
      <c r="D6629" s="5"/>
      <c r="E6629" s="5"/>
      <c r="F6629" s="22">
        <f>IFERROR(__xludf.DUMMYFUNCTION("""COMPUTED_VALUE"""),500000.0)</f>
        <v>500000</v>
      </c>
      <c r="G6629" s="22">
        <f>IFERROR(__xludf.DUMMYFUNCTION("""COMPUTED_VALUE"""),0.0)</f>
        <v>0</v>
      </c>
      <c r="H6629" s="22">
        <f>IFERROR(__xludf.DUMMYFUNCTION("""COMPUTED_VALUE"""),500000.0)</f>
        <v>500000</v>
      </c>
      <c r="I6629" s="24">
        <f>IFERROR(__xludf.DUMMYFUNCTION("""COMPUTED_VALUE"""),0.0)</f>
        <v>0</v>
      </c>
    </row>
    <row r="6630">
      <c r="A6630" s="5" t="str">
        <f>IFERROR(__xludf.DUMMYFUNCTION("""COMPUTED_VALUE"""),"77665")</f>
        <v>77665</v>
      </c>
      <c r="B6630" s="64">
        <f>IFERROR(__xludf.DUMMYFUNCTION("""COMPUTED_VALUE"""),44656.0)</f>
        <v>44656</v>
      </c>
      <c r="C6630" s="5"/>
      <c r="D6630" s="5"/>
      <c r="E6630" s="5"/>
      <c r="F6630" s="22">
        <f>IFERROR(__xludf.DUMMYFUNCTION("""COMPUTED_VALUE"""),500000.0)</f>
        <v>500000</v>
      </c>
      <c r="G6630" s="22">
        <f>IFERROR(__xludf.DUMMYFUNCTION("""COMPUTED_VALUE"""),0.0)</f>
        <v>0</v>
      </c>
      <c r="H6630" s="22">
        <f>IFERROR(__xludf.DUMMYFUNCTION("""COMPUTED_VALUE"""),500000.0)</f>
        <v>500000</v>
      </c>
      <c r="I6630" s="24">
        <f>IFERROR(__xludf.DUMMYFUNCTION("""COMPUTED_VALUE"""),0.0)</f>
        <v>0</v>
      </c>
    </row>
    <row r="6631">
      <c r="A6631" s="5" t="str">
        <f>IFERROR(__xludf.DUMMYFUNCTION("""COMPUTED_VALUE"""),"77665")</f>
        <v>77665</v>
      </c>
      <c r="B6631" s="64">
        <f>IFERROR(__xludf.DUMMYFUNCTION("""COMPUTED_VALUE"""),44657.0)</f>
        <v>44657</v>
      </c>
      <c r="C6631" s="5"/>
      <c r="D6631" s="5"/>
      <c r="E6631" s="5"/>
      <c r="F6631" s="22">
        <f>IFERROR(__xludf.DUMMYFUNCTION("""COMPUTED_VALUE"""),495054.363975)</f>
        <v>495054.364</v>
      </c>
      <c r="G6631" s="22">
        <f>IFERROR(__xludf.DUMMYFUNCTION("""COMPUTED_VALUE"""),0.0)</f>
        <v>0</v>
      </c>
      <c r="H6631" s="22">
        <f>IFERROR(__xludf.DUMMYFUNCTION("""COMPUTED_VALUE"""),500000.0)</f>
        <v>500000</v>
      </c>
      <c r="I6631" s="24">
        <f>IFERROR(__xludf.DUMMYFUNCTION("""COMPUTED_VALUE"""),0.0)</f>
        <v>0</v>
      </c>
    </row>
    <row r="6632">
      <c r="A6632" s="5" t="str">
        <f>IFERROR(__xludf.DUMMYFUNCTION("""COMPUTED_VALUE"""),"77665")</f>
        <v>77665</v>
      </c>
      <c r="B6632" s="64">
        <f>IFERROR(__xludf.DUMMYFUNCTION("""COMPUTED_VALUE"""),44658.0)</f>
        <v>44658</v>
      </c>
      <c r="C6632" s="5"/>
      <c r="D6632" s="5"/>
      <c r="E6632" s="5"/>
      <c r="F6632" s="22">
        <f>IFERROR(__xludf.DUMMYFUNCTION("""COMPUTED_VALUE"""),410661.53397)</f>
        <v>410661.534</v>
      </c>
      <c r="G6632" s="22">
        <f>IFERROR(__xludf.DUMMYFUNCTION("""COMPUTED_VALUE"""),0.0)</f>
        <v>0</v>
      </c>
      <c r="H6632" s="22">
        <f>IFERROR(__xludf.DUMMYFUNCTION("""COMPUTED_VALUE"""),500028.21599)</f>
        <v>500028.216</v>
      </c>
      <c r="I6632" s="24">
        <f>IFERROR(__xludf.DUMMYFUNCTION("""COMPUTED_VALUE"""),5.643198000004901E-5)</f>
        <v>0.00005643198</v>
      </c>
    </row>
    <row r="6633">
      <c r="A6633" s="5" t="str">
        <f>IFERROR(__xludf.DUMMYFUNCTION("""COMPUTED_VALUE"""),"77665")</f>
        <v>77665</v>
      </c>
      <c r="B6633" s="64">
        <f>IFERROR(__xludf.DUMMYFUNCTION("""COMPUTED_VALUE"""),44659.0)</f>
        <v>44659</v>
      </c>
      <c r="C6633" s="5"/>
      <c r="D6633" s="5"/>
      <c r="E6633" s="5"/>
      <c r="F6633" s="22">
        <f>IFERROR(__xludf.DUMMYFUNCTION("""COMPUTED_VALUE"""),410661.53397)</f>
        <v>410661.534</v>
      </c>
      <c r="G6633" s="22">
        <f>IFERROR(__xludf.DUMMYFUNCTION("""COMPUTED_VALUE"""),0.0)</f>
        <v>0</v>
      </c>
      <c r="H6633" s="22">
        <f>IFERROR(__xludf.DUMMYFUNCTION("""COMPUTED_VALUE"""),499120.73668000003)</f>
        <v>499120.7367</v>
      </c>
      <c r="I6633" s="24">
        <f>IFERROR(__xludf.DUMMYFUNCTION("""COMPUTED_VALUE"""),-0.00175852663999998)</f>
        <v>-0.00175852664</v>
      </c>
    </row>
    <row r="6634">
      <c r="A6634" s="5" t="str">
        <f>IFERROR(__xludf.DUMMYFUNCTION("""COMPUTED_VALUE"""),"77665")</f>
        <v>77665</v>
      </c>
      <c r="B6634" s="64">
        <f>IFERROR(__xludf.DUMMYFUNCTION("""COMPUTED_VALUE"""),44660.0)</f>
        <v>44660</v>
      </c>
      <c r="C6634" s="5"/>
      <c r="D6634" s="5"/>
      <c r="E6634" s="5"/>
      <c r="F6634" s="22">
        <f>IFERROR(__xludf.DUMMYFUNCTION("""COMPUTED_VALUE"""),410661.53397)</f>
        <v>410661.534</v>
      </c>
      <c r="G6634" s="22">
        <f>IFERROR(__xludf.DUMMYFUNCTION("""COMPUTED_VALUE"""),0.0)</f>
        <v>0</v>
      </c>
      <c r="H6634" s="22">
        <f>IFERROR(__xludf.DUMMYFUNCTION("""COMPUTED_VALUE"""),499120.73668000003)</f>
        <v>499120.7367</v>
      </c>
      <c r="I6634" s="24">
        <f>IFERROR(__xludf.DUMMYFUNCTION("""COMPUTED_VALUE"""),-0.00175852663999998)</f>
        <v>-0.00175852664</v>
      </c>
    </row>
    <row r="6635">
      <c r="A6635" s="5" t="str">
        <f>IFERROR(__xludf.DUMMYFUNCTION("""COMPUTED_VALUE"""),"77665")</f>
        <v>77665</v>
      </c>
      <c r="B6635" s="64">
        <f>IFERROR(__xludf.DUMMYFUNCTION("""COMPUTED_VALUE"""),44661.0)</f>
        <v>44661</v>
      </c>
      <c r="C6635" s="5"/>
      <c r="D6635" s="5"/>
      <c r="E6635" s="5"/>
      <c r="F6635" s="22">
        <f>IFERROR(__xludf.DUMMYFUNCTION("""COMPUTED_VALUE"""),410661.53397)</f>
        <v>410661.534</v>
      </c>
      <c r="G6635" s="22">
        <f>IFERROR(__xludf.DUMMYFUNCTION("""COMPUTED_VALUE"""),0.0)</f>
        <v>0</v>
      </c>
      <c r="H6635" s="22">
        <f>IFERROR(__xludf.DUMMYFUNCTION("""COMPUTED_VALUE"""),499120.73668000003)</f>
        <v>499120.7367</v>
      </c>
      <c r="I6635" s="24">
        <f>IFERROR(__xludf.DUMMYFUNCTION("""COMPUTED_VALUE"""),-0.00175852663999998)</f>
        <v>-0.00175852664</v>
      </c>
    </row>
    <row r="6636">
      <c r="A6636" s="5" t="str">
        <f>IFERROR(__xludf.DUMMYFUNCTION("""COMPUTED_VALUE"""),"77665")</f>
        <v>77665</v>
      </c>
      <c r="B6636" s="64">
        <f>IFERROR(__xludf.DUMMYFUNCTION("""COMPUTED_VALUE"""),44662.0)</f>
        <v>44662</v>
      </c>
      <c r="C6636" s="5"/>
      <c r="D6636" s="5"/>
      <c r="E6636" s="5"/>
      <c r="F6636" s="22">
        <f>IFERROR(__xludf.DUMMYFUNCTION("""COMPUTED_VALUE"""),410661.53397)</f>
        <v>410661.534</v>
      </c>
      <c r="G6636" s="22">
        <f>IFERROR(__xludf.DUMMYFUNCTION("""COMPUTED_VALUE"""),0.0)</f>
        <v>0</v>
      </c>
      <c r="H6636" s="22">
        <f>IFERROR(__xludf.DUMMYFUNCTION("""COMPUTED_VALUE"""),498546.69404)</f>
        <v>498546.694</v>
      </c>
      <c r="I6636" s="24">
        <f>IFERROR(__xludf.DUMMYFUNCTION("""COMPUTED_VALUE"""),-0.0029066119200000795)</f>
        <v>-0.00290661192</v>
      </c>
    </row>
    <row r="6637">
      <c r="A6637" s="5" t="str">
        <f>IFERROR(__xludf.DUMMYFUNCTION("""COMPUTED_VALUE"""),"77665")</f>
        <v>77665</v>
      </c>
      <c r="B6637" s="64">
        <f>IFERROR(__xludf.DUMMYFUNCTION("""COMPUTED_VALUE"""),44663.0)</f>
        <v>44663</v>
      </c>
      <c r="C6637" s="5"/>
      <c r="D6637" s="5"/>
      <c r="E6637" s="5"/>
      <c r="F6637" s="22">
        <f>IFERROR(__xludf.DUMMYFUNCTION("""COMPUTED_VALUE"""),410661.53397)</f>
        <v>410661.534</v>
      </c>
      <c r="G6637" s="22">
        <f>IFERROR(__xludf.DUMMYFUNCTION("""COMPUTED_VALUE"""),0.0)</f>
        <v>0</v>
      </c>
      <c r="H6637" s="22">
        <f>IFERROR(__xludf.DUMMYFUNCTION("""COMPUTED_VALUE"""),499041.41115)</f>
        <v>499041.4112</v>
      </c>
      <c r="I6637" s="24">
        <f>IFERROR(__xludf.DUMMYFUNCTION("""COMPUTED_VALUE"""),-0.0019171776999999945)</f>
        <v>-0.0019171777</v>
      </c>
    </row>
    <row r="6638">
      <c r="A6638" s="5" t="str">
        <f>IFERROR(__xludf.DUMMYFUNCTION("""COMPUTED_VALUE"""),"77729")</f>
        <v>77729</v>
      </c>
      <c r="B6638" s="64">
        <f>IFERROR(__xludf.DUMMYFUNCTION("""COMPUTED_VALUE"""),44597.0)</f>
        <v>44597</v>
      </c>
      <c r="C6638" s="5"/>
      <c r="D6638" s="5"/>
      <c r="E6638" s="5"/>
      <c r="F6638" s="22">
        <f>IFERROR(__xludf.DUMMYFUNCTION("""COMPUTED_VALUE"""),500000.0)</f>
        <v>500000</v>
      </c>
      <c r="G6638" s="22">
        <f>IFERROR(__xludf.DUMMYFUNCTION("""COMPUTED_VALUE"""),0.0)</f>
        <v>0</v>
      </c>
      <c r="H6638" s="22">
        <f>IFERROR(__xludf.DUMMYFUNCTION("""COMPUTED_VALUE"""),500000.0)</f>
        <v>500000</v>
      </c>
      <c r="I6638" s="24">
        <f>IFERROR(__xludf.DUMMYFUNCTION("""COMPUTED_VALUE"""),0.0)</f>
        <v>0</v>
      </c>
    </row>
    <row r="6639">
      <c r="A6639" s="5" t="str">
        <f>IFERROR(__xludf.DUMMYFUNCTION("""COMPUTED_VALUE"""),"77729")</f>
        <v>77729</v>
      </c>
      <c r="B6639" s="64">
        <f>IFERROR(__xludf.DUMMYFUNCTION("""COMPUTED_VALUE"""),44598.0)</f>
        <v>44598</v>
      </c>
      <c r="C6639" s="5"/>
      <c r="D6639" s="5"/>
      <c r="E6639" s="5"/>
      <c r="F6639" s="22">
        <f>IFERROR(__xludf.DUMMYFUNCTION("""COMPUTED_VALUE"""),500000.0)</f>
        <v>500000</v>
      </c>
      <c r="G6639" s="22">
        <f>IFERROR(__xludf.DUMMYFUNCTION("""COMPUTED_VALUE"""),0.0)</f>
        <v>0</v>
      </c>
      <c r="H6639" s="22">
        <f>IFERROR(__xludf.DUMMYFUNCTION("""COMPUTED_VALUE"""),500000.0)</f>
        <v>500000</v>
      </c>
      <c r="I6639" s="24">
        <f>IFERROR(__xludf.DUMMYFUNCTION("""COMPUTED_VALUE"""),0.0)</f>
        <v>0</v>
      </c>
    </row>
    <row r="6640">
      <c r="A6640" s="5" t="str">
        <f>IFERROR(__xludf.DUMMYFUNCTION("""COMPUTED_VALUE"""),"77729")</f>
        <v>77729</v>
      </c>
      <c r="B6640" s="64">
        <f>IFERROR(__xludf.DUMMYFUNCTION("""COMPUTED_VALUE"""),44599.0)</f>
        <v>44599</v>
      </c>
      <c r="C6640" s="5"/>
      <c r="D6640" s="5"/>
      <c r="E6640" s="5"/>
      <c r="F6640" s="22">
        <f>IFERROR(__xludf.DUMMYFUNCTION("""COMPUTED_VALUE"""),500000.0)</f>
        <v>500000</v>
      </c>
      <c r="G6640" s="22">
        <f>IFERROR(__xludf.DUMMYFUNCTION("""COMPUTED_VALUE"""),0.0)</f>
        <v>0</v>
      </c>
      <c r="H6640" s="22">
        <f>IFERROR(__xludf.DUMMYFUNCTION("""COMPUTED_VALUE"""),500000.0)</f>
        <v>500000</v>
      </c>
      <c r="I6640" s="24">
        <f>IFERROR(__xludf.DUMMYFUNCTION("""COMPUTED_VALUE"""),0.0)</f>
        <v>0</v>
      </c>
    </row>
    <row r="6641">
      <c r="A6641" s="5" t="str">
        <f>IFERROR(__xludf.DUMMYFUNCTION("""COMPUTED_VALUE"""),"77729")</f>
        <v>77729</v>
      </c>
      <c r="B6641" s="64">
        <f>IFERROR(__xludf.DUMMYFUNCTION("""COMPUTED_VALUE"""),44600.0)</f>
        <v>44600</v>
      </c>
      <c r="C6641" s="5"/>
      <c r="D6641" s="5"/>
      <c r="E6641" s="5"/>
      <c r="F6641" s="22">
        <f>IFERROR(__xludf.DUMMYFUNCTION("""COMPUTED_VALUE"""),500000.0)</f>
        <v>500000</v>
      </c>
      <c r="G6641" s="22">
        <f>IFERROR(__xludf.DUMMYFUNCTION("""COMPUTED_VALUE"""),0.0)</f>
        <v>0</v>
      </c>
      <c r="H6641" s="22">
        <f>IFERROR(__xludf.DUMMYFUNCTION("""COMPUTED_VALUE"""),500000.0)</f>
        <v>500000</v>
      </c>
      <c r="I6641" s="24">
        <f>IFERROR(__xludf.DUMMYFUNCTION("""COMPUTED_VALUE"""),0.0)</f>
        <v>0</v>
      </c>
    </row>
    <row r="6642">
      <c r="A6642" s="5" t="str">
        <f>IFERROR(__xludf.DUMMYFUNCTION("""COMPUTED_VALUE"""),"77729")</f>
        <v>77729</v>
      </c>
      <c r="B6642" s="64">
        <f>IFERROR(__xludf.DUMMYFUNCTION("""COMPUTED_VALUE"""),44601.0)</f>
        <v>44601</v>
      </c>
      <c r="C6642" s="5"/>
      <c r="D6642" s="5"/>
      <c r="E6642" s="5"/>
      <c r="F6642" s="22">
        <f>IFERROR(__xludf.DUMMYFUNCTION("""COMPUTED_VALUE"""),500000.0)</f>
        <v>500000</v>
      </c>
      <c r="G6642" s="22">
        <f>IFERROR(__xludf.DUMMYFUNCTION("""COMPUTED_VALUE"""),0.0)</f>
        <v>0</v>
      </c>
      <c r="H6642" s="22">
        <f>IFERROR(__xludf.DUMMYFUNCTION("""COMPUTED_VALUE"""),500000.0)</f>
        <v>500000</v>
      </c>
      <c r="I6642" s="24">
        <f>IFERROR(__xludf.DUMMYFUNCTION("""COMPUTED_VALUE"""),0.0)</f>
        <v>0</v>
      </c>
    </row>
    <row r="6643">
      <c r="A6643" s="5" t="str">
        <f>IFERROR(__xludf.DUMMYFUNCTION("""COMPUTED_VALUE"""),"77729")</f>
        <v>77729</v>
      </c>
      <c r="B6643" s="64">
        <f>IFERROR(__xludf.DUMMYFUNCTION("""COMPUTED_VALUE"""),44602.0)</f>
        <v>44602</v>
      </c>
      <c r="C6643" s="5"/>
      <c r="D6643" s="5"/>
      <c r="E6643" s="5"/>
      <c r="F6643" s="22">
        <f>IFERROR(__xludf.DUMMYFUNCTION("""COMPUTED_VALUE"""),500000.0)</f>
        <v>500000</v>
      </c>
      <c r="G6643" s="22">
        <f>IFERROR(__xludf.DUMMYFUNCTION("""COMPUTED_VALUE"""),0.0)</f>
        <v>0</v>
      </c>
      <c r="H6643" s="22">
        <f>IFERROR(__xludf.DUMMYFUNCTION("""COMPUTED_VALUE"""),500000.0)</f>
        <v>500000</v>
      </c>
      <c r="I6643" s="24">
        <f>IFERROR(__xludf.DUMMYFUNCTION("""COMPUTED_VALUE"""),0.0)</f>
        <v>0</v>
      </c>
    </row>
    <row r="6644">
      <c r="A6644" s="5" t="str">
        <f>IFERROR(__xludf.DUMMYFUNCTION("""COMPUTED_VALUE"""),"77729")</f>
        <v>77729</v>
      </c>
      <c r="B6644" s="64">
        <f>IFERROR(__xludf.DUMMYFUNCTION("""COMPUTED_VALUE"""),44603.0)</f>
        <v>44603</v>
      </c>
      <c r="C6644" s="5"/>
      <c r="D6644" s="5"/>
      <c r="E6644" s="5"/>
      <c r="F6644" s="22">
        <f>IFERROR(__xludf.DUMMYFUNCTION("""COMPUTED_VALUE"""),500000.0)</f>
        <v>500000</v>
      </c>
      <c r="G6644" s="22">
        <f>IFERROR(__xludf.DUMMYFUNCTION("""COMPUTED_VALUE"""),0.0)</f>
        <v>0</v>
      </c>
      <c r="H6644" s="22">
        <f>IFERROR(__xludf.DUMMYFUNCTION("""COMPUTED_VALUE"""),500000.0)</f>
        <v>500000</v>
      </c>
      <c r="I6644" s="24">
        <f>IFERROR(__xludf.DUMMYFUNCTION("""COMPUTED_VALUE"""),0.0)</f>
        <v>0</v>
      </c>
    </row>
    <row r="6645">
      <c r="A6645" s="5" t="str">
        <f>IFERROR(__xludf.DUMMYFUNCTION("""COMPUTED_VALUE"""),"77729")</f>
        <v>77729</v>
      </c>
      <c r="B6645" s="64">
        <f>IFERROR(__xludf.DUMMYFUNCTION("""COMPUTED_VALUE"""),44604.0)</f>
        <v>44604</v>
      </c>
      <c r="C6645" s="5"/>
      <c r="D6645" s="5"/>
      <c r="E6645" s="5"/>
      <c r="F6645" s="22">
        <f>IFERROR(__xludf.DUMMYFUNCTION("""COMPUTED_VALUE"""),500000.0)</f>
        <v>500000</v>
      </c>
      <c r="G6645" s="22">
        <f>IFERROR(__xludf.DUMMYFUNCTION("""COMPUTED_VALUE"""),0.0)</f>
        <v>0</v>
      </c>
      <c r="H6645" s="22">
        <f>IFERROR(__xludf.DUMMYFUNCTION("""COMPUTED_VALUE"""),500000.0)</f>
        <v>500000</v>
      </c>
      <c r="I6645" s="24">
        <f>IFERROR(__xludf.DUMMYFUNCTION("""COMPUTED_VALUE"""),0.0)</f>
        <v>0</v>
      </c>
    </row>
    <row r="6646">
      <c r="A6646" s="5" t="str">
        <f>IFERROR(__xludf.DUMMYFUNCTION("""COMPUTED_VALUE"""),"77729")</f>
        <v>77729</v>
      </c>
      <c r="B6646" s="64">
        <f>IFERROR(__xludf.DUMMYFUNCTION("""COMPUTED_VALUE"""),44605.0)</f>
        <v>44605</v>
      </c>
      <c r="C6646" s="5"/>
      <c r="D6646" s="5"/>
      <c r="E6646" s="5"/>
      <c r="F6646" s="22">
        <f>IFERROR(__xludf.DUMMYFUNCTION("""COMPUTED_VALUE"""),500000.0)</f>
        <v>500000</v>
      </c>
      <c r="G6646" s="22">
        <f>IFERROR(__xludf.DUMMYFUNCTION("""COMPUTED_VALUE"""),0.0)</f>
        <v>0</v>
      </c>
      <c r="H6646" s="22">
        <f>IFERROR(__xludf.DUMMYFUNCTION("""COMPUTED_VALUE"""),500000.0)</f>
        <v>500000</v>
      </c>
      <c r="I6646" s="24">
        <f>IFERROR(__xludf.DUMMYFUNCTION("""COMPUTED_VALUE"""),0.0)</f>
        <v>0</v>
      </c>
    </row>
    <row r="6647">
      <c r="A6647" s="5" t="str">
        <f>IFERROR(__xludf.DUMMYFUNCTION("""COMPUTED_VALUE"""),"77729")</f>
        <v>77729</v>
      </c>
      <c r="B6647" s="64">
        <f>IFERROR(__xludf.DUMMYFUNCTION("""COMPUTED_VALUE"""),44606.0)</f>
        <v>44606</v>
      </c>
      <c r="C6647" s="5"/>
      <c r="D6647" s="5"/>
      <c r="E6647" s="5"/>
      <c r="F6647" s="22">
        <f>IFERROR(__xludf.DUMMYFUNCTION("""COMPUTED_VALUE"""),500000.0)</f>
        <v>500000</v>
      </c>
      <c r="G6647" s="22">
        <f>IFERROR(__xludf.DUMMYFUNCTION("""COMPUTED_VALUE"""),0.0)</f>
        <v>0</v>
      </c>
      <c r="H6647" s="22">
        <f>IFERROR(__xludf.DUMMYFUNCTION("""COMPUTED_VALUE"""),500000.0)</f>
        <v>500000</v>
      </c>
      <c r="I6647" s="24">
        <f>IFERROR(__xludf.DUMMYFUNCTION("""COMPUTED_VALUE"""),0.0)</f>
        <v>0</v>
      </c>
    </row>
    <row r="6648">
      <c r="A6648" s="5" t="str">
        <f>IFERROR(__xludf.DUMMYFUNCTION("""COMPUTED_VALUE"""),"77729")</f>
        <v>77729</v>
      </c>
      <c r="B6648" s="64">
        <f>IFERROR(__xludf.DUMMYFUNCTION("""COMPUTED_VALUE"""),44607.0)</f>
        <v>44607</v>
      </c>
      <c r="C6648" s="5"/>
      <c r="D6648" s="5"/>
      <c r="E6648" s="5"/>
      <c r="F6648" s="22">
        <f>IFERROR(__xludf.DUMMYFUNCTION("""COMPUTED_VALUE"""),500000.0)</f>
        <v>500000</v>
      </c>
      <c r="G6648" s="22">
        <f>IFERROR(__xludf.DUMMYFUNCTION("""COMPUTED_VALUE"""),0.0)</f>
        <v>0</v>
      </c>
      <c r="H6648" s="22">
        <f>IFERROR(__xludf.DUMMYFUNCTION("""COMPUTED_VALUE"""),500000.0)</f>
        <v>500000</v>
      </c>
      <c r="I6648" s="24">
        <f>IFERROR(__xludf.DUMMYFUNCTION("""COMPUTED_VALUE"""),0.0)</f>
        <v>0</v>
      </c>
    </row>
    <row r="6649">
      <c r="A6649" s="5" t="str">
        <f>IFERROR(__xludf.DUMMYFUNCTION("""COMPUTED_VALUE"""),"77729")</f>
        <v>77729</v>
      </c>
      <c r="B6649" s="64">
        <f>IFERROR(__xludf.DUMMYFUNCTION("""COMPUTED_VALUE"""),44608.0)</f>
        <v>44608</v>
      </c>
      <c r="C6649" s="5"/>
      <c r="D6649" s="5"/>
      <c r="E6649" s="5"/>
      <c r="F6649" s="22">
        <f>IFERROR(__xludf.DUMMYFUNCTION("""COMPUTED_VALUE"""),500000.0)</f>
        <v>500000</v>
      </c>
      <c r="G6649" s="22">
        <f>IFERROR(__xludf.DUMMYFUNCTION("""COMPUTED_VALUE"""),0.0)</f>
        <v>0</v>
      </c>
      <c r="H6649" s="22">
        <f>IFERROR(__xludf.DUMMYFUNCTION("""COMPUTED_VALUE"""),500000.0)</f>
        <v>500000</v>
      </c>
      <c r="I6649" s="24">
        <f>IFERROR(__xludf.DUMMYFUNCTION("""COMPUTED_VALUE"""),0.0)</f>
        <v>0</v>
      </c>
    </row>
    <row r="6650">
      <c r="A6650" s="5" t="str">
        <f>IFERROR(__xludf.DUMMYFUNCTION("""COMPUTED_VALUE"""),"77729")</f>
        <v>77729</v>
      </c>
      <c r="B6650" s="64">
        <f>IFERROR(__xludf.DUMMYFUNCTION("""COMPUTED_VALUE"""),44609.0)</f>
        <v>44609</v>
      </c>
      <c r="C6650" s="5"/>
      <c r="D6650" s="5"/>
      <c r="E6650" s="5"/>
      <c r="F6650" s="22">
        <f>IFERROR(__xludf.DUMMYFUNCTION("""COMPUTED_VALUE"""),500000.0)</f>
        <v>500000</v>
      </c>
      <c r="G6650" s="22">
        <f>IFERROR(__xludf.DUMMYFUNCTION("""COMPUTED_VALUE"""),0.0)</f>
        <v>0</v>
      </c>
      <c r="H6650" s="22">
        <f>IFERROR(__xludf.DUMMYFUNCTION("""COMPUTED_VALUE"""),500000.0)</f>
        <v>500000</v>
      </c>
      <c r="I6650" s="24">
        <f>IFERROR(__xludf.DUMMYFUNCTION("""COMPUTED_VALUE"""),0.0)</f>
        <v>0</v>
      </c>
    </row>
    <row r="6651">
      <c r="A6651" s="5" t="str">
        <f>IFERROR(__xludf.DUMMYFUNCTION("""COMPUTED_VALUE"""),"77729")</f>
        <v>77729</v>
      </c>
      <c r="B6651" s="64">
        <f>IFERROR(__xludf.DUMMYFUNCTION("""COMPUTED_VALUE"""),44610.0)</f>
        <v>44610</v>
      </c>
      <c r="C6651" s="5"/>
      <c r="D6651" s="5"/>
      <c r="E6651" s="5"/>
      <c r="F6651" s="22">
        <f>IFERROR(__xludf.DUMMYFUNCTION("""COMPUTED_VALUE"""),500000.0)</f>
        <v>500000</v>
      </c>
      <c r="G6651" s="22">
        <f>IFERROR(__xludf.DUMMYFUNCTION("""COMPUTED_VALUE"""),0.0)</f>
        <v>0</v>
      </c>
      <c r="H6651" s="22">
        <f>IFERROR(__xludf.DUMMYFUNCTION("""COMPUTED_VALUE"""),500000.0)</f>
        <v>500000</v>
      </c>
      <c r="I6651" s="24">
        <f>IFERROR(__xludf.DUMMYFUNCTION("""COMPUTED_VALUE"""),0.0)</f>
        <v>0</v>
      </c>
    </row>
    <row r="6652">
      <c r="A6652" s="5" t="str">
        <f>IFERROR(__xludf.DUMMYFUNCTION("""COMPUTED_VALUE"""),"77729")</f>
        <v>77729</v>
      </c>
      <c r="B6652" s="64">
        <f>IFERROR(__xludf.DUMMYFUNCTION("""COMPUTED_VALUE"""),44611.0)</f>
        <v>44611</v>
      </c>
      <c r="C6652" s="5"/>
      <c r="D6652" s="5"/>
      <c r="E6652" s="5"/>
      <c r="F6652" s="22">
        <f>IFERROR(__xludf.DUMMYFUNCTION("""COMPUTED_VALUE"""),500000.0)</f>
        <v>500000</v>
      </c>
      <c r="G6652" s="22">
        <f>IFERROR(__xludf.DUMMYFUNCTION("""COMPUTED_VALUE"""),0.0)</f>
        <v>0</v>
      </c>
      <c r="H6652" s="22">
        <f>IFERROR(__xludf.DUMMYFUNCTION("""COMPUTED_VALUE"""),500000.0)</f>
        <v>500000</v>
      </c>
      <c r="I6652" s="24">
        <f>IFERROR(__xludf.DUMMYFUNCTION("""COMPUTED_VALUE"""),0.0)</f>
        <v>0</v>
      </c>
    </row>
    <row r="6653">
      <c r="A6653" s="5" t="str">
        <f>IFERROR(__xludf.DUMMYFUNCTION("""COMPUTED_VALUE"""),"77729")</f>
        <v>77729</v>
      </c>
      <c r="B6653" s="64">
        <f>IFERROR(__xludf.DUMMYFUNCTION("""COMPUTED_VALUE"""),44612.0)</f>
        <v>44612</v>
      </c>
      <c r="C6653" s="5"/>
      <c r="D6653" s="5"/>
      <c r="E6653" s="5"/>
      <c r="F6653" s="22">
        <f>IFERROR(__xludf.DUMMYFUNCTION("""COMPUTED_VALUE"""),500000.0)</f>
        <v>500000</v>
      </c>
      <c r="G6653" s="22">
        <f>IFERROR(__xludf.DUMMYFUNCTION("""COMPUTED_VALUE"""),0.0)</f>
        <v>0</v>
      </c>
      <c r="H6653" s="22">
        <f>IFERROR(__xludf.DUMMYFUNCTION("""COMPUTED_VALUE"""),500000.0)</f>
        <v>500000</v>
      </c>
      <c r="I6653" s="24">
        <f>IFERROR(__xludf.DUMMYFUNCTION("""COMPUTED_VALUE"""),0.0)</f>
        <v>0</v>
      </c>
    </row>
    <row r="6654">
      <c r="A6654" s="5" t="str">
        <f>IFERROR(__xludf.DUMMYFUNCTION("""COMPUTED_VALUE"""),"77729")</f>
        <v>77729</v>
      </c>
      <c r="B6654" s="64">
        <f>IFERROR(__xludf.DUMMYFUNCTION("""COMPUTED_VALUE"""),44613.0)</f>
        <v>44613</v>
      </c>
      <c r="C6654" s="5"/>
      <c r="D6654" s="5"/>
      <c r="E6654" s="5"/>
      <c r="F6654" s="22">
        <f>IFERROR(__xludf.DUMMYFUNCTION("""COMPUTED_VALUE"""),500000.0)</f>
        <v>500000</v>
      </c>
      <c r="G6654" s="22">
        <f>IFERROR(__xludf.DUMMYFUNCTION("""COMPUTED_VALUE"""),0.0)</f>
        <v>0</v>
      </c>
      <c r="H6654" s="22">
        <f>IFERROR(__xludf.DUMMYFUNCTION("""COMPUTED_VALUE"""),500000.0)</f>
        <v>500000</v>
      </c>
      <c r="I6654" s="24">
        <f>IFERROR(__xludf.DUMMYFUNCTION("""COMPUTED_VALUE"""),0.0)</f>
        <v>0</v>
      </c>
    </row>
    <row r="6655">
      <c r="A6655" s="5" t="str">
        <f>IFERROR(__xludf.DUMMYFUNCTION("""COMPUTED_VALUE"""),"77729")</f>
        <v>77729</v>
      </c>
      <c r="B6655" s="64">
        <f>IFERROR(__xludf.DUMMYFUNCTION("""COMPUTED_VALUE"""),44614.0)</f>
        <v>44614</v>
      </c>
      <c r="C6655" s="5"/>
      <c r="D6655" s="5"/>
      <c r="E6655" s="5"/>
      <c r="F6655" s="22">
        <f>IFERROR(__xludf.DUMMYFUNCTION("""COMPUTED_VALUE"""),500000.0)</f>
        <v>500000</v>
      </c>
      <c r="G6655" s="22">
        <f>IFERROR(__xludf.DUMMYFUNCTION("""COMPUTED_VALUE"""),0.0)</f>
        <v>0</v>
      </c>
      <c r="H6655" s="22">
        <f>IFERROR(__xludf.DUMMYFUNCTION("""COMPUTED_VALUE"""),497385.2)</f>
        <v>497385.2</v>
      </c>
      <c r="I6655" s="24">
        <f>IFERROR(__xludf.DUMMYFUNCTION("""COMPUTED_VALUE"""),-0.005229599999999945)</f>
        <v>-0.0052296</v>
      </c>
    </row>
    <row r="6656">
      <c r="A6656" s="5" t="str">
        <f>IFERROR(__xludf.DUMMYFUNCTION("""COMPUTED_VALUE"""),"77729")</f>
        <v>77729</v>
      </c>
      <c r="B6656" s="64">
        <f>IFERROR(__xludf.DUMMYFUNCTION("""COMPUTED_VALUE"""),44615.0)</f>
        <v>44615</v>
      </c>
      <c r="C6656" s="5"/>
      <c r="D6656" s="5"/>
      <c r="E6656" s="5"/>
      <c r="F6656" s="22">
        <f>IFERROR(__xludf.DUMMYFUNCTION("""COMPUTED_VALUE"""),500000.0)</f>
        <v>500000</v>
      </c>
      <c r="G6656" s="22">
        <f>IFERROR(__xludf.DUMMYFUNCTION("""COMPUTED_VALUE"""),0.0)</f>
        <v>0</v>
      </c>
      <c r="H6656" s="22">
        <f>IFERROR(__xludf.DUMMYFUNCTION("""COMPUTED_VALUE"""),498859.8)</f>
        <v>498859.8</v>
      </c>
      <c r="I6656" s="24">
        <f>IFERROR(__xludf.DUMMYFUNCTION("""COMPUTED_VALUE"""),-0.0022804000000000713)</f>
        <v>-0.0022804</v>
      </c>
    </row>
    <row r="6657">
      <c r="A6657" s="5" t="str">
        <f>IFERROR(__xludf.DUMMYFUNCTION("""COMPUTED_VALUE"""),"77729")</f>
        <v>77729</v>
      </c>
      <c r="B6657" s="64">
        <f>IFERROR(__xludf.DUMMYFUNCTION("""COMPUTED_VALUE"""),44616.0)</f>
        <v>44616</v>
      </c>
      <c r="C6657" s="5"/>
      <c r="D6657" s="5"/>
      <c r="E6657" s="5"/>
      <c r="F6657" s="22">
        <f>IFERROR(__xludf.DUMMYFUNCTION("""COMPUTED_VALUE"""),500000.0)</f>
        <v>500000</v>
      </c>
      <c r="G6657" s="22">
        <f>IFERROR(__xludf.DUMMYFUNCTION("""COMPUTED_VALUE"""),0.0)</f>
        <v>0</v>
      </c>
      <c r="H6657" s="22">
        <f>IFERROR(__xludf.DUMMYFUNCTION("""COMPUTED_VALUE"""),493382.2)</f>
        <v>493382.2</v>
      </c>
      <c r="I6657" s="24">
        <f>IFERROR(__xludf.DUMMYFUNCTION("""COMPUTED_VALUE"""),-0.013235600000000014)</f>
        <v>-0.0132356</v>
      </c>
    </row>
    <row r="6658">
      <c r="A6658" s="5" t="str">
        <f>IFERROR(__xludf.DUMMYFUNCTION("""COMPUTED_VALUE"""),"77729")</f>
        <v>77729</v>
      </c>
      <c r="B6658" s="64">
        <f>IFERROR(__xludf.DUMMYFUNCTION("""COMPUTED_VALUE"""),44617.0)</f>
        <v>44617</v>
      </c>
      <c r="C6658" s="5"/>
      <c r="D6658" s="5"/>
      <c r="E6658" s="5"/>
      <c r="F6658" s="22">
        <f>IFERROR(__xludf.DUMMYFUNCTION("""COMPUTED_VALUE"""),500000.0)</f>
        <v>500000</v>
      </c>
      <c r="G6658" s="22">
        <f>IFERROR(__xludf.DUMMYFUNCTION("""COMPUTED_VALUE"""),0.0)</f>
        <v>0</v>
      </c>
      <c r="H6658" s="22">
        <f>IFERROR(__xludf.DUMMYFUNCTION("""COMPUTED_VALUE"""),492553.8)</f>
        <v>492553.8</v>
      </c>
      <c r="I6658" s="24">
        <f>IFERROR(__xludf.DUMMYFUNCTION("""COMPUTED_VALUE"""),-0.014892400000000028)</f>
        <v>-0.0148924</v>
      </c>
    </row>
    <row r="6659">
      <c r="A6659" s="5" t="str">
        <f>IFERROR(__xludf.DUMMYFUNCTION("""COMPUTED_VALUE"""),"77729")</f>
        <v>77729</v>
      </c>
      <c r="B6659" s="64">
        <f>IFERROR(__xludf.DUMMYFUNCTION("""COMPUTED_VALUE"""),44618.0)</f>
        <v>44618</v>
      </c>
      <c r="C6659" s="5"/>
      <c r="D6659" s="5"/>
      <c r="E6659" s="5"/>
      <c r="F6659" s="22">
        <f>IFERROR(__xludf.DUMMYFUNCTION("""COMPUTED_VALUE"""),500000.0)</f>
        <v>500000</v>
      </c>
      <c r="G6659" s="22">
        <f>IFERROR(__xludf.DUMMYFUNCTION("""COMPUTED_VALUE"""),0.0)</f>
        <v>0</v>
      </c>
      <c r="H6659" s="22">
        <f>IFERROR(__xludf.DUMMYFUNCTION("""COMPUTED_VALUE"""),492553.8)</f>
        <v>492553.8</v>
      </c>
      <c r="I6659" s="24">
        <f>IFERROR(__xludf.DUMMYFUNCTION("""COMPUTED_VALUE"""),-0.014892400000000028)</f>
        <v>-0.0148924</v>
      </c>
    </row>
    <row r="6660">
      <c r="A6660" s="5" t="str">
        <f>IFERROR(__xludf.DUMMYFUNCTION("""COMPUTED_VALUE"""),"77729")</f>
        <v>77729</v>
      </c>
      <c r="B6660" s="64">
        <f>IFERROR(__xludf.DUMMYFUNCTION("""COMPUTED_VALUE"""),44619.0)</f>
        <v>44619</v>
      </c>
      <c r="C6660" s="5"/>
      <c r="D6660" s="5"/>
      <c r="E6660" s="5"/>
      <c r="F6660" s="22">
        <f>IFERROR(__xludf.DUMMYFUNCTION("""COMPUTED_VALUE"""),500000.0)</f>
        <v>500000</v>
      </c>
      <c r="G6660" s="22">
        <f>IFERROR(__xludf.DUMMYFUNCTION("""COMPUTED_VALUE"""),0.0)</f>
        <v>0</v>
      </c>
      <c r="H6660" s="22">
        <f>IFERROR(__xludf.DUMMYFUNCTION("""COMPUTED_VALUE"""),492553.8)</f>
        <v>492553.8</v>
      </c>
      <c r="I6660" s="24">
        <f>IFERROR(__xludf.DUMMYFUNCTION("""COMPUTED_VALUE"""),-0.014892400000000028)</f>
        <v>-0.0148924</v>
      </c>
    </row>
    <row r="6661">
      <c r="A6661" s="5" t="str">
        <f>IFERROR(__xludf.DUMMYFUNCTION("""COMPUTED_VALUE"""),"77729")</f>
        <v>77729</v>
      </c>
      <c r="B6661" s="64">
        <f>IFERROR(__xludf.DUMMYFUNCTION("""COMPUTED_VALUE"""),44620.0)</f>
        <v>44620</v>
      </c>
      <c r="C6661" s="5"/>
      <c r="D6661" s="5"/>
      <c r="E6661" s="5"/>
      <c r="F6661" s="22">
        <f>IFERROR(__xludf.DUMMYFUNCTION("""COMPUTED_VALUE"""),500000.0)</f>
        <v>500000</v>
      </c>
      <c r="G6661" s="22">
        <f>IFERROR(__xludf.DUMMYFUNCTION("""COMPUTED_VALUE"""),0.0)</f>
        <v>0</v>
      </c>
      <c r="H6661" s="22">
        <f>IFERROR(__xludf.DUMMYFUNCTION("""COMPUTED_VALUE"""),492483.4)</f>
        <v>492483.4</v>
      </c>
      <c r="I6661" s="24">
        <f>IFERROR(__xludf.DUMMYFUNCTION("""COMPUTED_VALUE"""),-0.015033199999999969)</f>
        <v>-0.0150332</v>
      </c>
    </row>
    <row r="6662">
      <c r="A6662" s="5" t="str">
        <f>IFERROR(__xludf.DUMMYFUNCTION("""COMPUTED_VALUE"""),"77729")</f>
        <v>77729</v>
      </c>
      <c r="B6662" s="64">
        <f>IFERROR(__xludf.DUMMYFUNCTION("""COMPUTED_VALUE"""),44621.0)</f>
        <v>44621</v>
      </c>
      <c r="C6662" s="5"/>
      <c r="D6662" s="5"/>
      <c r="E6662" s="5"/>
      <c r="F6662" s="22">
        <f>IFERROR(__xludf.DUMMYFUNCTION("""COMPUTED_VALUE"""),500000.0)</f>
        <v>500000</v>
      </c>
      <c r="G6662" s="22">
        <f>IFERROR(__xludf.DUMMYFUNCTION("""COMPUTED_VALUE"""),0.0)</f>
        <v>0</v>
      </c>
      <c r="H6662" s="22">
        <f>IFERROR(__xludf.DUMMYFUNCTION("""COMPUTED_VALUE"""),494943.8)</f>
        <v>494943.8</v>
      </c>
      <c r="I6662" s="24">
        <f>IFERROR(__xludf.DUMMYFUNCTION("""COMPUTED_VALUE"""),-0.010112400000000021)</f>
        <v>-0.0101124</v>
      </c>
    </row>
    <row r="6663">
      <c r="A6663" s="5" t="str">
        <f>IFERROR(__xludf.DUMMYFUNCTION("""COMPUTED_VALUE"""),"77729")</f>
        <v>77729</v>
      </c>
      <c r="B6663" s="64">
        <f>IFERROR(__xludf.DUMMYFUNCTION("""COMPUTED_VALUE"""),44622.0)</f>
        <v>44622</v>
      </c>
      <c r="C6663" s="5"/>
      <c r="D6663" s="5"/>
      <c r="E6663" s="5"/>
      <c r="F6663" s="22">
        <f>IFERROR(__xludf.DUMMYFUNCTION("""COMPUTED_VALUE"""),500000.0)</f>
        <v>500000</v>
      </c>
      <c r="G6663" s="22">
        <f>IFERROR(__xludf.DUMMYFUNCTION("""COMPUTED_VALUE"""),0.0)</f>
        <v>0</v>
      </c>
      <c r="H6663" s="22">
        <f>IFERROR(__xludf.DUMMYFUNCTION("""COMPUTED_VALUE"""),494097.0)</f>
        <v>494097</v>
      </c>
      <c r="I6663" s="24">
        <f>IFERROR(__xludf.DUMMYFUNCTION("""COMPUTED_VALUE"""),-0.011805999999999983)</f>
        <v>-0.011806</v>
      </c>
    </row>
    <row r="6664">
      <c r="A6664" s="5" t="str">
        <f>IFERROR(__xludf.DUMMYFUNCTION("""COMPUTED_VALUE"""),"77729")</f>
        <v>77729</v>
      </c>
      <c r="B6664" s="64">
        <f>IFERROR(__xludf.DUMMYFUNCTION("""COMPUTED_VALUE"""),44623.0)</f>
        <v>44623</v>
      </c>
      <c r="C6664" s="5"/>
      <c r="D6664" s="5"/>
      <c r="E6664" s="5"/>
      <c r="F6664" s="22">
        <f>IFERROR(__xludf.DUMMYFUNCTION("""COMPUTED_VALUE"""),500000.0)</f>
        <v>500000</v>
      </c>
      <c r="G6664" s="22">
        <f>IFERROR(__xludf.DUMMYFUNCTION("""COMPUTED_VALUE"""),0.0)</f>
        <v>0</v>
      </c>
      <c r="H6664" s="22">
        <f>IFERROR(__xludf.DUMMYFUNCTION("""COMPUTED_VALUE"""),492500.2)</f>
        <v>492500.2</v>
      </c>
      <c r="I6664" s="24">
        <f>IFERROR(__xludf.DUMMYFUNCTION("""COMPUTED_VALUE"""),-0.014999600000000002)</f>
        <v>-0.0149996</v>
      </c>
    </row>
    <row r="6665">
      <c r="A6665" s="5" t="str">
        <f>IFERROR(__xludf.DUMMYFUNCTION("""COMPUTED_VALUE"""),"77729")</f>
        <v>77729</v>
      </c>
      <c r="B6665" s="64">
        <f>IFERROR(__xludf.DUMMYFUNCTION("""COMPUTED_VALUE"""),44624.0)</f>
        <v>44624</v>
      </c>
      <c r="C6665" s="5"/>
      <c r="D6665" s="5"/>
      <c r="E6665" s="5"/>
      <c r="F6665" s="22">
        <f>IFERROR(__xludf.DUMMYFUNCTION("""COMPUTED_VALUE"""),500000.0)</f>
        <v>500000</v>
      </c>
      <c r="G6665" s="22">
        <f>IFERROR(__xludf.DUMMYFUNCTION("""COMPUTED_VALUE"""),0.0)</f>
        <v>0</v>
      </c>
      <c r="H6665" s="22">
        <f>IFERROR(__xludf.DUMMYFUNCTION("""COMPUTED_VALUE"""),486561.4)</f>
        <v>486561.4</v>
      </c>
      <c r="I6665" s="24">
        <f>IFERROR(__xludf.DUMMYFUNCTION("""COMPUTED_VALUE"""),-0.026877199999999934)</f>
        <v>-0.0268772</v>
      </c>
    </row>
    <row r="6666">
      <c r="A6666" s="5" t="str">
        <f>IFERROR(__xludf.DUMMYFUNCTION("""COMPUTED_VALUE"""),"77729")</f>
        <v>77729</v>
      </c>
      <c r="B6666" s="64">
        <f>IFERROR(__xludf.DUMMYFUNCTION("""COMPUTED_VALUE"""),44625.0)</f>
        <v>44625</v>
      </c>
      <c r="C6666" s="5"/>
      <c r="D6666" s="5"/>
      <c r="E6666" s="5"/>
      <c r="F6666" s="22">
        <f>IFERROR(__xludf.DUMMYFUNCTION("""COMPUTED_VALUE"""),500000.0)</f>
        <v>500000</v>
      </c>
      <c r="G6666" s="22">
        <f>IFERROR(__xludf.DUMMYFUNCTION("""COMPUTED_VALUE"""),0.0)</f>
        <v>0</v>
      </c>
      <c r="H6666" s="22">
        <f>IFERROR(__xludf.DUMMYFUNCTION("""COMPUTED_VALUE"""),486561.4)</f>
        <v>486561.4</v>
      </c>
      <c r="I6666" s="24">
        <f>IFERROR(__xludf.DUMMYFUNCTION("""COMPUTED_VALUE"""),-0.026877199999999934)</f>
        <v>-0.0268772</v>
      </c>
    </row>
    <row r="6667">
      <c r="A6667" s="5" t="str">
        <f>IFERROR(__xludf.DUMMYFUNCTION("""COMPUTED_VALUE"""),"77729")</f>
        <v>77729</v>
      </c>
      <c r="B6667" s="64">
        <f>IFERROR(__xludf.DUMMYFUNCTION("""COMPUTED_VALUE"""),44626.0)</f>
        <v>44626</v>
      </c>
      <c r="C6667" s="5"/>
      <c r="D6667" s="5"/>
      <c r="E6667" s="5"/>
      <c r="F6667" s="22">
        <f>IFERROR(__xludf.DUMMYFUNCTION("""COMPUTED_VALUE"""),500000.0)</f>
        <v>500000</v>
      </c>
      <c r="G6667" s="22">
        <f>IFERROR(__xludf.DUMMYFUNCTION("""COMPUTED_VALUE"""),0.0)</f>
        <v>0</v>
      </c>
      <c r="H6667" s="22">
        <f>IFERROR(__xludf.DUMMYFUNCTION("""COMPUTED_VALUE"""),486561.4)</f>
        <v>486561.4</v>
      </c>
      <c r="I6667" s="24">
        <f>IFERROR(__xludf.DUMMYFUNCTION("""COMPUTED_VALUE"""),-0.026877199999999934)</f>
        <v>-0.0268772</v>
      </c>
    </row>
    <row r="6668">
      <c r="A6668" s="5" t="str">
        <f>IFERROR(__xludf.DUMMYFUNCTION("""COMPUTED_VALUE"""),"77729")</f>
        <v>77729</v>
      </c>
      <c r="B6668" s="64">
        <f>IFERROR(__xludf.DUMMYFUNCTION("""COMPUTED_VALUE"""),44627.0)</f>
        <v>44627</v>
      </c>
      <c r="C6668" s="5"/>
      <c r="D6668" s="5"/>
      <c r="E6668" s="5"/>
      <c r="F6668" s="22">
        <f>IFERROR(__xludf.DUMMYFUNCTION("""COMPUTED_VALUE"""),500000.0)</f>
        <v>500000</v>
      </c>
      <c r="G6668" s="22">
        <f>IFERROR(__xludf.DUMMYFUNCTION("""COMPUTED_VALUE"""),0.0)</f>
        <v>0</v>
      </c>
      <c r="H6668" s="22">
        <f>IFERROR(__xludf.DUMMYFUNCTION("""COMPUTED_VALUE"""),478225.8)</f>
        <v>478225.8</v>
      </c>
      <c r="I6668" s="24">
        <f>IFERROR(__xludf.DUMMYFUNCTION("""COMPUTED_VALUE"""),-0.04354840000000004)</f>
        <v>-0.0435484</v>
      </c>
    </row>
    <row r="6669">
      <c r="A6669" s="5" t="str">
        <f>IFERROR(__xludf.DUMMYFUNCTION("""COMPUTED_VALUE"""),"77729")</f>
        <v>77729</v>
      </c>
      <c r="B6669" s="64">
        <f>IFERROR(__xludf.DUMMYFUNCTION("""COMPUTED_VALUE"""),44628.0)</f>
        <v>44628</v>
      </c>
      <c r="C6669" s="5"/>
      <c r="D6669" s="5"/>
      <c r="E6669" s="5"/>
      <c r="F6669" s="22">
        <f>IFERROR(__xludf.DUMMYFUNCTION("""COMPUTED_VALUE"""),500000.0)</f>
        <v>500000</v>
      </c>
      <c r="G6669" s="22">
        <f>IFERROR(__xludf.DUMMYFUNCTION("""COMPUTED_VALUE"""),0.0)</f>
        <v>0</v>
      </c>
      <c r="H6669" s="22">
        <f>IFERROR(__xludf.DUMMYFUNCTION("""COMPUTED_VALUE"""),475580.39999999997)</f>
        <v>475580.4</v>
      </c>
      <c r="I6669" s="24">
        <f>IFERROR(__xludf.DUMMYFUNCTION("""COMPUTED_VALUE"""),-0.04883920000000008)</f>
        <v>-0.0488392</v>
      </c>
    </row>
    <row r="6670">
      <c r="A6670" s="5" t="str">
        <f>IFERROR(__xludf.DUMMYFUNCTION("""COMPUTED_VALUE"""),"77729")</f>
        <v>77729</v>
      </c>
      <c r="B6670" s="64">
        <f>IFERROR(__xludf.DUMMYFUNCTION("""COMPUTED_VALUE"""),44629.0)</f>
        <v>44629</v>
      </c>
      <c r="C6670" s="5"/>
      <c r="D6670" s="5"/>
      <c r="E6670" s="5"/>
      <c r="F6670" s="22">
        <f>IFERROR(__xludf.DUMMYFUNCTION("""COMPUTED_VALUE"""),500000.0)</f>
        <v>500000</v>
      </c>
      <c r="G6670" s="22">
        <f>IFERROR(__xludf.DUMMYFUNCTION("""COMPUTED_VALUE"""),0.0)</f>
        <v>0</v>
      </c>
      <c r="H6670" s="22">
        <f>IFERROR(__xludf.DUMMYFUNCTION("""COMPUTED_VALUE"""),478039.2)</f>
        <v>478039.2</v>
      </c>
      <c r="I6670" s="24">
        <f>IFERROR(__xludf.DUMMYFUNCTION("""COMPUTED_VALUE"""),-0.043921600000000005)</f>
        <v>-0.0439216</v>
      </c>
    </row>
    <row r="6671">
      <c r="A6671" s="5" t="str">
        <f>IFERROR(__xludf.DUMMYFUNCTION("""COMPUTED_VALUE"""),"77729")</f>
        <v>77729</v>
      </c>
      <c r="B6671" s="64">
        <f>IFERROR(__xludf.DUMMYFUNCTION("""COMPUTED_VALUE"""),44630.0)</f>
        <v>44630</v>
      </c>
      <c r="C6671" s="5"/>
      <c r="D6671" s="5"/>
      <c r="E6671" s="5"/>
      <c r="F6671" s="22">
        <f>IFERROR(__xludf.DUMMYFUNCTION("""COMPUTED_VALUE"""),500000.0)</f>
        <v>500000</v>
      </c>
      <c r="G6671" s="22">
        <f>IFERROR(__xludf.DUMMYFUNCTION("""COMPUTED_VALUE"""),0.0)</f>
        <v>0</v>
      </c>
      <c r="H6671" s="22">
        <f>IFERROR(__xludf.DUMMYFUNCTION("""COMPUTED_VALUE"""),475681.8)</f>
        <v>475681.8</v>
      </c>
      <c r="I6671" s="24">
        <f>IFERROR(__xludf.DUMMYFUNCTION("""COMPUTED_VALUE"""),-0.048636400000000024)</f>
        <v>-0.0486364</v>
      </c>
    </row>
    <row r="6672">
      <c r="A6672" s="5" t="str">
        <f>IFERROR(__xludf.DUMMYFUNCTION("""COMPUTED_VALUE"""),"77729")</f>
        <v>77729</v>
      </c>
      <c r="B6672" s="64">
        <f>IFERROR(__xludf.DUMMYFUNCTION("""COMPUTED_VALUE"""),44631.0)</f>
        <v>44631</v>
      </c>
      <c r="C6672" s="5"/>
      <c r="D6672" s="5"/>
      <c r="E6672" s="5"/>
      <c r="F6672" s="22">
        <f>IFERROR(__xludf.DUMMYFUNCTION("""COMPUTED_VALUE"""),500000.0)</f>
        <v>500000</v>
      </c>
      <c r="G6672" s="22">
        <f>IFERROR(__xludf.DUMMYFUNCTION("""COMPUTED_VALUE"""),0.0)</f>
        <v>0</v>
      </c>
      <c r="H6672" s="22">
        <f>IFERROR(__xludf.DUMMYFUNCTION("""COMPUTED_VALUE"""),462616.2)</f>
        <v>462616.2</v>
      </c>
      <c r="I6672" s="24">
        <f>IFERROR(__xludf.DUMMYFUNCTION("""COMPUTED_VALUE"""),-0.07476759999999993)</f>
        <v>-0.0747676</v>
      </c>
    </row>
    <row r="6673">
      <c r="A6673" s="5" t="str">
        <f>IFERROR(__xludf.DUMMYFUNCTION("""COMPUTED_VALUE"""),"77729")</f>
        <v>77729</v>
      </c>
      <c r="B6673" s="64">
        <f>IFERROR(__xludf.DUMMYFUNCTION("""COMPUTED_VALUE"""),44632.0)</f>
        <v>44632</v>
      </c>
      <c r="C6673" s="5"/>
      <c r="D6673" s="5"/>
      <c r="E6673" s="5"/>
      <c r="F6673" s="22">
        <f>IFERROR(__xludf.DUMMYFUNCTION("""COMPUTED_VALUE"""),500000.0)</f>
        <v>500000</v>
      </c>
      <c r="G6673" s="22">
        <f>IFERROR(__xludf.DUMMYFUNCTION("""COMPUTED_VALUE"""),0.0)</f>
        <v>0</v>
      </c>
      <c r="H6673" s="22">
        <f>IFERROR(__xludf.DUMMYFUNCTION("""COMPUTED_VALUE"""),462616.2)</f>
        <v>462616.2</v>
      </c>
      <c r="I6673" s="24">
        <f>IFERROR(__xludf.DUMMYFUNCTION("""COMPUTED_VALUE"""),-0.07476759999999993)</f>
        <v>-0.0747676</v>
      </c>
    </row>
    <row r="6674">
      <c r="A6674" s="5" t="str">
        <f>IFERROR(__xludf.DUMMYFUNCTION("""COMPUTED_VALUE"""),"77729")</f>
        <v>77729</v>
      </c>
      <c r="B6674" s="64">
        <f>IFERROR(__xludf.DUMMYFUNCTION("""COMPUTED_VALUE"""),44633.0)</f>
        <v>44633</v>
      </c>
      <c r="C6674" s="5"/>
      <c r="D6674" s="5"/>
      <c r="E6674" s="5"/>
      <c r="F6674" s="22">
        <f>IFERROR(__xludf.DUMMYFUNCTION("""COMPUTED_VALUE"""),500000.0)</f>
        <v>500000</v>
      </c>
      <c r="G6674" s="22">
        <f>IFERROR(__xludf.DUMMYFUNCTION("""COMPUTED_VALUE"""),0.0)</f>
        <v>0</v>
      </c>
      <c r="H6674" s="22">
        <f>IFERROR(__xludf.DUMMYFUNCTION("""COMPUTED_VALUE"""),462616.2)</f>
        <v>462616.2</v>
      </c>
      <c r="I6674" s="24">
        <f>IFERROR(__xludf.DUMMYFUNCTION("""COMPUTED_VALUE"""),-0.07476759999999993)</f>
        <v>-0.0747676</v>
      </c>
    </row>
    <row r="6675">
      <c r="A6675" s="5" t="str">
        <f>IFERROR(__xludf.DUMMYFUNCTION("""COMPUTED_VALUE"""),"77729")</f>
        <v>77729</v>
      </c>
      <c r="B6675" s="64">
        <f>IFERROR(__xludf.DUMMYFUNCTION("""COMPUTED_VALUE"""),44634.0)</f>
        <v>44634</v>
      </c>
      <c r="C6675" s="5"/>
      <c r="D6675" s="5"/>
      <c r="E6675" s="5"/>
      <c r="F6675" s="22">
        <f>IFERROR(__xludf.DUMMYFUNCTION("""COMPUTED_VALUE"""),500000.0)</f>
        <v>500000</v>
      </c>
      <c r="G6675" s="22">
        <f>IFERROR(__xludf.DUMMYFUNCTION("""COMPUTED_VALUE"""),0.0)</f>
        <v>0</v>
      </c>
      <c r="H6675" s="22">
        <f>IFERROR(__xludf.DUMMYFUNCTION("""COMPUTED_VALUE"""),432772.2)</f>
        <v>432772.2</v>
      </c>
      <c r="I6675" s="24">
        <f>IFERROR(__xludf.DUMMYFUNCTION("""COMPUTED_VALUE"""),-0.1344556)</f>
        <v>-0.1344556</v>
      </c>
    </row>
    <row r="6676">
      <c r="A6676" s="5" t="str">
        <f>IFERROR(__xludf.DUMMYFUNCTION("""COMPUTED_VALUE"""),"77729")</f>
        <v>77729</v>
      </c>
      <c r="B6676" s="64">
        <f>IFERROR(__xludf.DUMMYFUNCTION("""COMPUTED_VALUE"""),44635.0)</f>
        <v>44635</v>
      </c>
      <c r="C6676" s="5"/>
      <c r="D6676" s="5"/>
      <c r="E6676" s="5"/>
      <c r="F6676" s="22">
        <f>IFERROR(__xludf.DUMMYFUNCTION("""COMPUTED_VALUE"""),500000.0)</f>
        <v>500000</v>
      </c>
      <c r="G6676" s="22">
        <f>IFERROR(__xludf.DUMMYFUNCTION("""COMPUTED_VALUE"""),0.0)</f>
        <v>0</v>
      </c>
      <c r="H6676" s="22">
        <f>IFERROR(__xludf.DUMMYFUNCTION("""COMPUTED_VALUE"""),413191.8)</f>
        <v>413191.8</v>
      </c>
      <c r="I6676" s="24">
        <f>IFERROR(__xludf.DUMMYFUNCTION("""COMPUTED_VALUE"""),-0.1736164)</f>
        <v>-0.1736164</v>
      </c>
    </row>
    <row r="6677">
      <c r="A6677" s="5" t="str">
        <f>IFERROR(__xludf.DUMMYFUNCTION("""COMPUTED_VALUE"""),"77729")</f>
        <v>77729</v>
      </c>
      <c r="B6677" s="64">
        <f>IFERROR(__xludf.DUMMYFUNCTION("""COMPUTED_VALUE"""),44636.0)</f>
        <v>44636</v>
      </c>
      <c r="C6677" s="5"/>
      <c r="D6677" s="5"/>
      <c r="E6677" s="5"/>
      <c r="F6677" s="22">
        <f>IFERROR(__xludf.DUMMYFUNCTION("""COMPUTED_VALUE"""),500000.0)</f>
        <v>500000</v>
      </c>
      <c r="G6677" s="22">
        <f>IFERROR(__xludf.DUMMYFUNCTION("""COMPUTED_VALUE"""),0.0)</f>
        <v>0</v>
      </c>
      <c r="H6677" s="22">
        <f>IFERROR(__xludf.DUMMYFUNCTION("""COMPUTED_VALUE"""),464863.8)</f>
        <v>464863.8</v>
      </c>
      <c r="I6677" s="24">
        <f>IFERROR(__xludf.DUMMYFUNCTION("""COMPUTED_VALUE"""),-0.07027240000000001)</f>
        <v>-0.0702724</v>
      </c>
    </row>
    <row r="6678">
      <c r="A6678" s="5" t="str">
        <f>IFERROR(__xludf.DUMMYFUNCTION("""COMPUTED_VALUE"""),"77729")</f>
        <v>77729</v>
      </c>
      <c r="B6678" s="64">
        <f>IFERROR(__xludf.DUMMYFUNCTION("""COMPUTED_VALUE"""),44637.0)</f>
        <v>44637</v>
      </c>
      <c r="C6678" s="5"/>
      <c r="D6678" s="5"/>
      <c r="E6678" s="5"/>
      <c r="F6678" s="22">
        <f>IFERROR(__xludf.DUMMYFUNCTION("""COMPUTED_VALUE"""),500000.0)</f>
        <v>500000</v>
      </c>
      <c r="G6678" s="22">
        <f>IFERROR(__xludf.DUMMYFUNCTION("""COMPUTED_VALUE"""),0.0)</f>
        <v>0</v>
      </c>
      <c r="H6678" s="22">
        <f>IFERROR(__xludf.DUMMYFUNCTION("""COMPUTED_VALUE"""),485431.8)</f>
        <v>485431.8</v>
      </c>
      <c r="I6678" s="24">
        <f>IFERROR(__xludf.DUMMYFUNCTION("""COMPUTED_VALUE"""),-0.029136400000000062)</f>
        <v>-0.0291364</v>
      </c>
    </row>
    <row r="6679">
      <c r="A6679" s="5" t="str">
        <f>IFERROR(__xludf.DUMMYFUNCTION("""COMPUTED_VALUE"""),"77729")</f>
        <v>77729</v>
      </c>
      <c r="B6679" s="64">
        <f>IFERROR(__xludf.DUMMYFUNCTION("""COMPUTED_VALUE"""),44638.0)</f>
        <v>44638</v>
      </c>
      <c r="C6679" s="5"/>
      <c r="D6679" s="5"/>
      <c r="E6679" s="5"/>
      <c r="F6679" s="22">
        <f>IFERROR(__xludf.DUMMYFUNCTION("""COMPUTED_VALUE"""),500000.0)</f>
        <v>500000</v>
      </c>
      <c r="G6679" s="22">
        <f>IFERROR(__xludf.DUMMYFUNCTION("""COMPUTED_VALUE"""),0.0)</f>
        <v>0</v>
      </c>
      <c r="H6679" s="22">
        <f>IFERROR(__xludf.DUMMYFUNCTION("""COMPUTED_VALUE"""),478996.8)</f>
        <v>478996.8</v>
      </c>
      <c r="I6679" s="24">
        <f>IFERROR(__xludf.DUMMYFUNCTION("""COMPUTED_VALUE"""),-0.0420064)</f>
        <v>-0.0420064</v>
      </c>
    </row>
    <row r="6680">
      <c r="A6680" s="5" t="str">
        <f>IFERROR(__xludf.DUMMYFUNCTION("""COMPUTED_VALUE"""),"77729")</f>
        <v>77729</v>
      </c>
      <c r="B6680" s="64">
        <f>IFERROR(__xludf.DUMMYFUNCTION("""COMPUTED_VALUE"""),44639.0)</f>
        <v>44639</v>
      </c>
      <c r="C6680" s="5"/>
      <c r="D6680" s="5"/>
      <c r="E6680" s="5"/>
      <c r="F6680" s="22">
        <f>IFERROR(__xludf.DUMMYFUNCTION("""COMPUTED_VALUE"""),500000.0)</f>
        <v>500000</v>
      </c>
      <c r="G6680" s="22">
        <f>IFERROR(__xludf.DUMMYFUNCTION("""COMPUTED_VALUE"""),0.0)</f>
        <v>0</v>
      </c>
      <c r="H6680" s="22">
        <f>IFERROR(__xludf.DUMMYFUNCTION("""COMPUTED_VALUE"""),478996.8)</f>
        <v>478996.8</v>
      </c>
      <c r="I6680" s="24">
        <f>IFERROR(__xludf.DUMMYFUNCTION("""COMPUTED_VALUE"""),-0.0420064)</f>
        <v>-0.0420064</v>
      </c>
    </row>
    <row r="6681">
      <c r="A6681" s="5" t="str">
        <f>IFERROR(__xludf.DUMMYFUNCTION("""COMPUTED_VALUE"""),"77729")</f>
        <v>77729</v>
      </c>
      <c r="B6681" s="64">
        <f>IFERROR(__xludf.DUMMYFUNCTION("""COMPUTED_VALUE"""),44640.0)</f>
        <v>44640</v>
      </c>
      <c r="C6681" s="5"/>
      <c r="D6681" s="5"/>
      <c r="E6681" s="5"/>
      <c r="F6681" s="22">
        <f>IFERROR(__xludf.DUMMYFUNCTION("""COMPUTED_VALUE"""),500000.0)</f>
        <v>500000</v>
      </c>
      <c r="G6681" s="22">
        <f>IFERROR(__xludf.DUMMYFUNCTION("""COMPUTED_VALUE"""),0.0)</f>
        <v>0</v>
      </c>
      <c r="H6681" s="22">
        <f>IFERROR(__xludf.DUMMYFUNCTION("""COMPUTED_VALUE"""),478996.8)</f>
        <v>478996.8</v>
      </c>
      <c r="I6681" s="24">
        <f>IFERROR(__xludf.DUMMYFUNCTION("""COMPUTED_VALUE"""),-0.0420064)</f>
        <v>-0.0420064</v>
      </c>
    </row>
    <row r="6682">
      <c r="A6682" s="5" t="str">
        <f>IFERROR(__xludf.DUMMYFUNCTION("""COMPUTED_VALUE"""),"77729")</f>
        <v>77729</v>
      </c>
      <c r="B6682" s="64">
        <f>IFERROR(__xludf.DUMMYFUNCTION("""COMPUTED_VALUE"""),44641.0)</f>
        <v>44641</v>
      </c>
      <c r="C6682" s="5"/>
      <c r="D6682" s="5"/>
      <c r="E6682" s="5"/>
      <c r="F6682" s="22">
        <f>IFERROR(__xludf.DUMMYFUNCTION("""COMPUTED_VALUE"""),500000.0)</f>
        <v>500000</v>
      </c>
      <c r="G6682" s="22">
        <f>IFERROR(__xludf.DUMMYFUNCTION("""COMPUTED_VALUE"""),0.0)</f>
        <v>0</v>
      </c>
      <c r="H6682" s="22">
        <f>IFERROR(__xludf.DUMMYFUNCTION("""COMPUTED_VALUE"""),469614.0)</f>
        <v>469614</v>
      </c>
      <c r="I6682" s="24">
        <f>IFERROR(__xludf.DUMMYFUNCTION("""COMPUTED_VALUE"""),-0.06077200000000005)</f>
        <v>-0.060772</v>
      </c>
    </row>
    <row r="6683">
      <c r="A6683" s="5" t="str">
        <f>IFERROR(__xludf.DUMMYFUNCTION("""COMPUTED_VALUE"""),"77729")</f>
        <v>77729</v>
      </c>
      <c r="B6683" s="64">
        <f>IFERROR(__xludf.DUMMYFUNCTION("""COMPUTED_VALUE"""),44642.0)</f>
        <v>44642</v>
      </c>
      <c r="C6683" s="5"/>
      <c r="D6683" s="5"/>
      <c r="E6683" s="5"/>
      <c r="F6683" s="22">
        <f>IFERROR(__xludf.DUMMYFUNCTION("""COMPUTED_VALUE"""),500000.0)</f>
        <v>500000</v>
      </c>
      <c r="G6683" s="22">
        <f>IFERROR(__xludf.DUMMYFUNCTION("""COMPUTED_VALUE"""),0.0)</f>
        <v>0</v>
      </c>
      <c r="H6683" s="22">
        <f>IFERROR(__xludf.DUMMYFUNCTION("""COMPUTED_VALUE"""),482101.8)</f>
        <v>482101.8</v>
      </c>
      <c r="I6683" s="24">
        <f>IFERROR(__xludf.DUMMYFUNCTION("""COMPUTED_VALUE"""),-0.03579640000000006)</f>
        <v>-0.0357964</v>
      </c>
    </row>
    <row r="6684">
      <c r="A6684" s="5" t="str">
        <f>IFERROR(__xludf.DUMMYFUNCTION("""COMPUTED_VALUE"""),"77729")</f>
        <v>77729</v>
      </c>
      <c r="B6684" s="64">
        <f>IFERROR(__xludf.DUMMYFUNCTION("""COMPUTED_VALUE"""),44643.0)</f>
        <v>44643</v>
      </c>
      <c r="C6684" s="5"/>
      <c r="D6684" s="5"/>
      <c r="E6684" s="5"/>
      <c r="F6684" s="22">
        <f>IFERROR(__xludf.DUMMYFUNCTION("""COMPUTED_VALUE"""),500000.0)</f>
        <v>500000</v>
      </c>
      <c r="G6684" s="22">
        <f>IFERROR(__xludf.DUMMYFUNCTION("""COMPUTED_VALUE"""),0.0)</f>
        <v>0</v>
      </c>
      <c r="H6684" s="22">
        <f>IFERROR(__xludf.DUMMYFUNCTION("""COMPUTED_VALUE"""),484393.8)</f>
        <v>484393.8</v>
      </c>
      <c r="I6684" s="24">
        <f>IFERROR(__xludf.DUMMYFUNCTION("""COMPUTED_VALUE"""),-0.03121240000000003)</f>
        <v>-0.0312124</v>
      </c>
    </row>
    <row r="6685">
      <c r="A6685" s="5" t="str">
        <f>IFERROR(__xludf.DUMMYFUNCTION("""COMPUTED_VALUE"""),"77729")</f>
        <v>77729</v>
      </c>
      <c r="B6685" s="64">
        <f>IFERROR(__xludf.DUMMYFUNCTION("""COMPUTED_VALUE"""),44644.0)</f>
        <v>44644</v>
      </c>
      <c r="C6685" s="5"/>
      <c r="D6685" s="5"/>
      <c r="E6685" s="5"/>
      <c r="F6685" s="22">
        <f>IFERROR(__xludf.DUMMYFUNCTION("""COMPUTED_VALUE"""),500000.0)</f>
        <v>500000</v>
      </c>
      <c r="G6685" s="22">
        <f>IFERROR(__xludf.DUMMYFUNCTION("""COMPUTED_VALUE"""),0.0)</f>
        <v>0</v>
      </c>
      <c r="H6685" s="22">
        <f>IFERROR(__xludf.DUMMYFUNCTION("""COMPUTED_VALUE"""),468385.8)</f>
        <v>468385.8</v>
      </c>
      <c r="I6685" s="24">
        <f>IFERROR(__xludf.DUMMYFUNCTION("""COMPUTED_VALUE"""),-0.06322840000000007)</f>
        <v>-0.0632284</v>
      </c>
    </row>
    <row r="6686">
      <c r="A6686" s="5" t="str">
        <f>IFERROR(__xludf.DUMMYFUNCTION("""COMPUTED_VALUE"""),"77729")</f>
        <v>77729</v>
      </c>
      <c r="B6686" s="64">
        <f>IFERROR(__xludf.DUMMYFUNCTION("""COMPUTED_VALUE"""),44645.0)</f>
        <v>44645</v>
      </c>
      <c r="C6686" s="5"/>
      <c r="D6686" s="5"/>
      <c r="E6686" s="5"/>
      <c r="F6686" s="22">
        <f>IFERROR(__xludf.DUMMYFUNCTION("""COMPUTED_VALUE"""),500000.0)</f>
        <v>500000</v>
      </c>
      <c r="G6686" s="22">
        <f>IFERROR(__xludf.DUMMYFUNCTION("""COMPUTED_VALUE"""),0.0)</f>
        <v>0</v>
      </c>
      <c r="H6686" s="22">
        <f>IFERROR(__xludf.DUMMYFUNCTION("""COMPUTED_VALUE"""),457053.0)</f>
        <v>457053</v>
      </c>
      <c r="I6686" s="24">
        <f>IFERROR(__xludf.DUMMYFUNCTION("""COMPUTED_VALUE"""),-0.08589400000000003)</f>
        <v>-0.085894</v>
      </c>
    </row>
    <row r="6687">
      <c r="A6687" s="5" t="str">
        <f>IFERROR(__xludf.DUMMYFUNCTION("""COMPUTED_VALUE"""),"77729")</f>
        <v>77729</v>
      </c>
      <c r="B6687" s="64">
        <f>IFERROR(__xludf.DUMMYFUNCTION("""COMPUTED_VALUE"""),44646.0)</f>
        <v>44646</v>
      </c>
      <c r="C6687" s="5"/>
      <c r="D6687" s="5"/>
      <c r="E6687" s="5"/>
      <c r="F6687" s="22">
        <f>IFERROR(__xludf.DUMMYFUNCTION("""COMPUTED_VALUE"""),500000.0)</f>
        <v>500000</v>
      </c>
      <c r="G6687" s="22">
        <f>IFERROR(__xludf.DUMMYFUNCTION("""COMPUTED_VALUE"""),0.0)</f>
        <v>0</v>
      </c>
      <c r="H6687" s="22">
        <f>IFERROR(__xludf.DUMMYFUNCTION("""COMPUTED_VALUE"""),457053.0)</f>
        <v>457053</v>
      </c>
      <c r="I6687" s="24">
        <f>IFERROR(__xludf.DUMMYFUNCTION("""COMPUTED_VALUE"""),-0.08589400000000003)</f>
        <v>-0.085894</v>
      </c>
    </row>
    <row r="6688">
      <c r="A6688" s="5" t="str">
        <f>IFERROR(__xludf.DUMMYFUNCTION("""COMPUTED_VALUE"""),"77729")</f>
        <v>77729</v>
      </c>
      <c r="B6688" s="64">
        <f>IFERROR(__xludf.DUMMYFUNCTION("""COMPUTED_VALUE"""),44647.0)</f>
        <v>44647</v>
      </c>
      <c r="C6688" s="5"/>
      <c r="D6688" s="5"/>
      <c r="E6688" s="5"/>
      <c r="F6688" s="22">
        <f>IFERROR(__xludf.DUMMYFUNCTION("""COMPUTED_VALUE"""),500000.0)</f>
        <v>500000</v>
      </c>
      <c r="G6688" s="22">
        <f>IFERROR(__xludf.DUMMYFUNCTION("""COMPUTED_VALUE"""),0.0)</f>
        <v>0</v>
      </c>
      <c r="H6688" s="22">
        <f>IFERROR(__xludf.DUMMYFUNCTION("""COMPUTED_VALUE"""),457053.0)</f>
        <v>457053</v>
      </c>
      <c r="I6688" s="24">
        <f>IFERROR(__xludf.DUMMYFUNCTION("""COMPUTED_VALUE"""),-0.08589400000000003)</f>
        <v>-0.085894</v>
      </c>
    </row>
    <row r="6689">
      <c r="A6689" s="5" t="str">
        <f>IFERROR(__xludf.DUMMYFUNCTION("""COMPUTED_VALUE"""),"77729")</f>
        <v>77729</v>
      </c>
      <c r="B6689" s="64">
        <f>IFERROR(__xludf.DUMMYFUNCTION("""COMPUTED_VALUE"""),44648.0)</f>
        <v>44648</v>
      </c>
      <c r="C6689" s="5"/>
      <c r="D6689" s="5"/>
      <c r="E6689" s="5"/>
      <c r="F6689" s="22">
        <f>IFERROR(__xludf.DUMMYFUNCTION("""COMPUTED_VALUE"""),500000.0)</f>
        <v>500000</v>
      </c>
      <c r="G6689" s="22">
        <f>IFERROR(__xludf.DUMMYFUNCTION("""COMPUTED_VALUE"""),0.0)</f>
        <v>0</v>
      </c>
      <c r="H6689" s="22">
        <f>IFERROR(__xludf.DUMMYFUNCTION("""COMPUTED_VALUE"""),470625.0)</f>
        <v>470625</v>
      </c>
      <c r="I6689" s="24">
        <f>IFERROR(__xludf.DUMMYFUNCTION("""COMPUTED_VALUE"""),-0.05874999999999997)</f>
        <v>-0.05875</v>
      </c>
    </row>
    <row r="6690">
      <c r="A6690" s="5" t="str">
        <f>IFERROR(__xludf.DUMMYFUNCTION("""COMPUTED_VALUE"""),"77729")</f>
        <v>77729</v>
      </c>
      <c r="B6690" s="64">
        <f>IFERROR(__xludf.DUMMYFUNCTION("""COMPUTED_VALUE"""),44649.0)</f>
        <v>44649</v>
      </c>
      <c r="C6690" s="5"/>
      <c r="D6690" s="5"/>
      <c r="E6690" s="5"/>
      <c r="F6690" s="22">
        <f>IFERROR(__xludf.DUMMYFUNCTION("""COMPUTED_VALUE"""),500000.0)</f>
        <v>500000</v>
      </c>
      <c r="G6690" s="22">
        <f>IFERROR(__xludf.DUMMYFUNCTION("""COMPUTED_VALUE"""),0.0)</f>
        <v>0</v>
      </c>
      <c r="H6690" s="22">
        <f>IFERROR(__xludf.DUMMYFUNCTION("""COMPUTED_VALUE"""),480638.39999999997)</f>
        <v>480638.4</v>
      </c>
      <c r="I6690" s="24">
        <f>IFERROR(__xludf.DUMMYFUNCTION("""COMPUTED_VALUE"""),-0.03872320000000007)</f>
        <v>-0.0387232</v>
      </c>
    </row>
    <row r="6691">
      <c r="A6691" s="5" t="str">
        <f>IFERROR(__xludf.DUMMYFUNCTION("""COMPUTED_VALUE"""),"77729")</f>
        <v>77729</v>
      </c>
      <c r="B6691" s="64">
        <f>IFERROR(__xludf.DUMMYFUNCTION("""COMPUTED_VALUE"""),44650.0)</f>
        <v>44650</v>
      </c>
      <c r="C6691" s="5"/>
      <c r="D6691" s="5"/>
      <c r="E6691" s="5"/>
      <c r="F6691" s="22">
        <f>IFERROR(__xludf.DUMMYFUNCTION("""COMPUTED_VALUE"""),500000.0)</f>
        <v>500000</v>
      </c>
      <c r="G6691" s="22">
        <f>IFERROR(__xludf.DUMMYFUNCTION("""COMPUTED_VALUE"""),0.0)</f>
        <v>0</v>
      </c>
      <c r="H6691" s="22">
        <f>IFERROR(__xludf.DUMMYFUNCTION("""COMPUTED_VALUE"""),482685.6)</f>
        <v>482685.6</v>
      </c>
      <c r="I6691" s="24">
        <f>IFERROR(__xludf.DUMMYFUNCTION("""COMPUTED_VALUE"""),-0.034628800000000015)</f>
        <v>-0.0346288</v>
      </c>
    </row>
    <row r="6692">
      <c r="A6692" s="5" t="str">
        <f>IFERROR(__xludf.DUMMYFUNCTION("""COMPUTED_VALUE"""),"77729")</f>
        <v>77729</v>
      </c>
      <c r="B6692" s="64">
        <f>IFERROR(__xludf.DUMMYFUNCTION("""COMPUTED_VALUE"""),44651.0)</f>
        <v>44651</v>
      </c>
      <c r="C6692" s="5"/>
      <c r="D6692" s="5"/>
      <c r="E6692" s="5"/>
      <c r="F6692" s="22">
        <f>IFERROR(__xludf.DUMMYFUNCTION("""COMPUTED_VALUE"""),500000.0)</f>
        <v>500000</v>
      </c>
      <c r="G6692" s="22">
        <f>IFERROR(__xludf.DUMMYFUNCTION("""COMPUTED_VALUE"""),0.0)</f>
        <v>0</v>
      </c>
      <c r="H6692" s="22">
        <f>IFERROR(__xludf.DUMMYFUNCTION("""COMPUTED_VALUE"""),477125.39999999997)</f>
        <v>477125.4</v>
      </c>
      <c r="I6692" s="24">
        <f>IFERROR(__xludf.DUMMYFUNCTION("""COMPUTED_VALUE"""),-0.045749200000000045)</f>
        <v>-0.0457492</v>
      </c>
    </row>
    <row r="6693">
      <c r="A6693" s="5" t="str">
        <f>IFERROR(__xludf.DUMMYFUNCTION("""COMPUTED_VALUE"""),"77729")</f>
        <v>77729</v>
      </c>
      <c r="B6693" s="64">
        <f>IFERROR(__xludf.DUMMYFUNCTION("""COMPUTED_VALUE"""),44652.0)</f>
        <v>44652</v>
      </c>
      <c r="C6693" s="5"/>
      <c r="D6693" s="5"/>
      <c r="E6693" s="5"/>
      <c r="F6693" s="22">
        <f>IFERROR(__xludf.DUMMYFUNCTION("""COMPUTED_VALUE"""),500000.0)</f>
        <v>500000</v>
      </c>
      <c r="G6693" s="22">
        <f>IFERROR(__xludf.DUMMYFUNCTION("""COMPUTED_VALUE"""),0.0)</f>
        <v>0</v>
      </c>
      <c r="H6693" s="22">
        <f>IFERROR(__xludf.DUMMYFUNCTION("""COMPUTED_VALUE"""),479221.2)</f>
        <v>479221.2</v>
      </c>
      <c r="I6693" s="24">
        <f>IFERROR(__xludf.DUMMYFUNCTION("""COMPUTED_VALUE"""),-0.04155759999999997)</f>
        <v>-0.0415576</v>
      </c>
    </row>
    <row r="6694">
      <c r="A6694" s="5" t="str">
        <f>IFERROR(__xludf.DUMMYFUNCTION("""COMPUTED_VALUE"""),"77729")</f>
        <v>77729</v>
      </c>
      <c r="B6694" s="64">
        <f>IFERROR(__xludf.DUMMYFUNCTION("""COMPUTED_VALUE"""),44653.0)</f>
        <v>44653</v>
      </c>
      <c r="C6694" s="5"/>
      <c r="D6694" s="5"/>
      <c r="E6694" s="5"/>
      <c r="F6694" s="22">
        <f>IFERROR(__xludf.DUMMYFUNCTION("""COMPUTED_VALUE"""),500000.0)</f>
        <v>500000</v>
      </c>
      <c r="G6694" s="22">
        <f>IFERROR(__xludf.DUMMYFUNCTION("""COMPUTED_VALUE"""),0.0)</f>
        <v>0</v>
      </c>
      <c r="H6694" s="22">
        <f>IFERROR(__xludf.DUMMYFUNCTION("""COMPUTED_VALUE"""),479221.2)</f>
        <v>479221.2</v>
      </c>
      <c r="I6694" s="24">
        <f>IFERROR(__xludf.DUMMYFUNCTION("""COMPUTED_VALUE"""),-0.04155759999999997)</f>
        <v>-0.0415576</v>
      </c>
    </row>
    <row r="6695">
      <c r="A6695" s="5" t="str">
        <f>IFERROR(__xludf.DUMMYFUNCTION("""COMPUTED_VALUE"""),"77729")</f>
        <v>77729</v>
      </c>
      <c r="B6695" s="64">
        <f>IFERROR(__xludf.DUMMYFUNCTION("""COMPUTED_VALUE"""),44654.0)</f>
        <v>44654</v>
      </c>
      <c r="C6695" s="5"/>
      <c r="D6695" s="5"/>
      <c r="E6695" s="5"/>
      <c r="F6695" s="22">
        <f>IFERROR(__xludf.DUMMYFUNCTION("""COMPUTED_VALUE"""),500000.0)</f>
        <v>500000</v>
      </c>
      <c r="G6695" s="22">
        <f>IFERROR(__xludf.DUMMYFUNCTION("""COMPUTED_VALUE"""),0.0)</f>
        <v>0</v>
      </c>
      <c r="H6695" s="22">
        <f>IFERROR(__xludf.DUMMYFUNCTION("""COMPUTED_VALUE"""),479221.2)</f>
        <v>479221.2</v>
      </c>
      <c r="I6695" s="24">
        <f>IFERROR(__xludf.DUMMYFUNCTION("""COMPUTED_VALUE"""),-0.04155759999999997)</f>
        <v>-0.0415576</v>
      </c>
    </row>
    <row r="6696">
      <c r="A6696" s="5" t="str">
        <f>IFERROR(__xludf.DUMMYFUNCTION("""COMPUTED_VALUE"""),"77729")</f>
        <v>77729</v>
      </c>
      <c r="B6696" s="64">
        <f>IFERROR(__xludf.DUMMYFUNCTION("""COMPUTED_VALUE"""),44655.0)</f>
        <v>44655</v>
      </c>
      <c r="C6696" s="5"/>
      <c r="D6696" s="5"/>
      <c r="E6696" s="5"/>
      <c r="F6696" s="22">
        <f>IFERROR(__xludf.DUMMYFUNCTION("""COMPUTED_VALUE"""),500000.0)</f>
        <v>500000</v>
      </c>
      <c r="G6696" s="22">
        <f>IFERROR(__xludf.DUMMYFUNCTION("""COMPUTED_VALUE"""),0.0)</f>
        <v>0</v>
      </c>
      <c r="H6696" s="22">
        <f>IFERROR(__xludf.DUMMYFUNCTION("""COMPUTED_VALUE"""),491017.8)</f>
        <v>491017.8</v>
      </c>
      <c r="I6696" s="24">
        <f>IFERROR(__xludf.DUMMYFUNCTION("""COMPUTED_VALUE"""),-0.01796439999999999)</f>
        <v>-0.0179644</v>
      </c>
    </row>
    <row r="6697">
      <c r="A6697" s="5" t="str">
        <f>IFERROR(__xludf.DUMMYFUNCTION("""COMPUTED_VALUE"""),"77729")</f>
        <v>77729</v>
      </c>
      <c r="B6697" s="64">
        <f>IFERROR(__xludf.DUMMYFUNCTION("""COMPUTED_VALUE"""),44656.0)</f>
        <v>44656</v>
      </c>
      <c r="C6697" s="5"/>
      <c r="D6697" s="5"/>
      <c r="E6697" s="5"/>
      <c r="F6697" s="22">
        <f>IFERROR(__xludf.DUMMYFUNCTION("""COMPUTED_VALUE"""),500000.0)</f>
        <v>500000</v>
      </c>
      <c r="G6697" s="22">
        <f>IFERROR(__xludf.DUMMYFUNCTION("""COMPUTED_VALUE"""),0.0)</f>
        <v>0</v>
      </c>
      <c r="H6697" s="22">
        <f>IFERROR(__xludf.DUMMYFUNCTION("""COMPUTED_VALUE"""),491017.8)</f>
        <v>491017.8</v>
      </c>
      <c r="I6697" s="24">
        <f>IFERROR(__xludf.DUMMYFUNCTION("""COMPUTED_VALUE"""),-0.01796439999999999)</f>
        <v>-0.0179644</v>
      </c>
    </row>
    <row r="6698">
      <c r="A6698" s="5" t="str">
        <f>IFERROR(__xludf.DUMMYFUNCTION("""COMPUTED_VALUE"""),"77729")</f>
        <v>77729</v>
      </c>
      <c r="B6698" s="64">
        <f>IFERROR(__xludf.DUMMYFUNCTION("""COMPUTED_VALUE"""),44657.0)</f>
        <v>44657</v>
      </c>
      <c r="C6698" s="5"/>
      <c r="D6698" s="5"/>
      <c r="E6698" s="5"/>
      <c r="F6698" s="22">
        <f>IFERROR(__xludf.DUMMYFUNCTION("""COMPUTED_VALUE"""),500000.0)</f>
        <v>500000</v>
      </c>
      <c r="G6698" s="22">
        <f>IFERROR(__xludf.DUMMYFUNCTION("""COMPUTED_VALUE"""),0.0)</f>
        <v>0</v>
      </c>
      <c r="H6698" s="22">
        <f>IFERROR(__xludf.DUMMYFUNCTION("""COMPUTED_VALUE"""),483328.8)</f>
        <v>483328.8</v>
      </c>
      <c r="I6698" s="24">
        <f>IFERROR(__xludf.DUMMYFUNCTION("""COMPUTED_VALUE"""),-0.033342399999999994)</f>
        <v>-0.0333424</v>
      </c>
    </row>
    <row r="6699">
      <c r="A6699" s="5" t="str">
        <f>IFERROR(__xludf.DUMMYFUNCTION("""COMPUTED_VALUE"""),"77729")</f>
        <v>77729</v>
      </c>
      <c r="B6699" s="64">
        <f>IFERROR(__xludf.DUMMYFUNCTION("""COMPUTED_VALUE"""),44658.0)</f>
        <v>44658</v>
      </c>
      <c r="C6699" s="5"/>
      <c r="D6699" s="5"/>
      <c r="E6699" s="5"/>
      <c r="F6699" s="22">
        <f>IFERROR(__xludf.DUMMYFUNCTION("""COMPUTED_VALUE"""),500000.0)</f>
        <v>500000</v>
      </c>
      <c r="G6699" s="22">
        <f>IFERROR(__xludf.DUMMYFUNCTION("""COMPUTED_VALUE"""),0.0)</f>
        <v>0</v>
      </c>
      <c r="H6699" s="22">
        <f>IFERROR(__xludf.DUMMYFUNCTION("""COMPUTED_VALUE"""),479328.0)</f>
        <v>479328</v>
      </c>
      <c r="I6699" s="24">
        <f>IFERROR(__xludf.DUMMYFUNCTION("""COMPUTED_VALUE"""),-0.04134400000000005)</f>
        <v>-0.041344</v>
      </c>
    </row>
    <row r="6700">
      <c r="A6700" s="5" t="str">
        <f>IFERROR(__xludf.DUMMYFUNCTION("""COMPUTED_VALUE"""),"77729")</f>
        <v>77729</v>
      </c>
      <c r="B6700" s="64">
        <f>IFERROR(__xludf.DUMMYFUNCTION("""COMPUTED_VALUE"""),44659.0)</f>
        <v>44659</v>
      </c>
      <c r="C6700" s="5"/>
      <c r="D6700" s="5"/>
      <c r="E6700" s="5"/>
      <c r="F6700" s="22">
        <f>IFERROR(__xludf.DUMMYFUNCTION("""COMPUTED_VALUE"""),500000.0)</f>
        <v>500000</v>
      </c>
      <c r="G6700" s="22">
        <f>IFERROR(__xludf.DUMMYFUNCTION("""COMPUTED_VALUE"""),0.0)</f>
        <v>0</v>
      </c>
      <c r="H6700" s="22">
        <f>IFERROR(__xludf.DUMMYFUNCTION("""COMPUTED_VALUE"""),475485.6)</f>
        <v>475485.6</v>
      </c>
      <c r="I6700" s="24">
        <f>IFERROR(__xludf.DUMMYFUNCTION("""COMPUTED_VALUE"""),-0.049028800000000095)</f>
        <v>-0.0490288</v>
      </c>
    </row>
    <row r="6701">
      <c r="A6701" s="5" t="str">
        <f>IFERROR(__xludf.DUMMYFUNCTION("""COMPUTED_VALUE"""),"77729")</f>
        <v>77729</v>
      </c>
      <c r="B6701" s="64">
        <f>IFERROR(__xludf.DUMMYFUNCTION("""COMPUTED_VALUE"""),44660.0)</f>
        <v>44660</v>
      </c>
      <c r="C6701" s="5"/>
      <c r="D6701" s="5"/>
      <c r="E6701" s="5"/>
      <c r="F6701" s="22">
        <f>IFERROR(__xludf.DUMMYFUNCTION("""COMPUTED_VALUE"""),500000.0)</f>
        <v>500000</v>
      </c>
      <c r="G6701" s="22">
        <f>IFERROR(__xludf.DUMMYFUNCTION("""COMPUTED_VALUE"""),0.0)</f>
        <v>0</v>
      </c>
      <c r="H6701" s="22">
        <f>IFERROR(__xludf.DUMMYFUNCTION("""COMPUTED_VALUE"""),475485.6)</f>
        <v>475485.6</v>
      </c>
      <c r="I6701" s="24">
        <f>IFERROR(__xludf.DUMMYFUNCTION("""COMPUTED_VALUE"""),-0.049028800000000095)</f>
        <v>-0.0490288</v>
      </c>
    </row>
    <row r="6702">
      <c r="A6702" s="5" t="str">
        <f>IFERROR(__xludf.DUMMYFUNCTION("""COMPUTED_VALUE"""),"77729")</f>
        <v>77729</v>
      </c>
      <c r="B6702" s="64">
        <f>IFERROR(__xludf.DUMMYFUNCTION("""COMPUTED_VALUE"""),44661.0)</f>
        <v>44661</v>
      </c>
      <c r="C6702" s="5"/>
      <c r="D6702" s="5"/>
      <c r="E6702" s="5"/>
      <c r="F6702" s="22">
        <f>IFERROR(__xludf.DUMMYFUNCTION("""COMPUTED_VALUE"""),500000.0)</f>
        <v>500000</v>
      </c>
      <c r="G6702" s="22">
        <f>IFERROR(__xludf.DUMMYFUNCTION("""COMPUTED_VALUE"""),0.0)</f>
        <v>0</v>
      </c>
      <c r="H6702" s="22">
        <f>IFERROR(__xludf.DUMMYFUNCTION("""COMPUTED_VALUE"""),475485.6)</f>
        <v>475485.6</v>
      </c>
      <c r="I6702" s="24">
        <f>IFERROR(__xludf.DUMMYFUNCTION("""COMPUTED_VALUE"""),-0.049028800000000095)</f>
        <v>-0.0490288</v>
      </c>
    </row>
    <row r="6703">
      <c r="A6703" s="5" t="str">
        <f>IFERROR(__xludf.DUMMYFUNCTION("""COMPUTED_VALUE"""),"77729")</f>
        <v>77729</v>
      </c>
      <c r="B6703" s="64">
        <f>IFERROR(__xludf.DUMMYFUNCTION("""COMPUTED_VALUE"""),44662.0)</f>
        <v>44662</v>
      </c>
      <c r="C6703" s="5"/>
      <c r="D6703" s="5"/>
      <c r="E6703" s="5"/>
      <c r="F6703" s="22">
        <f>IFERROR(__xludf.DUMMYFUNCTION("""COMPUTED_VALUE"""),500000.0)</f>
        <v>500000</v>
      </c>
      <c r="G6703" s="22">
        <f>IFERROR(__xludf.DUMMYFUNCTION("""COMPUTED_VALUE"""),0.0)</f>
        <v>0</v>
      </c>
      <c r="H6703" s="22">
        <f>IFERROR(__xludf.DUMMYFUNCTION("""COMPUTED_VALUE"""),462867.6)</f>
        <v>462867.6</v>
      </c>
      <c r="I6703" s="24">
        <f>IFERROR(__xludf.DUMMYFUNCTION("""COMPUTED_VALUE"""),-0.07426480000000002)</f>
        <v>-0.0742648</v>
      </c>
    </row>
    <row r="6704">
      <c r="A6704" s="5" t="str">
        <f>IFERROR(__xludf.DUMMYFUNCTION("""COMPUTED_VALUE"""),"77729")</f>
        <v>77729</v>
      </c>
      <c r="B6704" s="64">
        <f>IFERROR(__xludf.DUMMYFUNCTION("""COMPUTED_VALUE"""),44663.0)</f>
        <v>44663</v>
      </c>
      <c r="C6704" s="5"/>
      <c r="D6704" s="5"/>
      <c r="E6704" s="5"/>
      <c r="F6704" s="22">
        <f>IFERROR(__xludf.DUMMYFUNCTION("""COMPUTED_VALUE"""),500000.0)</f>
        <v>500000</v>
      </c>
      <c r="G6704" s="22">
        <f>IFERROR(__xludf.DUMMYFUNCTION("""COMPUTED_VALUE"""),0.0)</f>
        <v>0</v>
      </c>
      <c r="H6704" s="22">
        <f>IFERROR(__xludf.DUMMYFUNCTION("""COMPUTED_VALUE"""),472506.0)</f>
        <v>472506</v>
      </c>
      <c r="I6704" s="24">
        <f>IFERROR(__xludf.DUMMYFUNCTION("""COMPUTED_VALUE"""),-0.05498800000000004)</f>
        <v>-0.054988</v>
      </c>
    </row>
    <row r="6705">
      <c r="A6705" s="5" t="str">
        <f>IFERROR(__xludf.DUMMYFUNCTION("""COMPUTED_VALUE"""),"77936")</f>
        <v>77936</v>
      </c>
      <c r="B6705" s="64">
        <f>IFERROR(__xludf.DUMMYFUNCTION("""COMPUTED_VALUE"""),44597.0)</f>
        <v>44597</v>
      </c>
      <c r="C6705" s="5"/>
      <c r="D6705" s="5"/>
      <c r="E6705" s="5"/>
      <c r="F6705" s="22">
        <f>IFERROR(__xludf.DUMMYFUNCTION("""COMPUTED_VALUE"""),500000.0)</f>
        <v>500000</v>
      </c>
      <c r="G6705" s="22">
        <f>IFERROR(__xludf.DUMMYFUNCTION("""COMPUTED_VALUE"""),0.0)</f>
        <v>0</v>
      </c>
      <c r="H6705" s="22">
        <f>IFERROR(__xludf.DUMMYFUNCTION("""COMPUTED_VALUE"""),500000.0)</f>
        <v>500000</v>
      </c>
      <c r="I6705" s="24">
        <f>IFERROR(__xludf.DUMMYFUNCTION("""COMPUTED_VALUE"""),0.0)</f>
        <v>0</v>
      </c>
    </row>
    <row r="6706">
      <c r="A6706" s="5" t="str">
        <f>IFERROR(__xludf.DUMMYFUNCTION("""COMPUTED_VALUE"""),"77936")</f>
        <v>77936</v>
      </c>
      <c r="B6706" s="64">
        <f>IFERROR(__xludf.DUMMYFUNCTION("""COMPUTED_VALUE"""),44598.0)</f>
        <v>44598</v>
      </c>
      <c r="C6706" s="5"/>
      <c r="D6706" s="5"/>
      <c r="E6706" s="5"/>
      <c r="F6706" s="22">
        <f>IFERROR(__xludf.DUMMYFUNCTION("""COMPUTED_VALUE"""),500000.0)</f>
        <v>500000</v>
      </c>
      <c r="G6706" s="22">
        <f>IFERROR(__xludf.DUMMYFUNCTION("""COMPUTED_VALUE"""),0.0)</f>
        <v>0</v>
      </c>
      <c r="H6706" s="22">
        <f>IFERROR(__xludf.DUMMYFUNCTION("""COMPUTED_VALUE"""),500000.0)</f>
        <v>500000</v>
      </c>
      <c r="I6706" s="24">
        <f>IFERROR(__xludf.DUMMYFUNCTION("""COMPUTED_VALUE"""),0.0)</f>
        <v>0</v>
      </c>
    </row>
    <row r="6707">
      <c r="A6707" s="5" t="str">
        <f>IFERROR(__xludf.DUMMYFUNCTION("""COMPUTED_VALUE"""),"77936")</f>
        <v>77936</v>
      </c>
      <c r="B6707" s="64">
        <f>IFERROR(__xludf.DUMMYFUNCTION("""COMPUTED_VALUE"""),44599.0)</f>
        <v>44599</v>
      </c>
      <c r="C6707" s="5"/>
      <c r="D6707" s="5"/>
      <c r="E6707" s="5"/>
      <c r="F6707" s="22">
        <f>IFERROR(__xludf.DUMMYFUNCTION("""COMPUTED_VALUE"""),500000.0)</f>
        <v>500000</v>
      </c>
      <c r="G6707" s="22">
        <f>IFERROR(__xludf.DUMMYFUNCTION("""COMPUTED_VALUE"""),0.0)</f>
        <v>0</v>
      </c>
      <c r="H6707" s="22">
        <f>IFERROR(__xludf.DUMMYFUNCTION("""COMPUTED_VALUE"""),500000.0)</f>
        <v>500000</v>
      </c>
      <c r="I6707" s="24">
        <f>IFERROR(__xludf.DUMMYFUNCTION("""COMPUTED_VALUE"""),0.0)</f>
        <v>0</v>
      </c>
    </row>
    <row r="6708">
      <c r="A6708" s="5" t="str">
        <f>IFERROR(__xludf.DUMMYFUNCTION("""COMPUTED_VALUE"""),"77936")</f>
        <v>77936</v>
      </c>
      <c r="B6708" s="64">
        <f>IFERROR(__xludf.DUMMYFUNCTION("""COMPUTED_VALUE"""),44600.0)</f>
        <v>44600</v>
      </c>
      <c r="C6708" s="5"/>
      <c r="D6708" s="5"/>
      <c r="E6708" s="5"/>
      <c r="F6708" s="22">
        <f>IFERROR(__xludf.DUMMYFUNCTION("""COMPUTED_VALUE"""),500000.0)</f>
        <v>500000</v>
      </c>
      <c r="G6708" s="22">
        <f>IFERROR(__xludf.DUMMYFUNCTION("""COMPUTED_VALUE"""),0.0)</f>
        <v>0</v>
      </c>
      <c r="H6708" s="22">
        <f>IFERROR(__xludf.DUMMYFUNCTION("""COMPUTED_VALUE"""),500000.0)</f>
        <v>500000</v>
      </c>
      <c r="I6708" s="24">
        <f>IFERROR(__xludf.DUMMYFUNCTION("""COMPUTED_VALUE"""),0.0)</f>
        <v>0</v>
      </c>
    </row>
    <row r="6709">
      <c r="A6709" s="5" t="str">
        <f>IFERROR(__xludf.DUMMYFUNCTION("""COMPUTED_VALUE"""),"77936")</f>
        <v>77936</v>
      </c>
      <c r="B6709" s="64">
        <f>IFERROR(__xludf.DUMMYFUNCTION("""COMPUTED_VALUE"""),44601.0)</f>
        <v>44601</v>
      </c>
      <c r="C6709" s="5"/>
      <c r="D6709" s="5"/>
      <c r="E6709" s="5"/>
      <c r="F6709" s="22">
        <f>IFERROR(__xludf.DUMMYFUNCTION("""COMPUTED_VALUE"""),500000.0)</f>
        <v>500000</v>
      </c>
      <c r="G6709" s="22">
        <f>IFERROR(__xludf.DUMMYFUNCTION("""COMPUTED_VALUE"""),0.0)</f>
        <v>0</v>
      </c>
      <c r="H6709" s="22">
        <f>IFERROR(__xludf.DUMMYFUNCTION("""COMPUTED_VALUE"""),500000.0)</f>
        <v>500000</v>
      </c>
      <c r="I6709" s="24">
        <f>IFERROR(__xludf.DUMMYFUNCTION("""COMPUTED_VALUE"""),0.0)</f>
        <v>0</v>
      </c>
    </row>
    <row r="6710">
      <c r="A6710" s="5" t="str">
        <f>IFERROR(__xludf.DUMMYFUNCTION("""COMPUTED_VALUE"""),"77936")</f>
        <v>77936</v>
      </c>
      <c r="B6710" s="64">
        <f>IFERROR(__xludf.DUMMYFUNCTION("""COMPUTED_VALUE"""),44602.0)</f>
        <v>44602</v>
      </c>
      <c r="C6710" s="5"/>
      <c r="D6710" s="5"/>
      <c r="E6710" s="5"/>
      <c r="F6710" s="22">
        <f>IFERROR(__xludf.DUMMYFUNCTION("""COMPUTED_VALUE"""),500000.0)</f>
        <v>500000</v>
      </c>
      <c r="G6710" s="22">
        <f>IFERROR(__xludf.DUMMYFUNCTION("""COMPUTED_VALUE"""),0.0)</f>
        <v>0</v>
      </c>
      <c r="H6710" s="22">
        <f>IFERROR(__xludf.DUMMYFUNCTION("""COMPUTED_VALUE"""),500000.0)</f>
        <v>500000</v>
      </c>
      <c r="I6710" s="24">
        <f>IFERROR(__xludf.DUMMYFUNCTION("""COMPUTED_VALUE"""),0.0)</f>
        <v>0</v>
      </c>
    </row>
    <row r="6711">
      <c r="A6711" s="5" t="str">
        <f>IFERROR(__xludf.DUMMYFUNCTION("""COMPUTED_VALUE"""),"77936")</f>
        <v>77936</v>
      </c>
      <c r="B6711" s="64">
        <f>IFERROR(__xludf.DUMMYFUNCTION("""COMPUTED_VALUE"""),44603.0)</f>
        <v>44603</v>
      </c>
      <c r="C6711" s="5"/>
      <c r="D6711" s="5"/>
      <c r="E6711" s="5"/>
      <c r="F6711" s="22">
        <f>IFERROR(__xludf.DUMMYFUNCTION("""COMPUTED_VALUE"""),500000.0)</f>
        <v>500000</v>
      </c>
      <c r="G6711" s="22">
        <f>IFERROR(__xludf.DUMMYFUNCTION("""COMPUTED_VALUE"""),0.0)</f>
        <v>0</v>
      </c>
      <c r="H6711" s="22">
        <f>IFERROR(__xludf.DUMMYFUNCTION("""COMPUTED_VALUE"""),500000.0)</f>
        <v>500000</v>
      </c>
      <c r="I6711" s="24">
        <f>IFERROR(__xludf.DUMMYFUNCTION("""COMPUTED_VALUE"""),0.0)</f>
        <v>0</v>
      </c>
    </row>
    <row r="6712">
      <c r="A6712" s="5" t="str">
        <f>IFERROR(__xludf.DUMMYFUNCTION("""COMPUTED_VALUE"""),"77936")</f>
        <v>77936</v>
      </c>
      <c r="B6712" s="64">
        <f>IFERROR(__xludf.DUMMYFUNCTION("""COMPUTED_VALUE"""),44604.0)</f>
        <v>44604</v>
      </c>
      <c r="C6712" s="5"/>
      <c r="D6712" s="5"/>
      <c r="E6712" s="5"/>
      <c r="F6712" s="22">
        <f>IFERROR(__xludf.DUMMYFUNCTION("""COMPUTED_VALUE"""),500000.0)</f>
        <v>500000</v>
      </c>
      <c r="G6712" s="22">
        <f>IFERROR(__xludf.DUMMYFUNCTION("""COMPUTED_VALUE"""),0.0)</f>
        <v>0</v>
      </c>
      <c r="H6712" s="22">
        <f>IFERROR(__xludf.DUMMYFUNCTION("""COMPUTED_VALUE"""),500000.0)</f>
        <v>500000</v>
      </c>
      <c r="I6712" s="24">
        <f>IFERROR(__xludf.DUMMYFUNCTION("""COMPUTED_VALUE"""),0.0)</f>
        <v>0</v>
      </c>
    </row>
    <row r="6713">
      <c r="A6713" s="5" t="str">
        <f>IFERROR(__xludf.DUMMYFUNCTION("""COMPUTED_VALUE"""),"77936")</f>
        <v>77936</v>
      </c>
      <c r="B6713" s="64">
        <f>IFERROR(__xludf.DUMMYFUNCTION("""COMPUTED_VALUE"""),44605.0)</f>
        <v>44605</v>
      </c>
      <c r="C6713" s="5"/>
      <c r="D6713" s="5"/>
      <c r="E6713" s="5"/>
      <c r="F6713" s="22">
        <f>IFERROR(__xludf.DUMMYFUNCTION("""COMPUTED_VALUE"""),500000.0)</f>
        <v>500000</v>
      </c>
      <c r="G6713" s="22">
        <f>IFERROR(__xludf.DUMMYFUNCTION("""COMPUTED_VALUE"""),0.0)</f>
        <v>0</v>
      </c>
      <c r="H6713" s="22">
        <f>IFERROR(__xludf.DUMMYFUNCTION("""COMPUTED_VALUE"""),500000.0)</f>
        <v>500000</v>
      </c>
      <c r="I6713" s="24">
        <f>IFERROR(__xludf.DUMMYFUNCTION("""COMPUTED_VALUE"""),0.0)</f>
        <v>0</v>
      </c>
    </row>
    <row r="6714">
      <c r="A6714" s="5" t="str">
        <f>IFERROR(__xludf.DUMMYFUNCTION("""COMPUTED_VALUE"""),"77936")</f>
        <v>77936</v>
      </c>
      <c r="B6714" s="64">
        <f>IFERROR(__xludf.DUMMYFUNCTION("""COMPUTED_VALUE"""),44606.0)</f>
        <v>44606</v>
      </c>
      <c r="C6714" s="5"/>
      <c r="D6714" s="5"/>
      <c r="E6714" s="5"/>
      <c r="F6714" s="22">
        <f>IFERROR(__xludf.DUMMYFUNCTION("""COMPUTED_VALUE"""),500000.0)</f>
        <v>500000</v>
      </c>
      <c r="G6714" s="22">
        <f>IFERROR(__xludf.DUMMYFUNCTION("""COMPUTED_VALUE"""),0.0)</f>
        <v>0</v>
      </c>
      <c r="H6714" s="22">
        <f>IFERROR(__xludf.DUMMYFUNCTION("""COMPUTED_VALUE"""),500000.0)</f>
        <v>500000</v>
      </c>
      <c r="I6714" s="24">
        <f>IFERROR(__xludf.DUMMYFUNCTION("""COMPUTED_VALUE"""),0.0)</f>
        <v>0</v>
      </c>
    </row>
    <row r="6715">
      <c r="A6715" s="5" t="str">
        <f>IFERROR(__xludf.DUMMYFUNCTION("""COMPUTED_VALUE"""),"77936")</f>
        <v>77936</v>
      </c>
      <c r="B6715" s="64">
        <f>IFERROR(__xludf.DUMMYFUNCTION("""COMPUTED_VALUE"""),44607.0)</f>
        <v>44607</v>
      </c>
      <c r="C6715" s="5"/>
      <c r="D6715" s="5"/>
      <c r="E6715" s="5"/>
      <c r="F6715" s="22">
        <f>IFERROR(__xludf.DUMMYFUNCTION("""COMPUTED_VALUE"""),500000.0)</f>
        <v>500000</v>
      </c>
      <c r="G6715" s="22">
        <f>IFERROR(__xludf.DUMMYFUNCTION("""COMPUTED_VALUE"""),0.0)</f>
        <v>0</v>
      </c>
      <c r="H6715" s="22">
        <f>IFERROR(__xludf.DUMMYFUNCTION("""COMPUTED_VALUE"""),500000.0)</f>
        <v>500000</v>
      </c>
      <c r="I6715" s="24">
        <f>IFERROR(__xludf.DUMMYFUNCTION("""COMPUTED_VALUE"""),0.0)</f>
        <v>0</v>
      </c>
    </row>
    <row r="6716">
      <c r="A6716" s="5" t="str">
        <f>IFERROR(__xludf.DUMMYFUNCTION("""COMPUTED_VALUE"""),"77936")</f>
        <v>77936</v>
      </c>
      <c r="B6716" s="64">
        <f>IFERROR(__xludf.DUMMYFUNCTION("""COMPUTED_VALUE"""),44608.0)</f>
        <v>44608</v>
      </c>
      <c r="C6716" s="5"/>
      <c r="D6716" s="5"/>
      <c r="E6716" s="5"/>
      <c r="F6716" s="22">
        <f>IFERROR(__xludf.DUMMYFUNCTION("""COMPUTED_VALUE"""),500000.0)</f>
        <v>500000</v>
      </c>
      <c r="G6716" s="22">
        <f>IFERROR(__xludf.DUMMYFUNCTION("""COMPUTED_VALUE"""),0.0)</f>
        <v>0</v>
      </c>
      <c r="H6716" s="22">
        <f>IFERROR(__xludf.DUMMYFUNCTION("""COMPUTED_VALUE"""),500000.0)</f>
        <v>500000</v>
      </c>
      <c r="I6716" s="24">
        <f>IFERROR(__xludf.DUMMYFUNCTION("""COMPUTED_VALUE"""),0.0)</f>
        <v>0</v>
      </c>
    </row>
    <row r="6717">
      <c r="A6717" s="5" t="str">
        <f>IFERROR(__xludf.DUMMYFUNCTION("""COMPUTED_VALUE"""),"77936")</f>
        <v>77936</v>
      </c>
      <c r="B6717" s="64">
        <f>IFERROR(__xludf.DUMMYFUNCTION("""COMPUTED_VALUE"""),44609.0)</f>
        <v>44609</v>
      </c>
      <c r="C6717" s="5"/>
      <c r="D6717" s="5"/>
      <c r="E6717" s="5"/>
      <c r="F6717" s="22">
        <f>IFERROR(__xludf.DUMMYFUNCTION("""COMPUTED_VALUE"""),500000.0)</f>
        <v>500000</v>
      </c>
      <c r="G6717" s="22">
        <f>IFERROR(__xludf.DUMMYFUNCTION("""COMPUTED_VALUE"""),0.0)</f>
        <v>0</v>
      </c>
      <c r="H6717" s="22">
        <f>IFERROR(__xludf.DUMMYFUNCTION("""COMPUTED_VALUE"""),500000.0)</f>
        <v>500000</v>
      </c>
      <c r="I6717" s="24">
        <f>IFERROR(__xludf.DUMMYFUNCTION("""COMPUTED_VALUE"""),0.0)</f>
        <v>0</v>
      </c>
    </row>
    <row r="6718">
      <c r="A6718" s="5" t="str">
        <f>IFERROR(__xludf.DUMMYFUNCTION("""COMPUTED_VALUE"""),"77936")</f>
        <v>77936</v>
      </c>
      <c r="B6718" s="64">
        <f>IFERROR(__xludf.DUMMYFUNCTION("""COMPUTED_VALUE"""),44610.0)</f>
        <v>44610</v>
      </c>
      <c r="C6718" s="5"/>
      <c r="D6718" s="5"/>
      <c r="E6718" s="5"/>
      <c r="F6718" s="22">
        <f>IFERROR(__xludf.DUMMYFUNCTION("""COMPUTED_VALUE"""),500000.0)</f>
        <v>500000</v>
      </c>
      <c r="G6718" s="22">
        <f>IFERROR(__xludf.DUMMYFUNCTION("""COMPUTED_VALUE"""),0.0)</f>
        <v>0</v>
      </c>
      <c r="H6718" s="22">
        <f>IFERROR(__xludf.DUMMYFUNCTION("""COMPUTED_VALUE"""),500000.0)</f>
        <v>500000</v>
      </c>
      <c r="I6718" s="24">
        <f>IFERROR(__xludf.DUMMYFUNCTION("""COMPUTED_VALUE"""),0.0)</f>
        <v>0</v>
      </c>
    </row>
    <row r="6719">
      <c r="A6719" s="5" t="str">
        <f>IFERROR(__xludf.DUMMYFUNCTION("""COMPUTED_VALUE"""),"77936")</f>
        <v>77936</v>
      </c>
      <c r="B6719" s="64">
        <f>IFERROR(__xludf.DUMMYFUNCTION("""COMPUTED_VALUE"""),44611.0)</f>
        <v>44611</v>
      </c>
      <c r="C6719" s="5"/>
      <c r="D6719" s="5"/>
      <c r="E6719" s="5"/>
      <c r="F6719" s="22">
        <f>IFERROR(__xludf.DUMMYFUNCTION("""COMPUTED_VALUE"""),500000.0)</f>
        <v>500000</v>
      </c>
      <c r="G6719" s="22">
        <f>IFERROR(__xludf.DUMMYFUNCTION("""COMPUTED_VALUE"""),0.0)</f>
        <v>0</v>
      </c>
      <c r="H6719" s="22">
        <f>IFERROR(__xludf.DUMMYFUNCTION("""COMPUTED_VALUE"""),500000.0)</f>
        <v>500000</v>
      </c>
      <c r="I6719" s="24">
        <f>IFERROR(__xludf.DUMMYFUNCTION("""COMPUTED_VALUE"""),0.0)</f>
        <v>0</v>
      </c>
    </row>
    <row r="6720">
      <c r="A6720" s="5" t="str">
        <f>IFERROR(__xludf.DUMMYFUNCTION("""COMPUTED_VALUE"""),"77936")</f>
        <v>77936</v>
      </c>
      <c r="B6720" s="64">
        <f>IFERROR(__xludf.DUMMYFUNCTION("""COMPUTED_VALUE"""),44612.0)</f>
        <v>44612</v>
      </c>
      <c r="C6720" s="5"/>
      <c r="D6720" s="5"/>
      <c r="E6720" s="5"/>
      <c r="F6720" s="22">
        <f>IFERROR(__xludf.DUMMYFUNCTION("""COMPUTED_VALUE"""),500000.0)</f>
        <v>500000</v>
      </c>
      <c r="G6720" s="22">
        <f>IFERROR(__xludf.DUMMYFUNCTION("""COMPUTED_VALUE"""),0.0)</f>
        <v>0</v>
      </c>
      <c r="H6720" s="22">
        <f>IFERROR(__xludf.DUMMYFUNCTION("""COMPUTED_VALUE"""),500000.0)</f>
        <v>500000</v>
      </c>
      <c r="I6720" s="24">
        <f>IFERROR(__xludf.DUMMYFUNCTION("""COMPUTED_VALUE"""),0.0)</f>
        <v>0</v>
      </c>
    </row>
    <row r="6721">
      <c r="A6721" s="5" t="str">
        <f>IFERROR(__xludf.DUMMYFUNCTION("""COMPUTED_VALUE"""),"77936")</f>
        <v>77936</v>
      </c>
      <c r="B6721" s="64">
        <f>IFERROR(__xludf.DUMMYFUNCTION("""COMPUTED_VALUE"""),44613.0)</f>
        <v>44613</v>
      </c>
      <c r="C6721" s="5"/>
      <c r="D6721" s="5"/>
      <c r="E6721" s="5"/>
      <c r="F6721" s="22">
        <f>IFERROR(__xludf.DUMMYFUNCTION("""COMPUTED_VALUE"""),500000.0)</f>
        <v>500000</v>
      </c>
      <c r="G6721" s="22">
        <f>IFERROR(__xludf.DUMMYFUNCTION("""COMPUTED_VALUE"""),0.0)</f>
        <v>0</v>
      </c>
      <c r="H6721" s="22">
        <f>IFERROR(__xludf.DUMMYFUNCTION("""COMPUTED_VALUE"""),500000.0)</f>
        <v>500000</v>
      </c>
      <c r="I6721" s="24">
        <f>IFERROR(__xludf.DUMMYFUNCTION("""COMPUTED_VALUE"""),0.0)</f>
        <v>0</v>
      </c>
    </row>
    <row r="6722">
      <c r="A6722" s="5" t="str">
        <f>IFERROR(__xludf.DUMMYFUNCTION("""COMPUTED_VALUE"""),"77936")</f>
        <v>77936</v>
      </c>
      <c r="B6722" s="64">
        <f>IFERROR(__xludf.DUMMYFUNCTION("""COMPUTED_VALUE"""),44614.0)</f>
        <v>44614</v>
      </c>
      <c r="C6722" s="5"/>
      <c r="D6722" s="5"/>
      <c r="E6722" s="5"/>
      <c r="F6722" s="22">
        <f>IFERROR(__xludf.DUMMYFUNCTION("""COMPUTED_VALUE"""),500000.0)</f>
        <v>500000</v>
      </c>
      <c r="G6722" s="22">
        <f>IFERROR(__xludf.DUMMYFUNCTION("""COMPUTED_VALUE"""),0.0)</f>
        <v>0</v>
      </c>
      <c r="H6722" s="22">
        <f>IFERROR(__xludf.DUMMYFUNCTION("""COMPUTED_VALUE"""),500000.0)</f>
        <v>500000</v>
      </c>
      <c r="I6722" s="24">
        <f>IFERROR(__xludf.DUMMYFUNCTION("""COMPUTED_VALUE"""),0.0)</f>
        <v>0</v>
      </c>
    </row>
    <row r="6723">
      <c r="A6723" s="5" t="str">
        <f>IFERROR(__xludf.DUMMYFUNCTION("""COMPUTED_VALUE"""),"77936")</f>
        <v>77936</v>
      </c>
      <c r="B6723" s="64">
        <f>IFERROR(__xludf.DUMMYFUNCTION("""COMPUTED_VALUE"""),44615.0)</f>
        <v>44615</v>
      </c>
      <c r="C6723" s="5"/>
      <c r="D6723" s="5"/>
      <c r="E6723" s="5"/>
      <c r="F6723" s="22">
        <f>IFERROR(__xludf.DUMMYFUNCTION("""COMPUTED_VALUE"""),500000.0)</f>
        <v>500000</v>
      </c>
      <c r="G6723" s="22">
        <f>IFERROR(__xludf.DUMMYFUNCTION("""COMPUTED_VALUE"""),0.0)</f>
        <v>0</v>
      </c>
      <c r="H6723" s="22">
        <f>IFERROR(__xludf.DUMMYFUNCTION("""COMPUTED_VALUE"""),500000.0)</f>
        <v>500000</v>
      </c>
      <c r="I6723" s="24">
        <f>IFERROR(__xludf.DUMMYFUNCTION("""COMPUTED_VALUE"""),0.0)</f>
        <v>0</v>
      </c>
    </row>
    <row r="6724">
      <c r="A6724" s="5" t="str">
        <f>IFERROR(__xludf.DUMMYFUNCTION("""COMPUTED_VALUE"""),"77936")</f>
        <v>77936</v>
      </c>
      <c r="B6724" s="64">
        <f>IFERROR(__xludf.DUMMYFUNCTION("""COMPUTED_VALUE"""),44616.0)</f>
        <v>44616</v>
      </c>
      <c r="C6724" s="5"/>
      <c r="D6724" s="5"/>
      <c r="E6724" s="5"/>
      <c r="F6724" s="22">
        <f>IFERROR(__xludf.DUMMYFUNCTION("""COMPUTED_VALUE"""),500000.0)</f>
        <v>500000</v>
      </c>
      <c r="G6724" s="22">
        <f>IFERROR(__xludf.DUMMYFUNCTION("""COMPUTED_VALUE"""),0.0)</f>
        <v>0</v>
      </c>
      <c r="H6724" s="22">
        <f>IFERROR(__xludf.DUMMYFUNCTION("""COMPUTED_VALUE"""),500000.0)</f>
        <v>500000</v>
      </c>
      <c r="I6724" s="24">
        <f>IFERROR(__xludf.DUMMYFUNCTION("""COMPUTED_VALUE"""),0.0)</f>
        <v>0</v>
      </c>
    </row>
    <row r="6725">
      <c r="A6725" s="5" t="str">
        <f>IFERROR(__xludf.DUMMYFUNCTION("""COMPUTED_VALUE"""),"77936")</f>
        <v>77936</v>
      </c>
      <c r="B6725" s="64">
        <f>IFERROR(__xludf.DUMMYFUNCTION("""COMPUTED_VALUE"""),44617.0)</f>
        <v>44617</v>
      </c>
      <c r="C6725" s="5"/>
      <c r="D6725" s="5"/>
      <c r="E6725" s="5"/>
      <c r="F6725" s="22">
        <f>IFERROR(__xludf.DUMMYFUNCTION("""COMPUTED_VALUE"""),500000.0)</f>
        <v>500000</v>
      </c>
      <c r="G6725" s="22">
        <f>IFERROR(__xludf.DUMMYFUNCTION("""COMPUTED_VALUE"""),0.0)</f>
        <v>0</v>
      </c>
      <c r="H6725" s="22">
        <f>IFERROR(__xludf.DUMMYFUNCTION("""COMPUTED_VALUE"""),500000.0)</f>
        <v>500000</v>
      </c>
      <c r="I6725" s="24">
        <f>IFERROR(__xludf.DUMMYFUNCTION("""COMPUTED_VALUE"""),0.0)</f>
        <v>0</v>
      </c>
    </row>
    <row r="6726">
      <c r="A6726" s="5" t="str">
        <f>IFERROR(__xludf.DUMMYFUNCTION("""COMPUTED_VALUE"""),"77936")</f>
        <v>77936</v>
      </c>
      <c r="B6726" s="64">
        <f>IFERROR(__xludf.DUMMYFUNCTION("""COMPUTED_VALUE"""),44618.0)</f>
        <v>44618</v>
      </c>
      <c r="C6726" s="5"/>
      <c r="D6726" s="5"/>
      <c r="E6726" s="5"/>
      <c r="F6726" s="22">
        <f>IFERROR(__xludf.DUMMYFUNCTION("""COMPUTED_VALUE"""),500000.0)</f>
        <v>500000</v>
      </c>
      <c r="G6726" s="22">
        <f>IFERROR(__xludf.DUMMYFUNCTION("""COMPUTED_VALUE"""),0.0)</f>
        <v>0</v>
      </c>
      <c r="H6726" s="22">
        <f>IFERROR(__xludf.DUMMYFUNCTION("""COMPUTED_VALUE"""),500000.0)</f>
        <v>500000</v>
      </c>
      <c r="I6726" s="24">
        <f>IFERROR(__xludf.DUMMYFUNCTION("""COMPUTED_VALUE"""),0.0)</f>
        <v>0</v>
      </c>
    </row>
    <row r="6727">
      <c r="A6727" s="5" t="str">
        <f>IFERROR(__xludf.DUMMYFUNCTION("""COMPUTED_VALUE"""),"77936")</f>
        <v>77936</v>
      </c>
      <c r="B6727" s="64">
        <f>IFERROR(__xludf.DUMMYFUNCTION("""COMPUTED_VALUE"""),44619.0)</f>
        <v>44619</v>
      </c>
      <c r="C6727" s="5"/>
      <c r="D6727" s="5"/>
      <c r="E6727" s="5"/>
      <c r="F6727" s="22">
        <f>IFERROR(__xludf.DUMMYFUNCTION("""COMPUTED_VALUE"""),500000.0)</f>
        <v>500000</v>
      </c>
      <c r="G6727" s="22">
        <f>IFERROR(__xludf.DUMMYFUNCTION("""COMPUTED_VALUE"""),0.0)</f>
        <v>0</v>
      </c>
      <c r="H6727" s="22">
        <f>IFERROR(__xludf.DUMMYFUNCTION("""COMPUTED_VALUE"""),500000.0)</f>
        <v>500000</v>
      </c>
      <c r="I6727" s="24">
        <f>IFERROR(__xludf.DUMMYFUNCTION("""COMPUTED_VALUE"""),0.0)</f>
        <v>0</v>
      </c>
    </row>
    <row r="6728">
      <c r="A6728" s="5" t="str">
        <f>IFERROR(__xludf.DUMMYFUNCTION("""COMPUTED_VALUE"""),"77936")</f>
        <v>77936</v>
      </c>
      <c r="B6728" s="64">
        <f>IFERROR(__xludf.DUMMYFUNCTION("""COMPUTED_VALUE"""),44620.0)</f>
        <v>44620</v>
      </c>
      <c r="C6728" s="5"/>
      <c r="D6728" s="5"/>
      <c r="E6728" s="5"/>
      <c r="F6728" s="22">
        <f>IFERROR(__xludf.DUMMYFUNCTION("""COMPUTED_VALUE"""),500000.0)</f>
        <v>500000</v>
      </c>
      <c r="G6728" s="22">
        <f>IFERROR(__xludf.DUMMYFUNCTION("""COMPUTED_VALUE"""),0.0)</f>
        <v>0</v>
      </c>
      <c r="H6728" s="22">
        <f>IFERROR(__xludf.DUMMYFUNCTION("""COMPUTED_VALUE"""),500000.0)</f>
        <v>500000</v>
      </c>
      <c r="I6728" s="24">
        <f>IFERROR(__xludf.DUMMYFUNCTION("""COMPUTED_VALUE"""),0.0)</f>
        <v>0</v>
      </c>
    </row>
    <row r="6729">
      <c r="A6729" s="5" t="str">
        <f>IFERROR(__xludf.DUMMYFUNCTION("""COMPUTED_VALUE"""),"77936")</f>
        <v>77936</v>
      </c>
      <c r="B6729" s="64">
        <f>IFERROR(__xludf.DUMMYFUNCTION("""COMPUTED_VALUE"""),44621.0)</f>
        <v>44621</v>
      </c>
      <c r="C6729" s="5"/>
      <c r="D6729" s="5"/>
      <c r="E6729" s="5"/>
      <c r="F6729" s="22">
        <f>IFERROR(__xludf.DUMMYFUNCTION("""COMPUTED_VALUE"""),500000.0)</f>
        <v>500000</v>
      </c>
      <c r="G6729" s="22">
        <f>IFERROR(__xludf.DUMMYFUNCTION("""COMPUTED_VALUE"""),0.0)</f>
        <v>0</v>
      </c>
      <c r="H6729" s="22">
        <f>IFERROR(__xludf.DUMMYFUNCTION("""COMPUTED_VALUE"""),500000.0)</f>
        <v>500000</v>
      </c>
      <c r="I6729" s="24">
        <f>IFERROR(__xludf.DUMMYFUNCTION("""COMPUTED_VALUE"""),0.0)</f>
        <v>0</v>
      </c>
    </row>
    <row r="6730">
      <c r="A6730" s="5" t="str">
        <f>IFERROR(__xludf.DUMMYFUNCTION("""COMPUTED_VALUE"""),"77936")</f>
        <v>77936</v>
      </c>
      <c r="B6730" s="64">
        <f>IFERROR(__xludf.DUMMYFUNCTION("""COMPUTED_VALUE"""),44622.0)</f>
        <v>44622</v>
      </c>
      <c r="C6730" s="5"/>
      <c r="D6730" s="5"/>
      <c r="E6730" s="5"/>
      <c r="F6730" s="22">
        <f>IFERROR(__xludf.DUMMYFUNCTION("""COMPUTED_VALUE"""),500000.0)</f>
        <v>500000</v>
      </c>
      <c r="G6730" s="22">
        <f>IFERROR(__xludf.DUMMYFUNCTION("""COMPUTED_VALUE"""),0.0)</f>
        <v>0</v>
      </c>
      <c r="H6730" s="22">
        <f>IFERROR(__xludf.DUMMYFUNCTION("""COMPUTED_VALUE"""),500000.0)</f>
        <v>500000</v>
      </c>
      <c r="I6730" s="24">
        <f>IFERROR(__xludf.DUMMYFUNCTION("""COMPUTED_VALUE"""),0.0)</f>
        <v>0</v>
      </c>
    </row>
    <row r="6731">
      <c r="A6731" s="5" t="str">
        <f>IFERROR(__xludf.DUMMYFUNCTION("""COMPUTED_VALUE"""),"77936")</f>
        <v>77936</v>
      </c>
      <c r="B6731" s="64">
        <f>IFERROR(__xludf.DUMMYFUNCTION("""COMPUTED_VALUE"""),44623.0)</f>
        <v>44623</v>
      </c>
      <c r="C6731" s="5"/>
      <c r="D6731" s="5"/>
      <c r="E6731" s="5"/>
      <c r="F6731" s="22">
        <f>IFERROR(__xludf.DUMMYFUNCTION("""COMPUTED_VALUE"""),500000.0)</f>
        <v>500000</v>
      </c>
      <c r="G6731" s="22">
        <f>IFERROR(__xludf.DUMMYFUNCTION("""COMPUTED_VALUE"""),0.0)</f>
        <v>0</v>
      </c>
      <c r="H6731" s="22">
        <f>IFERROR(__xludf.DUMMYFUNCTION("""COMPUTED_VALUE"""),500000.0)</f>
        <v>500000</v>
      </c>
      <c r="I6731" s="24">
        <f>IFERROR(__xludf.DUMMYFUNCTION("""COMPUTED_VALUE"""),0.0)</f>
        <v>0</v>
      </c>
    </row>
    <row r="6732">
      <c r="A6732" s="5" t="str">
        <f>IFERROR(__xludf.DUMMYFUNCTION("""COMPUTED_VALUE"""),"77936")</f>
        <v>77936</v>
      </c>
      <c r="B6732" s="64">
        <f>IFERROR(__xludf.DUMMYFUNCTION("""COMPUTED_VALUE"""),44624.0)</f>
        <v>44624</v>
      </c>
      <c r="C6732" s="5"/>
      <c r="D6732" s="5"/>
      <c r="E6732" s="5"/>
      <c r="F6732" s="22">
        <f>IFERROR(__xludf.DUMMYFUNCTION("""COMPUTED_VALUE"""),500000.0)</f>
        <v>500000</v>
      </c>
      <c r="G6732" s="22">
        <f>IFERROR(__xludf.DUMMYFUNCTION("""COMPUTED_VALUE"""),0.0)</f>
        <v>0</v>
      </c>
      <c r="H6732" s="22">
        <f>IFERROR(__xludf.DUMMYFUNCTION("""COMPUTED_VALUE"""),500000.0)</f>
        <v>500000</v>
      </c>
      <c r="I6732" s="24">
        <f>IFERROR(__xludf.DUMMYFUNCTION("""COMPUTED_VALUE"""),0.0)</f>
        <v>0</v>
      </c>
    </row>
    <row r="6733">
      <c r="A6733" s="5" t="str">
        <f>IFERROR(__xludf.DUMMYFUNCTION("""COMPUTED_VALUE"""),"77936")</f>
        <v>77936</v>
      </c>
      <c r="B6733" s="64">
        <f>IFERROR(__xludf.DUMMYFUNCTION("""COMPUTED_VALUE"""),44625.0)</f>
        <v>44625</v>
      </c>
      <c r="C6733" s="5"/>
      <c r="D6733" s="5"/>
      <c r="E6733" s="5"/>
      <c r="F6733" s="22">
        <f>IFERROR(__xludf.DUMMYFUNCTION("""COMPUTED_VALUE"""),500000.0)</f>
        <v>500000</v>
      </c>
      <c r="G6733" s="22">
        <f>IFERROR(__xludf.DUMMYFUNCTION("""COMPUTED_VALUE"""),0.0)</f>
        <v>0</v>
      </c>
      <c r="H6733" s="22">
        <f>IFERROR(__xludf.DUMMYFUNCTION("""COMPUTED_VALUE"""),500000.0)</f>
        <v>500000</v>
      </c>
      <c r="I6733" s="24">
        <f>IFERROR(__xludf.DUMMYFUNCTION("""COMPUTED_VALUE"""),0.0)</f>
        <v>0</v>
      </c>
    </row>
    <row r="6734">
      <c r="A6734" s="5" t="str">
        <f>IFERROR(__xludf.DUMMYFUNCTION("""COMPUTED_VALUE"""),"77936")</f>
        <v>77936</v>
      </c>
      <c r="B6734" s="64">
        <f>IFERROR(__xludf.DUMMYFUNCTION("""COMPUTED_VALUE"""),44626.0)</f>
        <v>44626</v>
      </c>
      <c r="C6734" s="5"/>
      <c r="D6734" s="5"/>
      <c r="E6734" s="5"/>
      <c r="F6734" s="22">
        <f>IFERROR(__xludf.DUMMYFUNCTION("""COMPUTED_VALUE"""),500000.0)</f>
        <v>500000</v>
      </c>
      <c r="G6734" s="22">
        <f>IFERROR(__xludf.DUMMYFUNCTION("""COMPUTED_VALUE"""),0.0)</f>
        <v>0</v>
      </c>
      <c r="H6734" s="22">
        <f>IFERROR(__xludf.DUMMYFUNCTION("""COMPUTED_VALUE"""),500000.0)</f>
        <v>500000</v>
      </c>
      <c r="I6734" s="24">
        <f>IFERROR(__xludf.DUMMYFUNCTION("""COMPUTED_VALUE"""),0.0)</f>
        <v>0</v>
      </c>
    </row>
    <row r="6735">
      <c r="A6735" s="5" t="str">
        <f>IFERROR(__xludf.DUMMYFUNCTION("""COMPUTED_VALUE"""),"77936")</f>
        <v>77936</v>
      </c>
      <c r="B6735" s="64">
        <f>IFERROR(__xludf.DUMMYFUNCTION("""COMPUTED_VALUE"""),44627.0)</f>
        <v>44627</v>
      </c>
      <c r="C6735" s="5"/>
      <c r="D6735" s="5"/>
      <c r="E6735" s="5"/>
      <c r="F6735" s="22">
        <f>IFERROR(__xludf.DUMMYFUNCTION("""COMPUTED_VALUE"""),500000.0)</f>
        <v>500000</v>
      </c>
      <c r="G6735" s="22">
        <f>IFERROR(__xludf.DUMMYFUNCTION("""COMPUTED_VALUE"""),0.0)</f>
        <v>0</v>
      </c>
      <c r="H6735" s="22">
        <f>IFERROR(__xludf.DUMMYFUNCTION("""COMPUTED_VALUE"""),500000.0)</f>
        <v>500000</v>
      </c>
      <c r="I6735" s="24">
        <f>IFERROR(__xludf.DUMMYFUNCTION("""COMPUTED_VALUE"""),0.0)</f>
        <v>0</v>
      </c>
    </row>
    <row r="6736">
      <c r="A6736" s="5" t="str">
        <f>IFERROR(__xludf.DUMMYFUNCTION("""COMPUTED_VALUE"""),"77936")</f>
        <v>77936</v>
      </c>
      <c r="B6736" s="64">
        <f>IFERROR(__xludf.DUMMYFUNCTION("""COMPUTED_VALUE"""),44628.0)</f>
        <v>44628</v>
      </c>
      <c r="C6736" s="5"/>
      <c r="D6736" s="5"/>
      <c r="E6736" s="5"/>
      <c r="F6736" s="22">
        <f>IFERROR(__xludf.DUMMYFUNCTION("""COMPUTED_VALUE"""),500000.0)</f>
        <v>500000</v>
      </c>
      <c r="G6736" s="22">
        <f>IFERROR(__xludf.DUMMYFUNCTION("""COMPUTED_VALUE"""),0.0)</f>
        <v>0</v>
      </c>
      <c r="H6736" s="22">
        <f>IFERROR(__xludf.DUMMYFUNCTION("""COMPUTED_VALUE"""),500000.0)</f>
        <v>500000</v>
      </c>
      <c r="I6736" s="24">
        <f>IFERROR(__xludf.DUMMYFUNCTION("""COMPUTED_VALUE"""),0.0)</f>
        <v>0</v>
      </c>
    </row>
    <row r="6737">
      <c r="A6737" s="5" t="str">
        <f>IFERROR(__xludf.DUMMYFUNCTION("""COMPUTED_VALUE"""),"77936")</f>
        <v>77936</v>
      </c>
      <c r="B6737" s="64">
        <f>IFERROR(__xludf.DUMMYFUNCTION("""COMPUTED_VALUE"""),44629.0)</f>
        <v>44629</v>
      </c>
      <c r="C6737" s="5"/>
      <c r="D6737" s="5"/>
      <c r="E6737" s="5"/>
      <c r="F6737" s="22">
        <f>IFERROR(__xludf.DUMMYFUNCTION("""COMPUTED_VALUE"""),500000.0)</f>
        <v>500000</v>
      </c>
      <c r="G6737" s="22">
        <f>IFERROR(__xludf.DUMMYFUNCTION("""COMPUTED_VALUE"""),0.0)</f>
        <v>0</v>
      </c>
      <c r="H6737" s="22">
        <f>IFERROR(__xludf.DUMMYFUNCTION("""COMPUTED_VALUE"""),500000.0)</f>
        <v>500000</v>
      </c>
      <c r="I6737" s="24">
        <f>IFERROR(__xludf.DUMMYFUNCTION("""COMPUTED_VALUE"""),0.0)</f>
        <v>0</v>
      </c>
    </row>
    <row r="6738">
      <c r="A6738" s="5" t="str">
        <f>IFERROR(__xludf.DUMMYFUNCTION("""COMPUTED_VALUE"""),"77936")</f>
        <v>77936</v>
      </c>
      <c r="B6738" s="64">
        <f>IFERROR(__xludf.DUMMYFUNCTION("""COMPUTED_VALUE"""),44630.0)</f>
        <v>44630</v>
      </c>
      <c r="C6738" s="5"/>
      <c r="D6738" s="5"/>
      <c r="E6738" s="5"/>
      <c r="F6738" s="22">
        <f>IFERROR(__xludf.DUMMYFUNCTION("""COMPUTED_VALUE"""),500000.0)</f>
        <v>500000</v>
      </c>
      <c r="G6738" s="22">
        <f>IFERROR(__xludf.DUMMYFUNCTION("""COMPUTED_VALUE"""),0.0)</f>
        <v>0</v>
      </c>
      <c r="H6738" s="22">
        <f>IFERROR(__xludf.DUMMYFUNCTION("""COMPUTED_VALUE"""),500000.0)</f>
        <v>500000</v>
      </c>
      <c r="I6738" s="24">
        <f>IFERROR(__xludf.DUMMYFUNCTION("""COMPUTED_VALUE"""),0.0)</f>
        <v>0</v>
      </c>
    </row>
    <row r="6739">
      <c r="A6739" s="5" t="str">
        <f>IFERROR(__xludf.DUMMYFUNCTION("""COMPUTED_VALUE"""),"77936")</f>
        <v>77936</v>
      </c>
      <c r="B6739" s="64">
        <f>IFERROR(__xludf.DUMMYFUNCTION("""COMPUTED_VALUE"""),44631.0)</f>
        <v>44631</v>
      </c>
      <c r="C6739" s="5"/>
      <c r="D6739" s="5"/>
      <c r="E6739" s="5"/>
      <c r="F6739" s="22">
        <f>IFERROR(__xludf.DUMMYFUNCTION("""COMPUTED_VALUE"""),500000.0)</f>
        <v>500000</v>
      </c>
      <c r="G6739" s="22">
        <f>IFERROR(__xludf.DUMMYFUNCTION("""COMPUTED_VALUE"""),0.0)</f>
        <v>0</v>
      </c>
      <c r="H6739" s="22">
        <f>IFERROR(__xludf.DUMMYFUNCTION("""COMPUTED_VALUE"""),479940.0)</f>
        <v>479940</v>
      </c>
      <c r="I6739" s="24">
        <f>IFERROR(__xludf.DUMMYFUNCTION("""COMPUTED_VALUE"""),-0.040120000000000045)</f>
        <v>-0.04012</v>
      </c>
    </row>
    <row r="6740">
      <c r="A6740" s="5" t="str">
        <f>IFERROR(__xludf.DUMMYFUNCTION("""COMPUTED_VALUE"""),"77936")</f>
        <v>77936</v>
      </c>
      <c r="B6740" s="64">
        <f>IFERROR(__xludf.DUMMYFUNCTION("""COMPUTED_VALUE"""),44632.0)</f>
        <v>44632</v>
      </c>
      <c r="C6740" s="5"/>
      <c r="D6740" s="5"/>
      <c r="E6740" s="5"/>
      <c r="F6740" s="22">
        <f>IFERROR(__xludf.DUMMYFUNCTION("""COMPUTED_VALUE"""),500000.0)</f>
        <v>500000</v>
      </c>
      <c r="G6740" s="22">
        <f>IFERROR(__xludf.DUMMYFUNCTION("""COMPUTED_VALUE"""),0.0)</f>
        <v>0</v>
      </c>
      <c r="H6740" s="22">
        <f>IFERROR(__xludf.DUMMYFUNCTION("""COMPUTED_VALUE"""),479940.0)</f>
        <v>479940</v>
      </c>
      <c r="I6740" s="24">
        <f>IFERROR(__xludf.DUMMYFUNCTION("""COMPUTED_VALUE"""),-0.040120000000000045)</f>
        <v>-0.04012</v>
      </c>
    </row>
    <row r="6741">
      <c r="A6741" s="5" t="str">
        <f>IFERROR(__xludf.DUMMYFUNCTION("""COMPUTED_VALUE"""),"77936")</f>
        <v>77936</v>
      </c>
      <c r="B6741" s="64">
        <f>IFERROR(__xludf.DUMMYFUNCTION("""COMPUTED_VALUE"""),44633.0)</f>
        <v>44633</v>
      </c>
      <c r="C6741" s="5"/>
      <c r="D6741" s="5"/>
      <c r="E6741" s="5"/>
      <c r="F6741" s="22">
        <f>IFERROR(__xludf.DUMMYFUNCTION("""COMPUTED_VALUE"""),500000.0)</f>
        <v>500000</v>
      </c>
      <c r="G6741" s="22">
        <f>IFERROR(__xludf.DUMMYFUNCTION("""COMPUTED_VALUE"""),0.0)</f>
        <v>0</v>
      </c>
      <c r="H6741" s="22">
        <f>IFERROR(__xludf.DUMMYFUNCTION("""COMPUTED_VALUE"""),479940.0)</f>
        <v>479940</v>
      </c>
      <c r="I6741" s="24">
        <f>IFERROR(__xludf.DUMMYFUNCTION("""COMPUTED_VALUE"""),-0.040120000000000045)</f>
        <v>-0.04012</v>
      </c>
    </row>
    <row r="6742">
      <c r="A6742" s="5" t="str">
        <f>IFERROR(__xludf.DUMMYFUNCTION("""COMPUTED_VALUE"""),"77936")</f>
        <v>77936</v>
      </c>
      <c r="B6742" s="64">
        <f>IFERROR(__xludf.DUMMYFUNCTION("""COMPUTED_VALUE"""),44634.0)</f>
        <v>44634</v>
      </c>
      <c r="C6742" s="5"/>
      <c r="D6742" s="5"/>
      <c r="E6742" s="5"/>
      <c r="F6742" s="22">
        <f>IFERROR(__xludf.DUMMYFUNCTION("""COMPUTED_VALUE"""),500000.0)</f>
        <v>500000</v>
      </c>
      <c r="G6742" s="22">
        <f>IFERROR(__xludf.DUMMYFUNCTION("""COMPUTED_VALUE"""),0.0)</f>
        <v>0</v>
      </c>
      <c r="H6742" s="22">
        <f>IFERROR(__xludf.DUMMYFUNCTION("""COMPUTED_VALUE"""),445660.0)</f>
        <v>445660</v>
      </c>
      <c r="I6742" s="24">
        <f>IFERROR(__xludf.DUMMYFUNCTION("""COMPUTED_VALUE"""),-0.10868)</f>
        <v>-0.10868</v>
      </c>
    </row>
    <row r="6743">
      <c r="A6743" s="5" t="str">
        <f>IFERROR(__xludf.DUMMYFUNCTION("""COMPUTED_VALUE"""),"77936")</f>
        <v>77936</v>
      </c>
      <c r="B6743" s="64">
        <f>IFERROR(__xludf.DUMMYFUNCTION("""COMPUTED_VALUE"""),44635.0)</f>
        <v>44635</v>
      </c>
      <c r="C6743" s="5"/>
      <c r="D6743" s="5"/>
      <c r="E6743" s="5"/>
      <c r="F6743" s="22">
        <f>IFERROR(__xludf.DUMMYFUNCTION("""COMPUTED_VALUE"""),500000.0)</f>
        <v>500000</v>
      </c>
      <c r="G6743" s="22">
        <f>IFERROR(__xludf.DUMMYFUNCTION("""COMPUTED_VALUE"""),0.0)</f>
        <v>0</v>
      </c>
      <c r="H6743" s="22">
        <f>IFERROR(__xludf.DUMMYFUNCTION("""COMPUTED_VALUE"""),437430.0)</f>
        <v>437430</v>
      </c>
      <c r="I6743" s="24">
        <f>IFERROR(__xludf.DUMMYFUNCTION("""COMPUTED_VALUE"""),-0.12514000000000003)</f>
        <v>-0.12514</v>
      </c>
    </row>
    <row r="6744">
      <c r="A6744" s="5" t="str">
        <f>IFERROR(__xludf.DUMMYFUNCTION("""COMPUTED_VALUE"""),"77936")</f>
        <v>77936</v>
      </c>
      <c r="B6744" s="64">
        <f>IFERROR(__xludf.DUMMYFUNCTION("""COMPUTED_VALUE"""),44636.0)</f>
        <v>44636</v>
      </c>
      <c r="C6744" s="5"/>
      <c r="D6744" s="5"/>
      <c r="E6744" s="5"/>
      <c r="F6744" s="22">
        <f>IFERROR(__xludf.DUMMYFUNCTION("""COMPUTED_VALUE"""),500000.0)</f>
        <v>500000</v>
      </c>
      <c r="G6744" s="22">
        <f>IFERROR(__xludf.DUMMYFUNCTION("""COMPUTED_VALUE"""),0.0)</f>
        <v>0</v>
      </c>
      <c r="H6744" s="22">
        <f>IFERROR(__xludf.DUMMYFUNCTION("""COMPUTED_VALUE"""),493420.0)</f>
        <v>493420</v>
      </c>
      <c r="I6744" s="24">
        <f>IFERROR(__xludf.DUMMYFUNCTION("""COMPUTED_VALUE"""),-0.01315999999999995)</f>
        <v>-0.01316</v>
      </c>
    </row>
    <row r="6745">
      <c r="A6745" s="5" t="str">
        <f>IFERROR(__xludf.DUMMYFUNCTION("""COMPUTED_VALUE"""),"77936")</f>
        <v>77936</v>
      </c>
      <c r="B6745" s="64">
        <f>IFERROR(__xludf.DUMMYFUNCTION("""COMPUTED_VALUE"""),44637.0)</f>
        <v>44637</v>
      </c>
      <c r="C6745" s="5"/>
      <c r="D6745" s="5"/>
      <c r="E6745" s="5"/>
      <c r="F6745" s="22">
        <f>IFERROR(__xludf.DUMMYFUNCTION("""COMPUTED_VALUE"""),500000.0)</f>
        <v>500000</v>
      </c>
      <c r="G6745" s="22">
        <f>IFERROR(__xludf.DUMMYFUNCTION("""COMPUTED_VALUE"""),0.0)</f>
        <v>0</v>
      </c>
      <c r="H6745" s="22">
        <f>IFERROR(__xludf.DUMMYFUNCTION("""COMPUTED_VALUE"""),535180.0)</f>
        <v>535180</v>
      </c>
      <c r="I6745" s="24">
        <f>IFERROR(__xludf.DUMMYFUNCTION("""COMPUTED_VALUE"""),0.07035999999999998)</f>
        <v>0.07036</v>
      </c>
    </row>
    <row r="6746">
      <c r="A6746" s="5" t="str">
        <f>IFERROR(__xludf.DUMMYFUNCTION("""COMPUTED_VALUE"""),"77936")</f>
        <v>77936</v>
      </c>
      <c r="B6746" s="64">
        <f>IFERROR(__xludf.DUMMYFUNCTION("""COMPUTED_VALUE"""),44638.0)</f>
        <v>44638</v>
      </c>
      <c r="C6746" s="5"/>
      <c r="D6746" s="5"/>
      <c r="E6746" s="5"/>
      <c r="F6746" s="22">
        <f>IFERROR(__xludf.DUMMYFUNCTION("""COMPUTED_VALUE"""),500000.0)</f>
        <v>500000</v>
      </c>
      <c r="G6746" s="22">
        <f>IFERROR(__xludf.DUMMYFUNCTION("""COMPUTED_VALUE"""),0.0)</f>
        <v>0</v>
      </c>
      <c r="H6746" s="22">
        <f>IFERROR(__xludf.DUMMYFUNCTION("""COMPUTED_VALUE"""),513750.0)</f>
        <v>513750</v>
      </c>
      <c r="I6746" s="24">
        <f>IFERROR(__xludf.DUMMYFUNCTION("""COMPUTED_VALUE"""),0.02750000000000008)</f>
        <v>0.0275</v>
      </c>
    </row>
    <row r="6747">
      <c r="A6747" s="5" t="str">
        <f>IFERROR(__xludf.DUMMYFUNCTION("""COMPUTED_VALUE"""),"77936")</f>
        <v>77936</v>
      </c>
      <c r="B6747" s="64">
        <f>IFERROR(__xludf.DUMMYFUNCTION("""COMPUTED_VALUE"""),44639.0)</f>
        <v>44639</v>
      </c>
      <c r="C6747" s="5"/>
      <c r="D6747" s="5"/>
      <c r="E6747" s="5"/>
      <c r="F6747" s="22">
        <f>IFERROR(__xludf.DUMMYFUNCTION("""COMPUTED_VALUE"""),500000.0)</f>
        <v>500000</v>
      </c>
      <c r="G6747" s="22">
        <f>IFERROR(__xludf.DUMMYFUNCTION("""COMPUTED_VALUE"""),0.0)</f>
        <v>0</v>
      </c>
      <c r="H6747" s="22">
        <f>IFERROR(__xludf.DUMMYFUNCTION("""COMPUTED_VALUE"""),513750.0)</f>
        <v>513750</v>
      </c>
      <c r="I6747" s="24">
        <f>IFERROR(__xludf.DUMMYFUNCTION("""COMPUTED_VALUE"""),0.02750000000000008)</f>
        <v>0.0275</v>
      </c>
    </row>
    <row r="6748">
      <c r="A6748" s="5" t="str">
        <f>IFERROR(__xludf.DUMMYFUNCTION("""COMPUTED_VALUE"""),"77936")</f>
        <v>77936</v>
      </c>
      <c r="B6748" s="64">
        <f>IFERROR(__xludf.DUMMYFUNCTION("""COMPUTED_VALUE"""),44640.0)</f>
        <v>44640</v>
      </c>
      <c r="C6748" s="5"/>
      <c r="D6748" s="5"/>
      <c r="E6748" s="5"/>
      <c r="F6748" s="22">
        <f>IFERROR(__xludf.DUMMYFUNCTION("""COMPUTED_VALUE"""),500000.0)</f>
        <v>500000</v>
      </c>
      <c r="G6748" s="22">
        <f>IFERROR(__xludf.DUMMYFUNCTION("""COMPUTED_VALUE"""),0.0)</f>
        <v>0</v>
      </c>
      <c r="H6748" s="22">
        <f>IFERROR(__xludf.DUMMYFUNCTION("""COMPUTED_VALUE"""),513750.0)</f>
        <v>513750</v>
      </c>
      <c r="I6748" s="24">
        <f>IFERROR(__xludf.DUMMYFUNCTION("""COMPUTED_VALUE"""),0.02750000000000008)</f>
        <v>0.0275</v>
      </c>
    </row>
    <row r="6749">
      <c r="A6749" s="5" t="str">
        <f>IFERROR(__xludf.DUMMYFUNCTION("""COMPUTED_VALUE"""),"77936")</f>
        <v>77936</v>
      </c>
      <c r="B6749" s="64">
        <f>IFERROR(__xludf.DUMMYFUNCTION("""COMPUTED_VALUE"""),44641.0)</f>
        <v>44641</v>
      </c>
      <c r="C6749" s="5"/>
      <c r="D6749" s="5"/>
      <c r="E6749" s="5"/>
      <c r="F6749" s="22">
        <f>IFERROR(__xludf.DUMMYFUNCTION("""COMPUTED_VALUE"""),500000.0)</f>
        <v>500000</v>
      </c>
      <c r="G6749" s="22">
        <f>IFERROR(__xludf.DUMMYFUNCTION("""COMPUTED_VALUE"""),0.0)</f>
        <v>0</v>
      </c>
      <c r="H6749" s="22">
        <f>IFERROR(__xludf.DUMMYFUNCTION("""COMPUTED_VALUE"""),512050.0)</f>
        <v>512050</v>
      </c>
      <c r="I6749" s="24">
        <f>IFERROR(__xludf.DUMMYFUNCTION("""COMPUTED_VALUE"""),0.02410000000000001)</f>
        <v>0.0241</v>
      </c>
    </row>
    <row r="6750">
      <c r="A6750" s="5" t="str">
        <f>IFERROR(__xludf.DUMMYFUNCTION("""COMPUTED_VALUE"""),"77936")</f>
        <v>77936</v>
      </c>
      <c r="B6750" s="64">
        <f>IFERROR(__xludf.DUMMYFUNCTION("""COMPUTED_VALUE"""),44642.0)</f>
        <v>44642</v>
      </c>
      <c r="C6750" s="5"/>
      <c r="D6750" s="5"/>
      <c r="E6750" s="5"/>
      <c r="F6750" s="22">
        <f>IFERROR(__xludf.DUMMYFUNCTION("""COMPUTED_VALUE"""),500000.0)</f>
        <v>500000</v>
      </c>
      <c r="G6750" s="22">
        <f>IFERROR(__xludf.DUMMYFUNCTION("""COMPUTED_VALUE"""),0.0)</f>
        <v>0</v>
      </c>
      <c r="H6750" s="22">
        <f>IFERROR(__xludf.DUMMYFUNCTION("""COMPUTED_VALUE"""),532070.0)</f>
        <v>532070</v>
      </c>
      <c r="I6750" s="24">
        <f>IFERROR(__xludf.DUMMYFUNCTION("""COMPUTED_VALUE"""),0.06414000000000009)</f>
        <v>0.06414</v>
      </c>
    </row>
    <row r="6751">
      <c r="A6751" s="5" t="str">
        <f>IFERROR(__xludf.DUMMYFUNCTION("""COMPUTED_VALUE"""),"77936")</f>
        <v>77936</v>
      </c>
      <c r="B6751" s="64">
        <f>IFERROR(__xludf.DUMMYFUNCTION("""COMPUTED_VALUE"""),44643.0)</f>
        <v>44643</v>
      </c>
      <c r="C6751" s="5"/>
      <c r="D6751" s="5"/>
      <c r="E6751" s="5"/>
      <c r="F6751" s="22">
        <f>IFERROR(__xludf.DUMMYFUNCTION("""COMPUTED_VALUE"""),500000.0)</f>
        <v>500000</v>
      </c>
      <c r="G6751" s="22">
        <f>IFERROR(__xludf.DUMMYFUNCTION("""COMPUTED_VALUE"""),0.0)</f>
        <v>0</v>
      </c>
      <c r="H6751" s="22">
        <f>IFERROR(__xludf.DUMMYFUNCTION("""COMPUTED_VALUE"""),557900.0)</f>
        <v>557900</v>
      </c>
      <c r="I6751" s="24">
        <f>IFERROR(__xludf.DUMMYFUNCTION("""COMPUTED_VALUE"""),0.1157999999999999)</f>
        <v>0.1158</v>
      </c>
    </row>
    <row r="6752">
      <c r="A6752" s="5" t="str">
        <f>IFERROR(__xludf.DUMMYFUNCTION("""COMPUTED_VALUE"""),"77936")</f>
        <v>77936</v>
      </c>
      <c r="B6752" s="64">
        <f>IFERROR(__xludf.DUMMYFUNCTION("""COMPUTED_VALUE"""),44644.0)</f>
        <v>44644</v>
      </c>
      <c r="C6752" s="5"/>
      <c r="D6752" s="5"/>
      <c r="E6752" s="5"/>
      <c r="F6752" s="22">
        <f>IFERROR(__xludf.DUMMYFUNCTION("""COMPUTED_VALUE"""),500000.0)</f>
        <v>500000</v>
      </c>
      <c r="G6752" s="22">
        <f>IFERROR(__xludf.DUMMYFUNCTION("""COMPUTED_VALUE"""),0.0)</f>
        <v>0</v>
      </c>
      <c r="H6752" s="22">
        <f>IFERROR(__xludf.DUMMYFUNCTION("""COMPUTED_VALUE"""),569040.0)</f>
        <v>569040</v>
      </c>
      <c r="I6752" s="24">
        <f>IFERROR(__xludf.DUMMYFUNCTION("""COMPUTED_VALUE"""),0.13807999999999998)</f>
        <v>0.13808</v>
      </c>
    </row>
    <row r="6753">
      <c r="A6753" s="5" t="str">
        <f>IFERROR(__xludf.DUMMYFUNCTION("""COMPUTED_VALUE"""),"77936")</f>
        <v>77936</v>
      </c>
      <c r="B6753" s="64">
        <f>IFERROR(__xludf.DUMMYFUNCTION("""COMPUTED_VALUE"""),44645.0)</f>
        <v>44645</v>
      </c>
      <c r="C6753" s="5"/>
      <c r="D6753" s="5"/>
      <c r="E6753" s="5"/>
      <c r="F6753" s="22">
        <f>IFERROR(__xludf.DUMMYFUNCTION("""COMPUTED_VALUE"""),500000.0)</f>
        <v>500000</v>
      </c>
      <c r="G6753" s="22">
        <f>IFERROR(__xludf.DUMMYFUNCTION("""COMPUTED_VALUE"""),0.0)</f>
        <v>0</v>
      </c>
      <c r="H6753" s="22">
        <f>IFERROR(__xludf.DUMMYFUNCTION("""COMPUTED_VALUE"""),533350.0)</f>
        <v>533350</v>
      </c>
      <c r="I6753" s="24">
        <f>IFERROR(__xludf.DUMMYFUNCTION("""COMPUTED_VALUE"""),0.06669999999999998)</f>
        <v>0.0667</v>
      </c>
    </row>
    <row r="6754">
      <c r="A6754" s="5" t="str">
        <f>IFERROR(__xludf.DUMMYFUNCTION("""COMPUTED_VALUE"""),"77936")</f>
        <v>77936</v>
      </c>
      <c r="B6754" s="64">
        <f>IFERROR(__xludf.DUMMYFUNCTION("""COMPUTED_VALUE"""),44646.0)</f>
        <v>44646</v>
      </c>
      <c r="C6754" s="5"/>
      <c r="D6754" s="5"/>
      <c r="E6754" s="5"/>
      <c r="F6754" s="22">
        <f>IFERROR(__xludf.DUMMYFUNCTION("""COMPUTED_VALUE"""),500000.0)</f>
        <v>500000</v>
      </c>
      <c r="G6754" s="22">
        <f>IFERROR(__xludf.DUMMYFUNCTION("""COMPUTED_VALUE"""),0.0)</f>
        <v>0</v>
      </c>
      <c r="H6754" s="22">
        <f>IFERROR(__xludf.DUMMYFUNCTION("""COMPUTED_VALUE"""),533350.0)</f>
        <v>533350</v>
      </c>
      <c r="I6754" s="24">
        <f>IFERROR(__xludf.DUMMYFUNCTION("""COMPUTED_VALUE"""),0.06669999999999998)</f>
        <v>0.0667</v>
      </c>
    </row>
    <row r="6755">
      <c r="A6755" s="5" t="str">
        <f>IFERROR(__xludf.DUMMYFUNCTION("""COMPUTED_VALUE"""),"77936")</f>
        <v>77936</v>
      </c>
      <c r="B6755" s="64">
        <f>IFERROR(__xludf.DUMMYFUNCTION("""COMPUTED_VALUE"""),44647.0)</f>
        <v>44647</v>
      </c>
      <c r="C6755" s="5"/>
      <c r="D6755" s="5"/>
      <c r="E6755" s="5"/>
      <c r="F6755" s="22">
        <f>IFERROR(__xludf.DUMMYFUNCTION("""COMPUTED_VALUE"""),500000.0)</f>
        <v>500000</v>
      </c>
      <c r="G6755" s="22">
        <f>IFERROR(__xludf.DUMMYFUNCTION("""COMPUTED_VALUE"""),0.0)</f>
        <v>0</v>
      </c>
      <c r="H6755" s="22">
        <f>IFERROR(__xludf.DUMMYFUNCTION("""COMPUTED_VALUE"""),533350.0)</f>
        <v>533350</v>
      </c>
      <c r="I6755" s="24">
        <f>IFERROR(__xludf.DUMMYFUNCTION("""COMPUTED_VALUE"""),0.06669999999999998)</f>
        <v>0.0667</v>
      </c>
    </row>
    <row r="6756">
      <c r="A6756" s="5" t="str">
        <f>IFERROR(__xludf.DUMMYFUNCTION("""COMPUTED_VALUE"""),"77936")</f>
        <v>77936</v>
      </c>
      <c r="B6756" s="64">
        <f>IFERROR(__xludf.DUMMYFUNCTION("""COMPUTED_VALUE"""),44648.0)</f>
        <v>44648</v>
      </c>
      <c r="C6756" s="5"/>
      <c r="D6756" s="5"/>
      <c r="E6756" s="5"/>
      <c r="F6756" s="22">
        <f>IFERROR(__xludf.DUMMYFUNCTION("""COMPUTED_VALUE"""),500000.0)</f>
        <v>500000</v>
      </c>
      <c r="G6756" s="22">
        <f>IFERROR(__xludf.DUMMYFUNCTION("""COMPUTED_VALUE"""),0.0)</f>
        <v>0</v>
      </c>
      <c r="H6756" s="22">
        <f>IFERROR(__xludf.DUMMYFUNCTION("""COMPUTED_VALUE"""),547490.0)</f>
        <v>547490</v>
      </c>
      <c r="I6756" s="24">
        <f>IFERROR(__xludf.DUMMYFUNCTION("""COMPUTED_VALUE"""),0.09498000000000006)</f>
        <v>0.09498</v>
      </c>
    </row>
    <row r="6757">
      <c r="A6757" s="5" t="str">
        <f>IFERROR(__xludf.DUMMYFUNCTION("""COMPUTED_VALUE"""),"77936")</f>
        <v>77936</v>
      </c>
      <c r="B6757" s="64">
        <f>IFERROR(__xludf.DUMMYFUNCTION("""COMPUTED_VALUE"""),44649.0)</f>
        <v>44649</v>
      </c>
      <c r="C6757" s="5"/>
      <c r="D6757" s="5"/>
      <c r="E6757" s="5"/>
      <c r="F6757" s="22">
        <f>IFERROR(__xludf.DUMMYFUNCTION("""COMPUTED_VALUE"""),500000.0)</f>
        <v>500000</v>
      </c>
      <c r="G6757" s="22">
        <f>IFERROR(__xludf.DUMMYFUNCTION("""COMPUTED_VALUE"""),0.0)</f>
        <v>0</v>
      </c>
      <c r="H6757" s="22">
        <f>IFERROR(__xludf.DUMMYFUNCTION("""COMPUTED_VALUE"""),555400.0)</f>
        <v>555400</v>
      </c>
      <c r="I6757" s="24">
        <f>IFERROR(__xludf.DUMMYFUNCTION("""COMPUTED_VALUE"""),0.11080000000000001)</f>
        <v>0.1108</v>
      </c>
    </row>
    <row r="6758">
      <c r="A6758" s="5" t="str">
        <f>IFERROR(__xludf.DUMMYFUNCTION("""COMPUTED_VALUE"""),"77936")</f>
        <v>77936</v>
      </c>
      <c r="B6758" s="64">
        <f>IFERROR(__xludf.DUMMYFUNCTION("""COMPUTED_VALUE"""),44650.0)</f>
        <v>44650</v>
      </c>
      <c r="C6758" s="5"/>
      <c r="D6758" s="5"/>
      <c r="E6758" s="5"/>
      <c r="F6758" s="22">
        <f>IFERROR(__xludf.DUMMYFUNCTION("""COMPUTED_VALUE"""),500000.0)</f>
        <v>500000</v>
      </c>
      <c r="G6758" s="22">
        <f>IFERROR(__xludf.DUMMYFUNCTION("""COMPUTED_VALUE"""),0.0)</f>
        <v>0</v>
      </c>
      <c r="H6758" s="22">
        <f>IFERROR(__xludf.DUMMYFUNCTION("""COMPUTED_VALUE"""),554420.0)</f>
        <v>554420</v>
      </c>
      <c r="I6758" s="24">
        <f>IFERROR(__xludf.DUMMYFUNCTION("""COMPUTED_VALUE"""),0.10884000000000005)</f>
        <v>0.10884</v>
      </c>
    </row>
    <row r="6759">
      <c r="A6759" s="5" t="str">
        <f>IFERROR(__xludf.DUMMYFUNCTION("""COMPUTED_VALUE"""),"77936")</f>
        <v>77936</v>
      </c>
      <c r="B6759" s="64">
        <f>IFERROR(__xludf.DUMMYFUNCTION("""COMPUTED_VALUE"""),44651.0)</f>
        <v>44651</v>
      </c>
      <c r="C6759" s="5"/>
      <c r="D6759" s="5"/>
      <c r="E6759" s="5"/>
      <c r="F6759" s="22">
        <f>IFERROR(__xludf.DUMMYFUNCTION("""COMPUTED_VALUE"""),500000.0)</f>
        <v>500000</v>
      </c>
      <c r="G6759" s="22">
        <f>IFERROR(__xludf.DUMMYFUNCTION("""COMPUTED_VALUE"""),0.0)</f>
        <v>0</v>
      </c>
      <c r="H6759" s="22">
        <f>IFERROR(__xludf.DUMMYFUNCTION("""COMPUTED_VALUE"""),543620.0)</f>
        <v>543620</v>
      </c>
      <c r="I6759" s="24">
        <f>IFERROR(__xludf.DUMMYFUNCTION("""COMPUTED_VALUE"""),0.08723999999999998)</f>
        <v>0.08724</v>
      </c>
    </row>
    <row r="6760">
      <c r="A6760" s="5" t="str">
        <f>IFERROR(__xludf.DUMMYFUNCTION("""COMPUTED_VALUE"""),"77936")</f>
        <v>77936</v>
      </c>
      <c r="B6760" s="64">
        <f>IFERROR(__xludf.DUMMYFUNCTION("""COMPUTED_VALUE"""),44652.0)</f>
        <v>44652</v>
      </c>
      <c r="C6760" s="5"/>
      <c r="D6760" s="5"/>
      <c r="E6760" s="5"/>
      <c r="F6760" s="22">
        <f>IFERROR(__xludf.DUMMYFUNCTION("""COMPUTED_VALUE"""),500000.0)</f>
        <v>500000</v>
      </c>
      <c r="G6760" s="22">
        <f>IFERROR(__xludf.DUMMYFUNCTION("""COMPUTED_VALUE"""),0.0)</f>
        <v>0</v>
      </c>
      <c r="H6760" s="22">
        <f>IFERROR(__xludf.DUMMYFUNCTION("""COMPUTED_VALUE"""),540250.0)</f>
        <v>540250</v>
      </c>
      <c r="I6760" s="24">
        <f>IFERROR(__xludf.DUMMYFUNCTION("""COMPUTED_VALUE"""),0.08050000000000002)</f>
        <v>0.0805</v>
      </c>
    </row>
    <row r="6761">
      <c r="A6761" s="5" t="str">
        <f>IFERROR(__xludf.DUMMYFUNCTION("""COMPUTED_VALUE"""),"77936")</f>
        <v>77936</v>
      </c>
      <c r="B6761" s="64">
        <f>IFERROR(__xludf.DUMMYFUNCTION("""COMPUTED_VALUE"""),44653.0)</f>
        <v>44653</v>
      </c>
      <c r="C6761" s="5"/>
      <c r="D6761" s="5"/>
      <c r="E6761" s="5"/>
      <c r="F6761" s="22">
        <f>IFERROR(__xludf.DUMMYFUNCTION("""COMPUTED_VALUE"""),500000.0)</f>
        <v>500000</v>
      </c>
      <c r="G6761" s="22">
        <f>IFERROR(__xludf.DUMMYFUNCTION("""COMPUTED_VALUE"""),0.0)</f>
        <v>0</v>
      </c>
      <c r="H6761" s="22">
        <f>IFERROR(__xludf.DUMMYFUNCTION("""COMPUTED_VALUE"""),540250.0)</f>
        <v>540250</v>
      </c>
      <c r="I6761" s="24">
        <f>IFERROR(__xludf.DUMMYFUNCTION("""COMPUTED_VALUE"""),0.08050000000000002)</f>
        <v>0.0805</v>
      </c>
    </row>
    <row r="6762">
      <c r="A6762" s="5" t="str">
        <f>IFERROR(__xludf.DUMMYFUNCTION("""COMPUTED_VALUE"""),"77936")</f>
        <v>77936</v>
      </c>
      <c r="B6762" s="64">
        <f>IFERROR(__xludf.DUMMYFUNCTION("""COMPUTED_VALUE"""),44654.0)</f>
        <v>44654</v>
      </c>
      <c r="C6762" s="5"/>
      <c r="D6762" s="5"/>
      <c r="E6762" s="5"/>
      <c r="F6762" s="22">
        <f>IFERROR(__xludf.DUMMYFUNCTION("""COMPUTED_VALUE"""),500000.0)</f>
        <v>500000</v>
      </c>
      <c r="G6762" s="22">
        <f>IFERROR(__xludf.DUMMYFUNCTION("""COMPUTED_VALUE"""),0.0)</f>
        <v>0</v>
      </c>
      <c r="H6762" s="22">
        <f>IFERROR(__xludf.DUMMYFUNCTION("""COMPUTED_VALUE"""),540250.0)</f>
        <v>540250</v>
      </c>
      <c r="I6762" s="24">
        <f>IFERROR(__xludf.DUMMYFUNCTION("""COMPUTED_VALUE"""),0.08050000000000002)</f>
        <v>0.0805</v>
      </c>
    </row>
    <row r="6763">
      <c r="A6763" s="5" t="str">
        <f>IFERROR(__xludf.DUMMYFUNCTION("""COMPUTED_VALUE"""),"77936")</f>
        <v>77936</v>
      </c>
      <c r="B6763" s="64">
        <f>IFERROR(__xludf.DUMMYFUNCTION("""COMPUTED_VALUE"""),44655.0)</f>
        <v>44655</v>
      </c>
      <c r="C6763" s="5"/>
      <c r="D6763" s="5"/>
      <c r="E6763" s="5"/>
      <c r="F6763" s="22">
        <f>IFERROR(__xludf.DUMMYFUNCTION("""COMPUTED_VALUE"""),500000.0)</f>
        <v>500000</v>
      </c>
      <c r="G6763" s="22">
        <f>IFERROR(__xludf.DUMMYFUNCTION("""COMPUTED_VALUE"""),0.0)</f>
        <v>0</v>
      </c>
      <c r="H6763" s="22">
        <f>IFERROR(__xludf.DUMMYFUNCTION("""COMPUTED_VALUE"""),579720.0)</f>
        <v>579720</v>
      </c>
      <c r="I6763" s="24">
        <f>IFERROR(__xludf.DUMMYFUNCTION("""COMPUTED_VALUE"""),0.15944000000000003)</f>
        <v>0.15944</v>
      </c>
    </row>
    <row r="6764">
      <c r="A6764" s="5" t="str">
        <f>IFERROR(__xludf.DUMMYFUNCTION("""COMPUTED_VALUE"""),"77936")</f>
        <v>77936</v>
      </c>
      <c r="B6764" s="64">
        <f>IFERROR(__xludf.DUMMYFUNCTION("""COMPUTED_VALUE"""),44656.0)</f>
        <v>44656</v>
      </c>
      <c r="C6764" s="5"/>
      <c r="D6764" s="5"/>
      <c r="E6764" s="5"/>
      <c r="F6764" s="22">
        <f>IFERROR(__xludf.DUMMYFUNCTION("""COMPUTED_VALUE"""),500000.0)</f>
        <v>500000</v>
      </c>
      <c r="G6764" s="22">
        <f>IFERROR(__xludf.DUMMYFUNCTION("""COMPUTED_VALUE"""),0.0)</f>
        <v>0</v>
      </c>
      <c r="H6764" s="22">
        <f>IFERROR(__xludf.DUMMYFUNCTION("""COMPUTED_VALUE"""),579720.0)</f>
        <v>579720</v>
      </c>
      <c r="I6764" s="24">
        <f>IFERROR(__xludf.DUMMYFUNCTION("""COMPUTED_VALUE"""),0.15944000000000003)</f>
        <v>0.15944</v>
      </c>
    </row>
    <row r="6765">
      <c r="A6765" s="5" t="str">
        <f>IFERROR(__xludf.DUMMYFUNCTION("""COMPUTED_VALUE"""),"77936")</f>
        <v>77936</v>
      </c>
      <c r="B6765" s="64">
        <f>IFERROR(__xludf.DUMMYFUNCTION("""COMPUTED_VALUE"""),44657.0)</f>
        <v>44657</v>
      </c>
      <c r="C6765" s="5"/>
      <c r="D6765" s="5"/>
      <c r="E6765" s="5"/>
      <c r="F6765" s="22">
        <f>IFERROR(__xludf.DUMMYFUNCTION("""COMPUTED_VALUE"""),500000.0)</f>
        <v>500000</v>
      </c>
      <c r="G6765" s="22">
        <f>IFERROR(__xludf.DUMMYFUNCTION("""COMPUTED_VALUE"""),0.0)</f>
        <v>0</v>
      </c>
      <c r="H6765" s="22">
        <f>IFERROR(__xludf.DUMMYFUNCTION("""COMPUTED_VALUE"""),576750.0)</f>
        <v>576750</v>
      </c>
      <c r="I6765" s="24">
        <f>IFERROR(__xludf.DUMMYFUNCTION("""COMPUTED_VALUE"""),0.15349999999999997)</f>
        <v>0.1535</v>
      </c>
    </row>
    <row r="6766">
      <c r="A6766" s="5" t="str">
        <f>IFERROR(__xludf.DUMMYFUNCTION("""COMPUTED_VALUE"""),"77936")</f>
        <v>77936</v>
      </c>
      <c r="B6766" s="64">
        <f>IFERROR(__xludf.DUMMYFUNCTION("""COMPUTED_VALUE"""),44658.0)</f>
        <v>44658</v>
      </c>
      <c r="C6766" s="5"/>
      <c r="D6766" s="5"/>
      <c r="E6766" s="5"/>
      <c r="F6766" s="22">
        <f>IFERROR(__xludf.DUMMYFUNCTION("""COMPUTED_VALUE"""),500000.0)</f>
        <v>500000</v>
      </c>
      <c r="G6766" s="22">
        <f>IFERROR(__xludf.DUMMYFUNCTION("""COMPUTED_VALUE"""),0.0)</f>
        <v>0</v>
      </c>
      <c r="H6766" s="22">
        <f>IFERROR(__xludf.DUMMYFUNCTION("""COMPUTED_VALUE"""),563110.0)</f>
        <v>563110</v>
      </c>
      <c r="I6766" s="24">
        <f>IFERROR(__xludf.DUMMYFUNCTION("""COMPUTED_VALUE"""),0.12622)</f>
        <v>0.12622</v>
      </c>
    </row>
    <row r="6767">
      <c r="A6767" s="5" t="str">
        <f>IFERROR(__xludf.DUMMYFUNCTION("""COMPUTED_VALUE"""),"77936")</f>
        <v>77936</v>
      </c>
      <c r="B6767" s="64">
        <f>IFERROR(__xludf.DUMMYFUNCTION("""COMPUTED_VALUE"""),44659.0)</f>
        <v>44659</v>
      </c>
      <c r="C6767" s="5"/>
      <c r="D6767" s="5"/>
      <c r="E6767" s="5"/>
      <c r="F6767" s="22">
        <f>IFERROR(__xludf.DUMMYFUNCTION("""COMPUTED_VALUE"""),500000.0)</f>
        <v>500000</v>
      </c>
      <c r="G6767" s="22">
        <f>IFERROR(__xludf.DUMMYFUNCTION("""COMPUTED_VALUE"""),0.0)</f>
        <v>0</v>
      </c>
      <c r="H6767" s="22">
        <f>IFERROR(__xludf.DUMMYFUNCTION("""COMPUTED_VALUE"""),544950.0)</f>
        <v>544950</v>
      </c>
      <c r="I6767" s="24">
        <f>IFERROR(__xludf.DUMMYFUNCTION("""COMPUTED_VALUE"""),0.08990000000000009)</f>
        <v>0.0899</v>
      </c>
    </row>
    <row r="6768">
      <c r="A6768" s="5" t="str">
        <f>IFERROR(__xludf.DUMMYFUNCTION("""COMPUTED_VALUE"""),"77936")</f>
        <v>77936</v>
      </c>
      <c r="B6768" s="64">
        <f>IFERROR(__xludf.DUMMYFUNCTION("""COMPUTED_VALUE"""),44660.0)</f>
        <v>44660</v>
      </c>
      <c r="C6768" s="5"/>
      <c r="D6768" s="5"/>
      <c r="E6768" s="5"/>
      <c r="F6768" s="22">
        <f>IFERROR(__xludf.DUMMYFUNCTION("""COMPUTED_VALUE"""),500000.0)</f>
        <v>500000</v>
      </c>
      <c r="G6768" s="22">
        <f>IFERROR(__xludf.DUMMYFUNCTION("""COMPUTED_VALUE"""),0.0)</f>
        <v>0</v>
      </c>
      <c r="H6768" s="22">
        <f>IFERROR(__xludf.DUMMYFUNCTION("""COMPUTED_VALUE"""),544950.0)</f>
        <v>544950</v>
      </c>
      <c r="I6768" s="24">
        <f>IFERROR(__xludf.DUMMYFUNCTION("""COMPUTED_VALUE"""),0.08990000000000009)</f>
        <v>0.0899</v>
      </c>
    </row>
    <row r="6769">
      <c r="A6769" s="5" t="str">
        <f>IFERROR(__xludf.DUMMYFUNCTION("""COMPUTED_VALUE"""),"77936")</f>
        <v>77936</v>
      </c>
      <c r="B6769" s="64">
        <f>IFERROR(__xludf.DUMMYFUNCTION("""COMPUTED_VALUE"""),44661.0)</f>
        <v>44661</v>
      </c>
      <c r="C6769" s="5"/>
      <c r="D6769" s="5"/>
      <c r="E6769" s="5"/>
      <c r="F6769" s="22">
        <f>IFERROR(__xludf.DUMMYFUNCTION("""COMPUTED_VALUE"""),500000.0)</f>
        <v>500000</v>
      </c>
      <c r="G6769" s="22">
        <f>IFERROR(__xludf.DUMMYFUNCTION("""COMPUTED_VALUE"""),0.0)</f>
        <v>0</v>
      </c>
      <c r="H6769" s="22">
        <f>IFERROR(__xludf.DUMMYFUNCTION("""COMPUTED_VALUE"""),544950.0)</f>
        <v>544950</v>
      </c>
      <c r="I6769" s="24">
        <f>IFERROR(__xludf.DUMMYFUNCTION("""COMPUTED_VALUE"""),0.08990000000000009)</f>
        <v>0.0899</v>
      </c>
    </row>
    <row r="6770">
      <c r="A6770" s="5" t="str">
        <f>IFERROR(__xludf.DUMMYFUNCTION("""COMPUTED_VALUE"""),"77936")</f>
        <v>77936</v>
      </c>
      <c r="B6770" s="64">
        <f>IFERROR(__xludf.DUMMYFUNCTION("""COMPUTED_VALUE"""),44662.0)</f>
        <v>44662</v>
      </c>
      <c r="C6770" s="5"/>
      <c r="D6770" s="5"/>
      <c r="E6770" s="5"/>
      <c r="F6770" s="22">
        <f>IFERROR(__xludf.DUMMYFUNCTION("""COMPUTED_VALUE"""),500000.0)</f>
        <v>500000</v>
      </c>
      <c r="G6770" s="22">
        <f>IFERROR(__xludf.DUMMYFUNCTION("""COMPUTED_VALUE"""),0.0)</f>
        <v>0</v>
      </c>
      <c r="H6770" s="22">
        <f>IFERROR(__xludf.DUMMYFUNCTION("""COMPUTED_VALUE"""),506490.0)</f>
        <v>506490</v>
      </c>
      <c r="I6770" s="24">
        <f>IFERROR(__xludf.DUMMYFUNCTION("""COMPUTED_VALUE"""),0.012979999999999992)</f>
        <v>0.01298</v>
      </c>
    </row>
    <row r="6771">
      <c r="A6771" s="5" t="str">
        <f>IFERROR(__xludf.DUMMYFUNCTION("""COMPUTED_VALUE"""),"77936")</f>
        <v>77936</v>
      </c>
      <c r="B6771" s="64">
        <f>IFERROR(__xludf.DUMMYFUNCTION("""COMPUTED_VALUE"""),44663.0)</f>
        <v>44663</v>
      </c>
      <c r="C6771" s="5"/>
      <c r="D6771" s="5"/>
      <c r="E6771" s="5"/>
      <c r="F6771" s="22">
        <f>IFERROR(__xludf.DUMMYFUNCTION("""COMPUTED_VALUE"""),500000.0)</f>
        <v>500000</v>
      </c>
      <c r="G6771" s="22">
        <f>IFERROR(__xludf.DUMMYFUNCTION("""COMPUTED_VALUE"""),0.0)</f>
        <v>0</v>
      </c>
      <c r="H6771" s="22">
        <f>IFERROR(__xludf.DUMMYFUNCTION("""COMPUTED_VALUE"""),535920.0)</f>
        <v>535920</v>
      </c>
      <c r="I6771" s="24">
        <f>IFERROR(__xludf.DUMMYFUNCTION("""COMPUTED_VALUE"""),0.0718399999999999)</f>
        <v>0.07184</v>
      </c>
    </row>
    <row r="6772">
      <c r="A6772" s="5" t="str">
        <f>IFERROR(__xludf.DUMMYFUNCTION("""COMPUTED_VALUE"""),"79521")</f>
        <v>79521</v>
      </c>
      <c r="B6772" s="64">
        <f>IFERROR(__xludf.DUMMYFUNCTION("""COMPUTED_VALUE"""),44597.0)</f>
        <v>44597</v>
      </c>
      <c r="C6772" s="5"/>
      <c r="D6772" s="5"/>
      <c r="E6772" s="5"/>
      <c r="F6772" s="22">
        <f>IFERROR(__xludf.DUMMYFUNCTION("""COMPUTED_VALUE"""),500000.0)</f>
        <v>500000</v>
      </c>
      <c r="G6772" s="22">
        <f>IFERROR(__xludf.DUMMYFUNCTION("""COMPUTED_VALUE"""),0.0)</f>
        <v>0</v>
      </c>
      <c r="H6772" s="22">
        <f>IFERROR(__xludf.DUMMYFUNCTION("""COMPUTED_VALUE"""),500000.0)</f>
        <v>500000</v>
      </c>
      <c r="I6772" s="24">
        <f>IFERROR(__xludf.DUMMYFUNCTION("""COMPUTED_VALUE"""),0.0)</f>
        <v>0</v>
      </c>
    </row>
    <row r="6773">
      <c r="A6773" s="5" t="str">
        <f>IFERROR(__xludf.DUMMYFUNCTION("""COMPUTED_VALUE"""),"79521")</f>
        <v>79521</v>
      </c>
      <c r="B6773" s="64">
        <f>IFERROR(__xludf.DUMMYFUNCTION("""COMPUTED_VALUE"""),44598.0)</f>
        <v>44598</v>
      </c>
      <c r="C6773" s="5"/>
      <c r="D6773" s="5"/>
      <c r="E6773" s="5"/>
      <c r="F6773" s="22">
        <f>IFERROR(__xludf.DUMMYFUNCTION("""COMPUTED_VALUE"""),500000.0)</f>
        <v>500000</v>
      </c>
      <c r="G6773" s="22">
        <f>IFERROR(__xludf.DUMMYFUNCTION("""COMPUTED_VALUE"""),0.0)</f>
        <v>0</v>
      </c>
      <c r="H6773" s="22">
        <f>IFERROR(__xludf.DUMMYFUNCTION("""COMPUTED_VALUE"""),500000.0)</f>
        <v>500000</v>
      </c>
      <c r="I6773" s="24">
        <f>IFERROR(__xludf.DUMMYFUNCTION("""COMPUTED_VALUE"""),0.0)</f>
        <v>0</v>
      </c>
    </row>
    <row r="6774">
      <c r="A6774" s="5" t="str">
        <f>IFERROR(__xludf.DUMMYFUNCTION("""COMPUTED_VALUE"""),"79521")</f>
        <v>79521</v>
      </c>
      <c r="B6774" s="64">
        <f>IFERROR(__xludf.DUMMYFUNCTION("""COMPUTED_VALUE"""),44599.0)</f>
        <v>44599</v>
      </c>
      <c r="C6774" s="5"/>
      <c r="D6774" s="5"/>
      <c r="E6774" s="5"/>
      <c r="F6774" s="22">
        <f>IFERROR(__xludf.DUMMYFUNCTION("""COMPUTED_VALUE"""),500000.0)</f>
        <v>500000</v>
      </c>
      <c r="G6774" s="22">
        <f>IFERROR(__xludf.DUMMYFUNCTION("""COMPUTED_VALUE"""),0.0)</f>
        <v>0</v>
      </c>
      <c r="H6774" s="22">
        <f>IFERROR(__xludf.DUMMYFUNCTION("""COMPUTED_VALUE"""),500000.0)</f>
        <v>500000</v>
      </c>
      <c r="I6774" s="24">
        <f>IFERROR(__xludf.DUMMYFUNCTION("""COMPUTED_VALUE"""),0.0)</f>
        <v>0</v>
      </c>
    </row>
    <row r="6775">
      <c r="A6775" s="5" t="str">
        <f>IFERROR(__xludf.DUMMYFUNCTION("""COMPUTED_VALUE"""),"79521")</f>
        <v>79521</v>
      </c>
      <c r="B6775" s="64">
        <f>IFERROR(__xludf.DUMMYFUNCTION("""COMPUTED_VALUE"""),44600.0)</f>
        <v>44600</v>
      </c>
      <c r="C6775" s="5"/>
      <c r="D6775" s="5"/>
      <c r="E6775" s="5"/>
      <c r="F6775" s="22">
        <f>IFERROR(__xludf.DUMMYFUNCTION("""COMPUTED_VALUE"""),500000.0)</f>
        <v>500000</v>
      </c>
      <c r="G6775" s="22">
        <f>IFERROR(__xludf.DUMMYFUNCTION("""COMPUTED_VALUE"""),0.0)</f>
        <v>0</v>
      </c>
      <c r="H6775" s="22">
        <f>IFERROR(__xludf.DUMMYFUNCTION("""COMPUTED_VALUE"""),500000.0)</f>
        <v>500000</v>
      </c>
      <c r="I6775" s="24">
        <f>IFERROR(__xludf.DUMMYFUNCTION("""COMPUTED_VALUE"""),0.0)</f>
        <v>0</v>
      </c>
    </row>
    <row r="6776">
      <c r="A6776" s="5" t="str">
        <f>IFERROR(__xludf.DUMMYFUNCTION("""COMPUTED_VALUE"""),"79521")</f>
        <v>79521</v>
      </c>
      <c r="B6776" s="64">
        <f>IFERROR(__xludf.DUMMYFUNCTION("""COMPUTED_VALUE"""),44601.0)</f>
        <v>44601</v>
      </c>
      <c r="C6776" s="5"/>
      <c r="D6776" s="5"/>
      <c r="E6776" s="5"/>
      <c r="F6776" s="22">
        <f>IFERROR(__xludf.DUMMYFUNCTION("""COMPUTED_VALUE"""),500000.0)</f>
        <v>500000</v>
      </c>
      <c r="G6776" s="22">
        <f>IFERROR(__xludf.DUMMYFUNCTION("""COMPUTED_VALUE"""),0.0)</f>
        <v>0</v>
      </c>
      <c r="H6776" s="22">
        <f>IFERROR(__xludf.DUMMYFUNCTION("""COMPUTED_VALUE"""),500000.0)</f>
        <v>500000</v>
      </c>
      <c r="I6776" s="24">
        <f>IFERROR(__xludf.DUMMYFUNCTION("""COMPUTED_VALUE"""),0.0)</f>
        <v>0</v>
      </c>
    </row>
    <row r="6777">
      <c r="A6777" s="5" t="str">
        <f>IFERROR(__xludf.DUMMYFUNCTION("""COMPUTED_VALUE"""),"79521")</f>
        <v>79521</v>
      </c>
      <c r="B6777" s="64">
        <f>IFERROR(__xludf.DUMMYFUNCTION("""COMPUTED_VALUE"""),44602.0)</f>
        <v>44602</v>
      </c>
      <c r="C6777" s="5"/>
      <c r="D6777" s="5"/>
      <c r="E6777" s="5"/>
      <c r="F6777" s="22">
        <f>IFERROR(__xludf.DUMMYFUNCTION("""COMPUTED_VALUE"""),500000.0)</f>
        <v>500000</v>
      </c>
      <c r="G6777" s="22">
        <f>IFERROR(__xludf.DUMMYFUNCTION("""COMPUTED_VALUE"""),0.0)</f>
        <v>0</v>
      </c>
      <c r="H6777" s="22">
        <f>IFERROR(__xludf.DUMMYFUNCTION("""COMPUTED_VALUE"""),500000.0)</f>
        <v>500000</v>
      </c>
      <c r="I6777" s="24">
        <f>IFERROR(__xludf.DUMMYFUNCTION("""COMPUTED_VALUE"""),0.0)</f>
        <v>0</v>
      </c>
    </row>
    <row r="6778">
      <c r="A6778" s="5" t="str">
        <f>IFERROR(__xludf.DUMMYFUNCTION("""COMPUTED_VALUE"""),"79521")</f>
        <v>79521</v>
      </c>
      <c r="B6778" s="64">
        <f>IFERROR(__xludf.DUMMYFUNCTION("""COMPUTED_VALUE"""),44603.0)</f>
        <v>44603</v>
      </c>
      <c r="C6778" s="5"/>
      <c r="D6778" s="5"/>
      <c r="E6778" s="5"/>
      <c r="F6778" s="22">
        <f>IFERROR(__xludf.DUMMYFUNCTION("""COMPUTED_VALUE"""),500000.0)</f>
        <v>500000</v>
      </c>
      <c r="G6778" s="22">
        <f>IFERROR(__xludf.DUMMYFUNCTION("""COMPUTED_VALUE"""),0.0)</f>
        <v>0</v>
      </c>
      <c r="H6778" s="22">
        <f>IFERROR(__xludf.DUMMYFUNCTION("""COMPUTED_VALUE"""),500000.0)</f>
        <v>500000</v>
      </c>
      <c r="I6778" s="24">
        <f>IFERROR(__xludf.DUMMYFUNCTION("""COMPUTED_VALUE"""),0.0)</f>
        <v>0</v>
      </c>
    </row>
    <row r="6779">
      <c r="A6779" s="5" t="str">
        <f>IFERROR(__xludf.DUMMYFUNCTION("""COMPUTED_VALUE"""),"79521")</f>
        <v>79521</v>
      </c>
      <c r="B6779" s="64">
        <f>IFERROR(__xludf.DUMMYFUNCTION("""COMPUTED_VALUE"""),44604.0)</f>
        <v>44604</v>
      </c>
      <c r="C6779" s="5"/>
      <c r="D6779" s="5"/>
      <c r="E6779" s="5"/>
      <c r="F6779" s="22">
        <f>IFERROR(__xludf.DUMMYFUNCTION("""COMPUTED_VALUE"""),500000.0)</f>
        <v>500000</v>
      </c>
      <c r="G6779" s="22">
        <f>IFERROR(__xludf.DUMMYFUNCTION("""COMPUTED_VALUE"""),0.0)</f>
        <v>0</v>
      </c>
      <c r="H6779" s="22">
        <f>IFERROR(__xludf.DUMMYFUNCTION("""COMPUTED_VALUE"""),500000.0)</f>
        <v>500000</v>
      </c>
      <c r="I6779" s="24">
        <f>IFERROR(__xludf.DUMMYFUNCTION("""COMPUTED_VALUE"""),0.0)</f>
        <v>0</v>
      </c>
    </row>
    <row r="6780">
      <c r="A6780" s="5" t="str">
        <f>IFERROR(__xludf.DUMMYFUNCTION("""COMPUTED_VALUE"""),"79521")</f>
        <v>79521</v>
      </c>
      <c r="B6780" s="64">
        <f>IFERROR(__xludf.DUMMYFUNCTION("""COMPUTED_VALUE"""),44605.0)</f>
        <v>44605</v>
      </c>
      <c r="C6780" s="5"/>
      <c r="D6780" s="5"/>
      <c r="E6780" s="5"/>
      <c r="F6780" s="22">
        <f>IFERROR(__xludf.DUMMYFUNCTION("""COMPUTED_VALUE"""),500000.0)</f>
        <v>500000</v>
      </c>
      <c r="G6780" s="22">
        <f>IFERROR(__xludf.DUMMYFUNCTION("""COMPUTED_VALUE"""),0.0)</f>
        <v>0</v>
      </c>
      <c r="H6780" s="22">
        <f>IFERROR(__xludf.DUMMYFUNCTION("""COMPUTED_VALUE"""),500000.0)</f>
        <v>500000</v>
      </c>
      <c r="I6780" s="24">
        <f>IFERROR(__xludf.DUMMYFUNCTION("""COMPUTED_VALUE"""),0.0)</f>
        <v>0</v>
      </c>
    </row>
    <row r="6781">
      <c r="A6781" s="5" t="str">
        <f>IFERROR(__xludf.DUMMYFUNCTION("""COMPUTED_VALUE"""),"79521")</f>
        <v>79521</v>
      </c>
      <c r="B6781" s="64">
        <f>IFERROR(__xludf.DUMMYFUNCTION("""COMPUTED_VALUE"""),44606.0)</f>
        <v>44606</v>
      </c>
      <c r="C6781" s="5"/>
      <c r="D6781" s="5"/>
      <c r="E6781" s="5"/>
      <c r="F6781" s="22">
        <f>IFERROR(__xludf.DUMMYFUNCTION("""COMPUTED_VALUE"""),500000.0)</f>
        <v>500000</v>
      </c>
      <c r="G6781" s="22">
        <f>IFERROR(__xludf.DUMMYFUNCTION("""COMPUTED_VALUE"""),0.0)</f>
        <v>0</v>
      </c>
      <c r="H6781" s="22">
        <f>IFERROR(__xludf.DUMMYFUNCTION("""COMPUTED_VALUE"""),500000.0)</f>
        <v>500000</v>
      </c>
      <c r="I6781" s="24">
        <f>IFERROR(__xludf.DUMMYFUNCTION("""COMPUTED_VALUE"""),0.0)</f>
        <v>0</v>
      </c>
    </row>
    <row r="6782">
      <c r="A6782" s="5" t="str">
        <f>IFERROR(__xludf.DUMMYFUNCTION("""COMPUTED_VALUE"""),"79521")</f>
        <v>79521</v>
      </c>
      <c r="B6782" s="64">
        <f>IFERROR(__xludf.DUMMYFUNCTION("""COMPUTED_VALUE"""),44607.0)</f>
        <v>44607</v>
      </c>
      <c r="C6782" s="5"/>
      <c r="D6782" s="5"/>
      <c r="E6782" s="5"/>
      <c r="F6782" s="22">
        <f>IFERROR(__xludf.DUMMYFUNCTION("""COMPUTED_VALUE"""),500000.0)</f>
        <v>500000</v>
      </c>
      <c r="G6782" s="22">
        <f>IFERROR(__xludf.DUMMYFUNCTION("""COMPUTED_VALUE"""),0.0)</f>
        <v>0</v>
      </c>
      <c r="H6782" s="22">
        <f>IFERROR(__xludf.DUMMYFUNCTION("""COMPUTED_VALUE"""),500000.0)</f>
        <v>500000</v>
      </c>
      <c r="I6782" s="24">
        <f>IFERROR(__xludf.DUMMYFUNCTION("""COMPUTED_VALUE"""),0.0)</f>
        <v>0</v>
      </c>
    </row>
    <row r="6783">
      <c r="A6783" s="5" t="str">
        <f>IFERROR(__xludf.DUMMYFUNCTION("""COMPUTED_VALUE"""),"79521")</f>
        <v>79521</v>
      </c>
      <c r="B6783" s="64">
        <f>IFERROR(__xludf.DUMMYFUNCTION("""COMPUTED_VALUE"""),44608.0)</f>
        <v>44608</v>
      </c>
      <c r="C6783" s="5"/>
      <c r="D6783" s="5"/>
      <c r="E6783" s="5"/>
      <c r="F6783" s="22">
        <f>IFERROR(__xludf.DUMMYFUNCTION("""COMPUTED_VALUE"""),500000.0)</f>
        <v>500000</v>
      </c>
      <c r="G6783" s="22">
        <f>IFERROR(__xludf.DUMMYFUNCTION("""COMPUTED_VALUE"""),0.0)</f>
        <v>0</v>
      </c>
      <c r="H6783" s="22">
        <f>IFERROR(__xludf.DUMMYFUNCTION("""COMPUTED_VALUE"""),500000.0)</f>
        <v>500000</v>
      </c>
      <c r="I6783" s="24">
        <f>IFERROR(__xludf.DUMMYFUNCTION("""COMPUTED_VALUE"""),0.0)</f>
        <v>0</v>
      </c>
    </row>
    <row r="6784">
      <c r="A6784" s="5" t="str">
        <f>IFERROR(__xludf.DUMMYFUNCTION("""COMPUTED_VALUE"""),"79521")</f>
        <v>79521</v>
      </c>
      <c r="B6784" s="64">
        <f>IFERROR(__xludf.DUMMYFUNCTION("""COMPUTED_VALUE"""),44609.0)</f>
        <v>44609</v>
      </c>
      <c r="C6784" s="5"/>
      <c r="D6784" s="5"/>
      <c r="E6784" s="5"/>
      <c r="F6784" s="22">
        <f>IFERROR(__xludf.DUMMYFUNCTION("""COMPUTED_VALUE"""),500000.0)</f>
        <v>500000</v>
      </c>
      <c r="G6784" s="22">
        <f>IFERROR(__xludf.DUMMYFUNCTION("""COMPUTED_VALUE"""),0.0)</f>
        <v>0</v>
      </c>
      <c r="H6784" s="22">
        <f>IFERROR(__xludf.DUMMYFUNCTION("""COMPUTED_VALUE"""),500000.0)</f>
        <v>500000</v>
      </c>
      <c r="I6784" s="24">
        <f>IFERROR(__xludf.DUMMYFUNCTION("""COMPUTED_VALUE"""),0.0)</f>
        <v>0</v>
      </c>
    </row>
    <row r="6785">
      <c r="A6785" s="5" t="str">
        <f>IFERROR(__xludf.DUMMYFUNCTION("""COMPUTED_VALUE"""),"79521")</f>
        <v>79521</v>
      </c>
      <c r="B6785" s="64">
        <f>IFERROR(__xludf.DUMMYFUNCTION("""COMPUTED_VALUE"""),44610.0)</f>
        <v>44610</v>
      </c>
      <c r="C6785" s="5"/>
      <c r="D6785" s="5"/>
      <c r="E6785" s="5"/>
      <c r="F6785" s="22">
        <f>IFERROR(__xludf.DUMMYFUNCTION("""COMPUTED_VALUE"""),500000.0)</f>
        <v>500000</v>
      </c>
      <c r="G6785" s="22">
        <f>IFERROR(__xludf.DUMMYFUNCTION("""COMPUTED_VALUE"""),0.0)</f>
        <v>0</v>
      </c>
      <c r="H6785" s="22">
        <f>IFERROR(__xludf.DUMMYFUNCTION("""COMPUTED_VALUE"""),500000.0)</f>
        <v>500000</v>
      </c>
      <c r="I6785" s="24">
        <f>IFERROR(__xludf.DUMMYFUNCTION("""COMPUTED_VALUE"""),0.0)</f>
        <v>0</v>
      </c>
    </row>
    <row r="6786">
      <c r="A6786" s="5" t="str">
        <f>IFERROR(__xludf.DUMMYFUNCTION("""COMPUTED_VALUE"""),"79521")</f>
        <v>79521</v>
      </c>
      <c r="B6786" s="64">
        <f>IFERROR(__xludf.DUMMYFUNCTION("""COMPUTED_VALUE"""),44611.0)</f>
        <v>44611</v>
      </c>
      <c r="C6786" s="5"/>
      <c r="D6786" s="5"/>
      <c r="E6786" s="5"/>
      <c r="F6786" s="22">
        <f>IFERROR(__xludf.DUMMYFUNCTION("""COMPUTED_VALUE"""),500000.0)</f>
        <v>500000</v>
      </c>
      <c r="G6786" s="22">
        <f>IFERROR(__xludf.DUMMYFUNCTION("""COMPUTED_VALUE"""),0.0)</f>
        <v>0</v>
      </c>
      <c r="H6786" s="22">
        <f>IFERROR(__xludf.DUMMYFUNCTION("""COMPUTED_VALUE"""),500000.0)</f>
        <v>500000</v>
      </c>
      <c r="I6786" s="24">
        <f>IFERROR(__xludf.DUMMYFUNCTION("""COMPUTED_VALUE"""),0.0)</f>
        <v>0</v>
      </c>
    </row>
    <row r="6787">
      <c r="A6787" s="5" t="str">
        <f>IFERROR(__xludf.DUMMYFUNCTION("""COMPUTED_VALUE"""),"79521")</f>
        <v>79521</v>
      </c>
      <c r="B6787" s="64">
        <f>IFERROR(__xludf.DUMMYFUNCTION("""COMPUTED_VALUE"""),44612.0)</f>
        <v>44612</v>
      </c>
      <c r="C6787" s="5"/>
      <c r="D6787" s="5"/>
      <c r="E6787" s="5"/>
      <c r="F6787" s="22">
        <f>IFERROR(__xludf.DUMMYFUNCTION("""COMPUTED_VALUE"""),500000.0)</f>
        <v>500000</v>
      </c>
      <c r="G6787" s="22">
        <f>IFERROR(__xludf.DUMMYFUNCTION("""COMPUTED_VALUE"""),0.0)</f>
        <v>0</v>
      </c>
      <c r="H6787" s="22">
        <f>IFERROR(__xludf.DUMMYFUNCTION("""COMPUTED_VALUE"""),500000.0)</f>
        <v>500000</v>
      </c>
      <c r="I6787" s="24">
        <f>IFERROR(__xludf.DUMMYFUNCTION("""COMPUTED_VALUE"""),0.0)</f>
        <v>0</v>
      </c>
    </row>
    <row r="6788">
      <c r="A6788" s="5" t="str">
        <f>IFERROR(__xludf.DUMMYFUNCTION("""COMPUTED_VALUE"""),"79521")</f>
        <v>79521</v>
      </c>
      <c r="B6788" s="64">
        <f>IFERROR(__xludf.DUMMYFUNCTION("""COMPUTED_VALUE"""),44613.0)</f>
        <v>44613</v>
      </c>
      <c r="C6788" s="5"/>
      <c r="D6788" s="5"/>
      <c r="E6788" s="5"/>
      <c r="F6788" s="22">
        <f>IFERROR(__xludf.DUMMYFUNCTION("""COMPUTED_VALUE"""),500000.0)</f>
        <v>500000</v>
      </c>
      <c r="G6788" s="22">
        <f>IFERROR(__xludf.DUMMYFUNCTION("""COMPUTED_VALUE"""),0.0)</f>
        <v>0</v>
      </c>
      <c r="H6788" s="22">
        <f>IFERROR(__xludf.DUMMYFUNCTION("""COMPUTED_VALUE"""),500000.0)</f>
        <v>500000</v>
      </c>
      <c r="I6788" s="24">
        <f>IFERROR(__xludf.DUMMYFUNCTION("""COMPUTED_VALUE"""),0.0)</f>
        <v>0</v>
      </c>
    </row>
    <row r="6789">
      <c r="A6789" s="5" t="str">
        <f>IFERROR(__xludf.DUMMYFUNCTION("""COMPUTED_VALUE"""),"79521")</f>
        <v>79521</v>
      </c>
      <c r="B6789" s="64">
        <f>IFERROR(__xludf.DUMMYFUNCTION("""COMPUTED_VALUE"""),44614.0)</f>
        <v>44614</v>
      </c>
      <c r="C6789" s="5"/>
      <c r="D6789" s="5"/>
      <c r="E6789" s="5"/>
      <c r="F6789" s="22">
        <f>IFERROR(__xludf.DUMMYFUNCTION("""COMPUTED_VALUE"""),500000.0)</f>
        <v>500000</v>
      </c>
      <c r="G6789" s="22">
        <f>IFERROR(__xludf.DUMMYFUNCTION("""COMPUTED_VALUE"""),0.0)</f>
        <v>0</v>
      </c>
      <c r="H6789" s="22">
        <f>IFERROR(__xludf.DUMMYFUNCTION("""COMPUTED_VALUE"""),500000.0)</f>
        <v>500000</v>
      </c>
      <c r="I6789" s="24">
        <f>IFERROR(__xludf.DUMMYFUNCTION("""COMPUTED_VALUE"""),0.0)</f>
        <v>0</v>
      </c>
    </row>
    <row r="6790">
      <c r="A6790" s="5" t="str">
        <f>IFERROR(__xludf.DUMMYFUNCTION("""COMPUTED_VALUE"""),"79521")</f>
        <v>79521</v>
      </c>
      <c r="B6790" s="64">
        <f>IFERROR(__xludf.DUMMYFUNCTION("""COMPUTED_VALUE"""),44615.0)</f>
        <v>44615</v>
      </c>
      <c r="C6790" s="5"/>
      <c r="D6790" s="5"/>
      <c r="E6790" s="5"/>
      <c r="F6790" s="22">
        <f>IFERROR(__xludf.DUMMYFUNCTION("""COMPUTED_VALUE"""),500000.0)</f>
        <v>500000</v>
      </c>
      <c r="G6790" s="22">
        <f>IFERROR(__xludf.DUMMYFUNCTION("""COMPUTED_VALUE"""),0.0)</f>
        <v>0</v>
      </c>
      <c r="H6790" s="22">
        <f>IFERROR(__xludf.DUMMYFUNCTION("""COMPUTED_VALUE"""),500000.0)</f>
        <v>500000</v>
      </c>
      <c r="I6790" s="24">
        <f>IFERROR(__xludf.DUMMYFUNCTION("""COMPUTED_VALUE"""),0.0)</f>
        <v>0</v>
      </c>
    </row>
    <row r="6791">
      <c r="A6791" s="5" t="str">
        <f>IFERROR(__xludf.DUMMYFUNCTION("""COMPUTED_VALUE"""),"79521")</f>
        <v>79521</v>
      </c>
      <c r="B6791" s="64">
        <f>IFERROR(__xludf.DUMMYFUNCTION("""COMPUTED_VALUE"""),44616.0)</f>
        <v>44616</v>
      </c>
      <c r="C6791" s="5"/>
      <c r="D6791" s="5"/>
      <c r="E6791" s="5"/>
      <c r="F6791" s="22">
        <f>IFERROR(__xludf.DUMMYFUNCTION("""COMPUTED_VALUE"""),500000.0)</f>
        <v>500000</v>
      </c>
      <c r="G6791" s="22">
        <f>IFERROR(__xludf.DUMMYFUNCTION("""COMPUTED_VALUE"""),0.0)</f>
        <v>0</v>
      </c>
      <c r="H6791" s="22">
        <f>IFERROR(__xludf.DUMMYFUNCTION("""COMPUTED_VALUE"""),500000.0)</f>
        <v>500000</v>
      </c>
      <c r="I6791" s="24">
        <f>IFERROR(__xludf.DUMMYFUNCTION("""COMPUTED_VALUE"""),0.0)</f>
        <v>0</v>
      </c>
    </row>
    <row r="6792">
      <c r="A6792" s="5" t="str">
        <f>IFERROR(__xludf.DUMMYFUNCTION("""COMPUTED_VALUE"""),"79521")</f>
        <v>79521</v>
      </c>
      <c r="B6792" s="64">
        <f>IFERROR(__xludf.DUMMYFUNCTION("""COMPUTED_VALUE"""),44617.0)</f>
        <v>44617</v>
      </c>
      <c r="C6792" s="5"/>
      <c r="D6792" s="5"/>
      <c r="E6792" s="5"/>
      <c r="F6792" s="22">
        <f>IFERROR(__xludf.DUMMYFUNCTION("""COMPUTED_VALUE"""),500000.0)</f>
        <v>500000</v>
      </c>
      <c r="G6792" s="22">
        <f>IFERROR(__xludf.DUMMYFUNCTION("""COMPUTED_VALUE"""),0.0)</f>
        <v>0</v>
      </c>
      <c r="H6792" s="22">
        <f>IFERROR(__xludf.DUMMYFUNCTION("""COMPUTED_VALUE"""),500000.0)</f>
        <v>500000</v>
      </c>
      <c r="I6792" s="24">
        <f>IFERROR(__xludf.DUMMYFUNCTION("""COMPUTED_VALUE"""),0.0)</f>
        <v>0</v>
      </c>
    </row>
    <row r="6793">
      <c r="A6793" s="5" t="str">
        <f>IFERROR(__xludf.DUMMYFUNCTION("""COMPUTED_VALUE"""),"79521")</f>
        <v>79521</v>
      </c>
      <c r="B6793" s="64">
        <f>IFERROR(__xludf.DUMMYFUNCTION("""COMPUTED_VALUE"""),44618.0)</f>
        <v>44618</v>
      </c>
      <c r="C6793" s="5"/>
      <c r="D6793" s="5"/>
      <c r="E6793" s="5"/>
      <c r="F6793" s="22">
        <f>IFERROR(__xludf.DUMMYFUNCTION("""COMPUTED_VALUE"""),500000.0)</f>
        <v>500000</v>
      </c>
      <c r="G6793" s="22">
        <f>IFERROR(__xludf.DUMMYFUNCTION("""COMPUTED_VALUE"""),0.0)</f>
        <v>0</v>
      </c>
      <c r="H6793" s="22">
        <f>IFERROR(__xludf.DUMMYFUNCTION("""COMPUTED_VALUE"""),500000.0)</f>
        <v>500000</v>
      </c>
      <c r="I6793" s="24">
        <f>IFERROR(__xludf.DUMMYFUNCTION("""COMPUTED_VALUE"""),0.0)</f>
        <v>0</v>
      </c>
    </row>
    <row r="6794">
      <c r="A6794" s="5" t="str">
        <f>IFERROR(__xludf.DUMMYFUNCTION("""COMPUTED_VALUE"""),"79521")</f>
        <v>79521</v>
      </c>
      <c r="B6794" s="64">
        <f>IFERROR(__xludf.DUMMYFUNCTION("""COMPUTED_VALUE"""),44619.0)</f>
        <v>44619</v>
      </c>
      <c r="C6794" s="5"/>
      <c r="D6794" s="5"/>
      <c r="E6794" s="5"/>
      <c r="F6794" s="22">
        <f>IFERROR(__xludf.DUMMYFUNCTION("""COMPUTED_VALUE"""),500000.0)</f>
        <v>500000</v>
      </c>
      <c r="G6794" s="22">
        <f>IFERROR(__xludf.DUMMYFUNCTION("""COMPUTED_VALUE"""),0.0)</f>
        <v>0</v>
      </c>
      <c r="H6794" s="22">
        <f>IFERROR(__xludf.DUMMYFUNCTION("""COMPUTED_VALUE"""),500000.0)</f>
        <v>500000</v>
      </c>
      <c r="I6794" s="24">
        <f>IFERROR(__xludf.DUMMYFUNCTION("""COMPUTED_VALUE"""),0.0)</f>
        <v>0</v>
      </c>
    </row>
    <row r="6795">
      <c r="A6795" s="5" t="str">
        <f>IFERROR(__xludf.DUMMYFUNCTION("""COMPUTED_VALUE"""),"79521")</f>
        <v>79521</v>
      </c>
      <c r="B6795" s="64">
        <f>IFERROR(__xludf.DUMMYFUNCTION("""COMPUTED_VALUE"""),44620.0)</f>
        <v>44620</v>
      </c>
      <c r="C6795" s="5"/>
      <c r="D6795" s="5"/>
      <c r="E6795" s="5"/>
      <c r="F6795" s="22">
        <f>IFERROR(__xludf.DUMMYFUNCTION("""COMPUTED_VALUE"""),500000.0)</f>
        <v>500000</v>
      </c>
      <c r="G6795" s="22">
        <f>IFERROR(__xludf.DUMMYFUNCTION("""COMPUTED_VALUE"""),0.0)</f>
        <v>0</v>
      </c>
      <c r="H6795" s="22">
        <f>IFERROR(__xludf.DUMMYFUNCTION("""COMPUTED_VALUE"""),500000.0)</f>
        <v>500000</v>
      </c>
      <c r="I6795" s="24">
        <f>IFERROR(__xludf.DUMMYFUNCTION("""COMPUTED_VALUE"""),0.0)</f>
        <v>0</v>
      </c>
    </row>
    <row r="6796">
      <c r="A6796" s="5" t="str">
        <f>IFERROR(__xludf.DUMMYFUNCTION("""COMPUTED_VALUE"""),"79521")</f>
        <v>79521</v>
      </c>
      <c r="B6796" s="64">
        <f>IFERROR(__xludf.DUMMYFUNCTION("""COMPUTED_VALUE"""),44621.0)</f>
        <v>44621</v>
      </c>
      <c r="C6796" s="5"/>
      <c r="D6796" s="5"/>
      <c r="E6796" s="5"/>
      <c r="F6796" s="22">
        <f>IFERROR(__xludf.DUMMYFUNCTION("""COMPUTED_VALUE"""),500000.0)</f>
        <v>500000</v>
      </c>
      <c r="G6796" s="22">
        <f>IFERROR(__xludf.DUMMYFUNCTION("""COMPUTED_VALUE"""),0.0)</f>
        <v>0</v>
      </c>
      <c r="H6796" s="22">
        <f>IFERROR(__xludf.DUMMYFUNCTION("""COMPUTED_VALUE"""),500000.0)</f>
        <v>500000</v>
      </c>
      <c r="I6796" s="24">
        <f>IFERROR(__xludf.DUMMYFUNCTION("""COMPUTED_VALUE"""),0.0)</f>
        <v>0</v>
      </c>
    </row>
    <row r="6797">
      <c r="A6797" s="5" t="str">
        <f>IFERROR(__xludf.DUMMYFUNCTION("""COMPUTED_VALUE"""),"79521")</f>
        <v>79521</v>
      </c>
      <c r="B6797" s="64">
        <f>IFERROR(__xludf.DUMMYFUNCTION("""COMPUTED_VALUE"""),44622.0)</f>
        <v>44622</v>
      </c>
      <c r="C6797" s="5"/>
      <c r="D6797" s="5"/>
      <c r="E6797" s="5"/>
      <c r="F6797" s="22">
        <f>IFERROR(__xludf.DUMMYFUNCTION("""COMPUTED_VALUE"""),500000.0)</f>
        <v>500000</v>
      </c>
      <c r="G6797" s="22">
        <f>IFERROR(__xludf.DUMMYFUNCTION("""COMPUTED_VALUE"""),0.0)</f>
        <v>0</v>
      </c>
      <c r="H6797" s="22">
        <f>IFERROR(__xludf.DUMMYFUNCTION("""COMPUTED_VALUE"""),500000.0)</f>
        <v>500000</v>
      </c>
      <c r="I6797" s="24">
        <f>IFERROR(__xludf.DUMMYFUNCTION("""COMPUTED_VALUE"""),0.0)</f>
        <v>0</v>
      </c>
    </row>
    <row r="6798">
      <c r="A6798" s="5" t="str">
        <f>IFERROR(__xludf.DUMMYFUNCTION("""COMPUTED_VALUE"""),"79521")</f>
        <v>79521</v>
      </c>
      <c r="B6798" s="64">
        <f>IFERROR(__xludf.DUMMYFUNCTION("""COMPUTED_VALUE"""),44623.0)</f>
        <v>44623</v>
      </c>
      <c r="C6798" s="5"/>
      <c r="D6798" s="5"/>
      <c r="E6798" s="5"/>
      <c r="F6798" s="22">
        <f>IFERROR(__xludf.DUMMYFUNCTION("""COMPUTED_VALUE"""),500000.0)</f>
        <v>500000</v>
      </c>
      <c r="G6798" s="22">
        <f>IFERROR(__xludf.DUMMYFUNCTION("""COMPUTED_VALUE"""),0.0)</f>
        <v>0</v>
      </c>
      <c r="H6798" s="22">
        <f>IFERROR(__xludf.DUMMYFUNCTION("""COMPUTED_VALUE"""),500000.0)</f>
        <v>500000</v>
      </c>
      <c r="I6798" s="24">
        <f>IFERROR(__xludf.DUMMYFUNCTION("""COMPUTED_VALUE"""),0.0)</f>
        <v>0</v>
      </c>
    </row>
    <row r="6799">
      <c r="A6799" s="5" t="str">
        <f>IFERROR(__xludf.DUMMYFUNCTION("""COMPUTED_VALUE"""),"79521")</f>
        <v>79521</v>
      </c>
      <c r="B6799" s="64">
        <f>IFERROR(__xludf.DUMMYFUNCTION("""COMPUTED_VALUE"""),44624.0)</f>
        <v>44624</v>
      </c>
      <c r="C6799" s="5"/>
      <c r="D6799" s="5"/>
      <c r="E6799" s="5"/>
      <c r="F6799" s="22">
        <f>IFERROR(__xludf.DUMMYFUNCTION("""COMPUTED_VALUE"""),500000.0)</f>
        <v>500000</v>
      </c>
      <c r="G6799" s="22">
        <f>IFERROR(__xludf.DUMMYFUNCTION("""COMPUTED_VALUE"""),0.0)</f>
        <v>0</v>
      </c>
      <c r="H6799" s="22">
        <f>IFERROR(__xludf.DUMMYFUNCTION("""COMPUTED_VALUE"""),500000.0)</f>
        <v>500000</v>
      </c>
      <c r="I6799" s="24">
        <f>IFERROR(__xludf.DUMMYFUNCTION("""COMPUTED_VALUE"""),0.0)</f>
        <v>0</v>
      </c>
    </row>
    <row r="6800">
      <c r="A6800" s="5" t="str">
        <f>IFERROR(__xludf.DUMMYFUNCTION("""COMPUTED_VALUE"""),"79521")</f>
        <v>79521</v>
      </c>
      <c r="B6800" s="64">
        <f>IFERROR(__xludf.DUMMYFUNCTION("""COMPUTED_VALUE"""),44625.0)</f>
        <v>44625</v>
      </c>
      <c r="C6800" s="5"/>
      <c r="D6800" s="5"/>
      <c r="E6800" s="5"/>
      <c r="F6800" s="22">
        <f>IFERROR(__xludf.DUMMYFUNCTION("""COMPUTED_VALUE"""),500000.0)</f>
        <v>500000</v>
      </c>
      <c r="G6800" s="22">
        <f>IFERROR(__xludf.DUMMYFUNCTION("""COMPUTED_VALUE"""),0.0)</f>
        <v>0</v>
      </c>
      <c r="H6800" s="22">
        <f>IFERROR(__xludf.DUMMYFUNCTION("""COMPUTED_VALUE"""),500000.0)</f>
        <v>500000</v>
      </c>
      <c r="I6800" s="24">
        <f>IFERROR(__xludf.DUMMYFUNCTION("""COMPUTED_VALUE"""),0.0)</f>
        <v>0</v>
      </c>
    </row>
    <row r="6801">
      <c r="A6801" s="5" t="str">
        <f>IFERROR(__xludf.DUMMYFUNCTION("""COMPUTED_VALUE"""),"79521")</f>
        <v>79521</v>
      </c>
      <c r="B6801" s="64">
        <f>IFERROR(__xludf.DUMMYFUNCTION("""COMPUTED_VALUE"""),44626.0)</f>
        <v>44626</v>
      </c>
      <c r="C6801" s="5"/>
      <c r="D6801" s="5"/>
      <c r="E6801" s="5"/>
      <c r="F6801" s="22">
        <f>IFERROR(__xludf.DUMMYFUNCTION("""COMPUTED_VALUE"""),500000.0)</f>
        <v>500000</v>
      </c>
      <c r="G6801" s="22">
        <f>IFERROR(__xludf.DUMMYFUNCTION("""COMPUTED_VALUE"""),0.0)</f>
        <v>0</v>
      </c>
      <c r="H6801" s="22">
        <f>IFERROR(__xludf.DUMMYFUNCTION("""COMPUTED_VALUE"""),500000.0)</f>
        <v>500000</v>
      </c>
      <c r="I6801" s="24">
        <f>IFERROR(__xludf.DUMMYFUNCTION("""COMPUTED_VALUE"""),0.0)</f>
        <v>0</v>
      </c>
    </row>
    <row r="6802">
      <c r="A6802" s="5" t="str">
        <f>IFERROR(__xludf.DUMMYFUNCTION("""COMPUTED_VALUE"""),"79521")</f>
        <v>79521</v>
      </c>
      <c r="B6802" s="64">
        <f>IFERROR(__xludf.DUMMYFUNCTION("""COMPUTED_VALUE"""),44627.0)</f>
        <v>44627</v>
      </c>
      <c r="C6802" s="5"/>
      <c r="D6802" s="5"/>
      <c r="E6802" s="5"/>
      <c r="F6802" s="22">
        <f>IFERROR(__xludf.DUMMYFUNCTION("""COMPUTED_VALUE"""),500000.0)</f>
        <v>500000</v>
      </c>
      <c r="G6802" s="22">
        <f>IFERROR(__xludf.DUMMYFUNCTION("""COMPUTED_VALUE"""),0.0)</f>
        <v>0</v>
      </c>
      <c r="H6802" s="22">
        <f>IFERROR(__xludf.DUMMYFUNCTION("""COMPUTED_VALUE"""),500000.0)</f>
        <v>500000</v>
      </c>
      <c r="I6802" s="24">
        <f>IFERROR(__xludf.DUMMYFUNCTION("""COMPUTED_VALUE"""),0.0)</f>
        <v>0</v>
      </c>
    </row>
    <row r="6803">
      <c r="A6803" s="5" t="str">
        <f>IFERROR(__xludf.DUMMYFUNCTION("""COMPUTED_VALUE"""),"79521")</f>
        <v>79521</v>
      </c>
      <c r="B6803" s="64">
        <f>IFERROR(__xludf.DUMMYFUNCTION("""COMPUTED_VALUE"""),44628.0)</f>
        <v>44628</v>
      </c>
      <c r="C6803" s="5"/>
      <c r="D6803" s="5"/>
      <c r="E6803" s="5"/>
      <c r="F6803" s="22">
        <f>IFERROR(__xludf.DUMMYFUNCTION("""COMPUTED_VALUE"""),500000.0)</f>
        <v>500000</v>
      </c>
      <c r="G6803" s="22">
        <f>IFERROR(__xludf.DUMMYFUNCTION("""COMPUTED_VALUE"""),0.0)</f>
        <v>0</v>
      </c>
      <c r="H6803" s="22">
        <f>IFERROR(__xludf.DUMMYFUNCTION("""COMPUTED_VALUE"""),470274.94862499996)</f>
        <v>470274.9486</v>
      </c>
      <c r="I6803" s="24">
        <f>IFERROR(__xludf.DUMMYFUNCTION("""COMPUTED_VALUE"""),-0.05945010275000007)</f>
        <v>-0.05945010275</v>
      </c>
    </row>
    <row r="6804">
      <c r="A6804" s="5" t="str">
        <f>IFERROR(__xludf.DUMMYFUNCTION("""COMPUTED_VALUE"""),"79521")</f>
        <v>79521</v>
      </c>
      <c r="B6804" s="64">
        <f>IFERROR(__xludf.DUMMYFUNCTION("""COMPUTED_VALUE"""),44629.0)</f>
        <v>44629</v>
      </c>
      <c r="C6804" s="5"/>
      <c r="D6804" s="5"/>
      <c r="E6804" s="5"/>
      <c r="F6804" s="22">
        <f>IFERROR(__xludf.DUMMYFUNCTION("""COMPUTED_VALUE"""),500000.0)</f>
        <v>500000</v>
      </c>
      <c r="G6804" s="22">
        <f>IFERROR(__xludf.DUMMYFUNCTION("""COMPUTED_VALUE"""),0.0)</f>
        <v>0</v>
      </c>
      <c r="H6804" s="22">
        <f>IFERROR(__xludf.DUMMYFUNCTION("""COMPUTED_VALUE"""),443055.338625)</f>
        <v>443055.3386</v>
      </c>
      <c r="I6804" s="24">
        <f>IFERROR(__xludf.DUMMYFUNCTION("""COMPUTED_VALUE"""),-0.11388932275000008)</f>
        <v>-0.1138893228</v>
      </c>
    </row>
    <row r="6805">
      <c r="A6805" s="5" t="str">
        <f>IFERROR(__xludf.DUMMYFUNCTION("""COMPUTED_VALUE"""),"79521")</f>
        <v>79521</v>
      </c>
      <c r="B6805" s="64">
        <f>IFERROR(__xludf.DUMMYFUNCTION("""COMPUTED_VALUE"""),44630.0)</f>
        <v>44630</v>
      </c>
      <c r="C6805" s="5"/>
      <c r="D6805" s="5"/>
      <c r="E6805" s="5"/>
      <c r="F6805" s="22">
        <f>IFERROR(__xludf.DUMMYFUNCTION("""COMPUTED_VALUE"""),500000.0)</f>
        <v>500000</v>
      </c>
      <c r="G6805" s="22">
        <f>IFERROR(__xludf.DUMMYFUNCTION("""COMPUTED_VALUE"""),0.0)</f>
        <v>0</v>
      </c>
      <c r="H6805" s="22">
        <f>IFERROR(__xludf.DUMMYFUNCTION("""COMPUTED_VALUE"""),458397.300625)</f>
        <v>458397.3006</v>
      </c>
      <c r="I6805" s="24">
        <f>IFERROR(__xludf.DUMMYFUNCTION("""COMPUTED_VALUE"""),-0.0832053987500001)</f>
        <v>-0.08320539875</v>
      </c>
    </row>
    <row r="6806">
      <c r="A6806" s="5" t="str">
        <f>IFERROR(__xludf.DUMMYFUNCTION("""COMPUTED_VALUE"""),"79521")</f>
        <v>79521</v>
      </c>
      <c r="B6806" s="64">
        <f>IFERROR(__xludf.DUMMYFUNCTION("""COMPUTED_VALUE"""),44631.0)</f>
        <v>44631</v>
      </c>
      <c r="C6806" s="5"/>
      <c r="D6806" s="5"/>
      <c r="E6806" s="5"/>
      <c r="F6806" s="22">
        <f>IFERROR(__xludf.DUMMYFUNCTION("""COMPUTED_VALUE"""),500000.0)</f>
        <v>500000</v>
      </c>
      <c r="G6806" s="22">
        <f>IFERROR(__xludf.DUMMYFUNCTION("""COMPUTED_VALUE"""),0.0)</f>
        <v>0</v>
      </c>
      <c r="H6806" s="22">
        <f>IFERROR(__xludf.DUMMYFUNCTION("""COMPUTED_VALUE"""),438539.357875)</f>
        <v>438539.3579</v>
      </c>
      <c r="I6806" s="24">
        <f>IFERROR(__xludf.DUMMYFUNCTION("""COMPUTED_VALUE"""),-0.12292128425000004)</f>
        <v>-0.1229212843</v>
      </c>
    </row>
    <row r="6807">
      <c r="A6807" s="5" t="str">
        <f>IFERROR(__xludf.DUMMYFUNCTION("""COMPUTED_VALUE"""),"79521")</f>
        <v>79521</v>
      </c>
      <c r="B6807" s="64">
        <f>IFERROR(__xludf.DUMMYFUNCTION("""COMPUTED_VALUE"""),44632.0)</f>
        <v>44632</v>
      </c>
      <c r="C6807" s="5"/>
      <c r="D6807" s="5"/>
      <c r="E6807" s="5"/>
      <c r="F6807" s="22">
        <f>IFERROR(__xludf.DUMMYFUNCTION("""COMPUTED_VALUE"""),500000.0)</f>
        <v>500000</v>
      </c>
      <c r="G6807" s="22">
        <f>IFERROR(__xludf.DUMMYFUNCTION("""COMPUTED_VALUE"""),0.0)</f>
        <v>0</v>
      </c>
      <c r="H6807" s="22">
        <f>IFERROR(__xludf.DUMMYFUNCTION("""COMPUTED_VALUE"""),438539.357875)</f>
        <v>438539.3579</v>
      </c>
      <c r="I6807" s="24">
        <f>IFERROR(__xludf.DUMMYFUNCTION("""COMPUTED_VALUE"""),-0.12292128425000004)</f>
        <v>-0.1229212843</v>
      </c>
    </row>
    <row r="6808">
      <c r="A6808" s="5" t="str">
        <f>IFERROR(__xludf.DUMMYFUNCTION("""COMPUTED_VALUE"""),"79521")</f>
        <v>79521</v>
      </c>
      <c r="B6808" s="64">
        <f>IFERROR(__xludf.DUMMYFUNCTION("""COMPUTED_VALUE"""),44633.0)</f>
        <v>44633</v>
      </c>
      <c r="C6808" s="5"/>
      <c r="D6808" s="5"/>
      <c r="E6808" s="5"/>
      <c r="F6808" s="22">
        <f>IFERROR(__xludf.DUMMYFUNCTION("""COMPUTED_VALUE"""),500000.0)</f>
        <v>500000</v>
      </c>
      <c r="G6808" s="22">
        <f>IFERROR(__xludf.DUMMYFUNCTION("""COMPUTED_VALUE"""),0.0)</f>
        <v>0</v>
      </c>
      <c r="H6808" s="22">
        <f>IFERROR(__xludf.DUMMYFUNCTION("""COMPUTED_VALUE"""),438539.357875)</f>
        <v>438539.3579</v>
      </c>
      <c r="I6808" s="24">
        <f>IFERROR(__xludf.DUMMYFUNCTION("""COMPUTED_VALUE"""),-0.12292128425000004)</f>
        <v>-0.1229212843</v>
      </c>
    </row>
    <row r="6809">
      <c r="A6809" s="5" t="str">
        <f>IFERROR(__xludf.DUMMYFUNCTION("""COMPUTED_VALUE"""),"79521")</f>
        <v>79521</v>
      </c>
      <c r="B6809" s="64">
        <f>IFERROR(__xludf.DUMMYFUNCTION("""COMPUTED_VALUE"""),44634.0)</f>
        <v>44634</v>
      </c>
      <c r="C6809" s="5"/>
      <c r="D6809" s="5"/>
      <c r="E6809" s="5"/>
      <c r="F6809" s="22">
        <f>IFERROR(__xludf.DUMMYFUNCTION("""COMPUTED_VALUE"""),500000.0)</f>
        <v>500000</v>
      </c>
      <c r="G6809" s="22">
        <f>IFERROR(__xludf.DUMMYFUNCTION("""COMPUTED_VALUE"""),0.0)</f>
        <v>0</v>
      </c>
      <c r="H6809" s="22">
        <f>IFERROR(__xludf.DUMMYFUNCTION("""COMPUTED_VALUE"""),436497.88712499995)</f>
        <v>436497.8871</v>
      </c>
      <c r="I6809" s="24">
        <f>IFERROR(__xludf.DUMMYFUNCTION("""COMPUTED_VALUE"""),-0.12700422575000014)</f>
        <v>-0.1270042258</v>
      </c>
    </row>
    <row r="6810">
      <c r="A6810" s="5" t="str">
        <f>IFERROR(__xludf.DUMMYFUNCTION("""COMPUTED_VALUE"""),"79521")</f>
        <v>79521</v>
      </c>
      <c r="B6810" s="64">
        <f>IFERROR(__xludf.DUMMYFUNCTION("""COMPUTED_VALUE"""),44635.0)</f>
        <v>44635</v>
      </c>
      <c r="C6810" s="5"/>
      <c r="D6810" s="5"/>
      <c r="E6810" s="5"/>
      <c r="F6810" s="22">
        <f>IFERROR(__xludf.DUMMYFUNCTION("""COMPUTED_VALUE"""),500000.0)</f>
        <v>500000</v>
      </c>
      <c r="G6810" s="22">
        <f>IFERROR(__xludf.DUMMYFUNCTION("""COMPUTED_VALUE"""),0.0)</f>
        <v>0</v>
      </c>
      <c r="H6810" s="22">
        <f>IFERROR(__xludf.DUMMYFUNCTION("""COMPUTED_VALUE"""),416052.24824999995)</f>
        <v>416052.2483</v>
      </c>
      <c r="I6810" s="24">
        <f>IFERROR(__xludf.DUMMYFUNCTION("""COMPUTED_VALUE"""),-0.16789550350000015)</f>
        <v>-0.1678955035</v>
      </c>
    </row>
    <row r="6811">
      <c r="A6811" s="5" t="str">
        <f>IFERROR(__xludf.DUMMYFUNCTION("""COMPUTED_VALUE"""),"79521")</f>
        <v>79521</v>
      </c>
      <c r="B6811" s="64">
        <f>IFERROR(__xludf.DUMMYFUNCTION("""COMPUTED_VALUE"""),44636.0)</f>
        <v>44636</v>
      </c>
      <c r="C6811" s="5"/>
      <c r="D6811" s="5"/>
      <c r="E6811" s="5"/>
      <c r="F6811" s="22">
        <f>IFERROR(__xludf.DUMMYFUNCTION("""COMPUTED_VALUE"""),500000.0)</f>
        <v>500000</v>
      </c>
      <c r="G6811" s="22">
        <f>IFERROR(__xludf.DUMMYFUNCTION("""COMPUTED_VALUE"""),0.0)</f>
        <v>0</v>
      </c>
      <c r="H6811" s="22">
        <f>IFERROR(__xludf.DUMMYFUNCTION("""COMPUTED_VALUE"""),431703.524)</f>
        <v>431703.524</v>
      </c>
      <c r="I6811" s="24">
        <f>IFERROR(__xludf.DUMMYFUNCTION("""COMPUTED_VALUE"""),-0.1365929520000001)</f>
        <v>-0.136592952</v>
      </c>
    </row>
    <row r="6812">
      <c r="A6812" s="5" t="str">
        <f>IFERROR(__xludf.DUMMYFUNCTION("""COMPUTED_VALUE"""),"79521")</f>
        <v>79521</v>
      </c>
      <c r="B6812" s="64">
        <f>IFERROR(__xludf.DUMMYFUNCTION("""COMPUTED_VALUE"""),44637.0)</f>
        <v>44637</v>
      </c>
      <c r="C6812" s="5"/>
      <c r="D6812" s="5"/>
      <c r="E6812" s="5"/>
      <c r="F6812" s="22">
        <f>IFERROR(__xludf.DUMMYFUNCTION("""COMPUTED_VALUE"""),500000.0)</f>
        <v>500000</v>
      </c>
      <c r="G6812" s="22">
        <f>IFERROR(__xludf.DUMMYFUNCTION("""COMPUTED_VALUE"""),0.0)</f>
        <v>0</v>
      </c>
      <c r="H6812" s="22">
        <f>IFERROR(__xludf.DUMMYFUNCTION("""COMPUTED_VALUE"""),434765.730125)</f>
        <v>434765.7301</v>
      </c>
      <c r="I6812" s="24">
        <f>IFERROR(__xludf.DUMMYFUNCTION("""COMPUTED_VALUE"""),-0.13046853974999995)</f>
        <v>-0.1304685398</v>
      </c>
    </row>
    <row r="6813">
      <c r="A6813" s="5" t="str">
        <f>IFERROR(__xludf.DUMMYFUNCTION("""COMPUTED_VALUE"""),"79521")</f>
        <v>79521</v>
      </c>
      <c r="B6813" s="64">
        <f>IFERROR(__xludf.DUMMYFUNCTION("""COMPUTED_VALUE"""),44638.0)</f>
        <v>44638</v>
      </c>
      <c r="C6813" s="5"/>
      <c r="D6813" s="5"/>
      <c r="E6813" s="5"/>
      <c r="F6813" s="22">
        <f>IFERROR(__xludf.DUMMYFUNCTION("""COMPUTED_VALUE"""),500000.0)</f>
        <v>500000</v>
      </c>
      <c r="G6813" s="22">
        <f>IFERROR(__xludf.DUMMYFUNCTION("""COMPUTED_VALUE"""),0.0)</f>
        <v>0</v>
      </c>
      <c r="H6813" s="22">
        <f>IFERROR(__xludf.DUMMYFUNCTION("""COMPUTED_VALUE"""),434785.7552)</f>
        <v>434785.7552</v>
      </c>
      <c r="I6813" s="24">
        <f>IFERROR(__xludf.DUMMYFUNCTION("""COMPUTED_VALUE"""),-0.13042848959999997)</f>
        <v>-0.1304284896</v>
      </c>
    </row>
    <row r="6814">
      <c r="A6814" s="5" t="str">
        <f>IFERROR(__xludf.DUMMYFUNCTION("""COMPUTED_VALUE"""),"79521")</f>
        <v>79521</v>
      </c>
      <c r="B6814" s="64">
        <f>IFERROR(__xludf.DUMMYFUNCTION("""COMPUTED_VALUE"""),44639.0)</f>
        <v>44639</v>
      </c>
      <c r="C6814" s="5"/>
      <c r="D6814" s="5"/>
      <c r="E6814" s="5"/>
      <c r="F6814" s="22">
        <f>IFERROR(__xludf.DUMMYFUNCTION("""COMPUTED_VALUE"""),500000.0)</f>
        <v>500000</v>
      </c>
      <c r="G6814" s="22">
        <f>IFERROR(__xludf.DUMMYFUNCTION("""COMPUTED_VALUE"""),0.0)</f>
        <v>0</v>
      </c>
      <c r="H6814" s="22">
        <f>IFERROR(__xludf.DUMMYFUNCTION("""COMPUTED_VALUE"""),434785.7552)</f>
        <v>434785.7552</v>
      </c>
      <c r="I6814" s="24">
        <f>IFERROR(__xludf.DUMMYFUNCTION("""COMPUTED_VALUE"""),-0.13042848959999997)</f>
        <v>-0.1304284896</v>
      </c>
    </row>
    <row r="6815">
      <c r="A6815" s="5" t="str">
        <f>IFERROR(__xludf.DUMMYFUNCTION("""COMPUTED_VALUE"""),"79521")</f>
        <v>79521</v>
      </c>
      <c r="B6815" s="64">
        <f>IFERROR(__xludf.DUMMYFUNCTION("""COMPUTED_VALUE"""),44640.0)</f>
        <v>44640</v>
      </c>
      <c r="C6815" s="5"/>
      <c r="D6815" s="5"/>
      <c r="E6815" s="5"/>
      <c r="F6815" s="22">
        <f>IFERROR(__xludf.DUMMYFUNCTION("""COMPUTED_VALUE"""),500000.0)</f>
        <v>500000</v>
      </c>
      <c r="G6815" s="22">
        <f>IFERROR(__xludf.DUMMYFUNCTION("""COMPUTED_VALUE"""),0.0)</f>
        <v>0</v>
      </c>
      <c r="H6815" s="22">
        <f>IFERROR(__xludf.DUMMYFUNCTION("""COMPUTED_VALUE"""),434785.7552)</f>
        <v>434785.7552</v>
      </c>
      <c r="I6815" s="24">
        <f>IFERROR(__xludf.DUMMYFUNCTION("""COMPUTED_VALUE"""),-0.13042848959999997)</f>
        <v>-0.1304284896</v>
      </c>
    </row>
    <row r="6816">
      <c r="A6816" s="5" t="str">
        <f>IFERROR(__xludf.DUMMYFUNCTION("""COMPUTED_VALUE"""),"79521")</f>
        <v>79521</v>
      </c>
      <c r="B6816" s="64">
        <f>IFERROR(__xludf.DUMMYFUNCTION("""COMPUTED_VALUE"""),44641.0)</f>
        <v>44641</v>
      </c>
      <c r="C6816" s="5"/>
      <c r="D6816" s="5"/>
      <c r="E6816" s="5"/>
      <c r="F6816" s="22">
        <f>IFERROR(__xludf.DUMMYFUNCTION("""COMPUTED_VALUE"""),500000.0)</f>
        <v>500000</v>
      </c>
      <c r="G6816" s="22">
        <f>IFERROR(__xludf.DUMMYFUNCTION("""COMPUTED_VALUE"""),0.0)</f>
        <v>0</v>
      </c>
      <c r="H6816" s="22">
        <f>IFERROR(__xludf.DUMMYFUNCTION("""COMPUTED_VALUE"""),429638.00762499997)</f>
        <v>429638.0076</v>
      </c>
      <c r="I6816" s="24">
        <f>IFERROR(__xludf.DUMMYFUNCTION("""COMPUTED_VALUE"""),-0.14072398475000003)</f>
        <v>-0.1407239848</v>
      </c>
    </row>
    <row r="6817">
      <c r="A6817" s="5" t="str">
        <f>IFERROR(__xludf.DUMMYFUNCTION("""COMPUTED_VALUE"""),"79521")</f>
        <v>79521</v>
      </c>
      <c r="B6817" s="64">
        <f>IFERROR(__xludf.DUMMYFUNCTION("""COMPUTED_VALUE"""),44642.0)</f>
        <v>44642</v>
      </c>
      <c r="C6817" s="5"/>
      <c r="D6817" s="5"/>
      <c r="E6817" s="5"/>
      <c r="F6817" s="22">
        <f>IFERROR(__xludf.DUMMYFUNCTION("""COMPUTED_VALUE"""),500000.0)</f>
        <v>500000</v>
      </c>
      <c r="G6817" s="22">
        <f>IFERROR(__xludf.DUMMYFUNCTION("""COMPUTED_VALUE"""),0.0)</f>
        <v>0</v>
      </c>
      <c r="H6817" s="22">
        <f>IFERROR(__xludf.DUMMYFUNCTION("""COMPUTED_VALUE"""),427747.883225)</f>
        <v>427747.8832</v>
      </c>
      <c r="I6817" s="24">
        <f>IFERROR(__xludf.DUMMYFUNCTION("""COMPUTED_VALUE"""),-0.14450423354999997)</f>
        <v>-0.1445042336</v>
      </c>
    </row>
    <row r="6818">
      <c r="A6818" s="5" t="str">
        <f>IFERROR(__xludf.DUMMYFUNCTION("""COMPUTED_VALUE"""),"79521")</f>
        <v>79521</v>
      </c>
      <c r="B6818" s="64">
        <f>IFERROR(__xludf.DUMMYFUNCTION("""COMPUTED_VALUE"""),44643.0)</f>
        <v>44643</v>
      </c>
      <c r="C6818" s="5"/>
      <c r="D6818" s="5"/>
      <c r="E6818" s="5"/>
      <c r="F6818" s="22">
        <f>IFERROR(__xludf.DUMMYFUNCTION("""COMPUTED_VALUE"""),500000.0)</f>
        <v>500000</v>
      </c>
      <c r="G6818" s="22">
        <f>IFERROR(__xludf.DUMMYFUNCTION("""COMPUTED_VALUE"""),0.0)</f>
        <v>0</v>
      </c>
      <c r="H6818" s="22">
        <f>IFERROR(__xludf.DUMMYFUNCTION("""COMPUTED_VALUE"""),427266.659425)</f>
        <v>427266.6594</v>
      </c>
      <c r="I6818" s="24">
        <f>IFERROR(__xludf.DUMMYFUNCTION("""COMPUTED_VALUE"""),-0.14546668114999994)</f>
        <v>-0.1454666812</v>
      </c>
    </row>
    <row r="6819">
      <c r="A6819" s="5" t="str">
        <f>IFERROR(__xludf.DUMMYFUNCTION("""COMPUTED_VALUE"""),"79521")</f>
        <v>79521</v>
      </c>
      <c r="B6819" s="64">
        <f>IFERROR(__xludf.DUMMYFUNCTION("""COMPUTED_VALUE"""),44644.0)</f>
        <v>44644</v>
      </c>
      <c r="C6819" s="5"/>
      <c r="D6819" s="5"/>
      <c r="E6819" s="5"/>
      <c r="F6819" s="22">
        <f>IFERROR(__xludf.DUMMYFUNCTION("""COMPUTED_VALUE"""),500000.0)</f>
        <v>500000</v>
      </c>
      <c r="G6819" s="22">
        <f>IFERROR(__xludf.DUMMYFUNCTION("""COMPUTED_VALUE"""),0.0)</f>
        <v>0</v>
      </c>
      <c r="H6819" s="22">
        <f>IFERROR(__xludf.DUMMYFUNCTION("""COMPUTED_VALUE"""),425741.150225)</f>
        <v>425741.1502</v>
      </c>
      <c r="I6819" s="24">
        <f>IFERROR(__xludf.DUMMYFUNCTION("""COMPUTED_VALUE"""),-0.14851769955000005)</f>
        <v>-0.1485176996</v>
      </c>
    </row>
    <row r="6820">
      <c r="A6820" s="5" t="str">
        <f>IFERROR(__xludf.DUMMYFUNCTION("""COMPUTED_VALUE"""),"79521")</f>
        <v>79521</v>
      </c>
      <c r="B6820" s="64">
        <f>IFERROR(__xludf.DUMMYFUNCTION("""COMPUTED_VALUE"""),44645.0)</f>
        <v>44645</v>
      </c>
      <c r="C6820" s="5"/>
      <c r="D6820" s="5"/>
      <c r="E6820" s="5"/>
      <c r="F6820" s="22">
        <f>IFERROR(__xludf.DUMMYFUNCTION("""COMPUTED_VALUE"""),500000.0)</f>
        <v>500000</v>
      </c>
      <c r="G6820" s="22">
        <f>IFERROR(__xludf.DUMMYFUNCTION("""COMPUTED_VALUE"""),0.0)</f>
        <v>0</v>
      </c>
      <c r="H6820" s="22">
        <f>IFERROR(__xludf.DUMMYFUNCTION("""COMPUTED_VALUE"""),459315.43445)</f>
        <v>459315.4345</v>
      </c>
      <c r="I6820" s="24">
        <f>IFERROR(__xludf.DUMMYFUNCTION("""COMPUTED_VALUE"""),-0.08136913109999999)</f>
        <v>-0.0813691311</v>
      </c>
    </row>
    <row r="6821">
      <c r="A6821" s="5" t="str">
        <f>IFERROR(__xludf.DUMMYFUNCTION("""COMPUTED_VALUE"""),"79521")</f>
        <v>79521</v>
      </c>
      <c r="B6821" s="64">
        <f>IFERROR(__xludf.DUMMYFUNCTION("""COMPUTED_VALUE"""),44646.0)</f>
        <v>44646</v>
      </c>
      <c r="C6821" s="5"/>
      <c r="D6821" s="5"/>
      <c r="E6821" s="5"/>
      <c r="F6821" s="22">
        <f>IFERROR(__xludf.DUMMYFUNCTION("""COMPUTED_VALUE"""),500000.0)</f>
        <v>500000</v>
      </c>
      <c r="G6821" s="22">
        <f>IFERROR(__xludf.DUMMYFUNCTION("""COMPUTED_VALUE"""),0.0)</f>
        <v>0</v>
      </c>
      <c r="H6821" s="22">
        <f>IFERROR(__xludf.DUMMYFUNCTION("""COMPUTED_VALUE"""),459315.43445)</f>
        <v>459315.4345</v>
      </c>
      <c r="I6821" s="24">
        <f>IFERROR(__xludf.DUMMYFUNCTION("""COMPUTED_VALUE"""),-0.08136913109999999)</f>
        <v>-0.0813691311</v>
      </c>
    </row>
    <row r="6822">
      <c r="A6822" s="5" t="str">
        <f>IFERROR(__xludf.DUMMYFUNCTION("""COMPUTED_VALUE"""),"79521")</f>
        <v>79521</v>
      </c>
      <c r="B6822" s="64">
        <f>IFERROR(__xludf.DUMMYFUNCTION("""COMPUTED_VALUE"""),44647.0)</f>
        <v>44647</v>
      </c>
      <c r="C6822" s="5"/>
      <c r="D6822" s="5"/>
      <c r="E6822" s="5"/>
      <c r="F6822" s="22">
        <f>IFERROR(__xludf.DUMMYFUNCTION("""COMPUTED_VALUE"""),500000.0)</f>
        <v>500000</v>
      </c>
      <c r="G6822" s="22">
        <f>IFERROR(__xludf.DUMMYFUNCTION("""COMPUTED_VALUE"""),0.0)</f>
        <v>0</v>
      </c>
      <c r="H6822" s="22">
        <f>IFERROR(__xludf.DUMMYFUNCTION("""COMPUTED_VALUE"""),459315.43445)</f>
        <v>459315.4345</v>
      </c>
      <c r="I6822" s="24">
        <f>IFERROR(__xludf.DUMMYFUNCTION("""COMPUTED_VALUE"""),-0.08136913109999999)</f>
        <v>-0.0813691311</v>
      </c>
    </row>
    <row r="6823">
      <c r="A6823" s="5" t="str">
        <f>IFERROR(__xludf.DUMMYFUNCTION("""COMPUTED_VALUE"""),"79521")</f>
        <v>79521</v>
      </c>
      <c r="B6823" s="64">
        <f>IFERROR(__xludf.DUMMYFUNCTION("""COMPUTED_VALUE"""),44648.0)</f>
        <v>44648</v>
      </c>
      <c r="C6823" s="5"/>
      <c r="D6823" s="5"/>
      <c r="E6823" s="5"/>
      <c r="F6823" s="22">
        <f>IFERROR(__xludf.DUMMYFUNCTION("""COMPUTED_VALUE"""),500000.0)</f>
        <v>500000</v>
      </c>
      <c r="G6823" s="22">
        <f>IFERROR(__xludf.DUMMYFUNCTION("""COMPUTED_VALUE"""),0.0)</f>
        <v>0</v>
      </c>
      <c r="H6823" s="22">
        <f>IFERROR(__xludf.DUMMYFUNCTION("""COMPUTED_VALUE"""),497769.98465000006)</f>
        <v>497769.9847</v>
      </c>
      <c r="I6823" s="24">
        <f>IFERROR(__xludf.DUMMYFUNCTION("""COMPUTED_VALUE"""),-0.004460030699999895)</f>
        <v>-0.0044600307</v>
      </c>
    </row>
    <row r="6824">
      <c r="A6824" s="5" t="str">
        <f>IFERROR(__xludf.DUMMYFUNCTION("""COMPUTED_VALUE"""),"79521")</f>
        <v>79521</v>
      </c>
      <c r="B6824" s="64">
        <f>IFERROR(__xludf.DUMMYFUNCTION("""COMPUTED_VALUE"""),44649.0)</f>
        <v>44649</v>
      </c>
      <c r="C6824" s="5"/>
      <c r="D6824" s="5"/>
      <c r="E6824" s="5"/>
      <c r="F6824" s="22">
        <f>IFERROR(__xludf.DUMMYFUNCTION("""COMPUTED_VALUE"""),500000.0)</f>
        <v>500000</v>
      </c>
      <c r="G6824" s="22">
        <f>IFERROR(__xludf.DUMMYFUNCTION("""COMPUTED_VALUE"""),0.0)</f>
        <v>0</v>
      </c>
      <c r="H6824" s="22">
        <f>IFERROR(__xludf.DUMMYFUNCTION("""COMPUTED_VALUE"""),509915.935925)</f>
        <v>509915.9359</v>
      </c>
      <c r="I6824" s="24">
        <f>IFERROR(__xludf.DUMMYFUNCTION("""COMPUTED_VALUE"""),0.019831871849999905)</f>
        <v>0.01983187185</v>
      </c>
    </row>
    <row r="6825">
      <c r="A6825" s="5" t="str">
        <f>IFERROR(__xludf.DUMMYFUNCTION("""COMPUTED_VALUE"""),"79521")</f>
        <v>79521</v>
      </c>
      <c r="B6825" s="64">
        <f>IFERROR(__xludf.DUMMYFUNCTION("""COMPUTED_VALUE"""),44650.0)</f>
        <v>44650</v>
      </c>
      <c r="C6825" s="5"/>
      <c r="D6825" s="5"/>
      <c r="E6825" s="5"/>
      <c r="F6825" s="22">
        <f>IFERROR(__xludf.DUMMYFUNCTION("""COMPUTED_VALUE"""),500000.0)</f>
        <v>500000</v>
      </c>
      <c r="G6825" s="22">
        <f>IFERROR(__xludf.DUMMYFUNCTION("""COMPUTED_VALUE"""),0.0)</f>
        <v>0</v>
      </c>
      <c r="H6825" s="22">
        <f>IFERROR(__xludf.DUMMYFUNCTION("""COMPUTED_VALUE"""),523594.02182500006)</f>
        <v>523594.0218</v>
      </c>
      <c r="I6825" s="24">
        <f>IFERROR(__xludf.DUMMYFUNCTION("""COMPUTED_VALUE"""),0.04718804365000007)</f>
        <v>0.04718804365</v>
      </c>
    </row>
    <row r="6826">
      <c r="A6826" s="5" t="str">
        <f>IFERROR(__xludf.DUMMYFUNCTION("""COMPUTED_VALUE"""),"79521")</f>
        <v>79521</v>
      </c>
      <c r="B6826" s="64">
        <f>IFERROR(__xludf.DUMMYFUNCTION("""COMPUTED_VALUE"""),44651.0)</f>
        <v>44651</v>
      </c>
      <c r="C6826" s="5"/>
      <c r="D6826" s="5"/>
      <c r="E6826" s="5"/>
      <c r="F6826" s="22">
        <f>IFERROR(__xludf.DUMMYFUNCTION("""COMPUTED_VALUE"""),500000.0)</f>
        <v>500000</v>
      </c>
      <c r="G6826" s="22">
        <f>IFERROR(__xludf.DUMMYFUNCTION("""COMPUTED_VALUE"""),0.0)</f>
        <v>0</v>
      </c>
      <c r="H6826" s="22">
        <f>IFERROR(__xludf.DUMMYFUNCTION("""COMPUTED_VALUE"""),521920.93879999995)</f>
        <v>521920.9388</v>
      </c>
      <c r="I6826" s="24">
        <f>IFERROR(__xludf.DUMMYFUNCTION("""COMPUTED_VALUE"""),0.0438418775999998)</f>
        <v>0.0438418776</v>
      </c>
    </row>
    <row r="6827">
      <c r="A6827" s="5" t="str">
        <f>IFERROR(__xludf.DUMMYFUNCTION("""COMPUTED_VALUE"""),"79521")</f>
        <v>79521</v>
      </c>
      <c r="B6827" s="64">
        <f>IFERROR(__xludf.DUMMYFUNCTION("""COMPUTED_VALUE"""),44652.0)</f>
        <v>44652</v>
      </c>
      <c r="C6827" s="5"/>
      <c r="D6827" s="5"/>
      <c r="E6827" s="5"/>
      <c r="F6827" s="22">
        <f>IFERROR(__xludf.DUMMYFUNCTION("""COMPUTED_VALUE"""),500000.0)</f>
        <v>500000</v>
      </c>
      <c r="G6827" s="22">
        <f>IFERROR(__xludf.DUMMYFUNCTION("""COMPUTED_VALUE"""),0.0)</f>
        <v>0</v>
      </c>
      <c r="H6827" s="22">
        <f>IFERROR(__xludf.DUMMYFUNCTION("""COMPUTED_VALUE"""),521944.36685)</f>
        <v>521944.3669</v>
      </c>
      <c r="I6827" s="24">
        <f>IFERROR(__xludf.DUMMYFUNCTION("""COMPUTED_VALUE"""),0.043888733700000016)</f>
        <v>0.0438887337</v>
      </c>
    </row>
    <row r="6828">
      <c r="A6828" s="5" t="str">
        <f>IFERROR(__xludf.DUMMYFUNCTION("""COMPUTED_VALUE"""),"79521")</f>
        <v>79521</v>
      </c>
      <c r="B6828" s="64">
        <f>IFERROR(__xludf.DUMMYFUNCTION("""COMPUTED_VALUE"""),44653.0)</f>
        <v>44653</v>
      </c>
      <c r="C6828" s="5"/>
      <c r="D6828" s="5"/>
      <c r="E6828" s="5"/>
      <c r="F6828" s="22">
        <f>IFERROR(__xludf.DUMMYFUNCTION("""COMPUTED_VALUE"""),500000.0)</f>
        <v>500000</v>
      </c>
      <c r="G6828" s="22">
        <f>IFERROR(__xludf.DUMMYFUNCTION("""COMPUTED_VALUE"""),0.0)</f>
        <v>0</v>
      </c>
      <c r="H6828" s="22">
        <f>IFERROR(__xludf.DUMMYFUNCTION("""COMPUTED_VALUE"""),521944.36685)</f>
        <v>521944.3669</v>
      </c>
      <c r="I6828" s="24">
        <f>IFERROR(__xludf.DUMMYFUNCTION("""COMPUTED_VALUE"""),0.043888733700000016)</f>
        <v>0.0438887337</v>
      </c>
    </row>
    <row r="6829">
      <c r="A6829" s="5" t="str">
        <f>IFERROR(__xludf.DUMMYFUNCTION("""COMPUTED_VALUE"""),"79521")</f>
        <v>79521</v>
      </c>
      <c r="B6829" s="64">
        <f>IFERROR(__xludf.DUMMYFUNCTION("""COMPUTED_VALUE"""),44654.0)</f>
        <v>44654</v>
      </c>
      <c r="C6829" s="5"/>
      <c r="D6829" s="5"/>
      <c r="E6829" s="5"/>
      <c r="F6829" s="22">
        <f>IFERROR(__xludf.DUMMYFUNCTION("""COMPUTED_VALUE"""),500000.0)</f>
        <v>500000</v>
      </c>
      <c r="G6829" s="22">
        <f>IFERROR(__xludf.DUMMYFUNCTION("""COMPUTED_VALUE"""),0.0)</f>
        <v>0</v>
      </c>
      <c r="H6829" s="22">
        <f>IFERROR(__xludf.DUMMYFUNCTION("""COMPUTED_VALUE"""),521944.36685)</f>
        <v>521944.3669</v>
      </c>
      <c r="I6829" s="24">
        <f>IFERROR(__xludf.DUMMYFUNCTION("""COMPUTED_VALUE"""),0.043888733700000016)</f>
        <v>0.0438887337</v>
      </c>
    </row>
    <row r="6830">
      <c r="A6830" s="5" t="str">
        <f>IFERROR(__xludf.DUMMYFUNCTION("""COMPUTED_VALUE"""),"79521")</f>
        <v>79521</v>
      </c>
      <c r="B6830" s="64">
        <f>IFERROR(__xludf.DUMMYFUNCTION("""COMPUTED_VALUE"""),44655.0)</f>
        <v>44655</v>
      </c>
      <c r="C6830" s="5"/>
      <c r="D6830" s="5"/>
      <c r="E6830" s="5"/>
      <c r="F6830" s="22">
        <f>IFERROR(__xludf.DUMMYFUNCTION("""COMPUTED_VALUE"""),500000.0)</f>
        <v>500000</v>
      </c>
      <c r="G6830" s="22">
        <f>IFERROR(__xludf.DUMMYFUNCTION("""COMPUTED_VALUE"""),0.0)</f>
        <v>0</v>
      </c>
      <c r="H6830" s="22">
        <f>IFERROR(__xludf.DUMMYFUNCTION("""COMPUTED_VALUE"""),521944.36685)</f>
        <v>521944.3669</v>
      </c>
      <c r="I6830" s="24">
        <f>IFERROR(__xludf.DUMMYFUNCTION("""COMPUTED_VALUE"""),0.043888733700000016)</f>
        <v>0.0438887337</v>
      </c>
    </row>
    <row r="6831">
      <c r="A6831" s="5" t="str">
        <f>IFERROR(__xludf.DUMMYFUNCTION("""COMPUTED_VALUE"""),"79521")</f>
        <v>79521</v>
      </c>
      <c r="B6831" s="64">
        <f>IFERROR(__xludf.DUMMYFUNCTION("""COMPUTED_VALUE"""),44656.0)</f>
        <v>44656</v>
      </c>
      <c r="C6831" s="5"/>
      <c r="D6831" s="5"/>
      <c r="E6831" s="5"/>
      <c r="F6831" s="22">
        <f>IFERROR(__xludf.DUMMYFUNCTION("""COMPUTED_VALUE"""),500000.0)</f>
        <v>500000</v>
      </c>
      <c r="G6831" s="22">
        <f>IFERROR(__xludf.DUMMYFUNCTION("""COMPUTED_VALUE"""),0.0)</f>
        <v>0</v>
      </c>
      <c r="H6831" s="22">
        <f>IFERROR(__xludf.DUMMYFUNCTION("""COMPUTED_VALUE"""),521944.36685)</f>
        <v>521944.3669</v>
      </c>
      <c r="I6831" s="24">
        <f>IFERROR(__xludf.DUMMYFUNCTION("""COMPUTED_VALUE"""),0.043888733700000016)</f>
        <v>0.0438887337</v>
      </c>
    </row>
    <row r="6832">
      <c r="A6832" s="5" t="str">
        <f>IFERROR(__xludf.DUMMYFUNCTION("""COMPUTED_VALUE"""),"79521")</f>
        <v>79521</v>
      </c>
      <c r="B6832" s="64">
        <f>IFERROR(__xludf.DUMMYFUNCTION("""COMPUTED_VALUE"""),44657.0)</f>
        <v>44657</v>
      </c>
      <c r="C6832" s="5"/>
      <c r="D6832" s="5"/>
      <c r="E6832" s="5"/>
      <c r="F6832" s="22">
        <f>IFERROR(__xludf.DUMMYFUNCTION("""COMPUTED_VALUE"""),500000.0)</f>
        <v>500000</v>
      </c>
      <c r="G6832" s="22">
        <f>IFERROR(__xludf.DUMMYFUNCTION("""COMPUTED_VALUE"""),0.0)</f>
        <v>0</v>
      </c>
      <c r="H6832" s="22">
        <f>IFERROR(__xludf.DUMMYFUNCTION("""COMPUTED_VALUE"""),522981.4245000001)</f>
        <v>522981.4245</v>
      </c>
      <c r="I6832" s="24">
        <f>IFERROR(__xludf.DUMMYFUNCTION("""COMPUTED_VALUE"""),0.04596284900000014)</f>
        <v>0.045962849</v>
      </c>
    </row>
    <row r="6833">
      <c r="A6833" s="5" t="str">
        <f>IFERROR(__xludf.DUMMYFUNCTION("""COMPUTED_VALUE"""),"79521")</f>
        <v>79521</v>
      </c>
      <c r="B6833" s="64">
        <f>IFERROR(__xludf.DUMMYFUNCTION("""COMPUTED_VALUE"""),44658.0)</f>
        <v>44658</v>
      </c>
      <c r="C6833" s="5"/>
      <c r="D6833" s="5"/>
      <c r="E6833" s="5"/>
      <c r="F6833" s="22">
        <f>IFERROR(__xludf.DUMMYFUNCTION("""COMPUTED_VALUE"""),500000.0)</f>
        <v>500000</v>
      </c>
      <c r="G6833" s="22">
        <f>IFERROR(__xludf.DUMMYFUNCTION("""COMPUTED_VALUE"""),0.0)</f>
        <v>0</v>
      </c>
      <c r="H6833" s="22">
        <f>IFERROR(__xludf.DUMMYFUNCTION("""COMPUTED_VALUE"""),533365.4586150001)</f>
        <v>533365.4586</v>
      </c>
      <c r="I6833" s="24">
        <f>IFERROR(__xludf.DUMMYFUNCTION("""COMPUTED_VALUE"""),0.06673091723000035)</f>
        <v>0.06673091723</v>
      </c>
    </row>
    <row r="6834">
      <c r="A6834" s="5" t="str">
        <f>IFERROR(__xludf.DUMMYFUNCTION("""COMPUTED_VALUE"""),"79521")</f>
        <v>79521</v>
      </c>
      <c r="B6834" s="64">
        <f>IFERROR(__xludf.DUMMYFUNCTION("""COMPUTED_VALUE"""),44659.0)</f>
        <v>44659</v>
      </c>
      <c r="C6834" s="5"/>
      <c r="D6834" s="5"/>
      <c r="E6834" s="5"/>
      <c r="F6834" s="22">
        <f>IFERROR(__xludf.DUMMYFUNCTION("""COMPUTED_VALUE"""),500000.0)</f>
        <v>500000</v>
      </c>
      <c r="G6834" s="22">
        <f>IFERROR(__xludf.DUMMYFUNCTION("""COMPUTED_VALUE"""),0.0)</f>
        <v>0</v>
      </c>
      <c r="H6834" s="22">
        <f>IFERROR(__xludf.DUMMYFUNCTION("""COMPUTED_VALUE"""),592861.406965)</f>
        <v>592861.407</v>
      </c>
      <c r="I6834" s="24">
        <f>IFERROR(__xludf.DUMMYFUNCTION("""COMPUTED_VALUE"""),0.18572281393)</f>
        <v>0.1857228139</v>
      </c>
    </row>
    <row r="6835">
      <c r="A6835" s="5" t="str">
        <f>IFERROR(__xludf.DUMMYFUNCTION("""COMPUTED_VALUE"""),"79521")</f>
        <v>79521</v>
      </c>
      <c r="B6835" s="64">
        <f>IFERROR(__xludf.DUMMYFUNCTION("""COMPUTED_VALUE"""),44660.0)</f>
        <v>44660</v>
      </c>
      <c r="C6835" s="5"/>
      <c r="D6835" s="5"/>
      <c r="E6835" s="5"/>
      <c r="F6835" s="22">
        <f>IFERROR(__xludf.DUMMYFUNCTION("""COMPUTED_VALUE"""),500000.0)</f>
        <v>500000</v>
      </c>
      <c r="G6835" s="22">
        <f>IFERROR(__xludf.DUMMYFUNCTION("""COMPUTED_VALUE"""),0.0)</f>
        <v>0</v>
      </c>
      <c r="H6835" s="22">
        <f>IFERROR(__xludf.DUMMYFUNCTION("""COMPUTED_VALUE"""),592861.406965)</f>
        <v>592861.407</v>
      </c>
      <c r="I6835" s="24">
        <f>IFERROR(__xludf.DUMMYFUNCTION("""COMPUTED_VALUE"""),0.18572281393)</f>
        <v>0.1857228139</v>
      </c>
    </row>
    <row r="6836">
      <c r="A6836" s="5" t="str">
        <f>IFERROR(__xludf.DUMMYFUNCTION("""COMPUTED_VALUE"""),"79521")</f>
        <v>79521</v>
      </c>
      <c r="B6836" s="64">
        <f>IFERROR(__xludf.DUMMYFUNCTION("""COMPUTED_VALUE"""),44661.0)</f>
        <v>44661</v>
      </c>
      <c r="C6836" s="5"/>
      <c r="D6836" s="5"/>
      <c r="E6836" s="5"/>
      <c r="F6836" s="22">
        <f>IFERROR(__xludf.DUMMYFUNCTION("""COMPUTED_VALUE"""),500000.0)</f>
        <v>500000</v>
      </c>
      <c r="G6836" s="22">
        <f>IFERROR(__xludf.DUMMYFUNCTION("""COMPUTED_VALUE"""),0.0)</f>
        <v>0</v>
      </c>
      <c r="H6836" s="22">
        <f>IFERROR(__xludf.DUMMYFUNCTION("""COMPUTED_VALUE"""),592861.406965)</f>
        <v>592861.407</v>
      </c>
      <c r="I6836" s="24">
        <f>IFERROR(__xludf.DUMMYFUNCTION("""COMPUTED_VALUE"""),0.18572281393)</f>
        <v>0.1857228139</v>
      </c>
    </row>
    <row r="6837">
      <c r="A6837" s="5" t="str">
        <f>IFERROR(__xludf.DUMMYFUNCTION("""COMPUTED_VALUE"""),"79521")</f>
        <v>79521</v>
      </c>
      <c r="B6837" s="64">
        <f>IFERROR(__xludf.DUMMYFUNCTION("""COMPUTED_VALUE"""),44662.0)</f>
        <v>44662</v>
      </c>
      <c r="C6837" s="5"/>
      <c r="D6837" s="5"/>
      <c r="E6837" s="5"/>
      <c r="F6837" s="22">
        <f>IFERROR(__xludf.DUMMYFUNCTION("""COMPUTED_VALUE"""),500000.0)</f>
        <v>500000</v>
      </c>
      <c r="G6837" s="22">
        <f>IFERROR(__xludf.DUMMYFUNCTION("""COMPUTED_VALUE"""),0.0)</f>
        <v>0</v>
      </c>
      <c r="H6837" s="22">
        <f>IFERROR(__xludf.DUMMYFUNCTION("""COMPUTED_VALUE"""),595962.251535)</f>
        <v>595962.2515</v>
      </c>
      <c r="I6837" s="24">
        <f>IFERROR(__xludf.DUMMYFUNCTION("""COMPUTED_VALUE"""),0.19192450307000009)</f>
        <v>0.1919245031</v>
      </c>
    </row>
    <row r="6838">
      <c r="A6838" s="5" t="str">
        <f>IFERROR(__xludf.DUMMYFUNCTION("""COMPUTED_VALUE"""),"79521")</f>
        <v>79521</v>
      </c>
      <c r="B6838" s="64">
        <f>IFERROR(__xludf.DUMMYFUNCTION("""COMPUTED_VALUE"""),44663.0)</f>
        <v>44663</v>
      </c>
      <c r="C6838" s="5"/>
      <c r="D6838" s="5"/>
      <c r="E6838" s="5"/>
      <c r="F6838" s="22">
        <f>IFERROR(__xludf.DUMMYFUNCTION("""COMPUTED_VALUE"""),500000.0)</f>
        <v>500000</v>
      </c>
      <c r="G6838" s="22">
        <f>IFERROR(__xludf.DUMMYFUNCTION("""COMPUTED_VALUE"""),0.0)</f>
        <v>0</v>
      </c>
      <c r="H6838" s="22">
        <f>IFERROR(__xludf.DUMMYFUNCTION("""COMPUTED_VALUE"""),597606.3735750002)</f>
        <v>597606.3736</v>
      </c>
      <c r="I6838" s="24">
        <f>IFERROR(__xludf.DUMMYFUNCTION("""COMPUTED_VALUE"""),0.19521274715000048)</f>
        <v>0.1952127472</v>
      </c>
    </row>
    <row r="6839">
      <c r="A6839" s="5" t="str">
        <f>IFERROR(__xludf.DUMMYFUNCTION("""COMPUTED_VALUE"""),"82124")</f>
        <v>82124</v>
      </c>
      <c r="B6839" s="64">
        <f>IFERROR(__xludf.DUMMYFUNCTION("""COMPUTED_VALUE"""),44597.0)</f>
        <v>44597</v>
      </c>
      <c r="C6839" s="5"/>
      <c r="D6839" s="5"/>
      <c r="E6839" s="5"/>
      <c r="F6839" s="22">
        <f>IFERROR(__xludf.DUMMYFUNCTION("""COMPUTED_VALUE"""),500000.0)</f>
        <v>500000</v>
      </c>
      <c r="G6839" s="22">
        <f>IFERROR(__xludf.DUMMYFUNCTION("""COMPUTED_VALUE"""),0.0)</f>
        <v>0</v>
      </c>
      <c r="H6839" s="22">
        <f>IFERROR(__xludf.DUMMYFUNCTION("""COMPUTED_VALUE"""),500000.0)</f>
        <v>500000</v>
      </c>
      <c r="I6839" s="24">
        <f>IFERROR(__xludf.DUMMYFUNCTION("""COMPUTED_VALUE"""),0.0)</f>
        <v>0</v>
      </c>
    </row>
    <row r="6840">
      <c r="A6840" s="5" t="str">
        <f>IFERROR(__xludf.DUMMYFUNCTION("""COMPUTED_VALUE"""),"82124")</f>
        <v>82124</v>
      </c>
      <c r="B6840" s="64">
        <f>IFERROR(__xludf.DUMMYFUNCTION("""COMPUTED_VALUE"""),44598.0)</f>
        <v>44598</v>
      </c>
      <c r="C6840" s="5"/>
      <c r="D6840" s="5"/>
      <c r="E6840" s="5"/>
      <c r="F6840" s="22">
        <f>IFERROR(__xludf.DUMMYFUNCTION("""COMPUTED_VALUE"""),500000.0)</f>
        <v>500000</v>
      </c>
      <c r="G6840" s="22">
        <f>IFERROR(__xludf.DUMMYFUNCTION("""COMPUTED_VALUE"""),0.0)</f>
        <v>0</v>
      </c>
      <c r="H6840" s="22">
        <f>IFERROR(__xludf.DUMMYFUNCTION("""COMPUTED_VALUE"""),500000.0)</f>
        <v>500000</v>
      </c>
      <c r="I6840" s="24">
        <f>IFERROR(__xludf.DUMMYFUNCTION("""COMPUTED_VALUE"""),0.0)</f>
        <v>0</v>
      </c>
    </row>
    <row r="6841">
      <c r="A6841" s="5" t="str">
        <f>IFERROR(__xludf.DUMMYFUNCTION("""COMPUTED_VALUE"""),"82124")</f>
        <v>82124</v>
      </c>
      <c r="B6841" s="64">
        <f>IFERROR(__xludf.DUMMYFUNCTION("""COMPUTED_VALUE"""),44599.0)</f>
        <v>44599</v>
      </c>
      <c r="C6841" s="5"/>
      <c r="D6841" s="5"/>
      <c r="E6841" s="5"/>
      <c r="F6841" s="22">
        <f>IFERROR(__xludf.DUMMYFUNCTION("""COMPUTED_VALUE"""),500000.0)</f>
        <v>500000</v>
      </c>
      <c r="G6841" s="22">
        <f>IFERROR(__xludf.DUMMYFUNCTION("""COMPUTED_VALUE"""),0.0)</f>
        <v>0</v>
      </c>
      <c r="H6841" s="22">
        <f>IFERROR(__xludf.DUMMYFUNCTION("""COMPUTED_VALUE"""),500000.0)</f>
        <v>500000</v>
      </c>
      <c r="I6841" s="24">
        <f>IFERROR(__xludf.DUMMYFUNCTION("""COMPUTED_VALUE"""),0.0)</f>
        <v>0</v>
      </c>
    </row>
    <row r="6842">
      <c r="A6842" s="5" t="str">
        <f>IFERROR(__xludf.DUMMYFUNCTION("""COMPUTED_VALUE"""),"82124")</f>
        <v>82124</v>
      </c>
      <c r="B6842" s="64">
        <f>IFERROR(__xludf.DUMMYFUNCTION("""COMPUTED_VALUE"""),44600.0)</f>
        <v>44600</v>
      </c>
      <c r="C6842" s="5"/>
      <c r="D6842" s="5"/>
      <c r="E6842" s="5"/>
      <c r="F6842" s="22">
        <f>IFERROR(__xludf.DUMMYFUNCTION("""COMPUTED_VALUE"""),500000.0)</f>
        <v>500000</v>
      </c>
      <c r="G6842" s="22">
        <f>IFERROR(__xludf.DUMMYFUNCTION("""COMPUTED_VALUE"""),0.0)</f>
        <v>0</v>
      </c>
      <c r="H6842" s="22">
        <f>IFERROR(__xludf.DUMMYFUNCTION("""COMPUTED_VALUE"""),500000.0)</f>
        <v>500000</v>
      </c>
      <c r="I6842" s="24">
        <f>IFERROR(__xludf.DUMMYFUNCTION("""COMPUTED_VALUE"""),0.0)</f>
        <v>0</v>
      </c>
    </row>
    <row r="6843">
      <c r="A6843" s="5" t="str">
        <f>IFERROR(__xludf.DUMMYFUNCTION("""COMPUTED_VALUE"""),"82124")</f>
        <v>82124</v>
      </c>
      <c r="B6843" s="64">
        <f>IFERROR(__xludf.DUMMYFUNCTION("""COMPUTED_VALUE"""),44601.0)</f>
        <v>44601</v>
      </c>
      <c r="C6843" s="5"/>
      <c r="D6843" s="5"/>
      <c r="E6843" s="5"/>
      <c r="F6843" s="22">
        <f>IFERROR(__xludf.DUMMYFUNCTION("""COMPUTED_VALUE"""),500000.0)</f>
        <v>500000</v>
      </c>
      <c r="G6843" s="22">
        <f>IFERROR(__xludf.DUMMYFUNCTION("""COMPUTED_VALUE"""),0.0)</f>
        <v>0</v>
      </c>
      <c r="H6843" s="22">
        <f>IFERROR(__xludf.DUMMYFUNCTION("""COMPUTED_VALUE"""),500000.0)</f>
        <v>500000</v>
      </c>
      <c r="I6843" s="24">
        <f>IFERROR(__xludf.DUMMYFUNCTION("""COMPUTED_VALUE"""),0.0)</f>
        <v>0</v>
      </c>
    </row>
    <row r="6844">
      <c r="A6844" s="5" t="str">
        <f>IFERROR(__xludf.DUMMYFUNCTION("""COMPUTED_VALUE"""),"82124")</f>
        <v>82124</v>
      </c>
      <c r="B6844" s="64">
        <f>IFERROR(__xludf.DUMMYFUNCTION("""COMPUTED_VALUE"""),44602.0)</f>
        <v>44602</v>
      </c>
      <c r="C6844" s="5"/>
      <c r="D6844" s="5"/>
      <c r="E6844" s="5"/>
      <c r="F6844" s="22">
        <f>IFERROR(__xludf.DUMMYFUNCTION("""COMPUTED_VALUE"""),500000.0)</f>
        <v>500000</v>
      </c>
      <c r="G6844" s="22">
        <f>IFERROR(__xludf.DUMMYFUNCTION("""COMPUTED_VALUE"""),0.0)</f>
        <v>0</v>
      </c>
      <c r="H6844" s="22">
        <f>IFERROR(__xludf.DUMMYFUNCTION("""COMPUTED_VALUE"""),500000.0)</f>
        <v>500000</v>
      </c>
      <c r="I6844" s="24">
        <f>IFERROR(__xludf.DUMMYFUNCTION("""COMPUTED_VALUE"""),0.0)</f>
        <v>0</v>
      </c>
    </row>
    <row r="6845">
      <c r="A6845" s="5" t="str">
        <f>IFERROR(__xludf.DUMMYFUNCTION("""COMPUTED_VALUE"""),"82124")</f>
        <v>82124</v>
      </c>
      <c r="B6845" s="64">
        <f>IFERROR(__xludf.DUMMYFUNCTION("""COMPUTED_VALUE"""),44603.0)</f>
        <v>44603</v>
      </c>
      <c r="C6845" s="5"/>
      <c r="D6845" s="5"/>
      <c r="E6845" s="5"/>
      <c r="F6845" s="22">
        <f>IFERROR(__xludf.DUMMYFUNCTION("""COMPUTED_VALUE"""),500000.0)</f>
        <v>500000</v>
      </c>
      <c r="G6845" s="22">
        <f>IFERROR(__xludf.DUMMYFUNCTION("""COMPUTED_VALUE"""),0.0)</f>
        <v>0</v>
      </c>
      <c r="H6845" s="22">
        <f>IFERROR(__xludf.DUMMYFUNCTION("""COMPUTED_VALUE"""),500000.0)</f>
        <v>500000</v>
      </c>
      <c r="I6845" s="24">
        <f>IFERROR(__xludf.DUMMYFUNCTION("""COMPUTED_VALUE"""),0.0)</f>
        <v>0</v>
      </c>
    </row>
    <row r="6846">
      <c r="A6846" s="5" t="str">
        <f>IFERROR(__xludf.DUMMYFUNCTION("""COMPUTED_VALUE"""),"82124")</f>
        <v>82124</v>
      </c>
      <c r="B6846" s="64">
        <f>IFERROR(__xludf.DUMMYFUNCTION("""COMPUTED_VALUE"""),44604.0)</f>
        <v>44604</v>
      </c>
      <c r="C6846" s="5"/>
      <c r="D6846" s="5"/>
      <c r="E6846" s="5"/>
      <c r="F6846" s="22">
        <f>IFERROR(__xludf.DUMMYFUNCTION("""COMPUTED_VALUE"""),500000.0)</f>
        <v>500000</v>
      </c>
      <c r="G6846" s="22">
        <f>IFERROR(__xludf.DUMMYFUNCTION("""COMPUTED_VALUE"""),0.0)</f>
        <v>0</v>
      </c>
      <c r="H6846" s="22">
        <f>IFERROR(__xludf.DUMMYFUNCTION("""COMPUTED_VALUE"""),500000.0)</f>
        <v>500000</v>
      </c>
      <c r="I6846" s="24">
        <f>IFERROR(__xludf.DUMMYFUNCTION("""COMPUTED_VALUE"""),0.0)</f>
        <v>0</v>
      </c>
    </row>
    <row r="6847">
      <c r="A6847" s="5" t="str">
        <f>IFERROR(__xludf.DUMMYFUNCTION("""COMPUTED_VALUE"""),"82124")</f>
        <v>82124</v>
      </c>
      <c r="B6847" s="64">
        <f>IFERROR(__xludf.DUMMYFUNCTION("""COMPUTED_VALUE"""),44605.0)</f>
        <v>44605</v>
      </c>
      <c r="C6847" s="5"/>
      <c r="D6847" s="5"/>
      <c r="E6847" s="5"/>
      <c r="F6847" s="22">
        <f>IFERROR(__xludf.DUMMYFUNCTION("""COMPUTED_VALUE"""),500000.0)</f>
        <v>500000</v>
      </c>
      <c r="G6847" s="22">
        <f>IFERROR(__xludf.DUMMYFUNCTION("""COMPUTED_VALUE"""),0.0)</f>
        <v>0</v>
      </c>
      <c r="H6847" s="22">
        <f>IFERROR(__xludf.DUMMYFUNCTION("""COMPUTED_VALUE"""),500000.0)</f>
        <v>500000</v>
      </c>
      <c r="I6847" s="24">
        <f>IFERROR(__xludf.DUMMYFUNCTION("""COMPUTED_VALUE"""),0.0)</f>
        <v>0</v>
      </c>
    </row>
    <row r="6848">
      <c r="A6848" s="5" t="str">
        <f>IFERROR(__xludf.DUMMYFUNCTION("""COMPUTED_VALUE"""),"82124")</f>
        <v>82124</v>
      </c>
      <c r="B6848" s="64">
        <f>IFERROR(__xludf.DUMMYFUNCTION("""COMPUTED_VALUE"""),44606.0)</f>
        <v>44606</v>
      </c>
      <c r="C6848" s="5"/>
      <c r="D6848" s="5"/>
      <c r="E6848" s="5"/>
      <c r="F6848" s="22">
        <f>IFERROR(__xludf.DUMMYFUNCTION("""COMPUTED_VALUE"""),500000.0)</f>
        <v>500000</v>
      </c>
      <c r="G6848" s="22">
        <f>IFERROR(__xludf.DUMMYFUNCTION("""COMPUTED_VALUE"""),0.0)</f>
        <v>0</v>
      </c>
      <c r="H6848" s="22">
        <f>IFERROR(__xludf.DUMMYFUNCTION("""COMPUTED_VALUE"""),500000.0)</f>
        <v>500000</v>
      </c>
      <c r="I6848" s="24">
        <f>IFERROR(__xludf.DUMMYFUNCTION("""COMPUTED_VALUE"""),0.0)</f>
        <v>0</v>
      </c>
    </row>
    <row r="6849">
      <c r="A6849" s="5" t="str">
        <f>IFERROR(__xludf.DUMMYFUNCTION("""COMPUTED_VALUE"""),"82124")</f>
        <v>82124</v>
      </c>
      <c r="B6849" s="64">
        <f>IFERROR(__xludf.DUMMYFUNCTION("""COMPUTED_VALUE"""),44607.0)</f>
        <v>44607</v>
      </c>
      <c r="C6849" s="5"/>
      <c r="D6849" s="5"/>
      <c r="E6849" s="5"/>
      <c r="F6849" s="22">
        <f>IFERROR(__xludf.DUMMYFUNCTION("""COMPUTED_VALUE"""),500000.0)</f>
        <v>500000</v>
      </c>
      <c r="G6849" s="22">
        <f>IFERROR(__xludf.DUMMYFUNCTION("""COMPUTED_VALUE"""),0.0)</f>
        <v>0</v>
      </c>
      <c r="H6849" s="22">
        <f>IFERROR(__xludf.DUMMYFUNCTION("""COMPUTED_VALUE"""),500000.0)</f>
        <v>500000</v>
      </c>
      <c r="I6849" s="24">
        <f>IFERROR(__xludf.DUMMYFUNCTION("""COMPUTED_VALUE"""),0.0)</f>
        <v>0</v>
      </c>
    </row>
    <row r="6850">
      <c r="A6850" s="5" t="str">
        <f>IFERROR(__xludf.DUMMYFUNCTION("""COMPUTED_VALUE"""),"82124")</f>
        <v>82124</v>
      </c>
      <c r="B6850" s="64">
        <f>IFERROR(__xludf.DUMMYFUNCTION("""COMPUTED_VALUE"""),44608.0)</f>
        <v>44608</v>
      </c>
      <c r="C6850" s="5"/>
      <c r="D6850" s="5"/>
      <c r="E6850" s="5"/>
      <c r="F6850" s="22">
        <f>IFERROR(__xludf.DUMMYFUNCTION("""COMPUTED_VALUE"""),500000.0)</f>
        <v>500000</v>
      </c>
      <c r="G6850" s="22">
        <f>IFERROR(__xludf.DUMMYFUNCTION("""COMPUTED_VALUE"""),0.0)</f>
        <v>0</v>
      </c>
      <c r="H6850" s="22">
        <f>IFERROR(__xludf.DUMMYFUNCTION("""COMPUTED_VALUE"""),500000.0)</f>
        <v>500000</v>
      </c>
      <c r="I6850" s="24">
        <f>IFERROR(__xludf.DUMMYFUNCTION("""COMPUTED_VALUE"""),0.0)</f>
        <v>0</v>
      </c>
    </row>
    <row r="6851">
      <c r="A6851" s="5" t="str">
        <f>IFERROR(__xludf.DUMMYFUNCTION("""COMPUTED_VALUE"""),"82124")</f>
        <v>82124</v>
      </c>
      <c r="B6851" s="64">
        <f>IFERROR(__xludf.DUMMYFUNCTION("""COMPUTED_VALUE"""),44609.0)</f>
        <v>44609</v>
      </c>
      <c r="C6851" s="5"/>
      <c r="D6851" s="5"/>
      <c r="E6851" s="5"/>
      <c r="F6851" s="22">
        <f>IFERROR(__xludf.DUMMYFUNCTION("""COMPUTED_VALUE"""),500000.0)</f>
        <v>500000</v>
      </c>
      <c r="G6851" s="22">
        <f>IFERROR(__xludf.DUMMYFUNCTION("""COMPUTED_VALUE"""),0.0)</f>
        <v>0</v>
      </c>
      <c r="H6851" s="22">
        <f>IFERROR(__xludf.DUMMYFUNCTION("""COMPUTED_VALUE"""),500100.0)</f>
        <v>500100</v>
      </c>
      <c r="I6851" s="24">
        <f>IFERROR(__xludf.DUMMYFUNCTION("""COMPUTED_VALUE"""),1.9999999999997797E-4)</f>
        <v>0.0002</v>
      </c>
    </row>
    <row r="6852">
      <c r="A6852" s="5" t="str">
        <f>IFERROR(__xludf.DUMMYFUNCTION("""COMPUTED_VALUE"""),"82124")</f>
        <v>82124</v>
      </c>
      <c r="B6852" s="64">
        <f>IFERROR(__xludf.DUMMYFUNCTION("""COMPUTED_VALUE"""),44610.0)</f>
        <v>44610</v>
      </c>
      <c r="C6852" s="5"/>
      <c r="D6852" s="5"/>
      <c r="E6852" s="5"/>
      <c r="F6852" s="22">
        <f>IFERROR(__xludf.DUMMYFUNCTION("""COMPUTED_VALUE"""),500000.0)</f>
        <v>500000</v>
      </c>
      <c r="G6852" s="22">
        <f>IFERROR(__xludf.DUMMYFUNCTION("""COMPUTED_VALUE"""),0.0)</f>
        <v>0</v>
      </c>
      <c r="H6852" s="22">
        <f>IFERROR(__xludf.DUMMYFUNCTION("""COMPUTED_VALUE"""),499400.0)</f>
        <v>499400</v>
      </c>
      <c r="I6852" s="24">
        <f>IFERROR(__xludf.DUMMYFUNCTION("""COMPUTED_VALUE"""),-0.0011999999999999789)</f>
        <v>-0.0012</v>
      </c>
    </row>
    <row r="6853">
      <c r="A6853" s="5" t="str">
        <f>IFERROR(__xludf.DUMMYFUNCTION("""COMPUTED_VALUE"""),"82124")</f>
        <v>82124</v>
      </c>
      <c r="B6853" s="64">
        <f>IFERROR(__xludf.DUMMYFUNCTION("""COMPUTED_VALUE"""),44611.0)</f>
        <v>44611</v>
      </c>
      <c r="C6853" s="5"/>
      <c r="D6853" s="5"/>
      <c r="E6853" s="5"/>
      <c r="F6853" s="22">
        <f>IFERROR(__xludf.DUMMYFUNCTION("""COMPUTED_VALUE"""),500000.0)</f>
        <v>500000</v>
      </c>
      <c r="G6853" s="22">
        <f>IFERROR(__xludf.DUMMYFUNCTION("""COMPUTED_VALUE"""),0.0)</f>
        <v>0</v>
      </c>
      <c r="H6853" s="22">
        <f>IFERROR(__xludf.DUMMYFUNCTION("""COMPUTED_VALUE"""),499400.0)</f>
        <v>499400</v>
      </c>
      <c r="I6853" s="24">
        <f>IFERROR(__xludf.DUMMYFUNCTION("""COMPUTED_VALUE"""),-0.0011999999999999789)</f>
        <v>-0.0012</v>
      </c>
    </row>
    <row r="6854">
      <c r="A6854" s="5" t="str">
        <f>IFERROR(__xludf.DUMMYFUNCTION("""COMPUTED_VALUE"""),"82124")</f>
        <v>82124</v>
      </c>
      <c r="B6854" s="64">
        <f>IFERROR(__xludf.DUMMYFUNCTION("""COMPUTED_VALUE"""),44612.0)</f>
        <v>44612</v>
      </c>
      <c r="C6854" s="5"/>
      <c r="D6854" s="5"/>
      <c r="E6854" s="5"/>
      <c r="F6854" s="22">
        <f>IFERROR(__xludf.DUMMYFUNCTION("""COMPUTED_VALUE"""),500000.0)</f>
        <v>500000</v>
      </c>
      <c r="G6854" s="22">
        <f>IFERROR(__xludf.DUMMYFUNCTION("""COMPUTED_VALUE"""),0.0)</f>
        <v>0</v>
      </c>
      <c r="H6854" s="22">
        <f>IFERROR(__xludf.DUMMYFUNCTION("""COMPUTED_VALUE"""),499400.0)</f>
        <v>499400</v>
      </c>
      <c r="I6854" s="24">
        <f>IFERROR(__xludf.DUMMYFUNCTION("""COMPUTED_VALUE"""),-0.0011999999999999789)</f>
        <v>-0.0012</v>
      </c>
    </row>
    <row r="6855">
      <c r="A6855" s="5" t="str">
        <f>IFERROR(__xludf.DUMMYFUNCTION("""COMPUTED_VALUE"""),"82124")</f>
        <v>82124</v>
      </c>
      <c r="B6855" s="64">
        <f>IFERROR(__xludf.DUMMYFUNCTION("""COMPUTED_VALUE"""),44613.0)</f>
        <v>44613</v>
      </c>
      <c r="C6855" s="5"/>
      <c r="D6855" s="5"/>
      <c r="E6855" s="5"/>
      <c r="F6855" s="22">
        <f>IFERROR(__xludf.DUMMYFUNCTION("""COMPUTED_VALUE"""),500000.0)</f>
        <v>500000</v>
      </c>
      <c r="G6855" s="22">
        <f>IFERROR(__xludf.DUMMYFUNCTION("""COMPUTED_VALUE"""),0.0)</f>
        <v>0</v>
      </c>
      <c r="H6855" s="22">
        <f>IFERROR(__xludf.DUMMYFUNCTION("""COMPUTED_VALUE"""),498480.0)</f>
        <v>498480</v>
      </c>
      <c r="I6855" s="24">
        <f>IFERROR(__xludf.DUMMYFUNCTION("""COMPUTED_VALUE"""),-0.0030400000000000427)</f>
        <v>-0.00304</v>
      </c>
    </row>
    <row r="6856">
      <c r="A6856" s="5" t="str">
        <f>IFERROR(__xludf.DUMMYFUNCTION("""COMPUTED_VALUE"""),"82124")</f>
        <v>82124</v>
      </c>
      <c r="B6856" s="64">
        <f>IFERROR(__xludf.DUMMYFUNCTION("""COMPUTED_VALUE"""),44614.0)</f>
        <v>44614</v>
      </c>
      <c r="C6856" s="5"/>
      <c r="D6856" s="5"/>
      <c r="E6856" s="5"/>
      <c r="F6856" s="22">
        <f>IFERROR(__xludf.DUMMYFUNCTION("""COMPUTED_VALUE"""),500000.0)</f>
        <v>500000</v>
      </c>
      <c r="G6856" s="22">
        <f>IFERROR(__xludf.DUMMYFUNCTION("""COMPUTED_VALUE"""),0.0)</f>
        <v>0</v>
      </c>
      <c r="H6856" s="22">
        <f>IFERROR(__xludf.DUMMYFUNCTION("""COMPUTED_VALUE"""),497180.0)</f>
        <v>497180</v>
      </c>
      <c r="I6856" s="24">
        <f>IFERROR(__xludf.DUMMYFUNCTION("""COMPUTED_VALUE"""),-0.005639999999999978)</f>
        <v>-0.00564</v>
      </c>
    </row>
    <row r="6857">
      <c r="A6857" s="5" t="str">
        <f>IFERROR(__xludf.DUMMYFUNCTION("""COMPUTED_VALUE"""),"82124")</f>
        <v>82124</v>
      </c>
      <c r="B6857" s="64">
        <f>IFERROR(__xludf.DUMMYFUNCTION("""COMPUTED_VALUE"""),44615.0)</f>
        <v>44615</v>
      </c>
      <c r="C6857" s="5"/>
      <c r="D6857" s="5"/>
      <c r="E6857" s="5"/>
      <c r="F6857" s="22">
        <f>IFERROR(__xludf.DUMMYFUNCTION("""COMPUTED_VALUE"""),500000.0)</f>
        <v>500000</v>
      </c>
      <c r="G6857" s="22">
        <f>IFERROR(__xludf.DUMMYFUNCTION("""COMPUTED_VALUE"""),0.0)</f>
        <v>0</v>
      </c>
      <c r="H6857" s="22">
        <f>IFERROR(__xludf.DUMMYFUNCTION("""COMPUTED_VALUE"""),496980.0)</f>
        <v>496980</v>
      </c>
      <c r="I6857" s="24">
        <f>IFERROR(__xludf.DUMMYFUNCTION("""COMPUTED_VALUE"""),-0.006040000000000045)</f>
        <v>-0.00604</v>
      </c>
    </row>
    <row r="6858">
      <c r="A6858" s="5" t="str">
        <f>IFERROR(__xludf.DUMMYFUNCTION("""COMPUTED_VALUE"""),"82124")</f>
        <v>82124</v>
      </c>
      <c r="B6858" s="64">
        <f>IFERROR(__xludf.DUMMYFUNCTION("""COMPUTED_VALUE"""),44616.0)</f>
        <v>44616</v>
      </c>
      <c r="C6858" s="5"/>
      <c r="D6858" s="5"/>
      <c r="E6858" s="5"/>
      <c r="F6858" s="22">
        <f>IFERROR(__xludf.DUMMYFUNCTION("""COMPUTED_VALUE"""),500000.0)</f>
        <v>500000</v>
      </c>
      <c r="G6858" s="22">
        <f>IFERROR(__xludf.DUMMYFUNCTION("""COMPUTED_VALUE"""),0.0)</f>
        <v>0</v>
      </c>
      <c r="H6858" s="22">
        <f>IFERROR(__xludf.DUMMYFUNCTION("""COMPUTED_VALUE"""),494580.0)</f>
        <v>494580</v>
      </c>
      <c r="I6858" s="24">
        <f>IFERROR(__xludf.DUMMYFUNCTION("""COMPUTED_VALUE"""),-0.01083999999999996)</f>
        <v>-0.01084</v>
      </c>
    </row>
    <row r="6859">
      <c r="A6859" s="5" t="str">
        <f>IFERROR(__xludf.DUMMYFUNCTION("""COMPUTED_VALUE"""),"82124")</f>
        <v>82124</v>
      </c>
      <c r="B6859" s="64">
        <f>IFERROR(__xludf.DUMMYFUNCTION("""COMPUTED_VALUE"""),44617.0)</f>
        <v>44617</v>
      </c>
      <c r="C6859" s="5"/>
      <c r="D6859" s="5"/>
      <c r="E6859" s="5"/>
      <c r="F6859" s="22">
        <f>IFERROR(__xludf.DUMMYFUNCTION("""COMPUTED_VALUE"""),500000.0)</f>
        <v>500000</v>
      </c>
      <c r="G6859" s="22">
        <f>IFERROR(__xludf.DUMMYFUNCTION("""COMPUTED_VALUE"""),0.0)</f>
        <v>0</v>
      </c>
      <c r="H6859" s="22">
        <f>IFERROR(__xludf.DUMMYFUNCTION("""COMPUTED_VALUE"""),493810.0)</f>
        <v>493810</v>
      </c>
      <c r="I6859" s="24">
        <f>IFERROR(__xludf.DUMMYFUNCTION("""COMPUTED_VALUE"""),-0.012379999999999947)</f>
        <v>-0.01238</v>
      </c>
    </row>
    <row r="6860">
      <c r="A6860" s="5" t="str">
        <f>IFERROR(__xludf.DUMMYFUNCTION("""COMPUTED_VALUE"""),"82124")</f>
        <v>82124</v>
      </c>
      <c r="B6860" s="64">
        <f>IFERROR(__xludf.DUMMYFUNCTION("""COMPUTED_VALUE"""),44618.0)</f>
        <v>44618</v>
      </c>
      <c r="C6860" s="5"/>
      <c r="D6860" s="5"/>
      <c r="E6860" s="5"/>
      <c r="F6860" s="22">
        <f>IFERROR(__xludf.DUMMYFUNCTION("""COMPUTED_VALUE"""),500000.0)</f>
        <v>500000</v>
      </c>
      <c r="G6860" s="22">
        <f>IFERROR(__xludf.DUMMYFUNCTION("""COMPUTED_VALUE"""),0.0)</f>
        <v>0</v>
      </c>
      <c r="H6860" s="22">
        <f>IFERROR(__xludf.DUMMYFUNCTION("""COMPUTED_VALUE"""),493810.0)</f>
        <v>493810</v>
      </c>
      <c r="I6860" s="24">
        <f>IFERROR(__xludf.DUMMYFUNCTION("""COMPUTED_VALUE"""),-0.012379999999999947)</f>
        <v>-0.01238</v>
      </c>
    </row>
    <row r="6861">
      <c r="A6861" s="5" t="str">
        <f>IFERROR(__xludf.DUMMYFUNCTION("""COMPUTED_VALUE"""),"82124")</f>
        <v>82124</v>
      </c>
      <c r="B6861" s="64">
        <f>IFERROR(__xludf.DUMMYFUNCTION("""COMPUTED_VALUE"""),44619.0)</f>
        <v>44619</v>
      </c>
      <c r="C6861" s="5"/>
      <c r="D6861" s="5"/>
      <c r="E6861" s="5"/>
      <c r="F6861" s="22">
        <f>IFERROR(__xludf.DUMMYFUNCTION("""COMPUTED_VALUE"""),500000.0)</f>
        <v>500000</v>
      </c>
      <c r="G6861" s="22">
        <f>IFERROR(__xludf.DUMMYFUNCTION("""COMPUTED_VALUE"""),0.0)</f>
        <v>0</v>
      </c>
      <c r="H6861" s="22">
        <f>IFERROR(__xludf.DUMMYFUNCTION("""COMPUTED_VALUE"""),493810.0)</f>
        <v>493810</v>
      </c>
      <c r="I6861" s="24">
        <f>IFERROR(__xludf.DUMMYFUNCTION("""COMPUTED_VALUE"""),-0.012379999999999947)</f>
        <v>-0.01238</v>
      </c>
    </row>
    <row r="6862">
      <c r="A6862" s="5" t="str">
        <f>IFERROR(__xludf.DUMMYFUNCTION("""COMPUTED_VALUE"""),"82124")</f>
        <v>82124</v>
      </c>
      <c r="B6862" s="64">
        <f>IFERROR(__xludf.DUMMYFUNCTION("""COMPUTED_VALUE"""),44620.0)</f>
        <v>44620</v>
      </c>
      <c r="C6862" s="5"/>
      <c r="D6862" s="5"/>
      <c r="E6862" s="5"/>
      <c r="F6862" s="22">
        <f>IFERROR(__xludf.DUMMYFUNCTION("""COMPUTED_VALUE"""),500000.0)</f>
        <v>500000</v>
      </c>
      <c r="G6862" s="22">
        <f>IFERROR(__xludf.DUMMYFUNCTION("""COMPUTED_VALUE"""),0.0)</f>
        <v>0</v>
      </c>
      <c r="H6862" s="22">
        <f>IFERROR(__xludf.DUMMYFUNCTION("""COMPUTED_VALUE"""),493240.0)</f>
        <v>493240</v>
      </c>
      <c r="I6862" s="24">
        <f>IFERROR(__xludf.DUMMYFUNCTION("""COMPUTED_VALUE"""),-0.013519999999999976)</f>
        <v>-0.01352</v>
      </c>
    </row>
    <row r="6863">
      <c r="A6863" s="5" t="str">
        <f>IFERROR(__xludf.DUMMYFUNCTION("""COMPUTED_VALUE"""),"82124")</f>
        <v>82124</v>
      </c>
      <c r="B6863" s="64">
        <f>IFERROR(__xludf.DUMMYFUNCTION("""COMPUTED_VALUE"""),44621.0)</f>
        <v>44621</v>
      </c>
      <c r="C6863" s="5"/>
      <c r="D6863" s="5"/>
      <c r="E6863" s="5"/>
      <c r="F6863" s="22">
        <f>IFERROR(__xludf.DUMMYFUNCTION("""COMPUTED_VALUE"""),500000.0)</f>
        <v>500000</v>
      </c>
      <c r="G6863" s="22">
        <f>IFERROR(__xludf.DUMMYFUNCTION("""COMPUTED_VALUE"""),0.0)</f>
        <v>0</v>
      </c>
      <c r="H6863" s="22">
        <f>IFERROR(__xludf.DUMMYFUNCTION("""COMPUTED_VALUE"""),493510.0)</f>
        <v>493510</v>
      </c>
      <c r="I6863" s="24">
        <f>IFERROR(__xludf.DUMMYFUNCTION("""COMPUTED_VALUE"""),-0.012979999999999992)</f>
        <v>-0.01298</v>
      </c>
    </row>
    <row r="6864">
      <c r="A6864" s="5" t="str">
        <f>IFERROR(__xludf.DUMMYFUNCTION("""COMPUTED_VALUE"""),"82124")</f>
        <v>82124</v>
      </c>
      <c r="B6864" s="64">
        <f>IFERROR(__xludf.DUMMYFUNCTION("""COMPUTED_VALUE"""),44622.0)</f>
        <v>44622</v>
      </c>
      <c r="C6864" s="5"/>
      <c r="D6864" s="5"/>
      <c r="E6864" s="5"/>
      <c r="F6864" s="22">
        <f>IFERROR(__xludf.DUMMYFUNCTION("""COMPUTED_VALUE"""),500000.0)</f>
        <v>500000</v>
      </c>
      <c r="G6864" s="22">
        <f>IFERROR(__xludf.DUMMYFUNCTION("""COMPUTED_VALUE"""),0.0)</f>
        <v>0</v>
      </c>
      <c r="H6864" s="22">
        <f>IFERROR(__xludf.DUMMYFUNCTION("""COMPUTED_VALUE"""),492630.0)</f>
        <v>492630</v>
      </c>
      <c r="I6864" s="24">
        <f>IFERROR(__xludf.DUMMYFUNCTION("""COMPUTED_VALUE"""),-0.014739999999999975)</f>
        <v>-0.01474</v>
      </c>
    </row>
    <row r="6865">
      <c r="A6865" s="5" t="str">
        <f>IFERROR(__xludf.DUMMYFUNCTION("""COMPUTED_VALUE"""),"82124")</f>
        <v>82124</v>
      </c>
      <c r="B6865" s="64">
        <f>IFERROR(__xludf.DUMMYFUNCTION("""COMPUTED_VALUE"""),44623.0)</f>
        <v>44623</v>
      </c>
      <c r="C6865" s="5"/>
      <c r="D6865" s="5"/>
      <c r="E6865" s="5"/>
      <c r="F6865" s="22">
        <f>IFERROR(__xludf.DUMMYFUNCTION("""COMPUTED_VALUE"""),500000.0)</f>
        <v>500000</v>
      </c>
      <c r="G6865" s="22">
        <f>IFERROR(__xludf.DUMMYFUNCTION("""COMPUTED_VALUE"""),0.0)</f>
        <v>0</v>
      </c>
      <c r="H6865" s="22">
        <f>IFERROR(__xludf.DUMMYFUNCTION("""COMPUTED_VALUE"""),493330.0)</f>
        <v>493330</v>
      </c>
      <c r="I6865" s="24">
        <f>IFERROR(__xludf.DUMMYFUNCTION("""COMPUTED_VALUE"""),-0.013340000000000019)</f>
        <v>-0.01334</v>
      </c>
    </row>
    <row r="6866">
      <c r="A6866" s="5" t="str">
        <f>IFERROR(__xludf.DUMMYFUNCTION("""COMPUTED_VALUE"""),"82124")</f>
        <v>82124</v>
      </c>
      <c r="B6866" s="64">
        <f>IFERROR(__xludf.DUMMYFUNCTION("""COMPUTED_VALUE"""),44624.0)</f>
        <v>44624</v>
      </c>
      <c r="C6866" s="5"/>
      <c r="D6866" s="5"/>
      <c r="E6866" s="5"/>
      <c r="F6866" s="22">
        <f>IFERROR(__xludf.DUMMYFUNCTION("""COMPUTED_VALUE"""),500000.0)</f>
        <v>500000</v>
      </c>
      <c r="G6866" s="22">
        <f>IFERROR(__xludf.DUMMYFUNCTION("""COMPUTED_VALUE"""),0.0)</f>
        <v>0</v>
      </c>
      <c r="H6866" s="22">
        <f>IFERROR(__xludf.DUMMYFUNCTION("""COMPUTED_VALUE"""),488670.0)</f>
        <v>488670</v>
      </c>
      <c r="I6866" s="24">
        <f>IFERROR(__xludf.DUMMYFUNCTION("""COMPUTED_VALUE"""),-0.022660000000000013)</f>
        <v>-0.02266</v>
      </c>
    </row>
    <row r="6867">
      <c r="A6867" s="5" t="str">
        <f>IFERROR(__xludf.DUMMYFUNCTION("""COMPUTED_VALUE"""),"82124")</f>
        <v>82124</v>
      </c>
      <c r="B6867" s="64">
        <f>IFERROR(__xludf.DUMMYFUNCTION("""COMPUTED_VALUE"""),44625.0)</f>
        <v>44625</v>
      </c>
      <c r="C6867" s="5"/>
      <c r="D6867" s="5"/>
      <c r="E6867" s="5"/>
      <c r="F6867" s="22">
        <f>IFERROR(__xludf.DUMMYFUNCTION("""COMPUTED_VALUE"""),500000.0)</f>
        <v>500000</v>
      </c>
      <c r="G6867" s="22">
        <f>IFERROR(__xludf.DUMMYFUNCTION("""COMPUTED_VALUE"""),0.0)</f>
        <v>0</v>
      </c>
      <c r="H6867" s="22">
        <f>IFERROR(__xludf.DUMMYFUNCTION("""COMPUTED_VALUE"""),488670.0)</f>
        <v>488670</v>
      </c>
      <c r="I6867" s="24">
        <f>IFERROR(__xludf.DUMMYFUNCTION("""COMPUTED_VALUE"""),-0.022660000000000013)</f>
        <v>-0.02266</v>
      </c>
    </row>
    <row r="6868">
      <c r="A6868" s="5" t="str">
        <f>IFERROR(__xludf.DUMMYFUNCTION("""COMPUTED_VALUE"""),"82124")</f>
        <v>82124</v>
      </c>
      <c r="B6868" s="64">
        <f>IFERROR(__xludf.DUMMYFUNCTION("""COMPUTED_VALUE"""),44626.0)</f>
        <v>44626</v>
      </c>
      <c r="C6868" s="5"/>
      <c r="D6868" s="5"/>
      <c r="E6868" s="5"/>
      <c r="F6868" s="22">
        <f>IFERROR(__xludf.DUMMYFUNCTION("""COMPUTED_VALUE"""),500000.0)</f>
        <v>500000</v>
      </c>
      <c r="G6868" s="22">
        <f>IFERROR(__xludf.DUMMYFUNCTION("""COMPUTED_VALUE"""),0.0)</f>
        <v>0</v>
      </c>
      <c r="H6868" s="22">
        <f>IFERROR(__xludf.DUMMYFUNCTION("""COMPUTED_VALUE"""),488670.0)</f>
        <v>488670</v>
      </c>
      <c r="I6868" s="24">
        <f>IFERROR(__xludf.DUMMYFUNCTION("""COMPUTED_VALUE"""),-0.022660000000000013)</f>
        <v>-0.02266</v>
      </c>
    </row>
    <row r="6869">
      <c r="A6869" s="5" t="str">
        <f>IFERROR(__xludf.DUMMYFUNCTION("""COMPUTED_VALUE"""),"82124")</f>
        <v>82124</v>
      </c>
      <c r="B6869" s="64">
        <f>IFERROR(__xludf.DUMMYFUNCTION("""COMPUTED_VALUE"""),44627.0)</f>
        <v>44627</v>
      </c>
      <c r="C6869" s="5"/>
      <c r="D6869" s="5"/>
      <c r="E6869" s="5"/>
      <c r="F6869" s="22">
        <f>IFERROR(__xludf.DUMMYFUNCTION("""COMPUTED_VALUE"""),500000.0)</f>
        <v>500000</v>
      </c>
      <c r="G6869" s="22">
        <f>IFERROR(__xludf.DUMMYFUNCTION("""COMPUTED_VALUE"""),0.0)</f>
        <v>0</v>
      </c>
      <c r="H6869" s="22">
        <f>IFERROR(__xludf.DUMMYFUNCTION("""COMPUTED_VALUE"""),483520.0)</f>
        <v>483520</v>
      </c>
      <c r="I6869" s="24">
        <f>IFERROR(__xludf.DUMMYFUNCTION("""COMPUTED_VALUE"""),-0.03295999999999999)</f>
        <v>-0.03296</v>
      </c>
    </row>
    <row r="6870">
      <c r="A6870" s="5" t="str">
        <f>IFERROR(__xludf.DUMMYFUNCTION("""COMPUTED_VALUE"""),"82124")</f>
        <v>82124</v>
      </c>
      <c r="B6870" s="64">
        <f>IFERROR(__xludf.DUMMYFUNCTION("""COMPUTED_VALUE"""),44628.0)</f>
        <v>44628</v>
      </c>
      <c r="C6870" s="5"/>
      <c r="D6870" s="5"/>
      <c r="E6870" s="5"/>
      <c r="F6870" s="22">
        <f>IFERROR(__xludf.DUMMYFUNCTION("""COMPUTED_VALUE"""),500000.0)</f>
        <v>500000</v>
      </c>
      <c r="G6870" s="22">
        <f>IFERROR(__xludf.DUMMYFUNCTION("""COMPUTED_VALUE"""),0.0)</f>
        <v>0</v>
      </c>
      <c r="H6870" s="22">
        <f>IFERROR(__xludf.DUMMYFUNCTION("""COMPUTED_VALUE"""),481680.0)</f>
        <v>481680</v>
      </c>
      <c r="I6870" s="24">
        <f>IFERROR(__xludf.DUMMYFUNCTION("""COMPUTED_VALUE"""),-0.036640000000000006)</f>
        <v>-0.03664</v>
      </c>
    </row>
    <row r="6871">
      <c r="A6871" s="5" t="str">
        <f>IFERROR(__xludf.DUMMYFUNCTION("""COMPUTED_VALUE"""),"82124")</f>
        <v>82124</v>
      </c>
      <c r="B6871" s="64">
        <f>IFERROR(__xludf.DUMMYFUNCTION("""COMPUTED_VALUE"""),44629.0)</f>
        <v>44629</v>
      </c>
      <c r="C6871" s="5"/>
      <c r="D6871" s="5"/>
      <c r="E6871" s="5"/>
      <c r="F6871" s="22">
        <f>IFERROR(__xludf.DUMMYFUNCTION("""COMPUTED_VALUE"""),500000.0)</f>
        <v>500000</v>
      </c>
      <c r="G6871" s="22">
        <f>IFERROR(__xludf.DUMMYFUNCTION("""COMPUTED_VALUE"""),0.0)</f>
        <v>0</v>
      </c>
      <c r="H6871" s="22">
        <f>IFERROR(__xludf.DUMMYFUNCTION("""COMPUTED_VALUE"""),480965.0)</f>
        <v>480965</v>
      </c>
      <c r="I6871" s="24">
        <f>IFERROR(__xludf.DUMMYFUNCTION("""COMPUTED_VALUE"""),-0.03807000000000005)</f>
        <v>-0.03807</v>
      </c>
    </row>
    <row r="6872">
      <c r="A6872" s="5" t="str">
        <f>IFERROR(__xludf.DUMMYFUNCTION("""COMPUTED_VALUE"""),"82124")</f>
        <v>82124</v>
      </c>
      <c r="B6872" s="64">
        <f>IFERROR(__xludf.DUMMYFUNCTION("""COMPUTED_VALUE"""),44630.0)</f>
        <v>44630</v>
      </c>
      <c r="C6872" s="5"/>
      <c r="D6872" s="5"/>
      <c r="E6872" s="5"/>
      <c r="F6872" s="22">
        <f>IFERROR(__xludf.DUMMYFUNCTION("""COMPUTED_VALUE"""),500000.0)</f>
        <v>500000</v>
      </c>
      <c r="G6872" s="22">
        <f>IFERROR(__xludf.DUMMYFUNCTION("""COMPUTED_VALUE"""),0.0)</f>
        <v>0</v>
      </c>
      <c r="H6872" s="22">
        <f>IFERROR(__xludf.DUMMYFUNCTION("""COMPUTED_VALUE"""),484740.0)</f>
        <v>484740</v>
      </c>
      <c r="I6872" s="24">
        <f>IFERROR(__xludf.DUMMYFUNCTION("""COMPUTED_VALUE"""),-0.03051999999999999)</f>
        <v>-0.03052</v>
      </c>
    </row>
    <row r="6873">
      <c r="A6873" s="5" t="str">
        <f>IFERROR(__xludf.DUMMYFUNCTION("""COMPUTED_VALUE"""),"82124")</f>
        <v>82124</v>
      </c>
      <c r="B6873" s="64">
        <f>IFERROR(__xludf.DUMMYFUNCTION("""COMPUTED_VALUE"""),44631.0)</f>
        <v>44631</v>
      </c>
      <c r="C6873" s="5"/>
      <c r="D6873" s="5"/>
      <c r="E6873" s="5"/>
      <c r="F6873" s="22">
        <f>IFERROR(__xludf.DUMMYFUNCTION("""COMPUTED_VALUE"""),500000.0)</f>
        <v>500000</v>
      </c>
      <c r="G6873" s="22">
        <f>IFERROR(__xludf.DUMMYFUNCTION("""COMPUTED_VALUE"""),0.0)</f>
        <v>0</v>
      </c>
      <c r="H6873" s="22">
        <f>IFERROR(__xludf.DUMMYFUNCTION("""COMPUTED_VALUE"""),480690.0)</f>
        <v>480690</v>
      </c>
      <c r="I6873" s="24">
        <f>IFERROR(__xludf.DUMMYFUNCTION("""COMPUTED_VALUE"""),-0.03861999999999999)</f>
        <v>-0.03862</v>
      </c>
    </row>
    <row r="6874">
      <c r="A6874" s="5" t="str">
        <f>IFERROR(__xludf.DUMMYFUNCTION("""COMPUTED_VALUE"""),"82124")</f>
        <v>82124</v>
      </c>
      <c r="B6874" s="64">
        <f>IFERROR(__xludf.DUMMYFUNCTION("""COMPUTED_VALUE"""),44632.0)</f>
        <v>44632</v>
      </c>
      <c r="C6874" s="5"/>
      <c r="D6874" s="5"/>
      <c r="E6874" s="5"/>
      <c r="F6874" s="22">
        <f>IFERROR(__xludf.DUMMYFUNCTION("""COMPUTED_VALUE"""),500000.0)</f>
        <v>500000</v>
      </c>
      <c r="G6874" s="22">
        <f>IFERROR(__xludf.DUMMYFUNCTION("""COMPUTED_VALUE"""),0.0)</f>
        <v>0</v>
      </c>
      <c r="H6874" s="22">
        <f>IFERROR(__xludf.DUMMYFUNCTION("""COMPUTED_VALUE"""),480690.0)</f>
        <v>480690</v>
      </c>
      <c r="I6874" s="24">
        <f>IFERROR(__xludf.DUMMYFUNCTION("""COMPUTED_VALUE"""),-0.03861999999999999)</f>
        <v>-0.03862</v>
      </c>
    </row>
    <row r="6875">
      <c r="A6875" s="5" t="str">
        <f>IFERROR(__xludf.DUMMYFUNCTION("""COMPUTED_VALUE"""),"82124")</f>
        <v>82124</v>
      </c>
      <c r="B6875" s="64">
        <f>IFERROR(__xludf.DUMMYFUNCTION("""COMPUTED_VALUE"""),44633.0)</f>
        <v>44633</v>
      </c>
      <c r="C6875" s="5"/>
      <c r="D6875" s="5"/>
      <c r="E6875" s="5"/>
      <c r="F6875" s="22">
        <f>IFERROR(__xludf.DUMMYFUNCTION("""COMPUTED_VALUE"""),500000.0)</f>
        <v>500000</v>
      </c>
      <c r="G6875" s="22">
        <f>IFERROR(__xludf.DUMMYFUNCTION("""COMPUTED_VALUE"""),0.0)</f>
        <v>0</v>
      </c>
      <c r="H6875" s="22">
        <f>IFERROR(__xludf.DUMMYFUNCTION("""COMPUTED_VALUE"""),480690.0)</f>
        <v>480690</v>
      </c>
      <c r="I6875" s="24">
        <f>IFERROR(__xludf.DUMMYFUNCTION("""COMPUTED_VALUE"""),-0.03861999999999999)</f>
        <v>-0.03862</v>
      </c>
    </row>
    <row r="6876">
      <c r="A6876" s="5" t="str">
        <f>IFERROR(__xludf.DUMMYFUNCTION("""COMPUTED_VALUE"""),"82124")</f>
        <v>82124</v>
      </c>
      <c r="B6876" s="64">
        <f>IFERROR(__xludf.DUMMYFUNCTION("""COMPUTED_VALUE"""),44634.0)</f>
        <v>44634</v>
      </c>
      <c r="C6876" s="5"/>
      <c r="D6876" s="5"/>
      <c r="E6876" s="5"/>
      <c r="F6876" s="22">
        <f>IFERROR(__xludf.DUMMYFUNCTION("""COMPUTED_VALUE"""),500000.0)</f>
        <v>500000</v>
      </c>
      <c r="G6876" s="22">
        <f>IFERROR(__xludf.DUMMYFUNCTION("""COMPUTED_VALUE"""),0.0)</f>
        <v>0</v>
      </c>
      <c r="H6876" s="22">
        <f>IFERROR(__xludf.DUMMYFUNCTION("""COMPUTED_VALUE"""),459550.0)</f>
        <v>459550</v>
      </c>
      <c r="I6876" s="24">
        <f>IFERROR(__xludf.DUMMYFUNCTION("""COMPUTED_VALUE"""),-0.08089999999999997)</f>
        <v>-0.0809</v>
      </c>
    </row>
    <row r="6877">
      <c r="A6877" s="5" t="str">
        <f>IFERROR(__xludf.DUMMYFUNCTION("""COMPUTED_VALUE"""),"82124")</f>
        <v>82124</v>
      </c>
      <c r="B6877" s="64">
        <f>IFERROR(__xludf.DUMMYFUNCTION("""COMPUTED_VALUE"""),44635.0)</f>
        <v>44635</v>
      </c>
      <c r="C6877" s="5"/>
      <c r="D6877" s="5"/>
      <c r="E6877" s="5"/>
      <c r="F6877" s="22">
        <f>IFERROR(__xludf.DUMMYFUNCTION("""COMPUTED_VALUE"""),500000.0)</f>
        <v>500000</v>
      </c>
      <c r="G6877" s="22">
        <f>IFERROR(__xludf.DUMMYFUNCTION("""COMPUTED_VALUE"""),0.0)</f>
        <v>0</v>
      </c>
      <c r="H6877" s="22">
        <f>IFERROR(__xludf.DUMMYFUNCTION("""COMPUTED_VALUE"""),437470.0)</f>
        <v>437470</v>
      </c>
      <c r="I6877" s="24">
        <f>IFERROR(__xludf.DUMMYFUNCTION("""COMPUTED_VALUE"""),-0.12505999999999995)</f>
        <v>-0.12506</v>
      </c>
    </row>
    <row r="6878">
      <c r="A6878" s="5" t="str">
        <f>IFERROR(__xludf.DUMMYFUNCTION("""COMPUTED_VALUE"""),"82124")</f>
        <v>82124</v>
      </c>
      <c r="B6878" s="64">
        <f>IFERROR(__xludf.DUMMYFUNCTION("""COMPUTED_VALUE"""),44636.0)</f>
        <v>44636</v>
      </c>
      <c r="C6878" s="5"/>
      <c r="D6878" s="5"/>
      <c r="E6878" s="5"/>
      <c r="F6878" s="22">
        <f>IFERROR(__xludf.DUMMYFUNCTION("""COMPUTED_VALUE"""),500000.0)</f>
        <v>500000</v>
      </c>
      <c r="G6878" s="22">
        <f>IFERROR(__xludf.DUMMYFUNCTION("""COMPUTED_VALUE"""),0.0)</f>
        <v>0</v>
      </c>
      <c r="H6878" s="22">
        <f>IFERROR(__xludf.DUMMYFUNCTION("""COMPUTED_VALUE"""),479680.0)</f>
        <v>479680</v>
      </c>
      <c r="I6878" s="24">
        <f>IFERROR(__xludf.DUMMYFUNCTION("""COMPUTED_VALUE"""),-0.04064000000000001)</f>
        <v>-0.04064</v>
      </c>
    </row>
    <row r="6879">
      <c r="A6879" s="5" t="str">
        <f>IFERROR(__xludf.DUMMYFUNCTION("""COMPUTED_VALUE"""),"82124")</f>
        <v>82124</v>
      </c>
      <c r="B6879" s="64">
        <f>IFERROR(__xludf.DUMMYFUNCTION("""COMPUTED_VALUE"""),44637.0)</f>
        <v>44637</v>
      </c>
      <c r="C6879" s="5"/>
      <c r="D6879" s="5"/>
      <c r="E6879" s="5"/>
      <c r="F6879" s="22">
        <f>IFERROR(__xludf.DUMMYFUNCTION("""COMPUTED_VALUE"""),500000.0)</f>
        <v>500000</v>
      </c>
      <c r="G6879" s="22">
        <f>IFERROR(__xludf.DUMMYFUNCTION("""COMPUTED_VALUE"""),0.0)</f>
        <v>0</v>
      </c>
      <c r="H6879" s="22">
        <f>IFERROR(__xludf.DUMMYFUNCTION("""COMPUTED_VALUE"""),504780.0)</f>
        <v>504780</v>
      </c>
      <c r="I6879" s="24">
        <f>IFERROR(__xludf.DUMMYFUNCTION("""COMPUTED_VALUE"""),0.009560000000000013)</f>
        <v>0.00956</v>
      </c>
    </row>
    <row r="6880">
      <c r="A6880" s="5" t="str">
        <f>IFERROR(__xludf.DUMMYFUNCTION("""COMPUTED_VALUE"""),"82124")</f>
        <v>82124</v>
      </c>
      <c r="B6880" s="64">
        <f>IFERROR(__xludf.DUMMYFUNCTION("""COMPUTED_VALUE"""),44638.0)</f>
        <v>44638</v>
      </c>
      <c r="C6880" s="5"/>
      <c r="D6880" s="5"/>
      <c r="E6880" s="5"/>
      <c r="F6880" s="22">
        <f>IFERROR(__xludf.DUMMYFUNCTION("""COMPUTED_VALUE"""),500000.0)</f>
        <v>500000</v>
      </c>
      <c r="G6880" s="22">
        <f>IFERROR(__xludf.DUMMYFUNCTION("""COMPUTED_VALUE"""),0.0)</f>
        <v>0</v>
      </c>
      <c r="H6880" s="22">
        <f>IFERROR(__xludf.DUMMYFUNCTION("""COMPUTED_VALUE"""),500750.0)</f>
        <v>500750</v>
      </c>
      <c r="I6880" s="24">
        <f>IFERROR(__xludf.DUMMYFUNCTION("""COMPUTED_VALUE"""),0.0015000000000000568)</f>
        <v>0.0015</v>
      </c>
    </row>
    <row r="6881">
      <c r="A6881" s="5" t="str">
        <f>IFERROR(__xludf.DUMMYFUNCTION("""COMPUTED_VALUE"""),"82124")</f>
        <v>82124</v>
      </c>
      <c r="B6881" s="64">
        <f>IFERROR(__xludf.DUMMYFUNCTION("""COMPUTED_VALUE"""),44639.0)</f>
        <v>44639</v>
      </c>
      <c r="C6881" s="5"/>
      <c r="D6881" s="5"/>
      <c r="E6881" s="5"/>
      <c r="F6881" s="22">
        <f>IFERROR(__xludf.DUMMYFUNCTION("""COMPUTED_VALUE"""),500000.0)</f>
        <v>500000</v>
      </c>
      <c r="G6881" s="22">
        <f>IFERROR(__xludf.DUMMYFUNCTION("""COMPUTED_VALUE"""),0.0)</f>
        <v>0</v>
      </c>
      <c r="H6881" s="22">
        <f>IFERROR(__xludf.DUMMYFUNCTION("""COMPUTED_VALUE"""),500750.0)</f>
        <v>500750</v>
      </c>
      <c r="I6881" s="24">
        <f>IFERROR(__xludf.DUMMYFUNCTION("""COMPUTED_VALUE"""),0.0015000000000000568)</f>
        <v>0.0015</v>
      </c>
    </row>
    <row r="6882">
      <c r="A6882" s="5" t="str">
        <f>IFERROR(__xludf.DUMMYFUNCTION("""COMPUTED_VALUE"""),"82124")</f>
        <v>82124</v>
      </c>
      <c r="B6882" s="64">
        <f>IFERROR(__xludf.DUMMYFUNCTION("""COMPUTED_VALUE"""),44640.0)</f>
        <v>44640</v>
      </c>
      <c r="C6882" s="5"/>
      <c r="D6882" s="5"/>
      <c r="E6882" s="5"/>
      <c r="F6882" s="22">
        <f>IFERROR(__xludf.DUMMYFUNCTION("""COMPUTED_VALUE"""),500000.0)</f>
        <v>500000</v>
      </c>
      <c r="G6882" s="22">
        <f>IFERROR(__xludf.DUMMYFUNCTION("""COMPUTED_VALUE"""),0.0)</f>
        <v>0</v>
      </c>
      <c r="H6882" s="22">
        <f>IFERROR(__xludf.DUMMYFUNCTION("""COMPUTED_VALUE"""),500750.0)</f>
        <v>500750</v>
      </c>
      <c r="I6882" s="24">
        <f>IFERROR(__xludf.DUMMYFUNCTION("""COMPUTED_VALUE"""),0.0015000000000000568)</f>
        <v>0.0015</v>
      </c>
    </row>
    <row r="6883">
      <c r="A6883" s="5" t="str">
        <f>IFERROR(__xludf.DUMMYFUNCTION("""COMPUTED_VALUE"""),"82124")</f>
        <v>82124</v>
      </c>
      <c r="B6883" s="64">
        <f>IFERROR(__xludf.DUMMYFUNCTION("""COMPUTED_VALUE"""),44641.0)</f>
        <v>44641</v>
      </c>
      <c r="C6883" s="5"/>
      <c r="D6883" s="5"/>
      <c r="E6883" s="5"/>
      <c r="F6883" s="22">
        <f>IFERROR(__xludf.DUMMYFUNCTION("""COMPUTED_VALUE"""),500000.0)</f>
        <v>500000</v>
      </c>
      <c r="G6883" s="22">
        <f>IFERROR(__xludf.DUMMYFUNCTION("""COMPUTED_VALUE"""),0.0)</f>
        <v>0</v>
      </c>
      <c r="H6883" s="22">
        <f>IFERROR(__xludf.DUMMYFUNCTION("""COMPUTED_VALUE"""),498870.0)</f>
        <v>498870</v>
      </c>
      <c r="I6883" s="24">
        <f>IFERROR(__xludf.DUMMYFUNCTION("""COMPUTED_VALUE"""),-0.0022600000000000398)</f>
        <v>-0.00226</v>
      </c>
    </row>
    <row r="6884">
      <c r="A6884" s="5" t="str">
        <f>IFERROR(__xludf.DUMMYFUNCTION("""COMPUTED_VALUE"""),"82124")</f>
        <v>82124</v>
      </c>
      <c r="B6884" s="64">
        <f>IFERROR(__xludf.DUMMYFUNCTION("""COMPUTED_VALUE"""),44642.0)</f>
        <v>44642</v>
      </c>
      <c r="C6884" s="5"/>
      <c r="D6884" s="5"/>
      <c r="E6884" s="5"/>
      <c r="F6884" s="22">
        <f>IFERROR(__xludf.DUMMYFUNCTION("""COMPUTED_VALUE"""),500000.0)</f>
        <v>500000</v>
      </c>
      <c r="G6884" s="22">
        <f>IFERROR(__xludf.DUMMYFUNCTION("""COMPUTED_VALUE"""),0.0)</f>
        <v>0</v>
      </c>
      <c r="H6884" s="22">
        <f>IFERROR(__xludf.DUMMYFUNCTION("""COMPUTED_VALUE"""),516460.0)</f>
        <v>516460</v>
      </c>
      <c r="I6884" s="24">
        <f>IFERROR(__xludf.DUMMYFUNCTION("""COMPUTED_VALUE"""),0.03292000000000006)</f>
        <v>0.03292</v>
      </c>
    </row>
    <row r="6885">
      <c r="A6885" s="5" t="str">
        <f>IFERROR(__xludf.DUMMYFUNCTION("""COMPUTED_VALUE"""),"82124")</f>
        <v>82124</v>
      </c>
      <c r="B6885" s="64">
        <f>IFERROR(__xludf.DUMMYFUNCTION("""COMPUTED_VALUE"""),44643.0)</f>
        <v>44643</v>
      </c>
      <c r="C6885" s="5"/>
      <c r="D6885" s="5"/>
      <c r="E6885" s="5"/>
      <c r="F6885" s="22">
        <f>IFERROR(__xludf.DUMMYFUNCTION("""COMPUTED_VALUE"""),500000.0)</f>
        <v>500000</v>
      </c>
      <c r="G6885" s="22">
        <f>IFERROR(__xludf.DUMMYFUNCTION("""COMPUTED_VALUE"""),0.0)</f>
        <v>0</v>
      </c>
      <c r="H6885" s="22">
        <f>IFERROR(__xludf.DUMMYFUNCTION("""COMPUTED_VALUE"""),527210.0)</f>
        <v>527210</v>
      </c>
      <c r="I6885" s="24">
        <f>IFERROR(__xludf.DUMMYFUNCTION("""COMPUTED_VALUE"""),0.05441999999999991)</f>
        <v>0.05442</v>
      </c>
    </row>
    <row r="6886">
      <c r="A6886" s="5" t="str">
        <f>IFERROR(__xludf.DUMMYFUNCTION("""COMPUTED_VALUE"""),"82124")</f>
        <v>82124</v>
      </c>
      <c r="B6886" s="64">
        <f>IFERROR(__xludf.DUMMYFUNCTION("""COMPUTED_VALUE"""),44644.0)</f>
        <v>44644</v>
      </c>
      <c r="C6886" s="5"/>
      <c r="D6886" s="5"/>
      <c r="E6886" s="5"/>
      <c r="F6886" s="22">
        <f>IFERROR(__xludf.DUMMYFUNCTION("""COMPUTED_VALUE"""),500000.0)</f>
        <v>500000</v>
      </c>
      <c r="G6886" s="22">
        <f>IFERROR(__xludf.DUMMYFUNCTION("""COMPUTED_VALUE"""),0.0)</f>
        <v>0</v>
      </c>
      <c r="H6886" s="22">
        <f>IFERROR(__xludf.DUMMYFUNCTION("""COMPUTED_VALUE"""),523400.0)</f>
        <v>523400</v>
      </c>
      <c r="I6886" s="24">
        <f>IFERROR(__xludf.DUMMYFUNCTION("""COMPUTED_VALUE"""),0.04679999999999995)</f>
        <v>0.0468</v>
      </c>
    </row>
    <row r="6887">
      <c r="A6887" s="5" t="str">
        <f>IFERROR(__xludf.DUMMYFUNCTION("""COMPUTED_VALUE"""),"82124")</f>
        <v>82124</v>
      </c>
      <c r="B6887" s="64">
        <f>IFERROR(__xludf.DUMMYFUNCTION("""COMPUTED_VALUE"""),44645.0)</f>
        <v>44645</v>
      </c>
      <c r="C6887" s="5"/>
      <c r="D6887" s="5"/>
      <c r="E6887" s="5"/>
      <c r="F6887" s="22">
        <f>IFERROR(__xludf.DUMMYFUNCTION("""COMPUTED_VALUE"""),500000.0)</f>
        <v>500000</v>
      </c>
      <c r="G6887" s="22">
        <f>IFERROR(__xludf.DUMMYFUNCTION("""COMPUTED_VALUE"""),0.0)</f>
        <v>0</v>
      </c>
      <c r="H6887" s="22">
        <f>IFERROR(__xludf.DUMMYFUNCTION("""COMPUTED_VALUE"""),514120.0)</f>
        <v>514120</v>
      </c>
      <c r="I6887" s="24">
        <f>IFERROR(__xludf.DUMMYFUNCTION("""COMPUTED_VALUE"""),0.028240000000000043)</f>
        <v>0.02824</v>
      </c>
    </row>
    <row r="6888">
      <c r="A6888" s="5" t="str">
        <f>IFERROR(__xludf.DUMMYFUNCTION("""COMPUTED_VALUE"""),"82124")</f>
        <v>82124</v>
      </c>
      <c r="B6888" s="64">
        <f>IFERROR(__xludf.DUMMYFUNCTION("""COMPUTED_VALUE"""),44646.0)</f>
        <v>44646</v>
      </c>
      <c r="C6888" s="5"/>
      <c r="D6888" s="5"/>
      <c r="E6888" s="5"/>
      <c r="F6888" s="22">
        <f>IFERROR(__xludf.DUMMYFUNCTION("""COMPUTED_VALUE"""),500000.0)</f>
        <v>500000</v>
      </c>
      <c r="G6888" s="22">
        <f>IFERROR(__xludf.DUMMYFUNCTION("""COMPUTED_VALUE"""),0.0)</f>
        <v>0</v>
      </c>
      <c r="H6888" s="22">
        <f>IFERROR(__xludf.DUMMYFUNCTION("""COMPUTED_VALUE"""),514120.0)</f>
        <v>514120</v>
      </c>
      <c r="I6888" s="24">
        <f>IFERROR(__xludf.DUMMYFUNCTION("""COMPUTED_VALUE"""),0.028240000000000043)</f>
        <v>0.02824</v>
      </c>
    </row>
    <row r="6889">
      <c r="A6889" s="5" t="str">
        <f>IFERROR(__xludf.DUMMYFUNCTION("""COMPUTED_VALUE"""),"82124")</f>
        <v>82124</v>
      </c>
      <c r="B6889" s="64">
        <f>IFERROR(__xludf.DUMMYFUNCTION("""COMPUTED_VALUE"""),44647.0)</f>
        <v>44647</v>
      </c>
      <c r="C6889" s="5"/>
      <c r="D6889" s="5"/>
      <c r="E6889" s="5"/>
      <c r="F6889" s="22">
        <f>IFERROR(__xludf.DUMMYFUNCTION("""COMPUTED_VALUE"""),500000.0)</f>
        <v>500000</v>
      </c>
      <c r="G6889" s="22">
        <f>IFERROR(__xludf.DUMMYFUNCTION("""COMPUTED_VALUE"""),0.0)</f>
        <v>0</v>
      </c>
      <c r="H6889" s="22">
        <f>IFERROR(__xludf.DUMMYFUNCTION("""COMPUTED_VALUE"""),514120.0)</f>
        <v>514120</v>
      </c>
      <c r="I6889" s="24">
        <f>IFERROR(__xludf.DUMMYFUNCTION("""COMPUTED_VALUE"""),0.028240000000000043)</f>
        <v>0.02824</v>
      </c>
    </row>
    <row r="6890">
      <c r="A6890" s="5" t="str">
        <f>IFERROR(__xludf.DUMMYFUNCTION("""COMPUTED_VALUE"""),"82124")</f>
        <v>82124</v>
      </c>
      <c r="B6890" s="64">
        <f>IFERROR(__xludf.DUMMYFUNCTION("""COMPUTED_VALUE"""),44648.0)</f>
        <v>44648</v>
      </c>
      <c r="C6890" s="5"/>
      <c r="D6890" s="5"/>
      <c r="E6890" s="5"/>
      <c r="F6890" s="22">
        <f>IFERROR(__xludf.DUMMYFUNCTION("""COMPUTED_VALUE"""),500000.0)</f>
        <v>500000</v>
      </c>
      <c r="G6890" s="22">
        <f>IFERROR(__xludf.DUMMYFUNCTION("""COMPUTED_VALUE"""),0.0)</f>
        <v>0</v>
      </c>
      <c r="H6890" s="22">
        <f>IFERROR(__xludf.DUMMYFUNCTION("""COMPUTED_VALUE"""),518440.0)</f>
        <v>518440</v>
      </c>
      <c r="I6890" s="24">
        <f>IFERROR(__xludf.DUMMYFUNCTION("""COMPUTED_VALUE"""),0.036880000000000024)</f>
        <v>0.03688</v>
      </c>
    </row>
    <row r="6891">
      <c r="A6891" s="5" t="str">
        <f>IFERROR(__xludf.DUMMYFUNCTION("""COMPUTED_VALUE"""),"82124")</f>
        <v>82124</v>
      </c>
      <c r="B6891" s="64">
        <f>IFERROR(__xludf.DUMMYFUNCTION("""COMPUTED_VALUE"""),44649.0)</f>
        <v>44649</v>
      </c>
      <c r="C6891" s="5"/>
      <c r="D6891" s="5"/>
      <c r="E6891" s="5"/>
      <c r="F6891" s="22">
        <f>IFERROR(__xludf.DUMMYFUNCTION("""COMPUTED_VALUE"""),500000.0)</f>
        <v>500000</v>
      </c>
      <c r="G6891" s="22">
        <f>IFERROR(__xludf.DUMMYFUNCTION("""COMPUTED_VALUE"""),0.0)</f>
        <v>0</v>
      </c>
      <c r="H6891" s="22">
        <f>IFERROR(__xludf.DUMMYFUNCTION("""COMPUTED_VALUE"""),521840.0)</f>
        <v>521840</v>
      </c>
      <c r="I6891" s="24">
        <f>IFERROR(__xludf.DUMMYFUNCTION("""COMPUTED_VALUE"""),0.04367999999999994)</f>
        <v>0.04368</v>
      </c>
    </row>
    <row r="6892">
      <c r="A6892" s="5" t="str">
        <f>IFERROR(__xludf.DUMMYFUNCTION("""COMPUTED_VALUE"""),"82124")</f>
        <v>82124</v>
      </c>
      <c r="B6892" s="64">
        <f>IFERROR(__xludf.DUMMYFUNCTION("""COMPUTED_VALUE"""),44650.0)</f>
        <v>44650</v>
      </c>
      <c r="C6892" s="5"/>
      <c r="D6892" s="5"/>
      <c r="E6892" s="5"/>
      <c r="F6892" s="22">
        <f>IFERROR(__xludf.DUMMYFUNCTION("""COMPUTED_VALUE"""),500000.0)</f>
        <v>500000</v>
      </c>
      <c r="G6892" s="22">
        <f>IFERROR(__xludf.DUMMYFUNCTION("""COMPUTED_VALUE"""),0.0)</f>
        <v>0</v>
      </c>
      <c r="H6892" s="22">
        <f>IFERROR(__xludf.DUMMYFUNCTION("""COMPUTED_VALUE"""),523900.0)</f>
        <v>523900</v>
      </c>
      <c r="I6892" s="24">
        <f>IFERROR(__xludf.DUMMYFUNCTION("""COMPUTED_VALUE"""),0.047800000000000065)</f>
        <v>0.0478</v>
      </c>
    </row>
    <row r="6893">
      <c r="A6893" s="5" t="str">
        <f>IFERROR(__xludf.DUMMYFUNCTION("""COMPUTED_VALUE"""),"82124")</f>
        <v>82124</v>
      </c>
      <c r="B6893" s="64">
        <f>IFERROR(__xludf.DUMMYFUNCTION("""COMPUTED_VALUE"""),44651.0)</f>
        <v>44651</v>
      </c>
      <c r="C6893" s="5"/>
      <c r="D6893" s="5"/>
      <c r="E6893" s="5"/>
      <c r="F6893" s="22">
        <f>IFERROR(__xludf.DUMMYFUNCTION("""COMPUTED_VALUE"""),500000.0)</f>
        <v>500000</v>
      </c>
      <c r="G6893" s="22">
        <f>IFERROR(__xludf.DUMMYFUNCTION("""COMPUTED_VALUE"""),0.0)</f>
        <v>0</v>
      </c>
      <c r="H6893" s="22">
        <f>IFERROR(__xludf.DUMMYFUNCTION("""COMPUTED_VALUE"""),520860.0)</f>
        <v>520860</v>
      </c>
      <c r="I6893" s="24">
        <f>IFERROR(__xludf.DUMMYFUNCTION("""COMPUTED_VALUE"""),0.04171999999999998)</f>
        <v>0.04172</v>
      </c>
    </row>
    <row r="6894">
      <c r="A6894" s="5" t="str">
        <f>IFERROR(__xludf.DUMMYFUNCTION("""COMPUTED_VALUE"""),"82124")</f>
        <v>82124</v>
      </c>
      <c r="B6894" s="64">
        <f>IFERROR(__xludf.DUMMYFUNCTION("""COMPUTED_VALUE"""),44652.0)</f>
        <v>44652</v>
      </c>
      <c r="C6894" s="5"/>
      <c r="D6894" s="5"/>
      <c r="E6894" s="5"/>
      <c r="F6894" s="22">
        <f>IFERROR(__xludf.DUMMYFUNCTION("""COMPUTED_VALUE"""),500000.0)</f>
        <v>500000</v>
      </c>
      <c r="G6894" s="22">
        <f>IFERROR(__xludf.DUMMYFUNCTION("""COMPUTED_VALUE"""),0.0)</f>
        <v>0</v>
      </c>
      <c r="H6894" s="22">
        <f>IFERROR(__xludf.DUMMYFUNCTION("""COMPUTED_VALUE"""),518320.0)</f>
        <v>518320</v>
      </c>
      <c r="I6894" s="24">
        <f>IFERROR(__xludf.DUMMYFUNCTION("""COMPUTED_VALUE"""),0.036640000000000006)</f>
        <v>0.03664</v>
      </c>
    </row>
    <row r="6895">
      <c r="A6895" s="5" t="str">
        <f>IFERROR(__xludf.DUMMYFUNCTION("""COMPUTED_VALUE"""),"82124")</f>
        <v>82124</v>
      </c>
      <c r="B6895" s="64">
        <f>IFERROR(__xludf.DUMMYFUNCTION("""COMPUTED_VALUE"""),44653.0)</f>
        <v>44653</v>
      </c>
      <c r="C6895" s="5"/>
      <c r="D6895" s="5"/>
      <c r="E6895" s="5"/>
      <c r="F6895" s="22">
        <f>IFERROR(__xludf.DUMMYFUNCTION("""COMPUTED_VALUE"""),500000.0)</f>
        <v>500000</v>
      </c>
      <c r="G6895" s="22">
        <f>IFERROR(__xludf.DUMMYFUNCTION("""COMPUTED_VALUE"""),0.0)</f>
        <v>0</v>
      </c>
      <c r="H6895" s="22">
        <f>IFERROR(__xludf.DUMMYFUNCTION("""COMPUTED_VALUE"""),518320.0)</f>
        <v>518320</v>
      </c>
      <c r="I6895" s="24">
        <f>IFERROR(__xludf.DUMMYFUNCTION("""COMPUTED_VALUE"""),0.036640000000000006)</f>
        <v>0.03664</v>
      </c>
    </row>
    <row r="6896">
      <c r="A6896" s="5" t="str">
        <f>IFERROR(__xludf.DUMMYFUNCTION("""COMPUTED_VALUE"""),"82124")</f>
        <v>82124</v>
      </c>
      <c r="B6896" s="64">
        <f>IFERROR(__xludf.DUMMYFUNCTION("""COMPUTED_VALUE"""),44654.0)</f>
        <v>44654</v>
      </c>
      <c r="C6896" s="5"/>
      <c r="D6896" s="5"/>
      <c r="E6896" s="5"/>
      <c r="F6896" s="22">
        <f>IFERROR(__xludf.DUMMYFUNCTION("""COMPUTED_VALUE"""),500000.0)</f>
        <v>500000</v>
      </c>
      <c r="G6896" s="22">
        <f>IFERROR(__xludf.DUMMYFUNCTION("""COMPUTED_VALUE"""),0.0)</f>
        <v>0</v>
      </c>
      <c r="H6896" s="22">
        <f>IFERROR(__xludf.DUMMYFUNCTION("""COMPUTED_VALUE"""),518320.0)</f>
        <v>518320</v>
      </c>
      <c r="I6896" s="24">
        <f>IFERROR(__xludf.DUMMYFUNCTION("""COMPUTED_VALUE"""),0.036640000000000006)</f>
        <v>0.03664</v>
      </c>
    </row>
    <row r="6897">
      <c r="A6897" s="5" t="str">
        <f>IFERROR(__xludf.DUMMYFUNCTION("""COMPUTED_VALUE"""),"82124")</f>
        <v>82124</v>
      </c>
      <c r="B6897" s="64">
        <f>IFERROR(__xludf.DUMMYFUNCTION("""COMPUTED_VALUE"""),44655.0)</f>
        <v>44655</v>
      </c>
      <c r="C6897" s="5"/>
      <c r="D6897" s="5"/>
      <c r="E6897" s="5"/>
      <c r="F6897" s="22">
        <f>IFERROR(__xludf.DUMMYFUNCTION("""COMPUTED_VALUE"""),500000.0)</f>
        <v>500000</v>
      </c>
      <c r="G6897" s="22">
        <f>IFERROR(__xludf.DUMMYFUNCTION("""COMPUTED_VALUE"""),0.0)</f>
        <v>0</v>
      </c>
      <c r="H6897" s="22">
        <f>IFERROR(__xludf.DUMMYFUNCTION("""COMPUTED_VALUE"""),523600.0)</f>
        <v>523600</v>
      </c>
      <c r="I6897" s="24">
        <f>IFERROR(__xludf.DUMMYFUNCTION("""COMPUTED_VALUE"""),0.04719999999999991)</f>
        <v>0.0472</v>
      </c>
    </row>
    <row r="6898">
      <c r="A6898" s="5" t="str">
        <f>IFERROR(__xludf.DUMMYFUNCTION("""COMPUTED_VALUE"""),"82124")</f>
        <v>82124</v>
      </c>
      <c r="B6898" s="64">
        <f>IFERROR(__xludf.DUMMYFUNCTION("""COMPUTED_VALUE"""),44656.0)</f>
        <v>44656</v>
      </c>
      <c r="C6898" s="5"/>
      <c r="D6898" s="5"/>
      <c r="E6898" s="5"/>
      <c r="F6898" s="22">
        <f>IFERROR(__xludf.DUMMYFUNCTION("""COMPUTED_VALUE"""),500000.0)</f>
        <v>500000</v>
      </c>
      <c r="G6898" s="22">
        <f>IFERROR(__xludf.DUMMYFUNCTION("""COMPUTED_VALUE"""),0.0)</f>
        <v>0</v>
      </c>
      <c r="H6898" s="22">
        <f>IFERROR(__xludf.DUMMYFUNCTION("""COMPUTED_VALUE"""),523600.0)</f>
        <v>523600</v>
      </c>
      <c r="I6898" s="24">
        <f>IFERROR(__xludf.DUMMYFUNCTION("""COMPUTED_VALUE"""),0.04719999999999991)</f>
        <v>0.0472</v>
      </c>
    </row>
    <row r="6899">
      <c r="A6899" s="5" t="str">
        <f>IFERROR(__xludf.DUMMYFUNCTION("""COMPUTED_VALUE"""),"82124")</f>
        <v>82124</v>
      </c>
      <c r="B6899" s="64">
        <f>IFERROR(__xludf.DUMMYFUNCTION("""COMPUTED_VALUE"""),44657.0)</f>
        <v>44657</v>
      </c>
      <c r="C6899" s="5"/>
      <c r="D6899" s="5"/>
      <c r="E6899" s="5"/>
      <c r="F6899" s="22">
        <f>IFERROR(__xludf.DUMMYFUNCTION("""COMPUTED_VALUE"""),500000.0)</f>
        <v>500000</v>
      </c>
      <c r="G6899" s="22">
        <f>IFERROR(__xludf.DUMMYFUNCTION("""COMPUTED_VALUE"""),0.0)</f>
        <v>0</v>
      </c>
      <c r="H6899" s="22">
        <f>IFERROR(__xludf.DUMMYFUNCTION("""COMPUTED_VALUE"""),515340.0)</f>
        <v>515340</v>
      </c>
      <c r="I6899" s="24">
        <f>IFERROR(__xludf.DUMMYFUNCTION("""COMPUTED_VALUE"""),0.03068000000000004)</f>
        <v>0.03068</v>
      </c>
    </row>
    <row r="6900">
      <c r="A6900" s="5" t="str">
        <f>IFERROR(__xludf.DUMMYFUNCTION("""COMPUTED_VALUE"""),"82124")</f>
        <v>82124</v>
      </c>
      <c r="B6900" s="64">
        <f>IFERROR(__xludf.DUMMYFUNCTION("""COMPUTED_VALUE"""),44658.0)</f>
        <v>44658</v>
      </c>
      <c r="C6900" s="5"/>
      <c r="D6900" s="5"/>
      <c r="E6900" s="5"/>
      <c r="F6900" s="22">
        <f>IFERROR(__xludf.DUMMYFUNCTION("""COMPUTED_VALUE"""),500000.0)</f>
        <v>500000</v>
      </c>
      <c r="G6900" s="22">
        <f>IFERROR(__xludf.DUMMYFUNCTION("""COMPUTED_VALUE"""),0.0)</f>
        <v>0</v>
      </c>
      <c r="H6900" s="22">
        <f>IFERROR(__xludf.DUMMYFUNCTION("""COMPUTED_VALUE"""),512040.0)</f>
        <v>512040</v>
      </c>
      <c r="I6900" s="24">
        <f>IFERROR(__xludf.DUMMYFUNCTION("""COMPUTED_VALUE"""),0.0240800000000001)</f>
        <v>0.02408</v>
      </c>
    </row>
    <row r="6901">
      <c r="A6901" s="5" t="str">
        <f>IFERROR(__xludf.DUMMYFUNCTION("""COMPUTED_VALUE"""),"82124")</f>
        <v>82124</v>
      </c>
      <c r="B6901" s="64">
        <f>IFERROR(__xludf.DUMMYFUNCTION("""COMPUTED_VALUE"""),44659.0)</f>
        <v>44659</v>
      </c>
      <c r="C6901" s="5"/>
      <c r="D6901" s="5"/>
      <c r="E6901" s="5"/>
      <c r="F6901" s="22">
        <f>IFERROR(__xludf.DUMMYFUNCTION("""COMPUTED_VALUE"""),500000.0)</f>
        <v>500000</v>
      </c>
      <c r="G6901" s="22">
        <f>IFERROR(__xludf.DUMMYFUNCTION("""COMPUTED_VALUE"""),0.0)</f>
        <v>0</v>
      </c>
      <c r="H6901" s="22">
        <f>IFERROR(__xludf.DUMMYFUNCTION("""COMPUTED_VALUE"""),510560.0)</f>
        <v>510560</v>
      </c>
      <c r="I6901" s="24">
        <f>IFERROR(__xludf.DUMMYFUNCTION("""COMPUTED_VALUE"""),0.021120000000000028)</f>
        <v>0.02112</v>
      </c>
    </row>
    <row r="6902">
      <c r="A6902" s="5" t="str">
        <f>IFERROR(__xludf.DUMMYFUNCTION("""COMPUTED_VALUE"""),"82124")</f>
        <v>82124</v>
      </c>
      <c r="B6902" s="64">
        <f>IFERROR(__xludf.DUMMYFUNCTION("""COMPUTED_VALUE"""),44660.0)</f>
        <v>44660</v>
      </c>
      <c r="C6902" s="5"/>
      <c r="D6902" s="5"/>
      <c r="E6902" s="5"/>
      <c r="F6902" s="22">
        <f>IFERROR(__xludf.DUMMYFUNCTION("""COMPUTED_VALUE"""),500000.0)</f>
        <v>500000</v>
      </c>
      <c r="G6902" s="22">
        <f>IFERROR(__xludf.DUMMYFUNCTION("""COMPUTED_VALUE"""),0.0)</f>
        <v>0</v>
      </c>
      <c r="H6902" s="22">
        <f>IFERROR(__xludf.DUMMYFUNCTION("""COMPUTED_VALUE"""),510560.0)</f>
        <v>510560</v>
      </c>
      <c r="I6902" s="24">
        <f>IFERROR(__xludf.DUMMYFUNCTION("""COMPUTED_VALUE"""),0.021120000000000028)</f>
        <v>0.02112</v>
      </c>
    </row>
    <row r="6903">
      <c r="A6903" s="5" t="str">
        <f>IFERROR(__xludf.DUMMYFUNCTION("""COMPUTED_VALUE"""),"82124")</f>
        <v>82124</v>
      </c>
      <c r="B6903" s="64">
        <f>IFERROR(__xludf.DUMMYFUNCTION("""COMPUTED_VALUE"""),44661.0)</f>
        <v>44661</v>
      </c>
      <c r="C6903" s="5"/>
      <c r="D6903" s="5"/>
      <c r="E6903" s="5"/>
      <c r="F6903" s="22">
        <f>IFERROR(__xludf.DUMMYFUNCTION("""COMPUTED_VALUE"""),500000.0)</f>
        <v>500000</v>
      </c>
      <c r="G6903" s="22">
        <f>IFERROR(__xludf.DUMMYFUNCTION("""COMPUTED_VALUE"""),0.0)</f>
        <v>0</v>
      </c>
      <c r="H6903" s="22">
        <f>IFERROR(__xludf.DUMMYFUNCTION("""COMPUTED_VALUE"""),510560.0)</f>
        <v>510560</v>
      </c>
      <c r="I6903" s="24">
        <f>IFERROR(__xludf.DUMMYFUNCTION("""COMPUTED_VALUE"""),0.021120000000000028)</f>
        <v>0.02112</v>
      </c>
    </row>
    <row r="6904">
      <c r="A6904" s="5" t="str">
        <f>IFERROR(__xludf.DUMMYFUNCTION("""COMPUTED_VALUE"""),"82124")</f>
        <v>82124</v>
      </c>
      <c r="B6904" s="64">
        <f>IFERROR(__xludf.DUMMYFUNCTION("""COMPUTED_VALUE"""),44662.0)</f>
        <v>44662</v>
      </c>
      <c r="C6904" s="5"/>
      <c r="D6904" s="5"/>
      <c r="E6904" s="5"/>
      <c r="F6904" s="22">
        <f>IFERROR(__xludf.DUMMYFUNCTION("""COMPUTED_VALUE"""),500000.0)</f>
        <v>500000</v>
      </c>
      <c r="G6904" s="22">
        <f>IFERROR(__xludf.DUMMYFUNCTION("""COMPUTED_VALUE"""),0.0)</f>
        <v>0</v>
      </c>
      <c r="H6904" s="22">
        <f>IFERROR(__xludf.DUMMYFUNCTION("""COMPUTED_VALUE"""),502280.0)</f>
        <v>502280</v>
      </c>
      <c r="I6904" s="24">
        <f>IFERROR(__xludf.DUMMYFUNCTION("""COMPUTED_VALUE"""),0.0045599999999998975)</f>
        <v>0.00456</v>
      </c>
    </row>
    <row r="6905">
      <c r="A6905" s="5" t="str">
        <f>IFERROR(__xludf.DUMMYFUNCTION("""COMPUTED_VALUE"""),"82124")</f>
        <v>82124</v>
      </c>
      <c r="B6905" s="64">
        <f>IFERROR(__xludf.DUMMYFUNCTION("""COMPUTED_VALUE"""),44663.0)</f>
        <v>44663</v>
      </c>
      <c r="C6905" s="5"/>
      <c r="D6905" s="5"/>
      <c r="E6905" s="5"/>
      <c r="F6905" s="22">
        <f>IFERROR(__xludf.DUMMYFUNCTION("""COMPUTED_VALUE"""),500000.0)</f>
        <v>500000</v>
      </c>
      <c r="G6905" s="22">
        <f>IFERROR(__xludf.DUMMYFUNCTION("""COMPUTED_VALUE"""),0.0)</f>
        <v>0</v>
      </c>
      <c r="H6905" s="22">
        <f>IFERROR(__xludf.DUMMYFUNCTION("""COMPUTED_VALUE"""),504000.0)</f>
        <v>504000</v>
      </c>
      <c r="I6905" s="24">
        <f>IFERROR(__xludf.DUMMYFUNCTION("""COMPUTED_VALUE"""),0.008000000000000007)</f>
        <v>0.008</v>
      </c>
    </row>
    <row r="6906">
      <c r="A6906" s="5" t="str">
        <f>IFERROR(__xludf.DUMMYFUNCTION("""COMPUTED_VALUE"""),"82458")</f>
        <v>82458</v>
      </c>
      <c r="B6906" s="64">
        <f>IFERROR(__xludf.DUMMYFUNCTION("""COMPUTED_VALUE"""),44597.0)</f>
        <v>44597</v>
      </c>
      <c r="C6906" s="5"/>
      <c r="D6906" s="5"/>
      <c r="E6906" s="5"/>
      <c r="F6906" s="22">
        <f>IFERROR(__xludf.DUMMYFUNCTION("""COMPUTED_VALUE"""),500000.0)</f>
        <v>500000</v>
      </c>
      <c r="G6906" s="22">
        <f>IFERROR(__xludf.DUMMYFUNCTION("""COMPUTED_VALUE"""),0.0)</f>
        <v>0</v>
      </c>
      <c r="H6906" s="22">
        <f>IFERROR(__xludf.DUMMYFUNCTION("""COMPUTED_VALUE"""),500000.0)</f>
        <v>500000</v>
      </c>
      <c r="I6906" s="24">
        <f>IFERROR(__xludf.DUMMYFUNCTION("""COMPUTED_VALUE"""),0.0)</f>
        <v>0</v>
      </c>
    </row>
    <row r="6907">
      <c r="A6907" s="5" t="str">
        <f>IFERROR(__xludf.DUMMYFUNCTION("""COMPUTED_VALUE"""),"82458")</f>
        <v>82458</v>
      </c>
      <c r="B6907" s="64">
        <f>IFERROR(__xludf.DUMMYFUNCTION("""COMPUTED_VALUE"""),44598.0)</f>
        <v>44598</v>
      </c>
      <c r="C6907" s="5"/>
      <c r="D6907" s="5"/>
      <c r="E6907" s="5"/>
      <c r="F6907" s="22">
        <f>IFERROR(__xludf.DUMMYFUNCTION("""COMPUTED_VALUE"""),500000.0)</f>
        <v>500000</v>
      </c>
      <c r="G6907" s="22">
        <f>IFERROR(__xludf.DUMMYFUNCTION("""COMPUTED_VALUE"""),0.0)</f>
        <v>0</v>
      </c>
      <c r="H6907" s="22">
        <f>IFERROR(__xludf.DUMMYFUNCTION("""COMPUTED_VALUE"""),500000.0)</f>
        <v>500000</v>
      </c>
      <c r="I6907" s="24">
        <f>IFERROR(__xludf.DUMMYFUNCTION("""COMPUTED_VALUE"""),0.0)</f>
        <v>0</v>
      </c>
    </row>
    <row r="6908">
      <c r="A6908" s="5" t="str">
        <f>IFERROR(__xludf.DUMMYFUNCTION("""COMPUTED_VALUE"""),"82458")</f>
        <v>82458</v>
      </c>
      <c r="B6908" s="64">
        <f>IFERROR(__xludf.DUMMYFUNCTION("""COMPUTED_VALUE"""),44599.0)</f>
        <v>44599</v>
      </c>
      <c r="C6908" s="5"/>
      <c r="D6908" s="5"/>
      <c r="E6908" s="5"/>
      <c r="F6908" s="22">
        <f>IFERROR(__xludf.DUMMYFUNCTION("""COMPUTED_VALUE"""),500000.0)</f>
        <v>500000</v>
      </c>
      <c r="G6908" s="22">
        <f>IFERROR(__xludf.DUMMYFUNCTION("""COMPUTED_VALUE"""),0.0)</f>
        <v>0</v>
      </c>
      <c r="H6908" s="22">
        <f>IFERROR(__xludf.DUMMYFUNCTION("""COMPUTED_VALUE"""),500000.0)</f>
        <v>500000</v>
      </c>
      <c r="I6908" s="24">
        <f>IFERROR(__xludf.DUMMYFUNCTION("""COMPUTED_VALUE"""),0.0)</f>
        <v>0</v>
      </c>
    </row>
    <row r="6909">
      <c r="A6909" s="5" t="str">
        <f>IFERROR(__xludf.DUMMYFUNCTION("""COMPUTED_VALUE"""),"82458")</f>
        <v>82458</v>
      </c>
      <c r="B6909" s="64">
        <f>IFERROR(__xludf.DUMMYFUNCTION("""COMPUTED_VALUE"""),44600.0)</f>
        <v>44600</v>
      </c>
      <c r="C6909" s="5"/>
      <c r="D6909" s="5"/>
      <c r="E6909" s="5"/>
      <c r="F6909" s="22">
        <f>IFERROR(__xludf.DUMMYFUNCTION("""COMPUTED_VALUE"""),500000.0)</f>
        <v>500000</v>
      </c>
      <c r="G6909" s="22">
        <f>IFERROR(__xludf.DUMMYFUNCTION("""COMPUTED_VALUE"""),0.0)</f>
        <v>0</v>
      </c>
      <c r="H6909" s="22">
        <f>IFERROR(__xludf.DUMMYFUNCTION("""COMPUTED_VALUE"""),500000.0)</f>
        <v>500000</v>
      </c>
      <c r="I6909" s="24">
        <f>IFERROR(__xludf.DUMMYFUNCTION("""COMPUTED_VALUE"""),0.0)</f>
        <v>0</v>
      </c>
    </row>
    <row r="6910">
      <c r="A6910" s="5" t="str">
        <f>IFERROR(__xludf.DUMMYFUNCTION("""COMPUTED_VALUE"""),"82458")</f>
        <v>82458</v>
      </c>
      <c r="B6910" s="64">
        <f>IFERROR(__xludf.DUMMYFUNCTION("""COMPUTED_VALUE"""),44601.0)</f>
        <v>44601</v>
      </c>
      <c r="C6910" s="5"/>
      <c r="D6910" s="5"/>
      <c r="E6910" s="5"/>
      <c r="F6910" s="22">
        <f>IFERROR(__xludf.DUMMYFUNCTION("""COMPUTED_VALUE"""),500000.0)</f>
        <v>500000</v>
      </c>
      <c r="G6910" s="22">
        <f>IFERROR(__xludf.DUMMYFUNCTION("""COMPUTED_VALUE"""),0.0)</f>
        <v>0</v>
      </c>
      <c r="H6910" s="22">
        <f>IFERROR(__xludf.DUMMYFUNCTION("""COMPUTED_VALUE"""),500000.0)</f>
        <v>500000</v>
      </c>
      <c r="I6910" s="24">
        <f>IFERROR(__xludf.DUMMYFUNCTION("""COMPUTED_VALUE"""),0.0)</f>
        <v>0</v>
      </c>
    </row>
    <row r="6911">
      <c r="A6911" s="5" t="str">
        <f>IFERROR(__xludf.DUMMYFUNCTION("""COMPUTED_VALUE"""),"82458")</f>
        <v>82458</v>
      </c>
      <c r="B6911" s="64">
        <f>IFERROR(__xludf.DUMMYFUNCTION("""COMPUTED_VALUE"""),44602.0)</f>
        <v>44602</v>
      </c>
      <c r="C6911" s="5"/>
      <c r="D6911" s="5"/>
      <c r="E6911" s="5"/>
      <c r="F6911" s="22">
        <f>IFERROR(__xludf.DUMMYFUNCTION("""COMPUTED_VALUE"""),500000.0)</f>
        <v>500000</v>
      </c>
      <c r="G6911" s="22">
        <f>IFERROR(__xludf.DUMMYFUNCTION("""COMPUTED_VALUE"""),0.0)</f>
        <v>0</v>
      </c>
      <c r="H6911" s="22">
        <f>IFERROR(__xludf.DUMMYFUNCTION("""COMPUTED_VALUE"""),500000.0)</f>
        <v>500000</v>
      </c>
      <c r="I6911" s="24">
        <f>IFERROR(__xludf.DUMMYFUNCTION("""COMPUTED_VALUE"""),0.0)</f>
        <v>0</v>
      </c>
    </row>
    <row r="6912">
      <c r="A6912" s="5" t="str">
        <f>IFERROR(__xludf.DUMMYFUNCTION("""COMPUTED_VALUE"""),"82458")</f>
        <v>82458</v>
      </c>
      <c r="B6912" s="64">
        <f>IFERROR(__xludf.DUMMYFUNCTION("""COMPUTED_VALUE"""),44603.0)</f>
        <v>44603</v>
      </c>
      <c r="C6912" s="5"/>
      <c r="D6912" s="5"/>
      <c r="E6912" s="5"/>
      <c r="F6912" s="22">
        <f>IFERROR(__xludf.DUMMYFUNCTION("""COMPUTED_VALUE"""),500000.0)</f>
        <v>500000</v>
      </c>
      <c r="G6912" s="22">
        <f>IFERROR(__xludf.DUMMYFUNCTION("""COMPUTED_VALUE"""),0.0)</f>
        <v>0</v>
      </c>
      <c r="H6912" s="22">
        <f>IFERROR(__xludf.DUMMYFUNCTION("""COMPUTED_VALUE"""),500000.0)</f>
        <v>500000</v>
      </c>
      <c r="I6912" s="24">
        <f>IFERROR(__xludf.DUMMYFUNCTION("""COMPUTED_VALUE"""),0.0)</f>
        <v>0</v>
      </c>
    </row>
    <row r="6913">
      <c r="A6913" s="5" t="str">
        <f>IFERROR(__xludf.DUMMYFUNCTION("""COMPUTED_VALUE"""),"82458")</f>
        <v>82458</v>
      </c>
      <c r="B6913" s="64">
        <f>IFERROR(__xludf.DUMMYFUNCTION("""COMPUTED_VALUE"""),44604.0)</f>
        <v>44604</v>
      </c>
      <c r="C6913" s="5"/>
      <c r="D6913" s="5"/>
      <c r="E6913" s="5"/>
      <c r="F6913" s="22">
        <f>IFERROR(__xludf.DUMMYFUNCTION("""COMPUTED_VALUE"""),500000.0)</f>
        <v>500000</v>
      </c>
      <c r="G6913" s="22">
        <f>IFERROR(__xludf.DUMMYFUNCTION("""COMPUTED_VALUE"""),0.0)</f>
        <v>0</v>
      </c>
      <c r="H6913" s="22">
        <f>IFERROR(__xludf.DUMMYFUNCTION("""COMPUTED_VALUE"""),500000.0)</f>
        <v>500000</v>
      </c>
      <c r="I6913" s="24">
        <f>IFERROR(__xludf.DUMMYFUNCTION("""COMPUTED_VALUE"""),0.0)</f>
        <v>0</v>
      </c>
    </row>
    <row r="6914">
      <c r="A6914" s="5" t="str">
        <f>IFERROR(__xludf.DUMMYFUNCTION("""COMPUTED_VALUE"""),"82458")</f>
        <v>82458</v>
      </c>
      <c r="B6914" s="64">
        <f>IFERROR(__xludf.DUMMYFUNCTION("""COMPUTED_VALUE"""),44605.0)</f>
        <v>44605</v>
      </c>
      <c r="C6914" s="5"/>
      <c r="D6914" s="5"/>
      <c r="E6914" s="5"/>
      <c r="F6914" s="22">
        <f>IFERROR(__xludf.DUMMYFUNCTION("""COMPUTED_VALUE"""),500000.0)</f>
        <v>500000</v>
      </c>
      <c r="G6914" s="22">
        <f>IFERROR(__xludf.DUMMYFUNCTION("""COMPUTED_VALUE"""),0.0)</f>
        <v>0</v>
      </c>
      <c r="H6914" s="22">
        <f>IFERROR(__xludf.DUMMYFUNCTION("""COMPUTED_VALUE"""),500000.0)</f>
        <v>500000</v>
      </c>
      <c r="I6914" s="24">
        <f>IFERROR(__xludf.DUMMYFUNCTION("""COMPUTED_VALUE"""),0.0)</f>
        <v>0</v>
      </c>
    </row>
    <row r="6915">
      <c r="A6915" s="5" t="str">
        <f>IFERROR(__xludf.DUMMYFUNCTION("""COMPUTED_VALUE"""),"82458")</f>
        <v>82458</v>
      </c>
      <c r="B6915" s="64">
        <f>IFERROR(__xludf.DUMMYFUNCTION("""COMPUTED_VALUE"""),44606.0)</f>
        <v>44606</v>
      </c>
      <c r="C6915" s="5"/>
      <c r="D6915" s="5"/>
      <c r="E6915" s="5"/>
      <c r="F6915" s="22">
        <f>IFERROR(__xludf.DUMMYFUNCTION("""COMPUTED_VALUE"""),500000.0)</f>
        <v>500000</v>
      </c>
      <c r="G6915" s="22">
        <f>IFERROR(__xludf.DUMMYFUNCTION("""COMPUTED_VALUE"""),0.0)</f>
        <v>0</v>
      </c>
      <c r="H6915" s="22">
        <f>IFERROR(__xludf.DUMMYFUNCTION("""COMPUTED_VALUE"""),500000.0)</f>
        <v>500000</v>
      </c>
      <c r="I6915" s="24">
        <f>IFERROR(__xludf.DUMMYFUNCTION("""COMPUTED_VALUE"""),0.0)</f>
        <v>0</v>
      </c>
    </row>
    <row r="6916">
      <c r="A6916" s="5" t="str">
        <f>IFERROR(__xludf.DUMMYFUNCTION("""COMPUTED_VALUE"""),"82458")</f>
        <v>82458</v>
      </c>
      <c r="B6916" s="64">
        <f>IFERROR(__xludf.DUMMYFUNCTION("""COMPUTED_VALUE"""),44607.0)</f>
        <v>44607</v>
      </c>
      <c r="C6916" s="5"/>
      <c r="D6916" s="5"/>
      <c r="E6916" s="5"/>
      <c r="F6916" s="22">
        <f>IFERROR(__xludf.DUMMYFUNCTION("""COMPUTED_VALUE"""),500000.0)</f>
        <v>500000</v>
      </c>
      <c r="G6916" s="22">
        <f>IFERROR(__xludf.DUMMYFUNCTION("""COMPUTED_VALUE"""),0.0)</f>
        <v>0</v>
      </c>
      <c r="H6916" s="22">
        <f>IFERROR(__xludf.DUMMYFUNCTION("""COMPUTED_VALUE"""),500000.0)</f>
        <v>500000</v>
      </c>
      <c r="I6916" s="24">
        <f>IFERROR(__xludf.DUMMYFUNCTION("""COMPUTED_VALUE"""),0.0)</f>
        <v>0</v>
      </c>
    </row>
    <row r="6917">
      <c r="A6917" s="5" t="str">
        <f>IFERROR(__xludf.DUMMYFUNCTION("""COMPUTED_VALUE"""),"82458")</f>
        <v>82458</v>
      </c>
      <c r="B6917" s="64">
        <f>IFERROR(__xludf.DUMMYFUNCTION("""COMPUTED_VALUE"""),44608.0)</f>
        <v>44608</v>
      </c>
      <c r="C6917" s="5"/>
      <c r="D6917" s="5"/>
      <c r="E6917" s="5"/>
      <c r="F6917" s="22">
        <f>IFERROR(__xludf.DUMMYFUNCTION("""COMPUTED_VALUE"""),500000.0)</f>
        <v>500000</v>
      </c>
      <c r="G6917" s="22">
        <f>IFERROR(__xludf.DUMMYFUNCTION("""COMPUTED_VALUE"""),0.0)</f>
        <v>0</v>
      </c>
      <c r="H6917" s="22">
        <f>IFERROR(__xludf.DUMMYFUNCTION("""COMPUTED_VALUE"""),500000.0)</f>
        <v>500000</v>
      </c>
      <c r="I6917" s="24">
        <f>IFERROR(__xludf.DUMMYFUNCTION("""COMPUTED_VALUE"""),0.0)</f>
        <v>0</v>
      </c>
    </row>
    <row r="6918">
      <c r="A6918" s="5" t="str">
        <f>IFERROR(__xludf.DUMMYFUNCTION("""COMPUTED_VALUE"""),"82458")</f>
        <v>82458</v>
      </c>
      <c r="B6918" s="64">
        <f>IFERROR(__xludf.DUMMYFUNCTION("""COMPUTED_VALUE"""),44609.0)</f>
        <v>44609</v>
      </c>
      <c r="C6918" s="5"/>
      <c r="D6918" s="5"/>
      <c r="E6918" s="5"/>
      <c r="F6918" s="22">
        <f>IFERROR(__xludf.DUMMYFUNCTION("""COMPUTED_VALUE"""),500000.0)</f>
        <v>500000</v>
      </c>
      <c r="G6918" s="22">
        <f>IFERROR(__xludf.DUMMYFUNCTION("""COMPUTED_VALUE"""),0.0)</f>
        <v>0</v>
      </c>
      <c r="H6918" s="22">
        <f>IFERROR(__xludf.DUMMYFUNCTION("""COMPUTED_VALUE"""),500000.0)</f>
        <v>500000</v>
      </c>
      <c r="I6918" s="24">
        <f>IFERROR(__xludf.DUMMYFUNCTION("""COMPUTED_VALUE"""),0.0)</f>
        <v>0</v>
      </c>
    </row>
    <row r="6919">
      <c r="A6919" s="5" t="str">
        <f>IFERROR(__xludf.DUMMYFUNCTION("""COMPUTED_VALUE"""),"82458")</f>
        <v>82458</v>
      </c>
      <c r="B6919" s="64">
        <f>IFERROR(__xludf.DUMMYFUNCTION("""COMPUTED_VALUE"""),44610.0)</f>
        <v>44610</v>
      </c>
      <c r="C6919" s="5"/>
      <c r="D6919" s="5"/>
      <c r="E6919" s="5"/>
      <c r="F6919" s="22">
        <f>IFERROR(__xludf.DUMMYFUNCTION("""COMPUTED_VALUE"""),500000.0)</f>
        <v>500000</v>
      </c>
      <c r="G6919" s="22">
        <f>IFERROR(__xludf.DUMMYFUNCTION("""COMPUTED_VALUE"""),0.0)</f>
        <v>0</v>
      </c>
      <c r="H6919" s="22">
        <f>IFERROR(__xludf.DUMMYFUNCTION("""COMPUTED_VALUE"""),500000.0)</f>
        <v>500000</v>
      </c>
      <c r="I6919" s="24">
        <f>IFERROR(__xludf.DUMMYFUNCTION("""COMPUTED_VALUE"""),0.0)</f>
        <v>0</v>
      </c>
    </row>
    <row r="6920">
      <c r="A6920" s="5" t="str">
        <f>IFERROR(__xludf.DUMMYFUNCTION("""COMPUTED_VALUE"""),"82458")</f>
        <v>82458</v>
      </c>
      <c r="B6920" s="64">
        <f>IFERROR(__xludf.DUMMYFUNCTION("""COMPUTED_VALUE"""),44611.0)</f>
        <v>44611</v>
      </c>
      <c r="C6920" s="5"/>
      <c r="D6920" s="5"/>
      <c r="E6920" s="5"/>
      <c r="F6920" s="22">
        <f>IFERROR(__xludf.DUMMYFUNCTION("""COMPUTED_VALUE"""),500000.0)</f>
        <v>500000</v>
      </c>
      <c r="G6920" s="22">
        <f>IFERROR(__xludf.DUMMYFUNCTION("""COMPUTED_VALUE"""),0.0)</f>
        <v>0</v>
      </c>
      <c r="H6920" s="22">
        <f>IFERROR(__xludf.DUMMYFUNCTION("""COMPUTED_VALUE"""),500000.0)</f>
        <v>500000</v>
      </c>
      <c r="I6920" s="24">
        <f>IFERROR(__xludf.DUMMYFUNCTION("""COMPUTED_VALUE"""),0.0)</f>
        <v>0</v>
      </c>
    </row>
    <row r="6921">
      <c r="A6921" s="5" t="str">
        <f>IFERROR(__xludf.DUMMYFUNCTION("""COMPUTED_VALUE"""),"82458")</f>
        <v>82458</v>
      </c>
      <c r="B6921" s="64">
        <f>IFERROR(__xludf.DUMMYFUNCTION("""COMPUTED_VALUE"""),44612.0)</f>
        <v>44612</v>
      </c>
      <c r="C6921" s="5"/>
      <c r="D6921" s="5"/>
      <c r="E6921" s="5"/>
      <c r="F6921" s="22">
        <f>IFERROR(__xludf.DUMMYFUNCTION("""COMPUTED_VALUE"""),500000.0)</f>
        <v>500000</v>
      </c>
      <c r="G6921" s="22">
        <f>IFERROR(__xludf.DUMMYFUNCTION("""COMPUTED_VALUE"""),0.0)</f>
        <v>0</v>
      </c>
      <c r="H6921" s="22">
        <f>IFERROR(__xludf.DUMMYFUNCTION("""COMPUTED_VALUE"""),500000.0)</f>
        <v>500000</v>
      </c>
      <c r="I6921" s="24">
        <f>IFERROR(__xludf.DUMMYFUNCTION("""COMPUTED_VALUE"""),0.0)</f>
        <v>0</v>
      </c>
    </row>
    <row r="6922">
      <c r="A6922" s="5" t="str">
        <f>IFERROR(__xludf.DUMMYFUNCTION("""COMPUTED_VALUE"""),"82458")</f>
        <v>82458</v>
      </c>
      <c r="B6922" s="64">
        <f>IFERROR(__xludf.DUMMYFUNCTION("""COMPUTED_VALUE"""),44613.0)</f>
        <v>44613</v>
      </c>
      <c r="C6922" s="5"/>
      <c r="D6922" s="5"/>
      <c r="E6922" s="5"/>
      <c r="F6922" s="22">
        <f>IFERROR(__xludf.DUMMYFUNCTION("""COMPUTED_VALUE"""),500000.0)</f>
        <v>500000</v>
      </c>
      <c r="G6922" s="22">
        <f>IFERROR(__xludf.DUMMYFUNCTION("""COMPUTED_VALUE"""),0.0)</f>
        <v>0</v>
      </c>
      <c r="H6922" s="22">
        <f>IFERROR(__xludf.DUMMYFUNCTION("""COMPUTED_VALUE"""),500000.0)</f>
        <v>500000</v>
      </c>
      <c r="I6922" s="24">
        <f>IFERROR(__xludf.DUMMYFUNCTION("""COMPUTED_VALUE"""),0.0)</f>
        <v>0</v>
      </c>
    </row>
    <row r="6923">
      <c r="A6923" s="5" t="str">
        <f>IFERROR(__xludf.DUMMYFUNCTION("""COMPUTED_VALUE"""),"82458")</f>
        <v>82458</v>
      </c>
      <c r="B6923" s="64">
        <f>IFERROR(__xludf.DUMMYFUNCTION("""COMPUTED_VALUE"""),44614.0)</f>
        <v>44614</v>
      </c>
      <c r="C6923" s="5"/>
      <c r="D6923" s="5"/>
      <c r="E6923" s="5"/>
      <c r="F6923" s="22">
        <f>IFERROR(__xludf.DUMMYFUNCTION("""COMPUTED_VALUE"""),500000.0)</f>
        <v>500000</v>
      </c>
      <c r="G6923" s="22">
        <f>IFERROR(__xludf.DUMMYFUNCTION("""COMPUTED_VALUE"""),0.0)</f>
        <v>0</v>
      </c>
      <c r="H6923" s="22">
        <f>IFERROR(__xludf.DUMMYFUNCTION("""COMPUTED_VALUE"""),500000.0)</f>
        <v>500000</v>
      </c>
      <c r="I6923" s="24">
        <f>IFERROR(__xludf.DUMMYFUNCTION("""COMPUTED_VALUE"""),0.0)</f>
        <v>0</v>
      </c>
    </row>
    <row r="6924">
      <c r="A6924" s="5" t="str">
        <f>IFERROR(__xludf.DUMMYFUNCTION("""COMPUTED_VALUE"""),"82458")</f>
        <v>82458</v>
      </c>
      <c r="B6924" s="64">
        <f>IFERROR(__xludf.DUMMYFUNCTION("""COMPUTED_VALUE"""),44615.0)</f>
        <v>44615</v>
      </c>
      <c r="C6924" s="5"/>
      <c r="D6924" s="5"/>
      <c r="E6924" s="5"/>
      <c r="F6924" s="22">
        <f>IFERROR(__xludf.DUMMYFUNCTION("""COMPUTED_VALUE"""),500000.0)</f>
        <v>500000</v>
      </c>
      <c r="G6924" s="22">
        <f>IFERROR(__xludf.DUMMYFUNCTION("""COMPUTED_VALUE"""),0.0)</f>
        <v>0</v>
      </c>
      <c r="H6924" s="22">
        <f>IFERROR(__xludf.DUMMYFUNCTION("""COMPUTED_VALUE"""),500000.0)</f>
        <v>500000</v>
      </c>
      <c r="I6924" s="24">
        <f>IFERROR(__xludf.DUMMYFUNCTION("""COMPUTED_VALUE"""),0.0)</f>
        <v>0</v>
      </c>
    </row>
    <row r="6925">
      <c r="A6925" s="5" t="str">
        <f>IFERROR(__xludf.DUMMYFUNCTION("""COMPUTED_VALUE"""),"82458")</f>
        <v>82458</v>
      </c>
      <c r="B6925" s="64">
        <f>IFERROR(__xludf.DUMMYFUNCTION("""COMPUTED_VALUE"""),44616.0)</f>
        <v>44616</v>
      </c>
      <c r="C6925" s="5"/>
      <c r="D6925" s="5"/>
      <c r="E6925" s="5"/>
      <c r="F6925" s="22">
        <f>IFERROR(__xludf.DUMMYFUNCTION("""COMPUTED_VALUE"""),500000.0)</f>
        <v>500000</v>
      </c>
      <c r="G6925" s="22">
        <f>IFERROR(__xludf.DUMMYFUNCTION("""COMPUTED_VALUE"""),0.0)</f>
        <v>0</v>
      </c>
      <c r="H6925" s="22">
        <f>IFERROR(__xludf.DUMMYFUNCTION("""COMPUTED_VALUE"""),500000.0)</f>
        <v>500000</v>
      </c>
      <c r="I6925" s="24">
        <f>IFERROR(__xludf.DUMMYFUNCTION("""COMPUTED_VALUE"""),0.0)</f>
        <v>0</v>
      </c>
    </row>
    <row r="6926">
      <c r="A6926" s="5" t="str">
        <f>IFERROR(__xludf.DUMMYFUNCTION("""COMPUTED_VALUE"""),"82458")</f>
        <v>82458</v>
      </c>
      <c r="B6926" s="64">
        <f>IFERROR(__xludf.DUMMYFUNCTION("""COMPUTED_VALUE"""),44617.0)</f>
        <v>44617</v>
      </c>
      <c r="C6926" s="5"/>
      <c r="D6926" s="5"/>
      <c r="E6926" s="5"/>
      <c r="F6926" s="22">
        <f>IFERROR(__xludf.DUMMYFUNCTION("""COMPUTED_VALUE"""),500000.0)</f>
        <v>500000</v>
      </c>
      <c r="G6926" s="22">
        <f>IFERROR(__xludf.DUMMYFUNCTION("""COMPUTED_VALUE"""),0.0)</f>
        <v>0</v>
      </c>
      <c r="H6926" s="22">
        <f>IFERROR(__xludf.DUMMYFUNCTION("""COMPUTED_VALUE"""),500000.0)</f>
        <v>500000</v>
      </c>
      <c r="I6926" s="24">
        <f>IFERROR(__xludf.DUMMYFUNCTION("""COMPUTED_VALUE"""),0.0)</f>
        <v>0</v>
      </c>
    </row>
    <row r="6927">
      <c r="A6927" s="5" t="str">
        <f>IFERROR(__xludf.DUMMYFUNCTION("""COMPUTED_VALUE"""),"82458")</f>
        <v>82458</v>
      </c>
      <c r="B6927" s="64">
        <f>IFERROR(__xludf.DUMMYFUNCTION("""COMPUTED_VALUE"""),44618.0)</f>
        <v>44618</v>
      </c>
      <c r="C6927" s="5"/>
      <c r="D6927" s="5"/>
      <c r="E6927" s="5"/>
      <c r="F6927" s="22">
        <f>IFERROR(__xludf.DUMMYFUNCTION("""COMPUTED_VALUE"""),500000.0)</f>
        <v>500000</v>
      </c>
      <c r="G6927" s="22">
        <f>IFERROR(__xludf.DUMMYFUNCTION("""COMPUTED_VALUE"""),0.0)</f>
        <v>0</v>
      </c>
      <c r="H6927" s="22">
        <f>IFERROR(__xludf.DUMMYFUNCTION("""COMPUTED_VALUE"""),500000.0)</f>
        <v>500000</v>
      </c>
      <c r="I6927" s="24">
        <f>IFERROR(__xludf.DUMMYFUNCTION("""COMPUTED_VALUE"""),0.0)</f>
        <v>0</v>
      </c>
    </row>
    <row r="6928">
      <c r="A6928" s="5" t="str">
        <f>IFERROR(__xludf.DUMMYFUNCTION("""COMPUTED_VALUE"""),"82458")</f>
        <v>82458</v>
      </c>
      <c r="B6928" s="64">
        <f>IFERROR(__xludf.DUMMYFUNCTION("""COMPUTED_VALUE"""),44619.0)</f>
        <v>44619</v>
      </c>
      <c r="C6928" s="5"/>
      <c r="D6928" s="5"/>
      <c r="E6928" s="5"/>
      <c r="F6928" s="22">
        <f>IFERROR(__xludf.DUMMYFUNCTION("""COMPUTED_VALUE"""),500000.0)</f>
        <v>500000</v>
      </c>
      <c r="G6928" s="22">
        <f>IFERROR(__xludf.DUMMYFUNCTION("""COMPUTED_VALUE"""),0.0)</f>
        <v>0</v>
      </c>
      <c r="H6928" s="22">
        <f>IFERROR(__xludf.DUMMYFUNCTION("""COMPUTED_VALUE"""),500000.0)</f>
        <v>500000</v>
      </c>
      <c r="I6928" s="24">
        <f>IFERROR(__xludf.DUMMYFUNCTION("""COMPUTED_VALUE"""),0.0)</f>
        <v>0</v>
      </c>
    </row>
    <row r="6929">
      <c r="A6929" s="5" t="str">
        <f>IFERROR(__xludf.DUMMYFUNCTION("""COMPUTED_VALUE"""),"82458")</f>
        <v>82458</v>
      </c>
      <c r="B6929" s="64">
        <f>IFERROR(__xludf.DUMMYFUNCTION("""COMPUTED_VALUE"""),44620.0)</f>
        <v>44620</v>
      </c>
      <c r="C6929" s="5"/>
      <c r="D6929" s="5"/>
      <c r="E6929" s="5"/>
      <c r="F6929" s="22">
        <f>IFERROR(__xludf.DUMMYFUNCTION("""COMPUTED_VALUE"""),500000.0)</f>
        <v>500000</v>
      </c>
      <c r="G6929" s="22">
        <f>IFERROR(__xludf.DUMMYFUNCTION("""COMPUTED_VALUE"""),0.0)</f>
        <v>0</v>
      </c>
      <c r="H6929" s="22">
        <f>IFERROR(__xludf.DUMMYFUNCTION("""COMPUTED_VALUE"""),500000.0)</f>
        <v>500000</v>
      </c>
      <c r="I6929" s="24">
        <f>IFERROR(__xludf.DUMMYFUNCTION("""COMPUTED_VALUE"""),0.0)</f>
        <v>0</v>
      </c>
    </row>
    <row r="6930">
      <c r="A6930" s="5" t="str">
        <f>IFERROR(__xludf.DUMMYFUNCTION("""COMPUTED_VALUE"""),"82458")</f>
        <v>82458</v>
      </c>
      <c r="B6930" s="64">
        <f>IFERROR(__xludf.DUMMYFUNCTION("""COMPUTED_VALUE"""),44621.0)</f>
        <v>44621</v>
      </c>
      <c r="C6930" s="5"/>
      <c r="D6930" s="5"/>
      <c r="E6930" s="5"/>
      <c r="F6930" s="22">
        <f>IFERROR(__xludf.DUMMYFUNCTION("""COMPUTED_VALUE"""),500000.0)</f>
        <v>500000</v>
      </c>
      <c r="G6930" s="22">
        <f>IFERROR(__xludf.DUMMYFUNCTION("""COMPUTED_VALUE"""),0.0)</f>
        <v>0</v>
      </c>
      <c r="H6930" s="22">
        <f>IFERROR(__xludf.DUMMYFUNCTION("""COMPUTED_VALUE"""),500000.0)</f>
        <v>500000</v>
      </c>
      <c r="I6930" s="24">
        <f>IFERROR(__xludf.DUMMYFUNCTION("""COMPUTED_VALUE"""),0.0)</f>
        <v>0</v>
      </c>
    </row>
    <row r="6931">
      <c r="A6931" s="5" t="str">
        <f>IFERROR(__xludf.DUMMYFUNCTION("""COMPUTED_VALUE"""),"82458")</f>
        <v>82458</v>
      </c>
      <c r="B6931" s="64">
        <f>IFERROR(__xludf.DUMMYFUNCTION("""COMPUTED_VALUE"""),44622.0)</f>
        <v>44622</v>
      </c>
      <c r="C6931" s="5"/>
      <c r="D6931" s="5"/>
      <c r="E6931" s="5"/>
      <c r="F6931" s="22">
        <f>IFERROR(__xludf.DUMMYFUNCTION("""COMPUTED_VALUE"""),500000.0)</f>
        <v>500000</v>
      </c>
      <c r="G6931" s="22">
        <f>IFERROR(__xludf.DUMMYFUNCTION("""COMPUTED_VALUE"""),0.0)</f>
        <v>0</v>
      </c>
      <c r="H6931" s="22">
        <f>IFERROR(__xludf.DUMMYFUNCTION("""COMPUTED_VALUE"""),500000.0)</f>
        <v>500000</v>
      </c>
      <c r="I6931" s="24">
        <f>IFERROR(__xludf.DUMMYFUNCTION("""COMPUTED_VALUE"""),0.0)</f>
        <v>0</v>
      </c>
    </row>
    <row r="6932">
      <c r="A6932" s="5" t="str">
        <f>IFERROR(__xludf.DUMMYFUNCTION("""COMPUTED_VALUE"""),"82458")</f>
        <v>82458</v>
      </c>
      <c r="B6932" s="64">
        <f>IFERROR(__xludf.DUMMYFUNCTION("""COMPUTED_VALUE"""),44623.0)</f>
        <v>44623</v>
      </c>
      <c r="C6932" s="5"/>
      <c r="D6932" s="5"/>
      <c r="E6932" s="5"/>
      <c r="F6932" s="22">
        <f>IFERROR(__xludf.DUMMYFUNCTION("""COMPUTED_VALUE"""),500000.0)</f>
        <v>500000</v>
      </c>
      <c r="G6932" s="22">
        <f>IFERROR(__xludf.DUMMYFUNCTION("""COMPUTED_VALUE"""),0.0)</f>
        <v>0</v>
      </c>
      <c r="H6932" s="22">
        <f>IFERROR(__xludf.DUMMYFUNCTION("""COMPUTED_VALUE"""),500000.0)</f>
        <v>500000</v>
      </c>
      <c r="I6932" s="24">
        <f>IFERROR(__xludf.DUMMYFUNCTION("""COMPUTED_VALUE"""),0.0)</f>
        <v>0</v>
      </c>
    </row>
    <row r="6933">
      <c r="A6933" s="5" t="str">
        <f>IFERROR(__xludf.DUMMYFUNCTION("""COMPUTED_VALUE"""),"82458")</f>
        <v>82458</v>
      </c>
      <c r="B6933" s="64">
        <f>IFERROR(__xludf.DUMMYFUNCTION("""COMPUTED_VALUE"""),44624.0)</f>
        <v>44624</v>
      </c>
      <c r="C6933" s="5"/>
      <c r="D6933" s="5"/>
      <c r="E6933" s="5"/>
      <c r="F6933" s="22">
        <f>IFERROR(__xludf.DUMMYFUNCTION("""COMPUTED_VALUE"""),500000.0)</f>
        <v>500000</v>
      </c>
      <c r="G6933" s="22">
        <f>IFERROR(__xludf.DUMMYFUNCTION("""COMPUTED_VALUE"""),0.0)</f>
        <v>0</v>
      </c>
      <c r="H6933" s="22">
        <f>IFERROR(__xludf.DUMMYFUNCTION("""COMPUTED_VALUE"""),500000.0)</f>
        <v>500000</v>
      </c>
      <c r="I6933" s="24">
        <f>IFERROR(__xludf.DUMMYFUNCTION("""COMPUTED_VALUE"""),0.0)</f>
        <v>0</v>
      </c>
    </row>
    <row r="6934">
      <c r="A6934" s="5" t="str">
        <f>IFERROR(__xludf.DUMMYFUNCTION("""COMPUTED_VALUE"""),"82458")</f>
        <v>82458</v>
      </c>
      <c r="B6934" s="64">
        <f>IFERROR(__xludf.DUMMYFUNCTION("""COMPUTED_VALUE"""),44625.0)</f>
        <v>44625</v>
      </c>
      <c r="C6934" s="5"/>
      <c r="D6934" s="5"/>
      <c r="E6934" s="5"/>
      <c r="F6934" s="22">
        <f>IFERROR(__xludf.DUMMYFUNCTION("""COMPUTED_VALUE"""),500000.0)</f>
        <v>500000</v>
      </c>
      <c r="G6934" s="22">
        <f>IFERROR(__xludf.DUMMYFUNCTION("""COMPUTED_VALUE"""),0.0)</f>
        <v>0</v>
      </c>
      <c r="H6934" s="22">
        <f>IFERROR(__xludf.DUMMYFUNCTION("""COMPUTED_VALUE"""),500000.0)</f>
        <v>500000</v>
      </c>
      <c r="I6934" s="24">
        <f>IFERROR(__xludf.DUMMYFUNCTION("""COMPUTED_VALUE"""),0.0)</f>
        <v>0</v>
      </c>
    </row>
    <row r="6935">
      <c r="A6935" s="5" t="str">
        <f>IFERROR(__xludf.DUMMYFUNCTION("""COMPUTED_VALUE"""),"82458")</f>
        <v>82458</v>
      </c>
      <c r="B6935" s="64">
        <f>IFERROR(__xludf.DUMMYFUNCTION("""COMPUTED_VALUE"""),44626.0)</f>
        <v>44626</v>
      </c>
      <c r="C6935" s="5"/>
      <c r="D6935" s="5"/>
      <c r="E6935" s="5"/>
      <c r="F6935" s="22">
        <f>IFERROR(__xludf.DUMMYFUNCTION("""COMPUTED_VALUE"""),500000.0)</f>
        <v>500000</v>
      </c>
      <c r="G6935" s="22">
        <f>IFERROR(__xludf.DUMMYFUNCTION("""COMPUTED_VALUE"""),0.0)</f>
        <v>0</v>
      </c>
      <c r="H6935" s="22">
        <f>IFERROR(__xludf.DUMMYFUNCTION("""COMPUTED_VALUE"""),500000.0)</f>
        <v>500000</v>
      </c>
      <c r="I6935" s="24">
        <f>IFERROR(__xludf.DUMMYFUNCTION("""COMPUTED_VALUE"""),0.0)</f>
        <v>0</v>
      </c>
    </row>
    <row r="6936">
      <c r="A6936" s="5" t="str">
        <f>IFERROR(__xludf.DUMMYFUNCTION("""COMPUTED_VALUE"""),"82458")</f>
        <v>82458</v>
      </c>
      <c r="B6936" s="64">
        <f>IFERROR(__xludf.DUMMYFUNCTION("""COMPUTED_VALUE"""),44627.0)</f>
        <v>44627</v>
      </c>
      <c r="C6936" s="5"/>
      <c r="D6936" s="5"/>
      <c r="E6936" s="5"/>
      <c r="F6936" s="22">
        <f>IFERROR(__xludf.DUMMYFUNCTION("""COMPUTED_VALUE"""),500000.0)</f>
        <v>500000</v>
      </c>
      <c r="G6936" s="22">
        <f>IFERROR(__xludf.DUMMYFUNCTION("""COMPUTED_VALUE"""),0.0)</f>
        <v>0</v>
      </c>
      <c r="H6936" s="22">
        <f>IFERROR(__xludf.DUMMYFUNCTION("""COMPUTED_VALUE"""),500000.0)</f>
        <v>500000</v>
      </c>
      <c r="I6936" s="24">
        <f>IFERROR(__xludf.DUMMYFUNCTION("""COMPUTED_VALUE"""),0.0)</f>
        <v>0</v>
      </c>
    </row>
    <row r="6937">
      <c r="A6937" s="5" t="str">
        <f>IFERROR(__xludf.DUMMYFUNCTION("""COMPUTED_VALUE"""),"82458")</f>
        <v>82458</v>
      </c>
      <c r="B6937" s="64">
        <f>IFERROR(__xludf.DUMMYFUNCTION("""COMPUTED_VALUE"""),44628.0)</f>
        <v>44628</v>
      </c>
      <c r="C6937" s="5"/>
      <c r="D6937" s="5"/>
      <c r="E6937" s="5"/>
      <c r="F6937" s="22">
        <f>IFERROR(__xludf.DUMMYFUNCTION("""COMPUTED_VALUE"""),500000.0)</f>
        <v>500000</v>
      </c>
      <c r="G6937" s="22">
        <f>IFERROR(__xludf.DUMMYFUNCTION("""COMPUTED_VALUE"""),0.0)</f>
        <v>0</v>
      </c>
      <c r="H6937" s="22">
        <f>IFERROR(__xludf.DUMMYFUNCTION("""COMPUTED_VALUE"""),500000.0)</f>
        <v>500000</v>
      </c>
      <c r="I6937" s="24">
        <f>IFERROR(__xludf.DUMMYFUNCTION("""COMPUTED_VALUE"""),0.0)</f>
        <v>0</v>
      </c>
    </row>
    <row r="6938">
      <c r="A6938" s="5" t="str">
        <f>IFERROR(__xludf.DUMMYFUNCTION("""COMPUTED_VALUE"""),"82458")</f>
        <v>82458</v>
      </c>
      <c r="B6938" s="64">
        <f>IFERROR(__xludf.DUMMYFUNCTION("""COMPUTED_VALUE"""),44629.0)</f>
        <v>44629</v>
      </c>
      <c r="C6938" s="5"/>
      <c r="D6938" s="5"/>
      <c r="E6938" s="5"/>
      <c r="F6938" s="22">
        <f>IFERROR(__xludf.DUMMYFUNCTION("""COMPUTED_VALUE"""),500000.0)</f>
        <v>500000</v>
      </c>
      <c r="G6938" s="22">
        <f>IFERROR(__xludf.DUMMYFUNCTION("""COMPUTED_VALUE"""),0.0)</f>
        <v>0</v>
      </c>
      <c r="H6938" s="22">
        <f>IFERROR(__xludf.DUMMYFUNCTION("""COMPUTED_VALUE"""),500000.0)</f>
        <v>500000</v>
      </c>
      <c r="I6938" s="24">
        <f>IFERROR(__xludf.DUMMYFUNCTION("""COMPUTED_VALUE"""),0.0)</f>
        <v>0</v>
      </c>
    </row>
    <row r="6939">
      <c r="A6939" s="5" t="str">
        <f>IFERROR(__xludf.DUMMYFUNCTION("""COMPUTED_VALUE"""),"82458")</f>
        <v>82458</v>
      </c>
      <c r="B6939" s="64">
        <f>IFERROR(__xludf.DUMMYFUNCTION("""COMPUTED_VALUE"""),44630.0)</f>
        <v>44630</v>
      </c>
      <c r="C6939" s="5"/>
      <c r="D6939" s="5"/>
      <c r="E6939" s="5"/>
      <c r="F6939" s="22">
        <f>IFERROR(__xludf.DUMMYFUNCTION("""COMPUTED_VALUE"""),500000.0)</f>
        <v>500000</v>
      </c>
      <c r="G6939" s="22">
        <f>IFERROR(__xludf.DUMMYFUNCTION("""COMPUTED_VALUE"""),0.0)</f>
        <v>0</v>
      </c>
      <c r="H6939" s="22">
        <f>IFERROR(__xludf.DUMMYFUNCTION("""COMPUTED_VALUE"""),500000.0)</f>
        <v>500000</v>
      </c>
      <c r="I6939" s="24">
        <f>IFERROR(__xludf.DUMMYFUNCTION("""COMPUTED_VALUE"""),0.0)</f>
        <v>0</v>
      </c>
    </row>
    <row r="6940">
      <c r="A6940" s="5" t="str">
        <f>IFERROR(__xludf.DUMMYFUNCTION("""COMPUTED_VALUE"""),"82458")</f>
        <v>82458</v>
      </c>
      <c r="B6940" s="64">
        <f>IFERROR(__xludf.DUMMYFUNCTION("""COMPUTED_VALUE"""),44631.0)</f>
        <v>44631</v>
      </c>
      <c r="C6940" s="5"/>
      <c r="D6940" s="5"/>
      <c r="E6940" s="5"/>
      <c r="F6940" s="22">
        <f>IFERROR(__xludf.DUMMYFUNCTION("""COMPUTED_VALUE"""),500000.0)</f>
        <v>500000</v>
      </c>
      <c r="G6940" s="22">
        <f>IFERROR(__xludf.DUMMYFUNCTION("""COMPUTED_VALUE"""),0.0)</f>
        <v>0</v>
      </c>
      <c r="H6940" s="22">
        <f>IFERROR(__xludf.DUMMYFUNCTION("""COMPUTED_VALUE"""),500000.0)</f>
        <v>500000</v>
      </c>
      <c r="I6940" s="24">
        <f>IFERROR(__xludf.DUMMYFUNCTION("""COMPUTED_VALUE"""),0.0)</f>
        <v>0</v>
      </c>
    </row>
    <row r="6941">
      <c r="A6941" s="5" t="str">
        <f>IFERROR(__xludf.DUMMYFUNCTION("""COMPUTED_VALUE"""),"82458")</f>
        <v>82458</v>
      </c>
      <c r="B6941" s="64">
        <f>IFERROR(__xludf.DUMMYFUNCTION("""COMPUTED_VALUE"""),44632.0)</f>
        <v>44632</v>
      </c>
      <c r="C6941" s="5"/>
      <c r="D6941" s="5"/>
      <c r="E6941" s="5"/>
      <c r="F6941" s="22">
        <f>IFERROR(__xludf.DUMMYFUNCTION("""COMPUTED_VALUE"""),500000.0)</f>
        <v>500000</v>
      </c>
      <c r="G6941" s="22">
        <f>IFERROR(__xludf.DUMMYFUNCTION("""COMPUTED_VALUE"""),0.0)</f>
        <v>0</v>
      </c>
      <c r="H6941" s="22">
        <f>IFERROR(__xludf.DUMMYFUNCTION("""COMPUTED_VALUE"""),500000.0)</f>
        <v>500000</v>
      </c>
      <c r="I6941" s="24">
        <f>IFERROR(__xludf.DUMMYFUNCTION("""COMPUTED_VALUE"""),0.0)</f>
        <v>0</v>
      </c>
    </row>
    <row r="6942">
      <c r="A6942" s="5" t="str">
        <f>IFERROR(__xludf.DUMMYFUNCTION("""COMPUTED_VALUE"""),"82458")</f>
        <v>82458</v>
      </c>
      <c r="B6942" s="64">
        <f>IFERROR(__xludf.DUMMYFUNCTION("""COMPUTED_VALUE"""),44633.0)</f>
        <v>44633</v>
      </c>
      <c r="C6942" s="5"/>
      <c r="D6942" s="5"/>
      <c r="E6942" s="5"/>
      <c r="F6942" s="22">
        <f>IFERROR(__xludf.DUMMYFUNCTION("""COMPUTED_VALUE"""),500000.0)</f>
        <v>500000</v>
      </c>
      <c r="G6942" s="22">
        <f>IFERROR(__xludf.DUMMYFUNCTION("""COMPUTED_VALUE"""),0.0)</f>
        <v>0</v>
      </c>
      <c r="H6942" s="22">
        <f>IFERROR(__xludf.DUMMYFUNCTION("""COMPUTED_VALUE"""),500000.0)</f>
        <v>500000</v>
      </c>
      <c r="I6942" s="24">
        <f>IFERROR(__xludf.DUMMYFUNCTION("""COMPUTED_VALUE"""),0.0)</f>
        <v>0</v>
      </c>
    </row>
    <row r="6943">
      <c r="A6943" s="5" t="str">
        <f>IFERROR(__xludf.DUMMYFUNCTION("""COMPUTED_VALUE"""),"82458")</f>
        <v>82458</v>
      </c>
      <c r="B6943" s="64">
        <f>IFERROR(__xludf.DUMMYFUNCTION("""COMPUTED_VALUE"""),44634.0)</f>
        <v>44634</v>
      </c>
      <c r="C6943" s="5"/>
      <c r="D6943" s="5"/>
      <c r="E6943" s="5"/>
      <c r="F6943" s="22">
        <f>IFERROR(__xludf.DUMMYFUNCTION("""COMPUTED_VALUE"""),500000.0)</f>
        <v>500000</v>
      </c>
      <c r="G6943" s="22">
        <f>IFERROR(__xludf.DUMMYFUNCTION("""COMPUTED_VALUE"""),0.0)</f>
        <v>0</v>
      </c>
      <c r="H6943" s="22">
        <f>IFERROR(__xludf.DUMMYFUNCTION("""COMPUTED_VALUE"""),500000.0)</f>
        <v>500000</v>
      </c>
      <c r="I6943" s="24">
        <f>IFERROR(__xludf.DUMMYFUNCTION("""COMPUTED_VALUE"""),0.0)</f>
        <v>0</v>
      </c>
    </row>
    <row r="6944">
      <c r="A6944" s="5" t="str">
        <f>IFERROR(__xludf.DUMMYFUNCTION("""COMPUTED_VALUE"""),"82458")</f>
        <v>82458</v>
      </c>
      <c r="B6944" s="64">
        <f>IFERROR(__xludf.DUMMYFUNCTION("""COMPUTED_VALUE"""),44635.0)</f>
        <v>44635</v>
      </c>
      <c r="C6944" s="5"/>
      <c r="D6944" s="5"/>
      <c r="E6944" s="5"/>
      <c r="F6944" s="22">
        <f>IFERROR(__xludf.DUMMYFUNCTION("""COMPUTED_VALUE"""),500000.0)</f>
        <v>500000</v>
      </c>
      <c r="G6944" s="22">
        <f>IFERROR(__xludf.DUMMYFUNCTION("""COMPUTED_VALUE"""),0.0)</f>
        <v>0</v>
      </c>
      <c r="H6944" s="22">
        <f>IFERROR(__xludf.DUMMYFUNCTION("""COMPUTED_VALUE"""),500000.0)</f>
        <v>500000</v>
      </c>
      <c r="I6944" s="24">
        <f>IFERROR(__xludf.DUMMYFUNCTION("""COMPUTED_VALUE"""),0.0)</f>
        <v>0</v>
      </c>
    </row>
    <row r="6945">
      <c r="A6945" s="5" t="str">
        <f>IFERROR(__xludf.DUMMYFUNCTION("""COMPUTED_VALUE"""),"82458")</f>
        <v>82458</v>
      </c>
      <c r="B6945" s="64">
        <f>IFERROR(__xludf.DUMMYFUNCTION("""COMPUTED_VALUE"""),44636.0)</f>
        <v>44636</v>
      </c>
      <c r="C6945" s="5"/>
      <c r="D6945" s="5"/>
      <c r="E6945" s="5"/>
      <c r="F6945" s="22">
        <f>IFERROR(__xludf.DUMMYFUNCTION("""COMPUTED_VALUE"""),500000.0)</f>
        <v>500000</v>
      </c>
      <c r="G6945" s="22">
        <f>IFERROR(__xludf.DUMMYFUNCTION("""COMPUTED_VALUE"""),0.0)</f>
        <v>0</v>
      </c>
      <c r="H6945" s="22">
        <f>IFERROR(__xludf.DUMMYFUNCTION("""COMPUTED_VALUE"""),500000.0)</f>
        <v>500000</v>
      </c>
      <c r="I6945" s="24">
        <f>IFERROR(__xludf.DUMMYFUNCTION("""COMPUTED_VALUE"""),0.0)</f>
        <v>0</v>
      </c>
    </row>
    <row r="6946">
      <c r="A6946" s="5" t="str">
        <f>IFERROR(__xludf.DUMMYFUNCTION("""COMPUTED_VALUE"""),"82458")</f>
        <v>82458</v>
      </c>
      <c r="B6946" s="64">
        <f>IFERROR(__xludf.DUMMYFUNCTION("""COMPUTED_VALUE"""),44637.0)</f>
        <v>44637</v>
      </c>
      <c r="C6946" s="5"/>
      <c r="D6946" s="5"/>
      <c r="E6946" s="5"/>
      <c r="F6946" s="22">
        <f>IFERROR(__xludf.DUMMYFUNCTION("""COMPUTED_VALUE"""),500000.0)</f>
        <v>500000</v>
      </c>
      <c r="G6946" s="22">
        <f>IFERROR(__xludf.DUMMYFUNCTION("""COMPUTED_VALUE"""),0.0)</f>
        <v>0</v>
      </c>
      <c r="H6946" s="22">
        <f>IFERROR(__xludf.DUMMYFUNCTION("""COMPUTED_VALUE"""),500000.0)</f>
        <v>500000</v>
      </c>
      <c r="I6946" s="24">
        <f>IFERROR(__xludf.DUMMYFUNCTION("""COMPUTED_VALUE"""),0.0)</f>
        <v>0</v>
      </c>
    </row>
    <row r="6947">
      <c r="A6947" s="5" t="str">
        <f>IFERROR(__xludf.DUMMYFUNCTION("""COMPUTED_VALUE"""),"82458")</f>
        <v>82458</v>
      </c>
      <c r="B6947" s="64">
        <f>IFERROR(__xludf.DUMMYFUNCTION("""COMPUTED_VALUE"""),44638.0)</f>
        <v>44638</v>
      </c>
      <c r="C6947" s="5"/>
      <c r="D6947" s="5"/>
      <c r="E6947" s="5"/>
      <c r="F6947" s="22">
        <f>IFERROR(__xludf.DUMMYFUNCTION("""COMPUTED_VALUE"""),500000.0)</f>
        <v>500000</v>
      </c>
      <c r="G6947" s="22">
        <f>IFERROR(__xludf.DUMMYFUNCTION("""COMPUTED_VALUE"""),0.0)</f>
        <v>0</v>
      </c>
      <c r="H6947" s="22">
        <f>IFERROR(__xludf.DUMMYFUNCTION("""COMPUTED_VALUE"""),500000.0)</f>
        <v>500000</v>
      </c>
      <c r="I6947" s="24">
        <f>IFERROR(__xludf.DUMMYFUNCTION("""COMPUTED_VALUE"""),0.0)</f>
        <v>0</v>
      </c>
    </row>
    <row r="6948">
      <c r="A6948" s="5" t="str">
        <f>IFERROR(__xludf.DUMMYFUNCTION("""COMPUTED_VALUE"""),"82458")</f>
        <v>82458</v>
      </c>
      <c r="B6948" s="64">
        <f>IFERROR(__xludf.DUMMYFUNCTION("""COMPUTED_VALUE"""),44639.0)</f>
        <v>44639</v>
      </c>
      <c r="C6948" s="5"/>
      <c r="D6948" s="5"/>
      <c r="E6948" s="5"/>
      <c r="F6948" s="22">
        <f>IFERROR(__xludf.DUMMYFUNCTION("""COMPUTED_VALUE"""),500000.0)</f>
        <v>500000</v>
      </c>
      <c r="G6948" s="22">
        <f>IFERROR(__xludf.DUMMYFUNCTION("""COMPUTED_VALUE"""),0.0)</f>
        <v>0</v>
      </c>
      <c r="H6948" s="22">
        <f>IFERROR(__xludf.DUMMYFUNCTION("""COMPUTED_VALUE"""),500000.0)</f>
        <v>500000</v>
      </c>
      <c r="I6948" s="24">
        <f>IFERROR(__xludf.DUMMYFUNCTION("""COMPUTED_VALUE"""),0.0)</f>
        <v>0</v>
      </c>
    </row>
    <row r="6949">
      <c r="A6949" s="5" t="str">
        <f>IFERROR(__xludf.DUMMYFUNCTION("""COMPUTED_VALUE"""),"82458")</f>
        <v>82458</v>
      </c>
      <c r="B6949" s="64">
        <f>IFERROR(__xludf.DUMMYFUNCTION("""COMPUTED_VALUE"""),44640.0)</f>
        <v>44640</v>
      </c>
      <c r="C6949" s="5"/>
      <c r="D6949" s="5"/>
      <c r="E6949" s="5"/>
      <c r="F6949" s="22">
        <f>IFERROR(__xludf.DUMMYFUNCTION("""COMPUTED_VALUE"""),500000.0)</f>
        <v>500000</v>
      </c>
      <c r="G6949" s="22">
        <f>IFERROR(__xludf.DUMMYFUNCTION("""COMPUTED_VALUE"""),0.0)</f>
        <v>0</v>
      </c>
      <c r="H6949" s="22">
        <f>IFERROR(__xludf.DUMMYFUNCTION("""COMPUTED_VALUE"""),500000.0)</f>
        <v>500000</v>
      </c>
      <c r="I6949" s="24">
        <f>IFERROR(__xludf.DUMMYFUNCTION("""COMPUTED_VALUE"""),0.0)</f>
        <v>0</v>
      </c>
    </row>
    <row r="6950">
      <c r="A6950" s="5" t="str">
        <f>IFERROR(__xludf.DUMMYFUNCTION("""COMPUTED_VALUE"""),"82458")</f>
        <v>82458</v>
      </c>
      <c r="B6950" s="64">
        <f>IFERROR(__xludf.DUMMYFUNCTION("""COMPUTED_VALUE"""),44641.0)</f>
        <v>44641</v>
      </c>
      <c r="C6950" s="5"/>
      <c r="D6950" s="5"/>
      <c r="E6950" s="5"/>
      <c r="F6950" s="22">
        <f>IFERROR(__xludf.DUMMYFUNCTION("""COMPUTED_VALUE"""),500000.0)</f>
        <v>500000</v>
      </c>
      <c r="G6950" s="22">
        <f>IFERROR(__xludf.DUMMYFUNCTION("""COMPUTED_VALUE"""),0.0)</f>
        <v>0</v>
      </c>
      <c r="H6950" s="22">
        <f>IFERROR(__xludf.DUMMYFUNCTION("""COMPUTED_VALUE"""),500000.0)</f>
        <v>500000</v>
      </c>
      <c r="I6950" s="24">
        <f>IFERROR(__xludf.DUMMYFUNCTION("""COMPUTED_VALUE"""),0.0)</f>
        <v>0</v>
      </c>
    </row>
    <row r="6951">
      <c r="A6951" s="5" t="str">
        <f>IFERROR(__xludf.DUMMYFUNCTION("""COMPUTED_VALUE"""),"82458")</f>
        <v>82458</v>
      </c>
      <c r="B6951" s="64">
        <f>IFERROR(__xludf.DUMMYFUNCTION("""COMPUTED_VALUE"""),44642.0)</f>
        <v>44642</v>
      </c>
      <c r="C6951" s="5"/>
      <c r="D6951" s="5"/>
      <c r="E6951" s="5"/>
      <c r="F6951" s="22">
        <f>IFERROR(__xludf.DUMMYFUNCTION("""COMPUTED_VALUE"""),500000.0)</f>
        <v>500000</v>
      </c>
      <c r="G6951" s="22">
        <f>IFERROR(__xludf.DUMMYFUNCTION("""COMPUTED_VALUE"""),0.0)</f>
        <v>0</v>
      </c>
      <c r="H6951" s="22">
        <f>IFERROR(__xludf.DUMMYFUNCTION("""COMPUTED_VALUE"""),500000.0)</f>
        <v>500000</v>
      </c>
      <c r="I6951" s="24">
        <f>IFERROR(__xludf.DUMMYFUNCTION("""COMPUTED_VALUE"""),0.0)</f>
        <v>0</v>
      </c>
    </row>
    <row r="6952">
      <c r="A6952" s="5" t="str">
        <f>IFERROR(__xludf.DUMMYFUNCTION("""COMPUTED_VALUE"""),"82458")</f>
        <v>82458</v>
      </c>
      <c r="B6952" s="64">
        <f>IFERROR(__xludf.DUMMYFUNCTION("""COMPUTED_VALUE"""),44643.0)</f>
        <v>44643</v>
      </c>
      <c r="C6952" s="5"/>
      <c r="D6952" s="5"/>
      <c r="E6952" s="5"/>
      <c r="F6952" s="22">
        <f>IFERROR(__xludf.DUMMYFUNCTION("""COMPUTED_VALUE"""),500000.0)</f>
        <v>500000</v>
      </c>
      <c r="G6952" s="22">
        <f>IFERROR(__xludf.DUMMYFUNCTION("""COMPUTED_VALUE"""),0.0)</f>
        <v>0</v>
      </c>
      <c r="H6952" s="22">
        <f>IFERROR(__xludf.DUMMYFUNCTION("""COMPUTED_VALUE"""),500000.0)</f>
        <v>500000</v>
      </c>
      <c r="I6952" s="24">
        <f>IFERROR(__xludf.DUMMYFUNCTION("""COMPUTED_VALUE"""),0.0)</f>
        <v>0</v>
      </c>
    </row>
    <row r="6953">
      <c r="A6953" s="5" t="str">
        <f>IFERROR(__xludf.DUMMYFUNCTION("""COMPUTED_VALUE"""),"82458")</f>
        <v>82458</v>
      </c>
      <c r="B6953" s="64">
        <f>IFERROR(__xludf.DUMMYFUNCTION("""COMPUTED_VALUE"""),44644.0)</f>
        <v>44644</v>
      </c>
      <c r="C6953" s="5"/>
      <c r="D6953" s="5"/>
      <c r="E6953" s="5"/>
      <c r="F6953" s="22">
        <f>IFERROR(__xludf.DUMMYFUNCTION("""COMPUTED_VALUE"""),500000.0)</f>
        <v>500000</v>
      </c>
      <c r="G6953" s="22">
        <f>IFERROR(__xludf.DUMMYFUNCTION("""COMPUTED_VALUE"""),0.0)</f>
        <v>0</v>
      </c>
      <c r="H6953" s="22">
        <f>IFERROR(__xludf.DUMMYFUNCTION("""COMPUTED_VALUE"""),500000.0)</f>
        <v>500000</v>
      </c>
      <c r="I6953" s="24">
        <f>IFERROR(__xludf.DUMMYFUNCTION("""COMPUTED_VALUE"""),0.0)</f>
        <v>0</v>
      </c>
    </row>
    <row r="6954">
      <c r="A6954" s="5" t="str">
        <f>IFERROR(__xludf.DUMMYFUNCTION("""COMPUTED_VALUE"""),"82458")</f>
        <v>82458</v>
      </c>
      <c r="B6954" s="64">
        <f>IFERROR(__xludf.DUMMYFUNCTION("""COMPUTED_VALUE"""),44645.0)</f>
        <v>44645</v>
      </c>
      <c r="C6954" s="5"/>
      <c r="D6954" s="5"/>
      <c r="E6954" s="5"/>
      <c r="F6954" s="22">
        <f>IFERROR(__xludf.DUMMYFUNCTION("""COMPUTED_VALUE"""),500000.0)</f>
        <v>500000</v>
      </c>
      <c r="G6954" s="22">
        <f>IFERROR(__xludf.DUMMYFUNCTION("""COMPUTED_VALUE"""),0.0)</f>
        <v>0</v>
      </c>
      <c r="H6954" s="22">
        <f>IFERROR(__xludf.DUMMYFUNCTION("""COMPUTED_VALUE"""),500000.0)</f>
        <v>500000</v>
      </c>
      <c r="I6954" s="24">
        <f>IFERROR(__xludf.DUMMYFUNCTION("""COMPUTED_VALUE"""),0.0)</f>
        <v>0</v>
      </c>
    </row>
    <row r="6955">
      <c r="A6955" s="5" t="str">
        <f>IFERROR(__xludf.DUMMYFUNCTION("""COMPUTED_VALUE"""),"82458")</f>
        <v>82458</v>
      </c>
      <c r="B6955" s="64">
        <f>IFERROR(__xludf.DUMMYFUNCTION("""COMPUTED_VALUE"""),44646.0)</f>
        <v>44646</v>
      </c>
      <c r="C6955" s="5"/>
      <c r="D6955" s="5"/>
      <c r="E6955" s="5"/>
      <c r="F6955" s="22">
        <f>IFERROR(__xludf.DUMMYFUNCTION("""COMPUTED_VALUE"""),500000.0)</f>
        <v>500000</v>
      </c>
      <c r="G6955" s="22">
        <f>IFERROR(__xludf.DUMMYFUNCTION("""COMPUTED_VALUE"""),0.0)</f>
        <v>0</v>
      </c>
      <c r="H6955" s="22">
        <f>IFERROR(__xludf.DUMMYFUNCTION("""COMPUTED_VALUE"""),500000.0)</f>
        <v>500000</v>
      </c>
      <c r="I6955" s="24">
        <f>IFERROR(__xludf.DUMMYFUNCTION("""COMPUTED_VALUE"""),0.0)</f>
        <v>0</v>
      </c>
    </row>
    <row r="6956">
      <c r="A6956" s="5" t="str">
        <f>IFERROR(__xludf.DUMMYFUNCTION("""COMPUTED_VALUE"""),"82458")</f>
        <v>82458</v>
      </c>
      <c r="B6956" s="64">
        <f>IFERROR(__xludf.DUMMYFUNCTION("""COMPUTED_VALUE"""),44647.0)</f>
        <v>44647</v>
      </c>
      <c r="C6956" s="5"/>
      <c r="D6956" s="5"/>
      <c r="E6956" s="5"/>
      <c r="F6956" s="22">
        <f>IFERROR(__xludf.DUMMYFUNCTION("""COMPUTED_VALUE"""),500000.0)</f>
        <v>500000</v>
      </c>
      <c r="G6956" s="22">
        <f>IFERROR(__xludf.DUMMYFUNCTION("""COMPUTED_VALUE"""),0.0)</f>
        <v>0</v>
      </c>
      <c r="H6956" s="22">
        <f>IFERROR(__xludf.DUMMYFUNCTION("""COMPUTED_VALUE"""),500000.0)</f>
        <v>500000</v>
      </c>
      <c r="I6956" s="24">
        <f>IFERROR(__xludf.DUMMYFUNCTION("""COMPUTED_VALUE"""),0.0)</f>
        <v>0</v>
      </c>
    </row>
    <row r="6957">
      <c r="A6957" s="5" t="str">
        <f>IFERROR(__xludf.DUMMYFUNCTION("""COMPUTED_VALUE"""),"82458")</f>
        <v>82458</v>
      </c>
      <c r="B6957" s="64">
        <f>IFERROR(__xludf.DUMMYFUNCTION("""COMPUTED_VALUE"""),44648.0)</f>
        <v>44648</v>
      </c>
      <c r="C6957" s="5"/>
      <c r="D6957" s="5"/>
      <c r="E6957" s="5"/>
      <c r="F6957" s="22">
        <f>IFERROR(__xludf.DUMMYFUNCTION("""COMPUTED_VALUE"""),500000.0)</f>
        <v>500000</v>
      </c>
      <c r="G6957" s="22">
        <f>IFERROR(__xludf.DUMMYFUNCTION("""COMPUTED_VALUE"""),0.0)</f>
        <v>0</v>
      </c>
      <c r="H6957" s="22">
        <f>IFERROR(__xludf.DUMMYFUNCTION("""COMPUTED_VALUE"""),500000.0)</f>
        <v>500000</v>
      </c>
      <c r="I6957" s="24">
        <f>IFERROR(__xludf.DUMMYFUNCTION("""COMPUTED_VALUE"""),0.0)</f>
        <v>0</v>
      </c>
    </row>
    <row r="6958">
      <c r="A6958" s="5" t="str">
        <f>IFERROR(__xludf.DUMMYFUNCTION("""COMPUTED_VALUE"""),"82458")</f>
        <v>82458</v>
      </c>
      <c r="B6958" s="64">
        <f>IFERROR(__xludf.DUMMYFUNCTION("""COMPUTED_VALUE"""),44649.0)</f>
        <v>44649</v>
      </c>
      <c r="C6958" s="5"/>
      <c r="D6958" s="5"/>
      <c r="E6958" s="5"/>
      <c r="F6958" s="22">
        <f>IFERROR(__xludf.DUMMYFUNCTION("""COMPUTED_VALUE"""),500000.0)</f>
        <v>500000</v>
      </c>
      <c r="G6958" s="22">
        <f>IFERROR(__xludf.DUMMYFUNCTION("""COMPUTED_VALUE"""),0.0)</f>
        <v>0</v>
      </c>
      <c r="H6958" s="22">
        <f>IFERROR(__xludf.DUMMYFUNCTION("""COMPUTED_VALUE"""),500000.0)</f>
        <v>500000</v>
      </c>
      <c r="I6958" s="24">
        <f>IFERROR(__xludf.DUMMYFUNCTION("""COMPUTED_VALUE"""),0.0)</f>
        <v>0</v>
      </c>
    </row>
    <row r="6959">
      <c r="A6959" s="5" t="str">
        <f>IFERROR(__xludf.DUMMYFUNCTION("""COMPUTED_VALUE"""),"82458")</f>
        <v>82458</v>
      </c>
      <c r="B6959" s="64">
        <f>IFERROR(__xludf.DUMMYFUNCTION("""COMPUTED_VALUE"""),44650.0)</f>
        <v>44650</v>
      </c>
      <c r="C6959" s="5"/>
      <c r="D6959" s="5"/>
      <c r="E6959" s="5"/>
      <c r="F6959" s="22">
        <f>IFERROR(__xludf.DUMMYFUNCTION("""COMPUTED_VALUE"""),500000.0)</f>
        <v>500000</v>
      </c>
      <c r="G6959" s="22">
        <f>IFERROR(__xludf.DUMMYFUNCTION("""COMPUTED_VALUE"""),0.0)</f>
        <v>0</v>
      </c>
      <c r="H6959" s="22">
        <f>IFERROR(__xludf.DUMMYFUNCTION("""COMPUTED_VALUE"""),500000.0)</f>
        <v>500000</v>
      </c>
      <c r="I6959" s="24">
        <f>IFERROR(__xludf.DUMMYFUNCTION("""COMPUTED_VALUE"""),0.0)</f>
        <v>0</v>
      </c>
    </row>
    <row r="6960">
      <c r="A6960" s="5" t="str">
        <f>IFERROR(__xludf.DUMMYFUNCTION("""COMPUTED_VALUE"""),"82458")</f>
        <v>82458</v>
      </c>
      <c r="B6960" s="64">
        <f>IFERROR(__xludf.DUMMYFUNCTION("""COMPUTED_VALUE"""),44651.0)</f>
        <v>44651</v>
      </c>
      <c r="C6960" s="5"/>
      <c r="D6960" s="5"/>
      <c r="E6960" s="5"/>
      <c r="F6960" s="22">
        <f>IFERROR(__xludf.DUMMYFUNCTION("""COMPUTED_VALUE"""),500000.0)</f>
        <v>500000</v>
      </c>
      <c r="G6960" s="22">
        <f>IFERROR(__xludf.DUMMYFUNCTION("""COMPUTED_VALUE"""),0.0)</f>
        <v>0</v>
      </c>
      <c r="H6960" s="22">
        <f>IFERROR(__xludf.DUMMYFUNCTION("""COMPUTED_VALUE"""),500000.0)</f>
        <v>500000</v>
      </c>
      <c r="I6960" s="24">
        <f>IFERROR(__xludf.DUMMYFUNCTION("""COMPUTED_VALUE"""),0.0)</f>
        <v>0</v>
      </c>
    </row>
    <row r="6961">
      <c r="A6961" s="5" t="str">
        <f>IFERROR(__xludf.DUMMYFUNCTION("""COMPUTED_VALUE"""),"82458")</f>
        <v>82458</v>
      </c>
      <c r="B6961" s="64">
        <f>IFERROR(__xludf.DUMMYFUNCTION("""COMPUTED_VALUE"""),44652.0)</f>
        <v>44652</v>
      </c>
      <c r="C6961" s="5"/>
      <c r="D6961" s="5"/>
      <c r="E6961" s="5"/>
      <c r="F6961" s="22">
        <f>IFERROR(__xludf.DUMMYFUNCTION("""COMPUTED_VALUE"""),500000.0)</f>
        <v>500000</v>
      </c>
      <c r="G6961" s="22">
        <f>IFERROR(__xludf.DUMMYFUNCTION("""COMPUTED_VALUE"""),0.0)</f>
        <v>0</v>
      </c>
      <c r="H6961" s="22">
        <f>IFERROR(__xludf.DUMMYFUNCTION("""COMPUTED_VALUE"""),500000.0)</f>
        <v>500000</v>
      </c>
      <c r="I6961" s="24">
        <f>IFERROR(__xludf.DUMMYFUNCTION("""COMPUTED_VALUE"""),0.0)</f>
        <v>0</v>
      </c>
    </row>
    <row r="6962">
      <c r="A6962" s="5" t="str">
        <f>IFERROR(__xludf.DUMMYFUNCTION("""COMPUTED_VALUE"""),"82458")</f>
        <v>82458</v>
      </c>
      <c r="B6962" s="64">
        <f>IFERROR(__xludf.DUMMYFUNCTION("""COMPUTED_VALUE"""),44653.0)</f>
        <v>44653</v>
      </c>
      <c r="C6962" s="5"/>
      <c r="D6962" s="5"/>
      <c r="E6962" s="5"/>
      <c r="F6962" s="22">
        <f>IFERROR(__xludf.DUMMYFUNCTION("""COMPUTED_VALUE"""),500000.0)</f>
        <v>500000</v>
      </c>
      <c r="G6962" s="22">
        <f>IFERROR(__xludf.DUMMYFUNCTION("""COMPUTED_VALUE"""),0.0)</f>
        <v>0</v>
      </c>
      <c r="H6962" s="22">
        <f>IFERROR(__xludf.DUMMYFUNCTION("""COMPUTED_VALUE"""),500000.0)</f>
        <v>500000</v>
      </c>
      <c r="I6962" s="24">
        <f>IFERROR(__xludf.DUMMYFUNCTION("""COMPUTED_VALUE"""),0.0)</f>
        <v>0</v>
      </c>
    </row>
    <row r="6963">
      <c r="A6963" s="5" t="str">
        <f>IFERROR(__xludf.DUMMYFUNCTION("""COMPUTED_VALUE"""),"82458")</f>
        <v>82458</v>
      </c>
      <c r="B6963" s="64">
        <f>IFERROR(__xludf.DUMMYFUNCTION("""COMPUTED_VALUE"""),44654.0)</f>
        <v>44654</v>
      </c>
      <c r="C6963" s="5"/>
      <c r="D6963" s="5"/>
      <c r="E6963" s="5"/>
      <c r="F6963" s="22">
        <f>IFERROR(__xludf.DUMMYFUNCTION("""COMPUTED_VALUE"""),500000.0)</f>
        <v>500000</v>
      </c>
      <c r="G6963" s="22">
        <f>IFERROR(__xludf.DUMMYFUNCTION("""COMPUTED_VALUE"""),0.0)</f>
        <v>0</v>
      </c>
      <c r="H6963" s="22">
        <f>IFERROR(__xludf.DUMMYFUNCTION("""COMPUTED_VALUE"""),500000.0)</f>
        <v>500000</v>
      </c>
      <c r="I6963" s="24">
        <f>IFERROR(__xludf.DUMMYFUNCTION("""COMPUTED_VALUE"""),0.0)</f>
        <v>0</v>
      </c>
    </row>
    <row r="6964">
      <c r="A6964" s="5" t="str">
        <f>IFERROR(__xludf.DUMMYFUNCTION("""COMPUTED_VALUE"""),"82458")</f>
        <v>82458</v>
      </c>
      <c r="B6964" s="64">
        <f>IFERROR(__xludf.DUMMYFUNCTION("""COMPUTED_VALUE"""),44655.0)</f>
        <v>44655</v>
      </c>
      <c r="C6964" s="5"/>
      <c r="D6964" s="5"/>
      <c r="E6964" s="5"/>
      <c r="F6964" s="22">
        <f>IFERROR(__xludf.DUMMYFUNCTION("""COMPUTED_VALUE"""),500000.0)</f>
        <v>500000</v>
      </c>
      <c r="G6964" s="22">
        <f>IFERROR(__xludf.DUMMYFUNCTION("""COMPUTED_VALUE"""),0.0)</f>
        <v>0</v>
      </c>
      <c r="H6964" s="22">
        <f>IFERROR(__xludf.DUMMYFUNCTION("""COMPUTED_VALUE"""),500000.0)</f>
        <v>500000</v>
      </c>
      <c r="I6964" s="24">
        <f>IFERROR(__xludf.DUMMYFUNCTION("""COMPUTED_VALUE"""),0.0)</f>
        <v>0</v>
      </c>
    </row>
    <row r="6965">
      <c r="A6965" s="5" t="str">
        <f>IFERROR(__xludf.DUMMYFUNCTION("""COMPUTED_VALUE"""),"82458")</f>
        <v>82458</v>
      </c>
      <c r="B6965" s="64">
        <f>IFERROR(__xludf.DUMMYFUNCTION("""COMPUTED_VALUE"""),44656.0)</f>
        <v>44656</v>
      </c>
      <c r="C6965" s="5"/>
      <c r="D6965" s="5"/>
      <c r="E6965" s="5"/>
      <c r="F6965" s="22">
        <f>IFERROR(__xludf.DUMMYFUNCTION("""COMPUTED_VALUE"""),500000.0)</f>
        <v>500000</v>
      </c>
      <c r="G6965" s="22">
        <f>IFERROR(__xludf.DUMMYFUNCTION("""COMPUTED_VALUE"""),0.0)</f>
        <v>0</v>
      </c>
      <c r="H6965" s="22">
        <f>IFERROR(__xludf.DUMMYFUNCTION("""COMPUTED_VALUE"""),500000.0)</f>
        <v>500000</v>
      </c>
      <c r="I6965" s="24">
        <f>IFERROR(__xludf.DUMMYFUNCTION("""COMPUTED_VALUE"""),0.0)</f>
        <v>0</v>
      </c>
    </row>
    <row r="6966">
      <c r="A6966" s="5" t="str">
        <f>IFERROR(__xludf.DUMMYFUNCTION("""COMPUTED_VALUE"""),"82458")</f>
        <v>82458</v>
      </c>
      <c r="B6966" s="64">
        <f>IFERROR(__xludf.DUMMYFUNCTION("""COMPUTED_VALUE"""),44657.0)</f>
        <v>44657</v>
      </c>
      <c r="C6966" s="5"/>
      <c r="D6966" s="5"/>
      <c r="E6966" s="5"/>
      <c r="F6966" s="22">
        <f>IFERROR(__xludf.DUMMYFUNCTION("""COMPUTED_VALUE"""),500000.0)</f>
        <v>500000</v>
      </c>
      <c r="G6966" s="22">
        <f>IFERROR(__xludf.DUMMYFUNCTION("""COMPUTED_VALUE"""),0.0)</f>
        <v>0</v>
      </c>
      <c r="H6966" s="22">
        <f>IFERROR(__xludf.DUMMYFUNCTION("""COMPUTED_VALUE"""),500000.0)</f>
        <v>500000</v>
      </c>
      <c r="I6966" s="24">
        <f>IFERROR(__xludf.DUMMYFUNCTION("""COMPUTED_VALUE"""),0.0)</f>
        <v>0</v>
      </c>
    </row>
    <row r="6967">
      <c r="A6967" s="5" t="str">
        <f>IFERROR(__xludf.DUMMYFUNCTION("""COMPUTED_VALUE"""),"82458")</f>
        <v>82458</v>
      </c>
      <c r="B6967" s="64">
        <f>IFERROR(__xludf.DUMMYFUNCTION("""COMPUTED_VALUE"""),44658.0)</f>
        <v>44658</v>
      </c>
      <c r="C6967" s="5"/>
      <c r="D6967" s="5"/>
      <c r="E6967" s="5"/>
      <c r="F6967" s="22">
        <f>IFERROR(__xludf.DUMMYFUNCTION("""COMPUTED_VALUE"""),500000.0)</f>
        <v>500000</v>
      </c>
      <c r="G6967" s="22">
        <f>IFERROR(__xludf.DUMMYFUNCTION("""COMPUTED_VALUE"""),0.0)</f>
        <v>0</v>
      </c>
      <c r="H6967" s="22">
        <f>IFERROR(__xludf.DUMMYFUNCTION("""COMPUTED_VALUE"""),500000.0)</f>
        <v>500000</v>
      </c>
      <c r="I6967" s="24">
        <f>IFERROR(__xludf.DUMMYFUNCTION("""COMPUTED_VALUE"""),0.0)</f>
        <v>0</v>
      </c>
    </row>
    <row r="6968">
      <c r="A6968" s="5" t="str">
        <f>IFERROR(__xludf.DUMMYFUNCTION("""COMPUTED_VALUE"""),"82458")</f>
        <v>82458</v>
      </c>
      <c r="B6968" s="64">
        <f>IFERROR(__xludf.DUMMYFUNCTION("""COMPUTED_VALUE"""),44659.0)</f>
        <v>44659</v>
      </c>
      <c r="C6968" s="5"/>
      <c r="D6968" s="5"/>
      <c r="E6968" s="5"/>
      <c r="F6968" s="22">
        <f>IFERROR(__xludf.DUMMYFUNCTION("""COMPUTED_VALUE"""),500000.0)</f>
        <v>500000</v>
      </c>
      <c r="G6968" s="22">
        <f>IFERROR(__xludf.DUMMYFUNCTION("""COMPUTED_VALUE"""),0.0)</f>
        <v>0</v>
      </c>
      <c r="H6968" s="22">
        <f>IFERROR(__xludf.DUMMYFUNCTION("""COMPUTED_VALUE"""),500000.0)</f>
        <v>500000</v>
      </c>
      <c r="I6968" s="24">
        <f>IFERROR(__xludf.DUMMYFUNCTION("""COMPUTED_VALUE"""),0.0)</f>
        <v>0</v>
      </c>
    </row>
    <row r="6969">
      <c r="A6969" s="5" t="str">
        <f>IFERROR(__xludf.DUMMYFUNCTION("""COMPUTED_VALUE"""),"82458")</f>
        <v>82458</v>
      </c>
      <c r="B6969" s="64">
        <f>IFERROR(__xludf.DUMMYFUNCTION("""COMPUTED_VALUE"""),44660.0)</f>
        <v>44660</v>
      </c>
      <c r="C6969" s="5"/>
      <c r="D6969" s="5"/>
      <c r="E6969" s="5"/>
      <c r="F6969" s="22">
        <f>IFERROR(__xludf.DUMMYFUNCTION("""COMPUTED_VALUE"""),500000.0)</f>
        <v>500000</v>
      </c>
      <c r="G6969" s="22">
        <f>IFERROR(__xludf.DUMMYFUNCTION("""COMPUTED_VALUE"""),0.0)</f>
        <v>0</v>
      </c>
      <c r="H6969" s="22">
        <f>IFERROR(__xludf.DUMMYFUNCTION("""COMPUTED_VALUE"""),500000.0)</f>
        <v>500000</v>
      </c>
      <c r="I6969" s="24">
        <f>IFERROR(__xludf.DUMMYFUNCTION("""COMPUTED_VALUE"""),0.0)</f>
        <v>0</v>
      </c>
    </row>
    <row r="6970">
      <c r="A6970" s="5" t="str">
        <f>IFERROR(__xludf.DUMMYFUNCTION("""COMPUTED_VALUE"""),"82458")</f>
        <v>82458</v>
      </c>
      <c r="B6970" s="64">
        <f>IFERROR(__xludf.DUMMYFUNCTION("""COMPUTED_VALUE"""),44661.0)</f>
        <v>44661</v>
      </c>
      <c r="C6970" s="5"/>
      <c r="D6970" s="5"/>
      <c r="E6970" s="5"/>
      <c r="F6970" s="22">
        <f>IFERROR(__xludf.DUMMYFUNCTION("""COMPUTED_VALUE"""),500000.0)</f>
        <v>500000</v>
      </c>
      <c r="G6970" s="22">
        <f>IFERROR(__xludf.DUMMYFUNCTION("""COMPUTED_VALUE"""),0.0)</f>
        <v>0</v>
      </c>
      <c r="H6970" s="22">
        <f>IFERROR(__xludf.DUMMYFUNCTION("""COMPUTED_VALUE"""),500000.0)</f>
        <v>500000</v>
      </c>
      <c r="I6970" s="24">
        <f>IFERROR(__xludf.DUMMYFUNCTION("""COMPUTED_VALUE"""),0.0)</f>
        <v>0</v>
      </c>
    </row>
    <row r="6971">
      <c r="A6971" s="5" t="str">
        <f>IFERROR(__xludf.DUMMYFUNCTION("""COMPUTED_VALUE"""),"82458")</f>
        <v>82458</v>
      </c>
      <c r="B6971" s="64">
        <f>IFERROR(__xludf.DUMMYFUNCTION("""COMPUTED_VALUE"""),44662.0)</f>
        <v>44662</v>
      </c>
      <c r="C6971" s="5"/>
      <c r="D6971" s="5"/>
      <c r="E6971" s="5"/>
      <c r="F6971" s="22">
        <f>IFERROR(__xludf.DUMMYFUNCTION("""COMPUTED_VALUE"""),500000.0)</f>
        <v>500000</v>
      </c>
      <c r="G6971" s="22">
        <f>IFERROR(__xludf.DUMMYFUNCTION("""COMPUTED_VALUE"""),0.0)</f>
        <v>0</v>
      </c>
      <c r="H6971" s="22">
        <f>IFERROR(__xludf.DUMMYFUNCTION("""COMPUTED_VALUE"""),500000.0)</f>
        <v>500000</v>
      </c>
      <c r="I6971" s="24">
        <f>IFERROR(__xludf.DUMMYFUNCTION("""COMPUTED_VALUE"""),0.0)</f>
        <v>0</v>
      </c>
    </row>
    <row r="6972">
      <c r="A6972" s="5" t="str">
        <f>IFERROR(__xludf.DUMMYFUNCTION("""COMPUTED_VALUE"""),"82458")</f>
        <v>82458</v>
      </c>
      <c r="B6972" s="64">
        <f>IFERROR(__xludf.DUMMYFUNCTION("""COMPUTED_VALUE"""),44663.0)</f>
        <v>44663</v>
      </c>
      <c r="C6972" s="5"/>
      <c r="D6972" s="5"/>
      <c r="E6972" s="5"/>
      <c r="F6972" s="22">
        <f>IFERROR(__xludf.DUMMYFUNCTION("""COMPUTED_VALUE"""),500000.0)</f>
        <v>500000</v>
      </c>
      <c r="G6972" s="22">
        <f>IFERROR(__xludf.DUMMYFUNCTION("""COMPUTED_VALUE"""),0.0)</f>
        <v>0</v>
      </c>
      <c r="H6972" s="22">
        <f>IFERROR(__xludf.DUMMYFUNCTION("""COMPUTED_VALUE"""),500000.0)</f>
        <v>500000</v>
      </c>
      <c r="I6972" s="24">
        <f>IFERROR(__xludf.DUMMYFUNCTION("""COMPUTED_VALUE"""),0.0)</f>
        <v>0</v>
      </c>
    </row>
    <row r="6973">
      <c r="A6973" s="5" t="str">
        <f>IFERROR(__xludf.DUMMYFUNCTION("""COMPUTED_VALUE"""),"82533")</f>
        <v>82533</v>
      </c>
      <c r="B6973" s="64">
        <f>IFERROR(__xludf.DUMMYFUNCTION("""COMPUTED_VALUE"""),44597.0)</f>
        <v>44597</v>
      </c>
      <c r="C6973" s="5"/>
      <c r="D6973" s="5"/>
      <c r="E6973" s="5"/>
      <c r="F6973" s="22">
        <f>IFERROR(__xludf.DUMMYFUNCTION("""COMPUTED_VALUE"""),500000.0)</f>
        <v>500000</v>
      </c>
      <c r="G6973" s="22">
        <f>IFERROR(__xludf.DUMMYFUNCTION("""COMPUTED_VALUE"""),0.0)</f>
        <v>0</v>
      </c>
      <c r="H6973" s="22">
        <f>IFERROR(__xludf.DUMMYFUNCTION("""COMPUTED_VALUE"""),500000.0)</f>
        <v>500000</v>
      </c>
      <c r="I6973" s="24">
        <f>IFERROR(__xludf.DUMMYFUNCTION("""COMPUTED_VALUE"""),0.0)</f>
        <v>0</v>
      </c>
    </row>
    <row r="6974">
      <c r="A6974" s="5" t="str">
        <f>IFERROR(__xludf.DUMMYFUNCTION("""COMPUTED_VALUE"""),"82533")</f>
        <v>82533</v>
      </c>
      <c r="B6974" s="64">
        <f>IFERROR(__xludf.DUMMYFUNCTION("""COMPUTED_VALUE"""),44598.0)</f>
        <v>44598</v>
      </c>
      <c r="C6974" s="5"/>
      <c r="D6974" s="5"/>
      <c r="E6974" s="5"/>
      <c r="F6974" s="22">
        <f>IFERROR(__xludf.DUMMYFUNCTION("""COMPUTED_VALUE"""),500000.0)</f>
        <v>500000</v>
      </c>
      <c r="G6974" s="22">
        <f>IFERROR(__xludf.DUMMYFUNCTION("""COMPUTED_VALUE"""),0.0)</f>
        <v>0</v>
      </c>
      <c r="H6974" s="22">
        <f>IFERROR(__xludf.DUMMYFUNCTION("""COMPUTED_VALUE"""),500000.0)</f>
        <v>500000</v>
      </c>
      <c r="I6974" s="24">
        <f>IFERROR(__xludf.DUMMYFUNCTION("""COMPUTED_VALUE"""),0.0)</f>
        <v>0</v>
      </c>
    </row>
    <row r="6975">
      <c r="A6975" s="5" t="str">
        <f>IFERROR(__xludf.DUMMYFUNCTION("""COMPUTED_VALUE"""),"82533")</f>
        <v>82533</v>
      </c>
      <c r="B6975" s="64">
        <f>IFERROR(__xludf.DUMMYFUNCTION("""COMPUTED_VALUE"""),44599.0)</f>
        <v>44599</v>
      </c>
      <c r="C6975" s="5"/>
      <c r="D6975" s="5"/>
      <c r="E6975" s="5"/>
      <c r="F6975" s="22">
        <f>IFERROR(__xludf.DUMMYFUNCTION("""COMPUTED_VALUE"""),500000.0)</f>
        <v>500000</v>
      </c>
      <c r="G6975" s="22">
        <f>IFERROR(__xludf.DUMMYFUNCTION("""COMPUTED_VALUE"""),0.0)</f>
        <v>0</v>
      </c>
      <c r="H6975" s="22">
        <f>IFERROR(__xludf.DUMMYFUNCTION("""COMPUTED_VALUE"""),500000.0)</f>
        <v>500000</v>
      </c>
      <c r="I6975" s="24">
        <f>IFERROR(__xludf.DUMMYFUNCTION("""COMPUTED_VALUE"""),0.0)</f>
        <v>0</v>
      </c>
    </row>
    <row r="6976">
      <c r="A6976" s="5" t="str">
        <f>IFERROR(__xludf.DUMMYFUNCTION("""COMPUTED_VALUE"""),"82533")</f>
        <v>82533</v>
      </c>
      <c r="B6976" s="64">
        <f>IFERROR(__xludf.DUMMYFUNCTION("""COMPUTED_VALUE"""),44600.0)</f>
        <v>44600</v>
      </c>
      <c r="C6976" s="5"/>
      <c r="D6976" s="5"/>
      <c r="E6976" s="5"/>
      <c r="F6976" s="22">
        <f>IFERROR(__xludf.DUMMYFUNCTION("""COMPUTED_VALUE"""),500000.0)</f>
        <v>500000</v>
      </c>
      <c r="G6976" s="22">
        <f>IFERROR(__xludf.DUMMYFUNCTION("""COMPUTED_VALUE"""),0.0)</f>
        <v>0</v>
      </c>
      <c r="H6976" s="22">
        <f>IFERROR(__xludf.DUMMYFUNCTION("""COMPUTED_VALUE"""),500000.0)</f>
        <v>500000</v>
      </c>
      <c r="I6976" s="24">
        <f>IFERROR(__xludf.DUMMYFUNCTION("""COMPUTED_VALUE"""),0.0)</f>
        <v>0</v>
      </c>
    </row>
    <row r="6977">
      <c r="A6977" s="5" t="str">
        <f>IFERROR(__xludf.DUMMYFUNCTION("""COMPUTED_VALUE"""),"82533")</f>
        <v>82533</v>
      </c>
      <c r="B6977" s="64">
        <f>IFERROR(__xludf.DUMMYFUNCTION("""COMPUTED_VALUE"""),44601.0)</f>
        <v>44601</v>
      </c>
      <c r="C6977" s="5"/>
      <c r="D6977" s="5"/>
      <c r="E6977" s="5"/>
      <c r="F6977" s="22">
        <f>IFERROR(__xludf.DUMMYFUNCTION("""COMPUTED_VALUE"""),500000.0)</f>
        <v>500000</v>
      </c>
      <c r="G6977" s="22">
        <f>IFERROR(__xludf.DUMMYFUNCTION("""COMPUTED_VALUE"""),0.0)</f>
        <v>0</v>
      </c>
      <c r="H6977" s="22">
        <f>IFERROR(__xludf.DUMMYFUNCTION("""COMPUTED_VALUE"""),500000.0)</f>
        <v>500000</v>
      </c>
      <c r="I6977" s="24">
        <f>IFERROR(__xludf.DUMMYFUNCTION("""COMPUTED_VALUE"""),0.0)</f>
        <v>0</v>
      </c>
    </row>
    <row r="6978">
      <c r="A6978" s="5" t="str">
        <f>IFERROR(__xludf.DUMMYFUNCTION("""COMPUTED_VALUE"""),"82533")</f>
        <v>82533</v>
      </c>
      <c r="B6978" s="64">
        <f>IFERROR(__xludf.DUMMYFUNCTION("""COMPUTED_VALUE"""),44602.0)</f>
        <v>44602</v>
      </c>
      <c r="C6978" s="5"/>
      <c r="D6978" s="5"/>
      <c r="E6978" s="5"/>
      <c r="F6978" s="22">
        <f>IFERROR(__xludf.DUMMYFUNCTION("""COMPUTED_VALUE"""),500000.0)</f>
        <v>500000</v>
      </c>
      <c r="G6978" s="22">
        <f>IFERROR(__xludf.DUMMYFUNCTION("""COMPUTED_VALUE"""),0.0)</f>
        <v>0</v>
      </c>
      <c r="H6978" s="22">
        <f>IFERROR(__xludf.DUMMYFUNCTION("""COMPUTED_VALUE"""),500000.0)</f>
        <v>500000</v>
      </c>
      <c r="I6978" s="24">
        <f>IFERROR(__xludf.DUMMYFUNCTION("""COMPUTED_VALUE"""),0.0)</f>
        <v>0</v>
      </c>
    </row>
    <row r="6979">
      <c r="A6979" s="5" t="str">
        <f>IFERROR(__xludf.DUMMYFUNCTION("""COMPUTED_VALUE"""),"82533")</f>
        <v>82533</v>
      </c>
      <c r="B6979" s="64">
        <f>IFERROR(__xludf.DUMMYFUNCTION("""COMPUTED_VALUE"""),44603.0)</f>
        <v>44603</v>
      </c>
      <c r="C6979" s="5"/>
      <c r="D6979" s="5"/>
      <c r="E6979" s="5"/>
      <c r="F6979" s="22">
        <f>IFERROR(__xludf.DUMMYFUNCTION("""COMPUTED_VALUE"""),500000.0)</f>
        <v>500000</v>
      </c>
      <c r="G6979" s="22">
        <f>IFERROR(__xludf.DUMMYFUNCTION("""COMPUTED_VALUE"""),0.0)</f>
        <v>0</v>
      </c>
      <c r="H6979" s="22">
        <f>IFERROR(__xludf.DUMMYFUNCTION("""COMPUTED_VALUE"""),500000.0)</f>
        <v>500000</v>
      </c>
      <c r="I6979" s="24">
        <f>IFERROR(__xludf.DUMMYFUNCTION("""COMPUTED_VALUE"""),0.0)</f>
        <v>0</v>
      </c>
    </row>
    <row r="6980">
      <c r="A6980" s="5" t="str">
        <f>IFERROR(__xludf.DUMMYFUNCTION("""COMPUTED_VALUE"""),"82533")</f>
        <v>82533</v>
      </c>
      <c r="B6980" s="64">
        <f>IFERROR(__xludf.DUMMYFUNCTION("""COMPUTED_VALUE"""),44604.0)</f>
        <v>44604</v>
      </c>
      <c r="C6980" s="5"/>
      <c r="D6980" s="5"/>
      <c r="E6980" s="5"/>
      <c r="F6980" s="22">
        <f>IFERROR(__xludf.DUMMYFUNCTION("""COMPUTED_VALUE"""),500000.0)</f>
        <v>500000</v>
      </c>
      <c r="G6980" s="22">
        <f>IFERROR(__xludf.DUMMYFUNCTION("""COMPUTED_VALUE"""),0.0)</f>
        <v>0</v>
      </c>
      <c r="H6980" s="22">
        <f>IFERROR(__xludf.DUMMYFUNCTION("""COMPUTED_VALUE"""),500000.0)</f>
        <v>500000</v>
      </c>
      <c r="I6980" s="24">
        <f>IFERROR(__xludf.DUMMYFUNCTION("""COMPUTED_VALUE"""),0.0)</f>
        <v>0</v>
      </c>
    </row>
    <row r="6981">
      <c r="A6981" s="5" t="str">
        <f>IFERROR(__xludf.DUMMYFUNCTION("""COMPUTED_VALUE"""),"82533")</f>
        <v>82533</v>
      </c>
      <c r="B6981" s="64">
        <f>IFERROR(__xludf.DUMMYFUNCTION("""COMPUTED_VALUE"""),44605.0)</f>
        <v>44605</v>
      </c>
      <c r="C6981" s="5"/>
      <c r="D6981" s="5"/>
      <c r="E6981" s="5"/>
      <c r="F6981" s="22">
        <f>IFERROR(__xludf.DUMMYFUNCTION("""COMPUTED_VALUE"""),500000.0)</f>
        <v>500000</v>
      </c>
      <c r="G6981" s="22">
        <f>IFERROR(__xludf.DUMMYFUNCTION("""COMPUTED_VALUE"""),0.0)</f>
        <v>0</v>
      </c>
      <c r="H6981" s="22">
        <f>IFERROR(__xludf.DUMMYFUNCTION("""COMPUTED_VALUE"""),500000.0)</f>
        <v>500000</v>
      </c>
      <c r="I6981" s="24">
        <f>IFERROR(__xludf.DUMMYFUNCTION("""COMPUTED_VALUE"""),0.0)</f>
        <v>0</v>
      </c>
    </row>
    <row r="6982">
      <c r="A6982" s="5" t="str">
        <f>IFERROR(__xludf.DUMMYFUNCTION("""COMPUTED_VALUE"""),"82533")</f>
        <v>82533</v>
      </c>
      <c r="B6982" s="64">
        <f>IFERROR(__xludf.DUMMYFUNCTION("""COMPUTED_VALUE"""),44606.0)</f>
        <v>44606</v>
      </c>
      <c r="C6982" s="5"/>
      <c r="D6982" s="5"/>
      <c r="E6982" s="5"/>
      <c r="F6982" s="22">
        <f>IFERROR(__xludf.DUMMYFUNCTION("""COMPUTED_VALUE"""),500000.0)</f>
        <v>500000</v>
      </c>
      <c r="G6982" s="22">
        <f>IFERROR(__xludf.DUMMYFUNCTION("""COMPUTED_VALUE"""),0.0)</f>
        <v>0</v>
      </c>
      <c r="H6982" s="22">
        <f>IFERROR(__xludf.DUMMYFUNCTION("""COMPUTED_VALUE"""),500000.0)</f>
        <v>500000</v>
      </c>
      <c r="I6982" s="24">
        <f>IFERROR(__xludf.DUMMYFUNCTION("""COMPUTED_VALUE"""),0.0)</f>
        <v>0</v>
      </c>
    </row>
    <row r="6983">
      <c r="A6983" s="5" t="str">
        <f>IFERROR(__xludf.DUMMYFUNCTION("""COMPUTED_VALUE"""),"82533")</f>
        <v>82533</v>
      </c>
      <c r="B6983" s="64">
        <f>IFERROR(__xludf.DUMMYFUNCTION("""COMPUTED_VALUE"""),44607.0)</f>
        <v>44607</v>
      </c>
      <c r="C6983" s="5"/>
      <c r="D6983" s="5"/>
      <c r="E6983" s="5"/>
      <c r="F6983" s="22">
        <f>IFERROR(__xludf.DUMMYFUNCTION("""COMPUTED_VALUE"""),500000.0)</f>
        <v>500000</v>
      </c>
      <c r="G6983" s="22">
        <f>IFERROR(__xludf.DUMMYFUNCTION("""COMPUTED_VALUE"""),0.0)</f>
        <v>0</v>
      </c>
      <c r="H6983" s="22">
        <f>IFERROR(__xludf.DUMMYFUNCTION("""COMPUTED_VALUE"""),500000.0)</f>
        <v>500000</v>
      </c>
      <c r="I6983" s="24">
        <f>IFERROR(__xludf.DUMMYFUNCTION("""COMPUTED_VALUE"""),0.0)</f>
        <v>0</v>
      </c>
    </row>
    <row r="6984">
      <c r="A6984" s="5" t="str">
        <f>IFERROR(__xludf.DUMMYFUNCTION("""COMPUTED_VALUE"""),"82533")</f>
        <v>82533</v>
      </c>
      <c r="B6984" s="64">
        <f>IFERROR(__xludf.DUMMYFUNCTION("""COMPUTED_VALUE"""),44608.0)</f>
        <v>44608</v>
      </c>
      <c r="C6984" s="5"/>
      <c r="D6984" s="5"/>
      <c r="E6984" s="5"/>
      <c r="F6984" s="22">
        <f>IFERROR(__xludf.DUMMYFUNCTION("""COMPUTED_VALUE"""),500000.0)</f>
        <v>500000</v>
      </c>
      <c r="G6984" s="22">
        <f>IFERROR(__xludf.DUMMYFUNCTION("""COMPUTED_VALUE"""),0.0)</f>
        <v>0</v>
      </c>
      <c r="H6984" s="22">
        <f>IFERROR(__xludf.DUMMYFUNCTION("""COMPUTED_VALUE"""),500000.0)</f>
        <v>500000</v>
      </c>
      <c r="I6984" s="24">
        <f>IFERROR(__xludf.DUMMYFUNCTION("""COMPUTED_VALUE"""),0.0)</f>
        <v>0</v>
      </c>
    </row>
    <row r="6985">
      <c r="A6985" s="5" t="str">
        <f>IFERROR(__xludf.DUMMYFUNCTION("""COMPUTED_VALUE"""),"82533")</f>
        <v>82533</v>
      </c>
      <c r="B6985" s="64">
        <f>IFERROR(__xludf.DUMMYFUNCTION("""COMPUTED_VALUE"""),44609.0)</f>
        <v>44609</v>
      </c>
      <c r="C6985" s="5"/>
      <c r="D6985" s="5"/>
      <c r="E6985" s="5"/>
      <c r="F6985" s="22">
        <f>IFERROR(__xludf.DUMMYFUNCTION("""COMPUTED_VALUE"""),500000.0)</f>
        <v>500000</v>
      </c>
      <c r="G6985" s="22">
        <f>IFERROR(__xludf.DUMMYFUNCTION("""COMPUTED_VALUE"""),0.0)</f>
        <v>0</v>
      </c>
      <c r="H6985" s="22">
        <f>IFERROR(__xludf.DUMMYFUNCTION("""COMPUTED_VALUE"""),500000.0)</f>
        <v>500000</v>
      </c>
      <c r="I6985" s="24">
        <f>IFERROR(__xludf.DUMMYFUNCTION("""COMPUTED_VALUE"""),0.0)</f>
        <v>0</v>
      </c>
    </row>
    <row r="6986">
      <c r="A6986" s="5" t="str">
        <f>IFERROR(__xludf.DUMMYFUNCTION("""COMPUTED_VALUE"""),"82533")</f>
        <v>82533</v>
      </c>
      <c r="B6986" s="64">
        <f>IFERROR(__xludf.DUMMYFUNCTION("""COMPUTED_VALUE"""),44610.0)</f>
        <v>44610</v>
      </c>
      <c r="C6986" s="5"/>
      <c r="D6986" s="5"/>
      <c r="E6986" s="5"/>
      <c r="F6986" s="22">
        <f>IFERROR(__xludf.DUMMYFUNCTION("""COMPUTED_VALUE"""),500000.0)</f>
        <v>500000</v>
      </c>
      <c r="G6986" s="22">
        <f>IFERROR(__xludf.DUMMYFUNCTION("""COMPUTED_VALUE"""),0.0)</f>
        <v>0</v>
      </c>
      <c r="H6986" s="22">
        <f>IFERROR(__xludf.DUMMYFUNCTION("""COMPUTED_VALUE"""),500000.0)</f>
        <v>500000</v>
      </c>
      <c r="I6986" s="24">
        <f>IFERROR(__xludf.DUMMYFUNCTION("""COMPUTED_VALUE"""),0.0)</f>
        <v>0</v>
      </c>
    </row>
    <row r="6987">
      <c r="A6987" s="5" t="str">
        <f>IFERROR(__xludf.DUMMYFUNCTION("""COMPUTED_VALUE"""),"82533")</f>
        <v>82533</v>
      </c>
      <c r="B6987" s="64">
        <f>IFERROR(__xludf.DUMMYFUNCTION("""COMPUTED_VALUE"""),44611.0)</f>
        <v>44611</v>
      </c>
      <c r="C6987" s="5"/>
      <c r="D6987" s="5"/>
      <c r="E6987" s="5"/>
      <c r="F6987" s="22">
        <f>IFERROR(__xludf.DUMMYFUNCTION("""COMPUTED_VALUE"""),500000.0)</f>
        <v>500000</v>
      </c>
      <c r="G6987" s="22">
        <f>IFERROR(__xludf.DUMMYFUNCTION("""COMPUTED_VALUE"""),0.0)</f>
        <v>0</v>
      </c>
      <c r="H6987" s="22">
        <f>IFERROR(__xludf.DUMMYFUNCTION("""COMPUTED_VALUE"""),500000.0)</f>
        <v>500000</v>
      </c>
      <c r="I6987" s="24">
        <f>IFERROR(__xludf.DUMMYFUNCTION("""COMPUTED_VALUE"""),0.0)</f>
        <v>0</v>
      </c>
    </row>
    <row r="6988">
      <c r="A6988" s="5" t="str">
        <f>IFERROR(__xludf.DUMMYFUNCTION("""COMPUTED_VALUE"""),"82533")</f>
        <v>82533</v>
      </c>
      <c r="B6988" s="64">
        <f>IFERROR(__xludf.DUMMYFUNCTION("""COMPUTED_VALUE"""),44612.0)</f>
        <v>44612</v>
      </c>
      <c r="C6988" s="5"/>
      <c r="D6988" s="5"/>
      <c r="E6988" s="5"/>
      <c r="F6988" s="22">
        <f>IFERROR(__xludf.DUMMYFUNCTION("""COMPUTED_VALUE"""),500000.0)</f>
        <v>500000</v>
      </c>
      <c r="G6988" s="22">
        <f>IFERROR(__xludf.DUMMYFUNCTION("""COMPUTED_VALUE"""),0.0)</f>
        <v>0</v>
      </c>
      <c r="H6988" s="22">
        <f>IFERROR(__xludf.DUMMYFUNCTION("""COMPUTED_VALUE"""),500000.0)</f>
        <v>500000</v>
      </c>
      <c r="I6988" s="24">
        <f>IFERROR(__xludf.DUMMYFUNCTION("""COMPUTED_VALUE"""),0.0)</f>
        <v>0</v>
      </c>
    </row>
    <row r="6989">
      <c r="A6989" s="5" t="str">
        <f>IFERROR(__xludf.DUMMYFUNCTION("""COMPUTED_VALUE"""),"82533")</f>
        <v>82533</v>
      </c>
      <c r="B6989" s="64">
        <f>IFERROR(__xludf.DUMMYFUNCTION("""COMPUTED_VALUE"""),44613.0)</f>
        <v>44613</v>
      </c>
      <c r="C6989" s="5"/>
      <c r="D6989" s="5"/>
      <c r="E6989" s="5"/>
      <c r="F6989" s="22">
        <f>IFERROR(__xludf.DUMMYFUNCTION("""COMPUTED_VALUE"""),500000.0)</f>
        <v>500000</v>
      </c>
      <c r="G6989" s="22">
        <f>IFERROR(__xludf.DUMMYFUNCTION("""COMPUTED_VALUE"""),0.0)</f>
        <v>0</v>
      </c>
      <c r="H6989" s="22">
        <f>IFERROR(__xludf.DUMMYFUNCTION("""COMPUTED_VALUE"""),500000.0)</f>
        <v>500000</v>
      </c>
      <c r="I6989" s="24">
        <f>IFERROR(__xludf.DUMMYFUNCTION("""COMPUTED_VALUE"""),0.0)</f>
        <v>0</v>
      </c>
    </row>
    <row r="6990">
      <c r="A6990" s="5" t="str">
        <f>IFERROR(__xludf.DUMMYFUNCTION("""COMPUTED_VALUE"""),"82533")</f>
        <v>82533</v>
      </c>
      <c r="B6990" s="64">
        <f>IFERROR(__xludf.DUMMYFUNCTION("""COMPUTED_VALUE"""),44614.0)</f>
        <v>44614</v>
      </c>
      <c r="C6990" s="5"/>
      <c r="D6990" s="5"/>
      <c r="E6990" s="5"/>
      <c r="F6990" s="22">
        <f>IFERROR(__xludf.DUMMYFUNCTION("""COMPUTED_VALUE"""),500000.0)</f>
        <v>500000</v>
      </c>
      <c r="G6990" s="22">
        <f>IFERROR(__xludf.DUMMYFUNCTION("""COMPUTED_VALUE"""),0.0)</f>
        <v>0</v>
      </c>
      <c r="H6990" s="22">
        <f>IFERROR(__xludf.DUMMYFUNCTION("""COMPUTED_VALUE"""),500000.0)</f>
        <v>500000</v>
      </c>
      <c r="I6990" s="24">
        <f>IFERROR(__xludf.DUMMYFUNCTION("""COMPUTED_VALUE"""),0.0)</f>
        <v>0</v>
      </c>
    </row>
    <row r="6991">
      <c r="A6991" s="5" t="str">
        <f>IFERROR(__xludf.DUMMYFUNCTION("""COMPUTED_VALUE"""),"82533")</f>
        <v>82533</v>
      </c>
      <c r="B6991" s="64">
        <f>IFERROR(__xludf.DUMMYFUNCTION("""COMPUTED_VALUE"""),44615.0)</f>
        <v>44615</v>
      </c>
      <c r="C6991" s="5"/>
      <c r="D6991" s="5"/>
      <c r="E6991" s="5"/>
      <c r="F6991" s="22">
        <f>IFERROR(__xludf.DUMMYFUNCTION("""COMPUTED_VALUE"""),500000.0)</f>
        <v>500000</v>
      </c>
      <c r="G6991" s="22">
        <f>IFERROR(__xludf.DUMMYFUNCTION("""COMPUTED_VALUE"""),0.0)</f>
        <v>0</v>
      </c>
      <c r="H6991" s="22">
        <f>IFERROR(__xludf.DUMMYFUNCTION("""COMPUTED_VALUE"""),500000.0)</f>
        <v>500000</v>
      </c>
      <c r="I6991" s="24">
        <f>IFERROR(__xludf.DUMMYFUNCTION("""COMPUTED_VALUE"""),0.0)</f>
        <v>0</v>
      </c>
    </row>
    <row r="6992">
      <c r="A6992" s="5" t="str">
        <f>IFERROR(__xludf.DUMMYFUNCTION("""COMPUTED_VALUE"""),"82533")</f>
        <v>82533</v>
      </c>
      <c r="B6992" s="64">
        <f>IFERROR(__xludf.DUMMYFUNCTION("""COMPUTED_VALUE"""),44616.0)</f>
        <v>44616</v>
      </c>
      <c r="C6992" s="5"/>
      <c r="D6992" s="5"/>
      <c r="E6992" s="5"/>
      <c r="F6992" s="22">
        <f>IFERROR(__xludf.DUMMYFUNCTION("""COMPUTED_VALUE"""),500000.0)</f>
        <v>500000</v>
      </c>
      <c r="G6992" s="22">
        <f>IFERROR(__xludf.DUMMYFUNCTION("""COMPUTED_VALUE"""),0.0)</f>
        <v>0</v>
      </c>
      <c r="H6992" s="22">
        <f>IFERROR(__xludf.DUMMYFUNCTION("""COMPUTED_VALUE"""),500000.0)</f>
        <v>500000</v>
      </c>
      <c r="I6992" s="24">
        <f>IFERROR(__xludf.DUMMYFUNCTION("""COMPUTED_VALUE"""),0.0)</f>
        <v>0</v>
      </c>
    </row>
    <row r="6993">
      <c r="A6993" s="5" t="str">
        <f>IFERROR(__xludf.DUMMYFUNCTION("""COMPUTED_VALUE"""),"82533")</f>
        <v>82533</v>
      </c>
      <c r="B6993" s="64">
        <f>IFERROR(__xludf.DUMMYFUNCTION("""COMPUTED_VALUE"""),44617.0)</f>
        <v>44617</v>
      </c>
      <c r="C6993" s="5"/>
      <c r="D6993" s="5"/>
      <c r="E6993" s="5"/>
      <c r="F6993" s="22">
        <f>IFERROR(__xludf.DUMMYFUNCTION("""COMPUTED_VALUE"""),500000.0)</f>
        <v>500000</v>
      </c>
      <c r="G6993" s="22">
        <f>IFERROR(__xludf.DUMMYFUNCTION("""COMPUTED_VALUE"""),0.0)</f>
        <v>0</v>
      </c>
      <c r="H6993" s="22">
        <f>IFERROR(__xludf.DUMMYFUNCTION("""COMPUTED_VALUE"""),500000.0)</f>
        <v>500000</v>
      </c>
      <c r="I6993" s="24">
        <f>IFERROR(__xludf.DUMMYFUNCTION("""COMPUTED_VALUE"""),0.0)</f>
        <v>0</v>
      </c>
    </row>
    <row r="6994">
      <c r="A6994" s="5" t="str">
        <f>IFERROR(__xludf.DUMMYFUNCTION("""COMPUTED_VALUE"""),"82533")</f>
        <v>82533</v>
      </c>
      <c r="B6994" s="64">
        <f>IFERROR(__xludf.DUMMYFUNCTION("""COMPUTED_VALUE"""),44618.0)</f>
        <v>44618</v>
      </c>
      <c r="C6994" s="5"/>
      <c r="D6994" s="5"/>
      <c r="E6994" s="5"/>
      <c r="F6994" s="22">
        <f>IFERROR(__xludf.DUMMYFUNCTION("""COMPUTED_VALUE"""),500000.0)</f>
        <v>500000</v>
      </c>
      <c r="G6994" s="22">
        <f>IFERROR(__xludf.DUMMYFUNCTION("""COMPUTED_VALUE"""),0.0)</f>
        <v>0</v>
      </c>
      <c r="H6994" s="22">
        <f>IFERROR(__xludf.DUMMYFUNCTION("""COMPUTED_VALUE"""),500000.0)</f>
        <v>500000</v>
      </c>
      <c r="I6994" s="24">
        <f>IFERROR(__xludf.DUMMYFUNCTION("""COMPUTED_VALUE"""),0.0)</f>
        <v>0</v>
      </c>
    </row>
    <row r="6995">
      <c r="A6995" s="5" t="str">
        <f>IFERROR(__xludf.DUMMYFUNCTION("""COMPUTED_VALUE"""),"82533")</f>
        <v>82533</v>
      </c>
      <c r="B6995" s="64">
        <f>IFERROR(__xludf.DUMMYFUNCTION("""COMPUTED_VALUE"""),44619.0)</f>
        <v>44619</v>
      </c>
      <c r="C6995" s="5"/>
      <c r="D6995" s="5"/>
      <c r="E6995" s="5"/>
      <c r="F6995" s="22">
        <f>IFERROR(__xludf.DUMMYFUNCTION("""COMPUTED_VALUE"""),500000.0)</f>
        <v>500000</v>
      </c>
      <c r="G6995" s="22">
        <f>IFERROR(__xludf.DUMMYFUNCTION("""COMPUTED_VALUE"""),0.0)</f>
        <v>0</v>
      </c>
      <c r="H6995" s="22">
        <f>IFERROR(__xludf.DUMMYFUNCTION("""COMPUTED_VALUE"""),500000.0)</f>
        <v>500000</v>
      </c>
      <c r="I6995" s="24">
        <f>IFERROR(__xludf.DUMMYFUNCTION("""COMPUTED_VALUE"""),0.0)</f>
        <v>0</v>
      </c>
    </row>
    <row r="6996">
      <c r="A6996" s="5" t="str">
        <f>IFERROR(__xludf.DUMMYFUNCTION("""COMPUTED_VALUE"""),"82533")</f>
        <v>82533</v>
      </c>
      <c r="B6996" s="64">
        <f>IFERROR(__xludf.DUMMYFUNCTION("""COMPUTED_VALUE"""),44620.0)</f>
        <v>44620</v>
      </c>
      <c r="C6996" s="5"/>
      <c r="D6996" s="5"/>
      <c r="E6996" s="5"/>
      <c r="F6996" s="22">
        <f>IFERROR(__xludf.DUMMYFUNCTION("""COMPUTED_VALUE"""),500000.0)</f>
        <v>500000</v>
      </c>
      <c r="G6996" s="22">
        <f>IFERROR(__xludf.DUMMYFUNCTION("""COMPUTED_VALUE"""),0.0)</f>
        <v>0</v>
      </c>
      <c r="H6996" s="22">
        <f>IFERROR(__xludf.DUMMYFUNCTION("""COMPUTED_VALUE"""),500000.0)</f>
        <v>500000</v>
      </c>
      <c r="I6996" s="24">
        <f>IFERROR(__xludf.DUMMYFUNCTION("""COMPUTED_VALUE"""),0.0)</f>
        <v>0</v>
      </c>
    </row>
    <row r="6997">
      <c r="A6997" s="5" t="str">
        <f>IFERROR(__xludf.DUMMYFUNCTION("""COMPUTED_VALUE"""),"82533")</f>
        <v>82533</v>
      </c>
      <c r="B6997" s="64">
        <f>IFERROR(__xludf.DUMMYFUNCTION("""COMPUTED_VALUE"""),44621.0)</f>
        <v>44621</v>
      </c>
      <c r="C6997" s="5"/>
      <c r="D6997" s="5"/>
      <c r="E6997" s="5"/>
      <c r="F6997" s="22">
        <f>IFERROR(__xludf.DUMMYFUNCTION("""COMPUTED_VALUE"""),500000.0)</f>
        <v>500000</v>
      </c>
      <c r="G6997" s="22">
        <f>IFERROR(__xludf.DUMMYFUNCTION("""COMPUTED_VALUE"""),0.0)</f>
        <v>0</v>
      </c>
      <c r="H6997" s="22">
        <f>IFERROR(__xludf.DUMMYFUNCTION("""COMPUTED_VALUE"""),500000.0)</f>
        <v>500000</v>
      </c>
      <c r="I6997" s="24">
        <f>IFERROR(__xludf.DUMMYFUNCTION("""COMPUTED_VALUE"""),0.0)</f>
        <v>0</v>
      </c>
    </row>
    <row r="6998">
      <c r="A6998" s="5" t="str">
        <f>IFERROR(__xludf.DUMMYFUNCTION("""COMPUTED_VALUE"""),"82533")</f>
        <v>82533</v>
      </c>
      <c r="B6998" s="64">
        <f>IFERROR(__xludf.DUMMYFUNCTION("""COMPUTED_VALUE"""),44622.0)</f>
        <v>44622</v>
      </c>
      <c r="C6998" s="5"/>
      <c r="D6998" s="5"/>
      <c r="E6998" s="5"/>
      <c r="F6998" s="22">
        <f>IFERROR(__xludf.DUMMYFUNCTION("""COMPUTED_VALUE"""),500000.0)</f>
        <v>500000</v>
      </c>
      <c r="G6998" s="22">
        <f>IFERROR(__xludf.DUMMYFUNCTION("""COMPUTED_VALUE"""),0.0)</f>
        <v>0</v>
      </c>
      <c r="H6998" s="22">
        <f>IFERROR(__xludf.DUMMYFUNCTION("""COMPUTED_VALUE"""),500000.0)</f>
        <v>500000</v>
      </c>
      <c r="I6998" s="24">
        <f>IFERROR(__xludf.DUMMYFUNCTION("""COMPUTED_VALUE"""),0.0)</f>
        <v>0</v>
      </c>
    </row>
    <row r="6999">
      <c r="A6999" s="5" t="str">
        <f>IFERROR(__xludf.DUMMYFUNCTION("""COMPUTED_VALUE"""),"82533")</f>
        <v>82533</v>
      </c>
      <c r="B6999" s="64">
        <f>IFERROR(__xludf.DUMMYFUNCTION("""COMPUTED_VALUE"""),44623.0)</f>
        <v>44623</v>
      </c>
      <c r="C6999" s="5"/>
      <c r="D6999" s="5"/>
      <c r="E6999" s="5"/>
      <c r="F6999" s="22">
        <f>IFERROR(__xludf.DUMMYFUNCTION("""COMPUTED_VALUE"""),500000.0)</f>
        <v>500000</v>
      </c>
      <c r="G6999" s="22">
        <f>IFERROR(__xludf.DUMMYFUNCTION("""COMPUTED_VALUE"""),0.0)</f>
        <v>0</v>
      </c>
      <c r="H6999" s="22">
        <f>IFERROR(__xludf.DUMMYFUNCTION("""COMPUTED_VALUE"""),500000.0)</f>
        <v>500000</v>
      </c>
      <c r="I6999" s="24">
        <f>IFERROR(__xludf.DUMMYFUNCTION("""COMPUTED_VALUE"""),0.0)</f>
        <v>0</v>
      </c>
    </row>
    <row r="7000">
      <c r="A7000" s="5" t="str">
        <f>IFERROR(__xludf.DUMMYFUNCTION("""COMPUTED_VALUE"""),"82533")</f>
        <v>82533</v>
      </c>
      <c r="B7000" s="64">
        <f>IFERROR(__xludf.DUMMYFUNCTION("""COMPUTED_VALUE"""),44624.0)</f>
        <v>44624</v>
      </c>
      <c r="C7000" s="5"/>
      <c r="D7000" s="5"/>
      <c r="E7000" s="5"/>
      <c r="F7000" s="22">
        <f>IFERROR(__xludf.DUMMYFUNCTION("""COMPUTED_VALUE"""),500000.0)</f>
        <v>500000</v>
      </c>
      <c r="G7000" s="22">
        <f>IFERROR(__xludf.DUMMYFUNCTION("""COMPUTED_VALUE"""),0.0)</f>
        <v>0</v>
      </c>
      <c r="H7000" s="22">
        <f>IFERROR(__xludf.DUMMYFUNCTION("""COMPUTED_VALUE"""),500000.0)</f>
        <v>500000</v>
      </c>
      <c r="I7000" s="24">
        <f>IFERROR(__xludf.DUMMYFUNCTION("""COMPUTED_VALUE"""),0.0)</f>
        <v>0</v>
      </c>
    </row>
    <row r="7001">
      <c r="A7001" s="5" t="str">
        <f>IFERROR(__xludf.DUMMYFUNCTION("""COMPUTED_VALUE"""),"82533")</f>
        <v>82533</v>
      </c>
      <c r="B7001" s="64">
        <f>IFERROR(__xludf.DUMMYFUNCTION("""COMPUTED_VALUE"""),44625.0)</f>
        <v>44625</v>
      </c>
      <c r="C7001" s="5"/>
      <c r="D7001" s="5"/>
      <c r="E7001" s="5"/>
      <c r="F7001" s="22">
        <f>IFERROR(__xludf.DUMMYFUNCTION("""COMPUTED_VALUE"""),500000.0)</f>
        <v>500000</v>
      </c>
      <c r="G7001" s="22">
        <f>IFERROR(__xludf.DUMMYFUNCTION("""COMPUTED_VALUE"""),0.0)</f>
        <v>0</v>
      </c>
      <c r="H7001" s="22">
        <f>IFERROR(__xludf.DUMMYFUNCTION("""COMPUTED_VALUE"""),500000.0)</f>
        <v>500000</v>
      </c>
      <c r="I7001" s="24">
        <f>IFERROR(__xludf.DUMMYFUNCTION("""COMPUTED_VALUE"""),0.0)</f>
        <v>0</v>
      </c>
    </row>
    <row r="7002">
      <c r="A7002" s="5" t="str">
        <f>IFERROR(__xludf.DUMMYFUNCTION("""COMPUTED_VALUE"""),"82533")</f>
        <v>82533</v>
      </c>
      <c r="B7002" s="64">
        <f>IFERROR(__xludf.DUMMYFUNCTION("""COMPUTED_VALUE"""),44626.0)</f>
        <v>44626</v>
      </c>
      <c r="C7002" s="5"/>
      <c r="D7002" s="5"/>
      <c r="E7002" s="5"/>
      <c r="F7002" s="22">
        <f>IFERROR(__xludf.DUMMYFUNCTION("""COMPUTED_VALUE"""),500000.0)</f>
        <v>500000</v>
      </c>
      <c r="G7002" s="22">
        <f>IFERROR(__xludf.DUMMYFUNCTION("""COMPUTED_VALUE"""),0.0)</f>
        <v>0</v>
      </c>
      <c r="H7002" s="22">
        <f>IFERROR(__xludf.DUMMYFUNCTION("""COMPUTED_VALUE"""),500000.0)</f>
        <v>500000</v>
      </c>
      <c r="I7002" s="24">
        <f>IFERROR(__xludf.DUMMYFUNCTION("""COMPUTED_VALUE"""),0.0)</f>
        <v>0</v>
      </c>
    </row>
    <row r="7003">
      <c r="A7003" s="5" t="str">
        <f>IFERROR(__xludf.DUMMYFUNCTION("""COMPUTED_VALUE"""),"82533")</f>
        <v>82533</v>
      </c>
      <c r="B7003" s="64">
        <f>IFERROR(__xludf.DUMMYFUNCTION("""COMPUTED_VALUE"""),44627.0)</f>
        <v>44627</v>
      </c>
      <c r="C7003" s="5"/>
      <c r="D7003" s="5"/>
      <c r="E7003" s="5"/>
      <c r="F7003" s="22">
        <f>IFERROR(__xludf.DUMMYFUNCTION("""COMPUTED_VALUE"""),500000.0)</f>
        <v>500000</v>
      </c>
      <c r="G7003" s="22">
        <f>IFERROR(__xludf.DUMMYFUNCTION("""COMPUTED_VALUE"""),0.0)</f>
        <v>0</v>
      </c>
      <c r="H7003" s="22">
        <f>IFERROR(__xludf.DUMMYFUNCTION("""COMPUTED_VALUE"""),500000.0)</f>
        <v>500000</v>
      </c>
      <c r="I7003" s="24">
        <f>IFERROR(__xludf.DUMMYFUNCTION("""COMPUTED_VALUE"""),0.0)</f>
        <v>0</v>
      </c>
    </row>
    <row r="7004">
      <c r="A7004" s="5" t="str">
        <f>IFERROR(__xludf.DUMMYFUNCTION("""COMPUTED_VALUE"""),"82533")</f>
        <v>82533</v>
      </c>
      <c r="B7004" s="64">
        <f>IFERROR(__xludf.DUMMYFUNCTION("""COMPUTED_VALUE"""),44628.0)</f>
        <v>44628</v>
      </c>
      <c r="C7004" s="5"/>
      <c r="D7004" s="5"/>
      <c r="E7004" s="5"/>
      <c r="F7004" s="22">
        <f>IFERROR(__xludf.DUMMYFUNCTION("""COMPUTED_VALUE"""),500000.0)</f>
        <v>500000</v>
      </c>
      <c r="G7004" s="22">
        <f>IFERROR(__xludf.DUMMYFUNCTION("""COMPUTED_VALUE"""),0.0)</f>
        <v>0</v>
      </c>
      <c r="H7004" s="22">
        <f>IFERROR(__xludf.DUMMYFUNCTION("""COMPUTED_VALUE"""),500000.0)</f>
        <v>500000</v>
      </c>
      <c r="I7004" s="24">
        <f>IFERROR(__xludf.DUMMYFUNCTION("""COMPUTED_VALUE"""),0.0)</f>
        <v>0</v>
      </c>
    </row>
    <row r="7005">
      <c r="A7005" s="5" t="str">
        <f>IFERROR(__xludf.DUMMYFUNCTION("""COMPUTED_VALUE"""),"82533")</f>
        <v>82533</v>
      </c>
      <c r="B7005" s="64">
        <f>IFERROR(__xludf.DUMMYFUNCTION("""COMPUTED_VALUE"""),44629.0)</f>
        <v>44629</v>
      </c>
      <c r="C7005" s="5"/>
      <c r="D7005" s="5"/>
      <c r="E7005" s="5"/>
      <c r="F7005" s="22">
        <f>IFERROR(__xludf.DUMMYFUNCTION("""COMPUTED_VALUE"""),500000.0)</f>
        <v>500000</v>
      </c>
      <c r="G7005" s="22">
        <f>IFERROR(__xludf.DUMMYFUNCTION("""COMPUTED_VALUE"""),0.0)</f>
        <v>0</v>
      </c>
      <c r="H7005" s="22">
        <f>IFERROR(__xludf.DUMMYFUNCTION("""COMPUTED_VALUE"""),500000.0)</f>
        <v>500000</v>
      </c>
      <c r="I7005" s="24">
        <f>IFERROR(__xludf.DUMMYFUNCTION("""COMPUTED_VALUE"""),0.0)</f>
        <v>0</v>
      </c>
    </row>
    <row r="7006">
      <c r="A7006" s="5" t="str">
        <f>IFERROR(__xludf.DUMMYFUNCTION("""COMPUTED_VALUE"""),"82533")</f>
        <v>82533</v>
      </c>
      <c r="B7006" s="64">
        <f>IFERROR(__xludf.DUMMYFUNCTION("""COMPUTED_VALUE"""),44630.0)</f>
        <v>44630</v>
      </c>
      <c r="C7006" s="5"/>
      <c r="D7006" s="5"/>
      <c r="E7006" s="5"/>
      <c r="F7006" s="22">
        <f>IFERROR(__xludf.DUMMYFUNCTION("""COMPUTED_VALUE"""),500000.0)</f>
        <v>500000</v>
      </c>
      <c r="G7006" s="22">
        <f>IFERROR(__xludf.DUMMYFUNCTION("""COMPUTED_VALUE"""),0.0)</f>
        <v>0</v>
      </c>
      <c r="H7006" s="22">
        <f>IFERROR(__xludf.DUMMYFUNCTION("""COMPUTED_VALUE"""),500000.0)</f>
        <v>500000</v>
      </c>
      <c r="I7006" s="24">
        <f>IFERROR(__xludf.DUMMYFUNCTION("""COMPUTED_VALUE"""),0.0)</f>
        <v>0</v>
      </c>
    </row>
    <row r="7007">
      <c r="A7007" s="5" t="str">
        <f>IFERROR(__xludf.DUMMYFUNCTION("""COMPUTED_VALUE"""),"82533")</f>
        <v>82533</v>
      </c>
      <c r="B7007" s="64">
        <f>IFERROR(__xludf.DUMMYFUNCTION("""COMPUTED_VALUE"""),44631.0)</f>
        <v>44631</v>
      </c>
      <c r="C7007" s="5"/>
      <c r="D7007" s="5"/>
      <c r="E7007" s="5"/>
      <c r="F7007" s="22">
        <f>IFERROR(__xludf.DUMMYFUNCTION("""COMPUTED_VALUE"""),500000.0)</f>
        <v>500000</v>
      </c>
      <c r="G7007" s="22">
        <f>IFERROR(__xludf.DUMMYFUNCTION("""COMPUTED_VALUE"""),0.0)</f>
        <v>0</v>
      </c>
      <c r="H7007" s="22">
        <f>IFERROR(__xludf.DUMMYFUNCTION("""COMPUTED_VALUE"""),500000.0)</f>
        <v>500000</v>
      </c>
      <c r="I7007" s="24">
        <f>IFERROR(__xludf.DUMMYFUNCTION("""COMPUTED_VALUE"""),0.0)</f>
        <v>0</v>
      </c>
    </row>
    <row r="7008">
      <c r="A7008" s="5" t="str">
        <f>IFERROR(__xludf.DUMMYFUNCTION("""COMPUTED_VALUE"""),"82533")</f>
        <v>82533</v>
      </c>
      <c r="B7008" s="64">
        <f>IFERROR(__xludf.DUMMYFUNCTION("""COMPUTED_VALUE"""),44632.0)</f>
        <v>44632</v>
      </c>
      <c r="C7008" s="5"/>
      <c r="D7008" s="5"/>
      <c r="E7008" s="5"/>
      <c r="F7008" s="22">
        <f>IFERROR(__xludf.DUMMYFUNCTION("""COMPUTED_VALUE"""),500000.0)</f>
        <v>500000</v>
      </c>
      <c r="G7008" s="22">
        <f>IFERROR(__xludf.DUMMYFUNCTION("""COMPUTED_VALUE"""),0.0)</f>
        <v>0</v>
      </c>
      <c r="H7008" s="22">
        <f>IFERROR(__xludf.DUMMYFUNCTION("""COMPUTED_VALUE"""),500000.0)</f>
        <v>500000</v>
      </c>
      <c r="I7008" s="24">
        <f>IFERROR(__xludf.DUMMYFUNCTION("""COMPUTED_VALUE"""),0.0)</f>
        <v>0</v>
      </c>
    </row>
    <row r="7009">
      <c r="A7009" s="5" t="str">
        <f>IFERROR(__xludf.DUMMYFUNCTION("""COMPUTED_VALUE"""),"82533")</f>
        <v>82533</v>
      </c>
      <c r="B7009" s="64">
        <f>IFERROR(__xludf.DUMMYFUNCTION("""COMPUTED_VALUE"""),44633.0)</f>
        <v>44633</v>
      </c>
      <c r="C7009" s="5"/>
      <c r="D7009" s="5"/>
      <c r="E7009" s="5"/>
      <c r="F7009" s="22">
        <f>IFERROR(__xludf.DUMMYFUNCTION("""COMPUTED_VALUE"""),500000.0)</f>
        <v>500000</v>
      </c>
      <c r="G7009" s="22">
        <f>IFERROR(__xludf.DUMMYFUNCTION("""COMPUTED_VALUE"""),0.0)</f>
        <v>0</v>
      </c>
      <c r="H7009" s="22">
        <f>IFERROR(__xludf.DUMMYFUNCTION("""COMPUTED_VALUE"""),500000.0)</f>
        <v>500000</v>
      </c>
      <c r="I7009" s="24">
        <f>IFERROR(__xludf.DUMMYFUNCTION("""COMPUTED_VALUE"""),0.0)</f>
        <v>0</v>
      </c>
    </row>
    <row r="7010">
      <c r="A7010" s="5" t="str">
        <f>IFERROR(__xludf.DUMMYFUNCTION("""COMPUTED_VALUE"""),"82533")</f>
        <v>82533</v>
      </c>
      <c r="B7010" s="64">
        <f>IFERROR(__xludf.DUMMYFUNCTION("""COMPUTED_VALUE"""),44634.0)</f>
        <v>44634</v>
      </c>
      <c r="C7010" s="5"/>
      <c r="D7010" s="5"/>
      <c r="E7010" s="5"/>
      <c r="F7010" s="22">
        <f>IFERROR(__xludf.DUMMYFUNCTION("""COMPUTED_VALUE"""),309592.64)</f>
        <v>309592.64</v>
      </c>
      <c r="G7010" s="22">
        <f>IFERROR(__xludf.DUMMYFUNCTION("""COMPUTED_VALUE"""),0.0)</f>
        <v>0</v>
      </c>
      <c r="H7010" s="22">
        <f>IFERROR(__xludf.DUMMYFUNCTION("""COMPUTED_VALUE"""),500000.0)</f>
        <v>500000</v>
      </c>
      <c r="I7010" s="24">
        <f>IFERROR(__xludf.DUMMYFUNCTION("""COMPUTED_VALUE"""),0.0)</f>
        <v>0</v>
      </c>
    </row>
    <row r="7011">
      <c r="A7011" s="5" t="str">
        <f>IFERROR(__xludf.DUMMYFUNCTION("""COMPUTED_VALUE"""),"82533")</f>
        <v>82533</v>
      </c>
      <c r="B7011" s="64">
        <f>IFERROR(__xludf.DUMMYFUNCTION("""COMPUTED_VALUE"""),44635.0)</f>
        <v>44635</v>
      </c>
      <c r="C7011" s="5"/>
      <c r="D7011" s="5"/>
      <c r="E7011" s="5"/>
      <c r="F7011" s="22">
        <f>IFERROR(__xludf.DUMMYFUNCTION("""COMPUTED_VALUE"""),309592.64)</f>
        <v>309592.64</v>
      </c>
      <c r="G7011" s="22">
        <f>IFERROR(__xludf.DUMMYFUNCTION("""COMPUTED_VALUE"""),0.0)</f>
        <v>0</v>
      </c>
      <c r="H7011" s="22">
        <f>IFERROR(__xludf.DUMMYFUNCTION("""COMPUTED_VALUE"""),504932.4275)</f>
        <v>504932.4275</v>
      </c>
      <c r="I7011" s="24">
        <f>IFERROR(__xludf.DUMMYFUNCTION("""COMPUTED_VALUE"""),0.009864855000000006)</f>
        <v>0.009864855</v>
      </c>
    </row>
    <row r="7012">
      <c r="A7012" s="5" t="str">
        <f>IFERROR(__xludf.DUMMYFUNCTION("""COMPUTED_VALUE"""),"82533")</f>
        <v>82533</v>
      </c>
      <c r="B7012" s="64">
        <f>IFERROR(__xludf.DUMMYFUNCTION("""COMPUTED_VALUE"""),44636.0)</f>
        <v>44636</v>
      </c>
      <c r="C7012" s="5"/>
      <c r="D7012" s="5"/>
      <c r="E7012" s="5"/>
      <c r="F7012" s="22">
        <f>IFERROR(__xludf.DUMMYFUNCTION("""COMPUTED_VALUE"""),309592.64)</f>
        <v>309592.64</v>
      </c>
      <c r="G7012" s="22">
        <f>IFERROR(__xludf.DUMMYFUNCTION("""COMPUTED_VALUE"""),0.0)</f>
        <v>0</v>
      </c>
      <c r="H7012" s="22">
        <f>IFERROR(__xludf.DUMMYFUNCTION("""COMPUTED_VALUE"""),510491.19499999995)</f>
        <v>510491.195</v>
      </c>
      <c r="I7012" s="24">
        <f>IFERROR(__xludf.DUMMYFUNCTION("""COMPUTED_VALUE"""),0.020982389999999906)</f>
        <v>0.02098239</v>
      </c>
    </row>
    <row r="7013">
      <c r="A7013" s="5" t="str">
        <f>IFERROR(__xludf.DUMMYFUNCTION("""COMPUTED_VALUE"""),"82533")</f>
        <v>82533</v>
      </c>
      <c r="B7013" s="64">
        <f>IFERROR(__xludf.DUMMYFUNCTION("""COMPUTED_VALUE"""),44637.0)</f>
        <v>44637</v>
      </c>
      <c r="C7013" s="5"/>
      <c r="D7013" s="5"/>
      <c r="E7013" s="5"/>
      <c r="F7013" s="22">
        <f>IFERROR(__xludf.DUMMYFUNCTION("""COMPUTED_VALUE"""),309592.64)</f>
        <v>309592.64</v>
      </c>
      <c r="G7013" s="22">
        <f>IFERROR(__xludf.DUMMYFUNCTION("""COMPUTED_VALUE"""),0.0)</f>
        <v>0</v>
      </c>
      <c r="H7013" s="22">
        <f>IFERROR(__xludf.DUMMYFUNCTION("""COMPUTED_VALUE"""),510412.90249999997)</f>
        <v>510412.9025</v>
      </c>
      <c r="I7013" s="24">
        <f>IFERROR(__xludf.DUMMYFUNCTION("""COMPUTED_VALUE"""),0.020825804999999864)</f>
        <v>0.020825805</v>
      </c>
    </row>
    <row r="7014">
      <c r="A7014" s="5" t="str">
        <f>IFERROR(__xludf.DUMMYFUNCTION("""COMPUTED_VALUE"""),"82533")</f>
        <v>82533</v>
      </c>
      <c r="B7014" s="64">
        <f>IFERROR(__xludf.DUMMYFUNCTION("""COMPUTED_VALUE"""),44638.0)</f>
        <v>44638</v>
      </c>
      <c r="C7014" s="5"/>
      <c r="D7014" s="5"/>
      <c r="E7014" s="5"/>
      <c r="F7014" s="22">
        <f>IFERROR(__xludf.DUMMYFUNCTION("""COMPUTED_VALUE"""),309592.64)</f>
        <v>309592.64</v>
      </c>
      <c r="G7014" s="22">
        <f>IFERROR(__xludf.DUMMYFUNCTION("""COMPUTED_VALUE"""),0.0)</f>
        <v>0</v>
      </c>
      <c r="H7014" s="22">
        <f>IFERROR(__xludf.DUMMYFUNCTION("""COMPUTED_VALUE"""),516519.71749999997)</f>
        <v>516519.7175</v>
      </c>
      <c r="I7014" s="24">
        <f>IFERROR(__xludf.DUMMYFUNCTION("""COMPUTED_VALUE"""),0.03303943499999984)</f>
        <v>0.033039435</v>
      </c>
    </row>
    <row r="7015">
      <c r="A7015" s="5" t="str">
        <f>IFERROR(__xludf.DUMMYFUNCTION("""COMPUTED_VALUE"""),"82533")</f>
        <v>82533</v>
      </c>
      <c r="B7015" s="64">
        <f>IFERROR(__xludf.DUMMYFUNCTION("""COMPUTED_VALUE"""),44639.0)</f>
        <v>44639</v>
      </c>
      <c r="C7015" s="5"/>
      <c r="D7015" s="5"/>
      <c r="E7015" s="5"/>
      <c r="F7015" s="22">
        <f>IFERROR(__xludf.DUMMYFUNCTION("""COMPUTED_VALUE"""),309592.64)</f>
        <v>309592.64</v>
      </c>
      <c r="G7015" s="22">
        <f>IFERROR(__xludf.DUMMYFUNCTION("""COMPUTED_VALUE"""),0.0)</f>
        <v>0</v>
      </c>
      <c r="H7015" s="22">
        <f>IFERROR(__xludf.DUMMYFUNCTION("""COMPUTED_VALUE"""),516519.71749999997)</f>
        <v>516519.7175</v>
      </c>
      <c r="I7015" s="24">
        <f>IFERROR(__xludf.DUMMYFUNCTION("""COMPUTED_VALUE"""),0.03303943499999984)</f>
        <v>0.033039435</v>
      </c>
    </row>
    <row r="7016">
      <c r="A7016" s="5" t="str">
        <f>IFERROR(__xludf.DUMMYFUNCTION("""COMPUTED_VALUE"""),"82533")</f>
        <v>82533</v>
      </c>
      <c r="B7016" s="64">
        <f>IFERROR(__xludf.DUMMYFUNCTION("""COMPUTED_VALUE"""),44640.0)</f>
        <v>44640</v>
      </c>
      <c r="C7016" s="5"/>
      <c r="D7016" s="5"/>
      <c r="E7016" s="5"/>
      <c r="F7016" s="22">
        <f>IFERROR(__xludf.DUMMYFUNCTION("""COMPUTED_VALUE"""),309592.64)</f>
        <v>309592.64</v>
      </c>
      <c r="G7016" s="22">
        <f>IFERROR(__xludf.DUMMYFUNCTION("""COMPUTED_VALUE"""),0.0)</f>
        <v>0</v>
      </c>
      <c r="H7016" s="22">
        <f>IFERROR(__xludf.DUMMYFUNCTION("""COMPUTED_VALUE"""),516519.71749999997)</f>
        <v>516519.7175</v>
      </c>
      <c r="I7016" s="24">
        <f>IFERROR(__xludf.DUMMYFUNCTION("""COMPUTED_VALUE"""),0.03303943499999984)</f>
        <v>0.033039435</v>
      </c>
    </row>
    <row r="7017">
      <c r="A7017" s="5" t="str">
        <f>IFERROR(__xludf.DUMMYFUNCTION("""COMPUTED_VALUE"""),"82533")</f>
        <v>82533</v>
      </c>
      <c r="B7017" s="64">
        <f>IFERROR(__xludf.DUMMYFUNCTION("""COMPUTED_VALUE"""),44641.0)</f>
        <v>44641</v>
      </c>
      <c r="C7017" s="5"/>
      <c r="D7017" s="5"/>
      <c r="E7017" s="5"/>
      <c r="F7017" s="22">
        <f>IFERROR(__xludf.DUMMYFUNCTION("""COMPUTED_VALUE"""),309592.64)</f>
        <v>309592.64</v>
      </c>
      <c r="G7017" s="22">
        <f>IFERROR(__xludf.DUMMYFUNCTION("""COMPUTED_VALUE"""),0.0)</f>
        <v>0</v>
      </c>
      <c r="H7017" s="22">
        <f>IFERROR(__xludf.DUMMYFUNCTION("""COMPUTED_VALUE"""),511978.7525)</f>
        <v>511978.7525</v>
      </c>
      <c r="I7017" s="24">
        <f>IFERROR(__xludf.DUMMYFUNCTION("""COMPUTED_VALUE"""),0.023957505000000046)</f>
        <v>0.023957505</v>
      </c>
    </row>
    <row r="7018">
      <c r="A7018" s="5" t="str">
        <f>IFERROR(__xludf.DUMMYFUNCTION("""COMPUTED_VALUE"""),"82533")</f>
        <v>82533</v>
      </c>
      <c r="B7018" s="64">
        <f>IFERROR(__xludf.DUMMYFUNCTION("""COMPUTED_VALUE"""),44642.0)</f>
        <v>44642</v>
      </c>
      <c r="C7018" s="5"/>
      <c r="D7018" s="5"/>
      <c r="E7018" s="5"/>
      <c r="F7018" s="22">
        <f>IFERROR(__xludf.DUMMYFUNCTION("""COMPUTED_VALUE"""),309592.64)</f>
        <v>309592.64</v>
      </c>
      <c r="G7018" s="22">
        <f>IFERROR(__xludf.DUMMYFUNCTION("""COMPUTED_VALUE"""),0.0)</f>
        <v>0</v>
      </c>
      <c r="H7018" s="22">
        <f>IFERROR(__xludf.DUMMYFUNCTION("""COMPUTED_VALUE"""),517694.105)</f>
        <v>517694.105</v>
      </c>
      <c r="I7018" s="24">
        <f>IFERROR(__xludf.DUMMYFUNCTION("""COMPUTED_VALUE"""),0.03538821000000003)</f>
        <v>0.03538821</v>
      </c>
    </row>
    <row r="7019">
      <c r="A7019" s="5" t="str">
        <f>IFERROR(__xludf.DUMMYFUNCTION("""COMPUTED_VALUE"""),"82533")</f>
        <v>82533</v>
      </c>
      <c r="B7019" s="64">
        <f>IFERROR(__xludf.DUMMYFUNCTION("""COMPUTED_VALUE"""),44643.0)</f>
        <v>44643</v>
      </c>
      <c r="C7019" s="5"/>
      <c r="D7019" s="5"/>
      <c r="E7019" s="5"/>
      <c r="F7019" s="22">
        <f>IFERROR(__xludf.DUMMYFUNCTION("""COMPUTED_VALUE"""),309592.64)</f>
        <v>309592.64</v>
      </c>
      <c r="G7019" s="22">
        <f>IFERROR(__xludf.DUMMYFUNCTION("""COMPUTED_VALUE"""),0.0)</f>
        <v>0</v>
      </c>
      <c r="H7019" s="22">
        <f>IFERROR(__xludf.DUMMYFUNCTION("""COMPUTED_VALUE"""),517067.765)</f>
        <v>517067.765</v>
      </c>
      <c r="I7019" s="24">
        <f>IFERROR(__xludf.DUMMYFUNCTION("""COMPUTED_VALUE"""),0.034135530000000136)</f>
        <v>0.03413553</v>
      </c>
    </row>
    <row r="7020">
      <c r="A7020" s="5" t="str">
        <f>IFERROR(__xludf.DUMMYFUNCTION("""COMPUTED_VALUE"""),"82533")</f>
        <v>82533</v>
      </c>
      <c r="B7020" s="64">
        <f>IFERROR(__xludf.DUMMYFUNCTION("""COMPUTED_VALUE"""),44644.0)</f>
        <v>44644</v>
      </c>
      <c r="C7020" s="5"/>
      <c r="D7020" s="5"/>
      <c r="E7020" s="5"/>
      <c r="F7020" s="22">
        <f>IFERROR(__xludf.DUMMYFUNCTION("""COMPUTED_VALUE"""),309592.64)</f>
        <v>309592.64</v>
      </c>
      <c r="G7020" s="22">
        <f>IFERROR(__xludf.DUMMYFUNCTION("""COMPUTED_VALUE"""),0.0)</f>
        <v>0</v>
      </c>
      <c r="H7020" s="22">
        <f>IFERROR(__xludf.DUMMYFUNCTION("""COMPUTED_VALUE"""),525914.8175)</f>
        <v>525914.8175</v>
      </c>
      <c r="I7020" s="24">
        <f>IFERROR(__xludf.DUMMYFUNCTION("""COMPUTED_VALUE"""),0.05182963500000004)</f>
        <v>0.051829635</v>
      </c>
    </row>
    <row r="7021">
      <c r="A7021" s="5" t="str">
        <f>IFERROR(__xludf.DUMMYFUNCTION("""COMPUTED_VALUE"""),"82533")</f>
        <v>82533</v>
      </c>
      <c r="B7021" s="64">
        <f>IFERROR(__xludf.DUMMYFUNCTION("""COMPUTED_VALUE"""),44645.0)</f>
        <v>44645</v>
      </c>
      <c r="C7021" s="5"/>
      <c r="D7021" s="5"/>
      <c r="E7021" s="5"/>
      <c r="F7021" s="22">
        <f>IFERROR(__xludf.DUMMYFUNCTION("""COMPUTED_VALUE"""),309592.64)</f>
        <v>309592.64</v>
      </c>
      <c r="G7021" s="22">
        <f>IFERROR(__xludf.DUMMYFUNCTION("""COMPUTED_VALUE"""),0.0)</f>
        <v>0</v>
      </c>
      <c r="H7021" s="22">
        <f>IFERROR(__xludf.DUMMYFUNCTION("""COMPUTED_VALUE"""),529492.841807525)</f>
        <v>529492.8418</v>
      </c>
      <c r="I7021" s="24">
        <f>IFERROR(__xludf.DUMMYFUNCTION("""COMPUTED_VALUE"""),0.058985683615049966)</f>
        <v>0.05898568362</v>
      </c>
    </row>
    <row r="7022">
      <c r="A7022" s="5" t="str">
        <f>IFERROR(__xludf.DUMMYFUNCTION("""COMPUTED_VALUE"""),"82533")</f>
        <v>82533</v>
      </c>
      <c r="B7022" s="64">
        <f>IFERROR(__xludf.DUMMYFUNCTION("""COMPUTED_VALUE"""),44646.0)</f>
        <v>44646</v>
      </c>
      <c r="C7022" s="5"/>
      <c r="D7022" s="5"/>
      <c r="E7022" s="5"/>
      <c r="F7022" s="22">
        <f>IFERROR(__xludf.DUMMYFUNCTION("""COMPUTED_VALUE"""),309592.64)</f>
        <v>309592.64</v>
      </c>
      <c r="G7022" s="22">
        <f>IFERROR(__xludf.DUMMYFUNCTION("""COMPUTED_VALUE"""),0.0)</f>
        <v>0</v>
      </c>
      <c r="H7022" s="22">
        <f>IFERROR(__xludf.DUMMYFUNCTION("""COMPUTED_VALUE"""),529492.841807525)</f>
        <v>529492.8418</v>
      </c>
      <c r="I7022" s="24">
        <f>IFERROR(__xludf.DUMMYFUNCTION("""COMPUTED_VALUE"""),0.058985683615049966)</f>
        <v>0.05898568362</v>
      </c>
    </row>
    <row r="7023">
      <c r="A7023" s="5" t="str">
        <f>IFERROR(__xludf.DUMMYFUNCTION("""COMPUTED_VALUE"""),"82533")</f>
        <v>82533</v>
      </c>
      <c r="B7023" s="64">
        <f>IFERROR(__xludf.DUMMYFUNCTION("""COMPUTED_VALUE"""),44647.0)</f>
        <v>44647</v>
      </c>
      <c r="C7023" s="5"/>
      <c r="D7023" s="5"/>
      <c r="E7023" s="5"/>
      <c r="F7023" s="22">
        <f>IFERROR(__xludf.DUMMYFUNCTION("""COMPUTED_VALUE"""),309592.64)</f>
        <v>309592.64</v>
      </c>
      <c r="G7023" s="22">
        <f>IFERROR(__xludf.DUMMYFUNCTION("""COMPUTED_VALUE"""),0.0)</f>
        <v>0</v>
      </c>
      <c r="H7023" s="22">
        <f>IFERROR(__xludf.DUMMYFUNCTION("""COMPUTED_VALUE"""),529492.841807525)</f>
        <v>529492.8418</v>
      </c>
      <c r="I7023" s="24">
        <f>IFERROR(__xludf.DUMMYFUNCTION("""COMPUTED_VALUE"""),0.058985683615049966)</f>
        <v>0.05898568362</v>
      </c>
    </row>
    <row r="7024">
      <c r="A7024" s="5" t="str">
        <f>IFERROR(__xludf.DUMMYFUNCTION("""COMPUTED_VALUE"""),"82533")</f>
        <v>82533</v>
      </c>
      <c r="B7024" s="64">
        <f>IFERROR(__xludf.DUMMYFUNCTION("""COMPUTED_VALUE"""),44648.0)</f>
        <v>44648</v>
      </c>
      <c r="C7024" s="5"/>
      <c r="D7024" s="5"/>
      <c r="E7024" s="5"/>
      <c r="F7024" s="22">
        <f>IFERROR(__xludf.DUMMYFUNCTION("""COMPUTED_VALUE"""),309592.64)</f>
        <v>309592.64</v>
      </c>
      <c r="G7024" s="22">
        <f>IFERROR(__xludf.DUMMYFUNCTION("""COMPUTED_VALUE"""),0.0)</f>
        <v>0</v>
      </c>
      <c r="H7024" s="22">
        <f>IFERROR(__xludf.DUMMYFUNCTION("""COMPUTED_VALUE"""),533759.226769025)</f>
        <v>533759.2268</v>
      </c>
      <c r="I7024" s="24">
        <f>IFERROR(__xludf.DUMMYFUNCTION("""COMPUTED_VALUE"""),0.06751845353804997)</f>
        <v>0.06751845354</v>
      </c>
    </row>
    <row r="7025">
      <c r="A7025" s="5" t="str">
        <f>IFERROR(__xludf.DUMMYFUNCTION("""COMPUTED_VALUE"""),"82533")</f>
        <v>82533</v>
      </c>
      <c r="B7025" s="64">
        <f>IFERROR(__xludf.DUMMYFUNCTION("""COMPUTED_VALUE"""),44649.0)</f>
        <v>44649</v>
      </c>
      <c r="C7025" s="5"/>
      <c r="D7025" s="5"/>
      <c r="E7025" s="5"/>
      <c r="F7025" s="25">
        <f>IFERROR(__xludf.DUMMYFUNCTION("""COMPUTED_VALUE"""),309592.64)</f>
        <v>309592.64</v>
      </c>
      <c r="G7025" s="25">
        <f>IFERROR(__xludf.DUMMYFUNCTION("""COMPUTED_VALUE"""),0.0)</f>
        <v>0</v>
      </c>
      <c r="H7025" s="8">
        <f>IFERROR(__xludf.DUMMYFUNCTION("""COMPUTED_VALUE"""),504758.3227457749)</f>
        <v>504758.3227</v>
      </c>
      <c r="I7025" s="24">
        <f>IFERROR(__xludf.DUMMYFUNCTION("""COMPUTED_VALUE"""),0.009516645491549847)</f>
        <v>0.009516645492</v>
      </c>
    </row>
    <row r="7026">
      <c r="A7026" s="5" t="str">
        <f>IFERROR(__xludf.DUMMYFUNCTION("""COMPUTED_VALUE"""),"82533")</f>
        <v>82533</v>
      </c>
      <c r="B7026" s="64">
        <f>IFERROR(__xludf.DUMMYFUNCTION("""COMPUTED_VALUE"""),44650.0)</f>
        <v>44650</v>
      </c>
      <c r="C7026" s="5"/>
      <c r="D7026" s="5"/>
      <c r="E7026" s="5"/>
      <c r="F7026" s="25">
        <f>IFERROR(__xludf.DUMMYFUNCTION("""COMPUTED_VALUE"""),309592.64)</f>
        <v>309592.64</v>
      </c>
      <c r="G7026" s="25">
        <f>IFERROR(__xludf.DUMMYFUNCTION("""COMPUTED_VALUE"""),0.0)</f>
        <v>0</v>
      </c>
      <c r="H7026" s="8">
        <f>IFERROR(__xludf.DUMMYFUNCTION("""COMPUTED_VALUE"""),494153.22039605)</f>
        <v>494153.2204</v>
      </c>
      <c r="I7026" s="24">
        <f>IFERROR(__xludf.DUMMYFUNCTION("""COMPUTED_VALUE"""),-0.01169355920789994)</f>
        <v>-0.01169355921</v>
      </c>
    </row>
    <row r="7027">
      <c r="A7027" s="5" t="str">
        <f>IFERROR(__xludf.DUMMYFUNCTION("""COMPUTED_VALUE"""),"82533")</f>
        <v>82533</v>
      </c>
      <c r="B7027" s="64">
        <f>IFERROR(__xludf.DUMMYFUNCTION("""COMPUTED_VALUE"""),44651.0)</f>
        <v>44651</v>
      </c>
      <c r="C7027" s="5"/>
      <c r="D7027" s="5"/>
      <c r="E7027" s="5"/>
      <c r="F7027" s="25">
        <f>IFERROR(__xludf.DUMMYFUNCTION("""COMPUTED_VALUE"""),309592.64)</f>
        <v>309592.64</v>
      </c>
      <c r="G7027" s="25">
        <f>IFERROR(__xludf.DUMMYFUNCTION("""COMPUTED_VALUE"""),0.0)</f>
        <v>0</v>
      </c>
      <c r="H7027" s="8">
        <f>IFERROR(__xludf.DUMMYFUNCTION("""COMPUTED_VALUE"""),474140.99189750006)</f>
        <v>474140.9919</v>
      </c>
      <c r="I7027" s="24">
        <f>IFERROR(__xludf.DUMMYFUNCTION("""COMPUTED_VALUE"""),-0.05171801620499983)</f>
        <v>-0.0517180162</v>
      </c>
    </row>
    <row r="7028">
      <c r="A7028" s="5" t="str">
        <f>IFERROR(__xludf.DUMMYFUNCTION("""COMPUTED_VALUE"""),"82533")</f>
        <v>82533</v>
      </c>
      <c r="B7028" s="64">
        <f>IFERROR(__xludf.DUMMYFUNCTION("""COMPUTED_VALUE"""),44652.0)</f>
        <v>44652</v>
      </c>
      <c r="C7028" s="5"/>
      <c r="D7028" s="5"/>
      <c r="E7028" s="5"/>
      <c r="F7028" s="25">
        <f>IFERROR(__xludf.DUMMYFUNCTION("""COMPUTED_VALUE"""),309592.64)</f>
        <v>309592.64</v>
      </c>
      <c r="G7028" s="25">
        <f>IFERROR(__xludf.DUMMYFUNCTION("""COMPUTED_VALUE"""),0.0)</f>
        <v>0</v>
      </c>
      <c r="H7028" s="8">
        <f>IFERROR(__xludf.DUMMYFUNCTION("""COMPUTED_VALUE"""),477311.7656474999)</f>
        <v>477311.7656</v>
      </c>
      <c r="I7028" s="24">
        <f>IFERROR(__xludf.DUMMYFUNCTION("""COMPUTED_VALUE"""),-0.04537646870500023)</f>
        <v>-0.04537646871</v>
      </c>
    </row>
    <row r="7029">
      <c r="A7029" s="5" t="str">
        <f>IFERROR(__xludf.DUMMYFUNCTION("""COMPUTED_VALUE"""),"82533")</f>
        <v>82533</v>
      </c>
      <c r="B7029" s="64">
        <f>IFERROR(__xludf.DUMMYFUNCTION("""COMPUTED_VALUE"""),44653.0)</f>
        <v>44653</v>
      </c>
      <c r="C7029" s="5"/>
      <c r="D7029" s="5"/>
      <c r="E7029" s="5"/>
      <c r="F7029" s="25">
        <f>IFERROR(__xludf.DUMMYFUNCTION("""COMPUTED_VALUE"""),309592.64)</f>
        <v>309592.64</v>
      </c>
      <c r="G7029" s="25">
        <f>IFERROR(__xludf.DUMMYFUNCTION("""COMPUTED_VALUE"""),0.0)</f>
        <v>0</v>
      </c>
      <c r="H7029" s="8">
        <f>IFERROR(__xludf.DUMMYFUNCTION("""COMPUTED_VALUE"""),477311.7656474999)</f>
        <v>477311.7656</v>
      </c>
      <c r="I7029" s="24">
        <f>IFERROR(__xludf.DUMMYFUNCTION("""COMPUTED_VALUE"""),-0.04537646870500023)</f>
        <v>-0.04537646871</v>
      </c>
    </row>
    <row r="7030">
      <c r="A7030" s="5" t="str">
        <f>IFERROR(__xludf.DUMMYFUNCTION("""COMPUTED_VALUE"""),"82533")</f>
        <v>82533</v>
      </c>
      <c r="B7030" s="64">
        <f>IFERROR(__xludf.DUMMYFUNCTION("""COMPUTED_VALUE"""),44654.0)</f>
        <v>44654</v>
      </c>
      <c r="C7030" s="5"/>
      <c r="D7030" s="5"/>
      <c r="E7030" s="5"/>
      <c r="F7030" s="25">
        <f>IFERROR(__xludf.DUMMYFUNCTION("""COMPUTED_VALUE"""),309592.64)</f>
        <v>309592.64</v>
      </c>
      <c r="G7030" s="25">
        <f>IFERROR(__xludf.DUMMYFUNCTION("""COMPUTED_VALUE"""),0.0)</f>
        <v>0</v>
      </c>
      <c r="H7030" s="8">
        <f>IFERROR(__xludf.DUMMYFUNCTION("""COMPUTED_VALUE"""),477311.7656474999)</f>
        <v>477311.7656</v>
      </c>
      <c r="I7030" s="24">
        <f>IFERROR(__xludf.DUMMYFUNCTION("""COMPUTED_VALUE"""),-0.04537646870500023)</f>
        <v>-0.04537646871</v>
      </c>
    </row>
    <row r="7031">
      <c r="A7031" s="5" t="str">
        <f>IFERROR(__xludf.DUMMYFUNCTION("""COMPUTED_VALUE"""),"82533")</f>
        <v>82533</v>
      </c>
      <c r="B7031" s="64">
        <f>IFERROR(__xludf.DUMMYFUNCTION("""COMPUTED_VALUE"""),44655.0)</f>
        <v>44655</v>
      </c>
      <c r="C7031" s="5"/>
      <c r="D7031" s="5"/>
      <c r="E7031" s="5"/>
      <c r="F7031" s="25">
        <f>IFERROR(__xludf.DUMMYFUNCTION("""COMPUTED_VALUE"""),309592.64)</f>
        <v>309592.64</v>
      </c>
      <c r="G7031" s="25">
        <f>IFERROR(__xludf.DUMMYFUNCTION("""COMPUTED_VALUE"""),0.0)</f>
        <v>0</v>
      </c>
      <c r="H7031" s="8">
        <f>IFERROR(__xludf.DUMMYFUNCTION("""COMPUTED_VALUE"""),460889.25395335)</f>
        <v>460889.254</v>
      </c>
      <c r="I7031" s="24">
        <f>IFERROR(__xludf.DUMMYFUNCTION("""COMPUTED_VALUE"""),-0.07822149209329998)</f>
        <v>-0.07822149209</v>
      </c>
    </row>
    <row r="7032">
      <c r="A7032" s="5" t="str">
        <f>IFERROR(__xludf.DUMMYFUNCTION("""COMPUTED_VALUE"""),"82533")</f>
        <v>82533</v>
      </c>
      <c r="B7032" s="64">
        <f>IFERROR(__xludf.DUMMYFUNCTION("""COMPUTED_VALUE"""),44656.0)</f>
        <v>44656</v>
      </c>
      <c r="C7032" s="5"/>
      <c r="D7032" s="5"/>
      <c r="E7032" s="5"/>
      <c r="F7032" s="25">
        <f>IFERROR(__xludf.DUMMYFUNCTION("""COMPUTED_VALUE"""),309592.64)</f>
        <v>309592.64</v>
      </c>
      <c r="G7032" s="25">
        <f>IFERROR(__xludf.DUMMYFUNCTION("""COMPUTED_VALUE"""),0.0)</f>
        <v>0</v>
      </c>
      <c r="H7032" s="8">
        <f>IFERROR(__xludf.DUMMYFUNCTION("""COMPUTED_VALUE"""),441769.1733289999)</f>
        <v>441769.1733</v>
      </c>
      <c r="I7032" s="24">
        <f>IFERROR(__xludf.DUMMYFUNCTION("""COMPUTED_VALUE"""),-0.1164616533420002)</f>
        <v>-0.1164616533</v>
      </c>
    </row>
    <row r="7033">
      <c r="A7033" s="5" t="str">
        <f>IFERROR(__xludf.DUMMYFUNCTION("""COMPUTED_VALUE"""),"82533")</f>
        <v>82533</v>
      </c>
      <c r="B7033" s="64">
        <f>IFERROR(__xludf.DUMMYFUNCTION("""COMPUTED_VALUE"""),44657.0)</f>
        <v>44657</v>
      </c>
      <c r="C7033" s="5"/>
      <c r="D7033" s="5"/>
      <c r="E7033" s="5"/>
      <c r="F7033" s="25">
        <f>IFERROR(__xludf.DUMMYFUNCTION("""COMPUTED_VALUE"""),309592.64)</f>
        <v>309592.64</v>
      </c>
      <c r="G7033" s="25">
        <f>IFERROR(__xludf.DUMMYFUNCTION("""COMPUTED_VALUE"""),0.0)</f>
        <v>0</v>
      </c>
      <c r="H7033" s="8">
        <f>IFERROR(__xludf.DUMMYFUNCTION("""COMPUTED_VALUE"""),418088.95720239996)</f>
        <v>418088.9572</v>
      </c>
      <c r="I7033" s="24">
        <f>IFERROR(__xludf.DUMMYFUNCTION("""COMPUTED_VALUE"""),-0.16382208559520006)</f>
        <v>-0.1638220856</v>
      </c>
    </row>
    <row r="7034">
      <c r="A7034" s="5" t="str">
        <f>IFERROR(__xludf.DUMMYFUNCTION("""COMPUTED_VALUE"""),"82533")</f>
        <v>82533</v>
      </c>
      <c r="B7034" s="64">
        <f>IFERROR(__xludf.DUMMYFUNCTION("""COMPUTED_VALUE"""),44658.0)</f>
        <v>44658</v>
      </c>
      <c r="C7034" s="5"/>
      <c r="D7034" s="5"/>
      <c r="E7034" s="5"/>
      <c r="F7034" s="25">
        <f>IFERROR(__xludf.DUMMYFUNCTION("""COMPUTED_VALUE"""),309592.64)</f>
        <v>309592.64</v>
      </c>
      <c r="G7034" s="25">
        <f>IFERROR(__xludf.DUMMYFUNCTION("""COMPUTED_VALUE"""),0.0)</f>
        <v>0</v>
      </c>
      <c r="H7034" s="8">
        <f>IFERROR(__xludf.DUMMYFUNCTION("""COMPUTED_VALUE"""),389902.34411552496)</f>
        <v>389902.3441</v>
      </c>
      <c r="I7034" s="24">
        <f>IFERROR(__xludf.DUMMYFUNCTION("""COMPUTED_VALUE"""),-0.22019531176895013)</f>
        <v>-0.2201953118</v>
      </c>
    </row>
    <row r="7035">
      <c r="A7035" s="5" t="str">
        <f>IFERROR(__xludf.DUMMYFUNCTION("""COMPUTED_VALUE"""),"82533")</f>
        <v>82533</v>
      </c>
      <c r="B7035" s="64">
        <f>IFERROR(__xludf.DUMMYFUNCTION("""COMPUTED_VALUE"""),44659.0)</f>
        <v>44659</v>
      </c>
      <c r="C7035" s="5"/>
      <c r="D7035" s="5"/>
      <c r="E7035" s="5"/>
      <c r="F7035" s="25">
        <f>IFERROR(__xludf.DUMMYFUNCTION("""COMPUTED_VALUE"""),309592.64)</f>
        <v>309592.64</v>
      </c>
      <c r="G7035" s="25">
        <f>IFERROR(__xludf.DUMMYFUNCTION("""COMPUTED_VALUE"""),0.0)</f>
        <v>0</v>
      </c>
      <c r="H7035" s="8">
        <f>IFERROR(__xludf.DUMMYFUNCTION("""COMPUTED_VALUE"""),371424.537029525)</f>
        <v>371424.537</v>
      </c>
      <c r="I7035" s="24">
        <f>IFERROR(__xludf.DUMMYFUNCTION("""COMPUTED_VALUE"""),-0.25715092594095)</f>
        <v>-0.2571509259</v>
      </c>
    </row>
    <row r="7036">
      <c r="A7036" s="5" t="str">
        <f>IFERROR(__xludf.DUMMYFUNCTION("""COMPUTED_VALUE"""),"82533")</f>
        <v>82533</v>
      </c>
      <c r="B7036" s="64">
        <f>IFERROR(__xludf.DUMMYFUNCTION("""COMPUTED_VALUE"""),44660.0)</f>
        <v>44660</v>
      </c>
      <c r="C7036" s="5"/>
      <c r="D7036" s="5"/>
      <c r="E7036" s="5"/>
      <c r="F7036" s="25">
        <f>IFERROR(__xludf.DUMMYFUNCTION("""COMPUTED_VALUE"""),309592.64)</f>
        <v>309592.64</v>
      </c>
      <c r="G7036" s="25">
        <f>IFERROR(__xludf.DUMMYFUNCTION("""COMPUTED_VALUE"""),0.0)</f>
        <v>0</v>
      </c>
      <c r="H7036" s="8">
        <f>IFERROR(__xludf.DUMMYFUNCTION("""COMPUTED_VALUE"""),371424.537029525)</f>
        <v>371424.537</v>
      </c>
      <c r="I7036" s="24">
        <f>IFERROR(__xludf.DUMMYFUNCTION("""COMPUTED_VALUE"""),-0.25715092594095)</f>
        <v>-0.2571509259</v>
      </c>
    </row>
    <row r="7037">
      <c r="A7037" s="5" t="str">
        <f>IFERROR(__xludf.DUMMYFUNCTION("""COMPUTED_VALUE"""),"82533")</f>
        <v>82533</v>
      </c>
      <c r="B7037" s="64">
        <f>IFERROR(__xludf.DUMMYFUNCTION("""COMPUTED_VALUE"""),44661.0)</f>
        <v>44661</v>
      </c>
      <c r="C7037" s="5"/>
      <c r="D7037" s="5"/>
      <c r="E7037" s="5"/>
      <c r="F7037" s="25">
        <f>IFERROR(__xludf.DUMMYFUNCTION("""COMPUTED_VALUE"""),309592.64)</f>
        <v>309592.64</v>
      </c>
      <c r="G7037" s="25">
        <f>IFERROR(__xludf.DUMMYFUNCTION("""COMPUTED_VALUE"""),0.0)</f>
        <v>0</v>
      </c>
      <c r="H7037" s="8">
        <f>IFERROR(__xludf.DUMMYFUNCTION("""COMPUTED_VALUE"""),371424.537029525)</f>
        <v>371424.537</v>
      </c>
      <c r="I7037" s="24">
        <f>IFERROR(__xludf.DUMMYFUNCTION("""COMPUTED_VALUE"""),-0.25715092594095)</f>
        <v>-0.2571509259</v>
      </c>
    </row>
    <row r="7038">
      <c r="A7038" s="5" t="str">
        <f>IFERROR(__xludf.DUMMYFUNCTION("""COMPUTED_VALUE"""),"82533")</f>
        <v>82533</v>
      </c>
      <c r="B7038" s="64">
        <f>IFERROR(__xludf.DUMMYFUNCTION("""COMPUTED_VALUE"""),44662.0)</f>
        <v>44662</v>
      </c>
      <c r="C7038" s="5"/>
      <c r="D7038" s="5"/>
      <c r="E7038" s="5"/>
      <c r="F7038" s="25">
        <f>IFERROR(__xludf.DUMMYFUNCTION("""COMPUTED_VALUE"""),309592.64)</f>
        <v>309592.64</v>
      </c>
      <c r="G7038" s="25">
        <f>IFERROR(__xludf.DUMMYFUNCTION("""COMPUTED_VALUE"""),0.0)</f>
        <v>0</v>
      </c>
      <c r="H7038" s="8">
        <f>IFERROR(__xludf.DUMMYFUNCTION("""COMPUTED_VALUE"""),356717.20925039996)</f>
        <v>356717.2093</v>
      </c>
      <c r="I7038" s="24">
        <f>IFERROR(__xludf.DUMMYFUNCTION("""COMPUTED_VALUE"""),-0.2865655814992001)</f>
        <v>-0.2865655815</v>
      </c>
    </row>
    <row r="7039">
      <c r="A7039" s="5" t="str">
        <f>IFERROR(__xludf.DUMMYFUNCTION("""COMPUTED_VALUE"""),"82533")</f>
        <v>82533</v>
      </c>
      <c r="B7039" s="64">
        <f>IFERROR(__xludf.DUMMYFUNCTION("""COMPUTED_VALUE"""),44663.0)</f>
        <v>44663</v>
      </c>
      <c r="C7039" s="5"/>
      <c r="D7039" s="5"/>
      <c r="E7039" s="5"/>
      <c r="F7039" s="25">
        <f>IFERROR(__xludf.DUMMYFUNCTION("""COMPUTED_VALUE"""),309592.64)</f>
        <v>309592.64</v>
      </c>
      <c r="G7039" s="25">
        <f>IFERROR(__xludf.DUMMYFUNCTION("""COMPUTED_VALUE"""),0.0)</f>
        <v>0</v>
      </c>
      <c r="H7039" s="8">
        <f>IFERROR(__xludf.DUMMYFUNCTION("""COMPUTED_VALUE"""),354814.7477197499)</f>
        <v>354814.7477</v>
      </c>
      <c r="I7039" s="24">
        <f>IFERROR(__xludf.DUMMYFUNCTION("""COMPUTED_VALUE"""),-0.2903705045605002)</f>
        <v>-0.2903705046</v>
      </c>
    </row>
    <row r="7040">
      <c r="A7040" s="5" t="str">
        <f>IFERROR(__xludf.DUMMYFUNCTION("""COMPUTED_VALUE"""),"83293")</f>
        <v>83293</v>
      </c>
      <c r="B7040" s="64">
        <f>IFERROR(__xludf.DUMMYFUNCTION("""COMPUTED_VALUE"""),44597.0)</f>
        <v>44597</v>
      </c>
      <c r="C7040" s="5"/>
      <c r="D7040" s="5"/>
      <c r="E7040" s="5"/>
      <c r="F7040" s="25">
        <f>IFERROR(__xludf.DUMMYFUNCTION("""COMPUTED_VALUE"""),500000.0)</f>
        <v>500000</v>
      </c>
      <c r="G7040" s="25">
        <f>IFERROR(__xludf.DUMMYFUNCTION("""COMPUTED_VALUE"""),0.0)</f>
        <v>0</v>
      </c>
      <c r="H7040" s="8">
        <f>IFERROR(__xludf.DUMMYFUNCTION("""COMPUTED_VALUE"""),500000.0)</f>
        <v>500000</v>
      </c>
      <c r="I7040" s="24">
        <f>IFERROR(__xludf.DUMMYFUNCTION("""COMPUTED_VALUE"""),0.0)</f>
        <v>0</v>
      </c>
    </row>
    <row r="7041">
      <c r="A7041" s="5" t="str">
        <f>IFERROR(__xludf.DUMMYFUNCTION("""COMPUTED_VALUE"""),"83293")</f>
        <v>83293</v>
      </c>
      <c r="B7041" s="64">
        <f>IFERROR(__xludf.DUMMYFUNCTION("""COMPUTED_VALUE"""),44598.0)</f>
        <v>44598</v>
      </c>
      <c r="C7041" s="5"/>
      <c r="D7041" s="5"/>
      <c r="E7041" s="5"/>
      <c r="F7041" s="25">
        <f>IFERROR(__xludf.DUMMYFUNCTION("""COMPUTED_VALUE"""),500000.0)</f>
        <v>500000</v>
      </c>
      <c r="G7041" s="25">
        <f>IFERROR(__xludf.DUMMYFUNCTION("""COMPUTED_VALUE"""),0.0)</f>
        <v>0</v>
      </c>
      <c r="H7041" s="8">
        <f>IFERROR(__xludf.DUMMYFUNCTION("""COMPUTED_VALUE"""),500000.0)</f>
        <v>500000</v>
      </c>
      <c r="I7041" s="24">
        <f>IFERROR(__xludf.DUMMYFUNCTION("""COMPUTED_VALUE"""),0.0)</f>
        <v>0</v>
      </c>
    </row>
    <row r="7042">
      <c r="A7042" s="5" t="str">
        <f>IFERROR(__xludf.DUMMYFUNCTION("""COMPUTED_VALUE"""),"83293")</f>
        <v>83293</v>
      </c>
      <c r="B7042" s="64">
        <f>IFERROR(__xludf.DUMMYFUNCTION("""COMPUTED_VALUE"""),44599.0)</f>
        <v>44599</v>
      </c>
      <c r="C7042" s="5"/>
      <c r="D7042" s="5"/>
      <c r="E7042" s="5"/>
      <c r="F7042" s="25">
        <f>IFERROR(__xludf.DUMMYFUNCTION("""COMPUTED_VALUE"""),500000.0)</f>
        <v>500000</v>
      </c>
      <c r="G7042" s="25">
        <f>IFERROR(__xludf.DUMMYFUNCTION("""COMPUTED_VALUE"""),0.0)</f>
        <v>0</v>
      </c>
      <c r="H7042" s="8">
        <f>IFERROR(__xludf.DUMMYFUNCTION("""COMPUTED_VALUE"""),500000.0)</f>
        <v>500000</v>
      </c>
      <c r="I7042" s="24">
        <f>IFERROR(__xludf.DUMMYFUNCTION("""COMPUTED_VALUE"""),0.0)</f>
        <v>0</v>
      </c>
    </row>
    <row r="7043">
      <c r="A7043" s="5" t="str">
        <f>IFERROR(__xludf.DUMMYFUNCTION("""COMPUTED_VALUE"""),"83293")</f>
        <v>83293</v>
      </c>
      <c r="B7043" s="64">
        <f>IFERROR(__xludf.DUMMYFUNCTION("""COMPUTED_VALUE"""),44600.0)</f>
        <v>44600</v>
      </c>
      <c r="C7043" s="5"/>
      <c r="D7043" s="5"/>
      <c r="E7043" s="5"/>
      <c r="F7043" s="25">
        <f>IFERROR(__xludf.DUMMYFUNCTION("""COMPUTED_VALUE"""),500000.0)</f>
        <v>500000</v>
      </c>
      <c r="G7043" s="25">
        <f>IFERROR(__xludf.DUMMYFUNCTION("""COMPUTED_VALUE"""),0.0)</f>
        <v>0</v>
      </c>
      <c r="H7043" s="8">
        <f>IFERROR(__xludf.DUMMYFUNCTION("""COMPUTED_VALUE"""),500000.0)</f>
        <v>500000</v>
      </c>
      <c r="I7043" s="24">
        <f>IFERROR(__xludf.DUMMYFUNCTION("""COMPUTED_VALUE"""),0.0)</f>
        <v>0</v>
      </c>
    </row>
    <row r="7044">
      <c r="A7044" s="5" t="str">
        <f>IFERROR(__xludf.DUMMYFUNCTION("""COMPUTED_VALUE"""),"83293")</f>
        <v>83293</v>
      </c>
      <c r="B7044" s="64">
        <f>IFERROR(__xludf.DUMMYFUNCTION("""COMPUTED_VALUE"""),44601.0)</f>
        <v>44601</v>
      </c>
      <c r="C7044" s="5"/>
      <c r="D7044" s="5"/>
      <c r="E7044" s="5"/>
      <c r="F7044" s="25">
        <f>IFERROR(__xludf.DUMMYFUNCTION("""COMPUTED_VALUE"""),500000.0)</f>
        <v>500000</v>
      </c>
      <c r="G7044" s="25">
        <f>IFERROR(__xludf.DUMMYFUNCTION("""COMPUTED_VALUE"""),0.0)</f>
        <v>0</v>
      </c>
      <c r="H7044" s="8">
        <f>IFERROR(__xludf.DUMMYFUNCTION("""COMPUTED_VALUE"""),500000.0)</f>
        <v>500000</v>
      </c>
      <c r="I7044" s="24">
        <f>IFERROR(__xludf.DUMMYFUNCTION("""COMPUTED_VALUE"""),0.0)</f>
        <v>0</v>
      </c>
    </row>
    <row r="7045">
      <c r="A7045" s="5" t="str">
        <f>IFERROR(__xludf.DUMMYFUNCTION("""COMPUTED_VALUE"""),"83293")</f>
        <v>83293</v>
      </c>
      <c r="B7045" s="64">
        <f>IFERROR(__xludf.DUMMYFUNCTION("""COMPUTED_VALUE"""),44602.0)</f>
        <v>44602</v>
      </c>
      <c r="C7045" s="5"/>
      <c r="D7045" s="5"/>
      <c r="E7045" s="5"/>
      <c r="F7045" s="25">
        <f>IFERROR(__xludf.DUMMYFUNCTION("""COMPUTED_VALUE"""),500000.0)</f>
        <v>500000</v>
      </c>
      <c r="G7045" s="25">
        <f>IFERROR(__xludf.DUMMYFUNCTION("""COMPUTED_VALUE"""),0.0)</f>
        <v>0</v>
      </c>
      <c r="H7045" s="8">
        <f>IFERROR(__xludf.DUMMYFUNCTION("""COMPUTED_VALUE"""),500000.0)</f>
        <v>500000</v>
      </c>
      <c r="I7045" s="24">
        <f>IFERROR(__xludf.DUMMYFUNCTION("""COMPUTED_VALUE"""),0.0)</f>
        <v>0</v>
      </c>
    </row>
    <row r="7046">
      <c r="A7046" s="5" t="str">
        <f>IFERROR(__xludf.DUMMYFUNCTION("""COMPUTED_VALUE"""),"83293")</f>
        <v>83293</v>
      </c>
      <c r="B7046" s="64">
        <f>IFERROR(__xludf.DUMMYFUNCTION("""COMPUTED_VALUE"""),44603.0)</f>
        <v>44603</v>
      </c>
      <c r="C7046" s="5"/>
      <c r="D7046" s="5"/>
      <c r="E7046" s="5"/>
      <c r="F7046" s="25">
        <f>IFERROR(__xludf.DUMMYFUNCTION("""COMPUTED_VALUE"""),500000.0)</f>
        <v>500000</v>
      </c>
      <c r="G7046" s="25">
        <f>IFERROR(__xludf.DUMMYFUNCTION("""COMPUTED_VALUE"""),0.0)</f>
        <v>0</v>
      </c>
      <c r="H7046" s="8">
        <f>IFERROR(__xludf.DUMMYFUNCTION("""COMPUTED_VALUE"""),500000.0)</f>
        <v>500000</v>
      </c>
      <c r="I7046" s="24">
        <f>IFERROR(__xludf.DUMMYFUNCTION("""COMPUTED_VALUE"""),0.0)</f>
        <v>0</v>
      </c>
    </row>
    <row r="7047">
      <c r="A7047" s="5" t="str">
        <f>IFERROR(__xludf.DUMMYFUNCTION("""COMPUTED_VALUE"""),"83293")</f>
        <v>83293</v>
      </c>
      <c r="B7047" s="64">
        <f>IFERROR(__xludf.DUMMYFUNCTION("""COMPUTED_VALUE"""),44604.0)</f>
        <v>44604</v>
      </c>
      <c r="C7047" s="5"/>
      <c r="D7047" s="5"/>
      <c r="E7047" s="5"/>
      <c r="F7047" s="25">
        <f>IFERROR(__xludf.DUMMYFUNCTION("""COMPUTED_VALUE"""),500000.0)</f>
        <v>500000</v>
      </c>
      <c r="G7047" s="25">
        <f>IFERROR(__xludf.DUMMYFUNCTION("""COMPUTED_VALUE"""),0.0)</f>
        <v>0</v>
      </c>
      <c r="H7047" s="8">
        <f>IFERROR(__xludf.DUMMYFUNCTION("""COMPUTED_VALUE"""),500000.0)</f>
        <v>500000</v>
      </c>
      <c r="I7047" s="24">
        <f>IFERROR(__xludf.DUMMYFUNCTION("""COMPUTED_VALUE"""),0.0)</f>
        <v>0</v>
      </c>
    </row>
    <row r="7048">
      <c r="A7048" s="5" t="str">
        <f>IFERROR(__xludf.DUMMYFUNCTION("""COMPUTED_VALUE"""),"83293")</f>
        <v>83293</v>
      </c>
      <c r="B7048" s="64">
        <f>IFERROR(__xludf.DUMMYFUNCTION("""COMPUTED_VALUE"""),44605.0)</f>
        <v>44605</v>
      </c>
      <c r="C7048" s="5"/>
      <c r="D7048" s="5"/>
      <c r="E7048" s="5"/>
      <c r="F7048" s="25">
        <f>IFERROR(__xludf.DUMMYFUNCTION("""COMPUTED_VALUE"""),500000.0)</f>
        <v>500000</v>
      </c>
      <c r="G7048" s="25">
        <f>IFERROR(__xludf.DUMMYFUNCTION("""COMPUTED_VALUE"""),0.0)</f>
        <v>0</v>
      </c>
      <c r="H7048" s="8">
        <f>IFERROR(__xludf.DUMMYFUNCTION("""COMPUTED_VALUE"""),500000.0)</f>
        <v>500000</v>
      </c>
      <c r="I7048" s="24">
        <f>IFERROR(__xludf.DUMMYFUNCTION("""COMPUTED_VALUE"""),0.0)</f>
        <v>0</v>
      </c>
    </row>
    <row r="7049">
      <c r="A7049" s="5" t="str">
        <f>IFERROR(__xludf.DUMMYFUNCTION("""COMPUTED_VALUE"""),"83293")</f>
        <v>83293</v>
      </c>
      <c r="B7049" s="64">
        <f>IFERROR(__xludf.DUMMYFUNCTION("""COMPUTED_VALUE"""),44606.0)</f>
        <v>44606</v>
      </c>
      <c r="C7049" s="5"/>
      <c r="D7049" s="5"/>
      <c r="E7049" s="5"/>
      <c r="F7049" s="25">
        <f>IFERROR(__xludf.DUMMYFUNCTION("""COMPUTED_VALUE"""),500000.0)</f>
        <v>500000</v>
      </c>
      <c r="G7049" s="25">
        <f>IFERROR(__xludf.DUMMYFUNCTION("""COMPUTED_VALUE"""),0.0)</f>
        <v>0</v>
      </c>
      <c r="H7049" s="8">
        <f>IFERROR(__xludf.DUMMYFUNCTION("""COMPUTED_VALUE"""),500000.0)</f>
        <v>500000</v>
      </c>
      <c r="I7049" s="24">
        <f>IFERROR(__xludf.DUMMYFUNCTION("""COMPUTED_VALUE"""),0.0)</f>
        <v>0</v>
      </c>
    </row>
    <row r="7050">
      <c r="A7050" s="5" t="str">
        <f>IFERROR(__xludf.DUMMYFUNCTION("""COMPUTED_VALUE"""),"83293")</f>
        <v>83293</v>
      </c>
      <c r="B7050" s="64">
        <f>IFERROR(__xludf.DUMMYFUNCTION("""COMPUTED_VALUE"""),44607.0)</f>
        <v>44607</v>
      </c>
      <c r="C7050" s="5"/>
      <c r="D7050" s="5"/>
      <c r="E7050" s="5"/>
      <c r="F7050" s="25">
        <f>IFERROR(__xludf.DUMMYFUNCTION("""COMPUTED_VALUE"""),500000.0)</f>
        <v>500000</v>
      </c>
      <c r="G7050" s="25">
        <f>IFERROR(__xludf.DUMMYFUNCTION("""COMPUTED_VALUE"""),0.0)</f>
        <v>0</v>
      </c>
      <c r="H7050" s="8">
        <f>IFERROR(__xludf.DUMMYFUNCTION("""COMPUTED_VALUE"""),500000.0)</f>
        <v>500000</v>
      </c>
      <c r="I7050" s="24">
        <f>IFERROR(__xludf.DUMMYFUNCTION("""COMPUTED_VALUE"""),0.0)</f>
        <v>0</v>
      </c>
    </row>
    <row r="7051">
      <c r="A7051" s="5" t="str">
        <f>IFERROR(__xludf.DUMMYFUNCTION("""COMPUTED_VALUE"""),"83293")</f>
        <v>83293</v>
      </c>
      <c r="B7051" s="64">
        <f>IFERROR(__xludf.DUMMYFUNCTION("""COMPUTED_VALUE"""),44608.0)</f>
        <v>44608</v>
      </c>
      <c r="C7051" s="5"/>
      <c r="D7051" s="5"/>
      <c r="E7051" s="5"/>
      <c r="F7051" s="25">
        <f>IFERROR(__xludf.DUMMYFUNCTION("""COMPUTED_VALUE"""),500000.0)</f>
        <v>500000</v>
      </c>
      <c r="G7051" s="25">
        <f>IFERROR(__xludf.DUMMYFUNCTION("""COMPUTED_VALUE"""),0.0)</f>
        <v>0</v>
      </c>
      <c r="H7051" s="8">
        <f>IFERROR(__xludf.DUMMYFUNCTION("""COMPUTED_VALUE"""),500000.0)</f>
        <v>500000</v>
      </c>
      <c r="I7051" s="24">
        <f>IFERROR(__xludf.DUMMYFUNCTION("""COMPUTED_VALUE"""),0.0)</f>
        <v>0</v>
      </c>
    </row>
    <row r="7052">
      <c r="A7052" s="5" t="str">
        <f>IFERROR(__xludf.DUMMYFUNCTION("""COMPUTED_VALUE"""),"83293")</f>
        <v>83293</v>
      </c>
      <c r="B7052" s="64">
        <f>IFERROR(__xludf.DUMMYFUNCTION("""COMPUTED_VALUE"""),44609.0)</f>
        <v>44609</v>
      </c>
      <c r="C7052" s="5"/>
      <c r="D7052" s="5"/>
      <c r="E7052" s="5"/>
      <c r="F7052" s="25">
        <f>IFERROR(__xludf.DUMMYFUNCTION("""COMPUTED_VALUE"""),500000.0)</f>
        <v>500000</v>
      </c>
      <c r="G7052" s="25">
        <f>IFERROR(__xludf.DUMMYFUNCTION("""COMPUTED_VALUE"""),0.0)</f>
        <v>0</v>
      </c>
      <c r="H7052" s="8">
        <f>IFERROR(__xludf.DUMMYFUNCTION("""COMPUTED_VALUE"""),500000.0)</f>
        <v>500000</v>
      </c>
      <c r="I7052" s="24">
        <f>IFERROR(__xludf.DUMMYFUNCTION("""COMPUTED_VALUE"""),0.0)</f>
        <v>0</v>
      </c>
    </row>
    <row r="7053">
      <c r="A7053" s="5" t="str">
        <f>IFERROR(__xludf.DUMMYFUNCTION("""COMPUTED_VALUE"""),"83293")</f>
        <v>83293</v>
      </c>
      <c r="B7053" s="64">
        <f>IFERROR(__xludf.DUMMYFUNCTION("""COMPUTED_VALUE"""),44610.0)</f>
        <v>44610</v>
      </c>
      <c r="C7053" s="5"/>
      <c r="D7053" s="5"/>
      <c r="E7053" s="5"/>
      <c r="F7053" s="25">
        <f>IFERROR(__xludf.DUMMYFUNCTION("""COMPUTED_VALUE"""),500000.0)</f>
        <v>500000</v>
      </c>
      <c r="G7053" s="25">
        <f>IFERROR(__xludf.DUMMYFUNCTION("""COMPUTED_VALUE"""),0.0)</f>
        <v>0</v>
      </c>
      <c r="H7053" s="8">
        <f>IFERROR(__xludf.DUMMYFUNCTION("""COMPUTED_VALUE"""),500000.0)</f>
        <v>500000</v>
      </c>
      <c r="I7053" s="24">
        <f>IFERROR(__xludf.DUMMYFUNCTION("""COMPUTED_VALUE"""),0.0)</f>
        <v>0</v>
      </c>
    </row>
    <row r="7054">
      <c r="A7054" s="5" t="str">
        <f>IFERROR(__xludf.DUMMYFUNCTION("""COMPUTED_VALUE"""),"83293")</f>
        <v>83293</v>
      </c>
      <c r="B7054" s="64">
        <f>IFERROR(__xludf.DUMMYFUNCTION("""COMPUTED_VALUE"""),44611.0)</f>
        <v>44611</v>
      </c>
      <c r="C7054" s="5"/>
      <c r="D7054" s="5"/>
      <c r="E7054" s="5"/>
      <c r="F7054" s="25">
        <f>IFERROR(__xludf.DUMMYFUNCTION("""COMPUTED_VALUE"""),500000.0)</f>
        <v>500000</v>
      </c>
      <c r="G7054" s="25">
        <f>IFERROR(__xludf.DUMMYFUNCTION("""COMPUTED_VALUE"""),0.0)</f>
        <v>0</v>
      </c>
      <c r="H7054" s="8">
        <f>IFERROR(__xludf.DUMMYFUNCTION("""COMPUTED_VALUE"""),500000.0)</f>
        <v>500000</v>
      </c>
      <c r="I7054" s="24">
        <f>IFERROR(__xludf.DUMMYFUNCTION("""COMPUTED_VALUE"""),0.0)</f>
        <v>0</v>
      </c>
    </row>
    <row r="7055">
      <c r="A7055" s="5" t="str">
        <f>IFERROR(__xludf.DUMMYFUNCTION("""COMPUTED_VALUE"""),"83293")</f>
        <v>83293</v>
      </c>
      <c r="B7055" s="64">
        <f>IFERROR(__xludf.DUMMYFUNCTION("""COMPUTED_VALUE"""),44612.0)</f>
        <v>44612</v>
      </c>
      <c r="C7055" s="5"/>
      <c r="D7055" s="5"/>
      <c r="E7055" s="5"/>
      <c r="F7055" s="25">
        <f>IFERROR(__xludf.DUMMYFUNCTION("""COMPUTED_VALUE"""),500000.0)</f>
        <v>500000</v>
      </c>
      <c r="G7055" s="25">
        <f>IFERROR(__xludf.DUMMYFUNCTION("""COMPUTED_VALUE"""),0.0)</f>
        <v>0</v>
      </c>
      <c r="H7055" s="8">
        <f>IFERROR(__xludf.DUMMYFUNCTION("""COMPUTED_VALUE"""),500000.0)</f>
        <v>500000</v>
      </c>
      <c r="I7055" s="24">
        <f>IFERROR(__xludf.DUMMYFUNCTION("""COMPUTED_VALUE"""),0.0)</f>
        <v>0</v>
      </c>
    </row>
    <row r="7056">
      <c r="A7056" s="5" t="str">
        <f>IFERROR(__xludf.DUMMYFUNCTION("""COMPUTED_VALUE"""),"83293")</f>
        <v>83293</v>
      </c>
      <c r="B7056" s="64">
        <f>IFERROR(__xludf.DUMMYFUNCTION("""COMPUTED_VALUE"""),44613.0)</f>
        <v>44613</v>
      </c>
      <c r="C7056" s="5"/>
      <c r="D7056" s="5"/>
      <c r="E7056" s="5"/>
      <c r="F7056" s="25">
        <f>IFERROR(__xludf.DUMMYFUNCTION("""COMPUTED_VALUE"""),500000.0)</f>
        <v>500000</v>
      </c>
      <c r="G7056" s="25">
        <f>IFERROR(__xludf.DUMMYFUNCTION("""COMPUTED_VALUE"""),0.0)</f>
        <v>0</v>
      </c>
      <c r="H7056" s="8">
        <f>IFERROR(__xludf.DUMMYFUNCTION("""COMPUTED_VALUE"""),500000.0)</f>
        <v>500000</v>
      </c>
      <c r="I7056" s="24">
        <f>IFERROR(__xludf.DUMMYFUNCTION("""COMPUTED_VALUE"""),0.0)</f>
        <v>0</v>
      </c>
    </row>
    <row r="7057">
      <c r="A7057" s="5" t="str">
        <f>IFERROR(__xludf.DUMMYFUNCTION("""COMPUTED_VALUE"""),"83293")</f>
        <v>83293</v>
      </c>
      <c r="B7057" s="64">
        <f>IFERROR(__xludf.DUMMYFUNCTION("""COMPUTED_VALUE"""),44614.0)</f>
        <v>44614</v>
      </c>
      <c r="C7057" s="5"/>
      <c r="D7057" s="5"/>
      <c r="E7057" s="5"/>
      <c r="F7057" s="25">
        <f>IFERROR(__xludf.DUMMYFUNCTION("""COMPUTED_VALUE"""),500000.0)</f>
        <v>500000</v>
      </c>
      <c r="G7057" s="25">
        <f>IFERROR(__xludf.DUMMYFUNCTION("""COMPUTED_VALUE"""),0.0)</f>
        <v>0</v>
      </c>
      <c r="H7057" s="8">
        <f>IFERROR(__xludf.DUMMYFUNCTION("""COMPUTED_VALUE"""),500000.0)</f>
        <v>500000</v>
      </c>
      <c r="I7057" s="24">
        <f>IFERROR(__xludf.DUMMYFUNCTION("""COMPUTED_VALUE"""),0.0)</f>
        <v>0</v>
      </c>
    </row>
    <row r="7058">
      <c r="A7058" s="5" t="str">
        <f>IFERROR(__xludf.DUMMYFUNCTION("""COMPUTED_VALUE"""),"83293")</f>
        <v>83293</v>
      </c>
      <c r="B7058" s="64">
        <f>IFERROR(__xludf.DUMMYFUNCTION("""COMPUTED_VALUE"""),44615.0)</f>
        <v>44615</v>
      </c>
      <c r="C7058" s="5"/>
      <c r="D7058" s="5"/>
      <c r="E7058" s="5"/>
      <c r="F7058" s="25">
        <f>IFERROR(__xludf.DUMMYFUNCTION("""COMPUTED_VALUE"""),500000.0)</f>
        <v>500000</v>
      </c>
      <c r="G7058" s="25">
        <f>IFERROR(__xludf.DUMMYFUNCTION("""COMPUTED_VALUE"""),0.0)</f>
        <v>0</v>
      </c>
      <c r="H7058" s="8">
        <f>IFERROR(__xludf.DUMMYFUNCTION("""COMPUTED_VALUE"""),500000.0)</f>
        <v>500000</v>
      </c>
      <c r="I7058" s="24">
        <f>IFERROR(__xludf.DUMMYFUNCTION("""COMPUTED_VALUE"""),0.0)</f>
        <v>0</v>
      </c>
    </row>
    <row r="7059">
      <c r="A7059" s="5" t="str">
        <f>IFERROR(__xludf.DUMMYFUNCTION("""COMPUTED_VALUE"""),"83293")</f>
        <v>83293</v>
      </c>
      <c r="B7059" s="64">
        <f>IFERROR(__xludf.DUMMYFUNCTION("""COMPUTED_VALUE"""),44616.0)</f>
        <v>44616</v>
      </c>
      <c r="C7059" s="5"/>
      <c r="D7059" s="5"/>
      <c r="E7059" s="5"/>
      <c r="F7059" s="25">
        <f>IFERROR(__xludf.DUMMYFUNCTION("""COMPUTED_VALUE"""),500000.0)</f>
        <v>500000</v>
      </c>
      <c r="G7059" s="25">
        <f>IFERROR(__xludf.DUMMYFUNCTION("""COMPUTED_VALUE"""),0.0)</f>
        <v>0</v>
      </c>
      <c r="H7059" s="8">
        <f>IFERROR(__xludf.DUMMYFUNCTION("""COMPUTED_VALUE"""),500000.0)</f>
        <v>500000</v>
      </c>
      <c r="I7059" s="24">
        <f>IFERROR(__xludf.DUMMYFUNCTION("""COMPUTED_VALUE"""),0.0)</f>
        <v>0</v>
      </c>
    </row>
    <row r="7060">
      <c r="A7060" s="5" t="str">
        <f>IFERROR(__xludf.DUMMYFUNCTION("""COMPUTED_VALUE"""),"83293")</f>
        <v>83293</v>
      </c>
      <c r="B7060" s="64">
        <f>IFERROR(__xludf.DUMMYFUNCTION("""COMPUTED_VALUE"""),44617.0)</f>
        <v>44617</v>
      </c>
      <c r="C7060" s="5"/>
      <c r="D7060" s="5"/>
      <c r="E7060" s="5"/>
      <c r="F7060" s="25">
        <f>IFERROR(__xludf.DUMMYFUNCTION("""COMPUTED_VALUE"""),500000.0)</f>
        <v>500000</v>
      </c>
      <c r="G7060" s="25">
        <f>IFERROR(__xludf.DUMMYFUNCTION("""COMPUTED_VALUE"""),0.0)</f>
        <v>0</v>
      </c>
      <c r="H7060" s="8">
        <f>IFERROR(__xludf.DUMMYFUNCTION("""COMPUTED_VALUE"""),500000.0)</f>
        <v>500000</v>
      </c>
      <c r="I7060" s="24">
        <f>IFERROR(__xludf.DUMMYFUNCTION("""COMPUTED_VALUE"""),0.0)</f>
        <v>0</v>
      </c>
    </row>
    <row r="7061">
      <c r="A7061" s="5" t="str">
        <f>IFERROR(__xludf.DUMMYFUNCTION("""COMPUTED_VALUE"""),"83293")</f>
        <v>83293</v>
      </c>
      <c r="B7061" s="64">
        <f>IFERROR(__xludf.DUMMYFUNCTION("""COMPUTED_VALUE"""),44618.0)</f>
        <v>44618</v>
      </c>
      <c r="C7061" s="5"/>
      <c r="D7061" s="5"/>
      <c r="E7061" s="5"/>
      <c r="F7061" s="25">
        <f>IFERROR(__xludf.DUMMYFUNCTION("""COMPUTED_VALUE"""),500000.0)</f>
        <v>500000</v>
      </c>
      <c r="G7061" s="25">
        <f>IFERROR(__xludf.DUMMYFUNCTION("""COMPUTED_VALUE"""),0.0)</f>
        <v>0</v>
      </c>
      <c r="H7061" s="8">
        <f>IFERROR(__xludf.DUMMYFUNCTION("""COMPUTED_VALUE"""),500000.0)</f>
        <v>500000</v>
      </c>
      <c r="I7061" s="24">
        <f>IFERROR(__xludf.DUMMYFUNCTION("""COMPUTED_VALUE"""),0.0)</f>
        <v>0</v>
      </c>
    </row>
    <row r="7062">
      <c r="A7062" s="5" t="str">
        <f>IFERROR(__xludf.DUMMYFUNCTION("""COMPUTED_VALUE"""),"83293")</f>
        <v>83293</v>
      </c>
      <c r="B7062" s="64">
        <f>IFERROR(__xludf.DUMMYFUNCTION("""COMPUTED_VALUE"""),44619.0)</f>
        <v>44619</v>
      </c>
      <c r="C7062" s="5"/>
      <c r="D7062" s="5"/>
      <c r="E7062" s="5"/>
      <c r="F7062" s="25">
        <f>IFERROR(__xludf.DUMMYFUNCTION("""COMPUTED_VALUE"""),500000.0)</f>
        <v>500000</v>
      </c>
      <c r="G7062" s="25">
        <f>IFERROR(__xludf.DUMMYFUNCTION("""COMPUTED_VALUE"""),0.0)</f>
        <v>0</v>
      </c>
      <c r="H7062" s="8">
        <f>IFERROR(__xludf.DUMMYFUNCTION("""COMPUTED_VALUE"""),500000.0)</f>
        <v>500000</v>
      </c>
      <c r="I7062" s="24">
        <f>IFERROR(__xludf.DUMMYFUNCTION("""COMPUTED_VALUE"""),0.0)</f>
        <v>0</v>
      </c>
    </row>
    <row r="7063">
      <c r="A7063" s="5" t="str">
        <f>IFERROR(__xludf.DUMMYFUNCTION("""COMPUTED_VALUE"""),"83293")</f>
        <v>83293</v>
      </c>
      <c r="B7063" s="64">
        <f>IFERROR(__xludf.DUMMYFUNCTION("""COMPUTED_VALUE"""),44620.0)</f>
        <v>44620</v>
      </c>
      <c r="C7063" s="5"/>
      <c r="D7063" s="5"/>
      <c r="E7063" s="5"/>
      <c r="F7063" s="25">
        <f>IFERROR(__xludf.DUMMYFUNCTION("""COMPUTED_VALUE"""),500000.0)</f>
        <v>500000</v>
      </c>
      <c r="G7063" s="25">
        <f>IFERROR(__xludf.DUMMYFUNCTION("""COMPUTED_VALUE"""),0.0)</f>
        <v>0</v>
      </c>
      <c r="H7063" s="8">
        <f>IFERROR(__xludf.DUMMYFUNCTION("""COMPUTED_VALUE"""),500000.0)</f>
        <v>500000</v>
      </c>
      <c r="I7063" s="24">
        <f>IFERROR(__xludf.DUMMYFUNCTION("""COMPUTED_VALUE"""),0.0)</f>
        <v>0</v>
      </c>
    </row>
    <row r="7064">
      <c r="A7064" s="5" t="str">
        <f>IFERROR(__xludf.DUMMYFUNCTION("""COMPUTED_VALUE"""),"83293")</f>
        <v>83293</v>
      </c>
      <c r="B7064" s="64">
        <f>IFERROR(__xludf.DUMMYFUNCTION("""COMPUTED_VALUE"""),44621.0)</f>
        <v>44621</v>
      </c>
      <c r="C7064" s="5"/>
      <c r="D7064" s="5"/>
      <c r="E7064" s="5"/>
      <c r="F7064" s="25">
        <f>IFERROR(__xludf.DUMMYFUNCTION("""COMPUTED_VALUE"""),500000.0)</f>
        <v>500000</v>
      </c>
      <c r="G7064" s="25">
        <f>IFERROR(__xludf.DUMMYFUNCTION("""COMPUTED_VALUE"""),0.0)</f>
        <v>0</v>
      </c>
      <c r="H7064" s="8">
        <f>IFERROR(__xludf.DUMMYFUNCTION("""COMPUTED_VALUE"""),500000.0)</f>
        <v>500000</v>
      </c>
      <c r="I7064" s="24">
        <f>IFERROR(__xludf.DUMMYFUNCTION("""COMPUTED_VALUE"""),0.0)</f>
        <v>0</v>
      </c>
    </row>
    <row r="7065">
      <c r="A7065" s="5" t="str">
        <f>IFERROR(__xludf.DUMMYFUNCTION("""COMPUTED_VALUE"""),"83293")</f>
        <v>83293</v>
      </c>
      <c r="B7065" s="64">
        <f>IFERROR(__xludf.DUMMYFUNCTION("""COMPUTED_VALUE"""),44622.0)</f>
        <v>44622</v>
      </c>
      <c r="C7065" s="5"/>
      <c r="D7065" s="5"/>
      <c r="E7065" s="5"/>
      <c r="F7065" s="25">
        <f>IFERROR(__xludf.DUMMYFUNCTION("""COMPUTED_VALUE"""),500000.0)</f>
        <v>500000</v>
      </c>
      <c r="G7065" s="25">
        <f>IFERROR(__xludf.DUMMYFUNCTION("""COMPUTED_VALUE"""),0.0)</f>
        <v>0</v>
      </c>
      <c r="H7065" s="8">
        <f>IFERROR(__xludf.DUMMYFUNCTION("""COMPUTED_VALUE"""),500000.0)</f>
        <v>500000</v>
      </c>
      <c r="I7065" s="24">
        <f>IFERROR(__xludf.DUMMYFUNCTION("""COMPUTED_VALUE"""),0.0)</f>
        <v>0</v>
      </c>
    </row>
    <row r="7066">
      <c r="A7066" s="5" t="str">
        <f>IFERROR(__xludf.DUMMYFUNCTION("""COMPUTED_VALUE"""),"83293")</f>
        <v>83293</v>
      </c>
      <c r="B7066" s="64">
        <f>IFERROR(__xludf.DUMMYFUNCTION("""COMPUTED_VALUE"""),44623.0)</f>
        <v>44623</v>
      </c>
      <c r="C7066" s="5"/>
      <c r="D7066" s="5"/>
      <c r="E7066" s="5"/>
      <c r="F7066" s="25">
        <f>IFERROR(__xludf.DUMMYFUNCTION("""COMPUTED_VALUE"""),500000.0)</f>
        <v>500000</v>
      </c>
      <c r="G7066" s="25">
        <f>IFERROR(__xludf.DUMMYFUNCTION("""COMPUTED_VALUE"""),0.0)</f>
        <v>0</v>
      </c>
      <c r="H7066" s="8">
        <f>IFERROR(__xludf.DUMMYFUNCTION("""COMPUTED_VALUE"""),500000.0)</f>
        <v>500000</v>
      </c>
      <c r="I7066" s="24">
        <f>IFERROR(__xludf.DUMMYFUNCTION("""COMPUTED_VALUE"""),0.0)</f>
        <v>0</v>
      </c>
    </row>
    <row r="7067">
      <c r="A7067" s="5" t="str">
        <f>IFERROR(__xludf.DUMMYFUNCTION("""COMPUTED_VALUE"""),"83293")</f>
        <v>83293</v>
      </c>
      <c r="B7067" s="64">
        <f>IFERROR(__xludf.DUMMYFUNCTION("""COMPUTED_VALUE"""),44624.0)</f>
        <v>44624</v>
      </c>
      <c r="C7067" s="5"/>
      <c r="D7067" s="5"/>
      <c r="E7067" s="5"/>
      <c r="F7067" s="25">
        <f>IFERROR(__xludf.DUMMYFUNCTION("""COMPUTED_VALUE"""),500000.0)</f>
        <v>500000</v>
      </c>
      <c r="G7067" s="25">
        <f>IFERROR(__xludf.DUMMYFUNCTION("""COMPUTED_VALUE"""),0.0)</f>
        <v>0</v>
      </c>
      <c r="H7067" s="8">
        <f>IFERROR(__xludf.DUMMYFUNCTION("""COMPUTED_VALUE"""),500000.0)</f>
        <v>500000</v>
      </c>
      <c r="I7067" s="24">
        <f>IFERROR(__xludf.DUMMYFUNCTION("""COMPUTED_VALUE"""),0.0)</f>
        <v>0</v>
      </c>
    </row>
    <row r="7068">
      <c r="A7068" s="5" t="str">
        <f>IFERROR(__xludf.DUMMYFUNCTION("""COMPUTED_VALUE"""),"83293")</f>
        <v>83293</v>
      </c>
      <c r="B7068" s="64">
        <f>IFERROR(__xludf.DUMMYFUNCTION("""COMPUTED_VALUE"""),44625.0)</f>
        <v>44625</v>
      </c>
      <c r="C7068" s="5"/>
      <c r="D7068" s="5"/>
      <c r="E7068" s="5"/>
      <c r="F7068" s="25">
        <f>IFERROR(__xludf.DUMMYFUNCTION("""COMPUTED_VALUE"""),500000.0)</f>
        <v>500000</v>
      </c>
      <c r="G7068" s="25">
        <f>IFERROR(__xludf.DUMMYFUNCTION("""COMPUTED_VALUE"""),0.0)</f>
        <v>0</v>
      </c>
      <c r="H7068" s="8">
        <f>IFERROR(__xludf.DUMMYFUNCTION("""COMPUTED_VALUE"""),500000.0)</f>
        <v>500000</v>
      </c>
      <c r="I7068" s="24">
        <f>IFERROR(__xludf.DUMMYFUNCTION("""COMPUTED_VALUE"""),0.0)</f>
        <v>0</v>
      </c>
    </row>
    <row r="7069">
      <c r="A7069" s="5" t="str">
        <f>IFERROR(__xludf.DUMMYFUNCTION("""COMPUTED_VALUE"""),"83293")</f>
        <v>83293</v>
      </c>
      <c r="B7069" s="64">
        <f>IFERROR(__xludf.DUMMYFUNCTION("""COMPUTED_VALUE"""),44626.0)</f>
        <v>44626</v>
      </c>
      <c r="C7069" s="5"/>
      <c r="D7069" s="5"/>
      <c r="E7069" s="5"/>
      <c r="F7069" s="25">
        <f>IFERROR(__xludf.DUMMYFUNCTION("""COMPUTED_VALUE"""),500000.0)</f>
        <v>500000</v>
      </c>
      <c r="G7069" s="25">
        <f>IFERROR(__xludf.DUMMYFUNCTION("""COMPUTED_VALUE"""),0.0)</f>
        <v>0</v>
      </c>
      <c r="H7069" s="8">
        <f>IFERROR(__xludf.DUMMYFUNCTION("""COMPUTED_VALUE"""),500000.0)</f>
        <v>500000</v>
      </c>
      <c r="I7069" s="24">
        <f>IFERROR(__xludf.DUMMYFUNCTION("""COMPUTED_VALUE"""),0.0)</f>
        <v>0</v>
      </c>
    </row>
    <row r="7070">
      <c r="A7070" s="5" t="str">
        <f>IFERROR(__xludf.DUMMYFUNCTION("""COMPUTED_VALUE"""),"83293")</f>
        <v>83293</v>
      </c>
      <c r="B7070" s="64">
        <f>IFERROR(__xludf.DUMMYFUNCTION("""COMPUTED_VALUE"""),44627.0)</f>
        <v>44627</v>
      </c>
      <c r="C7070" s="5"/>
      <c r="D7070" s="5"/>
      <c r="E7070" s="5"/>
      <c r="F7070" s="25">
        <f>IFERROR(__xludf.DUMMYFUNCTION("""COMPUTED_VALUE"""),500000.0)</f>
        <v>500000</v>
      </c>
      <c r="G7070" s="25">
        <f>IFERROR(__xludf.DUMMYFUNCTION("""COMPUTED_VALUE"""),0.0)</f>
        <v>0</v>
      </c>
      <c r="H7070" s="8">
        <f>IFERROR(__xludf.DUMMYFUNCTION("""COMPUTED_VALUE"""),500000.0)</f>
        <v>500000</v>
      </c>
      <c r="I7070" s="24">
        <f>IFERROR(__xludf.DUMMYFUNCTION("""COMPUTED_VALUE"""),0.0)</f>
        <v>0</v>
      </c>
    </row>
    <row r="7071">
      <c r="A7071" s="5" t="str">
        <f>IFERROR(__xludf.DUMMYFUNCTION("""COMPUTED_VALUE"""),"83293")</f>
        <v>83293</v>
      </c>
      <c r="B7071" s="64">
        <f>IFERROR(__xludf.DUMMYFUNCTION("""COMPUTED_VALUE"""),44628.0)</f>
        <v>44628</v>
      </c>
      <c r="C7071" s="5"/>
      <c r="D7071" s="5"/>
      <c r="E7071" s="5"/>
      <c r="F7071" s="25">
        <f>IFERROR(__xludf.DUMMYFUNCTION("""COMPUTED_VALUE"""),500000.0)</f>
        <v>500000</v>
      </c>
      <c r="G7071" s="25">
        <f>IFERROR(__xludf.DUMMYFUNCTION("""COMPUTED_VALUE"""),0.0)</f>
        <v>0</v>
      </c>
      <c r="H7071" s="8">
        <f>IFERROR(__xludf.DUMMYFUNCTION("""COMPUTED_VALUE"""),500000.0)</f>
        <v>500000</v>
      </c>
      <c r="I7071" s="24">
        <f>IFERROR(__xludf.DUMMYFUNCTION("""COMPUTED_VALUE"""),0.0)</f>
        <v>0</v>
      </c>
    </row>
    <row r="7072">
      <c r="A7072" s="5" t="str">
        <f>IFERROR(__xludf.DUMMYFUNCTION("""COMPUTED_VALUE"""),"83293")</f>
        <v>83293</v>
      </c>
      <c r="B7072" s="64">
        <f>IFERROR(__xludf.DUMMYFUNCTION("""COMPUTED_VALUE"""),44629.0)</f>
        <v>44629</v>
      </c>
      <c r="C7072" s="5"/>
      <c r="D7072" s="5"/>
      <c r="E7072" s="5"/>
      <c r="F7072" s="25">
        <f>IFERROR(__xludf.DUMMYFUNCTION("""COMPUTED_VALUE"""),500000.0)</f>
        <v>500000</v>
      </c>
      <c r="G7072" s="25">
        <f>IFERROR(__xludf.DUMMYFUNCTION("""COMPUTED_VALUE"""),0.0)</f>
        <v>0</v>
      </c>
      <c r="H7072" s="8">
        <f>IFERROR(__xludf.DUMMYFUNCTION("""COMPUTED_VALUE"""),500000.0)</f>
        <v>500000</v>
      </c>
      <c r="I7072" s="24">
        <f>IFERROR(__xludf.DUMMYFUNCTION("""COMPUTED_VALUE"""),0.0)</f>
        <v>0</v>
      </c>
    </row>
    <row r="7073">
      <c r="A7073" s="5" t="str">
        <f>IFERROR(__xludf.DUMMYFUNCTION("""COMPUTED_VALUE"""),"83293")</f>
        <v>83293</v>
      </c>
      <c r="B7073" s="64">
        <f>IFERROR(__xludf.DUMMYFUNCTION("""COMPUTED_VALUE"""),44630.0)</f>
        <v>44630</v>
      </c>
      <c r="C7073" s="5"/>
      <c r="D7073" s="5"/>
      <c r="E7073" s="5"/>
      <c r="F7073" s="25">
        <f>IFERROR(__xludf.DUMMYFUNCTION("""COMPUTED_VALUE"""),500000.0)</f>
        <v>500000</v>
      </c>
      <c r="G7073" s="25">
        <f>IFERROR(__xludf.DUMMYFUNCTION("""COMPUTED_VALUE"""),0.0)</f>
        <v>0</v>
      </c>
      <c r="H7073" s="8">
        <f>IFERROR(__xludf.DUMMYFUNCTION("""COMPUTED_VALUE"""),500000.0)</f>
        <v>500000</v>
      </c>
      <c r="I7073" s="24">
        <f>IFERROR(__xludf.DUMMYFUNCTION("""COMPUTED_VALUE"""),0.0)</f>
        <v>0</v>
      </c>
    </row>
    <row r="7074">
      <c r="A7074" s="5" t="str">
        <f>IFERROR(__xludf.DUMMYFUNCTION("""COMPUTED_VALUE"""),"83293")</f>
        <v>83293</v>
      </c>
      <c r="B7074" s="64">
        <f>IFERROR(__xludf.DUMMYFUNCTION("""COMPUTED_VALUE"""),44631.0)</f>
        <v>44631</v>
      </c>
      <c r="C7074" s="5"/>
      <c r="D7074" s="5"/>
      <c r="E7074" s="5"/>
      <c r="F7074" s="25">
        <f>IFERROR(__xludf.DUMMYFUNCTION("""COMPUTED_VALUE"""),500000.0)</f>
        <v>500000</v>
      </c>
      <c r="G7074" s="25">
        <f>IFERROR(__xludf.DUMMYFUNCTION("""COMPUTED_VALUE"""),0.0)</f>
        <v>0</v>
      </c>
      <c r="H7074" s="8">
        <f>IFERROR(__xludf.DUMMYFUNCTION("""COMPUTED_VALUE"""),500000.0)</f>
        <v>500000</v>
      </c>
      <c r="I7074" s="24">
        <f>IFERROR(__xludf.DUMMYFUNCTION("""COMPUTED_VALUE"""),0.0)</f>
        <v>0</v>
      </c>
    </row>
    <row r="7075">
      <c r="A7075" s="5" t="str">
        <f>IFERROR(__xludf.DUMMYFUNCTION("""COMPUTED_VALUE"""),"83293")</f>
        <v>83293</v>
      </c>
      <c r="B7075" s="64">
        <f>IFERROR(__xludf.DUMMYFUNCTION("""COMPUTED_VALUE"""),44632.0)</f>
        <v>44632</v>
      </c>
      <c r="C7075" s="5"/>
      <c r="D7075" s="5"/>
      <c r="E7075" s="5"/>
      <c r="F7075" s="25">
        <f>IFERROR(__xludf.DUMMYFUNCTION("""COMPUTED_VALUE"""),500000.0)</f>
        <v>500000</v>
      </c>
      <c r="G7075" s="25">
        <f>IFERROR(__xludf.DUMMYFUNCTION("""COMPUTED_VALUE"""),0.0)</f>
        <v>0</v>
      </c>
      <c r="H7075" s="8">
        <f>IFERROR(__xludf.DUMMYFUNCTION("""COMPUTED_VALUE"""),500000.0)</f>
        <v>500000</v>
      </c>
      <c r="I7075" s="24">
        <f>IFERROR(__xludf.DUMMYFUNCTION("""COMPUTED_VALUE"""),0.0)</f>
        <v>0</v>
      </c>
    </row>
    <row r="7076">
      <c r="A7076" s="5" t="str">
        <f>IFERROR(__xludf.DUMMYFUNCTION("""COMPUTED_VALUE"""),"83293")</f>
        <v>83293</v>
      </c>
      <c r="B7076" s="64">
        <f>IFERROR(__xludf.DUMMYFUNCTION("""COMPUTED_VALUE"""),44633.0)</f>
        <v>44633</v>
      </c>
      <c r="C7076" s="5"/>
      <c r="D7076" s="5"/>
      <c r="E7076" s="5"/>
      <c r="F7076" s="25">
        <f>IFERROR(__xludf.DUMMYFUNCTION("""COMPUTED_VALUE"""),500000.0)</f>
        <v>500000</v>
      </c>
      <c r="G7076" s="25">
        <f>IFERROR(__xludf.DUMMYFUNCTION("""COMPUTED_VALUE"""),0.0)</f>
        <v>0</v>
      </c>
      <c r="H7076" s="8">
        <f>IFERROR(__xludf.DUMMYFUNCTION("""COMPUTED_VALUE"""),500000.0)</f>
        <v>500000</v>
      </c>
      <c r="I7076" s="24">
        <f>IFERROR(__xludf.DUMMYFUNCTION("""COMPUTED_VALUE"""),0.0)</f>
        <v>0</v>
      </c>
    </row>
    <row r="7077">
      <c r="A7077" s="5" t="str">
        <f>IFERROR(__xludf.DUMMYFUNCTION("""COMPUTED_VALUE"""),"83293")</f>
        <v>83293</v>
      </c>
      <c r="B7077" s="64">
        <f>IFERROR(__xludf.DUMMYFUNCTION("""COMPUTED_VALUE"""),44634.0)</f>
        <v>44634</v>
      </c>
      <c r="C7077" s="5"/>
      <c r="D7077" s="5"/>
      <c r="E7077" s="5"/>
      <c r="F7077" s="25">
        <f>IFERROR(__xludf.DUMMYFUNCTION("""COMPUTED_VALUE"""),500000.0)</f>
        <v>500000</v>
      </c>
      <c r="G7077" s="25">
        <f>IFERROR(__xludf.DUMMYFUNCTION("""COMPUTED_VALUE"""),0.0)</f>
        <v>0</v>
      </c>
      <c r="H7077" s="8">
        <f>IFERROR(__xludf.DUMMYFUNCTION("""COMPUTED_VALUE"""),500000.0)</f>
        <v>500000</v>
      </c>
      <c r="I7077" s="24">
        <f>IFERROR(__xludf.DUMMYFUNCTION("""COMPUTED_VALUE"""),0.0)</f>
        <v>0</v>
      </c>
    </row>
    <row r="7078">
      <c r="A7078" s="5" t="str">
        <f>IFERROR(__xludf.DUMMYFUNCTION("""COMPUTED_VALUE"""),"83293")</f>
        <v>83293</v>
      </c>
      <c r="B7078" s="64">
        <f>IFERROR(__xludf.DUMMYFUNCTION("""COMPUTED_VALUE"""),44635.0)</f>
        <v>44635</v>
      </c>
      <c r="C7078" s="5"/>
      <c r="D7078" s="5"/>
      <c r="E7078" s="5"/>
      <c r="F7078" s="25">
        <f>IFERROR(__xludf.DUMMYFUNCTION("""COMPUTED_VALUE"""),500000.0)</f>
        <v>500000</v>
      </c>
      <c r="G7078" s="25">
        <f>IFERROR(__xludf.DUMMYFUNCTION("""COMPUTED_VALUE"""),0.0)</f>
        <v>0</v>
      </c>
      <c r="H7078" s="8">
        <f>IFERROR(__xludf.DUMMYFUNCTION("""COMPUTED_VALUE"""),500000.0)</f>
        <v>500000</v>
      </c>
      <c r="I7078" s="24">
        <f>IFERROR(__xludf.DUMMYFUNCTION("""COMPUTED_VALUE"""),0.0)</f>
        <v>0</v>
      </c>
    </row>
    <row r="7079">
      <c r="A7079" s="5" t="str">
        <f>IFERROR(__xludf.DUMMYFUNCTION("""COMPUTED_VALUE"""),"83293")</f>
        <v>83293</v>
      </c>
      <c r="B7079" s="64">
        <f>IFERROR(__xludf.DUMMYFUNCTION("""COMPUTED_VALUE"""),44636.0)</f>
        <v>44636</v>
      </c>
      <c r="C7079" s="5"/>
      <c r="D7079" s="5"/>
      <c r="E7079" s="5"/>
      <c r="F7079" s="25">
        <f>IFERROR(__xludf.DUMMYFUNCTION("""COMPUTED_VALUE"""),500000.0)</f>
        <v>500000</v>
      </c>
      <c r="G7079" s="25">
        <f>IFERROR(__xludf.DUMMYFUNCTION("""COMPUTED_VALUE"""),0.0)</f>
        <v>0</v>
      </c>
      <c r="H7079" s="8">
        <f>IFERROR(__xludf.DUMMYFUNCTION("""COMPUTED_VALUE"""),500000.0)</f>
        <v>500000</v>
      </c>
      <c r="I7079" s="24">
        <f>IFERROR(__xludf.DUMMYFUNCTION("""COMPUTED_VALUE"""),0.0)</f>
        <v>0</v>
      </c>
    </row>
    <row r="7080">
      <c r="A7080" s="5" t="str">
        <f>IFERROR(__xludf.DUMMYFUNCTION("""COMPUTED_VALUE"""),"83293")</f>
        <v>83293</v>
      </c>
      <c r="B7080" s="64">
        <f>IFERROR(__xludf.DUMMYFUNCTION("""COMPUTED_VALUE"""),44637.0)</f>
        <v>44637</v>
      </c>
      <c r="C7080" s="5"/>
      <c r="D7080" s="5"/>
      <c r="E7080" s="5"/>
      <c r="F7080" s="25">
        <f>IFERROR(__xludf.DUMMYFUNCTION("""COMPUTED_VALUE"""),500000.0)</f>
        <v>500000</v>
      </c>
      <c r="G7080" s="25">
        <f>IFERROR(__xludf.DUMMYFUNCTION("""COMPUTED_VALUE"""),0.0)</f>
        <v>0</v>
      </c>
      <c r="H7080" s="8">
        <f>IFERROR(__xludf.DUMMYFUNCTION("""COMPUTED_VALUE"""),500000.0)</f>
        <v>500000</v>
      </c>
      <c r="I7080" s="24">
        <f>IFERROR(__xludf.DUMMYFUNCTION("""COMPUTED_VALUE"""),0.0)</f>
        <v>0</v>
      </c>
    </row>
    <row r="7081">
      <c r="A7081" s="5" t="str">
        <f>IFERROR(__xludf.DUMMYFUNCTION("""COMPUTED_VALUE"""),"83293")</f>
        <v>83293</v>
      </c>
      <c r="B7081" s="64">
        <f>IFERROR(__xludf.DUMMYFUNCTION("""COMPUTED_VALUE"""),44638.0)</f>
        <v>44638</v>
      </c>
      <c r="C7081" s="5"/>
      <c r="D7081" s="5"/>
      <c r="E7081" s="5"/>
      <c r="F7081" s="25">
        <f>IFERROR(__xludf.DUMMYFUNCTION("""COMPUTED_VALUE"""),500000.0)</f>
        <v>500000</v>
      </c>
      <c r="G7081" s="25">
        <f>IFERROR(__xludf.DUMMYFUNCTION("""COMPUTED_VALUE"""),0.0)</f>
        <v>0</v>
      </c>
      <c r="H7081" s="8">
        <f>IFERROR(__xludf.DUMMYFUNCTION("""COMPUTED_VALUE"""),500000.0)</f>
        <v>500000</v>
      </c>
      <c r="I7081" s="24">
        <f>IFERROR(__xludf.DUMMYFUNCTION("""COMPUTED_VALUE"""),0.0)</f>
        <v>0</v>
      </c>
    </row>
    <row r="7082">
      <c r="A7082" s="5" t="str">
        <f>IFERROR(__xludf.DUMMYFUNCTION("""COMPUTED_VALUE"""),"83293")</f>
        <v>83293</v>
      </c>
      <c r="B7082" s="64">
        <f>IFERROR(__xludf.DUMMYFUNCTION("""COMPUTED_VALUE"""),44639.0)</f>
        <v>44639</v>
      </c>
      <c r="C7082" s="5"/>
      <c r="D7082" s="5"/>
      <c r="E7082" s="5"/>
      <c r="F7082" s="25">
        <f>IFERROR(__xludf.DUMMYFUNCTION("""COMPUTED_VALUE"""),500000.0)</f>
        <v>500000</v>
      </c>
      <c r="G7082" s="25">
        <f>IFERROR(__xludf.DUMMYFUNCTION("""COMPUTED_VALUE"""),0.0)</f>
        <v>0</v>
      </c>
      <c r="H7082" s="8">
        <f>IFERROR(__xludf.DUMMYFUNCTION("""COMPUTED_VALUE"""),500000.0)</f>
        <v>500000</v>
      </c>
      <c r="I7082" s="24">
        <f>IFERROR(__xludf.DUMMYFUNCTION("""COMPUTED_VALUE"""),0.0)</f>
        <v>0</v>
      </c>
    </row>
    <row r="7083">
      <c r="A7083" s="5" t="str">
        <f>IFERROR(__xludf.DUMMYFUNCTION("""COMPUTED_VALUE"""),"83293")</f>
        <v>83293</v>
      </c>
      <c r="B7083" s="64">
        <f>IFERROR(__xludf.DUMMYFUNCTION("""COMPUTED_VALUE"""),44640.0)</f>
        <v>44640</v>
      </c>
      <c r="C7083" s="5"/>
      <c r="D7083" s="5"/>
      <c r="E7083" s="5"/>
      <c r="F7083" s="25">
        <f>IFERROR(__xludf.DUMMYFUNCTION("""COMPUTED_VALUE"""),500000.0)</f>
        <v>500000</v>
      </c>
      <c r="G7083" s="25">
        <f>IFERROR(__xludf.DUMMYFUNCTION("""COMPUTED_VALUE"""),0.0)</f>
        <v>0</v>
      </c>
      <c r="H7083" s="8">
        <f>IFERROR(__xludf.DUMMYFUNCTION("""COMPUTED_VALUE"""),500000.0)</f>
        <v>500000</v>
      </c>
      <c r="I7083" s="24">
        <f>IFERROR(__xludf.DUMMYFUNCTION("""COMPUTED_VALUE"""),0.0)</f>
        <v>0</v>
      </c>
    </row>
    <row r="7084">
      <c r="A7084" s="5" t="str">
        <f>IFERROR(__xludf.DUMMYFUNCTION("""COMPUTED_VALUE"""),"83293")</f>
        <v>83293</v>
      </c>
      <c r="B7084" s="64">
        <f>IFERROR(__xludf.DUMMYFUNCTION("""COMPUTED_VALUE"""),44641.0)</f>
        <v>44641</v>
      </c>
      <c r="C7084" s="5"/>
      <c r="D7084" s="5"/>
      <c r="E7084" s="5"/>
      <c r="F7084" s="25">
        <f>IFERROR(__xludf.DUMMYFUNCTION("""COMPUTED_VALUE"""),500000.0)</f>
        <v>500000</v>
      </c>
      <c r="G7084" s="25">
        <f>IFERROR(__xludf.DUMMYFUNCTION("""COMPUTED_VALUE"""),0.0)</f>
        <v>0</v>
      </c>
      <c r="H7084" s="8">
        <f>IFERROR(__xludf.DUMMYFUNCTION("""COMPUTED_VALUE"""),500000.0)</f>
        <v>500000</v>
      </c>
      <c r="I7084" s="24">
        <f>IFERROR(__xludf.DUMMYFUNCTION("""COMPUTED_VALUE"""),0.0)</f>
        <v>0</v>
      </c>
    </row>
    <row r="7085">
      <c r="A7085" s="5" t="str">
        <f>IFERROR(__xludf.DUMMYFUNCTION("""COMPUTED_VALUE"""),"83293")</f>
        <v>83293</v>
      </c>
      <c r="B7085" s="64">
        <f>IFERROR(__xludf.DUMMYFUNCTION("""COMPUTED_VALUE"""),44642.0)</f>
        <v>44642</v>
      </c>
      <c r="C7085" s="5"/>
      <c r="D7085" s="5"/>
      <c r="E7085" s="5"/>
      <c r="F7085" s="25">
        <f>IFERROR(__xludf.DUMMYFUNCTION("""COMPUTED_VALUE"""),500000.0)</f>
        <v>500000</v>
      </c>
      <c r="G7085" s="25">
        <f>IFERROR(__xludf.DUMMYFUNCTION("""COMPUTED_VALUE"""),0.0)</f>
        <v>0</v>
      </c>
      <c r="H7085" s="8">
        <f>IFERROR(__xludf.DUMMYFUNCTION("""COMPUTED_VALUE"""),500000.0)</f>
        <v>500000</v>
      </c>
      <c r="I7085" s="24">
        <f>IFERROR(__xludf.DUMMYFUNCTION("""COMPUTED_VALUE"""),0.0)</f>
        <v>0</v>
      </c>
    </row>
    <row r="7086">
      <c r="A7086" s="5" t="str">
        <f>IFERROR(__xludf.DUMMYFUNCTION("""COMPUTED_VALUE"""),"83293")</f>
        <v>83293</v>
      </c>
      <c r="B7086" s="64">
        <f>IFERROR(__xludf.DUMMYFUNCTION("""COMPUTED_VALUE"""),44643.0)</f>
        <v>44643</v>
      </c>
      <c r="C7086" s="5"/>
      <c r="D7086" s="5"/>
      <c r="E7086" s="5"/>
      <c r="F7086" s="25">
        <f>IFERROR(__xludf.DUMMYFUNCTION("""COMPUTED_VALUE"""),500000.0)</f>
        <v>500000</v>
      </c>
      <c r="G7086" s="25">
        <f>IFERROR(__xludf.DUMMYFUNCTION("""COMPUTED_VALUE"""),0.0)</f>
        <v>0</v>
      </c>
      <c r="H7086" s="8">
        <f>IFERROR(__xludf.DUMMYFUNCTION("""COMPUTED_VALUE"""),500000.0)</f>
        <v>500000</v>
      </c>
      <c r="I7086" s="24">
        <f>IFERROR(__xludf.DUMMYFUNCTION("""COMPUTED_VALUE"""),0.0)</f>
        <v>0</v>
      </c>
    </row>
    <row r="7087">
      <c r="A7087" s="5" t="str">
        <f>IFERROR(__xludf.DUMMYFUNCTION("""COMPUTED_VALUE"""),"83293")</f>
        <v>83293</v>
      </c>
      <c r="B7087" s="64">
        <f>IFERROR(__xludf.DUMMYFUNCTION("""COMPUTED_VALUE"""),44644.0)</f>
        <v>44644</v>
      </c>
      <c r="C7087" s="5"/>
      <c r="D7087" s="5"/>
      <c r="E7087" s="5"/>
      <c r="F7087" s="25">
        <f>IFERROR(__xludf.DUMMYFUNCTION("""COMPUTED_VALUE"""),500000.0)</f>
        <v>500000</v>
      </c>
      <c r="G7087" s="25">
        <f>IFERROR(__xludf.DUMMYFUNCTION("""COMPUTED_VALUE"""),0.0)</f>
        <v>0</v>
      </c>
      <c r="H7087" s="8">
        <f>IFERROR(__xludf.DUMMYFUNCTION("""COMPUTED_VALUE"""),500000.0)</f>
        <v>500000</v>
      </c>
      <c r="I7087" s="24">
        <f>IFERROR(__xludf.DUMMYFUNCTION("""COMPUTED_VALUE"""),0.0)</f>
        <v>0</v>
      </c>
    </row>
    <row r="7088">
      <c r="A7088" s="5" t="str">
        <f>IFERROR(__xludf.DUMMYFUNCTION("""COMPUTED_VALUE"""),"83293")</f>
        <v>83293</v>
      </c>
      <c r="B7088" s="64">
        <f>IFERROR(__xludf.DUMMYFUNCTION("""COMPUTED_VALUE"""),44645.0)</f>
        <v>44645</v>
      </c>
      <c r="C7088" s="5"/>
      <c r="D7088" s="5"/>
      <c r="E7088" s="5"/>
      <c r="F7088" s="25">
        <f>IFERROR(__xludf.DUMMYFUNCTION("""COMPUTED_VALUE"""),500000.0)</f>
        <v>500000</v>
      </c>
      <c r="G7088" s="25">
        <f>IFERROR(__xludf.DUMMYFUNCTION("""COMPUTED_VALUE"""),0.0)</f>
        <v>0</v>
      </c>
      <c r="H7088" s="8">
        <f>IFERROR(__xludf.DUMMYFUNCTION("""COMPUTED_VALUE"""),500000.0)</f>
        <v>500000</v>
      </c>
      <c r="I7088" s="24">
        <f>IFERROR(__xludf.DUMMYFUNCTION("""COMPUTED_VALUE"""),0.0)</f>
        <v>0</v>
      </c>
    </row>
    <row r="7089">
      <c r="A7089" s="5" t="str">
        <f>IFERROR(__xludf.DUMMYFUNCTION("""COMPUTED_VALUE"""),"83293")</f>
        <v>83293</v>
      </c>
      <c r="B7089" s="64">
        <f>IFERROR(__xludf.DUMMYFUNCTION("""COMPUTED_VALUE"""),44646.0)</f>
        <v>44646</v>
      </c>
      <c r="C7089" s="5"/>
      <c r="D7089" s="5"/>
      <c r="E7089" s="5"/>
      <c r="F7089" s="25">
        <f>IFERROR(__xludf.DUMMYFUNCTION("""COMPUTED_VALUE"""),500000.0)</f>
        <v>500000</v>
      </c>
      <c r="G7089" s="25">
        <f>IFERROR(__xludf.DUMMYFUNCTION("""COMPUTED_VALUE"""),0.0)</f>
        <v>0</v>
      </c>
      <c r="H7089" s="8">
        <f>IFERROR(__xludf.DUMMYFUNCTION("""COMPUTED_VALUE"""),500000.0)</f>
        <v>500000</v>
      </c>
      <c r="I7089" s="24">
        <f>IFERROR(__xludf.DUMMYFUNCTION("""COMPUTED_VALUE"""),0.0)</f>
        <v>0</v>
      </c>
    </row>
    <row r="7090">
      <c r="A7090" s="5" t="str">
        <f>IFERROR(__xludf.DUMMYFUNCTION("""COMPUTED_VALUE"""),"83293")</f>
        <v>83293</v>
      </c>
      <c r="B7090" s="64">
        <f>IFERROR(__xludf.DUMMYFUNCTION("""COMPUTED_VALUE"""),44647.0)</f>
        <v>44647</v>
      </c>
      <c r="C7090" s="5"/>
      <c r="D7090" s="5"/>
      <c r="E7090" s="5"/>
      <c r="F7090" s="25">
        <f>IFERROR(__xludf.DUMMYFUNCTION("""COMPUTED_VALUE"""),500000.0)</f>
        <v>500000</v>
      </c>
      <c r="G7090" s="25">
        <f>IFERROR(__xludf.DUMMYFUNCTION("""COMPUTED_VALUE"""),0.0)</f>
        <v>0</v>
      </c>
      <c r="H7090" s="8">
        <f>IFERROR(__xludf.DUMMYFUNCTION("""COMPUTED_VALUE"""),500000.0)</f>
        <v>500000</v>
      </c>
      <c r="I7090" s="24">
        <f>IFERROR(__xludf.DUMMYFUNCTION("""COMPUTED_VALUE"""),0.0)</f>
        <v>0</v>
      </c>
    </row>
    <row r="7091">
      <c r="A7091" s="5" t="str">
        <f>IFERROR(__xludf.DUMMYFUNCTION("""COMPUTED_VALUE"""),"83293")</f>
        <v>83293</v>
      </c>
      <c r="B7091" s="64">
        <f>IFERROR(__xludf.DUMMYFUNCTION("""COMPUTED_VALUE"""),44648.0)</f>
        <v>44648</v>
      </c>
      <c r="C7091" s="5"/>
      <c r="D7091" s="5"/>
      <c r="E7091" s="5"/>
      <c r="F7091" s="25">
        <f>IFERROR(__xludf.DUMMYFUNCTION("""COMPUTED_VALUE"""),500000.0)</f>
        <v>500000</v>
      </c>
      <c r="G7091" s="25">
        <f>IFERROR(__xludf.DUMMYFUNCTION("""COMPUTED_VALUE"""),0.0)</f>
        <v>0</v>
      </c>
      <c r="H7091" s="8">
        <f>IFERROR(__xludf.DUMMYFUNCTION("""COMPUTED_VALUE"""),500000.0)</f>
        <v>500000</v>
      </c>
      <c r="I7091" s="24">
        <f>IFERROR(__xludf.DUMMYFUNCTION("""COMPUTED_VALUE"""),0.0)</f>
        <v>0</v>
      </c>
    </row>
    <row r="7092">
      <c r="A7092" s="5" t="str">
        <f>IFERROR(__xludf.DUMMYFUNCTION("""COMPUTED_VALUE"""),"83293")</f>
        <v>83293</v>
      </c>
      <c r="B7092" s="64">
        <f>IFERROR(__xludf.DUMMYFUNCTION("""COMPUTED_VALUE"""),44649.0)</f>
        <v>44649</v>
      </c>
      <c r="C7092" s="5"/>
      <c r="D7092" s="5"/>
      <c r="E7092" s="5"/>
      <c r="F7092" s="25">
        <f>IFERROR(__xludf.DUMMYFUNCTION("""COMPUTED_VALUE"""),500000.0)</f>
        <v>500000</v>
      </c>
      <c r="G7092" s="25">
        <f>IFERROR(__xludf.DUMMYFUNCTION("""COMPUTED_VALUE"""),0.0)</f>
        <v>0</v>
      </c>
      <c r="H7092" s="8">
        <f>IFERROR(__xludf.DUMMYFUNCTION("""COMPUTED_VALUE"""),500000.0)</f>
        <v>500000</v>
      </c>
      <c r="I7092" s="24">
        <f>IFERROR(__xludf.DUMMYFUNCTION("""COMPUTED_VALUE"""),0.0)</f>
        <v>0</v>
      </c>
    </row>
    <row r="7093">
      <c r="A7093" s="5" t="str">
        <f>IFERROR(__xludf.DUMMYFUNCTION("""COMPUTED_VALUE"""),"83293")</f>
        <v>83293</v>
      </c>
      <c r="B7093" s="64">
        <f>IFERROR(__xludf.DUMMYFUNCTION("""COMPUTED_VALUE"""),44650.0)</f>
        <v>44650</v>
      </c>
      <c r="C7093" s="5"/>
      <c r="D7093" s="5"/>
      <c r="E7093" s="5"/>
      <c r="F7093" s="25">
        <f>IFERROR(__xludf.DUMMYFUNCTION("""COMPUTED_VALUE"""),500000.0)</f>
        <v>500000</v>
      </c>
      <c r="G7093" s="25">
        <f>IFERROR(__xludf.DUMMYFUNCTION("""COMPUTED_VALUE"""),0.0)</f>
        <v>0</v>
      </c>
      <c r="H7093" s="8">
        <f>IFERROR(__xludf.DUMMYFUNCTION("""COMPUTED_VALUE"""),500000.0)</f>
        <v>500000</v>
      </c>
      <c r="I7093" s="24">
        <f>IFERROR(__xludf.DUMMYFUNCTION("""COMPUTED_VALUE"""),0.0)</f>
        <v>0</v>
      </c>
    </row>
    <row r="7094">
      <c r="A7094" s="5" t="str">
        <f>IFERROR(__xludf.DUMMYFUNCTION("""COMPUTED_VALUE"""),"83293")</f>
        <v>83293</v>
      </c>
      <c r="B7094" s="64">
        <f>IFERROR(__xludf.DUMMYFUNCTION("""COMPUTED_VALUE"""),44651.0)</f>
        <v>44651</v>
      </c>
      <c r="C7094" s="5"/>
      <c r="D7094" s="5"/>
      <c r="E7094" s="5"/>
      <c r="F7094" s="25">
        <f>IFERROR(__xludf.DUMMYFUNCTION("""COMPUTED_VALUE"""),500000.0)</f>
        <v>500000</v>
      </c>
      <c r="G7094" s="25">
        <f>IFERROR(__xludf.DUMMYFUNCTION("""COMPUTED_VALUE"""),0.0)</f>
        <v>0</v>
      </c>
      <c r="H7094" s="8">
        <f>IFERROR(__xludf.DUMMYFUNCTION("""COMPUTED_VALUE"""),500000.0)</f>
        <v>500000</v>
      </c>
      <c r="I7094" s="24">
        <f>IFERROR(__xludf.DUMMYFUNCTION("""COMPUTED_VALUE"""),0.0)</f>
        <v>0</v>
      </c>
    </row>
    <row r="7095">
      <c r="A7095" s="5" t="str">
        <f>IFERROR(__xludf.DUMMYFUNCTION("""COMPUTED_VALUE"""),"83293")</f>
        <v>83293</v>
      </c>
      <c r="B7095" s="64">
        <f>IFERROR(__xludf.DUMMYFUNCTION("""COMPUTED_VALUE"""),44652.0)</f>
        <v>44652</v>
      </c>
      <c r="C7095" s="5"/>
      <c r="D7095" s="5"/>
      <c r="E7095" s="5"/>
      <c r="F7095" s="25">
        <f>IFERROR(__xludf.DUMMYFUNCTION("""COMPUTED_VALUE"""),500000.0)</f>
        <v>500000</v>
      </c>
      <c r="G7095" s="25">
        <f>IFERROR(__xludf.DUMMYFUNCTION("""COMPUTED_VALUE"""),0.0)</f>
        <v>0</v>
      </c>
      <c r="H7095" s="8">
        <f>IFERROR(__xludf.DUMMYFUNCTION("""COMPUTED_VALUE"""),500000.0)</f>
        <v>500000</v>
      </c>
      <c r="I7095" s="24">
        <f>IFERROR(__xludf.DUMMYFUNCTION("""COMPUTED_VALUE"""),0.0)</f>
        <v>0</v>
      </c>
    </row>
    <row r="7096">
      <c r="A7096" s="5" t="str">
        <f>IFERROR(__xludf.DUMMYFUNCTION("""COMPUTED_VALUE"""),"83293")</f>
        <v>83293</v>
      </c>
      <c r="B7096" s="64">
        <f>IFERROR(__xludf.DUMMYFUNCTION("""COMPUTED_VALUE"""),44653.0)</f>
        <v>44653</v>
      </c>
      <c r="C7096" s="5"/>
      <c r="D7096" s="5"/>
      <c r="E7096" s="5"/>
      <c r="F7096" s="25">
        <f>IFERROR(__xludf.DUMMYFUNCTION("""COMPUTED_VALUE"""),500000.0)</f>
        <v>500000</v>
      </c>
      <c r="G7096" s="25">
        <f>IFERROR(__xludf.DUMMYFUNCTION("""COMPUTED_VALUE"""),0.0)</f>
        <v>0</v>
      </c>
      <c r="H7096" s="8">
        <f>IFERROR(__xludf.DUMMYFUNCTION("""COMPUTED_VALUE"""),500000.0)</f>
        <v>500000</v>
      </c>
      <c r="I7096" s="24">
        <f>IFERROR(__xludf.DUMMYFUNCTION("""COMPUTED_VALUE"""),0.0)</f>
        <v>0</v>
      </c>
    </row>
    <row r="7097">
      <c r="A7097" s="5" t="str">
        <f>IFERROR(__xludf.DUMMYFUNCTION("""COMPUTED_VALUE"""),"83293")</f>
        <v>83293</v>
      </c>
      <c r="B7097" s="64">
        <f>IFERROR(__xludf.DUMMYFUNCTION("""COMPUTED_VALUE"""),44654.0)</f>
        <v>44654</v>
      </c>
      <c r="C7097" s="5"/>
      <c r="D7097" s="5"/>
      <c r="E7097" s="5"/>
      <c r="F7097" s="25">
        <f>IFERROR(__xludf.DUMMYFUNCTION("""COMPUTED_VALUE"""),500000.0)</f>
        <v>500000</v>
      </c>
      <c r="G7097" s="25">
        <f>IFERROR(__xludf.DUMMYFUNCTION("""COMPUTED_VALUE"""),0.0)</f>
        <v>0</v>
      </c>
      <c r="H7097" s="8">
        <f>IFERROR(__xludf.DUMMYFUNCTION("""COMPUTED_VALUE"""),500000.0)</f>
        <v>500000</v>
      </c>
      <c r="I7097" s="24">
        <f>IFERROR(__xludf.DUMMYFUNCTION("""COMPUTED_VALUE"""),0.0)</f>
        <v>0</v>
      </c>
    </row>
    <row r="7098">
      <c r="A7098" s="5" t="str">
        <f>IFERROR(__xludf.DUMMYFUNCTION("""COMPUTED_VALUE"""),"83293")</f>
        <v>83293</v>
      </c>
      <c r="B7098" s="64">
        <f>IFERROR(__xludf.DUMMYFUNCTION("""COMPUTED_VALUE"""),44655.0)</f>
        <v>44655</v>
      </c>
      <c r="C7098" s="5"/>
      <c r="D7098" s="5"/>
      <c r="E7098" s="5"/>
      <c r="F7098" s="25">
        <f>IFERROR(__xludf.DUMMYFUNCTION("""COMPUTED_VALUE"""),500000.0)</f>
        <v>500000</v>
      </c>
      <c r="G7098" s="25">
        <f>IFERROR(__xludf.DUMMYFUNCTION("""COMPUTED_VALUE"""),0.0)</f>
        <v>0</v>
      </c>
      <c r="H7098" s="8">
        <f>IFERROR(__xludf.DUMMYFUNCTION("""COMPUTED_VALUE"""),500000.0)</f>
        <v>500000</v>
      </c>
      <c r="I7098" s="24">
        <f>IFERROR(__xludf.DUMMYFUNCTION("""COMPUTED_VALUE"""),0.0)</f>
        <v>0</v>
      </c>
    </row>
    <row r="7099">
      <c r="A7099" s="5" t="str">
        <f>IFERROR(__xludf.DUMMYFUNCTION("""COMPUTED_VALUE"""),"83293")</f>
        <v>83293</v>
      </c>
      <c r="B7099" s="64">
        <f>IFERROR(__xludf.DUMMYFUNCTION("""COMPUTED_VALUE"""),44656.0)</f>
        <v>44656</v>
      </c>
      <c r="C7099" s="5"/>
      <c r="D7099" s="5"/>
      <c r="E7099" s="5"/>
      <c r="F7099" s="25">
        <f>IFERROR(__xludf.DUMMYFUNCTION("""COMPUTED_VALUE"""),500000.0)</f>
        <v>500000</v>
      </c>
      <c r="G7099" s="25">
        <f>IFERROR(__xludf.DUMMYFUNCTION("""COMPUTED_VALUE"""),0.0)</f>
        <v>0</v>
      </c>
      <c r="H7099" s="8">
        <f>IFERROR(__xludf.DUMMYFUNCTION("""COMPUTED_VALUE"""),500000.0)</f>
        <v>500000</v>
      </c>
      <c r="I7099" s="24">
        <f>IFERROR(__xludf.DUMMYFUNCTION("""COMPUTED_VALUE"""),0.0)</f>
        <v>0</v>
      </c>
    </row>
    <row r="7100">
      <c r="A7100" s="5" t="str">
        <f>IFERROR(__xludf.DUMMYFUNCTION("""COMPUTED_VALUE"""),"83293")</f>
        <v>83293</v>
      </c>
      <c r="B7100" s="64">
        <f>IFERROR(__xludf.DUMMYFUNCTION("""COMPUTED_VALUE"""),44657.0)</f>
        <v>44657</v>
      </c>
      <c r="C7100" s="5"/>
      <c r="D7100" s="5"/>
      <c r="E7100" s="5"/>
      <c r="F7100" s="25">
        <f>IFERROR(__xludf.DUMMYFUNCTION("""COMPUTED_VALUE"""),500000.0)</f>
        <v>500000</v>
      </c>
      <c r="G7100" s="25">
        <f>IFERROR(__xludf.DUMMYFUNCTION("""COMPUTED_VALUE"""),0.0)</f>
        <v>0</v>
      </c>
      <c r="H7100" s="8">
        <f>IFERROR(__xludf.DUMMYFUNCTION("""COMPUTED_VALUE"""),500000.0)</f>
        <v>500000</v>
      </c>
      <c r="I7100" s="24">
        <f>IFERROR(__xludf.DUMMYFUNCTION("""COMPUTED_VALUE"""),0.0)</f>
        <v>0</v>
      </c>
    </row>
    <row r="7101">
      <c r="A7101" s="5" t="str">
        <f>IFERROR(__xludf.DUMMYFUNCTION("""COMPUTED_VALUE"""),"83293")</f>
        <v>83293</v>
      </c>
      <c r="B7101" s="64">
        <f>IFERROR(__xludf.DUMMYFUNCTION("""COMPUTED_VALUE"""),44658.0)</f>
        <v>44658</v>
      </c>
      <c r="C7101" s="5"/>
      <c r="D7101" s="5"/>
      <c r="E7101" s="5"/>
      <c r="F7101" s="25">
        <f>IFERROR(__xludf.DUMMYFUNCTION("""COMPUTED_VALUE"""),500000.0)</f>
        <v>500000</v>
      </c>
      <c r="G7101" s="25">
        <f>IFERROR(__xludf.DUMMYFUNCTION("""COMPUTED_VALUE"""),0.0)</f>
        <v>0</v>
      </c>
      <c r="H7101" s="8">
        <f>IFERROR(__xludf.DUMMYFUNCTION("""COMPUTED_VALUE"""),500000.0)</f>
        <v>500000</v>
      </c>
      <c r="I7101" s="24">
        <f>IFERROR(__xludf.DUMMYFUNCTION("""COMPUTED_VALUE"""),0.0)</f>
        <v>0</v>
      </c>
    </row>
    <row r="7102">
      <c r="A7102" s="5" t="str">
        <f>IFERROR(__xludf.DUMMYFUNCTION("""COMPUTED_VALUE"""),"83293")</f>
        <v>83293</v>
      </c>
      <c r="B7102" s="64">
        <f>IFERROR(__xludf.DUMMYFUNCTION("""COMPUTED_VALUE"""),44659.0)</f>
        <v>44659</v>
      </c>
      <c r="C7102" s="5"/>
      <c r="D7102" s="5"/>
      <c r="E7102" s="5"/>
      <c r="F7102" s="25">
        <f>IFERROR(__xludf.DUMMYFUNCTION("""COMPUTED_VALUE"""),500000.0)</f>
        <v>500000</v>
      </c>
      <c r="G7102" s="25">
        <f>IFERROR(__xludf.DUMMYFUNCTION("""COMPUTED_VALUE"""),0.0)</f>
        <v>0</v>
      </c>
      <c r="H7102" s="8">
        <f>IFERROR(__xludf.DUMMYFUNCTION("""COMPUTED_VALUE"""),500000.0)</f>
        <v>500000</v>
      </c>
      <c r="I7102" s="24">
        <f>IFERROR(__xludf.DUMMYFUNCTION("""COMPUTED_VALUE"""),0.0)</f>
        <v>0</v>
      </c>
    </row>
    <row r="7103">
      <c r="A7103" s="5" t="str">
        <f>IFERROR(__xludf.DUMMYFUNCTION("""COMPUTED_VALUE"""),"83293")</f>
        <v>83293</v>
      </c>
      <c r="B7103" s="64">
        <f>IFERROR(__xludf.DUMMYFUNCTION("""COMPUTED_VALUE"""),44660.0)</f>
        <v>44660</v>
      </c>
      <c r="C7103" s="5"/>
      <c r="D7103" s="5"/>
      <c r="E7103" s="5"/>
      <c r="F7103" s="25">
        <f>IFERROR(__xludf.DUMMYFUNCTION("""COMPUTED_VALUE"""),500000.0)</f>
        <v>500000</v>
      </c>
      <c r="G7103" s="25">
        <f>IFERROR(__xludf.DUMMYFUNCTION("""COMPUTED_VALUE"""),0.0)</f>
        <v>0</v>
      </c>
      <c r="H7103" s="8">
        <f>IFERROR(__xludf.DUMMYFUNCTION("""COMPUTED_VALUE"""),500000.0)</f>
        <v>500000</v>
      </c>
      <c r="I7103" s="24">
        <f>IFERROR(__xludf.DUMMYFUNCTION("""COMPUTED_VALUE"""),0.0)</f>
        <v>0</v>
      </c>
    </row>
    <row r="7104">
      <c r="A7104" s="5" t="str">
        <f>IFERROR(__xludf.DUMMYFUNCTION("""COMPUTED_VALUE"""),"83293")</f>
        <v>83293</v>
      </c>
      <c r="B7104" s="64">
        <f>IFERROR(__xludf.DUMMYFUNCTION("""COMPUTED_VALUE"""),44661.0)</f>
        <v>44661</v>
      </c>
      <c r="C7104" s="5"/>
      <c r="D7104" s="5"/>
      <c r="E7104" s="5"/>
      <c r="F7104" s="25">
        <f>IFERROR(__xludf.DUMMYFUNCTION("""COMPUTED_VALUE"""),500000.0)</f>
        <v>500000</v>
      </c>
      <c r="G7104" s="25">
        <f>IFERROR(__xludf.DUMMYFUNCTION("""COMPUTED_VALUE"""),0.0)</f>
        <v>0</v>
      </c>
      <c r="H7104" s="8">
        <f>IFERROR(__xludf.DUMMYFUNCTION("""COMPUTED_VALUE"""),500000.0)</f>
        <v>500000</v>
      </c>
      <c r="I7104" s="24">
        <f>IFERROR(__xludf.DUMMYFUNCTION("""COMPUTED_VALUE"""),0.0)</f>
        <v>0</v>
      </c>
    </row>
    <row r="7105">
      <c r="A7105" s="5" t="str">
        <f>IFERROR(__xludf.DUMMYFUNCTION("""COMPUTED_VALUE"""),"83293")</f>
        <v>83293</v>
      </c>
      <c r="B7105" s="64">
        <f>IFERROR(__xludf.DUMMYFUNCTION("""COMPUTED_VALUE"""),44662.0)</f>
        <v>44662</v>
      </c>
      <c r="C7105" s="5"/>
      <c r="D7105" s="5"/>
      <c r="E7105" s="5"/>
      <c r="F7105" s="25">
        <f>IFERROR(__xludf.DUMMYFUNCTION("""COMPUTED_VALUE"""),500000.0)</f>
        <v>500000</v>
      </c>
      <c r="G7105" s="25">
        <f>IFERROR(__xludf.DUMMYFUNCTION("""COMPUTED_VALUE"""),0.0)</f>
        <v>0</v>
      </c>
      <c r="H7105" s="8">
        <f>IFERROR(__xludf.DUMMYFUNCTION("""COMPUTED_VALUE"""),500000.0)</f>
        <v>500000</v>
      </c>
      <c r="I7105" s="24">
        <f>IFERROR(__xludf.DUMMYFUNCTION("""COMPUTED_VALUE"""),0.0)</f>
        <v>0</v>
      </c>
    </row>
    <row r="7106">
      <c r="A7106" s="5" t="str">
        <f>IFERROR(__xludf.DUMMYFUNCTION("""COMPUTED_VALUE"""),"83293")</f>
        <v>83293</v>
      </c>
      <c r="B7106" s="64">
        <f>IFERROR(__xludf.DUMMYFUNCTION("""COMPUTED_VALUE"""),44663.0)</f>
        <v>44663</v>
      </c>
      <c r="C7106" s="5"/>
      <c r="D7106" s="5"/>
      <c r="E7106" s="5"/>
      <c r="F7106" s="25">
        <f>IFERROR(__xludf.DUMMYFUNCTION("""COMPUTED_VALUE"""),500000.0)</f>
        <v>500000</v>
      </c>
      <c r="G7106" s="25">
        <f>IFERROR(__xludf.DUMMYFUNCTION("""COMPUTED_VALUE"""),0.0)</f>
        <v>0</v>
      </c>
      <c r="H7106" s="8">
        <f>IFERROR(__xludf.DUMMYFUNCTION("""COMPUTED_VALUE"""),500000.0)</f>
        <v>500000</v>
      </c>
      <c r="I7106" s="24">
        <f>IFERROR(__xludf.DUMMYFUNCTION("""COMPUTED_VALUE"""),0.0)</f>
        <v>0</v>
      </c>
    </row>
    <row r="7107">
      <c r="A7107" s="5" t="str">
        <f>IFERROR(__xludf.DUMMYFUNCTION("""COMPUTED_VALUE"""),"83314")</f>
        <v>83314</v>
      </c>
      <c r="B7107" s="64">
        <f>IFERROR(__xludf.DUMMYFUNCTION("""COMPUTED_VALUE"""),44597.0)</f>
        <v>44597</v>
      </c>
      <c r="C7107" s="5"/>
      <c r="D7107" s="5"/>
      <c r="E7107" s="5"/>
      <c r="F7107" s="25">
        <f>IFERROR(__xludf.DUMMYFUNCTION("""COMPUTED_VALUE"""),500000.0)</f>
        <v>500000</v>
      </c>
      <c r="G7107" s="25">
        <f>IFERROR(__xludf.DUMMYFUNCTION("""COMPUTED_VALUE"""),0.0)</f>
        <v>0</v>
      </c>
      <c r="H7107" s="8">
        <f>IFERROR(__xludf.DUMMYFUNCTION("""COMPUTED_VALUE"""),500000.0)</f>
        <v>500000</v>
      </c>
      <c r="I7107" s="24">
        <f>IFERROR(__xludf.DUMMYFUNCTION("""COMPUTED_VALUE"""),0.0)</f>
        <v>0</v>
      </c>
    </row>
    <row r="7108">
      <c r="A7108" s="5" t="str">
        <f>IFERROR(__xludf.DUMMYFUNCTION("""COMPUTED_VALUE"""),"83314")</f>
        <v>83314</v>
      </c>
      <c r="B7108" s="64">
        <f>IFERROR(__xludf.DUMMYFUNCTION("""COMPUTED_VALUE"""),44598.0)</f>
        <v>44598</v>
      </c>
      <c r="C7108" s="5"/>
      <c r="D7108" s="5"/>
      <c r="E7108" s="5"/>
      <c r="F7108" s="25">
        <f>IFERROR(__xludf.DUMMYFUNCTION("""COMPUTED_VALUE"""),500000.0)</f>
        <v>500000</v>
      </c>
      <c r="G7108" s="25">
        <f>IFERROR(__xludf.DUMMYFUNCTION("""COMPUTED_VALUE"""),0.0)</f>
        <v>0</v>
      </c>
      <c r="H7108" s="8">
        <f>IFERROR(__xludf.DUMMYFUNCTION("""COMPUTED_VALUE"""),500000.0)</f>
        <v>500000</v>
      </c>
      <c r="I7108" s="24">
        <f>IFERROR(__xludf.DUMMYFUNCTION("""COMPUTED_VALUE"""),0.0)</f>
        <v>0</v>
      </c>
    </row>
    <row r="7109">
      <c r="A7109" s="5" t="str">
        <f>IFERROR(__xludf.DUMMYFUNCTION("""COMPUTED_VALUE"""),"83314")</f>
        <v>83314</v>
      </c>
      <c r="B7109" s="64">
        <f>IFERROR(__xludf.DUMMYFUNCTION("""COMPUTED_VALUE"""),44599.0)</f>
        <v>44599</v>
      </c>
      <c r="C7109" s="5"/>
      <c r="D7109" s="5"/>
      <c r="E7109" s="5"/>
      <c r="F7109" s="25">
        <f>IFERROR(__xludf.DUMMYFUNCTION("""COMPUTED_VALUE"""),500000.0)</f>
        <v>500000</v>
      </c>
      <c r="G7109" s="25">
        <f>IFERROR(__xludf.DUMMYFUNCTION("""COMPUTED_VALUE"""),0.0)</f>
        <v>0</v>
      </c>
      <c r="H7109" s="8">
        <f>IFERROR(__xludf.DUMMYFUNCTION("""COMPUTED_VALUE"""),500000.0)</f>
        <v>500000</v>
      </c>
      <c r="I7109" s="24">
        <f>IFERROR(__xludf.DUMMYFUNCTION("""COMPUTED_VALUE"""),0.0)</f>
        <v>0</v>
      </c>
    </row>
    <row r="7110">
      <c r="A7110" s="5" t="str">
        <f>IFERROR(__xludf.DUMMYFUNCTION("""COMPUTED_VALUE"""),"83314")</f>
        <v>83314</v>
      </c>
      <c r="B7110" s="64">
        <f>IFERROR(__xludf.DUMMYFUNCTION("""COMPUTED_VALUE"""),44600.0)</f>
        <v>44600</v>
      </c>
      <c r="C7110" s="5"/>
      <c r="D7110" s="5"/>
      <c r="E7110" s="5"/>
      <c r="F7110" s="25">
        <f>IFERROR(__xludf.DUMMYFUNCTION("""COMPUTED_VALUE"""),500000.0)</f>
        <v>500000</v>
      </c>
      <c r="G7110" s="25">
        <f>IFERROR(__xludf.DUMMYFUNCTION("""COMPUTED_VALUE"""),0.0)</f>
        <v>0</v>
      </c>
      <c r="H7110" s="8">
        <f>IFERROR(__xludf.DUMMYFUNCTION("""COMPUTED_VALUE"""),500000.0)</f>
        <v>500000</v>
      </c>
      <c r="I7110" s="24">
        <f>IFERROR(__xludf.DUMMYFUNCTION("""COMPUTED_VALUE"""),0.0)</f>
        <v>0</v>
      </c>
    </row>
    <row r="7111">
      <c r="A7111" s="5" t="str">
        <f>IFERROR(__xludf.DUMMYFUNCTION("""COMPUTED_VALUE"""),"83314")</f>
        <v>83314</v>
      </c>
      <c r="B7111" s="64">
        <f>IFERROR(__xludf.DUMMYFUNCTION("""COMPUTED_VALUE"""),44601.0)</f>
        <v>44601</v>
      </c>
      <c r="C7111" s="5"/>
      <c r="D7111" s="5"/>
      <c r="E7111" s="5"/>
      <c r="F7111" s="25">
        <f>IFERROR(__xludf.DUMMYFUNCTION("""COMPUTED_VALUE"""),500000.0)</f>
        <v>500000</v>
      </c>
      <c r="G7111" s="25">
        <f>IFERROR(__xludf.DUMMYFUNCTION("""COMPUTED_VALUE"""),0.0)</f>
        <v>0</v>
      </c>
      <c r="H7111" s="8">
        <f>IFERROR(__xludf.DUMMYFUNCTION("""COMPUTED_VALUE"""),500000.0)</f>
        <v>500000</v>
      </c>
      <c r="I7111" s="24">
        <f>IFERROR(__xludf.DUMMYFUNCTION("""COMPUTED_VALUE"""),0.0)</f>
        <v>0</v>
      </c>
    </row>
    <row r="7112">
      <c r="A7112" s="5" t="str">
        <f>IFERROR(__xludf.DUMMYFUNCTION("""COMPUTED_VALUE"""),"83314")</f>
        <v>83314</v>
      </c>
      <c r="B7112" s="64">
        <f>IFERROR(__xludf.DUMMYFUNCTION("""COMPUTED_VALUE"""),44602.0)</f>
        <v>44602</v>
      </c>
      <c r="C7112" s="5"/>
      <c r="D7112" s="5"/>
      <c r="E7112" s="5"/>
      <c r="F7112" s="25">
        <f>IFERROR(__xludf.DUMMYFUNCTION("""COMPUTED_VALUE"""),500000.0)</f>
        <v>500000</v>
      </c>
      <c r="G7112" s="25">
        <f>IFERROR(__xludf.DUMMYFUNCTION("""COMPUTED_VALUE"""),0.0)</f>
        <v>0</v>
      </c>
      <c r="H7112" s="8">
        <f>IFERROR(__xludf.DUMMYFUNCTION("""COMPUTED_VALUE"""),500000.0)</f>
        <v>500000</v>
      </c>
      <c r="I7112" s="24">
        <f>IFERROR(__xludf.DUMMYFUNCTION("""COMPUTED_VALUE"""),0.0)</f>
        <v>0</v>
      </c>
    </row>
    <row r="7113">
      <c r="A7113" s="5" t="str">
        <f>IFERROR(__xludf.DUMMYFUNCTION("""COMPUTED_VALUE"""),"83314")</f>
        <v>83314</v>
      </c>
      <c r="B7113" s="64">
        <f>IFERROR(__xludf.DUMMYFUNCTION("""COMPUTED_VALUE"""),44603.0)</f>
        <v>44603</v>
      </c>
      <c r="C7113" s="5"/>
      <c r="D7113" s="5"/>
      <c r="E7113" s="5"/>
      <c r="F7113" s="25">
        <f>IFERROR(__xludf.DUMMYFUNCTION("""COMPUTED_VALUE"""),500000.0)</f>
        <v>500000</v>
      </c>
      <c r="G7113" s="25">
        <f>IFERROR(__xludf.DUMMYFUNCTION("""COMPUTED_VALUE"""),0.0)</f>
        <v>0</v>
      </c>
      <c r="H7113" s="8">
        <f>IFERROR(__xludf.DUMMYFUNCTION("""COMPUTED_VALUE"""),500000.0)</f>
        <v>500000</v>
      </c>
      <c r="I7113" s="24">
        <f>IFERROR(__xludf.DUMMYFUNCTION("""COMPUTED_VALUE"""),0.0)</f>
        <v>0</v>
      </c>
    </row>
    <row r="7114">
      <c r="A7114" s="5" t="str">
        <f>IFERROR(__xludf.DUMMYFUNCTION("""COMPUTED_VALUE"""),"83314")</f>
        <v>83314</v>
      </c>
      <c r="B7114" s="64">
        <f>IFERROR(__xludf.DUMMYFUNCTION("""COMPUTED_VALUE"""),44604.0)</f>
        <v>44604</v>
      </c>
      <c r="C7114" s="5"/>
      <c r="D7114" s="5"/>
      <c r="E7114" s="5"/>
      <c r="F7114" s="25">
        <f>IFERROR(__xludf.DUMMYFUNCTION("""COMPUTED_VALUE"""),500000.0)</f>
        <v>500000</v>
      </c>
      <c r="G7114" s="25">
        <f>IFERROR(__xludf.DUMMYFUNCTION("""COMPUTED_VALUE"""),0.0)</f>
        <v>0</v>
      </c>
      <c r="H7114" s="8">
        <f>IFERROR(__xludf.DUMMYFUNCTION("""COMPUTED_VALUE"""),500000.0)</f>
        <v>500000</v>
      </c>
      <c r="I7114" s="24">
        <f>IFERROR(__xludf.DUMMYFUNCTION("""COMPUTED_VALUE"""),0.0)</f>
        <v>0</v>
      </c>
    </row>
    <row r="7115">
      <c r="A7115" s="5" t="str">
        <f>IFERROR(__xludf.DUMMYFUNCTION("""COMPUTED_VALUE"""),"83314")</f>
        <v>83314</v>
      </c>
      <c r="B7115" s="64">
        <f>IFERROR(__xludf.DUMMYFUNCTION("""COMPUTED_VALUE"""),44605.0)</f>
        <v>44605</v>
      </c>
      <c r="C7115" s="5"/>
      <c r="D7115" s="5"/>
      <c r="E7115" s="5"/>
      <c r="F7115" s="25">
        <f>IFERROR(__xludf.DUMMYFUNCTION("""COMPUTED_VALUE"""),500000.0)</f>
        <v>500000</v>
      </c>
      <c r="G7115" s="25">
        <f>IFERROR(__xludf.DUMMYFUNCTION("""COMPUTED_VALUE"""),0.0)</f>
        <v>0</v>
      </c>
      <c r="H7115" s="8">
        <f>IFERROR(__xludf.DUMMYFUNCTION("""COMPUTED_VALUE"""),500000.0)</f>
        <v>500000</v>
      </c>
      <c r="I7115" s="24">
        <f>IFERROR(__xludf.DUMMYFUNCTION("""COMPUTED_VALUE"""),0.0)</f>
        <v>0</v>
      </c>
    </row>
    <row r="7116">
      <c r="A7116" s="5" t="str">
        <f>IFERROR(__xludf.DUMMYFUNCTION("""COMPUTED_VALUE"""),"83314")</f>
        <v>83314</v>
      </c>
      <c r="B7116" s="64">
        <f>IFERROR(__xludf.DUMMYFUNCTION("""COMPUTED_VALUE"""),44606.0)</f>
        <v>44606</v>
      </c>
      <c r="C7116" s="5"/>
      <c r="D7116" s="5"/>
      <c r="E7116" s="5"/>
      <c r="F7116" s="25">
        <f>IFERROR(__xludf.DUMMYFUNCTION("""COMPUTED_VALUE"""),500000.0)</f>
        <v>500000</v>
      </c>
      <c r="G7116" s="25">
        <f>IFERROR(__xludf.DUMMYFUNCTION("""COMPUTED_VALUE"""),0.0)</f>
        <v>0</v>
      </c>
      <c r="H7116" s="8">
        <f>IFERROR(__xludf.DUMMYFUNCTION("""COMPUTED_VALUE"""),500000.0)</f>
        <v>500000</v>
      </c>
      <c r="I7116" s="24">
        <f>IFERROR(__xludf.DUMMYFUNCTION("""COMPUTED_VALUE"""),0.0)</f>
        <v>0</v>
      </c>
    </row>
    <row r="7117">
      <c r="A7117" s="5" t="str">
        <f>IFERROR(__xludf.DUMMYFUNCTION("""COMPUTED_VALUE"""),"83314")</f>
        <v>83314</v>
      </c>
      <c r="B7117" s="64">
        <f>IFERROR(__xludf.DUMMYFUNCTION("""COMPUTED_VALUE"""),44607.0)</f>
        <v>44607</v>
      </c>
      <c r="C7117" s="5"/>
      <c r="D7117" s="5"/>
      <c r="E7117" s="5"/>
      <c r="F7117" s="25">
        <f>IFERROR(__xludf.DUMMYFUNCTION("""COMPUTED_VALUE"""),500000.0)</f>
        <v>500000</v>
      </c>
      <c r="G7117" s="25">
        <f>IFERROR(__xludf.DUMMYFUNCTION("""COMPUTED_VALUE"""),0.0)</f>
        <v>0</v>
      </c>
      <c r="H7117" s="8">
        <f>IFERROR(__xludf.DUMMYFUNCTION("""COMPUTED_VALUE"""),500000.0)</f>
        <v>500000</v>
      </c>
      <c r="I7117" s="24">
        <f>IFERROR(__xludf.DUMMYFUNCTION("""COMPUTED_VALUE"""),0.0)</f>
        <v>0</v>
      </c>
    </row>
    <row r="7118">
      <c r="A7118" s="5" t="str">
        <f>IFERROR(__xludf.DUMMYFUNCTION("""COMPUTED_VALUE"""),"83314")</f>
        <v>83314</v>
      </c>
      <c r="B7118" s="64">
        <f>IFERROR(__xludf.DUMMYFUNCTION("""COMPUTED_VALUE"""),44608.0)</f>
        <v>44608</v>
      </c>
      <c r="C7118" s="5"/>
      <c r="D7118" s="5"/>
      <c r="E7118" s="5"/>
      <c r="F7118" s="25">
        <f>IFERROR(__xludf.DUMMYFUNCTION("""COMPUTED_VALUE"""),500000.0)</f>
        <v>500000</v>
      </c>
      <c r="G7118" s="25">
        <f>IFERROR(__xludf.DUMMYFUNCTION("""COMPUTED_VALUE"""),0.0)</f>
        <v>0</v>
      </c>
      <c r="H7118" s="8">
        <f>IFERROR(__xludf.DUMMYFUNCTION("""COMPUTED_VALUE"""),500000.0)</f>
        <v>500000</v>
      </c>
      <c r="I7118" s="24">
        <f>IFERROR(__xludf.DUMMYFUNCTION("""COMPUTED_VALUE"""),0.0)</f>
        <v>0</v>
      </c>
    </row>
    <row r="7119">
      <c r="A7119" s="5" t="str">
        <f>IFERROR(__xludf.DUMMYFUNCTION("""COMPUTED_VALUE"""),"83314")</f>
        <v>83314</v>
      </c>
      <c r="B7119" s="64">
        <f>IFERROR(__xludf.DUMMYFUNCTION("""COMPUTED_VALUE"""),44609.0)</f>
        <v>44609</v>
      </c>
      <c r="C7119" s="5"/>
      <c r="D7119" s="5"/>
      <c r="E7119" s="5"/>
      <c r="F7119" s="25">
        <f>IFERROR(__xludf.DUMMYFUNCTION("""COMPUTED_VALUE"""),500000.0)</f>
        <v>500000</v>
      </c>
      <c r="G7119" s="25">
        <f>IFERROR(__xludf.DUMMYFUNCTION("""COMPUTED_VALUE"""),0.0)</f>
        <v>0</v>
      </c>
      <c r="H7119" s="8">
        <f>IFERROR(__xludf.DUMMYFUNCTION("""COMPUTED_VALUE"""),500000.0)</f>
        <v>500000</v>
      </c>
      <c r="I7119" s="24">
        <f>IFERROR(__xludf.DUMMYFUNCTION("""COMPUTED_VALUE"""),0.0)</f>
        <v>0</v>
      </c>
    </row>
    <row r="7120">
      <c r="A7120" s="5" t="str">
        <f>IFERROR(__xludf.DUMMYFUNCTION("""COMPUTED_VALUE"""),"83314")</f>
        <v>83314</v>
      </c>
      <c r="B7120" s="64">
        <f>IFERROR(__xludf.DUMMYFUNCTION("""COMPUTED_VALUE"""),44610.0)</f>
        <v>44610</v>
      </c>
      <c r="C7120" s="5"/>
      <c r="D7120" s="5"/>
      <c r="E7120" s="5"/>
      <c r="F7120" s="25">
        <f>IFERROR(__xludf.DUMMYFUNCTION("""COMPUTED_VALUE"""),500000.0)</f>
        <v>500000</v>
      </c>
      <c r="G7120" s="25">
        <f>IFERROR(__xludf.DUMMYFUNCTION("""COMPUTED_VALUE"""),0.0)</f>
        <v>0</v>
      </c>
      <c r="H7120" s="8">
        <f>IFERROR(__xludf.DUMMYFUNCTION("""COMPUTED_VALUE"""),500000.0)</f>
        <v>500000</v>
      </c>
      <c r="I7120" s="24">
        <f>IFERROR(__xludf.DUMMYFUNCTION("""COMPUTED_VALUE"""),0.0)</f>
        <v>0</v>
      </c>
    </row>
    <row r="7121">
      <c r="A7121" s="5" t="str">
        <f>IFERROR(__xludf.DUMMYFUNCTION("""COMPUTED_VALUE"""),"83314")</f>
        <v>83314</v>
      </c>
      <c r="B7121" s="64">
        <f>IFERROR(__xludf.DUMMYFUNCTION("""COMPUTED_VALUE"""),44611.0)</f>
        <v>44611</v>
      </c>
      <c r="C7121" s="5"/>
      <c r="D7121" s="5"/>
      <c r="E7121" s="5"/>
      <c r="F7121" s="25">
        <f>IFERROR(__xludf.DUMMYFUNCTION("""COMPUTED_VALUE"""),500000.0)</f>
        <v>500000</v>
      </c>
      <c r="G7121" s="25">
        <f>IFERROR(__xludf.DUMMYFUNCTION("""COMPUTED_VALUE"""),0.0)</f>
        <v>0</v>
      </c>
      <c r="H7121" s="8">
        <f>IFERROR(__xludf.DUMMYFUNCTION("""COMPUTED_VALUE"""),500000.0)</f>
        <v>500000</v>
      </c>
      <c r="I7121" s="24">
        <f>IFERROR(__xludf.DUMMYFUNCTION("""COMPUTED_VALUE"""),0.0)</f>
        <v>0</v>
      </c>
    </row>
    <row r="7122">
      <c r="A7122" s="5" t="str">
        <f>IFERROR(__xludf.DUMMYFUNCTION("""COMPUTED_VALUE"""),"83314")</f>
        <v>83314</v>
      </c>
      <c r="B7122" s="64">
        <f>IFERROR(__xludf.DUMMYFUNCTION("""COMPUTED_VALUE"""),44612.0)</f>
        <v>44612</v>
      </c>
      <c r="C7122" s="5"/>
      <c r="D7122" s="5"/>
      <c r="E7122" s="5"/>
      <c r="F7122" s="25">
        <f>IFERROR(__xludf.DUMMYFUNCTION("""COMPUTED_VALUE"""),500000.0)</f>
        <v>500000</v>
      </c>
      <c r="G7122" s="25">
        <f>IFERROR(__xludf.DUMMYFUNCTION("""COMPUTED_VALUE"""),0.0)</f>
        <v>0</v>
      </c>
      <c r="H7122" s="8">
        <f>IFERROR(__xludf.DUMMYFUNCTION("""COMPUTED_VALUE"""),500000.0)</f>
        <v>500000</v>
      </c>
      <c r="I7122" s="24">
        <f>IFERROR(__xludf.DUMMYFUNCTION("""COMPUTED_VALUE"""),0.0)</f>
        <v>0</v>
      </c>
    </row>
    <row r="7123">
      <c r="A7123" s="5" t="str">
        <f>IFERROR(__xludf.DUMMYFUNCTION("""COMPUTED_VALUE"""),"83314")</f>
        <v>83314</v>
      </c>
      <c r="B7123" s="64">
        <f>IFERROR(__xludf.DUMMYFUNCTION("""COMPUTED_VALUE"""),44613.0)</f>
        <v>44613</v>
      </c>
      <c r="C7123" s="5"/>
      <c r="D7123" s="5"/>
      <c r="E7123" s="5"/>
      <c r="F7123" s="25">
        <f>IFERROR(__xludf.DUMMYFUNCTION("""COMPUTED_VALUE"""),500000.0)</f>
        <v>500000</v>
      </c>
      <c r="G7123" s="25">
        <f>IFERROR(__xludf.DUMMYFUNCTION("""COMPUTED_VALUE"""),0.0)</f>
        <v>0</v>
      </c>
      <c r="H7123" s="8">
        <f>IFERROR(__xludf.DUMMYFUNCTION("""COMPUTED_VALUE"""),500000.0)</f>
        <v>500000</v>
      </c>
      <c r="I7123" s="24">
        <f>IFERROR(__xludf.DUMMYFUNCTION("""COMPUTED_VALUE"""),0.0)</f>
        <v>0</v>
      </c>
    </row>
    <row r="7124">
      <c r="A7124" s="5" t="str">
        <f>IFERROR(__xludf.DUMMYFUNCTION("""COMPUTED_VALUE"""),"83314")</f>
        <v>83314</v>
      </c>
      <c r="B7124" s="64">
        <f>IFERROR(__xludf.DUMMYFUNCTION("""COMPUTED_VALUE"""),44614.0)</f>
        <v>44614</v>
      </c>
      <c r="C7124" s="5"/>
      <c r="D7124" s="5"/>
      <c r="E7124" s="5"/>
      <c r="F7124" s="25">
        <f>IFERROR(__xludf.DUMMYFUNCTION("""COMPUTED_VALUE"""),500000.0)</f>
        <v>500000</v>
      </c>
      <c r="G7124" s="25">
        <f>IFERROR(__xludf.DUMMYFUNCTION("""COMPUTED_VALUE"""),0.0)</f>
        <v>0</v>
      </c>
      <c r="H7124" s="8">
        <f>IFERROR(__xludf.DUMMYFUNCTION("""COMPUTED_VALUE"""),500000.0)</f>
        <v>500000</v>
      </c>
      <c r="I7124" s="24">
        <f>IFERROR(__xludf.DUMMYFUNCTION("""COMPUTED_VALUE"""),0.0)</f>
        <v>0</v>
      </c>
    </row>
    <row r="7125">
      <c r="A7125" s="5" t="str">
        <f>IFERROR(__xludf.DUMMYFUNCTION("""COMPUTED_VALUE"""),"83314")</f>
        <v>83314</v>
      </c>
      <c r="B7125" s="64">
        <f>IFERROR(__xludf.DUMMYFUNCTION("""COMPUTED_VALUE"""),44615.0)</f>
        <v>44615</v>
      </c>
      <c r="C7125" s="5"/>
      <c r="D7125" s="5"/>
      <c r="E7125" s="5"/>
      <c r="F7125" s="25">
        <f>IFERROR(__xludf.DUMMYFUNCTION("""COMPUTED_VALUE"""),500000.0)</f>
        <v>500000</v>
      </c>
      <c r="G7125" s="25">
        <f>IFERROR(__xludf.DUMMYFUNCTION("""COMPUTED_VALUE"""),0.0)</f>
        <v>0</v>
      </c>
      <c r="H7125" s="8">
        <f>IFERROR(__xludf.DUMMYFUNCTION("""COMPUTED_VALUE"""),500000.0)</f>
        <v>500000</v>
      </c>
      <c r="I7125" s="24">
        <f>IFERROR(__xludf.DUMMYFUNCTION("""COMPUTED_VALUE"""),0.0)</f>
        <v>0</v>
      </c>
    </row>
    <row r="7126">
      <c r="A7126" s="5" t="str">
        <f>IFERROR(__xludf.DUMMYFUNCTION("""COMPUTED_VALUE"""),"83314")</f>
        <v>83314</v>
      </c>
      <c r="B7126" s="64">
        <f>IFERROR(__xludf.DUMMYFUNCTION("""COMPUTED_VALUE"""),44616.0)</f>
        <v>44616</v>
      </c>
      <c r="C7126" s="5"/>
      <c r="D7126" s="5"/>
      <c r="E7126" s="5"/>
      <c r="F7126" s="25">
        <f>IFERROR(__xludf.DUMMYFUNCTION("""COMPUTED_VALUE"""),500000.0)</f>
        <v>500000</v>
      </c>
      <c r="G7126" s="25">
        <f>IFERROR(__xludf.DUMMYFUNCTION("""COMPUTED_VALUE"""),0.0)</f>
        <v>0</v>
      </c>
      <c r="H7126" s="8">
        <f>IFERROR(__xludf.DUMMYFUNCTION("""COMPUTED_VALUE"""),500000.0)</f>
        <v>500000</v>
      </c>
      <c r="I7126" s="24">
        <f>IFERROR(__xludf.DUMMYFUNCTION("""COMPUTED_VALUE"""),0.0)</f>
        <v>0</v>
      </c>
    </row>
    <row r="7127">
      <c r="A7127" s="5" t="str">
        <f>IFERROR(__xludf.DUMMYFUNCTION("""COMPUTED_VALUE"""),"83314")</f>
        <v>83314</v>
      </c>
      <c r="B7127" s="64">
        <f>IFERROR(__xludf.DUMMYFUNCTION("""COMPUTED_VALUE"""),44617.0)</f>
        <v>44617</v>
      </c>
      <c r="C7127" s="5"/>
      <c r="D7127" s="5"/>
      <c r="E7127" s="5"/>
      <c r="F7127" s="25">
        <f>IFERROR(__xludf.DUMMYFUNCTION("""COMPUTED_VALUE"""),500000.0)</f>
        <v>500000</v>
      </c>
      <c r="G7127" s="25">
        <f>IFERROR(__xludf.DUMMYFUNCTION("""COMPUTED_VALUE"""),0.0)</f>
        <v>0</v>
      </c>
      <c r="H7127" s="8">
        <f>IFERROR(__xludf.DUMMYFUNCTION("""COMPUTED_VALUE"""),500000.0)</f>
        <v>500000</v>
      </c>
      <c r="I7127" s="24">
        <f>IFERROR(__xludf.DUMMYFUNCTION("""COMPUTED_VALUE"""),0.0)</f>
        <v>0</v>
      </c>
    </row>
    <row r="7128">
      <c r="A7128" s="5" t="str">
        <f>IFERROR(__xludf.DUMMYFUNCTION("""COMPUTED_VALUE"""),"83314")</f>
        <v>83314</v>
      </c>
      <c r="B7128" s="64">
        <f>IFERROR(__xludf.DUMMYFUNCTION("""COMPUTED_VALUE"""),44618.0)</f>
        <v>44618</v>
      </c>
      <c r="C7128" s="5"/>
      <c r="D7128" s="5"/>
      <c r="E7128" s="5"/>
      <c r="F7128" s="25">
        <f>IFERROR(__xludf.DUMMYFUNCTION("""COMPUTED_VALUE"""),500000.0)</f>
        <v>500000</v>
      </c>
      <c r="G7128" s="25">
        <f>IFERROR(__xludf.DUMMYFUNCTION("""COMPUTED_VALUE"""),0.0)</f>
        <v>0</v>
      </c>
      <c r="H7128" s="8">
        <f>IFERROR(__xludf.DUMMYFUNCTION("""COMPUTED_VALUE"""),500000.0)</f>
        <v>500000</v>
      </c>
      <c r="I7128" s="24">
        <f>IFERROR(__xludf.DUMMYFUNCTION("""COMPUTED_VALUE"""),0.0)</f>
        <v>0</v>
      </c>
    </row>
    <row r="7129">
      <c r="A7129" s="5" t="str">
        <f>IFERROR(__xludf.DUMMYFUNCTION("""COMPUTED_VALUE"""),"83314")</f>
        <v>83314</v>
      </c>
      <c r="B7129" s="64">
        <f>IFERROR(__xludf.DUMMYFUNCTION("""COMPUTED_VALUE"""),44619.0)</f>
        <v>44619</v>
      </c>
      <c r="C7129" s="5"/>
      <c r="D7129" s="5"/>
      <c r="E7129" s="5"/>
      <c r="F7129" s="25">
        <f>IFERROR(__xludf.DUMMYFUNCTION("""COMPUTED_VALUE"""),500000.0)</f>
        <v>500000</v>
      </c>
      <c r="G7129" s="25">
        <f>IFERROR(__xludf.DUMMYFUNCTION("""COMPUTED_VALUE"""),0.0)</f>
        <v>0</v>
      </c>
      <c r="H7129" s="8">
        <f>IFERROR(__xludf.DUMMYFUNCTION("""COMPUTED_VALUE"""),500000.0)</f>
        <v>500000</v>
      </c>
      <c r="I7129" s="24">
        <f>IFERROR(__xludf.DUMMYFUNCTION("""COMPUTED_VALUE"""),0.0)</f>
        <v>0</v>
      </c>
    </row>
    <row r="7130">
      <c r="A7130" s="5" t="str">
        <f>IFERROR(__xludf.DUMMYFUNCTION("""COMPUTED_VALUE"""),"83314")</f>
        <v>83314</v>
      </c>
      <c r="B7130" s="64">
        <f>IFERROR(__xludf.DUMMYFUNCTION("""COMPUTED_VALUE"""),44620.0)</f>
        <v>44620</v>
      </c>
      <c r="C7130" s="5"/>
      <c r="D7130" s="5"/>
      <c r="E7130" s="5"/>
      <c r="F7130" s="25">
        <f>IFERROR(__xludf.DUMMYFUNCTION("""COMPUTED_VALUE"""),500000.0)</f>
        <v>500000</v>
      </c>
      <c r="G7130" s="25">
        <f>IFERROR(__xludf.DUMMYFUNCTION("""COMPUTED_VALUE"""),0.0)</f>
        <v>0</v>
      </c>
      <c r="H7130" s="8">
        <f>IFERROR(__xludf.DUMMYFUNCTION("""COMPUTED_VALUE"""),500000.0)</f>
        <v>500000</v>
      </c>
      <c r="I7130" s="24">
        <f>IFERROR(__xludf.DUMMYFUNCTION("""COMPUTED_VALUE"""),0.0)</f>
        <v>0</v>
      </c>
    </row>
    <row r="7131">
      <c r="A7131" s="5" t="str">
        <f>IFERROR(__xludf.DUMMYFUNCTION("""COMPUTED_VALUE"""),"83314")</f>
        <v>83314</v>
      </c>
      <c r="B7131" s="64">
        <f>IFERROR(__xludf.DUMMYFUNCTION("""COMPUTED_VALUE"""),44621.0)</f>
        <v>44621</v>
      </c>
      <c r="C7131" s="5"/>
      <c r="D7131" s="5"/>
      <c r="E7131" s="5"/>
      <c r="F7131" s="25">
        <f>IFERROR(__xludf.DUMMYFUNCTION("""COMPUTED_VALUE"""),500000.0)</f>
        <v>500000</v>
      </c>
      <c r="G7131" s="25">
        <f>IFERROR(__xludf.DUMMYFUNCTION("""COMPUTED_VALUE"""),0.0)</f>
        <v>0</v>
      </c>
      <c r="H7131" s="8">
        <f>IFERROR(__xludf.DUMMYFUNCTION("""COMPUTED_VALUE"""),500000.0)</f>
        <v>500000</v>
      </c>
      <c r="I7131" s="24">
        <f>IFERROR(__xludf.DUMMYFUNCTION("""COMPUTED_VALUE"""),0.0)</f>
        <v>0</v>
      </c>
    </row>
    <row r="7132">
      <c r="A7132" s="5" t="str">
        <f>IFERROR(__xludf.DUMMYFUNCTION("""COMPUTED_VALUE"""),"83314")</f>
        <v>83314</v>
      </c>
      <c r="B7132" s="64">
        <f>IFERROR(__xludf.DUMMYFUNCTION("""COMPUTED_VALUE"""),44622.0)</f>
        <v>44622</v>
      </c>
      <c r="C7132" s="5"/>
      <c r="D7132" s="5"/>
      <c r="E7132" s="5"/>
      <c r="F7132" s="25">
        <f>IFERROR(__xludf.DUMMYFUNCTION("""COMPUTED_VALUE"""),500000.0)</f>
        <v>500000</v>
      </c>
      <c r="G7132" s="25">
        <f>IFERROR(__xludf.DUMMYFUNCTION("""COMPUTED_VALUE"""),0.0)</f>
        <v>0</v>
      </c>
      <c r="H7132" s="8">
        <f>IFERROR(__xludf.DUMMYFUNCTION("""COMPUTED_VALUE"""),500000.0)</f>
        <v>500000</v>
      </c>
      <c r="I7132" s="24">
        <f>IFERROR(__xludf.DUMMYFUNCTION("""COMPUTED_VALUE"""),0.0)</f>
        <v>0</v>
      </c>
    </row>
    <row r="7133">
      <c r="A7133" s="5" t="str">
        <f>IFERROR(__xludf.DUMMYFUNCTION("""COMPUTED_VALUE"""),"83314")</f>
        <v>83314</v>
      </c>
      <c r="B7133" s="64">
        <f>IFERROR(__xludf.DUMMYFUNCTION("""COMPUTED_VALUE"""),44623.0)</f>
        <v>44623</v>
      </c>
      <c r="C7133" s="5"/>
      <c r="D7133" s="5"/>
      <c r="E7133" s="5"/>
      <c r="F7133" s="25">
        <f>IFERROR(__xludf.DUMMYFUNCTION("""COMPUTED_VALUE"""),500000.0)</f>
        <v>500000</v>
      </c>
      <c r="G7133" s="25">
        <f>IFERROR(__xludf.DUMMYFUNCTION("""COMPUTED_VALUE"""),0.0)</f>
        <v>0</v>
      </c>
      <c r="H7133" s="8">
        <f>IFERROR(__xludf.DUMMYFUNCTION("""COMPUTED_VALUE"""),500000.0)</f>
        <v>500000</v>
      </c>
      <c r="I7133" s="24">
        <f>IFERROR(__xludf.DUMMYFUNCTION("""COMPUTED_VALUE"""),0.0)</f>
        <v>0</v>
      </c>
    </row>
    <row r="7134">
      <c r="A7134" s="5" t="str">
        <f>IFERROR(__xludf.DUMMYFUNCTION("""COMPUTED_VALUE"""),"83314")</f>
        <v>83314</v>
      </c>
      <c r="B7134" s="64">
        <f>IFERROR(__xludf.DUMMYFUNCTION("""COMPUTED_VALUE"""),44624.0)</f>
        <v>44624</v>
      </c>
      <c r="C7134" s="5"/>
      <c r="D7134" s="5"/>
      <c r="E7134" s="5"/>
      <c r="F7134" s="25">
        <f>IFERROR(__xludf.DUMMYFUNCTION("""COMPUTED_VALUE"""),500000.0)</f>
        <v>500000</v>
      </c>
      <c r="G7134" s="25">
        <f>IFERROR(__xludf.DUMMYFUNCTION("""COMPUTED_VALUE"""),0.0)</f>
        <v>0</v>
      </c>
      <c r="H7134" s="8">
        <f>IFERROR(__xludf.DUMMYFUNCTION("""COMPUTED_VALUE"""),500000.0)</f>
        <v>500000</v>
      </c>
      <c r="I7134" s="24">
        <f>IFERROR(__xludf.DUMMYFUNCTION("""COMPUTED_VALUE"""),0.0)</f>
        <v>0</v>
      </c>
    </row>
    <row r="7135">
      <c r="A7135" s="5" t="str">
        <f>IFERROR(__xludf.DUMMYFUNCTION("""COMPUTED_VALUE"""),"83314")</f>
        <v>83314</v>
      </c>
      <c r="B7135" s="64">
        <f>IFERROR(__xludf.DUMMYFUNCTION("""COMPUTED_VALUE"""),44625.0)</f>
        <v>44625</v>
      </c>
      <c r="C7135" s="5"/>
      <c r="D7135" s="5"/>
      <c r="E7135" s="5"/>
      <c r="F7135" s="25">
        <f>IFERROR(__xludf.DUMMYFUNCTION("""COMPUTED_VALUE"""),500000.0)</f>
        <v>500000</v>
      </c>
      <c r="G7135" s="25">
        <f>IFERROR(__xludf.DUMMYFUNCTION("""COMPUTED_VALUE"""),0.0)</f>
        <v>0</v>
      </c>
      <c r="H7135" s="8">
        <f>IFERROR(__xludf.DUMMYFUNCTION("""COMPUTED_VALUE"""),500000.0)</f>
        <v>500000</v>
      </c>
      <c r="I7135" s="24">
        <f>IFERROR(__xludf.DUMMYFUNCTION("""COMPUTED_VALUE"""),0.0)</f>
        <v>0</v>
      </c>
    </row>
    <row r="7136">
      <c r="A7136" s="5" t="str">
        <f>IFERROR(__xludf.DUMMYFUNCTION("""COMPUTED_VALUE"""),"83314")</f>
        <v>83314</v>
      </c>
      <c r="B7136" s="64">
        <f>IFERROR(__xludf.DUMMYFUNCTION("""COMPUTED_VALUE"""),44626.0)</f>
        <v>44626</v>
      </c>
      <c r="C7136" s="5"/>
      <c r="D7136" s="5"/>
      <c r="E7136" s="5"/>
      <c r="F7136" s="25">
        <f>IFERROR(__xludf.DUMMYFUNCTION("""COMPUTED_VALUE"""),500000.0)</f>
        <v>500000</v>
      </c>
      <c r="G7136" s="25">
        <f>IFERROR(__xludf.DUMMYFUNCTION("""COMPUTED_VALUE"""),0.0)</f>
        <v>0</v>
      </c>
      <c r="H7136" s="8">
        <f>IFERROR(__xludf.DUMMYFUNCTION("""COMPUTED_VALUE"""),500000.0)</f>
        <v>500000</v>
      </c>
      <c r="I7136" s="24">
        <f>IFERROR(__xludf.DUMMYFUNCTION("""COMPUTED_VALUE"""),0.0)</f>
        <v>0</v>
      </c>
    </row>
    <row r="7137">
      <c r="A7137" s="5" t="str">
        <f>IFERROR(__xludf.DUMMYFUNCTION("""COMPUTED_VALUE"""),"83314")</f>
        <v>83314</v>
      </c>
      <c r="B7137" s="64">
        <f>IFERROR(__xludf.DUMMYFUNCTION("""COMPUTED_VALUE"""),44627.0)</f>
        <v>44627</v>
      </c>
      <c r="C7137" s="5"/>
      <c r="D7137" s="5"/>
      <c r="E7137" s="5"/>
      <c r="F7137" s="25">
        <f>IFERROR(__xludf.DUMMYFUNCTION("""COMPUTED_VALUE"""),500000.0)</f>
        <v>500000</v>
      </c>
      <c r="G7137" s="25">
        <f>IFERROR(__xludf.DUMMYFUNCTION("""COMPUTED_VALUE"""),0.0)</f>
        <v>0</v>
      </c>
      <c r="H7137" s="8">
        <f>IFERROR(__xludf.DUMMYFUNCTION("""COMPUTED_VALUE"""),500000.0)</f>
        <v>500000</v>
      </c>
      <c r="I7137" s="24">
        <f>IFERROR(__xludf.DUMMYFUNCTION("""COMPUTED_VALUE"""),0.0)</f>
        <v>0</v>
      </c>
    </row>
    <row r="7138">
      <c r="A7138" s="5" t="str">
        <f>IFERROR(__xludf.DUMMYFUNCTION("""COMPUTED_VALUE"""),"83314")</f>
        <v>83314</v>
      </c>
      <c r="B7138" s="64">
        <f>IFERROR(__xludf.DUMMYFUNCTION("""COMPUTED_VALUE"""),44628.0)</f>
        <v>44628</v>
      </c>
      <c r="C7138" s="5"/>
      <c r="D7138" s="5"/>
      <c r="E7138" s="5"/>
      <c r="F7138" s="25">
        <f>IFERROR(__xludf.DUMMYFUNCTION("""COMPUTED_VALUE"""),500000.0)</f>
        <v>500000</v>
      </c>
      <c r="G7138" s="25">
        <f>IFERROR(__xludf.DUMMYFUNCTION("""COMPUTED_VALUE"""),0.0)</f>
        <v>0</v>
      </c>
      <c r="H7138" s="8">
        <f>IFERROR(__xludf.DUMMYFUNCTION("""COMPUTED_VALUE"""),500000.0)</f>
        <v>500000</v>
      </c>
      <c r="I7138" s="24">
        <f>IFERROR(__xludf.DUMMYFUNCTION("""COMPUTED_VALUE"""),0.0)</f>
        <v>0</v>
      </c>
    </row>
    <row r="7139">
      <c r="A7139" s="5" t="str">
        <f>IFERROR(__xludf.DUMMYFUNCTION("""COMPUTED_VALUE"""),"83314")</f>
        <v>83314</v>
      </c>
      <c r="B7139" s="64">
        <f>IFERROR(__xludf.DUMMYFUNCTION("""COMPUTED_VALUE"""),44629.0)</f>
        <v>44629</v>
      </c>
      <c r="C7139" s="5"/>
      <c r="D7139" s="5"/>
      <c r="E7139" s="5"/>
      <c r="F7139" s="25">
        <f>IFERROR(__xludf.DUMMYFUNCTION("""COMPUTED_VALUE"""),500000.0)</f>
        <v>500000</v>
      </c>
      <c r="G7139" s="25">
        <f>IFERROR(__xludf.DUMMYFUNCTION("""COMPUTED_VALUE"""),0.0)</f>
        <v>0</v>
      </c>
      <c r="H7139" s="8">
        <f>IFERROR(__xludf.DUMMYFUNCTION("""COMPUTED_VALUE"""),500000.0)</f>
        <v>500000</v>
      </c>
      <c r="I7139" s="24">
        <f>IFERROR(__xludf.DUMMYFUNCTION("""COMPUTED_VALUE"""),0.0)</f>
        <v>0</v>
      </c>
    </row>
    <row r="7140">
      <c r="A7140" s="5" t="str">
        <f>IFERROR(__xludf.DUMMYFUNCTION("""COMPUTED_VALUE"""),"83314")</f>
        <v>83314</v>
      </c>
      <c r="B7140" s="64">
        <f>IFERROR(__xludf.DUMMYFUNCTION("""COMPUTED_VALUE"""),44630.0)</f>
        <v>44630</v>
      </c>
      <c r="C7140" s="5"/>
      <c r="D7140" s="5"/>
      <c r="E7140" s="5"/>
      <c r="F7140" s="25">
        <f>IFERROR(__xludf.DUMMYFUNCTION("""COMPUTED_VALUE"""),500000.0)</f>
        <v>500000</v>
      </c>
      <c r="G7140" s="25">
        <f>IFERROR(__xludf.DUMMYFUNCTION("""COMPUTED_VALUE"""),0.0)</f>
        <v>0</v>
      </c>
      <c r="H7140" s="8">
        <f>IFERROR(__xludf.DUMMYFUNCTION("""COMPUTED_VALUE"""),500000.0)</f>
        <v>500000</v>
      </c>
      <c r="I7140" s="24">
        <f>IFERROR(__xludf.DUMMYFUNCTION("""COMPUTED_VALUE"""),0.0)</f>
        <v>0</v>
      </c>
    </row>
    <row r="7141">
      <c r="A7141" s="5" t="str">
        <f>IFERROR(__xludf.DUMMYFUNCTION("""COMPUTED_VALUE"""),"83314")</f>
        <v>83314</v>
      </c>
      <c r="B7141" s="64">
        <f>IFERROR(__xludf.DUMMYFUNCTION("""COMPUTED_VALUE"""),44631.0)</f>
        <v>44631</v>
      </c>
      <c r="C7141" s="5"/>
      <c r="D7141" s="5"/>
      <c r="E7141" s="5"/>
      <c r="F7141" s="25">
        <f>IFERROR(__xludf.DUMMYFUNCTION("""COMPUTED_VALUE"""),500000.0)</f>
        <v>500000</v>
      </c>
      <c r="G7141" s="25">
        <f>IFERROR(__xludf.DUMMYFUNCTION("""COMPUTED_VALUE"""),0.0)</f>
        <v>0</v>
      </c>
      <c r="H7141" s="8">
        <f>IFERROR(__xludf.DUMMYFUNCTION("""COMPUTED_VALUE"""),500000.0)</f>
        <v>500000</v>
      </c>
      <c r="I7141" s="24">
        <f>IFERROR(__xludf.DUMMYFUNCTION("""COMPUTED_VALUE"""),0.0)</f>
        <v>0</v>
      </c>
    </row>
    <row r="7142">
      <c r="A7142" s="5" t="str">
        <f>IFERROR(__xludf.DUMMYFUNCTION("""COMPUTED_VALUE"""),"83314")</f>
        <v>83314</v>
      </c>
      <c r="B7142" s="64">
        <f>IFERROR(__xludf.DUMMYFUNCTION("""COMPUTED_VALUE"""),44632.0)</f>
        <v>44632</v>
      </c>
      <c r="C7142" s="5"/>
      <c r="D7142" s="5"/>
      <c r="E7142" s="5"/>
      <c r="F7142" s="25">
        <f>IFERROR(__xludf.DUMMYFUNCTION("""COMPUTED_VALUE"""),500000.0)</f>
        <v>500000</v>
      </c>
      <c r="G7142" s="25">
        <f>IFERROR(__xludf.DUMMYFUNCTION("""COMPUTED_VALUE"""),0.0)</f>
        <v>0</v>
      </c>
      <c r="H7142" s="8">
        <f>IFERROR(__xludf.DUMMYFUNCTION("""COMPUTED_VALUE"""),500000.0)</f>
        <v>500000</v>
      </c>
      <c r="I7142" s="24">
        <f>IFERROR(__xludf.DUMMYFUNCTION("""COMPUTED_VALUE"""),0.0)</f>
        <v>0</v>
      </c>
    </row>
    <row r="7143">
      <c r="A7143" s="5" t="str">
        <f>IFERROR(__xludf.DUMMYFUNCTION("""COMPUTED_VALUE"""),"83314")</f>
        <v>83314</v>
      </c>
      <c r="B7143" s="64">
        <f>IFERROR(__xludf.DUMMYFUNCTION("""COMPUTED_VALUE"""),44633.0)</f>
        <v>44633</v>
      </c>
      <c r="C7143" s="5"/>
      <c r="D7143" s="5"/>
      <c r="E7143" s="5"/>
      <c r="F7143" s="25">
        <f>IFERROR(__xludf.DUMMYFUNCTION("""COMPUTED_VALUE"""),500000.0)</f>
        <v>500000</v>
      </c>
      <c r="G7143" s="25">
        <f>IFERROR(__xludf.DUMMYFUNCTION("""COMPUTED_VALUE"""),0.0)</f>
        <v>0</v>
      </c>
      <c r="H7143" s="8">
        <f>IFERROR(__xludf.DUMMYFUNCTION("""COMPUTED_VALUE"""),500000.0)</f>
        <v>500000</v>
      </c>
      <c r="I7143" s="24">
        <f>IFERROR(__xludf.DUMMYFUNCTION("""COMPUTED_VALUE"""),0.0)</f>
        <v>0</v>
      </c>
    </row>
    <row r="7144">
      <c r="A7144" s="5" t="str">
        <f>IFERROR(__xludf.DUMMYFUNCTION("""COMPUTED_VALUE"""),"83314")</f>
        <v>83314</v>
      </c>
      <c r="B7144" s="64">
        <f>IFERROR(__xludf.DUMMYFUNCTION("""COMPUTED_VALUE"""),44634.0)</f>
        <v>44634</v>
      </c>
      <c r="C7144" s="5"/>
      <c r="D7144" s="5"/>
      <c r="E7144" s="5"/>
      <c r="F7144" s="25">
        <f>IFERROR(__xludf.DUMMYFUNCTION("""COMPUTED_VALUE"""),500000.0)</f>
        <v>500000</v>
      </c>
      <c r="G7144" s="25">
        <f>IFERROR(__xludf.DUMMYFUNCTION("""COMPUTED_VALUE"""),0.0)</f>
        <v>0</v>
      </c>
      <c r="H7144" s="8">
        <f>IFERROR(__xludf.DUMMYFUNCTION("""COMPUTED_VALUE"""),500000.0)</f>
        <v>500000</v>
      </c>
      <c r="I7144" s="24">
        <f>IFERROR(__xludf.DUMMYFUNCTION("""COMPUTED_VALUE"""),0.0)</f>
        <v>0</v>
      </c>
    </row>
    <row r="7145">
      <c r="A7145" s="5" t="str">
        <f>IFERROR(__xludf.DUMMYFUNCTION("""COMPUTED_VALUE"""),"83314")</f>
        <v>83314</v>
      </c>
      <c r="B7145" s="64">
        <f>IFERROR(__xludf.DUMMYFUNCTION("""COMPUTED_VALUE"""),44635.0)</f>
        <v>44635</v>
      </c>
      <c r="C7145" s="5"/>
      <c r="D7145" s="5"/>
      <c r="E7145" s="5"/>
      <c r="F7145" s="25">
        <f>IFERROR(__xludf.DUMMYFUNCTION("""COMPUTED_VALUE"""),500000.0)</f>
        <v>500000</v>
      </c>
      <c r="G7145" s="25">
        <f>IFERROR(__xludf.DUMMYFUNCTION("""COMPUTED_VALUE"""),0.0)</f>
        <v>0</v>
      </c>
      <c r="H7145" s="8">
        <f>IFERROR(__xludf.DUMMYFUNCTION("""COMPUTED_VALUE"""),500000.0)</f>
        <v>500000</v>
      </c>
      <c r="I7145" s="24">
        <f>IFERROR(__xludf.DUMMYFUNCTION("""COMPUTED_VALUE"""),0.0)</f>
        <v>0</v>
      </c>
    </row>
    <row r="7146">
      <c r="A7146" s="5" t="str">
        <f>IFERROR(__xludf.DUMMYFUNCTION("""COMPUTED_VALUE"""),"83314")</f>
        <v>83314</v>
      </c>
      <c r="B7146" s="64">
        <f>IFERROR(__xludf.DUMMYFUNCTION("""COMPUTED_VALUE"""),44636.0)</f>
        <v>44636</v>
      </c>
      <c r="C7146" s="5"/>
      <c r="D7146" s="5"/>
      <c r="E7146" s="5"/>
      <c r="F7146" s="25">
        <f>IFERROR(__xludf.DUMMYFUNCTION("""COMPUTED_VALUE"""),500000.0)</f>
        <v>500000</v>
      </c>
      <c r="G7146" s="25">
        <f>IFERROR(__xludf.DUMMYFUNCTION("""COMPUTED_VALUE"""),0.0)</f>
        <v>0</v>
      </c>
      <c r="H7146" s="8">
        <f>IFERROR(__xludf.DUMMYFUNCTION("""COMPUTED_VALUE"""),500000.0)</f>
        <v>500000</v>
      </c>
      <c r="I7146" s="24">
        <f>IFERROR(__xludf.DUMMYFUNCTION("""COMPUTED_VALUE"""),0.0)</f>
        <v>0</v>
      </c>
    </row>
    <row r="7147">
      <c r="A7147" s="5" t="str">
        <f>IFERROR(__xludf.DUMMYFUNCTION("""COMPUTED_VALUE"""),"83314")</f>
        <v>83314</v>
      </c>
      <c r="B7147" s="64">
        <f>IFERROR(__xludf.DUMMYFUNCTION("""COMPUTED_VALUE"""),44637.0)</f>
        <v>44637</v>
      </c>
      <c r="C7147" s="5"/>
      <c r="D7147" s="5"/>
      <c r="E7147" s="5"/>
      <c r="F7147" s="25">
        <f>IFERROR(__xludf.DUMMYFUNCTION("""COMPUTED_VALUE"""),500000.0)</f>
        <v>500000</v>
      </c>
      <c r="G7147" s="25">
        <f>IFERROR(__xludf.DUMMYFUNCTION("""COMPUTED_VALUE"""),0.0)</f>
        <v>0</v>
      </c>
      <c r="H7147" s="8">
        <f>IFERROR(__xludf.DUMMYFUNCTION("""COMPUTED_VALUE"""),500000.0)</f>
        <v>500000</v>
      </c>
      <c r="I7147" s="24">
        <f>IFERROR(__xludf.DUMMYFUNCTION("""COMPUTED_VALUE"""),0.0)</f>
        <v>0</v>
      </c>
    </row>
    <row r="7148">
      <c r="A7148" s="5" t="str">
        <f>IFERROR(__xludf.DUMMYFUNCTION("""COMPUTED_VALUE"""),"83314")</f>
        <v>83314</v>
      </c>
      <c r="B7148" s="64">
        <f>IFERROR(__xludf.DUMMYFUNCTION("""COMPUTED_VALUE"""),44638.0)</f>
        <v>44638</v>
      </c>
      <c r="C7148" s="5"/>
      <c r="D7148" s="5"/>
      <c r="E7148" s="5"/>
      <c r="F7148" s="25">
        <f>IFERROR(__xludf.DUMMYFUNCTION("""COMPUTED_VALUE"""),500000.0)</f>
        <v>500000</v>
      </c>
      <c r="G7148" s="25">
        <f>IFERROR(__xludf.DUMMYFUNCTION("""COMPUTED_VALUE"""),0.0)</f>
        <v>0</v>
      </c>
      <c r="H7148" s="8">
        <f>IFERROR(__xludf.DUMMYFUNCTION("""COMPUTED_VALUE"""),500000.0)</f>
        <v>500000</v>
      </c>
      <c r="I7148" s="24">
        <f>IFERROR(__xludf.DUMMYFUNCTION("""COMPUTED_VALUE"""),0.0)</f>
        <v>0</v>
      </c>
    </row>
    <row r="7149">
      <c r="A7149" s="5" t="str">
        <f>IFERROR(__xludf.DUMMYFUNCTION("""COMPUTED_VALUE"""),"83314")</f>
        <v>83314</v>
      </c>
      <c r="B7149" s="64">
        <f>IFERROR(__xludf.DUMMYFUNCTION("""COMPUTED_VALUE"""),44639.0)</f>
        <v>44639</v>
      </c>
      <c r="C7149" s="5"/>
      <c r="D7149" s="5"/>
      <c r="E7149" s="5"/>
      <c r="F7149" s="25">
        <f>IFERROR(__xludf.DUMMYFUNCTION("""COMPUTED_VALUE"""),500000.0)</f>
        <v>500000</v>
      </c>
      <c r="G7149" s="25">
        <f>IFERROR(__xludf.DUMMYFUNCTION("""COMPUTED_VALUE"""),0.0)</f>
        <v>0</v>
      </c>
      <c r="H7149" s="8">
        <f>IFERROR(__xludf.DUMMYFUNCTION("""COMPUTED_VALUE"""),500000.0)</f>
        <v>500000</v>
      </c>
      <c r="I7149" s="24">
        <f>IFERROR(__xludf.DUMMYFUNCTION("""COMPUTED_VALUE"""),0.0)</f>
        <v>0</v>
      </c>
    </row>
    <row r="7150">
      <c r="A7150" s="5" t="str">
        <f>IFERROR(__xludf.DUMMYFUNCTION("""COMPUTED_VALUE"""),"83314")</f>
        <v>83314</v>
      </c>
      <c r="B7150" s="64">
        <f>IFERROR(__xludf.DUMMYFUNCTION("""COMPUTED_VALUE"""),44640.0)</f>
        <v>44640</v>
      </c>
      <c r="C7150" s="5"/>
      <c r="D7150" s="5"/>
      <c r="E7150" s="5"/>
      <c r="F7150" s="25">
        <f>IFERROR(__xludf.DUMMYFUNCTION("""COMPUTED_VALUE"""),500000.0)</f>
        <v>500000</v>
      </c>
      <c r="G7150" s="25">
        <f>IFERROR(__xludf.DUMMYFUNCTION("""COMPUTED_VALUE"""),0.0)</f>
        <v>0</v>
      </c>
      <c r="H7150" s="8">
        <f>IFERROR(__xludf.DUMMYFUNCTION("""COMPUTED_VALUE"""),500000.0)</f>
        <v>500000</v>
      </c>
      <c r="I7150" s="24">
        <f>IFERROR(__xludf.DUMMYFUNCTION("""COMPUTED_VALUE"""),0.0)</f>
        <v>0</v>
      </c>
    </row>
    <row r="7151">
      <c r="A7151" s="5" t="str">
        <f>IFERROR(__xludf.DUMMYFUNCTION("""COMPUTED_VALUE"""),"83314")</f>
        <v>83314</v>
      </c>
      <c r="B7151" s="64">
        <f>IFERROR(__xludf.DUMMYFUNCTION("""COMPUTED_VALUE"""),44641.0)</f>
        <v>44641</v>
      </c>
      <c r="C7151" s="5"/>
      <c r="D7151" s="5"/>
      <c r="E7151" s="5"/>
      <c r="F7151" s="25">
        <f>IFERROR(__xludf.DUMMYFUNCTION("""COMPUTED_VALUE"""),500000.0)</f>
        <v>500000</v>
      </c>
      <c r="G7151" s="25">
        <f>IFERROR(__xludf.DUMMYFUNCTION("""COMPUTED_VALUE"""),0.0)</f>
        <v>0</v>
      </c>
      <c r="H7151" s="8">
        <f>IFERROR(__xludf.DUMMYFUNCTION("""COMPUTED_VALUE"""),500000.0)</f>
        <v>500000</v>
      </c>
      <c r="I7151" s="24">
        <f>IFERROR(__xludf.DUMMYFUNCTION("""COMPUTED_VALUE"""),0.0)</f>
        <v>0</v>
      </c>
    </row>
    <row r="7152">
      <c r="A7152" s="5" t="str">
        <f>IFERROR(__xludf.DUMMYFUNCTION("""COMPUTED_VALUE"""),"83314")</f>
        <v>83314</v>
      </c>
      <c r="B7152" s="64">
        <f>IFERROR(__xludf.DUMMYFUNCTION("""COMPUTED_VALUE"""),44642.0)</f>
        <v>44642</v>
      </c>
      <c r="C7152" s="5"/>
      <c r="D7152" s="5"/>
      <c r="E7152" s="5"/>
      <c r="F7152" s="25">
        <f>IFERROR(__xludf.DUMMYFUNCTION("""COMPUTED_VALUE"""),500000.0)</f>
        <v>500000</v>
      </c>
      <c r="G7152" s="25">
        <f>IFERROR(__xludf.DUMMYFUNCTION("""COMPUTED_VALUE"""),0.0)</f>
        <v>0</v>
      </c>
      <c r="H7152" s="8">
        <f>IFERROR(__xludf.DUMMYFUNCTION("""COMPUTED_VALUE"""),500000.0)</f>
        <v>500000</v>
      </c>
      <c r="I7152" s="24">
        <f>IFERROR(__xludf.DUMMYFUNCTION("""COMPUTED_VALUE"""),0.0)</f>
        <v>0</v>
      </c>
    </row>
    <row r="7153">
      <c r="A7153" s="5" t="str">
        <f>IFERROR(__xludf.DUMMYFUNCTION("""COMPUTED_VALUE"""),"83314")</f>
        <v>83314</v>
      </c>
      <c r="B7153" s="64">
        <f>IFERROR(__xludf.DUMMYFUNCTION("""COMPUTED_VALUE"""),44643.0)</f>
        <v>44643</v>
      </c>
      <c r="C7153" s="5"/>
      <c r="D7153" s="5"/>
      <c r="E7153" s="5"/>
      <c r="F7153" s="25">
        <f>IFERROR(__xludf.DUMMYFUNCTION("""COMPUTED_VALUE"""),500000.0)</f>
        <v>500000</v>
      </c>
      <c r="G7153" s="25">
        <f>IFERROR(__xludf.DUMMYFUNCTION("""COMPUTED_VALUE"""),0.0)</f>
        <v>0</v>
      </c>
      <c r="H7153" s="8">
        <f>IFERROR(__xludf.DUMMYFUNCTION("""COMPUTED_VALUE"""),500000.0)</f>
        <v>500000</v>
      </c>
      <c r="I7153" s="24">
        <f>IFERROR(__xludf.DUMMYFUNCTION("""COMPUTED_VALUE"""),0.0)</f>
        <v>0</v>
      </c>
    </row>
    <row r="7154">
      <c r="A7154" s="5" t="str">
        <f>IFERROR(__xludf.DUMMYFUNCTION("""COMPUTED_VALUE"""),"83314")</f>
        <v>83314</v>
      </c>
      <c r="B7154" s="64">
        <f>IFERROR(__xludf.DUMMYFUNCTION("""COMPUTED_VALUE"""),44644.0)</f>
        <v>44644</v>
      </c>
      <c r="C7154" s="5"/>
      <c r="D7154" s="5"/>
      <c r="E7154" s="5"/>
      <c r="F7154" s="25">
        <f>IFERROR(__xludf.DUMMYFUNCTION("""COMPUTED_VALUE"""),500000.0)</f>
        <v>500000</v>
      </c>
      <c r="G7154" s="25">
        <f>IFERROR(__xludf.DUMMYFUNCTION("""COMPUTED_VALUE"""),0.0)</f>
        <v>0</v>
      </c>
      <c r="H7154" s="8">
        <f>IFERROR(__xludf.DUMMYFUNCTION("""COMPUTED_VALUE"""),500000.0)</f>
        <v>500000</v>
      </c>
      <c r="I7154" s="24">
        <f>IFERROR(__xludf.DUMMYFUNCTION("""COMPUTED_VALUE"""),0.0)</f>
        <v>0</v>
      </c>
    </row>
    <row r="7155">
      <c r="A7155" s="5" t="str">
        <f>IFERROR(__xludf.DUMMYFUNCTION("""COMPUTED_VALUE"""),"83314")</f>
        <v>83314</v>
      </c>
      <c r="B7155" s="64">
        <f>IFERROR(__xludf.DUMMYFUNCTION("""COMPUTED_VALUE"""),44645.0)</f>
        <v>44645</v>
      </c>
      <c r="C7155" s="5"/>
      <c r="D7155" s="5"/>
      <c r="E7155" s="5"/>
      <c r="F7155" s="25">
        <f>IFERROR(__xludf.DUMMYFUNCTION("""COMPUTED_VALUE"""),500000.0)</f>
        <v>500000</v>
      </c>
      <c r="G7155" s="25">
        <f>IFERROR(__xludf.DUMMYFUNCTION("""COMPUTED_VALUE"""),0.0)</f>
        <v>0</v>
      </c>
      <c r="H7155" s="8">
        <f>IFERROR(__xludf.DUMMYFUNCTION("""COMPUTED_VALUE"""),500000.0)</f>
        <v>500000</v>
      </c>
      <c r="I7155" s="24">
        <f>IFERROR(__xludf.DUMMYFUNCTION("""COMPUTED_VALUE"""),0.0)</f>
        <v>0</v>
      </c>
    </row>
    <row r="7156">
      <c r="A7156" s="5" t="str">
        <f>IFERROR(__xludf.DUMMYFUNCTION("""COMPUTED_VALUE"""),"83314")</f>
        <v>83314</v>
      </c>
      <c r="B7156" s="64">
        <f>IFERROR(__xludf.DUMMYFUNCTION("""COMPUTED_VALUE"""),44646.0)</f>
        <v>44646</v>
      </c>
      <c r="C7156" s="5"/>
      <c r="D7156" s="5"/>
      <c r="E7156" s="5"/>
      <c r="F7156" s="25">
        <f>IFERROR(__xludf.DUMMYFUNCTION("""COMPUTED_VALUE"""),500000.0)</f>
        <v>500000</v>
      </c>
      <c r="G7156" s="25">
        <f>IFERROR(__xludf.DUMMYFUNCTION("""COMPUTED_VALUE"""),0.0)</f>
        <v>0</v>
      </c>
      <c r="H7156" s="8">
        <f>IFERROR(__xludf.DUMMYFUNCTION("""COMPUTED_VALUE"""),500000.0)</f>
        <v>500000</v>
      </c>
      <c r="I7156" s="24">
        <f>IFERROR(__xludf.DUMMYFUNCTION("""COMPUTED_VALUE"""),0.0)</f>
        <v>0</v>
      </c>
    </row>
    <row r="7157">
      <c r="A7157" s="5" t="str">
        <f>IFERROR(__xludf.DUMMYFUNCTION("""COMPUTED_VALUE"""),"83314")</f>
        <v>83314</v>
      </c>
      <c r="B7157" s="64">
        <f>IFERROR(__xludf.DUMMYFUNCTION("""COMPUTED_VALUE"""),44647.0)</f>
        <v>44647</v>
      </c>
      <c r="C7157" s="5"/>
      <c r="D7157" s="5"/>
      <c r="E7157" s="5"/>
      <c r="F7157" s="25">
        <f>IFERROR(__xludf.DUMMYFUNCTION("""COMPUTED_VALUE"""),500000.0)</f>
        <v>500000</v>
      </c>
      <c r="G7157" s="25">
        <f>IFERROR(__xludf.DUMMYFUNCTION("""COMPUTED_VALUE"""),0.0)</f>
        <v>0</v>
      </c>
      <c r="H7157" s="8">
        <f>IFERROR(__xludf.DUMMYFUNCTION("""COMPUTED_VALUE"""),500000.0)</f>
        <v>500000</v>
      </c>
      <c r="I7157" s="24">
        <f>IFERROR(__xludf.DUMMYFUNCTION("""COMPUTED_VALUE"""),0.0)</f>
        <v>0</v>
      </c>
    </row>
    <row r="7158">
      <c r="A7158" s="5" t="str">
        <f>IFERROR(__xludf.DUMMYFUNCTION("""COMPUTED_VALUE"""),"83314")</f>
        <v>83314</v>
      </c>
      <c r="B7158" s="64">
        <f>IFERROR(__xludf.DUMMYFUNCTION("""COMPUTED_VALUE"""),44648.0)</f>
        <v>44648</v>
      </c>
      <c r="C7158" s="5"/>
      <c r="D7158" s="5"/>
      <c r="E7158" s="5"/>
      <c r="F7158" s="25">
        <f>IFERROR(__xludf.DUMMYFUNCTION("""COMPUTED_VALUE"""),500000.0)</f>
        <v>500000</v>
      </c>
      <c r="G7158" s="25">
        <f>IFERROR(__xludf.DUMMYFUNCTION("""COMPUTED_VALUE"""),0.0)</f>
        <v>0</v>
      </c>
      <c r="H7158" s="8">
        <f>IFERROR(__xludf.DUMMYFUNCTION("""COMPUTED_VALUE"""),500000.0)</f>
        <v>500000</v>
      </c>
      <c r="I7158" s="24">
        <f>IFERROR(__xludf.DUMMYFUNCTION("""COMPUTED_VALUE"""),0.0)</f>
        <v>0</v>
      </c>
    </row>
    <row r="7159">
      <c r="A7159" s="5" t="str">
        <f>IFERROR(__xludf.DUMMYFUNCTION("""COMPUTED_VALUE"""),"83314")</f>
        <v>83314</v>
      </c>
      <c r="B7159" s="64">
        <f>IFERROR(__xludf.DUMMYFUNCTION("""COMPUTED_VALUE"""),44649.0)</f>
        <v>44649</v>
      </c>
      <c r="C7159" s="5"/>
      <c r="D7159" s="5"/>
      <c r="E7159" s="5"/>
      <c r="F7159" s="25">
        <f>IFERROR(__xludf.DUMMYFUNCTION("""COMPUTED_VALUE"""),500000.0)</f>
        <v>500000</v>
      </c>
      <c r="G7159" s="25">
        <f>IFERROR(__xludf.DUMMYFUNCTION("""COMPUTED_VALUE"""),0.0)</f>
        <v>0</v>
      </c>
      <c r="H7159" s="8">
        <f>IFERROR(__xludf.DUMMYFUNCTION("""COMPUTED_VALUE"""),500000.0)</f>
        <v>500000</v>
      </c>
      <c r="I7159" s="24">
        <f>IFERROR(__xludf.DUMMYFUNCTION("""COMPUTED_VALUE"""),0.0)</f>
        <v>0</v>
      </c>
    </row>
    <row r="7160">
      <c r="A7160" s="5" t="str">
        <f>IFERROR(__xludf.DUMMYFUNCTION("""COMPUTED_VALUE"""),"83314")</f>
        <v>83314</v>
      </c>
      <c r="B7160" s="64">
        <f>IFERROR(__xludf.DUMMYFUNCTION("""COMPUTED_VALUE"""),44650.0)</f>
        <v>44650</v>
      </c>
      <c r="C7160" s="5"/>
      <c r="D7160" s="5"/>
      <c r="E7160" s="5"/>
      <c r="F7160" s="25">
        <f>IFERROR(__xludf.DUMMYFUNCTION("""COMPUTED_VALUE"""),500000.0)</f>
        <v>500000</v>
      </c>
      <c r="G7160" s="25">
        <f>IFERROR(__xludf.DUMMYFUNCTION("""COMPUTED_VALUE"""),0.0)</f>
        <v>0</v>
      </c>
      <c r="H7160" s="8">
        <f>IFERROR(__xludf.DUMMYFUNCTION("""COMPUTED_VALUE"""),500000.0)</f>
        <v>500000</v>
      </c>
      <c r="I7160" s="24">
        <f>IFERROR(__xludf.DUMMYFUNCTION("""COMPUTED_VALUE"""),0.0)</f>
        <v>0</v>
      </c>
    </row>
    <row r="7161">
      <c r="A7161" s="5" t="str">
        <f>IFERROR(__xludf.DUMMYFUNCTION("""COMPUTED_VALUE"""),"83314")</f>
        <v>83314</v>
      </c>
      <c r="B7161" s="64">
        <f>IFERROR(__xludf.DUMMYFUNCTION("""COMPUTED_VALUE"""),44651.0)</f>
        <v>44651</v>
      </c>
      <c r="C7161" s="5"/>
      <c r="D7161" s="5"/>
      <c r="E7161" s="5"/>
      <c r="F7161" s="25">
        <f>IFERROR(__xludf.DUMMYFUNCTION("""COMPUTED_VALUE"""),500000.0)</f>
        <v>500000</v>
      </c>
      <c r="G7161" s="25">
        <f>IFERROR(__xludf.DUMMYFUNCTION("""COMPUTED_VALUE"""),0.0)</f>
        <v>0</v>
      </c>
      <c r="H7161" s="8">
        <f>IFERROR(__xludf.DUMMYFUNCTION("""COMPUTED_VALUE"""),500000.0)</f>
        <v>500000</v>
      </c>
      <c r="I7161" s="24">
        <f>IFERROR(__xludf.DUMMYFUNCTION("""COMPUTED_VALUE"""),0.0)</f>
        <v>0</v>
      </c>
    </row>
    <row r="7162">
      <c r="A7162" s="5" t="str">
        <f>IFERROR(__xludf.DUMMYFUNCTION("""COMPUTED_VALUE"""),"83314")</f>
        <v>83314</v>
      </c>
      <c r="B7162" s="64">
        <f>IFERROR(__xludf.DUMMYFUNCTION("""COMPUTED_VALUE"""),44652.0)</f>
        <v>44652</v>
      </c>
      <c r="C7162" s="5"/>
      <c r="D7162" s="5"/>
      <c r="E7162" s="5"/>
      <c r="F7162" s="25">
        <f>IFERROR(__xludf.DUMMYFUNCTION("""COMPUTED_VALUE"""),500000.0)</f>
        <v>500000</v>
      </c>
      <c r="G7162" s="25">
        <f>IFERROR(__xludf.DUMMYFUNCTION("""COMPUTED_VALUE"""),0.0)</f>
        <v>0</v>
      </c>
      <c r="H7162" s="8">
        <f>IFERROR(__xludf.DUMMYFUNCTION("""COMPUTED_VALUE"""),500000.0)</f>
        <v>500000</v>
      </c>
      <c r="I7162" s="24">
        <f>IFERROR(__xludf.DUMMYFUNCTION("""COMPUTED_VALUE"""),0.0)</f>
        <v>0</v>
      </c>
    </row>
    <row r="7163">
      <c r="A7163" s="5" t="str">
        <f>IFERROR(__xludf.DUMMYFUNCTION("""COMPUTED_VALUE"""),"83314")</f>
        <v>83314</v>
      </c>
      <c r="B7163" s="64">
        <f>IFERROR(__xludf.DUMMYFUNCTION("""COMPUTED_VALUE"""),44653.0)</f>
        <v>44653</v>
      </c>
      <c r="C7163" s="5"/>
      <c r="D7163" s="5"/>
      <c r="E7163" s="5"/>
      <c r="F7163" s="25">
        <f>IFERROR(__xludf.DUMMYFUNCTION("""COMPUTED_VALUE"""),500000.0)</f>
        <v>500000</v>
      </c>
      <c r="G7163" s="25">
        <f>IFERROR(__xludf.DUMMYFUNCTION("""COMPUTED_VALUE"""),0.0)</f>
        <v>0</v>
      </c>
      <c r="H7163" s="8">
        <f>IFERROR(__xludf.DUMMYFUNCTION("""COMPUTED_VALUE"""),500000.0)</f>
        <v>500000</v>
      </c>
      <c r="I7163" s="24">
        <f>IFERROR(__xludf.DUMMYFUNCTION("""COMPUTED_VALUE"""),0.0)</f>
        <v>0</v>
      </c>
    </row>
    <row r="7164">
      <c r="A7164" s="5" t="str">
        <f>IFERROR(__xludf.DUMMYFUNCTION("""COMPUTED_VALUE"""),"83314")</f>
        <v>83314</v>
      </c>
      <c r="B7164" s="64">
        <f>IFERROR(__xludf.DUMMYFUNCTION("""COMPUTED_VALUE"""),44654.0)</f>
        <v>44654</v>
      </c>
      <c r="C7164" s="5"/>
      <c r="D7164" s="5"/>
      <c r="E7164" s="5"/>
      <c r="F7164" s="25">
        <f>IFERROR(__xludf.DUMMYFUNCTION("""COMPUTED_VALUE"""),500000.0)</f>
        <v>500000</v>
      </c>
      <c r="G7164" s="25">
        <f>IFERROR(__xludf.DUMMYFUNCTION("""COMPUTED_VALUE"""),0.0)</f>
        <v>0</v>
      </c>
      <c r="H7164" s="8">
        <f>IFERROR(__xludf.DUMMYFUNCTION("""COMPUTED_VALUE"""),500000.0)</f>
        <v>500000</v>
      </c>
      <c r="I7164" s="24">
        <f>IFERROR(__xludf.DUMMYFUNCTION("""COMPUTED_VALUE"""),0.0)</f>
        <v>0</v>
      </c>
    </row>
    <row r="7165">
      <c r="A7165" s="5" t="str">
        <f>IFERROR(__xludf.DUMMYFUNCTION("""COMPUTED_VALUE"""),"83314")</f>
        <v>83314</v>
      </c>
      <c r="B7165" s="64">
        <f>IFERROR(__xludf.DUMMYFUNCTION("""COMPUTED_VALUE"""),44655.0)</f>
        <v>44655</v>
      </c>
      <c r="C7165" s="5"/>
      <c r="D7165" s="5"/>
      <c r="E7165" s="5"/>
      <c r="F7165" s="25">
        <f>IFERROR(__xludf.DUMMYFUNCTION("""COMPUTED_VALUE"""),500000.0)</f>
        <v>500000</v>
      </c>
      <c r="G7165" s="25">
        <f>IFERROR(__xludf.DUMMYFUNCTION("""COMPUTED_VALUE"""),0.0)</f>
        <v>0</v>
      </c>
      <c r="H7165" s="8">
        <f>IFERROR(__xludf.DUMMYFUNCTION("""COMPUTED_VALUE"""),500000.0)</f>
        <v>500000</v>
      </c>
      <c r="I7165" s="24">
        <f>IFERROR(__xludf.DUMMYFUNCTION("""COMPUTED_VALUE"""),0.0)</f>
        <v>0</v>
      </c>
    </row>
    <row r="7166">
      <c r="A7166" s="5" t="str">
        <f>IFERROR(__xludf.DUMMYFUNCTION("""COMPUTED_VALUE"""),"83314")</f>
        <v>83314</v>
      </c>
      <c r="B7166" s="64">
        <f>IFERROR(__xludf.DUMMYFUNCTION("""COMPUTED_VALUE"""),44656.0)</f>
        <v>44656</v>
      </c>
      <c r="C7166" s="5"/>
      <c r="D7166" s="5"/>
      <c r="E7166" s="5"/>
      <c r="F7166" s="25">
        <f>IFERROR(__xludf.DUMMYFUNCTION("""COMPUTED_VALUE"""),500000.0)</f>
        <v>500000</v>
      </c>
      <c r="G7166" s="25">
        <f>IFERROR(__xludf.DUMMYFUNCTION("""COMPUTED_VALUE"""),0.0)</f>
        <v>0</v>
      </c>
      <c r="H7166" s="8">
        <f>IFERROR(__xludf.DUMMYFUNCTION("""COMPUTED_VALUE"""),500000.0)</f>
        <v>500000</v>
      </c>
      <c r="I7166" s="24">
        <f>IFERROR(__xludf.DUMMYFUNCTION("""COMPUTED_VALUE"""),0.0)</f>
        <v>0</v>
      </c>
    </row>
    <row r="7167">
      <c r="A7167" s="5" t="str">
        <f>IFERROR(__xludf.DUMMYFUNCTION("""COMPUTED_VALUE"""),"83314")</f>
        <v>83314</v>
      </c>
      <c r="B7167" s="64">
        <f>IFERROR(__xludf.DUMMYFUNCTION("""COMPUTED_VALUE"""),44657.0)</f>
        <v>44657</v>
      </c>
      <c r="C7167" s="5"/>
      <c r="D7167" s="5"/>
      <c r="E7167" s="5"/>
      <c r="F7167" s="25">
        <f>IFERROR(__xludf.DUMMYFUNCTION("""COMPUTED_VALUE"""),500000.0)</f>
        <v>500000</v>
      </c>
      <c r="G7167" s="25">
        <f>IFERROR(__xludf.DUMMYFUNCTION("""COMPUTED_VALUE"""),0.0)</f>
        <v>0</v>
      </c>
      <c r="H7167" s="8">
        <f>IFERROR(__xludf.DUMMYFUNCTION("""COMPUTED_VALUE"""),500000.0)</f>
        <v>500000</v>
      </c>
      <c r="I7167" s="24">
        <f>IFERROR(__xludf.DUMMYFUNCTION("""COMPUTED_VALUE"""),0.0)</f>
        <v>0</v>
      </c>
    </row>
    <row r="7168">
      <c r="A7168" s="5" t="str">
        <f>IFERROR(__xludf.DUMMYFUNCTION("""COMPUTED_VALUE"""),"83314")</f>
        <v>83314</v>
      </c>
      <c r="B7168" s="64">
        <f>IFERROR(__xludf.DUMMYFUNCTION("""COMPUTED_VALUE"""),44658.0)</f>
        <v>44658</v>
      </c>
      <c r="C7168" s="5"/>
      <c r="D7168" s="5"/>
      <c r="E7168" s="5"/>
      <c r="F7168" s="25">
        <f>IFERROR(__xludf.DUMMYFUNCTION("""COMPUTED_VALUE"""),500000.0)</f>
        <v>500000</v>
      </c>
      <c r="G7168" s="25">
        <f>IFERROR(__xludf.DUMMYFUNCTION("""COMPUTED_VALUE"""),0.0)</f>
        <v>0</v>
      </c>
      <c r="H7168" s="8">
        <f>IFERROR(__xludf.DUMMYFUNCTION("""COMPUTED_VALUE"""),500000.0)</f>
        <v>500000</v>
      </c>
      <c r="I7168" s="24">
        <f>IFERROR(__xludf.DUMMYFUNCTION("""COMPUTED_VALUE"""),0.0)</f>
        <v>0</v>
      </c>
    </row>
    <row r="7169">
      <c r="A7169" s="5" t="str">
        <f>IFERROR(__xludf.DUMMYFUNCTION("""COMPUTED_VALUE"""),"83314")</f>
        <v>83314</v>
      </c>
      <c r="B7169" s="64">
        <f>IFERROR(__xludf.DUMMYFUNCTION("""COMPUTED_VALUE"""),44659.0)</f>
        <v>44659</v>
      </c>
      <c r="C7169" s="5"/>
      <c r="D7169" s="5"/>
      <c r="E7169" s="5"/>
      <c r="F7169" s="25">
        <f>IFERROR(__xludf.DUMMYFUNCTION("""COMPUTED_VALUE"""),500000.0)</f>
        <v>500000</v>
      </c>
      <c r="G7169" s="25">
        <f>IFERROR(__xludf.DUMMYFUNCTION("""COMPUTED_VALUE"""),0.0)</f>
        <v>0</v>
      </c>
      <c r="H7169" s="8">
        <f>IFERROR(__xludf.DUMMYFUNCTION("""COMPUTED_VALUE"""),500000.0)</f>
        <v>500000</v>
      </c>
      <c r="I7169" s="24">
        <f>IFERROR(__xludf.DUMMYFUNCTION("""COMPUTED_VALUE"""),0.0)</f>
        <v>0</v>
      </c>
    </row>
    <row r="7170">
      <c r="A7170" s="5" t="str">
        <f>IFERROR(__xludf.DUMMYFUNCTION("""COMPUTED_VALUE"""),"83314")</f>
        <v>83314</v>
      </c>
      <c r="B7170" s="64">
        <f>IFERROR(__xludf.DUMMYFUNCTION("""COMPUTED_VALUE"""),44660.0)</f>
        <v>44660</v>
      </c>
      <c r="C7170" s="5"/>
      <c r="D7170" s="5"/>
      <c r="E7170" s="5"/>
      <c r="F7170" s="25">
        <f>IFERROR(__xludf.DUMMYFUNCTION("""COMPUTED_VALUE"""),500000.0)</f>
        <v>500000</v>
      </c>
      <c r="G7170" s="25">
        <f>IFERROR(__xludf.DUMMYFUNCTION("""COMPUTED_VALUE"""),0.0)</f>
        <v>0</v>
      </c>
      <c r="H7170" s="8">
        <f>IFERROR(__xludf.DUMMYFUNCTION("""COMPUTED_VALUE"""),500000.0)</f>
        <v>500000</v>
      </c>
      <c r="I7170" s="24">
        <f>IFERROR(__xludf.DUMMYFUNCTION("""COMPUTED_VALUE"""),0.0)</f>
        <v>0</v>
      </c>
    </row>
    <row r="7171">
      <c r="A7171" s="5" t="str">
        <f>IFERROR(__xludf.DUMMYFUNCTION("""COMPUTED_VALUE"""),"83314")</f>
        <v>83314</v>
      </c>
      <c r="B7171" s="64">
        <f>IFERROR(__xludf.DUMMYFUNCTION("""COMPUTED_VALUE"""),44661.0)</f>
        <v>44661</v>
      </c>
      <c r="C7171" s="5"/>
      <c r="D7171" s="5"/>
      <c r="E7171" s="5"/>
      <c r="F7171" s="25">
        <f>IFERROR(__xludf.DUMMYFUNCTION("""COMPUTED_VALUE"""),500000.0)</f>
        <v>500000</v>
      </c>
      <c r="G7171" s="25">
        <f>IFERROR(__xludf.DUMMYFUNCTION("""COMPUTED_VALUE"""),0.0)</f>
        <v>0</v>
      </c>
      <c r="H7171" s="8">
        <f>IFERROR(__xludf.DUMMYFUNCTION("""COMPUTED_VALUE"""),500000.0)</f>
        <v>500000</v>
      </c>
      <c r="I7171" s="24">
        <f>IFERROR(__xludf.DUMMYFUNCTION("""COMPUTED_VALUE"""),0.0)</f>
        <v>0</v>
      </c>
    </row>
    <row r="7172">
      <c r="A7172" s="5" t="str">
        <f>IFERROR(__xludf.DUMMYFUNCTION("""COMPUTED_VALUE"""),"83314")</f>
        <v>83314</v>
      </c>
      <c r="B7172" s="64">
        <f>IFERROR(__xludf.DUMMYFUNCTION("""COMPUTED_VALUE"""),44662.0)</f>
        <v>44662</v>
      </c>
      <c r="C7172" s="5"/>
      <c r="D7172" s="5"/>
      <c r="E7172" s="5"/>
      <c r="F7172" s="25">
        <f>IFERROR(__xludf.DUMMYFUNCTION("""COMPUTED_VALUE"""),500000.0)</f>
        <v>500000</v>
      </c>
      <c r="G7172" s="25">
        <f>IFERROR(__xludf.DUMMYFUNCTION("""COMPUTED_VALUE"""),0.0)</f>
        <v>0</v>
      </c>
      <c r="H7172" s="8">
        <f>IFERROR(__xludf.DUMMYFUNCTION("""COMPUTED_VALUE"""),500000.0)</f>
        <v>500000</v>
      </c>
      <c r="I7172" s="24">
        <f>IFERROR(__xludf.DUMMYFUNCTION("""COMPUTED_VALUE"""),0.0)</f>
        <v>0</v>
      </c>
    </row>
    <row r="7173">
      <c r="A7173" s="5" t="str">
        <f>IFERROR(__xludf.DUMMYFUNCTION("""COMPUTED_VALUE"""),"83314")</f>
        <v>83314</v>
      </c>
      <c r="B7173" s="64">
        <f>IFERROR(__xludf.DUMMYFUNCTION("""COMPUTED_VALUE"""),44663.0)</f>
        <v>44663</v>
      </c>
      <c r="C7173" s="5"/>
      <c r="D7173" s="5"/>
      <c r="E7173" s="5"/>
      <c r="F7173" s="25">
        <f>IFERROR(__xludf.DUMMYFUNCTION("""COMPUTED_VALUE"""),500000.0)</f>
        <v>500000</v>
      </c>
      <c r="G7173" s="25">
        <f>IFERROR(__xludf.DUMMYFUNCTION("""COMPUTED_VALUE"""),0.0)</f>
        <v>0</v>
      </c>
      <c r="H7173" s="8">
        <f>IFERROR(__xludf.DUMMYFUNCTION("""COMPUTED_VALUE"""),500000.0)</f>
        <v>500000</v>
      </c>
      <c r="I7173" s="24">
        <f>IFERROR(__xludf.DUMMYFUNCTION("""COMPUTED_VALUE"""),0.0)</f>
        <v>0</v>
      </c>
    </row>
    <row r="7174">
      <c r="A7174" s="5" t="str">
        <f>IFERROR(__xludf.DUMMYFUNCTION("""COMPUTED_VALUE"""),"84216")</f>
        <v>84216</v>
      </c>
      <c r="B7174" s="64">
        <f>IFERROR(__xludf.DUMMYFUNCTION("""COMPUTED_VALUE"""),44597.0)</f>
        <v>44597</v>
      </c>
      <c r="C7174" s="5"/>
      <c r="D7174" s="5"/>
      <c r="E7174" s="5"/>
      <c r="F7174" s="25">
        <f>IFERROR(__xludf.DUMMYFUNCTION("""COMPUTED_VALUE"""),500000.0)</f>
        <v>500000</v>
      </c>
      <c r="G7174" s="25">
        <f>IFERROR(__xludf.DUMMYFUNCTION("""COMPUTED_VALUE"""),0.0)</f>
        <v>0</v>
      </c>
      <c r="H7174" s="8">
        <f>IFERROR(__xludf.DUMMYFUNCTION("""COMPUTED_VALUE"""),500000.0)</f>
        <v>500000</v>
      </c>
      <c r="I7174" s="24">
        <f>IFERROR(__xludf.DUMMYFUNCTION("""COMPUTED_VALUE"""),0.0)</f>
        <v>0</v>
      </c>
    </row>
    <row r="7175">
      <c r="A7175" s="5" t="str">
        <f>IFERROR(__xludf.DUMMYFUNCTION("""COMPUTED_VALUE"""),"84216")</f>
        <v>84216</v>
      </c>
      <c r="B7175" s="64">
        <f>IFERROR(__xludf.DUMMYFUNCTION("""COMPUTED_VALUE"""),44598.0)</f>
        <v>44598</v>
      </c>
      <c r="C7175" s="5"/>
      <c r="D7175" s="5"/>
      <c r="E7175" s="5"/>
      <c r="F7175" s="25">
        <f>IFERROR(__xludf.DUMMYFUNCTION("""COMPUTED_VALUE"""),500000.0)</f>
        <v>500000</v>
      </c>
      <c r="G7175" s="25">
        <f>IFERROR(__xludf.DUMMYFUNCTION("""COMPUTED_VALUE"""),0.0)</f>
        <v>0</v>
      </c>
      <c r="H7175" s="8">
        <f>IFERROR(__xludf.DUMMYFUNCTION("""COMPUTED_VALUE"""),500000.0)</f>
        <v>500000</v>
      </c>
      <c r="I7175" s="24">
        <f>IFERROR(__xludf.DUMMYFUNCTION("""COMPUTED_VALUE"""),0.0)</f>
        <v>0</v>
      </c>
    </row>
    <row r="7176">
      <c r="A7176" s="5" t="str">
        <f>IFERROR(__xludf.DUMMYFUNCTION("""COMPUTED_VALUE"""),"84216")</f>
        <v>84216</v>
      </c>
      <c r="B7176" s="64">
        <f>IFERROR(__xludf.DUMMYFUNCTION("""COMPUTED_VALUE"""),44599.0)</f>
        <v>44599</v>
      </c>
      <c r="C7176" s="5"/>
      <c r="D7176" s="5"/>
      <c r="E7176" s="5"/>
      <c r="F7176" s="25">
        <f>IFERROR(__xludf.DUMMYFUNCTION("""COMPUTED_VALUE"""),500000.0)</f>
        <v>500000</v>
      </c>
      <c r="G7176" s="25">
        <f>IFERROR(__xludf.DUMMYFUNCTION("""COMPUTED_VALUE"""),0.0)</f>
        <v>0</v>
      </c>
      <c r="H7176" s="8">
        <f>IFERROR(__xludf.DUMMYFUNCTION("""COMPUTED_VALUE"""),500000.0)</f>
        <v>500000</v>
      </c>
      <c r="I7176" s="24">
        <f>IFERROR(__xludf.DUMMYFUNCTION("""COMPUTED_VALUE"""),0.0)</f>
        <v>0</v>
      </c>
    </row>
    <row r="7177">
      <c r="A7177" s="5" t="str">
        <f>IFERROR(__xludf.DUMMYFUNCTION("""COMPUTED_VALUE"""),"84216")</f>
        <v>84216</v>
      </c>
      <c r="B7177" s="64">
        <f>IFERROR(__xludf.DUMMYFUNCTION("""COMPUTED_VALUE"""),44600.0)</f>
        <v>44600</v>
      </c>
      <c r="C7177" s="5"/>
      <c r="D7177" s="5"/>
      <c r="E7177" s="5"/>
      <c r="F7177" s="25">
        <f>IFERROR(__xludf.DUMMYFUNCTION("""COMPUTED_VALUE"""),500000.0)</f>
        <v>500000</v>
      </c>
      <c r="G7177" s="25">
        <f>IFERROR(__xludf.DUMMYFUNCTION("""COMPUTED_VALUE"""),0.0)</f>
        <v>0</v>
      </c>
      <c r="H7177" s="8">
        <f>IFERROR(__xludf.DUMMYFUNCTION("""COMPUTED_VALUE"""),500000.0)</f>
        <v>500000</v>
      </c>
      <c r="I7177" s="24">
        <f>IFERROR(__xludf.DUMMYFUNCTION("""COMPUTED_VALUE"""),0.0)</f>
        <v>0</v>
      </c>
    </row>
    <row r="7178">
      <c r="A7178" s="5" t="str">
        <f>IFERROR(__xludf.DUMMYFUNCTION("""COMPUTED_VALUE"""),"84216")</f>
        <v>84216</v>
      </c>
      <c r="B7178" s="64">
        <f>IFERROR(__xludf.DUMMYFUNCTION("""COMPUTED_VALUE"""),44601.0)</f>
        <v>44601</v>
      </c>
      <c r="C7178" s="5"/>
      <c r="D7178" s="5"/>
      <c r="E7178" s="5"/>
      <c r="F7178" s="25">
        <f>IFERROR(__xludf.DUMMYFUNCTION("""COMPUTED_VALUE"""),500000.0)</f>
        <v>500000</v>
      </c>
      <c r="G7178" s="25">
        <f>IFERROR(__xludf.DUMMYFUNCTION("""COMPUTED_VALUE"""),0.0)</f>
        <v>0</v>
      </c>
      <c r="H7178" s="8">
        <f>IFERROR(__xludf.DUMMYFUNCTION("""COMPUTED_VALUE"""),500000.0)</f>
        <v>500000</v>
      </c>
      <c r="I7178" s="24">
        <f>IFERROR(__xludf.DUMMYFUNCTION("""COMPUTED_VALUE"""),0.0)</f>
        <v>0</v>
      </c>
    </row>
    <row r="7179">
      <c r="A7179" s="5" t="str">
        <f>IFERROR(__xludf.DUMMYFUNCTION("""COMPUTED_VALUE"""),"84216")</f>
        <v>84216</v>
      </c>
      <c r="B7179" s="64">
        <f>IFERROR(__xludf.DUMMYFUNCTION("""COMPUTED_VALUE"""),44602.0)</f>
        <v>44602</v>
      </c>
      <c r="C7179" s="5"/>
      <c r="D7179" s="5"/>
      <c r="E7179" s="5"/>
      <c r="F7179" s="25">
        <f>IFERROR(__xludf.DUMMYFUNCTION("""COMPUTED_VALUE"""),500000.0)</f>
        <v>500000</v>
      </c>
      <c r="G7179" s="25">
        <f>IFERROR(__xludf.DUMMYFUNCTION("""COMPUTED_VALUE"""),0.0)</f>
        <v>0</v>
      </c>
      <c r="H7179" s="8">
        <f>IFERROR(__xludf.DUMMYFUNCTION("""COMPUTED_VALUE"""),500000.0)</f>
        <v>500000</v>
      </c>
      <c r="I7179" s="24">
        <f>IFERROR(__xludf.DUMMYFUNCTION("""COMPUTED_VALUE"""),0.0)</f>
        <v>0</v>
      </c>
    </row>
    <row r="7180">
      <c r="A7180" s="5" t="str">
        <f>IFERROR(__xludf.DUMMYFUNCTION("""COMPUTED_VALUE"""),"84216")</f>
        <v>84216</v>
      </c>
      <c r="B7180" s="64">
        <f>IFERROR(__xludf.DUMMYFUNCTION("""COMPUTED_VALUE"""),44603.0)</f>
        <v>44603</v>
      </c>
      <c r="C7180" s="5"/>
      <c r="D7180" s="5"/>
      <c r="E7180" s="5"/>
      <c r="F7180" s="25">
        <f>IFERROR(__xludf.DUMMYFUNCTION("""COMPUTED_VALUE"""),500000.0)</f>
        <v>500000</v>
      </c>
      <c r="G7180" s="25">
        <f>IFERROR(__xludf.DUMMYFUNCTION("""COMPUTED_VALUE"""),0.0)</f>
        <v>0</v>
      </c>
      <c r="H7180" s="8">
        <f>IFERROR(__xludf.DUMMYFUNCTION("""COMPUTED_VALUE"""),500000.0)</f>
        <v>500000</v>
      </c>
      <c r="I7180" s="24">
        <f>IFERROR(__xludf.DUMMYFUNCTION("""COMPUTED_VALUE"""),0.0)</f>
        <v>0</v>
      </c>
    </row>
    <row r="7181">
      <c r="A7181" s="5" t="str">
        <f>IFERROR(__xludf.DUMMYFUNCTION("""COMPUTED_VALUE"""),"84216")</f>
        <v>84216</v>
      </c>
      <c r="B7181" s="64">
        <f>IFERROR(__xludf.DUMMYFUNCTION("""COMPUTED_VALUE"""),44604.0)</f>
        <v>44604</v>
      </c>
      <c r="C7181" s="5"/>
      <c r="D7181" s="5"/>
      <c r="E7181" s="5"/>
      <c r="F7181" s="25">
        <f>IFERROR(__xludf.DUMMYFUNCTION("""COMPUTED_VALUE"""),500000.0)</f>
        <v>500000</v>
      </c>
      <c r="G7181" s="25">
        <f>IFERROR(__xludf.DUMMYFUNCTION("""COMPUTED_VALUE"""),0.0)</f>
        <v>0</v>
      </c>
      <c r="H7181" s="8">
        <f>IFERROR(__xludf.DUMMYFUNCTION("""COMPUTED_VALUE"""),500000.0)</f>
        <v>500000</v>
      </c>
      <c r="I7181" s="24">
        <f>IFERROR(__xludf.DUMMYFUNCTION("""COMPUTED_VALUE"""),0.0)</f>
        <v>0</v>
      </c>
    </row>
    <row r="7182">
      <c r="A7182" s="5" t="str">
        <f>IFERROR(__xludf.DUMMYFUNCTION("""COMPUTED_VALUE"""),"84216")</f>
        <v>84216</v>
      </c>
      <c r="B7182" s="64">
        <f>IFERROR(__xludf.DUMMYFUNCTION("""COMPUTED_VALUE"""),44605.0)</f>
        <v>44605</v>
      </c>
      <c r="C7182" s="5"/>
      <c r="D7182" s="5"/>
      <c r="E7182" s="5"/>
      <c r="F7182" s="25">
        <f>IFERROR(__xludf.DUMMYFUNCTION("""COMPUTED_VALUE"""),500000.0)</f>
        <v>500000</v>
      </c>
      <c r="G7182" s="25">
        <f>IFERROR(__xludf.DUMMYFUNCTION("""COMPUTED_VALUE"""),0.0)</f>
        <v>0</v>
      </c>
      <c r="H7182" s="8">
        <f>IFERROR(__xludf.DUMMYFUNCTION("""COMPUTED_VALUE"""),500000.0)</f>
        <v>500000</v>
      </c>
      <c r="I7182" s="24">
        <f>IFERROR(__xludf.DUMMYFUNCTION("""COMPUTED_VALUE"""),0.0)</f>
        <v>0</v>
      </c>
    </row>
    <row r="7183">
      <c r="A7183" s="5" t="str">
        <f>IFERROR(__xludf.DUMMYFUNCTION("""COMPUTED_VALUE"""),"84216")</f>
        <v>84216</v>
      </c>
      <c r="B7183" s="64">
        <f>IFERROR(__xludf.DUMMYFUNCTION("""COMPUTED_VALUE"""),44606.0)</f>
        <v>44606</v>
      </c>
      <c r="C7183" s="5"/>
      <c r="D7183" s="5"/>
      <c r="E7183" s="5"/>
      <c r="F7183" s="25">
        <f>IFERROR(__xludf.DUMMYFUNCTION("""COMPUTED_VALUE"""),500000.0)</f>
        <v>500000</v>
      </c>
      <c r="G7183" s="25">
        <f>IFERROR(__xludf.DUMMYFUNCTION("""COMPUTED_VALUE"""),0.0)</f>
        <v>0</v>
      </c>
      <c r="H7183" s="8">
        <f>IFERROR(__xludf.DUMMYFUNCTION("""COMPUTED_VALUE"""),500000.0)</f>
        <v>500000</v>
      </c>
      <c r="I7183" s="24">
        <f>IFERROR(__xludf.DUMMYFUNCTION("""COMPUTED_VALUE"""),0.0)</f>
        <v>0</v>
      </c>
    </row>
    <row r="7184">
      <c r="A7184" s="5" t="str">
        <f>IFERROR(__xludf.DUMMYFUNCTION("""COMPUTED_VALUE"""),"84216")</f>
        <v>84216</v>
      </c>
      <c r="B7184" s="64">
        <f>IFERROR(__xludf.DUMMYFUNCTION("""COMPUTED_VALUE"""),44607.0)</f>
        <v>44607</v>
      </c>
      <c r="C7184" s="5"/>
      <c r="D7184" s="5"/>
      <c r="E7184" s="5"/>
      <c r="F7184" s="25">
        <f>IFERROR(__xludf.DUMMYFUNCTION("""COMPUTED_VALUE"""),500000.0)</f>
        <v>500000</v>
      </c>
      <c r="G7184" s="25">
        <f>IFERROR(__xludf.DUMMYFUNCTION("""COMPUTED_VALUE"""),0.0)</f>
        <v>0</v>
      </c>
      <c r="H7184" s="8">
        <f>IFERROR(__xludf.DUMMYFUNCTION("""COMPUTED_VALUE"""),500000.0)</f>
        <v>500000</v>
      </c>
      <c r="I7184" s="24">
        <f>IFERROR(__xludf.DUMMYFUNCTION("""COMPUTED_VALUE"""),0.0)</f>
        <v>0</v>
      </c>
    </row>
    <row r="7185">
      <c r="A7185" s="5" t="str">
        <f>IFERROR(__xludf.DUMMYFUNCTION("""COMPUTED_VALUE"""),"84216")</f>
        <v>84216</v>
      </c>
      <c r="B7185" s="64">
        <f>IFERROR(__xludf.DUMMYFUNCTION("""COMPUTED_VALUE"""),44608.0)</f>
        <v>44608</v>
      </c>
      <c r="C7185" s="5"/>
      <c r="D7185" s="5"/>
      <c r="E7185" s="5"/>
      <c r="F7185" s="25">
        <f>IFERROR(__xludf.DUMMYFUNCTION("""COMPUTED_VALUE"""),500000.0)</f>
        <v>500000</v>
      </c>
      <c r="G7185" s="25">
        <f>IFERROR(__xludf.DUMMYFUNCTION("""COMPUTED_VALUE"""),0.0)</f>
        <v>0</v>
      </c>
      <c r="H7185" s="8">
        <f>IFERROR(__xludf.DUMMYFUNCTION("""COMPUTED_VALUE"""),500000.0)</f>
        <v>500000</v>
      </c>
      <c r="I7185" s="24">
        <f>IFERROR(__xludf.DUMMYFUNCTION("""COMPUTED_VALUE"""),0.0)</f>
        <v>0</v>
      </c>
    </row>
    <row r="7186">
      <c r="A7186" s="5" t="str">
        <f>IFERROR(__xludf.DUMMYFUNCTION("""COMPUTED_VALUE"""),"84216")</f>
        <v>84216</v>
      </c>
      <c r="B7186" s="64">
        <f>IFERROR(__xludf.DUMMYFUNCTION("""COMPUTED_VALUE"""),44609.0)</f>
        <v>44609</v>
      </c>
      <c r="C7186" s="5"/>
      <c r="D7186" s="5"/>
      <c r="E7186" s="5"/>
      <c r="F7186" s="25">
        <f>IFERROR(__xludf.DUMMYFUNCTION("""COMPUTED_VALUE"""),500000.0)</f>
        <v>500000</v>
      </c>
      <c r="G7186" s="25">
        <f>IFERROR(__xludf.DUMMYFUNCTION("""COMPUTED_VALUE"""),0.0)</f>
        <v>0</v>
      </c>
      <c r="H7186" s="8">
        <f>IFERROR(__xludf.DUMMYFUNCTION("""COMPUTED_VALUE"""),500000.0)</f>
        <v>500000</v>
      </c>
      <c r="I7186" s="24">
        <f>IFERROR(__xludf.DUMMYFUNCTION("""COMPUTED_VALUE"""),0.0)</f>
        <v>0</v>
      </c>
    </row>
    <row r="7187">
      <c r="A7187" s="5" t="str">
        <f>IFERROR(__xludf.DUMMYFUNCTION("""COMPUTED_VALUE"""),"84216")</f>
        <v>84216</v>
      </c>
      <c r="B7187" s="64">
        <f>IFERROR(__xludf.DUMMYFUNCTION("""COMPUTED_VALUE"""),44610.0)</f>
        <v>44610</v>
      </c>
      <c r="C7187" s="5"/>
      <c r="D7187" s="5"/>
      <c r="E7187" s="5"/>
      <c r="F7187" s="25">
        <f>IFERROR(__xludf.DUMMYFUNCTION("""COMPUTED_VALUE"""),500000.0)</f>
        <v>500000</v>
      </c>
      <c r="G7187" s="25">
        <f>IFERROR(__xludf.DUMMYFUNCTION("""COMPUTED_VALUE"""),0.0)</f>
        <v>0</v>
      </c>
      <c r="H7187" s="8">
        <f>IFERROR(__xludf.DUMMYFUNCTION("""COMPUTED_VALUE"""),500000.0)</f>
        <v>500000</v>
      </c>
      <c r="I7187" s="24">
        <f>IFERROR(__xludf.DUMMYFUNCTION("""COMPUTED_VALUE"""),0.0)</f>
        <v>0</v>
      </c>
    </row>
    <row r="7188">
      <c r="A7188" s="5" t="str">
        <f>IFERROR(__xludf.DUMMYFUNCTION("""COMPUTED_VALUE"""),"84216")</f>
        <v>84216</v>
      </c>
      <c r="B7188" s="64">
        <f>IFERROR(__xludf.DUMMYFUNCTION("""COMPUTED_VALUE"""),44611.0)</f>
        <v>44611</v>
      </c>
      <c r="C7188" s="5"/>
      <c r="D7188" s="5"/>
      <c r="E7188" s="5"/>
      <c r="F7188" s="25">
        <f>IFERROR(__xludf.DUMMYFUNCTION("""COMPUTED_VALUE"""),500000.0)</f>
        <v>500000</v>
      </c>
      <c r="G7188" s="25">
        <f>IFERROR(__xludf.DUMMYFUNCTION("""COMPUTED_VALUE"""),0.0)</f>
        <v>0</v>
      </c>
      <c r="H7188" s="8">
        <f>IFERROR(__xludf.DUMMYFUNCTION("""COMPUTED_VALUE"""),500000.0)</f>
        <v>500000</v>
      </c>
      <c r="I7188" s="24">
        <f>IFERROR(__xludf.DUMMYFUNCTION("""COMPUTED_VALUE"""),0.0)</f>
        <v>0</v>
      </c>
    </row>
    <row r="7189">
      <c r="A7189" s="5" t="str">
        <f>IFERROR(__xludf.DUMMYFUNCTION("""COMPUTED_VALUE"""),"84216")</f>
        <v>84216</v>
      </c>
      <c r="B7189" s="64">
        <f>IFERROR(__xludf.DUMMYFUNCTION("""COMPUTED_VALUE"""),44612.0)</f>
        <v>44612</v>
      </c>
      <c r="C7189" s="5"/>
      <c r="D7189" s="5"/>
      <c r="E7189" s="5"/>
      <c r="F7189" s="25">
        <f>IFERROR(__xludf.DUMMYFUNCTION("""COMPUTED_VALUE"""),500000.0)</f>
        <v>500000</v>
      </c>
      <c r="G7189" s="25">
        <f>IFERROR(__xludf.DUMMYFUNCTION("""COMPUTED_VALUE"""),0.0)</f>
        <v>0</v>
      </c>
      <c r="H7189" s="8">
        <f>IFERROR(__xludf.DUMMYFUNCTION("""COMPUTED_VALUE"""),500000.0)</f>
        <v>500000</v>
      </c>
      <c r="I7189" s="24">
        <f>IFERROR(__xludf.DUMMYFUNCTION("""COMPUTED_VALUE"""),0.0)</f>
        <v>0</v>
      </c>
    </row>
    <row r="7190">
      <c r="A7190" s="5" t="str">
        <f>IFERROR(__xludf.DUMMYFUNCTION("""COMPUTED_VALUE"""),"84216")</f>
        <v>84216</v>
      </c>
      <c r="B7190" s="64">
        <f>IFERROR(__xludf.DUMMYFUNCTION("""COMPUTED_VALUE"""),44613.0)</f>
        <v>44613</v>
      </c>
      <c r="C7190" s="5"/>
      <c r="D7190" s="5"/>
      <c r="E7190" s="5"/>
      <c r="F7190" s="25">
        <f>IFERROR(__xludf.DUMMYFUNCTION("""COMPUTED_VALUE"""),500000.0)</f>
        <v>500000</v>
      </c>
      <c r="G7190" s="25">
        <f>IFERROR(__xludf.DUMMYFUNCTION("""COMPUTED_VALUE"""),0.0)</f>
        <v>0</v>
      </c>
      <c r="H7190" s="8">
        <f>IFERROR(__xludf.DUMMYFUNCTION("""COMPUTED_VALUE"""),500000.0)</f>
        <v>500000</v>
      </c>
      <c r="I7190" s="24">
        <f>IFERROR(__xludf.DUMMYFUNCTION("""COMPUTED_VALUE"""),0.0)</f>
        <v>0</v>
      </c>
    </row>
    <row r="7191">
      <c r="A7191" s="5" t="str">
        <f>IFERROR(__xludf.DUMMYFUNCTION("""COMPUTED_VALUE"""),"84216")</f>
        <v>84216</v>
      </c>
      <c r="B7191" s="64">
        <f>IFERROR(__xludf.DUMMYFUNCTION("""COMPUTED_VALUE"""),44614.0)</f>
        <v>44614</v>
      </c>
      <c r="C7191" s="5"/>
      <c r="D7191" s="5"/>
      <c r="E7191" s="5"/>
      <c r="F7191" s="25">
        <f>IFERROR(__xludf.DUMMYFUNCTION("""COMPUTED_VALUE"""),500000.0)</f>
        <v>500000</v>
      </c>
      <c r="G7191" s="25">
        <f>IFERROR(__xludf.DUMMYFUNCTION("""COMPUTED_VALUE"""),0.0)</f>
        <v>0</v>
      </c>
      <c r="H7191" s="8">
        <f>IFERROR(__xludf.DUMMYFUNCTION("""COMPUTED_VALUE"""),500000.0)</f>
        <v>500000</v>
      </c>
      <c r="I7191" s="24">
        <f>IFERROR(__xludf.DUMMYFUNCTION("""COMPUTED_VALUE"""),0.0)</f>
        <v>0</v>
      </c>
    </row>
    <row r="7192">
      <c r="A7192" s="5" t="str">
        <f>IFERROR(__xludf.DUMMYFUNCTION("""COMPUTED_VALUE"""),"84216")</f>
        <v>84216</v>
      </c>
      <c r="B7192" s="64">
        <f>IFERROR(__xludf.DUMMYFUNCTION("""COMPUTED_VALUE"""),44615.0)</f>
        <v>44615</v>
      </c>
      <c r="C7192" s="5"/>
      <c r="D7192" s="5"/>
      <c r="E7192" s="5"/>
      <c r="F7192" s="25">
        <f>IFERROR(__xludf.DUMMYFUNCTION("""COMPUTED_VALUE"""),500000.0)</f>
        <v>500000</v>
      </c>
      <c r="G7192" s="25">
        <f>IFERROR(__xludf.DUMMYFUNCTION("""COMPUTED_VALUE"""),0.0)</f>
        <v>0</v>
      </c>
      <c r="H7192" s="8">
        <f>IFERROR(__xludf.DUMMYFUNCTION("""COMPUTED_VALUE"""),500000.0)</f>
        <v>500000</v>
      </c>
      <c r="I7192" s="24">
        <f>IFERROR(__xludf.DUMMYFUNCTION("""COMPUTED_VALUE"""),0.0)</f>
        <v>0</v>
      </c>
    </row>
    <row r="7193">
      <c r="A7193" s="5" t="str">
        <f>IFERROR(__xludf.DUMMYFUNCTION("""COMPUTED_VALUE"""),"84216")</f>
        <v>84216</v>
      </c>
      <c r="B7193" s="64">
        <f>IFERROR(__xludf.DUMMYFUNCTION("""COMPUTED_VALUE"""),44616.0)</f>
        <v>44616</v>
      </c>
      <c r="C7193" s="5"/>
      <c r="D7193" s="5"/>
      <c r="E7193" s="5"/>
      <c r="F7193" s="25">
        <f>IFERROR(__xludf.DUMMYFUNCTION("""COMPUTED_VALUE"""),500000.0)</f>
        <v>500000</v>
      </c>
      <c r="G7193" s="25">
        <f>IFERROR(__xludf.DUMMYFUNCTION("""COMPUTED_VALUE"""),0.0)</f>
        <v>0</v>
      </c>
      <c r="H7193" s="8">
        <f>IFERROR(__xludf.DUMMYFUNCTION("""COMPUTED_VALUE"""),500000.0)</f>
        <v>500000</v>
      </c>
      <c r="I7193" s="24">
        <f>IFERROR(__xludf.DUMMYFUNCTION("""COMPUTED_VALUE"""),0.0)</f>
        <v>0</v>
      </c>
    </row>
    <row r="7194">
      <c r="A7194" s="5" t="str">
        <f>IFERROR(__xludf.DUMMYFUNCTION("""COMPUTED_VALUE"""),"84216")</f>
        <v>84216</v>
      </c>
      <c r="B7194" s="64">
        <f>IFERROR(__xludf.DUMMYFUNCTION("""COMPUTED_VALUE"""),44617.0)</f>
        <v>44617</v>
      </c>
      <c r="C7194" s="5"/>
      <c r="D7194" s="5"/>
      <c r="E7194" s="5"/>
      <c r="F7194" s="25">
        <f>IFERROR(__xludf.DUMMYFUNCTION("""COMPUTED_VALUE"""),500000.0)</f>
        <v>500000</v>
      </c>
      <c r="G7194" s="25">
        <f>IFERROR(__xludf.DUMMYFUNCTION("""COMPUTED_VALUE"""),0.0)</f>
        <v>0</v>
      </c>
      <c r="H7194" s="8">
        <f>IFERROR(__xludf.DUMMYFUNCTION("""COMPUTED_VALUE"""),500000.0)</f>
        <v>500000</v>
      </c>
      <c r="I7194" s="24">
        <f>IFERROR(__xludf.DUMMYFUNCTION("""COMPUTED_VALUE"""),0.0)</f>
        <v>0</v>
      </c>
    </row>
    <row r="7195">
      <c r="A7195" s="5" t="str">
        <f>IFERROR(__xludf.DUMMYFUNCTION("""COMPUTED_VALUE"""),"84216")</f>
        <v>84216</v>
      </c>
      <c r="B7195" s="64">
        <f>IFERROR(__xludf.DUMMYFUNCTION("""COMPUTED_VALUE"""),44618.0)</f>
        <v>44618</v>
      </c>
      <c r="C7195" s="5"/>
      <c r="D7195" s="5"/>
      <c r="E7195" s="5"/>
      <c r="F7195" s="25">
        <f>IFERROR(__xludf.DUMMYFUNCTION("""COMPUTED_VALUE"""),500000.0)</f>
        <v>500000</v>
      </c>
      <c r="G7195" s="25">
        <f>IFERROR(__xludf.DUMMYFUNCTION("""COMPUTED_VALUE"""),0.0)</f>
        <v>0</v>
      </c>
      <c r="H7195" s="8">
        <f>IFERROR(__xludf.DUMMYFUNCTION("""COMPUTED_VALUE"""),500000.0)</f>
        <v>500000</v>
      </c>
      <c r="I7195" s="24">
        <f>IFERROR(__xludf.DUMMYFUNCTION("""COMPUTED_VALUE"""),0.0)</f>
        <v>0</v>
      </c>
    </row>
    <row r="7196">
      <c r="A7196" s="5" t="str">
        <f>IFERROR(__xludf.DUMMYFUNCTION("""COMPUTED_VALUE"""),"84216")</f>
        <v>84216</v>
      </c>
      <c r="B7196" s="64">
        <f>IFERROR(__xludf.DUMMYFUNCTION("""COMPUTED_VALUE"""),44619.0)</f>
        <v>44619</v>
      </c>
      <c r="C7196" s="5"/>
      <c r="D7196" s="5"/>
      <c r="E7196" s="5"/>
      <c r="F7196" s="25">
        <f>IFERROR(__xludf.DUMMYFUNCTION("""COMPUTED_VALUE"""),500000.0)</f>
        <v>500000</v>
      </c>
      <c r="G7196" s="25">
        <f>IFERROR(__xludf.DUMMYFUNCTION("""COMPUTED_VALUE"""),0.0)</f>
        <v>0</v>
      </c>
      <c r="H7196" s="8">
        <f>IFERROR(__xludf.DUMMYFUNCTION("""COMPUTED_VALUE"""),500000.0)</f>
        <v>500000</v>
      </c>
      <c r="I7196" s="24">
        <f>IFERROR(__xludf.DUMMYFUNCTION("""COMPUTED_VALUE"""),0.0)</f>
        <v>0</v>
      </c>
    </row>
    <row r="7197">
      <c r="A7197" s="5" t="str">
        <f>IFERROR(__xludf.DUMMYFUNCTION("""COMPUTED_VALUE"""),"84216")</f>
        <v>84216</v>
      </c>
      <c r="B7197" s="64">
        <f>IFERROR(__xludf.DUMMYFUNCTION("""COMPUTED_VALUE"""),44620.0)</f>
        <v>44620</v>
      </c>
      <c r="C7197" s="5"/>
      <c r="D7197" s="5"/>
      <c r="E7197" s="5"/>
      <c r="F7197" s="25">
        <f>IFERROR(__xludf.DUMMYFUNCTION("""COMPUTED_VALUE"""),500000.0)</f>
        <v>500000</v>
      </c>
      <c r="G7197" s="25">
        <f>IFERROR(__xludf.DUMMYFUNCTION("""COMPUTED_VALUE"""),0.0)</f>
        <v>0</v>
      </c>
      <c r="H7197" s="8">
        <f>IFERROR(__xludf.DUMMYFUNCTION("""COMPUTED_VALUE"""),500000.0)</f>
        <v>500000</v>
      </c>
      <c r="I7197" s="24">
        <f>IFERROR(__xludf.DUMMYFUNCTION("""COMPUTED_VALUE"""),0.0)</f>
        <v>0</v>
      </c>
    </row>
    <row r="7198">
      <c r="A7198" s="5" t="str">
        <f>IFERROR(__xludf.DUMMYFUNCTION("""COMPUTED_VALUE"""),"84216")</f>
        <v>84216</v>
      </c>
      <c r="B7198" s="64">
        <f>IFERROR(__xludf.DUMMYFUNCTION("""COMPUTED_VALUE"""),44621.0)</f>
        <v>44621</v>
      </c>
      <c r="C7198" s="5"/>
      <c r="D7198" s="5"/>
      <c r="E7198" s="5"/>
      <c r="F7198" s="25">
        <f>IFERROR(__xludf.DUMMYFUNCTION("""COMPUTED_VALUE"""),500000.0)</f>
        <v>500000</v>
      </c>
      <c r="G7198" s="25">
        <f>IFERROR(__xludf.DUMMYFUNCTION("""COMPUTED_VALUE"""),0.0)</f>
        <v>0</v>
      </c>
      <c r="H7198" s="8">
        <f>IFERROR(__xludf.DUMMYFUNCTION("""COMPUTED_VALUE"""),500000.0)</f>
        <v>500000</v>
      </c>
      <c r="I7198" s="24">
        <f>IFERROR(__xludf.DUMMYFUNCTION("""COMPUTED_VALUE"""),0.0)</f>
        <v>0</v>
      </c>
    </row>
    <row r="7199">
      <c r="A7199" s="5" t="str">
        <f>IFERROR(__xludf.DUMMYFUNCTION("""COMPUTED_VALUE"""),"84216")</f>
        <v>84216</v>
      </c>
      <c r="B7199" s="64">
        <f>IFERROR(__xludf.DUMMYFUNCTION("""COMPUTED_VALUE"""),44622.0)</f>
        <v>44622</v>
      </c>
      <c r="C7199" s="5"/>
      <c r="D7199" s="5"/>
      <c r="E7199" s="5"/>
      <c r="F7199" s="25">
        <f>IFERROR(__xludf.DUMMYFUNCTION("""COMPUTED_VALUE"""),500000.0)</f>
        <v>500000</v>
      </c>
      <c r="G7199" s="25">
        <f>IFERROR(__xludf.DUMMYFUNCTION("""COMPUTED_VALUE"""),0.0)</f>
        <v>0</v>
      </c>
      <c r="H7199" s="8">
        <f>IFERROR(__xludf.DUMMYFUNCTION("""COMPUTED_VALUE"""),500000.0)</f>
        <v>500000</v>
      </c>
      <c r="I7199" s="24">
        <f>IFERROR(__xludf.DUMMYFUNCTION("""COMPUTED_VALUE"""),0.0)</f>
        <v>0</v>
      </c>
    </row>
    <row r="7200">
      <c r="A7200" s="5" t="str">
        <f>IFERROR(__xludf.DUMMYFUNCTION("""COMPUTED_VALUE"""),"84216")</f>
        <v>84216</v>
      </c>
      <c r="B7200" s="64">
        <f>IFERROR(__xludf.DUMMYFUNCTION("""COMPUTED_VALUE"""),44623.0)</f>
        <v>44623</v>
      </c>
      <c r="C7200" s="5"/>
      <c r="D7200" s="5"/>
      <c r="E7200" s="5"/>
      <c r="F7200" s="25">
        <f>IFERROR(__xludf.DUMMYFUNCTION("""COMPUTED_VALUE"""),500000.0)</f>
        <v>500000</v>
      </c>
      <c r="G7200" s="25">
        <f>IFERROR(__xludf.DUMMYFUNCTION("""COMPUTED_VALUE"""),0.0)</f>
        <v>0</v>
      </c>
      <c r="H7200" s="8">
        <f>IFERROR(__xludf.DUMMYFUNCTION("""COMPUTED_VALUE"""),500000.0)</f>
        <v>500000</v>
      </c>
      <c r="I7200" s="24">
        <f>IFERROR(__xludf.DUMMYFUNCTION("""COMPUTED_VALUE"""),0.0)</f>
        <v>0</v>
      </c>
    </row>
    <row r="7201">
      <c r="A7201" s="5" t="str">
        <f>IFERROR(__xludf.DUMMYFUNCTION("""COMPUTED_VALUE"""),"84216")</f>
        <v>84216</v>
      </c>
      <c r="B7201" s="64">
        <f>IFERROR(__xludf.DUMMYFUNCTION("""COMPUTED_VALUE"""),44624.0)</f>
        <v>44624</v>
      </c>
      <c r="C7201" s="5"/>
      <c r="D7201" s="5"/>
      <c r="E7201" s="5"/>
      <c r="F7201" s="25">
        <f>IFERROR(__xludf.DUMMYFUNCTION("""COMPUTED_VALUE"""),500000.0)</f>
        <v>500000</v>
      </c>
      <c r="G7201" s="25">
        <f>IFERROR(__xludf.DUMMYFUNCTION("""COMPUTED_VALUE"""),0.0)</f>
        <v>0</v>
      </c>
      <c r="H7201" s="8">
        <f>IFERROR(__xludf.DUMMYFUNCTION("""COMPUTED_VALUE"""),500000.0)</f>
        <v>500000</v>
      </c>
      <c r="I7201" s="24">
        <f>IFERROR(__xludf.DUMMYFUNCTION("""COMPUTED_VALUE"""),0.0)</f>
        <v>0</v>
      </c>
    </row>
    <row r="7202">
      <c r="A7202" s="5" t="str">
        <f>IFERROR(__xludf.DUMMYFUNCTION("""COMPUTED_VALUE"""),"84216")</f>
        <v>84216</v>
      </c>
      <c r="B7202" s="64">
        <f>IFERROR(__xludf.DUMMYFUNCTION("""COMPUTED_VALUE"""),44625.0)</f>
        <v>44625</v>
      </c>
      <c r="C7202" s="5"/>
      <c r="D7202" s="5"/>
      <c r="E7202" s="5"/>
      <c r="F7202" s="25">
        <f>IFERROR(__xludf.DUMMYFUNCTION("""COMPUTED_VALUE"""),500000.0)</f>
        <v>500000</v>
      </c>
      <c r="G7202" s="25">
        <f>IFERROR(__xludf.DUMMYFUNCTION("""COMPUTED_VALUE"""),0.0)</f>
        <v>0</v>
      </c>
      <c r="H7202" s="8">
        <f>IFERROR(__xludf.DUMMYFUNCTION("""COMPUTED_VALUE"""),500000.0)</f>
        <v>500000</v>
      </c>
      <c r="I7202" s="24">
        <f>IFERROR(__xludf.DUMMYFUNCTION("""COMPUTED_VALUE"""),0.0)</f>
        <v>0</v>
      </c>
    </row>
    <row r="7203">
      <c r="A7203" s="5" t="str">
        <f>IFERROR(__xludf.DUMMYFUNCTION("""COMPUTED_VALUE"""),"84216")</f>
        <v>84216</v>
      </c>
      <c r="B7203" s="64">
        <f>IFERROR(__xludf.DUMMYFUNCTION("""COMPUTED_VALUE"""),44626.0)</f>
        <v>44626</v>
      </c>
      <c r="C7203" s="5"/>
      <c r="D7203" s="5"/>
      <c r="E7203" s="5"/>
      <c r="F7203" s="25">
        <f>IFERROR(__xludf.DUMMYFUNCTION("""COMPUTED_VALUE"""),500000.0)</f>
        <v>500000</v>
      </c>
      <c r="G7203" s="25">
        <f>IFERROR(__xludf.DUMMYFUNCTION("""COMPUTED_VALUE"""),0.0)</f>
        <v>0</v>
      </c>
      <c r="H7203" s="8">
        <f>IFERROR(__xludf.DUMMYFUNCTION("""COMPUTED_VALUE"""),500000.0)</f>
        <v>500000</v>
      </c>
      <c r="I7203" s="24">
        <f>IFERROR(__xludf.DUMMYFUNCTION("""COMPUTED_VALUE"""),0.0)</f>
        <v>0</v>
      </c>
    </row>
    <row r="7204">
      <c r="A7204" s="5" t="str">
        <f>IFERROR(__xludf.DUMMYFUNCTION("""COMPUTED_VALUE"""),"84216")</f>
        <v>84216</v>
      </c>
      <c r="B7204" s="64">
        <f>IFERROR(__xludf.DUMMYFUNCTION("""COMPUTED_VALUE"""),44627.0)</f>
        <v>44627</v>
      </c>
      <c r="C7204" s="5"/>
      <c r="D7204" s="5"/>
      <c r="E7204" s="5"/>
      <c r="F7204" s="25">
        <f>IFERROR(__xludf.DUMMYFUNCTION("""COMPUTED_VALUE"""),500000.0)</f>
        <v>500000</v>
      </c>
      <c r="G7204" s="25">
        <f>IFERROR(__xludf.DUMMYFUNCTION("""COMPUTED_VALUE"""),0.0)</f>
        <v>0</v>
      </c>
      <c r="H7204" s="8">
        <f>IFERROR(__xludf.DUMMYFUNCTION("""COMPUTED_VALUE"""),500000.0)</f>
        <v>500000</v>
      </c>
      <c r="I7204" s="24">
        <f>IFERROR(__xludf.DUMMYFUNCTION("""COMPUTED_VALUE"""),0.0)</f>
        <v>0</v>
      </c>
    </row>
    <row r="7205">
      <c r="A7205" s="5" t="str">
        <f>IFERROR(__xludf.DUMMYFUNCTION("""COMPUTED_VALUE"""),"84216")</f>
        <v>84216</v>
      </c>
      <c r="B7205" s="64">
        <f>IFERROR(__xludf.DUMMYFUNCTION("""COMPUTED_VALUE"""),44628.0)</f>
        <v>44628</v>
      </c>
      <c r="C7205" s="5"/>
      <c r="D7205" s="5"/>
      <c r="E7205" s="5"/>
      <c r="F7205" s="25">
        <f>IFERROR(__xludf.DUMMYFUNCTION("""COMPUTED_VALUE"""),500000.0)</f>
        <v>500000</v>
      </c>
      <c r="G7205" s="25">
        <f>IFERROR(__xludf.DUMMYFUNCTION("""COMPUTED_VALUE"""),0.0)</f>
        <v>0</v>
      </c>
      <c r="H7205" s="8">
        <f>IFERROR(__xludf.DUMMYFUNCTION("""COMPUTED_VALUE"""),500000.0)</f>
        <v>500000</v>
      </c>
      <c r="I7205" s="24">
        <f>IFERROR(__xludf.DUMMYFUNCTION("""COMPUTED_VALUE"""),0.0)</f>
        <v>0</v>
      </c>
    </row>
    <row r="7206">
      <c r="A7206" s="5" t="str">
        <f>IFERROR(__xludf.DUMMYFUNCTION("""COMPUTED_VALUE"""),"84216")</f>
        <v>84216</v>
      </c>
      <c r="B7206" s="64">
        <f>IFERROR(__xludf.DUMMYFUNCTION("""COMPUTED_VALUE"""),44629.0)</f>
        <v>44629</v>
      </c>
      <c r="C7206" s="5"/>
      <c r="D7206" s="5"/>
      <c r="E7206" s="5"/>
      <c r="F7206" s="25">
        <f>IFERROR(__xludf.DUMMYFUNCTION("""COMPUTED_VALUE"""),500000.0)</f>
        <v>500000</v>
      </c>
      <c r="G7206" s="25">
        <f>IFERROR(__xludf.DUMMYFUNCTION("""COMPUTED_VALUE"""),0.0)</f>
        <v>0</v>
      </c>
      <c r="H7206" s="8">
        <f>IFERROR(__xludf.DUMMYFUNCTION("""COMPUTED_VALUE"""),500000.0)</f>
        <v>500000</v>
      </c>
      <c r="I7206" s="24">
        <f>IFERROR(__xludf.DUMMYFUNCTION("""COMPUTED_VALUE"""),0.0)</f>
        <v>0</v>
      </c>
    </row>
    <row r="7207">
      <c r="A7207" s="5" t="str">
        <f>IFERROR(__xludf.DUMMYFUNCTION("""COMPUTED_VALUE"""),"84216")</f>
        <v>84216</v>
      </c>
      <c r="B7207" s="64">
        <f>IFERROR(__xludf.DUMMYFUNCTION("""COMPUTED_VALUE"""),44630.0)</f>
        <v>44630</v>
      </c>
      <c r="C7207" s="5"/>
      <c r="D7207" s="5"/>
      <c r="E7207" s="5"/>
      <c r="F7207" s="25">
        <f>IFERROR(__xludf.DUMMYFUNCTION("""COMPUTED_VALUE"""),500000.0)</f>
        <v>500000</v>
      </c>
      <c r="G7207" s="25">
        <f>IFERROR(__xludf.DUMMYFUNCTION("""COMPUTED_VALUE"""),0.0)</f>
        <v>0</v>
      </c>
      <c r="H7207" s="8">
        <f>IFERROR(__xludf.DUMMYFUNCTION("""COMPUTED_VALUE"""),500000.0)</f>
        <v>500000</v>
      </c>
      <c r="I7207" s="24">
        <f>IFERROR(__xludf.DUMMYFUNCTION("""COMPUTED_VALUE"""),0.0)</f>
        <v>0</v>
      </c>
    </row>
    <row r="7208">
      <c r="A7208" s="5" t="str">
        <f>IFERROR(__xludf.DUMMYFUNCTION("""COMPUTED_VALUE"""),"84216")</f>
        <v>84216</v>
      </c>
      <c r="B7208" s="64">
        <f>IFERROR(__xludf.DUMMYFUNCTION("""COMPUTED_VALUE"""),44631.0)</f>
        <v>44631</v>
      </c>
      <c r="C7208" s="5"/>
      <c r="D7208" s="5"/>
      <c r="E7208" s="5"/>
      <c r="F7208" s="25">
        <f>IFERROR(__xludf.DUMMYFUNCTION("""COMPUTED_VALUE"""),500000.0)</f>
        <v>500000</v>
      </c>
      <c r="G7208" s="25">
        <f>IFERROR(__xludf.DUMMYFUNCTION("""COMPUTED_VALUE"""),0.0)</f>
        <v>0</v>
      </c>
      <c r="H7208" s="8">
        <f>IFERROR(__xludf.DUMMYFUNCTION("""COMPUTED_VALUE"""),500000.0)</f>
        <v>500000</v>
      </c>
      <c r="I7208" s="24">
        <f>IFERROR(__xludf.DUMMYFUNCTION("""COMPUTED_VALUE"""),0.0)</f>
        <v>0</v>
      </c>
    </row>
    <row r="7209">
      <c r="A7209" s="5" t="str">
        <f>IFERROR(__xludf.DUMMYFUNCTION("""COMPUTED_VALUE"""),"84216")</f>
        <v>84216</v>
      </c>
      <c r="B7209" s="64">
        <f>IFERROR(__xludf.DUMMYFUNCTION("""COMPUTED_VALUE"""),44632.0)</f>
        <v>44632</v>
      </c>
      <c r="C7209" s="5"/>
      <c r="D7209" s="5"/>
      <c r="E7209" s="5"/>
      <c r="F7209" s="25">
        <f>IFERROR(__xludf.DUMMYFUNCTION("""COMPUTED_VALUE"""),500000.0)</f>
        <v>500000</v>
      </c>
      <c r="G7209" s="25">
        <f>IFERROR(__xludf.DUMMYFUNCTION("""COMPUTED_VALUE"""),0.0)</f>
        <v>0</v>
      </c>
      <c r="H7209" s="8">
        <f>IFERROR(__xludf.DUMMYFUNCTION("""COMPUTED_VALUE"""),500000.0)</f>
        <v>500000</v>
      </c>
      <c r="I7209" s="24">
        <f>IFERROR(__xludf.DUMMYFUNCTION("""COMPUTED_VALUE"""),0.0)</f>
        <v>0</v>
      </c>
    </row>
    <row r="7210">
      <c r="A7210" s="5" t="str">
        <f>IFERROR(__xludf.DUMMYFUNCTION("""COMPUTED_VALUE"""),"84216")</f>
        <v>84216</v>
      </c>
      <c r="B7210" s="64">
        <f>IFERROR(__xludf.DUMMYFUNCTION("""COMPUTED_VALUE"""),44633.0)</f>
        <v>44633</v>
      </c>
      <c r="C7210" s="5"/>
      <c r="D7210" s="5"/>
      <c r="E7210" s="5"/>
      <c r="F7210" s="25">
        <f>IFERROR(__xludf.DUMMYFUNCTION("""COMPUTED_VALUE"""),500000.0)</f>
        <v>500000</v>
      </c>
      <c r="G7210" s="25">
        <f>IFERROR(__xludf.DUMMYFUNCTION("""COMPUTED_VALUE"""),0.0)</f>
        <v>0</v>
      </c>
      <c r="H7210" s="8">
        <f>IFERROR(__xludf.DUMMYFUNCTION("""COMPUTED_VALUE"""),500000.0)</f>
        <v>500000</v>
      </c>
      <c r="I7210" s="24">
        <f>IFERROR(__xludf.DUMMYFUNCTION("""COMPUTED_VALUE"""),0.0)</f>
        <v>0</v>
      </c>
    </row>
    <row r="7211">
      <c r="A7211" s="5" t="str">
        <f>IFERROR(__xludf.DUMMYFUNCTION("""COMPUTED_VALUE"""),"84216")</f>
        <v>84216</v>
      </c>
      <c r="B7211" s="64">
        <f>IFERROR(__xludf.DUMMYFUNCTION("""COMPUTED_VALUE"""),44634.0)</f>
        <v>44634</v>
      </c>
      <c r="C7211" s="5"/>
      <c r="D7211" s="5"/>
      <c r="E7211" s="5"/>
      <c r="F7211" s="25">
        <f>IFERROR(__xludf.DUMMYFUNCTION("""COMPUTED_VALUE"""),500000.0)</f>
        <v>500000</v>
      </c>
      <c r="G7211" s="25">
        <f>IFERROR(__xludf.DUMMYFUNCTION("""COMPUTED_VALUE"""),0.0)</f>
        <v>0</v>
      </c>
      <c r="H7211" s="8">
        <f>IFERROR(__xludf.DUMMYFUNCTION("""COMPUTED_VALUE"""),500000.0)</f>
        <v>500000</v>
      </c>
      <c r="I7211" s="24">
        <f>IFERROR(__xludf.DUMMYFUNCTION("""COMPUTED_VALUE"""),0.0)</f>
        <v>0</v>
      </c>
    </row>
    <row r="7212">
      <c r="A7212" s="5" t="str">
        <f>IFERROR(__xludf.DUMMYFUNCTION("""COMPUTED_VALUE"""),"84216")</f>
        <v>84216</v>
      </c>
      <c r="B7212" s="64">
        <f>IFERROR(__xludf.DUMMYFUNCTION("""COMPUTED_VALUE"""),44635.0)</f>
        <v>44635</v>
      </c>
      <c r="C7212" s="5"/>
      <c r="D7212" s="5"/>
      <c r="E7212" s="5"/>
      <c r="F7212" s="25">
        <f>IFERROR(__xludf.DUMMYFUNCTION("""COMPUTED_VALUE"""),500000.0)</f>
        <v>500000</v>
      </c>
      <c r="G7212" s="25">
        <f>IFERROR(__xludf.DUMMYFUNCTION("""COMPUTED_VALUE"""),0.0)</f>
        <v>0</v>
      </c>
      <c r="H7212" s="8">
        <f>IFERROR(__xludf.DUMMYFUNCTION("""COMPUTED_VALUE"""),500000.0)</f>
        <v>500000</v>
      </c>
      <c r="I7212" s="24">
        <f>IFERROR(__xludf.DUMMYFUNCTION("""COMPUTED_VALUE"""),0.0)</f>
        <v>0</v>
      </c>
    </row>
    <row r="7213">
      <c r="A7213" s="5" t="str">
        <f>IFERROR(__xludf.DUMMYFUNCTION("""COMPUTED_VALUE"""),"84216")</f>
        <v>84216</v>
      </c>
      <c r="B7213" s="64">
        <f>IFERROR(__xludf.DUMMYFUNCTION("""COMPUTED_VALUE"""),44636.0)</f>
        <v>44636</v>
      </c>
      <c r="C7213" s="5"/>
      <c r="D7213" s="5"/>
      <c r="E7213" s="5"/>
      <c r="F7213" s="25">
        <f>IFERROR(__xludf.DUMMYFUNCTION("""COMPUTED_VALUE"""),500000.0)</f>
        <v>500000</v>
      </c>
      <c r="G7213" s="25">
        <f>IFERROR(__xludf.DUMMYFUNCTION("""COMPUTED_VALUE"""),0.0)</f>
        <v>0</v>
      </c>
      <c r="H7213" s="8">
        <f>IFERROR(__xludf.DUMMYFUNCTION("""COMPUTED_VALUE"""),500000.0)</f>
        <v>500000</v>
      </c>
      <c r="I7213" s="24">
        <f>IFERROR(__xludf.DUMMYFUNCTION("""COMPUTED_VALUE"""),0.0)</f>
        <v>0</v>
      </c>
    </row>
    <row r="7214">
      <c r="A7214" s="5" t="str">
        <f>IFERROR(__xludf.DUMMYFUNCTION("""COMPUTED_VALUE"""),"84216")</f>
        <v>84216</v>
      </c>
      <c r="B7214" s="64">
        <f>IFERROR(__xludf.DUMMYFUNCTION("""COMPUTED_VALUE"""),44637.0)</f>
        <v>44637</v>
      </c>
      <c r="C7214" s="5"/>
      <c r="D7214" s="5"/>
      <c r="E7214" s="5"/>
      <c r="F7214" s="25">
        <f>IFERROR(__xludf.DUMMYFUNCTION("""COMPUTED_VALUE"""),500000.0)</f>
        <v>500000</v>
      </c>
      <c r="G7214" s="25">
        <f>IFERROR(__xludf.DUMMYFUNCTION("""COMPUTED_VALUE"""),0.0)</f>
        <v>0</v>
      </c>
      <c r="H7214" s="8">
        <f>IFERROR(__xludf.DUMMYFUNCTION("""COMPUTED_VALUE"""),500000.0)</f>
        <v>500000</v>
      </c>
      <c r="I7214" s="24">
        <f>IFERROR(__xludf.DUMMYFUNCTION("""COMPUTED_VALUE"""),0.0)</f>
        <v>0</v>
      </c>
    </row>
    <row r="7215">
      <c r="A7215" s="5" t="str">
        <f>IFERROR(__xludf.DUMMYFUNCTION("""COMPUTED_VALUE"""),"84216")</f>
        <v>84216</v>
      </c>
      <c r="B7215" s="64">
        <f>IFERROR(__xludf.DUMMYFUNCTION("""COMPUTED_VALUE"""),44638.0)</f>
        <v>44638</v>
      </c>
      <c r="C7215" s="5"/>
      <c r="D7215" s="5"/>
      <c r="E7215" s="5"/>
      <c r="F7215" s="25">
        <f>IFERROR(__xludf.DUMMYFUNCTION("""COMPUTED_VALUE"""),500000.0)</f>
        <v>500000</v>
      </c>
      <c r="G7215" s="25">
        <f>IFERROR(__xludf.DUMMYFUNCTION("""COMPUTED_VALUE"""),0.0)</f>
        <v>0</v>
      </c>
      <c r="H7215" s="8">
        <f>IFERROR(__xludf.DUMMYFUNCTION("""COMPUTED_VALUE"""),500000.0)</f>
        <v>500000</v>
      </c>
      <c r="I7215" s="24">
        <f>IFERROR(__xludf.DUMMYFUNCTION("""COMPUTED_VALUE"""),0.0)</f>
        <v>0</v>
      </c>
    </row>
    <row r="7216">
      <c r="A7216" s="5" t="str">
        <f>IFERROR(__xludf.DUMMYFUNCTION("""COMPUTED_VALUE"""),"84216")</f>
        <v>84216</v>
      </c>
      <c r="B7216" s="64">
        <f>IFERROR(__xludf.DUMMYFUNCTION("""COMPUTED_VALUE"""),44639.0)</f>
        <v>44639</v>
      </c>
      <c r="C7216" s="5"/>
      <c r="D7216" s="5"/>
      <c r="E7216" s="5"/>
      <c r="F7216" s="25">
        <f>IFERROR(__xludf.DUMMYFUNCTION("""COMPUTED_VALUE"""),500000.0)</f>
        <v>500000</v>
      </c>
      <c r="G7216" s="25">
        <f>IFERROR(__xludf.DUMMYFUNCTION("""COMPUTED_VALUE"""),0.0)</f>
        <v>0</v>
      </c>
      <c r="H7216" s="8">
        <f>IFERROR(__xludf.DUMMYFUNCTION("""COMPUTED_VALUE"""),500000.0)</f>
        <v>500000</v>
      </c>
      <c r="I7216" s="24">
        <f>IFERROR(__xludf.DUMMYFUNCTION("""COMPUTED_VALUE"""),0.0)</f>
        <v>0</v>
      </c>
    </row>
    <row r="7217">
      <c r="A7217" s="5" t="str">
        <f>IFERROR(__xludf.DUMMYFUNCTION("""COMPUTED_VALUE"""),"84216")</f>
        <v>84216</v>
      </c>
      <c r="B7217" s="64">
        <f>IFERROR(__xludf.DUMMYFUNCTION("""COMPUTED_VALUE"""),44640.0)</f>
        <v>44640</v>
      </c>
      <c r="C7217" s="5"/>
      <c r="D7217" s="5"/>
      <c r="E7217" s="5"/>
      <c r="F7217" s="25">
        <f>IFERROR(__xludf.DUMMYFUNCTION("""COMPUTED_VALUE"""),500000.0)</f>
        <v>500000</v>
      </c>
      <c r="G7217" s="25">
        <f>IFERROR(__xludf.DUMMYFUNCTION("""COMPUTED_VALUE"""),0.0)</f>
        <v>0</v>
      </c>
      <c r="H7217" s="8">
        <f>IFERROR(__xludf.DUMMYFUNCTION("""COMPUTED_VALUE"""),500000.0)</f>
        <v>500000</v>
      </c>
      <c r="I7217" s="24">
        <f>IFERROR(__xludf.DUMMYFUNCTION("""COMPUTED_VALUE"""),0.0)</f>
        <v>0</v>
      </c>
    </row>
    <row r="7218">
      <c r="A7218" s="5" t="str">
        <f>IFERROR(__xludf.DUMMYFUNCTION("""COMPUTED_VALUE"""),"84216")</f>
        <v>84216</v>
      </c>
      <c r="B7218" s="64">
        <f>IFERROR(__xludf.DUMMYFUNCTION("""COMPUTED_VALUE"""),44641.0)</f>
        <v>44641</v>
      </c>
      <c r="C7218" s="5"/>
      <c r="D7218" s="5"/>
      <c r="E7218" s="5"/>
      <c r="F7218" s="25">
        <f>IFERROR(__xludf.DUMMYFUNCTION("""COMPUTED_VALUE"""),500000.0)</f>
        <v>500000</v>
      </c>
      <c r="G7218" s="25">
        <f>IFERROR(__xludf.DUMMYFUNCTION("""COMPUTED_VALUE"""),0.0)</f>
        <v>0</v>
      </c>
      <c r="H7218" s="8">
        <f>IFERROR(__xludf.DUMMYFUNCTION("""COMPUTED_VALUE"""),500000.0)</f>
        <v>500000</v>
      </c>
      <c r="I7218" s="24">
        <f>IFERROR(__xludf.DUMMYFUNCTION("""COMPUTED_VALUE"""),0.0)</f>
        <v>0</v>
      </c>
    </row>
    <row r="7219">
      <c r="A7219" s="5" t="str">
        <f>IFERROR(__xludf.DUMMYFUNCTION("""COMPUTED_VALUE"""),"84216")</f>
        <v>84216</v>
      </c>
      <c r="B7219" s="64">
        <f>IFERROR(__xludf.DUMMYFUNCTION("""COMPUTED_VALUE"""),44642.0)</f>
        <v>44642</v>
      </c>
      <c r="C7219" s="5"/>
      <c r="D7219" s="5"/>
      <c r="E7219" s="5"/>
      <c r="F7219" s="25">
        <f>IFERROR(__xludf.DUMMYFUNCTION("""COMPUTED_VALUE"""),500000.0)</f>
        <v>500000</v>
      </c>
      <c r="G7219" s="25">
        <f>IFERROR(__xludf.DUMMYFUNCTION("""COMPUTED_VALUE"""),0.0)</f>
        <v>0</v>
      </c>
      <c r="H7219" s="8">
        <f>IFERROR(__xludf.DUMMYFUNCTION("""COMPUTED_VALUE"""),500000.0)</f>
        <v>500000</v>
      </c>
      <c r="I7219" s="24">
        <f>IFERROR(__xludf.DUMMYFUNCTION("""COMPUTED_VALUE"""),0.0)</f>
        <v>0</v>
      </c>
    </row>
    <row r="7220">
      <c r="A7220" s="5" t="str">
        <f>IFERROR(__xludf.DUMMYFUNCTION("""COMPUTED_VALUE"""),"84216")</f>
        <v>84216</v>
      </c>
      <c r="B7220" s="64">
        <f>IFERROR(__xludf.DUMMYFUNCTION("""COMPUTED_VALUE"""),44643.0)</f>
        <v>44643</v>
      </c>
      <c r="C7220" s="5"/>
      <c r="D7220" s="5"/>
      <c r="E7220" s="5"/>
      <c r="F7220" s="25">
        <f>IFERROR(__xludf.DUMMYFUNCTION("""COMPUTED_VALUE"""),500000.0)</f>
        <v>500000</v>
      </c>
      <c r="G7220" s="25">
        <f>IFERROR(__xludf.DUMMYFUNCTION("""COMPUTED_VALUE"""),0.0)</f>
        <v>0</v>
      </c>
      <c r="H7220" s="8">
        <f>IFERROR(__xludf.DUMMYFUNCTION("""COMPUTED_VALUE"""),500000.0)</f>
        <v>500000</v>
      </c>
      <c r="I7220" s="24">
        <f>IFERROR(__xludf.DUMMYFUNCTION("""COMPUTED_VALUE"""),0.0)</f>
        <v>0</v>
      </c>
    </row>
    <row r="7221">
      <c r="A7221" s="5" t="str">
        <f>IFERROR(__xludf.DUMMYFUNCTION("""COMPUTED_VALUE"""),"84216")</f>
        <v>84216</v>
      </c>
      <c r="B7221" s="64">
        <f>IFERROR(__xludf.DUMMYFUNCTION("""COMPUTED_VALUE"""),44644.0)</f>
        <v>44644</v>
      </c>
      <c r="C7221" s="5"/>
      <c r="D7221" s="5"/>
      <c r="E7221" s="5"/>
      <c r="F7221" s="25">
        <f>IFERROR(__xludf.DUMMYFUNCTION("""COMPUTED_VALUE"""),500000.0)</f>
        <v>500000</v>
      </c>
      <c r="G7221" s="25">
        <f>IFERROR(__xludf.DUMMYFUNCTION("""COMPUTED_VALUE"""),0.0)</f>
        <v>0</v>
      </c>
      <c r="H7221" s="8">
        <f>IFERROR(__xludf.DUMMYFUNCTION("""COMPUTED_VALUE"""),500000.0)</f>
        <v>500000</v>
      </c>
      <c r="I7221" s="24">
        <f>IFERROR(__xludf.DUMMYFUNCTION("""COMPUTED_VALUE"""),0.0)</f>
        <v>0</v>
      </c>
    </row>
    <row r="7222">
      <c r="A7222" s="5" t="str">
        <f>IFERROR(__xludf.DUMMYFUNCTION("""COMPUTED_VALUE"""),"84216")</f>
        <v>84216</v>
      </c>
      <c r="B7222" s="64">
        <f>IFERROR(__xludf.DUMMYFUNCTION("""COMPUTED_VALUE"""),44645.0)</f>
        <v>44645</v>
      </c>
      <c r="C7222" s="5"/>
      <c r="D7222" s="5"/>
      <c r="E7222" s="5"/>
      <c r="F7222" s="25">
        <f>IFERROR(__xludf.DUMMYFUNCTION("""COMPUTED_VALUE"""),500000.0)</f>
        <v>500000</v>
      </c>
      <c r="G7222" s="25">
        <f>IFERROR(__xludf.DUMMYFUNCTION("""COMPUTED_VALUE"""),0.0)</f>
        <v>0</v>
      </c>
      <c r="H7222" s="8">
        <f>IFERROR(__xludf.DUMMYFUNCTION("""COMPUTED_VALUE"""),500000.0)</f>
        <v>500000</v>
      </c>
      <c r="I7222" s="24">
        <f>IFERROR(__xludf.DUMMYFUNCTION("""COMPUTED_VALUE"""),0.0)</f>
        <v>0</v>
      </c>
    </row>
    <row r="7223">
      <c r="A7223" s="5" t="str">
        <f>IFERROR(__xludf.DUMMYFUNCTION("""COMPUTED_VALUE"""),"84216")</f>
        <v>84216</v>
      </c>
      <c r="B7223" s="64">
        <f>IFERROR(__xludf.DUMMYFUNCTION("""COMPUTED_VALUE"""),44646.0)</f>
        <v>44646</v>
      </c>
      <c r="C7223" s="5"/>
      <c r="D7223" s="5"/>
      <c r="E7223" s="5"/>
      <c r="F7223" s="25">
        <f>IFERROR(__xludf.DUMMYFUNCTION("""COMPUTED_VALUE"""),500000.0)</f>
        <v>500000</v>
      </c>
      <c r="G7223" s="25">
        <f>IFERROR(__xludf.DUMMYFUNCTION("""COMPUTED_VALUE"""),0.0)</f>
        <v>0</v>
      </c>
      <c r="H7223" s="8">
        <f>IFERROR(__xludf.DUMMYFUNCTION("""COMPUTED_VALUE"""),500000.0)</f>
        <v>500000</v>
      </c>
      <c r="I7223" s="24">
        <f>IFERROR(__xludf.DUMMYFUNCTION("""COMPUTED_VALUE"""),0.0)</f>
        <v>0</v>
      </c>
    </row>
    <row r="7224">
      <c r="A7224" s="5" t="str">
        <f>IFERROR(__xludf.DUMMYFUNCTION("""COMPUTED_VALUE"""),"84216")</f>
        <v>84216</v>
      </c>
      <c r="B7224" s="64">
        <f>IFERROR(__xludf.DUMMYFUNCTION("""COMPUTED_VALUE"""),44647.0)</f>
        <v>44647</v>
      </c>
      <c r="C7224" s="5"/>
      <c r="D7224" s="5"/>
      <c r="E7224" s="5"/>
      <c r="F7224" s="25">
        <f>IFERROR(__xludf.DUMMYFUNCTION("""COMPUTED_VALUE"""),500000.0)</f>
        <v>500000</v>
      </c>
      <c r="G7224" s="25">
        <f>IFERROR(__xludf.DUMMYFUNCTION("""COMPUTED_VALUE"""),0.0)</f>
        <v>0</v>
      </c>
      <c r="H7224" s="8">
        <f>IFERROR(__xludf.DUMMYFUNCTION("""COMPUTED_VALUE"""),500000.0)</f>
        <v>500000</v>
      </c>
      <c r="I7224" s="24">
        <f>IFERROR(__xludf.DUMMYFUNCTION("""COMPUTED_VALUE"""),0.0)</f>
        <v>0</v>
      </c>
    </row>
    <row r="7225">
      <c r="A7225" s="5" t="str">
        <f>IFERROR(__xludf.DUMMYFUNCTION("""COMPUTED_VALUE"""),"84216")</f>
        <v>84216</v>
      </c>
      <c r="B7225" s="64">
        <f>IFERROR(__xludf.DUMMYFUNCTION("""COMPUTED_VALUE"""),44648.0)</f>
        <v>44648</v>
      </c>
      <c r="C7225" s="5"/>
      <c r="D7225" s="5"/>
      <c r="E7225" s="5"/>
      <c r="F7225" s="25">
        <f>IFERROR(__xludf.DUMMYFUNCTION("""COMPUTED_VALUE"""),500000.0)</f>
        <v>500000</v>
      </c>
      <c r="G7225" s="25">
        <f>IFERROR(__xludf.DUMMYFUNCTION("""COMPUTED_VALUE"""),0.0)</f>
        <v>0</v>
      </c>
      <c r="H7225" s="8">
        <f>IFERROR(__xludf.DUMMYFUNCTION("""COMPUTED_VALUE"""),500000.0)</f>
        <v>500000</v>
      </c>
      <c r="I7225" s="24">
        <f>IFERROR(__xludf.DUMMYFUNCTION("""COMPUTED_VALUE"""),0.0)</f>
        <v>0</v>
      </c>
    </row>
    <row r="7226">
      <c r="A7226" s="5" t="str">
        <f>IFERROR(__xludf.DUMMYFUNCTION("""COMPUTED_VALUE"""),"84216")</f>
        <v>84216</v>
      </c>
      <c r="B7226" s="64">
        <f>IFERROR(__xludf.DUMMYFUNCTION("""COMPUTED_VALUE"""),44649.0)</f>
        <v>44649</v>
      </c>
      <c r="C7226" s="5"/>
      <c r="D7226" s="5"/>
      <c r="E7226" s="5"/>
      <c r="F7226" s="25">
        <f>IFERROR(__xludf.DUMMYFUNCTION("""COMPUTED_VALUE"""),500000.0)</f>
        <v>500000</v>
      </c>
      <c r="G7226" s="25">
        <f>IFERROR(__xludf.DUMMYFUNCTION("""COMPUTED_VALUE"""),0.0)</f>
        <v>0</v>
      </c>
      <c r="H7226" s="8">
        <f>IFERROR(__xludf.DUMMYFUNCTION("""COMPUTED_VALUE"""),500000.0)</f>
        <v>500000</v>
      </c>
      <c r="I7226" s="24">
        <f>IFERROR(__xludf.DUMMYFUNCTION("""COMPUTED_VALUE"""),0.0)</f>
        <v>0</v>
      </c>
    </row>
    <row r="7227">
      <c r="A7227" s="5" t="str">
        <f>IFERROR(__xludf.DUMMYFUNCTION("""COMPUTED_VALUE"""),"84216")</f>
        <v>84216</v>
      </c>
      <c r="B7227" s="64">
        <f>IFERROR(__xludf.DUMMYFUNCTION("""COMPUTED_VALUE"""),44650.0)</f>
        <v>44650</v>
      </c>
      <c r="C7227" s="5"/>
      <c r="D7227" s="5"/>
      <c r="E7227" s="5"/>
      <c r="F7227" s="25">
        <f>IFERROR(__xludf.DUMMYFUNCTION("""COMPUTED_VALUE"""),500000.0)</f>
        <v>500000</v>
      </c>
      <c r="G7227" s="25">
        <f>IFERROR(__xludf.DUMMYFUNCTION("""COMPUTED_VALUE"""),0.0)</f>
        <v>0</v>
      </c>
      <c r="H7227" s="8">
        <f>IFERROR(__xludf.DUMMYFUNCTION("""COMPUTED_VALUE"""),500000.0)</f>
        <v>500000</v>
      </c>
      <c r="I7227" s="24">
        <f>IFERROR(__xludf.DUMMYFUNCTION("""COMPUTED_VALUE"""),0.0)</f>
        <v>0</v>
      </c>
    </row>
    <row r="7228">
      <c r="A7228" s="5" t="str">
        <f>IFERROR(__xludf.DUMMYFUNCTION("""COMPUTED_VALUE"""),"84216")</f>
        <v>84216</v>
      </c>
      <c r="B7228" s="64">
        <f>IFERROR(__xludf.DUMMYFUNCTION("""COMPUTED_VALUE"""),44651.0)</f>
        <v>44651</v>
      </c>
      <c r="C7228" s="5"/>
      <c r="D7228" s="5"/>
      <c r="E7228" s="5"/>
      <c r="F7228" s="25">
        <f>IFERROR(__xludf.DUMMYFUNCTION("""COMPUTED_VALUE"""),500000.0)</f>
        <v>500000</v>
      </c>
      <c r="G7228" s="25">
        <f>IFERROR(__xludf.DUMMYFUNCTION("""COMPUTED_VALUE"""),0.0)</f>
        <v>0</v>
      </c>
      <c r="H7228" s="8">
        <f>IFERROR(__xludf.DUMMYFUNCTION("""COMPUTED_VALUE"""),500000.0)</f>
        <v>500000</v>
      </c>
      <c r="I7228" s="24">
        <f>IFERROR(__xludf.DUMMYFUNCTION("""COMPUTED_VALUE"""),0.0)</f>
        <v>0</v>
      </c>
    </row>
    <row r="7229">
      <c r="A7229" s="5" t="str">
        <f>IFERROR(__xludf.DUMMYFUNCTION("""COMPUTED_VALUE"""),"84216")</f>
        <v>84216</v>
      </c>
      <c r="B7229" s="64">
        <f>IFERROR(__xludf.DUMMYFUNCTION("""COMPUTED_VALUE"""),44652.0)</f>
        <v>44652</v>
      </c>
      <c r="C7229" s="5"/>
      <c r="D7229" s="5"/>
      <c r="E7229" s="5"/>
      <c r="F7229" s="25">
        <f>IFERROR(__xludf.DUMMYFUNCTION("""COMPUTED_VALUE"""),500000.0)</f>
        <v>500000</v>
      </c>
      <c r="G7229" s="25">
        <f>IFERROR(__xludf.DUMMYFUNCTION("""COMPUTED_VALUE"""),0.0)</f>
        <v>0</v>
      </c>
      <c r="H7229" s="8">
        <f>IFERROR(__xludf.DUMMYFUNCTION("""COMPUTED_VALUE"""),500000.0)</f>
        <v>500000</v>
      </c>
      <c r="I7229" s="24">
        <f>IFERROR(__xludf.DUMMYFUNCTION("""COMPUTED_VALUE"""),0.0)</f>
        <v>0</v>
      </c>
    </row>
    <row r="7230">
      <c r="A7230" s="5" t="str">
        <f>IFERROR(__xludf.DUMMYFUNCTION("""COMPUTED_VALUE"""),"84216")</f>
        <v>84216</v>
      </c>
      <c r="B7230" s="64">
        <f>IFERROR(__xludf.DUMMYFUNCTION("""COMPUTED_VALUE"""),44653.0)</f>
        <v>44653</v>
      </c>
      <c r="C7230" s="5"/>
      <c r="D7230" s="5"/>
      <c r="E7230" s="5"/>
      <c r="F7230" s="25">
        <f>IFERROR(__xludf.DUMMYFUNCTION("""COMPUTED_VALUE"""),500000.0)</f>
        <v>500000</v>
      </c>
      <c r="G7230" s="25">
        <f>IFERROR(__xludf.DUMMYFUNCTION("""COMPUTED_VALUE"""),0.0)</f>
        <v>0</v>
      </c>
      <c r="H7230" s="8">
        <f>IFERROR(__xludf.DUMMYFUNCTION("""COMPUTED_VALUE"""),500000.0)</f>
        <v>500000</v>
      </c>
      <c r="I7230" s="24">
        <f>IFERROR(__xludf.DUMMYFUNCTION("""COMPUTED_VALUE"""),0.0)</f>
        <v>0</v>
      </c>
    </row>
    <row r="7231">
      <c r="A7231" s="5" t="str">
        <f>IFERROR(__xludf.DUMMYFUNCTION("""COMPUTED_VALUE"""),"84216")</f>
        <v>84216</v>
      </c>
      <c r="B7231" s="64">
        <f>IFERROR(__xludf.DUMMYFUNCTION("""COMPUTED_VALUE"""),44654.0)</f>
        <v>44654</v>
      </c>
      <c r="C7231" s="5"/>
      <c r="D7231" s="5"/>
      <c r="E7231" s="5"/>
      <c r="F7231" s="25">
        <f>IFERROR(__xludf.DUMMYFUNCTION("""COMPUTED_VALUE"""),500000.0)</f>
        <v>500000</v>
      </c>
      <c r="G7231" s="25">
        <f>IFERROR(__xludf.DUMMYFUNCTION("""COMPUTED_VALUE"""),0.0)</f>
        <v>0</v>
      </c>
      <c r="H7231" s="8">
        <f>IFERROR(__xludf.DUMMYFUNCTION("""COMPUTED_VALUE"""),500000.0)</f>
        <v>500000</v>
      </c>
      <c r="I7231" s="24">
        <f>IFERROR(__xludf.DUMMYFUNCTION("""COMPUTED_VALUE"""),0.0)</f>
        <v>0</v>
      </c>
    </row>
    <row r="7232">
      <c r="A7232" s="5" t="str">
        <f>IFERROR(__xludf.DUMMYFUNCTION("""COMPUTED_VALUE"""),"84216")</f>
        <v>84216</v>
      </c>
      <c r="B7232" s="64">
        <f>IFERROR(__xludf.DUMMYFUNCTION("""COMPUTED_VALUE"""),44655.0)</f>
        <v>44655</v>
      </c>
      <c r="C7232" s="5"/>
      <c r="D7232" s="5"/>
      <c r="E7232" s="5"/>
      <c r="F7232" s="25">
        <f>IFERROR(__xludf.DUMMYFUNCTION("""COMPUTED_VALUE"""),500000.0)</f>
        <v>500000</v>
      </c>
      <c r="G7232" s="25">
        <f>IFERROR(__xludf.DUMMYFUNCTION("""COMPUTED_VALUE"""),0.0)</f>
        <v>0</v>
      </c>
      <c r="H7232" s="8">
        <f>IFERROR(__xludf.DUMMYFUNCTION("""COMPUTED_VALUE"""),500000.0)</f>
        <v>500000</v>
      </c>
      <c r="I7232" s="24">
        <f>IFERROR(__xludf.DUMMYFUNCTION("""COMPUTED_VALUE"""),0.0)</f>
        <v>0</v>
      </c>
    </row>
    <row r="7233">
      <c r="A7233" s="5" t="str">
        <f>IFERROR(__xludf.DUMMYFUNCTION("""COMPUTED_VALUE"""),"84216")</f>
        <v>84216</v>
      </c>
      <c r="B7233" s="64">
        <f>IFERROR(__xludf.DUMMYFUNCTION("""COMPUTED_VALUE"""),44656.0)</f>
        <v>44656</v>
      </c>
      <c r="C7233" s="5"/>
      <c r="D7233" s="5"/>
      <c r="E7233" s="5"/>
      <c r="F7233" s="25">
        <f>IFERROR(__xludf.DUMMYFUNCTION("""COMPUTED_VALUE"""),500000.0)</f>
        <v>500000</v>
      </c>
      <c r="G7233" s="25">
        <f>IFERROR(__xludf.DUMMYFUNCTION("""COMPUTED_VALUE"""),0.0)</f>
        <v>0</v>
      </c>
      <c r="H7233" s="8">
        <f>IFERROR(__xludf.DUMMYFUNCTION("""COMPUTED_VALUE"""),500000.0)</f>
        <v>500000</v>
      </c>
      <c r="I7233" s="24">
        <f>IFERROR(__xludf.DUMMYFUNCTION("""COMPUTED_VALUE"""),0.0)</f>
        <v>0</v>
      </c>
    </row>
    <row r="7234">
      <c r="A7234" s="5" t="str">
        <f>IFERROR(__xludf.DUMMYFUNCTION("""COMPUTED_VALUE"""),"84216")</f>
        <v>84216</v>
      </c>
      <c r="B7234" s="64">
        <f>IFERROR(__xludf.DUMMYFUNCTION("""COMPUTED_VALUE"""),44657.0)</f>
        <v>44657</v>
      </c>
      <c r="C7234" s="5"/>
      <c r="D7234" s="5"/>
      <c r="E7234" s="5"/>
      <c r="F7234" s="25">
        <f>IFERROR(__xludf.DUMMYFUNCTION("""COMPUTED_VALUE"""),500000.0)</f>
        <v>500000</v>
      </c>
      <c r="G7234" s="25">
        <f>IFERROR(__xludf.DUMMYFUNCTION("""COMPUTED_VALUE"""),0.0)</f>
        <v>0</v>
      </c>
      <c r="H7234" s="8">
        <f>IFERROR(__xludf.DUMMYFUNCTION("""COMPUTED_VALUE"""),500000.0)</f>
        <v>500000</v>
      </c>
      <c r="I7234" s="24">
        <f>IFERROR(__xludf.DUMMYFUNCTION("""COMPUTED_VALUE"""),0.0)</f>
        <v>0</v>
      </c>
    </row>
    <row r="7235">
      <c r="A7235" s="5" t="str">
        <f>IFERROR(__xludf.DUMMYFUNCTION("""COMPUTED_VALUE"""),"84216")</f>
        <v>84216</v>
      </c>
      <c r="B7235" s="64">
        <f>IFERROR(__xludf.DUMMYFUNCTION("""COMPUTED_VALUE"""),44658.0)</f>
        <v>44658</v>
      </c>
      <c r="C7235" s="5"/>
      <c r="D7235" s="5"/>
      <c r="E7235" s="5"/>
      <c r="F7235" s="25">
        <f>IFERROR(__xludf.DUMMYFUNCTION("""COMPUTED_VALUE"""),500000.0)</f>
        <v>500000</v>
      </c>
      <c r="G7235" s="25">
        <f>IFERROR(__xludf.DUMMYFUNCTION("""COMPUTED_VALUE"""),0.0)</f>
        <v>0</v>
      </c>
      <c r="H7235" s="8">
        <f>IFERROR(__xludf.DUMMYFUNCTION("""COMPUTED_VALUE"""),500000.0)</f>
        <v>500000</v>
      </c>
      <c r="I7235" s="24">
        <f>IFERROR(__xludf.DUMMYFUNCTION("""COMPUTED_VALUE"""),0.0)</f>
        <v>0</v>
      </c>
    </row>
    <row r="7236">
      <c r="A7236" s="5" t="str">
        <f>IFERROR(__xludf.DUMMYFUNCTION("""COMPUTED_VALUE"""),"84216")</f>
        <v>84216</v>
      </c>
      <c r="B7236" s="64">
        <f>IFERROR(__xludf.DUMMYFUNCTION("""COMPUTED_VALUE"""),44659.0)</f>
        <v>44659</v>
      </c>
      <c r="C7236" s="5"/>
      <c r="D7236" s="5"/>
      <c r="E7236" s="5"/>
      <c r="F7236" s="25">
        <f>IFERROR(__xludf.DUMMYFUNCTION("""COMPUTED_VALUE"""),500000.0)</f>
        <v>500000</v>
      </c>
      <c r="G7236" s="25">
        <f>IFERROR(__xludf.DUMMYFUNCTION("""COMPUTED_VALUE"""),0.0)</f>
        <v>0</v>
      </c>
      <c r="H7236" s="8">
        <f>IFERROR(__xludf.DUMMYFUNCTION("""COMPUTED_VALUE"""),500000.0)</f>
        <v>500000</v>
      </c>
      <c r="I7236" s="24">
        <f>IFERROR(__xludf.DUMMYFUNCTION("""COMPUTED_VALUE"""),0.0)</f>
        <v>0</v>
      </c>
    </row>
    <row r="7237">
      <c r="A7237" s="5" t="str">
        <f>IFERROR(__xludf.DUMMYFUNCTION("""COMPUTED_VALUE"""),"84216")</f>
        <v>84216</v>
      </c>
      <c r="B7237" s="64">
        <f>IFERROR(__xludf.DUMMYFUNCTION("""COMPUTED_VALUE"""),44660.0)</f>
        <v>44660</v>
      </c>
      <c r="C7237" s="5"/>
      <c r="D7237" s="5"/>
      <c r="E7237" s="5"/>
      <c r="F7237" s="25">
        <f>IFERROR(__xludf.DUMMYFUNCTION("""COMPUTED_VALUE"""),500000.0)</f>
        <v>500000</v>
      </c>
      <c r="G7237" s="25">
        <f>IFERROR(__xludf.DUMMYFUNCTION("""COMPUTED_VALUE"""),0.0)</f>
        <v>0</v>
      </c>
      <c r="H7237" s="8">
        <f>IFERROR(__xludf.DUMMYFUNCTION("""COMPUTED_VALUE"""),500000.0)</f>
        <v>500000</v>
      </c>
      <c r="I7237" s="24">
        <f>IFERROR(__xludf.DUMMYFUNCTION("""COMPUTED_VALUE"""),0.0)</f>
        <v>0</v>
      </c>
    </row>
    <row r="7238">
      <c r="A7238" s="5" t="str">
        <f>IFERROR(__xludf.DUMMYFUNCTION("""COMPUTED_VALUE"""),"84216")</f>
        <v>84216</v>
      </c>
      <c r="B7238" s="64">
        <f>IFERROR(__xludf.DUMMYFUNCTION("""COMPUTED_VALUE"""),44661.0)</f>
        <v>44661</v>
      </c>
      <c r="C7238" s="5"/>
      <c r="D7238" s="5"/>
      <c r="E7238" s="5"/>
      <c r="F7238" s="25">
        <f>IFERROR(__xludf.DUMMYFUNCTION("""COMPUTED_VALUE"""),500000.0)</f>
        <v>500000</v>
      </c>
      <c r="G7238" s="25">
        <f>IFERROR(__xludf.DUMMYFUNCTION("""COMPUTED_VALUE"""),0.0)</f>
        <v>0</v>
      </c>
      <c r="H7238" s="8">
        <f>IFERROR(__xludf.DUMMYFUNCTION("""COMPUTED_VALUE"""),500000.0)</f>
        <v>500000</v>
      </c>
      <c r="I7238" s="24">
        <f>IFERROR(__xludf.DUMMYFUNCTION("""COMPUTED_VALUE"""),0.0)</f>
        <v>0</v>
      </c>
    </row>
    <row r="7239">
      <c r="A7239" s="5" t="str">
        <f>IFERROR(__xludf.DUMMYFUNCTION("""COMPUTED_VALUE"""),"84216")</f>
        <v>84216</v>
      </c>
      <c r="B7239" s="64">
        <f>IFERROR(__xludf.DUMMYFUNCTION("""COMPUTED_VALUE"""),44662.0)</f>
        <v>44662</v>
      </c>
      <c r="C7239" s="5"/>
      <c r="D7239" s="5"/>
      <c r="E7239" s="5"/>
      <c r="F7239" s="25">
        <f>IFERROR(__xludf.DUMMYFUNCTION("""COMPUTED_VALUE"""),-18647.34083499998)</f>
        <v>-18647.34084</v>
      </c>
      <c r="G7239" s="25">
        <f>IFERROR(__xludf.DUMMYFUNCTION("""COMPUTED_VALUE"""),18647.34083499998)</f>
        <v>18647.34084</v>
      </c>
      <c r="H7239" s="8">
        <f>IFERROR(__xludf.DUMMYFUNCTION("""COMPUTED_VALUE"""),500000.0)</f>
        <v>500000</v>
      </c>
      <c r="I7239" s="24">
        <f>IFERROR(__xludf.DUMMYFUNCTION("""COMPUTED_VALUE"""),0.0)</f>
        <v>0</v>
      </c>
    </row>
    <row r="7240">
      <c r="A7240" s="5" t="str">
        <f>IFERROR(__xludf.DUMMYFUNCTION("""COMPUTED_VALUE"""),"84216")</f>
        <v>84216</v>
      </c>
      <c r="B7240" s="64">
        <f>IFERROR(__xludf.DUMMYFUNCTION("""COMPUTED_VALUE"""),44663.0)</f>
        <v>44663</v>
      </c>
      <c r="C7240" s="5"/>
      <c r="D7240" s="5"/>
      <c r="E7240" s="5"/>
      <c r="F7240" s="25">
        <f>IFERROR(__xludf.DUMMYFUNCTION("""COMPUTED_VALUE"""),-18647.34083499998)</f>
        <v>-18647.34084</v>
      </c>
      <c r="G7240" s="25">
        <f>IFERROR(__xludf.DUMMYFUNCTION("""COMPUTED_VALUE"""),18647.34083499998)</f>
        <v>18647.34084</v>
      </c>
      <c r="H7240" s="8">
        <f>IFERROR(__xludf.DUMMYFUNCTION("""COMPUTED_VALUE"""),477217.430735)</f>
        <v>477217.4307</v>
      </c>
      <c r="I7240" s="24">
        <f>IFERROR(__xludf.DUMMYFUNCTION("""COMPUTED_VALUE"""),-0.04556513852999999)</f>
        <v>-0.04556513853</v>
      </c>
    </row>
    <row r="7241">
      <c r="A7241" s="5" t="str">
        <f>IFERROR(__xludf.DUMMYFUNCTION("""COMPUTED_VALUE"""),"89651")</f>
        <v>89651</v>
      </c>
      <c r="B7241" s="64">
        <f>IFERROR(__xludf.DUMMYFUNCTION("""COMPUTED_VALUE"""),44597.0)</f>
        <v>44597</v>
      </c>
      <c r="C7241" s="5"/>
      <c r="D7241" s="5"/>
      <c r="E7241" s="5"/>
      <c r="F7241" s="25">
        <f>IFERROR(__xludf.DUMMYFUNCTION("""COMPUTED_VALUE"""),500000.0)</f>
        <v>500000</v>
      </c>
      <c r="G7241" s="25">
        <f>IFERROR(__xludf.DUMMYFUNCTION("""COMPUTED_VALUE"""),0.0)</f>
        <v>0</v>
      </c>
      <c r="H7241" s="8">
        <f>IFERROR(__xludf.DUMMYFUNCTION("""COMPUTED_VALUE"""),500000.0)</f>
        <v>500000</v>
      </c>
      <c r="I7241" s="24">
        <f>IFERROR(__xludf.DUMMYFUNCTION("""COMPUTED_VALUE"""),0.0)</f>
        <v>0</v>
      </c>
    </row>
    <row r="7242">
      <c r="A7242" s="5" t="str">
        <f>IFERROR(__xludf.DUMMYFUNCTION("""COMPUTED_VALUE"""),"89651")</f>
        <v>89651</v>
      </c>
      <c r="B7242" s="64">
        <f>IFERROR(__xludf.DUMMYFUNCTION("""COMPUTED_VALUE"""),44598.0)</f>
        <v>44598</v>
      </c>
      <c r="C7242" s="5"/>
      <c r="D7242" s="5"/>
      <c r="E7242" s="5"/>
      <c r="F7242" s="25">
        <f>IFERROR(__xludf.DUMMYFUNCTION("""COMPUTED_VALUE"""),500000.0)</f>
        <v>500000</v>
      </c>
      <c r="G7242" s="25">
        <f>IFERROR(__xludf.DUMMYFUNCTION("""COMPUTED_VALUE"""),0.0)</f>
        <v>0</v>
      </c>
      <c r="H7242" s="8">
        <f>IFERROR(__xludf.DUMMYFUNCTION("""COMPUTED_VALUE"""),500000.0)</f>
        <v>500000</v>
      </c>
      <c r="I7242" s="24">
        <f>IFERROR(__xludf.DUMMYFUNCTION("""COMPUTED_VALUE"""),0.0)</f>
        <v>0</v>
      </c>
    </row>
    <row r="7243">
      <c r="A7243" s="5" t="str">
        <f>IFERROR(__xludf.DUMMYFUNCTION("""COMPUTED_VALUE"""),"89651")</f>
        <v>89651</v>
      </c>
      <c r="B7243" s="64">
        <f>IFERROR(__xludf.DUMMYFUNCTION("""COMPUTED_VALUE"""),44599.0)</f>
        <v>44599</v>
      </c>
      <c r="C7243" s="5"/>
      <c r="D7243" s="5"/>
      <c r="E7243" s="5"/>
      <c r="F7243" s="25">
        <f>IFERROR(__xludf.DUMMYFUNCTION("""COMPUTED_VALUE"""),500000.0)</f>
        <v>500000</v>
      </c>
      <c r="G7243" s="25">
        <f>IFERROR(__xludf.DUMMYFUNCTION("""COMPUTED_VALUE"""),0.0)</f>
        <v>0</v>
      </c>
      <c r="H7243" s="8">
        <f>IFERROR(__xludf.DUMMYFUNCTION("""COMPUTED_VALUE"""),500000.0)</f>
        <v>500000</v>
      </c>
      <c r="I7243" s="24">
        <f>IFERROR(__xludf.DUMMYFUNCTION("""COMPUTED_VALUE"""),0.0)</f>
        <v>0</v>
      </c>
    </row>
    <row r="7244">
      <c r="A7244" s="5" t="str">
        <f>IFERROR(__xludf.DUMMYFUNCTION("""COMPUTED_VALUE"""),"89651")</f>
        <v>89651</v>
      </c>
      <c r="B7244" s="64">
        <f>IFERROR(__xludf.DUMMYFUNCTION("""COMPUTED_VALUE"""),44600.0)</f>
        <v>44600</v>
      </c>
      <c r="C7244" s="5"/>
      <c r="D7244" s="5"/>
      <c r="E7244" s="5"/>
      <c r="F7244" s="25">
        <f>IFERROR(__xludf.DUMMYFUNCTION("""COMPUTED_VALUE"""),500000.0)</f>
        <v>500000</v>
      </c>
      <c r="G7244" s="25">
        <f>IFERROR(__xludf.DUMMYFUNCTION("""COMPUTED_VALUE"""),0.0)</f>
        <v>0</v>
      </c>
      <c r="H7244" s="8">
        <f>IFERROR(__xludf.DUMMYFUNCTION("""COMPUTED_VALUE"""),500000.0)</f>
        <v>500000</v>
      </c>
      <c r="I7244" s="24">
        <f>IFERROR(__xludf.DUMMYFUNCTION("""COMPUTED_VALUE"""),0.0)</f>
        <v>0</v>
      </c>
    </row>
    <row r="7245">
      <c r="A7245" s="5" t="str">
        <f>IFERROR(__xludf.DUMMYFUNCTION("""COMPUTED_VALUE"""),"89651")</f>
        <v>89651</v>
      </c>
      <c r="B7245" s="64">
        <f>IFERROR(__xludf.DUMMYFUNCTION("""COMPUTED_VALUE"""),44601.0)</f>
        <v>44601</v>
      </c>
      <c r="C7245" s="5"/>
      <c r="D7245" s="5"/>
      <c r="E7245" s="5"/>
      <c r="F7245" s="25">
        <f>IFERROR(__xludf.DUMMYFUNCTION("""COMPUTED_VALUE"""),500000.0)</f>
        <v>500000</v>
      </c>
      <c r="G7245" s="25">
        <f>IFERROR(__xludf.DUMMYFUNCTION("""COMPUTED_VALUE"""),0.0)</f>
        <v>0</v>
      </c>
      <c r="H7245" s="8">
        <f>IFERROR(__xludf.DUMMYFUNCTION("""COMPUTED_VALUE"""),500000.0)</f>
        <v>500000</v>
      </c>
      <c r="I7245" s="24">
        <f>IFERROR(__xludf.DUMMYFUNCTION("""COMPUTED_VALUE"""),0.0)</f>
        <v>0</v>
      </c>
    </row>
    <row r="7246">
      <c r="A7246" s="5" t="str">
        <f>IFERROR(__xludf.DUMMYFUNCTION("""COMPUTED_VALUE"""),"89651")</f>
        <v>89651</v>
      </c>
      <c r="B7246" s="64">
        <f>IFERROR(__xludf.DUMMYFUNCTION("""COMPUTED_VALUE"""),44602.0)</f>
        <v>44602</v>
      </c>
      <c r="C7246" s="5"/>
      <c r="D7246" s="5"/>
      <c r="E7246" s="5"/>
      <c r="F7246" s="25">
        <f>IFERROR(__xludf.DUMMYFUNCTION("""COMPUTED_VALUE"""),500000.0)</f>
        <v>500000</v>
      </c>
      <c r="G7246" s="25">
        <f>IFERROR(__xludf.DUMMYFUNCTION("""COMPUTED_VALUE"""),0.0)</f>
        <v>0</v>
      </c>
      <c r="H7246" s="8">
        <f>IFERROR(__xludf.DUMMYFUNCTION("""COMPUTED_VALUE"""),500000.0)</f>
        <v>500000</v>
      </c>
      <c r="I7246" s="24">
        <f>IFERROR(__xludf.DUMMYFUNCTION("""COMPUTED_VALUE"""),0.0)</f>
        <v>0</v>
      </c>
    </row>
    <row r="7247">
      <c r="A7247" s="5" t="str">
        <f>IFERROR(__xludf.DUMMYFUNCTION("""COMPUTED_VALUE"""),"89651")</f>
        <v>89651</v>
      </c>
      <c r="B7247" s="64">
        <f>IFERROR(__xludf.DUMMYFUNCTION("""COMPUTED_VALUE"""),44603.0)</f>
        <v>44603</v>
      </c>
      <c r="C7247" s="5"/>
      <c r="D7247" s="5"/>
      <c r="E7247" s="5"/>
      <c r="F7247" s="25">
        <f>IFERROR(__xludf.DUMMYFUNCTION("""COMPUTED_VALUE"""),500000.0)</f>
        <v>500000</v>
      </c>
      <c r="G7247" s="25">
        <f>IFERROR(__xludf.DUMMYFUNCTION("""COMPUTED_VALUE"""),0.0)</f>
        <v>0</v>
      </c>
      <c r="H7247" s="8">
        <f>IFERROR(__xludf.DUMMYFUNCTION("""COMPUTED_VALUE"""),500000.0)</f>
        <v>500000</v>
      </c>
      <c r="I7247" s="24">
        <f>IFERROR(__xludf.DUMMYFUNCTION("""COMPUTED_VALUE"""),0.0)</f>
        <v>0</v>
      </c>
    </row>
    <row r="7248">
      <c r="A7248" s="5" t="str">
        <f>IFERROR(__xludf.DUMMYFUNCTION("""COMPUTED_VALUE"""),"89651")</f>
        <v>89651</v>
      </c>
      <c r="B7248" s="64">
        <f>IFERROR(__xludf.DUMMYFUNCTION("""COMPUTED_VALUE"""),44604.0)</f>
        <v>44604</v>
      </c>
      <c r="C7248" s="5"/>
      <c r="D7248" s="5"/>
      <c r="E7248" s="5"/>
      <c r="F7248" s="25">
        <f>IFERROR(__xludf.DUMMYFUNCTION("""COMPUTED_VALUE"""),500000.0)</f>
        <v>500000</v>
      </c>
      <c r="G7248" s="25">
        <f>IFERROR(__xludf.DUMMYFUNCTION("""COMPUTED_VALUE"""),0.0)</f>
        <v>0</v>
      </c>
      <c r="H7248" s="8">
        <f>IFERROR(__xludf.DUMMYFUNCTION("""COMPUTED_VALUE"""),500000.0)</f>
        <v>500000</v>
      </c>
      <c r="I7248" s="24">
        <f>IFERROR(__xludf.DUMMYFUNCTION("""COMPUTED_VALUE"""),0.0)</f>
        <v>0</v>
      </c>
    </row>
    <row r="7249">
      <c r="A7249" s="5" t="str">
        <f>IFERROR(__xludf.DUMMYFUNCTION("""COMPUTED_VALUE"""),"89651")</f>
        <v>89651</v>
      </c>
      <c r="B7249" s="64">
        <f>IFERROR(__xludf.DUMMYFUNCTION("""COMPUTED_VALUE"""),44605.0)</f>
        <v>44605</v>
      </c>
      <c r="C7249" s="5"/>
      <c r="D7249" s="5"/>
      <c r="E7249" s="5"/>
      <c r="F7249" s="25">
        <f>IFERROR(__xludf.DUMMYFUNCTION("""COMPUTED_VALUE"""),500000.0)</f>
        <v>500000</v>
      </c>
      <c r="G7249" s="25">
        <f>IFERROR(__xludf.DUMMYFUNCTION("""COMPUTED_VALUE"""),0.0)</f>
        <v>0</v>
      </c>
      <c r="H7249" s="8">
        <f>IFERROR(__xludf.DUMMYFUNCTION("""COMPUTED_VALUE"""),500000.0)</f>
        <v>500000</v>
      </c>
      <c r="I7249" s="24">
        <f>IFERROR(__xludf.DUMMYFUNCTION("""COMPUTED_VALUE"""),0.0)</f>
        <v>0</v>
      </c>
    </row>
    <row r="7250">
      <c r="A7250" s="5" t="str">
        <f>IFERROR(__xludf.DUMMYFUNCTION("""COMPUTED_VALUE"""),"89651")</f>
        <v>89651</v>
      </c>
      <c r="B7250" s="64">
        <f>IFERROR(__xludf.DUMMYFUNCTION("""COMPUTED_VALUE"""),44606.0)</f>
        <v>44606</v>
      </c>
      <c r="C7250" s="5"/>
      <c r="D7250" s="5"/>
      <c r="E7250" s="5"/>
      <c r="F7250" s="25">
        <f>IFERROR(__xludf.DUMMYFUNCTION("""COMPUTED_VALUE"""),500000.0)</f>
        <v>500000</v>
      </c>
      <c r="G7250" s="25">
        <f>IFERROR(__xludf.DUMMYFUNCTION("""COMPUTED_VALUE"""),0.0)</f>
        <v>0</v>
      </c>
      <c r="H7250" s="8">
        <f>IFERROR(__xludf.DUMMYFUNCTION("""COMPUTED_VALUE"""),500000.0)</f>
        <v>500000</v>
      </c>
      <c r="I7250" s="24">
        <f>IFERROR(__xludf.DUMMYFUNCTION("""COMPUTED_VALUE"""),0.0)</f>
        <v>0</v>
      </c>
    </row>
    <row r="7251">
      <c r="A7251" s="5" t="str">
        <f>IFERROR(__xludf.DUMMYFUNCTION("""COMPUTED_VALUE"""),"89651")</f>
        <v>89651</v>
      </c>
      <c r="B7251" s="64">
        <f>IFERROR(__xludf.DUMMYFUNCTION("""COMPUTED_VALUE"""),44607.0)</f>
        <v>44607</v>
      </c>
      <c r="C7251" s="5"/>
      <c r="D7251" s="5"/>
      <c r="E7251" s="5"/>
      <c r="F7251" s="25">
        <f>IFERROR(__xludf.DUMMYFUNCTION("""COMPUTED_VALUE"""),500000.0)</f>
        <v>500000</v>
      </c>
      <c r="G7251" s="25">
        <f>IFERROR(__xludf.DUMMYFUNCTION("""COMPUTED_VALUE"""),0.0)</f>
        <v>0</v>
      </c>
      <c r="H7251" s="8">
        <f>IFERROR(__xludf.DUMMYFUNCTION("""COMPUTED_VALUE"""),500000.0)</f>
        <v>500000</v>
      </c>
      <c r="I7251" s="24">
        <f>IFERROR(__xludf.DUMMYFUNCTION("""COMPUTED_VALUE"""),0.0)</f>
        <v>0</v>
      </c>
    </row>
    <row r="7252">
      <c r="A7252" s="5" t="str">
        <f>IFERROR(__xludf.DUMMYFUNCTION("""COMPUTED_VALUE"""),"89651")</f>
        <v>89651</v>
      </c>
      <c r="B7252" s="64">
        <f>IFERROR(__xludf.DUMMYFUNCTION("""COMPUTED_VALUE"""),44608.0)</f>
        <v>44608</v>
      </c>
      <c r="C7252" s="5"/>
      <c r="D7252" s="5"/>
      <c r="E7252" s="5"/>
      <c r="F7252" s="25">
        <f>IFERROR(__xludf.DUMMYFUNCTION("""COMPUTED_VALUE"""),500000.0)</f>
        <v>500000</v>
      </c>
      <c r="G7252" s="25">
        <f>IFERROR(__xludf.DUMMYFUNCTION("""COMPUTED_VALUE"""),0.0)</f>
        <v>0</v>
      </c>
      <c r="H7252" s="8">
        <f>IFERROR(__xludf.DUMMYFUNCTION("""COMPUTED_VALUE"""),500000.0)</f>
        <v>500000</v>
      </c>
      <c r="I7252" s="24">
        <f>IFERROR(__xludf.DUMMYFUNCTION("""COMPUTED_VALUE"""),0.0)</f>
        <v>0</v>
      </c>
    </row>
    <row r="7253">
      <c r="A7253" s="5" t="str">
        <f>IFERROR(__xludf.DUMMYFUNCTION("""COMPUTED_VALUE"""),"89651")</f>
        <v>89651</v>
      </c>
      <c r="B7253" s="64">
        <f>IFERROR(__xludf.DUMMYFUNCTION("""COMPUTED_VALUE"""),44609.0)</f>
        <v>44609</v>
      </c>
      <c r="C7253" s="5"/>
      <c r="D7253" s="5"/>
      <c r="E7253" s="5"/>
      <c r="F7253" s="25">
        <f>IFERROR(__xludf.DUMMYFUNCTION("""COMPUTED_VALUE"""),500000.0)</f>
        <v>500000</v>
      </c>
      <c r="G7253" s="25">
        <f>IFERROR(__xludf.DUMMYFUNCTION("""COMPUTED_VALUE"""),0.0)</f>
        <v>0</v>
      </c>
      <c r="H7253" s="8">
        <f>IFERROR(__xludf.DUMMYFUNCTION("""COMPUTED_VALUE"""),500000.0)</f>
        <v>500000</v>
      </c>
      <c r="I7253" s="24">
        <f>IFERROR(__xludf.DUMMYFUNCTION("""COMPUTED_VALUE"""),0.0)</f>
        <v>0</v>
      </c>
    </row>
    <row r="7254">
      <c r="A7254" s="5" t="str">
        <f>IFERROR(__xludf.DUMMYFUNCTION("""COMPUTED_VALUE"""),"89651")</f>
        <v>89651</v>
      </c>
      <c r="B7254" s="64">
        <f>IFERROR(__xludf.DUMMYFUNCTION("""COMPUTED_VALUE"""),44610.0)</f>
        <v>44610</v>
      </c>
      <c r="C7254" s="5"/>
      <c r="D7254" s="5"/>
      <c r="E7254" s="5"/>
      <c r="F7254" s="25">
        <f>IFERROR(__xludf.DUMMYFUNCTION("""COMPUTED_VALUE"""),500000.0)</f>
        <v>500000</v>
      </c>
      <c r="G7254" s="25">
        <f>IFERROR(__xludf.DUMMYFUNCTION("""COMPUTED_VALUE"""),0.0)</f>
        <v>0</v>
      </c>
      <c r="H7254" s="8">
        <f>IFERROR(__xludf.DUMMYFUNCTION("""COMPUTED_VALUE"""),500000.0)</f>
        <v>500000</v>
      </c>
      <c r="I7254" s="24">
        <f>IFERROR(__xludf.DUMMYFUNCTION("""COMPUTED_VALUE"""),0.0)</f>
        <v>0</v>
      </c>
    </row>
    <row r="7255">
      <c r="A7255" s="5" t="str">
        <f>IFERROR(__xludf.DUMMYFUNCTION("""COMPUTED_VALUE"""),"89651")</f>
        <v>89651</v>
      </c>
      <c r="B7255" s="64">
        <f>IFERROR(__xludf.DUMMYFUNCTION("""COMPUTED_VALUE"""),44611.0)</f>
        <v>44611</v>
      </c>
      <c r="C7255" s="5"/>
      <c r="D7255" s="5"/>
      <c r="E7255" s="5"/>
      <c r="F7255" s="25">
        <f>IFERROR(__xludf.DUMMYFUNCTION("""COMPUTED_VALUE"""),500000.0)</f>
        <v>500000</v>
      </c>
      <c r="G7255" s="25">
        <f>IFERROR(__xludf.DUMMYFUNCTION("""COMPUTED_VALUE"""),0.0)</f>
        <v>0</v>
      </c>
      <c r="H7255" s="8">
        <f>IFERROR(__xludf.DUMMYFUNCTION("""COMPUTED_VALUE"""),500000.0)</f>
        <v>500000</v>
      </c>
      <c r="I7255" s="24">
        <f>IFERROR(__xludf.DUMMYFUNCTION("""COMPUTED_VALUE"""),0.0)</f>
        <v>0</v>
      </c>
    </row>
    <row r="7256">
      <c r="A7256" s="5" t="str">
        <f>IFERROR(__xludf.DUMMYFUNCTION("""COMPUTED_VALUE"""),"89651")</f>
        <v>89651</v>
      </c>
      <c r="B7256" s="64">
        <f>IFERROR(__xludf.DUMMYFUNCTION("""COMPUTED_VALUE"""),44612.0)</f>
        <v>44612</v>
      </c>
      <c r="C7256" s="5"/>
      <c r="D7256" s="5"/>
      <c r="E7256" s="5"/>
      <c r="F7256" s="25">
        <f>IFERROR(__xludf.DUMMYFUNCTION("""COMPUTED_VALUE"""),500000.0)</f>
        <v>500000</v>
      </c>
      <c r="G7256" s="25">
        <f>IFERROR(__xludf.DUMMYFUNCTION("""COMPUTED_VALUE"""),0.0)</f>
        <v>0</v>
      </c>
      <c r="H7256" s="8">
        <f>IFERROR(__xludf.DUMMYFUNCTION("""COMPUTED_VALUE"""),500000.0)</f>
        <v>500000</v>
      </c>
      <c r="I7256" s="24">
        <f>IFERROR(__xludf.DUMMYFUNCTION("""COMPUTED_VALUE"""),0.0)</f>
        <v>0</v>
      </c>
    </row>
    <row r="7257">
      <c r="A7257" s="5" t="str">
        <f>IFERROR(__xludf.DUMMYFUNCTION("""COMPUTED_VALUE"""),"89651")</f>
        <v>89651</v>
      </c>
      <c r="B7257" s="64">
        <f>IFERROR(__xludf.DUMMYFUNCTION("""COMPUTED_VALUE"""),44613.0)</f>
        <v>44613</v>
      </c>
      <c r="C7257" s="5"/>
      <c r="D7257" s="5"/>
      <c r="E7257" s="5"/>
      <c r="F7257" s="25">
        <f>IFERROR(__xludf.DUMMYFUNCTION("""COMPUTED_VALUE"""),500000.0)</f>
        <v>500000</v>
      </c>
      <c r="G7257" s="25">
        <f>IFERROR(__xludf.DUMMYFUNCTION("""COMPUTED_VALUE"""),0.0)</f>
        <v>0</v>
      </c>
      <c r="H7257" s="8">
        <f>IFERROR(__xludf.DUMMYFUNCTION("""COMPUTED_VALUE"""),500000.0)</f>
        <v>500000</v>
      </c>
      <c r="I7257" s="24">
        <f>IFERROR(__xludf.DUMMYFUNCTION("""COMPUTED_VALUE"""),0.0)</f>
        <v>0</v>
      </c>
    </row>
    <row r="7258">
      <c r="A7258" s="5" t="str">
        <f>IFERROR(__xludf.DUMMYFUNCTION("""COMPUTED_VALUE"""),"89651")</f>
        <v>89651</v>
      </c>
      <c r="B7258" s="64">
        <f>IFERROR(__xludf.DUMMYFUNCTION("""COMPUTED_VALUE"""),44614.0)</f>
        <v>44614</v>
      </c>
      <c r="C7258" s="5"/>
      <c r="D7258" s="5"/>
      <c r="E7258" s="5"/>
      <c r="F7258" s="25">
        <f>IFERROR(__xludf.DUMMYFUNCTION("""COMPUTED_VALUE"""),500000.0)</f>
        <v>500000</v>
      </c>
      <c r="G7258" s="25">
        <f>IFERROR(__xludf.DUMMYFUNCTION("""COMPUTED_VALUE"""),0.0)</f>
        <v>0</v>
      </c>
      <c r="H7258" s="8">
        <f>IFERROR(__xludf.DUMMYFUNCTION("""COMPUTED_VALUE"""),500000.0)</f>
        <v>500000</v>
      </c>
      <c r="I7258" s="24">
        <f>IFERROR(__xludf.DUMMYFUNCTION("""COMPUTED_VALUE"""),0.0)</f>
        <v>0</v>
      </c>
    </row>
    <row r="7259">
      <c r="A7259" s="5" t="str">
        <f>IFERROR(__xludf.DUMMYFUNCTION("""COMPUTED_VALUE"""),"89651")</f>
        <v>89651</v>
      </c>
      <c r="B7259" s="64">
        <f>IFERROR(__xludf.DUMMYFUNCTION("""COMPUTED_VALUE"""),44615.0)</f>
        <v>44615</v>
      </c>
      <c r="C7259" s="5"/>
      <c r="D7259" s="5"/>
      <c r="E7259" s="5"/>
      <c r="F7259" s="25">
        <f>IFERROR(__xludf.DUMMYFUNCTION("""COMPUTED_VALUE"""),500000.0)</f>
        <v>500000</v>
      </c>
      <c r="G7259" s="25">
        <f>IFERROR(__xludf.DUMMYFUNCTION("""COMPUTED_VALUE"""),0.0)</f>
        <v>0</v>
      </c>
      <c r="H7259" s="8">
        <f>IFERROR(__xludf.DUMMYFUNCTION("""COMPUTED_VALUE"""),500000.0)</f>
        <v>500000</v>
      </c>
      <c r="I7259" s="24">
        <f>IFERROR(__xludf.DUMMYFUNCTION("""COMPUTED_VALUE"""),0.0)</f>
        <v>0</v>
      </c>
    </row>
    <row r="7260">
      <c r="A7260" s="5" t="str">
        <f>IFERROR(__xludf.DUMMYFUNCTION("""COMPUTED_VALUE"""),"89651")</f>
        <v>89651</v>
      </c>
      <c r="B7260" s="64">
        <f>IFERROR(__xludf.DUMMYFUNCTION("""COMPUTED_VALUE"""),44616.0)</f>
        <v>44616</v>
      </c>
      <c r="C7260" s="5"/>
      <c r="D7260" s="5"/>
      <c r="E7260" s="5"/>
      <c r="F7260" s="25">
        <f>IFERROR(__xludf.DUMMYFUNCTION("""COMPUTED_VALUE"""),500000.0)</f>
        <v>500000</v>
      </c>
      <c r="G7260" s="25">
        <f>IFERROR(__xludf.DUMMYFUNCTION("""COMPUTED_VALUE"""),0.0)</f>
        <v>0</v>
      </c>
      <c r="H7260" s="8">
        <f>IFERROR(__xludf.DUMMYFUNCTION("""COMPUTED_VALUE"""),500000.0)</f>
        <v>500000</v>
      </c>
      <c r="I7260" s="24">
        <f>IFERROR(__xludf.DUMMYFUNCTION("""COMPUTED_VALUE"""),0.0)</f>
        <v>0</v>
      </c>
    </row>
    <row r="7261">
      <c r="A7261" s="5" t="str">
        <f>IFERROR(__xludf.DUMMYFUNCTION("""COMPUTED_VALUE"""),"89651")</f>
        <v>89651</v>
      </c>
      <c r="B7261" s="64">
        <f>IFERROR(__xludf.DUMMYFUNCTION("""COMPUTED_VALUE"""),44617.0)</f>
        <v>44617</v>
      </c>
      <c r="C7261" s="5"/>
      <c r="D7261" s="5"/>
      <c r="E7261" s="5"/>
      <c r="F7261" s="25">
        <f>IFERROR(__xludf.DUMMYFUNCTION("""COMPUTED_VALUE"""),500000.0)</f>
        <v>500000</v>
      </c>
      <c r="G7261" s="25">
        <f>IFERROR(__xludf.DUMMYFUNCTION("""COMPUTED_VALUE"""),0.0)</f>
        <v>0</v>
      </c>
      <c r="H7261" s="8">
        <f>IFERROR(__xludf.DUMMYFUNCTION("""COMPUTED_VALUE"""),500000.0)</f>
        <v>500000</v>
      </c>
      <c r="I7261" s="24">
        <f>IFERROR(__xludf.DUMMYFUNCTION("""COMPUTED_VALUE"""),0.0)</f>
        <v>0</v>
      </c>
    </row>
    <row r="7262">
      <c r="A7262" s="5" t="str">
        <f>IFERROR(__xludf.DUMMYFUNCTION("""COMPUTED_VALUE"""),"89651")</f>
        <v>89651</v>
      </c>
      <c r="B7262" s="64">
        <f>IFERROR(__xludf.DUMMYFUNCTION("""COMPUTED_VALUE"""),44618.0)</f>
        <v>44618</v>
      </c>
      <c r="C7262" s="5"/>
      <c r="D7262" s="5"/>
      <c r="E7262" s="5"/>
      <c r="F7262" s="25">
        <f>IFERROR(__xludf.DUMMYFUNCTION("""COMPUTED_VALUE"""),500000.0)</f>
        <v>500000</v>
      </c>
      <c r="G7262" s="25">
        <f>IFERROR(__xludf.DUMMYFUNCTION("""COMPUTED_VALUE"""),0.0)</f>
        <v>0</v>
      </c>
      <c r="H7262" s="8">
        <f>IFERROR(__xludf.DUMMYFUNCTION("""COMPUTED_VALUE"""),500000.0)</f>
        <v>500000</v>
      </c>
      <c r="I7262" s="24">
        <f>IFERROR(__xludf.DUMMYFUNCTION("""COMPUTED_VALUE"""),0.0)</f>
        <v>0</v>
      </c>
    </row>
    <row r="7263">
      <c r="A7263" s="5" t="str">
        <f>IFERROR(__xludf.DUMMYFUNCTION("""COMPUTED_VALUE"""),"89651")</f>
        <v>89651</v>
      </c>
      <c r="B7263" s="64">
        <f>IFERROR(__xludf.DUMMYFUNCTION("""COMPUTED_VALUE"""),44619.0)</f>
        <v>44619</v>
      </c>
      <c r="C7263" s="5"/>
      <c r="D7263" s="5"/>
      <c r="E7263" s="5"/>
      <c r="F7263" s="25">
        <f>IFERROR(__xludf.DUMMYFUNCTION("""COMPUTED_VALUE"""),500000.0)</f>
        <v>500000</v>
      </c>
      <c r="G7263" s="25">
        <f>IFERROR(__xludf.DUMMYFUNCTION("""COMPUTED_VALUE"""),0.0)</f>
        <v>0</v>
      </c>
      <c r="H7263" s="8">
        <f>IFERROR(__xludf.DUMMYFUNCTION("""COMPUTED_VALUE"""),500000.0)</f>
        <v>500000</v>
      </c>
      <c r="I7263" s="24">
        <f>IFERROR(__xludf.DUMMYFUNCTION("""COMPUTED_VALUE"""),0.0)</f>
        <v>0</v>
      </c>
    </row>
    <row r="7264">
      <c r="A7264" s="5" t="str">
        <f>IFERROR(__xludf.DUMMYFUNCTION("""COMPUTED_VALUE"""),"89651")</f>
        <v>89651</v>
      </c>
      <c r="B7264" s="64">
        <f>IFERROR(__xludf.DUMMYFUNCTION("""COMPUTED_VALUE"""),44620.0)</f>
        <v>44620</v>
      </c>
      <c r="C7264" s="5"/>
      <c r="D7264" s="5"/>
      <c r="E7264" s="5"/>
      <c r="F7264" s="25">
        <f>IFERROR(__xludf.DUMMYFUNCTION("""COMPUTED_VALUE"""),500000.0)</f>
        <v>500000</v>
      </c>
      <c r="G7264" s="25">
        <f>IFERROR(__xludf.DUMMYFUNCTION("""COMPUTED_VALUE"""),0.0)</f>
        <v>0</v>
      </c>
      <c r="H7264" s="8">
        <f>IFERROR(__xludf.DUMMYFUNCTION("""COMPUTED_VALUE"""),500000.0)</f>
        <v>500000</v>
      </c>
      <c r="I7264" s="24">
        <f>IFERROR(__xludf.DUMMYFUNCTION("""COMPUTED_VALUE"""),0.0)</f>
        <v>0</v>
      </c>
    </row>
    <row r="7265">
      <c r="A7265" s="5" t="str">
        <f>IFERROR(__xludf.DUMMYFUNCTION("""COMPUTED_VALUE"""),"89651")</f>
        <v>89651</v>
      </c>
      <c r="B7265" s="64">
        <f>IFERROR(__xludf.DUMMYFUNCTION("""COMPUTED_VALUE"""),44621.0)</f>
        <v>44621</v>
      </c>
      <c r="C7265" s="5"/>
      <c r="D7265" s="5"/>
      <c r="E7265" s="5"/>
      <c r="F7265" s="25">
        <f>IFERROR(__xludf.DUMMYFUNCTION("""COMPUTED_VALUE"""),500000.0)</f>
        <v>500000</v>
      </c>
      <c r="G7265" s="25">
        <f>IFERROR(__xludf.DUMMYFUNCTION("""COMPUTED_VALUE"""),0.0)</f>
        <v>0</v>
      </c>
      <c r="H7265" s="8">
        <f>IFERROR(__xludf.DUMMYFUNCTION("""COMPUTED_VALUE"""),500000.0)</f>
        <v>500000</v>
      </c>
      <c r="I7265" s="24">
        <f>IFERROR(__xludf.DUMMYFUNCTION("""COMPUTED_VALUE"""),0.0)</f>
        <v>0</v>
      </c>
    </row>
    <row r="7266">
      <c r="A7266" s="5" t="str">
        <f>IFERROR(__xludf.DUMMYFUNCTION("""COMPUTED_VALUE"""),"89651")</f>
        <v>89651</v>
      </c>
      <c r="B7266" s="64">
        <f>IFERROR(__xludf.DUMMYFUNCTION("""COMPUTED_VALUE"""),44622.0)</f>
        <v>44622</v>
      </c>
      <c r="C7266" s="5"/>
      <c r="D7266" s="5"/>
      <c r="E7266" s="5"/>
      <c r="F7266" s="25">
        <f>IFERROR(__xludf.DUMMYFUNCTION("""COMPUTED_VALUE"""),500000.0)</f>
        <v>500000</v>
      </c>
      <c r="G7266" s="25">
        <f>IFERROR(__xludf.DUMMYFUNCTION("""COMPUTED_VALUE"""),0.0)</f>
        <v>0</v>
      </c>
      <c r="H7266" s="8">
        <f>IFERROR(__xludf.DUMMYFUNCTION("""COMPUTED_VALUE"""),500000.0)</f>
        <v>500000</v>
      </c>
      <c r="I7266" s="24">
        <f>IFERROR(__xludf.DUMMYFUNCTION("""COMPUTED_VALUE"""),0.0)</f>
        <v>0</v>
      </c>
    </row>
    <row r="7267">
      <c r="A7267" s="5" t="str">
        <f>IFERROR(__xludf.DUMMYFUNCTION("""COMPUTED_VALUE"""),"89651")</f>
        <v>89651</v>
      </c>
      <c r="B7267" s="64">
        <f>IFERROR(__xludf.DUMMYFUNCTION("""COMPUTED_VALUE"""),44623.0)</f>
        <v>44623</v>
      </c>
      <c r="C7267" s="5"/>
      <c r="D7267" s="5"/>
      <c r="E7267" s="5"/>
      <c r="F7267" s="25">
        <f>IFERROR(__xludf.DUMMYFUNCTION("""COMPUTED_VALUE"""),500000.0)</f>
        <v>500000</v>
      </c>
      <c r="G7267" s="25">
        <f>IFERROR(__xludf.DUMMYFUNCTION("""COMPUTED_VALUE"""),0.0)</f>
        <v>0</v>
      </c>
      <c r="H7267" s="8">
        <f>IFERROR(__xludf.DUMMYFUNCTION("""COMPUTED_VALUE"""),500000.0)</f>
        <v>500000</v>
      </c>
      <c r="I7267" s="24">
        <f>IFERROR(__xludf.DUMMYFUNCTION("""COMPUTED_VALUE"""),0.0)</f>
        <v>0</v>
      </c>
    </row>
    <row r="7268">
      <c r="A7268" s="5" t="str">
        <f>IFERROR(__xludf.DUMMYFUNCTION("""COMPUTED_VALUE"""),"89651")</f>
        <v>89651</v>
      </c>
      <c r="B7268" s="64">
        <f>IFERROR(__xludf.DUMMYFUNCTION("""COMPUTED_VALUE"""),44624.0)</f>
        <v>44624</v>
      </c>
      <c r="C7268" s="5"/>
      <c r="D7268" s="5"/>
      <c r="E7268" s="5"/>
      <c r="F7268" s="25">
        <f>IFERROR(__xludf.DUMMYFUNCTION("""COMPUTED_VALUE"""),500000.0)</f>
        <v>500000</v>
      </c>
      <c r="G7268" s="25">
        <f>IFERROR(__xludf.DUMMYFUNCTION("""COMPUTED_VALUE"""),0.0)</f>
        <v>0</v>
      </c>
      <c r="H7268" s="8">
        <f>IFERROR(__xludf.DUMMYFUNCTION("""COMPUTED_VALUE"""),500000.0)</f>
        <v>500000</v>
      </c>
      <c r="I7268" s="24">
        <f>IFERROR(__xludf.DUMMYFUNCTION("""COMPUTED_VALUE"""),0.0)</f>
        <v>0</v>
      </c>
    </row>
    <row r="7269">
      <c r="A7269" s="5" t="str">
        <f>IFERROR(__xludf.DUMMYFUNCTION("""COMPUTED_VALUE"""),"89651")</f>
        <v>89651</v>
      </c>
      <c r="B7269" s="64">
        <f>IFERROR(__xludf.DUMMYFUNCTION("""COMPUTED_VALUE"""),44625.0)</f>
        <v>44625</v>
      </c>
      <c r="C7269" s="5"/>
      <c r="D7269" s="5"/>
      <c r="E7269" s="5"/>
      <c r="F7269" s="25">
        <f>IFERROR(__xludf.DUMMYFUNCTION("""COMPUTED_VALUE"""),500000.0)</f>
        <v>500000</v>
      </c>
      <c r="G7269" s="25">
        <f>IFERROR(__xludf.DUMMYFUNCTION("""COMPUTED_VALUE"""),0.0)</f>
        <v>0</v>
      </c>
      <c r="H7269" s="8">
        <f>IFERROR(__xludf.DUMMYFUNCTION("""COMPUTED_VALUE"""),500000.0)</f>
        <v>500000</v>
      </c>
      <c r="I7269" s="24">
        <f>IFERROR(__xludf.DUMMYFUNCTION("""COMPUTED_VALUE"""),0.0)</f>
        <v>0</v>
      </c>
    </row>
    <row r="7270">
      <c r="A7270" s="5" t="str">
        <f>IFERROR(__xludf.DUMMYFUNCTION("""COMPUTED_VALUE"""),"89651")</f>
        <v>89651</v>
      </c>
      <c r="B7270" s="64">
        <f>IFERROR(__xludf.DUMMYFUNCTION("""COMPUTED_VALUE"""),44626.0)</f>
        <v>44626</v>
      </c>
      <c r="C7270" s="5"/>
      <c r="D7270" s="5"/>
      <c r="E7270" s="5"/>
      <c r="F7270" s="25">
        <f>IFERROR(__xludf.DUMMYFUNCTION("""COMPUTED_VALUE"""),500000.0)</f>
        <v>500000</v>
      </c>
      <c r="G7270" s="25">
        <f>IFERROR(__xludf.DUMMYFUNCTION("""COMPUTED_VALUE"""),0.0)</f>
        <v>0</v>
      </c>
      <c r="H7270" s="8">
        <f>IFERROR(__xludf.DUMMYFUNCTION("""COMPUTED_VALUE"""),500000.0)</f>
        <v>500000</v>
      </c>
      <c r="I7270" s="24">
        <f>IFERROR(__xludf.DUMMYFUNCTION("""COMPUTED_VALUE"""),0.0)</f>
        <v>0</v>
      </c>
    </row>
    <row r="7271">
      <c r="A7271" s="5" t="str">
        <f>IFERROR(__xludf.DUMMYFUNCTION("""COMPUTED_VALUE"""),"89651")</f>
        <v>89651</v>
      </c>
      <c r="B7271" s="64">
        <f>IFERROR(__xludf.DUMMYFUNCTION("""COMPUTED_VALUE"""),44627.0)</f>
        <v>44627</v>
      </c>
      <c r="C7271" s="5"/>
      <c r="D7271" s="5"/>
      <c r="E7271" s="5"/>
      <c r="F7271" s="25">
        <f>IFERROR(__xludf.DUMMYFUNCTION("""COMPUTED_VALUE"""),500000.0)</f>
        <v>500000</v>
      </c>
      <c r="G7271" s="25">
        <f>IFERROR(__xludf.DUMMYFUNCTION("""COMPUTED_VALUE"""),0.0)</f>
        <v>0</v>
      </c>
      <c r="H7271" s="8">
        <f>IFERROR(__xludf.DUMMYFUNCTION("""COMPUTED_VALUE"""),500000.0)</f>
        <v>500000</v>
      </c>
      <c r="I7271" s="24">
        <f>IFERROR(__xludf.DUMMYFUNCTION("""COMPUTED_VALUE"""),0.0)</f>
        <v>0</v>
      </c>
    </row>
    <row r="7272">
      <c r="A7272" s="5" t="str">
        <f>IFERROR(__xludf.DUMMYFUNCTION("""COMPUTED_VALUE"""),"89651")</f>
        <v>89651</v>
      </c>
      <c r="B7272" s="64">
        <f>IFERROR(__xludf.DUMMYFUNCTION("""COMPUTED_VALUE"""),44628.0)</f>
        <v>44628</v>
      </c>
      <c r="C7272" s="5"/>
      <c r="D7272" s="5"/>
      <c r="E7272" s="5"/>
      <c r="F7272" s="25">
        <f>IFERROR(__xludf.DUMMYFUNCTION("""COMPUTED_VALUE"""),500000.0)</f>
        <v>500000</v>
      </c>
      <c r="G7272" s="25">
        <f>IFERROR(__xludf.DUMMYFUNCTION("""COMPUTED_VALUE"""),0.0)</f>
        <v>0</v>
      </c>
      <c r="H7272" s="8">
        <f>IFERROR(__xludf.DUMMYFUNCTION("""COMPUTED_VALUE"""),500000.0)</f>
        <v>500000</v>
      </c>
      <c r="I7272" s="24">
        <f>IFERROR(__xludf.DUMMYFUNCTION("""COMPUTED_VALUE"""),0.0)</f>
        <v>0</v>
      </c>
    </row>
    <row r="7273">
      <c r="A7273" s="5" t="str">
        <f>IFERROR(__xludf.DUMMYFUNCTION("""COMPUTED_VALUE"""),"89651")</f>
        <v>89651</v>
      </c>
      <c r="B7273" s="64">
        <f>IFERROR(__xludf.DUMMYFUNCTION("""COMPUTED_VALUE"""),44629.0)</f>
        <v>44629</v>
      </c>
      <c r="C7273" s="5"/>
      <c r="D7273" s="5"/>
      <c r="E7273" s="5"/>
      <c r="F7273" s="25">
        <f>IFERROR(__xludf.DUMMYFUNCTION("""COMPUTED_VALUE"""),500000.0)</f>
        <v>500000</v>
      </c>
      <c r="G7273" s="25">
        <f>IFERROR(__xludf.DUMMYFUNCTION("""COMPUTED_VALUE"""),0.0)</f>
        <v>0</v>
      </c>
      <c r="H7273" s="8">
        <f>IFERROR(__xludf.DUMMYFUNCTION("""COMPUTED_VALUE"""),500000.0)</f>
        <v>500000</v>
      </c>
      <c r="I7273" s="24">
        <f>IFERROR(__xludf.DUMMYFUNCTION("""COMPUTED_VALUE"""),0.0)</f>
        <v>0</v>
      </c>
    </row>
    <row r="7274">
      <c r="A7274" s="5" t="str">
        <f>IFERROR(__xludf.DUMMYFUNCTION("""COMPUTED_VALUE"""),"89651")</f>
        <v>89651</v>
      </c>
      <c r="B7274" s="64">
        <f>IFERROR(__xludf.DUMMYFUNCTION("""COMPUTED_VALUE"""),44630.0)</f>
        <v>44630</v>
      </c>
      <c r="C7274" s="5"/>
      <c r="D7274" s="5"/>
      <c r="E7274" s="5"/>
      <c r="F7274" s="25">
        <f>IFERROR(__xludf.DUMMYFUNCTION("""COMPUTED_VALUE"""),500000.0)</f>
        <v>500000</v>
      </c>
      <c r="G7274" s="25">
        <f>IFERROR(__xludf.DUMMYFUNCTION("""COMPUTED_VALUE"""),0.0)</f>
        <v>0</v>
      </c>
      <c r="H7274" s="8">
        <f>IFERROR(__xludf.DUMMYFUNCTION("""COMPUTED_VALUE"""),500000.0)</f>
        <v>500000</v>
      </c>
      <c r="I7274" s="24">
        <f>IFERROR(__xludf.DUMMYFUNCTION("""COMPUTED_VALUE"""),0.0)</f>
        <v>0</v>
      </c>
    </row>
    <row r="7275">
      <c r="A7275" s="5" t="str">
        <f>IFERROR(__xludf.DUMMYFUNCTION("""COMPUTED_VALUE"""),"89651")</f>
        <v>89651</v>
      </c>
      <c r="B7275" s="64">
        <f>IFERROR(__xludf.DUMMYFUNCTION("""COMPUTED_VALUE"""),44631.0)</f>
        <v>44631</v>
      </c>
      <c r="C7275" s="5"/>
      <c r="D7275" s="5"/>
      <c r="E7275" s="5"/>
      <c r="F7275" s="25">
        <f>IFERROR(__xludf.DUMMYFUNCTION("""COMPUTED_VALUE"""),500000.0)</f>
        <v>500000</v>
      </c>
      <c r="G7275" s="25">
        <f>IFERROR(__xludf.DUMMYFUNCTION("""COMPUTED_VALUE"""),0.0)</f>
        <v>0</v>
      </c>
      <c r="H7275" s="8">
        <f>IFERROR(__xludf.DUMMYFUNCTION("""COMPUTED_VALUE"""),500000.0)</f>
        <v>500000</v>
      </c>
      <c r="I7275" s="24">
        <f>IFERROR(__xludf.DUMMYFUNCTION("""COMPUTED_VALUE"""),0.0)</f>
        <v>0</v>
      </c>
    </row>
    <row r="7276">
      <c r="A7276" s="5" t="str">
        <f>IFERROR(__xludf.DUMMYFUNCTION("""COMPUTED_VALUE"""),"89651")</f>
        <v>89651</v>
      </c>
      <c r="B7276" s="64">
        <f>IFERROR(__xludf.DUMMYFUNCTION("""COMPUTED_VALUE"""),44632.0)</f>
        <v>44632</v>
      </c>
      <c r="C7276" s="5"/>
      <c r="D7276" s="5"/>
      <c r="E7276" s="5"/>
      <c r="F7276" s="25">
        <f>IFERROR(__xludf.DUMMYFUNCTION("""COMPUTED_VALUE"""),500000.0)</f>
        <v>500000</v>
      </c>
      <c r="G7276" s="25">
        <f>IFERROR(__xludf.DUMMYFUNCTION("""COMPUTED_VALUE"""),0.0)</f>
        <v>0</v>
      </c>
      <c r="H7276" s="8">
        <f>IFERROR(__xludf.DUMMYFUNCTION("""COMPUTED_VALUE"""),500000.0)</f>
        <v>500000</v>
      </c>
      <c r="I7276" s="24">
        <f>IFERROR(__xludf.DUMMYFUNCTION("""COMPUTED_VALUE"""),0.0)</f>
        <v>0</v>
      </c>
    </row>
    <row r="7277">
      <c r="A7277" s="5" t="str">
        <f>IFERROR(__xludf.DUMMYFUNCTION("""COMPUTED_VALUE"""),"89651")</f>
        <v>89651</v>
      </c>
      <c r="B7277" s="64">
        <f>IFERROR(__xludf.DUMMYFUNCTION("""COMPUTED_VALUE"""),44633.0)</f>
        <v>44633</v>
      </c>
      <c r="C7277" s="5"/>
      <c r="D7277" s="5"/>
      <c r="E7277" s="5"/>
      <c r="F7277" s="25">
        <f>IFERROR(__xludf.DUMMYFUNCTION("""COMPUTED_VALUE"""),500000.0)</f>
        <v>500000</v>
      </c>
      <c r="G7277" s="25">
        <f>IFERROR(__xludf.DUMMYFUNCTION("""COMPUTED_VALUE"""),0.0)</f>
        <v>0</v>
      </c>
      <c r="H7277" s="8">
        <f>IFERROR(__xludf.DUMMYFUNCTION("""COMPUTED_VALUE"""),500000.0)</f>
        <v>500000</v>
      </c>
      <c r="I7277" s="24">
        <f>IFERROR(__xludf.DUMMYFUNCTION("""COMPUTED_VALUE"""),0.0)</f>
        <v>0</v>
      </c>
    </row>
    <row r="7278">
      <c r="A7278" s="5" t="str">
        <f>IFERROR(__xludf.DUMMYFUNCTION("""COMPUTED_VALUE"""),"89651")</f>
        <v>89651</v>
      </c>
      <c r="B7278" s="64">
        <f>IFERROR(__xludf.DUMMYFUNCTION("""COMPUTED_VALUE"""),44634.0)</f>
        <v>44634</v>
      </c>
      <c r="C7278" s="5"/>
      <c r="D7278" s="5"/>
      <c r="E7278" s="5"/>
      <c r="F7278" s="25">
        <f>IFERROR(__xludf.DUMMYFUNCTION("""COMPUTED_VALUE"""),500000.0)</f>
        <v>500000</v>
      </c>
      <c r="G7278" s="25">
        <f>IFERROR(__xludf.DUMMYFUNCTION("""COMPUTED_VALUE"""),0.0)</f>
        <v>0</v>
      </c>
      <c r="H7278" s="8">
        <f>IFERROR(__xludf.DUMMYFUNCTION("""COMPUTED_VALUE"""),500000.0)</f>
        <v>500000</v>
      </c>
      <c r="I7278" s="24">
        <f>IFERROR(__xludf.DUMMYFUNCTION("""COMPUTED_VALUE"""),0.0)</f>
        <v>0</v>
      </c>
    </row>
    <row r="7279">
      <c r="A7279" s="5" t="str">
        <f>IFERROR(__xludf.DUMMYFUNCTION("""COMPUTED_VALUE"""),"89651")</f>
        <v>89651</v>
      </c>
      <c r="B7279" s="64">
        <f>IFERROR(__xludf.DUMMYFUNCTION("""COMPUTED_VALUE"""),44635.0)</f>
        <v>44635</v>
      </c>
      <c r="C7279" s="5"/>
      <c r="D7279" s="5"/>
      <c r="E7279" s="5"/>
      <c r="F7279" s="25">
        <f>IFERROR(__xludf.DUMMYFUNCTION("""COMPUTED_VALUE"""),500000.0)</f>
        <v>500000</v>
      </c>
      <c r="G7279" s="25">
        <f>IFERROR(__xludf.DUMMYFUNCTION("""COMPUTED_VALUE"""),0.0)</f>
        <v>0</v>
      </c>
      <c r="H7279" s="8">
        <f>IFERROR(__xludf.DUMMYFUNCTION("""COMPUTED_VALUE"""),500000.0)</f>
        <v>500000</v>
      </c>
      <c r="I7279" s="24">
        <f>IFERROR(__xludf.DUMMYFUNCTION("""COMPUTED_VALUE"""),0.0)</f>
        <v>0</v>
      </c>
    </row>
    <row r="7280">
      <c r="A7280" s="5" t="str">
        <f>IFERROR(__xludf.DUMMYFUNCTION("""COMPUTED_VALUE"""),"89651")</f>
        <v>89651</v>
      </c>
      <c r="B7280" s="64">
        <f>IFERROR(__xludf.DUMMYFUNCTION("""COMPUTED_VALUE"""),44636.0)</f>
        <v>44636</v>
      </c>
      <c r="C7280" s="5"/>
      <c r="D7280" s="5"/>
      <c r="E7280" s="5"/>
      <c r="F7280" s="25">
        <f>IFERROR(__xludf.DUMMYFUNCTION("""COMPUTED_VALUE"""),500000.0)</f>
        <v>500000</v>
      </c>
      <c r="G7280" s="25">
        <f>IFERROR(__xludf.DUMMYFUNCTION("""COMPUTED_VALUE"""),0.0)</f>
        <v>0</v>
      </c>
      <c r="H7280" s="8">
        <f>IFERROR(__xludf.DUMMYFUNCTION("""COMPUTED_VALUE"""),500000.0)</f>
        <v>500000</v>
      </c>
      <c r="I7280" s="24">
        <f>IFERROR(__xludf.DUMMYFUNCTION("""COMPUTED_VALUE"""),0.0)</f>
        <v>0</v>
      </c>
    </row>
    <row r="7281">
      <c r="A7281" s="5" t="str">
        <f>IFERROR(__xludf.DUMMYFUNCTION("""COMPUTED_VALUE"""),"89651")</f>
        <v>89651</v>
      </c>
      <c r="B7281" s="64">
        <f>IFERROR(__xludf.DUMMYFUNCTION("""COMPUTED_VALUE"""),44637.0)</f>
        <v>44637</v>
      </c>
      <c r="C7281" s="5"/>
      <c r="D7281" s="5"/>
      <c r="E7281" s="5"/>
      <c r="F7281" s="25">
        <f>IFERROR(__xludf.DUMMYFUNCTION("""COMPUTED_VALUE"""),500000.0)</f>
        <v>500000</v>
      </c>
      <c r="G7281" s="25">
        <f>IFERROR(__xludf.DUMMYFUNCTION("""COMPUTED_VALUE"""),0.0)</f>
        <v>0</v>
      </c>
      <c r="H7281" s="8">
        <f>IFERROR(__xludf.DUMMYFUNCTION("""COMPUTED_VALUE"""),500000.0)</f>
        <v>500000</v>
      </c>
      <c r="I7281" s="24">
        <f>IFERROR(__xludf.DUMMYFUNCTION("""COMPUTED_VALUE"""),0.0)</f>
        <v>0</v>
      </c>
    </row>
    <row r="7282">
      <c r="A7282" s="5" t="str">
        <f>IFERROR(__xludf.DUMMYFUNCTION("""COMPUTED_VALUE"""),"89651")</f>
        <v>89651</v>
      </c>
      <c r="B7282" s="64">
        <f>IFERROR(__xludf.DUMMYFUNCTION("""COMPUTED_VALUE"""),44638.0)</f>
        <v>44638</v>
      </c>
      <c r="C7282" s="5"/>
      <c r="D7282" s="5"/>
      <c r="E7282" s="5"/>
      <c r="F7282" s="25">
        <f>IFERROR(__xludf.DUMMYFUNCTION("""COMPUTED_VALUE"""),500000.0)</f>
        <v>500000</v>
      </c>
      <c r="G7282" s="25">
        <f>IFERROR(__xludf.DUMMYFUNCTION("""COMPUTED_VALUE"""),0.0)</f>
        <v>0</v>
      </c>
      <c r="H7282" s="8">
        <f>IFERROR(__xludf.DUMMYFUNCTION("""COMPUTED_VALUE"""),500000.0)</f>
        <v>500000</v>
      </c>
      <c r="I7282" s="24">
        <f>IFERROR(__xludf.DUMMYFUNCTION("""COMPUTED_VALUE"""),0.0)</f>
        <v>0</v>
      </c>
    </row>
    <row r="7283">
      <c r="A7283" s="5" t="str">
        <f>IFERROR(__xludf.DUMMYFUNCTION("""COMPUTED_VALUE"""),"89651")</f>
        <v>89651</v>
      </c>
      <c r="B7283" s="64">
        <f>IFERROR(__xludf.DUMMYFUNCTION("""COMPUTED_VALUE"""),44639.0)</f>
        <v>44639</v>
      </c>
      <c r="C7283" s="5"/>
      <c r="D7283" s="5"/>
      <c r="E7283" s="5"/>
      <c r="F7283" s="25">
        <f>IFERROR(__xludf.DUMMYFUNCTION("""COMPUTED_VALUE"""),500000.0)</f>
        <v>500000</v>
      </c>
      <c r="G7283" s="25">
        <f>IFERROR(__xludf.DUMMYFUNCTION("""COMPUTED_VALUE"""),0.0)</f>
        <v>0</v>
      </c>
      <c r="H7283" s="8">
        <f>IFERROR(__xludf.DUMMYFUNCTION("""COMPUTED_VALUE"""),500000.0)</f>
        <v>500000</v>
      </c>
      <c r="I7283" s="24">
        <f>IFERROR(__xludf.DUMMYFUNCTION("""COMPUTED_VALUE"""),0.0)</f>
        <v>0</v>
      </c>
    </row>
    <row r="7284">
      <c r="A7284" s="5" t="str">
        <f>IFERROR(__xludf.DUMMYFUNCTION("""COMPUTED_VALUE"""),"89651")</f>
        <v>89651</v>
      </c>
      <c r="B7284" s="64">
        <f>IFERROR(__xludf.DUMMYFUNCTION("""COMPUTED_VALUE"""),44640.0)</f>
        <v>44640</v>
      </c>
      <c r="C7284" s="5"/>
      <c r="D7284" s="5"/>
      <c r="E7284" s="5"/>
      <c r="F7284" s="25">
        <f>IFERROR(__xludf.DUMMYFUNCTION("""COMPUTED_VALUE"""),500000.0)</f>
        <v>500000</v>
      </c>
      <c r="G7284" s="25">
        <f>IFERROR(__xludf.DUMMYFUNCTION("""COMPUTED_VALUE"""),0.0)</f>
        <v>0</v>
      </c>
      <c r="H7284" s="8">
        <f>IFERROR(__xludf.DUMMYFUNCTION("""COMPUTED_VALUE"""),500000.0)</f>
        <v>500000</v>
      </c>
      <c r="I7284" s="24">
        <f>IFERROR(__xludf.DUMMYFUNCTION("""COMPUTED_VALUE"""),0.0)</f>
        <v>0</v>
      </c>
    </row>
    <row r="7285">
      <c r="A7285" s="5" t="str">
        <f>IFERROR(__xludf.DUMMYFUNCTION("""COMPUTED_VALUE"""),"89651")</f>
        <v>89651</v>
      </c>
      <c r="B7285" s="64">
        <f>IFERROR(__xludf.DUMMYFUNCTION("""COMPUTED_VALUE"""),44641.0)</f>
        <v>44641</v>
      </c>
      <c r="C7285" s="5"/>
      <c r="D7285" s="5"/>
      <c r="E7285" s="5"/>
      <c r="F7285" s="25">
        <f>IFERROR(__xludf.DUMMYFUNCTION("""COMPUTED_VALUE"""),500000.0)</f>
        <v>500000</v>
      </c>
      <c r="G7285" s="25">
        <f>IFERROR(__xludf.DUMMYFUNCTION("""COMPUTED_VALUE"""),0.0)</f>
        <v>0</v>
      </c>
      <c r="H7285" s="8">
        <f>IFERROR(__xludf.DUMMYFUNCTION("""COMPUTED_VALUE"""),500000.0)</f>
        <v>500000</v>
      </c>
      <c r="I7285" s="24">
        <f>IFERROR(__xludf.DUMMYFUNCTION("""COMPUTED_VALUE"""),0.0)</f>
        <v>0</v>
      </c>
    </row>
    <row r="7286">
      <c r="A7286" s="5" t="str">
        <f>IFERROR(__xludf.DUMMYFUNCTION("""COMPUTED_VALUE"""),"89651")</f>
        <v>89651</v>
      </c>
      <c r="B7286" s="64">
        <f>IFERROR(__xludf.DUMMYFUNCTION("""COMPUTED_VALUE"""),44642.0)</f>
        <v>44642</v>
      </c>
      <c r="C7286" s="5"/>
      <c r="D7286" s="5"/>
      <c r="E7286" s="5"/>
      <c r="F7286" s="25">
        <f>IFERROR(__xludf.DUMMYFUNCTION("""COMPUTED_VALUE"""),500000.0)</f>
        <v>500000</v>
      </c>
      <c r="G7286" s="25">
        <f>IFERROR(__xludf.DUMMYFUNCTION("""COMPUTED_VALUE"""),0.0)</f>
        <v>0</v>
      </c>
      <c r="H7286" s="8">
        <f>IFERROR(__xludf.DUMMYFUNCTION("""COMPUTED_VALUE"""),500000.0)</f>
        <v>500000</v>
      </c>
      <c r="I7286" s="24">
        <f>IFERROR(__xludf.DUMMYFUNCTION("""COMPUTED_VALUE"""),0.0)</f>
        <v>0</v>
      </c>
    </row>
    <row r="7287">
      <c r="A7287" s="5" t="str">
        <f>IFERROR(__xludf.DUMMYFUNCTION("""COMPUTED_VALUE"""),"89651")</f>
        <v>89651</v>
      </c>
      <c r="B7287" s="64">
        <f>IFERROR(__xludf.DUMMYFUNCTION("""COMPUTED_VALUE"""),44643.0)</f>
        <v>44643</v>
      </c>
      <c r="C7287" s="5"/>
      <c r="D7287" s="5"/>
      <c r="E7287" s="5"/>
      <c r="F7287" s="25">
        <f>IFERROR(__xludf.DUMMYFUNCTION("""COMPUTED_VALUE"""),500000.0)</f>
        <v>500000</v>
      </c>
      <c r="G7287" s="25">
        <f>IFERROR(__xludf.DUMMYFUNCTION("""COMPUTED_VALUE"""),0.0)</f>
        <v>0</v>
      </c>
      <c r="H7287" s="8">
        <f>IFERROR(__xludf.DUMMYFUNCTION("""COMPUTED_VALUE"""),500000.0)</f>
        <v>500000</v>
      </c>
      <c r="I7287" s="24">
        <f>IFERROR(__xludf.DUMMYFUNCTION("""COMPUTED_VALUE"""),0.0)</f>
        <v>0</v>
      </c>
    </row>
    <row r="7288">
      <c r="A7288" s="5" t="str">
        <f>IFERROR(__xludf.DUMMYFUNCTION("""COMPUTED_VALUE"""),"89651")</f>
        <v>89651</v>
      </c>
      <c r="B7288" s="64">
        <f>IFERROR(__xludf.DUMMYFUNCTION("""COMPUTED_VALUE"""),44644.0)</f>
        <v>44644</v>
      </c>
      <c r="C7288" s="5"/>
      <c r="D7288" s="5"/>
      <c r="E7288" s="5"/>
      <c r="F7288" s="25">
        <f>IFERROR(__xludf.DUMMYFUNCTION("""COMPUTED_VALUE"""),500000.0)</f>
        <v>500000</v>
      </c>
      <c r="G7288" s="25">
        <f>IFERROR(__xludf.DUMMYFUNCTION("""COMPUTED_VALUE"""),0.0)</f>
        <v>0</v>
      </c>
      <c r="H7288" s="8">
        <f>IFERROR(__xludf.DUMMYFUNCTION("""COMPUTED_VALUE"""),500000.0)</f>
        <v>500000</v>
      </c>
      <c r="I7288" s="24">
        <f>IFERROR(__xludf.DUMMYFUNCTION("""COMPUTED_VALUE"""),0.0)</f>
        <v>0</v>
      </c>
    </row>
    <row r="7289">
      <c r="A7289" s="5" t="str">
        <f>IFERROR(__xludf.DUMMYFUNCTION("""COMPUTED_VALUE"""),"89651")</f>
        <v>89651</v>
      </c>
      <c r="B7289" s="64">
        <f>IFERROR(__xludf.DUMMYFUNCTION("""COMPUTED_VALUE"""),44645.0)</f>
        <v>44645</v>
      </c>
      <c r="C7289" s="5"/>
      <c r="D7289" s="5"/>
      <c r="E7289" s="5"/>
      <c r="F7289" s="25">
        <f>IFERROR(__xludf.DUMMYFUNCTION("""COMPUTED_VALUE"""),500000.0)</f>
        <v>500000</v>
      </c>
      <c r="G7289" s="25">
        <f>IFERROR(__xludf.DUMMYFUNCTION("""COMPUTED_VALUE"""),0.0)</f>
        <v>0</v>
      </c>
      <c r="H7289" s="8">
        <f>IFERROR(__xludf.DUMMYFUNCTION("""COMPUTED_VALUE"""),500000.0)</f>
        <v>500000</v>
      </c>
      <c r="I7289" s="24">
        <f>IFERROR(__xludf.DUMMYFUNCTION("""COMPUTED_VALUE"""),0.0)</f>
        <v>0</v>
      </c>
    </row>
    <row r="7290">
      <c r="A7290" s="5" t="str">
        <f>IFERROR(__xludf.DUMMYFUNCTION("""COMPUTED_VALUE"""),"89651")</f>
        <v>89651</v>
      </c>
      <c r="B7290" s="64">
        <f>IFERROR(__xludf.DUMMYFUNCTION("""COMPUTED_VALUE"""),44646.0)</f>
        <v>44646</v>
      </c>
      <c r="C7290" s="5"/>
      <c r="D7290" s="5"/>
      <c r="E7290" s="5"/>
      <c r="F7290" s="25">
        <f>IFERROR(__xludf.DUMMYFUNCTION("""COMPUTED_VALUE"""),500000.0)</f>
        <v>500000</v>
      </c>
      <c r="G7290" s="25">
        <f>IFERROR(__xludf.DUMMYFUNCTION("""COMPUTED_VALUE"""),0.0)</f>
        <v>0</v>
      </c>
      <c r="H7290" s="8">
        <f>IFERROR(__xludf.DUMMYFUNCTION("""COMPUTED_VALUE"""),500000.0)</f>
        <v>500000</v>
      </c>
      <c r="I7290" s="24">
        <f>IFERROR(__xludf.DUMMYFUNCTION("""COMPUTED_VALUE"""),0.0)</f>
        <v>0</v>
      </c>
    </row>
    <row r="7291">
      <c r="A7291" s="5" t="str">
        <f>IFERROR(__xludf.DUMMYFUNCTION("""COMPUTED_VALUE"""),"89651")</f>
        <v>89651</v>
      </c>
      <c r="B7291" s="64">
        <f>IFERROR(__xludf.DUMMYFUNCTION("""COMPUTED_VALUE"""),44647.0)</f>
        <v>44647</v>
      </c>
      <c r="C7291" s="5"/>
      <c r="D7291" s="5"/>
      <c r="E7291" s="5"/>
      <c r="F7291" s="25">
        <f>IFERROR(__xludf.DUMMYFUNCTION("""COMPUTED_VALUE"""),500000.0)</f>
        <v>500000</v>
      </c>
      <c r="G7291" s="25">
        <f>IFERROR(__xludf.DUMMYFUNCTION("""COMPUTED_VALUE"""),0.0)</f>
        <v>0</v>
      </c>
      <c r="H7291" s="8">
        <f>IFERROR(__xludf.DUMMYFUNCTION("""COMPUTED_VALUE"""),500000.0)</f>
        <v>500000</v>
      </c>
      <c r="I7291" s="24">
        <f>IFERROR(__xludf.DUMMYFUNCTION("""COMPUTED_VALUE"""),0.0)</f>
        <v>0</v>
      </c>
    </row>
    <row r="7292">
      <c r="A7292" s="5" t="str">
        <f>IFERROR(__xludf.DUMMYFUNCTION("""COMPUTED_VALUE"""),"89651")</f>
        <v>89651</v>
      </c>
      <c r="B7292" s="64">
        <f>IFERROR(__xludf.DUMMYFUNCTION("""COMPUTED_VALUE"""),44648.0)</f>
        <v>44648</v>
      </c>
      <c r="C7292" s="5"/>
      <c r="D7292" s="5"/>
      <c r="E7292" s="5"/>
      <c r="F7292" s="25">
        <f>IFERROR(__xludf.DUMMYFUNCTION("""COMPUTED_VALUE"""),500000.0)</f>
        <v>500000</v>
      </c>
      <c r="G7292" s="25">
        <f>IFERROR(__xludf.DUMMYFUNCTION("""COMPUTED_VALUE"""),0.0)</f>
        <v>0</v>
      </c>
      <c r="H7292" s="8">
        <f>IFERROR(__xludf.DUMMYFUNCTION("""COMPUTED_VALUE"""),500000.0)</f>
        <v>500000</v>
      </c>
      <c r="I7292" s="24">
        <f>IFERROR(__xludf.DUMMYFUNCTION("""COMPUTED_VALUE"""),0.0)</f>
        <v>0</v>
      </c>
    </row>
    <row r="7293">
      <c r="A7293" s="5" t="str">
        <f>IFERROR(__xludf.DUMMYFUNCTION("""COMPUTED_VALUE"""),"89651")</f>
        <v>89651</v>
      </c>
      <c r="B7293" s="64">
        <f>IFERROR(__xludf.DUMMYFUNCTION("""COMPUTED_VALUE"""),44649.0)</f>
        <v>44649</v>
      </c>
      <c r="C7293" s="5"/>
      <c r="D7293" s="5"/>
      <c r="E7293" s="5"/>
      <c r="F7293" s="25">
        <f>IFERROR(__xludf.DUMMYFUNCTION("""COMPUTED_VALUE"""),500000.0)</f>
        <v>500000</v>
      </c>
      <c r="G7293" s="25">
        <f>IFERROR(__xludf.DUMMYFUNCTION("""COMPUTED_VALUE"""),0.0)</f>
        <v>0</v>
      </c>
      <c r="H7293" s="8">
        <f>IFERROR(__xludf.DUMMYFUNCTION("""COMPUTED_VALUE"""),500000.0)</f>
        <v>500000</v>
      </c>
      <c r="I7293" s="24">
        <f>IFERROR(__xludf.DUMMYFUNCTION("""COMPUTED_VALUE"""),0.0)</f>
        <v>0</v>
      </c>
    </row>
    <row r="7294">
      <c r="A7294" s="5" t="str">
        <f>IFERROR(__xludf.DUMMYFUNCTION("""COMPUTED_VALUE"""),"89651")</f>
        <v>89651</v>
      </c>
      <c r="B7294" s="64">
        <f>IFERROR(__xludf.DUMMYFUNCTION("""COMPUTED_VALUE"""),44650.0)</f>
        <v>44650</v>
      </c>
      <c r="C7294" s="5"/>
      <c r="D7294" s="5"/>
      <c r="E7294" s="5"/>
      <c r="F7294" s="25">
        <f>IFERROR(__xludf.DUMMYFUNCTION("""COMPUTED_VALUE"""),500000.0)</f>
        <v>500000</v>
      </c>
      <c r="G7294" s="25">
        <f>IFERROR(__xludf.DUMMYFUNCTION("""COMPUTED_VALUE"""),0.0)</f>
        <v>0</v>
      </c>
      <c r="H7294" s="8">
        <f>IFERROR(__xludf.DUMMYFUNCTION("""COMPUTED_VALUE"""),500000.0)</f>
        <v>500000</v>
      </c>
      <c r="I7294" s="24">
        <f>IFERROR(__xludf.DUMMYFUNCTION("""COMPUTED_VALUE"""),0.0)</f>
        <v>0</v>
      </c>
    </row>
    <row r="7295">
      <c r="A7295" s="5" t="str">
        <f>IFERROR(__xludf.DUMMYFUNCTION("""COMPUTED_VALUE"""),"89651")</f>
        <v>89651</v>
      </c>
      <c r="B7295" s="64">
        <f>IFERROR(__xludf.DUMMYFUNCTION("""COMPUTED_VALUE"""),44651.0)</f>
        <v>44651</v>
      </c>
      <c r="C7295" s="5"/>
      <c r="D7295" s="5"/>
      <c r="E7295" s="5"/>
      <c r="F7295" s="25">
        <f>IFERROR(__xludf.DUMMYFUNCTION("""COMPUTED_VALUE"""),500000.0)</f>
        <v>500000</v>
      </c>
      <c r="G7295" s="25">
        <f>IFERROR(__xludf.DUMMYFUNCTION("""COMPUTED_VALUE"""),0.0)</f>
        <v>0</v>
      </c>
      <c r="H7295" s="8">
        <f>IFERROR(__xludf.DUMMYFUNCTION("""COMPUTED_VALUE"""),500000.0)</f>
        <v>500000</v>
      </c>
      <c r="I7295" s="24">
        <f>IFERROR(__xludf.DUMMYFUNCTION("""COMPUTED_VALUE"""),0.0)</f>
        <v>0</v>
      </c>
    </row>
    <row r="7296">
      <c r="A7296" s="5" t="str">
        <f>IFERROR(__xludf.DUMMYFUNCTION("""COMPUTED_VALUE"""),"89651")</f>
        <v>89651</v>
      </c>
      <c r="B7296" s="64">
        <f>IFERROR(__xludf.DUMMYFUNCTION("""COMPUTED_VALUE"""),44652.0)</f>
        <v>44652</v>
      </c>
      <c r="C7296" s="5"/>
      <c r="D7296" s="5"/>
      <c r="E7296" s="5"/>
      <c r="F7296" s="25">
        <f>IFERROR(__xludf.DUMMYFUNCTION("""COMPUTED_VALUE"""),500000.0)</f>
        <v>500000</v>
      </c>
      <c r="G7296" s="25">
        <f>IFERROR(__xludf.DUMMYFUNCTION("""COMPUTED_VALUE"""),0.0)</f>
        <v>0</v>
      </c>
      <c r="H7296" s="8">
        <f>IFERROR(__xludf.DUMMYFUNCTION("""COMPUTED_VALUE"""),500000.0)</f>
        <v>500000</v>
      </c>
      <c r="I7296" s="24">
        <f>IFERROR(__xludf.DUMMYFUNCTION("""COMPUTED_VALUE"""),0.0)</f>
        <v>0</v>
      </c>
    </row>
    <row r="7297">
      <c r="A7297" s="5" t="str">
        <f>IFERROR(__xludf.DUMMYFUNCTION("""COMPUTED_VALUE"""),"89651")</f>
        <v>89651</v>
      </c>
      <c r="B7297" s="64">
        <f>IFERROR(__xludf.DUMMYFUNCTION("""COMPUTED_VALUE"""),44653.0)</f>
        <v>44653</v>
      </c>
      <c r="C7297" s="5"/>
      <c r="D7297" s="5"/>
      <c r="E7297" s="5"/>
      <c r="F7297" s="25">
        <f>IFERROR(__xludf.DUMMYFUNCTION("""COMPUTED_VALUE"""),500000.0)</f>
        <v>500000</v>
      </c>
      <c r="G7297" s="25">
        <f>IFERROR(__xludf.DUMMYFUNCTION("""COMPUTED_VALUE"""),0.0)</f>
        <v>0</v>
      </c>
      <c r="H7297" s="8">
        <f>IFERROR(__xludf.DUMMYFUNCTION("""COMPUTED_VALUE"""),500000.0)</f>
        <v>500000</v>
      </c>
      <c r="I7297" s="24">
        <f>IFERROR(__xludf.DUMMYFUNCTION("""COMPUTED_VALUE"""),0.0)</f>
        <v>0</v>
      </c>
    </row>
    <row r="7298">
      <c r="A7298" s="5" t="str">
        <f>IFERROR(__xludf.DUMMYFUNCTION("""COMPUTED_VALUE"""),"89651")</f>
        <v>89651</v>
      </c>
      <c r="B7298" s="64">
        <f>IFERROR(__xludf.DUMMYFUNCTION("""COMPUTED_VALUE"""),44654.0)</f>
        <v>44654</v>
      </c>
      <c r="C7298" s="5"/>
      <c r="D7298" s="5"/>
      <c r="E7298" s="5"/>
      <c r="F7298" s="25">
        <f>IFERROR(__xludf.DUMMYFUNCTION("""COMPUTED_VALUE"""),500000.0)</f>
        <v>500000</v>
      </c>
      <c r="G7298" s="25">
        <f>IFERROR(__xludf.DUMMYFUNCTION("""COMPUTED_VALUE"""),0.0)</f>
        <v>0</v>
      </c>
      <c r="H7298" s="8">
        <f>IFERROR(__xludf.DUMMYFUNCTION("""COMPUTED_VALUE"""),500000.0)</f>
        <v>500000</v>
      </c>
      <c r="I7298" s="24">
        <f>IFERROR(__xludf.DUMMYFUNCTION("""COMPUTED_VALUE"""),0.0)</f>
        <v>0</v>
      </c>
    </row>
    <row r="7299">
      <c r="A7299" s="5" t="str">
        <f>IFERROR(__xludf.DUMMYFUNCTION("""COMPUTED_VALUE"""),"89651")</f>
        <v>89651</v>
      </c>
      <c r="B7299" s="64">
        <f>IFERROR(__xludf.DUMMYFUNCTION("""COMPUTED_VALUE"""),44655.0)</f>
        <v>44655</v>
      </c>
      <c r="C7299" s="5"/>
      <c r="D7299" s="5"/>
      <c r="E7299" s="5"/>
      <c r="F7299" s="25">
        <f>IFERROR(__xludf.DUMMYFUNCTION("""COMPUTED_VALUE"""),500000.0)</f>
        <v>500000</v>
      </c>
      <c r="G7299" s="25">
        <f>IFERROR(__xludf.DUMMYFUNCTION("""COMPUTED_VALUE"""),0.0)</f>
        <v>0</v>
      </c>
      <c r="H7299" s="8">
        <f>IFERROR(__xludf.DUMMYFUNCTION("""COMPUTED_VALUE"""),500000.0)</f>
        <v>500000</v>
      </c>
      <c r="I7299" s="24">
        <f>IFERROR(__xludf.DUMMYFUNCTION("""COMPUTED_VALUE"""),0.0)</f>
        <v>0</v>
      </c>
    </row>
    <row r="7300">
      <c r="A7300" s="5" t="str">
        <f>IFERROR(__xludf.DUMMYFUNCTION("""COMPUTED_VALUE"""),"89651")</f>
        <v>89651</v>
      </c>
      <c r="B7300" s="64">
        <f>IFERROR(__xludf.DUMMYFUNCTION("""COMPUTED_VALUE"""),44656.0)</f>
        <v>44656</v>
      </c>
      <c r="C7300" s="5"/>
      <c r="D7300" s="5"/>
      <c r="E7300" s="5"/>
      <c r="F7300" s="25">
        <f>IFERROR(__xludf.DUMMYFUNCTION("""COMPUTED_VALUE"""),500000.0)</f>
        <v>500000</v>
      </c>
      <c r="G7300" s="25">
        <f>IFERROR(__xludf.DUMMYFUNCTION("""COMPUTED_VALUE"""),0.0)</f>
        <v>0</v>
      </c>
      <c r="H7300" s="8">
        <f>IFERROR(__xludf.DUMMYFUNCTION("""COMPUTED_VALUE"""),500000.0)</f>
        <v>500000</v>
      </c>
      <c r="I7300" s="24">
        <f>IFERROR(__xludf.DUMMYFUNCTION("""COMPUTED_VALUE"""),0.0)</f>
        <v>0</v>
      </c>
    </row>
    <row r="7301">
      <c r="A7301" s="5" t="str">
        <f>IFERROR(__xludf.DUMMYFUNCTION("""COMPUTED_VALUE"""),"89651")</f>
        <v>89651</v>
      </c>
      <c r="B7301" s="64">
        <f>IFERROR(__xludf.DUMMYFUNCTION("""COMPUTED_VALUE"""),44657.0)</f>
        <v>44657</v>
      </c>
      <c r="C7301" s="5"/>
      <c r="D7301" s="5"/>
      <c r="E7301" s="5"/>
      <c r="F7301" s="25">
        <f>IFERROR(__xludf.DUMMYFUNCTION("""COMPUTED_VALUE"""),500000.0)</f>
        <v>500000</v>
      </c>
      <c r="G7301" s="25">
        <f>IFERROR(__xludf.DUMMYFUNCTION("""COMPUTED_VALUE"""),0.0)</f>
        <v>0</v>
      </c>
      <c r="H7301" s="8">
        <f>IFERROR(__xludf.DUMMYFUNCTION("""COMPUTED_VALUE"""),500000.0)</f>
        <v>500000</v>
      </c>
      <c r="I7301" s="24">
        <f>IFERROR(__xludf.DUMMYFUNCTION("""COMPUTED_VALUE"""),0.0)</f>
        <v>0</v>
      </c>
    </row>
    <row r="7302">
      <c r="A7302" s="5" t="str">
        <f>IFERROR(__xludf.DUMMYFUNCTION("""COMPUTED_VALUE"""),"89651")</f>
        <v>89651</v>
      </c>
      <c r="B7302" s="64">
        <f>IFERROR(__xludf.DUMMYFUNCTION("""COMPUTED_VALUE"""),44658.0)</f>
        <v>44658</v>
      </c>
      <c r="C7302" s="5"/>
      <c r="D7302" s="5"/>
      <c r="E7302" s="5"/>
      <c r="F7302" s="25">
        <f>IFERROR(__xludf.DUMMYFUNCTION("""COMPUTED_VALUE"""),500000.0)</f>
        <v>500000</v>
      </c>
      <c r="G7302" s="25">
        <f>IFERROR(__xludf.DUMMYFUNCTION("""COMPUTED_VALUE"""),0.0)</f>
        <v>0</v>
      </c>
      <c r="H7302" s="8">
        <f>IFERROR(__xludf.DUMMYFUNCTION("""COMPUTED_VALUE"""),500000.0)</f>
        <v>500000</v>
      </c>
      <c r="I7302" s="24">
        <f>IFERROR(__xludf.DUMMYFUNCTION("""COMPUTED_VALUE"""),0.0)</f>
        <v>0</v>
      </c>
    </row>
    <row r="7303">
      <c r="A7303" s="5" t="str">
        <f>IFERROR(__xludf.DUMMYFUNCTION("""COMPUTED_VALUE"""),"89651")</f>
        <v>89651</v>
      </c>
      <c r="B7303" s="64">
        <f>IFERROR(__xludf.DUMMYFUNCTION("""COMPUTED_VALUE"""),44659.0)</f>
        <v>44659</v>
      </c>
      <c r="C7303" s="5"/>
      <c r="D7303" s="5"/>
      <c r="E7303" s="5"/>
      <c r="F7303" s="25">
        <f>IFERROR(__xludf.DUMMYFUNCTION("""COMPUTED_VALUE"""),500000.0)</f>
        <v>500000</v>
      </c>
      <c r="G7303" s="25">
        <f>IFERROR(__xludf.DUMMYFUNCTION("""COMPUTED_VALUE"""),0.0)</f>
        <v>0</v>
      </c>
      <c r="H7303" s="8">
        <f>IFERROR(__xludf.DUMMYFUNCTION("""COMPUTED_VALUE"""),500000.0)</f>
        <v>500000</v>
      </c>
      <c r="I7303" s="24">
        <f>IFERROR(__xludf.DUMMYFUNCTION("""COMPUTED_VALUE"""),0.0)</f>
        <v>0</v>
      </c>
    </row>
    <row r="7304">
      <c r="A7304" s="5" t="str">
        <f>IFERROR(__xludf.DUMMYFUNCTION("""COMPUTED_VALUE"""),"89651")</f>
        <v>89651</v>
      </c>
      <c r="B7304" s="64">
        <f>IFERROR(__xludf.DUMMYFUNCTION("""COMPUTED_VALUE"""),44660.0)</f>
        <v>44660</v>
      </c>
      <c r="C7304" s="5"/>
      <c r="D7304" s="5"/>
      <c r="E7304" s="5"/>
      <c r="F7304" s="25">
        <f>IFERROR(__xludf.DUMMYFUNCTION("""COMPUTED_VALUE"""),500000.0)</f>
        <v>500000</v>
      </c>
      <c r="G7304" s="25">
        <f>IFERROR(__xludf.DUMMYFUNCTION("""COMPUTED_VALUE"""),0.0)</f>
        <v>0</v>
      </c>
      <c r="H7304" s="8">
        <f>IFERROR(__xludf.DUMMYFUNCTION("""COMPUTED_VALUE"""),500000.0)</f>
        <v>500000</v>
      </c>
      <c r="I7304" s="24">
        <f>IFERROR(__xludf.DUMMYFUNCTION("""COMPUTED_VALUE"""),0.0)</f>
        <v>0</v>
      </c>
    </row>
    <row r="7305">
      <c r="A7305" s="5" t="str">
        <f>IFERROR(__xludf.DUMMYFUNCTION("""COMPUTED_VALUE"""),"89651")</f>
        <v>89651</v>
      </c>
      <c r="B7305" s="64">
        <f>IFERROR(__xludf.DUMMYFUNCTION("""COMPUTED_VALUE"""),44661.0)</f>
        <v>44661</v>
      </c>
      <c r="C7305" s="5"/>
      <c r="D7305" s="5"/>
      <c r="E7305" s="5"/>
      <c r="F7305" s="25">
        <f>IFERROR(__xludf.DUMMYFUNCTION("""COMPUTED_VALUE"""),500000.0)</f>
        <v>500000</v>
      </c>
      <c r="G7305" s="25">
        <f>IFERROR(__xludf.DUMMYFUNCTION("""COMPUTED_VALUE"""),0.0)</f>
        <v>0</v>
      </c>
      <c r="H7305" s="8">
        <f>IFERROR(__xludf.DUMMYFUNCTION("""COMPUTED_VALUE"""),500000.0)</f>
        <v>500000</v>
      </c>
      <c r="I7305" s="24">
        <f>IFERROR(__xludf.DUMMYFUNCTION("""COMPUTED_VALUE"""),0.0)</f>
        <v>0</v>
      </c>
    </row>
    <row r="7306">
      <c r="A7306" s="5" t="str">
        <f>IFERROR(__xludf.DUMMYFUNCTION("""COMPUTED_VALUE"""),"89651")</f>
        <v>89651</v>
      </c>
      <c r="B7306" s="64">
        <f>IFERROR(__xludf.DUMMYFUNCTION("""COMPUTED_VALUE"""),44662.0)</f>
        <v>44662</v>
      </c>
      <c r="C7306" s="5"/>
      <c r="D7306" s="5"/>
      <c r="E7306" s="5"/>
      <c r="F7306" s="25">
        <f>IFERROR(__xludf.DUMMYFUNCTION("""COMPUTED_VALUE"""),500000.0)</f>
        <v>500000</v>
      </c>
      <c r="G7306" s="25">
        <f>IFERROR(__xludf.DUMMYFUNCTION("""COMPUTED_VALUE"""),0.0)</f>
        <v>0</v>
      </c>
      <c r="H7306" s="8">
        <f>IFERROR(__xludf.DUMMYFUNCTION("""COMPUTED_VALUE"""),500000.0)</f>
        <v>500000</v>
      </c>
      <c r="I7306" s="24">
        <f>IFERROR(__xludf.DUMMYFUNCTION("""COMPUTED_VALUE"""),0.0)</f>
        <v>0</v>
      </c>
    </row>
    <row r="7307">
      <c r="A7307" s="5" t="str">
        <f>IFERROR(__xludf.DUMMYFUNCTION("""COMPUTED_VALUE"""),"89651")</f>
        <v>89651</v>
      </c>
      <c r="B7307" s="64">
        <f>IFERROR(__xludf.DUMMYFUNCTION("""COMPUTED_VALUE"""),44663.0)</f>
        <v>44663</v>
      </c>
      <c r="C7307" s="5"/>
      <c r="D7307" s="5"/>
      <c r="E7307" s="5"/>
      <c r="F7307" s="25">
        <f>IFERROR(__xludf.DUMMYFUNCTION("""COMPUTED_VALUE"""),500000.0)</f>
        <v>500000</v>
      </c>
      <c r="G7307" s="25">
        <f>IFERROR(__xludf.DUMMYFUNCTION("""COMPUTED_VALUE"""),0.0)</f>
        <v>0</v>
      </c>
      <c r="H7307" s="8">
        <f>IFERROR(__xludf.DUMMYFUNCTION("""COMPUTED_VALUE"""),500000.0)</f>
        <v>500000</v>
      </c>
      <c r="I7307" s="24">
        <f>IFERROR(__xludf.DUMMYFUNCTION("""COMPUTED_VALUE"""),0.0)</f>
        <v>0</v>
      </c>
    </row>
    <row r="7308">
      <c r="A7308" s="5" t="str">
        <f>IFERROR(__xludf.DUMMYFUNCTION("""COMPUTED_VALUE"""),"89750")</f>
        <v>89750</v>
      </c>
      <c r="B7308" s="64">
        <f>IFERROR(__xludf.DUMMYFUNCTION("""COMPUTED_VALUE"""),44597.0)</f>
        <v>44597</v>
      </c>
      <c r="C7308" s="5"/>
      <c r="D7308" s="5"/>
      <c r="E7308" s="5"/>
      <c r="F7308" s="25">
        <f>IFERROR(__xludf.DUMMYFUNCTION("""COMPUTED_VALUE"""),500000.0)</f>
        <v>500000</v>
      </c>
      <c r="G7308" s="25">
        <f>IFERROR(__xludf.DUMMYFUNCTION("""COMPUTED_VALUE"""),0.0)</f>
        <v>0</v>
      </c>
      <c r="H7308" s="8">
        <f>IFERROR(__xludf.DUMMYFUNCTION("""COMPUTED_VALUE"""),500000.0)</f>
        <v>500000</v>
      </c>
      <c r="I7308" s="24">
        <f>IFERROR(__xludf.DUMMYFUNCTION("""COMPUTED_VALUE"""),0.0)</f>
        <v>0</v>
      </c>
    </row>
    <row r="7309">
      <c r="A7309" s="5" t="str">
        <f>IFERROR(__xludf.DUMMYFUNCTION("""COMPUTED_VALUE"""),"89750")</f>
        <v>89750</v>
      </c>
      <c r="B7309" s="64">
        <f>IFERROR(__xludf.DUMMYFUNCTION("""COMPUTED_VALUE"""),44598.0)</f>
        <v>44598</v>
      </c>
      <c r="C7309" s="5"/>
      <c r="D7309" s="5"/>
      <c r="E7309" s="5"/>
      <c r="F7309" s="25">
        <f>IFERROR(__xludf.DUMMYFUNCTION("""COMPUTED_VALUE"""),500000.0)</f>
        <v>500000</v>
      </c>
      <c r="G7309" s="25">
        <f>IFERROR(__xludf.DUMMYFUNCTION("""COMPUTED_VALUE"""),0.0)</f>
        <v>0</v>
      </c>
      <c r="H7309" s="8">
        <f>IFERROR(__xludf.DUMMYFUNCTION("""COMPUTED_VALUE"""),500000.0)</f>
        <v>500000</v>
      </c>
      <c r="I7309" s="24">
        <f>IFERROR(__xludf.DUMMYFUNCTION("""COMPUTED_VALUE"""),0.0)</f>
        <v>0</v>
      </c>
    </row>
    <row r="7310">
      <c r="A7310" s="5" t="str">
        <f>IFERROR(__xludf.DUMMYFUNCTION("""COMPUTED_VALUE"""),"89750")</f>
        <v>89750</v>
      </c>
      <c r="B7310" s="64">
        <f>IFERROR(__xludf.DUMMYFUNCTION("""COMPUTED_VALUE"""),44599.0)</f>
        <v>44599</v>
      </c>
      <c r="C7310" s="5"/>
      <c r="D7310" s="5"/>
      <c r="E7310" s="5"/>
      <c r="F7310" s="25">
        <f>IFERROR(__xludf.DUMMYFUNCTION("""COMPUTED_VALUE"""),500000.0)</f>
        <v>500000</v>
      </c>
      <c r="G7310" s="25">
        <f>IFERROR(__xludf.DUMMYFUNCTION("""COMPUTED_VALUE"""),0.0)</f>
        <v>0</v>
      </c>
      <c r="H7310" s="8">
        <f>IFERROR(__xludf.DUMMYFUNCTION("""COMPUTED_VALUE"""),500000.0)</f>
        <v>500000</v>
      </c>
      <c r="I7310" s="24">
        <f>IFERROR(__xludf.DUMMYFUNCTION("""COMPUTED_VALUE"""),0.0)</f>
        <v>0</v>
      </c>
    </row>
    <row r="7311">
      <c r="A7311" s="5" t="str">
        <f>IFERROR(__xludf.DUMMYFUNCTION("""COMPUTED_VALUE"""),"89750")</f>
        <v>89750</v>
      </c>
      <c r="B7311" s="64">
        <f>IFERROR(__xludf.DUMMYFUNCTION("""COMPUTED_VALUE"""),44600.0)</f>
        <v>44600</v>
      </c>
      <c r="C7311" s="5"/>
      <c r="D7311" s="5"/>
      <c r="E7311" s="5"/>
      <c r="F7311" s="25">
        <f>IFERROR(__xludf.DUMMYFUNCTION("""COMPUTED_VALUE"""),500000.0)</f>
        <v>500000</v>
      </c>
      <c r="G7311" s="25">
        <f>IFERROR(__xludf.DUMMYFUNCTION("""COMPUTED_VALUE"""),0.0)</f>
        <v>0</v>
      </c>
      <c r="H7311" s="8">
        <f>IFERROR(__xludf.DUMMYFUNCTION("""COMPUTED_VALUE"""),500000.0)</f>
        <v>500000</v>
      </c>
      <c r="I7311" s="24">
        <f>IFERROR(__xludf.DUMMYFUNCTION("""COMPUTED_VALUE"""),0.0)</f>
        <v>0</v>
      </c>
    </row>
    <row r="7312">
      <c r="A7312" s="5" t="str">
        <f>IFERROR(__xludf.DUMMYFUNCTION("""COMPUTED_VALUE"""),"89750")</f>
        <v>89750</v>
      </c>
      <c r="B7312" s="64">
        <f>IFERROR(__xludf.DUMMYFUNCTION("""COMPUTED_VALUE"""),44601.0)</f>
        <v>44601</v>
      </c>
      <c r="C7312" s="5"/>
      <c r="D7312" s="5"/>
      <c r="E7312" s="5"/>
      <c r="F7312" s="25">
        <f>IFERROR(__xludf.DUMMYFUNCTION("""COMPUTED_VALUE"""),500000.0)</f>
        <v>500000</v>
      </c>
      <c r="G7312" s="25">
        <f>IFERROR(__xludf.DUMMYFUNCTION("""COMPUTED_VALUE"""),0.0)</f>
        <v>0</v>
      </c>
      <c r="H7312" s="8">
        <f>IFERROR(__xludf.DUMMYFUNCTION("""COMPUTED_VALUE"""),500000.0)</f>
        <v>500000</v>
      </c>
      <c r="I7312" s="24">
        <f>IFERROR(__xludf.DUMMYFUNCTION("""COMPUTED_VALUE"""),0.0)</f>
        <v>0</v>
      </c>
    </row>
    <row r="7313">
      <c r="A7313" s="5" t="str">
        <f>IFERROR(__xludf.DUMMYFUNCTION("""COMPUTED_VALUE"""),"89750")</f>
        <v>89750</v>
      </c>
      <c r="B7313" s="64">
        <f>IFERROR(__xludf.DUMMYFUNCTION("""COMPUTED_VALUE"""),44602.0)</f>
        <v>44602</v>
      </c>
      <c r="C7313" s="5"/>
      <c r="D7313" s="5"/>
      <c r="E7313" s="5"/>
      <c r="F7313" s="25">
        <f>IFERROR(__xludf.DUMMYFUNCTION("""COMPUTED_VALUE"""),500000.0)</f>
        <v>500000</v>
      </c>
      <c r="G7313" s="25">
        <f>IFERROR(__xludf.DUMMYFUNCTION("""COMPUTED_VALUE"""),0.0)</f>
        <v>0</v>
      </c>
      <c r="H7313" s="8">
        <f>IFERROR(__xludf.DUMMYFUNCTION("""COMPUTED_VALUE"""),546400.0)</f>
        <v>546400</v>
      </c>
      <c r="I7313" s="24">
        <f>IFERROR(__xludf.DUMMYFUNCTION("""COMPUTED_VALUE"""),0.0928)</f>
        <v>0.0928</v>
      </c>
    </row>
    <row r="7314">
      <c r="A7314" s="5" t="str">
        <f>IFERROR(__xludf.DUMMYFUNCTION("""COMPUTED_VALUE"""),"89750")</f>
        <v>89750</v>
      </c>
      <c r="B7314" s="64">
        <f>IFERROR(__xludf.DUMMYFUNCTION("""COMPUTED_VALUE"""),44603.0)</f>
        <v>44603</v>
      </c>
      <c r="C7314" s="5"/>
      <c r="D7314" s="5"/>
      <c r="E7314" s="5"/>
      <c r="F7314" s="25">
        <f>IFERROR(__xludf.DUMMYFUNCTION("""COMPUTED_VALUE"""),500000.0)</f>
        <v>500000</v>
      </c>
      <c r="G7314" s="25">
        <f>IFERROR(__xludf.DUMMYFUNCTION("""COMPUTED_VALUE"""),0.0)</f>
        <v>0</v>
      </c>
      <c r="H7314" s="8">
        <f>IFERROR(__xludf.DUMMYFUNCTION("""COMPUTED_VALUE"""),546400.0)</f>
        <v>546400</v>
      </c>
      <c r="I7314" s="24">
        <f>IFERROR(__xludf.DUMMYFUNCTION("""COMPUTED_VALUE"""),0.0928)</f>
        <v>0.0928</v>
      </c>
    </row>
    <row r="7315">
      <c r="A7315" s="5" t="str">
        <f>IFERROR(__xludf.DUMMYFUNCTION("""COMPUTED_VALUE"""),"89750")</f>
        <v>89750</v>
      </c>
      <c r="B7315" s="64">
        <f>IFERROR(__xludf.DUMMYFUNCTION("""COMPUTED_VALUE"""),44604.0)</f>
        <v>44604</v>
      </c>
      <c r="C7315" s="5"/>
      <c r="D7315" s="5"/>
      <c r="E7315" s="5"/>
      <c r="F7315" s="25">
        <f>IFERROR(__xludf.DUMMYFUNCTION("""COMPUTED_VALUE"""),500000.0)</f>
        <v>500000</v>
      </c>
      <c r="G7315" s="25">
        <f>IFERROR(__xludf.DUMMYFUNCTION("""COMPUTED_VALUE"""),0.0)</f>
        <v>0</v>
      </c>
      <c r="H7315" s="8">
        <f>IFERROR(__xludf.DUMMYFUNCTION("""COMPUTED_VALUE"""),546400.0)</f>
        <v>546400</v>
      </c>
      <c r="I7315" s="24">
        <f>IFERROR(__xludf.DUMMYFUNCTION("""COMPUTED_VALUE"""),0.0928)</f>
        <v>0.0928</v>
      </c>
    </row>
    <row r="7316">
      <c r="A7316" s="5" t="str">
        <f>IFERROR(__xludf.DUMMYFUNCTION("""COMPUTED_VALUE"""),"89750")</f>
        <v>89750</v>
      </c>
      <c r="B7316" s="64">
        <f>IFERROR(__xludf.DUMMYFUNCTION("""COMPUTED_VALUE"""),44605.0)</f>
        <v>44605</v>
      </c>
      <c r="C7316" s="5"/>
      <c r="D7316" s="5"/>
      <c r="E7316" s="5"/>
      <c r="F7316" s="25">
        <f>IFERROR(__xludf.DUMMYFUNCTION("""COMPUTED_VALUE"""),500000.0)</f>
        <v>500000</v>
      </c>
      <c r="G7316" s="25">
        <f>IFERROR(__xludf.DUMMYFUNCTION("""COMPUTED_VALUE"""),0.0)</f>
        <v>0</v>
      </c>
      <c r="H7316" s="8">
        <f>IFERROR(__xludf.DUMMYFUNCTION("""COMPUTED_VALUE"""),546400.0)</f>
        <v>546400</v>
      </c>
      <c r="I7316" s="24">
        <f>IFERROR(__xludf.DUMMYFUNCTION("""COMPUTED_VALUE"""),0.0928)</f>
        <v>0.0928</v>
      </c>
    </row>
    <row r="7317">
      <c r="A7317" s="5" t="str">
        <f>IFERROR(__xludf.DUMMYFUNCTION("""COMPUTED_VALUE"""),"89750")</f>
        <v>89750</v>
      </c>
      <c r="B7317" s="64">
        <f>IFERROR(__xludf.DUMMYFUNCTION("""COMPUTED_VALUE"""),44606.0)</f>
        <v>44606</v>
      </c>
      <c r="C7317" s="5"/>
      <c r="D7317" s="5"/>
      <c r="E7317" s="5"/>
      <c r="F7317" s="25">
        <f>IFERROR(__xludf.DUMMYFUNCTION("""COMPUTED_VALUE"""),500000.0)</f>
        <v>500000</v>
      </c>
      <c r="G7317" s="25">
        <f>IFERROR(__xludf.DUMMYFUNCTION("""COMPUTED_VALUE"""),0.0)</f>
        <v>0</v>
      </c>
      <c r="H7317" s="8">
        <f>IFERROR(__xludf.DUMMYFUNCTION("""COMPUTED_VALUE"""),526900.0)</f>
        <v>526900</v>
      </c>
      <c r="I7317" s="24">
        <f>IFERROR(__xludf.DUMMYFUNCTION("""COMPUTED_VALUE"""),0.05380000000000007)</f>
        <v>0.0538</v>
      </c>
    </row>
    <row r="7318">
      <c r="A7318" s="5" t="str">
        <f>IFERROR(__xludf.DUMMYFUNCTION("""COMPUTED_VALUE"""),"89750")</f>
        <v>89750</v>
      </c>
      <c r="B7318" s="64">
        <f>IFERROR(__xludf.DUMMYFUNCTION("""COMPUTED_VALUE"""),44607.0)</f>
        <v>44607</v>
      </c>
      <c r="C7318" s="5"/>
      <c r="D7318" s="5"/>
      <c r="E7318" s="5"/>
      <c r="F7318" s="25">
        <f>IFERROR(__xludf.DUMMYFUNCTION("""COMPUTED_VALUE"""),56318.912025)</f>
        <v>56318.91203</v>
      </c>
      <c r="G7318" s="25">
        <f>IFERROR(__xludf.DUMMYFUNCTION("""COMPUTED_VALUE"""),0.0)</f>
        <v>0</v>
      </c>
      <c r="H7318" s="8">
        <f>IFERROR(__xludf.DUMMYFUNCTION("""COMPUTED_VALUE"""),522400.0)</f>
        <v>522400</v>
      </c>
      <c r="I7318" s="24">
        <f>IFERROR(__xludf.DUMMYFUNCTION("""COMPUTED_VALUE"""),0.04479999999999995)</f>
        <v>0.0448</v>
      </c>
    </row>
    <row r="7319">
      <c r="A7319" s="5" t="str">
        <f>IFERROR(__xludf.DUMMYFUNCTION("""COMPUTED_VALUE"""),"89750")</f>
        <v>89750</v>
      </c>
      <c r="B7319" s="64">
        <f>IFERROR(__xludf.DUMMYFUNCTION("""COMPUTED_VALUE"""),44608.0)</f>
        <v>44608</v>
      </c>
      <c r="C7319" s="5"/>
      <c r="D7319" s="5"/>
      <c r="E7319" s="5"/>
      <c r="F7319" s="25">
        <f>IFERROR(__xludf.DUMMYFUNCTION("""COMPUTED_VALUE"""),56318.912025)</f>
        <v>56318.91203</v>
      </c>
      <c r="G7319" s="25">
        <f>IFERROR(__xludf.DUMMYFUNCTION("""COMPUTED_VALUE"""),0.0)</f>
        <v>0</v>
      </c>
      <c r="H7319" s="8">
        <f>IFERROR(__xludf.DUMMYFUNCTION("""COMPUTED_VALUE"""),556045.41735)</f>
        <v>556045.4174</v>
      </c>
      <c r="I7319" s="24">
        <f>IFERROR(__xludf.DUMMYFUNCTION("""COMPUTED_VALUE"""),0.11209083470000003)</f>
        <v>0.1120908347</v>
      </c>
    </row>
    <row r="7320">
      <c r="A7320" s="5" t="str">
        <f>IFERROR(__xludf.DUMMYFUNCTION("""COMPUTED_VALUE"""),"89750")</f>
        <v>89750</v>
      </c>
      <c r="B7320" s="64">
        <f>IFERROR(__xludf.DUMMYFUNCTION("""COMPUTED_VALUE"""),44609.0)</f>
        <v>44609</v>
      </c>
      <c r="C7320" s="5"/>
      <c r="D7320" s="5"/>
      <c r="E7320" s="5"/>
      <c r="F7320" s="25">
        <f>IFERROR(__xludf.DUMMYFUNCTION("""COMPUTED_VALUE"""),56318.912025)</f>
        <v>56318.91203</v>
      </c>
      <c r="G7320" s="25">
        <f>IFERROR(__xludf.DUMMYFUNCTION("""COMPUTED_VALUE"""),0.0)</f>
        <v>0</v>
      </c>
      <c r="H7320" s="8">
        <f>IFERROR(__xludf.DUMMYFUNCTION("""COMPUTED_VALUE"""),564893.036575)</f>
        <v>564893.0366</v>
      </c>
      <c r="I7320" s="24">
        <f>IFERROR(__xludf.DUMMYFUNCTION("""COMPUTED_VALUE"""),0.12978607315000001)</f>
        <v>0.1297860732</v>
      </c>
    </row>
    <row r="7321">
      <c r="A7321" s="5" t="str">
        <f>IFERROR(__xludf.DUMMYFUNCTION("""COMPUTED_VALUE"""),"89750")</f>
        <v>89750</v>
      </c>
      <c r="B7321" s="64">
        <f>IFERROR(__xludf.DUMMYFUNCTION("""COMPUTED_VALUE"""),44610.0)</f>
        <v>44610</v>
      </c>
      <c r="C7321" s="5"/>
      <c r="D7321" s="5"/>
      <c r="E7321" s="5"/>
      <c r="F7321" s="25">
        <f>IFERROR(__xludf.DUMMYFUNCTION("""COMPUTED_VALUE"""),462817.9742274999)</f>
        <v>462817.9742</v>
      </c>
      <c r="G7321" s="25">
        <f>IFERROR(__xludf.DUMMYFUNCTION("""COMPUTED_VALUE"""),0.0)</f>
        <v>0</v>
      </c>
      <c r="H7321" s="8">
        <f>IFERROR(__xludf.DUMMYFUNCTION("""COMPUTED_VALUE"""),565974.9329125)</f>
        <v>565974.9329</v>
      </c>
      <c r="I7321" s="24">
        <f>IFERROR(__xludf.DUMMYFUNCTION("""COMPUTED_VALUE"""),0.131949865825)</f>
        <v>0.1319498658</v>
      </c>
    </row>
    <row r="7322">
      <c r="A7322" s="5" t="str">
        <f>IFERROR(__xludf.DUMMYFUNCTION("""COMPUTED_VALUE"""),"89750")</f>
        <v>89750</v>
      </c>
      <c r="B7322" s="64">
        <f>IFERROR(__xludf.DUMMYFUNCTION("""COMPUTED_VALUE"""),44611.0)</f>
        <v>44611</v>
      </c>
      <c r="C7322" s="5"/>
      <c r="D7322" s="5"/>
      <c r="E7322" s="5"/>
      <c r="F7322" s="25">
        <f>IFERROR(__xludf.DUMMYFUNCTION("""COMPUTED_VALUE"""),462817.9742274999)</f>
        <v>462817.9742</v>
      </c>
      <c r="G7322" s="25">
        <f>IFERROR(__xludf.DUMMYFUNCTION("""COMPUTED_VALUE"""),0.0)</f>
        <v>0</v>
      </c>
      <c r="H7322" s="8">
        <f>IFERROR(__xludf.DUMMYFUNCTION("""COMPUTED_VALUE"""),565974.9329125)</f>
        <v>565974.9329</v>
      </c>
      <c r="I7322" s="24">
        <f>IFERROR(__xludf.DUMMYFUNCTION("""COMPUTED_VALUE"""),0.131949865825)</f>
        <v>0.1319498658</v>
      </c>
    </row>
    <row r="7323">
      <c r="A7323" s="5" t="str">
        <f>IFERROR(__xludf.DUMMYFUNCTION("""COMPUTED_VALUE"""),"89750")</f>
        <v>89750</v>
      </c>
      <c r="B7323" s="64">
        <f>IFERROR(__xludf.DUMMYFUNCTION("""COMPUTED_VALUE"""),44612.0)</f>
        <v>44612</v>
      </c>
      <c r="C7323" s="5"/>
      <c r="D7323" s="5"/>
      <c r="E7323" s="5"/>
      <c r="F7323" s="25">
        <f>IFERROR(__xludf.DUMMYFUNCTION("""COMPUTED_VALUE"""),462817.9742274999)</f>
        <v>462817.9742</v>
      </c>
      <c r="G7323" s="25">
        <f>IFERROR(__xludf.DUMMYFUNCTION("""COMPUTED_VALUE"""),0.0)</f>
        <v>0</v>
      </c>
      <c r="H7323" s="8">
        <f>IFERROR(__xludf.DUMMYFUNCTION("""COMPUTED_VALUE"""),565974.9329125)</f>
        <v>565974.9329</v>
      </c>
      <c r="I7323" s="24">
        <f>IFERROR(__xludf.DUMMYFUNCTION("""COMPUTED_VALUE"""),0.131949865825)</f>
        <v>0.1319498658</v>
      </c>
    </row>
    <row r="7324">
      <c r="A7324" s="5" t="str">
        <f>IFERROR(__xludf.DUMMYFUNCTION("""COMPUTED_VALUE"""),"89750")</f>
        <v>89750</v>
      </c>
      <c r="B7324" s="64">
        <f>IFERROR(__xludf.DUMMYFUNCTION("""COMPUTED_VALUE"""),44613.0)</f>
        <v>44613</v>
      </c>
      <c r="C7324" s="5"/>
      <c r="D7324" s="5"/>
      <c r="E7324" s="5"/>
      <c r="F7324" s="25">
        <f>IFERROR(__xludf.DUMMYFUNCTION("""COMPUTED_VALUE"""),462817.9742274999)</f>
        <v>462817.9742</v>
      </c>
      <c r="G7324" s="25">
        <f>IFERROR(__xludf.DUMMYFUNCTION("""COMPUTED_VALUE"""),0.0)</f>
        <v>0</v>
      </c>
      <c r="H7324" s="8">
        <f>IFERROR(__xludf.DUMMYFUNCTION("""COMPUTED_VALUE"""),562224.9329125)</f>
        <v>562224.9329</v>
      </c>
      <c r="I7324" s="24">
        <f>IFERROR(__xludf.DUMMYFUNCTION("""COMPUTED_VALUE"""),0.12444986582499995)</f>
        <v>0.1244498658</v>
      </c>
    </row>
    <row r="7325">
      <c r="A7325" s="5" t="str">
        <f>IFERROR(__xludf.DUMMYFUNCTION("""COMPUTED_VALUE"""),"89750")</f>
        <v>89750</v>
      </c>
      <c r="B7325" s="64">
        <f>IFERROR(__xludf.DUMMYFUNCTION("""COMPUTED_VALUE"""),44614.0)</f>
        <v>44614</v>
      </c>
      <c r="C7325" s="5"/>
      <c r="D7325" s="5"/>
      <c r="E7325" s="5"/>
      <c r="F7325" s="25">
        <f>IFERROR(__xludf.DUMMYFUNCTION("""COMPUTED_VALUE"""),393921.87840149994)</f>
        <v>393921.8784</v>
      </c>
      <c r="G7325" s="25">
        <f>IFERROR(__xludf.DUMMYFUNCTION("""COMPUTED_VALUE"""),0.0)</f>
        <v>0</v>
      </c>
      <c r="H7325" s="8">
        <f>IFERROR(__xludf.DUMMYFUNCTION("""COMPUTED_VALUE"""),553852.8408134999)</f>
        <v>553852.8408</v>
      </c>
      <c r="I7325" s="24">
        <f>IFERROR(__xludf.DUMMYFUNCTION("""COMPUTED_VALUE"""),0.10770568162699967)</f>
        <v>0.1077056816</v>
      </c>
    </row>
    <row r="7326">
      <c r="A7326" s="5" t="str">
        <f>IFERROR(__xludf.DUMMYFUNCTION("""COMPUTED_VALUE"""),"89750")</f>
        <v>89750</v>
      </c>
      <c r="B7326" s="64">
        <f>IFERROR(__xludf.DUMMYFUNCTION("""COMPUTED_VALUE"""),44615.0)</f>
        <v>44615</v>
      </c>
      <c r="C7326" s="5"/>
      <c r="D7326" s="5"/>
      <c r="E7326" s="5"/>
      <c r="F7326" s="25">
        <f>IFERROR(__xludf.DUMMYFUNCTION("""COMPUTED_VALUE"""),393921.87840149994)</f>
        <v>393921.8784</v>
      </c>
      <c r="G7326" s="25">
        <f>IFERROR(__xludf.DUMMYFUNCTION("""COMPUTED_VALUE"""),0.0)</f>
        <v>0</v>
      </c>
      <c r="H7326" s="8">
        <f>IFERROR(__xludf.DUMMYFUNCTION("""COMPUTED_VALUE"""),552467.9614334999)</f>
        <v>552467.9614</v>
      </c>
      <c r="I7326" s="24">
        <f>IFERROR(__xludf.DUMMYFUNCTION("""COMPUTED_VALUE"""),0.10493592286699993)</f>
        <v>0.1049359229</v>
      </c>
    </row>
    <row r="7327">
      <c r="A7327" s="5" t="str">
        <f>IFERROR(__xludf.DUMMYFUNCTION("""COMPUTED_VALUE"""),"89750")</f>
        <v>89750</v>
      </c>
      <c r="B7327" s="64">
        <f>IFERROR(__xludf.DUMMYFUNCTION("""COMPUTED_VALUE"""),44616.0)</f>
        <v>44616</v>
      </c>
      <c r="C7327" s="5"/>
      <c r="D7327" s="5"/>
      <c r="E7327" s="5"/>
      <c r="F7327" s="25">
        <f>IFERROR(__xludf.DUMMYFUNCTION("""COMPUTED_VALUE"""),393921.87840149994)</f>
        <v>393921.8784</v>
      </c>
      <c r="G7327" s="25">
        <f>IFERROR(__xludf.DUMMYFUNCTION("""COMPUTED_VALUE"""),0.0)</f>
        <v>0</v>
      </c>
      <c r="H7327" s="8">
        <f>IFERROR(__xludf.DUMMYFUNCTION("""COMPUTED_VALUE"""),546921.2215245)</f>
        <v>546921.2215</v>
      </c>
      <c r="I7327" s="24">
        <f>IFERROR(__xludf.DUMMYFUNCTION("""COMPUTED_VALUE"""),0.09384244304900013)</f>
        <v>0.09384244305</v>
      </c>
    </row>
    <row r="7328">
      <c r="A7328" s="5" t="str">
        <f>IFERROR(__xludf.DUMMYFUNCTION("""COMPUTED_VALUE"""),"89750")</f>
        <v>89750</v>
      </c>
      <c r="B7328" s="64">
        <f>IFERROR(__xludf.DUMMYFUNCTION("""COMPUTED_VALUE"""),44617.0)</f>
        <v>44617</v>
      </c>
      <c r="C7328" s="5"/>
      <c r="D7328" s="5"/>
      <c r="E7328" s="5"/>
      <c r="F7328" s="25">
        <f>IFERROR(__xludf.DUMMYFUNCTION("""COMPUTED_VALUE"""),235754.31583499993)</f>
        <v>235754.3158</v>
      </c>
      <c r="G7328" s="25">
        <f>IFERROR(__xludf.DUMMYFUNCTION("""COMPUTED_VALUE"""),0.0)</f>
        <v>0</v>
      </c>
      <c r="H7328" s="8">
        <f>IFERROR(__xludf.DUMMYFUNCTION("""COMPUTED_VALUE"""),547506.0352774999)</f>
        <v>547506.0353</v>
      </c>
      <c r="I7328" s="24">
        <f>IFERROR(__xludf.DUMMYFUNCTION("""COMPUTED_VALUE"""),0.09501207055499994)</f>
        <v>0.09501207055</v>
      </c>
    </row>
    <row r="7329">
      <c r="A7329" s="5" t="str">
        <f>IFERROR(__xludf.DUMMYFUNCTION("""COMPUTED_VALUE"""),"89750")</f>
        <v>89750</v>
      </c>
      <c r="B7329" s="64">
        <f>IFERROR(__xludf.DUMMYFUNCTION("""COMPUTED_VALUE"""),44618.0)</f>
        <v>44618</v>
      </c>
      <c r="C7329" s="5"/>
      <c r="D7329" s="5"/>
      <c r="E7329" s="5"/>
      <c r="F7329" s="25">
        <f>IFERROR(__xludf.DUMMYFUNCTION("""COMPUTED_VALUE"""),235754.31583499993)</f>
        <v>235754.3158</v>
      </c>
      <c r="G7329" s="25">
        <f>IFERROR(__xludf.DUMMYFUNCTION("""COMPUTED_VALUE"""),0.0)</f>
        <v>0</v>
      </c>
      <c r="H7329" s="8">
        <f>IFERROR(__xludf.DUMMYFUNCTION("""COMPUTED_VALUE"""),547506.0352774999)</f>
        <v>547506.0353</v>
      </c>
      <c r="I7329" s="24">
        <f>IFERROR(__xludf.DUMMYFUNCTION("""COMPUTED_VALUE"""),0.09501207055499994)</f>
        <v>0.09501207055</v>
      </c>
    </row>
    <row r="7330">
      <c r="A7330" s="5" t="str">
        <f>IFERROR(__xludf.DUMMYFUNCTION("""COMPUTED_VALUE"""),"89750")</f>
        <v>89750</v>
      </c>
      <c r="B7330" s="64">
        <f>IFERROR(__xludf.DUMMYFUNCTION("""COMPUTED_VALUE"""),44619.0)</f>
        <v>44619</v>
      </c>
      <c r="C7330" s="5"/>
      <c r="D7330" s="5"/>
      <c r="E7330" s="5"/>
      <c r="F7330" s="25">
        <f>IFERROR(__xludf.DUMMYFUNCTION("""COMPUTED_VALUE"""),235754.31583499993)</f>
        <v>235754.3158</v>
      </c>
      <c r="G7330" s="25">
        <f>IFERROR(__xludf.DUMMYFUNCTION("""COMPUTED_VALUE"""),0.0)</f>
        <v>0</v>
      </c>
      <c r="H7330" s="8">
        <f>IFERROR(__xludf.DUMMYFUNCTION("""COMPUTED_VALUE"""),547506.0352774999)</f>
        <v>547506.0353</v>
      </c>
      <c r="I7330" s="24">
        <f>IFERROR(__xludf.DUMMYFUNCTION("""COMPUTED_VALUE"""),0.09501207055499994)</f>
        <v>0.09501207055</v>
      </c>
    </row>
    <row r="7331">
      <c r="A7331" s="5" t="str">
        <f>IFERROR(__xludf.DUMMYFUNCTION("""COMPUTED_VALUE"""),"89750")</f>
        <v>89750</v>
      </c>
      <c r="B7331" s="64">
        <f>IFERROR(__xludf.DUMMYFUNCTION("""COMPUTED_VALUE"""),44620.0)</f>
        <v>44620</v>
      </c>
      <c r="C7331" s="5"/>
      <c r="D7331" s="5"/>
      <c r="E7331" s="5"/>
      <c r="F7331" s="25">
        <f>IFERROR(__xludf.DUMMYFUNCTION("""COMPUTED_VALUE"""),235754.31583499993)</f>
        <v>235754.3158</v>
      </c>
      <c r="G7331" s="25">
        <f>IFERROR(__xludf.DUMMYFUNCTION("""COMPUTED_VALUE"""),0.0)</f>
        <v>0</v>
      </c>
      <c r="H7331" s="8">
        <f>IFERROR(__xludf.DUMMYFUNCTION("""COMPUTED_VALUE"""),561727.6744795)</f>
        <v>561727.6745</v>
      </c>
      <c r="I7331" s="24">
        <f>IFERROR(__xludf.DUMMYFUNCTION("""COMPUTED_VALUE"""),0.12345534895900001)</f>
        <v>0.123455349</v>
      </c>
    </row>
    <row r="7332">
      <c r="A7332" s="5" t="str">
        <f>IFERROR(__xludf.DUMMYFUNCTION("""COMPUTED_VALUE"""),"89750")</f>
        <v>89750</v>
      </c>
      <c r="B7332" s="64">
        <f>IFERROR(__xludf.DUMMYFUNCTION("""COMPUTED_VALUE"""),44621.0)</f>
        <v>44621</v>
      </c>
      <c r="C7332" s="5"/>
      <c r="D7332" s="5"/>
      <c r="E7332" s="5"/>
      <c r="F7332" s="25">
        <f>IFERROR(__xludf.DUMMYFUNCTION("""COMPUTED_VALUE"""),235754.31583499993)</f>
        <v>235754.3158</v>
      </c>
      <c r="G7332" s="25">
        <f>IFERROR(__xludf.DUMMYFUNCTION("""COMPUTED_VALUE"""),0.0)</f>
        <v>0</v>
      </c>
      <c r="H7332" s="8">
        <f>IFERROR(__xludf.DUMMYFUNCTION("""COMPUTED_VALUE"""),611199.2156015001)</f>
        <v>611199.2156</v>
      </c>
      <c r="I7332" s="24">
        <f>IFERROR(__xludf.DUMMYFUNCTION("""COMPUTED_VALUE"""),0.2223984312030003)</f>
        <v>0.2223984312</v>
      </c>
    </row>
    <row r="7333">
      <c r="A7333" s="5" t="str">
        <f>IFERROR(__xludf.DUMMYFUNCTION("""COMPUTED_VALUE"""),"89750")</f>
        <v>89750</v>
      </c>
      <c r="B7333" s="64">
        <f>IFERROR(__xludf.DUMMYFUNCTION("""COMPUTED_VALUE"""),44622.0)</f>
        <v>44622</v>
      </c>
      <c r="C7333" s="5"/>
      <c r="D7333" s="5"/>
      <c r="E7333" s="5"/>
      <c r="F7333" s="25">
        <f>IFERROR(__xludf.DUMMYFUNCTION("""COMPUTED_VALUE"""),235754.31583499993)</f>
        <v>235754.3158</v>
      </c>
      <c r="G7333" s="25">
        <f>IFERROR(__xludf.DUMMYFUNCTION("""COMPUTED_VALUE"""),0.0)</f>
        <v>0</v>
      </c>
      <c r="H7333" s="8">
        <f>IFERROR(__xludf.DUMMYFUNCTION("""COMPUTED_VALUE"""),620007.4249)</f>
        <v>620007.4249</v>
      </c>
      <c r="I7333" s="24">
        <f>IFERROR(__xludf.DUMMYFUNCTION("""COMPUTED_VALUE"""),0.24001484979999987)</f>
        <v>0.2400148498</v>
      </c>
    </row>
    <row r="7334">
      <c r="A7334" s="5" t="str">
        <f>IFERROR(__xludf.DUMMYFUNCTION("""COMPUTED_VALUE"""),"89750")</f>
        <v>89750</v>
      </c>
      <c r="B7334" s="64">
        <f>IFERROR(__xludf.DUMMYFUNCTION("""COMPUTED_VALUE"""),44623.0)</f>
        <v>44623</v>
      </c>
      <c r="C7334" s="5"/>
      <c r="D7334" s="5"/>
      <c r="E7334" s="5"/>
      <c r="F7334" s="25">
        <f>IFERROR(__xludf.DUMMYFUNCTION("""COMPUTED_VALUE"""),235754.31583499993)</f>
        <v>235754.3158</v>
      </c>
      <c r="G7334" s="25">
        <f>IFERROR(__xludf.DUMMYFUNCTION("""COMPUTED_VALUE"""),0.0)</f>
        <v>0</v>
      </c>
      <c r="H7334" s="8">
        <f>IFERROR(__xludf.DUMMYFUNCTION("""COMPUTED_VALUE"""),589586.204637)</f>
        <v>589586.2046</v>
      </c>
      <c r="I7334" s="24">
        <f>IFERROR(__xludf.DUMMYFUNCTION("""COMPUTED_VALUE"""),0.1791724092739999)</f>
        <v>0.1791724093</v>
      </c>
    </row>
    <row r="7335">
      <c r="A7335" s="5" t="str">
        <f>IFERROR(__xludf.DUMMYFUNCTION("""COMPUTED_VALUE"""),"89750")</f>
        <v>89750</v>
      </c>
      <c r="B7335" s="64">
        <f>IFERROR(__xludf.DUMMYFUNCTION("""COMPUTED_VALUE"""),44624.0)</f>
        <v>44624</v>
      </c>
      <c r="C7335" s="5"/>
      <c r="D7335" s="5"/>
      <c r="E7335" s="5"/>
      <c r="F7335" s="25">
        <f>IFERROR(__xludf.DUMMYFUNCTION("""COMPUTED_VALUE"""),235754.31583499993)</f>
        <v>235754.3158</v>
      </c>
      <c r="G7335" s="25">
        <f>IFERROR(__xludf.DUMMYFUNCTION("""COMPUTED_VALUE"""),0.0)</f>
        <v>0</v>
      </c>
      <c r="H7335" s="8">
        <f>IFERROR(__xludf.DUMMYFUNCTION("""COMPUTED_VALUE"""),590980.2426524999)</f>
        <v>590980.2427</v>
      </c>
      <c r="I7335" s="24">
        <f>IFERROR(__xludf.DUMMYFUNCTION("""COMPUTED_VALUE"""),0.18196048530499986)</f>
        <v>0.1819604853</v>
      </c>
    </row>
    <row r="7336">
      <c r="A7336" s="5" t="str">
        <f>IFERROR(__xludf.DUMMYFUNCTION("""COMPUTED_VALUE"""),"89750")</f>
        <v>89750</v>
      </c>
      <c r="B7336" s="64">
        <f>IFERROR(__xludf.DUMMYFUNCTION("""COMPUTED_VALUE"""),44625.0)</f>
        <v>44625</v>
      </c>
      <c r="C7336" s="5"/>
      <c r="D7336" s="5"/>
      <c r="E7336" s="5"/>
      <c r="F7336" s="25">
        <f>IFERROR(__xludf.DUMMYFUNCTION("""COMPUTED_VALUE"""),235754.31583499993)</f>
        <v>235754.3158</v>
      </c>
      <c r="G7336" s="25">
        <f>IFERROR(__xludf.DUMMYFUNCTION("""COMPUTED_VALUE"""),0.0)</f>
        <v>0</v>
      </c>
      <c r="H7336" s="8">
        <f>IFERROR(__xludf.DUMMYFUNCTION("""COMPUTED_VALUE"""),590980.2426524999)</f>
        <v>590980.2427</v>
      </c>
      <c r="I7336" s="24">
        <f>IFERROR(__xludf.DUMMYFUNCTION("""COMPUTED_VALUE"""),0.18196048530499986)</f>
        <v>0.1819604853</v>
      </c>
    </row>
    <row r="7337">
      <c r="A7337" s="5" t="str">
        <f>IFERROR(__xludf.DUMMYFUNCTION("""COMPUTED_VALUE"""),"89750")</f>
        <v>89750</v>
      </c>
      <c r="B7337" s="64">
        <f>IFERROR(__xludf.DUMMYFUNCTION("""COMPUTED_VALUE"""),44626.0)</f>
        <v>44626</v>
      </c>
      <c r="C7337" s="5"/>
      <c r="D7337" s="5"/>
      <c r="E7337" s="5"/>
      <c r="F7337" s="25">
        <f>IFERROR(__xludf.DUMMYFUNCTION("""COMPUTED_VALUE"""),235754.31583499993)</f>
        <v>235754.3158</v>
      </c>
      <c r="G7337" s="25">
        <f>IFERROR(__xludf.DUMMYFUNCTION("""COMPUTED_VALUE"""),0.0)</f>
        <v>0</v>
      </c>
      <c r="H7337" s="8">
        <f>IFERROR(__xludf.DUMMYFUNCTION("""COMPUTED_VALUE"""),590980.2426524999)</f>
        <v>590980.2427</v>
      </c>
      <c r="I7337" s="24">
        <f>IFERROR(__xludf.DUMMYFUNCTION("""COMPUTED_VALUE"""),0.18196048530499986)</f>
        <v>0.1819604853</v>
      </c>
    </row>
    <row r="7338">
      <c r="A7338" s="5" t="str">
        <f>IFERROR(__xludf.DUMMYFUNCTION("""COMPUTED_VALUE"""),"89750")</f>
        <v>89750</v>
      </c>
      <c r="B7338" s="64">
        <f>IFERROR(__xludf.DUMMYFUNCTION("""COMPUTED_VALUE"""),44627.0)</f>
        <v>44627</v>
      </c>
      <c r="C7338" s="5"/>
      <c r="D7338" s="5"/>
      <c r="E7338" s="5"/>
      <c r="F7338" s="25">
        <f>IFERROR(__xludf.DUMMYFUNCTION("""COMPUTED_VALUE"""),98280.78817899992)</f>
        <v>98280.78818</v>
      </c>
      <c r="G7338" s="25">
        <f>IFERROR(__xludf.DUMMYFUNCTION("""COMPUTED_VALUE"""),0.0)</f>
        <v>0</v>
      </c>
      <c r="H7338" s="8">
        <f>IFERROR(__xludf.DUMMYFUNCTION("""COMPUTED_VALUE"""),601838.3587905001)</f>
        <v>601838.3588</v>
      </c>
      <c r="I7338" s="24">
        <f>IFERROR(__xludf.DUMMYFUNCTION("""COMPUTED_VALUE"""),0.20367671758100014)</f>
        <v>0.2036767176</v>
      </c>
    </row>
    <row r="7339">
      <c r="A7339" s="5" t="str">
        <f>IFERROR(__xludf.DUMMYFUNCTION("""COMPUTED_VALUE"""),"89750")</f>
        <v>89750</v>
      </c>
      <c r="B7339" s="64">
        <f>IFERROR(__xludf.DUMMYFUNCTION("""COMPUTED_VALUE"""),44628.0)</f>
        <v>44628</v>
      </c>
      <c r="C7339" s="5"/>
      <c r="D7339" s="5"/>
      <c r="E7339" s="5"/>
      <c r="F7339" s="25">
        <f>IFERROR(__xludf.DUMMYFUNCTION("""COMPUTED_VALUE"""),98280.78817899992)</f>
        <v>98280.78818</v>
      </c>
      <c r="G7339" s="25">
        <f>IFERROR(__xludf.DUMMYFUNCTION("""COMPUTED_VALUE"""),0.0)</f>
        <v>0</v>
      </c>
      <c r="H7339" s="8">
        <f>IFERROR(__xludf.DUMMYFUNCTION("""COMPUTED_VALUE"""),614662.3863564997)</f>
        <v>614662.3864</v>
      </c>
      <c r="I7339" s="24">
        <f>IFERROR(__xludf.DUMMYFUNCTION("""COMPUTED_VALUE"""),0.22932477271299945)</f>
        <v>0.2293247727</v>
      </c>
    </row>
    <row r="7340">
      <c r="A7340" s="5" t="str">
        <f>IFERROR(__xludf.DUMMYFUNCTION("""COMPUTED_VALUE"""),"89750")</f>
        <v>89750</v>
      </c>
      <c r="B7340" s="64">
        <f>IFERROR(__xludf.DUMMYFUNCTION("""COMPUTED_VALUE"""),44629.0)</f>
        <v>44629</v>
      </c>
      <c r="C7340" s="5"/>
      <c r="D7340" s="5"/>
      <c r="E7340" s="5"/>
      <c r="F7340" s="25">
        <f>IFERROR(__xludf.DUMMYFUNCTION("""COMPUTED_VALUE"""),98280.78817899992)</f>
        <v>98280.78818</v>
      </c>
      <c r="G7340" s="25">
        <f>IFERROR(__xludf.DUMMYFUNCTION("""COMPUTED_VALUE"""),0.0)</f>
        <v>0</v>
      </c>
      <c r="H7340" s="8">
        <f>IFERROR(__xludf.DUMMYFUNCTION("""COMPUTED_VALUE"""),622306.9737370001)</f>
        <v>622306.9737</v>
      </c>
      <c r="I7340" s="24">
        <f>IFERROR(__xludf.DUMMYFUNCTION("""COMPUTED_VALUE"""),0.24461394747400034)</f>
        <v>0.2446139475</v>
      </c>
    </row>
    <row r="7341">
      <c r="A7341" s="5" t="str">
        <f>IFERROR(__xludf.DUMMYFUNCTION("""COMPUTED_VALUE"""),"89750")</f>
        <v>89750</v>
      </c>
      <c r="B7341" s="64">
        <f>IFERROR(__xludf.DUMMYFUNCTION("""COMPUTED_VALUE"""),44630.0)</f>
        <v>44630</v>
      </c>
      <c r="C7341" s="5"/>
      <c r="D7341" s="5"/>
      <c r="E7341" s="5"/>
      <c r="F7341" s="25">
        <f>IFERROR(__xludf.DUMMYFUNCTION("""COMPUTED_VALUE"""),98280.78817899992)</f>
        <v>98280.78818</v>
      </c>
      <c r="G7341" s="25">
        <f>IFERROR(__xludf.DUMMYFUNCTION("""COMPUTED_VALUE"""),0.0)</f>
        <v>0</v>
      </c>
      <c r="H7341" s="8">
        <f>IFERROR(__xludf.DUMMYFUNCTION("""COMPUTED_VALUE"""),614172.8307145002)</f>
        <v>614172.8307</v>
      </c>
      <c r="I7341" s="24">
        <f>IFERROR(__xludf.DUMMYFUNCTION("""COMPUTED_VALUE"""),0.22834566142900026)</f>
        <v>0.2283456614</v>
      </c>
    </row>
    <row r="7342">
      <c r="A7342" s="5" t="str">
        <f>IFERROR(__xludf.DUMMYFUNCTION("""COMPUTED_VALUE"""),"89750")</f>
        <v>89750</v>
      </c>
      <c r="B7342" s="64">
        <f>IFERROR(__xludf.DUMMYFUNCTION("""COMPUTED_VALUE"""),44631.0)</f>
        <v>44631</v>
      </c>
      <c r="C7342" s="5"/>
      <c r="D7342" s="5"/>
      <c r="E7342" s="5"/>
      <c r="F7342" s="25">
        <f>IFERROR(__xludf.DUMMYFUNCTION("""COMPUTED_VALUE"""),98280.78817899992)</f>
        <v>98280.78818</v>
      </c>
      <c r="G7342" s="25">
        <f>IFERROR(__xludf.DUMMYFUNCTION("""COMPUTED_VALUE"""),0.0)</f>
        <v>0</v>
      </c>
      <c r="H7342" s="8">
        <f>IFERROR(__xludf.DUMMYFUNCTION("""COMPUTED_VALUE"""),595240.301335)</f>
        <v>595240.3013</v>
      </c>
      <c r="I7342" s="24">
        <f>IFERROR(__xludf.DUMMYFUNCTION("""COMPUTED_VALUE"""),0.1904806026699999)</f>
        <v>0.1904806027</v>
      </c>
    </row>
    <row r="7343">
      <c r="A7343" s="5" t="str">
        <f>IFERROR(__xludf.DUMMYFUNCTION("""COMPUTED_VALUE"""),"89750")</f>
        <v>89750</v>
      </c>
      <c r="B7343" s="64">
        <f>IFERROR(__xludf.DUMMYFUNCTION("""COMPUTED_VALUE"""),44632.0)</f>
        <v>44632</v>
      </c>
      <c r="C7343" s="5"/>
      <c r="D7343" s="5"/>
      <c r="E7343" s="5"/>
      <c r="F7343" s="25">
        <f>IFERROR(__xludf.DUMMYFUNCTION("""COMPUTED_VALUE"""),98280.78817899992)</f>
        <v>98280.78818</v>
      </c>
      <c r="G7343" s="25">
        <f>IFERROR(__xludf.DUMMYFUNCTION("""COMPUTED_VALUE"""),0.0)</f>
        <v>0</v>
      </c>
      <c r="H7343" s="8">
        <f>IFERROR(__xludf.DUMMYFUNCTION("""COMPUTED_VALUE"""),595240.301335)</f>
        <v>595240.3013</v>
      </c>
      <c r="I7343" s="24">
        <f>IFERROR(__xludf.DUMMYFUNCTION("""COMPUTED_VALUE"""),0.1904806026699999)</f>
        <v>0.1904806027</v>
      </c>
    </row>
    <row r="7344">
      <c r="A7344" s="5" t="str">
        <f>IFERROR(__xludf.DUMMYFUNCTION("""COMPUTED_VALUE"""),"89750")</f>
        <v>89750</v>
      </c>
      <c r="B7344" s="64">
        <f>IFERROR(__xludf.DUMMYFUNCTION("""COMPUTED_VALUE"""),44633.0)</f>
        <v>44633</v>
      </c>
      <c r="C7344" s="5"/>
      <c r="D7344" s="5"/>
      <c r="E7344" s="5"/>
      <c r="F7344" s="25">
        <f>IFERROR(__xludf.DUMMYFUNCTION("""COMPUTED_VALUE"""),98280.78817899992)</f>
        <v>98280.78818</v>
      </c>
      <c r="G7344" s="25">
        <f>IFERROR(__xludf.DUMMYFUNCTION("""COMPUTED_VALUE"""),0.0)</f>
        <v>0</v>
      </c>
      <c r="H7344" s="8">
        <f>IFERROR(__xludf.DUMMYFUNCTION("""COMPUTED_VALUE"""),595240.301335)</f>
        <v>595240.3013</v>
      </c>
      <c r="I7344" s="24">
        <f>IFERROR(__xludf.DUMMYFUNCTION("""COMPUTED_VALUE"""),0.1904806026699999)</f>
        <v>0.1904806027</v>
      </c>
    </row>
    <row r="7345">
      <c r="A7345" s="5" t="str">
        <f>IFERROR(__xludf.DUMMYFUNCTION("""COMPUTED_VALUE"""),"89750")</f>
        <v>89750</v>
      </c>
      <c r="B7345" s="64">
        <f>IFERROR(__xludf.DUMMYFUNCTION("""COMPUTED_VALUE"""),44634.0)</f>
        <v>44634</v>
      </c>
      <c r="C7345" s="5"/>
      <c r="D7345" s="5"/>
      <c r="E7345" s="5"/>
      <c r="F7345" s="25">
        <f>IFERROR(__xludf.DUMMYFUNCTION("""COMPUTED_VALUE"""),98280.78817899992)</f>
        <v>98280.78818</v>
      </c>
      <c r="G7345" s="25">
        <f>IFERROR(__xludf.DUMMYFUNCTION("""COMPUTED_VALUE"""),0.0)</f>
        <v>0</v>
      </c>
      <c r="H7345" s="8">
        <f>IFERROR(__xludf.DUMMYFUNCTION("""COMPUTED_VALUE"""),672737.6492625)</f>
        <v>672737.6493</v>
      </c>
      <c r="I7345" s="24">
        <f>IFERROR(__xludf.DUMMYFUNCTION("""COMPUTED_VALUE"""),0.34547529852500003)</f>
        <v>0.3454752985</v>
      </c>
    </row>
    <row r="7346">
      <c r="A7346" s="5" t="str">
        <f>IFERROR(__xludf.DUMMYFUNCTION("""COMPUTED_VALUE"""),"89750")</f>
        <v>89750</v>
      </c>
      <c r="B7346" s="64">
        <f>IFERROR(__xludf.DUMMYFUNCTION("""COMPUTED_VALUE"""),44635.0)</f>
        <v>44635</v>
      </c>
      <c r="C7346" s="5"/>
      <c r="D7346" s="5"/>
      <c r="E7346" s="5"/>
      <c r="F7346" s="25">
        <f>IFERROR(__xludf.DUMMYFUNCTION("""COMPUTED_VALUE"""),98280.78817899992)</f>
        <v>98280.78818</v>
      </c>
      <c r="G7346" s="25">
        <f>IFERROR(__xludf.DUMMYFUNCTION("""COMPUTED_VALUE"""),0.0)</f>
        <v>0</v>
      </c>
      <c r="H7346" s="8">
        <f>IFERROR(__xludf.DUMMYFUNCTION("""COMPUTED_VALUE"""),620666.1717695)</f>
        <v>620666.1718</v>
      </c>
      <c r="I7346" s="24">
        <f>IFERROR(__xludf.DUMMYFUNCTION("""COMPUTED_VALUE"""),0.24133234353900002)</f>
        <v>0.2413323435</v>
      </c>
    </row>
    <row r="7347">
      <c r="A7347" s="5" t="str">
        <f>IFERROR(__xludf.DUMMYFUNCTION("""COMPUTED_VALUE"""),"89750")</f>
        <v>89750</v>
      </c>
      <c r="B7347" s="64">
        <f>IFERROR(__xludf.DUMMYFUNCTION("""COMPUTED_VALUE"""),44636.0)</f>
        <v>44636</v>
      </c>
      <c r="C7347" s="5"/>
      <c r="D7347" s="5"/>
      <c r="E7347" s="5"/>
      <c r="F7347" s="25">
        <f>IFERROR(__xludf.DUMMYFUNCTION("""COMPUTED_VALUE"""),98280.78817899992)</f>
        <v>98280.78818</v>
      </c>
      <c r="G7347" s="25">
        <f>IFERROR(__xludf.DUMMYFUNCTION("""COMPUTED_VALUE"""),0.0)</f>
        <v>0</v>
      </c>
      <c r="H7347" s="8">
        <f>IFERROR(__xludf.DUMMYFUNCTION("""COMPUTED_VALUE"""),701612.6289444999)</f>
        <v>701612.6289</v>
      </c>
      <c r="I7347" s="24">
        <f>IFERROR(__xludf.DUMMYFUNCTION("""COMPUTED_VALUE"""),0.4032252578889999)</f>
        <v>0.4032252579</v>
      </c>
    </row>
    <row r="7348">
      <c r="A7348" s="5" t="str">
        <f>IFERROR(__xludf.DUMMYFUNCTION("""COMPUTED_VALUE"""),"89750")</f>
        <v>89750</v>
      </c>
      <c r="B7348" s="64">
        <f>IFERROR(__xludf.DUMMYFUNCTION("""COMPUTED_VALUE"""),44637.0)</f>
        <v>44637</v>
      </c>
      <c r="C7348" s="5"/>
      <c r="D7348" s="5"/>
      <c r="E7348" s="5"/>
      <c r="F7348" s="25">
        <f>IFERROR(__xludf.DUMMYFUNCTION("""COMPUTED_VALUE"""),98280.78817899992)</f>
        <v>98280.78818</v>
      </c>
      <c r="G7348" s="25">
        <f>IFERROR(__xludf.DUMMYFUNCTION("""COMPUTED_VALUE"""),0.0)</f>
        <v>0</v>
      </c>
      <c r="H7348" s="8">
        <f>IFERROR(__xludf.DUMMYFUNCTION("""COMPUTED_VALUE"""),719237.785725)</f>
        <v>719237.7857</v>
      </c>
      <c r="I7348" s="24">
        <f>IFERROR(__xludf.DUMMYFUNCTION("""COMPUTED_VALUE"""),0.43847557144999993)</f>
        <v>0.4384755715</v>
      </c>
    </row>
    <row r="7349">
      <c r="A7349" s="5" t="str">
        <f>IFERROR(__xludf.DUMMYFUNCTION("""COMPUTED_VALUE"""),"89750")</f>
        <v>89750</v>
      </c>
      <c r="B7349" s="64">
        <f>IFERROR(__xludf.DUMMYFUNCTION("""COMPUTED_VALUE"""),44638.0)</f>
        <v>44638</v>
      </c>
      <c r="C7349" s="5"/>
      <c r="D7349" s="5"/>
      <c r="E7349" s="5"/>
      <c r="F7349" s="25">
        <f>IFERROR(__xludf.DUMMYFUNCTION("""COMPUTED_VALUE"""),98280.78817899992)</f>
        <v>98280.78818</v>
      </c>
      <c r="G7349" s="25">
        <f>IFERROR(__xludf.DUMMYFUNCTION("""COMPUTED_VALUE"""),0.0)</f>
        <v>0</v>
      </c>
      <c r="H7349" s="8">
        <f>IFERROR(__xludf.DUMMYFUNCTION("""COMPUTED_VALUE"""),750301.7625694999)</f>
        <v>750301.7626</v>
      </c>
      <c r="I7349" s="24">
        <f>IFERROR(__xludf.DUMMYFUNCTION("""COMPUTED_VALUE"""),0.5006035251389997)</f>
        <v>0.5006035251</v>
      </c>
    </row>
    <row r="7350">
      <c r="A7350" s="5" t="str">
        <f>IFERROR(__xludf.DUMMYFUNCTION("""COMPUTED_VALUE"""),"89750")</f>
        <v>89750</v>
      </c>
      <c r="B7350" s="64">
        <f>IFERROR(__xludf.DUMMYFUNCTION("""COMPUTED_VALUE"""),44639.0)</f>
        <v>44639</v>
      </c>
      <c r="C7350" s="5"/>
      <c r="D7350" s="5"/>
      <c r="E7350" s="5"/>
      <c r="F7350" s="25">
        <f>IFERROR(__xludf.DUMMYFUNCTION("""COMPUTED_VALUE"""),98280.78817899992)</f>
        <v>98280.78818</v>
      </c>
      <c r="G7350" s="25">
        <f>IFERROR(__xludf.DUMMYFUNCTION("""COMPUTED_VALUE"""),0.0)</f>
        <v>0</v>
      </c>
      <c r="H7350" s="8">
        <f>IFERROR(__xludf.DUMMYFUNCTION("""COMPUTED_VALUE"""),750301.7625694999)</f>
        <v>750301.7626</v>
      </c>
      <c r="I7350" s="24">
        <f>IFERROR(__xludf.DUMMYFUNCTION("""COMPUTED_VALUE"""),0.5006035251389997)</f>
        <v>0.5006035251</v>
      </c>
    </row>
    <row r="7351">
      <c r="A7351" s="5" t="str">
        <f>IFERROR(__xludf.DUMMYFUNCTION("""COMPUTED_VALUE"""),"89750")</f>
        <v>89750</v>
      </c>
      <c r="B7351" s="64">
        <f>IFERROR(__xludf.DUMMYFUNCTION("""COMPUTED_VALUE"""),44640.0)</f>
        <v>44640</v>
      </c>
      <c r="C7351" s="5"/>
      <c r="D7351" s="5"/>
      <c r="E7351" s="5"/>
      <c r="F7351" s="25">
        <f>IFERROR(__xludf.DUMMYFUNCTION("""COMPUTED_VALUE"""),98280.78817899992)</f>
        <v>98280.78818</v>
      </c>
      <c r="G7351" s="25">
        <f>IFERROR(__xludf.DUMMYFUNCTION("""COMPUTED_VALUE"""),0.0)</f>
        <v>0</v>
      </c>
      <c r="H7351" s="8">
        <f>IFERROR(__xludf.DUMMYFUNCTION("""COMPUTED_VALUE"""),750301.7625694999)</f>
        <v>750301.7626</v>
      </c>
      <c r="I7351" s="24">
        <f>IFERROR(__xludf.DUMMYFUNCTION("""COMPUTED_VALUE"""),0.5006035251389997)</f>
        <v>0.5006035251</v>
      </c>
    </row>
    <row r="7352">
      <c r="A7352" s="5" t="str">
        <f>IFERROR(__xludf.DUMMYFUNCTION("""COMPUTED_VALUE"""),"89750")</f>
        <v>89750</v>
      </c>
      <c r="B7352" s="64">
        <f>IFERROR(__xludf.DUMMYFUNCTION("""COMPUTED_VALUE"""),44641.0)</f>
        <v>44641</v>
      </c>
      <c r="C7352" s="5"/>
      <c r="D7352" s="5"/>
      <c r="E7352" s="5"/>
      <c r="F7352" s="25">
        <f>IFERROR(__xludf.DUMMYFUNCTION("""COMPUTED_VALUE"""),98280.78817899992)</f>
        <v>98280.78818</v>
      </c>
      <c r="G7352" s="25">
        <f>IFERROR(__xludf.DUMMYFUNCTION("""COMPUTED_VALUE"""),0.0)</f>
        <v>0</v>
      </c>
      <c r="H7352" s="8">
        <f>IFERROR(__xludf.DUMMYFUNCTION("""COMPUTED_VALUE"""),706146.0810429998)</f>
        <v>706146.081</v>
      </c>
      <c r="I7352" s="24">
        <f>IFERROR(__xludf.DUMMYFUNCTION("""COMPUTED_VALUE"""),0.4122921620859994)</f>
        <v>0.4122921621</v>
      </c>
    </row>
    <row r="7353">
      <c r="A7353" s="5" t="str">
        <f>IFERROR(__xludf.DUMMYFUNCTION("""COMPUTED_VALUE"""),"89750")</f>
        <v>89750</v>
      </c>
      <c r="B7353" s="64">
        <f>IFERROR(__xludf.DUMMYFUNCTION("""COMPUTED_VALUE"""),44642.0)</f>
        <v>44642</v>
      </c>
      <c r="C7353" s="5"/>
      <c r="D7353" s="5"/>
      <c r="E7353" s="5"/>
      <c r="F7353" s="25">
        <f>IFERROR(__xludf.DUMMYFUNCTION("""COMPUTED_VALUE"""),98280.78817899992)</f>
        <v>98280.78818</v>
      </c>
      <c r="G7353" s="25">
        <f>IFERROR(__xludf.DUMMYFUNCTION("""COMPUTED_VALUE"""),0.0)</f>
        <v>0</v>
      </c>
      <c r="H7353" s="8">
        <f>IFERROR(__xludf.DUMMYFUNCTION("""COMPUTED_VALUE"""),751861.6385954997)</f>
        <v>751861.6386</v>
      </c>
      <c r="I7353" s="24">
        <f>IFERROR(__xludf.DUMMYFUNCTION("""COMPUTED_VALUE"""),0.5037232771909994)</f>
        <v>0.5037232772</v>
      </c>
    </row>
    <row r="7354">
      <c r="A7354" s="5" t="str">
        <f>IFERROR(__xludf.DUMMYFUNCTION("""COMPUTED_VALUE"""),"89750")</f>
        <v>89750</v>
      </c>
      <c r="B7354" s="64">
        <f>IFERROR(__xludf.DUMMYFUNCTION("""COMPUTED_VALUE"""),44643.0)</f>
        <v>44643</v>
      </c>
      <c r="C7354" s="5"/>
      <c r="D7354" s="5"/>
      <c r="E7354" s="5"/>
      <c r="F7354" s="25">
        <f>IFERROR(__xludf.DUMMYFUNCTION("""COMPUTED_VALUE"""),98280.78817899992)</f>
        <v>98280.78818</v>
      </c>
      <c r="G7354" s="25">
        <f>IFERROR(__xludf.DUMMYFUNCTION("""COMPUTED_VALUE"""),0.0)</f>
        <v>0</v>
      </c>
      <c r="H7354" s="8">
        <f>IFERROR(__xludf.DUMMYFUNCTION("""COMPUTED_VALUE"""),743261.034151)</f>
        <v>743261.0342</v>
      </c>
      <c r="I7354" s="24">
        <f>IFERROR(__xludf.DUMMYFUNCTION("""COMPUTED_VALUE"""),0.48652206830199995)</f>
        <v>0.4865220683</v>
      </c>
    </row>
    <row r="7355">
      <c r="A7355" s="5" t="str">
        <f>IFERROR(__xludf.DUMMYFUNCTION("""COMPUTED_VALUE"""),"89750")</f>
        <v>89750</v>
      </c>
      <c r="B7355" s="64">
        <f>IFERROR(__xludf.DUMMYFUNCTION("""COMPUTED_VALUE"""),44644.0)</f>
        <v>44644</v>
      </c>
      <c r="C7355" s="5"/>
      <c r="D7355" s="5"/>
      <c r="E7355" s="5"/>
      <c r="F7355" s="25">
        <f>IFERROR(__xludf.DUMMYFUNCTION("""COMPUTED_VALUE"""),98280.78817899992)</f>
        <v>98280.78818</v>
      </c>
      <c r="G7355" s="25">
        <f>IFERROR(__xludf.DUMMYFUNCTION("""COMPUTED_VALUE"""),0.0)</f>
        <v>0</v>
      </c>
      <c r="H7355" s="8">
        <f>IFERROR(__xludf.DUMMYFUNCTION("""COMPUTED_VALUE"""),752328.0713934998)</f>
        <v>752328.0714</v>
      </c>
      <c r="I7355" s="24">
        <f>IFERROR(__xludf.DUMMYFUNCTION("""COMPUTED_VALUE"""),0.5046561427869998)</f>
        <v>0.5046561428</v>
      </c>
    </row>
    <row r="7356">
      <c r="A7356" s="5" t="str">
        <f>IFERROR(__xludf.DUMMYFUNCTION("""COMPUTED_VALUE"""),"89750")</f>
        <v>89750</v>
      </c>
      <c r="B7356" s="64">
        <f>IFERROR(__xludf.DUMMYFUNCTION("""COMPUTED_VALUE"""),44645.0)</f>
        <v>44645</v>
      </c>
      <c r="C7356" s="5"/>
      <c r="D7356" s="5"/>
      <c r="E7356" s="5"/>
      <c r="F7356" s="25">
        <f>IFERROR(__xludf.DUMMYFUNCTION("""COMPUTED_VALUE"""),98280.78817899992)</f>
        <v>98280.78818</v>
      </c>
      <c r="G7356" s="25">
        <f>IFERROR(__xludf.DUMMYFUNCTION("""COMPUTED_VALUE"""),0.0)</f>
        <v>0</v>
      </c>
      <c r="H7356" s="8">
        <f>IFERROR(__xludf.DUMMYFUNCTION("""COMPUTED_VALUE"""),723741.7033644997)</f>
        <v>723741.7034</v>
      </c>
      <c r="I7356" s="24">
        <f>IFERROR(__xludf.DUMMYFUNCTION("""COMPUTED_VALUE"""),0.44748340672899944)</f>
        <v>0.4474834067</v>
      </c>
    </row>
    <row r="7357">
      <c r="A7357" s="5" t="str">
        <f>IFERROR(__xludf.DUMMYFUNCTION("""COMPUTED_VALUE"""),"89750")</f>
        <v>89750</v>
      </c>
      <c r="B7357" s="64">
        <f>IFERROR(__xludf.DUMMYFUNCTION("""COMPUTED_VALUE"""),44646.0)</f>
        <v>44646</v>
      </c>
      <c r="C7357" s="5"/>
      <c r="D7357" s="5"/>
      <c r="E7357" s="5"/>
      <c r="F7357" s="25">
        <f>IFERROR(__xludf.DUMMYFUNCTION("""COMPUTED_VALUE"""),98280.78817899992)</f>
        <v>98280.78818</v>
      </c>
      <c r="G7357" s="25">
        <f>IFERROR(__xludf.DUMMYFUNCTION("""COMPUTED_VALUE"""),0.0)</f>
        <v>0</v>
      </c>
      <c r="H7357" s="8">
        <f>IFERROR(__xludf.DUMMYFUNCTION("""COMPUTED_VALUE"""),723741.7033644997)</f>
        <v>723741.7034</v>
      </c>
      <c r="I7357" s="24">
        <f>IFERROR(__xludf.DUMMYFUNCTION("""COMPUTED_VALUE"""),0.44748340672899944)</f>
        <v>0.4474834067</v>
      </c>
    </row>
    <row r="7358">
      <c r="A7358" s="5" t="str">
        <f>IFERROR(__xludf.DUMMYFUNCTION("""COMPUTED_VALUE"""),"89750")</f>
        <v>89750</v>
      </c>
      <c r="B7358" s="64">
        <f>IFERROR(__xludf.DUMMYFUNCTION("""COMPUTED_VALUE"""),44647.0)</f>
        <v>44647</v>
      </c>
      <c r="C7358" s="5"/>
      <c r="D7358" s="5"/>
      <c r="E7358" s="5"/>
      <c r="F7358" s="25">
        <f>IFERROR(__xludf.DUMMYFUNCTION("""COMPUTED_VALUE"""),98280.78817899992)</f>
        <v>98280.78818</v>
      </c>
      <c r="G7358" s="25">
        <f>IFERROR(__xludf.DUMMYFUNCTION("""COMPUTED_VALUE"""),0.0)</f>
        <v>0</v>
      </c>
      <c r="H7358" s="8">
        <f>IFERROR(__xludf.DUMMYFUNCTION("""COMPUTED_VALUE"""),723741.7033644997)</f>
        <v>723741.7034</v>
      </c>
      <c r="I7358" s="24">
        <f>IFERROR(__xludf.DUMMYFUNCTION("""COMPUTED_VALUE"""),0.44748340672899944)</f>
        <v>0.4474834067</v>
      </c>
    </row>
    <row r="7359">
      <c r="A7359" s="5" t="str">
        <f>IFERROR(__xludf.DUMMYFUNCTION("""COMPUTED_VALUE"""),"89750")</f>
        <v>89750</v>
      </c>
      <c r="B7359" s="64">
        <f>IFERROR(__xludf.DUMMYFUNCTION("""COMPUTED_VALUE"""),44648.0)</f>
        <v>44648</v>
      </c>
      <c r="C7359" s="5"/>
      <c r="D7359" s="5"/>
      <c r="E7359" s="5"/>
      <c r="F7359" s="25">
        <f>IFERROR(__xludf.DUMMYFUNCTION("""COMPUTED_VALUE"""),98280.78817899992)</f>
        <v>98280.78818</v>
      </c>
      <c r="G7359" s="25">
        <f>IFERROR(__xludf.DUMMYFUNCTION("""COMPUTED_VALUE"""),0.0)</f>
        <v>0</v>
      </c>
      <c r="H7359" s="8">
        <f>IFERROR(__xludf.DUMMYFUNCTION("""COMPUTED_VALUE"""),733928.8881629996)</f>
        <v>733928.8882</v>
      </c>
      <c r="I7359" s="24">
        <f>IFERROR(__xludf.DUMMYFUNCTION("""COMPUTED_VALUE"""),0.46785777632599923)</f>
        <v>0.4678577763</v>
      </c>
    </row>
    <row r="7360">
      <c r="A7360" s="5" t="str">
        <f>IFERROR(__xludf.DUMMYFUNCTION("""COMPUTED_VALUE"""),"89750")</f>
        <v>89750</v>
      </c>
      <c r="B7360" s="64">
        <f>IFERROR(__xludf.DUMMYFUNCTION("""COMPUTED_VALUE"""),44649.0)</f>
        <v>44649</v>
      </c>
      <c r="C7360" s="5"/>
      <c r="D7360" s="5"/>
      <c r="E7360" s="5"/>
      <c r="F7360" s="25">
        <f>IFERROR(__xludf.DUMMYFUNCTION("""COMPUTED_VALUE"""),98280.78817899992)</f>
        <v>98280.78818</v>
      </c>
      <c r="G7360" s="25">
        <f>IFERROR(__xludf.DUMMYFUNCTION("""COMPUTED_VALUE"""),0.0)</f>
        <v>0</v>
      </c>
      <c r="H7360" s="8">
        <f>IFERROR(__xludf.DUMMYFUNCTION("""COMPUTED_VALUE"""),693363.9316484999)</f>
        <v>693363.9316</v>
      </c>
      <c r="I7360" s="24">
        <f>IFERROR(__xludf.DUMMYFUNCTION("""COMPUTED_VALUE"""),0.38672786329699993)</f>
        <v>0.3867278633</v>
      </c>
    </row>
    <row r="7361">
      <c r="A7361" s="5" t="str">
        <f>IFERROR(__xludf.DUMMYFUNCTION("""COMPUTED_VALUE"""),"89750")</f>
        <v>89750</v>
      </c>
      <c r="B7361" s="64">
        <f>IFERROR(__xludf.DUMMYFUNCTION("""COMPUTED_VALUE"""),44650.0)</f>
        <v>44650</v>
      </c>
      <c r="C7361" s="5"/>
      <c r="D7361" s="5"/>
      <c r="E7361" s="5"/>
      <c r="F7361" s="25">
        <f>IFERROR(__xludf.DUMMYFUNCTION("""COMPUTED_VALUE"""),98280.78817899992)</f>
        <v>98280.78818</v>
      </c>
      <c r="G7361" s="25">
        <f>IFERROR(__xludf.DUMMYFUNCTION("""COMPUTED_VALUE"""),0.0)</f>
        <v>0</v>
      </c>
      <c r="H7361" s="8">
        <f>IFERROR(__xludf.DUMMYFUNCTION("""COMPUTED_VALUE"""),687145.2564079999)</f>
        <v>687145.2564</v>
      </c>
      <c r="I7361" s="24">
        <f>IFERROR(__xludf.DUMMYFUNCTION("""COMPUTED_VALUE"""),0.3742905128159999)</f>
        <v>0.3742905128</v>
      </c>
    </row>
    <row r="7362">
      <c r="A7362" s="5" t="str">
        <f>IFERROR(__xludf.DUMMYFUNCTION("""COMPUTED_VALUE"""),"89750")</f>
        <v>89750</v>
      </c>
      <c r="B7362" s="64">
        <f>IFERROR(__xludf.DUMMYFUNCTION("""COMPUTED_VALUE"""),44651.0)</f>
        <v>44651</v>
      </c>
      <c r="C7362" s="5"/>
      <c r="D7362" s="5"/>
      <c r="E7362" s="5"/>
      <c r="F7362" s="25">
        <f>IFERROR(__xludf.DUMMYFUNCTION("""COMPUTED_VALUE"""),98280.78817899992)</f>
        <v>98280.78818</v>
      </c>
      <c r="G7362" s="25">
        <f>IFERROR(__xludf.DUMMYFUNCTION("""COMPUTED_VALUE"""),0.0)</f>
        <v>0</v>
      </c>
      <c r="H7362" s="8">
        <f>IFERROR(__xludf.DUMMYFUNCTION("""COMPUTED_VALUE"""),689948.6826164998)</f>
        <v>689948.6826</v>
      </c>
      <c r="I7362" s="24">
        <f>IFERROR(__xludf.DUMMYFUNCTION("""COMPUTED_VALUE"""),0.3798973652329998)</f>
        <v>0.3798973652</v>
      </c>
    </row>
    <row r="7363">
      <c r="A7363" s="5" t="str">
        <f>IFERROR(__xludf.DUMMYFUNCTION("""COMPUTED_VALUE"""),"89750")</f>
        <v>89750</v>
      </c>
      <c r="B7363" s="64">
        <f>IFERROR(__xludf.DUMMYFUNCTION("""COMPUTED_VALUE"""),44652.0)</f>
        <v>44652</v>
      </c>
      <c r="C7363" s="5"/>
      <c r="D7363" s="5"/>
      <c r="E7363" s="5"/>
      <c r="F7363" s="25">
        <f>IFERROR(__xludf.DUMMYFUNCTION("""COMPUTED_VALUE"""),98280.78817899992)</f>
        <v>98280.78818</v>
      </c>
      <c r="G7363" s="25">
        <f>IFERROR(__xludf.DUMMYFUNCTION("""COMPUTED_VALUE"""),0.0)</f>
        <v>0</v>
      </c>
      <c r="H7363" s="8">
        <f>IFERROR(__xludf.DUMMYFUNCTION("""COMPUTED_VALUE"""),793640.3399145)</f>
        <v>793640.3399</v>
      </c>
      <c r="I7363" s="24">
        <f>IFERROR(__xludf.DUMMYFUNCTION("""COMPUTED_VALUE"""),0.587280679829)</f>
        <v>0.5872806798</v>
      </c>
    </row>
    <row r="7364">
      <c r="A7364" s="5" t="str">
        <f>IFERROR(__xludf.DUMMYFUNCTION("""COMPUTED_VALUE"""),"89750")</f>
        <v>89750</v>
      </c>
      <c r="B7364" s="64">
        <f>IFERROR(__xludf.DUMMYFUNCTION("""COMPUTED_VALUE"""),44653.0)</f>
        <v>44653</v>
      </c>
      <c r="C7364" s="5"/>
      <c r="D7364" s="5"/>
      <c r="E7364" s="5"/>
      <c r="F7364" s="25">
        <f>IFERROR(__xludf.DUMMYFUNCTION("""COMPUTED_VALUE"""),98280.78817899992)</f>
        <v>98280.78818</v>
      </c>
      <c r="G7364" s="25">
        <f>IFERROR(__xludf.DUMMYFUNCTION("""COMPUTED_VALUE"""),0.0)</f>
        <v>0</v>
      </c>
      <c r="H7364" s="8">
        <f>IFERROR(__xludf.DUMMYFUNCTION("""COMPUTED_VALUE"""),793640.3399145)</f>
        <v>793640.3399</v>
      </c>
      <c r="I7364" s="24">
        <f>IFERROR(__xludf.DUMMYFUNCTION("""COMPUTED_VALUE"""),0.587280679829)</f>
        <v>0.5872806798</v>
      </c>
    </row>
    <row r="7365">
      <c r="A7365" s="5" t="str">
        <f>IFERROR(__xludf.DUMMYFUNCTION("""COMPUTED_VALUE"""),"89750")</f>
        <v>89750</v>
      </c>
      <c r="B7365" s="64">
        <f>IFERROR(__xludf.DUMMYFUNCTION("""COMPUTED_VALUE"""),44654.0)</f>
        <v>44654</v>
      </c>
      <c r="C7365" s="5"/>
      <c r="D7365" s="5"/>
      <c r="E7365" s="5"/>
      <c r="F7365" s="25">
        <f>IFERROR(__xludf.DUMMYFUNCTION("""COMPUTED_VALUE"""),98280.78817899992)</f>
        <v>98280.78818</v>
      </c>
      <c r="G7365" s="25">
        <f>IFERROR(__xludf.DUMMYFUNCTION("""COMPUTED_VALUE"""),0.0)</f>
        <v>0</v>
      </c>
      <c r="H7365" s="8">
        <f>IFERROR(__xludf.DUMMYFUNCTION("""COMPUTED_VALUE"""),793640.3399145)</f>
        <v>793640.3399</v>
      </c>
      <c r="I7365" s="24">
        <f>IFERROR(__xludf.DUMMYFUNCTION("""COMPUTED_VALUE"""),0.587280679829)</f>
        <v>0.5872806798</v>
      </c>
    </row>
    <row r="7366">
      <c r="A7366" s="5" t="str">
        <f>IFERROR(__xludf.DUMMYFUNCTION("""COMPUTED_VALUE"""),"89750")</f>
        <v>89750</v>
      </c>
      <c r="B7366" s="64">
        <f>IFERROR(__xludf.DUMMYFUNCTION("""COMPUTED_VALUE"""),44655.0)</f>
        <v>44655</v>
      </c>
      <c r="C7366" s="5"/>
      <c r="D7366" s="5"/>
      <c r="E7366" s="5"/>
      <c r="F7366" s="25">
        <f>IFERROR(__xludf.DUMMYFUNCTION("""COMPUTED_VALUE"""),98280.78817899992)</f>
        <v>98280.78818</v>
      </c>
      <c r="G7366" s="25">
        <f>IFERROR(__xludf.DUMMYFUNCTION("""COMPUTED_VALUE"""),0.0)</f>
        <v>0</v>
      </c>
      <c r="H7366" s="8">
        <f>IFERROR(__xludf.DUMMYFUNCTION("""COMPUTED_VALUE"""),755907.9434369998)</f>
        <v>755907.9434</v>
      </c>
      <c r="I7366" s="24">
        <f>IFERROR(__xludf.DUMMYFUNCTION("""COMPUTED_VALUE"""),0.5118158868739997)</f>
        <v>0.5118158869</v>
      </c>
    </row>
    <row r="7367">
      <c r="A7367" s="5" t="str">
        <f>IFERROR(__xludf.DUMMYFUNCTION("""COMPUTED_VALUE"""),"89750")</f>
        <v>89750</v>
      </c>
      <c r="B7367" s="64">
        <f>IFERROR(__xludf.DUMMYFUNCTION("""COMPUTED_VALUE"""),44656.0)</f>
        <v>44656</v>
      </c>
      <c r="C7367" s="5"/>
      <c r="D7367" s="5"/>
      <c r="E7367" s="5"/>
      <c r="F7367" s="25">
        <f>IFERROR(__xludf.DUMMYFUNCTION("""COMPUTED_VALUE"""),98280.78817899992)</f>
        <v>98280.78818</v>
      </c>
      <c r="G7367" s="25">
        <f>IFERROR(__xludf.DUMMYFUNCTION("""COMPUTED_VALUE"""),0.0)</f>
        <v>0</v>
      </c>
      <c r="H7367" s="8">
        <f>IFERROR(__xludf.DUMMYFUNCTION("""COMPUTED_VALUE"""),776898.1258819998)</f>
        <v>776898.1259</v>
      </c>
      <c r="I7367" s="24">
        <f>IFERROR(__xludf.DUMMYFUNCTION("""COMPUTED_VALUE"""),0.5537962517639996)</f>
        <v>0.5537962518</v>
      </c>
    </row>
    <row r="7368">
      <c r="A7368" s="5" t="str">
        <f>IFERROR(__xludf.DUMMYFUNCTION("""COMPUTED_VALUE"""),"89750")</f>
        <v>89750</v>
      </c>
      <c r="B7368" s="64">
        <f>IFERROR(__xludf.DUMMYFUNCTION("""COMPUTED_VALUE"""),44657.0)</f>
        <v>44657</v>
      </c>
      <c r="C7368" s="5"/>
      <c r="D7368" s="5"/>
      <c r="E7368" s="5"/>
      <c r="F7368" s="25">
        <f>IFERROR(__xludf.DUMMYFUNCTION("""COMPUTED_VALUE"""),98280.78817899992)</f>
        <v>98280.78818</v>
      </c>
      <c r="G7368" s="25">
        <f>IFERROR(__xludf.DUMMYFUNCTION("""COMPUTED_VALUE"""),0.0)</f>
        <v>0</v>
      </c>
      <c r="H7368" s="8">
        <f>IFERROR(__xludf.DUMMYFUNCTION("""COMPUTED_VALUE"""),834496.1337179997)</f>
        <v>834496.1337</v>
      </c>
      <c r="I7368" s="24">
        <f>IFERROR(__xludf.DUMMYFUNCTION("""COMPUTED_VALUE"""),0.6689922674359994)</f>
        <v>0.6689922674</v>
      </c>
    </row>
    <row r="7369">
      <c r="A7369" s="5" t="str">
        <f>IFERROR(__xludf.DUMMYFUNCTION("""COMPUTED_VALUE"""),"89750")</f>
        <v>89750</v>
      </c>
      <c r="B7369" s="64">
        <f>IFERROR(__xludf.DUMMYFUNCTION("""COMPUTED_VALUE"""),44658.0)</f>
        <v>44658</v>
      </c>
      <c r="C7369" s="5"/>
      <c r="D7369" s="5"/>
      <c r="E7369" s="5"/>
      <c r="F7369" s="25">
        <f>IFERROR(__xludf.DUMMYFUNCTION("""COMPUTED_VALUE"""),98280.78817899992)</f>
        <v>98280.78818</v>
      </c>
      <c r="G7369" s="25">
        <f>IFERROR(__xludf.DUMMYFUNCTION("""COMPUTED_VALUE"""),0.0)</f>
        <v>0</v>
      </c>
      <c r="H7369" s="8">
        <f>IFERROR(__xludf.DUMMYFUNCTION("""COMPUTED_VALUE"""),824397.0810887498)</f>
        <v>824397.0811</v>
      </c>
      <c r="I7369" s="24">
        <f>IFERROR(__xludf.DUMMYFUNCTION("""COMPUTED_VALUE"""),0.6487941621774995)</f>
        <v>0.6487941622</v>
      </c>
    </row>
    <row r="7370">
      <c r="A7370" s="5" t="str">
        <f>IFERROR(__xludf.DUMMYFUNCTION("""COMPUTED_VALUE"""),"89750")</f>
        <v>89750</v>
      </c>
      <c r="B7370" s="64">
        <f>IFERROR(__xludf.DUMMYFUNCTION("""COMPUTED_VALUE"""),44659.0)</f>
        <v>44659</v>
      </c>
      <c r="C7370" s="5"/>
      <c r="D7370" s="5"/>
      <c r="E7370" s="5"/>
      <c r="F7370" s="25">
        <f>IFERROR(__xludf.DUMMYFUNCTION("""COMPUTED_VALUE"""),98280.78817899992)</f>
        <v>98280.78818</v>
      </c>
      <c r="G7370" s="25">
        <f>IFERROR(__xludf.DUMMYFUNCTION("""COMPUTED_VALUE"""),0.0)</f>
        <v>0</v>
      </c>
      <c r="H7370" s="8">
        <f>IFERROR(__xludf.DUMMYFUNCTION("""COMPUTED_VALUE"""),1143155.1498424998)</f>
        <v>1143155.15</v>
      </c>
      <c r="I7370" s="24">
        <f>IFERROR(__xludf.DUMMYFUNCTION("""COMPUTED_VALUE"""),1.2863102996849993)</f>
        <v>1.2863103</v>
      </c>
    </row>
    <row r="7371">
      <c r="A7371" s="5" t="str">
        <f>IFERROR(__xludf.DUMMYFUNCTION("""COMPUTED_VALUE"""),"89750")</f>
        <v>89750</v>
      </c>
      <c r="B7371" s="64">
        <f>IFERROR(__xludf.DUMMYFUNCTION("""COMPUTED_VALUE"""),44660.0)</f>
        <v>44660</v>
      </c>
      <c r="C7371" s="5"/>
      <c r="D7371" s="5"/>
      <c r="E7371" s="5"/>
      <c r="F7371" s="25">
        <f>IFERROR(__xludf.DUMMYFUNCTION("""COMPUTED_VALUE"""),98280.78817899992)</f>
        <v>98280.78818</v>
      </c>
      <c r="G7371" s="25">
        <f>IFERROR(__xludf.DUMMYFUNCTION("""COMPUTED_VALUE"""),0.0)</f>
        <v>0</v>
      </c>
      <c r="H7371" s="8">
        <f>IFERROR(__xludf.DUMMYFUNCTION("""COMPUTED_VALUE"""),1143155.1498424998)</f>
        <v>1143155.15</v>
      </c>
      <c r="I7371" s="24">
        <f>IFERROR(__xludf.DUMMYFUNCTION("""COMPUTED_VALUE"""),1.2863102996849993)</f>
        <v>1.2863103</v>
      </c>
    </row>
    <row r="7372">
      <c r="A7372" s="5" t="str">
        <f>IFERROR(__xludf.DUMMYFUNCTION("""COMPUTED_VALUE"""),"89750")</f>
        <v>89750</v>
      </c>
      <c r="B7372" s="64">
        <f>IFERROR(__xludf.DUMMYFUNCTION("""COMPUTED_VALUE"""),44661.0)</f>
        <v>44661</v>
      </c>
      <c r="C7372" s="5"/>
      <c r="D7372" s="5"/>
      <c r="E7372" s="5"/>
      <c r="F7372" s="25">
        <f>IFERROR(__xludf.DUMMYFUNCTION("""COMPUTED_VALUE"""),98280.78817899992)</f>
        <v>98280.78818</v>
      </c>
      <c r="G7372" s="25">
        <f>IFERROR(__xludf.DUMMYFUNCTION("""COMPUTED_VALUE"""),0.0)</f>
        <v>0</v>
      </c>
      <c r="H7372" s="8">
        <f>IFERROR(__xludf.DUMMYFUNCTION("""COMPUTED_VALUE"""),1143155.1498424998)</f>
        <v>1143155.15</v>
      </c>
      <c r="I7372" s="24">
        <f>IFERROR(__xludf.DUMMYFUNCTION("""COMPUTED_VALUE"""),1.2863102996849993)</f>
        <v>1.2863103</v>
      </c>
    </row>
    <row r="7373">
      <c r="A7373" s="5" t="str">
        <f>IFERROR(__xludf.DUMMYFUNCTION("""COMPUTED_VALUE"""),"89750")</f>
        <v>89750</v>
      </c>
      <c r="B7373" s="64">
        <f>IFERROR(__xludf.DUMMYFUNCTION("""COMPUTED_VALUE"""),44662.0)</f>
        <v>44662</v>
      </c>
      <c r="C7373" s="5"/>
      <c r="D7373" s="5"/>
      <c r="E7373" s="5"/>
      <c r="F7373" s="25">
        <f>IFERROR(__xludf.DUMMYFUNCTION("""COMPUTED_VALUE"""),98280.78817899992)</f>
        <v>98280.78818</v>
      </c>
      <c r="G7373" s="25">
        <f>IFERROR(__xludf.DUMMYFUNCTION("""COMPUTED_VALUE"""),0.0)</f>
        <v>0</v>
      </c>
      <c r="H7373" s="8">
        <f>IFERROR(__xludf.DUMMYFUNCTION("""COMPUTED_VALUE"""),1128475.2273440002)</f>
        <v>1128475.227</v>
      </c>
      <c r="I7373" s="24">
        <f>IFERROR(__xludf.DUMMYFUNCTION("""COMPUTED_VALUE"""),1.2569504546880004)</f>
        <v>1.256950455</v>
      </c>
    </row>
    <row r="7374">
      <c r="A7374" s="5" t="str">
        <f>IFERROR(__xludf.DUMMYFUNCTION("""COMPUTED_VALUE"""),"89750")</f>
        <v>89750</v>
      </c>
      <c r="B7374" s="64">
        <f>IFERROR(__xludf.DUMMYFUNCTION("""COMPUTED_VALUE"""),44663.0)</f>
        <v>44663</v>
      </c>
      <c r="C7374" s="5"/>
      <c r="D7374" s="5"/>
      <c r="E7374" s="5"/>
      <c r="F7374" s="25">
        <f>IFERROR(__xludf.DUMMYFUNCTION("""COMPUTED_VALUE"""),98280.78817899992)</f>
        <v>98280.78818</v>
      </c>
      <c r="G7374" s="25">
        <f>IFERROR(__xludf.DUMMYFUNCTION("""COMPUTED_VALUE"""),0.0)</f>
        <v>0</v>
      </c>
      <c r="H7374" s="8">
        <f>IFERROR(__xludf.DUMMYFUNCTION("""COMPUTED_VALUE"""),1132041.111165)</f>
        <v>1132041.111</v>
      </c>
      <c r="I7374" s="24">
        <f>IFERROR(__xludf.DUMMYFUNCTION("""COMPUTED_VALUE"""),1.26408222233)</f>
        <v>1.264082222</v>
      </c>
    </row>
    <row r="7375">
      <c r="A7375" s="5" t="str">
        <f>IFERROR(__xludf.DUMMYFUNCTION("""COMPUTED_VALUE"""),"89833")</f>
        <v>89833</v>
      </c>
      <c r="B7375" s="64">
        <f>IFERROR(__xludf.DUMMYFUNCTION("""COMPUTED_VALUE"""),44597.0)</f>
        <v>44597</v>
      </c>
      <c r="C7375" s="5"/>
      <c r="D7375" s="5"/>
      <c r="E7375" s="5"/>
      <c r="F7375" s="25">
        <f>IFERROR(__xludf.DUMMYFUNCTION("""COMPUTED_VALUE"""),500000.0)</f>
        <v>500000</v>
      </c>
      <c r="G7375" s="25">
        <f>IFERROR(__xludf.DUMMYFUNCTION("""COMPUTED_VALUE"""),0.0)</f>
        <v>0</v>
      </c>
      <c r="H7375" s="8">
        <f>IFERROR(__xludf.DUMMYFUNCTION("""COMPUTED_VALUE"""),500000.0)</f>
        <v>500000</v>
      </c>
      <c r="I7375" s="24">
        <f>IFERROR(__xludf.DUMMYFUNCTION("""COMPUTED_VALUE"""),0.0)</f>
        <v>0</v>
      </c>
    </row>
    <row r="7376">
      <c r="A7376" s="5" t="str">
        <f>IFERROR(__xludf.DUMMYFUNCTION("""COMPUTED_VALUE"""),"89833")</f>
        <v>89833</v>
      </c>
      <c r="B7376" s="64">
        <f>IFERROR(__xludf.DUMMYFUNCTION("""COMPUTED_VALUE"""),44598.0)</f>
        <v>44598</v>
      </c>
      <c r="C7376" s="5"/>
      <c r="D7376" s="5"/>
      <c r="E7376" s="5"/>
      <c r="F7376" s="25">
        <f>IFERROR(__xludf.DUMMYFUNCTION("""COMPUTED_VALUE"""),500000.0)</f>
        <v>500000</v>
      </c>
      <c r="G7376" s="25">
        <f>IFERROR(__xludf.DUMMYFUNCTION("""COMPUTED_VALUE"""),0.0)</f>
        <v>0</v>
      </c>
      <c r="H7376" s="8">
        <f>IFERROR(__xludf.DUMMYFUNCTION("""COMPUTED_VALUE"""),500000.0)</f>
        <v>500000</v>
      </c>
      <c r="I7376" s="24">
        <f>IFERROR(__xludf.DUMMYFUNCTION("""COMPUTED_VALUE"""),0.0)</f>
        <v>0</v>
      </c>
    </row>
    <row r="7377">
      <c r="A7377" s="5" t="str">
        <f>IFERROR(__xludf.DUMMYFUNCTION("""COMPUTED_VALUE"""),"89833")</f>
        <v>89833</v>
      </c>
      <c r="B7377" s="64">
        <f>IFERROR(__xludf.DUMMYFUNCTION("""COMPUTED_VALUE"""),44599.0)</f>
        <v>44599</v>
      </c>
      <c r="C7377" s="5"/>
      <c r="D7377" s="5"/>
      <c r="E7377" s="5"/>
      <c r="F7377" s="25">
        <f>IFERROR(__xludf.DUMMYFUNCTION("""COMPUTED_VALUE"""),500000.0)</f>
        <v>500000</v>
      </c>
      <c r="G7377" s="25">
        <f>IFERROR(__xludf.DUMMYFUNCTION("""COMPUTED_VALUE"""),0.0)</f>
        <v>0</v>
      </c>
      <c r="H7377" s="8">
        <f>IFERROR(__xludf.DUMMYFUNCTION("""COMPUTED_VALUE"""),500000.0)</f>
        <v>500000</v>
      </c>
      <c r="I7377" s="24">
        <f>IFERROR(__xludf.DUMMYFUNCTION("""COMPUTED_VALUE"""),0.0)</f>
        <v>0</v>
      </c>
    </row>
    <row r="7378">
      <c r="A7378" s="5" t="str">
        <f>IFERROR(__xludf.DUMMYFUNCTION("""COMPUTED_VALUE"""),"89833")</f>
        <v>89833</v>
      </c>
      <c r="B7378" s="64">
        <f>IFERROR(__xludf.DUMMYFUNCTION("""COMPUTED_VALUE"""),44600.0)</f>
        <v>44600</v>
      </c>
      <c r="C7378" s="5"/>
      <c r="D7378" s="5"/>
      <c r="E7378" s="5"/>
      <c r="F7378" s="25">
        <f>IFERROR(__xludf.DUMMYFUNCTION("""COMPUTED_VALUE"""),500000.0)</f>
        <v>500000</v>
      </c>
      <c r="G7378" s="25">
        <f>IFERROR(__xludf.DUMMYFUNCTION("""COMPUTED_VALUE"""),0.0)</f>
        <v>0</v>
      </c>
      <c r="H7378" s="8">
        <f>IFERROR(__xludf.DUMMYFUNCTION("""COMPUTED_VALUE"""),500000.0)</f>
        <v>500000</v>
      </c>
      <c r="I7378" s="24">
        <f>IFERROR(__xludf.DUMMYFUNCTION("""COMPUTED_VALUE"""),0.0)</f>
        <v>0</v>
      </c>
    </row>
    <row r="7379">
      <c r="A7379" s="5" t="str">
        <f>IFERROR(__xludf.DUMMYFUNCTION("""COMPUTED_VALUE"""),"89833")</f>
        <v>89833</v>
      </c>
      <c r="B7379" s="64">
        <f>IFERROR(__xludf.DUMMYFUNCTION("""COMPUTED_VALUE"""),44601.0)</f>
        <v>44601</v>
      </c>
      <c r="C7379" s="5"/>
      <c r="D7379" s="5"/>
      <c r="E7379" s="5"/>
      <c r="F7379" s="25">
        <f>IFERROR(__xludf.DUMMYFUNCTION("""COMPUTED_VALUE"""),500000.0)</f>
        <v>500000</v>
      </c>
      <c r="G7379" s="25">
        <f>IFERROR(__xludf.DUMMYFUNCTION("""COMPUTED_VALUE"""),0.0)</f>
        <v>0</v>
      </c>
      <c r="H7379" s="8">
        <f>IFERROR(__xludf.DUMMYFUNCTION("""COMPUTED_VALUE"""),500000.0)</f>
        <v>500000</v>
      </c>
      <c r="I7379" s="24">
        <f>IFERROR(__xludf.DUMMYFUNCTION("""COMPUTED_VALUE"""),0.0)</f>
        <v>0</v>
      </c>
    </row>
    <row r="7380">
      <c r="A7380" s="5" t="str">
        <f>IFERROR(__xludf.DUMMYFUNCTION("""COMPUTED_VALUE"""),"89833")</f>
        <v>89833</v>
      </c>
      <c r="B7380" s="64">
        <f>IFERROR(__xludf.DUMMYFUNCTION("""COMPUTED_VALUE"""),44602.0)</f>
        <v>44602</v>
      </c>
      <c r="C7380" s="5"/>
      <c r="D7380" s="5"/>
      <c r="E7380" s="5"/>
      <c r="F7380" s="25">
        <f>IFERROR(__xludf.DUMMYFUNCTION("""COMPUTED_VALUE"""),500000.0)</f>
        <v>500000</v>
      </c>
      <c r="G7380" s="25">
        <f>IFERROR(__xludf.DUMMYFUNCTION("""COMPUTED_VALUE"""),0.0)</f>
        <v>0</v>
      </c>
      <c r="H7380" s="8">
        <f>IFERROR(__xludf.DUMMYFUNCTION("""COMPUTED_VALUE"""),500000.0)</f>
        <v>500000</v>
      </c>
      <c r="I7380" s="24">
        <f>IFERROR(__xludf.DUMMYFUNCTION("""COMPUTED_VALUE"""),0.0)</f>
        <v>0</v>
      </c>
    </row>
    <row r="7381">
      <c r="A7381" s="5" t="str">
        <f>IFERROR(__xludf.DUMMYFUNCTION("""COMPUTED_VALUE"""),"89833")</f>
        <v>89833</v>
      </c>
      <c r="B7381" s="64">
        <f>IFERROR(__xludf.DUMMYFUNCTION("""COMPUTED_VALUE"""),44603.0)</f>
        <v>44603</v>
      </c>
      <c r="C7381" s="5"/>
      <c r="D7381" s="5"/>
      <c r="E7381" s="5"/>
      <c r="F7381" s="25">
        <f>IFERROR(__xludf.DUMMYFUNCTION("""COMPUTED_VALUE"""),500000.0)</f>
        <v>500000</v>
      </c>
      <c r="G7381" s="25">
        <f>IFERROR(__xludf.DUMMYFUNCTION("""COMPUTED_VALUE"""),0.0)</f>
        <v>0</v>
      </c>
      <c r="H7381" s="8">
        <f>IFERROR(__xludf.DUMMYFUNCTION("""COMPUTED_VALUE"""),500000.0)</f>
        <v>500000</v>
      </c>
      <c r="I7381" s="24">
        <f>IFERROR(__xludf.DUMMYFUNCTION("""COMPUTED_VALUE"""),0.0)</f>
        <v>0</v>
      </c>
    </row>
    <row r="7382">
      <c r="A7382" s="5" t="str">
        <f>IFERROR(__xludf.DUMMYFUNCTION("""COMPUTED_VALUE"""),"89833")</f>
        <v>89833</v>
      </c>
      <c r="B7382" s="64">
        <f>IFERROR(__xludf.DUMMYFUNCTION("""COMPUTED_VALUE"""),44604.0)</f>
        <v>44604</v>
      </c>
      <c r="C7382" s="5"/>
      <c r="D7382" s="5"/>
      <c r="E7382" s="5"/>
      <c r="F7382" s="25">
        <f>IFERROR(__xludf.DUMMYFUNCTION("""COMPUTED_VALUE"""),500000.0)</f>
        <v>500000</v>
      </c>
      <c r="G7382" s="25">
        <f>IFERROR(__xludf.DUMMYFUNCTION("""COMPUTED_VALUE"""),0.0)</f>
        <v>0</v>
      </c>
      <c r="H7382" s="8">
        <f>IFERROR(__xludf.DUMMYFUNCTION("""COMPUTED_VALUE"""),500000.0)</f>
        <v>500000</v>
      </c>
      <c r="I7382" s="24">
        <f>IFERROR(__xludf.DUMMYFUNCTION("""COMPUTED_VALUE"""),0.0)</f>
        <v>0</v>
      </c>
    </row>
    <row r="7383">
      <c r="A7383" s="5" t="str">
        <f>IFERROR(__xludf.DUMMYFUNCTION("""COMPUTED_VALUE"""),"89833")</f>
        <v>89833</v>
      </c>
      <c r="B7383" s="64">
        <f>IFERROR(__xludf.DUMMYFUNCTION("""COMPUTED_VALUE"""),44605.0)</f>
        <v>44605</v>
      </c>
      <c r="C7383" s="5"/>
      <c r="D7383" s="5"/>
      <c r="E7383" s="5"/>
      <c r="F7383" s="25">
        <f>IFERROR(__xludf.DUMMYFUNCTION("""COMPUTED_VALUE"""),500000.0)</f>
        <v>500000</v>
      </c>
      <c r="G7383" s="25">
        <f>IFERROR(__xludf.DUMMYFUNCTION("""COMPUTED_VALUE"""),0.0)</f>
        <v>0</v>
      </c>
      <c r="H7383" s="8">
        <f>IFERROR(__xludf.DUMMYFUNCTION("""COMPUTED_VALUE"""),500000.0)</f>
        <v>500000</v>
      </c>
      <c r="I7383" s="24">
        <f>IFERROR(__xludf.DUMMYFUNCTION("""COMPUTED_VALUE"""),0.0)</f>
        <v>0</v>
      </c>
    </row>
    <row r="7384">
      <c r="A7384" s="5" t="str">
        <f>IFERROR(__xludf.DUMMYFUNCTION("""COMPUTED_VALUE"""),"89833")</f>
        <v>89833</v>
      </c>
      <c r="B7384" s="64">
        <f>IFERROR(__xludf.DUMMYFUNCTION("""COMPUTED_VALUE"""),44606.0)</f>
        <v>44606</v>
      </c>
      <c r="C7384" s="5"/>
      <c r="D7384" s="5"/>
      <c r="E7384" s="5"/>
      <c r="F7384" s="25">
        <f>IFERROR(__xludf.DUMMYFUNCTION("""COMPUTED_VALUE"""),500000.0)</f>
        <v>500000</v>
      </c>
      <c r="G7384" s="25">
        <f>IFERROR(__xludf.DUMMYFUNCTION("""COMPUTED_VALUE"""),0.0)</f>
        <v>0</v>
      </c>
      <c r="H7384" s="8">
        <f>IFERROR(__xludf.DUMMYFUNCTION("""COMPUTED_VALUE"""),500000.0)</f>
        <v>500000</v>
      </c>
      <c r="I7384" s="24">
        <f>IFERROR(__xludf.DUMMYFUNCTION("""COMPUTED_VALUE"""),0.0)</f>
        <v>0</v>
      </c>
    </row>
    <row r="7385">
      <c r="A7385" s="5" t="str">
        <f>IFERROR(__xludf.DUMMYFUNCTION("""COMPUTED_VALUE"""),"89833")</f>
        <v>89833</v>
      </c>
      <c r="B7385" s="64">
        <f>IFERROR(__xludf.DUMMYFUNCTION("""COMPUTED_VALUE"""),44607.0)</f>
        <v>44607</v>
      </c>
      <c r="C7385" s="5"/>
      <c r="D7385" s="5"/>
      <c r="E7385" s="5"/>
      <c r="F7385" s="25">
        <f>IFERROR(__xludf.DUMMYFUNCTION("""COMPUTED_VALUE"""),500000.0)</f>
        <v>500000</v>
      </c>
      <c r="G7385" s="25">
        <f>IFERROR(__xludf.DUMMYFUNCTION("""COMPUTED_VALUE"""),0.0)</f>
        <v>0</v>
      </c>
      <c r="H7385" s="8">
        <f>IFERROR(__xludf.DUMMYFUNCTION("""COMPUTED_VALUE"""),500000.0)</f>
        <v>500000</v>
      </c>
      <c r="I7385" s="24">
        <f>IFERROR(__xludf.DUMMYFUNCTION("""COMPUTED_VALUE"""),0.0)</f>
        <v>0</v>
      </c>
    </row>
    <row r="7386">
      <c r="A7386" s="5" t="str">
        <f>IFERROR(__xludf.DUMMYFUNCTION("""COMPUTED_VALUE"""),"89833")</f>
        <v>89833</v>
      </c>
      <c r="B7386" s="64">
        <f>IFERROR(__xludf.DUMMYFUNCTION("""COMPUTED_VALUE"""),44608.0)</f>
        <v>44608</v>
      </c>
      <c r="C7386" s="5"/>
      <c r="D7386" s="5"/>
      <c r="E7386" s="5"/>
      <c r="F7386" s="25">
        <f>IFERROR(__xludf.DUMMYFUNCTION("""COMPUTED_VALUE"""),500000.0)</f>
        <v>500000</v>
      </c>
      <c r="G7386" s="25">
        <f>IFERROR(__xludf.DUMMYFUNCTION("""COMPUTED_VALUE"""),0.0)</f>
        <v>0</v>
      </c>
      <c r="H7386" s="8">
        <f>IFERROR(__xludf.DUMMYFUNCTION("""COMPUTED_VALUE"""),500000.0)</f>
        <v>500000</v>
      </c>
      <c r="I7386" s="24">
        <f>IFERROR(__xludf.DUMMYFUNCTION("""COMPUTED_VALUE"""),0.0)</f>
        <v>0</v>
      </c>
    </row>
    <row r="7387">
      <c r="A7387" s="5" t="str">
        <f>IFERROR(__xludf.DUMMYFUNCTION("""COMPUTED_VALUE"""),"89833")</f>
        <v>89833</v>
      </c>
      <c r="B7387" s="64">
        <f>IFERROR(__xludf.DUMMYFUNCTION("""COMPUTED_VALUE"""),44609.0)</f>
        <v>44609</v>
      </c>
      <c r="C7387" s="5"/>
      <c r="D7387" s="5"/>
      <c r="E7387" s="5"/>
      <c r="F7387" s="25">
        <f>IFERROR(__xludf.DUMMYFUNCTION("""COMPUTED_VALUE"""),500000.0)</f>
        <v>500000</v>
      </c>
      <c r="G7387" s="25">
        <f>IFERROR(__xludf.DUMMYFUNCTION("""COMPUTED_VALUE"""),0.0)</f>
        <v>0</v>
      </c>
      <c r="H7387" s="8">
        <f>IFERROR(__xludf.DUMMYFUNCTION("""COMPUTED_VALUE"""),500000.0)</f>
        <v>500000</v>
      </c>
      <c r="I7387" s="24">
        <f>IFERROR(__xludf.DUMMYFUNCTION("""COMPUTED_VALUE"""),0.0)</f>
        <v>0</v>
      </c>
    </row>
    <row r="7388">
      <c r="A7388" s="5" t="str">
        <f>IFERROR(__xludf.DUMMYFUNCTION("""COMPUTED_VALUE"""),"89833")</f>
        <v>89833</v>
      </c>
      <c r="B7388" s="64">
        <f>IFERROR(__xludf.DUMMYFUNCTION("""COMPUTED_VALUE"""),44610.0)</f>
        <v>44610</v>
      </c>
      <c r="C7388" s="5"/>
      <c r="D7388" s="5"/>
      <c r="E7388" s="5"/>
      <c r="F7388" s="25">
        <f>IFERROR(__xludf.DUMMYFUNCTION("""COMPUTED_VALUE"""),500000.0)</f>
        <v>500000</v>
      </c>
      <c r="G7388" s="25">
        <f>IFERROR(__xludf.DUMMYFUNCTION("""COMPUTED_VALUE"""),0.0)</f>
        <v>0</v>
      </c>
      <c r="H7388" s="8">
        <f>IFERROR(__xludf.DUMMYFUNCTION("""COMPUTED_VALUE"""),500000.0)</f>
        <v>500000</v>
      </c>
      <c r="I7388" s="24">
        <f>IFERROR(__xludf.DUMMYFUNCTION("""COMPUTED_VALUE"""),0.0)</f>
        <v>0</v>
      </c>
    </row>
    <row r="7389">
      <c r="A7389" s="5" t="str">
        <f>IFERROR(__xludf.DUMMYFUNCTION("""COMPUTED_VALUE"""),"89833")</f>
        <v>89833</v>
      </c>
      <c r="B7389" s="64">
        <f>IFERROR(__xludf.DUMMYFUNCTION("""COMPUTED_VALUE"""),44611.0)</f>
        <v>44611</v>
      </c>
      <c r="C7389" s="5"/>
      <c r="D7389" s="5"/>
      <c r="E7389" s="5"/>
      <c r="F7389" s="25">
        <f>IFERROR(__xludf.DUMMYFUNCTION("""COMPUTED_VALUE"""),500000.0)</f>
        <v>500000</v>
      </c>
      <c r="G7389" s="25">
        <f>IFERROR(__xludf.DUMMYFUNCTION("""COMPUTED_VALUE"""),0.0)</f>
        <v>0</v>
      </c>
      <c r="H7389" s="8">
        <f>IFERROR(__xludf.DUMMYFUNCTION("""COMPUTED_VALUE"""),500000.0)</f>
        <v>500000</v>
      </c>
      <c r="I7389" s="24">
        <f>IFERROR(__xludf.DUMMYFUNCTION("""COMPUTED_VALUE"""),0.0)</f>
        <v>0</v>
      </c>
    </row>
    <row r="7390">
      <c r="A7390" s="5" t="str">
        <f>IFERROR(__xludf.DUMMYFUNCTION("""COMPUTED_VALUE"""),"89833")</f>
        <v>89833</v>
      </c>
      <c r="B7390" s="64">
        <f>IFERROR(__xludf.DUMMYFUNCTION("""COMPUTED_VALUE"""),44612.0)</f>
        <v>44612</v>
      </c>
      <c r="C7390" s="5"/>
      <c r="D7390" s="5"/>
      <c r="E7390" s="5"/>
      <c r="F7390" s="25">
        <f>IFERROR(__xludf.DUMMYFUNCTION("""COMPUTED_VALUE"""),500000.0)</f>
        <v>500000</v>
      </c>
      <c r="G7390" s="25">
        <f>IFERROR(__xludf.DUMMYFUNCTION("""COMPUTED_VALUE"""),0.0)</f>
        <v>0</v>
      </c>
      <c r="H7390" s="8">
        <f>IFERROR(__xludf.DUMMYFUNCTION("""COMPUTED_VALUE"""),500000.0)</f>
        <v>500000</v>
      </c>
      <c r="I7390" s="24">
        <f>IFERROR(__xludf.DUMMYFUNCTION("""COMPUTED_VALUE"""),0.0)</f>
        <v>0</v>
      </c>
    </row>
    <row r="7391">
      <c r="A7391" s="5" t="str">
        <f>IFERROR(__xludf.DUMMYFUNCTION("""COMPUTED_VALUE"""),"89833")</f>
        <v>89833</v>
      </c>
      <c r="B7391" s="64">
        <f>IFERROR(__xludf.DUMMYFUNCTION("""COMPUTED_VALUE"""),44613.0)</f>
        <v>44613</v>
      </c>
      <c r="C7391" s="5"/>
      <c r="D7391" s="5"/>
      <c r="E7391" s="5"/>
      <c r="F7391" s="25">
        <f>IFERROR(__xludf.DUMMYFUNCTION("""COMPUTED_VALUE"""),500000.0)</f>
        <v>500000</v>
      </c>
      <c r="G7391" s="25">
        <f>IFERROR(__xludf.DUMMYFUNCTION("""COMPUTED_VALUE"""),0.0)</f>
        <v>0</v>
      </c>
      <c r="H7391" s="8">
        <f>IFERROR(__xludf.DUMMYFUNCTION("""COMPUTED_VALUE"""),500000.0)</f>
        <v>500000</v>
      </c>
      <c r="I7391" s="24">
        <f>IFERROR(__xludf.DUMMYFUNCTION("""COMPUTED_VALUE"""),0.0)</f>
        <v>0</v>
      </c>
    </row>
    <row r="7392">
      <c r="A7392" s="5" t="str">
        <f>IFERROR(__xludf.DUMMYFUNCTION("""COMPUTED_VALUE"""),"89833")</f>
        <v>89833</v>
      </c>
      <c r="B7392" s="64">
        <f>IFERROR(__xludf.DUMMYFUNCTION("""COMPUTED_VALUE"""),44614.0)</f>
        <v>44614</v>
      </c>
      <c r="C7392" s="5"/>
      <c r="D7392" s="5"/>
      <c r="E7392" s="5"/>
      <c r="F7392" s="25">
        <f>IFERROR(__xludf.DUMMYFUNCTION("""COMPUTED_VALUE"""),500000.0)</f>
        <v>500000</v>
      </c>
      <c r="G7392" s="25">
        <f>IFERROR(__xludf.DUMMYFUNCTION("""COMPUTED_VALUE"""),0.0)</f>
        <v>0</v>
      </c>
      <c r="H7392" s="8">
        <f>IFERROR(__xludf.DUMMYFUNCTION("""COMPUTED_VALUE"""),500000.0)</f>
        <v>500000</v>
      </c>
      <c r="I7392" s="24">
        <f>IFERROR(__xludf.DUMMYFUNCTION("""COMPUTED_VALUE"""),0.0)</f>
        <v>0</v>
      </c>
    </row>
    <row r="7393">
      <c r="A7393" s="5" t="str">
        <f>IFERROR(__xludf.DUMMYFUNCTION("""COMPUTED_VALUE"""),"89833")</f>
        <v>89833</v>
      </c>
      <c r="B7393" s="64">
        <f>IFERROR(__xludf.DUMMYFUNCTION("""COMPUTED_VALUE"""),44615.0)</f>
        <v>44615</v>
      </c>
      <c r="C7393" s="5"/>
      <c r="D7393" s="5"/>
      <c r="E7393" s="5"/>
      <c r="F7393" s="25">
        <f>IFERROR(__xludf.DUMMYFUNCTION("""COMPUTED_VALUE"""),500000.0)</f>
        <v>500000</v>
      </c>
      <c r="G7393" s="25">
        <f>IFERROR(__xludf.DUMMYFUNCTION("""COMPUTED_VALUE"""),0.0)</f>
        <v>0</v>
      </c>
      <c r="H7393" s="8">
        <f>IFERROR(__xludf.DUMMYFUNCTION("""COMPUTED_VALUE"""),500000.0)</f>
        <v>500000</v>
      </c>
      <c r="I7393" s="24">
        <f>IFERROR(__xludf.DUMMYFUNCTION("""COMPUTED_VALUE"""),0.0)</f>
        <v>0</v>
      </c>
    </row>
    <row r="7394">
      <c r="A7394" s="5" t="str">
        <f>IFERROR(__xludf.DUMMYFUNCTION("""COMPUTED_VALUE"""),"89833")</f>
        <v>89833</v>
      </c>
      <c r="B7394" s="64">
        <f>IFERROR(__xludf.DUMMYFUNCTION("""COMPUTED_VALUE"""),44616.0)</f>
        <v>44616</v>
      </c>
      <c r="C7394" s="5"/>
      <c r="D7394" s="5"/>
      <c r="E7394" s="5"/>
      <c r="F7394" s="25">
        <f>IFERROR(__xludf.DUMMYFUNCTION("""COMPUTED_VALUE"""),500000.0)</f>
        <v>500000</v>
      </c>
      <c r="G7394" s="25">
        <f>IFERROR(__xludf.DUMMYFUNCTION("""COMPUTED_VALUE"""),0.0)</f>
        <v>0</v>
      </c>
      <c r="H7394" s="8">
        <f>IFERROR(__xludf.DUMMYFUNCTION("""COMPUTED_VALUE"""),500000.0)</f>
        <v>500000</v>
      </c>
      <c r="I7394" s="24">
        <f>IFERROR(__xludf.DUMMYFUNCTION("""COMPUTED_VALUE"""),0.0)</f>
        <v>0</v>
      </c>
    </row>
    <row r="7395">
      <c r="A7395" s="5" t="str">
        <f>IFERROR(__xludf.DUMMYFUNCTION("""COMPUTED_VALUE"""),"89833")</f>
        <v>89833</v>
      </c>
      <c r="B7395" s="64">
        <f>IFERROR(__xludf.DUMMYFUNCTION("""COMPUTED_VALUE"""),44617.0)</f>
        <v>44617</v>
      </c>
      <c r="C7395" s="5"/>
      <c r="D7395" s="5"/>
      <c r="E7395" s="5"/>
      <c r="F7395" s="25">
        <f>IFERROR(__xludf.DUMMYFUNCTION("""COMPUTED_VALUE"""),500000.0)</f>
        <v>500000</v>
      </c>
      <c r="G7395" s="25">
        <f>IFERROR(__xludf.DUMMYFUNCTION("""COMPUTED_VALUE"""),0.0)</f>
        <v>0</v>
      </c>
      <c r="H7395" s="8">
        <f>IFERROR(__xludf.DUMMYFUNCTION("""COMPUTED_VALUE"""),500000.0)</f>
        <v>500000</v>
      </c>
      <c r="I7395" s="24">
        <f>IFERROR(__xludf.DUMMYFUNCTION("""COMPUTED_VALUE"""),0.0)</f>
        <v>0</v>
      </c>
    </row>
    <row r="7396">
      <c r="A7396" s="5" t="str">
        <f>IFERROR(__xludf.DUMMYFUNCTION("""COMPUTED_VALUE"""),"89833")</f>
        <v>89833</v>
      </c>
      <c r="B7396" s="64">
        <f>IFERROR(__xludf.DUMMYFUNCTION("""COMPUTED_VALUE"""),44618.0)</f>
        <v>44618</v>
      </c>
      <c r="C7396" s="5"/>
      <c r="D7396" s="5"/>
      <c r="E7396" s="5"/>
      <c r="F7396" s="25">
        <f>IFERROR(__xludf.DUMMYFUNCTION("""COMPUTED_VALUE"""),500000.0)</f>
        <v>500000</v>
      </c>
      <c r="G7396" s="25">
        <f>IFERROR(__xludf.DUMMYFUNCTION("""COMPUTED_VALUE"""),0.0)</f>
        <v>0</v>
      </c>
      <c r="H7396" s="8">
        <f>IFERROR(__xludf.DUMMYFUNCTION("""COMPUTED_VALUE"""),500000.0)</f>
        <v>500000</v>
      </c>
      <c r="I7396" s="24">
        <f>IFERROR(__xludf.DUMMYFUNCTION("""COMPUTED_VALUE"""),0.0)</f>
        <v>0</v>
      </c>
    </row>
    <row r="7397">
      <c r="A7397" s="5" t="str">
        <f>IFERROR(__xludf.DUMMYFUNCTION("""COMPUTED_VALUE"""),"89833")</f>
        <v>89833</v>
      </c>
      <c r="B7397" s="64">
        <f>IFERROR(__xludf.DUMMYFUNCTION("""COMPUTED_VALUE"""),44619.0)</f>
        <v>44619</v>
      </c>
      <c r="C7397" s="5"/>
      <c r="D7397" s="5"/>
      <c r="E7397" s="5"/>
      <c r="F7397" s="25">
        <f>IFERROR(__xludf.DUMMYFUNCTION("""COMPUTED_VALUE"""),500000.0)</f>
        <v>500000</v>
      </c>
      <c r="G7397" s="25">
        <f>IFERROR(__xludf.DUMMYFUNCTION("""COMPUTED_VALUE"""),0.0)</f>
        <v>0</v>
      </c>
      <c r="H7397" s="8">
        <f>IFERROR(__xludf.DUMMYFUNCTION("""COMPUTED_VALUE"""),500000.0)</f>
        <v>500000</v>
      </c>
      <c r="I7397" s="24">
        <f>IFERROR(__xludf.DUMMYFUNCTION("""COMPUTED_VALUE"""),0.0)</f>
        <v>0</v>
      </c>
    </row>
    <row r="7398">
      <c r="A7398" s="5" t="str">
        <f>IFERROR(__xludf.DUMMYFUNCTION("""COMPUTED_VALUE"""),"89833")</f>
        <v>89833</v>
      </c>
      <c r="B7398" s="64">
        <f>IFERROR(__xludf.DUMMYFUNCTION("""COMPUTED_VALUE"""),44620.0)</f>
        <v>44620</v>
      </c>
      <c r="C7398" s="5"/>
      <c r="D7398" s="5"/>
      <c r="E7398" s="5"/>
      <c r="F7398" s="25">
        <f>IFERROR(__xludf.DUMMYFUNCTION("""COMPUTED_VALUE"""),500000.0)</f>
        <v>500000</v>
      </c>
      <c r="G7398" s="25">
        <f>IFERROR(__xludf.DUMMYFUNCTION("""COMPUTED_VALUE"""),0.0)</f>
        <v>0</v>
      </c>
      <c r="H7398" s="8">
        <f>IFERROR(__xludf.DUMMYFUNCTION("""COMPUTED_VALUE"""),500000.0)</f>
        <v>500000</v>
      </c>
      <c r="I7398" s="24">
        <f>IFERROR(__xludf.DUMMYFUNCTION("""COMPUTED_VALUE"""),0.0)</f>
        <v>0</v>
      </c>
    </row>
    <row r="7399">
      <c r="A7399" s="5" t="str">
        <f>IFERROR(__xludf.DUMMYFUNCTION("""COMPUTED_VALUE"""),"89833")</f>
        <v>89833</v>
      </c>
      <c r="B7399" s="64">
        <f>IFERROR(__xludf.DUMMYFUNCTION("""COMPUTED_VALUE"""),44621.0)</f>
        <v>44621</v>
      </c>
      <c r="C7399" s="5"/>
      <c r="D7399" s="5"/>
      <c r="E7399" s="5"/>
      <c r="F7399" s="25">
        <f>IFERROR(__xludf.DUMMYFUNCTION("""COMPUTED_VALUE"""),500000.0)</f>
        <v>500000</v>
      </c>
      <c r="G7399" s="25">
        <f>IFERROR(__xludf.DUMMYFUNCTION("""COMPUTED_VALUE"""),0.0)</f>
        <v>0</v>
      </c>
      <c r="H7399" s="8">
        <f>IFERROR(__xludf.DUMMYFUNCTION("""COMPUTED_VALUE"""),500000.0)</f>
        <v>500000</v>
      </c>
      <c r="I7399" s="24">
        <f>IFERROR(__xludf.DUMMYFUNCTION("""COMPUTED_VALUE"""),0.0)</f>
        <v>0</v>
      </c>
    </row>
    <row r="7400">
      <c r="A7400" s="5" t="str">
        <f>IFERROR(__xludf.DUMMYFUNCTION("""COMPUTED_VALUE"""),"89833")</f>
        <v>89833</v>
      </c>
      <c r="B7400" s="64">
        <f>IFERROR(__xludf.DUMMYFUNCTION("""COMPUTED_VALUE"""),44622.0)</f>
        <v>44622</v>
      </c>
      <c r="C7400" s="5"/>
      <c r="D7400" s="5"/>
      <c r="E7400" s="5"/>
      <c r="F7400" s="25">
        <f>IFERROR(__xludf.DUMMYFUNCTION("""COMPUTED_VALUE"""),500000.0)</f>
        <v>500000</v>
      </c>
      <c r="G7400" s="25">
        <f>IFERROR(__xludf.DUMMYFUNCTION("""COMPUTED_VALUE"""),0.0)</f>
        <v>0</v>
      </c>
      <c r="H7400" s="8">
        <f>IFERROR(__xludf.DUMMYFUNCTION("""COMPUTED_VALUE"""),500000.0)</f>
        <v>500000</v>
      </c>
      <c r="I7400" s="24">
        <f>IFERROR(__xludf.DUMMYFUNCTION("""COMPUTED_VALUE"""),0.0)</f>
        <v>0</v>
      </c>
    </row>
    <row r="7401">
      <c r="A7401" s="5" t="str">
        <f>IFERROR(__xludf.DUMMYFUNCTION("""COMPUTED_VALUE"""),"89833")</f>
        <v>89833</v>
      </c>
      <c r="B7401" s="64">
        <f>IFERROR(__xludf.DUMMYFUNCTION("""COMPUTED_VALUE"""),44623.0)</f>
        <v>44623</v>
      </c>
      <c r="C7401" s="5"/>
      <c r="D7401" s="5"/>
      <c r="E7401" s="5"/>
      <c r="F7401" s="25">
        <f>IFERROR(__xludf.DUMMYFUNCTION("""COMPUTED_VALUE"""),500000.0)</f>
        <v>500000</v>
      </c>
      <c r="G7401" s="25">
        <f>IFERROR(__xludf.DUMMYFUNCTION("""COMPUTED_VALUE"""),0.0)</f>
        <v>0</v>
      </c>
      <c r="H7401" s="8">
        <f>IFERROR(__xludf.DUMMYFUNCTION("""COMPUTED_VALUE"""),500000.0)</f>
        <v>500000</v>
      </c>
      <c r="I7401" s="24">
        <f>IFERROR(__xludf.DUMMYFUNCTION("""COMPUTED_VALUE"""),0.0)</f>
        <v>0</v>
      </c>
    </row>
    <row r="7402">
      <c r="A7402" s="5" t="str">
        <f>IFERROR(__xludf.DUMMYFUNCTION("""COMPUTED_VALUE"""),"89833")</f>
        <v>89833</v>
      </c>
      <c r="B7402" s="64">
        <f>IFERROR(__xludf.DUMMYFUNCTION("""COMPUTED_VALUE"""),44624.0)</f>
        <v>44624</v>
      </c>
      <c r="C7402" s="5"/>
      <c r="D7402" s="5"/>
      <c r="E7402" s="5"/>
      <c r="F7402" s="25">
        <f>IFERROR(__xludf.DUMMYFUNCTION("""COMPUTED_VALUE"""),500000.0)</f>
        <v>500000</v>
      </c>
      <c r="G7402" s="25">
        <f>IFERROR(__xludf.DUMMYFUNCTION("""COMPUTED_VALUE"""),0.0)</f>
        <v>0</v>
      </c>
      <c r="H7402" s="8">
        <f>IFERROR(__xludf.DUMMYFUNCTION("""COMPUTED_VALUE"""),500000.0)</f>
        <v>500000</v>
      </c>
      <c r="I7402" s="24">
        <f>IFERROR(__xludf.DUMMYFUNCTION("""COMPUTED_VALUE"""),0.0)</f>
        <v>0</v>
      </c>
    </row>
    <row r="7403">
      <c r="A7403" s="5" t="str">
        <f>IFERROR(__xludf.DUMMYFUNCTION("""COMPUTED_VALUE"""),"89833")</f>
        <v>89833</v>
      </c>
      <c r="B7403" s="64">
        <f>IFERROR(__xludf.DUMMYFUNCTION("""COMPUTED_VALUE"""),44625.0)</f>
        <v>44625</v>
      </c>
      <c r="C7403" s="5"/>
      <c r="D7403" s="5"/>
      <c r="E7403" s="5"/>
      <c r="F7403" s="25">
        <f>IFERROR(__xludf.DUMMYFUNCTION("""COMPUTED_VALUE"""),500000.0)</f>
        <v>500000</v>
      </c>
      <c r="G7403" s="25">
        <f>IFERROR(__xludf.DUMMYFUNCTION("""COMPUTED_VALUE"""),0.0)</f>
        <v>0</v>
      </c>
      <c r="H7403" s="8">
        <f>IFERROR(__xludf.DUMMYFUNCTION("""COMPUTED_VALUE"""),500000.0)</f>
        <v>500000</v>
      </c>
      <c r="I7403" s="24">
        <f>IFERROR(__xludf.DUMMYFUNCTION("""COMPUTED_VALUE"""),0.0)</f>
        <v>0</v>
      </c>
    </row>
    <row r="7404">
      <c r="A7404" s="5" t="str">
        <f>IFERROR(__xludf.DUMMYFUNCTION("""COMPUTED_VALUE"""),"89833")</f>
        <v>89833</v>
      </c>
      <c r="B7404" s="64">
        <f>IFERROR(__xludf.DUMMYFUNCTION("""COMPUTED_VALUE"""),44626.0)</f>
        <v>44626</v>
      </c>
      <c r="C7404" s="5"/>
      <c r="D7404" s="5"/>
      <c r="E7404" s="5"/>
      <c r="F7404" s="25">
        <f>IFERROR(__xludf.DUMMYFUNCTION("""COMPUTED_VALUE"""),500000.0)</f>
        <v>500000</v>
      </c>
      <c r="G7404" s="25">
        <f>IFERROR(__xludf.DUMMYFUNCTION("""COMPUTED_VALUE"""),0.0)</f>
        <v>0</v>
      </c>
      <c r="H7404" s="8">
        <f>IFERROR(__xludf.DUMMYFUNCTION("""COMPUTED_VALUE"""),500000.0)</f>
        <v>500000</v>
      </c>
      <c r="I7404" s="24">
        <f>IFERROR(__xludf.DUMMYFUNCTION("""COMPUTED_VALUE"""),0.0)</f>
        <v>0</v>
      </c>
    </row>
    <row r="7405">
      <c r="A7405" s="5" t="str">
        <f>IFERROR(__xludf.DUMMYFUNCTION("""COMPUTED_VALUE"""),"89833")</f>
        <v>89833</v>
      </c>
      <c r="B7405" s="64">
        <f>IFERROR(__xludf.DUMMYFUNCTION("""COMPUTED_VALUE"""),44627.0)</f>
        <v>44627</v>
      </c>
      <c r="C7405" s="5"/>
      <c r="D7405" s="5"/>
      <c r="E7405" s="5"/>
      <c r="F7405" s="25">
        <f>IFERROR(__xludf.DUMMYFUNCTION("""COMPUTED_VALUE"""),500000.0)</f>
        <v>500000</v>
      </c>
      <c r="G7405" s="25">
        <f>IFERROR(__xludf.DUMMYFUNCTION("""COMPUTED_VALUE"""),0.0)</f>
        <v>0</v>
      </c>
      <c r="H7405" s="8">
        <f>IFERROR(__xludf.DUMMYFUNCTION("""COMPUTED_VALUE"""),500000.0)</f>
        <v>500000</v>
      </c>
      <c r="I7405" s="24">
        <f>IFERROR(__xludf.DUMMYFUNCTION("""COMPUTED_VALUE"""),0.0)</f>
        <v>0</v>
      </c>
    </row>
    <row r="7406">
      <c r="A7406" s="5" t="str">
        <f>IFERROR(__xludf.DUMMYFUNCTION("""COMPUTED_VALUE"""),"89833")</f>
        <v>89833</v>
      </c>
      <c r="B7406" s="64">
        <f>IFERROR(__xludf.DUMMYFUNCTION("""COMPUTED_VALUE"""),44628.0)</f>
        <v>44628</v>
      </c>
      <c r="C7406" s="5"/>
      <c r="D7406" s="5"/>
      <c r="E7406" s="5"/>
      <c r="F7406" s="25">
        <f>IFERROR(__xludf.DUMMYFUNCTION("""COMPUTED_VALUE"""),500000.0)</f>
        <v>500000</v>
      </c>
      <c r="G7406" s="25">
        <f>IFERROR(__xludf.DUMMYFUNCTION("""COMPUTED_VALUE"""),0.0)</f>
        <v>0</v>
      </c>
      <c r="H7406" s="8">
        <f>IFERROR(__xludf.DUMMYFUNCTION("""COMPUTED_VALUE"""),500000.0)</f>
        <v>500000</v>
      </c>
      <c r="I7406" s="24">
        <f>IFERROR(__xludf.DUMMYFUNCTION("""COMPUTED_VALUE"""),0.0)</f>
        <v>0</v>
      </c>
    </row>
    <row r="7407">
      <c r="A7407" s="5" t="str">
        <f>IFERROR(__xludf.DUMMYFUNCTION("""COMPUTED_VALUE"""),"89833")</f>
        <v>89833</v>
      </c>
      <c r="B7407" s="64">
        <f>IFERROR(__xludf.DUMMYFUNCTION("""COMPUTED_VALUE"""),44629.0)</f>
        <v>44629</v>
      </c>
      <c r="C7407" s="5"/>
      <c r="D7407" s="5"/>
      <c r="E7407" s="5"/>
      <c r="F7407" s="25">
        <f>IFERROR(__xludf.DUMMYFUNCTION("""COMPUTED_VALUE"""),500000.0)</f>
        <v>500000</v>
      </c>
      <c r="G7407" s="25">
        <f>IFERROR(__xludf.DUMMYFUNCTION("""COMPUTED_VALUE"""),0.0)</f>
        <v>0</v>
      </c>
      <c r="H7407" s="8">
        <f>IFERROR(__xludf.DUMMYFUNCTION("""COMPUTED_VALUE"""),500000.0)</f>
        <v>500000</v>
      </c>
      <c r="I7407" s="24">
        <f>IFERROR(__xludf.DUMMYFUNCTION("""COMPUTED_VALUE"""),0.0)</f>
        <v>0</v>
      </c>
    </row>
    <row r="7408">
      <c r="A7408" s="5" t="str">
        <f>IFERROR(__xludf.DUMMYFUNCTION("""COMPUTED_VALUE"""),"89833")</f>
        <v>89833</v>
      </c>
      <c r="B7408" s="64">
        <f>IFERROR(__xludf.DUMMYFUNCTION("""COMPUTED_VALUE"""),44630.0)</f>
        <v>44630</v>
      </c>
      <c r="C7408" s="5"/>
      <c r="D7408" s="5"/>
      <c r="E7408" s="5"/>
      <c r="F7408" s="25">
        <f>IFERROR(__xludf.DUMMYFUNCTION("""COMPUTED_VALUE"""),500000.0)</f>
        <v>500000</v>
      </c>
      <c r="G7408" s="25">
        <f>IFERROR(__xludf.DUMMYFUNCTION("""COMPUTED_VALUE"""),0.0)</f>
        <v>0</v>
      </c>
      <c r="H7408" s="8">
        <f>IFERROR(__xludf.DUMMYFUNCTION("""COMPUTED_VALUE"""),500000.0)</f>
        <v>500000</v>
      </c>
      <c r="I7408" s="24">
        <f>IFERROR(__xludf.DUMMYFUNCTION("""COMPUTED_VALUE"""),0.0)</f>
        <v>0</v>
      </c>
    </row>
    <row r="7409">
      <c r="A7409" s="5" t="str">
        <f>IFERROR(__xludf.DUMMYFUNCTION("""COMPUTED_VALUE"""),"89833")</f>
        <v>89833</v>
      </c>
      <c r="B7409" s="64">
        <f>IFERROR(__xludf.DUMMYFUNCTION("""COMPUTED_VALUE"""),44631.0)</f>
        <v>44631</v>
      </c>
      <c r="C7409" s="5"/>
      <c r="D7409" s="5"/>
      <c r="E7409" s="5"/>
      <c r="F7409" s="25">
        <f>IFERROR(__xludf.DUMMYFUNCTION("""COMPUTED_VALUE"""),500000.0)</f>
        <v>500000</v>
      </c>
      <c r="G7409" s="25">
        <f>IFERROR(__xludf.DUMMYFUNCTION("""COMPUTED_VALUE"""),0.0)</f>
        <v>0</v>
      </c>
      <c r="H7409" s="8">
        <f>IFERROR(__xludf.DUMMYFUNCTION("""COMPUTED_VALUE"""),500000.0)</f>
        <v>500000</v>
      </c>
      <c r="I7409" s="24">
        <f>IFERROR(__xludf.DUMMYFUNCTION("""COMPUTED_VALUE"""),0.0)</f>
        <v>0</v>
      </c>
    </row>
    <row r="7410">
      <c r="A7410" s="5" t="str">
        <f>IFERROR(__xludf.DUMMYFUNCTION("""COMPUTED_VALUE"""),"89833")</f>
        <v>89833</v>
      </c>
      <c r="B7410" s="64">
        <f>IFERROR(__xludf.DUMMYFUNCTION("""COMPUTED_VALUE"""),44632.0)</f>
        <v>44632</v>
      </c>
      <c r="C7410" s="5"/>
      <c r="D7410" s="5"/>
      <c r="E7410" s="5"/>
      <c r="F7410" s="25">
        <f>IFERROR(__xludf.DUMMYFUNCTION("""COMPUTED_VALUE"""),500000.0)</f>
        <v>500000</v>
      </c>
      <c r="G7410" s="25">
        <f>IFERROR(__xludf.DUMMYFUNCTION("""COMPUTED_VALUE"""),0.0)</f>
        <v>0</v>
      </c>
      <c r="H7410" s="8">
        <f>IFERROR(__xludf.DUMMYFUNCTION("""COMPUTED_VALUE"""),500000.0)</f>
        <v>500000</v>
      </c>
      <c r="I7410" s="24">
        <f>IFERROR(__xludf.DUMMYFUNCTION("""COMPUTED_VALUE"""),0.0)</f>
        <v>0</v>
      </c>
    </row>
    <row r="7411">
      <c r="A7411" s="5" t="str">
        <f>IFERROR(__xludf.DUMMYFUNCTION("""COMPUTED_VALUE"""),"89833")</f>
        <v>89833</v>
      </c>
      <c r="B7411" s="64">
        <f>IFERROR(__xludf.DUMMYFUNCTION("""COMPUTED_VALUE"""),44633.0)</f>
        <v>44633</v>
      </c>
      <c r="C7411" s="5"/>
      <c r="D7411" s="5"/>
      <c r="E7411" s="5"/>
      <c r="F7411" s="25">
        <f>IFERROR(__xludf.DUMMYFUNCTION("""COMPUTED_VALUE"""),500000.0)</f>
        <v>500000</v>
      </c>
      <c r="G7411" s="25">
        <f>IFERROR(__xludf.DUMMYFUNCTION("""COMPUTED_VALUE"""),0.0)</f>
        <v>0</v>
      </c>
      <c r="H7411" s="8">
        <f>IFERROR(__xludf.DUMMYFUNCTION("""COMPUTED_VALUE"""),500000.0)</f>
        <v>500000</v>
      </c>
      <c r="I7411" s="24">
        <f>IFERROR(__xludf.DUMMYFUNCTION("""COMPUTED_VALUE"""),0.0)</f>
        <v>0</v>
      </c>
    </row>
    <row r="7412">
      <c r="A7412" s="5" t="str">
        <f>IFERROR(__xludf.DUMMYFUNCTION("""COMPUTED_VALUE"""),"89833")</f>
        <v>89833</v>
      </c>
      <c r="B7412" s="64">
        <f>IFERROR(__xludf.DUMMYFUNCTION("""COMPUTED_VALUE"""),44634.0)</f>
        <v>44634</v>
      </c>
      <c r="C7412" s="5"/>
      <c r="D7412" s="5"/>
      <c r="E7412" s="5"/>
      <c r="F7412" s="25">
        <f>IFERROR(__xludf.DUMMYFUNCTION("""COMPUTED_VALUE"""),500000.0)</f>
        <v>500000</v>
      </c>
      <c r="G7412" s="25">
        <f>IFERROR(__xludf.DUMMYFUNCTION("""COMPUTED_VALUE"""),0.0)</f>
        <v>0</v>
      </c>
      <c r="H7412" s="8">
        <f>IFERROR(__xludf.DUMMYFUNCTION("""COMPUTED_VALUE"""),500000.0)</f>
        <v>500000</v>
      </c>
      <c r="I7412" s="24">
        <f>IFERROR(__xludf.DUMMYFUNCTION("""COMPUTED_VALUE"""),0.0)</f>
        <v>0</v>
      </c>
    </row>
    <row r="7413">
      <c r="A7413" s="5" t="str">
        <f>IFERROR(__xludf.DUMMYFUNCTION("""COMPUTED_VALUE"""),"89833")</f>
        <v>89833</v>
      </c>
      <c r="B7413" s="64">
        <f>IFERROR(__xludf.DUMMYFUNCTION("""COMPUTED_VALUE"""),44635.0)</f>
        <v>44635</v>
      </c>
      <c r="C7413" s="5"/>
      <c r="D7413" s="5"/>
      <c r="E7413" s="5"/>
      <c r="F7413" s="25">
        <f>IFERROR(__xludf.DUMMYFUNCTION("""COMPUTED_VALUE"""),500000.0)</f>
        <v>500000</v>
      </c>
      <c r="G7413" s="25">
        <f>IFERROR(__xludf.DUMMYFUNCTION("""COMPUTED_VALUE"""),0.0)</f>
        <v>0</v>
      </c>
      <c r="H7413" s="8">
        <f>IFERROR(__xludf.DUMMYFUNCTION("""COMPUTED_VALUE"""),500000.0)</f>
        <v>500000</v>
      </c>
      <c r="I7413" s="24">
        <f>IFERROR(__xludf.DUMMYFUNCTION("""COMPUTED_VALUE"""),0.0)</f>
        <v>0</v>
      </c>
    </row>
    <row r="7414">
      <c r="A7414" s="5" t="str">
        <f>IFERROR(__xludf.DUMMYFUNCTION("""COMPUTED_VALUE"""),"89833")</f>
        <v>89833</v>
      </c>
      <c r="B7414" s="64">
        <f>IFERROR(__xludf.DUMMYFUNCTION("""COMPUTED_VALUE"""),44636.0)</f>
        <v>44636</v>
      </c>
      <c r="C7414" s="5"/>
      <c r="D7414" s="5"/>
      <c r="E7414" s="5"/>
      <c r="F7414" s="25">
        <f>IFERROR(__xludf.DUMMYFUNCTION("""COMPUTED_VALUE"""),500000.0)</f>
        <v>500000</v>
      </c>
      <c r="G7414" s="25">
        <f>IFERROR(__xludf.DUMMYFUNCTION("""COMPUTED_VALUE"""),0.0)</f>
        <v>0</v>
      </c>
      <c r="H7414" s="8">
        <f>IFERROR(__xludf.DUMMYFUNCTION("""COMPUTED_VALUE"""),500000.0)</f>
        <v>500000</v>
      </c>
      <c r="I7414" s="24">
        <f>IFERROR(__xludf.DUMMYFUNCTION("""COMPUTED_VALUE"""),0.0)</f>
        <v>0</v>
      </c>
    </row>
    <row r="7415">
      <c r="A7415" s="5" t="str">
        <f>IFERROR(__xludf.DUMMYFUNCTION("""COMPUTED_VALUE"""),"89833")</f>
        <v>89833</v>
      </c>
      <c r="B7415" s="64">
        <f>IFERROR(__xludf.DUMMYFUNCTION("""COMPUTED_VALUE"""),44637.0)</f>
        <v>44637</v>
      </c>
      <c r="C7415" s="5"/>
      <c r="D7415" s="5"/>
      <c r="E7415" s="5"/>
      <c r="F7415" s="25">
        <f>IFERROR(__xludf.DUMMYFUNCTION("""COMPUTED_VALUE"""),500000.0)</f>
        <v>500000</v>
      </c>
      <c r="G7415" s="25">
        <f>IFERROR(__xludf.DUMMYFUNCTION("""COMPUTED_VALUE"""),0.0)</f>
        <v>0</v>
      </c>
      <c r="H7415" s="8">
        <f>IFERROR(__xludf.DUMMYFUNCTION("""COMPUTED_VALUE"""),500000.0)</f>
        <v>500000</v>
      </c>
      <c r="I7415" s="24">
        <f>IFERROR(__xludf.DUMMYFUNCTION("""COMPUTED_VALUE"""),0.0)</f>
        <v>0</v>
      </c>
    </row>
    <row r="7416">
      <c r="A7416" s="5" t="str">
        <f>IFERROR(__xludf.DUMMYFUNCTION("""COMPUTED_VALUE"""),"89833")</f>
        <v>89833</v>
      </c>
      <c r="B7416" s="64">
        <f>IFERROR(__xludf.DUMMYFUNCTION("""COMPUTED_VALUE"""),44638.0)</f>
        <v>44638</v>
      </c>
      <c r="C7416" s="5"/>
      <c r="D7416" s="5"/>
      <c r="E7416" s="5"/>
      <c r="F7416" s="25">
        <f>IFERROR(__xludf.DUMMYFUNCTION("""COMPUTED_VALUE"""),500000.0)</f>
        <v>500000</v>
      </c>
      <c r="G7416" s="25">
        <f>IFERROR(__xludf.DUMMYFUNCTION("""COMPUTED_VALUE"""),0.0)</f>
        <v>0</v>
      </c>
      <c r="H7416" s="8">
        <f>IFERROR(__xludf.DUMMYFUNCTION("""COMPUTED_VALUE"""),500000.0)</f>
        <v>500000</v>
      </c>
      <c r="I7416" s="24">
        <f>IFERROR(__xludf.DUMMYFUNCTION("""COMPUTED_VALUE"""),0.0)</f>
        <v>0</v>
      </c>
    </row>
    <row r="7417">
      <c r="A7417" s="5" t="str">
        <f>IFERROR(__xludf.DUMMYFUNCTION("""COMPUTED_VALUE"""),"89833")</f>
        <v>89833</v>
      </c>
      <c r="B7417" s="64">
        <f>IFERROR(__xludf.DUMMYFUNCTION("""COMPUTED_VALUE"""),44639.0)</f>
        <v>44639</v>
      </c>
      <c r="C7417" s="5"/>
      <c r="D7417" s="5"/>
      <c r="E7417" s="5"/>
      <c r="F7417" s="25">
        <f>IFERROR(__xludf.DUMMYFUNCTION("""COMPUTED_VALUE"""),500000.0)</f>
        <v>500000</v>
      </c>
      <c r="G7417" s="25">
        <f>IFERROR(__xludf.DUMMYFUNCTION("""COMPUTED_VALUE"""),0.0)</f>
        <v>0</v>
      </c>
      <c r="H7417" s="8">
        <f>IFERROR(__xludf.DUMMYFUNCTION("""COMPUTED_VALUE"""),500000.0)</f>
        <v>500000</v>
      </c>
      <c r="I7417" s="24">
        <f>IFERROR(__xludf.DUMMYFUNCTION("""COMPUTED_VALUE"""),0.0)</f>
        <v>0</v>
      </c>
    </row>
    <row r="7418">
      <c r="A7418" s="5" t="str">
        <f>IFERROR(__xludf.DUMMYFUNCTION("""COMPUTED_VALUE"""),"89833")</f>
        <v>89833</v>
      </c>
      <c r="B7418" s="64">
        <f>IFERROR(__xludf.DUMMYFUNCTION("""COMPUTED_VALUE"""),44640.0)</f>
        <v>44640</v>
      </c>
      <c r="C7418" s="5"/>
      <c r="D7418" s="5"/>
      <c r="E7418" s="5"/>
      <c r="F7418" s="25">
        <f>IFERROR(__xludf.DUMMYFUNCTION("""COMPUTED_VALUE"""),500000.0)</f>
        <v>500000</v>
      </c>
      <c r="G7418" s="25">
        <f>IFERROR(__xludf.DUMMYFUNCTION("""COMPUTED_VALUE"""),0.0)</f>
        <v>0</v>
      </c>
      <c r="H7418" s="8">
        <f>IFERROR(__xludf.DUMMYFUNCTION("""COMPUTED_VALUE"""),500000.0)</f>
        <v>500000</v>
      </c>
      <c r="I7418" s="24">
        <f>IFERROR(__xludf.DUMMYFUNCTION("""COMPUTED_VALUE"""),0.0)</f>
        <v>0</v>
      </c>
    </row>
    <row r="7419">
      <c r="A7419" s="5" t="str">
        <f>IFERROR(__xludf.DUMMYFUNCTION("""COMPUTED_VALUE"""),"89833")</f>
        <v>89833</v>
      </c>
      <c r="B7419" s="64">
        <f>IFERROR(__xludf.DUMMYFUNCTION("""COMPUTED_VALUE"""),44641.0)</f>
        <v>44641</v>
      </c>
      <c r="C7419" s="5"/>
      <c r="D7419" s="5"/>
      <c r="E7419" s="5"/>
      <c r="F7419" s="25">
        <f>IFERROR(__xludf.DUMMYFUNCTION("""COMPUTED_VALUE"""),500000.0)</f>
        <v>500000</v>
      </c>
      <c r="G7419" s="25">
        <f>IFERROR(__xludf.DUMMYFUNCTION("""COMPUTED_VALUE"""),0.0)</f>
        <v>0</v>
      </c>
      <c r="H7419" s="8">
        <f>IFERROR(__xludf.DUMMYFUNCTION("""COMPUTED_VALUE"""),500000.0)</f>
        <v>500000</v>
      </c>
      <c r="I7419" s="24">
        <f>IFERROR(__xludf.DUMMYFUNCTION("""COMPUTED_VALUE"""),0.0)</f>
        <v>0</v>
      </c>
    </row>
    <row r="7420">
      <c r="A7420" s="5" t="str">
        <f>IFERROR(__xludf.DUMMYFUNCTION("""COMPUTED_VALUE"""),"89833")</f>
        <v>89833</v>
      </c>
      <c r="B7420" s="64">
        <f>IFERROR(__xludf.DUMMYFUNCTION("""COMPUTED_VALUE"""),44642.0)</f>
        <v>44642</v>
      </c>
      <c r="C7420" s="5"/>
      <c r="D7420" s="5"/>
      <c r="E7420" s="5"/>
      <c r="F7420" s="25">
        <f>IFERROR(__xludf.DUMMYFUNCTION("""COMPUTED_VALUE"""),500000.0)</f>
        <v>500000</v>
      </c>
      <c r="G7420" s="25">
        <f>IFERROR(__xludf.DUMMYFUNCTION("""COMPUTED_VALUE"""),0.0)</f>
        <v>0</v>
      </c>
      <c r="H7420" s="8">
        <f>IFERROR(__xludf.DUMMYFUNCTION("""COMPUTED_VALUE"""),500000.0)</f>
        <v>500000</v>
      </c>
      <c r="I7420" s="24">
        <f>IFERROR(__xludf.DUMMYFUNCTION("""COMPUTED_VALUE"""),0.0)</f>
        <v>0</v>
      </c>
    </row>
    <row r="7421">
      <c r="A7421" s="5" t="str">
        <f>IFERROR(__xludf.DUMMYFUNCTION("""COMPUTED_VALUE"""),"89833")</f>
        <v>89833</v>
      </c>
      <c r="B7421" s="64">
        <f>IFERROR(__xludf.DUMMYFUNCTION("""COMPUTED_VALUE"""),44643.0)</f>
        <v>44643</v>
      </c>
      <c r="C7421" s="5"/>
      <c r="D7421" s="5"/>
      <c r="E7421" s="5"/>
      <c r="F7421" s="25">
        <f>IFERROR(__xludf.DUMMYFUNCTION("""COMPUTED_VALUE"""),500000.0)</f>
        <v>500000</v>
      </c>
      <c r="G7421" s="25">
        <f>IFERROR(__xludf.DUMMYFUNCTION("""COMPUTED_VALUE"""),0.0)</f>
        <v>0</v>
      </c>
      <c r="H7421" s="8">
        <f>IFERROR(__xludf.DUMMYFUNCTION("""COMPUTED_VALUE"""),500000.0)</f>
        <v>500000</v>
      </c>
      <c r="I7421" s="24">
        <f>IFERROR(__xludf.DUMMYFUNCTION("""COMPUTED_VALUE"""),0.0)</f>
        <v>0</v>
      </c>
    </row>
    <row r="7422">
      <c r="A7422" s="5" t="str">
        <f>IFERROR(__xludf.DUMMYFUNCTION("""COMPUTED_VALUE"""),"89833")</f>
        <v>89833</v>
      </c>
      <c r="B7422" s="64">
        <f>IFERROR(__xludf.DUMMYFUNCTION("""COMPUTED_VALUE"""),44644.0)</f>
        <v>44644</v>
      </c>
      <c r="C7422" s="5"/>
      <c r="D7422" s="5"/>
      <c r="E7422" s="5"/>
      <c r="F7422" s="25">
        <f>IFERROR(__xludf.DUMMYFUNCTION("""COMPUTED_VALUE"""),500000.0)</f>
        <v>500000</v>
      </c>
      <c r="G7422" s="25">
        <f>IFERROR(__xludf.DUMMYFUNCTION("""COMPUTED_VALUE"""),0.0)</f>
        <v>0</v>
      </c>
      <c r="H7422" s="8">
        <f>IFERROR(__xludf.DUMMYFUNCTION("""COMPUTED_VALUE"""),500000.0)</f>
        <v>500000</v>
      </c>
      <c r="I7422" s="24">
        <f>IFERROR(__xludf.DUMMYFUNCTION("""COMPUTED_VALUE"""),0.0)</f>
        <v>0</v>
      </c>
    </row>
    <row r="7423">
      <c r="A7423" s="5" t="str">
        <f>IFERROR(__xludf.DUMMYFUNCTION("""COMPUTED_VALUE"""),"89833")</f>
        <v>89833</v>
      </c>
      <c r="B7423" s="64">
        <f>IFERROR(__xludf.DUMMYFUNCTION("""COMPUTED_VALUE"""),44645.0)</f>
        <v>44645</v>
      </c>
      <c r="C7423" s="5"/>
      <c r="D7423" s="5"/>
      <c r="E7423" s="5"/>
      <c r="F7423" s="25">
        <f>IFERROR(__xludf.DUMMYFUNCTION("""COMPUTED_VALUE"""),500000.0)</f>
        <v>500000</v>
      </c>
      <c r="G7423" s="25">
        <f>IFERROR(__xludf.DUMMYFUNCTION("""COMPUTED_VALUE"""),0.0)</f>
        <v>0</v>
      </c>
      <c r="H7423" s="8">
        <f>IFERROR(__xludf.DUMMYFUNCTION("""COMPUTED_VALUE"""),500000.0)</f>
        <v>500000</v>
      </c>
      <c r="I7423" s="24">
        <f>IFERROR(__xludf.DUMMYFUNCTION("""COMPUTED_VALUE"""),0.0)</f>
        <v>0</v>
      </c>
    </row>
    <row r="7424">
      <c r="A7424" s="5" t="str">
        <f>IFERROR(__xludf.DUMMYFUNCTION("""COMPUTED_VALUE"""),"89833")</f>
        <v>89833</v>
      </c>
      <c r="B7424" s="64">
        <f>IFERROR(__xludf.DUMMYFUNCTION("""COMPUTED_VALUE"""),44646.0)</f>
        <v>44646</v>
      </c>
      <c r="C7424" s="5"/>
      <c r="D7424" s="5"/>
      <c r="E7424" s="5"/>
      <c r="F7424" s="25">
        <f>IFERROR(__xludf.DUMMYFUNCTION("""COMPUTED_VALUE"""),500000.0)</f>
        <v>500000</v>
      </c>
      <c r="G7424" s="25">
        <f>IFERROR(__xludf.DUMMYFUNCTION("""COMPUTED_VALUE"""),0.0)</f>
        <v>0</v>
      </c>
      <c r="H7424" s="8">
        <f>IFERROR(__xludf.DUMMYFUNCTION("""COMPUTED_VALUE"""),500000.0)</f>
        <v>500000</v>
      </c>
      <c r="I7424" s="24">
        <f>IFERROR(__xludf.DUMMYFUNCTION("""COMPUTED_VALUE"""),0.0)</f>
        <v>0</v>
      </c>
    </row>
    <row r="7425">
      <c r="A7425" s="5" t="str">
        <f>IFERROR(__xludf.DUMMYFUNCTION("""COMPUTED_VALUE"""),"89833")</f>
        <v>89833</v>
      </c>
      <c r="B7425" s="64">
        <f>IFERROR(__xludf.DUMMYFUNCTION("""COMPUTED_VALUE"""),44647.0)</f>
        <v>44647</v>
      </c>
      <c r="C7425" s="5"/>
      <c r="D7425" s="5"/>
      <c r="E7425" s="5"/>
      <c r="F7425" s="25">
        <f>IFERROR(__xludf.DUMMYFUNCTION("""COMPUTED_VALUE"""),500000.0)</f>
        <v>500000</v>
      </c>
      <c r="G7425" s="25">
        <f>IFERROR(__xludf.DUMMYFUNCTION("""COMPUTED_VALUE"""),0.0)</f>
        <v>0</v>
      </c>
      <c r="H7425" s="8">
        <f>IFERROR(__xludf.DUMMYFUNCTION("""COMPUTED_VALUE"""),500000.0)</f>
        <v>500000</v>
      </c>
      <c r="I7425" s="24">
        <f>IFERROR(__xludf.DUMMYFUNCTION("""COMPUTED_VALUE"""),0.0)</f>
        <v>0</v>
      </c>
    </row>
    <row r="7426">
      <c r="A7426" s="5" t="str">
        <f>IFERROR(__xludf.DUMMYFUNCTION("""COMPUTED_VALUE"""),"89833")</f>
        <v>89833</v>
      </c>
      <c r="B7426" s="64">
        <f>IFERROR(__xludf.DUMMYFUNCTION("""COMPUTED_VALUE"""),44648.0)</f>
        <v>44648</v>
      </c>
      <c r="C7426" s="5"/>
      <c r="D7426" s="5"/>
      <c r="E7426" s="5"/>
      <c r="F7426" s="25">
        <f>IFERROR(__xludf.DUMMYFUNCTION("""COMPUTED_VALUE"""),500000.0)</f>
        <v>500000</v>
      </c>
      <c r="G7426" s="25">
        <f>IFERROR(__xludf.DUMMYFUNCTION("""COMPUTED_VALUE"""),0.0)</f>
        <v>0</v>
      </c>
      <c r="H7426" s="8">
        <f>IFERROR(__xludf.DUMMYFUNCTION("""COMPUTED_VALUE"""),500000.0)</f>
        <v>500000</v>
      </c>
      <c r="I7426" s="24">
        <f>IFERROR(__xludf.DUMMYFUNCTION("""COMPUTED_VALUE"""),0.0)</f>
        <v>0</v>
      </c>
    </row>
    <row r="7427">
      <c r="A7427" s="5" t="str">
        <f>IFERROR(__xludf.DUMMYFUNCTION("""COMPUTED_VALUE"""),"89833")</f>
        <v>89833</v>
      </c>
      <c r="B7427" s="64">
        <f>IFERROR(__xludf.DUMMYFUNCTION("""COMPUTED_VALUE"""),44649.0)</f>
        <v>44649</v>
      </c>
      <c r="C7427" s="5"/>
      <c r="D7427" s="5"/>
      <c r="E7427" s="5"/>
      <c r="F7427" s="25">
        <f>IFERROR(__xludf.DUMMYFUNCTION("""COMPUTED_VALUE"""),500000.0)</f>
        <v>500000</v>
      </c>
      <c r="G7427" s="25">
        <f>IFERROR(__xludf.DUMMYFUNCTION("""COMPUTED_VALUE"""),0.0)</f>
        <v>0</v>
      </c>
      <c r="H7427" s="8">
        <f>IFERROR(__xludf.DUMMYFUNCTION("""COMPUTED_VALUE"""),504320.0)</f>
        <v>504320</v>
      </c>
      <c r="I7427" s="24">
        <f>IFERROR(__xludf.DUMMYFUNCTION("""COMPUTED_VALUE"""),0.008639999999999981)</f>
        <v>0.00864</v>
      </c>
    </row>
    <row r="7428">
      <c r="A7428" s="5" t="str">
        <f>IFERROR(__xludf.DUMMYFUNCTION("""COMPUTED_VALUE"""),"89833")</f>
        <v>89833</v>
      </c>
      <c r="B7428" s="64">
        <f>IFERROR(__xludf.DUMMYFUNCTION("""COMPUTED_VALUE"""),44650.0)</f>
        <v>44650</v>
      </c>
      <c r="C7428" s="5"/>
      <c r="D7428" s="5"/>
      <c r="E7428" s="5"/>
      <c r="F7428" s="25">
        <f>IFERROR(__xludf.DUMMYFUNCTION("""COMPUTED_VALUE"""),500000.0)</f>
        <v>500000</v>
      </c>
      <c r="G7428" s="25">
        <f>IFERROR(__xludf.DUMMYFUNCTION("""COMPUTED_VALUE"""),0.0)</f>
        <v>0</v>
      </c>
      <c r="H7428" s="8">
        <f>IFERROR(__xludf.DUMMYFUNCTION("""COMPUTED_VALUE"""),505680.0)</f>
        <v>505680</v>
      </c>
      <c r="I7428" s="24">
        <f>IFERROR(__xludf.DUMMYFUNCTION("""COMPUTED_VALUE"""),0.011360000000000037)</f>
        <v>0.01136</v>
      </c>
    </row>
    <row r="7429">
      <c r="A7429" s="5" t="str">
        <f>IFERROR(__xludf.DUMMYFUNCTION("""COMPUTED_VALUE"""),"89833")</f>
        <v>89833</v>
      </c>
      <c r="B7429" s="64">
        <f>IFERROR(__xludf.DUMMYFUNCTION("""COMPUTED_VALUE"""),44651.0)</f>
        <v>44651</v>
      </c>
      <c r="C7429" s="5"/>
      <c r="D7429" s="5"/>
      <c r="E7429" s="5"/>
      <c r="F7429" s="25">
        <f>IFERROR(__xludf.DUMMYFUNCTION("""COMPUTED_VALUE"""),500000.0)</f>
        <v>500000</v>
      </c>
      <c r="G7429" s="25">
        <f>IFERROR(__xludf.DUMMYFUNCTION("""COMPUTED_VALUE"""),0.0)</f>
        <v>0</v>
      </c>
      <c r="H7429" s="8">
        <f>IFERROR(__xludf.DUMMYFUNCTION("""COMPUTED_VALUE"""),503120.0)</f>
        <v>503120</v>
      </c>
      <c r="I7429" s="24">
        <f>IFERROR(__xludf.DUMMYFUNCTION("""COMPUTED_VALUE"""),0.006240000000000023)</f>
        <v>0.00624</v>
      </c>
    </row>
    <row r="7430">
      <c r="A7430" s="5" t="str">
        <f>IFERROR(__xludf.DUMMYFUNCTION("""COMPUTED_VALUE"""),"89833")</f>
        <v>89833</v>
      </c>
      <c r="B7430" s="64">
        <f>IFERROR(__xludf.DUMMYFUNCTION("""COMPUTED_VALUE"""),44652.0)</f>
        <v>44652</v>
      </c>
      <c r="C7430" s="5"/>
      <c r="D7430" s="5"/>
      <c r="E7430" s="5"/>
      <c r="F7430" s="25">
        <f>IFERROR(__xludf.DUMMYFUNCTION("""COMPUTED_VALUE"""),500000.0)</f>
        <v>500000</v>
      </c>
      <c r="G7430" s="25">
        <f>IFERROR(__xludf.DUMMYFUNCTION("""COMPUTED_VALUE"""),0.0)</f>
        <v>0</v>
      </c>
      <c r="H7430" s="8">
        <f>IFERROR(__xludf.DUMMYFUNCTION("""COMPUTED_VALUE"""),503120.0)</f>
        <v>503120</v>
      </c>
      <c r="I7430" s="24">
        <f>IFERROR(__xludf.DUMMYFUNCTION("""COMPUTED_VALUE"""),0.006240000000000023)</f>
        <v>0.00624</v>
      </c>
    </row>
    <row r="7431">
      <c r="A7431" s="5" t="str">
        <f>IFERROR(__xludf.DUMMYFUNCTION("""COMPUTED_VALUE"""),"89833")</f>
        <v>89833</v>
      </c>
      <c r="B7431" s="64">
        <f>IFERROR(__xludf.DUMMYFUNCTION("""COMPUTED_VALUE"""),44653.0)</f>
        <v>44653</v>
      </c>
      <c r="C7431" s="5"/>
      <c r="D7431" s="5"/>
      <c r="E7431" s="5"/>
      <c r="F7431" s="25">
        <f>IFERROR(__xludf.DUMMYFUNCTION("""COMPUTED_VALUE"""),500000.0)</f>
        <v>500000</v>
      </c>
      <c r="G7431" s="25">
        <f>IFERROR(__xludf.DUMMYFUNCTION("""COMPUTED_VALUE"""),0.0)</f>
        <v>0</v>
      </c>
      <c r="H7431" s="8">
        <f>IFERROR(__xludf.DUMMYFUNCTION("""COMPUTED_VALUE"""),503120.0)</f>
        <v>503120</v>
      </c>
      <c r="I7431" s="24">
        <f>IFERROR(__xludf.DUMMYFUNCTION("""COMPUTED_VALUE"""),0.006240000000000023)</f>
        <v>0.00624</v>
      </c>
    </row>
    <row r="7432">
      <c r="A7432" s="5" t="str">
        <f>IFERROR(__xludf.DUMMYFUNCTION("""COMPUTED_VALUE"""),"89833")</f>
        <v>89833</v>
      </c>
      <c r="B7432" s="64">
        <f>IFERROR(__xludf.DUMMYFUNCTION("""COMPUTED_VALUE"""),44654.0)</f>
        <v>44654</v>
      </c>
      <c r="C7432" s="5"/>
      <c r="D7432" s="5"/>
      <c r="E7432" s="5"/>
      <c r="F7432" s="25">
        <f>IFERROR(__xludf.DUMMYFUNCTION("""COMPUTED_VALUE"""),500000.0)</f>
        <v>500000</v>
      </c>
      <c r="G7432" s="25">
        <f>IFERROR(__xludf.DUMMYFUNCTION("""COMPUTED_VALUE"""),0.0)</f>
        <v>0</v>
      </c>
      <c r="H7432" s="8">
        <f>IFERROR(__xludf.DUMMYFUNCTION("""COMPUTED_VALUE"""),503120.0)</f>
        <v>503120</v>
      </c>
      <c r="I7432" s="24">
        <f>IFERROR(__xludf.DUMMYFUNCTION("""COMPUTED_VALUE"""),0.006240000000000023)</f>
        <v>0.00624</v>
      </c>
    </row>
    <row r="7433">
      <c r="A7433" s="5" t="str">
        <f>IFERROR(__xludf.DUMMYFUNCTION("""COMPUTED_VALUE"""),"89833")</f>
        <v>89833</v>
      </c>
      <c r="B7433" s="64">
        <f>IFERROR(__xludf.DUMMYFUNCTION("""COMPUTED_VALUE"""),44655.0)</f>
        <v>44655</v>
      </c>
      <c r="C7433" s="5"/>
      <c r="D7433" s="5"/>
      <c r="E7433" s="5"/>
      <c r="F7433" s="25">
        <f>IFERROR(__xludf.DUMMYFUNCTION("""COMPUTED_VALUE"""),500000.0)</f>
        <v>500000</v>
      </c>
      <c r="G7433" s="25">
        <f>IFERROR(__xludf.DUMMYFUNCTION("""COMPUTED_VALUE"""),0.0)</f>
        <v>0</v>
      </c>
      <c r="H7433" s="8">
        <f>IFERROR(__xludf.DUMMYFUNCTION("""COMPUTED_VALUE"""),503120.0)</f>
        <v>503120</v>
      </c>
      <c r="I7433" s="24">
        <f>IFERROR(__xludf.DUMMYFUNCTION("""COMPUTED_VALUE"""),0.006240000000000023)</f>
        <v>0.00624</v>
      </c>
    </row>
    <row r="7434">
      <c r="A7434" s="5" t="str">
        <f>IFERROR(__xludf.DUMMYFUNCTION("""COMPUTED_VALUE"""),"89833")</f>
        <v>89833</v>
      </c>
      <c r="B7434" s="64">
        <f>IFERROR(__xludf.DUMMYFUNCTION("""COMPUTED_VALUE"""),44656.0)</f>
        <v>44656</v>
      </c>
      <c r="C7434" s="5"/>
      <c r="D7434" s="5"/>
      <c r="E7434" s="5"/>
      <c r="F7434" s="25">
        <f>IFERROR(__xludf.DUMMYFUNCTION("""COMPUTED_VALUE"""),500000.0)</f>
        <v>500000</v>
      </c>
      <c r="G7434" s="25">
        <f>IFERROR(__xludf.DUMMYFUNCTION("""COMPUTED_VALUE"""),0.0)</f>
        <v>0</v>
      </c>
      <c r="H7434" s="8">
        <f>IFERROR(__xludf.DUMMYFUNCTION("""COMPUTED_VALUE"""),503120.0)</f>
        <v>503120</v>
      </c>
      <c r="I7434" s="24">
        <f>IFERROR(__xludf.DUMMYFUNCTION("""COMPUTED_VALUE"""),0.006240000000000023)</f>
        <v>0.00624</v>
      </c>
    </row>
    <row r="7435">
      <c r="A7435" s="5" t="str">
        <f>IFERROR(__xludf.DUMMYFUNCTION("""COMPUTED_VALUE"""),"89833")</f>
        <v>89833</v>
      </c>
      <c r="B7435" s="64">
        <f>IFERROR(__xludf.DUMMYFUNCTION("""COMPUTED_VALUE"""),44657.0)</f>
        <v>44657</v>
      </c>
      <c r="C7435" s="5"/>
      <c r="D7435" s="5"/>
      <c r="E7435" s="5"/>
      <c r="F7435" s="25">
        <f>IFERROR(__xludf.DUMMYFUNCTION("""COMPUTED_VALUE"""),500000.0)</f>
        <v>500000</v>
      </c>
      <c r="G7435" s="25">
        <f>IFERROR(__xludf.DUMMYFUNCTION("""COMPUTED_VALUE"""),0.0)</f>
        <v>0</v>
      </c>
      <c r="H7435" s="8">
        <f>IFERROR(__xludf.DUMMYFUNCTION("""COMPUTED_VALUE"""),503120.0)</f>
        <v>503120</v>
      </c>
      <c r="I7435" s="24">
        <f>IFERROR(__xludf.DUMMYFUNCTION("""COMPUTED_VALUE"""),0.006240000000000023)</f>
        <v>0.00624</v>
      </c>
    </row>
    <row r="7436">
      <c r="A7436" s="5" t="str">
        <f>IFERROR(__xludf.DUMMYFUNCTION("""COMPUTED_VALUE"""),"89833")</f>
        <v>89833</v>
      </c>
      <c r="B7436" s="64">
        <f>IFERROR(__xludf.DUMMYFUNCTION("""COMPUTED_VALUE"""),44658.0)</f>
        <v>44658</v>
      </c>
      <c r="C7436" s="5"/>
      <c r="D7436" s="5"/>
      <c r="E7436" s="5"/>
      <c r="F7436" s="25">
        <f>IFERROR(__xludf.DUMMYFUNCTION("""COMPUTED_VALUE"""),106789.52465)</f>
        <v>106789.5247</v>
      </c>
      <c r="G7436" s="25">
        <f>IFERROR(__xludf.DUMMYFUNCTION("""COMPUTED_VALUE"""),0.0)</f>
        <v>0</v>
      </c>
      <c r="H7436" s="8">
        <f>IFERROR(__xludf.DUMMYFUNCTION("""COMPUTED_VALUE"""),503120.0)</f>
        <v>503120</v>
      </c>
      <c r="I7436" s="24">
        <f>IFERROR(__xludf.DUMMYFUNCTION("""COMPUTED_VALUE"""),0.006240000000000023)</f>
        <v>0.00624</v>
      </c>
    </row>
    <row r="7437">
      <c r="A7437" s="5" t="str">
        <f>IFERROR(__xludf.DUMMYFUNCTION("""COMPUTED_VALUE"""),"89833")</f>
        <v>89833</v>
      </c>
      <c r="B7437" s="64">
        <f>IFERROR(__xludf.DUMMYFUNCTION("""COMPUTED_VALUE"""),44659.0)</f>
        <v>44659</v>
      </c>
      <c r="C7437" s="5"/>
      <c r="D7437" s="5"/>
      <c r="E7437" s="5"/>
      <c r="F7437" s="25">
        <f>IFERROR(__xludf.DUMMYFUNCTION("""COMPUTED_VALUE"""),106789.52465)</f>
        <v>106789.5247</v>
      </c>
      <c r="G7437" s="25">
        <f>IFERROR(__xludf.DUMMYFUNCTION("""COMPUTED_VALUE"""),0.0)</f>
        <v>0</v>
      </c>
      <c r="H7437" s="8">
        <f>IFERROR(__xludf.DUMMYFUNCTION("""COMPUTED_VALUE"""),522352.8926)</f>
        <v>522352.8926</v>
      </c>
      <c r="I7437" s="24">
        <f>IFERROR(__xludf.DUMMYFUNCTION("""COMPUTED_VALUE"""),0.044705785200000125)</f>
        <v>0.0447057852</v>
      </c>
    </row>
    <row r="7438">
      <c r="A7438" s="5" t="str">
        <f>IFERROR(__xludf.DUMMYFUNCTION("""COMPUTED_VALUE"""),"89833")</f>
        <v>89833</v>
      </c>
      <c r="B7438" s="64">
        <f>IFERROR(__xludf.DUMMYFUNCTION("""COMPUTED_VALUE"""),44660.0)</f>
        <v>44660</v>
      </c>
      <c r="C7438" s="5"/>
      <c r="D7438" s="5"/>
      <c r="E7438" s="5"/>
      <c r="F7438" s="25">
        <f>IFERROR(__xludf.DUMMYFUNCTION("""COMPUTED_VALUE"""),106789.52465)</f>
        <v>106789.5247</v>
      </c>
      <c r="G7438" s="25">
        <f>IFERROR(__xludf.DUMMYFUNCTION("""COMPUTED_VALUE"""),0.0)</f>
        <v>0</v>
      </c>
      <c r="H7438" s="8">
        <f>IFERROR(__xludf.DUMMYFUNCTION("""COMPUTED_VALUE"""),514852.8926)</f>
        <v>514852.8926</v>
      </c>
      <c r="I7438" s="24">
        <f>IFERROR(__xludf.DUMMYFUNCTION("""COMPUTED_VALUE"""),0.0297057852)</f>
        <v>0.0297057852</v>
      </c>
    </row>
    <row r="7439">
      <c r="A7439" s="5" t="str">
        <f>IFERROR(__xludf.DUMMYFUNCTION("""COMPUTED_VALUE"""),"89833")</f>
        <v>89833</v>
      </c>
      <c r="B7439" s="64">
        <f>IFERROR(__xludf.DUMMYFUNCTION("""COMPUTED_VALUE"""),44661.0)</f>
        <v>44661</v>
      </c>
      <c r="C7439" s="5"/>
      <c r="D7439" s="5"/>
      <c r="E7439" s="5"/>
      <c r="F7439" s="25">
        <f>IFERROR(__xludf.DUMMYFUNCTION("""COMPUTED_VALUE"""),106789.52465)</f>
        <v>106789.5247</v>
      </c>
      <c r="G7439" s="25">
        <f>IFERROR(__xludf.DUMMYFUNCTION("""COMPUTED_VALUE"""),0.0)</f>
        <v>0</v>
      </c>
      <c r="H7439" s="8">
        <f>IFERROR(__xludf.DUMMYFUNCTION("""COMPUTED_VALUE"""),514852.8926)</f>
        <v>514852.8926</v>
      </c>
      <c r="I7439" s="24">
        <f>IFERROR(__xludf.DUMMYFUNCTION("""COMPUTED_VALUE"""),0.0297057852)</f>
        <v>0.0297057852</v>
      </c>
    </row>
    <row r="7440">
      <c r="A7440" s="5" t="str">
        <f>IFERROR(__xludf.DUMMYFUNCTION("""COMPUTED_VALUE"""),"89833")</f>
        <v>89833</v>
      </c>
      <c r="B7440" s="64">
        <f>IFERROR(__xludf.DUMMYFUNCTION("""COMPUTED_VALUE"""),44662.0)</f>
        <v>44662</v>
      </c>
      <c r="C7440" s="5"/>
      <c r="D7440" s="5"/>
      <c r="E7440" s="5"/>
      <c r="F7440" s="25">
        <f>IFERROR(__xludf.DUMMYFUNCTION("""COMPUTED_VALUE"""),479539.579805)</f>
        <v>479539.5798</v>
      </c>
      <c r="G7440" s="25">
        <f>IFERROR(__xludf.DUMMYFUNCTION("""COMPUTED_VALUE"""),0.0)</f>
        <v>0</v>
      </c>
      <c r="H7440" s="8">
        <f>IFERROR(__xludf.DUMMYFUNCTION("""COMPUTED_VALUE"""),501107.41727)</f>
        <v>501107.4173</v>
      </c>
      <c r="I7440" s="24">
        <f>IFERROR(__xludf.DUMMYFUNCTION("""COMPUTED_VALUE"""),0.0022148345399999325)</f>
        <v>0.00221483454</v>
      </c>
    </row>
    <row r="7441">
      <c r="A7441" s="5" t="str">
        <f>IFERROR(__xludf.DUMMYFUNCTION("""COMPUTED_VALUE"""),"89833")</f>
        <v>89833</v>
      </c>
      <c r="B7441" s="64">
        <f>IFERROR(__xludf.DUMMYFUNCTION("""COMPUTED_VALUE"""),44663.0)</f>
        <v>44663</v>
      </c>
      <c r="C7441" s="5"/>
      <c r="D7441" s="5"/>
      <c r="E7441" s="5"/>
      <c r="F7441" s="25">
        <f>IFERROR(__xludf.DUMMYFUNCTION("""COMPUTED_VALUE"""),247795.05430499997)</f>
        <v>247795.0543</v>
      </c>
      <c r="G7441" s="25">
        <f>IFERROR(__xludf.DUMMYFUNCTION("""COMPUTED_VALUE"""),0.0)</f>
        <v>0</v>
      </c>
      <c r="H7441" s="8">
        <f>IFERROR(__xludf.DUMMYFUNCTION("""COMPUTED_VALUE"""),499045.583585)</f>
        <v>499045.5836</v>
      </c>
      <c r="I7441" s="24">
        <f>IFERROR(__xludf.DUMMYFUNCTION("""COMPUTED_VALUE"""),-0.0019088328299999846)</f>
        <v>-0.00190883283</v>
      </c>
    </row>
    <row r="7442">
      <c r="A7442" s="5" t="str">
        <f>IFERROR(__xludf.DUMMYFUNCTION("""COMPUTED_VALUE"""),"89845")</f>
        <v>89845</v>
      </c>
      <c r="B7442" s="64">
        <f>IFERROR(__xludf.DUMMYFUNCTION("""COMPUTED_VALUE"""),44597.0)</f>
        <v>44597</v>
      </c>
      <c r="C7442" s="5"/>
      <c r="D7442" s="5"/>
      <c r="E7442" s="5"/>
      <c r="F7442" s="25">
        <f>IFERROR(__xludf.DUMMYFUNCTION("""COMPUTED_VALUE"""),500000.0)</f>
        <v>500000</v>
      </c>
      <c r="G7442" s="25">
        <f>IFERROR(__xludf.DUMMYFUNCTION("""COMPUTED_VALUE"""),0.0)</f>
        <v>0</v>
      </c>
      <c r="H7442" s="8">
        <f>IFERROR(__xludf.DUMMYFUNCTION("""COMPUTED_VALUE"""),500000.0)</f>
        <v>500000</v>
      </c>
      <c r="I7442" s="24">
        <f>IFERROR(__xludf.DUMMYFUNCTION("""COMPUTED_VALUE"""),0.0)</f>
        <v>0</v>
      </c>
    </row>
    <row r="7443">
      <c r="A7443" s="5" t="str">
        <f>IFERROR(__xludf.DUMMYFUNCTION("""COMPUTED_VALUE"""),"89845")</f>
        <v>89845</v>
      </c>
      <c r="B7443" s="64">
        <f>IFERROR(__xludf.DUMMYFUNCTION("""COMPUTED_VALUE"""),44598.0)</f>
        <v>44598</v>
      </c>
      <c r="C7443" s="5"/>
      <c r="D7443" s="5"/>
      <c r="E7443" s="5"/>
      <c r="F7443" s="25">
        <f>IFERROR(__xludf.DUMMYFUNCTION("""COMPUTED_VALUE"""),500000.0)</f>
        <v>500000</v>
      </c>
      <c r="G7443" s="25">
        <f>IFERROR(__xludf.DUMMYFUNCTION("""COMPUTED_VALUE"""),0.0)</f>
        <v>0</v>
      </c>
      <c r="H7443" s="8">
        <f>IFERROR(__xludf.DUMMYFUNCTION("""COMPUTED_VALUE"""),500000.0)</f>
        <v>500000</v>
      </c>
      <c r="I7443" s="24">
        <f>IFERROR(__xludf.DUMMYFUNCTION("""COMPUTED_VALUE"""),0.0)</f>
        <v>0</v>
      </c>
    </row>
    <row r="7444">
      <c r="A7444" s="5" t="str">
        <f>IFERROR(__xludf.DUMMYFUNCTION("""COMPUTED_VALUE"""),"89845")</f>
        <v>89845</v>
      </c>
      <c r="B7444" s="64">
        <f>IFERROR(__xludf.DUMMYFUNCTION("""COMPUTED_VALUE"""),44599.0)</f>
        <v>44599</v>
      </c>
      <c r="C7444" s="5"/>
      <c r="D7444" s="5"/>
      <c r="E7444" s="5"/>
      <c r="F7444" s="25">
        <f>IFERROR(__xludf.DUMMYFUNCTION("""COMPUTED_VALUE"""),500000.0)</f>
        <v>500000</v>
      </c>
      <c r="G7444" s="25">
        <f>IFERROR(__xludf.DUMMYFUNCTION("""COMPUTED_VALUE"""),0.0)</f>
        <v>0</v>
      </c>
      <c r="H7444" s="8">
        <f>IFERROR(__xludf.DUMMYFUNCTION("""COMPUTED_VALUE"""),500000.0)</f>
        <v>500000</v>
      </c>
      <c r="I7444" s="24">
        <f>IFERROR(__xludf.DUMMYFUNCTION("""COMPUTED_VALUE"""),0.0)</f>
        <v>0</v>
      </c>
    </row>
    <row r="7445">
      <c r="A7445" s="5" t="str">
        <f>IFERROR(__xludf.DUMMYFUNCTION("""COMPUTED_VALUE"""),"89845")</f>
        <v>89845</v>
      </c>
      <c r="B7445" s="64">
        <f>IFERROR(__xludf.DUMMYFUNCTION("""COMPUTED_VALUE"""),44600.0)</f>
        <v>44600</v>
      </c>
      <c r="C7445" s="5"/>
      <c r="D7445" s="5"/>
      <c r="E7445" s="5"/>
      <c r="F7445" s="25">
        <f>IFERROR(__xludf.DUMMYFUNCTION("""COMPUTED_VALUE"""),500000.0)</f>
        <v>500000</v>
      </c>
      <c r="G7445" s="25">
        <f>IFERROR(__xludf.DUMMYFUNCTION("""COMPUTED_VALUE"""),0.0)</f>
        <v>0</v>
      </c>
      <c r="H7445" s="8">
        <f>IFERROR(__xludf.DUMMYFUNCTION("""COMPUTED_VALUE"""),500000.0)</f>
        <v>500000</v>
      </c>
      <c r="I7445" s="24">
        <f>IFERROR(__xludf.DUMMYFUNCTION("""COMPUTED_VALUE"""),0.0)</f>
        <v>0</v>
      </c>
    </row>
    <row r="7446">
      <c r="A7446" s="5" t="str">
        <f>IFERROR(__xludf.DUMMYFUNCTION("""COMPUTED_VALUE"""),"89845")</f>
        <v>89845</v>
      </c>
      <c r="B7446" s="64">
        <f>IFERROR(__xludf.DUMMYFUNCTION("""COMPUTED_VALUE"""),44601.0)</f>
        <v>44601</v>
      </c>
      <c r="C7446" s="5"/>
      <c r="D7446" s="5"/>
      <c r="E7446" s="5"/>
      <c r="F7446" s="25">
        <f>IFERROR(__xludf.DUMMYFUNCTION("""COMPUTED_VALUE"""),500000.0)</f>
        <v>500000</v>
      </c>
      <c r="G7446" s="25">
        <f>IFERROR(__xludf.DUMMYFUNCTION("""COMPUTED_VALUE"""),0.0)</f>
        <v>0</v>
      </c>
      <c r="H7446" s="8">
        <f>IFERROR(__xludf.DUMMYFUNCTION("""COMPUTED_VALUE"""),500000.0)</f>
        <v>500000</v>
      </c>
      <c r="I7446" s="24">
        <f>IFERROR(__xludf.DUMMYFUNCTION("""COMPUTED_VALUE"""),0.0)</f>
        <v>0</v>
      </c>
    </row>
    <row r="7447">
      <c r="A7447" s="5" t="str">
        <f>IFERROR(__xludf.DUMMYFUNCTION("""COMPUTED_VALUE"""),"89845")</f>
        <v>89845</v>
      </c>
      <c r="B7447" s="64">
        <f>IFERROR(__xludf.DUMMYFUNCTION("""COMPUTED_VALUE"""),44602.0)</f>
        <v>44602</v>
      </c>
      <c r="C7447" s="5"/>
      <c r="D7447" s="5"/>
      <c r="E7447" s="5"/>
      <c r="F7447" s="25">
        <f>IFERROR(__xludf.DUMMYFUNCTION("""COMPUTED_VALUE"""),500000.0)</f>
        <v>500000</v>
      </c>
      <c r="G7447" s="25">
        <f>IFERROR(__xludf.DUMMYFUNCTION("""COMPUTED_VALUE"""),0.0)</f>
        <v>0</v>
      </c>
      <c r="H7447" s="8">
        <f>IFERROR(__xludf.DUMMYFUNCTION("""COMPUTED_VALUE"""),500000.0)</f>
        <v>500000</v>
      </c>
      <c r="I7447" s="24">
        <f>IFERROR(__xludf.DUMMYFUNCTION("""COMPUTED_VALUE"""),0.0)</f>
        <v>0</v>
      </c>
    </row>
    <row r="7448">
      <c r="A7448" s="5" t="str">
        <f>IFERROR(__xludf.DUMMYFUNCTION("""COMPUTED_VALUE"""),"89845")</f>
        <v>89845</v>
      </c>
      <c r="B7448" s="64">
        <f>IFERROR(__xludf.DUMMYFUNCTION("""COMPUTED_VALUE"""),44603.0)</f>
        <v>44603</v>
      </c>
      <c r="C7448" s="5"/>
      <c r="D7448" s="5"/>
      <c r="E7448" s="5"/>
      <c r="F7448" s="25">
        <f>IFERROR(__xludf.DUMMYFUNCTION("""COMPUTED_VALUE"""),500000.0)</f>
        <v>500000</v>
      </c>
      <c r="G7448" s="25">
        <f>IFERROR(__xludf.DUMMYFUNCTION("""COMPUTED_VALUE"""),0.0)</f>
        <v>0</v>
      </c>
      <c r="H7448" s="8">
        <f>IFERROR(__xludf.DUMMYFUNCTION("""COMPUTED_VALUE"""),500000.0)</f>
        <v>500000</v>
      </c>
      <c r="I7448" s="24">
        <f>IFERROR(__xludf.DUMMYFUNCTION("""COMPUTED_VALUE"""),0.0)</f>
        <v>0</v>
      </c>
    </row>
    <row r="7449">
      <c r="A7449" s="5" t="str">
        <f>IFERROR(__xludf.DUMMYFUNCTION("""COMPUTED_VALUE"""),"89845")</f>
        <v>89845</v>
      </c>
      <c r="B7449" s="64">
        <f>IFERROR(__xludf.DUMMYFUNCTION("""COMPUTED_VALUE"""),44604.0)</f>
        <v>44604</v>
      </c>
      <c r="C7449" s="5"/>
      <c r="D7449" s="5"/>
      <c r="E7449" s="5"/>
      <c r="F7449" s="25">
        <f>IFERROR(__xludf.DUMMYFUNCTION("""COMPUTED_VALUE"""),500000.0)</f>
        <v>500000</v>
      </c>
      <c r="G7449" s="25">
        <f>IFERROR(__xludf.DUMMYFUNCTION("""COMPUTED_VALUE"""),0.0)</f>
        <v>0</v>
      </c>
      <c r="H7449" s="8">
        <f>IFERROR(__xludf.DUMMYFUNCTION("""COMPUTED_VALUE"""),500000.0)</f>
        <v>500000</v>
      </c>
      <c r="I7449" s="24">
        <f>IFERROR(__xludf.DUMMYFUNCTION("""COMPUTED_VALUE"""),0.0)</f>
        <v>0</v>
      </c>
    </row>
    <row r="7450">
      <c r="A7450" s="5" t="str">
        <f>IFERROR(__xludf.DUMMYFUNCTION("""COMPUTED_VALUE"""),"89845")</f>
        <v>89845</v>
      </c>
      <c r="B7450" s="64">
        <f>IFERROR(__xludf.DUMMYFUNCTION("""COMPUTED_VALUE"""),44605.0)</f>
        <v>44605</v>
      </c>
      <c r="C7450" s="5"/>
      <c r="D7450" s="5"/>
      <c r="E7450" s="5"/>
      <c r="F7450" s="25">
        <f>IFERROR(__xludf.DUMMYFUNCTION("""COMPUTED_VALUE"""),500000.0)</f>
        <v>500000</v>
      </c>
      <c r="G7450" s="25">
        <f>IFERROR(__xludf.DUMMYFUNCTION("""COMPUTED_VALUE"""),0.0)</f>
        <v>0</v>
      </c>
      <c r="H7450" s="8">
        <f>IFERROR(__xludf.DUMMYFUNCTION("""COMPUTED_VALUE"""),500000.0)</f>
        <v>500000</v>
      </c>
      <c r="I7450" s="24">
        <f>IFERROR(__xludf.DUMMYFUNCTION("""COMPUTED_VALUE"""),0.0)</f>
        <v>0</v>
      </c>
    </row>
    <row r="7451">
      <c r="A7451" s="5" t="str">
        <f>IFERROR(__xludf.DUMMYFUNCTION("""COMPUTED_VALUE"""),"89845")</f>
        <v>89845</v>
      </c>
      <c r="B7451" s="64">
        <f>IFERROR(__xludf.DUMMYFUNCTION("""COMPUTED_VALUE"""),44606.0)</f>
        <v>44606</v>
      </c>
      <c r="C7451" s="5"/>
      <c r="D7451" s="5"/>
      <c r="E7451" s="5"/>
      <c r="F7451" s="25">
        <f>IFERROR(__xludf.DUMMYFUNCTION("""COMPUTED_VALUE"""),500000.0)</f>
        <v>500000</v>
      </c>
      <c r="G7451" s="25">
        <f>IFERROR(__xludf.DUMMYFUNCTION("""COMPUTED_VALUE"""),0.0)</f>
        <v>0</v>
      </c>
      <c r="H7451" s="8">
        <f>IFERROR(__xludf.DUMMYFUNCTION("""COMPUTED_VALUE"""),500000.0)</f>
        <v>500000</v>
      </c>
      <c r="I7451" s="24">
        <f>IFERROR(__xludf.DUMMYFUNCTION("""COMPUTED_VALUE"""),0.0)</f>
        <v>0</v>
      </c>
    </row>
    <row r="7452">
      <c r="A7452" s="5" t="str">
        <f>IFERROR(__xludf.DUMMYFUNCTION("""COMPUTED_VALUE"""),"89845")</f>
        <v>89845</v>
      </c>
      <c r="B7452" s="64">
        <f>IFERROR(__xludf.DUMMYFUNCTION("""COMPUTED_VALUE"""),44607.0)</f>
        <v>44607</v>
      </c>
      <c r="C7452" s="5"/>
      <c r="D7452" s="5"/>
      <c r="E7452" s="5"/>
      <c r="F7452" s="25">
        <f>IFERROR(__xludf.DUMMYFUNCTION("""COMPUTED_VALUE"""),500000.0)</f>
        <v>500000</v>
      </c>
      <c r="G7452" s="25">
        <f>IFERROR(__xludf.DUMMYFUNCTION("""COMPUTED_VALUE"""),0.0)</f>
        <v>0</v>
      </c>
      <c r="H7452" s="8">
        <f>IFERROR(__xludf.DUMMYFUNCTION("""COMPUTED_VALUE"""),500000.0)</f>
        <v>500000</v>
      </c>
      <c r="I7452" s="24">
        <f>IFERROR(__xludf.DUMMYFUNCTION("""COMPUTED_VALUE"""),0.0)</f>
        <v>0</v>
      </c>
    </row>
    <row r="7453">
      <c r="A7453" s="5" t="str">
        <f>IFERROR(__xludf.DUMMYFUNCTION("""COMPUTED_VALUE"""),"89845")</f>
        <v>89845</v>
      </c>
      <c r="B7453" s="64">
        <f>IFERROR(__xludf.DUMMYFUNCTION("""COMPUTED_VALUE"""),44608.0)</f>
        <v>44608</v>
      </c>
      <c r="C7453" s="5"/>
      <c r="D7453" s="5"/>
      <c r="E7453" s="5"/>
      <c r="F7453" s="25">
        <f>IFERROR(__xludf.DUMMYFUNCTION("""COMPUTED_VALUE"""),500000.0)</f>
        <v>500000</v>
      </c>
      <c r="G7453" s="25">
        <f>IFERROR(__xludf.DUMMYFUNCTION("""COMPUTED_VALUE"""),0.0)</f>
        <v>0</v>
      </c>
      <c r="H7453" s="8">
        <f>IFERROR(__xludf.DUMMYFUNCTION("""COMPUTED_VALUE"""),500000.0)</f>
        <v>500000</v>
      </c>
      <c r="I7453" s="24">
        <f>IFERROR(__xludf.DUMMYFUNCTION("""COMPUTED_VALUE"""),0.0)</f>
        <v>0</v>
      </c>
    </row>
    <row r="7454">
      <c r="A7454" s="5" t="str">
        <f>IFERROR(__xludf.DUMMYFUNCTION("""COMPUTED_VALUE"""),"89845")</f>
        <v>89845</v>
      </c>
      <c r="B7454" s="64">
        <f>IFERROR(__xludf.DUMMYFUNCTION("""COMPUTED_VALUE"""),44609.0)</f>
        <v>44609</v>
      </c>
      <c r="C7454" s="5"/>
      <c r="D7454" s="5"/>
      <c r="E7454" s="5"/>
      <c r="F7454" s="25">
        <f>IFERROR(__xludf.DUMMYFUNCTION("""COMPUTED_VALUE"""),500000.0)</f>
        <v>500000</v>
      </c>
      <c r="G7454" s="25">
        <f>IFERROR(__xludf.DUMMYFUNCTION("""COMPUTED_VALUE"""),0.0)</f>
        <v>0</v>
      </c>
      <c r="H7454" s="8">
        <f>IFERROR(__xludf.DUMMYFUNCTION("""COMPUTED_VALUE"""),500000.0)</f>
        <v>500000</v>
      </c>
      <c r="I7454" s="24">
        <f>IFERROR(__xludf.DUMMYFUNCTION("""COMPUTED_VALUE"""),0.0)</f>
        <v>0</v>
      </c>
    </row>
    <row r="7455">
      <c r="A7455" s="5" t="str">
        <f>IFERROR(__xludf.DUMMYFUNCTION("""COMPUTED_VALUE"""),"89845")</f>
        <v>89845</v>
      </c>
      <c r="B7455" s="64">
        <f>IFERROR(__xludf.DUMMYFUNCTION("""COMPUTED_VALUE"""),44610.0)</f>
        <v>44610</v>
      </c>
      <c r="C7455" s="5"/>
      <c r="D7455" s="5"/>
      <c r="E7455" s="5"/>
      <c r="F7455" s="25">
        <f>IFERROR(__xludf.DUMMYFUNCTION("""COMPUTED_VALUE"""),500000.0)</f>
        <v>500000</v>
      </c>
      <c r="G7455" s="25">
        <f>IFERROR(__xludf.DUMMYFUNCTION("""COMPUTED_VALUE"""),0.0)</f>
        <v>0</v>
      </c>
      <c r="H7455" s="8">
        <f>IFERROR(__xludf.DUMMYFUNCTION("""COMPUTED_VALUE"""),500000.0)</f>
        <v>500000</v>
      </c>
      <c r="I7455" s="24">
        <f>IFERROR(__xludf.DUMMYFUNCTION("""COMPUTED_VALUE"""),0.0)</f>
        <v>0</v>
      </c>
    </row>
    <row r="7456">
      <c r="A7456" s="5" t="str">
        <f>IFERROR(__xludf.DUMMYFUNCTION("""COMPUTED_VALUE"""),"89845")</f>
        <v>89845</v>
      </c>
      <c r="B7456" s="64">
        <f>IFERROR(__xludf.DUMMYFUNCTION("""COMPUTED_VALUE"""),44611.0)</f>
        <v>44611</v>
      </c>
      <c r="C7456" s="5"/>
      <c r="D7456" s="5"/>
      <c r="E7456" s="5"/>
      <c r="F7456" s="25">
        <f>IFERROR(__xludf.DUMMYFUNCTION("""COMPUTED_VALUE"""),500000.0)</f>
        <v>500000</v>
      </c>
      <c r="G7456" s="25">
        <f>IFERROR(__xludf.DUMMYFUNCTION("""COMPUTED_VALUE"""),0.0)</f>
        <v>0</v>
      </c>
      <c r="H7456" s="8">
        <f>IFERROR(__xludf.DUMMYFUNCTION("""COMPUTED_VALUE"""),500000.0)</f>
        <v>500000</v>
      </c>
      <c r="I7456" s="24">
        <f>IFERROR(__xludf.DUMMYFUNCTION("""COMPUTED_VALUE"""),0.0)</f>
        <v>0</v>
      </c>
    </row>
    <row r="7457">
      <c r="A7457" s="5" t="str">
        <f>IFERROR(__xludf.DUMMYFUNCTION("""COMPUTED_VALUE"""),"89845")</f>
        <v>89845</v>
      </c>
      <c r="B7457" s="64">
        <f>IFERROR(__xludf.DUMMYFUNCTION("""COMPUTED_VALUE"""),44612.0)</f>
        <v>44612</v>
      </c>
      <c r="C7457" s="5"/>
      <c r="D7457" s="5"/>
      <c r="E7457" s="5"/>
      <c r="F7457" s="25">
        <f>IFERROR(__xludf.DUMMYFUNCTION("""COMPUTED_VALUE"""),500000.0)</f>
        <v>500000</v>
      </c>
      <c r="G7457" s="25">
        <f>IFERROR(__xludf.DUMMYFUNCTION("""COMPUTED_VALUE"""),0.0)</f>
        <v>0</v>
      </c>
      <c r="H7457" s="8">
        <f>IFERROR(__xludf.DUMMYFUNCTION("""COMPUTED_VALUE"""),500000.0)</f>
        <v>500000</v>
      </c>
      <c r="I7457" s="24">
        <f>IFERROR(__xludf.DUMMYFUNCTION("""COMPUTED_VALUE"""),0.0)</f>
        <v>0</v>
      </c>
    </row>
    <row r="7458">
      <c r="A7458" s="5" t="str">
        <f>IFERROR(__xludf.DUMMYFUNCTION("""COMPUTED_VALUE"""),"89845")</f>
        <v>89845</v>
      </c>
      <c r="B7458" s="64">
        <f>IFERROR(__xludf.DUMMYFUNCTION("""COMPUTED_VALUE"""),44613.0)</f>
        <v>44613</v>
      </c>
      <c r="C7458" s="5"/>
      <c r="D7458" s="5"/>
      <c r="E7458" s="5"/>
      <c r="F7458" s="25">
        <f>IFERROR(__xludf.DUMMYFUNCTION("""COMPUTED_VALUE"""),500000.0)</f>
        <v>500000</v>
      </c>
      <c r="G7458" s="25">
        <f>IFERROR(__xludf.DUMMYFUNCTION("""COMPUTED_VALUE"""),0.0)</f>
        <v>0</v>
      </c>
      <c r="H7458" s="8">
        <f>IFERROR(__xludf.DUMMYFUNCTION("""COMPUTED_VALUE"""),500000.0)</f>
        <v>500000</v>
      </c>
      <c r="I7458" s="24">
        <f>IFERROR(__xludf.DUMMYFUNCTION("""COMPUTED_VALUE"""),0.0)</f>
        <v>0</v>
      </c>
    </row>
    <row r="7459">
      <c r="A7459" s="5" t="str">
        <f>IFERROR(__xludf.DUMMYFUNCTION("""COMPUTED_VALUE"""),"89845")</f>
        <v>89845</v>
      </c>
      <c r="B7459" s="64">
        <f>IFERROR(__xludf.DUMMYFUNCTION("""COMPUTED_VALUE"""),44614.0)</f>
        <v>44614</v>
      </c>
      <c r="C7459" s="5"/>
      <c r="D7459" s="5"/>
      <c r="E7459" s="5"/>
      <c r="F7459" s="25">
        <f>IFERROR(__xludf.DUMMYFUNCTION("""COMPUTED_VALUE"""),500000.0)</f>
        <v>500000</v>
      </c>
      <c r="G7459" s="25">
        <f>IFERROR(__xludf.DUMMYFUNCTION("""COMPUTED_VALUE"""),0.0)</f>
        <v>0</v>
      </c>
      <c r="H7459" s="8">
        <f>IFERROR(__xludf.DUMMYFUNCTION("""COMPUTED_VALUE"""),500000.0)</f>
        <v>500000</v>
      </c>
      <c r="I7459" s="24">
        <f>IFERROR(__xludf.DUMMYFUNCTION("""COMPUTED_VALUE"""),0.0)</f>
        <v>0</v>
      </c>
    </row>
    <row r="7460">
      <c r="A7460" s="5" t="str">
        <f>IFERROR(__xludf.DUMMYFUNCTION("""COMPUTED_VALUE"""),"89845")</f>
        <v>89845</v>
      </c>
      <c r="B7460" s="64">
        <f>IFERROR(__xludf.DUMMYFUNCTION("""COMPUTED_VALUE"""),44615.0)</f>
        <v>44615</v>
      </c>
      <c r="C7460" s="5"/>
      <c r="D7460" s="5"/>
      <c r="E7460" s="5"/>
      <c r="F7460" s="25">
        <f>IFERROR(__xludf.DUMMYFUNCTION("""COMPUTED_VALUE"""),500000.0)</f>
        <v>500000</v>
      </c>
      <c r="G7460" s="25">
        <f>IFERROR(__xludf.DUMMYFUNCTION("""COMPUTED_VALUE"""),0.0)</f>
        <v>0</v>
      </c>
      <c r="H7460" s="8">
        <f>IFERROR(__xludf.DUMMYFUNCTION("""COMPUTED_VALUE"""),500000.0)</f>
        <v>500000</v>
      </c>
      <c r="I7460" s="24">
        <f>IFERROR(__xludf.DUMMYFUNCTION("""COMPUTED_VALUE"""),0.0)</f>
        <v>0</v>
      </c>
    </row>
    <row r="7461">
      <c r="A7461" s="5" t="str">
        <f>IFERROR(__xludf.DUMMYFUNCTION("""COMPUTED_VALUE"""),"89845")</f>
        <v>89845</v>
      </c>
      <c r="B7461" s="64">
        <f>IFERROR(__xludf.DUMMYFUNCTION("""COMPUTED_VALUE"""),44616.0)</f>
        <v>44616</v>
      </c>
      <c r="C7461" s="5"/>
      <c r="D7461" s="5"/>
      <c r="E7461" s="5"/>
      <c r="F7461" s="25">
        <f>IFERROR(__xludf.DUMMYFUNCTION("""COMPUTED_VALUE"""),500000.0)</f>
        <v>500000</v>
      </c>
      <c r="G7461" s="25">
        <f>IFERROR(__xludf.DUMMYFUNCTION("""COMPUTED_VALUE"""),0.0)</f>
        <v>0</v>
      </c>
      <c r="H7461" s="8">
        <f>IFERROR(__xludf.DUMMYFUNCTION("""COMPUTED_VALUE"""),500000.0)</f>
        <v>500000</v>
      </c>
      <c r="I7461" s="24">
        <f>IFERROR(__xludf.DUMMYFUNCTION("""COMPUTED_VALUE"""),0.0)</f>
        <v>0</v>
      </c>
    </row>
    <row r="7462">
      <c r="A7462" s="5" t="str">
        <f>IFERROR(__xludf.DUMMYFUNCTION("""COMPUTED_VALUE"""),"89845")</f>
        <v>89845</v>
      </c>
      <c r="B7462" s="64">
        <f>IFERROR(__xludf.DUMMYFUNCTION("""COMPUTED_VALUE"""),44617.0)</f>
        <v>44617</v>
      </c>
      <c r="C7462" s="5"/>
      <c r="D7462" s="5"/>
      <c r="E7462" s="5"/>
      <c r="F7462" s="25">
        <f>IFERROR(__xludf.DUMMYFUNCTION("""COMPUTED_VALUE"""),500000.0)</f>
        <v>500000</v>
      </c>
      <c r="G7462" s="25">
        <f>IFERROR(__xludf.DUMMYFUNCTION("""COMPUTED_VALUE"""),0.0)</f>
        <v>0</v>
      </c>
      <c r="H7462" s="8">
        <f>IFERROR(__xludf.DUMMYFUNCTION("""COMPUTED_VALUE"""),500000.0)</f>
        <v>500000</v>
      </c>
      <c r="I7462" s="24">
        <f>IFERROR(__xludf.DUMMYFUNCTION("""COMPUTED_VALUE"""),0.0)</f>
        <v>0</v>
      </c>
    </row>
    <row r="7463">
      <c r="A7463" s="5" t="str">
        <f>IFERROR(__xludf.DUMMYFUNCTION("""COMPUTED_VALUE"""),"89845")</f>
        <v>89845</v>
      </c>
      <c r="B7463" s="64">
        <f>IFERROR(__xludf.DUMMYFUNCTION("""COMPUTED_VALUE"""),44618.0)</f>
        <v>44618</v>
      </c>
      <c r="C7463" s="5"/>
      <c r="D7463" s="5"/>
      <c r="E7463" s="5"/>
      <c r="F7463" s="25">
        <f>IFERROR(__xludf.DUMMYFUNCTION("""COMPUTED_VALUE"""),500000.0)</f>
        <v>500000</v>
      </c>
      <c r="G7463" s="25">
        <f>IFERROR(__xludf.DUMMYFUNCTION("""COMPUTED_VALUE"""),0.0)</f>
        <v>0</v>
      </c>
      <c r="H7463" s="8">
        <f>IFERROR(__xludf.DUMMYFUNCTION("""COMPUTED_VALUE"""),500000.0)</f>
        <v>500000</v>
      </c>
      <c r="I7463" s="24">
        <f>IFERROR(__xludf.DUMMYFUNCTION("""COMPUTED_VALUE"""),0.0)</f>
        <v>0</v>
      </c>
    </row>
    <row r="7464">
      <c r="A7464" s="5" t="str">
        <f>IFERROR(__xludf.DUMMYFUNCTION("""COMPUTED_VALUE"""),"89845")</f>
        <v>89845</v>
      </c>
      <c r="B7464" s="64">
        <f>IFERROR(__xludf.DUMMYFUNCTION("""COMPUTED_VALUE"""),44619.0)</f>
        <v>44619</v>
      </c>
      <c r="C7464" s="5"/>
      <c r="D7464" s="5"/>
      <c r="E7464" s="5"/>
      <c r="F7464" s="25">
        <f>IFERROR(__xludf.DUMMYFUNCTION("""COMPUTED_VALUE"""),500000.0)</f>
        <v>500000</v>
      </c>
      <c r="G7464" s="25">
        <f>IFERROR(__xludf.DUMMYFUNCTION("""COMPUTED_VALUE"""),0.0)</f>
        <v>0</v>
      </c>
      <c r="H7464" s="8">
        <f>IFERROR(__xludf.DUMMYFUNCTION("""COMPUTED_VALUE"""),500000.0)</f>
        <v>500000</v>
      </c>
      <c r="I7464" s="24">
        <f>IFERROR(__xludf.DUMMYFUNCTION("""COMPUTED_VALUE"""),0.0)</f>
        <v>0</v>
      </c>
    </row>
    <row r="7465">
      <c r="A7465" s="5" t="str">
        <f>IFERROR(__xludf.DUMMYFUNCTION("""COMPUTED_VALUE"""),"89845")</f>
        <v>89845</v>
      </c>
      <c r="B7465" s="64">
        <f>IFERROR(__xludf.DUMMYFUNCTION("""COMPUTED_VALUE"""),44620.0)</f>
        <v>44620</v>
      </c>
      <c r="C7465" s="5"/>
      <c r="D7465" s="5"/>
      <c r="E7465" s="5"/>
      <c r="F7465" s="25">
        <f>IFERROR(__xludf.DUMMYFUNCTION("""COMPUTED_VALUE"""),500000.0)</f>
        <v>500000</v>
      </c>
      <c r="G7465" s="25">
        <f>IFERROR(__xludf.DUMMYFUNCTION("""COMPUTED_VALUE"""),0.0)</f>
        <v>0</v>
      </c>
      <c r="H7465" s="8">
        <f>IFERROR(__xludf.DUMMYFUNCTION("""COMPUTED_VALUE"""),500000.0)</f>
        <v>500000</v>
      </c>
      <c r="I7465" s="24">
        <f>IFERROR(__xludf.DUMMYFUNCTION("""COMPUTED_VALUE"""),0.0)</f>
        <v>0</v>
      </c>
    </row>
    <row r="7466">
      <c r="A7466" s="5" t="str">
        <f>IFERROR(__xludf.DUMMYFUNCTION("""COMPUTED_VALUE"""),"89845")</f>
        <v>89845</v>
      </c>
      <c r="B7466" s="64">
        <f>IFERROR(__xludf.DUMMYFUNCTION("""COMPUTED_VALUE"""),44621.0)</f>
        <v>44621</v>
      </c>
      <c r="C7466" s="5"/>
      <c r="D7466" s="5"/>
      <c r="E7466" s="5"/>
      <c r="F7466" s="25">
        <f>IFERROR(__xludf.DUMMYFUNCTION("""COMPUTED_VALUE"""),500000.0)</f>
        <v>500000</v>
      </c>
      <c r="G7466" s="25">
        <f>IFERROR(__xludf.DUMMYFUNCTION("""COMPUTED_VALUE"""),0.0)</f>
        <v>0</v>
      </c>
      <c r="H7466" s="8">
        <f>IFERROR(__xludf.DUMMYFUNCTION("""COMPUTED_VALUE"""),500000.0)</f>
        <v>500000</v>
      </c>
      <c r="I7466" s="24">
        <f>IFERROR(__xludf.DUMMYFUNCTION("""COMPUTED_VALUE"""),0.0)</f>
        <v>0</v>
      </c>
    </row>
    <row r="7467">
      <c r="A7467" s="5" t="str">
        <f>IFERROR(__xludf.DUMMYFUNCTION("""COMPUTED_VALUE"""),"89845")</f>
        <v>89845</v>
      </c>
      <c r="B7467" s="64">
        <f>IFERROR(__xludf.DUMMYFUNCTION("""COMPUTED_VALUE"""),44622.0)</f>
        <v>44622</v>
      </c>
      <c r="C7467" s="5"/>
      <c r="D7467" s="5"/>
      <c r="E7467" s="5"/>
      <c r="F7467" s="25">
        <f>IFERROR(__xludf.DUMMYFUNCTION("""COMPUTED_VALUE"""),500000.0)</f>
        <v>500000</v>
      </c>
      <c r="G7467" s="25">
        <f>IFERROR(__xludf.DUMMYFUNCTION("""COMPUTED_VALUE"""),0.0)</f>
        <v>0</v>
      </c>
      <c r="H7467" s="8">
        <f>IFERROR(__xludf.DUMMYFUNCTION("""COMPUTED_VALUE"""),500000.0)</f>
        <v>500000</v>
      </c>
      <c r="I7467" s="24">
        <f>IFERROR(__xludf.DUMMYFUNCTION("""COMPUTED_VALUE"""),0.0)</f>
        <v>0</v>
      </c>
    </row>
    <row r="7468">
      <c r="A7468" s="5" t="str">
        <f>IFERROR(__xludf.DUMMYFUNCTION("""COMPUTED_VALUE"""),"89845")</f>
        <v>89845</v>
      </c>
      <c r="B7468" s="64">
        <f>IFERROR(__xludf.DUMMYFUNCTION("""COMPUTED_VALUE"""),44623.0)</f>
        <v>44623</v>
      </c>
      <c r="C7468" s="5"/>
      <c r="D7468" s="5"/>
      <c r="E7468" s="5"/>
      <c r="F7468" s="25">
        <f>IFERROR(__xludf.DUMMYFUNCTION("""COMPUTED_VALUE"""),500000.0)</f>
        <v>500000</v>
      </c>
      <c r="G7468" s="25">
        <f>IFERROR(__xludf.DUMMYFUNCTION("""COMPUTED_VALUE"""),0.0)</f>
        <v>0</v>
      </c>
      <c r="H7468" s="8">
        <f>IFERROR(__xludf.DUMMYFUNCTION("""COMPUTED_VALUE"""),500000.0)</f>
        <v>500000</v>
      </c>
      <c r="I7468" s="24">
        <f>IFERROR(__xludf.DUMMYFUNCTION("""COMPUTED_VALUE"""),0.0)</f>
        <v>0</v>
      </c>
    </row>
    <row r="7469">
      <c r="A7469" s="5" t="str">
        <f>IFERROR(__xludf.DUMMYFUNCTION("""COMPUTED_VALUE"""),"89845")</f>
        <v>89845</v>
      </c>
      <c r="B7469" s="64">
        <f>IFERROR(__xludf.DUMMYFUNCTION("""COMPUTED_VALUE"""),44624.0)</f>
        <v>44624</v>
      </c>
      <c r="C7469" s="5"/>
      <c r="D7469" s="5"/>
      <c r="E7469" s="5"/>
      <c r="F7469" s="25">
        <f>IFERROR(__xludf.DUMMYFUNCTION("""COMPUTED_VALUE"""),500000.0)</f>
        <v>500000</v>
      </c>
      <c r="G7469" s="25">
        <f>IFERROR(__xludf.DUMMYFUNCTION("""COMPUTED_VALUE"""),0.0)</f>
        <v>0</v>
      </c>
      <c r="H7469" s="8">
        <f>IFERROR(__xludf.DUMMYFUNCTION("""COMPUTED_VALUE"""),500000.0)</f>
        <v>500000</v>
      </c>
      <c r="I7469" s="24">
        <f>IFERROR(__xludf.DUMMYFUNCTION("""COMPUTED_VALUE"""),0.0)</f>
        <v>0</v>
      </c>
    </row>
    <row r="7470">
      <c r="A7470" s="5" t="str">
        <f>IFERROR(__xludf.DUMMYFUNCTION("""COMPUTED_VALUE"""),"89845")</f>
        <v>89845</v>
      </c>
      <c r="B7470" s="64">
        <f>IFERROR(__xludf.DUMMYFUNCTION("""COMPUTED_VALUE"""),44625.0)</f>
        <v>44625</v>
      </c>
      <c r="C7470" s="5"/>
      <c r="D7470" s="5"/>
      <c r="E7470" s="5"/>
      <c r="F7470" s="25">
        <f>IFERROR(__xludf.DUMMYFUNCTION("""COMPUTED_VALUE"""),500000.0)</f>
        <v>500000</v>
      </c>
      <c r="G7470" s="25">
        <f>IFERROR(__xludf.DUMMYFUNCTION("""COMPUTED_VALUE"""),0.0)</f>
        <v>0</v>
      </c>
      <c r="H7470" s="8">
        <f>IFERROR(__xludf.DUMMYFUNCTION("""COMPUTED_VALUE"""),500000.0)</f>
        <v>500000</v>
      </c>
      <c r="I7470" s="24">
        <f>IFERROR(__xludf.DUMMYFUNCTION("""COMPUTED_VALUE"""),0.0)</f>
        <v>0</v>
      </c>
    </row>
    <row r="7471">
      <c r="A7471" s="5" t="str">
        <f>IFERROR(__xludf.DUMMYFUNCTION("""COMPUTED_VALUE"""),"89845")</f>
        <v>89845</v>
      </c>
      <c r="B7471" s="64">
        <f>IFERROR(__xludf.DUMMYFUNCTION("""COMPUTED_VALUE"""),44626.0)</f>
        <v>44626</v>
      </c>
      <c r="C7471" s="5"/>
      <c r="D7471" s="5"/>
      <c r="E7471" s="5"/>
      <c r="F7471" s="25">
        <f>IFERROR(__xludf.DUMMYFUNCTION("""COMPUTED_VALUE"""),500000.0)</f>
        <v>500000</v>
      </c>
      <c r="G7471" s="25">
        <f>IFERROR(__xludf.DUMMYFUNCTION("""COMPUTED_VALUE"""),0.0)</f>
        <v>0</v>
      </c>
      <c r="H7471" s="8">
        <f>IFERROR(__xludf.DUMMYFUNCTION("""COMPUTED_VALUE"""),500000.0)</f>
        <v>500000</v>
      </c>
      <c r="I7471" s="24">
        <f>IFERROR(__xludf.DUMMYFUNCTION("""COMPUTED_VALUE"""),0.0)</f>
        <v>0</v>
      </c>
    </row>
    <row r="7472">
      <c r="A7472" s="5" t="str">
        <f>IFERROR(__xludf.DUMMYFUNCTION("""COMPUTED_VALUE"""),"89845")</f>
        <v>89845</v>
      </c>
      <c r="B7472" s="64">
        <f>IFERROR(__xludf.DUMMYFUNCTION("""COMPUTED_VALUE"""),44627.0)</f>
        <v>44627</v>
      </c>
      <c r="C7472" s="5"/>
      <c r="D7472" s="5"/>
      <c r="E7472" s="5"/>
      <c r="F7472" s="25">
        <f>IFERROR(__xludf.DUMMYFUNCTION("""COMPUTED_VALUE"""),500000.0)</f>
        <v>500000</v>
      </c>
      <c r="G7472" s="25">
        <f>IFERROR(__xludf.DUMMYFUNCTION("""COMPUTED_VALUE"""),0.0)</f>
        <v>0</v>
      </c>
      <c r="H7472" s="8">
        <f>IFERROR(__xludf.DUMMYFUNCTION("""COMPUTED_VALUE"""),500000.0)</f>
        <v>500000</v>
      </c>
      <c r="I7472" s="24">
        <f>IFERROR(__xludf.DUMMYFUNCTION("""COMPUTED_VALUE"""),0.0)</f>
        <v>0</v>
      </c>
    </row>
    <row r="7473">
      <c r="A7473" s="5" t="str">
        <f>IFERROR(__xludf.DUMMYFUNCTION("""COMPUTED_VALUE"""),"89845")</f>
        <v>89845</v>
      </c>
      <c r="B7473" s="64">
        <f>IFERROR(__xludf.DUMMYFUNCTION("""COMPUTED_VALUE"""),44628.0)</f>
        <v>44628</v>
      </c>
      <c r="C7473" s="5"/>
      <c r="D7473" s="5"/>
      <c r="E7473" s="5"/>
      <c r="F7473" s="25">
        <f>IFERROR(__xludf.DUMMYFUNCTION("""COMPUTED_VALUE"""),500000.0)</f>
        <v>500000</v>
      </c>
      <c r="G7473" s="25">
        <f>IFERROR(__xludf.DUMMYFUNCTION("""COMPUTED_VALUE"""),0.0)</f>
        <v>0</v>
      </c>
      <c r="H7473" s="8">
        <f>IFERROR(__xludf.DUMMYFUNCTION("""COMPUTED_VALUE"""),500000.0)</f>
        <v>500000</v>
      </c>
      <c r="I7473" s="24">
        <f>IFERROR(__xludf.DUMMYFUNCTION("""COMPUTED_VALUE"""),0.0)</f>
        <v>0</v>
      </c>
    </row>
    <row r="7474">
      <c r="A7474" s="5" t="str">
        <f>IFERROR(__xludf.DUMMYFUNCTION("""COMPUTED_VALUE"""),"89845")</f>
        <v>89845</v>
      </c>
      <c r="B7474" s="64">
        <f>IFERROR(__xludf.DUMMYFUNCTION("""COMPUTED_VALUE"""),44629.0)</f>
        <v>44629</v>
      </c>
      <c r="C7474" s="5"/>
      <c r="D7474" s="5"/>
      <c r="E7474" s="5"/>
      <c r="F7474" s="25">
        <f>IFERROR(__xludf.DUMMYFUNCTION("""COMPUTED_VALUE"""),500000.0)</f>
        <v>500000</v>
      </c>
      <c r="G7474" s="25">
        <f>IFERROR(__xludf.DUMMYFUNCTION("""COMPUTED_VALUE"""),0.0)</f>
        <v>0</v>
      </c>
      <c r="H7474" s="8">
        <f>IFERROR(__xludf.DUMMYFUNCTION("""COMPUTED_VALUE"""),500000.0)</f>
        <v>500000</v>
      </c>
      <c r="I7474" s="24">
        <f>IFERROR(__xludf.DUMMYFUNCTION("""COMPUTED_VALUE"""),0.0)</f>
        <v>0</v>
      </c>
    </row>
    <row r="7475">
      <c r="A7475" s="5" t="str">
        <f>IFERROR(__xludf.DUMMYFUNCTION("""COMPUTED_VALUE"""),"89845")</f>
        <v>89845</v>
      </c>
      <c r="B7475" s="64">
        <f>IFERROR(__xludf.DUMMYFUNCTION("""COMPUTED_VALUE"""),44630.0)</f>
        <v>44630</v>
      </c>
      <c r="C7475" s="5"/>
      <c r="D7475" s="5"/>
      <c r="E7475" s="5"/>
      <c r="F7475" s="25">
        <f>IFERROR(__xludf.DUMMYFUNCTION("""COMPUTED_VALUE"""),500000.0)</f>
        <v>500000</v>
      </c>
      <c r="G7475" s="25">
        <f>IFERROR(__xludf.DUMMYFUNCTION("""COMPUTED_VALUE"""),0.0)</f>
        <v>0</v>
      </c>
      <c r="H7475" s="8">
        <f>IFERROR(__xludf.DUMMYFUNCTION("""COMPUTED_VALUE"""),500000.0)</f>
        <v>500000</v>
      </c>
      <c r="I7475" s="24">
        <f>IFERROR(__xludf.DUMMYFUNCTION("""COMPUTED_VALUE"""),0.0)</f>
        <v>0</v>
      </c>
    </row>
    <row r="7476">
      <c r="A7476" s="5" t="str">
        <f>IFERROR(__xludf.DUMMYFUNCTION("""COMPUTED_VALUE"""),"89845")</f>
        <v>89845</v>
      </c>
      <c r="B7476" s="64">
        <f>IFERROR(__xludf.DUMMYFUNCTION("""COMPUTED_VALUE"""),44631.0)</f>
        <v>44631</v>
      </c>
      <c r="C7476" s="5"/>
      <c r="D7476" s="5"/>
      <c r="E7476" s="5"/>
      <c r="F7476" s="25">
        <f>IFERROR(__xludf.DUMMYFUNCTION("""COMPUTED_VALUE"""),500000.0)</f>
        <v>500000</v>
      </c>
      <c r="G7476" s="25">
        <f>IFERROR(__xludf.DUMMYFUNCTION("""COMPUTED_VALUE"""),0.0)</f>
        <v>0</v>
      </c>
      <c r="H7476" s="8">
        <f>IFERROR(__xludf.DUMMYFUNCTION("""COMPUTED_VALUE"""),500000.0)</f>
        <v>500000</v>
      </c>
      <c r="I7476" s="24">
        <f>IFERROR(__xludf.DUMMYFUNCTION("""COMPUTED_VALUE"""),0.0)</f>
        <v>0</v>
      </c>
    </row>
    <row r="7477">
      <c r="A7477" s="5" t="str">
        <f>IFERROR(__xludf.DUMMYFUNCTION("""COMPUTED_VALUE"""),"89845")</f>
        <v>89845</v>
      </c>
      <c r="B7477" s="64">
        <f>IFERROR(__xludf.DUMMYFUNCTION("""COMPUTED_VALUE"""),44632.0)</f>
        <v>44632</v>
      </c>
      <c r="C7477" s="5"/>
      <c r="D7477" s="5"/>
      <c r="E7477" s="5"/>
      <c r="F7477" s="25">
        <f>IFERROR(__xludf.DUMMYFUNCTION("""COMPUTED_VALUE"""),500000.0)</f>
        <v>500000</v>
      </c>
      <c r="G7477" s="25">
        <f>IFERROR(__xludf.DUMMYFUNCTION("""COMPUTED_VALUE"""),0.0)</f>
        <v>0</v>
      </c>
      <c r="H7477" s="8">
        <f>IFERROR(__xludf.DUMMYFUNCTION("""COMPUTED_VALUE"""),500000.0)</f>
        <v>500000</v>
      </c>
      <c r="I7477" s="24">
        <f>IFERROR(__xludf.DUMMYFUNCTION("""COMPUTED_VALUE"""),0.0)</f>
        <v>0</v>
      </c>
    </row>
    <row r="7478">
      <c r="A7478" s="5" t="str">
        <f>IFERROR(__xludf.DUMMYFUNCTION("""COMPUTED_VALUE"""),"89845")</f>
        <v>89845</v>
      </c>
      <c r="B7478" s="64">
        <f>IFERROR(__xludf.DUMMYFUNCTION("""COMPUTED_VALUE"""),44633.0)</f>
        <v>44633</v>
      </c>
      <c r="C7478" s="5"/>
      <c r="D7478" s="5"/>
      <c r="E7478" s="5"/>
      <c r="F7478" s="25">
        <f>IFERROR(__xludf.DUMMYFUNCTION("""COMPUTED_VALUE"""),500000.0)</f>
        <v>500000</v>
      </c>
      <c r="G7478" s="25">
        <f>IFERROR(__xludf.DUMMYFUNCTION("""COMPUTED_VALUE"""),0.0)</f>
        <v>0</v>
      </c>
      <c r="H7478" s="8">
        <f>IFERROR(__xludf.DUMMYFUNCTION("""COMPUTED_VALUE"""),500000.0)</f>
        <v>500000</v>
      </c>
      <c r="I7478" s="24">
        <f>IFERROR(__xludf.DUMMYFUNCTION("""COMPUTED_VALUE"""),0.0)</f>
        <v>0</v>
      </c>
    </row>
    <row r="7479">
      <c r="A7479" s="5" t="str">
        <f>IFERROR(__xludf.DUMMYFUNCTION("""COMPUTED_VALUE"""),"89845")</f>
        <v>89845</v>
      </c>
      <c r="B7479" s="64">
        <f>IFERROR(__xludf.DUMMYFUNCTION("""COMPUTED_VALUE"""),44634.0)</f>
        <v>44634</v>
      </c>
      <c r="C7479" s="5"/>
      <c r="D7479" s="5"/>
      <c r="E7479" s="5"/>
      <c r="F7479" s="25">
        <f>IFERROR(__xludf.DUMMYFUNCTION("""COMPUTED_VALUE"""),500000.0)</f>
        <v>500000</v>
      </c>
      <c r="G7479" s="25">
        <f>IFERROR(__xludf.DUMMYFUNCTION("""COMPUTED_VALUE"""),0.0)</f>
        <v>0</v>
      </c>
      <c r="H7479" s="8">
        <f>IFERROR(__xludf.DUMMYFUNCTION("""COMPUTED_VALUE"""),500000.0)</f>
        <v>500000</v>
      </c>
      <c r="I7479" s="24">
        <f>IFERROR(__xludf.DUMMYFUNCTION("""COMPUTED_VALUE"""),0.0)</f>
        <v>0</v>
      </c>
    </row>
    <row r="7480">
      <c r="A7480" s="5" t="str">
        <f>IFERROR(__xludf.DUMMYFUNCTION("""COMPUTED_VALUE"""),"89845")</f>
        <v>89845</v>
      </c>
      <c r="B7480" s="64">
        <f>IFERROR(__xludf.DUMMYFUNCTION("""COMPUTED_VALUE"""),44635.0)</f>
        <v>44635</v>
      </c>
      <c r="C7480" s="5"/>
      <c r="D7480" s="5"/>
      <c r="E7480" s="5"/>
      <c r="F7480" s="25">
        <f>IFERROR(__xludf.DUMMYFUNCTION("""COMPUTED_VALUE"""),500000.0)</f>
        <v>500000</v>
      </c>
      <c r="G7480" s="25">
        <f>IFERROR(__xludf.DUMMYFUNCTION("""COMPUTED_VALUE"""),0.0)</f>
        <v>0</v>
      </c>
      <c r="H7480" s="8">
        <f>IFERROR(__xludf.DUMMYFUNCTION("""COMPUTED_VALUE"""),500000.0)</f>
        <v>500000</v>
      </c>
      <c r="I7480" s="24">
        <f>IFERROR(__xludf.DUMMYFUNCTION("""COMPUTED_VALUE"""),0.0)</f>
        <v>0</v>
      </c>
    </row>
    <row r="7481">
      <c r="A7481" s="5" t="str">
        <f>IFERROR(__xludf.DUMMYFUNCTION("""COMPUTED_VALUE"""),"89845")</f>
        <v>89845</v>
      </c>
      <c r="B7481" s="64">
        <f>IFERROR(__xludf.DUMMYFUNCTION("""COMPUTED_VALUE"""),44636.0)</f>
        <v>44636</v>
      </c>
      <c r="C7481" s="5"/>
      <c r="D7481" s="5"/>
      <c r="E7481" s="5"/>
      <c r="F7481" s="25">
        <f>IFERROR(__xludf.DUMMYFUNCTION("""COMPUTED_VALUE"""),500000.0)</f>
        <v>500000</v>
      </c>
      <c r="G7481" s="25">
        <f>IFERROR(__xludf.DUMMYFUNCTION("""COMPUTED_VALUE"""),0.0)</f>
        <v>0</v>
      </c>
      <c r="H7481" s="8">
        <f>IFERROR(__xludf.DUMMYFUNCTION("""COMPUTED_VALUE"""),500000.0)</f>
        <v>500000</v>
      </c>
      <c r="I7481" s="24">
        <f>IFERROR(__xludf.DUMMYFUNCTION("""COMPUTED_VALUE"""),0.0)</f>
        <v>0</v>
      </c>
    </row>
    <row r="7482">
      <c r="A7482" s="5" t="str">
        <f>IFERROR(__xludf.DUMMYFUNCTION("""COMPUTED_VALUE"""),"89845")</f>
        <v>89845</v>
      </c>
      <c r="B7482" s="64">
        <f>IFERROR(__xludf.DUMMYFUNCTION("""COMPUTED_VALUE"""),44637.0)</f>
        <v>44637</v>
      </c>
      <c r="C7482" s="5"/>
      <c r="D7482" s="5"/>
      <c r="E7482" s="5"/>
      <c r="F7482" s="25">
        <f>IFERROR(__xludf.DUMMYFUNCTION("""COMPUTED_VALUE"""),500000.0)</f>
        <v>500000</v>
      </c>
      <c r="G7482" s="25">
        <f>IFERROR(__xludf.DUMMYFUNCTION("""COMPUTED_VALUE"""),0.0)</f>
        <v>0</v>
      </c>
      <c r="H7482" s="8">
        <f>IFERROR(__xludf.DUMMYFUNCTION("""COMPUTED_VALUE"""),500000.0)</f>
        <v>500000</v>
      </c>
      <c r="I7482" s="24">
        <f>IFERROR(__xludf.DUMMYFUNCTION("""COMPUTED_VALUE"""),0.0)</f>
        <v>0</v>
      </c>
    </row>
    <row r="7483">
      <c r="A7483" s="5" t="str">
        <f>IFERROR(__xludf.DUMMYFUNCTION("""COMPUTED_VALUE"""),"89845")</f>
        <v>89845</v>
      </c>
      <c r="B7483" s="64">
        <f>IFERROR(__xludf.DUMMYFUNCTION("""COMPUTED_VALUE"""),44638.0)</f>
        <v>44638</v>
      </c>
      <c r="C7483" s="5"/>
      <c r="D7483" s="5"/>
      <c r="E7483" s="5"/>
      <c r="F7483" s="25">
        <f>IFERROR(__xludf.DUMMYFUNCTION("""COMPUTED_VALUE"""),500000.0)</f>
        <v>500000</v>
      </c>
      <c r="G7483" s="25">
        <f>IFERROR(__xludf.DUMMYFUNCTION("""COMPUTED_VALUE"""),0.0)</f>
        <v>0</v>
      </c>
      <c r="H7483" s="8">
        <f>IFERROR(__xludf.DUMMYFUNCTION("""COMPUTED_VALUE"""),500000.0)</f>
        <v>500000</v>
      </c>
      <c r="I7483" s="24">
        <f>IFERROR(__xludf.DUMMYFUNCTION("""COMPUTED_VALUE"""),0.0)</f>
        <v>0</v>
      </c>
    </row>
    <row r="7484">
      <c r="A7484" s="5" t="str">
        <f>IFERROR(__xludf.DUMMYFUNCTION("""COMPUTED_VALUE"""),"89845")</f>
        <v>89845</v>
      </c>
      <c r="B7484" s="64">
        <f>IFERROR(__xludf.DUMMYFUNCTION("""COMPUTED_VALUE"""),44639.0)</f>
        <v>44639</v>
      </c>
      <c r="C7484" s="5"/>
      <c r="D7484" s="5"/>
      <c r="E7484" s="5"/>
      <c r="F7484" s="25">
        <f>IFERROR(__xludf.DUMMYFUNCTION("""COMPUTED_VALUE"""),500000.0)</f>
        <v>500000</v>
      </c>
      <c r="G7484" s="25">
        <f>IFERROR(__xludf.DUMMYFUNCTION("""COMPUTED_VALUE"""),0.0)</f>
        <v>0</v>
      </c>
      <c r="H7484" s="8">
        <f>IFERROR(__xludf.DUMMYFUNCTION("""COMPUTED_VALUE"""),500000.0)</f>
        <v>500000</v>
      </c>
      <c r="I7484" s="24">
        <f>IFERROR(__xludf.DUMMYFUNCTION("""COMPUTED_VALUE"""),0.0)</f>
        <v>0</v>
      </c>
    </row>
    <row r="7485">
      <c r="A7485" s="5" t="str">
        <f>IFERROR(__xludf.DUMMYFUNCTION("""COMPUTED_VALUE"""),"89845")</f>
        <v>89845</v>
      </c>
      <c r="B7485" s="64">
        <f>IFERROR(__xludf.DUMMYFUNCTION("""COMPUTED_VALUE"""),44640.0)</f>
        <v>44640</v>
      </c>
      <c r="C7485" s="5"/>
      <c r="D7485" s="5"/>
      <c r="E7485" s="5"/>
      <c r="F7485" s="25">
        <f>IFERROR(__xludf.DUMMYFUNCTION("""COMPUTED_VALUE"""),500000.0)</f>
        <v>500000</v>
      </c>
      <c r="G7485" s="25">
        <f>IFERROR(__xludf.DUMMYFUNCTION("""COMPUTED_VALUE"""),0.0)</f>
        <v>0</v>
      </c>
      <c r="H7485" s="8">
        <f>IFERROR(__xludf.DUMMYFUNCTION("""COMPUTED_VALUE"""),500000.0)</f>
        <v>500000</v>
      </c>
      <c r="I7485" s="24">
        <f>IFERROR(__xludf.DUMMYFUNCTION("""COMPUTED_VALUE"""),0.0)</f>
        <v>0</v>
      </c>
    </row>
    <row r="7486">
      <c r="A7486" s="5" t="str">
        <f>IFERROR(__xludf.DUMMYFUNCTION("""COMPUTED_VALUE"""),"89845")</f>
        <v>89845</v>
      </c>
      <c r="B7486" s="64">
        <f>IFERROR(__xludf.DUMMYFUNCTION("""COMPUTED_VALUE"""),44641.0)</f>
        <v>44641</v>
      </c>
      <c r="C7486" s="5"/>
      <c r="D7486" s="5"/>
      <c r="E7486" s="5"/>
      <c r="F7486" s="25">
        <f>IFERROR(__xludf.DUMMYFUNCTION("""COMPUTED_VALUE"""),500000.0)</f>
        <v>500000</v>
      </c>
      <c r="G7486" s="25">
        <f>IFERROR(__xludf.DUMMYFUNCTION("""COMPUTED_VALUE"""),0.0)</f>
        <v>0</v>
      </c>
      <c r="H7486" s="8">
        <f>IFERROR(__xludf.DUMMYFUNCTION("""COMPUTED_VALUE"""),500000.0)</f>
        <v>500000</v>
      </c>
      <c r="I7486" s="24">
        <f>IFERROR(__xludf.DUMMYFUNCTION("""COMPUTED_VALUE"""),0.0)</f>
        <v>0</v>
      </c>
    </row>
    <row r="7487">
      <c r="A7487" s="5" t="str">
        <f>IFERROR(__xludf.DUMMYFUNCTION("""COMPUTED_VALUE"""),"89845")</f>
        <v>89845</v>
      </c>
      <c r="B7487" s="64">
        <f>IFERROR(__xludf.DUMMYFUNCTION("""COMPUTED_VALUE"""),44642.0)</f>
        <v>44642</v>
      </c>
      <c r="C7487" s="5"/>
      <c r="D7487" s="5"/>
      <c r="E7487" s="5"/>
      <c r="F7487" s="25">
        <f>IFERROR(__xludf.DUMMYFUNCTION("""COMPUTED_VALUE"""),500000.0)</f>
        <v>500000</v>
      </c>
      <c r="G7487" s="25">
        <f>IFERROR(__xludf.DUMMYFUNCTION("""COMPUTED_VALUE"""),0.0)</f>
        <v>0</v>
      </c>
      <c r="H7487" s="8">
        <f>IFERROR(__xludf.DUMMYFUNCTION("""COMPUTED_VALUE"""),500000.0)</f>
        <v>500000</v>
      </c>
      <c r="I7487" s="24">
        <f>IFERROR(__xludf.DUMMYFUNCTION("""COMPUTED_VALUE"""),0.0)</f>
        <v>0</v>
      </c>
    </row>
    <row r="7488">
      <c r="A7488" s="5" t="str">
        <f>IFERROR(__xludf.DUMMYFUNCTION("""COMPUTED_VALUE"""),"89845")</f>
        <v>89845</v>
      </c>
      <c r="B7488" s="64">
        <f>IFERROR(__xludf.DUMMYFUNCTION("""COMPUTED_VALUE"""),44643.0)</f>
        <v>44643</v>
      </c>
      <c r="C7488" s="5"/>
      <c r="D7488" s="5"/>
      <c r="E7488" s="5"/>
      <c r="F7488" s="25">
        <f>IFERROR(__xludf.DUMMYFUNCTION("""COMPUTED_VALUE"""),500000.0)</f>
        <v>500000</v>
      </c>
      <c r="G7488" s="25">
        <f>IFERROR(__xludf.DUMMYFUNCTION("""COMPUTED_VALUE"""),0.0)</f>
        <v>0</v>
      </c>
      <c r="H7488" s="8">
        <f>IFERROR(__xludf.DUMMYFUNCTION("""COMPUTED_VALUE"""),500000.0)</f>
        <v>500000</v>
      </c>
      <c r="I7488" s="24">
        <f>IFERROR(__xludf.DUMMYFUNCTION("""COMPUTED_VALUE"""),0.0)</f>
        <v>0</v>
      </c>
    </row>
    <row r="7489">
      <c r="A7489" s="5" t="str">
        <f>IFERROR(__xludf.DUMMYFUNCTION("""COMPUTED_VALUE"""),"89845")</f>
        <v>89845</v>
      </c>
      <c r="B7489" s="64">
        <f>IFERROR(__xludf.DUMMYFUNCTION("""COMPUTED_VALUE"""),44644.0)</f>
        <v>44644</v>
      </c>
      <c r="C7489" s="5"/>
      <c r="D7489" s="5"/>
      <c r="E7489" s="5"/>
      <c r="F7489" s="25">
        <f>IFERROR(__xludf.DUMMYFUNCTION("""COMPUTED_VALUE"""),500000.0)</f>
        <v>500000</v>
      </c>
      <c r="G7489" s="25">
        <f>IFERROR(__xludf.DUMMYFUNCTION("""COMPUTED_VALUE"""),0.0)</f>
        <v>0</v>
      </c>
      <c r="H7489" s="8">
        <f>IFERROR(__xludf.DUMMYFUNCTION("""COMPUTED_VALUE"""),500000.0)</f>
        <v>500000</v>
      </c>
      <c r="I7489" s="24">
        <f>IFERROR(__xludf.DUMMYFUNCTION("""COMPUTED_VALUE"""),0.0)</f>
        <v>0</v>
      </c>
    </row>
    <row r="7490">
      <c r="A7490" s="5" t="str">
        <f>IFERROR(__xludf.DUMMYFUNCTION("""COMPUTED_VALUE"""),"89845")</f>
        <v>89845</v>
      </c>
      <c r="B7490" s="64">
        <f>IFERROR(__xludf.DUMMYFUNCTION("""COMPUTED_VALUE"""),44645.0)</f>
        <v>44645</v>
      </c>
      <c r="C7490" s="5"/>
      <c r="D7490" s="5"/>
      <c r="E7490" s="5"/>
      <c r="F7490" s="25">
        <f>IFERROR(__xludf.DUMMYFUNCTION("""COMPUTED_VALUE"""),363198.608)</f>
        <v>363198.608</v>
      </c>
      <c r="G7490" s="25">
        <f>IFERROR(__xludf.DUMMYFUNCTION("""COMPUTED_VALUE"""),0.0)</f>
        <v>0</v>
      </c>
      <c r="H7490" s="8">
        <f>IFERROR(__xludf.DUMMYFUNCTION("""COMPUTED_VALUE"""),500000.0)</f>
        <v>500000</v>
      </c>
      <c r="I7490" s="24">
        <f>IFERROR(__xludf.DUMMYFUNCTION("""COMPUTED_VALUE"""),0.0)</f>
        <v>0</v>
      </c>
    </row>
    <row r="7491">
      <c r="A7491" s="5" t="str">
        <f>IFERROR(__xludf.DUMMYFUNCTION("""COMPUTED_VALUE"""),"89845")</f>
        <v>89845</v>
      </c>
      <c r="B7491" s="64">
        <f>IFERROR(__xludf.DUMMYFUNCTION("""COMPUTED_VALUE"""),44646.0)</f>
        <v>44646</v>
      </c>
      <c r="C7491" s="5"/>
      <c r="D7491" s="5"/>
      <c r="E7491" s="5"/>
      <c r="F7491" s="25">
        <f>IFERROR(__xludf.DUMMYFUNCTION("""COMPUTED_VALUE"""),363198.608)</f>
        <v>363198.608</v>
      </c>
      <c r="G7491" s="25">
        <f>IFERROR(__xludf.DUMMYFUNCTION("""COMPUTED_VALUE"""),0.0)</f>
        <v>0</v>
      </c>
      <c r="H7491" s="8">
        <f>IFERROR(__xludf.DUMMYFUNCTION("""COMPUTED_VALUE"""),500000.0)</f>
        <v>500000</v>
      </c>
      <c r="I7491" s="24">
        <f>IFERROR(__xludf.DUMMYFUNCTION("""COMPUTED_VALUE"""),0.0)</f>
        <v>0</v>
      </c>
    </row>
    <row r="7492">
      <c r="A7492" s="5" t="str">
        <f>IFERROR(__xludf.DUMMYFUNCTION("""COMPUTED_VALUE"""),"89845")</f>
        <v>89845</v>
      </c>
      <c r="B7492" s="64">
        <f>IFERROR(__xludf.DUMMYFUNCTION("""COMPUTED_VALUE"""),44647.0)</f>
        <v>44647</v>
      </c>
      <c r="C7492" s="5"/>
      <c r="D7492" s="5"/>
      <c r="E7492" s="5"/>
      <c r="F7492" s="25">
        <f>IFERROR(__xludf.DUMMYFUNCTION("""COMPUTED_VALUE"""),363198.608)</f>
        <v>363198.608</v>
      </c>
      <c r="G7492" s="25">
        <f>IFERROR(__xludf.DUMMYFUNCTION("""COMPUTED_VALUE"""),0.0)</f>
        <v>0</v>
      </c>
      <c r="H7492" s="8">
        <f>IFERROR(__xludf.DUMMYFUNCTION("""COMPUTED_VALUE"""),500000.0)</f>
        <v>500000</v>
      </c>
      <c r="I7492" s="24">
        <f>IFERROR(__xludf.DUMMYFUNCTION("""COMPUTED_VALUE"""),0.0)</f>
        <v>0</v>
      </c>
    </row>
    <row r="7493">
      <c r="A7493" s="5" t="str">
        <f>IFERROR(__xludf.DUMMYFUNCTION("""COMPUTED_VALUE"""),"89845")</f>
        <v>89845</v>
      </c>
      <c r="B7493" s="64">
        <f>IFERROR(__xludf.DUMMYFUNCTION("""COMPUTED_VALUE"""),44648.0)</f>
        <v>44648</v>
      </c>
      <c r="C7493" s="5"/>
      <c r="D7493" s="5"/>
      <c r="E7493" s="5"/>
      <c r="F7493" s="25">
        <f>IFERROR(__xludf.DUMMYFUNCTION("""COMPUTED_VALUE"""),363198.608)</f>
        <v>363198.608</v>
      </c>
      <c r="G7493" s="25">
        <f>IFERROR(__xludf.DUMMYFUNCTION("""COMPUTED_VALUE"""),0.0)</f>
        <v>0</v>
      </c>
      <c r="H7493" s="8">
        <f>IFERROR(__xludf.DUMMYFUNCTION("""COMPUTED_VALUE"""),500689.01800000004)</f>
        <v>500689.018</v>
      </c>
      <c r="I7493" s="24">
        <f>IFERROR(__xludf.DUMMYFUNCTION("""COMPUTED_VALUE"""),0.0013780359999999714)</f>
        <v>0.001378036</v>
      </c>
    </row>
    <row r="7494">
      <c r="A7494" s="5" t="str">
        <f>IFERROR(__xludf.DUMMYFUNCTION("""COMPUTED_VALUE"""),"89845")</f>
        <v>89845</v>
      </c>
      <c r="B7494" s="64">
        <f>IFERROR(__xludf.DUMMYFUNCTION("""COMPUTED_VALUE"""),44649.0)</f>
        <v>44649</v>
      </c>
      <c r="C7494" s="5"/>
      <c r="D7494" s="5"/>
      <c r="E7494" s="5"/>
      <c r="F7494" s="25">
        <f>IFERROR(__xludf.DUMMYFUNCTION("""COMPUTED_VALUE"""),363198.608)</f>
        <v>363198.608</v>
      </c>
      <c r="G7494" s="25">
        <f>IFERROR(__xludf.DUMMYFUNCTION("""COMPUTED_VALUE"""),0.0)</f>
        <v>0</v>
      </c>
      <c r="H7494" s="8">
        <f>IFERROR(__xludf.DUMMYFUNCTION("""COMPUTED_VALUE"""),503319.814)</f>
        <v>503319.814</v>
      </c>
      <c r="I7494" s="24">
        <f>IFERROR(__xludf.DUMMYFUNCTION("""COMPUTED_VALUE"""),0.006639628000000064)</f>
        <v>0.006639628</v>
      </c>
    </row>
    <row r="7495">
      <c r="A7495" s="5" t="str">
        <f>IFERROR(__xludf.DUMMYFUNCTION("""COMPUTED_VALUE"""),"89845")</f>
        <v>89845</v>
      </c>
      <c r="B7495" s="64">
        <f>IFERROR(__xludf.DUMMYFUNCTION("""COMPUTED_VALUE"""),44650.0)</f>
        <v>44650</v>
      </c>
      <c r="C7495" s="5"/>
      <c r="D7495" s="5"/>
      <c r="E7495" s="5"/>
      <c r="F7495" s="25">
        <f>IFERROR(__xludf.DUMMYFUNCTION("""COMPUTED_VALUE"""),363198.608)</f>
        <v>363198.608</v>
      </c>
      <c r="G7495" s="25">
        <f>IFERROR(__xludf.DUMMYFUNCTION("""COMPUTED_VALUE"""),0.0)</f>
        <v>0</v>
      </c>
      <c r="H7495" s="8">
        <f>IFERROR(__xludf.DUMMYFUNCTION("""COMPUTED_VALUE"""),502388.07375)</f>
        <v>502388.0738</v>
      </c>
      <c r="I7495" s="24">
        <f>IFERROR(__xludf.DUMMYFUNCTION("""COMPUTED_VALUE"""),0.004776147499999883)</f>
        <v>0.0047761475</v>
      </c>
    </row>
    <row r="7496">
      <c r="A7496" s="5" t="str">
        <f>IFERROR(__xludf.DUMMYFUNCTION("""COMPUTED_VALUE"""),"89845")</f>
        <v>89845</v>
      </c>
      <c r="B7496" s="64">
        <f>IFERROR(__xludf.DUMMYFUNCTION("""COMPUTED_VALUE"""),44651.0)</f>
        <v>44651</v>
      </c>
      <c r="C7496" s="5"/>
      <c r="D7496" s="5"/>
      <c r="E7496" s="5"/>
      <c r="F7496" s="25">
        <f>IFERROR(__xludf.DUMMYFUNCTION("""COMPUTED_VALUE"""),363198.608)</f>
        <v>363198.608</v>
      </c>
      <c r="G7496" s="25">
        <f>IFERROR(__xludf.DUMMYFUNCTION("""COMPUTED_VALUE"""),0.0)</f>
        <v>0</v>
      </c>
      <c r="H7496" s="8">
        <f>IFERROR(__xludf.DUMMYFUNCTION("""COMPUTED_VALUE"""),499913.87275)</f>
        <v>499913.8728</v>
      </c>
      <c r="I7496" s="24">
        <f>IFERROR(__xludf.DUMMYFUNCTION("""COMPUTED_VALUE"""),-1.7225450000002418E-4)</f>
        <v>-0.0001722545</v>
      </c>
    </row>
    <row r="7497">
      <c r="A7497" s="5" t="str">
        <f>IFERROR(__xludf.DUMMYFUNCTION("""COMPUTED_VALUE"""),"89845")</f>
        <v>89845</v>
      </c>
      <c r="B7497" s="64">
        <f>IFERROR(__xludf.DUMMYFUNCTION("""COMPUTED_VALUE"""),44652.0)</f>
        <v>44652</v>
      </c>
      <c r="C7497" s="5"/>
      <c r="D7497" s="5"/>
      <c r="E7497" s="5"/>
      <c r="F7497" s="25">
        <f>IFERROR(__xludf.DUMMYFUNCTION("""COMPUTED_VALUE"""),363198.608)</f>
        <v>363198.608</v>
      </c>
      <c r="G7497" s="25">
        <f>IFERROR(__xludf.DUMMYFUNCTION("""COMPUTED_VALUE"""),0.0)</f>
        <v>0</v>
      </c>
      <c r="H7497" s="8">
        <f>IFERROR(__xludf.DUMMYFUNCTION("""COMPUTED_VALUE"""),499678.98025)</f>
        <v>499678.9803</v>
      </c>
      <c r="I7497" s="24">
        <f>IFERROR(__xludf.DUMMYFUNCTION("""COMPUTED_VALUE"""),-6.42039499999969E-4)</f>
        <v>-0.0006420395</v>
      </c>
    </row>
    <row r="7498">
      <c r="A7498" s="5" t="str">
        <f>IFERROR(__xludf.DUMMYFUNCTION("""COMPUTED_VALUE"""),"89845")</f>
        <v>89845</v>
      </c>
      <c r="B7498" s="64">
        <f>IFERROR(__xludf.DUMMYFUNCTION("""COMPUTED_VALUE"""),44653.0)</f>
        <v>44653</v>
      </c>
      <c r="C7498" s="5"/>
      <c r="D7498" s="5"/>
      <c r="E7498" s="5"/>
      <c r="F7498" s="25">
        <f>IFERROR(__xludf.DUMMYFUNCTION("""COMPUTED_VALUE"""),363198.608)</f>
        <v>363198.608</v>
      </c>
      <c r="G7498" s="25">
        <f>IFERROR(__xludf.DUMMYFUNCTION("""COMPUTED_VALUE"""),0.0)</f>
        <v>0</v>
      </c>
      <c r="H7498" s="8">
        <f>IFERROR(__xludf.DUMMYFUNCTION("""COMPUTED_VALUE"""),499678.98025)</f>
        <v>499678.9803</v>
      </c>
      <c r="I7498" s="24">
        <f>IFERROR(__xludf.DUMMYFUNCTION("""COMPUTED_VALUE"""),-6.42039499999969E-4)</f>
        <v>-0.0006420395</v>
      </c>
    </row>
    <row r="7499">
      <c r="A7499" s="5" t="str">
        <f>IFERROR(__xludf.DUMMYFUNCTION("""COMPUTED_VALUE"""),"89845")</f>
        <v>89845</v>
      </c>
      <c r="B7499" s="64">
        <f>IFERROR(__xludf.DUMMYFUNCTION("""COMPUTED_VALUE"""),44654.0)</f>
        <v>44654</v>
      </c>
      <c r="C7499" s="5"/>
      <c r="D7499" s="5"/>
      <c r="E7499" s="5"/>
      <c r="F7499" s="25">
        <f>IFERROR(__xludf.DUMMYFUNCTION("""COMPUTED_VALUE"""),363198.608)</f>
        <v>363198.608</v>
      </c>
      <c r="G7499" s="25">
        <f>IFERROR(__xludf.DUMMYFUNCTION("""COMPUTED_VALUE"""),0.0)</f>
        <v>0</v>
      </c>
      <c r="H7499" s="8">
        <f>IFERROR(__xludf.DUMMYFUNCTION("""COMPUTED_VALUE"""),499678.98025)</f>
        <v>499678.9803</v>
      </c>
      <c r="I7499" s="24">
        <f>IFERROR(__xludf.DUMMYFUNCTION("""COMPUTED_VALUE"""),-6.42039499999969E-4)</f>
        <v>-0.0006420395</v>
      </c>
    </row>
    <row r="7500">
      <c r="A7500" s="5" t="str">
        <f>IFERROR(__xludf.DUMMYFUNCTION("""COMPUTED_VALUE"""),"89845")</f>
        <v>89845</v>
      </c>
      <c r="B7500" s="64">
        <f>IFERROR(__xludf.DUMMYFUNCTION("""COMPUTED_VALUE"""),44655.0)</f>
        <v>44655</v>
      </c>
      <c r="C7500" s="5"/>
      <c r="D7500" s="5"/>
      <c r="E7500" s="5"/>
      <c r="F7500" s="25">
        <f>IFERROR(__xludf.DUMMYFUNCTION("""COMPUTED_VALUE"""),363198.608)</f>
        <v>363198.608</v>
      </c>
      <c r="G7500" s="25">
        <f>IFERROR(__xludf.DUMMYFUNCTION("""COMPUTED_VALUE"""),0.0)</f>
        <v>0</v>
      </c>
      <c r="H7500" s="8">
        <f>IFERROR(__xludf.DUMMYFUNCTION("""COMPUTED_VALUE"""),502912.667)</f>
        <v>502912.667</v>
      </c>
      <c r="I7500" s="24">
        <f>IFERROR(__xludf.DUMMYFUNCTION("""COMPUTED_VALUE"""),0.005825334000000071)</f>
        <v>0.005825334</v>
      </c>
    </row>
    <row r="7501">
      <c r="A7501" s="5" t="str">
        <f>IFERROR(__xludf.DUMMYFUNCTION("""COMPUTED_VALUE"""),"89845")</f>
        <v>89845</v>
      </c>
      <c r="B7501" s="64">
        <f>IFERROR(__xludf.DUMMYFUNCTION("""COMPUTED_VALUE"""),44656.0)</f>
        <v>44656</v>
      </c>
      <c r="C7501" s="5"/>
      <c r="D7501" s="5"/>
      <c r="E7501" s="5"/>
      <c r="F7501" s="25">
        <f>IFERROR(__xludf.DUMMYFUNCTION("""COMPUTED_VALUE"""),363198.608)</f>
        <v>363198.608</v>
      </c>
      <c r="G7501" s="25">
        <f>IFERROR(__xludf.DUMMYFUNCTION("""COMPUTED_VALUE"""),0.0)</f>
        <v>0</v>
      </c>
      <c r="H7501" s="8">
        <f>IFERROR(__xludf.DUMMYFUNCTION("""COMPUTED_VALUE"""),500266.2115)</f>
        <v>500266.2115</v>
      </c>
      <c r="I7501" s="24">
        <f>IFERROR(__xludf.DUMMYFUNCTION("""COMPUTED_VALUE"""),5.324229999998931E-4)</f>
        <v>0.000532423</v>
      </c>
    </row>
    <row r="7502">
      <c r="A7502" s="5" t="str">
        <f>IFERROR(__xludf.DUMMYFUNCTION("""COMPUTED_VALUE"""),"89845")</f>
        <v>89845</v>
      </c>
      <c r="B7502" s="64">
        <f>IFERROR(__xludf.DUMMYFUNCTION("""COMPUTED_VALUE"""),44657.0)</f>
        <v>44657</v>
      </c>
      <c r="C7502" s="5"/>
      <c r="D7502" s="5"/>
      <c r="E7502" s="5"/>
      <c r="F7502" s="25">
        <f>IFERROR(__xludf.DUMMYFUNCTION("""COMPUTED_VALUE"""),363198.608)</f>
        <v>363198.608</v>
      </c>
      <c r="G7502" s="25">
        <f>IFERROR(__xludf.DUMMYFUNCTION("""COMPUTED_VALUE"""),0.0)</f>
        <v>0</v>
      </c>
      <c r="H7502" s="8">
        <f>IFERROR(__xludf.DUMMYFUNCTION("""COMPUTED_VALUE"""),497737.20225000003)</f>
        <v>497737.2023</v>
      </c>
      <c r="I7502" s="24">
        <f>IFERROR(__xludf.DUMMYFUNCTION("""COMPUTED_VALUE"""),-0.004525595499999979)</f>
        <v>-0.0045255955</v>
      </c>
    </row>
    <row r="7503">
      <c r="A7503" s="5" t="str">
        <f>IFERROR(__xludf.DUMMYFUNCTION("""COMPUTED_VALUE"""),"89845")</f>
        <v>89845</v>
      </c>
      <c r="B7503" s="64">
        <f>IFERROR(__xludf.DUMMYFUNCTION("""COMPUTED_VALUE"""),44658.0)</f>
        <v>44658</v>
      </c>
      <c r="C7503" s="5"/>
      <c r="D7503" s="5"/>
      <c r="E7503" s="5"/>
      <c r="F7503" s="25">
        <f>IFERROR(__xludf.DUMMYFUNCTION("""COMPUTED_VALUE"""),363198.608)</f>
        <v>363198.608</v>
      </c>
      <c r="G7503" s="25">
        <f>IFERROR(__xludf.DUMMYFUNCTION("""COMPUTED_VALUE"""),0.0)</f>
        <v>0</v>
      </c>
      <c r="H7503" s="8">
        <f>IFERROR(__xludf.DUMMYFUNCTION("""COMPUTED_VALUE"""),497846.81875)</f>
        <v>497846.8188</v>
      </c>
      <c r="I7503" s="24">
        <f>IFERROR(__xludf.DUMMYFUNCTION("""COMPUTED_VALUE"""),-0.004306362500000049)</f>
        <v>-0.0043063625</v>
      </c>
    </row>
    <row r="7504">
      <c r="A7504" s="5" t="str">
        <f>IFERROR(__xludf.DUMMYFUNCTION("""COMPUTED_VALUE"""),"89845")</f>
        <v>89845</v>
      </c>
      <c r="B7504" s="64">
        <f>IFERROR(__xludf.DUMMYFUNCTION("""COMPUTED_VALUE"""),44659.0)</f>
        <v>44659</v>
      </c>
      <c r="C7504" s="5"/>
      <c r="D7504" s="5"/>
      <c r="E7504" s="5"/>
      <c r="F7504" s="25">
        <f>IFERROR(__xludf.DUMMYFUNCTION("""COMPUTED_VALUE"""),363198.608)</f>
        <v>363198.608</v>
      </c>
      <c r="G7504" s="25">
        <f>IFERROR(__xludf.DUMMYFUNCTION("""COMPUTED_VALUE"""),0.0)</f>
        <v>0</v>
      </c>
      <c r="H7504" s="8">
        <f>IFERROR(__xludf.DUMMYFUNCTION("""COMPUTED_VALUE"""),496374.82575)</f>
        <v>496374.8258</v>
      </c>
      <c r="I7504" s="24">
        <f>IFERROR(__xludf.DUMMYFUNCTION("""COMPUTED_VALUE"""),-0.007250348499999948)</f>
        <v>-0.0072503485</v>
      </c>
    </row>
    <row r="7505">
      <c r="A7505" s="5" t="str">
        <f>IFERROR(__xludf.DUMMYFUNCTION("""COMPUTED_VALUE"""),"89845")</f>
        <v>89845</v>
      </c>
      <c r="B7505" s="64">
        <f>IFERROR(__xludf.DUMMYFUNCTION("""COMPUTED_VALUE"""),44660.0)</f>
        <v>44660</v>
      </c>
      <c r="C7505" s="5"/>
      <c r="D7505" s="5"/>
      <c r="E7505" s="5"/>
      <c r="F7505" s="25">
        <f>IFERROR(__xludf.DUMMYFUNCTION("""COMPUTED_VALUE"""),363198.608)</f>
        <v>363198.608</v>
      </c>
      <c r="G7505" s="25">
        <f>IFERROR(__xludf.DUMMYFUNCTION("""COMPUTED_VALUE"""),0.0)</f>
        <v>0</v>
      </c>
      <c r="H7505" s="8">
        <f>IFERROR(__xludf.DUMMYFUNCTION("""COMPUTED_VALUE"""),495549.82575)</f>
        <v>495549.8258</v>
      </c>
      <c r="I7505" s="24">
        <f>IFERROR(__xludf.DUMMYFUNCTION("""COMPUTED_VALUE"""),-0.008900348499999988)</f>
        <v>-0.0089003485</v>
      </c>
    </row>
    <row r="7506">
      <c r="A7506" s="5" t="str">
        <f>IFERROR(__xludf.DUMMYFUNCTION("""COMPUTED_VALUE"""),"89845")</f>
        <v>89845</v>
      </c>
      <c r="B7506" s="64">
        <f>IFERROR(__xludf.DUMMYFUNCTION("""COMPUTED_VALUE"""),44661.0)</f>
        <v>44661</v>
      </c>
      <c r="C7506" s="5"/>
      <c r="D7506" s="5"/>
      <c r="E7506" s="5"/>
      <c r="F7506" s="25">
        <f>IFERROR(__xludf.DUMMYFUNCTION("""COMPUTED_VALUE"""),363198.608)</f>
        <v>363198.608</v>
      </c>
      <c r="G7506" s="25">
        <f>IFERROR(__xludf.DUMMYFUNCTION("""COMPUTED_VALUE"""),0.0)</f>
        <v>0</v>
      </c>
      <c r="H7506" s="8">
        <f>IFERROR(__xludf.DUMMYFUNCTION("""COMPUTED_VALUE"""),495549.82575)</f>
        <v>495549.8258</v>
      </c>
      <c r="I7506" s="24">
        <f>IFERROR(__xludf.DUMMYFUNCTION("""COMPUTED_VALUE"""),-0.008900348499999988)</f>
        <v>-0.0089003485</v>
      </c>
    </row>
    <row r="7507">
      <c r="A7507" s="5" t="str">
        <f>IFERROR(__xludf.DUMMYFUNCTION("""COMPUTED_VALUE"""),"89845")</f>
        <v>89845</v>
      </c>
      <c r="B7507" s="64">
        <f>IFERROR(__xludf.DUMMYFUNCTION("""COMPUTED_VALUE"""),44662.0)</f>
        <v>44662</v>
      </c>
      <c r="C7507" s="5"/>
      <c r="D7507" s="5"/>
      <c r="E7507" s="5"/>
      <c r="F7507" s="25">
        <f>IFERROR(__xludf.DUMMYFUNCTION("""COMPUTED_VALUE"""),363198.608)</f>
        <v>363198.608</v>
      </c>
      <c r="G7507" s="25">
        <f>IFERROR(__xludf.DUMMYFUNCTION("""COMPUTED_VALUE"""),0.0)</f>
        <v>0</v>
      </c>
      <c r="H7507" s="8">
        <f>IFERROR(__xludf.DUMMYFUNCTION("""COMPUTED_VALUE"""),492976.71425)</f>
        <v>492976.7143</v>
      </c>
      <c r="I7507" s="24">
        <f>IFERROR(__xludf.DUMMYFUNCTION("""COMPUTED_VALUE"""),-0.014046571499999994)</f>
        <v>-0.0140465715</v>
      </c>
    </row>
    <row r="7508">
      <c r="A7508" s="5" t="str">
        <f>IFERROR(__xludf.DUMMYFUNCTION("""COMPUTED_VALUE"""),"89845")</f>
        <v>89845</v>
      </c>
      <c r="B7508" s="64">
        <f>IFERROR(__xludf.DUMMYFUNCTION("""COMPUTED_VALUE"""),44663.0)</f>
        <v>44663</v>
      </c>
      <c r="C7508" s="5"/>
      <c r="D7508" s="5"/>
      <c r="E7508" s="5"/>
      <c r="F7508" s="25">
        <f>IFERROR(__xludf.DUMMYFUNCTION("""COMPUTED_VALUE"""),279829.3216)</f>
        <v>279829.3216</v>
      </c>
      <c r="G7508" s="25">
        <f>IFERROR(__xludf.DUMMYFUNCTION("""COMPUTED_VALUE"""),0.0)</f>
        <v>0</v>
      </c>
      <c r="H7508" s="8">
        <f>IFERROR(__xludf.DUMMYFUNCTION("""COMPUTED_VALUE"""),494822.1965)</f>
        <v>494822.1965</v>
      </c>
      <c r="I7508" s="24">
        <f>IFERROR(__xludf.DUMMYFUNCTION("""COMPUTED_VALUE"""),-0.010355606999999933)</f>
        <v>-0.010355607</v>
      </c>
    </row>
    <row r="7509">
      <c r="A7509" s="5" t="str">
        <f>IFERROR(__xludf.DUMMYFUNCTION("""COMPUTED_VALUE"""),"95516")</f>
        <v>95516</v>
      </c>
      <c r="B7509" s="64">
        <f>IFERROR(__xludf.DUMMYFUNCTION("""COMPUTED_VALUE"""),44597.0)</f>
        <v>44597</v>
      </c>
      <c r="C7509" s="5"/>
      <c r="D7509" s="5"/>
      <c r="E7509" s="5"/>
      <c r="F7509" s="25">
        <f>IFERROR(__xludf.DUMMYFUNCTION("""COMPUTED_VALUE"""),500000.0)</f>
        <v>500000</v>
      </c>
      <c r="G7509" s="25">
        <f>IFERROR(__xludf.DUMMYFUNCTION("""COMPUTED_VALUE"""),0.0)</f>
        <v>0</v>
      </c>
      <c r="H7509" s="8">
        <f>IFERROR(__xludf.DUMMYFUNCTION("""COMPUTED_VALUE"""),500000.0)</f>
        <v>500000</v>
      </c>
      <c r="I7509" s="24">
        <f>IFERROR(__xludf.DUMMYFUNCTION("""COMPUTED_VALUE"""),0.0)</f>
        <v>0</v>
      </c>
    </row>
    <row r="7510">
      <c r="A7510" s="5" t="str">
        <f>IFERROR(__xludf.DUMMYFUNCTION("""COMPUTED_VALUE"""),"95516")</f>
        <v>95516</v>
      </c>
      <c r="B7510" s="64">
        <f>IFERROR(__xludf.DUMMYFUNCTION("""COMPUTED_VALUE"""),44598.0)</f>
        <v>44598</v>
      </c>
      <c r="C7510" s="5"/>
      <c r="D7510" s="5"/>
      <c r="E7510" s="5"/>
      <c r="F7510" s="25">
        <f>IFERROR(__xludf.DUMMYFUNCTION("""COMPUTED_VALUE"""),500000.0)</f>
        <v>500000</v>
      </c>
      <c r="G7510" s="25">
        <f>IFERROR(__xludf.DUMMYFUNCTION("""COMPUTED_VALUE"""),0.0)</f>
        <v>0</v>
      </c>
      <c r="H7510" s="8">
        <f>IFERROR(__xludf.DUMMYFUNCTION("""COMPUTED_VALUE"""),500000.0)</f>
        <v>500000</v>
      </c>
      <c r="I7510" s="24">
        <f>IFERROR(__xludf.DUMMYFUNCTION("""COMPUTED_VALUE"""),0.0)</f>
        <v>0</v>
      </c>
    </row>
    <row r="7511">
      <c r="A7511" s="5" t="str">
        <f>IFERROR(__xludf.DUMMYFUNCTION("""COMPUTED_VALUE"""),"95516")</f>
        <v>95516</v>
      </c>
      <c r="B7511" s="64">
        <f>IFERROR(__xludf.DUMMYFUNCTION("""COMPUTED_VALUE"""),44599.0)</f>
        <v>44599</v>
      </c>
      <c r="C7511" s="5"/>
      <c r="D7511" s="5"/>
      <c r="E7511" s="5"/>
      <c r="F7511" s="25">
        <f>IFERROR(__xludf.DUMMYFUNCTION("""COMPUTED_VALUE"""),500000.0)</f>
        <v>500000</v>
      </c>
      <c r="G7511" s="25">
        <f>IFERROR(__xludf.DUMMYFUNCTION("""COMPUTED_VALUE"""),0.0)</f>
        <v>0</v>
      </c>
      <c r="H7511" s="8">
        <f>IFERROR(__xludf.DUMMYFUNCTION("""COMPUTED_VALUE"""),500000.0)</f>
        <v>500000</v>
      </c>
      <c r="I7511" s="24">
        <f>IFERROR(__xludf.DUMMYFUNCTION("""COMPUTED_VALUE"""),0.0)</f>
        <v>0</v>
      </c>
    </row>
    <row r="7512">
      <c r="A7512" s="5" t="str">
        <f>IFERROR(__xludf.DUMMYFUNCTION("""COMPUTED_VALUE"""),"95516")</f>
        <v>95516</v>
      </c>
      <c r="B7512" s="64">
        <f>IFERROR(__xludf.DUMMYFUNCTION("""COMPUTED_VALUE"""),44600.0)</f>
        <v>44600</v>
      </c>
      <c r="C7512" s="5"/>
      <c r="D7512" s="5"/>
      <c r="E7512" s="5"/>
      <c r="F7512" s="25">
        <f>IFERROR(__xludf.DUMMYFUNCTION("""COMPUTED_VALUE"""),500000.0)</f>
        <v>500000</v>
      </c>
      <c r="G7512" s="25">
        <f>IFERROR(__xludf.DUMMYFUNCTION("""COMPUTED_VALUE"""),0.0)</f>
        <v>0</v>
      </c>
      <c r="H7512" s="8">
        <f>IFERROR(__xludf.DUMMYFUNCTION("""COMPUTED_VALUE"""),500000.0)</f>
        <v>500000</v>
      </c>
      <c r="I7512" s="24">
        <f>IFERROR(__xludf.DUMMYFUNCTION("""COMPUTED_VALUE"""),0.0)</f>
        <v>0</v>
      </c>
    </row>
    <row r="7513">
      <c r="A7513" s="5" t="str">
        <f>IFERROR(__xludf.DUMMYFUNCTION("""COMPUTED_VALUE"""),"95516")</f>
        <v>95516</v>
      </c>
      <c r="B7513" s="64">
        <f>IFERROR(__xludf.DUMMYFUNCTION("""COMPUTED_VALUE"""),44601.0)</f>
        <v>44601</v>
      </c>
      <c r="C7513" s="5"/>
      <c r="D7513" s="5"/>
      <c r="E7513" s="5"/>
      <c r="F7513" s="25">
        <f>IFERROR(__xludf.DUMMYFUNCTION("""COMPUTED_VALUE"""),500000.0)</f>
        <v>500000</v>
      </c>
      <c r="G7513" s="25">
        <f>IFERROR(__xludf.DUMMYFUNCTION("""COMPUTED_VALUE"""),0.0)</f>
        <v>0</v>
      </c>
      <c r="H7513" s="8">
        <f>IFERROR(__xludf.DUMMYFUNCTION("""COMPUTED_VALUE"""),500000.0)</f>
        <v>500000</v>
      </c>
      <c r="I7513" s="24">
        <f>IFERROR(__xludf.DUMMYFUNCTION("""COMPUTED_VALUE"""),0.0)</f>
        <v>0</v>
      </c>
    </row>
    <row r="7514">
      <c r="A7514" s="5" t="str">
        <f>IFERROR(__xludf.DUMMYFUNCTION("""COMPUTED_VALUE"""),"95516")</f>
        <v>95516</v>
      </c>
      <c r="B7514" s="64">
        <f>IFERROR(__xludf.DUMMYFUNCTION("""COMPUTED_VALUE"""),44602.0)</f>
        <v>44602</v>
      </c>
      <c r="C7514" s="5"/>
      <c r="D7514" s="5"/>
      <c r="E7514" s="5"/>
      <c r="F7514" s="25">
        <f>IFERROR(__xludf.DUMMYFUNCTION("""COMPUTED_VALUE"""),500000.0)</f>
        <v>500000</v>
      </c>
      <c r="G7514" s="25">
        <f>IFERROR(__xludf.DUMMYFUNCTION("""COMPUTED_VALUE"""),0.0)</f>
        <v>0</v>
      </c>
      <c r="H7514" s="8">
        <f>IFERROR(__xludf.DUMMYFUNCTION("""COMPUTED_VALUE"""),500000.0)</f>
        <v>500000</v>
      </c>
      <c r="I7514" s="24">
        <f>IFERROR(__xludf.DUMMYFUNCTION("""COMPUTED_VALUE"""),0.0)</f>
        <v>0</v>
      </c>
    </row>
    <row r="7515">
      <c r="A7515" s="5" t="str">
        <f>IFERROR(__xludf.DUMMYFUNCTION("""COMPUTED_VALUE"""),"95516")</f>
        <v>95516</v>
      </c>
      <c r="B7515" s="64">
        <f>IFERROR(__xludf.DUMMYFUNCTION("""COMPUTED_VALUE"""),44603.0)</f>
        <v>44603</v>
      </c>
      <c r="C7515" s="5"/>
      <c r="D7515" s="5"/>
      <c r="E7515" s="5"/>
      <c r="F7515" s="25">
        <f>IFERROR(__xludf.DUMMYFUNCTION("""COMPUTED_VALUE"""),500000.0)</f>
        <v>500000</v>
      </c>
      <c r="G7515" s="25">
        <f>IFERROR(__xludf.DUMMYFUNCTION("""COMPUTED_VALUE"""),0.0)</f>
        <v>0</v>
      </c>
      <c r="H7515" s="8">
        <f>IFERROR(__xludf.DUMMYFUNCTION("""COMPUTED_VALUE"""),500000.0)</f>
        <v>500000</v>
      </c>
      <c r="I7515" s="24">
        <f>IFERROR(__xludf.DUMMYFUNCTION("""COMPUTED_VALUE"""),0.0)</f>
        <v>0</v>
      </c>
    </row>
    <row r="7516">
      <c r="A7516" s="5" t="str">
        <f>IFERROR(__xludf.DUMMYFUNCTION("""COMPUTED_VALUE"""),"95516")</f>
        <v>95516</v>
      </c>
      <c r="B7516" s="64">
        <f>IFERROR(__xludf.DUMMYFUNCTION("""COMPUTED_VALUE"""),44604.0)</f>
        <v>44604</v>
      </c>
      <c r="C7516" s="5"/>
      <c r="D7516" s="5"/>
      <c r="E7516" s="5"/>
      <c r="F7516" s="25">
        <f>IFERROR(__xludf.DUMMYFUNCTION("""COMPUTED_VALUE"""),500000.0)</f>
        <v>500000</v>
      </c>
      <c r="G7516" s="25">
        <f>IFERROR(__xludf.DUMMYFUNCTION("""COMPUTED_VALUE"""),0.0)</f>
        <v>0</v>
      </c>
      <c r="H7516" s="8">
        <f>IFERROR(__xludf.DUMMYFUNCTION("""COMPUTED_VALUE"""),500000.0)</f>
        <v>500000</v>
      </c>
      <c r="I7516" s="24">
        <f>IFERROR(__xludf.DUMMYFUNCTION("""COMPUTED_VALUE"""),0.0)</f>
        <v>0</v>
      </c>
    </row>
    <row r="7517">
      <c r="A7517" s="5" t="str">
        <f>IFERROR(__xludf.DUMMYFUNCTION("""COMPUTED_VALUE"""),"95516")</f>
        <v>95516</v>
      </c>
      <c r="B7517" s="64">
        <f>IFERROR(__xludf.DUMMYFUNCTION("""COMPUTED_VALUE"""),44605.0)</f>
        <v>44605</v>
      </c>
      <c r="C7517" s="5"/>
      <c r="D7517" s="5"/>
      <c r="E7517" s="5"/>
      <c r="F7517" s="25">
        <f>IFERROR(__xludf.DUMMYFUNCTION("""COMPUTED_VALUE"""),500000.0)</f>
        <v>500000</v>
      </c>
      <c r="G7517" s="25">
        <f>IFERROR(__xludf.DUMMYFUNCTION("""COMPUTED_VALUE"""),0.0)</f>
        <v>0</v>
      </c>
      <c r="H7517" s="8">
        <f>IFERROR(__xludf.DUMMYFUNCTION("""COMPUTED_VALUE"""),500000.0)</f>
        <v>500000</v>
      </c>
      <c r="I7517" s="24">
        <f>IFERROR(__xludf.DUMMYFUNCTION("""COMPUTED_VALUE"""),0.0)</f>
        <v>0</v>
      </c>
    </row>
    <row r="7518">
      <c r="A7518" s="5" t="str">
        <f>IFERROR(__xludf.DUMMYFUNCTION("""COMPUTED_VALUE"""),"95516")</f>
        <v>95516</v>
      </c>
      <c r="B7518" s="64">
        <f>IFERROR(__xludf.DUMMYFUNCTION("""COMPUTED_VALUE"""),44606.0)</f>
        <v>44606</v>
      </c>
      <c r="C7518" s="5"/>
      <c r="D7518" s="5"/>
      <c r="E7518" s="5"/>
      <c r="F7518" s="25">
        <f>IFERROR(__xludf.DUMMYFUNCTION("""COMPUTED_VALUE"""),500000.0)</f>
        <v>500000</v>
      </c>
      <c r="G7518" s="25">
        <f>IFERROR(__xludf.DUMMYFUNCTION("""COMPUTED_VALUE"""),0.0)</f>
        <v>0</v>
      </c>
      <c r="H7518" s="8">
        <f>IFERROR(__xludf.DUMMYFUNCTION("""COMPUTED_VALUE"""),500000.0)</f>
        <v>500000</v>
      </c>
      <c r="I7518" s="24">
        <f>IFERROR(__xludf.DUMMYFUNCTION("""COMPUTED_VALUE"""),0.0)</f>
        <v>0</v>
      </c>
    </row>
    <row r="7519">
      <c r="A7519" s="5" t="str">
        <f>IFERROR(__xludf.DUMMYFUNCTION("""COMPUTED_VALUE"""),"95516")</f>
        <v>95516</v>
      </c>
      <c r="B7519" s="64">
        <f>IFERROR(__xludf.DUMMYFUNCTION("""COMPUTED_VALUE"""),44607.0)</f>
        <v>44607</v>
      </c>
      <c r="C7519" s="5"/>
      <c r="D7519" s="5"/>
      <c r="E7519" s="5"/>
      <c r="F7519" s="25">
        <f>IFERROR(__xludf.DUMMYFUNCTION("""COMPUTED_VALUE"""),500000.0)</f>
        <v>500000</v>
      </c>
      <c r="G7519" s="25">
        <f>IFERROR(__xludf.DUMMYFUNCTION("""COMPUTED_VALUE"""),0.0)</f>
        <v>0</v>
      </c>
      <c r="H7519" s="8">
        <f>IFERROR(__xludf.DUMMYFUNCTION("""COMPUTED_VALUE"""),500000.0)</f>
        <v>500000</v>
      </c>
      <c r="I7519" s="24">
        <f>IFERROR(__xludf.DUMMYFUNCTION("""COMPUTED_VALUE"""),0.0)</f>
        <v>0</v>
      </c>
    </row>
    <row r="7520">
      <c r="A7520" s="5" t="str">
        <f>IFERROR(__xludf.DUMMYFUNCTION("""COMPUTED_VALUE"""),"95516")</f>
        <v>95516</v>
      </c>
      <c r="B7520" s="64">
        <f>IFERROR(__xludf.DUMMYFUNCTION("""COMPUTED_VALUE"""),44608.0)</f>
        <v>44608</v>
      </c>
      <c r="C7520" s="5"/>
      <c r="D7520" s="5"/>
      <c r="E7520" s="5"/>
      <c r="F7520" s="25">
        <f>IFERROR(__xludf.DUMMYFUNCTION("""COMPUTED_VALUE"""),500000.0)</f>
        <v>500000</v>
      </c>
      <c r="G7520" s="25">
        <f>IFERROR(__xludf.DUMMYFUNCTION("""COMPUTED_VALUE"""),0.0)</f>
        <v>0</v>
      </c>
      <c r="H7520" s="8">
        <f>IFERROR(__xludf.DUMMYFUNCTION("""COMPUTED_VALUE"""),500000.0)</f>
        <v>500000</v>
      </c>
      <c r="I7520" s="24">
        <f>IFERROR(__xludf.DUMMYFUNCTION("""COMPUTED_VALUE"""),0.0)</f>
        <v>0</v>
      </c>
    </row>
    <row r="7521">
      <c r="A7521" s="5" t="str">
        <f>IFERROR(__xludf.DUMMYFUNCTION("""COMPUTED_VALUE"""),"95516")</f>
        <v>95516</v>
      </c>
      <c r="B7521" s="64">
        <f>IFERROR(__xludf.DUMMYFUNCTION("""COMPUTED_VALUE"""),44609.0)</f>
        <v>44609</v>
      </c>
      <c r="C7521" s="5"/>
      <c r="D7521" s="5"/>
      <c r="E7521" s="5"/>
      <c r="F7521" s="25">
        <f>IFERROR(__xludf.DUMMYFUNCTION("""COMPUTED_VALUE"""),500000.0)</f>
        <v>500000</v>
      </c>
      <c r="G7521" s="25">
        <f>IFERROR(__xludf.DUMMYFUNCTION("""COMPUTED_VALUE"""),0.0)</f>
        <v>0</v>
      </c>
      <c r="H7521" s="8">
        <f>IFERROR(__xludf.DUMMYFUNCTION("""COMPUTED_VALUE"""),500000.0)</f>
        <v>500000</v>
      </c>
      <c r="I7521" s="24">
        <f>IFERROR(__xludf.DUMMYFUNCTION("""COMPUTED_VALUE"""),0.0)</f>
        <v>0</v>
      </c>
    </row>
    <row r="7522">
      <c r="A7522" s="5" t="str">
        <f>IFERROR(__xludf.DUMMYFUNCTION("""COMPUTED_VALUE"""),"95516")</f>
        <v>95516</v>
      </c>
      <c r="B7522" s="64">
        <f>IFERROR(__xludf.DUMMYFUNCTION("""COMPUTED_VALUE"""),44610.0)</f>
        <v>44610</v>
      </c>
      <c r="C7522" s="5"/>
      <c r="D7522" s="5"/>
      <c r="E7522" s="5"/>
      <c r="F7522" s="25">
        <f>IFERROR(__xludf.DUMMYFUNCTION("""COMPUTED_VALUE"""),500000.0)</f>
        <v>500000</v>
      </c>
      <c r="G7522" s="25">
        <f>IFERROR(__xludf.DUMMYFUNCTION("""COMPUTED_VALUE"""),0.0)</f>
        <v>0</v>
      </c>
      <c r="H7522" s="8">
        <f>IFERROR(__xludf.DUMMYFUNCTION("""COMPUTED_VALUE"""),500000.0)</f>
        <v>500000</v>
      </c>
      <c r="I7522" s="24">
        <f>IFERROR(__xludf.DUMMYFUNCTION("""COMPUTED_VALUE"""),0.0)</f>
        <v>0</v>
      </c>
    </row>
    <row r="7523">
      <c r="A7523" s="5" t="str">
        <f>IFERROR(__xludf.DUMMYFUNCTION("""COMPUTED_VALUE"""),"95516")</f>
        <v>95516</v>
      </c>
      <c r="B7523" s="64">
        <f>IFERROR(__xludf.DUMMYFUNCTION("""COMPUTED_VALUE"""),44611.0)</f>
        <v>44611</v>
      </c>
      <c r="C7523" s="5"/>
      <c r="D7523" s="5"/>
      <c r="E7523" s="5"/>
      <c r="F7523" s="25">
        <f>IFERROR(__xludf.DUMMYFUNCTION("""COMPUTED_VALUE"""),500000.0)</f>
        <v>500000</v>
      </c>
      <c r="G7523" s="25">
        <f>IFERROR(__xludf.DUMMYFUNCTION("""COMPUTED_VALUE"""),0.0)</f>
        <v>0</v>
      </c>
      <c r="H7523" s="8">
        <f>IFERROR(__xludf.DUMMYFUNCTION("""COMPUTED_VALUE"""),500000.0)</f>
        <v>500000</v>
      </c>
      <c r="I7523" s="24">
        <f>IFERROR(__xludf.DUMMYFUNCTION("""COMPUTED_VALUE"""),0.0)</f>
        <v>0</v>
      </c>
    </row>
    <row r="7524">
      <c r="A7524" s="5" t="str">
        <f>IFERROR(__xludf.DUMMYFUNCTION("""COMPUTED_VALUE"""),"95516")</f>
        <v>95516</v>
      </c>
      <c r="B7524" s="64">
        <f>IFERROR(__xludf.DUMMYFUNCTION("""COMPUTED_VALUE"""),44612.0)</f>
        <v>44612</v>
      </c>
      <c r="C7524" s="5"/>
      <c r="D7524" s="5"/>
      <c r="E7524" s="5"/>
      <c r="F7524" s="25">
        <f>IFERROR(__xludf.DUMMYFUNCTION("""COMPUTED_VALUE"""),500000.0)</f>
        <v>500000</v>
      </c>
      <c r="G7524" s="25">
        <f>IFERROR(__xludf.DUMMYFUNCTION("""COMPUTED_VALUE"""),0.0)</f>
        <v>0</v>
      </c>
      <c r="H7524" s="8">
        <f>IFERROR(__xludf.DUMMYFUNCTION("""COMPUTED_VALUE"""),500000.0)</f>
        <v>500000</v>
      </c>
      <c r="I7524" s="24">
        <f>IFERROR(__xludf.DUMMYFUNCTION("""COMPUTED_VALUE"""),0.0)</f>
        <v>0</v>
      </c>
    </row>
    <row r="7525">
      <c r="A7525" s="5" t="str">
        <f>IFERROR(__xludf.DUMMYFUNCTION("""COMPUTED_VALUE"""),"95516")</f>
        <v>95516</v>
      </c>
      <c r="B7525" s="64">
        <f>IFERROR(__xludf.DUMMYFUNCTION("""COMPUTED_VALUE"""),44613.0)</f>
        <v>44613</v>
      </c>
      <c r="C7525" s="5"/>
      <c r="D7525" s="5"/>
      <c r="E7525" s="5"/>
      <c r="F7525" s="25">
        <f>IFERROR(__xludf.DUMMYFUNCTION("""COMPUTED_VALUE"""),500000.0)</f>
        <v>500000</v>
      </c>
      <c r="G7525" s="25">
        <f>IFERROR(__xludf.DUMMYFUNCTION("""COMPUTED_VALUE"""),0.0)</f>
        <v>0</v>
      </c>
      <c r="H7525" s="8">
        <f>IFERROR(__xludf.DUMMYFUNCTION("""COMPUTED_VALUE"""),500000.0)</f>
        <v>500000</v>
      </c>
      <c r="I7525" s="24">
        <f>IFERROR(__xludf.DUMMYFUNCTION("""COMPUTED_VALUE"""),0.0)</f>
        <v>0</v>
      </c>
    </row>
    <row r="7526">
      <c r="A7526" s="5" t="str">
        <f>IFERROR(__xludf.DUMMYFUNCTION("""COMPUTED_VALUE"""),"95516")</f>
        <v>95516</v>
      </c>
      <c r="B7526" s="64">
        <f>IFERROR(__xludf.DUMMYFUNCTION("""COMPUTED_VALUE"""),44614.0)</f>
        <v>44614</v>
      </c>
      <c r="C7526" s="5"/>
      <c r="D7526" s="5"/>
      <c r="E7526" s="5"/>
      <c r="F7526" s="25">
        <f>IFERROR(__xludf.DUMMYFUNCTION("""COMPUTED_VALUE"""),500000.0)</f>
        <v>500000</v>
      </c>
      <c r="G7526" s="25">
        <f>IFERROR(__xludf.DUMMYFUNCTION("""COMPUTED_VALUE"""),0.0)</f>
        <v>0</v>
      </c>
      <c r="H7526" s="8">
        <f>IFERROR(__xludf.DUMMYFUNCTION("""COMPUTED_VALUE"""),500000.0)</f>
        <v>500000</v>
      </c>
      <c r="I7526" s="24">
        <f>IFERROR(__xludf.DUMMYFUNCTION("""COMPUTED_VALUE"""),0.0)</f>
        <v>0</v>
      </c>
    </row>
    <row r="7527">
      <c r="A7527" s="5" t="str">
        <f>IFERROR(__xludf.DUMMYFUNCTION("""COMPUTED_VALUE"""),"95516")</f>
        <v>95516</v>
      </c>
      <c r="B7527" s="64">
        <f>IFERROR(__xludf.DUMMYFUNCTION("""COMPUTED_VALUE"""),44615.0)</f>
        <v>44615</v>
      </c>
      <c r="C7527" s="5"/>
      <c r="D7527" s="5"/>
      <c r="E7527" s="5"/>
      <c r="F7527" s="25">
        <f>IFERROR(__xludf.DUMMYFUNCTION("""COMPUTED_VALUE"""),500000.0)</f>
        <v>500000</v>
      </c>
      <c r="G7527" s="25">
        <f>IFERROR(__xludf.DUMMYFUNCTION("""COMPUTED_VALUE"""),0.0)</f>
        <v>0</v>
      </c>
      <c r="H7527" s="8">
        <f>IFERROR(__xludf.DUMMYFUNCTION("""COMPUTED_VALUE"""),500000.0)</f>
        <v>500000</v>
      </c>
      <c r="I7527" s="24">
        <f>IFERROR(__xludf.DUMMYFUNCTION("""COMPUTED_VALUE"""),0.0)</f>
        <v>0</v>
      </c>
    </row>
    <row r="7528">
      <c r="A7528" s="5" t="str">
        <f>IFERROR(__xludf.DUMMYFUNCTION("""COMPUTED_VALUE"""),"95516")</f>
        <v>95516</v>
      </c>
      <c r="B7528" s="64">
        <f>IFERROR(__xludf.DUMMYFUNCTION("""COMPUTED_VALUE"""),44616.0)</f>
        <v>44616</v>
      </c>
      <c r="C7528" s="5"/>
      <c r="D7528" s="5"/>
      <c r="E7528" s="5"/>
      <c r="F7528" s="25">
        <f>IFERROR(__xludf.DUMMYFUNCTION("""COMPUTED_VALUE"""),500000.0)</f>
        <v>500000</v>
      </c>
      <c r="G7528" s="25">
        <f>IFERROR(__xludf.DUMMYFUNCTION("""COMPUTED_VALUE"""),0.0)</f>
        <v>0</v>
      </c>
      <c r="H7528" s="8">
        <f>IFERROR(__xludf.DUMMYFUNCTION("""COMPUTED_VALUE"""),500000.0)</f>
        <v>500000</v>
      </c>
      <c r="I7528" s="24">
        <f>IFERROR(__xludf.DUMMYFUNCTION("""COMPUTED_VALUE"""),0.0)</f>
        <v>0</v>
      </c>
    </row>
    <row r="7529">
      <c r="A7529" s="5" t="str">
        <f>IFERROR(__xludf.DUMMYFUNCTION("""COMPUTED_VALUE"""),"95516")</f>
        <v>95516</v>
      </c>
      <c r="B7529" s="64">
        <f>IFERROR(__xludf.DUMMYFUNCTION("""COMPUTED_VALUE"""),44617.0)</f>
        <v>44617</v>
      </c>
      <c r="C7529" s="5"/>
      <c r="D7529" s="5"/>
      <c r="E7529" s="5"/>
      <c r="F7529" s="25">
        <f>IFERROR(__xludf.DUMMYFUNCTION("""COMPUTED_VALUE"""),500000.0)</f>
        <v>500000</v>
      </c>
      <c r="G7529" s="25">
        <f>IFERROR(__xludf.DUMMYFUNCTION("""COMPUTED_VALUE"""),0.0)</f>
        <v>0</v>
      </c>
      <c r="H7529" s="8">
        <f>IFERROR(__xludf.DUMMYFUNCTION("""COMPUTED_VALUE"""),500000.0)</f>
        <v>500000</v>
      </c>
      <c r="I7529" s="24">
        <f>IFERROR(__xludf.DUMMYFUNCTION("""COMPUTED_VALUE"""),0.0)</f>
        <v>0</v>
      </c>
    </row>
    <row r="7530">
      <c r="A7530" s="5" t="str">
        <f>IFERROR(__xludf.DUMMYFUNCTION("""COMPUTED_VALUE"""),"95516")</f>
        <v>95516</v>
      </c>
      <c r="B7530" s="64">
        <f>IFERROR(__xludf.DUMMYFUNCTION("""COMPUTED_VALUE"""),44618.0)</f>
        <v>44618</v>
      </c>
      <c r="C7530" s="5"/>
      <c r="D7530" s="5"/>
      <c r="E7530" s="5"/>
      <c r="F7530" s="25">
        <f>IFERROR(__xludf.DUMMYFUNCTION("""COMPUTED_VALUE"""),500000.0)</f>
        <v>500000</v>
      </c>
      <c r="G7530" s="25">
        <f>IFERROR(__xludf.DUMMYFUNCTION("""COMPUTED_VALUE"""),0.0)</f>
        <v>0</v>
      </c>
      <c r="H7530" s="8">
        <f>IFERROR(__xludf.DUMMYFUNCTION("""COMPUTED_VALUE"""),500000.0)</f>
        <v>500000</v>
      </c>
      <c r="I7530" s="24">
        <f>IFERROR(__xludf.DUMMYFUNCTION("""COMPUTED_VALUE"""),0.0)</f>
        <v>0</v>
      </c>
    </row>
    <row r="7531">
      <c r="A7531" s="5" t="str">
        <f>IFERROR(__xludf.DUMMYFUNCTION("""COMPUTED_VALUE"""),"95516")</f>
        <v>95516</v>
      </c>
      <c r="B7531" s="64">
        <f>IFERROR(__xludf.DUMMYFUNCTION("""COMPUTED_VALUE"""),44619.0)</f>
        <v>44619</v>
      </c>
      <c r="C7531" s="5"/>
      <c r="D7531" s="5"/>
      <c r="E7531" s="5"/>
      <c r="F7531" s="25">
        <f>IFERROR(__xludf.DUMMYFUNCTION("""COMPUTED_VALUE"""),500000.0)</f>
        <v>500000</v>
      </c>
      <c r="G7531" s="25">
        <f>IFERROR(__xludf.DUMMYFUNCTION("""COMPUTED_VALUE"""),0.0)</f>
        <v>0</v>
      </c>
      <c r="H7531" s="8">
        <f>IFERROR(__xludf.DUMMYFUNCTION("""COMPUTED_VALUE"""),500000.0)</f>
        <v>500000</v>
      </c>
      <c r="I7531" s="24">
        <f>IFERROR(__xludf.DUMMYFUNCTION("""COMPUTED_VALUE"""),0.0)</f>
        <v>0</v>
      </c>
    </row>
    <row r="7532">
      <c r="A7532" s="5" t="str">
        <f>IFERROR(__xludf.DUMMYFUNCTION("""COMPUTED_VALUE"""),"95516")</f>
        <v>95516</v>
      </c>
      <c r="B7532" s="64">
        <f>IFERROR(__xludf.DUMMYFUNCTION("""COMPUTED_VALUE"""),44620.0)</f>
        <v>44620</v>
      </c>
      <c r="C7532" s="5"/>
      <c r="D7532" s="5"/>
      <c r="E7532" s="5"/>
      <c r="F7532" s="25">
        <f>IFERROR(__xludf.DUMMYFUNCTION("""COMPUTED_VALUE"""),500000.0)</f>
        <v>500000</v>
      </c>
      <c r="G7532" s="25">
        <f>IFERROR(__xludf.DUMMYFUNCTION("""COMPUTED_VALUE"""),0.0)</f>
        <v>0</v>
      </c>
      <c r="H7532" s="8">
        <f>IFERROR(__xludf.DUMMYFUNCTION("""COMPUTED_VALUE"""),500000.0)</f>
        <v>500000</v>
      </c>
      <c r="I7532" s="24">
        <f>IFERROR(__xludf.DUMMYFUNCTION("""COMPUTED_VALUE"""),0.0)</f>
        <v>0</v>
      </c>
    </row>
    <row r="7533">
      <c r="A7533" s="5" t="str">
        <f>IFERROR(__xludf.DUMMYFUNCTION("""COMPUTED_VALUE"""),"95516")</f>
        <v>95516</v>
      </c>
      <c r="B7533" s="64">
        <f>IFERROR(__xludf.DUMMYFUNCTION("""COMPUTED_VALUE"""),44621.0)</f>
        <v>44621</v>
      </c>
      <c r="C7533" s="5"/>
      <c r="D7533" s="5"/>
      <c r="E7533" s="5"/>
      <c r="F7533" s="25">
        <f>IFERROR(__xludf.DUMMYFUNCTION("""COMPUTED_VALUE"""),500000.0)</f>
        <v>500000</v>
      </c>
      <c r="G7533" s="25">
        <f>IFERROR(__xludf.DUMMYFUNCTION("""COMPUTED_VALUE"""),0.0)</f>
        <v>0</v>
      </c>
      <c r="H7533" s="8">
        <f>IFERROR(__xludf.DUMMYFUNCTION("""COMPUTED_VALUE"""),500000.0)</f>
        <v>500000</v>
      </c>
      <c r="I7533" s="24">
        <f>IFERROR(__xludf.DUMMYFUNCTION("""COMPUTED_VALUE"""),0.0)</f>
        <v>0</v>
      </c>
    </row>
    <row r="7534">
      <c r="A7534" s="5" t="str">
        <f>IFERROR(__xludf.DUMMYFUNCTION("""COMPUTED_VALUE"""),"95516")</f>
        <v>95516</v>
      </c>
      <c r="B7534" s="64">
        <f>IFERROR(__xludf.DUMMYFUNCTION("""COMPUTED_VALUE"""),44622.0)</f>
        <v>44622</v>
      </c>
      <c r="C7534" s="5"/>
      <c r="D7534" s="5"/>
      <c r="E7534" s="5"/>
      <c r="F7534" s="25">
        <f>IFERROR(__xludf.DUMMYFUNCTION("""COMPUTED_VALUE"""),500000.0)</f>
        <v>500000</v>
      </c>
      <c r="G7534" s="25">
        <f>IFERROR(__xludf.DUMMYFUNCTION("""COMPUTED_VALUE"""),0.0)</f>
        <v>0</v>
      </c>
      <c r="H7534" s="8">
        <f>IFERROR(__xludf.DUMMYFUNCTION("""COMPUTED_VALUE"""),500000.0)</f>
        <v>500000</v>
      </c>
      <c r="I7534" s="24">
        <f>IFERROR(__xludf.DUMMYFUNCTION("""COMPUTED_VALUE"""),0.0)</f>
        <v>0</v>
      </c>
    </row>
    <row r="7535">
      <c r="A7535" s="5" t="str">
        <f>IFERROR(__xludf.DUMMYFUNCTION("""COMPUTED_VALUE"""),"95516")</f>
        <v>95516</v>
      </c>
      <c r="B7535" s="64">
        <f>IFERROR(__xludf.DUMMYFUNCTION("""COMPUTED_VALUE"""),44623.0)</f>
        <v>44623</v>
      </c>
      <c r="C7535" s="5"/>
      <c r="D7535" s="5"/>
      <c r="E7535" s="5"/>
      <c r="F7535" s="25">
        <f>IFERROR(__xludf.DUMMYFUNCTION("""COMPUTED_VALUE"""),500000.0)</f>
        <v>500000</v>
      </c>
      <c r="G7535" s="25">
        <f>IFERROR(__xludf.DUMMYFUNCTION("""COMPUTED_VALUE"""),0.0)</f>
        <v>0</v>
      </c>
      <c r="H7535" s="8">
        <f>IFERROR(__xludf.DUMMYFUNCTION("""COMPUTED_VALUE"""),500000.0)</f>
        <v>500000</v>
      </c>
      <c r="I7535" s="24">
        <f>IFERROR(__xludf.DUMMYFUNCTION("""COMPUTED_VALUE"""),0.0)</f>
        <v>0</v>
      </c>
    </row>
    <row r="7536">
      <c r="A7536" s="5" t="str">
        <f>IFERROR(__xludf.DUMMYFUNCTION("""COMPUTED_VALUE"""),"95516")</f>
        <v>95516</v>
      </c>
      <c r="B7536" s="64">
        <f>IFERROR(__xludf.DUMMYFUNCTION("""COMPUTED_VALUE"""),44624.0)</f>
        <v>44624</v>
      </c>
      <c r="C7536" s="5"/>
      <c r="D7536" s="5"/>
      <c r="E7536" s="5"/>
      <c r="F7536" s="25">
        <f>IFERROR(__xludf.DUMMYFUNCTION("""COMPUTED_VALUE"""),500000.0)</f>
        <v>500000</v>
      </c>
      <c r="G7536" s="25">
        <f>IFERROR(__xludf.DUMMYFUNCTION("""COMPUTED_VALUE"""),0.0)</f>
        <v>0</v>
      </c>
      <c r="H7536" s="8">
        <f>IFERROR(__xludf.DUMMYFUNCTION("""COMPUTED_VALUE"""),500000.0)</f>
        <v>500000</v>
      </c>
      <c r="I7536" s="24">
        <f>IFERROR(__xludf.DUMMYFUNCTION("""COMPUTED_VALUE"""),0.0)</f>
        <v>0</v>
      </c>
    </row>
    <row r="7537">
      <c r="A7537" s="5" t="str">
        <f>IFERROR(__xludf.DUMMYFUNCTION("""COMPUTED_VALUE"""),"95516")</f>
        <v>95516</v>
      </c>
      <c r="B7537" s="64">
        <f>IFERROR(__xludf.DUMMYFUNCTION("""COMPUTED_VALUE"""),44625.0)</f>
        <v>44625</v>
      </c>
      <c r="C7537" s="5"/>
      <c r="D7537" s="5"/>
      <c r="E7537" s="5"/>
      <c r="F7537" s="25">
        <f>IFERROR(__xludf.DUMMYFUNCTION("""COMPUTED_VALUE"""),500000.0)</f>
        <v>500000</v>
      </c>
      <c r="G7537" s="25">
        <f>IFERROR(__xludf.DUMMYFUNCTION("""COMPUTED_VALUE"""),0.0)</f>
        <v>0</v>
      </c>
      <c r="H7537" s="8">
        <f>IFERROR(__xludf.DUMMYFUNCTION("""COMPUTED_VALUE"""),500000.0)</f>
        <v>500000</v>
      </c>
      <c r="I7537" s="24">
        <f>IFERROR(__xludf.DUMMYFUNCTION("""COMPUTED_VALUE"""),0.0)</f>
        <v>0</v>
      </c>
    </row>
    <row r="7538">
      <c r="A7538" s="5" t="str">
        <f>IFERROR(__xludf.DUMMYFUNCTION("""COMPUTED_VALUE"""),"95516")</f>
        <v>95516</v>
      </c>
      <c r="B7538" s="64">
        <f>IFERROR(__xludf.DUMMYFUNCTION("""COMPUTED_VALUE"""),44626.0)</f>
        <v>44626</v>
      </c>
      <c r="C7538" s="5"/>
      <c r="D7538" s="5"/>
      <c r="E7538" s="5"/>
      <c r="F7538" s="25">
        <f>IFERROR(__xludf.DUMMYFUNCTION("""COMPUTED_VALUE"""),500000.0)</f>
        <v>500000</v>
      </c>
      <c r="G7538" s="25">
        <f>IFERROR(__xludf.DUMMYFUNCTION("""COMPUTED_VALUE"""),0.0)</f>
        <v>0</v>
      </c>
      <c r="H7538" s="8">
        <f>IFERROR(__xludf.DUMMYFUNCTION("""COMPUTED_VALUE"""),500000.0)</f>
        <v>500000</v>
      </c>
      <c r="I7538" s="24">
        <f>IFERROR(__xludf.DUMMYFUNCTION("""COMPUTED_VALUE"""),0.0)</f>
        <v>0</v>
      </c>
    </row>
    <row r="7539">
      <c r="A7539" s="5" t="str">
        <f>IFERROR(__xludf.DUMMYFUNCTION("""COMPUTED_VALUE"""),"95516")</f>
        <v>95516</v>
      </c>
      <c r="B7539" s="64">
        <f>IFERROR(__xludf.DUMMYFUNCTION("""COMPUTED_VALUE"""),44627.0)</f>
        <v>44627</v>
      </c>
      <c r="C7539" s="5"/>
      <c r="D7539" s="5"/>
      <c r="E7539" s="5"/>
      <c r="F7539" s="25">
        <f>IFERROR(__xludf.DUMMYFUNCTION("""COMPUTED_VALUE"""),500000.0)</f>
        <v>500000</v>
      </c>
      <c r="G7539" s="25">
        <f>IFERROR(__xludf.DUMMYFUNCTION("""COMPUTED_VALUE"""),0.0)</f>
        <v>0</v>
      </c>
      <c r="H7539" s="8">
        <f>IFERROR(__xludf.DUMMYFUNCTION("""COMPUTED_VALUE"""),500000.0)</f>
        <v>500000</v>
      </c>
      <c r="I7539" s="24">
        <f>IFERROR(__xludf.DUMMYFUNCTION("""COMPUTED_VALUE"""),0.0)</f>
        <v>0</v>
      </c>
    </row>
    <row r="7540">
      <c r="A7540" s="5" t="str">
        <f>IFERROR(__xludf.DUMMYFUNCTION("""COMPUTED_VALUE"""),"95516")</f>
        <v>95516</v>
      </c>
      <c r="B7540" s="64">
        <f>IFERROR(__xludf.DUMMYFUNCTION("""COMPUTED_VALUE"""),44628.0)</f>
        <v>44628</v>
      </c>
      <c r="C7540" s="5"/>
      <c r="D7540" s="5"/>
      <c r="E7540" s="5"/>
      <c r="F7540" s="25">
        <f>IFERROR(__xludf.DUMMYFUNCTION("""COMPUTED_VALUE"""),500000.0)</f>
        <v>500000</v>
      </c>
      <c r="G7540" s="25">
        <f>IFERROR(__xludf.DUMMYFUNCTION("""COMPUTED_VALUE"""),0.0)</f>
        <v>0</v>
      </c>
      <c r="H7540" s="8">
        <f>IFERROR(__xludf.DUMMYFUNCTION("""COMPUTED_VALUE"""),500000.0)</f>
        <v>500000</v>
      </c>
      <c r="I7540" s="24">
        <f>IFERROR(__xludf.DUMMYFUNCTION("""COMPUTED_VALUE"""),0.0)</f>
        <v>0</v>
      </c>
    </row>
    <row r="7541">
      <c r="A7541" s="5" t="str">
        <f>IFERROR(__xludf.DUMMYFUNCTION("""COMPUTED_VALUE"""),"95516")</f>
        <v>95516</v>
      </c>
      <c r="B7541" s="64">
        <f>IFERROR(__xludf.DUMMYFUNCTION("""COMPUTED_VALUE"""),44629.0)</f>
        <v>44629</v>
      </c>
      <c r="C7541" s="5"/>
      <c r="D7541" s="5"/>
      <c r="E7541" s="5"/>
      <c r="F7541" s="25">
        <f>IFERROR(__xludf.DUMMYFUNCTION("""COMPUTED_VALUE"""),500000.0)</f>
        <v>500000</v>
      </c>
      <c r="G7541" s="25">
        <f>IFERROR(__xludf.DUMMYFUNCTION("""COMPUTED_VALUE"""),0.0)</f>
        <v>0</v>
      </c>
      <c r="H7541" s="8">
        <f>IFERROR(__xludf.DUMMYFUNCTION("""COMPUTED_VALUE"""),500000.0)</f>
        <v>500000</v>
      </c>
      <c r="I7541" s="24">
        <f>IFERROR(__xludf.DUMMYFUNCTION("""COMPUTED_VALUE"""),0.0)</f>
        <v>0</v>
      </c>
    </row>
    <row r="7542">
      <c r="A7542" s="5" t="str">
        <f>IFERROR(__xludf.DUMMYFUNCTION("""COMPUTED_VALUE"""),"95516")</f>
        <v>95516</v>
      </c>
      <c r="B7542" s="64">
        <f>IFERROR(__xludf.DUMMYFUNCTION("""COMPUTED_VALUE"""),44630.0)</f>
        <v>44630</v>
      </c>
      <c r="C7542" s="5"/>
      <c r="D7542" s="5"/>
      <c r="E7542" s="5"/>
      <c r="F7542" s="25">
        <f>IFERROR(__xludf.DUMMYFUNCTION("""COMPUTED_VALUE"""),500000.0)</f>
        <v>500000</v>
      </c>
      <c r="G7542" s="25">
        <f>IFERROR(__xludf.DUMMYFUNCTION("""COMPUTED_VALUE"""),0.0)</f>
        <v>0</v>
      </c>
      <c r="H7542" s="8">
        <f>IFERROR(__xludf.DUMMYFUNCTION("""COMPUTED_VALUE"""),500000.0)</f>
        <v>500000</v>
      </c>
      <c r="I7542" s="24">
        <f>IFERROR(__xludf.DUMMYFUNCTION("""COMPUTED_VALUE"""),0.0)</f>
        <v>0</v>
      </c>
    </row>
    <row r="7543">
      <c r="A7543" s="5" t="str">
        <f>IFERROR(__xludf.DUMMYFUNCTION("""COMPUTED_VALUE"""),"95516")</f>
        <v>95516</v>
      </c>
      <c r="B7543" s="64">
        <f>IFERROR(__xludf.DUMMYFUNCTION("""COMPUTED_VALUE"""),44631.0)</f>
        <v>44631</v>
      </c>
      <c r="C7543" s="5"/>
      <c r="D7543" s="5"/>
      <c r="E7543" s="5"/>
      <c r="F7543" s="25">
        <f>IFERROR(__xludf.DUMMYFUNCTION("""COMPUTED_VALUE"""),500000.0)</f>
        <v>500000</v>
      </c>
      <c r="G7543" s="25">
        <f>IFERROR(__xludf.DUMMYFUNCTION("""COMPUTED_VALUE"""),0.0)</f>
        <v>0</v>
      </c>
      <c r="H7543" s="8">
        <f>IFERROR(__xludf.DUMMYFUNCTION("""COMPUTED_VALUE"""),500000.0)</f>
        <v>500000</v>
      </c>
      <c r="I7543" s="24">
        <f>IFERROR(__xludf.DUMMYFUNCTION("""COMPUTED_VALUE"""),0.0)</f>
        <v>0</v>
      </c>
    </row>
    <row r="7544">
      <c r="A7544" s="5" t="str">
        <f>IFERROR(__xludf.DUMMYFUNCTION("""COMPUTED_VALUE"""),"95516")</f>
        <v>95516</v>
      </c>
      <c r="B7544" s="64">
        <f>IFERROR(__xludf.DUMMYFUNCTION("""COMPUTED_VALUE"""),44632.0)</f>
        <v>44632</v>
      </c>
      <c r="C7544" s="5"/>
      <c r="D7544" s="5"/>
      <c r="E7544" s="5"/>
      <c r="F7544" s="25">
        <f>IFERROR(__xludf.DUMMYFUNCTION("""COMPUTED_VALUE"""),500000.0)</f>
        <v>500000</v>
      </c>
      <c r="G7544" s="25">
        <f>IFERROR(__xludf.DUMMYFUNCTION("""COMPUTED_VALUE"""),0.0)</f>
        <v>0</v>
      </c>
      <c r="H7544" s="8">
        <f>IFERROR(__xludf.DUMMYFUNCTION("""COMPUTED_VALUE"""),500000.0)</f>
        <v>500000</v>
      </c>
      <c r="I7544" s="24">
        <f>IFERROR(__xludf.DUMMYFUNCTION("""COMPUTED_VALUE"""),0.0)</f>
        <v>0</v>
      </c>
    </row>
    <row r="7545">
      <c r="A7545" s="5" t="str">
        <f>IFERROR(__xludf.DUMMYFUNCTION("""COMPUTED_VALUE"""),"95516")</f>
        <v>95516</v>
      </c>
      <c r="B7545" s="64">
        <f>IFERROR(__xludf.DUMMYFUNCTION("""COMPUTED_VALUE"""),44633.0)</f>
        <v>44633</v>
      </c>
      <c r="C7545" s="5"/>
      <c r="D7545" s="5"/>
      <c r="E7545" s="5"/>
      <c r="F7545" s="25">
        <f>IFERROR(__xludf.DUMMYFUNCTION("""COMPUTED_VALUE"""),500000.0)</f>
        <v>500000</v>
      </c>
      <c r="G7545" s="25">
        <f>IFERROR(__xludf.DUMMYFUNCTION("""COMPUTED_VALUE"""),0.0)</f>
        <v>0</v>
      </c>
      <c r="H7545" s="8">
        <f>IFERROR(__xludf.DUMMYFUNCTION("""COMPUTED_VALUE"""),500000.0)</f>
        <v>500000</v>
      </c>
      <c r="I7545" s="24">
        <f>IFERROR(__xludf.DUMMYFUNCTION("""COMPUTED_VALUE"""),0.0)</f>
        <v>0</v>
      </c>
    </row>
    <row r="7546">
      <c r="A7546" s="5" t="str">
        <f>IFERROR(__xludf.DUMMYFUNCTION("""COMPUTED_VALUE"""),"95516")</f>
        <v>95516</v>
      </c>
      <c r="B7546" s="64">
        <f>IFERROR(__xludf.DUMMYFUNCTION("""COMPUTED_VALUE"""),44634.0)</f>
        <v>44634</v>
      </c>
      <c r="C7546" s="5"/>
      <c r="D7546" s="5"/>
      <c r="E7546" s="5"/>
      <c r="F7546" s="25">
        <f>IFERROR(__xludf.DUMMYFUNCTION("""COMPUTED_VALUE"""),500000.0)</f>
        <v>500000</v>
      </c>
      <c r="G7546" s="25">
        <f>IFERROR(__xludf.DUMMYFUNCTION("""COMPUTED_VALUE"""),0.0)</f>
        <v>0</v>
      </c>
      <c r="H7546" s="8">
        <f>IFERROR(__xludf.DUMMYFUNCTION("""COMPUTED_VALUE"""),500000.0)</f>
        <v>500000</v>
      </c>
      <c r="I7546" s="24">
        <f>IFERROR(__xludf.DUMMYFUNCTION("""COMPUTED_VALUE"""),0.0)</f>
        <v>0</v>
      </c>
    </row>
    <row r="7547">
      <c r="A7547" s="5" t="str">
        <f>IFERROR(__xludf.DUMMYFUNCTION("""COMPUTED_VALUE"""),"95516")</f>
        <v>95516</v>
      </c>
      <c r="B7547" s="64">
        <f>IFERROR(__xludf.DUMMYFUNCTION("""COMPUTED_VALUE"""),44635.0)</f>
        <v>44635</v>
      </c>
      <c r="C7547" s="5"/>
      <c r="D7547" s="5"/>
      <c r="E7547" s="5"/>
      <c r="F7547" s="25">
        <f>IFERROR(__xludf.DUMMYFUNCTION("""COMPUTED_VALUE"""),500000.0)</f>
        <v>500000</v>
      </c>
      <c r="G7547" s="25">
        <f>IFERROR(__xludf.DUMMYFUNCTION("""COMPUTED_VALUE"""),0.0)</f>
        <v>0</v>
      </c>
      <c r="H7547" s="8">
        <f>IFERROR(__xludf.DUMMYFUNCTION("""COMPUTED_VALUE"""),500000.0)</f>
        <v>500000</v>
      </c>
      <c r="I7547" s="24">
        <f>IFERROR(__xludf.DUMMYFUNCTION("""COMPUTED_VALUE"""),0.0)</f>
        <v>0</v>
      </c>
    </row>
    <row r="7548">
      <c r="A7548" s="5" t="str">
        <f>IFERROR(__xludf.DUMMYFUNCTION("""COMPUTED_VALUE"""),"95516")</f>
        <v>95516</v>
      </c>
      <c r="B7548" s="64">
        <f>IFERROR(__xludf.DUMMYFUNCTION("""COMPUTED_VALUE"""),44636.0)</f>
        <v>44636</v>
      </c>
      <c r="C7548" s="5"/>
      <c r="D7548" s="5"/>
      <c r="E7548" s="5"/>
      <c r="F7548" s="25">
        <f>IFERROR(__xludf.DUMMYFUNCTION("""COMPUTED_VALUE"""),500000.0)</f>
        <v>500000</v>
      </c>
      <c r="G7548" s="25">
        <f>IFERROR(__xludf.DUMMYFUNCTION("""COMPUTED_VALUE"""),0.0)</f>
        <v>0</v>
      </c>
      <c r="H7548" s="8">
        <f>IFERROR(__xludf.DUMMYFUNCTION("""COMPUTED_VALUE"""),500000.0)</f>
        <v>500000</v>
      </c>
      <c r="I7548" s="24">
        <f>IFERROR(__xludf.DUMMYFUNCTION("""COMPUTED_VALUE"""),0.0)</f>
        <v>0</v>
      </c>
    </row>
    <row r="7549">
      <c r="A7549" s="5" t="str">
        <f>IFERROR(__xludf.DUMMYFUNCTION("""COMPUTED_VALUE"""),"95516")</f>
        <v>95516</v>
      </c>
      <c r="B7549" s="64">
        <f>IFERROR(__xludf.DUMMYFUNCTION("""COMPUTED_VALUE"""),44637.0)</f>
        <v>44637</v>
      </c>
      <c r="C7549" s="5"/>
      <c r="D7549" s="5"/>
      <c r="E7549" s="5"/>
      <c r="F7549" s="25">
        <f>IFERROR(__xludf.DUMMYFUNCTION("""COMPUTED_VALUE"""),500000.0)</f>
        <v>500000</v>
      </c>
      <c r="G7549" s="25">
        <f>IFERROR(__xludf.DUMMYFUNCTION("""COMPUTED_VALUE"""),0.0)</f>
        <v>0</v>
      </c>
      <c r="H7549" s="8">
        <f>IFERROR(__xludf.DUMMYFUNCTION("""COMPUTED_VALUE"""),500000.0)</f>
        <v>500000</v>
      </c>
      <c r="I7549" s="24">
        <f>IFERROR(__xludf.DUMMYFUNCTION("""COMPUTED_VALUE"""),0.0)</f>
        <v>0</v>
      </c>
    </row>
    <row r="7550">
      <c r="A7550" s="5" t="str">
        <f>IFERROR(__xludf.DUMMYFUNCTION("""COMPUTED_VALUE"""),"95516")</f>
        <v>95516</v>
      </c>
      <c r="B7550" s="64">
        <f>IFERROR(__xludf.DUMMYFUNCTION("""COMPUTED_VALUE"""),44638.0)</f>
        <v>44638</v>
      </c>
      <c r="C7550" s="5"/>
      <c r="D7550" s="5"/>
      <c r="E7550" s="5"/>
      <c r="F7550" s="25">
        <f>IFERROR(__xludf.DUMMYFUNCTION("""COMPUTED_VALUE"""),500000.0)</f>
        <v>500000</v>
      </c>
      <c r="G7550" s="25">
        <f>IFERROR(__xludf.DUMMYFUNCTION("""COMPUTED_VALUE"""),0.0)</f>
        <v>0</v>
      </c>
      <c r="H7550" s="8">
        <f>IFERROR(__xludf.DUMMYFUNCTION("""COMPUTED_VALUE"""),499925.0)</f>
        <v>499925</v>
      </c>
      <c r="I7550" s="24">
        <f>IFERROR(__xludf.DUMMYFUNCTION("""COMPUTED_VALUE"""),-1.4999999999998348E-4)</f>
        <v>-0.00015</v>
      </c>
    </row>
    <row r="7551">
      <c r="A7551" s="5" t="str">
        <f>IFERROR(__xludf.DUMMYFUNCTION("""COMPUTED_VALUE"""),"95516")</f>
        <v>95516</v>
      </c>
      <c r="B7551" s="64">
        <f>IFERROR(__xludf.DUMMYFUNCTION("""COMPUTED_VALUE"""),44639.0)</f>
        <v>44639</v>
      </c>
      <c r="C7551" s="5"/>
      <c r="D7551" s="5"/>
      <c r="E7551" s="5"/>
      <c r="F7551" s="25">
        <f>IFERROR(__xludf.DUMMYFUNCTION("""COMPUTED_VALUE"""),500000.0)</f>
        <v>500000</v>
      </c>
      <c r="G7551" s="25">
        <f>IFERROR(__xludf.DUMMYFUNCTION("""COMPUTED_VALUE"""),0.0)</f>
        <v>0</v>
      </c>
      <c r="H7551" s="8">
        <f>IFERROR(__xludf.DUMMYFUNCTION("""COMPUTED_VALUE"""),499925.0)</f>
        <v>499925</v>
      </c>
      <c r="I7551" s="24">
        <f>IFERROR(__xludf.DUMMYFUNCTION("""COMPUTED_VALUE"""),-1.4999999999998348E-4)</f>
        <v>-0.00015</v>
      </c>
    </row>
    <row r="7552">
      <c r="A7552" s="5" t="str">
        <f>IFERROR(__xludf.DUMMYFUNCTION("""COMPUTED_VALUE"""),"95516")</f>
        <v>95516</v>
      </c>
      <c r="B7552" s="64">
        <f>IFERROR(__xludf.DUMMYFUNCTION("""COMPUTED_VALUE"""),44640.0)</f>
        <v>44640</v>
      </c>
      <c r="C7552" s="5"/>
      <c r="D7552" s="5"/>
      <c r="E7552" s="5"/>
      <c r="F7552" s="25">
        <f>IFERROR(__xludf.DUMMYFUNCTION("""COMPUTED_VALUE"""),500000.0)</f>
        <v>500000</v>
      </c>
      <c r="G7552" s="25">
        <f>IFERROR(__xludf.DUMMYFUNCTION("""COMPUTED_VALUE"""),0.0)</f>
        <v>0</v>
      </c>
      <c r="H7552" s="8">
        <f>IFERROR(__xludf.DUMMYFUNCTION("""COMPUTED_VALUE"""),499925.0)</f>
        <v>499925</v>
      </c>
      <c r="I7552" s="24">
        <f>IFERROR(__xludf.DUMMYFUNCTION("""COMPUTED_VALUE"""),-1.4999999999998348E-4)</f>
        <v>-0.00015</v>
      </c>
    </row>
    <row r="7553">
      <c r="A7553" s="5" t="str">
        <f>IFERROR(__xludf.DUMMYFUNCTION("""COMPUTED_VALUE"""),"95516")</f>
        <v>95516</v>
      </c>
      <c r="B7553" s="64">
        <f>IFERROR(__xludf.DUMMYFUNCTION("""COMPUTED_VALUE"""),44641.0)</f>
        <v>44641</v>
      </c>
      <c r="C7553" s="5"/>
      <c r="D7553" s="5"/>
      <c r="E7553" s="5"/>
      <c r="F7553" s="25">
        <f>IFERROR(__xludf.DUMMYFUNCTION("""COMPUTED_VALUE"""),500000.0)</f>
        <v>500000</v>
      </c>
      <c r="G7553" s="25">
        <f>IFERROR(__xludf.DUMMYFUNCTION("""COMPUTED_VALUE"""),0.0)</f>
        <v>0</v>
      </c>
      <c r="H7553" s="8">
        <f>IFERROR(__xludf.DUMMYFUNCTION("""COMPUTED_VALUE"""),492900.0)</f>
        <v>492900</v>
      </c>
      <c r="I7553" s="24">
        <f>IFERROR(__xludf.DUMMYFUNCTION("""COMPUTED_VALUE"""),-0.01419999999999999)</f>
        <v>-0.0142</v>
      </c>
    </row>
    <row r="7554">
      <c r="A7554" s="5" t="str">
        <f>IFERROR(__xludf.DUMMYFUNCTION("""COMPUTED_VALUE"""),"95516")</f>
        <v>95516</v>
      </c>
      <c r="B7554" s="64">
        <f>IFERROR(__xludf.DUMMYFUNCTION("""COMPUTED_VALUE"""),44642.0)</f>
        <v>44642</v>
      </c>
      <c r="C7554" s="5"/>
      <c r="D7554" s="5"/>
      <c r="E7554" s="5"/>
      <c r="F7554" s="25">
        <f>IFERROR(__xludf.DUMMYFUNCTION("""COMPUTED_VALUE"""),500000.0)</f>
        <v>500000</v>
      </c>
      <c r="G7554" s="25">
        <f>IFERROR(__xludf.DUMMYFUNCTION("""COMPUTED_VALUE"""),0.0)</f>
        <v>0</v>
      </c>
      <c r="H7554" s="8">
        <f>IFERROR(__xludf.DUMMYFUNCTION("""COMPUTED_VALUE"""),521100.0)</f>
        <v>521100</v>
      </c>
      <c r="I7554" s="24">
        <f>IFERROR(__xludf.DUMMYFUNCTION("""COMPUTED_VALUE"""),0.042200000000000015)</f>
        <v>0.0422</v>
      </c>
    </row>
    <row r="7555">
      <c r="A7555" s="5" t="str">
        <f>IFERROR(__xludf.DUMMYFUNCTION("""COMPUTED_VALUE"""),"95516")</f>
        <v>95516</v>
      </c>
      <c r="B7555" s="64">
        <f>IFERROR(__xludf.DUMMYFUNCTION("""COMPUTED_VALUE"""),44643.0)</f>
        <v>44643</v>
      </c>
      <c r="C7555" s="5"/>
      <c r="D7555" s="5"/>
      <c r="E7555" s="5"/>
      <c r="F7555" s="25">
        <f>IFERROR(__xludf.DUMMYFUNCTION("""COMPUTED_VALUE"""),500000.0)</f>
        <v>500000</v>
      </c>
      <c r="G7555" s="25">
        <f>IFERROR(__xludf.DUMMYFUNCTION("""COMPUTED_VALUE"""),0.0)</f>
        <v>0</v>
      </c>
      <c r="H7555" s="8">
        <f>IFERROR(__xludf.DUMMYFUNCTION("""COMPUTED_VALUE"""),542650.0)</f>
        <v>542650</v>
      </c>
      <c r="I7555" s="24">
        <f>IFERROR(__xludf.DUMMYFUNCTION("""COMPUTED_VALUE"""),0.08529999999999993)</f>
        <v>0.0853</v>
      </c>
    </row>
    <row r="7556">
      <c r="A7556" s="5" t="str">
        <f>IFERROR(__xludf.DUMMYFUNCTION("""COMPUTED_VALUE"""),"95516")</f>
        <v>95516</v>
      </c>
      <c r="B7556" s="64">
        <f>IFERROR(__xludf.DUMMYFUNCTION("""COMPUTED_VALUE"""),44644.0)</f>
        <v>44644</v>
      </c>
      <c r="C7556" s="5"/>
      <c r="D7556" s="5"/>
      <c r="E7556" s="5"/>
      <c r="F7556" s="25">
        <f>IFERROR(__xludf.DUMMYFUNCTION("""COMPUTED_VALUE"""),500000.0)</f>
        <v>500000</v>
      </c>
      <c r="G7556" s="25">
        <f>IFERROR(__xludf.DUMMYFUNCTION("""COMPUTED_VALUE"""),0.0)</f>
        <v>0</v>
      </c>
      <c r="H7556" s="8">
        <f>IFERROR(__xludf.DUMMYFUNCTION("""COMPUTED_VALUE"""),532500.0)</f>
        <v>532500</v>
      </c>
      <c r="I7556" s="24">
        <f>IFERROR(__xludf.DUMMYFUNCTION("""COMPUTED_VALUE"""),0.06499999999999995)</f>
        <v>0.065</v>
      </c>
    </row>
    <row r="7557">
      <c r="A7557" s="5" t="str">
        <f>IFERROR(__xludf.DUMMYFUNCTION("""COMPUTED_VALUE"""),"95516")</f>
        <v>95516</v>
      </c>
      <c r="B7557" s="64">
        <f>IFERROR(__xludf.DUMMYFUNCTION("""COMPUTED_VALUE"""),44645.0)</f>
        <v>44645</v>
      </c>
      <c r="C7557" s="5"/>
      <c r="D7557" s="5"/>
      <c r="E7557" s="5"/>
      <c r="F7557" s="25">
        <f>IFERROR(__xludf.DUMMYFUNCTION("""COMPUTED_VALUE"""),500000.0)</f>
        <v>500000</v>
      </c>
      <c r="G7557" s="25">
        <f>IFERROR(__xludf.DUMMYFUNCTION("""COMPUTED_VALUE"""),0.0)</f>
        <v>0</v>
      </c>
      <c r="H7557" s="8">
        <f>IFERROR(__xludf.DUMMYFUNCTION("""COMPUTED_VALUE"""),512700.0)</f>
        <v>512700</v>
      </c>
      <c r="I7557" s="24">
        <f>IFERROR(__xludf.DUMMYFUNCTION("""COMPUTED_VALUE"""),0.02540000000000009)</f>
        <v>0.0254</v>
      </c>
    </row>
    <row r="7558">
      <c r="A7558" s="5" t="str">
        <f>IFERROR(__xludf.DUMMYFUNCTION("""COMPUTED_VALUE"""),"95516")</f>
        <v>95516</v>
      </c>
      <c r="B7558" s="64">
        <f>IFERROR(__xludf.DUMMYFUNCTION("""COMPUTED_VALUE"""),44646.0)</f>
        <v>44646</v>
      </c>
      <c r="C7558" s="5"/>
      <c r="D7558" s="5"/>
      <c r="E7558" s="5"/>
      <c r="F7558" s="25">
        <f>IFERROR(__xludf.DUMMYFUNCTION("""COMPUTED_VALUE"""),500000.0)</f>
        <v>500000</v>
      </c>
      <c r="G7558" s="25">
        <f>IFERROR(__xludf.DUMMYFUNCTION("""COMPUTED_VALUE"""),0.0)</f>
        <v>0</v>
      </c>
      <c r="H7558" s="8">
        <f>IFERROR(__xludf.DUMMYFUNCTION("""COMPUTED_VALUE"""),512700.0)</f>
        <v>512700</v>
      </c>
      <c r="I7558" s="24">
        <f>IFERROR(__xludf.DUMMYFUNCTION("""COMPUTED_VALUE"""),0.02540000000000009)</f>
        <v>0.0254</v>
      </c>
    </row>
    <row r="7559">
      <c r="A7559" s="5" t="str">
        <f>IFERROR(__xludf.DUMMYFUNCTION("""COMPUTED_VALUE"""),"95516")</f>
        <v>95516</v>
      </c>
      <c r="B7559" s="64">
        <f>IFERROR(__xludf.DUMMYFUNCTION("""COMPUTED_VALUE"""),44647.0)</f>
        <v>44647</v>
      </c>
      <c r="C7559" s="5"/>
      <c r="D7559" s="5"/>
      <c r="E7559" s="5"/>
      <c r="F7559" s="25">
        <f>IFERROR(__xludf.DUMMYFUNCTION("""COMPUTED_VALUE"""),500000.0)</f>
        <v>500000</v>
      </c>
      <c r="G7559" s="25">
        <f>IFERROR(__xludf.DUMMYFUNCTION("""COMPUTED_VALUE"""),0.0)</f>
        <v>0</v>
      </c>
      <c r="H7559" s="8">
        <f>IFERROR(__xludf.DUMMYFUNCTION("""COMPUTED_VALUE"""),512700.0)</f>
        <v>512700</v>
      </c>
      <c r="I7559" s="24">
        <f>IFERROR(__xludf.DUMMYFUNCTION("""COMPUTED_VALUE"""),0.02540000000000009)</f>
        <v>0.0254</v>
      </c>
    </row>
    <row r="7560">
      <c r="A7560" s="5" t="str">
        <f>IFERROR(__xludf.DUMMYFUNCTION("""COMPUTED_VALUE"""),"95516")</f>
        <v>95516</v>
      </c>
      <c r="B7560" s="64">
        <f>IFERROR(__xludf.DUMMYFUNCTION("""COMPUTED_VALUE"""),44648.0)</f>
        <v>44648</v>
      </c>
      <c r="C7560" s="5"/>
      <c r="D7560" s="5"/>
      <c r="E7560" s="5"/>
      <c r="F7560" s="25">
        <f>IFERROR(__xludf.DUMMYFUNCTION("""COMPUTED_VALUE"""),500000.0)</f>
        <v>500000</v>
      </c>
      <c r="G7560" s="25">
        <f>IFERROR(__xludf.DUMMYFUNCTION("""COMPUTED_VALUE"""),0.0)</f>
        <v>0</v>
      </c>
      <c r="H7560" s="8">
        <f>IFERROR(__xludf.DUMMYFUNCTION("""COMPUTED_VALUE"""),524700.0)</f>
        <v>524700</v>
      </c>
      <c r="I7560" s="24">
        <f>IFERROR(__xludf.DUMMYFUNCTION("""COMPUTED_VALUE"""),0.04940000000000011)</f>
        <v>0.0494</v>
      </c>
    </row>
    <row r="7561">
      <c r="A7561" s="5" t="str">
        <f>IFERROR(__xludf.DUMMYFUNCTION("""COMPUTED_VALUE"""),"95516")</f>
        <v>95516</v>
      </c>
      <c r="B7561" s="64">
        <f>IFERROR(__xludf.DUMMYFUNCTION("""COMPUTED_VALUE"""),44649.0)</f>
        <v>44649</v>
      </c>
      <c r="C7561" s="5"/>
      <c r="D7561" s="5"/>
      <c r="E7561" s="5"/>
      <c r="F7561" s="25">
        <f>IFERROR(__xludf.DUMMYFUNCTION("""COMPUTED_VALUE"""),500000.0)</f>
        <v>500000</v>
      </c>
      <c r="G7561" s="25">
        <f>IFERROR(__xludf.DUMMYFUNCTION("""COMPUTED_VALUE"""),0.0)</f>
        <v>0</v>
      </c>
      <c r="H7561" s="8">
        <f>IFERROR(__xludf.DUMMYFUNCTION("""COMPUTED_VALUE"""),535900.0)</f>
        <v>535900</v>
      </c>
      <c r="I7561" s="24">
        <f>IFERROR(__xludf.DUMMYFUNCTION("""COMPUTED_VALUE"""),0.07180000000000009)</f>
        <v>0.0718</v>
      </c>
    </row>
    <row r="7562">
      <c r="A7562" s="5" t="str">
        <f>IFERROR(__xludf.DUMMYFUNCTION("""COMPUTED_VALUE"""),"95516")</f>
        <v>95516</v>
      </c>
      <c r="B7562" s="64">
        <f>IFERROR(__xludf.DUMMYFUNCTION("""COMPUTED_VALUE"""),44650.0)</f>
        <v>44650</v>
      </c>
      <c r="C7562" s="5"/>
      <c r="D7562" s="5"/>
      <c r="E7562" s="5"/>
      <c r="F7562" s="25">
        <f>IFERROR(__xludf.DUMMYFUNCTION("""COMPUTED_VALUE"""),500000.0)</f>
        <v>500000</v>
      </c>
      <c r="G7562" s="25">
        <f>IFERROR(__xludf.DUMMYFUNCTION("""COMPUTED_VALUE"""),0.0)</f>
        <v>0</v>
      </c>
      <c r="H7562" s="8">
        <f>IFERROR(__xludf.DUMMYFUNCTION("""COMPUTED_VALUE"""),540800.0)</f>
        <v>540800</v>
      </c>
      <c r="I7562" s="24">
        <f>IFERROR(__xludf.DUMMYFUNCTION("""COMPUTED_VALUE"""),0.0815999999999999)</f>
        <v>0.0816</v>
      </c>
    </row>
    <row r="7563">
      <c r="A7563" s="5" t="str">
        <f>IFERROR(__xludf.DUMMYFUNCTION("""COMPUTED_VALUE"""),"95516")</f>
        <v>95516</v>
      </c>
      <c r="B7563" s="64">
        <f>IFERROR(__xludf.DUMMYFUNCTION("""COMPUTED_VALUE"""),44651.0)</f>
        <v>44651</v>
      </c>
      <c r="C7563" s="5"/>
      <c r="D7563" s="5"/>
      <c r="E7563" s="5"/>
      <c r="F7563" s="25">
        <f>IFERROR(__xludf.DUMMYFUNCTION("""COMPUTED_VALUE"""),500000.0)</f>
        <v>500000</v>
      </c>
      <c r="G7563" s="25">
        <f>IFERROR(__xludf.DUMMYFUNCTION("""COMPUTED_VALUE"""),0.0)</f>
        <v>0</v>
      </c>
      <c r="H7563" s="8">
        <f>IFERROR(__xludf.DUMMYFUNCTION("""COMPUTED_VALUE"""),529400.0)</f>
        <v>529400</v>
      </c>
      <c r="I7563" s="24">
        <f>IFERROR(__xludf.DUMMYFUNCTION("""COMPUTED_VALUE"""),0.05879999999999996)</f>
        <v>0.0588</v>
      </c>
    </row>
    <row r="7564">
      <c r="A7564" s="5" t="str">
        <f>IFERROR(__xludf.DUMMYFUNCTION("""COMPUTED_VALUE"""),"95516")</f>
        <v>95516</v>
      </c>
      <c r="B7564" s="64">
        <f>IFERROR(__xludf.DUMMYFUNCTION("""COMPUTED_VALUE"""),44652.0)</f>
        <v>44652</v>
      </c>
      <c r="C7564" s="5"/>
      <c r="D7564" s="5"/>
      <c r="E7564" s="5"/>
      <c r="F7564" s="25">
        <f>IFERROR(__xludf.DUMMYFUNCTION("""COMPUTED_VALUE"""),500000.0)</f>
        <v>500000</v>
      </c>
      <c r="G7564" s="25">
        <f>IFERROR(__xludf.DUMMYFUNCTION("""COMPUTED_VALUE"""),0.0)</f>
        <v>0</v>
      </c>
      <c r="H7564" s="8">
        <f>IFERROR(__xludf.DUMMYFUNCTION("""COMPUTED_VALUE"""),539300.0)</f>
        <v>539300</v>
      </c>
      <c r="I7564" s="24">
        <f>IFERROR(__xludf.DUMMYFUNCTION("""COMPUTED_VALUE"""),0.0786)</f>
        <v>0.0786</v>
      </c>
    </row>
    <row r="7565">
      <c r="A7565" s="5" t="str">
        <f>IFERROR(__xludf.DUMMYFUNCTION("""COMPUTED_VALUE"""),"95516")</f>
        <v>95516</v>
      </c>
      <c r="B7565" s="64">
        <f>IFERROR(__xludf.DUMMYFUNCTION("""COMPUTED_VALUE"""),44653.0)</f>
        <v>44653</v>
      </c>
      <c r="C7565" s="5"/>
      <c r="D7565" s="5"/>
      <c r="E7565" s="5"/>
      <c r="F7565" s="25">
        <f>IFERROR(__xludf.DUMMYFUNCTION("""COMPUTED_VALUE"""),500000.0)</f>
        <v>500000</v>
      </c>
      <c r="G7565" s="25">
        <f>IFERROR(__xludf.DUMMYFUNCTION("""COMPUTED_VALUE"""),0.0)</f>
        <v>0</v>
      </c>
      <c r="H7565" s="8">
        <f>IFERROR(__xludf.DUMMYFUNCTION("""COMPUTED_VALUE"""),544150.0)</f>
        <v>544150</v>
      </c>
      <c r="I7565" s="24">
        <f>IFERROR(__xludf.DUMMYFUNCTION("""COMPUTED_VALUE"""),0.08830000000000005)</f>
        <v>0.0883</v>
      </c>
    </row>
    <row r="7566">
      <c r="A7566" s="5" t="str">
        <f>IFERROR(__xludf.DUMMYFUNCTION("""COMPUTED_VALUE"""),"95516")</f>
        <v>95516</v>
      </c>
      <c r="B7566" s="64">
        <f>IFERROR(__xludf.DUMMYFUNCTION("""COMPUTED_VALUE"""),44654.0)</f>
        <v>44654</v>
      </c>
      <c r="C7566" s="5"/>
      <c r="D7566" s="5"/>
      <c r="E7566" s="5"/>
      <c r="F7566" s="25">
        <f>IFERROR(__xludf.DUMMYFUNCTION("""COMPUTED_VALUE"""),500000.0)</f>
        <v>500000</v>
      </c>
      <c r="G7566" s="25">
        <f>IFERROR(__xludf.DUMMYFUNCTION("""COMPUTED_VALUE"""),0.0)</f>
        <v>0</v>
      </c>
      <c r="H7566" s="8">
        <f>IFERROR(__xludf.DUMMYFUNCTION("""COMPUTED_VALUE"""),544150.0)</f>
        <v>544150</v>
      </c>
      <c r="I7566" s="24">
        <f>IFERROR(__xludf.DUMMYFUNCTION("""COMPUTED_VALUE"""),0.08830000000000005)</f>
        <v>0.0883</v>
      </c>
    </row>
    <row r="7567">
      <c r="A7567" s="5" t="str">
        <f>IFERROR(__xludf.DUMMYFUNCTION("""COMPUTED_VALUE"""),"95516")</f>
        <v>95516</v>
      </c>
      <c r="B7567" s="64">
        <f>IFERROR(__xludf.DUMMYFUNCTION("""COMPUTED_VALUE"""),44655.0)</f>
        <v>44655</v>
      </c>
      <c r="C7567" s="5"/>
      <c r="D7567" s="5"/>
      <c r="E7567" s="5"/>
      <c r="F7567" s="25">
        <f>IFERROR(__xludf.DUMMYFUNCTION("""COMPUTED_VALUE"""),500000.0)</f>
        <v>500000</v>
      </c>
      <c r="G7567" s="25">
        <f>IFERROR(__xludf.DUMMYFUNCTION("""COMPUTED_VALUE"""),0.0)</f>
        <v>0</v>
      </c>
      <c r="H7567" s="8">
        <f>IFERROR(__xludf.DUMMYFUNCTION("""COMPUTED_VALUE"""),549850.0)</f>
        <v>549850</v>
      </c>
      <c r="I7567" s="24">
        <f>IFERROR(__xludf.DUMMYFUNCTION("""COMPUTED_VALUE"""),0.0996999999999999)</f>
        <v>0.0997</v>
      </c>
    </row>
    <row r="7568">
      <c r="A7568" s="5" t="str">
        <f>IFERROR(__xludf.DUMMYFUNCTION("""COMPUTED_VALUE"""),"95516")</f>
        <v>95516</v>
      </c>
      <c r="B7568" s="64">
        <f>IFERROR(__xludf.DUMMYFUNCTION("""COMPUTED_VALUE"""),44656.0)</f>
        <v>44656</v>
      </c>
      <c r="C7568" s="5"/>
      <c r="D7568" s="5"/>
      <c r="E7568" s="5"/>
      <c r="F7568" s="25">
        <f>IFERROR(__xludf.DUMMYFUNCTION("""COMPUTED_VALUE"""),500000.0)</f>
        <v>500000</v>
      </c>
      <c r="G7568" s="25">
        <f>IFERROR(__xludf.DUMMYFUNCTION("""COMPUTED_VALUE"""),0.0)</f>
        <v>0</v>
      </c>
      <c r="H7568" s="8">
        <f>IFERROR(__xludf.DUMMYFUNCTION("""COMPUTED_VALUE"""),549850.0)</f>
        <v>549850</v>
      </c>
      <c r="I7568" s="24">
        <f>IFERROR(__xludf.DUMMYFUNCTION("""COMPUTED_VALUE"""),0.0996999999999999)</f>
        <v>0.0997</v>
      </c>
    </row>
    <row r="7569">
      <c r="A7569" s="5" t="str">
        <f>IFERROR(__xludf.DUMMYFUNCTION("""COMPUTED_VALUE"""),"95516")</f>
        <v>95516</v>
      </c>
      <c r="B7569" s="64">
        <f>IFERROR(__xludf.DUMMYFUNCTION("""COMPUTED_VALUE"""),44657.0)</f>
        <v>44657</v>
      </c>
      <c r="C7569" s="5"/>
      <c r="D7569" s="5"/>
      <c r="E7569" s="5"/>
      <c r="F7569" s="25">
        <f>IFERROR(__xludf.DUMMYFUNCTION("""COMPUTED_VALUE"""),500000.0)</f>
        <v>500000</v>
      </c>
      <c r="G7569" s="25">
        <f>IFERROR(__xludf.DUMMYFUNCTION("""COMPUTED_VALUE"""),0.0)</f>
        <v>0</v>
      </c>
      <c r="H7569" s="8">
        <f>IFERROR(__xludf.DUMMYFUNCTION("""COMPUTED_VALUE"""),523550.0)</f>
        <v>523550</v>
      </c>
      <c r="I7569" s="24">
        <f>IFERROR(__xludf.DUMMYFUNCTION("""COMPUTED_VALUE"""),0.04709999999999992)</f>
        <v>0.0471</v>
      </c>
    </row>
    <row r="7570">
      <c r="A7570" s="5" t="str">
        <f>IFERROR(__xludf.DUMMYFUNCTION("""COMPUTED_VALUE"""),"95516")</f>
        <v>95516</v>
      </c>
      <c r="B7570" s="64">
        <f>IFERROR(__xludf.DUMMYFUNCTION("""COMPUTED_VALUE"""),44658.0)</f>
        <v>44658</v>
      </c>
      <c r="C7570" s="5"/>
      <c r="D7570" s="5"/>
      <c r="E7570" s="5"/>
      <c r="F7570" s="25">
        <f>IFERROR(__xludf.DUMMYFUNCTION("""COMPUTED_VALUE"""),500000.0)</f>
        <v>500000</v>
      </c>
      <c r="G7570" s="25">
        <f>IFERROR(__xludf.DUMMYFUNCTION("""COMPUTED_VALUE"""),0.0)</f>
        <v>0</v>
      </c>
      <c r="H7570" s="8">
        <f>IFERROR(__xludf.DUMMYFUNCTION("""COMPUTED_VALUE"""),506720.0)</f>
        <v>506720</v>
      </c>
      <c r="I7570" s="24">
        <f>IFERROR(__xludf.DUMMYFUNCTION("""COMPUTED_VALUE"""),0.013439999999999896)</f>
        <v>0.01344</v>
      </c>
    </row>
    <row r="7571">
      <c r="A7571" s="5" t="str">
        <f>IFERROR(__xludf.DUMMYFUNCTION("""COMPUTED_VALUE"""),"95516")</f>
        <v>95516</v>
      </c>
      <c r="B7571" s="64">
        <f>IFERROR(__xludf.DUMMYFUNCTION("""COMPUTED_VALUE"""),44659.0)</f>
        <v>44659</v>
      </c>
      <c r="C7571" s="5"/>
      <c r="D7571" s="5"/>
      <c r="E7571" s="5"/>
      <c r="F7571" s="25">
        <f>IFERROR(__xludf.DUMMYFUNCTION("""COMPUTED_VALUE"""),500000.0)</f>
        <v>500000</v>
      </c>
      <c r="G7571" s="25">
        <f>IFERROR(__xludf.DUMMYFUNCTION("""COMPUTED_VALUE"""),0.0)</f>
        <v>0</v>
      </c>
      <c r="H7571" s="8">
        <f>IFERROR(__xludf.DUMMYFUNCTION("""COMPUTED_VALUE"""),504730.0)</f>
        <v>504730</v>
      </c>
      <c r="I7571" s="24">
        <f>IFERROR(__xludf.DUMMYFUNCTION("""COMPUTED_VALUE"""),0.009460000000000024)</f>
        <v>0.00946</v>
      </c>
    </row>
    <row r="7572">
      <c r="A7572" s="5" t="str">
        <f>IFERROR(__xludf.DUMMYFUNCTION("""COMPUTED_VALUE"""),"95516")</f>
        <v>95516</v>
      </c>
      <c r="B7572" s="64">
        <f>IFERROR(__xludf.DUMMYFUNCTION("""COMPUTED_VALUE"""),44660.0)</f>
        <v>44660</v>
      </c>
      <c r="C7572" s="5"/>
      <c r="D7572" s="5"/>
      <c r="E7572" s="5"/>
      <c r="F7572" s="25">
        <f>IFERROR(__xludf.DUMMYFUNCTION("""COMPUTED_VALUE"""),500000.0)</f>
        <v>500000</v>
      </c>
      <c r="G7572" s="25">
        <f>IFERROR(__xludf.DUMMYFUNCTION("""COMPUTED_VALUE"""),0.0)</f>
        <v>0</v>
      </c>
      <c r="H7572" s="8">
        <f>IFERROR(__xludf.DUMMYFUNCTION("""COMPUTED_VALUE"""),504730.0)</f>
        <v>504730</v>
      </c>
      <c r="I7572" s="24">
        <f>IFERROR(__xludf.DUMMYFUNCTION("""COMPUTED_VALUE"""),0.009460000000000024)</f>
        <v>0.00946</v>
      </c>
    </row>
    <row r="7573">
      <c r="A7573" s="5" t="str">
        <f>IFERROR(__xludf.DUMMYFUNCTION("""COMPUTED_VALUE"""),"95516")</f>
        <v>95516</v>
      </c>
      <c r="B7573" s="64">
        <f>IFERROR(__xludf.DUMMYFUNCTION("""COMPUTED_VALUE"""),44661.0)</f>
        <v>44661</v>
      </c>
      <c r="C7573" s="5"/>
      <c r="D7573" s="5"/>
      <c r="E7573" s="5"/>
      <c r="F7573" s="25">
        <f>IFERROR(__xludf.DUMMYFUNCTION("""COMPUTED_VALUE"""),500000.0)</f>
        <v>500000</v>
      </c>
      <c r="G7573" s="25">
        <f>IFERROR(__xludf.DUMMYFUNCTION("""COMPUTED_VALUE"""),0.0)</f>
        <v>0</v>
      </c>
      <c r="H7573" s="8">
        <f>IFERROR(__xludf.DUMMYFUNCTION("""COMPUTED_VALUE"""),504730.0)</f>
        <v>504730</v>
      </c>
      <c r="I7573" s="24">
        <f>IFERROR(__xludf.DUMMYFUNCTION("""COMPUTED_VALUE"""),0.009460000000000024)</f>
        <v>0.00946</v>
      </c>
    </row>
    <row r="7574">
      <c r="A7574" s="5" t="str">
        <f>IFERROR(__xludf.DUMMYFUNCTION("""COMPUTED_VALUE"""),"95516")</f>
        <v>95516</v>
      </c>
      <c r="B7574" s="64">
        <f>IFERROR(__xludf.DUMMYFUNCTION("""COMPUTED_VALUE"""),44662.0)</f>
        <v>44662</v>
      </c>
      <c r="C7574" s="5"/>
      <c r="D7574" s="5"/>
      <c r="E7574" s="5"/>
      <c r="F7574" s="25">
        <f>IFERROR(__xludf.DUMMYFUNCTION("""COMPUTED_VALUE"""),500000.0)</f>
        <v>500000</v>
      </c>
      <c r="G7574" s="25">
        <f>IFERROR(__xludf.DUMMYFUNCTION("""COMPUTED_VALUE"""),0.0)</f>
        <v>0</v>
      </c>
      <c r="H7574" s="8">
        <f>IFERROR(__xludf.DUMMYFUNCTION("""COMPUTED_VALUE"""),482320.0)</f>
        <v>482320</v>
      </c>
      <c r="I7574" s="24">
        <f>IFERROR(__xludf.DUMMYFUNCTION("""COMPUTED_VALUE"""),-0.03535999999999995)</f>
        <v>-0.03536</v>
      </c>
    </row>
    <row r="7575">
      <c r="A7575" s="5" t="str">
        <f>IFERROR(__xludf.DUMMYFUNCTION("""COMPUTED_VALUE"""),"95516")</f>
        <v>95516</v>
      </c>
      <c r="B7575" s="64">
        <f>IFERROR(__xludf.DUMMYFUNCTION("""COMPUTED_VALUE"""),44663.0)</f>
        <v>44663</v>
      </c>
      <c r="C7575" s="5"/>
      <c r="D7575" s="5"/>
      <c r="E7575" s="5"/>
      <c r="F7575" s="25">
        <f>IFERROR(__xludf.DUMMYFUNCTION("""COMPUTED_VALUE"""),500000.0)</f>
        <v>500000</v>
      </c>
      <c r="G7575" s="25">
        <f>IFERROR(__xludf.DUMMYFUNCTION("""COMPUTED_VALUE"""),0.0)</f>
        <v>0</v>
      </c>
      <c r="H7575" s="8">
        <f>IFERROR(__xludf.DUMMYFUNCTION("""COMPUTED_VALUE"""),486500.0)</f>
        <v>486500</v>
      </c>
      <c r="I7575" s="24">
        <f>IFERROR(__xludf.DUMMYFUNCTION("""COMPUTED_VALUE"""),-0.027000000000000024)</f>
        <v>-0.027</v>
      </c>
    </row>
    <row r="7576">
      <c r="A7576" s="5" t="str">
        <f>IFERROR(__xludf.DUMMYFUNCTION("""COMPUTED_VALUE"""),"97316")</f>
        <v>97316</v>
      </c>
      <c r="B7576" s="64">
        <f>IFERROR(__xludf.DUMMYFUNCTION("""COMPUTED_VALUE"""),44597.0)</f>
        <v>44597</v>
      </c>
      <c r="C7576" s="5"/>
      <c r="D7576" s="5"/>
      <c r="E7576" s="5"/>
      <c r="F7576" s="25">
        <f>IFERROR(__xludf.DUMMYFUNCTION("""COMPUTED_VALUE"""),500000.0)</f>
        <v>500000</v>
      </c>
      <c r="G7576" s="25">
        <f>IFERROR(__xludf.DUMMYFUNCTION("""COMPUTED_VALUE"""),0.0)</f>
        <v>0</v>
      </c>
      <c r="H7576" s="8">
        <f>IFERROR(__xludf.DUMMYFUNCTION("""COMPUTED_VALUE"""),500000.0)</f>
        <v>500000</v>
      </c>
      <c r="I7576" s="24">
        <f>IFERROR(__xludf.DUMMYFUNCTION("""COMPUTED_VALUE"""),0.0)</f>
        <v>0</v>
      </c>
    </row>
    <row r="7577">
      <c r="A7577" s="5" t="str">
        <f>IFERROR(__xludf.DUMMYFUNCTION("""COMPUTED_VALUE"""),"97316")</f>
        <v>97316</v>
      </c>
      <c r="B7577" s="64">
        <f>IFERROR(__xludf.DUMMYFUNCTION("""COMPUTED_VALUE"""),44598.0)</f>
        <v>44598</v>
      </c>
      <c r="C7577" s="5"/>
      <c r="D7577" s="5"/>
      <c r="E7577" s="5"/>
      <c r="F7577" s="25">
        <f>IFERROR(__xludf.DUMMYFUNCTION("""COMPUTED_VALUE"""),500000.0)</f>
        <v>500000</v>
      </c>
      <c r="G7577" s="25">
        <f>IFERROR(__xludf.DUMMYFUNCTION("""COMPUTED_VALUE"""),0.0)</f>
        <v>0</v>
      </c>
      <c r="H7577" s="8">
        <f>IFERROR(__xludf.DUMMYFUNCTION("""COMPUTED_VALUE"""),500000.0)</f>
        <v>500000</v>
      </c>
      <c r="I7577" s="24">
        <f>IFERROR(__xludf.DUMMYFUNCTION("""COMPUTED_VALUE"""),0.0)</f>
        <v>0</v>
      </c>
    </row>
    <row r="7578">
      <c r="A7578" s="5" t="str">
        <f>IFERROR(__xludf.DUMMYFUNCTION("""COMPUTED_VALUE"""),"97316")</f>
        <v>97316</v>
      </c>
      <c r="B7578" s="64">
        <f>IFERROR(__xludf.DUMMYFUNCTION("""COMPUTED_VALUE"""),44599.0)</f>
        <v>44599</v>
      </c>
      <c r="C7578" s="5"/>
      <c r="D7578" s="5"/>
      <c r="E7578" s="5"/>
      <c r="F7578" s="25">
        <f>IFERROR(__xludf.DUMMYFUNCTION("""COMPUTED_VALUE"""),500000.0)</f>
        <v>500000</v>
      </c>
      <c r="G7578" s="25">
        <f>IFERROR(__xludf.DUMMYFUNCTION("""COMPUTED_VALUE"""),0.0)</f>
        <v>0</v>
      </c>
      <c r="H7578" s="8">
        <f>IFERROR(__xludf.DUMMYFUNCTION("""COMPUTED_VALUE"""),500000.0)</f>
        <v>500000</v>
      </c>
      <c r="I7578" s="24">
        <f>IFERROR(__xludf.DUMMYFUNCTION("""COMPUTED_VALUE"""),0.0)</f>
        <v>0</v>
      </c>
    </row>
    <row r="7579">
      <c r="A7579" s="5" t="str">
        <f>IFERROR(__xludf.DUMMYFUNCTION("""COMPUTED_VALUE"""),"97316")</f>
        <v>97316</v>
      </c>
      <c r="B7579" s="64">
        <f>IFERROR(__xludf.DUMMYFUNCTION("""COMPUTED_VALUE"""),44600.0)</f>
        <v>44600</v>
      </c>
      <c r="C7579" s="5"/>
      <c r="D7579" s="5"/>
      <c r="E7579" s="5"/>
      <c r="F7579" s="25">
        <f>IFERROR(__xludf.DUMMYFUNCTION("""COMPUTED_VALUE"""),500000.0)</f>
        <v>500000</v>
      </c>
      <c r="G7579" s="25">
        <f>IFERROR(__xludf.DUMMYFUNCTION("""COMPUTED_VALUE"""),0.0)</f>
        <v>0</v>
      </c>
      <c r="H7579" s="8">
        <f>IFERROR(__xludf.DUMMYFUNCTION("""COMPUTED_VALUE"""),500000.0)</f>
        <v>500000</v>
      </c>
      <c r="I7579" s="24">
        <f>IFERROR(__xludf.DUMMYFUNCTION("""COMPUTED_VALUE"""),0.0)</f>
        <v>0</v>
      </c>
    </row>
    <row r="7580">
      <c r="A7580" s="5" t="str">
        <f>IFERROR(__xludf.DUMMYFUNCTION("""COMPUTED_VALUE"""),"97316")</f>
        <v>97316</v>
      </c>
      <c r="B7580" s="64">
        <f>IFERROR(__xludf.DUMMYFUNCTION("""COMPUTED_VALUE"""),44601.0)</f>
        <v>44601</v>
      </c>
      <c r="C7580" s="5"/>
      <c r="D7580" s="5"/>
      <c r="E7580" s="5"/>
      <c r="F7580" s="25">
        <f>IFERROR(__xludf.DUMMYFUNCTION("""COMPUTED_VALUE"""),500000.0)</f>
        <v>500000</v>
      </c>
      <c r="G7580" s="25">
        <f>IFERROR(__xludf.DUMMYFUNCTION("""COMPUTED_VALUE"""),0.0)</f>
        <v>0</v>
      </c>
      <c r="H7580" s="8">
        <f>IFERROR(__xludf.DUMMYFUNCTION("""COMPUTED_VALUE"""),500000.0)</f>
        <v>500000</v>
      </c>
      <c r="I7580" s="24">
        <f>IFERROR(__xludf.DUMMYFUNCTION("""COMPUTED_VALUE"""),0.0)</f>
        <v>0</v>
      </c>
    </row>
    <row r="7581">
      <c r="A7581" s="5" t="str">
        <f>IFERROR(__xludf.DUMMYFUNCTION("""COMPUTED_VALUE"""),"97316")</f>
        <v>97316</v>
      </c>
      <c r="B7581" s="64">
        <f>IFERROR(__xludf.DUMMYFUNCTION("""COMPUTED_VALUE"""),44602.0)</f>
        <v>44602</v>
      </c>
      <c r="C7581" s="5"/>
      <c r="D7581" s="5"/>
      <c r="E7581" s="5"/>
      <c r="F7581" s="25">
        <f>IFERROR(__xludf.DUMMYFUNCTION("""COMPUTED_VALUE"""),500000.0)</f>
        <v>500000</v>
      </c>
      <c r="G7581" s="25">
        <f>IFERROR(__xludf.DUMMYFUNCTION("""COMPUTED_VALUE"""),0.0)</f>
        <v>0</v>
      </c>
      <c r="H7581" s="8">
        <f>IFERROR(__xludf.DUMMYFUNCTION("""COMPUTED_VALUE"""),500000.0)</f>
        <v>500000</v>
      </c>
      <c r="I7581" s="24">
        <f>IFERROR(__xludf.DUMMYFUNCTION("""COMPUTED_VALUE"""),0.0)</f>
        <v>0</v>
      </c>
    </row>
    <row r="7582">
      <c r="A7582" s="5" t="str">
        <f>IFERROR(__xludf.DUMMYFUNCTION("""COMPUTED_VALUE"""),"97316")</f>
        <v>97316</v>
      </c>
      <c r="B7582" s="64">
        <f>IFERROR(__xludf.DUMMYFUNCTION("""COMPUTED_VALUE"""),44603.0)</f>
        <v>44603</v>
      </c>
      <c r="C7582" s="5"/>
      <c r="D7582" s="5"/>
      <c r="E7582" s="5"/>
      <c r="F7582" s="25">
        <f>IFERROR(__xludf.DUMMYFUNCTION("""COMPUTED_VALUE"""),500000.0)</f>
        <v>500000</v>
      </c>
      <c r="G7582" s="25">
        <f>IFERROR(__xludf.DUMMYFUNCTION("""COMPUTED_VALUE"""),0.0)</f>
        <v>0</v>
      </c>
      <c r="H7582" s="8">
        <f>IFERROR(__xludf.DUMMYFUNCTION("""COMPUTED_VALUE"""),500000.0)</f>
        <v>500000</v>
      </c>
      <c r="I7582" s="24">
        <f>IFERROR(__xludf.DUMMYFUNCTION("""COMPUTED_VALUE"""),0.0)</f>
        <v>0</v>
      </c>
    </row>
    <row r="7583">
      <c r="A7583" s="5" t="str">
        <f>IFERROR(__xludf.DUMMYFUNCTION("""COMPUTED_VALUE"""),"97316")</f>
        <v>97316</v>
      </c>
      <c r="B7583" s="64">
        <f>IFERROR(__xludf.DUMMYFUNCTION("""COMPUTED_VALUE"""),44604.0)</f>
        <v>44604</v>
      </c>
      <c r="C7583" s="5"/>
      <c r="D7583" s="5"/>
      <c r="E7583" s="5"/>
      <c r="F7583" s="25">
        <f>IFERROR(__xludf.DUMMYFUNCTION("""COMPUTED_VALUE"""),500000.0)</f>
        <v>500000</v>
      </c>
      <c r="G7583" s="25">
        <f>IFERROR(__xludf.DUMMYFUNCTION("""COMPUTED_VALUE"""),0.0)</f>
        <v>0</v>
      </c>
      <c r="H7583" s="8">
        <f>IFERROR(__xludf.DUMMYFUNCTION("""COMPUTED_VALUE"""),500000.0)</f>
        <v>500000</v>
      </c>
      <c r="I7583" s="24">
        <f>IFERROR(__xludf.DUMMYFUNCTION("""COMPUTED_VALUE"""),0.0)</f>
        <v>0</v>
      </c>
    </row>
    <row r="7584">
      <c r="A7584" s="5" t="str">
        <f>IFERROR(__xludf.DUMMYFUNCTION("""COMPUTED_VALUE"""),"97316")</f>
        <v>97316</v>
      </c>
      <c r="B7584" s="64">
        <f>IFERROR(__xludf.DUMMYFUNCTION("""COMPUTED_VALUE"""),44605.0)</f>
        <v>44605</v>
      </c>
      <c r="C7584" s="5"/>
      <c r="D7584" s="5"/>
      <c r="E7584" s="5"/>
      <c r="F7584" s="25">
        <f>IFERROR(__xludf.DUMMYFUNCTION("""COMPUTED_VALUE"""),500000.0)</f>
        <v>500000</v>
      </c>
      <c r="G7584" s="25">
        <f>IFERROR(__xludf.DUMMYFUNCTION("""COMPUTED_VALUE"""),0.0)</f>
        <v>0</v>
      </c>
      <c r="H7584" s="8">
        <f>IFERROR(__xludf.DUMMYFUNCTION("""COMPUTED_VALUE"""),500000.0)</f>
        <v>500000</v>
      </c>
      <c r="I7584" s="24">
        <f>IFERROR(__xludf.DUMMYFUNCTION("""COMPUTED_VALUE"""),0.0)</f>
        <v>0</v>
      </c>
    </row>
    <row r="7585">
      <c r="A7585" s="5" t="str">
        <f>IFERROR(__xludf.DUMMYFUNCTION("""COMPUTED_VALUE"""),"97316")</f>
        <v>97316</v>
      </c>
      <c r="B7585" s="64">
        <f>IFERROR(__xludf.DUMMYFUNCTION("""COMPUTED_VALUE"""),44606.0)</f>
        <v>44606</v>
      </c>
      <c r="C7585" s="5"/>
      <c r="D7585" s="5"/>
      <c r="E7585" s="5"/>
      <c r="F7585" s="25">
        <f>IFERROR(__xludf.DUMMYFUNCTION("""COMPUTED_VALUE"""),500000.0)</f>
        <v>500000</v>
      </c>
      <c r="G7585" s="25">
        <f>IFERROR(__xludf.DUMMYFUNCTION("""COMPUTED_VALUE"""),0.0)</f>
        <v>0</v>
      </c>
      <c r="H7585" s="8">
        <f>IFERROR(__xludf.DUMMYFUNCTION("""COMPUTED_VALUE"""),500000.0)</f>
        <v>500000</v>
      </c>
      <c r="I7585" s="24">
        <f>IFERROR(__xludf.DUMMYFUNCTION("""COMPUTED_VALUE"""),0.0)</f>
        <v>0</v>
      </c>
    </row>
    <row r="7586">
      <c r="A7586" s="5" t="str">
        <f>IFERROR(__xludf.DUMMYFUNCTION("""COMPUTED_VALUE"""),"97316")</f>
        <v>97316</v>
      </c>
      <c r="B7586" s="64">
        <f>IFERROR(__xludf.DUMMYFUNCTION("""COMPUTED_VALUE"""),44607.0)</f>
        <v>44607</v>
      </c>
      <c r="C7586" s="5"/>
      <c r="D7586" s="5"/>
      <c r="E7586" s="5"/>
      <c r="F7586" s="25">
        <f>IFERROR(__xludf.DUMMYFUNCTION("""COMPUTED_VALUE"""),500000.0)</f>
        <v>500000</v>
      </c>
      <c r="G7586" s="25">
        <f>IFERROR(__xludf.DUMMYFUNCTION("""COMPUTED_VALUE"""),0.0)</f>
        <v>0</v>
      </c>
      <c r="H7586" s="8">
        <f>IFERROR(__xludf.DUMMYFUNCTION("""COMPUTED_VALUE"""),500000.0)</f>
        <v>500000</v>
      </c>
      <c r="I7586" s="24">
        <f>IFERROR(__xludf.DUMMYFUNCTION("""COMPUTED_VALUE"""),0.0)</f>
        <v>0</v>
      </c>
    </row>
    <row r="7587">
      <c r="A7587" s="5" t="str">
        <f>IFERROR(__xludf.DUMMYFUNCTION("""COMPUTED_VALUE"""),"97316")</f>
        <v>97316</v>
      </c>
      <c r="B7587" s="64">
        <f>IFERROR(__xludf.DUMMYFUNCTION("""COMPUTED_VALUE"""),44608.0)</f>
        <v>44608</v>
      </c>
      <c r="C7587" s="5"/>
      <c r="D7587" s="5"/>
      <c r="E7587" s="5"/>
      <c r="F7587" s="25">
        <f>IFERROR(__xludf.DUMMYFUNCTION("""COMPUTED_VALUE"""),500000.0)</f>
        <v>500000</v>
      </c>
      <c r="G7587" s="25">
        <f>IFERROR(__xludf.DUMMYFUNCTION("""COMPUTED_VALUE"""),0.0)</f>
        <v>0</v>
      </c>
      <c r="H7587" s="8">
        <f>IFERROR(__xludf.DUMMYFUNCTION("""COMPUTED_VALUE"""),500000.0)</f>
        <v>500000</v>
      </c>
      <c r="I7587" s="24">
        <f>IFERROR(__xludf.DUMMYFUNCTION("""COMPUTED_VALUE"""),0.0)</f>
        <v>0</v>
      </c>
    </row>
    <row r="7588">
      <c r="A7588" s="5" t="str">
        <f>IFERROR(__xludf.DUMMYFUNCTION("""COMPUTED_VALUE"""),"97316")</f>
        <v>97316</v>
      </c>
      <c r="B7588" s="64">
        <f>IFERROR(__xludf.DUMMYFUNCTION("""COMPUTED_VALUE"""),44609.0)</f>
        <v>44609</v>
      </c>
      <c r="C7588" s="5"/>
      <c r="D7588" s="5"/>
      <c r="E7588" s="5"/>
      <c r="F7588" s="25">
        <f>IFERROR(__xludf.DUMMYFUNCTION("""COMPUTED_VALUE"""),500000.0)</f>
        <v>500000</v>
      </c>
      <c r="G7588" s="25">
        <f>IFERROR(__xludf.DUMMYFUNCTION("""COMPUTED_VALUE"""),0.0)</f>
        <v>0</v>
      </c>
      <c r="H7588" s="8">
        <f>IFERROR(__xludf.DUMMYFUNCTION("""COMPUTED_VALUE"""),500000.0)</f>
        <v>500000</v>
      </c>
      <c r="I7588" s="24">
        <f>IFERROR(__xludf.DUMMYFUNCTION("""COMPUTED_VALUE"""),0.0)</f>
        <v>0</v>
      </c>
    </row>
    <row r="7589">
      <c r="A7589" s="5" t="str">
        <f>IFERROR(__xludf.DUMMYFUNCTION("""COMPUTED_VALUE"""),"97316")</f>
        <v>97316</v>
      </c>
      <c r="B7589" s="64">
        <f>IFERROR(__xludf.DUMMYFUNCTION("""COMPUTED_VALUE"""),44610.0)</f>
        <v>44610</v>
      </c>
      <c r="C7589" s="5"/>
      <c r="D7589" s="5"/>
      <c r="E7589" s="5"/>
      <c r="F7589" s="25">
        <f>IFERROR(__xludf.DUMMYFUNCTION("""COMPUTED_VALUE"""),500000.0)</f>
        <v>500000</v>
      </c>
      <c r="G7589" s="25">
        <f>IFERROR(__xludf.DUMMYFUNCTION("""COMPUTED_VALUE"""),0.0)</f>
        <v>0</v>
      </c>
      <c r="H7589" s="8">
        <f>IFERROR(__xludf.DUMMYFUNCTION("""COMPUTED_VALUE"""),500000.0)</f>
        <v>500000</v>
      </c>
      <c r="I7589" s="24">
        <f>IFERROR(__xludf.DUMMYFUNCTION("""COMPUTED_VALUE"""),0.0)</f>
        <v>0</v>
      </c>
    </row>
    <row r="7590">
      <c r="A7590" s="5" t="str">
        <f>IFERROR(__xludf.DUMMYFUNCTION("""COMPUTED_VALUE"""),"97316")</f>
        <v>97316</v>
      </c>
      <c r="B7590" s="64">
        <f>IFERROR(__xludf.DUMMYFUNCTION("""COMPUTED_VALUE"""),44611.0)</f>
        <v>44611</v>
      </c>
      <c r="C7590" s="5"/>
      <c r="D7590" s="5"/>
      <c r="E7590" s="5"/>
      <c r="F7590" s="25">
        <f>IFERROR(__xludf.DUMMYFUNCTION("""COMPUTED_VALUE"""),500000.0)</f>
        <v>500000</v>
      </c>
      <c r="G7590" s="25">
        <f>IFERROR(__xludf.DUMMYFUNCTION("""COMPUTED_VALUE"""),0.0)</f>
        <v>0</v>
      </c>
      <c r="H7590" s="8">
        <f>IFERROR(__xludf.DUMMYFUNCTION("""COMPUTED_VALUE"""),500000.0)</f>
        <v>500000</v>
      </c>
      <c r="I7590" s="24">
        <f>IFERROR(__xludf.DUMMYFUNCTION("""COMPUTED_VALUE"""),0.0)</f>
        <v>0</v>
      </c>
    </row>
    <row r="7591">
      <c r="A7591" s="5" t="str">
        <f>IFERROR(__xludf.DUMMYFUNCTION("""COMPUTED_VALUE"""),"97316")</f>
        <v>97316</v>
      </c>
      <c r="B7591" s="64">
        <f>IFERROR(__xludf.DUMMYFUNCTION("""COMPUTED_VALUE"""),44612.0)</f>
        <v>44612</v>
      </c>
      <c r="C7591" s="5"/>
      <c r="D7591" s="5"/>
      <c r="E7591" s="5"/>
      <c r="F7591" s="25">
        <f>IFERROR(__xludf.DUMMYFUNCTION("""COMPUTED_VALUE"""),500000.0)</f>
        <v>500000</v>
      </c>
      <c r="G7591" s="25">
        <f>IFERROR(__xludf.DUMMYFUNCTION("""COMPUTED_VALUE"""),0.0)</f>
        <v>0</v>
      </c>
      <c r="H7591" s="8">
        <f>IFERROR(__xludf.DUMMYFUNCTION("""COMPUTED_VALUE"""),500000.0)</f>
        <v>500000</v>
      </c>
      <c r="I7591" s="24">
        <f>IFERROR(__xludf.DUMMYFUNCTION("""COMPUTED_VALUE"""),0.0)</f>
        <v>0</v>
      </c>
    </row>
    <row r="7592">
      <c r="A7592" s="5" t="str">
        <f>IFERROR(__xludf.DUMMYFUNCTION("""COMPUTED_VALUE"""),"97316")</f>
        <v>97316</v>
      </c>
      <c r="B7592" s="64">
        <f>IFERROR(__xludf.DUMMYFUNCTION("""COMPUTED_VALUE"""),44613.0)</f>
        <v>44613</v>
      </c>
      <c r="C7592" s="5"/>
      <c r="D7592" s="5"/>
      <c r="E7592" s="5"/>
      <c r="F7592" s="25">
        <f>IFERROR(__xludf.DUMMYFUNCTION("""COMPUTED_VALUE"""),500000.0)</f>
        <v>500000</v>
      </c>
      <c r="G7592" s="25">
        <f>IFERROR(__xludf.DUMMYFUNCTION("""COMPUTED_VALUE"""),0.0)</f>
        <v>0</v>
      </c>
      <c r="H7592" s="8">
        <f>IFERROR(__xludf.DUMMYFUNCTION("""COMPUTED_VALUE"""),500000.0)</f>
        <v>500000</v>
      </c>
      <c r="I7592" s="24">
        <f>IFERROR(__xludf.DUMMYFUNCTION("""COMPUTED_VALUE"""),0.0)</f>
        <v>0</v>
      </c>
    </row>
    <row r="7593">
      <c r="A7593" s="5" t="str">
        <f>IFERROR(__xludf.DUMMYFUNCTION("""COMPUTED_VALUE"""),"97316")</f>
        <v>97316</v>
      </c>
      <c r="B7593" s="64">
        <f>IFERROR(__xludf.DUMMYFUNCTION("""COMPUTED_VALUE"""),44614.0)</f>
        <v>44614</v>
      </c>
      <c r="C7593" s="5"/>
      <c r="D7593" s="5"/>
      <c r="E7593" s="5"/>
      <c r="F7593" s="25">
        <f>IFERROR(__xludf.DUMMYFUNCTION("""COMPUTED_VALUE"""),500000.0)</f>
        <v>500000</v>
      </c>
      <c r="G7593" s="25">
        <f>IFERROR(__xludf.DUMMYFUNCTION("""COMPUTED_VALUE"""),0.0)</f>
        <v>0</v>
      </c>
      <c r="H7593" s="8">
        <f>IFERROR(__xludf.DUMMYFUNCTION("""COMPUTED_VALUE"""),500000.0)</f>
        <v>500000</v>
      </c>
      <c r="I7593" s="24">
        <f>IFERROR(__xludf.DUMMYFUNCTION("""COMPUTED_VALUE"""),0.0)</f>
        <v>0</v>
      </c>
    </row>
    <row r="7594">
      <c r="A7594" s="5" t="str">
        <f>IFERROR(__xludf.DUMMYFUNCTION("""COMPUTED_VALUE"""),"97316")</f>
        <v>97316</v>
      </c>
      <c r="B7594" s="64">
        <f>IFERROR(__xludf.DUMMYFUNCTION("""COMPUTED_VALUE"""),44615.0)</f>
        <v>44615</v>
      </c>
      <c r="C7594" s="5"/>
      <c r="D7594" s="5"/>
      <c r="E7594" s="5"/>
      <c r="F7594" s="25">
        <f>IFERROR(__xludf.DUMMYFUNCTION("""COMPUTED_VALUE"""),500000.0)</f>
        <v>500000</v>
      </c>
      <c r="G7594" s="25">
        <f>IFERROR(__xludf.DUMMYFUNCTION("""COMPUTED_VALUE"""),0.0)</f>
        <v>0</v>
      </c>
      <c r="H7594" s="8">
        <f>IFERROR(__xludf.DUMMYFUNCTION("""COMPUTED_VALUE"""),500000.0)</f>
        <v>500000</v>
      </c>
      <c r="I7594" s="24">
        <f>IFERROR(__xludf.DUMMYFUNCTION("""COMPUTED_VALUE"""),0.0)</f>
        <v>0</v>
      </c>
    </row>
    <row r="7595">
      <c r="A7595" s="5" t="str">
        <f>IFERROR(__xludf.DUMMYFUNCTION("""COMPUTED_VALUE"""),"97316")</f>
        <v>97316</v>
      </c>
      <c r="B7595" s="64">
        <f>IFERROR(__xludf.DUMMYFUNCTION("""COMPUTED_VALUE"""),44616.0)</f>
        <v>44616</v>
      </c>
      <c r="C7595" s="5"/>
      <c r="D7595" s="5"/>
      <c r="E7595" s="5"/>
      <c r="F7595" s="25">
        <f>IFERROR(__xludf.DUMMYFUNCTION("""COMPUTED_VALUE"""),500000.0)</f>
        <v>500000</v>
      </c>
      <c r="G7595" s="25">
        <f>IFERROR(__xludf.DUMMYFUNCTION("""COMPUTED_VALUE"""),0.0)</f>
        <v>0</v>
      </c>
      <c r="H7595" s="8">
        <f>IFERROR(__xludf.DUMMYFUNCTION("""COMPUTED_VALUE"""),500000.0)</f>
        <v>500000</v>
      </c>
      <c r="I7595" s="24">
        <f>IFERROR(__xludf.DUMMYFUNCTION("""COMPUTED_VALUE"""),0.0)</f>
        <v>0</v>
      </c>
    </row>
    <row r="7596">
      <c r="A7596" s="5" t="str">
        <f>IFERROR(__xludf.DUMMYFUNCTION("""COMPUTED_VALUE"""),"97316")</f>
        <v>97316</v>
      </c>
      <c r="B7596" s="64">
        <f>IFERROR(__xludf.DUMMYFUNCTION("""COMPUTED_VALUE"""),44617.0)</f>
        <v>44617</v>
      </c>
      <c r="C7596" s="5"/>
      <c r="D7596" s="5"/>
      <c r="E7596" s="5"/>
      <c r="F7596" s="25">
        <f>IFERROR(__xludf.DUMMYFUNCTION("""COMPUTED_VALUE"""),500000.0)</f>
        <v>500000</v>
      </c>
      <c r="G7596" s="25">
        <f>IFERROR(__xludf.DUMMYFUNCTION("""COMPUTED_VALUE"""),0.0)</f>
        <v>0</v>
      </c>
      <c r="H7596" s="8">
        <f>IFERROR(__xludf.DUMMYFUNCTION("""COMPUTED_VALUE"""),500000.0)</f>
        <v>500000</v>
      </c>
      <c r="I7596" s="24">
        <f>IFERROR(__xludf.DUMMYFUNCTION("""COMPUTED_VALUE"""),0.0)</f>
        <v>0</v>
      </c>
    </row>
    <row r="7597">
      <c r="A7597" s="5" t="str">
        <f>IFERROR(__xludf.DUMMYFUNCTION("""COMPUTED_VALUE"""),"97316")</f>
        <v>97316</v>
      </c>
      <c r="B7597" s="64">
        <f>IFERROR(__xludf.DUMMYFUNCTION("""COMPUTED_VALUE"""),44618.0)</f>
        <v>44618</v>
      </c>
      <c r="C7597" s="5"/>
      <c r="D7597" s="5"/>
      <c r="E7597" s="5"/>
      <c r="F7597" s="25">
        <f>IFERROR(__xludf.DUMMYFUNCTION("""COMPUTED_VALUE"""),500000.0)</f>
        <v>500000</v>
      </c>
      <c r="G7597" s="25">
        <f>IFERROR(__xludf.DUMMYFUNCTION("""COMPUTED_VALUE"""),0.0)</f>
        <v>0</v>
      </c>
      <c r="H7597" s="8">
        <f>IFERROR(__xludf.DUMMYFUNCTION("""COMPUTED_VALUE"""),500000.0)</f>
        <v>500000</v>
      </c>
      <c r="I7597" s="24">
        <f>IFERROR(__xludf.DUMMYFUNCTION("""COMPUTED_VALUE"""),0.0)</f>
        <v>0</v>
      </c>
    </row>
    <row r="7598">
      <c r="A7598" s="5" t="str">
        <f>IFERROR(__xludf.DUMMYFUNCTION("""COMPUTED_VALUE"""),"97316")</f>
        <v>97316</v>
      </c>
      <c r="B7598" s="64">
        <f>IFERROR(__xludf.DUMMYFUNCTION("""COMPUTED_VALUE"""),44619.0)</f>
        <v>44619</v>
      </c>
      <c r="C7598" s="5"/>
      <c r="D7598" s="5"/>
      <c r="E7598" s="5"/>
      <c r="F7598" s="25">
        <f>IFERROR(__xludf.DUMMYFUNCTION("""COMPUTED_VALUE"""),500000.0)</f>
        <v>500000</v>
      </c>
      <c r="G7598" s="25">
        <f>IFERROR(__xludf.DUMMYFUNCTION("""COMPUTED_VALUE"""),0.0)</f>
        <v>0</v>
      </c>
      <c r="H7598" s="8">
        <f>IFERROR(__xludf.DUMMYFUNCTION("""COMPUTED_VALUE"""),500000.0)</f>
        <v>500000</v>
      </c>
      <c r="I7598" s="24">
        <f>IFERROR(__xludf.DUMMYFUNCTION("""COMPUTED_VALUE"""),0.0)</f>
        <v>0</v>
      </c>
    </row>
    <row r="7599">
      <c r="A7599" s="5" t="str">
        <f>IFERROR(__xludf.DUMMYFUNCTION("""COMPUTED_VALUE"""),"97316")</f>
        <v>97316</v>
      </c>
      <c r="B7599" s="64">
        <f>IFERROR(__xludf.DUMMYFUNCTION("""COMPUTED_VALUE"""),44620.0)</f>
        <v>44620</v>
      </c>
      <c r="C7599" s="5"/>
      <c r="D7599" s="5"/>
      <c r="E7599" s="5"/>
      <c r="F7599" s="25">
        <f>IFERROR(__xludf.DUMMYFUNCTION("""COMPUTED_VALUE"""),500000.0)</f>
        <v>500000</v>
      </c>
      <c r="G7599" s="25">
        <f>IFERROR(__xludf.DUMMYFUNCTION("""COMPUTED_VALUE"""),0.0)</f>
        <v>0</v>
      </c>
      <c r="H7599" s="8">
        <f>IFERROR(__xludf.DUMMYFUNCTION("""COMPUTED_VALUE"""),500000.0)</f>
        <v>500000</v>
      </c>
      <c r="I7599" s="24">
        <f>IFERROR(__xludf.DUMMYFUNCTION("""COMPUTED_VALUE"""),0.0)</f>
        <v>0</v>
      </c>
    </row>
    <row r="7600">
      <c r="A7600" s="5" t="str">
        <f>IFERROR(__xludf.DUMMYFUNCTION("""COMPUTED_VALUE"""),"97316")</f>
        <v>97316</v>
      </c>
      <c r="B7600" s="64">
        <f>IFERROR(__xludf.DUMMYFUNCTION("""COMPUTED_VALUE"""),44621.0)</f>
        <v>44621</v>
      </c>
      <c r="C7600" s="5"/>
      <c r="D7600" s="5"/>
      <c r="E7600" s="5"/>
      <c r="F7600" s="25">
        <f>IFERROR(__xludf.DUMMYFUNCTION("""COMPUTED_VALUE"""),500000.0)</f>
        <v>500000</v>
      </c>
      <c r="G7600" s="25">
        <f>IFERROR(__xludf.DUMMYFUNCTION("""COMPUTED_VALUE"""),0.0)</f>
        <v>0</v>
      </c>
      <c r="H7600" s="8">
        <f>IFERROR(__xludf.DUMMYFUNCTION("""COMPUTED_VALUE"""),500000.0)</f>
        <v>500000</v>
      </c>
      <c r="I7600" s="24">
        <f>IFERROR(__xludf.DUMMYFUNCTION("""COMPUTED_VALUE"""),0.0)</f>
        <v>0</v>
      </c>
    </row>
    <row r="7601">
      <c r="A7601" s="5" t="str">
        <f>IFERROR(__xludf.DUMMYFUNCTION("""COMPUTED_VALUE"""),"97316")</f>
        <v>97316</v>
      </c>
      <c r="B7601" s="64">
        <f>IFERROR(__xludf.DUMMYFUNCTION("""COMPUTED_VALUE"""),44622.0)</f>
        <v>44622</v>
      </c>
      <c r="C7601" s="5"/>
      <c r="D7601" s="5"/>
      <c r="E7601" s="5"/>
      <c r="F7601" s="25">
        <f>IFERROR(__xludf.DUMMYFUNCTION("""COMPUTED_VALUE"""),500000.0)</f>
        <v>500000</v>
      </c>
      <c r="G7601" s="25">
        <f>IFERROR(__xludf.DUMMYFUNCTION("""COMPUTED_VALUE"""),0.0)</f>
        <v>0</v>
      </c>
      <c r="H7601" s="8">
        <f>IFERROR(__xludf.DUMMYFUNCTION("""COMPUTED_VALUE"""),500000.0)</f>
        <v>500000</v>
      </c>
      <c r="I7601" s="24">
        <f>IFERROR(__xludf.DUMMYFUNCTION("""COMPUTED_VALUE"""),0.0)</f>
        <v>0</v>
      </c>
    </row>
    <row r="7602">
      <c r="A7602" s="5" t="str">
        <f>IFERROR(__xludf.DUMMYFUNCTION("""COMPUTED_VALUE"""),"97316")</f>
        <v>97316</v>
      </c>
      <c r="B7602" s="64">
        <f>IFERROR(__xludf.DUMMYFUNCTION("""COMPUTED_VALUE"""),44623.0)</f>
        <v>44623</v>
      </c>
      <c r="C7602" s="5"/>
      <c r="D7602" s="5"/>
      <c r="E7602" s="5"/>
      <c r="F7602" s="25">
        <f>IFERROR(__xludf.DUMMYFUNCTION("""COMPUTED_VALUE"""),500000.0)</f>
        <v>500000</v>
      </c>
      <c r="G7602" s="25">
        <f>IFERROR(__xludf.DUMMYFUNCTION("""COMPUTED_VALUE"""),0.0)</f>
        <v>0</v>
      </c>
      <c r="H7602" s="8">
        <f>IFERROR(__xludf.DUMMYFUNCTION("""COMPUTED_VALUE"""),500000.0)</f>
        <v>500000</v>
      </c>
      <c r="I7602" s="24">
        <f>IFERROR(__xludf.DUMMYFUNCTION("""COMPUTED_VALUE"""),0.0)</f>
        <v>0</v>
      </c>
    </row>
    <row r="7603">
      <c r="A7603" s="5" t="str">
        <f>IFERROR(__xludf.DUMMYFUNCTION("""COMPUTED_VALUE"""),"97316")</f>
        <v>97316</v>
      </c>
      <c r="B7603" s="64">
        <f>IFERROR(__xludf.DUMMYFUNCTION("""COMPUTED_VALUE"""),44624.0)</f>
        <v>44624</v>
      </c>
      <c r="C7603" s="5"/>
      <c r="D7603" s="5"/>
      <c r="E7603" s="5"/>
      <c r="F7603" s="25">
        <f>IFERROR(__xludf.DUMMYFUNCTION("""COMPUTED_VALUE"""),500000.0)</f>
        <v>500000</v>
      </c>
      <c r="G7603" s="25">
        <f>IFERROR(__xludf.DUMMYFUNCTION("""COMPUTED_VALUE"""),0.0)</f>
        <v>0</v>
      </c>
      <c r="H7603" s="8">
        <f>IFERROR(__xludf.DUMMYFUNCTION("""COMPUTED_VALUE"""),500000.0)</f>
        <v>500000</v>
      </c>
      <c r="I7603" s="24">
        <f>IFERROR(__xludf.DUMMYFUNCTION("""COMPUTED_VALUE"""),0.0)</f>
        <v>0</v>
      </c>
    </row>
    <row r="7604">
      <c r="A7604" s="5" t="str">
        <f>IFERROR(__xludf.DUMMYFUNCTION("""COMPUTED_VALUE"""),"97316")</f>
        <v>97316</v>
      </c>
      <c r="B7604" s="64">
        <f>IFERROR(__xludf.DUMMYFUNCTION("""COMPUTED_VALUE"""),44625.0)</f>
        <v>44625</v>
      </c>
      <c r="C7604" s="5"/>
      <c r="D7604" s="5"/>
      <c r="E7604" s="5"/>
      <c r="F7604" s="25">
        <f>IFERROR(__xludf.DUMMYFUNCTION("""COMPUTED_VALUE"""),500000.0)</f>
        <v>500000</v>
      </c>
      <c r="G7604" s="25">
        <f>IFERROR(__xludf.DUMMYFUNCTION("""COMPUTED_VALUE"""),0.0)</f>
        <v>0</v>
      </c>
      <c r="H7604" s="8">
        <f>IFERROR(__xludf.DUMMYFUNCTION("""COMPUTED_VALUE"""),500000.0)</f>
        <v>500000</v>
      </c>
      <c r="I7604" s="24">
        <f>IFERROR(__xludf.DUMMYFUNCTION("""COMPUTED_VALUE"""),0.0)</f>
        <v>0</v>
      </c>
    </row>
    <row r="7605">
      <c r="A7605" s="5" t="str">
        <f>IFERROR(__xludf.DUMMYFUNCTION("""COMPUTED_VALUE"""),"97316")</f>
        <v>97316</v>
      </c>
      <c r="B7605" s="64">
        <f>IFERROR(__xludf.DUMMYFUNCTION("""COMPUTED_VALUE"""),44626.0)</f>
        <v>44626</v>
      </c>
      <c r="C7605" s="5"/>
      <c r="D7605" s="5"/>
      <c r="E7605" s="5"/>
      <c r="F7605" s="25">
        <f>IFERROR(__xludf.DUMMYFUNCTION("""COMPUTED_VALUE"""),500000.0)</f>
        <v>500000</v>
      </c>
      <c r="G7605" s="25">
        <f>IFERROR(__xludf.DUMMYFUNCTION("""COMPUTED_VALUE"""),0.0)</f>
        <v>0</v>
      </c>
      <c r="H7605" s="8">
        <f>IFERROR(__xludf.DUMMYFUNCTION("""COMPUTED_VALUE"""),500000.0)</f>
        <v>500000</v>
      </c>
      <c r="I7605" s="24">
        <f>IFERROR(__xludf.DUMMYFUNCTION("""COMPUTED_VALUE"""),0.0)</f>
        <v>0</v>
      </c>
    </row>
    <row r="7606">
      <c r="A7606" s="5" t="str">
        <f>IFERROR(__xludf.DUMMYFUNCTION("""COMPUTED_VALUE"""),"97316")</f>
        <v>97316</v>
      </c>
      <c r="B7606" s="64">
        <f>IFERROR(__xludf.DUMMYFUNCTION("""COMPUTED_VALUE"""),44627.0)</f>
        <v>44627</v>
      </c>
      <c r="C7606" s="5"/>
      <c r="D7606" s="5"/>
      <c r="E7606" s="5"/>
      <c r="F7606" s="25">
        <f>IFERROR(__xludf.DUMMYFUNCTION("""COMPUTED_VALUE"""),500000.0)</f>
        <v>500000</v>
      </c>
      <c r="G7606" s="25">
        <f>IFERROR(__xludf.DUMMYFUNCTION("""COMPUTED_VALUE"""),0.0)</f>
        <v>0</v>
      </c>
      <c r="H7606" s="8">
        <f>IFERROR(__xludf.DUMMYFUNCTION("""COMPUTED_VALUE"""),500000.0)</f>
        <v>500000</v>
      </c>
      <c r="I7606" s="24">
        <f>IFERROR(__xludf.DUMMYFUNCTION("""COMPUTED_VALUE"""),0.0)</f>
        <v>0</v>
      </c>
    </row>
    <row r="7607">
      <c r="A7607" s="5" t="str">
        <f>IFERROR(__xludf.DUMMYFUNCTION("""COMPUTED_VALUE"""),"97316")</f>
        <v>97316</v>
      </c>
      <c r="B7607" s="64">
        <f>IFERROR(__xludf.DUMMYFUNCTION("""COMPUTED_VALUE"""),44628.0)</f>
        <v>44628</v>
      </c>
      <c r="C7607" s="5"/>
      <c r="D7607" s="5"/>
      <c r="E7607" s="5"/>
      <c r="F7607" s="25">
        <f>IFERROR(__xludf.DUMMYFUNCTION("""COMPUTED_VALUE"""),500000.0)</f>
        <v>500000</v>
      </c>
      <c r="G7607" s="25">
        <f>IFERROR(__xludf.DUMMYFUNCTION("""COMPUTED_VALUE"""),0.0)</f>
        <v>0</v>
      </c>
      <c r="H7607" s="8">
        <f>IFERROR(__xludf.DUMMYFUNCTION("""COMPUTED_VALUE"""),500000.0)</f>
        <v>500000</v>
      </c>
      <c r="I7607" s="24">
        <f>IFERROR(__xludf.DUMMYFUNCTION("""COMPUTED_VALUE"""),0.0)</f>
        <v>0</v>
      </c>
    </row>
    <row r="7608">
      <c r="A7608" s="5" t="str">
        <f>IFERROR(__xludf.DUMMYFUNCTION("""COMPUTED_VALUE"""),"97316")</f>
        <v>97316</v>
      </c>
      <c r="B7608" s="64">
        <f>IFERROR(__xludf.DUMMYFUNCTION("""COMPUTED_VALUE"""),44629.0)</f>
        <v>44629</v>
      </c>
      <c r="C7608" s="5"/>
      <c r="D7608" s="5"/>
      <c r="E7608" s="5"/>
      <c r="F7608" s="25">
        <f>IFERROR(__xludf.DUMMYFUNCTION("""COMPUTED_VALUE"""),500000.0)</f>
        <v>500000</v>
      </c>
      <c r="G7608" s="25">
        <f>IFERROR(__xludf.DUMMYFUNCTION("""COMPUTED_VALUE"""),0.0)</f>
        <v>0</v>
      </c>
      <c r="H7608" s="8">
        <f>IFERROR(__xludf.DUMMYFUNCTION("""COMPUTED_VALUE"""),500000.0)</f>
        <v>500000</v>
      </c>
      <c r="I7608" s="24">
        <f>IFERROR(__xludf.DUMMYFUNCTION("""COMPUTED_VALUE"""),0.0)</f>
        <v>0</v>
      </c>
    </row>
    <row r="7609">
      <c r="A7609" s="5" t="str">
        <f>IFERROR(__xludf.DUMMYFUNCTION("""COMPUTED_VALUE"""),"97316")</f>
        <v>97316</v>
      </c>
      <c r="B7609" s="64">
        <f>IFERROR(__xludf.DUMMYFUNCTION("""COMPUTED_VALUE"""),44630.0)</f>
        <v>44630</v>
      </c>
      <c r="C7609" s="5"/>
      <c r="D7609" s="5"/>
      <c r="E7609" s="5"/>
      <c r="F7609" s="25">
        <f>IFERROR(__xludf.DUMMYFUNCTION("""COMPUTED_VALUE"""),500000.0)</f>
        <v>500000</v>
      </c>
      <c r="G7609" s="25">
        <f>IFERROR(__xludf.DUMMYFUNCTION("""COMPUTED_VALUE"""),0.0)</f>
        <v>0</v>
      </c>
      <c r="H7609" s="8">
        <f>IFERROR(__xludf.DUMMYFUNCTION("""COMPUTED_VALUE"""),500000.0)</f>
        <v>500000</v>
      </c>
      <c r="I7609" s="24">
        <f>IFERROR(__xludf.DUMMYFUNCTION("""COMPUTED_VALUE"""),0.0)</f>
        <v>0</v>
      </c>
    </row>
    <row r="7610">
      <c r="A7610" s="5" t="str">
        <f>IFERROR(__xludf.DUMMYFUNCTION("""COMPUTED_VALUE"""),"97316")</f>
        <v>97316</v>
      </c>
      <c r="B7610" s="64">
        <f>IFERROR(__xludf.DUMMYFUNCTION("""COMPUTED_VALUE"""),44631.0)</f>
        <v>44631</v>
      </c>
      <c r="C7610" s="5"/>
      <c r="D7610" s="5"/>
      <c r="E7610" s="5"/>
      <c r="F7610" s="25">
        <f>IFERROR(__xludf.DUMMYFUNCTION("""COMPUTED_VALUE"""),500000.0)</f>
        <v>500000</v>
      </c>
      <c r="G7610" s="25">
        <f>IFERROR(__xludf.DUMMYFUNCTION("""COMPUTED_VALUE"""),0.0)</f>
        <v>0</v>
      </c>
      <c r="H7610" s="8">
        <f>IFERROR(__xludf.DUMMYFUNCTION("""COMPUTED_VALUE"""),500000.0)</f>
        <v>500000</v>
      </c>
      <c r="I7610" s="24">
        <f>IFERROR(__xludf.DUMMYFUNCTION("""COMPUTED_VALUE"""),0.0)</f>
        <v>0</v>
      </c>
    </row>
    <row r="7611">
      <c r="A7611" s="5" t="str">
        <f>IFERROR(__xludf.DUMMYFUNCTION("""COMPUTED_VALUE"""),"97316")</f>
        <v>97316</v>
      </c>
      <c r="B7611" s="64">
        <f>IFERROR(__xludf.DUMMYFUNCTION("""COMPUTED_VALUE"""),44632.0)</f>
        <v>44632</v>
      </c>
      <c r="C7611" s="5"/>
      <c r="D7611" s="5"/>
      <c r="E7611" s="5"/>
      <c r="F7611" s="25">
        <f>IFERROR(__xludf.DUMMYFUNCTION("""COMPUTED_VALUE"""),500000.0)</f>
        <v>500000</v>
      </c>
      <c r="G7611" s="25">
        <f>IFERROR(__xludf.DUMMYFUNCTION("""COMPUTED_VALUE"""),0.0)</f>
        <v>0</v>
      </c>
      <c r="H7611" s="8">
        <f>IFERROR(__xludf.DUMMYFUNCTION("""COMPUTED_VALUE"""),500000.0)</f>
        <v>500000</v>
      </c>
      <c r="I7611" s="24">
        <f>IFERROR(__xludf.DUMMYFUNCTION("""COMPUTED_VALUE"""),0.0)</f>
        <v>0</v>
      </c>
    </row>
    <row r="7612">
      <c r="A7612" s="5" t="str">
        <f>IFERROR(__xludf.DUMMYFUNCTION("""COMPUTED_VALUE"""),"97316")</f>
        <v>97316</v>
      </c>
      <c r="B7612" s="64">
        <f>IFERROR(__xludf.DUMMYFUNCTION("""COMPUTED_VALUE"""),44633.0)</f>
        <v>44633</v>
      </c>
      <c r="C7612" s="5"/>
      <c r="D7612" s="5"/>
      <c r="E7612" s="5"/>
      <c r="F7612" s="25">
        <f>IFERROR(__xludf.DUMMYFUNCTION("""COMPUTED_VALUE"""),500000.0)</f>
        <v>500000</v>
      </c>
      <c r="G7612" s="25">
        <f>IFERROR(__xludf.DUMMYFUNCTION("""COMPUTED_VALUE"""),0.0)</f>
        <v>0</v>
      </c>
      <c r="H7612" s="8">
        <f>IFERROR(__xludf.DUMMYFUNCTION("""COMPUTED_VALUE"""),500000.0)</f>
        <v>500000</v>
      </c>
      <c r="I7612" s="24">
        <f>IFERROR(__xludf.DUMMYFUNCTION("""COMPUTED_VALUE"""),0.0)</f>
        <v>0</v>
      </c>
    </row>
    <row r="7613">
      <c r="A7613" s="5" t="str">
        <f>IFERROR(__xludf.DUMMYFUNCTION("""COMPUTED_VALUE"""),"97316")</f>
        <v>97316</v>
      </c>
      <c r="B7613" s="64">
        <f>IFERROR(__xludf.DUMMYFUNCTION("""COMPUTED_VALUE"""),44634.0)</f>
        <v>44634</v>
      </c>
      <c r="C7613" s="5"/>
      <c r="D7613" s="5"/>
      <c r="E7613" s="5"/>
      <c r="F7613" s="25">
        <f>IFERROR(__xludf.DUMMYFUNCTION("""COMPUTED_VALUE"""),500000.0)</f>
        <v>500000</v>
      </c>
      <c r="G7613" s="25">
        <f>IFERROR(__xludf.DUMMYFUNCTION("""COMPUTED_VALUE"""),0.0)</f>
        <v>0</v>
      </c>
      <c r="H7613" s="8">
        <f>IFERROR(__xludf.DUMMYFUNCTION("""COMPUTED_VALUE"""),500000.0)</f>
        <v>500000</v>
      </c>
      <c r="I7613" s="24">
        <f>IFERROR(__xludf.DUMMYFUNCTION("""COMPUTED_VALUE"""),0.0)</f>
        <v>0</v>
      </c>
    </row>
    <row r="7614">
      <c r="A7614" s="5" t="str">
        <f>IFERROR(__xludf.DUMMYFUNCTION("""COMPUTED_VALUE"""),"97316")</f>
        <v>97316</v>
      </c>
      <c r="B7614" s="64">
        <f>IFERROR(__xludf.DUMMYFUNCTION("""COMPUTED_VALUE"""),44635.0)</f>
        <v>44635</v>
      </c>
      <c r="C7614" s="5"/>
      <c r="D7614" s="5"/>
      <c r="E7614" s="5"/>
      <c r="F7614" s="25">
        <f>IFERROR(__xludf.DUMMYFUNCTION("""COMPUTED_VALUE"""),500000.0)</f>
        <v>500000</v>
      </c>
      <c r="G7614" s="25">
        <f>IFERROR(__xludf.DUMMYFUNCTION("""COMPUTED_VALUE"""),0.0)</f>
        <v>0</v>
      </c>
      <c r="H7614" s="8">
        <f>IFERROR(__xludf.DUMMYFUNCTION("""COMPUTED_VALUE"""),500000.0)</f>
        <v>500000</v>
      </c>
      <c r="I7614" s="24">
        <f>IFERROR(__xludf.DUMMYFUNCTION("""COMPUTED_VALUE"""),0.0)</f>
        <v>0</v>
      </c>
    </row>
    <row r="7615">
      <c r="A7615" s="5" t="str">
        <f>IFERROR(__xludf.DUMMYFUNCTION("""COMPUTED_VALUE"""),"97316")</f>
        <v>97316</v>
      </c>
      <c r="B7615" s="64">
        <f>IFERROR(__xludf.DUMMYFUNCTION("""COMPUTED_VALUE"""),44636.0)</f>
        <v>44636</v>
      </c>
      <c r="C7615" s="5"/>
      <c r="D7615" s="5"/>
      <c r="E7615" s="5"/>
      <c r="F7615" s="25">
        <f>IFERROR(__xludf.DUMMYFUNCTION("""COMPUTED_VALUE"""),500000.0)</f>
        <v>500000</v>
      </c>
      <c r="G7615" s="25">
        <f>IFERROR(__xludf.DUMMYFUNCTION("""COMPUTED_VALUE"""),0.0)</f>
        <v>0</v>
      </c>
      <c r="H7615" s="8">
        <f>IFERROR(__xludf.DUMMYFUNCTION("""COMPUTED_VALUE"""),500000.0)</f>
        <v>500000</v>
      </c>
      <c r="I7615" s="24">
        <f>IFERROR(__xludf.DUMMYFUNCTION("""COMPUTED_VALUE"""),0.0)</f>
        <v>0</v>
      </c>
    </row>
    <row r="7616">
      <c r="A7616" s="5" t="str">
        <f>IFERROR(__xludf.DUMMYFUNCTION("""COMPUTED_VALUE"""),"97316")</f>
        <v>97316</v>
      </c>
      <c r="B7616" s="64">
        <f>IFERROR(__xludf.DUMMYFUNCTION("""COMPUTED_VALUE"""),44637.0)</f>
        <v>44637</v>
      </c>
      <c r="C7616" s="5"/>
      <c r="D7616" s="5"/>
      <c r="E7616" s="5"/>
      <c r="F7616" s="25">
        <f>IFERROR(__xludf.DUMMYFUNCTION("""COMPUTED_VALUE"""),500000.0)</f>
        <v>500000</v>
      </c>
      <c r="G7616" s="25">
        <f>IFERROR(__xludf.DUMMYFUNCTION("""COMPUTED_VALUE"""),0.0)</f>
        <v>0</v>
      </c>
      <c r="H7616" s="8">
        <f>IFERROR(__xludf.DUMMYFUNCTION("""COMPUTED_VALUE"""),500000.0)</f>
        <v>500000</v>
      </c>
      <c r="I7616" s="24">
        <f>IFERROR(__xludf.DUMMYFUNCTION("""COMPUTED_VALUE"""),0.0)</f>
        <v>0</v>
      </c>
    </row>
    <row r="7617">
      <c r="A7617" s="5" t="str">
        <f>IFERROR(__xludf.DUMMYFUNCTION("""COMPUTED_VALUE"""),"97316")</f>
        <v>97316</v>
      </c>
      <c r="B7617" s="64">
        <f>IFERROR(__xludf.DUMMYFUNCTION("""COMPUTED_VALUE"""),44638.0)</f>
        <v>44638</v>
      </c>
      <c r="C7617" s="5"/>
      <c r="D7617" s="5"/>
      <c r="E7617" s="5"/>
      <c r="F7617" s="25">
        <f>IFERROR(__xludf.DUMMYFUNCTION("""COMPUTED_VALUE"""),500000.0)</f>
        <v>500000</v>
      </c>
      <c r="G7617" s="25">
        <f>IFERROR(__xludf.DUMMYFUNCTION("""COMPUTED_VALUE"""),0.0)</f>
        <v>0</v>
      </c>
      <c r="H7617" s="8">
        <f>IFERROR(__xludf.DUMMYFUNCTION("""COMPUTED_VALUE"""),500000.0)</f>
        <v>500000</v>
      </c>
      <c r="I7617" s="24">
        <f>IFERROR(__xludf.DUMMYFUNCTION("""COMPUTED_VALUE"""),0.0)</f>
        <v>0</v>
      </c>
    </row>
    <row r="7618">
      <c r="A7618" s="5" t="str">
        <f>IFERROR(__xludf.DUMMYFUNCTION("""COMPUTED_VALUE"""),"97316")</f>
        <v>97316</v>
      </c>
      <c r="B7618" s="64">
        <f>IFERROR(__xludf.DUMMYFUNCTION("""COMPUTED_VALUE"""),44639.0)</f>
        <v>44639</v>
      </c>
      <c r="C7618" s="5"/>
      <c r="D7618" s="5"/>
      <c r="E7618" s="5"/>
      <c r="F7618" s="25">
        <f>IFERROR(__xludf.DUMMYFUNCTION("""COMPUTED_VALUE"""),500000.0)</f>
        <v>500000</v>
      </c>
      <c r="G7618" s="25">
        <f>IFERROR(__xludf.DUMMYFUNCTION("""COMPUTED_VALUE"""),0.0)</f>
        <v>0</v>
      </c>
      <c r="H7618" s="8">
        <f>IFERROR(__xludf.DUMMYFUNCTION("""COMPUTED_VALUE"""),500000.0)</f>
        <v>500000</v>
      </c>
      <c r="I7618" s="24">
        <f>IFERROR(__xludf.DUMMYFUNCTION("""COMPUTED_VALUE"""),0.0)</f>
        <v>0</v>
      </c>
    </row>
    <row r="7619">
      <c r="A7619" s="5" t="str">
        <f>IFERROR(__xludf.DUMMYFUNCTION("""COMPUTED_VALUE"""),"97316")</f>
        <v>97316</v>
      </c>
      <c r="B7619" s="64">
        <f>IFERROR(__xludf.DUMMYFUNCTION("""COMPUTED_VALUE"""),44640.0)</f>
        <v>44640</v>
      </c>
      <c r="C7619" s="5"/>
      <c r="D7619" s="5"/>
      <c r="E7619" s="5"/>
      <c r="F7619" s="25">
        <f>IFERROR(__xludf.DUMMYFUNCTION("""COMPUTED_VALUE"""),500000.0)</f>
        <v>500000</v>
      </c>
      <c r="G7619" s="25">
        <f>IFERROR(__xludf.DUMMYFUNCTION("""COMPUTED_VALUE"""),0.0)</f>
        <v>0</v>
      </c>
      <c r="H7619" s="8">
        <f>IFERROR(__xludf.DUMMYFUNCTION("""COMPUTED_VALUE"""),500000.0)</f>
        <v>500000</v>
      </c>
      <c r="I7619" s="24">
        <f>IFERROR(__xludf.DUMMYFUNCTION("""COMPUTED_VALUE"""),0.0)</f>
        <v>0</v>
      </c>
    </row>
    <row r="7620">
      <c r="A7620" s="5" t="str">
        <f>IFERROR(__xludf.DUMMYFUNCTION("""COMPUTED_VALUE"""),"97316")</f>
        <v>97316</v>
      </c>
      <c r="B7620" s="64">
        <f>IFERROR(__xludf.DUMMYFUNCTION("""COMPUTED_VALUE"""),44641.0)</f>
        <v>44641</v>
      </c>
      <c r="C7620" s="5"/>
      <c r="D7620" s="5"/>
      <c r="E7620" s="5"/>
      <c r="F7620" s="25">
        <f>IFERROR(__xludf.DUMMYFUNCTION("""COMPUTED_VALUE"""),500000.0)</f>
        <v>500000</v>
      </c>
      <c r="G7620" s="25">
        <f>IFERROR(__xludf.DUMMYFUNCTION("""COMPUTED_VALUE"""),0.0)</f>
        <v>0</v>
      </c>
      <c r="H7620" s="8">
        <f>IFERROR(__xludf.DUMMYFUNCTION("""COMPUTED_VALUE"""),500000.0)</f>
        <v>500000</v>
      </c>
      <c r="I7620" s="24">
        <f>IFERROR(__xludf.DUMMYFUNCTION("""COMPUTED_VALUE"""),0.0)</f>
        <v>0</v>
      </c>
    </row>
    <row r="7621">
      <c r="A7621" s="5" t="str">
        <f>IFERROR(__xludf.DUMMYFUNCTION("""COMPUTED_VALUE"""),"97316")</f>
        <v>97316</v>
      </c>
      <c r="B7621" s="64">
        <f>IFERROR(__xludf.DUMMYFUNCTION("""COMPUTED_VALUE"""),44642.0)</f>
        <v>44642</v>
      </c>
      <c r="C7621" s="5"/>
      <c r="D7621" s="5"/>
      <c r="E7621" s="5"/>
      <c r="F7621" s="25">
        <f>IFERROR(__xludf.DUMMYFUNCTION("""COMPUTED_VALUE"""),500000.0)</f>
        <v>500000</v>
      </c>
      <c r="G7621" s="25">
        <f>IFERROR(__xludf.DUMMYFUNCTION("""COMPUTED_VALUE"""),0.0)</f>
        <v>0</v>
      </c>
      <c r="H7621" s="8">
        <f>IFERROR(__xludf.DUMMYFUNCTION("""COMPUTED_VALUE"""),500000.0)</f>
        <v>500000</v>
      </c>
      <c r="I7621" s="24">
        <f>IFERROR(__xludf.DUMMYFUNCTION("""COMPUTED_VALUE"""),0.0)</f>
        <v>0</v>
      </c>
    </row>
    <row r="7622">
      <c r="A7622" s="5" t="str">
        <f>IFERROR(__xludf.DUMMYFUNCTION("""COMPUTED_VALUE"""),"97316")</f>
        <v>97316</v>
      </c>
      <c r="B7622" s="64">
        <f>IFERROR(__xludf.DUMMYFUNCTION("""COMPUTED_VALUE"""),44643.0)</f>
        <v>44643</v>
      </c>
      <c r="C7622" s="5"/>
      <c r="D7622" s="5"/>
      <c r="E7622" s="5"/>
      <c r="F7622" s="25">
        <f>IFERROR(__xludf.DUMMYFUNCTION("""COMPUTED_VALUE"""),500000.0)</f>
        <v>500000</v>
      </c>
      <c r="G7622" s="25">
        <f>IFERROR(__xludf.DUMMYFUNCTION("""COMPUTED_VALUE"""),0.0)</f>
        <v>0</v>
      </c>
      <c r="H7622" s="8">
        <f>IFERROR(__xludf.DUMMYFUNCTION("""COMPUTED_VALUE"""),500000.0)</f>
        <v>500000</v>
      </c>
      <c r="I7622" s="24">
        <f>IFERROR(__xludf.DUMMYFUNCTION("""COMPUTED_VALUE"""),0.0)</f>
        <v>0</v>
      </c>
    </row>
    <row r="7623">
      <c r="A7623" s="5" t="str">
        <f>IFERROR(__xludf.DUMMYFUNCTION("""COMPUTED_VALUE"""),"97316")</f>
        <v>97316</v>
      </c>
      <c r="B7623" s="64">
        <f>IFERROR(__xludf.DUMMYFUNCTION("""COMPUTED_VALUE"""),44644.0)</f>
        <v>44644</v>
      </c>
      <c r="C7623" s="5"/>
      <c r="D7623" s="5"/>
      <c r="E7623" s="5"/>
      <c r="F7623" s="25">
        <f>IFERROR(__xludf.DUMMYFUNCTION("""COMPUTED_VALUE"""),500000.0)</f>
        <v>500000</v>
      </c>
      <c r="G7623" s="25">
        <f>IFERROR(__xludf.DUMMYFUNCTION("""COMPUTED_VALUE"""),0.0)</f>
        <v>0</v>
      </c>
      <c r="H7623" s="8">
        <f>IFERROR(__xludf.DUMMYFUNCTION("""COMPUTED_VALUE"""),500000.0)</f>
        <v>500000</v>
      </c>
      <c r="I7623" s="24">
        <f>IFERROR(__xludf.DUMMYFUNCTION("""COMPUTED_VALUE"""),0.0)</f>
        <v>0</v>
      </c>
    </row>
    <row r="7624">
      <c r="A7624" s="5" t="str">
        <f>IFERROR(__xludf.DUMMYFUNCTION("""COMPUTED_VALUE"""),"97316")</f>
        <v>97316</v>
      </c>
      <c r="B7624" s="64">
        <f>IFERROR(__xludf.DUMMYFUNCTION("""COMPUTED_VALUE"""),44645.0)</f>
        <v>44645</v>
      </c>
      <c r="C7624" s="5"/>
      <c r="D7624" s="5"/>
      <c r="E7624" s="5"/>
      <c r="F7624" s="25">
        <f>IFERROR(__xludf.DUMMYFUNCTION("""COMPUTED_VALUE"""),500000.0)</f>
        <v>500000</v>
      </c>
      <c r="G7624" s="25">
        <f>IFERROR(__xludf.DUMMYFUNCTION("""COMPUTED_VALUE"""),0.0)</f>
        <v>0</v>
      </c>
      <c r="H7624" s="8">
        <f>IFERROR(__xludf.DUMMYFUNCTION("""COMPUTED_VALUE"""),500000.0)</f>
        <v>500000</v>
      </c>
      <c r="I7624" s="24">
        <f>IFERROR(__xludf.DUMMYFUNCTION("""COMPUTED_VALUE"""),0.0)</f>
        <v>0</v>
      </c>
    </row>
    <row r="7625">
      <c r="A7625" s="5" t="str">
        <f>IFERROR(__xludf.DUMMYFUNCTION("""COMPUTED_VALUE"""),"97316")</f>
        <v>97316</v>
      </c>
      <c r="B7625" s="64">
        <f>IFERROR(__xludf.DUMMYFUNCTION("""COMPUTED_VALUE"""),44646.0)</f>
        <v>44646</v>
      </c>
      <c r="C7625" s="5"/>
      <c r="D7625" s="5"/>
      <c r="E7625" s="5"/>
      <c r="F7625" s="25">
        <f>IFERROR(__xludf.DUMMYFUNCTION("""COMPUTED_VALUE"""),500000.0)</f>
        <v>500000</v>
      </c>
      <c r="G7625" s="25">
        <f>IFERROR(__xludf.DUMMYFUNCTION("""COMPUTED_VALUE"""),0.0)</f>
        <v>0</v>
      </c>
      <c r="H7625" s="8">
        <f>IFERROR(__xludf.DUMMYFUNCTION("""COMPUTED_VALUE"""),500000.0)</f>
        <v>500000</v>
      </c>
      <c r="I7625" s="24">
        <f>IFERROR(__xludf.DUMMYFUNCTION("""COMPUTED_VALUE"""),0.0)</f>
        <v>0</v>
      </c>
    </row>
    <row r="7626">
      <c r="A7626" s="5" t="str">
        <f>IFERROR(__xludf.DUMMYFUNCTION("""COMPUTED_VALUE"""),"97316")</f>
        <v>97316</v>
      </c>
      <c r="B7626" s="64">
        <f>IFERROR(__xludf.DUMMYFUNCTION("""COMPUTED_VALUE"""),44647.0)</f>
        <v>44647</v>
      </c>
      <c r="C7626" s="5"/>
      <c r="D7626" s="5"/>
      <c r="E7626" s="5"/>
      <c r="F7626" s="25">
        <f>IFERROR(__xludf.DUMMYFUNCTION("""COMPUTED_VALUE"""),500000.0)</f>
        <v>500000</v>
      </c>
      <c r="G7626" s="25">
        <f>IFERROR(__xludf.DUMMYFUNCTION("""COMPUTED_VALUE"""),0.0)</f>
        <v>0</v>
      </c>
      <c r="H7626" s="8">
        <f>IFERROR(__xludf.DUMMYFUNCTION("""COMPUTED_VALUE"""),500000.0)</f>
        <v>500000</v>
      </c>
      <c r="I7626" s="24">
        <f>IFERROR(__xludf.DUMMYFUNCTION("""COMPUTED_VALUE"""),0.0)</f>
        <v>0</v>
      </c>
    </row>
    <row r="7627">
      <c r="A7627" s="5" t="str">
        <f>IFERROR(__xludf.DUMMYFUNCTION("""COMPUTED_VALUE"""),"97316")</f>
        <v>97316</v>
      </c>
      <c r="B7627" s="64">
        <f>IFERROR(__xludf.DUMMYFUNCTION("""COMPUTED_VALUE"""),44648.0)</f>
        <v>44648</v>
      </c>
      <c r="C7627" s="5"/>
      <c r="D7627" s="5"/>
      <c r="E7627" s="5"/>
      <c r="F7627" s="25">
        <f>IFERROR(__xludf.DUMMYFUNCTION("""COMPUTED_VALUE"""),500000.0)</f>
        <v>500000</v>
      </c>
      <c r="G7627" s="25">
        <f>IFERROR(__xludf.DUMMYFUNCTION("""COMPUTED_VALUE"""),0.0)</f>
        <v>0</v>
      </c>
      <c r="H7627" s="8">
        <f>IFERROR(__xludf.DUMMYFUNCTION("""COMPUTED_VALUE"""),500000.0)</f>
        <v>500000</v>
      </c>
      <c r="I7627" s="24">
        <f>IFERROR(__xludf.DUMMYFUNCTION("""COMPUTED_VALUE"""),0.0)</f>
        <v>0</v>
      </c>
    </row>
    <row r="7628">
      <c r="A7628" s="5" t="str">
        <f>IFERROR(__xludf.DUMMYFUNCTION("""COMPUTED_VALUE"""),"97316")</f>
        <v>97316</v>
      </c>
      <c r="B7628" s="64">
        <f>IFERROR(__xludf.DUMMYFUNCTION("""COMPUTED_VALUE"""),44649.0)</f>
        <v>44649</v>
      </c>
      <c r="C7628" s="5"/>
      <c r="D7628" s="5"/>
      <c r="E7628" s="5"/>
      <c r="F7628" s="25">
        <f>IFERROR(__xludf.DUMMYFUNCTION("""COMPUTED_VALUE"""),500000.0)</f>
        <v>500000</v>
      </c>
      <c r="G7628" s="25">
        <f>IFERROR(__xludf.DUMMYFUNCTION("""COMPUTED_VALUE"""),0.0)</f>
        <v>0</v>
      </c>
      <c r="H7628" s="8">
        <f>IFERROR(__xludf.DUMMYFUNCTION("""COMPUTED_VALUE"""),500000.0)</f>
        <v>500000</v>
      </c>
      <c r="I7628" s="24">
        <f>IFERROR(__xludf.DUMMYFUNCTION("""COMPUTED_VALUE"""),0.0)</f>
        <v>0</v>
      </c>
    </row>
    <row r="7629">
      <c r="A7629" s="5" t="str">
        <f>IFERROR(__xludf.DUMMYFUNCTION("""COMPUTED_VALUE"""),"97316")</f>
        <v>97316</v>
      </c>
      <c r="B7629" s="64">
        <f>IFERROR(__xludf.DUMMYFUNCTION("""COMPUTED_VALUE"""),44650.0)</f>
        <v>44650</v>
      </c>
      <c r="C7629" s="5"/>
      <c r="D7629" s="5"/>
      <c r="E7629" s="5"/>
      <c r="F7629" s="25">
        <f>IFERROR(__xludf.DUMMYFUNCTION("""COMPUTED_VALUE"""),500000.0)</f>
        <v>500000</v>
      </c>
      <c r="G7629" s="25">
        <f>IFERROR(__xludf.DUMMYFUNCTION("""COMPUTED_VALUE"""),0.0)</f>
        <v>0</v>
      </c>
      <c r="H7629" s="8">
        <f>IFERROR(__xludf.DUMMYFUNCTION("""COMPUTED_VALUE"""),500000.0)</f>
        <v>500000</v>
      </c>
      <c r="I7629" s="24">
        <f>IFERROR(__xludf.DUMMYFUNCTION("""COMPUTED_VALUE"""),0.0)</f>
        <v>0</v>
      </c>
    </row>
    <row r="7630">
      <c r="A7630" s="5" t="str">
        <f>IFERROR(__xludf.DUMMYFUNCTION("""COMPUTED_VALUE"""),"97316")</f>
        <v>97316</v>
      </c>
      <c r="B7630" s="64">
        <f>IFERROR(__xludf.DUMMYFUNCTION("""COMPUTED_VALUE"""),44651.0)</f>
        <v>44651</v>
      </c>
      <c r="C7630" s="5"/>
      <c r="D7630" s="5"/>
      <c r="E7630" s="5"/>
      <c r="F7630" s="25">
        <f>IFERROR(__xludf.DUMMYFUNCTION("""COMPUTED_VALUE"""),500000.0)</f>
        <v>500000</v>
      </c>
      <c r="G7630" s="25">
        <f>IFERROR(__xludf.DUMMYFUNCTION("""COMPUTED_VALUE"""),0.0)</f>
        <v>0</v>
      </c>
      <c r="H7630" s="8">
        <f>IFERROR(__xludf.DUMMYFUNCTION("""COMPUTED_VALUE"""),500000.0)</f>
        <v>500000</v>
      </c>
      <c r="I7630" s="24">
        <f>IFERROR(__xludf.DUMMYFUNCTION("""COMPUTED_VALUE"""),0.0)</f>
        <v>0</v>
      </c>
    </row>
    <row r="7631">
      <c r="A7631" s="5" t="str">
        <f>IFERROR(__xludf.DUMMYFUNCTION("""COMPUTED_VALUE"""),"97316")</f>
        <v>97316</v>
      </c>
      <c r="B7631" s="64">
        <f>IFERROR(__xludf.DUMMYFUNCTION("""COMPUTED_VALUE"""),44652.0)</f>
        <v>44652</v>
      </c>
      <c r="C7631" s="5"/>
      <c r="D7631" s="5"/>
      <c r="E7631" s="5"/>
      <c r="F7631" s="25">
        <f>IFERROR(__xludf.DUMMYFUNCTION("""COMPUTED_VALUE"""),500000.0)</f>
        <v>500000</v>
      </c>
      <c r="G7631" s="25">
        <f>IFERROR(__xludf.DUMMYFUNCTION("""COMPUTED_VALUE"""),0.0)</f>
        <v>0</v>
      </c>
      <c r="H7631" s="8">
        <f>IFERROR(__xludf.DUMMYFUNCTION("""COMPUTED_VALUE"""),500000.0)</f>
        <v>500000</v>
      </c>
      <c r="I7631" s="24">
        <f>IFERROR(__xludf.DUMMYFUNCTION("""COMPUTED_VALUE"""),0.0)</f>
        <v>0</v>
      </c>
    </row>
    <row r="7632">
      <c r="A7632" s="5" t="str">
        <f>IFERROR(__xludf.DUMMYFUNCTION("""COMPUTED_VALUE"""),"97316")</f>
        <v>97316</v>
      </c>
      <c r="B7632" s="64">
        <f>IFERROR(__xludf.DUMMYFUNCTION("""COMPUTED_VALUE"""),44653.0)</f>
        <v>44653</v>
      </c>
      <c r="C7632" s="5"/>
      <c r="D7632" s="5"/>
      <c r="E7632" s="5"/>
      <c r="F7632" s="25">
        <f>IFERROR(__xludf.DUMMYFUNCTION("""COMPUTED_VALUE"""),500000.0)</f>
        <v>500000</v>
      </c>
      <c r="G7632" s="25">
        <f>IFERROR(__xludf.DUMMYFUNCTION("""COMPUTED_VALUE"""),0.0)</f>
        <v>0</v>
      </c>
      <c r="H7632" s="8">
        <f>IFERROR(__xludf.DUMMYFUNCTION("""COMPUTED_VALUE"""),500000.0)</f>
        <v>500000</v>
      </c>
      <c r="I7632" s="24">
        <f>IFERROR(__xludf.DUMMYFUNCTION("""COMPUTED_VALUE"""),0.0)</f>
        <v>0</v>
      </c>
    </row>
    <row r="7633">
      <c r="A7633" s="5" t="str">
        <f>IFERROR(__xludf.DUMMYFUNCTION("""COMPUTED_VALUE"""),"97316")</f>
        <v>97316</v>
      </c>
      <c r="B7633" s="64">
        <f>IFERROR(__xludf.DUMMYFUNCTION("""COMPUTED_VALUE"""),44654.0)</f>
        <v>44654</v>
      </c>
      <c r="C7633" s="5"/>
      <c r="D7633" s="5"/>
      <c r="E7633" s="5"/>
      <c r="F7633" s="25">
        <f>IFERROR(__xludf.DUMMYFUNCTION("""COMPUTED_VALUE"""),500000.0)</f>
        <v>500000</v>
      </c>
      <c r="G7633" s="25">
        <f>IFERROR(__xludf.DUMMYFUNCTION("""COMPUTED_VALUE"""),0.0)</f>
        <v>0</v>
      </c>
      <c r="H7633" s="8">
        <f>IFERROR(__xludf.DUMMYFUNCTION("""COMPUTED_VALUE"""),500000.0)</f>
        <v>500000</v>
      </c>
      <c r="I7633" s="24">
        <f>IFERROR(__xludf.DUMMYFUNCTION("""COMPUTED_VALUE"""),0.0)</f>
        <v>0</v>
      </c>
    </row>
    <row r="7634">
      <c r="A7634" s="5" t="str">
        <f>IFERROR(__xludf.DUMMYFUNCTION("""COMPUTED_VALUE"""),"97316")</f>
        <v>97316</v>
      </c>
      <c r="B7634" s="64">
        <f>IFERROR(__xludf.DUMMYFUNCTION("""COMPUTED_VALUE"""),44655.0)</f>
        <v>44655</v>
      </c>
      <c r="C7634" s="5"/>
      <c r="D7634" s="5"/>
      <c r="E7634" s="5"/>
      <c r="F7634" s="25">
        <f>IFERROR(__xludf.DUMMYFUNCTION("""COMPUTED_VALUE"""),500000.0)</f>
        <v>500000</v>
      </c>
      <c r="G7634" s="25">
        <f>IFERROR(__xludf.DUMMYFUNCTION("""COMPUTED_VALUE"""),0.0)</f>
        <v>0</v>
      </c>
      <c r="H7634" s="8">
        <f>IFERROR(__xludf.DUMMYFUNCTION("""COMPUTED_VALUE"""),500000.0)</f>
        <v>500000</v>
      </c>
      <c r="I7634" s="24">
        <f>IFERROR(__xludf.DUMMYFUNCTION("""COMPUTED_VALUE"""),0.0)</f>
        <v>0</v>
      </c>
    </row>
    <row r="7635">
      <c r="A7635" s="5" t="str">
        <f>IFERROR(__xludf.DUMMYFUNCTION("""COMPUTED_VALUE"""),"97316")</f>
        <v>97316</v>
      </c>
      <c r="B7635" s="64">
        <f>IFERROR(__xludf.DUMMYFUNCTION("""COMPUTED_VALUE"""),44656.0)</f>
        <v>44656</v>
      </c>
      <c r="C7635" s="5"/>
      <c r="D7635" s="5"/>
      <c r="E7635" s="5"/>
      <c r="F7635" s="25">
        <f>IFERROR(__xludf.DUMMYFUNCTION("""COMPUTED_VALUE"""),500000.0)</f>
        <v>500000</v>
      </c>
      <c r="G7635" s="25">
        <f>IFERROR(__xludf.DUMMYFUNCTION("""COMPUTED_VALUE"""),0.0)</f>
        <v>0</v>
      </c>
      <c r="H7635" s="8">
        <f>IFERROR(__xludf.DUMMYFUNCTION("""COMPUTED_VALUE"""),500000.0)</f>
        <v>500000</v>
      </c>
      <c r="I7635" s="24">
        <f>IFERROR(__xludf.DUMMYFUNCTION("""COMPUTED_VALUE"""),0.0)</f>
        <v>0</v>
      </c>
    </row>
    <row r="7636">
      <c r="A7636" s="5" t="str">
        <f>IFERROR(__xludf.DUMMYFUNCTION("""COMPUTED_VALUE"""),"97316")</f>
        <v>97316</v>
      </c>
      <c r="B7636" s="64">
        <f>IFERROR(__xludf.DUMMYFUNCTION("""COMPUTED_VALUE"""),44657.0)</f>
        <v>44657</v>
      </c>
      <c r="C7636" s="5"/>
      <c r="D7636" s="5"/>
      <c r="E7636" s="5"/>
      <c r="F7636" s="25">
        <f>IFERROR(__xludf.DUMMYFUNCTION("""COMPUTED_VALUE"""),500000.0)</f>
        <v>500000</v>
      </c>
      <c r="G7636" s="25">
        <f>IFERROR(__xludf.DUMMYFUNCTION("""COMPUTED_VALUE"""),0.0)</f>
        <v>0</v>
      </c>
      <c r="H7636" s="8">
        <f>IFERROR(__xludf.DUMMYFUNCTION("""COMPUTED_VALUE"""),500000.0)</f>
        <v>500000</v>
      </c>
      <c r="I7636" s="24">
        <f>IFERROR(__xludf.DUMMYFUNCTION("""COMPUTED_VALUE"""),0.0)</f>
        <v>0</v>
      </c>
    </row>
    <row r="7637">
      <c r="A7637" s="5" t="str">
        <f>IFERROR(__xludf.DUMMYFUNCTION("""COMPUTED_VALUE"""),"97316")</f>
        <v>97316</v>
      </c>
      <c r="B7637" s="64">
        <f>IFERROR(__xludf.DUMMYFUNCTION("""COMPUTED_VALUE"""),44658.0)</f>
        <v>44658</v>
      </c>
      <c r="C7637" s="5"/>
      <c r="D7637" s="5"/>
      <c r="E7637" s="5"/>
      <c r="F7637" s="25">
        <f>IFERROR(__xludf.DUMMYFUNCTION("""COMPUTED_VALUE"""),500000.0)</f>
        <v>500000</v>
      </c>
      <c r="G7637" s="25">
        <f>IFERROR(__xludf.DUMMYFUNCTION("""COMPUTED_VALUE"""),0.0)</f>
        <v>0</v>
      </c>
      <c r="H7637" s="8">
        <f>IFERROR(__xludf.DUMMYFUNCTION("""COMPUTED_VALUE"""),500000.0)</f>
        <v>500000</v>
      </c>
      <c r="I7637" s="24">
        <f>IFERROR(__xludf.DUMMYFUNCTION("""COMPUTED_VALUE"""),0.0)</f>
        <v>0</v>
      </c>
    </row>
    <row r="7638">
      <c r="A7638" s="5" t="str">
        <f>IFERROR(__xludf.DUMMYFUNCTION("""COMPUTED_VALUE"""),"97316")</f>
        <v>97316</v>
      </c>
      <c r="B7638" s="64">
        <f>IFERROR(__xludf.DUMMYFUNCTION("""COMPUTED_VALUE"""),44659.0)</f>
        <v>44659</v>
      </c>
      <c r="C7638" s="5"/>
      <c r="D7638" s="5"/>
      <c r="E7638" s="5"/>
      <c r="F7638" s="25">
        <f>IFERROR(__xludf.DUMMYFUNCTION("""COMPUTED_VALUE"""),500000.0)</f>
        <v>500000</v>
      </c>
      <c r="G7638" s="25">
        <f>IFERROR(__xludf.DUMMYFUNCTION("""COMPUTED_VALUE"""),0.0)</f>
        <v>0</v>
      </c>
      <c r="H7638" s="8">
        <f>IFERROR(__xludf.DUMMYFUNCTION("""COMPUTED_VALUE"""),500000.0)</f>
        <v>500000</v>
      </c>
      <c r="I7638" s="24">
        <f>IFERROR(__xludf.DUMMYFUNCTION("""COMPUTED_VALUE"""),0.0)</f>
        <v>0</v>
      </c>
    </row>
    <row r="7639">
      <c r="A7639" s="5" t="str">
        <f>IFERROR(__xludf.DUMMYFUNCTION("""COMPUTED_VALUE"""),"97316")</f>
        <v>97316</v>
      </c>
      <c r="B7639" s="64">
        <f>IFERROR(__xludf.DUMMYFUNCTION("""COMPUTED_VALUE"""),44660.0)</f>
        <v>44660</v>
      </c>
      <c r="C7639" s="5"/>
      <c r="D7639" s="5"/>
      <c r="E7639" s="5"/>
      <c r="F7639" s="25">
        <f>IFERROR(__xludf.DUMMYFUNCTION("""COMPUTED_VALUE"""),500000.0)</f>
        <v>500000</v>
      </c>
      <c r="G7639" s="25">
        <f>IFERROR(__xludf.DUMMYFUNCTION("""COMPUTED_VALUE"""),0.0)</f>
        <v>0</v>
      </c>
      <c r="H7639" s="8">
        <f>IFERROR(__xludf.DUMMYFUNCTION("""COMPUTED_VALUE"""),500000.0)</f>
        <v>500000</v>
      </c>
      <c r="I7639" s="24">
        <f>IFERROR(__xludf.DUMMYFUNCTION("""COMPUTED_VALUE"""),0.0)</f>
        <v>0</v>
      </c>
    </row>
    <row r="7640">
      <c r="A7640" s="5" t="str">
        <f>IFERROR(__xludf.DUMMYFUNCTION("""COMPUTED_VALUE"""),"97316")</f>
        <v>97316</v>
      </c>
      <c r="B7640" s="64">
        <f>IFERROR(__xludf.DUMMYFUNCTION("""COMPUTED_VALUE"""),44661.0)</f>
        <v>44661</v>
      </c>
      <c r="C7640" s="5"/>
      <c r="D7640" s="5"/>
      <c r="E7640" s="5"/>
      <c r="F7640" s="25">
        <f>IFERROR(__xludf.DUMMYFUNCTION("""COMPUTED_VALUE"""),500000.0)</f>
        <v>500000</v>
      </c>
      <c r="G7640" s="25">
        <f>IFERROR(__xludf.DUMMYFUNCTION("""COMPUTED_VALUE"""),0.0)</f>
        <v>0</v>
      </c>
      <c r="H7640" s="8">
        <f>IFERROR(__xludf.DUMMYFUNCTION("""COMPUTED_VALUE"""),500000.0)</f>
        <v>500000</v>
      </c>
      <c r="I7640" s="24">
        <f>IFERROR(__xludf.DUMMYFUNCTION("""COMPUTED_VALUE"""),0.0)</f>
        <v>0</v>
      </c>
    </row>
    <row r="7641">
      <c r="A7641" s="5" t="str">
        <f>IFERROR(__xludf.DUMMYFUNCTION("""COMPUTED_VALUE"""),"97316")</f>
        <v>97316</v>
      </c>
      <c r="B7641" s="64">
        <f>IFERROR(__xludf.DUMMYFUNCTION("""COMPUTED_VALUE"""),44662.0)</f>
        <v>44662</v>
      </c>
      <c r="C7641" s="5"/>
      <c r="D7641" s="5"/>
      <c r="E7641" s="5"/>
      <c r="F7641" s="25">
        <f>IFERROR(__xludf.DUMMYFUNCTION("""COMPUTED_VALUE"""),500000.0)</f>
        <v>500000</v>
      </c>
      <c r="G7641" s="25">
        <f>IFERROR(__xludf.DUMMYFUNCTION("""COMPUTED_VALUE"""),0.0)</f>
        <v>0</v>
      </c>
      <c r="H7641" s="8">
        <f>IFERROR(__xludf.DUMMYFUNCTION("""COMPUTED_VALUE"""),500000.0)</f>
        <v>500000</v>
      </c>
      <c r="I7641" s="24">
        <f>IFERROR(__xludf.DUMMYFUNCTION("""COMPUTED_VALUE"""),0.0)</f>
        <v>0</v>
      </c>
    </row>
    <row r="7642">
      <c r="A7642" s="5" t="str">
        <f>IFERROR(__xludf.DUMMYFUNCTION("""COMPUTED_VALUE"""),"97316")</f>
        <v>97316</v>
      </c>
      <c r="B7642" s="64">
        <f>IFERROR(__xludf.DUMMYFUNCTION("""COMPUTED_VALUE"""),44663.0)</f>
        <v>44663</v>
      </c>
      <c r="C7642" s="5"/>
      <c r="D7642" s="5"/>
      <c r="E7642" s="5"/>
      <c r="F7642" s="25">
        <f>IFERROR(__xludf.DUMMYFUNCTION("""COMPUTED_VALUE"""),500000.0)</f>
        <v>500000</v>
      </c>
      <c r="G7642" s="25">
        <f>IFERROR(__xludf.DUMMYFUNCTION("""COMPUTED_VALUE"""),0.0)</f>
        <v>0</v>
      </c>
      <c r="H7642" s="8">
        <f>IFERROR(__xludf.DUMMYFUNCTION("""COMPUTED_VALUE"""),500000.0)</f>
        <v>500000</v>
      </c>
      <c r="I7642" s="24">
        <f>IFERROR(__xludf.DUMMYFUNCTION("""COMPUTED_VALUE"""),0.0)</f>
        <v>0</v>
      </c>
    </row>
    <row r="7643">
      <c r="A7643" s="5" t="str">
        <f>IFERROR(__xludf.DUMMYFUNCTION("""COMPUTED_VALUE"""),"C0007")</f>
        <v>C0007</v>
      </c>
      <c r="B7643" s="64">
        <f>IFERROR(__xludf.DUMMYFUNCTION("""COMPUTED_VALUE"""),44597.0)</f>
        <v>44597</v>
      </c>
      <c r="C7643" s="5"/>
      <c r="D7643" s="5"/>
      <c r="E7643" s="5"/>
      <c r="F7643" s="25">
        <f>IFERROR(__xludf.DUMMYFUNCTION("""COMPUTED_VALUE"""),500000.0)</f>
        <v>500000</v>
      </c>
      <c r="G7643" s="25">
        <f>IFERROR(__xludf.DUMMYFUNCTION("""COMPUTED_VALUE"""),0.0)</f>
        <v>0</v>
      </c>
      <c r="H7643" s="8">
        <f>IFERROR(__xludf.DUMMYFUNCTION("""COMPUTED_VALUE"""),500000.0)</f>
        <v>500000</v>
      </c>
      <c r="I7643" s="24">
        <f>IFERROR(__xludf.DUMMYFUNCTION("""COMPUTED_VALUE"""),0.0)</f>
        <v>0</v>
      </c>
    </row>
    <row r="7644">
      <c r="A7644" s="5" t="str">
        <f>IFERROR(__xludf.DUMMYFUNCTION("""COMPUTED_VALUE"""),"C0007")</f>
        <v>C0007</v>
      </c>
      <c r="B7644" s="64">
        <f>IFERROR(__xludf.DUMMYFUNCTION("""COMPUTED_VALUE"""),44598.0)</f>
        <v>44598</v>
      </c>
      <c r="C7644" s="5"/>
      <c r="D7644" s="5"/>
      <c r="E7644" s="5"/>
      <c r="F7644" s="25">
        <f>IFERROR(__xludf.DUMMYFUNCTION("""COMPUTED_VALUE"""),500000.0)</f>
        <v>500000</v>
      </c>
      <c r="G7644" s="25">
        <f>IFERROR(__xludf.DUMMYFUNCTION("""COMPUTED_VALUE"""),0.0)</f>
        <v>0</v>
      </c>
      <c r="H7644" s="8">
        <f>IFERROR(__xludf.DUMMYFUNCTION("""COMPUTED_VALUE"""),500000.0)</f>
        <v>500000</v>
      </c>
      <c r="I7644" s="24">
        <f>IFERROR(__xludf.DUMMYFUNCTION("""COMPUTED_VALUE"""),0.0)</f>
        <v>0</v>
      </c>
    </row>
    <row r="7645">
      <c r="A7645" s="5" t="str">
        <f>IFERROR(__xludf.DUMMYFUNCTION("""COMPUTED_VALUE"""),"C0007")</f>
        <v>C0007</v>
      </c>
      <c r="B7645" s="64">
        <f>IFERROR(__xludf.DUMMYFUNCTION("""COMPUTED_VALUE"""),44599.0)</f>
        <v>44599</v>
      </c>
      <c r="C7645" s="5"/>
      <c r="D7645" s="5"/>
      <c r="E7645" s="5"/>
      <c r="F7645" s="25">
        <f>IFERROR(__xludf.DUMMYFUNCTION("""COMPUTED_VALUE"""),500000.0)</f>
        <v>500000</v>
      </c>
      <c r="G7645" s="25">
        <f>IFERROR(__xludf.DUMMYFUNCTION("""COMPUTED_VALUE"""),0.0)</f>
        <v>0</v>
      </c>
      <c r="H7645" s="8">
        <f>IFERROR(__xludf.DUMMYFUNCTION("""COMPUTED_VALUE"""),500000.0)</f>
        <v>500000</v>
      </c>
      <c r="I7645" s="24">
        <f>IFERROR(__xludf.DUMMYFUNCTION("""COMPUTED_VALUE"""),0.0)</f>
        <v>0</v>
      </c>
    </row>
    <row r="7646">
      <c r="A7646" s="5" t="str">
        <f>IFERROR(__xludf.DUMMYFUNCTION("""COMPUTED_VALUE"""),"C0007")</f>
        <v>C0007</v>
      </c>
      <c r="B7646" s="64">
        <f>IFERROR(__xludf.DUMMYFUNCTION("""COMPUTED_VALUE"""),44600.0)</f>
        <v>44600</v>
      </c>
      <c r="C7646" s="5"/>
      <c r="D7646" s="5"/>
      <c r="E7646" s="5"/>
      <c r="F7646" s="25">
        <f>IFERROR(__xludf.DUMMYFUNCTION("""COMPUTED_VALUE"""),500000.0)</f>
        <v>500000</v>
      </c>
      <c r="G7646" s="25">
        <f>IFERROR(__xludf.DUMMYFUNCTION("""COMPUTED_VALUE"""),0.0)</f>
        <v>0</v>
      </c>
      <c r="H7646" s="8">
        <f>IFERROR(__xludf.DUMMYFUNCTION("""COMPUTED_VALUE"""),500000.0)</f>
        <v>500000</v>
      </c>
      <c r="I7646" s="24">
        <f>IFERROR(__xludf.DUMMYFUNCTION("""COMPUTED_VALUE"""),0.0)</f>
        <v>0</v>
      </c>
    </row>
    <row r="7647">
      <c r="A7647" s="5" t="str">
        <f>IFERROR(__xludf.DUMMYFUNCTION("""COMPUTED_VALUE"""),"C0007")</f>
        <v>C0007</v>
      </c>
      <c r="B7647" s="64">
        <f>IFERROR(__xludf.DUMMYFUNCTION("""COMPUTED_VALUE"""),44601.0)</f>
        <v>44601</v>
      </c>
      <c r="C7647" s="5"/>
      <c r="D7647" s="5"/>
      <c r="E7647" s="5"/>
      <c r="F7647" s="25">
        <f>IFERROR(__xludf.DUMMYFUNCTION("""COMPUTED_VALUE"""),500000.0)</f>
        <v>500000</v>
      </c>
      <c r="G7647" s="25">
        <f>IFERROR(__xludf.DUMMYFUNCTION("""COMPUTED_VALUE"""),0.0)</f>
        <v>0</v>
      </c>
      <c r="H7647" s="8">
        <f>IFERROR(__xludf.DUMMYFUNCTION("""COMPUTED_VALUE"""),500000.0)</f>
        <v>500000</v>
      </c>
      <c r="I7647" s="24">
        <f>IFERROR(__xludf.DUMMYFUNCTION("""COMPUTED_VALUE"""),0.0)</f>
        <v>0</v>
      </c>
    </row>
    <row r="7648">
      <c r="A7648" s="5" t="str">
        <f>IFERROR(__xludf.DUMMYFUNCTION("""COMPUTED_VALUE"""),"C0007")</f>
        <v>C0007</v>
      </c>
      <c r="B7648" s="64">
        <f>IFERROR(__xludf.DUMMYFUNCTION("""COMPUTED_VALUE"""),44602.0)</f>
        <v>44602</v>
      </c>
      <c r="C7648" s="5"/>
      <c r="D7648" s="5"/>
      <c r="E7648" s="5"/>
      <c r="F7648" s="25">
        <f>IFERROR(__xludf.DUMMYFUNCTION("""COMPUTED_VALUE"""),500000.0)</f>
        <v>500000</v>
      </c>
      <c r="G7648" s="25">
        <f>IFERROR(__xludf.DUMMYFUNCTION("""COMPUTED_VALUE"""),0.0)</f>
        <v>0</v>
      </c>
      <c r="H7648" s="8">
        <f>IFERROR(__xludf.DUMMYFUNCTION("""COMPUTED_VALUE"""),500000.0)</f>
        <v>500000</v>
      </c>
      <c r="I7648" s="24">
        <f>IFERROR(__xludf.DUMMYFUNCTION("""COMPUTED_VALUE"""),0.0)</f>
        <v>0</v>
      </c>
    </row>
    <row r="7649">
      <c r="A7649" s="5" t="str">
        <f>IFERROR(__xludf.DUMMYFUNCTION("""COMPUTED_VALUE"""),"C0007")</f>
        <v>C0007</v>
      </c>
      <c r="B7649" s="64">
        <f>IFERROR(__xludf.DUMMYFUNCTION("""COMPUTED_VALUE"""),44603.0)</f>
        <v>44603</v>
      </c>
      <c r="C7649" s="5"/>
      <c r="D7649" s="5"/>
      <c r="E7649" s="5"/>
      <c r="F7649" s="25">
        <f>IFERROR(__xludf.DUMMYFUNCTION("""COMPUTED_VALUE"""),500000.0)</f>
        <v>500000</v>
      </c>
      <c r="G7649" s="25">
        <f>IFERROR(__xludf.DUMMYFUNCTION("""COMPUTED_VALUE"""),0.0)</f>
        <v>0</v>
      </c>
      <c r="H7649" s="8">
        <f>IFERROR(__xludf.DUMMYFUNCTION("""COMPUTED_VALUE"""),500000.0)</f>
        <v>500000</v>
      </c>
      <c r="I7649" s="24">
        <f>IFERROR(__xludf.DUMMYFUNCTION("""COMPUTED_VALUE"""),0.0)</f>
        <v>0</v>
      </c>
    </row>
    <row r="7650">
      <c r="A7650" s="5" t="str">
        <f>IFERROR(__xludf.DUMMYFUNCTION("""COMPUTED_VALUE"""),"C0007")</f>
        <v>C0007</v>
      </c>
      <c r="B7650" s="64">
        <f>IFERROR(__xludf.DUMMYFUNCTION("""COMPUTED_VALUE"""),44604.0)</f>
        <v>44604</v>
      </c>
      <c r="C7650" s="5"/>
      <c r="D7650" s="5"/>
      <c r="E7650" s="5"/>
      <c r="F7650" s="25">
        <f>IFERROR(__xludf.DUMMYFUNCTION("""COMPUTED_VALUE"""),500000.0)</f>
        <v>500000</v>
      </c>
      <c r="G7650" s="25">
        <f>IFERROR(__xludf.DUMMYFUNCTION("""COMPUTED_VALUE"""),0.0)</f>
        <v>0</v>
      </c>
      <c r="H7650" s="8">
        <f>IFERROR(__xludf.DUMMYFUNCTION("""COMPUTED_VALUE"""),500000.0)</f>
        <v>500000</v>
      </c>
      <c r="I7650" s="24">
        <f>IFERROR(__xludf.DUMMYFUNCTION("""COMPUTED_VALUE"""),0.0)</f>
        <v>0</v>
      </c>
    </row>
    <row r="7651">
      <c r="A7651" s="5" t="str">
        <f>IFERROR(__xludf.DUMMYFUNCTION("""COMPUTED_VALUE"""),"C0007")</f>
        <v>C0007</v>
      </c>
      <c r="B7651" s="64">
        <f>IFERROR(__xludf.DUMMYFUNCTION("""COMPUTED_VALUE"""),44605.0)</f>
        <v>44605</v>
      </c>
      <c r="C7651" s="5"/>
      <c r="D7651" s="5"/>
      <c r="E7651" s="5"/>
      <c r="F7651" s="25">
        <f>IFERROR(__xludf.DUMMYFUNCTION("""COMPUTED_VALUE"""),500000.0)</f>
        <v>500000</v>
      </c>
      <c r="G7651" s="25">
        <f>IFERROR(__xludf.DUMMYFUNCTION("""COMPUTED_VALUE"""),0.0)</f>
        <v>0</v>
      </c>
      <c r="H7651" s="8">
        <f>IFERROR(__xludf.DUMMYFUNCTION("""COMPUTED_VALUE"""),500000.0)</f>
        <v>500000</v>
      </c>
      <c r="I7651" s="24">
        <f>IFERROR(__xludf.DUMMYFUNCTION("""COMPUTED_VALUE"""),0.0)</f>
        <v>0</v>
      </c>
    </row>
    <row r="7652">
      <c r="A7652" s="5" t="str">
        <f>IFERROR(__xludf.DUMMYFUNCTION("""COMPUTED_VALUE"""),"C0007")</f>
        <v>C0007</v>
      </c>
      <c r="B7652" s="64">
        <f>IFERROR(__xludf.DUMMYFUNCTION("""COMPUTED_VALUE"""),44606.0)</f>
        <v>44606</v>
      </c>
      <c r="C7652" s="5"/>
      <c r="D7652" s="5"/>
      <c r="E7652" s="5"/>
      <c r="F7652" s="25">
        <f>IFERROR(__xludf.DUMMYFUNCTION("""COMPUTED_VALUE"""),500000.0)</f>
        <v>500000</v>
      </c>
      <c r="G7652" s="25">
        <f>IFERROR(__xludf.DUMMYFUNCTION("""COMPUTED_VALUE"""),0.0)</f>
        <v>0</v>
      </c>
      <c r="H7652" s="8">
        <f>IFERROR(__xludf.DUMMYFUNCTION("""COMPUTED_VALUE"""),500000.0)</f>
        <v>500000</v>
      </c>
      <c r="I7652" s="24">
        <f>IFERROR(__xludf.DUMMYFUNCTION("""COMPUTED_VALUE"""),0.0)</f>
        <v>0</v>
      </c>
    </row>
    <row r="7653">
      <c r="A7653" s="5" t="str">
        <f>IFERROR(__xludf.DUMMYFUNCTION("""COMPUTED_VALUE"""),"C0007")</f>
        <v>C0007</v>
      </c>
      <c r="B7653" s="64">
        <f>IFERROR(__xludf.DUMMYFUNCTION("""COMPUTED_VALUE"""),44607.0)</f>
        <v>44607</v>
      </c>
      <c r="C7653" s="5"/>
      <c r="D7653" s="5"/>
      <c r="E7653" s="5"/>
      <c r="F7653" s="25">
        <f>IFERROR(__xludf.DUMMYFUNCTION("""COMPUTED_VALUE"""),500000.0)</f>
        <v>500000</v>
      </c>
      <c r="G7653" s="25">
        <f>IFERROR(__xludf.DUMMYFUNCTION("""COMPUTED_VALUE"""),0.0)</f>
        <v>0</v>
      </c>
      <c r="H7653" s="8">
        <f>IFERROR(__xludf.DUMMYFUNCTION("""COMPUTED_VALUE"""),500000.0)</f>
        <v>500000</v>
      </c>
      <c r="I7653" s="24">
        <f>IFERROR(__xludf.DUMMYFUNCTION("""COMPUTED_VALUE"""),0.0)</f>
        <v>0</v>
      </c>
    </row>
    <row r="7654">
      <c r="A7654" s="5" t="str">
        <f>IFERROR(__xludf.DUMMYFUNCTION("""COMPUTED_VALUE"""),"C0007")</f>
        <v>C0007</v>
      </c>
      <c r="B7654" s="64">
        <f>IFERROR(__xludf.DUMMYFUNCTION("""COMPUTED_VALUE"""),44608.0)</f>
        <v>44608</v>
      </c>
      <c r="C7654" s="5"/>
      <c r="D7654" s="5"/>
      <c r="E7654" s="5"/>
      <c r="F7654" s="25">
        <f>IFERROR(__xludf.DUMMYFUNCTION("""COMPUTED_VALUE"""),500000.0)</f>
        <v>500000</v>
      </c>
      <c r="G7654" s="25">
        <f>IFERROR(__xludf.DUMMYFUNCTION("""COMPUTED_VALUE"""),0.0)</f>
        <v>0</v>
      </c>
      <c r="H7654" s="8">
        <f>IFERROR(__xludf.DUMMYFUNCTION("""COMPUTED_VALUE"""),500000.0)</f>
        <v>500000</v>
      </c>
      <c r="I7654" s="24">
        <f>IFERROR(__xludf.DUMMYFUNCTION("""COMPUTED_VALUE"""),0.0)</f>
        <v>0</v>
      </c>
    </row>
    <row r="7655">
      <c r="A7655" s="5" t="str">
        <f>IFERROR(__xludf.DUMMYFUNCTION("""COMPUTED_VALUE"""),"C0007")</f>
        <v>C0007</v>
      </c>
      <c r="B7655" s="64">
        <f>IFERROR(__xludf.DUMMYFUNCTION("""COMPUTED_VALUE"""),44609.0)</f>
        <v>44609</v>
      </c>
      <c r="C7655" s="5"/>
      <c r="D7655" s="5"/>
      <c r="E7655" s="5"/>
      <c r="F7655" s="25">
        <f>IFERROR(__xludf.DUMMYFUNCTION("""COMPUTED_VALUE"""),500000.0)</f>
        <v>500000</v>
      </c>
      <c r="G7655" s="25">
        <f>IFERROR(__xludf.DUMMYFUNCTION("""COMPUTED_VALUE"""),0.0)</f>
        <v>0</v>
      </c>
      <c r="H7655" s="8">
        <f>IFERROR(__xludf.DUMMYFUNCTION("""COMPUTED_VALUE"""),500000.0)</f>
        <v>500000</v>
      </c>
      <c r="I7655" s="24">
        <f>IFERROR(__xludf.DUMMYFUNCTION("""COMPUTED_VALUE"""),0.0)</f>
        <v>0</v>
      </c>
    </row>
    <row r="7656">
      <c r="A7656" s="5" t="str">
        <f>IFERROR(__xludf.DUMMYFUNCTION("""COMPUTED_VALUE"""),"C0007")</f>
        <v>C0007</v>
      </c>
      <c r="B7656" s="64">
        <f>IFERROR(__xludf.DUMMYFUNCTION("""COMPUTED_VALUE"""),44610.0)</f>
        <v>44610</v>
      </c>
      <c r="C7656" s="5"/>
      <c r="D7656" s="5"/>
      <c r="E7656" s="5"/>
      <c r="F7656" s="25">
        <f>IFERROR(__xludf.DUMMYFUNCTION("""COMPUTED_VALUE"""),500000.0)</f>
        <v>500000</v>
      </c>
      <c r="G7656" s="25">
        <f>IFERROR(__xludf.DUMMYFUNCTION("""COMPUTED_VALUE"""),0.0)</f>
        <v>0</v>
      </c>
      <c r="H7656" s="8">
        <f>IFERROR(__xludf.DUMMYFUNCTION("""COMPUTED_VALUE"""),500000.0)</f>
        <v>500000</v>
      </c>
      <c r="I7656" s="24">
        <f>IFERROR(__xludf.DUMMYFUNCTION("""COMPUTED_VALUE"""),0.0)</f>
        <v>0</v>
      </c>
    </row>
    <row r="7657">
      <c r="A7657" s="5" t="str">
        <f>IFERROR(__xludf.DUMMYFUNCTION("""COMPUTED_VALUE"""),"C0007")</f>
        <v>C0007</v>
      </c>
      <c r="B7657" s="64">
        <f>IFERROR(__xludf.DUMMYFUNCTION("""COMPUTED_VALUE"""),44611.0)</f>
        <v>44611</v>
      </c>
      <c r="C7657" s="5"/>
      <c r="D7657" s="5"/>
      <c r="E7657" s="5"/>
      <c r="F7657" s="25">
        <f>IFERROR(__xludf.DUMMYFUNCTION("""COMPUTED_VALUE"""),500000.0)</f>
        <v>500000</v>
      </c>
      <c r="G7657" s="25">
        <f>IFERROR(__xludf.DUMMYFUNCTION("""COMPUTED_VALUE"""),0.0)</f>
        <v>0</v>
      </c>
      <c r="H7657" s="8">
        <f>IFERROR(__xludf.DUMMYFUNCTION("""COMPUTED_VALUE"""),500000.0)</f>
        <v>500000</v>
      </c>
      <c r="I7657" s="24">
        <f>IFERROR(__xludf.DUMMYFUNCTION("""COMPUTED_VALUE"""),0.0)</f>
        <v>0</v>
      </c>
    </row>
    <row r="7658">
      <c r="A7658" s="5" t="str">
        <f>IFERROR(__xludf.DUMMYFUNCTION("""COMPUTED_VALUE"""),"C0007")</f>
        <v>C0007</v>
      </c>
      <c r="B7658" s="64">
        <f>IFERROR(__xludf.DUMMYFUNCTION("""COMPUTED_VALUE"""),44612.0)</f>
        <v>44612</v>
      </c>
      <c r="C7658" s="5"/>
      <c r="D7658" s="5"/>
      <c r="E7658" s="5"/>
      <c r="F7658" s="25">
        <f>IFERROR(__xludf.DUMMYFUNCTION("""COMPUTED_VALUE"""),500000.0)</f>
        <v>500000</v>
      </c>
      <c r="G7658" s="25">
        <f>IFERROR(__xludf.DUMMYFUNCTION("""COMPUTED_VALUE"""),0.0)</f>
        <v>0</v>
      </c>
      <c r="H7658" s="8">
        <f>IFERROR(__xludf.DUMMYFUNCTION("""COMPUTED_VALUE"""),500000.0)</f>
        <v>500000</v>
      </c>
      <c r="I7658" s="24">
        <f>IFERROR(__xludf.DUMMYFUNCTION("""COMPUTED_VALUE"""),0.0)</f>
        <v>0</v>
      </c>
    </row>
    <row r="7659">
      <c r="A7659" s="5" t="str">
        <f>IFERROR(__xludf.DUMMYFUNCTION("""COMPUTED_VALUE"""),"C0007")</f>
        <v>C0007</v>
      </c>
      <c r="B7659" s="64">
        <f>IFERROR(__xludf.DUMMYFUNCTION("""COMPUTED_VALUE"""),44613.0)</f>
        <v>44613</v>
      </c>
      <c r="C7659" s="5"/>
      <c r="D7659" s="5"/>
      <c r="E7659" s="5"/>
      <c r="F7659" s="25">
        <f>IFERROR(__xludf.DUMMYFUNCTION("""COMPUTED_VALUE"""),500000.0)</f>
        <v>500000</v>
      </c>
      <c r="G7659" s="25">
        <f>IFERROR(__xludf.DUMMYFUNCTION("""COMPUTED_VALUE"""),0.0)</f>
        <v>0</v>
      </c>
      <c r="H7659" s="8">
        <f>IFERROR(__xludf.DUMMYFUNCTION("""COMPUTED_VALUE"""),500000.0)</f>
        <v>500000</v>
      </c>
      <c r="I7659" s="24">
        <f>IFERROR(__xludf.DUMMYFUNCTION("""COMPUTED_VALUE"""),0.0)</f>
        <v>0</v>
      </c>
    </row>
    <row r="7660">
      <c r="A7660" s="5" t="str">
        <f>IFERROR(__xludf.DUMMYFUNCTION("""COMPUTED_VALUE"""),"C0007")</f>
        <v>C0007</v>
      </c>
      <c r="B7660" s="64">
        <f>IFERROR(__xludf.DUMMYFUNCTION("""COMPUTED_VALUE"""),44614.0)</f>
        <v>44614</v>
      </c>
      <c r="C7660" s="5"/>
      <c r="D7660" s="5"/>
      <c r="E7660" s="5"/>
      <c r="F7660" s="25">
        <f>IFERROR(__xludf.DUMMYFUNCTION("""COMPUTED_VALUE"""),500000.0)</f>
        <v>500000</v>
      </c>
      <c r="G7660" s="25">
        <f>IFERROR(__xludf.DUMMYFUNCTION("""COMPUTED_VALUE"""),0.0)</f>
        <v>0</v>
      </c>
      <c r="H7660" s="8">
        <f>IFERROR(__xludf.DUMMYFUNCTION("""COMPUTED_VALUE"""),500000.0)</f>
        <v>500000</v>
      </c>
      <c r="I7660" s="24">
        <f>IFERROR(__xludf.DUMMYFUNCTION("""COMPUTED_VALUE"""),0.0)</f>
        <v>0</v>
      </c>
    </row>
    <row r="7661">
      <c r="A7661" s="5" t="str">
        <f>IFERROR(__xludf.DUMMYFUNCTION("""COMPUTED_VALUE"""),"C0007")</f>
        <v>C0007</v>
      </c>
      <c r="B7661" s="64">
        <f>IFERROR(__xludf.DUMMYFUNCTION("""COMPUTED_VALUE"""),44615.0)</f>
        <v>44615</v>
      </c>
      <c r="C7661" s="5"/>
      <c r="D7661" s="5"/>
      <c r="E7661" s="5"/>
      <c r="F7661" s="25">
        <f>IFERROR(__xludf.DUMMYFUNCTION("""COMPUTED_VALUE"""),500000.0)</f>
        <v>500000</v>
      </c>
      <c r="G7661" s="25">
        <f>IFERROR(__xludf.DUMMYFUNCTION("""COMPUTED_VALUE"""),0.0)</f>
        <v>0</v>
      </c>
      <c r="H7661" s="8">
        <f>IFERROR(__xludf.DUMMYFUNCTION("""COMPUTED_VALUE"""),500000.0)</f>
        <v>500000</v>
      </c>
      <c r="I7661" s="24">
        <f>IFERROR(__xludf.DUMMYFUNCTION("""COMPUTED_VALUE"""),0.0)</f>
        <v>0</v>
      </c>
    </row>
    <row r="7662">
      <c r="A7662" s="5" t="str">
        <f>IFERROR(__xludf.DUMMYFUNCTION("""COMPUTED_VALUE"""),"C0007")</f>
        <v>C0007</v>
      </c>
      <c r="B7662" s="64">
        <f>IFERROR(__xludf.DUMMYFUNCTION("""COMPUTED_VALUE"""),44616.0)</f>
        <v>44616</v>
      </c>
      <c r="C7662" s="5"/>
      <c r="D7662" s="5"/>
      <c r="E7662" s="5"/>
      <c r="F7662" s="25">
        <f>IFERROR(__xludf.DUMMYFUNCTION("""COMPUTED_VALUE"""),500000.0)</f>
        <v>500000</v>
      </c>
      <c r="G7662" s="25">
        <f>IFERROR(__xludf.DUMMYFUNCTION("""COMPUTED_VALUE"""),0.0)</f>
        <v>0</v>
      </c>
      <c r="H7662" s="8">
        <f>IFERROR(__xludf.DUMMYFUNCTION("""COMPUTED_VALUE"""),500000.0)</f>
        <v>500000</v>
      </c>
      <c r="I7662" s="24">
        <f>IFERROR(__xludf.DUMMYFUNCTION("""COMPUTED_VALUE"""),0.0)</f>
        <v>0</v>
      </c>
    </row>
    <row r="7663">
      <c r="A7663" s="5" t="str">
        <f>IFERROR(__xludf.DUMMYFUNCTION("""COMPUTED_VALUE"""),"C0007")</f>
        <v>C0007</v>
      </c>
      <c r="B7663" s="64">
        <f>IFERROR(__xludf.DUMMYFUNCTION("""COMPUTED_VALUE"""),44617.0)</f>
        <v>44617</v>
      </c>
      <c r="C7663" s="5"/>
      <c r="D7663" s="5"/>
      <c r="E7663" s="5"/>
      <c r="F7663" s="25">
        <f>IFERROR(__xludf.DUMMYFUNCTION("""COMPUTED_VALUE"""),500000.0)</f>
        <v>500000</v>
      </c>
      <c r="G7663" s="25">
        <f>IFERROR(__xludf.DUMMYFUNCTION("""COMPUTED_VALUE"""),0.0)</f>
        <v>0</v>
      </c>
      <c r="H7663" s="8">
        <f>IFERROR(__xludf.DUMMYFUNCTION("""COMPUTED_VALUE"""),500000.0)</f>
        <v>500000</v>
      </c>
      <c r="I7663" s="24">
        <f>IFERROR(__xludf.DUMMYFUNCTION("""COMPUTED_VALUE"""),0.0)</f>
        <v>0</v>
      </c>
    </row>
    <row r="7664">
      <c r="A7664" s="5" t="str">
        <f>IFERROR(__xludf.DUMMYFUNCTION("""COMPUTED_VALUE"""),"C0007")</f>
        <v>C0007</v>
      </c>
      <c r="B7664" s="64">
        <f>IFERROR(__xludf.DUMMYFUNCTION("""COMPUTED_VALUE"""),44618.0)</f>
        <v>44618</v>
      </c>
      <c r="C7664" s="5"/>
      <c r="D7664" s="5"/>
      <c r="E7664" s="5"/>
      <c r="F7664" s="25">
        <f>IFERROR(__xludf.DUMMYFUNCTION("""COMPUTED_VALUE"""),500000.0)</f>
        <v>500000</v>
      </c>
      <c r="G7664" s="25">
        <f>IFERROR(__xludf.DUMMYFUNCTION("""COMPUTED_VALUE"""),0.0)</f>
        <v>0</v>
      </c>
      <c r="H7664" s="8">
        <f>IFERROR(__xludf.DUMMYFUNCTION("""COMPUTED_VALUE"""),500000.0)</f>
        <v>500000</v>
      </c>
      <c r="I7664" s="24">
        <f>IFERROR(__xludf.DUMMYFUNCTION("""COMPUTED_VALUE"""),0.0)</f>
        <v>0</v>
      </c>
    </row>
    <row r="7665">
      <c r="A7665" s="5" t="str">
        <f>IFERROR(__xludf.DUMMYFUNCTION("""COMPUTED_VALUE"""),"C0007")</f>
        <v>C0007</v>
      </c>
      <c r="B7665" s="64">
        <f>IFERROR(__xludf.DUMMYFUNCTION("""COMPUTED_VALUE"""),44619.0)</f>
        <v>44619</v>
      </c>
      <c r="C7665" s="5"/>
      <c r="D7665" s="5"/>
      <c r="E7665" s="5"/>
      <c r="F7665" s="25">
        <f>IFERROR(__xludf.DUMMYFUNCTION("""COMPUTED_VALUE"""),500000.0)</f>
        <v>500000</v>
      </c>
      <c r="G7665" s="25">
        <f>IFERROR(__xludf.DUMMYFUNCTION("""COMPUTED_VALUE"""),0.0)</f>
        <v>0</v>
      </c>
      <c r="H7665" s="8">
        <f>IFERROR(__xludf.DUMMYFUNCTION("""COMPUTED_VALUE"""),500000.0)</f>
        <v>500000</v>
      </c>
      <c r="I7665" s="24">
        <f>IFERROR(__xludf.DUMMYFUNCTION("""COMPUTED_VALUE"""),0.0)</f>
        <v>0</v>
      </c>
    </row>
    <row r="7666">
      <c r="A7666" s="5" t="str">
        <f>IFERROR(__xludf.DUMMYFUNCTION("""COMPUTED_VALUE"""),"C0007")</f>
        <v>C0007</v>
      </c>
      <c r="B7666" s="64">
        <f>IFERROR(__xludf.DUMMYFUNCTION("""COMPUTED_VALUE"""),44620.0)</f>
        <v>44620</v>
      </c>
      <c r="C7666" s="5"/>
      <c r="D7666" s="5"/>
      <c r="E7666" s="5"/>
      <c r="F7666" s="25">
        <f>IFERROR(__xludf.DUMMYFUNCTION("""COMPUTED_VALUE"""),500000.0)</f>
        <v>500000</v>
      </c>
      <c r="G7666" s="25">
        <f>IFERROR(__xludf.DUMMYFUNCTION("""COMPUTED_VALUE"""),0.0)</f>
        <v>0</v>
      </c>
      <c r="H7666" s="8">
        <f>IFERROR(__xludf.DUMMYFUNCTION("""COMPUTED_VALUE"""),500000.0)</f>
        <v>500000</v>
      </c>
      <c r="I7666" s="24">
        <f>IFERROR(__xludf.DUMMYFUNCTION("""COMPUTED_VALUE"""),0.0)</f>
        <v>0</v>
      </c>
    </row>
    <row r="7667">
      <c r="A7667" s="5" t="str">
        <f>IFERROR(__xludf.DUMMYFUNCTION("""COMPUTED_VALUE"""),"C0007")</f>
        <v>C0007</v>
      </c>
      <c r="B7667" s="64">
        <f>IFERROR(__xludf.DUMMYFUNCTION("""COMPUTED_VALUE"""),44621.0)</f>
        <v>44621</v>
      </c>
      <c r="C7667" s="5"/>
      <c r="D7667" s="5"/>
      <c r="E7667" s="5"/>
      <c r="F7667" s="25">
        <f>IFERROR(__xludf.DUMMYFUNCTION("""COMPUTED_VALUE"""),500000.0)</f>
        <v>500000</v>
      </c>
      <c r="G7667" s="25">
        <f>IFERROR(__xludf.DUMMYFUNCTION("""COMPUTED_VALUE"""),0.0)</f>
        <v>0</v>
      </c>
      <c r="H7667" s="8">
        <f>IFERROR(__xludf.DUMMYFUNCTION("""COMPUTED_VALUE"""),500000.0)</f>
        <v>500000</v>
      </c>
      <c r="I7667" s="24">
        <f>IFERROR(__xludf.DUMMYFUNCTION("""COMPUTED_VALUE"""),0.0)</f>
        <v>0</v>
      </c>
    </row>
    <row r="7668">
      <c r="A7668" s="5" t="str">
        <f>IFERROR(__xludf.DUMMYFUNCTION("""COMPUTED_VALUE"""),"C0007")</f>
        <v>C0007</v>
      </c>
      <c r="B7668" s="64">
        <f>IFERROR(__xludf.DUMMYFUNCTION("""COMPUTED_VALUE"""),44622.0)</f>
        <v>44622</v>
      </c>
      <c r="C7668" s="5"/>
      <c r="D7668" s="5"/>
      <c r="E7668" s="5"/>
      <c r="F7668" s="25">
        <f>IFERROR(__xludf.DUMMYFUNCTION("""COMPUTED_VALUE"""),500000.0)</f>
        <v>500000</v>
      </c>
      <c r="G7668" s="25">
        <f>IFERROR(__xludf.DUMMYFUNCTION("""COMPUTED_VALUE"""),0.0)</f>
        <v>0</v>
      </c>
      <c r="H7668" s="8">
        <f>IFERROR(__xludf.DUMMYFUNCTION("""COMPUTED_VALUE"""),500000.0)</f>
        <v>500000</v>
      </c>
      <c r="I7668" s="24">
        <f>IFERROR(__xludf.DUMMYFUNCTION("""COMPUTED_VALUE"""),0.0)</f>
        <v>0</v>
      </c>
    </row>
    <row r="7669">
      <c r="A7669" s="5" t="str">
        <f>IFERROR(__xludf.DUMMYFUNCTION("""COMPUTED_VALUE"""),"C0007")</f>
        <v>C0007</v>
      </c>
      <c r="B7669" s="64">
        <f>IFERROR(__xludf.DUMMYFUNCTION("""COMPUTED_VALUE"""),44623.0)</f>
        <v>44623</v>
      </c>
      <c r="C7669" s="5"/>
      <c r="D7669" s="5"/>
      <c r="E7669" s="5"/>
      <c r="F7669" s="25">
        <f>IFERROR(__xludf.DUMMYFUNCTION("""COMPUTED_VALUE"""),500000.0)</f>
        <v>500000</v>
      </c>
      <c r="G7669" s="25">
        <f>IFERROR(__xludf.DUMMYFUNCTION("""COMPUTED_VALUE"""),0.0)</f>
        <v>0</v>
      </c>
      <c r="H7669" s="8">
        <f>IFERROR(__xludf.DUMMYFUNCTION("""COMPUTED_VALUE"""),500000.0)</f>
        <v>500000</v>
      </c>
      <c r="I7669" s="24">
        <f>IFERROR(__xludf.DUMMYFUNCTION("""COMPUTED_VALUE"""),0.0)</f>
        <v>0</v>
      </c>
    </row>
    <row r="7670">
      <c r="A7670" s="5" t="str">
        <f>IFERROR(__xludf.DUMMYFUNCTION("""COMPUTED_VALUE"""),"C0007")</f>
        <v>C0007</v>
      </c>
      <c r="B7670" s="64">
        <f>IFERROR(__xludf.DUMMYFUNCTION("""COMPUTED_VALUE"""),44624.0)</f>
        <v>44624</v>
      </c>
      <c r="C7670" s="5"/>
      <c r="D7670" s="5"/>
      <c r="E7670" s="5"/>
      <c r="F7670" s="25">
        <f>IFERROR(__xludf.DUMMYFUNCTION("""COMPUTED_VALUE"""),500000.0)</f>
        <v>500000</v>
      </c>
      <c r="G7670" s="25">
        <f>IFERROR(__xludf.DUMMYFUNCTION("""COMPUTED_VALUE"""),0.0)</f>
        <v>0</v>
      </c>
      <c r="H7670" s="8">
        <f>IFERROR(__xludf.DUMMYFUNCTION("""COMPUTED_VALUE"""),500000.0)</f>
        <v>500000</v>
      </c>
      <c r="I7670" s="24">
        <f>IFERROR(__xludf.DUMMYFUNCTION("""COMPUTED_VALUE"""),0.0)</f>
        <v>0</v>
      </c>
    </row>
    <row r="7671">
      <c r="A7671" s="5" t="str">
        <f>IFERROR(__xludf.DUMMYFUNCTION("""COMPUTED_VALUE"""),"C0007")</f>
        <v>C0007</v>
      </c>
      <c r="B7671" s="64">
        <f>IFERROR(__xludf.DUMMYFUNCTION("""COMPUTED_VALUE"""),44625.0)</f>
        <v>44625</v>
      </c>
      <c r="C7671" s="5"/>
      <c r="D7671" s="5"/>
      <c r="E7671" s="5"/>
      <c r="F7671" s="25">
        <f>IFERROR(__xludf.DUMMYFUNCTION("""COMPUTED_VALUE"""),500000.0)</f>
        <v>500000</v>
      </c>
      <c r="G7671" s="25">
        <f>IFERROR(__xludf.DUMMYFUNCTION("""COMPUTED_VALUE"""),0.0)</f>
        <v>0</v>
      </c>
      <c r="H7671" s="8">
        <f>IFERROR(__xludf.DUMMYFUNCTION("""COMPUTED_VALUE"""),500000.0)</f>
        <v>500000</v>
      </c>
      <c r="I7671" s="24">
        <f>IFERROR(__xludf.DUMMYFUNCTION("""COMPUTED_VALUE"""),0.0)</f>
        <v>0</v>
      </c>
    </row>
    <row r="7672">
      <c r="A7672" s="5" t="str">
        <f>IFERROR(__xludf.DUMMYFUNCTION("""COMPUTED_VALUE"""),"C0007")</f>
        <v>C0007</v>
      </c>
      <c r="B7672" s="64">
        <f>IFERROR(__xludf.DUMMYFUNCTION("""COMPUTED_VALUE"""),44626.0)</f>
        <v>44626</v>
      </c>
      <c r="C7672" s="5"/>
      <c r="D7672" s="5"/>
      <c r="E7672" s="5"/>
      <c r="F7672" s="25">
        <f>IFERROR(__xludf.DUMMYFUNCTION("""COMPUTED_VALUE"""),500000.0)</f>
        <v>500000</v>
      </c>
      <c r="G7672" s="25">
        <f>IFERROR(__xludf.DUMMYFUNCTION("""COMPUTED_VALUE"""),0.0)</f>
        <v>0</v>
      </c>
      <c r="H7672" s="8">
        <f>IFERROR(__xludf.DUMMYFUNCTION("""COMPUTED_VALUE"""),500000.0)</f>
        <v>500000</v>
      </c>
      <c r="I7672" s="24">
        <f>IFERROR(__xludf.DUMMYFUNCTION("""COMPUTED_VALUE"""),0.0)</f>
        <v>0</v>
      </c>
    </row>
    <row r="7673">
      <c r="A7673" s="5" t="str">
        <f>IFERROR(__xludf.DUMMYFUNCTION("""COMPUTED_VALUE"""),"C0007")</f>
        <v>C0007</v>
      </c>
      <c r="B7673" s="64">
        <f>IFERROR(__xludf.DUMMYFUNCTION("""COMPUTED_VALUE"""),44627.0)</f>
        <v>44627</v>
      </c>
      <c r="C7673" s="5"/>
      <c r="D7673" s="5"/>
      <c r="E7673" s="5"/>
      <c r="F7673" s="25">
        <f>IFERROR(__xludf.DUMMYFUNCTION("""COMPUTED_VALUE"""),500000.0)</f>
        <v>500000</v>
      </c>
      <c r="G7673" s="25">
        <f>IFERROR(__xludf.DUMMYFUNCTION("""COMPUTED_VALUE"""),0.0)</f>
        <v>0</v>
      </c>
      <c r="H7673" s="8">
        <f>IFERROR(__xludf.DUMMYFUNCTION("""COMPUTED_VALUE"""),500000.0)</f>
        <v>500000</v>
      </c>
      <c r="I7673" s="24">
        <f>IFERROR(__xludf.DUMMYFUNCTION("""COMPUTED_VALUE"""),0.0)</f>
        <v>0</v>
      </c>
    </row>
    <row r="7674">
      <c r="A7674" s="5" t="str">
        <f>IFERROR(__xludf.DUMMYFUNCTION("""COMPUTED_VALUE"""),"C0007")</f>
        <v>C0007</v>
      </c>
      <c r="B7674" s="64">
        <f>IFERROR(__xludf.DUMMYFUNCTION("""COMPUTED_VALUE"""),44628.0)</f>
        <v>44628</v>
      </c>
      <c r="C7674" s="5"/>
      <c r="D7674" s="5"/>
      <c r="E7674" s="5"/>
      <c r="F7674" s="25">
        <f>IFERROR(__xludf.DUMMYFUNCTION("""COMPUTED_VALUE"""),500000.0)</f>
        <v>500000</v>
      </c>
      <c r="G7674" s="25">
        <f>IFERROR(__xludf.DUMMYFUNCTION("""COMPUTED_VALUE"""),0.0)</f>
        <v>0</v>
      </c>
      <c r="H7674" s="8">
        <f>IFERROR(__xludf.DUMMYFUNCTION("""COMPUTED_VALUE"""),500000.0)</f>
        <v>500000</v>
      </c>
      <c r="I7674" s="24">
        <f>IFERROR(__xludf.DUMMYFUNCTION("""COMPUTED_VALUE"""),0.0)</f>
        <v>0</v>
      </c>
    </row>
    <row r="7675">
      <c r="A7675" s="5" t="str">
        <f>IFERROR(__xludf.DUMMYFUNCTION("""COMPUTED_VALUE"""),"C0007")</f>
        <v>C0007</v>
      </c>
      <c r="B7675" s="64">
        <f>IFERROR(__xludf.DUMMYFUNCTION("""COMPUTED_VALUE"""),44629.0)</f>
        <v>44629</v>
      </c>
      <c r="C7675" s="5"/>
      <c r="D7675" s="5"/>
      <c r="E7675" s="5"/>
      <c r="F7675" s="25">
        <f>IFERROR(__xludf.DUMMYFUNCTION("""COMPUTED_VALUE"""),500000.0)</f>
        <v>500000</v>
      </c>
      <c r="G7675" s="25">
        <f>IFERROR(__xludf.DUMMYFUNCTION("""COMPUTED_VALUE"""),0.0)</f>
        <v>0</v>
      </c>
      <c r="H7675" s="8">
        <f>IFERROR(__xludf.DUMMYFUNCTION("""COMPUTED_VALUE"""),500000.0)</f>
        <v>500000</v>
      </c>
      <c r="I7675" s="24">
        <f>IFERROR(__xludf.DUMMYFUNCTION("""COMPUTED_VALUE"""),0.0)</f>
        <v>0</v>
      </c>
    </row>
    <row r="7676">
      <c r="A7676" s="5" t="str">
        <f>IFERROR(__xludf.DUMMYFUNCTION("""COMPUTED_VALUE"""),"C0007")</f>
        <v>C0007</v>
      </c>
      <c r="B7676" s="64">
        <f>IFERROR(__xludf.DUMMYFUNCTION("""COMPUTED_VALUE"""),44630.0)</f>
        <v>44630</v>
      </c>
      <c r="C7676" s="5"/>
      <c r="D7676" s="5"/>
      <c r="E7676" s="5"/>
      <c r="F7676" s="25">
        <f>IFERROR(__xludf.DUMMYFUNCTION("""COMPUTED_VALUE"""),500000.0)</f>
        <v>500000</v>
      </c>
      <c r="G7676" s="25">
        <f>IFERROR(__xludf.DUMMYFUNCTION("""COMPUTED_VALUE"""),0.0)</f>
        <v>0</v>
      </c>
      <c r="H7676" s="8">
        <f>IFERROR(__xludf.DUMMYFUNCTION("""COMPUTED_VALUE"""),500000.0)</f>
        <v>500000</v>
      </c>
      <c r="I7676" s="24">
        <f>IFERROR(__xludf.DUMMYFUNCTION("""COMPUTED_VALUE"""),0.0)</f>
        <v>0</v>
      </c>
    </row>
    <row r="7677">
      <c r="A7677" s="5" t="str">
        <f>IFERROR(__xludf.DUMMYFUNCTION("""COMPUTED_VALUE"""),"C0007")</f>
        <v>C0007</v>
      </c>
      <c r="B7677" s="64">
        <f>IFERROR(__xludf.DUMMYFUNCTION("""COMPUTED_VALUE"""),44631.0)</f>
        <v>44631</v>
      </c>
      <c r="C7677" s="5"/>
      <c r="D7677" s="5"/>
      <c r="E7677" s="5"/>
      <c r="F7677" s="25">
        <f>IFERROR(__xludf.DUMMYFUNCTION("""COMPUTED_VALUE"""),500000.0)</f>
        <v>500000</v>
      </c>
      <c r="G7677" s="25">
        <f>IFERROR(__xludf.DUMMYFUNCTION("""COMPUTED_VALUE"""),0.0)</f>
        <v>0</v>
      </c>
      <c r="H7677" s="8">
        <f>IFERROR(__xludf.DUMMYFUNCTION("""COMPUTED_VALUE"""),500000.0)</f>
        <v>500000</v>
      </c>
      <c r="I7677" s="24">
        <f>IFERROR(__xludf.DUMMYFUNCTION("""COMPUTED_VALUE"""),0.0)</f>
        <v>0</v>
      </c>
    </row>
    <row r="7678">
      <c r="A7678" s="5" t="str">
        <f>IFERROR(__xludf.DUMMYFUNCTION("""COMPUTED_VALUE"""),"C0007")</f>
        <v>C0007</v>
      </c>
      <c r="B7678" s="64">
        <f>IFERROR(__xludf.DUMMYFUNCTION("""COMPUTED_VALUE"""),44632.0)</f>
        <v>44632</v>
      </c>
      <c r="C7678" s="5"/>
      <c r="D7678" s="5"/>
      <c r="E7678" s="5"/>
      <c r="F7678" s="25">
        <f>IFERROR(__xludf.DUMMYFUNCTION("""COMPUTED_VALUE"""),500000.0)</f>
        <v>500000</v>
      </c>
      <c r="G7678" s="25">
        <f>IFERROR(__xludf.DUMMYFUNCTION("""COMPUTED_VALUE"""),0.0)</f>
        <v>0</v>
      </c>
      <c r="H7678" s="8">
        <f>IFERROR(__xludf.DUMMYFUNCTION("""COMPUTED_VALUE"""),500000.0)</f>
        <v>500000</v>
      </c>
      <c r="I7678" s="24">
        <f>IFERROR(__xludf.DUMMYFUNCTION("""COMPUTED_VALUE"""),0.0)</f>
        <v>0</v>
      </c>
    </row>
    <row r="7679">
      <c r="A7679" s="5" t="str">
        <f>IFERROR(__xludf.DUMMYFUNCTION("""COMPUTED_VALUE"""),"C0007")</f>
        <v>C0007</v>
      </c>
      <c r="B7679" s="64">
        <f>IFERROR(__xludf.DUMMYFUNCTION("""COMPUTED_VALUE"""),44633.0)</f>
        <v>44633</v>
      </c>
      <c r="C7679" s="5"/>
      <c r="D7679" s="5"/>
      <c r="E7679" s="5"/>
      <c r="F7679" s="25">
        <f>IFERROR(__xludf.DUMMYFUNCTION("""COMPUTED_VALUE"""),500000.0)</f>
        <v>500000</v>
      </c>
      <c r="G7679" s="25">
        <f>IFERROR(__xludf.DUMMYFUNCTION("""COMPUTED_VALUE"""),0.0)</f>
        <v>0</v>
      </c>
      <c r="H7679" s="8">
        <f>IFERROR(__xludf.DUMMYFUNCTION("""COMPUTED_VALUE"""),500000.0)</f>
        <v>500000</v>
      </c>
      <c r="I7679" s="24">
        <f>IFERROR(__xludf.DUMMYFUNCTION("""COMPUTED_VALUE"""),0.0)</f>
        <v>0</v>
      </c>
    </row>
    <row r="7680">
      <c r="A7680" s="5" t="str">
        <f>IFERROR(__xludf.DUMMYFUNCTION("""COMPUTED_VALUE"""),"C0007")</f>
        <v>C0007</v>
      </c>
      <c r="B7680" s="64">
        <f>IFERROR(__xludf.DUMMYFUNCTION("""COMPUTED_VALUE"""),44634.0)</f>
        <v>44634</v>
      </c>
      <c r="C7680" s="5"/>
      <c r="D7680" s="5"/>
      <c r="E7680" s="5"/>
      <c r="F7680" s="25">
        <f>IFERROR(__xludf.DUMMYFUNCTION("""COMPUTED_VALUE"""),500000.0)</f>
        <v>500000</v>
      </c>
      <c r="G7680" s="25">
        <f>IFERROR(__xludf.DUMMYFUNCTION("""COMPUTED_VALUE"""),0.0)</f>
        <v>0</v>
      </c>
      <c r="H7680" s="8">
        <f>IFERROR(__xludf.DUMMYFUNCTION("""COMPUTED_VALUE"""),500000.0)</f>
        <v>500000</v>
      </c>
      <c r="I7680" s="24">
        <f>IFERROR(__xludf.DUMMYFUNCTION("""COMPUTED_VALUE"""),0.0)</f>
        <v>0</v>
      </c>
    </row>
    <row r="7681">
      <c r="A7681" s="5" t="str">
        <f>IFERROR(__xludf.DUMMYFUNCTION("""COMPUTED_VALUE"""),"C0007")</f>
        <v>C0007</v>
      </c>
      <c r="B7681" s="64">
        <f>IFERROR(__xludf.DUMMYFUNCTION("""COMPUTED_VALUE"""),44635.0)</f>
        <v>44635</v>
      </c>
      <c r="C7681" s="5"/>
      <c r="D7681" s="5"/>
      <c r="E7681" s="5"/>
      <c r="F7681" s="25">
        <f>IFERROR(__xludf.DUMMYFUNCTION("""COMPUTED_VALUE"""),500000.0)</f>
        <v>500000</v>
      </c>
      <c r="G7681" s="25">
        <f>IFERROR(__xludf.DUMMYFUNCTION("""COMPUTED_VALUE"""),0.0)</f>
        <v>0</v>
      </c>
      <c r="H7681" s="8">
        <f>IFERROR(__xludf.DUMMYFUNCTION("""COMPUTED_VALUE"""),500000.0)</f>
        <v>500000</v>
      </c>
      <c r="I7681" s="24">
        <f>IFERROR(__xludf.DUMMYFUNCTION("""COMPUTED_VALUE"""),0.0)</f>
        <v>0</v>
      </c>
    </row>
    <row r="7682">
      <c r="A7682" s="5" t="str">
        <f>IFERROR(__xludf.DUMMYFUNCTION("""COMPUTED_VALUE"""),"C0007")</f>
        <v>C0007</v>
      </c>
      <c r="B7682" s="64">
        <f>IFERROR(__xludf.DUMMYFUNCTION("""COMPUTED_VALUE"""),44636.0)</f>
        <v>44636</v>
      </c>
      <c r="C7682" s="5"/>
      <c r="D7682" s="5"/>
      <c r="E7682" s="5"/>
      <c r="F7682" s="25">
        <f>IFERROR(__xludf.DUMMYFUNCTION("""COMPUTED_VALUE"""),500000.0)</f>
        <v>500000</v>
      </c>
      <c r="G7682" s="25">
        <f>IFERROR(__xludf.DUMMYFUNCTION("""COMPUTED_VALUE"""),0.0)</f>
        <v>0</v>
      </c>
      <c r="H7682" s="8">
        <f>IFERROR(__xludf.DUMMYFUNCTION("""COMPUTED_VALUE"""),500000.0)</f>
        <v>500000</v>
      </c>
      <c r="I7682" s="24">
        <f>IFERROR(__xludf.DUMMYFUNCTION("""COMPUTED_VALUE"""),0.0)</f>
        <v>0</v>
      </c>
    </row>
    <row r="7683">
      <c r="A7683" s="5" t="str">
        <f>IFERROR(__xludf.DUMMYFUNCTION("""COMPUTED_VALUE"""),"C0007")</f>
        <v>C0007</v>
      </c>
      <c r="B7683" s="64">
        <f>IFERROR(__xludf.DUMMYFUNCTION("""COMPUTED_VALUE"""),44637.0)</f>
        <v>44637</v>
      </c>
      <c r="C7683" s="5"/>
      <c r="D7683" s="5"/>
      <c r="E7683" s="5"/>
      <c r="F7683" s="25">
        <f>IFERROR(__xludf.DUMMYFUNCTION("""COMPUTED_VALUE"""),500000.0)</f>
        <v>500000</v>
      </c>
      <c r="G7683" s="25">
        <f>IFERROR(__xludf.DUMMYFUNCTION("""COMPUTED_VALUE"""),0.0)</f>
        <v>0</v>
      </c>
      <c r="H7683" s="8">
        <f>IFERROR(__xludf.DUMMYFUNCTION("""COMPUTED_VALUE"""),500000.0)</f>
        <v>500000</v>
      </c>
      <c r="I7683" s="24">
        <f>IFERROR(__xludf.DUMMYFUNCTION("""COMPUTED_VALUE"""),0.0)</f>
        <v>0</v>
      </c>
    </row>
    <row r="7684">
      <c r="A7684" s="5" t="str">
        <f>IFERROR(__xludf.DUMMYFUNCTION("""COMPUTED_VALUE"""),"C0007")</f>
        <v>C0007</v>
      </c>
      <c r="B7684" s="64">
        <f>IFERROR(__xludf.DUMMYFUNCTION("""COMPUTED_VALUE"""),44638.0)</f>
        <v>44638</v>
      </c>
      <c r="C7684" s="5"/>
      <c r="D7684" s="5"/>
      <c r="E7684" s="5"/>
      <c r="F7684" s="25">
        <f>IFERROR(__xludf.DUMMYFUNCTION("""COMPUTED_VALUE"""),500000.0)</f>
        <v>500000</v>
      </c>
      <c r="G7684" s="25">
        <f>IFERROR(__xludf.DUMMYFUNCTION("""COMPUTED_VALUE"""),0.0)</f>
        <v>0</v>
      </c>
      <c r="H7684" s="8">
        <f>IFERROR(__xludf.DUMMYFUNCTION("""COMPUTED_VALUE"""),500000.0)</f>
        <v>500000</v>
      </c>
      <c r="I7684" s="24">
        <f>IFERROR(__xludf.DUMMYFUNCTION("""COMPUTED_VALUE"""),0.0)</f>
        <v>0</v>
      </c>
    </row>
    <row r="7685">
      <c r="A7685" s="5" t="str">
        <f>IFERROR(__xludf.DUMMYFUNCTION("""COMPUTED_VALUE"""),"C0007")</f>
        <v>C0007</v>
      </c>
      <c r="B7685" s="64">
        <f>IFERROR(__xludf.DUMMYFUNCTION("""COMPUTED_VALUE"""),44639.0)</f>
        <v>44639</v>
      </c>
      <c r="C7685" s="5"/>
      <c r="D7685" s="5"/>
      <c r="E7685" s="5"/>
      <c r="F7685" s="25">
        <f>IFERROR(__xludf.DUMMYFUNCTION("""COMPUTED_VALUE"""),500000.0)</f>
        <v>500000</v>
      </c>
      <c r="G7685" s="25">
        <f>IFERROR(__xludf.DUMMYFUNCTION("""COMPUTED_VALUE"""),0.0)</f>
        <v>0</v>
      </c>
      <c r="H7685" s="8">
        <f>IFERROR(__xludf.DUMMYFUNCTION("""COMPUTED_VALUE"""),500000.0)</f>
        <v>500000</v>
      </c>
      <c r="I7685" s="24">
        <f>IFERROR(__xludf.DUMMYFUNCTION("""COMPUTED_VALUE"""),0.0)</f>
        <v>0</v>
      </c>
    </row>
    <row r="7686">
      <c r="A7686" s="5" t="str">
        <f>IFERROR(__xludf.DUMMYFUNCTION("""COMPUTED_VALUE"""),"C0007")</f>
        <v>C0007</v>
      </c>
      <c r="B7686" s="64">
        <f>IFERROR(__xludf.DUMMYFUNCTION("""COMPUTED_VALUE"""),44640.0)</f>
        <v>44640</v>
      </c>
      <c r="C7686" s="5"/>
      <c r="D7686" s="5"/>
      <c r="E7686" s="5"/>
      <c r="F7686" s="25">
        <f>IFERROR(__xludf.DUMMYFUNCTION("""COMPUTED_VALUE"""),500000.0)</f>
        <v>500000</v>
      </c>
      <c r="G7686" s="25">
        <f>IFERROR(__xludf.DUMMYFUNCTION("""COMPUTED_VALUE"""),0.0)</f>
        <v>0</v>
      </c>
      <c r="H7686" s="8">
        <f>IFERROR(__xludf.DUMMYFUNCTION("""COMPUTED_VALUE"""),500000.0)</f>
        <v>500000</v>
      </c>
      <c r="I7686" s="24">
        <f>IFERROR(__xludf.DUMMYFUNCTION("""COMPUTED_VALUE"""),0.0)</f>
        <v>0</v>
      </c>
    </row>
    <row r="7687">
      <c r="A7687" s="5" t="str">
        <f>IFERROR(__xludf.DUMMYFUNCTION("""COMPUTED_VALUE"""),"C0007")</f>
        <v>C0007</v>
      </c>
      <c r="B7687" s="64">
        <f>IFERROR(__xludf.DUMMYFUNCTION("""COMPUTED_VALUE"""),44641.0)</f>
        <v>44641</v>
      </c>
      <c r="C7687" s="5"/>
      <c r="D7687" s="5"/>
      <c r="E7687" s="5"/>
      <c r="F7687" s="25">
        <f>IFERROR(__xludf.DUMMYFUNCTION("""COMPUTED_VALUE"""),500000.0)</f>
        <v>500000</v>
      </c>
      <c r="G7687" s="25">
        <f>IFERROR(__xludf.DUMMYFUNCTION("""COMPUTED_VALUE"""),0.0)</f>
        <v>0</v>
      </c>
      <c r="H7687" s="8">
        <f>IFERROR(__xludf.DUMMYFUNCTION("""COMPUTED_VALUE"""),500000.0)</f>
        <v>500000</v>
      </c>
      <c r="I7687" s="24">
        <f>IFERROR(__xludf.DUMMYFUNCTION("""COMPUTED_VALUE"""),0.0)</f>
        <v>0</v>
      </c>
    </row>
    <row r="7688">
      <c r="A7688" s="5" t="str">
        <f>IFERROR(__xludf.DUMMYFUNCTION("""COMPUTED_VALUE"""),"C0007")</f>
        <v>C0007</v>
      </c>
      <c r="B7688" s="64">
        <f>IFERROR(__xludf.DUMMYFUNCTION("""COMPUTED_VALUE"""),44642.0)</f>
        <v>44642</v>
      </c>
      <c r="C7688" s="5"/>
      <c r="D7688" s="5"/>
      <c r="E7688" s="5"/>
      <c r="F7688" s="25">
        <f>IFERROR(__xludf.DUMMYFUNCTION("""COMPUTED_VALUE"""),500000.0)</f>
        <v>500000</v>
      </c>
      <c r="G7688" s="25">
        <f>IFERROR(__xludf.DUMMYFUNCTION("""COMPUTED_VALUE"""),0.0)</f>
        <v>0</v>
      </c>
      <c r="H7688" s="8">
        <f>IFERROR(__xludf.DUMMYFUNCTION("""COMPUTED_VALUE"""),500000.0)</f>
        <v>500000</v>
      </c>
      <c r="I7688" s="24">
        <f>IFERROR(__xludf.DUMMYFUNCTION("""COMPUTED_VALUE"""),0.0)</f>
        <v>0</v>
      </c>
    </row>
    <row r="7689">
      <c r="A7689" s="5" t="str">
        <f>IFERROR(__xludf.DUMMYFUNCTION("""COMPUTED_VALUE"""),"C0007")</f>
        <v>C0007</v>
      </c>
      <c r="B7689" s="64">
        <f>IFERROR(__xludf.DUMMYFUNCTION("""COMPUTED_VALUE"""),44643.0)</f>
        <v>44643</v>
      </c>
      <c r="C7689" s="5"/>
      <c r="D7689" s="5"/>
      <c r="E7689" s="5"/>
      <c r="F7689" s="25">
        <f>IFERROR(__xludf.DUMMYFUNCTION("""COMPUTED_VALUE"""),500000.0)</f>
        <v>500000</v>
      </c>
      <c r="G7689" s="25">
        <f>IFERROR(__xludf.DUMMYFUNCTION("""COMPUTED_VALUE"""),0.0)</f>
        <v>0</v>
      </c>
      <c r="H7689" s="8">
        <f>IFERROR(__xludf.DUMMYFUNCTION("""COMPUTED_VALUE"""),500000.0)</f>
        <v>500000</v>
      </c>
      <c r="I7689" s="24">
        <f>IFERROR(__xludf.DUMMYFUNCTION("""COMPUTED_VALUE"""),0.0)</f>
        <v>0</v>
      </c>
    </row>
    <row r="7690">
      <c r="A7690" s="5" t="str">
        <f>IFERROR(__xludf.DUMMYFUNCTION("""COMPUTED_VALUE"""),"C0007")</f>
        <v>C0007</v>
      </c>
      <c r="B7690" s="64">
        <f>IFERROR(__xludf.DUMMYFUNCTION("""COMPUTED_VALUE"""),44644.0)</f>
        <v>44644</v>
      </c>
      <c r="C7690" s="5"/>
      <c r="D7690" s="5"/>
      <c r="E7690" s="5"/>
      <c r="F7690" s="25">
        <f>IFERROR(__xludf.DUMMYFUNCTION("""COMPUTED_VALUE"""),500000.0)</f>
        <v>500000</v>
      </c>
      <c r="G7690" s="25">
        <f>IFERROR(__xludf.DUMMYFUNCTION("""COMPUTED_VALUE"""),0.0)</f>
        <v>0</v>
      </c>
      <c r="H7690" s="8">
        <f>IFERROR(__xludf.DUMMYFUNCTION("""COMPUTED_VALUE"""),500000.0)</f>
        <v>500000</v>
      </c>
      <c r="I7690" s="24">
        <f>IFERROR(__xludf.DUMMYFUNCTION("""COMPUTED_VALUE"""),0.0)</f>
        <v>0</v>
      </c>
    </row>
    <row r="7691">
      <c r="A7691" s="5" t="str">
        <f>IFERROR(__xludf.DUMMYFUNCTION("""COMPUTED_VALUE"""),"C0007")</f>
        <v>C0007</v>
      </c>
      <c r="B7691" s="64">
        <f>IFERROR(__xludf.DUMMYFUNCTION("""COMPUTED_VALUE"""),44645.0)</f>
        <v>44645</v>
      </c>
      <c r="C7691" s="5"/>
      <c r="D7691" s="5"/>
      <c r="E7691" s="5"/>
      <c r="F7691" s="25">
        <f>IFERROR(__xludf.DUMMYFUNCTION("""COMPUTED_VALUE"""),500000.0)</f>
        <v>500000</v>
      </c>
      <c r="G7691" s="25">
        <f>IFERROR(__xludf.DUMMYFUNCTION("""COMPUTED_VALUE"""),0.0)</f>
        <v>0</v>
      </c>
      <c r="H7691" s="8">
        <f>IFERROR(__xludf.DUMMYFUNCTION("""COMPUTED_VALUE"""),500000.0)</f>
        <v>500000</v>
      </c>
      <c r="I7691" s="24">
        <f>IFERROR(__xludf.DUMMYFUNCTION("""COMPUTED_VALUE"""),0.0)</f>
        <v>0</v>
      </c>
    </row>
    <row r="7692">
      <c r="A7692" s="5" t="str">
        <f>IFERROR(__xludf.DUMMYFUNCTION("""COMPUTED_VALUE"""),"C0007")</f>
        <v>C0007</v>
      </c>
      <c r="B7692" s="64">
        <f>IFERROR(__xludf.DUMMYFUNCTION("""COMPUTED_VALUE"""),44646.0)</f>
        <v>44646</v>
      </c>
      <c r="C7692" s="5"/>
      <c r="D7692" s="5"/>
      <c r="E7692" s="5"/>
      <c r="F7692" s="25">
        <f>IFERROR(__xludf.DUMMYFUNCTION("""COMPUTED_VALUE"""),500000.0)</f>
        <v>500000</v>
      </c>
      <c r="G7692" s="25">
        <f>IFERROR(__xludf.DUMMYFUNCTION("""COMPUTED_VALUE"""),0.0)</f>
        <v>0</v>
      </c>
      <c r="H7692" s="8">
        <f>IFERROR(__xludf.DUMMYFUNCTION("""COMPUTED_VALUE"""),500000.0)</f>
        <v>500000</v>
      </c>
      <c r="I7692" s="24">
        <f>IFERROR(__xludf.DUMMYFUNCTION("""COMPUTED_VALUE"""),0.0)</f>
        <v>0</v>
      </c>
    </row>
    <row r="7693">
      <c r="A7693" s="5" t="str">
        <f>IFERROR(__xludf.DUMMYFUNCTION("""COMPUTED_VALUE"""),"C0007")</f>
        <v>C0007</v>
      </c>
      <c r="B7693" s="64">
        <f>IFERROR(__xludf.DUMMYFUNCTION("""COMPUTED_VALUE"""),44647.0)</f>
        <v>44647</v>
      </c>
      <c r="C7693" s="5"/>
      <c r="D7693" s="5"/>
      <c r="E7693" s="5"/>
      <c r="F7693" s="25">
        <f>IFERROR(__xludf.DUMMYFUNCTION("""COMPUTED_VALUE"""),500000.0)</f>
        <v>500000</v>
      </c>
      <c r="G7693" s="25">
        <f>IFERROR(__xludf.DUMMYFUNCTION("""COMPUTED_VALUE"""),0.0)</f>
        <v>0</v>
      </c>
      <c r="H7693" s="8">
        <f>IFERROR(__xludf.DUMMYFUNCTION("""COMPUTED_VALUE"""),500000.0)</f>
        <v>500000</v>
      </c>
      <c r="I7693" s="24">
        <f>IFERROR(__xludf.DUMMYFUNCTION("""COMPUTED_VALUE"""),0.0)</f>
        <v>0</v>
      </c>
    </row>
    <row r="7694">
      <c r="A7694" s="5" t="str">
        <f>IFERROR(__xludf.DUMMYFUNCTION("""COMPUTED_VALUE"""),"C0007")</f>
        <v>C0007</v>
      </c>
      <c r="B7694" s="64">
        <f>IFERROR(__xludf.DUMMYFUNCTION("""COMPUTED_VALUE"""),44648.0)</f>
        <v>44648</v>
      </c>
      <c r="C7694" s="5"/>
      <c r="D7694" s="5"/>
      <c r="E7694" s="5"/>
      <c r="F7694" s="25">
        <f>IFERROR(__xludf.DUMMYFUNCTION("""COMPUTED_VALUE"""),500000.0)</f>
        <v>500000</v>
      </c>
      <c r="G7694" s="25">
        <f>IFERROR(__xludf.DUMMYFUNCTION("""COMPUTED_VALUE"""),0.0)</f>
        <v>0</v>
      </c>
      <c r="H7694" s="8">
        <f>IFERROR(__xludf.DUMMYFUNCTION("""COMPUTED_VALUE"""),500000.0)</f>
        <v>500000</v>
      </c>
      <c r="I7694" s="24">
        <f>IFERROR(__xludf.DUMMYFUNCTION("""COMPUTED_VALUE"""),0.0)</f>
        <v>0</v>
      </c>
    </row>
    <row r="7695">
      <c r="A7695" s="5" t="str">
        <f>IFERROR(__xludf.DUMMYFUNCTION("""COMPUTED_VALUE"""),"C0007")</f>
        <v>C0007</v>
      </c>
      <c r="B7695" s="64">
        <f>IFERROR(__xludf.DUMMYFUNCTION("""COMPUTED_VALUE"""),44649.0)</f>
        <v>44649</v>
      </c>
      <c r="C7695" s="5"/>
      <c r="D7695" s="5"/>
      <c r="E7695" s="5"/>
      <c r="F7695" s="25">
        <f>IFERROR(__xludf.DUMMYFUNCTION("""COMPUTED_VALUE"""),500000.0)</f>
        <v>500000</v>
      </c>
      <c r="G7695" s="25">
        <f>IFERROR(__xludf.DUMMYFUNCTION("""COMPUTED_VALUE"""),0.0)</f>
        <v>0</v>
      </c>
      <c r="H7695" s="8">
        <f>IFERROR(__xludf.DUMMYFUNCTION("""COMPUTED_VALUE"""),500000.0)</f>
        <v>500000</v>
      </c>
      <c r="I7695" s="24">
        <f>IFERROR(__xludf.DUMMYFUNCTION("""COMPUTED_VALUE"""),0.0)</f>
        <v>0</v>
      </c>
    </row>
    <row r="7696">
      <c r="A7696" s="5" t="str">
        <f>IFERROR(__xludf.DUMMYFUNCTION("""COMPUTED_VALUE"""),"C0007")</f>
        <v>C0007</v>
      </c>
      <c r="B7696" s="64">
        <f>IFERROR(__xludf.DUMMYFUNCTION("""COMPUTED_VALUE"""),44650.0)</f>
        <v>44650</v>
      </c>
      <c r="C7696" s="5"/>
      <c r="D7696" s="5"/>
      <c r="E7696" s="5"/>
      <c r="F7696" s="25">
        <f>IFERROR(__xludf.DUMMYFUNCTION("""COMPUTED_VALUE"""),500000.0)</f>
        <v>500000</v>
      </c>
      <c r="G7696" s="25">
        <f>IFERROR(__xludf.DUMMYFUNCTION("""COMPUTED_VALUE"""),0.0)</f>
        <v>0</v>
      </c>
      <c r="H7696" s="8">
        <f>IFERROR(__xludf.DUMMYFUNCTION("""COMPUTED_VALUE"""),500000.0)</f>
        <v>500000</v>
      </c>
      <c r="I7696" s="24">
        <f>IFERROR(__xludf.DUMMYFUNCTION("""COMPUTED_VALUE"""),0.0)</f>
        <v>0</v>
      </c>
    </row>
    <row r="7697">
      <c r="A7697" s="5" t="str">
        <f>IFERROR(__xludf.DUMMYFUNCTION("""COMPUTED_VALUE"""),"C0007")</f>
        <v>C0007</v>
      </c>
      <c r="B7697" s="64">
        <f>IFERROR(__xludf.DUMMYFUNCTION("""COMPUTED_VALUE"""),44651.0)</f>
        <v>44651</v>
      </c>
      <c r="C7697" s="5"/>
      <c r="D7697" s="5"/>
      <c r="E7697" s="5"/>
      <c r="F7697" s="25">
        <f>IFERROR(__xludf.DUMMYFUNCTION("""COMPUTED_VALUE"""),500000.0)</f>
        <v>500000</v>
      </c>
      <c r="G7697" s="25">
        <f>IFERROR(__xludf.DUMMYFUNCTION("""COMPUTED_VALUE"""),0.0)</f>
        <v>0</v>
      </c>
      <c r="H7697" s="8">
        <f>IFERROR(__xludf.DUMMYFUNCTION("""COMPUTED_VALUE"""),500000.0)</f>
        <v>500000</v>
      </c>
      <c r="I7697" s="24">
        <f>IFERROR(__xludf.DUMMYFUNCTION("""COMPUTED_VALUE"""),0.0)</f>
        <v>0</v>
      </c>
    </row>
    <row r="7698">
      <c r="A7698" s="5" t="str">
        <f>IFERROR(__xludf.DUMMYFUNCTION("""COMPUTED_VALUE"""),"C0007")</f>
        <v>C0007</v>
      </c>
      <c r="B7698" s="64">
        <f>IFERROR(__xludf.DUMMYFUNCTION("""COMPUTED_VALUE"""),44652.0)</f>
        <v>44652</v>
      </c>
      <c r="C7698" s="5"/>
      <c r="D7698" s="5"/>
      <c r="E7698" s="5"/>
      <c r="F7698" s="25">
        <f>IFERROR(__xludf.DUMMYFUNCTION("""COMPUTED_VALUE"""),500000.0)</f>
        <v>500000</v>
      </c>
      <c r="G7698" s="25">
        <f>IFERROR(__xludf.DUMMYFUNCTION("""COMPUTED_VALUE"""),0.0)</f>
        <v>0</v>
      </c>
      <c r="H7698" s="8">
        <f>IFERROR(__xludf.DUMMYFUNCTION("""COMPUTED_VALUE"""),500000.0)</f>
        <v>500000</v>
      </c>
      <c r="I7698" s="24">
        <f>IFERROR(__xludf.DUMMYFUNCTION("""COMPUTED_VALUE"""),0.0)</f>
        <v>0</v>
      </c>
    </row>
    <row r="7699">
      <c r="A7699" s="5" t="str">
        <f>IFERROR(__xludf.DUMMYFUNCTION("""COMPUTED_VALUE"""),"C0007")</f>
        <v>C0007</v>
      </c>
      <c r="B7699" s="64">
        <f>IFERROR(__xludf.DUMMYFUNCTION("""COMPUTED_VALUE"""),44653.0)</f>
        <v>44653</v>
      </c>
      <c r="C7699" s="5"/>
      <c r="D7699" s="5"/>
      <c r="E7699" s="5"/>
      <c r="F7699" s="25">
        <f>IFERROR(__xludf.DUMMYFUNCTION("""COMPUTED_VALUE"""),500000.0)</f>
        <v>500000</v>
      </c>
      <c r="G7699" s="25">
        <f>IFERROR(__xludf.DUMMYFUNCTION("""COMPUTED_VALUE"""),0.0)</f>
        <v>0</v>
      </c>
      <c r="H7699" s="8">
        <f>IFERROR(__xludf.DUMMYFUNCTION("""COMPUTED_VALUE"""),500000.0)</f>
        <v>500000</v>
      </c>
      <c r="I7699" s="24">
        <f>IFERROR(__xludf.DUMMYFUNCTION("""COMPUTED_VALUE"""),0.0)</f>
        <v>0</v>
      </c>
    </row>
    <row r="7700">
      <c r="A7700" s="5" t="str">
        <f>IFERROR(__xludf.DUMMYFUNCTION("""COMPUTED_VALUE"""),"C0007")</f>
        <v>C0007</v>
      </c>
      <c r="B7700" s="64">
        <f>IFERROR(__xludf.DUMMYFUNCTION("""COMPUTED_VALUE"""),44654.0)</f>
        <v>44654</v>
      </c>
      <c r="C7700" s="5"/>
      <c r="D7700" s="5"/>
      <c r="E7700" s="5"/>
      <c r="F7700" s="25">
        <f>IFERROR(__xludf.DUMMYFUNCTION("""COMPUTED_VALUE"""),500000.0)</f>
        <v>500000</v>
      </c>
      <c r="G7700" s="25">
        <f>IFERROR(__xludf.DUMMYFUNCTION("""COMPUTED_VALUE"""),0.0)</f>
        <v>0</v>
      </c>
      <c r="H7700" s="8">
        <f>IFERROR(__xludf.DUMMYFUNCTION("""COMPUTED_VALUE"""),500000.0)</f>
        <v>500000</v>
      </c>
      <c r="I7700" s="24">
        <f>IFERROR(__xludf.DUMMYFUNCTION("""COMPUTED_VALUE"""),0.0)</f>
        <v>0</v>
      </c>
    </row>
    <row r="7701">
      <c r="A7701" s="5" t="str">
        <f>IFERROR(__xludf.DUMMYFUNCTION("""COMPUTED_VALUE"""),"C0007")</f>
        <v>C0007</v>
      </c>
      <c r="B7701" s="64">
        <f>IFERROR(__xludf.DUMMYFUNCTION("""COMPUTED_VALUE"""),44655.0)</f>
        <v>44655</v>
      </c>
      <c r="C7701" s="5"/>
      <c r="D7701" s="5"/>
      <c r="E7701" s="5"/>
      <c r="F7701" s="25">
        <f>IFERROR(__xludf.DUMMYFUNCTION("""COMPUTED_VALUE"""),500000.0)</f>
        <v>500000</v>
      </c>
      <c r="G7701" s="25">
        <f>IFERROR(__xludf.DUMMYFUNCTION("""COMPUTED_VALUE"""),0.0)</f>
        <v>0</v>
      </c>
      <c r="H7701" s="8">
        <f>IFERROR(__xludf.DUMMYFUNCTION("""COMPUTED_VALUE"""),500000.0)</f>
        <v>500000</v>
      </c>
      <c r="I7701" s="24">
        <f>IFERROR(__xludf.DUMMYFUNCTION("""COMPUTED_VALUE"""),0.0)</f>
        <v>0</v>
      </c>
    </row>
    <row r="7702">
      <c r="A7702" s="5" t="str">
        <f>IFERROR(__xludf.DUMMYFUNCTION("""COMPUTED_VALUE"""),"C0007")</f>
        <v>C0007</v>
      </c>
      <c r="B7702" s="64">
        <f>IFERROR(__xludf.DUMMYFUNCTION("""COMPUTED_VALUE"""),44656.0)</f>
        <v>44656</v>
      </c>
      <c r="C7702" s="5"/>
      <c r="D7702" s="5"/>
      <c r="E7702" s="5"/>
      <c r="F7702" s="25">
        <f>IFERROR(__xludf.DUMMYFUNCTION("""COMPUTED_VALUE"""),500000.0)</f>
        <v>500000</v>
      </c>
      <c r="G7702" s="25">
        <f>IFERROR(__xludf.DUMMYFUNCTION("""COMPUTED_VALUE"""),0.0)</f>
        <v>0</v>
      </c>
      <c r="H7702" s="8">
        <f>IFERROR(__xludf.DUMMYFUNCTION("""COMPUTED_VALUE"""),500000.0)</f>
        <v>500000</v>
      </c>
      <c r="I7702" s="24">
        <f>IFERROR(__xludf.DUMMYFUNCTION("""COMPUTED_VALUE"""),0.0)</f>
        <v>0</v>
      </c>
    </row>
    <row r="7703">
      <c r="A7703" s="5" t="str">
        <f>IFERROR(__xludf.DUMMYFUNCTION("""COMPUTED_VALUE"""),"C0007")</f>
        <v>C0007</v>
      </c>
      <c r="B7703" s="64">
        <f>IFERROR(__xludf.DUMMYFUNCTION("""COMPUTED_VALUE"""),44657.0)</f>
        <v>44657</v>
      </c>
      <c r="C7703" s="5"/>
      <c r="D7703" s="5"/>
      <c r="E7703" s="5"/>
      <c r="F7703" s="25">
        <f>IFERROR(__xludf.DUMMYFUNCTION("""COMPUTED_VALUE"""),500000.0)</f>
        <v>500000</v>
      </c>
      <c r="G7703" s="25">
        <f>IFERROR(__xludf.DUMMYFUNCTION("""COMPUTED_VALUE"""),0.0)</f>
        <v>0</v>
      </c>
      <c r="H7703" s="8">
        <f>IFERROR(__xludf.DUMMYFUNCTION("""COMPUTED_VALUE"""),500000.0)</f>
        <v>500000</v>
      </c>
      <c r="I7703" s="24">
        <f>IFERROR(__xludf.DUMMYFUNCTION("""COMPUTED_VALUE"""),0.0)</f>
        <v>0</v>
      </c>
    </row>
    <row r="7704">
      <c r="A7704" s="5" t="str">
        <f>IFERROR(__xludf.DUMMYFUNCTION("""COMPUTED_VALUE"""),"C0007")</f>
        <v>C0007</v>
      </c>
      <c r="B7704" s="64">
        <f>IFERROR(__xludf.DUMMYFUNCTION("""COMPUTED_VALUE"""),44658.0)</f>
        <v>44658</v>
      </c>
      <c r="C7704" s="5"/>
      <c r="D7704" s="5"/>
      <c r="E7704" s="5"/>
      <c r="F7704" s="25">
        <f>IFERROR(__xludf.DUMMYFUNCTION("""COMPUTED_VALUE"""),500000.0)</f>
        <v>500000</v>
      </c>
      <c r="G7704" s="25">
        <f>IFERROR(__xludf.DUMMYFUNCTION("""COMPUTED_VALUE"""),0.0)</f>
        <v>0</v>
      </c>
      <c r="H7704" s="8">
        <f>IFERROR(__xludf.DUMMYFUNCTION("""COMPUTED_VALUE"""),500000.0)</f>
        <v>500000</v>
      </c>
      <c r="I7704" s="24">
        <f>IFERROR(__xludf.DUMMYFUNCTION("""COMPUTED_VALUE"""),0.0)</f>
        <v>0</v>
      </c>
    </row>
    <row r="7705">
      <c r="A7705" s="5" t="str">
        <f>IFERROR(__xludf.DUMMYFUNCTION("""COMPUTED_VALUE"""),"C0007")</f>
        <v>C0007</v>
      </c>
      <c r="B7705" s="64">
        <f>IFERROR(__xludf.DUMMYFUNCTION("""COMPUTED_VALUE"""),44659.0)</f>
        <v>44659</v>
      </c>
      <c r="C7705" s="5"/>
      <c r="D7705" s="5"/>
      <c r="E7705" s="5"/>
      <c r="F7705" s="25">
        <f>IFERROR(__xludf.DUMMYFUNCTION("""COMPUTED_VALUE"""),500000.0)</f>
        <v>500000</v>
      </c>
      <c r="G7705" s="25">
        <f>IFERROR(__xludf.DUMMYFUNCTION("""COMPUTED_VALUE"""),0.0)</f>
        <v>0</v>
      </c>
      <c r="H7705" s="8">
        <f>IFERROR(__xludf.DUMMYFUNCTION("""COMPUTED_VALUE"""),500000.0)</f>
        <v>500000</v>
      </c>
      <c r="I7705" s="24">
        <f>IFERROR(__xludf.DUMMYFUNCTION("""COMPUTED_VALUE"""),0.0)</f>
        <v>0</v>
      </c>
    </row>
    <row r="7706">
      <c r="A7706" s="5" t="str">
        <f>IFERROR(__xludf.DUMMYFUNCTION("""COMPUTED_VALUE"""),"C0007")</f>
        <v>C0007</v>
      </c>
      <c r="B7706" s="64">
        <f>IFERROR(__xludf.DUMMYFUNCTION("""COMPUTED_VALUE"""),44660.0)</f>
        <v>44660</v>
      </c>
      <c r="C7706" s="5"/>
      <c r="D7706" s="5"/>
      <c r="E7706" s="5"/>
      <c r="F7706" s="25">
        <f>IFERROR(__xludf.DUMMYFUNCTION("""COMPUTED_VALUE"""),500000.0)</f>
        <v>500000</v>
      </c>
      <c r="G7706" s="25">
        <f>IFERROR(__xludf.DUMMYFUNCTION("""COMPUTED_VALUE"""),0.0)</f>
        <v>0</v>
      </c>
      <c r="H7706" s="8">
        <f>IFERROR(__xludf.DUMMYFUNCTION("""COMPUTED_VALUE"""),500000.0)</f>
        <v>500000</v>
      </c>
      <c r="I7706" s="24">
        <f>IFERROR(__xludf.DUMMYFUNCTION("""COMPUTED_VALUE"""),0.0)</f>
        <v>0</v>
      </c>
    </row>
    <row r="7707">
      <c r="A7707" s="5" t="str">
        <f>IFERROR(__xludf.DUMMYFUNCTION("""COMPUTED_VALUE"""),"C0007")</f>
        <v>C0007</v>
      </c>
      <c r="B7707" s="64">
        <f>IFERROR(__xludf.DUMMYFUNCTION("""COMPUTED_VALUE"""),44661.0)</f>
        <v>44661</v>
      </c>
      <c r="C7707" s="5"/>
      <c r="D7707" s="5"/>
      <c r="E7707" s="5"/>
      <c r="F7707" s="25">
        <f>IFERROR(__xludf.DUMMYFUNCTION("""COMPUTED_VALUE"""),500000.0)</f>
        <v>500000</v>
      </c>
      <c r="G7707" s="25">
        <f>IFERROR(__xludf.DUMMYFUNCTION("""COMPUTED_VALUE"""),0.0)</f>
        <v>0</v>
      </c>
      <c r="H7707" s="8">
        <f>IFERROR(__xludf.DUMMYFUNCTION("""COMPUTED_VALUE"""),500000.0)</f>
        <v>500000</v>
      </c>
      <c r="I7707" s="24">
        <f>IFERROR(__xludf.DUMMYFUNCTION("""COMPUTED_VALUE"""),0.0)</f>
        <v>0</v>
      </c>
    </row>
    <row r="7708">
      <c r="A7708" s="5" t="str">
        <f>IFERROR(__xludf.DUMMYFUNCTION("""COMPUTED_VALUE"""),"C0007")</f>
        <v>C0007</v>
      </c>
      <c r="B7708" s="64">
        <f>IFERROR(__xludf.DUMMYFUNCTION("""COMPUTED_VALUE"""),44662.0)</f>
        <v>44662</v>
      </c>
      <c r="C7708" s="5"/>
      <c r="D7708" s="5"/>
      <c r="E7708" s="5"/>
      <c r="F7708" s="25">
        <f>IFERROR(__xludf.DUMMYFUNCTION("""COMPUTED_VALUE"""),500000.0)</f>
        <v>500000</v>
      </c>
      <c r="G7708" s="25">
        <f>IFERROR(__xludf.DUMMYFUNCTION("""COMPUTED_VALUE"""),0.0)</f>
        <v>0</v>
      </c>
      <c r="H7708" s="8">
        <f>IFERROR(__xludf.DUMMYFUNCTION("""COMPUTED_VALUE"""),500000.0)</f>
        <v>500000</v>
      </c>
      <c r="I7708" s="24">
        <f>IFERROR(__xludf.DUMMYFUNCTION("""COMPUTED_VALUE"""),0.0)</f>
        <v>0</v>
      </c>
    </row>
    <row r="7709">
      <c r="A7709" s="5" t="str">
        <f>IFERROR(__xludf.DUMMYFUNCTION("""COMPUTED_VALUE"""),"C0007")</f>
        <v>C0007</v>
      </c>
      <c r="B7709" s="64">
        <f>IFERROR(__xludf.DUMMYFUNCTION("""COMPUTED_VALUE"""),44663.0)</f>
        <v>44663</v>
      </c>
      <c r="C7709" s="5"/>
      <c r="D7709" s="5"/>
      <c r="E7709" s="5"/>
      <c r="F7709" s="25">
        <f>IFERROR(__xludf.DUMMYFUNCTION("""COMPUTED_VALUE"""),500000.0)</f>
        <v>500000</v>
      </c>
      <c r="G7709" s="25">
        <f>IFERROR(__xludf.DUMMYFUNCTION("""COMPUTED_VALUE"""),0.0)</f>
        <v>0</v>
      </c>
      <c r="H7709" s="8">
        <f>IFERROR(__xludf.DUMMYFUNCTION("""COMPUTED_VALUE"""),500000.0)</f>
        <v>500000</v>
      </c>
      <c r="I7709" s="24">
        <f>IFERROR(__xludf.DUMMYFUNCTION("""COMPUTED_VALUE"""),0.0)</f>
        <v>0</v>
      </c>
    </row>
    <row r="7710">
      <c r="A7710" s="5" t="str">
        <f>IFERROR(__xludf.DUMMYFUNCTION("""COMPUTED_VALUE"""),"MONKEY")</f>
        <v>MONKEY</v>
      </c>
      <c r="B7710" s="64">
        <f>IFERROR(__xludf.DUMMYFUNCTION("""COMPUTED_VALUE"""),44597.0)</f>
        <v>44597</v>
      </c>
      <c r="C7710" s="5"/>
      <c r="D7710" s="5"/>
      <c r="E7710" s="5"/>
      <c r="F7710" s="25">
        <f>IFERROR(__xludf.DUMMYFUNCTION("""COMPUTED_VALUE"""),500000.0)</f>
        <v>500000</v>
      </c>
      <c r="G7710" s="25">
        <f>IFERROR(__xludf.DUMMYFUNCTION("""COMPUTED_VALUE"""),0.0)</f>
        <v>0</v>
      </c>
      <c r="H7710" s="8">
        <f>IFERROR(__xludf.DUMMYFUNCTION("""COMPUTED_VALUE"""),478358.8461425)</f>
        <v>478358.8461</v>
      </c>
      <c r="I7710" s="24">
        <f>IFERROR(__xludf.DUMMYFUNCTION("""COMPUTED_VALUE"""),-0.04328230771499997)</f>
        <v>-0.04328230772</v>
      </c>
    </row>
    <row r="7711">
      <c r="A7711" s="5" t="str">
        <f>IFERROR(__xludf.DUMMYFUNCTION("""COMPUTED_VALUE"""),"MONKEY")</f>
        <v>MONKEY</v>
      </c>
      <c r="B7711" s="64">
        <f>IFERROR(__xludf.DUMMYFUNCTION("""COMPUTED_VALUE"""),44598.0)</f>
        <v>44598</v>
      </c>
      <c r="C7711" s="5"/>
      <c r="D7711" s="5"/>
      <c r="E7711" s="5"/>
      <c r="F7711" s="25">
        <f>IFERROR(__xludf.DUMMYFUNCTION("""COMPUTED_VALUE"""),500000.0)</f>
        <v>500000</v>
      </c>
      <c r="G7711" s="25">
        <f>IFERROR(__xludf.DUMMYFUNCTION("""COMPUTED_VALUE"""),0.0)</f>
        <v>0</v>
      </c>
      <c r="H7711" s="8">
        <f>IFERROR(__xludf.DUMMYFUNCTION("""COMPUTED_VALUE"""),502929.32681)</f>
        <v>502929.3268</v>
      </c>
      <c r="I7711" s="24">
        <f>IFERROR(__xludf.DUMMYFUNCTION("""COMPUTED_VALUE"""),0.005858653620000043)</f>
        <v>0.00585865362</v>
      </c>
    </row>
    <row r="7712">
      <c r="A7712" s="5" t="str">
        <f>IFERROR(__xludf.DUMMYFUNCTION("""COMPUTED_VALUE"""),"MONKEY")</f>
        <v>MONKEY</v>
      </c>
      <c r="B7712" s="64">
        <f>IFERROR(__xludf.DUMMYFUNCTION("""COMPUTED_VALUE"""),44599.0)</f>
        <v>44599</v>
      </c>
      <c r="C7712" s="5"/>
      <c r="D7712" s="5"/>
      <c r="E7712" s="5"/>
      <c r="F7712" s="25">
        <f>IFERROR(__xludf.DUMMYFUNCTION("""COMPUTED_VALUE"""),500000.0)</f>
        <v>500000</v>
      </c>
      <c r="G7712" s="25">
        <f>IFERROR(__xludf.DUMMYFUNCTION("""COMPUTED_VALUE"""),0.0)</f>
        <v>0</v>
      </c>
      <c r="H7712" s="8">
        <f>IFERROR(__xludf.DUMMYFUNCTION("""COMPUTED_VALUE"""),502975.46285)</f>
        <v>502975.4629</v>
      </c>
      <c r="I7712" s="24">
        <f>IFERROR(__xludf.DUMMYFUNCTION("""COMPUTED_VALUE"""),0.005950925700000109)</f>
        <v>0.0059509257</v>
      </c>
    </row>
    <row r="7713">
      <c r="A7713" s="5" t="str">
        <f>IFERROR(__xludf.DUMMYFUNCTION("""COMPUTED_VALUE"""),"MONKEY")</f>
        <v>MONKEY</v>
      </c>
      <c r="B7713" s="64">
        <f>IFERROR(__xludf.DUMMYFUNCTION("""COMPUTED_VALUE"""),44600.0)</f>
        <v>44600</v>
      </c>
      <c r="C7713" s="5"/>
      <c r="D7713" s="5"/>
      <c r="E7713" s="5"/>
      <c r="F7713" s="25">
        <f>IFERROR(__xludf.DUMMYFUNCTION("""COMPUTED_VALUE"""),500000.0)</f>
        <v>500000</v>
      </c>
      <c r="G7713" s="25">
        <f>IFERROR(__xludf.DUMMYFUNCTION("""COMPUTED_VALUE"""),0.0)</f>
        <v>0</v>
      </c>
      <c r="H7713" s="8">
        <f>IFERROR(__xludf.DUMMYFUNCTION("""COMPUTED_VALUE"""),503517.56132)</f>
        <v>503517.5613</v>
      </c>
      <c r="I7713" s="24">
        <f>IFERROR(__xludf.DUMMYFUNCTION("""COMPUTED_VALUE"""),0.007035122640000058)</f>
        <v>0.00703512264</v>
      </c>
    </row>
    <row r="7714">
      <c r="A7714" s="5" t="str">
        <f>IFERROR(__xludf.DUMMYFUNCTION("""COMPUTED_VALUE"""),"MONKEY")</f>
        <v>MONKEY</v>
      </c>
      <c r="B7714" s="64">
        <f>IFERROR(__xludf.DUMMYFUNCTION("""COMPUTED_VALUE"""),44601.0)</f>
        <v>44601</v>
      </c>
      <c r="C7714" s="5"/>
      <c r="D7714" s="5"/>
      <c r="E7714" s="5"/>
      <c r="F7714" s="25">
        <f>IFERROR(__xludf.DUMMYFUNCTION("""COMPUTED_VALUE"""),500000.0)</f>
        <v>500000</v>
      </c>
      <c r="G7714" s="25">
        <f>IFERROR(__xludf.DUMMYFUNCTION("""COMPUTED_VALUE"""),0.0)</f>
        <v>0</v>
      </c>
      <c r="H7714" s="8">
        <f>IFERROR(__xludf.DUMMYFUNCTION("""COMPUTED_VALUE"""),503482.64756)</f>
        <v>503482.6476</v>
      </c>
      <c r="I7714" s="24">
        <f>IFERROR(__xludf.DUMMYFUNCTION("""COMPUTED_VALUE"""),0.006965295120000103)</f>
        <v>0.00696529512</v>
      </c>
    </row>
    <row r="7715">
      <c r="A7715" s="5" t="str">
        <f>IFERROR(__xludf.DUMMYFUNCTION("""COMPUTED_VALUE"""),"MONKEY")</f>
        <v>MONKEY</v>
      </c>
      <c r="B7715" s="64">
        <f>IFERROR(__xludf.DUMMYFUNCTION("""COMPUTED_VALUE"""),44602.0)</f>
        <v>44602</v>
      </c>
      <c r="C7715" s="5"/>
      <c r="D7715" s="5"/>
      <c r="E7715" s="5"/>
      <c r="F7715" s="25">
        <f>IFERROR(__xludf.DUMMYFUNCTION("""COMPUTED_VALUE"""),500000.0)</f>
        <v>500000</v>
      </c>
      <c r="G7715" s="25">
        <f>IFERROR(__xludf.DUMMYFUNCTION("""COMPUTED_VALUE"""),0.0)</f>
        <v>0</v>
      </c>
      <c r="H7715" s="8">
        <f>IFERROR(__xludf.DUMMYFUNCTION("""COMPUTED_VALUE"""),503141.92667)</f>
        <v>503141.9267</v>
      </c>
      <c r="I7715" s="24">
        <f>IFERROR(__xludf.DUMMYFUNCTION("""COMPUTED_VALUE"""),0.006283853340000034)</f>
        <v>0.00628385334</v>
      </c>
    </row>
    <row r="7716">
      <c r="A7716" s="5" t="str">
        <f>IFERROR(__xludf.DUMMYFUNCTION("""COMPUTED_VALUE"""),"MONKEY")</f>
        <v>MONKEY</v>
      </c>
      <c r="B7716" s="64">
        <f>IFERROR(__xludf.DUMMYFUNCTION("""COMPUTED_VALUE"""),44603.0)</f>
        <v>44603</v>
      </c>
      <c r="C7716" s="5"/>
      <c r="D7716" s="5"/>
      <c r="E7716" s="5"/>
      <c r="F7716" s="25">
        <f>IFERROR(__xludf.DUMMYFUNCTION("""COMPUTED_VALUE"""),500000.0)</f>
        <v>500000</v>
      </c>
      <c r="G7716" s="25">
        <f>IFERROR(__xludf.DUMMYFUNCTION("""COMPUTED_VALUE"""),0.0)</f>
        <v>0</v>
      </c>
      <c r="H7716" s="8">
        <f>IFERROR(__xludf.DUMMYFUNCTION("""COMPUTED_VALUE"""),502251.93752)</f>
        <v>502251.9375</v>
      </c>
      <c r="I7716" s="24">
        <f>IFERROR(__xludf.DUMMYFUNCTION("""COMPUTED_VALUE"""),0.004503875039999938)</f>
        <v>0.00450387504</v>
      </c>
    </row>
    <row r="7717">
      <c r="A7717" s="5" t="str">
        <f>IFERROR(__xludf.DUMMYFUNCTION("""COMPUTED_VALUE"""),"MONKEY")</f>
        <v>MONKEY</v>
      </c>
      <c r="B7717" s="64">
        <f>IFERROR(__xludf.DUMMYFUNCTION("""COMPUTED_VALUE"""),44604.0)</f>
        <v>44604</v>
      </c>
      <c r="C7717" s="5"/>
      <c r="D7717" s="5"/>
      <c r="E7717" s="5"/>
      <c r="F7717" s="25">
        <f>IFERROR(__xludf.DUMMYFUNCTION("""COMPUTED_VALUE"""),500000.0)</f>
        <v>500000</v>
      </c>
      <c r="G7717" s="25">
        <f>IFERROR(__xludf.DUMMYFUNCTION("""COMPUTED_VALUE"""),0.0)</f>
        <v>0</v>
      </c>
      <c r="H7717" s="8">
        <f>IFERROR(__xludf.DUMMYFUNCTION("""COMPUTED_VALUE"""),502251.93752)</f>
        <v>502251.9375</v>
      </c>
      <c r="I7717" s="24">
        <f>IFERROR(__xludf.DUMMYFUNCTION("""COMPUTED_VALUE"""),0.004503875039999938)</f>
        <v>0.00450387504</v>
      </c>
    </row>
    <row r="7718">
      <c r="A7718" s="5" t="str">
        <f>IFERROR(__xludf.DUMMYFUNCTION("""COMPUTED_VALUE"""),"MONKEY")</f>
        <v>MONKEY</v>
      </c>
      <c r="B7718" s="64">
        <f>IFERROR(__xludf.DUMMYFUNCTION("""COMPUTED_VALUE"""),44605.0)</f>
        <v>44605</v>
      </c>
      <c r="C7718" s="5"/>
      <c r="D7718" s="5"/>
      <c r="E7718" s="5"/>
      <c r="F7718" s="25">
        <f>IFERROR(__xludf.DUMMYFUNCTION("""COMPUTED_VALUE"""),500000.0)</f>
        <v>500000</v>
      </c>
      <c r="G7718" s="25">
        <f>IFERROR(__xludf.DUMMYFUNCTION("""COMPUTED_VALUE"""),0.0)</f>
        <v>0</v>
      </c>
      <c r="H7718" s="8">
        <f>IFERROR(__xludf.DUMMYFUNCTION("""COMPUTED_VALUE"""),502251.93752)</f>
        <v>502251.9375</v>
      </c>
      <c r="I7718" s="24">
        <f>IFERROR(__xludf.DUMMYFUNCTION("""COMPUTED_VALUE"""),0.004503875039999938)</f>
        <v>0.00450387504</v>
      </c>
    </row>
    <row r="7719">
      <c r="A7719" s="5" t="str">
        <f>IFERROR(__xludf.DUMMYFUNCTION("""COMPUTED_VALUE"""),"MONKEY")</f>
        <v>MONKEY</v>
      </c>
      <c r="B7719" s="64">
        <f>IFERROR(__xludf.DUMMYFUNCTION("""COMPUTED_VALUE"""),44606.0)</f>
        <v>44606</v>
      </c>
      <c r="C7719" s="5"/>
      <c r="D7719" s="5"/>
      <c r="E7719" s="5"/>
      <c r="F7719" s="25">
        <f>IFERROR(__xludf.DUMMYFUNCTION("""COMPUTED_VALUE"""),500000.0)</f>
        <v>500000</v>
      </c>
      <c r="G7719" s="25">
        <f>IFERROR(__xludf.DUMMYFUNCTION("""COMPUTED_VALUE"""),0.0)</f>
        <v>0</v>
      </c>
      <c r="H7719" s="8">
        <f>IFERROR(__xludf.DUMMYFUNCTION("""COMPUTED_VALUE"""),502543.9505975)</f>
        <v>502543.9506</v>
      </c>
      <c r="I7719" s="24">
        <f>IFERROR(__xludf.DUMMYFUNCTION("""COMPUTED_VALUE"""),0.005087901195000022)</f>
        <v>0.005087901195</v>
      </c>
    </row>
    <row r="7720">
      <c r="A7720" s="5" t="str">
        <f>IFERROR(__xludf.DUMMYFUNCTION("""COMPUTED_VALUE"""),"MONKEY")</f>
        <v>MONKEY</v>
      </c>
      <c r="B7720" s="64">
        <f>IFERROR(__xludf.DUMMYFUNCTION("""COMPUTED_VALUE"""),44607.0)</f>
        <v>44607</v>
      </c>
      <c r="C7720" s="5"/>
      <c r="D7720" s="5"/>
      <c r="E7720" s="5"/>
      <c r="F7720" s="25">
        <f>IFERROR(__xludf.DUMMYFUNCTION("""COMPUTED_VALUE"""),500000.0)</f>
        <v>500000</v>
      </c>
      <c r="G7720" s="25">
        <f>IFERROR(__xludf.DUMMYFUNCTION("""COMPUTED_VALUE"""),0.0)</f>
        <v>0</v>
      </c>
      <c r="H7720" s="8">
        <f>IFERROR(__xludf.DUMMYFUNCTION("""COMPUTED_VALUE"""),502753.355225)</f>
        <v>502753.3552</v>
      </c>
      <c r="I7720" s="24">
        <f>IFERROR(__xludf.DUMMYFUNCTION("""COMPUTED_VALUE"""),0.005506710449999952)</f>
        <v>0.00550671045</v>
      </c>
    </row>
    <row r="7721">
      <c r="A7721" s="5" t="str">
        <f>IFERROR(__xludf.DUMMYFUNCTION("""COMPUTED_VALUE"""),"MONKEY")</f>
        <v>MONKEY</v>
      </c>
      <c r="B7721" s="64">
        <f>IFERROR(__xludf.DUMMYFUNCTION("""COMPUTED_VALUE"""),44608.0)</f>
        <v>44608</v>
      </c>
      <c r="C7721" s="5"/>
      <c r="D7721" s="5"/>
      <c r="E7721" s="5"/>
      <c r="F7721" s="25">
        <f>IFERROR(__xludf.DUMMYFUNCTION("""COMPUTED_VALUE"""),500000.0)</f>
        <v>500000</v>
      </c>
      <c r="G7721" s="25">
        <f>IFERROR(__xludf.DUMMYFUNCTION("""COMPUTED_VALUE"""),0.0)</f>
        <v>0</v>
      </c>
      <c r="H7721" s="8">
        <f>IFERROR(__xludf.DUMMYFUNCTION("""COMPUTED_VALUE"""),503001.180575)</f>
        <v>503001.1806</v>
      </c>
      <c r="I7721" s="24">
        <f>IFERROR(__xludf.DUMMYFUNCTION("""COMPUTED_VALUE"""),0.0060023611499999685)</f>
        <v>0.00600236115</v>
      </c>
    </row>
    <row r="7722">
      <c r="A7722" s="5" t="str">
        <f>IFERROR(__xludf.DUMMYFUNCTION("""COMPUTED_VALUE"""),"MONKEY")</f>
        <v>MONKEY</v>
      </c>
      <c r="B7722" s="64">
        <f>IFERROR(__xludf.DUMMYFUNCTION("""COMPUTED_VALUE"""),44609.0)</f>
        <v>44609</v>
      </c>
      <c r="C7722" s="5"/>
      <c r="D7722" s="5"/>
      <c r="E7722" s="5"/>
      <c r="F7722" s="25">
        <f>IFERROR(__xludf.DUMMYFUNCTION("""COMPUTED_VALUE"""),500000.0)</f>
        <v>500000</v>
      </c>
      <c r="G7722" s="25">
        <f>IFERROR(__xludf.DUMMYFUNCTION("""COMPUTED_VALUE"""),0.0)</f>
        <v>0</v>
      </c>
      <c r="H7722" s="8">
        <f>IFERROR(__xludf.DUMMYFUNCTION("""COMPUTED_VALUE"""),502463.758055)</f>
        <v>502463.7581</v>
      </c>
      <c r="I7722" s="24">
        <f>IFERROR(__xludf.DUMMYFUNCTION("""COMPUTED_VALUE"""),0.004927516109999974)</f>
        <v>0.00492751611</v>
      </c>
    </row>
    <row r="7723">
      <c r="A7723" s="5" t="str">
        <f>IFERROR(__xludf.DUMMYFUNCTION("""COMPUTED_VALUE"""),"MONKEY")</f>
        <v>MONKEY</v>
      </c>
      <c r="B7723" s="64">
        <f>IFERROR(__xludf.DUMMYFUNCTION("""COMPUTED_VALUE"""),44610.0)</f>
        <v>44610</v>
      </c>
      <c r="C7723" s="5"/>
      <c r="D7723" s="5"/>
      <c r="E7723" s="5"/>
      <c r="F7723" s="25">
        <f>IFERROR(__xludf.DUMMYFUNCTION("""COMPUTED_VALUE"""),131473.7478175)</f>
        <v>131473.7478</v>
      </c>
      <c r="G7723" s="25">
        <f>IFERROR(__xludf.DUMMYFUNCTION("""COMPUTED_VALUE"""),0.0)</f>
        <v>0</v>
      </c>
      <c r="H7723" s="8">
        <f>IFERROR(__xludf.DUMMYFUNCTION("""COMPUTED_VALUE"""),502144.07894)</f>
        <v>502144.0789</v>
      </c>
      <c r="I7723" s="24">
        <f>IFERROR(__xludf.DUMMYFUNCTION("""COMPUTED_VALUE"""),0.004288157880000032)</f>
        <v>0.00428815788</v>
      </c>
    </row>
    <row r="7724">
      <c r="A7724" s="5" t="str">
        <f>IFERROR(__xludf.DUMMYFUNCTION("""COMPUTED_VALUE"""),"MONKEY")</f>
        <v>MONKEY</v>
      </c>
      <c r="B7724" s="64">
        <f>IFERROR(__xludf.DUMMYFUNCTION("""COMPUTED_VALUE"""),44611.0)</f>
        <v>44611</v>
      </c>
      <c r="C7724" s="5"/>
      <c r="D7724" s="5"/>
      <c r="E7724" s="5"/>
      <c r="F7724" s="25">
        <f>IFERROR(__xludf.DUMMYFUNCTION("""COMPUTED_VALUE"""),131473.7478175)</f>
        <v>131473.7478</v>
      </c>
      <c r="G7724" s="25">
        <f>IFERROR(__xludf.DUMMYFUNCTION("""COMPUTED_VALUE"""),0.0)</f>
        <v>0</v>
      </c>
      <c r="H7724" s="8">
        <f>IFERROR(__xludf.DUMMYFUNCTION("""COMPUTED_VALUE"""),502144.07894)</f>
        <v>502144.0789</v>
      </c>
      <c r="I7724" s="24">
        <f>IFERROR(__xludf.DUMMYFUNCTION("""COMPUTED_VALUE"""),0.004288157880000032)</f>
        <v>0.00428815788</v>
      </c>
    </row>
    <row r="7725">
      <c r="A7725" s="5" t="str">
        <f>IFERROR(__xludf.DUMMYFUNCTION("""COMPUTED_VALUE"""),"MONKEY")</f>
        <v>MONKEY</v>
      </c>
      <c r="B7725" s="64">
        <f>IFERROR(__xludf.DUMMYFUNCTION("""COMPUTED_VALUE"""),44612.0)</f>
        <v>44612</v>
      </c>
      <c r="C7725" s="5"/>
      <c r="D7725" s="5"/>
      <c r="E7725" s="5"/>
      <c r="F7725" s="25">
        <f>IFERROR(__xludf.DUMMYFUNCTION("""COMPUTED_VALUE"""),131473.7478175)</f>
        <v>131473.7478</v>
      </c>
      <c r="G7725" s="25">
        <f>IFERROR(__xludf.DUMMYFUNCTION("""COMPUTED_VALUE"""),0.0)</f>
        <v>0</v>
      </c>
      <c r="H7725" s="8">
        <f>IFERROR(__xludf.DUMMYFUNCTION("""COMPUTED_VALUE"""),502144.07894)</f>
        <v>502144.0789</v>
      </c>
      <c r="I7725" s="24">
        <f>IFERROR(__xludf.DUMMYFUNCTION("""COMPUTED_VALUE"""),0.004288157880000032)</f>
        <v>0.00428815788</v>
      </c>
    </row>
    <row r="7726">
      <c r="A7726" s="5" t="str">
        <f>IFERROR(__xludf.DUMMYFUNCTION("""COMPUTED_VALUE"""),"MONKEY")</f>
        <v>MONKEY</v>
      </c>
      <c r="B7726" s="64">
        <f>IFERROR(__xludf.DUMMYFUNCTION("""COMPUTED_VALUE"""),44613.0)</f>
        <v>44613</v>
      </c>
      <c r="C7726" s="5"/>
      <c r="D7726" s="5"/>
      <c r="E7726" s="5"/>
      <c r="F7726" s="25">
        <f>IFERROR(__xludf.DUMMYFUNCTION("""COMPUTED_VALUE"""),131473.7478175)</f>
        <v>131473.7478</v>
      </c>
      <c r="G7726" s="25">
        <f>IFERROR(__xludf.DUMMYFUNCTION("""COMPUTED_VALUE"""),0.0)</f>
        <v>0</v>
      </c>
      <c r="H7726" s="8">
        <f>IFERROR(__xludf.DUMMYFUNCTION("""COMPUTED_VALUE"""),501459.27894)</f>
        <v>501459.2789</v>
      </c>
      <c r="I7726" s="24">
        <f>IFERROR(__xludf.DUMMYFUNCTION("""COMPUTED_VALUE"""),0.00291855787999995)</f>
        <v>0.00291855788</v>
      </c>
    </row>
    <row r="7727">
      <c r="A7727" s="5" t="str">
        <f>IFERROR(__xludf.DUMMYFUNCTION("""COMPUTED_VALUE"""),"MONKEY")</f>
        <v>MONKEY</v>
      </c>
      <c r="B7727" s="64">
        <f>IFERROR(__xludf.DUMMYFUNCTION("""COMPUTED_VALUE"""),44614.0)</f>
        <v>44614</v>
      </c>
      <c r="C7727" s="5"/>
      <c r="D7727" s="5"/>
      <c r="E7727" s="5"/>
      <c r="F7727" s="25">
        <f>IFERROR(__xludf.DUMMYFUNCTION("""COMPUTED_VALUE"""),131473.7478175)</f>
        <v>131473.7478</v>
      </c>
      <c r="G7727" s="25">
        <f>IFERROR(__xludf.DUMMYFUNCTION("""COMPUTED_VALUE"""),0.0)</f>
        <v>0</v>
      </c>
      <c r="H7727" s="8">
        <f>IFERROR(__xludf.DUMMYFUNCTION("""COMPUTED_VALUE"""),498317.918575)</f>
        <v>498317.9186</v>
      </c>
      <c r="I7727" s="24">
        <f>IFERROR(__xludf.DUMMYFUNCTION("""COMPUTED_VALUE"""),-0.003364162849999963)</f>
        <v>-0.00336416285</v>
      </c>
    </row>
    <row r="7728">
      <c r="A7728" s="5" t="str">
        <f>IFERROR(__xludf.DUMMYFUNCTION("""COMPUTED_VALUE"""),"MONKEY")</f>
        <v>MONKEY</v>
      </c>
      <c r="B7728" s="64">
        <f>IFERROR(__xludf.DUMMYFUNCTION("""COMPUTED_VALUE"""),44615.0)</f>
        <v>44615</v>
      </c>
      <c r="C7728" s="5"/>
      <c r="D7728" s="5"/>
      <c r="E7728" s="5"/>
      <c r="F7728" s="25">
        <f>IFERROR(__xludf.DUMMYFUNCTION("""COMPUTED_VALUE"""),131473.7478175)</f>
        <v>131473.7478</v>
      </c>
      <c r="G7728" s="25">
        <f>IFERROR(__xludf.DUMMYFUNCTION("""COMPUTED_VALUE"""),0.0)</f>
        <v>0</v>
      </c>
      <c r="H7728" s="8">
        <f>IFERROR(__xludf.DUMMYFUNCTION("""COMPUTED_VALUE"""),490537.00546250003)</f>
        <v>490537.0055</v>
      </c>
      <c r="I7728" s="24">
        <f>IFERROR(__xludf.DUMMYFUNCTION("""COMPUTED_VALUE"""),-0.018925989074999983)</f>
        <v>-0.01892598908</v>
      </c>
    </row>
    <row r="7729">
      <c r="A7729" s="5" t="str">
        <f>IFERROR(__xludf.DUMMYFUNCTION("""COMPUTED_VALUE"""),"MONKEY")</f>
        <v>MONKEY</v>
      </c>
      <c r="B7729" s="64">
        <f>IFERROR(__xludf.DUMMYFUNCTION("""COMPUTED_VALUE"""),44616.0)</f>
        <v>44616</v>
      </c>
      <c r="C7729" s="5"/>
      <c r="D7729" s="5"/>
      <c r="E7729" s="5"/>
      <c r="F7729" s="25">
        <f>IFERROR(__xludf.DUMMYFUNCTION("""COMPUTED_VALUE"""),131473.7478175)</f>
        <v>131473.7478</v>
      </c>
      <c r="G7729" s="25">
        <f>IFERROR(__xludf.DUMMYFUNCTION("""COMPUTED_VALUE"""),0.0)</f>
        <v>0</v>
      </c>
      <c r="H7729" s="8">
        <f>IFERROR(__xludf.DUMMYFUNCTION("""COMPUTED_VALUE"""),505380.57077449997)</f>
        <v>505380.5708</v>
      </c>
      <c r="I7729" s="24">
        <f>IFERROR(__xludf.DUMMYFUNCTION("""COMPUTED_VALUE"""),0.010761141548999875)</f>
        <v>0.01076114155</v>
      </c>
    </row>
    <row r="7730">
      <c r="A7730" s="5" t="str">
        <f>IFERROR(__xludf.DUMMYFUNCTION("""COMPUTED_VALUE"""),"MONKEY")</f>
        <v>MONKEY</v>
      </c>
      <c r="B7730" s="64">
        <f>IFERROR(__xludf.DUMMYFUNCTION("""COMPUTED_VALUE"""),44617.0)</f>
        <v>44617</v>
      </c>
      <c r="C7730" s="5"/>
      <c r="D7730" s="5"/>
      <c r="E7730" s="5"/>
      <c r="F7730" s="25">
        <f>IFERROR(__xludf.DUMMYFUNCTION("""COMPUTED_VALUE"""),131473.7478175)</f>
        <v>131473.7478</v>
      </c>
      <c r="G7730" s="25">
        <f>IFERROR(__xludf.DUMMYFUNCTION("""COMPUTED_VALUE"""),0.0)</f>
        <v>0</v>
      </c>
      <c r="H7730" s="8">
        <f>IFERROR(__xludf.DUMMYFUNCTION("""COMPUTED_VALUE"""),514157.329527)</f>
        <v>514157.3295</v>
      </c>
      <c r="I7730" s="24">
        <f>IFERROR(__xludf.DUMMYFUNCTION("""COMPUTED_VALUE"""),0.02831465905399999)</f>
        <v>0.02831465905</v>
      </c>
    </row>
    <row r="7731">
      <c r="A7731" s="5" t="str">
        <f>IFERROR(__xludf.DUMMYFUNCTION("""COMPUTED_VALUE"""),"MONKEY")</f>
        <v>MONKEY</v>
      </c>
      <c r="B7731" s="64">
        <f>IFERROR(__xludf.DUMMYFUNCTION("""COMPUTED_VALUE"""),44618.0)</f>
        <v>44618</v>
      </c>
      <c r="C7731" s="5"/>
      <c r="D7731" s="5"/>
      <c r="E7731" s="5"/>
      <c r="F7731" s="25">
        <f>IFERROR(__xludf.DUMMYFUNCTION("""COMPUTED_VALUE"""),131473.7478175)</f>
        <v>131473.7478</v>
      </c>
      <c r="G7731" s="25">
        <f>IFERROR(__xludf.DUMMYFUNCTION("""COMPUTED_VALUE"""),0.0)</f>
        <v>0</v>
      </c>
      <c r="H7731" s="8">
        <f>IFERROR(__xludf.DUMMYFUNCTION("""COMPUTED_VALUE"""),514157.329527)</f>
        <v>514157.3295</v>
      </c>
      <c r="I7731" s="24">
        <f>IFERROR(__xludf.DUMMYFUNCTION("""COMPUTED_VALUE"""),0.02831465905399999)</f>
        <v>0.02831465905</v>
      </c>
    </row>
    <row r="7732">
      <c r="A7732" s="5" t="str">
        <f>IFERROR(__xludf.DUMMYFUNCTION("""COMPUTED_VALUE"""),"MONKEY")</f>
        <v>MONKEY</v>
      </c>
      <c r="B7732" s="64">
        <f>IFERROR(__xludf.DUMMYFUNCTION("""COMPUTED_VALUE"""),44619.0)</f>
        <v>44619</v>
      </c>
      <c r="C7732" s="5"/>
      <c r="D7732" s="5"/>
      <c r="E7732" s="5"/>
      <c r="F7732" s="25">
        <f>IFERROR(__xludf.DUMMYFUNCTION("""COMPUTED_VALUE"""),131473.7478175)</f>
        <v>131473.7478</v>
      </c>
      <c r="G7732" s="25">
        <f>IFERROR(__xludf.DUMMYFUNCTION("""COMPUTED_VALUE"""),0.0)</f>
        <v>0</v>
      </c>
      <c r="H7732" s="8">
        <f>IFERROR(__xludf.DUMMYFUNCTION("""COMPUTED_VALUE"""),514157.329527)</f>
        <v>514157.3295</v>
      </c>
      <c r="I7732" s="24">
        <f>IFERROR(__xludf.DUMMYFUNCTION("""COMPUTED_VALUE"""),0.02831465905399999)</f>
        <v>0.02831465905</v>
      </c>
    </row>
    <row r="7733">
      <c r="A7733" s="5" t="str">
        <f>IFERROR(__xludf.DUMMYFUNCTION("""COMPUTED_VALUE"""),"MONKEY")</f>
        <v>MONKEY</v>
      </c>
      <c r="B7733" s="64">
        <f>IFERROR(__xludf.DUMMYFUNCTION("""COMPUTED_VALUE"""),44620.0)</f>
        <v>44620</v>
      </c>
      <c r="C7733" s="5"/>
      <c r="D7733" s="5"/>
      <c r="E7733" s="5"/>
      <c r="F7733" s="25">
        <f>IFERROR(__xludf.DUMMYFUNCTION("""COMPUTED_VALUE"""),131473.7478175)</f>
        <v>131473.7478</v>
      </c>
      <c r="G7733" s="25">
        <f>IFERROR(__xludf.DUMMYFUNCTION("""COMPUTED_VALUE"""),0.0)</f>
        <v>0</v>
      </c>
      <c r="H7733" s="8">
        <f>IFERROR(__xludf.DUMMYFUNCTION("""COMPUTED_VALUE"""),519994.9117625)</f>
        <v>519994.9118</v>
      </c>
      <c r="I7733" s="24">
        <f>IFERROR(__xludf.DUMMYFUNCTION("""COMPUTED_VALUE"""),0.03998982352500002)</f>
        <v>0.03998982353</v>
      </c>
    </row>
    <row r="7734">
      <c r="A7734" s="5" t="str">
        <f>IFERROR(__xludf.DUMMYFUNCTION("""COMPUTED_VALUE"""),"MONKEY")</f>
        <v>MONKEY</v>
      </c>
      <c r="B7734" s="64">
        <f>IFERROR(__xludf.DUMMYFUNCTION("""COMPUTED_VALUE"""),44621.0)</f>
        <v>44621</v>
      </c>
      <c r="C7734" s="5"/>
      <c r="D7734" s="5"/>
      <c r="E7734" s="5"/>
      <c r="F7734" s="25">
        <f>IFERROR(__xludf.DUMMYFUNCTION("""COMPUTED_VALUE"""),131473.7478175)</f>
        <v>131473.7478</v>
      </c>
      <c r="G7734" s="25">
        <f>IFERROR(__xludf.DUMMYFUNCTION("""COMPUTED_VALUE"""),0.0)</f>
        <v>0</v>
      </c>
      <c r="H7734" s="8">
        <f>IFERROR(__xludf.DUMMYFUNCTION("""COMPUTED_VALUE"""),510012.7266275)</f>
        <v>510012.7266</v>
      </c>
      <c r="I7734" s="24">
        <f>IFERROR(__xludf.DUMMYFUNCTION("""COMPUTED_VALUE"""),0.020025453254999936)</f>
        <v>0.02002545325</v>
      </c>
    </row>
    <row r="7735">
      <c r="A7735" s="5" t="str">
        <f>IFERROR(__xludf.DUMMYFUNCTION("""COMPUTED_VALUE"""),"MONKEY")</f>
        <v>MONKEY</v>
      </c>
      <c r="B7735" s="64">
        <f>IFERROR(__xludf.DUMMYFUNCTION("""COMPUTED_VALUE"""),44622.0)</f>
        <v>44622</v>
      </c>
      <c r="C7735" s="5"/>
      <c r="D7735" s="5"/>
      <c r="E7735" s="5"/>
      <c r="F7735" s="25">
        <f>IFERROR(__xludf.DUMMYFUNCTION("""COMPUTED_VALUE"""),131473.7478175)</f>
        <v>131473.7478</v>
      </c>
      <c r="G7735" s="25">
        <f>IFERROR(__xludf.DUMMYFUNCTION("""COMPUTED_VALUE"""),0.0)</f>
        <v>0</v>
      </c>
      <c r="H7735" s="8">
        <f>IFERROR(__xludf.DUMMYFUNCTION("""COMPUTED_VALUE"""),512816.53825599997)</f>
        <v>512816.5383</v>
      </c>
      <c r="I7735" s="24">
        <f>IFERROR(__xludf.DUMMYFUNCTION("""COMPUTED_VALUE"""),0.025633076511999864)</f>
        <v>0.02563307651</v>
      </c>
    </row>
    <row r="7736">
      <c r="A7736" s="5" t="str">
        <f>IFERROR(__xludf.DUMMYFUNCTION("""COMPUTED_VALUE"""),"MONKEY")</f>
        <v>MONKEY</v>
      </c>
      <c r="B7736" s="64">
        <f>IFERROR(__xludf.DUMMYFUNCTION("""COMPUTED_VALUE"""),44623.0)</f>
        <v>44623</v>
      </c>
      <c r="C7736" s="5"/>
      <c r="D7736" s="5"/>
      <c r="E7736" s="5"/>
      <c r="F7736" s="25">
        <f>IFERROR(__xludf.DUMMYFUNCTION("""COMPUTED_VALUE"""),131473.7478175)</f>
        <v>131473.7478</v>
      </c>
      <c r="G7736" s="25">
        <f>IFERROR(__xludf.DUMMYFUNCTION("""COMPUTED_VALUE"""),0.0)</f>
        <v>0</v>
      </c>
      <c r="H7736" s="8">
        <f>IFERROR(__xludf.DUMMYFUNCTION("""COMPUTED_VALUE"""),503885.127306)</f>
        <v>503885.1273</v>
      </c>
      <c r="I7736" s="24">
        <f>IFERROR(__xludf.DUMMYFUNCTION("""COMPUTED_VALUE"""),0.007770254611999983)</f>
        <v>0.007770254612</v>
      </c>
    </row>
    <row r="7737">
      <c r="A7737" s="5" t="str">
        <f>IFERROR(__xludf.DUMMYFUNCTION("""COMPUTED_VALUE"""),"MONKEY")</f>
        <v>MONKEY</v>
      </c>
      <c r="B7737" s="64">
        <f>IFERROR(__xludf.DUMMYFUNCTION("""COMPUTED_VALUE"""),44624.0)</f>
        <v>44624</v>
      </c>
      <c r="C7737" s="5"/>
      <c r="D7737" s="5"/>
      <c r="E7737" s="5"/>
      <c r="F7737" s="25">
        <f>IFERROR(__xludf.DUMMYFUNCTION("""COMPUTED_VALUE"""),131473.7478175)</f>
        <v>131473.7478</v>
      </c>
      <c r="G7737" s="25">
        <f>IFERROR(__xludf.DUMMYFUNCTION("""COMPUTED_VALUE"""),0.0)</f>
        <v>0</v>
      </c>
      <c r="H7737" s="8">
        <f>IFERROR(__xludf.DUMMYFUNCTION("""COMPUTED_VALUE"""),498023.77034850005)</f>
        <v>498023.7703</v>
      </c>
      <c r="I7737" s="24">
        <f>IFERROR(__xludf.DUMMYFUNCTION("""COMPUTED_VALUE"""),-0.003952459302999922)</f>
        <v>-0.003952459303</v>
      </c>
    </row>
    <row r="7738">
      <c r="A7738" s="5" t="str">
        <f>IFERROR(__xludf.DUMMYFUNCTION("""COMPUTED_VALUE"""),"MONKEY")</f>
        <v>MONKEY</v>
      </c>
      <c r="B7738" s="64">
        <f>IFERROR(__xludf.DUMMYFUNCTION("""COMPUTED_VALUE"""),44625.0)</f>
        <v>44625</v>
      </c>
      <c r="C7738" s="5"/>
      <c r="D7738" s="5"/>
      <c r="E7738" s="5"/>
      <c r="F7738" s="25">
        <f>IFERROR(__xludf.DUMMYFUNCTION("""COMPUTED_VALUE"""),131473.7478175)</f>
        <v>131473.7478</v>
      </c>
      <c r="G7738" s="25">
        <f>IFERROR(__xludf.DUMMYFUNCTION("""COMPUTED_VALUE"""),0.0)</f>
        <v>0</v>
      </c>
      <c r="H7738" s="8">
        <f>IFERROR(__xludf.DUMMYFUNCTION("""COMPUTED_VALUE"""),498023.77034850005)</f>
        <v>498023.7703</v>
      </c>
      <c r="I7738" s="24">
        <f>IFERROR(__xludf.DUMMYFUNCTION("""COMPUTED_VALUE"""),-0.003952459302999922)</f>
        <v>-0.003952459303</v>
      </c>
    </row>
    <row r="7739">
      <c r="A7739" s="5" t="str">
        <f>IFERROR(__xludf.DUMMYFUNCTION("""COMPUTED_VALUE"""),"MONKEY")</f>
        <v>MONKEY</v>
      </c>
      <c r="B7739" s="64">
        <f>IFERROR(__xludf.DUMMYFUNCTION("""COMPUTED_VALUE"""),44626.0)</f>
        <v>44626</v>
      </c>
      <c r="C7739" s="5"/>
      <c r="D7739" s="5"/>
      <c r="E7739" s="5"/>
      <c r="F7739" s="25">
        <f>IFERROR(__xludf.DUMMYFUNCTION("""COMPUTED_VALUE"""),131473.7478175)</f>
        <v>131473.7478</v>
      </c>
      <c r="G7739" s="25">
        <f>IFERROR(__xludf.DUMMYFUNCTION("""COMPUTED_VALUE"""),0.0)</f>
        <v>0</v>
      </c>
      <c r="H7739" s="8">
        <f>IFERROR(__xludf.DUMMYFUNCTION("""COMPUTED_VALUE"""),498023.77034850005)</f>
        <v>498023.7703</v>
      </c>
      <c r="I7739" s="24">
        <f>IFERROR(__xludf.DUMMYFUNCTION("""COMPUTED_VALUE"""),-0.003952459302999922)</f>
        <v>-0.003952459303</v>
      </c>
    </row>
    <row r="7740">
      <c r="A7740" s="5" t="str">
        <f>IFERROR(__xludf.DUMMYFUNCTION("""COMPUTED_VALUE"""),"MONKEY")</f>
        <v>MONKEY</v>
      </c>
      <c r="B7740" s="64">
        <f>IFERROR(__xludf.DUMMYFUNCTION("""COMPUTED_VALUE"""),44627.0)</f>
        <v>44627</v>
      </c>
      <c r="C7740" s="5"/>
      <c r="D7740" s="5"/>
      <c r="E7740" s="5"/>
      <c r="F7740" s="25">
        <f>IFERROR(__xludf.DUMMYFUNCTION("""COMPUTED_VALUE"""),131473.7478175)</f>
        <v>131473.7478</v>
      </c>
      <c r="G7740" s="25">
        <f>IFERROR(__xludf.DUMMYFUNCTION("""COMPUTED_VALUE"""),0.0)</f>
        <v>0</v>
      </c>
      <c r="H7740" s="8">
        <f>IFERROR(__xludf.DUMMYFUNCTION("""COMPUTED_VALUE"""),488425.8943975001)</f>
        <v>488425.8944</v>
      </c>
      <c r="I7740" s="24">
        <f>IFERROR(__xludf.DUMMYFUNCTION("""COMPUTED_VALUE"""),-0.02314821120499988)</f>
        <v>-0.0231482112</v>
      </c>
    </row>
    <row r="7741">
      <c r="A7741" s="5" t="str">
        <f>IFERROR(__xludf.DUMMYFUNCTION("""COMPUTED_VALUE"""),"MONKEY")</f>
        <v>MONKEY</v>
      </c>
      <c r="B7741" s="64">
        <f>IFERROR(__xludf.DUMMYFUNCTION("""COMPUTED_VALUE"""),44628.0)</f>
        <v>44628</v>
      </c>
      <c r="C7741" s="5"/>
      <c r="D7741" s="5"/>
      <c r="E7741" s="5"/>
      <c r="F7741" s="25">
        <f>IFERROR(__xludf.DUMMYFUNCTION("""COMPUTED_VALUE"""),131473.7478175)</f>
        <v>131473.7478</v>
      </c>
      <c r="G7741" s="25">
        <f>IFERROR(__xludf.DUMMYFUNCTION("""COMPUTED_VALUE"""),0.0)</f>
        <v>0</v>
      </c>
      <c r="H7741" s="8">
        <f>IFERROR(__xludf.DUMMYFUNCTION("""COMPUTED_VALUE"""),486160.313431)</f>
        <v>486160.3134</v>
      </c>
      <c r="I7741" s="24">
        <f>IFERROR(__xludf.DUMMYFUNCTION("""COMPUTED_VALUE"""),-0.027679373138000063)</f>
        <v>-0.02767937314</v>
      </c>
    </row>
    <row r="7742">
      <c r="A7742" s="5" t="str">
        <f>IFERROR(__xludf.DUMMYFUNCTION("""COMPUTED_VALUE"""),"MONKEY")</f>
        <v>MONKEY</v>
      </c>
      <c r="B7742" s="64">
        <f>IFERROR(__xludf.DUMMYFUNCTION("""COMPUTED_VALUE"""),44629.0)</f>
        <v>44629</v>
      </c>
      <c r="C7742" s="5"/>
      <c r="D7742" s="5"/>
      <c r="E7742" s="5"/>
      <c r="F7742" s="25">
        <f>IFERROR(__xludf.DUMMYFUNCTION("""COMPUTED_VALUE"""),131473.7478175)</f>
        <v>131473.7478</v>
      </c>
      <c r="G7742" s="25">
        <f>IFERROR(__xludf.DUMMYFUNCTION("""COMPUTED_VALUE"""),0.0)</f>
        <v>0</v>
      </c>
      <c r="H7742" s="8">
        <f>IFERROR(__xludf.DUMMYFUNCTION("""COMPUTED_VALUE"""),497114.0790495)</f>
        <v>497114.079</v>
      </c>
      <c r="I7742" s="24">
        <f>IFERROR(__xludf.DUMMYFUNCTION("""COMPUTED_VALUE"""),-0.005771841900999997)</f>
        <v>-0.005771841901</v>
      </c>
    </row>
    <row r="7743">
      <c r="A7743" s="5" t="str">
        <f>IFERROR(__xludf.DUMMYFUNCTION("""COMPUTED_VALUE"""),"MONKEY")</f>
        <v>MONKEY</v>
      </c>
      <c r="B7743" s="64">
        <f>IFERROR(__xludf.DUMMYFUNCTION("""COMPUTED_VALUE"""),44630.0)</f>
        <v>44630</v>
      </c>
      <c r="C7743" s="5"/>
      <c r="D7743" s="5"/>
      <c r="E7743" s="5"/>
      <c r="F7743" s="25">
        <f>IFERROR(__xludf.DUMMYFUNCTION("""COMPUTED_VALUE"""),131473.7478175)</f>
        <v>131473.7478</v>
      </c>
      <c r="G7743" s="25">
        <f>IFERROR(__xludf.DUMMYFUNCTION("""COMPUTED_VALUE"""),0.0)</f>
        <v>0</v>
      </c>
      <c r="H7743" s="8">
        <f>IFERROR(__xludf.DUMMYFUNCTION("""COMPUTED_VALUE"""),497471.8790495)</f>
        <v>497471.879</v>
      </c>
      <c r="I7743" s="24">
        <f>IFERROR(__xludf.DUMMYFUNCTION("""COMPUTED_VALUE"""),-0.005056241901000069)</f>
        <v>-0.005056241901</v>
      </c>
    </row>
    <row r="7744">
      <c r="A7744" s="5" t="str">
        <f>IFERROR(__xludf.DUMMYFUNCTION("""COMPUTED_VALUE"""),"MONKEY")</f>
        <v>MONKEY</v>
      </c>
      <c r="B7744" s="64">
        <f>IFERROR(__xludf.DUMMYFUNCTION("""COMPUTED_VALUE"""),44631.0)</f>
        <v>44631</v>
      </c>
      <c r="C7744" s="5"/>
      <c r="D7744" s="5"/>
      <c r="E7744" s="5"/>
      <c r="F7744" s="25">
        <f>IFERROR(__xludf.DUMMYFUNCTION("""COMPUTED_VALUE"""),131473.7478175)</f>
        <v>131473.7478</v>
      </c>
      <c r="G7744" s="25">
        <f>IFERROR(__xludf.DUMMYFUNCTION("""COMPUTED_VALUE"""),0.0)</f>
        <v>0</v>
      </c>
      <c r="H7744" s="8">
        <f>IFERROR(__xludf.DUMMYFUNCTION("""COMPUTED_VALUE"""),488214.800683)</f>
        <v>488214.8007</v>
      </c>
      <c r="I7744" s="24">
        <f>IFERROR(__xludf.DUMMYFUNCTION("""COMPUTED_VALUE"""),-0.02357039863400001)</f>
        <v>-0.02357039863</v>
      </c>
    </row>
    <row r="7745">
      <c r="A7745" s="5" t="str">
        <f>IFERROR(__xludf.DUMMYFUNCTION("""COMPUTED_VALUE"""),"MONKEY")</f>
        <v>MONKEY</v>
      </c>
      <c r="B7745" s="64">
        <f>IFERROR(__xludf.DUMMYFUNCTION("""COMPUTED_VALUE"""),44632.0)</f>
        <v>44632</v>
      </c>
      <c r="C7745" s="5"/>
      <c r="D7745" s="5"/>
      <c r="E7745" s="5"/>
      <c r="F7745" s="25">
        <f>IFERROR(__xludf.DUMMYFUNCTION("""COMPUTED_VALUE"""),131473.7478175)</f>
        <v>131473.7478</v>
      </c>
      <c r="G7745" s="25">
        <f>IFERROR(__xludf.DUMMYFUNCTION("""COMPUTED_VALUE"""),0.0)</f>
        <v>0</v>
      </c>
      <c r="H7745" s="8">
        <f>IFERROR(__xludf.DUMMYFUNCTION("""COMPUTED_VALUE"""),488214.800683)</f>
        <v>488214.8007</v>
      </c>
      <c r="I7745" s="24">
        <f>IFERROR(__xludf.DUMMYFUNCTION("""COMPUTED_VALUE"""),-0.02357039863400001)</f>
        <v>-0.02357039863</v>
      </c>
    </row>
    <row r="7746">
      <c r="A7746" s="5" t="str">
        <f>IFERROR(__xludf.DUMMYFUNCTION("""COMPUTED_VALUE"""),"MONKEY")</f>
        <v>MONKEY</v>
      </c>
      <c r="B7746" s="64">
        <f>IFERROR(__xludf.DUMMYFUNCTION("""COMPUTED_VALUE"""),44633.0)</f>
        <v>44633</v>
      </c>
      <c r="C7746" s="5"/>
      <c r="D7746" s="5"/>
      <c r="E7746" s="5"/>
      <c r="F7746" s="25">
        <f>IFERROR(__xludf.DUMMYFUNCTION("""COMPUTED_VALUE"""),131473.7478175)</f>
        <v>131473.7478</v>
      </c>
      <c r="G7746" s="25">
        <f>IFERROR(__xludf.DUMMYFUNCTION("""COMPUTED_VALUE"""),0.0)</f>
        <v>0</v>
      </c>
      <c r="H7746" s="8">
        <f>IFERROR(__xludf.DUMMYFUNCTION("""COMPUTED_VALUE"""),488214.800683)</f>
        <v>488214.8007</v>
      </c>
      <c r="I7746" s="24">
        <f>IFERROR(__xludf.DUMMYFUNCTION("""COMPUTED_VALUE"""),-0.02357039863400001)</f>
        <v>-0.02357039863</v>
      </c>
    </row>
    <row r="7747">
      <c r="A7747" s="5" t="str">
        <f>IFERROR(__xludf.DUMMYFUNCTION("""COMPUTED_VALUE"""),"MONKEY")</f>
        <v>MONKEY</v>
      </c>
      <c r="B7747" s="64">
        <f>IFERROR(__xludf.DUMMYFUNCTION("""COMPUTED_VALUE"""),44634.0)</f>
        <v>44634</v>
      </c>
      <c r="C7747" s="5"/>
      <c r="D7747" s="5"/>
      <c r="E7747" s="5"/>
      <c r="F7747" s="25">
        <f>IFERROR(__xludf.DUMMYFUNCTION("""COMPUTED_VALUE"""),131473.7478175)</f>
        <v>131473.7478</v>
      </c>
      <c r="G7747" s="25">
        <f>IFERROR(__xludf.DUMMYFUNCTION("""COMPUTED_VALUE"""),0.0)</f>
        <v>0</v>
      </c>
      <c r="H7747" s="8">
        <f>IFERROR(__xludf.DUMMYFUNCTION("""COMPUTED_VALUE"""),477424.42882450006)</f>
        <v>477424.4288</v>
      </c>
      <c r="I7747" s="24">
        <f>IFERROR(__xludf.DUMMYFUNCTION("""COMPUTED_VALUE"""),-0.04515114235099982)</f>
        <v>-0.04515114235</v>
      </c>
    </row>
    <row r="7748">
      <c r="A7748" s="5" t="str">
        <f>IFERROR(__xludf.DUMMYFUNCTION("""COMPUTED_VALUE"""),"MONKEY")</f>
        <v>MONKEY</v>
      </c>
      <c r="B7748" s="64">
        <f>IFERROR(__xludf.DUMMYFUNCTION("""COMPUTED_VALUE"""),44635.0)</f>
        <v>44635</v>
      </c>
      <c r="C7748" s="5"/>
      <c r="D7748" s="5"/>
      <c r="E7748" s="5"/>
      <c r="F7748" s="25">
        <f>IFERROR(__xludf.DUMMYFUNCTION("""COMPUTED_VALUE"""),131473.7478175)</f>
        <v>131473.7478</v>
      </c>
      <c r="G7748" s="25">
        <f>IFERROR(__xludf.DUMMYFUNCTION("""COMPUTED_VALUE"""),0.0)</f>
        <v>0</v>
      </c>
      <c r="H7748" s="8">
        <f>IFERROR(__xludf.DUMMYFUNCTION("""COMPUTED_VALUE"""),482539.17975000007)</f>
        <v>482539.1798</v>
      </c>
      <c r="I7748" s="24">
        <f>IFERROR(__xludf.DUMMYFUNCTION("""COMPUTED_VALUE"""),-0.034921640499999906)</f>
        <v>-0.0349216405</v>
      </c>
    </row>
    <row r="7749">
      <c r="A7749" s="5" t="str">
        <f>IFERROR(__xludf.DUMMYFUNCTION("""COMPUTED_VALUE"""),"MONKEY")</f>
        <v>MONKEY</v>
      </c>
      <c r="B7749" s="64">
        <f>IFERROR(__xludf.DUMMYFUNCTION("""COMPUTED_VALUE"""),44636.0)</f>
        <v>44636</v>
      </c>
      <c r="C7749" s="5"/>
      <c r="D7749" s="5"/>
      <c r="E7749" s="5"/>
      <c r="F7749" s="25">
        <f>IFERROR(__xludf.DUMMYFUNCTION("""COMPUTED_VALUE"""),131473.7478175)</f>
        <v>131473.7478</v>
      </c>
      <c r="G7749" s="25">
        <f>IFERROR(__xludf.DUMMYFUNCTION("""COMPUTED_VALUE"""),0.0)</f>
        <v>0</v>
      </c>
      <c r="H7749" s="8">
        <f>IFERROR(__xludf.DUMMYFUNCTION("""COMPUTED_VALUE"""),498629.59553050005)</f>
        <v>498629.5955</v>
      </c>
      <c r="I7749" s="24">
        <f>IFERROR(__xludf.DUMMYFUNCTION("""COMPUTED_VALUE"""),-0.0027408089389998613)</f>
        <v>-0.002740808939</v>
      </c>
    </row>
    <row r="7750">
      <c r="A7750" s="5" t="str">
        <f>IFERROR(__xludf.DUMMYFUNCTION("""COMPUTED_VALUE"""),"MONKEY")</f>
        <v>MONKEY</v>
      </c>
      <c r="B7750" s="64">
        <f>IFERROR(__xludf.DUMMYFUNCTION("""COMPUTED_VALUE"""),44637.0)</f>
        <v>44637</v>
      </c>
      <c r="C7750" s="5"/>
      <c r="D7750" s="5"/>
      <c r="E7750" s="5"/>
      <c r="F7750" s="25">
        <f>IFERROR(__xludf.DUMMYFUNCTION("""COMPUTED_VALUE"""),131473.7478175)</f>
        <v>131473.7478</v>
      </c>
      <c r="G7750" s="25">
        <f>IFERROR(__xludf.DUMMYFUNCTION("""COMPUTED_VALUE"""),0.0)</f>
        <v>0</v>
      </c>
      <c r="H7750" s="8">
        <f>IFERROR(__xludf.DUMMYFUNCTION("""COMPUTED_VALUE"""),505575.80744450004)</f>
        <v>505575.8074</v>
      </c>
      <c r="I7750" s="24">
        <f>IFERROR(__xludf.DUMMYFUNCTION("""COMPUTED_VALUE"""),0.011151614889000072)</f>
        <v>0.01115161489</v>
      </c>
    </row>
    <row r="7751">
      <c r="A7751" s="5" t="str">
        <f>IFERROR(__xludf.DUMMYFUNCTION("""COMPUTED_VALUE"""),"MONKEY")</f>
        <v>MONKEY</v>
      </c>
      <c r="B7751" s="64">
        <f>IFERROR(__xludf.DUMMYFUNCTION("""COMPUTED_VALUE"""),44638.0)</f>
        <v>44638</v>
      </c>
      <c r="C7751" s="5"/>
      <c r="D7751" s="5"/>
      <c r="E7751" s="5"/>
      <c r="F7751" s="25">
        <f>IFERROR(__xludf.DUMMYFUNCTION("""COMPUTED_VALUE"""),131473.7478175)</f>
        <v>131473.7478</v>
      </c>
      <c r="G7751" s="25">
        <f>IFERROR(__xludf.DUMMYFUNCTION("""COMPUTED_VALUE"""),0.0)</f>
        <v>0</v>
      </c>
      <c r="H7751" s="8">
        <f>IFERROR(__xludf.DUMMYFUNCTION("""COMPUTED_VALUE"""),512320.8540040001)</f>
        <v>512320.854</v>
      </c>
      <c r="I7751" s="24">
        <f>IFERROR(__xludf.DUMMYFUNCTION("""COMPUTED_VALUE"""),0.02464170800800014)</f>
        <v>0.02464170801</v>
      </c>
    </row>
    <row r="7752">
      <c r="A7752" s="5" t="str">
        <f>IFERROR(__xludf.DUMMYFUNCTION("""COMPUTED_VALUE"""),"MONKEY")</f>
        <v>MONKEY</v>
      </c>
      <c r="B7752" s="64">
        <f>IFERROR(__xludf.DUMMYFUNCTION("""COMPUTED_VALUE"""),44639.0)</f>
        <v>44639</v>
      </c>
      <c r="C7752" s="5"/>
      <c r="D7752" s="5"/>
      <c r="E7752" s="5"/>
      <c r="F7752" s="25">
        <f>IFERROR(__xludf.DUMMYFUNCTION("""COMPUTED_VALUE"""),131473.7478175)</f>
        <v>131473.7478</v>
      </c>
      <c r="G7752" s="25">
        <f>IFERROR(__xludf.DUMMYFUNCTION("""COMPUTED_VALUE"""),0.0)</f>
        <v>0</v>
      </c>
      <c r="H7752" s="8">
        <f>IFERROR(__xludf.DUMMYFUNCTION("""COMPUTED_VALUE"""),512320.8540040001)</f>
        <v>512320.854</v>
      </c>
      <c r="I7752" s="24">
        <f>IFERROR(__xludf.DUMMYFUNCTION("""COMPUTED_VALUE"""),0.02464170800800014)</f>
        <v>0.02464170801</v>
      </c>
    </row>
    <row r="7753">
      <c r="A7753" s="5" t="str">
        <f>IFERROR(__xludf.DUMMYFUNCTION("""COMPUTED_VALUE"""),"MONKEY")</f>
        <v>MONKEY</v>
      </c>
      <c r="B7753" s="64">
        <f>IFERROR(__xludf.DUMMYFUNCTION("""COMPUTED_VALUE"""),44640.0)</f>
        <v>44640</v>
      </c>
      <c r="C7753" s="5"/>
      <c r="D7753" s="5"/>
      <c r="E7753" s="5"/>
      <c r="F7753" s="25">
        <f>IFERROR(__xludf.DUMMYFUNCTION("""COMPUTED_VALUE"""),131473.7478175)</f>
        <v>131473.7478</v>
      </c>
      <c r="G7753" s="25">
        <f>IFERROR(__xludf.DUMMYFUNCTION("""COMPUTED_VALUE"""),0.0)</f>
        <v>0</v>
      </c>
      <c r="H7753" s="8">
        <f>IFERROR(__xludf.DUMMYFUNCTION("""COMPUTED_VALUE"""),512320.8540040001)</f>
        <v>512320.854</v>
      </c>
      <c r="I7753" s="24">
        <f>IFERROR(__xludf.DUMMYFUNCTION("""COMPUTED_VALUE"""),0.02464170800800014)</f>
        <v>0.02464170801</v>
      </c>
    </row>
    <row r="7754">
      <c r="A7754" s="5" t="str">
        <f>IFERROR(__xludf.DUMMYFUNCTION("""COMPUTED_VALUE"""),"MONKEY")</f>
        <v>MONKEY</v>
      </c>
      <c r="B7754" s="64">
        <f>IFERROR(__xludf.DUMMYFUNCTION("""COMPUTED_VALUE"""),44641.0)</f>
        <v>44641</v>
      </c>
      <c r="C7754" s="5"/>
      <c r="D7754" s="5"/>
      <c r="E7754" s="5"/>
      <c r="F7754" s="25">
        <f>IFERROR(__xludf.DUMMYFUNCTION("""COMPUTED_VALUE"""),131473.7478175)</f>
        <v>131473.7478</v>
      </c>
      <c r="G7754" s="25">
        <f>IFERROR(__xludf.DUMMYFUNCTION("""COMPUTED_VALUE"""),0.0)</f>
        <v>0</v>
      </c>
      <c r="H7754" s="8">
        <f>IFERROR(__xludf.DUMMYFUNCTION("""COMPUTED_VALUE"""),509401.853759)</f>
        <v>509401.8538</v>
      </c>
      <c r="I7754" s="24">
        <f>IFERROR(__xludf.DUMMYFUNCTION("""COMPUTED_VALUE"""),0.01880370751800009)</f>
        <v>0.01880370752</v>
      </c>
    </row>
    <row r="7755">
      <c r="A7755" s="5" t="str">
        <f>IFERROR(__xludf.DUMMYFUNCTION("""COMPUTED_VALUE"""),"MONKEY")</f>
        <v>MONKEY</v>
      </c>
      <c r="B7755" s="64">
        <f>IFERROR(__xludf.DUMMYFUNCTION("""COMPUTED_VALUE"""),44642.0)</f>
        <v>44642</v>
      </c>
      <c r="C7755" s="5"/>
      <c r="D7755" s="5"/>
      <c r="E7755" s="5"/>
      <c r="F7755" s="25">
        <f>IFERROR(__xludf.DUMMYFUNCTION("""COMPUTED_VALUE"""),131473.7478175)</f>
        <v>131473.7478</v>
      </c>
      <c r="G7755" s="25">
        <f>IFERROR(__xludf.DUMMYFUNCTION("""COMPUTED_VALUE"""),0.0)</f>
        <v>0</v>
      </c>
      <c r="H7755" s="8">
        <f>IFERROR(__xludf.DUMMYFUNCTION("""COMPUTED_VALUE"""),518178.58526150003)</f>
        <v>518178.5853</v>
      </c>
      <c r="I7755" s="24">
        <f>IFERROR(__xludf.DUMMYFUNCTION("""COMPUTED_VALUE"""),0.03635717052300014)</f>
        <v>0.03635717052</v>
      </c>
    </row>
    <row r="7756">
      <c r="A7756" s="5" t="str">
        <f>IFERROR(__xludf.DUMMYFUNCTION("""COMPUTED_VALUE"""),"MONKEY")</f>
        <v>MONKEY</v>
      </c>
      <c r="B7756" s="64">
        <f>IFERROR(__xludf.DUMMYFUNCTION("""COMPUTED_VALUE"""),44643.0)</f>
        <v>44643</v>
      </c>
      <c r="C7756" s="5"/>
      <c r="D7756" s="5"/>
      <c r="E7756" s="5"/>
      <c r="F7756" s="25">
        <f>IFERROR(__xludf.DUMMYFUNCTION("""COMPUTED_VALUE"""),131473.7478175)</f>
        <v>131473.7478</v>
      </c>
      <c r="G7756" s="25">
        <f>IFERROR(__xludf.DUMMYFUNCTION("""COMPUTED_VALUE"""),0.0)</f>
        <v>0</v>
      </c>
      <c r="H7756" s="8">
        <f>IFERROR(__xludf.DUMMYFUNCTION("""COMPUTED_VALUE"""),513811.64625650004)</f>
        <v>513811.6463</v>
      </c>
      <c r="I7756" s="24">
        <f>IFERROR(__xludf.DUMMYFUNCTION("""COMPUTED_VALUE"""),0.027623292512999997)</f>
        <v>0.02762329251</v>
      </c>
    </row>
    <row r="7757">
      <c r="A7757" s="5" t="str">
        <f>IFERROR(__xludf.DUMMYFUNCTION("""COMPUTED_VALUE"""),"MONKEY")</f>
        <v>MONKEY</v>
      </c>
      <c r="B7757" s="64">
        <f>IFERROR(__xludf.DUMMYFUNCTION("""COMPUTED_VALUE"""),44644.0)</f>
        <v>44644</v>
      </c>
      <c r="C7757" s="5"/>
      <c r="D7757" s="5"/>
      <c r="E7757" s="5"/>
      <c r="F7757" s="25">
        <f>IFERROR(__xludf.DUMMYFUNCTION("""COMPUTED_VALUE"""),131473.7478175)</f>
        <v>131473.7478</v>
      </c>
      <c r="G7757" s="25">
        <f>IFERROR(__xludf.DUMMYFUNCTION("""COMPUTED_VALUE"""),0.0)</f>
        <v>0</v>
      </c>
      <c r="H7757" s="8">
        <f>IFERROR(__xludf.DUMMYFUNCTION("""COMPUTED_VALUE"""),519474.60781600006)</f>
        <v>519474.6078</v>
      </c>
      <c r="I7757" s="24">
        <f>IFERROR(__xludf.DUMMYFUNCTION("""COMPUTED_VALUE"""),0.038949215632000156)</f>
        <v>0.03894921563</v>
      </c>
    </row>
    <row r="7758">
      <c r="A7758" s="5" t="str">
        <f>IFERROR(__xludf.DUMMYFUNCTION("""COMPUTED_VALUE"""),"MONKEY")</f>
        <v>MONKEY</v>
      </c>
      <c r="B7758" s="64">
        <f>IFERROR(__xludf.DUMMYFUNCTION("""COMPUTED_VALUE"""),44645.0)</f>
        <v>44645</v>
      </c>
      <c r="C7758" s="5"/>
      <c r="D7758" s="5"/>
      <c r="E7758" s="5"/>
      <c r="F7758" s="25">
        <f>IFERROR(__xludf.DUMMYFUNCTION("""COMPUTED_VALUE"""),131473.7478175)</f>
        <v>131473.7478</v>
      </c>
      <c r="G7758" s="25">
        <f>IFERROR(__xludf.DUMMYFUNCTION("""COMPUTED_VALUE"""),0.0)</f>
        <v>0</v>
      </c>
      <c r="H7758" s="8">
        <f>IFERROR(__xludf.DUMMYFUNCTION("""COMPUTED_VALUE"""),513876.83728900005)</f>
        <v>513876.8373</v>
      </c>
      <c r="I7758" s="24">
        <f>IFERROR(__xludf.DUMMYFUNCTION("""COMPUTED_VALUE"""),0.027753674578000043)</f>
        <v>0.02775367458</v>
      </c>
    </row>
    <row r="7759">
      <c r="A7759" s="5" t="str">
        <f>IFERROR(__xludf.DUMMYFUNCTION("""COMPUTED_VALUE"""),"MONKEY")</f>
        <v>MONKEY</v>
      </c>
      <c r="B7759" s="64">
        <f>IFERROR(__xludf.DUMMYFUNCTION("""COMPUTED_VALUE"""),44646.0)</f>
        <v>44646</v>
      </c>
      <c r="C7759" s="5"/>
      <c r="D7759" s="5"/>
      <c r="E7759" s="5"/>
      <c r="F7759" s="25">
        <f>IFERROR(__xludf.DUMMYFUNCTION("""COMPUTED_VALUE"""),131473.7478175)</f>
        <v>131473.7478</v>
      </c>
      <c r="G7759" s="25">
        <f>IFERROR(__xludf.DUMMYFUNCTION("""COMPUTED_VALUE"""),0.0)</f>
        <v>0</v>
      </c>
      <c r="H7759" s="8">
        <f>IFERROR(__xludf.DUMMYFUNCTION("""COMPUTED_VALUE"""),513876.83728900005)</f>
        <v>513876.8373</v>
      </c>
      <c r="I7759" s="24">
        <f>IFERROR(__xludf.DUMMYFUNCTION("""COMPUTED_VALUE"""),0.027753674578000043)</f>
        <v>0.02775367458</v>
      </c>
    </row>
    <row r="7760">
      <c r="A7760" s="5" t="str">
        <f>IFERROR(__xludf.DUMMYFUNCTION("""COMPUTED_VALUE"""),"MONKEY")</f>
        <v>MONKEY</v>
      </c>
      <c r="B7760" s="64">
        <f>IFERROR(__xludf.DUMMYFUNCTION("""COMPUTED_VALUE"""),44647.0)</f>
        <v>44647</v>
      </c>
      <c r="C7760" s="5"/>
      <c r="D7760" s="5"/>
      <c r="E7760" s="5"/>
      <c r="F7760" s="25">
        <f>IFERROR(__xludf.DUMMYFUNCTION("""COMPUTED_VALUE"""),131473.7478175)</f>
        <v>131473.7478</v>
      </c>
      <c r="G7760" s="25">
        <f>IFERROR(__xludf.DUMMYFUNCTION("""COMPUTED_VALUE"""),0.0)</f>
        <v>0</v>
      </c>
      <c r="H7760" s="8">
        <f>IFERROR(__xludf.DUMMYFUNCTION("""COMPUTED_VALUE"""),513876.83728900005)</f>
        <v>513876.8373</v>
      </c>
      <c r="I7760" s="24">
        <f>IFERROR(__xludf.DUMMYFUNCTION("""COMPUTED_VALUE"""),0.027753674578000043)</f>
        <v>0.02775367458</v>
      </c>
    </row>
    <row r="7761">
      <c r="A7761" s="5" t="str">
        <f>IFERROR(__xludf.DUMMYFUNCTION("""COMPUTED_VALUE"""),"MONKEY")</f>
        <v>MONKEY</v>
      </c>
      <c r="B7761" s="64">
        <f>IFERROR(__xludf.DUMMYFUNCTION("""COMPUTED_VALUE"""),44648.0)</f>
        <v>44648</v>
      </c>
      <c r="C7761" s="5"/>
      <c r="D7761" s="5"/>
      <c r="E7761" s="5"/>
      <c r="F7761" s="25">
        <f>IFERROR(__xludf.DUMMYFUNCTION("""COMPUTED_VALUE"""),131473.7478175)</f>
        <v>131473.7478</v>
      </c>
      <c r="G7761" s="25">
        <f>IFERROR(__xludf.DUMMYFUNCTION("""COMPUTED_VALUE"""),0.0)</f>
        <v>0</v>
      </c>
      <c r="H7761" s="8">
        <f>IFERROR(__xludf.DUMMYFUNCTION("""COMPUTED_VALUE"""),521505.8408810001)</f>
        <v>521505.8409</v>
      </c>
      <c r="I7761" s="24">
        <f>IFERROR(__xludf.DUMMYFUNCTION("""COMPUTED_VALUE"""),0.0430116817620001)</f>
        <v>0.04301168176</v>
      </c>
    </row>
    <row r="7762">
      <c r="A7762" s="5" t="str">
        <f>IFERROR(__xludf.DUMMYFUNCTION("""COMPUTED_VALUE"""),"MONKEY")</f>
        <v>MONKEY</v>
      </c>
      <c r="B7762" s="64">
        <f>IFERROR(__xludf.DUMMYFUNCTION("""COMPUTED_VALUE"""),44649.0)</f>
        <v>44649</v>
      </c>
      <c r="C7762" s="5"/>
      <c r="D7762" s="5"/>
      <c r="E7762" s="5"/>
      <c r="F7762" s="25">
        <f>IFERROR(__xludf.DUMMYFUNCTION("""COMPUTED_VALUE"""),131473.7478175)</f>
        <v>131473.7478</v>
      </c>
      <c r="G7762" s="25">
        <f>IFERROR(__xludf.DUMMYFUNCTION("""COMPUTED_VALUE"""),0.0)</f>
        <v>0</v>
      </c>
      <c r="H7762" s="8">
        <f>IFERROR(__xludf.DUMMYFUNCTION("""COMPUTED_VALUE"""),529124.4258765)</f>
        <v>529124.4259</v>
      </c>
      <c r="I7762" s="24">
        <f>IFERROR(__xludf.DUMMYFUNCTION("""COMPUTED_VALUE"""),0.058248851752999986)</f>
        <v>0.05824885175</v>
      </c>
    </row>
    <row r="7763">
      <c r="A7763" s="5" t="str">
        <f>IFERROR(__xludf.DUMMYFUNCTION("""COMPUTED_VALUE"""),"MONKEY")</f>
        <v>MONKEY</v>
      </c>
      <c r="B7763" s="64">
        <f>IFERROR(__xludf.DUMMYFUNCTION("""COMPUTED_VALUE"""),44650.0)</f>
        <v>44650</v>
      </c>
      <c r="C7763" s="5"/>
      <c r="D7763" s="5"/>
      <c r="E7763" s="5"/>
      <c r="F7763" s="25">
        <f>IFERROR(__xludf.DUMMYFUNCTION("""COMPUTED_VALUE"""),131473.7478175)</f>
        <v>131473.7478</v>
      </c>
      <c r="G7763" s="25">
        <f>IFERROR(__xludf.DUMMYFUNCTION("""COMPUTED_VALUE"""),0.0)</f>
        <v>0</v>
      </c>
      <c r="H7763" s="8">
        <f>IFERROR(__xludf.DUMMYFUNCTION("""COMPUTED_VALUE"""),524600.5508675)</f>
        <v>524600.5509</v>
      </c>
      <c r="I7763" s="24">
        <f>IFERROR(__xludf.DUMMYFUNCTION("""COMPUTED_VALUE"""),0.04920110173500003)</f>
        <v>0.04920110174</v>
      </c>
    </row>
    <row r="7764">
      <c r="A7764" s="5" t="str">
        <f>IFERROR(__xludf.DUMMYFUNCTION("""COMPUTED_VALUE"""),"MONKEY")</f>
        <v>MONKEY</v>
      </c>
      <c r="B7764" s="64">
        <f>IFERROR(__xludf.DUMMYFUNCTION("""COMPUTED_VALUE"""),44651.0)</f>
        <v>44651</v>
      </c>
      <c r="C7764" s="5"/>
      <c r="D7764" s="5"/>
      <c r="E7764" s="5"/>
      <c r="F7764" s="25">
        <f>IFERROR(__xludf.DUMMYFUNCTION("""COMPUTED_VALUE"""),131473.7478175)</f>
        <v>131473.7478</v>
      </c>
      <c r="G7764" s="25">
        <f>IFERROR(__xludf.DUMMYFUNCTION("""COMPUTED_VALUE"""),0.0)</f>
        <v>0</v>
      </c>
      <c r="H7764" s="8">
        <f>IFERROR(__xludf.DUMMYFUNCTION("""COMPUTED_VALUE"""),520774.945055)</f>
        <v>520774.9451</v>
      </c>
      <c r="I7764" s="24">
        <f>IFERROR(__xludf.DUMMYFUNCTION("""COMPUTED_VALUE"""),0.04154989010999999)</f>
        <v>0.04154989011</v>
      </c>
    </row>
    <row r="7765">
      <c r="A7765" s="5" t="str">
        <f>IFERROR(__xludf.DUMMYFUNCTION("""COMPUTED_VALUE"""),"MONKEY")</f>
        <v>MONKEY</v>
      </c>
      <c r="B7765" s="64">
        <f>IFERROR(__xludf.DUMMYFUNCTION("""COMPUTED_VALUE"""),44652.0)</f>
        <v>44652</v>
      </c>
      <c r="C7765" s="5"/>
      <c r="D7765" s="5"/>
      <c r="E7765" s="5"/>
      <c r="F7765" s="25">
        <f>IFERROR(__xludf.DUMMYFUNCTION("""COMPUTED_VALUE"""),131473.7478175)</f>
        <v>131473.7478</v>
      </c>
      <c r="G7765" s="25">
        <f>IFERROR(__xludf.DUMMYFUNCTION("""COMPUTED_VALUE"""),0.0)</f>
        <v>0</v>
      </c>
      <c r="H7765" s="8">
        <f>IFERROR(__xludf.DUMMYFUNCTION("""COMPUTED_VALUE"""),522324.2306115)</f>
        <v>522324.2306</v>
      </c>
      <c r="I7765" s="24">
        <f>IFERROR(__xludf.DUMMYFUNCTION("""COMPUTED_VALUE"""),0.044648461223000036)</f>
        <v>0.04464846122</v>
      </c>
    </row>
    <row r="7766">
      <c r="A7766" s="5" t="str">
        <f>IFERROR(__xludf.DUMMYFUNCTION("""COMPUTED_VALUE"""),"MONKEY")</f>
        <v>MONKEY</v>
      </c>
      <c r="B7766" s="64">
        <f>IFERROR(__xludf.DUMMYFUNCTION("""COMPUTED_VALUE"""),44653.0)</f>
        <v>44653</v>
      </c>
      <c r="C7766" s="5"/>
      <c r="D7766" s="5"/>
      <c r="E7766" s="5"/>
      <c r="F7766" s="25">
        <f>IFERROR(__xludf.DUMMYFUNCTION("""COMPUTED_VALUE"""),131473.7478175)</f>
        <v>131473.7478</v>
      </c>
      <c r="G7766" s="25">
        <f>IFERROR(__xludf.DUMMYFUNCTION("""COMPUTED_VALUE"""),0.0)</f>
        <v>0</v>
      </c>
      <c r="H7766" s="8">
        <f>IFERROR(__xludf.DUMMYFUNCTION("""COMPUTED_VALUE"""),522324.2306115)</f>
        <v>522324.2306</v>
      </c>
      <c r="I7766" s="24">
        <f>IFERROR(__xludf.DUMMYFUNCTION("""COMPUTED_VALUE"""),0.044648461223000036)</f>
        <v>0.04464846122</v>
      </c>
    </row>
    <row r="7767">
      <c r="A7767" s="5" t="str">
        <f>IFERROR(__xludf.DUMMYFUNCTION("""COMPUTED_VALUE"""),"MONKEY")</f>
        <v>MONKEY</v>
      </c>
      <c r="B7767" s="64">
        <f>IFERROR(__xludf.DUMMYFUNCTION("""COMPUTED_VALUE"""),44654.0)</f>
        <v>44654</v>
      </c>
      <c r="C7767" s="5"/>
      <c r="D7767" s="5"/>
      <c r="E7767" s="5"/>
      <c r="F7767" s="25">
        <f>IFERROR(__xludf.DUMMYFUNCTION("""COMPUTED_VALUE"""),131473.7478175)</f>
        <v>131473.7478</v>
      </c>
      <c r="G7767" s="25">
        <f>IFERROR(__xludf.DUMMYFUNCTION("""COMPUTED_VALUE"""),0.0)</f>
        <v>0</v>
      </c>
      <c r="H7767" s="8">
        <f>IFERROR(__xludf.DUMMYFUNCTION("""COMPUTED_VALUE"""),522324.2306115)</f>
        <v>522324.2306</v>
      </c>
      <c r="I7767" s="24">
        <f>IFERROR(__xludf.DUMMYFUNCTION("""COMPUTED_VALUE"""),0.044648461223000036)</f>
        <v>0.04464846122</v>
      </c>
    </row>
    <row r="7768">
      <c r="A7768" s="5" t="str">
        <f>IFERROR(__xludf.DUMMYFUNCTION("""COMPUTED_VALUE"""),"MONKEY")</f>
        <v>MONKEY</v>
      </c>
      <c r="B7768" s="64">
        <f>IFERROR(__xludf.DUMMYFUNCTION("""COMPUTED_VALUE"""),44655.0)</f>
        <v>44655</v>
      </c>
      <c r="C7768" s="5"/>
      <c r="D7768" s="5"/>
      <c r="E7768" s="5"/>
      <c r="F7768" s="25">
        <f>IFERROR(__xludf.DUMMYFUNCTION("""COMPUTED_VALUE"""),131473.7478175)</f>
        <v>131473.7478</v>
      </c>
      <c r="G7768" s="25">
        <f>IFERROR(__xludf.DUMMYFUNCTION("""COMPUTED_VALUE"""),0.0)</f>
        <v>0</v>
      </c>
      <c r="H7768" s="8">
        <f>IFERROR(__xludf.DUMMYFUNCTION("""COMPUTED_VALUE"""),530463.381589)</f>
        <v>530463.3816</v>
      </c>
      <c r="I7768" s="24">
        <f>IFERROR(__xludf.DUMMYFUNCTION("""COMPUTED_VALUE"""),0.06092676317799994)</f>
        <v>0.06092676318</v>
      </c>
    </row>
    <row r="7769">
      <c r="A7769" s="5" t="str">
        <f>IFERROR(__xludf.DUMMYFUNCTION("""COMPUTED_VALUE"""),"MONKEY")</f>
        <v>MONKEY</v>
      </c>
      <c r="B7769" s="64">
        <f>IFERROR(__xludf.DUMMYFUNCTION("""COMPUTED_VALUE"""),44656.0)</f>
        <v>44656</v>
      </c>
      <c r="C7769" s="5"/>
      <c r="D7769" s="5"/>
      <c r="E7769" s="5"/>
      <c r="F7769" s="25">
        <f>IFERROR(__xludf.DUMMYFUNCTION("""COMPUTED_VALUE"""),131473.7478175)</f>
        <v>131473.7478</v>
      </c>
      <c r="G7769" s="25">
        <f>IFERROR(__xludf.DUMMYFUNCTION("""COMPUTED_VALUE"""),0.0)</f>
        <v>0</v>
      </c>
      <c r="H7769" s="8">
        <f>IFERROR(__xludf.DUMMYFUNCTION("""COMPUTED_VALUE"""),521416.7392015)</f>
        <v>521416.7392</v>
      </c>
      <c r="I7769" s="24">
        <f>IFERROR(__xludf.DUMMYFUNCTION("""COMPUTED_VALUE"""),0.042833478403)</f>
        <v>0.0428334784</v>
      </c>
    </row>
    <row r="7770">
      <c r="A7770" s="5" t="str">
        <f>IFERROR(__xludf.DUMMYFUNCTION("""COMPUTED_VALUE"""),"MONKEY")</f>
        <v>MONKEY</v>
      </c>
      <c r="B7770" s="64">
        <f>IFERROR(__xludf.DUMMYFUNCTION("""COMPUTED_VALUE"""),44657.0)</f>
        <v>44657</v>
      </c>
      <c r="C7770" s="5"/>
      <c r="D7770" s="5"/>
      <c r="E7770" s="5"/>
      <c r="F7770" s="25">
        <f>IFERROR(__xludf.DUMMYFUNCTION("""COMPUTED_VALUE"""),131473.7478175)</f>
        <v>131473.7478</v>
      </c>
      <c r="G7770" s="25">
        <f>IFERROR(__xludf.DUMMYFUNCTION("""COMPUTED_VALUE"""),0.0)</f>
        <v>0</v>
      </c>
      <c r="H7770" s="8">
        <f>IFERROR(__xludf.DUMMYFUNCTION("""COMPUTED_VALUE"""),516769.9656484999)</f>
        <v>516769.9656</v>
      </c>
      <c r="I7770" s="24">
        <f>IFERROR(__xludf.DUMMYFUNCTION("""COMPUTED_VALUE"""),0.033539931296999725)</f>
        <v>0.0335399313</v>
      </c>
    </row>
    <row r="7771">
      <c r="A7771" s="5" t="str">
        <f>IFERROR(__xludf.DUMMYFUNCTION("""COMPUTED_VALUE"""),"MONKEY")</f>
        <v>MONKEY</v>
      </c>
      <c r="B7771" s="64">
        <f>IFERROR(__xludf.DUMMYFUNCTION("""COMPUTED_VALUE"""),44658.0)</f>
        <v>44658</v>
      </c>
      <c r="C7771" s="5"/>
      <c r="D7771" s="5"/>
      <c r="E7771" s="5"/>
      <c r="F7771" s="25">
        <f>IFERROR(__xludf.DUMMYFUNCTION("""COMPUTED_VALUE"""),131473.7478175)</f>
        <v>131473.7478</v>
      </c>
      <c r="G7771" s="25">
        <f>IFERROR(__xludf.DUMMYFUNCTION("""COMPUTED_VALUE"""),0.0)</f>
        <v>0</v>
      </c>
      <c r="H7771" s="8">
        <f>IFERROR(__xludf.DUMMYFUNCTION("""COMPUTED_VALUE"""),517472.638079)</f>
        <v>517472.6381</v>
      </c>
      <c r="I7771" s="24">
        <f>IFERROR(__xludf.DUMMYFUNCTION("""COMPUTED_VALUE"""),0.03494527615800003)</f>
        <v>0.03494527616</v>
      </c>
    </row>
    <row r="7772">
      <c r="A7772" s="5" t="str">
        <f>IFERROR(__xludf.DUMMYFUNCTION("""COMPUTED_VALUE"""),"MONKEY")</f>
        <v>MONKEY</v>
      </c>
      <c r="B7772" s="64">
        <f>IFERROR(__xludf.DUMMYFUNCTION("""COMPUTED_VALUE"""),44659.0)</f>
        <v>44659</v>
      </c>
      <c r="C7772" s="5"/>
      <c r="D7772" s="5"/>
      <c r="E7772" s="5"/>
      <c r="F7772" s="25">
        <f>IFERROR(__xludf.DUMMYFUNCTION("""COMPUTED_VALUE"""),131473.7478175)</f>
        <v>131473.7478</v>
      </c>
      <c r="G7772" s="25">
        <f>IFERROR(__xludf.DUMMYFUNCTION("""COMPUTED_VALUE"""),0.0)</f>
        <v>0</v>
      </c>
      <c r="H7772" s="8">
        <f>IFERROR(__xludf.DUMMYFUNCTION("""COMPUTED_VALUE"""),509979.08538199996)</f>
        <v>509979.0854</v>
      </c>
      <c r="I7772" s="24">
        <f>IFERROR(__xludf.DUMMYFUNCTION("""COMPUTED_VALUE"""),0.01995817076399997)</f>
        <v>0.01995817076</v>
      </c>
    </row>
    <row r="7773">
      <c r="A7773" s="5" t="str">
        <f>IFERROR(__xludf.DUMMYFUNCTION("""COMPUTED_VALUE"""),"MONKEY")</f>
        <v>MONKEY</v>
      </c>
      <c r="B7773" s="64">
        <f>IFERROR(__xludf.DUMMYFUNCTION("""COMPUTED_VALUE"""),44660.0)</f>
        <v>44660</v>
      </c>
      <c r="C7773" s="5"/>
      <c r="D7773" s="5"/>
      <c r="E7773" s="5"/>
      <c r="F7773" s="25">
        <f>IFERROR(__xludf.DUMMYFUNCTION("""COMPUTED_VALUE"""),131473.7478175)</f>
        <v>131473.7478</v>
      </c>
      <c r="G7773" s="25">
        <f>IFERROR(__xludf.DUMMYFUNCTION("""COMPUTED_VALUE"""),0.0)</f>
        <v>0</v>
      </c>
      <c r="H7773" s="8">
        <f>IFERROR(__xludf.DUMMYFUNCTION("""COMPUTED_VALUE"""),509979.08538199996)</f>
        <v>509979.0854</v>
      </c>
      <c r="I7773" s="24">
        <f>IFERROR(__xludf.DUMMYFUNCTION("""COMPUTED_VALUE"""),0.01995817076399997)</f>
        <v>0.01995817076</v>
      </c>
    </row>
    <row r="7774">
      <c r="A7774" s="5" t="str">
        <f>IFERROR(__xludf.DUMMYFUNCTION("""COMPUTED_VALUE"""),"MONKEY")</f>
        <v>MONKEY</v>
      </c>
      <c r="B7774" s="64">
        <f>IFERROR(__xludf.DUMMYFUNCTION("""COMPUTED_VALUE"""),44661.0)</f>
        <v>44661</v>
      </c>
      <c r="C7774" s="5"/>
      <c r="D7774" s="5"/>
      <c r="E7774" s="5"/>
      <c r="F7774" s="25">
        <f>IFERROR(__xludf.DUMMYFUNCTION("""COMPUTED_VALUE"""),131473.7478175)</f>
        <v>131473.7478</v>
      </c>
      <c r="G7774" s="25">
        <f>IFERROR(__xludf.DUMMYFUNCTION("""COMPUTED_VALUE"""),0.0)</f>
        <v>0</v>
      </c>
      <c r="H7774" s="8">
        <f>IFERROR(__xludf.DUMMYFUNCTION("""COMPUTED_VALUE"""),509979.08538199996)</f>
        <v>509979.0854</v>
      </c>
      <c r="I7774" s="24">
        <f>IFERROR(__xludf.DUMMYFUNCTION("""COMPUTED_VALUE"""),0.01995817076399997)</f>
        <v>0.01995817076</v>
      </c>
    </row>
    <row r="7775">
      <c r="A7775" s="5" t="str">
        <f>IFERROR(__xludf.DUMMYFUNCTION("""COMPUTED_VALUE"""),"MONKEY")</f>
        <v>MONKEY</v>
      </c>
      <c r="B7775" s="64">
        <f>IFERROR(__xludf.DUMMYFUNCTION("""COMPUTED_VALUE"""),44662.0)</f>
        <v>44662</v>
      </c>
      <c r="C7775" s="5"/>
      <c r="D7775" s="5"/>
      <c r="E7775" s="5"/>
      <c r="F7775" s="25">
        <f>IFERROR(__xludf.DUMMYFUNCTION("""COMPUTED_VALUE"""),131473.7478175)</f>
        <v>131473.7478</v>
      </c>
      <c r="G7775" s="25">
        <f>IFERROR(__xludf.DUMMYFUNCTION("""COMPUTED_VALUE"""),0.0)</f>
        <v>0</v>
      </c>
      <c r="H7775" s="8">
        <f>IFERROR(__xludf.DUMMYFUNCTION("""COMPUTED_VALUE"""),505617.07643250003)</f>
        <v>505617.0764</v>
      </c>
      <c r="I7775" s="24">
        <f>IFERROR(__xludf.DUMMYFUNCTION("""COMPUTED_VALUE"""),0.01123415286500018)</f>
        <v>0.01123415287</v>
      </c>
    </row>
    <row r="7776">
      <c r="A7776" s="5" t="str">
        <f>IFERROR(__xludf.DUMMYFUNCTION("""COMPUTED_VALUE"""),"MONKEY")</f>
        <v>MONKEY</v>
      </c>
      <c r="B7776" s="64">
        <f>IFERROR(__xludf.DUMMYFUNCTION("""COMPUTED_VALUE"""),44663.0)</f>
        <v>44663</v>
      </c>
      <c r="C7776" s="5"/>
      <c r="D7776" s="5"/>
      <c r="E7776" s="5"/>
      <c r="F7776" s="25">
        <f>IFERROR(__xludf.DUMMYFUNCTION("""COMPUTED_VALUE"""),131473.7478175)</f>
        <v>131473.7478</v>
      </c>
      <c r="G7776" s="25">
        <f>IFERROR(__xludf.DUMMYFUNCTION("""COMPUTED_VALUE"""),0.0)</f>
        <v>0</v>
      </c>
      <c r="H7776" s="8">
        <f>IFERROR(__xludf.DUMMYFUNCTION("""COMPUTED_VALUE"""),505376.1893549999)</f>
        <v>505376.1894</v>
      </c>
      <c r="I7776" s="24">
        <f>IFERROR(__xludf.DUMMYFUNCTION("""COMPUTED_VALUE"""),0.010752378709999899)</f>
        <v>0.01075237871</v>
      </c>
    </row>
    <row r="7777">
      <c r="A7777" s="5" t="str">
        <f>IFERROR(__xludf.DUMMYFUNCTION("""COMPUTED_VALUE"""),"Steve")</f>
        <v>Steve</v>
      </c>
      <c r="B7777" s="64">
        <f>IFERROR(__xludf.DUMMYFUNCTION("""COMPUTED_VALUE"""),44597.0)</f>
        <v>44597</v>
      </c>
      <c r="C7777" s="5"/>
      <c r="D7777" s="5"/>
      <c r="E7777" s="5"/>
      <c r="F7777" s="25">
        <f>IFERROR(__xludf.DUMMYFUNCTION("""COMPUTED_VALUE"""),500000.0)</f>
        <v>500000</v>
      </c>
      <c r="G7777" s="25">
        <f>IFERROR(__xludf.DUMMYFUNCTION("""COMPUTED_VALUE"""),0.0)</f>
        <v>0</v>
      </c>
      <c r="H7777" s="8">
        <f>IFERROR(__xludf.DUMMYFUNCTION("""COMPUTED_VALUE"""),478358.8461425)</f>
        <v>478358.8461</v>
      </c>
      <c r="I7777" s="24">
        <f>IFERROR(__xludf.DUMMYFUNCTION("""COMPUTED_VALUE"""),-0.04328230771499997)</f>
        <v>-0.04328230772</v>
      </c>
    </row>
    <row r="7778">
      <c r="A7778" s="5" t="str">
        <f>IFERROR(__xludf.DUMMYFUNCTION("""COMPUTED_VALUE"""),"Steve")</f>
        <v>Steve</v>
      </c>
      <c r="B7778" s="64">
        <f>IFERROR(__xludf.DUMMYFUNCTION("""COMPUTED_VALUE"""),44598.0)</f>
        <v>44598</v>
      </c>
      <c r="C7778" s="5"/>
      <c r="D7778" s="5"/>
      <c r="E7778" s="5"/>
      <c r="F7778" s="25">
        <f>IFERROR(__xludf.DUMMYFUNCTION("""COMPUTED_VALUE"""),500000.0)</f>
        <v>500000</v>
      </c>
      <c r="G7778" s="25">
        <f>IFERROR(__xludf.DUMMYFUNCTION("""COMPUTED_VALUE"""),0.0)</f>
        <v>0</v>
      </c>
      <c r="H7778" s="8">
        <f>IFERROR(__xludf.DUMMYFUNCTION("""COMPUTED_VALUE"""),502929.32681)</f>
        <v>502929.3268</v>
      </c>
      <c r="I7778" s="24">
        <f>IFERROR(__xludf.DUMMYFUNCTION("""COMPUTED_VALUE"""),0.005858653620000043)</f>
        <v>0.00585865362</v>
      </c>
    </row>
    <row r="7779">
      <c r="A7779" s="5" t="str">
        <f>IFERROR(__xludf.DUMMYFUNCTION("""COMPUTED_VALUE"""),"Steve")</f>
        <v>Steve</v>
      </c>
      <c r="B7779" s="64">
        <f>IFERROR(__xludf.DUMMYFUNCTION("""COMPUTED_VALUE"""),44599.0)</f>
        <v>44599</v>
      </c>
      <c r="C7779" s="5"/>
      <c r="D7779" s="5"/>
      <c r="E7779" s="5"/>
      <c r="F7779" s="25">
        <f>IFERROR(__xludf.DUMMYFUNCTION("""COMPUTED_VALUE"""),500000.0)</f>
        <v>500000</v>
      </c>
      <c r="G7779" s="25">
        <f>IFERROR(__xludf.DUMMYFUNCTION("""COMPUTED_VALUE"""),0.0)</f>
        <v>0</v>
      </c>
      <c r="H7779" s="8">
        <f>IFERROR(__xludf.DUMMYFUNCTION("""COMPUTED_VALUE"""),502975.46285)</f>
        <v>502975.4629</v>
      </c>
      <c r="I7779" s="24">
        <f>IFERROR(__xludf.DUMMYFUNCTION("""COMPUTED_VALUE"""),0.005950925700000109)</f>
        <v>0.0059509257</v>
      </c>
    </row>
    <row r="7780">
      <c r="A7780" s="5" t="str">
        <f>IFERROR(__xludf.DUMMYFUNCTION("""COMPUTED_VALUE"""),"Steve")</f>
        <v>Steve</v>
      </c>
      <c r="B7780" s="64">
        <f>IFERROR(__xludf.DUMMYFUNCTION("""COMPUTED_VALUE"""),44600.0)</f>
        <v>44600</v>
      </c>
      <c r="C7780" s="5"/>
      <c r="D7780" s="5"/>
      <c r="E7780" s="5"/>
      <c r="F7780" s="25">
        <f>IFERROR(__xludf.DUMMYFUNCTION("""COMPUTED_VALUE"""),500000.0)</f>
        <v>500000</v>
      </c>
      <c r="G7780" s="25">
        <f>IFERROR(__xludf.DUMMYFUNCTION("""COMPUTED_VALUE"""),0.0)</f>
        <v>0</v>
      </c>
      <c r="H7780" s="8">
        <f>IFERROR(__xludf.DUMMYFUNCTION("""COMPUTED_VALUE"""),503517.56132)</f>
        <v>503517.5613</v>
      </c>
      <c r="I7780" s="24">
        <f>IFERROR(__xludf.DUMMYFUNCTION("""COMPUTED_VALUE"""),0.007035122640000058)</f>
        <v>0.00703512264</v>
      </c>
    </row>
    <row r="7781">
      <c r="A7781" s="5" t="str">
        <f>IFERROR(__xludf.DUMMYFUNCTION("""COMPUTED_VALUE"""),"Steve")</f>
        <v>Steve</v>
      </c>
      <c r="B7781" s="64">
        <f>IFERROR(__xludf.DUMMYFUNCTION("""COMPUTED_VALUE"""),44601.0)</f>
        <v>44601</v>
      </c>
      <c r="C7781" s="5"/>
      <c r="D7781" s="5"/>
      <c r="E7781" s="5"/>
      <c r="F7781" s="25">
        <f>IFERROR(__xludf.DUMMYFUNCTION("""COMPUTED_VALUE"""),500000.0)</f>
        <v>500000</v>
      </c>
      <c r="G7781" s="25">
        <f>IFERROR(__xludf.DUMMYFUNCTION("""COMPUTED_VALUE"""),0.0)</f>
        <v>0</v>
      </c>
      <c r="H7781" s="8">
        <f>IFERROR(__xludf.DUMMYFUNCTION("""COMPUTED_VALUE"""),503482.64756)</f>
        <v>503482.6476</v>
      </c>
      <c r="I7781" s="24">
        <f>IFERROR(__xludf.DUMMYFUNCTION("""COMPUTED_VALUE"""),0.006965295120000103)</f>
        <v>0.00696529512</v>
      </c>
    </row>
    <row r="7782">
      <c r="A7782" s="5" t="str">
        <f>IFERROR(__xludf.DUMMYFUNCTION("""COMPUTED_VALUE"""),"Steve")</f>
        <v>Steve</v>
      </c>
      <c r="B7782" s="64">
        <f>IFERROR(__xludf.DUMMYFUNCTION("""COMPUTED_VALUE"""),44602.0)</f>
        <v>44602</v>
      </c>
      <c r="C7782" s="5"/>
      <c r="D7782" s="5"/>
      <c r="E7782" s="5"/>
      <c r="F7782" s="25">
        <f>IFERROR(__xludf.DUMMYFUNCTION("""COMPUTED_VALUE"""),500000.0)</f>
        <v>500000</v>
      </c>
      <c r="G7782" s="25">
        <f>IFERROR(__xludf.DUMMYFUNCTION("""COMPUTED_VALUE"""),0.0)</f>
        <v>0</v>
      </c>
      <c r="H7782" s="8">
        <f>IFERROR(__xludf.DUMMYFUNCTION("""COMPUTED_VALUE"""),503141.92667)</f>
        <v>503141.9267</v>
      </c>
      <c r="I7782" s="24">
        <f>IFERROR(__xludf.DUMMYFUNCTION("""COMPUTED_VALUE"""),0.006283853340000034)</f>
        <v>0.00628385334</v>
      </c>
    </row>
    <row r="7783">
      <c r="A7783" s="5" t="str">
        <f>IFERROR(__xludf.DUMMYFUNCTION("""COMPUTED_VALUE"""),"Steve")</f>
        <v>Steve</v>
      </c>
      <c r="B7783" s="64">
        <f>IFERROR(__xludf.DUMMYFUNCTION("""COMPUTED_VALUE"""),44603.0)</f>
        <v>44603</v>
      </c>
      <c r="C7783" s="5"/>
      <c r="D7783" s="5"/>
      <c r="E7783" s="5"/>
      <c r="F7783" s="25">
        <f>IFERROR(__xludf.DUMMYFUNCTION("""COMPUTED_VALUE"""),500000.0)</f>
        <v>500000</v>
      </c>
      <c r="G7783" s="25">
        <f>IFERROR(__xludf.DUMMYFUNCTION("""COMPUTED_VALUE"""),0.0)</f>
        <v>0</v>
      </c>
      <c r="H7783" s="8">
        <f>IFERROR(__xludf.DUMMYFUNCTION("""COMPUTED_VALUE"""),502251.93752)</f>
        <v>502251.9375</v>
      </c>
      <c r="I7783" s="24">
        <f>IFERROR(__xludf.DUMMYFUNCTION("""COMPUTED_VALUE"""),0.004503875039999938)</f>
        <v>0.00450387504</v>
      </c>
    </row>
    <row r="7784">
      <c r="A7784" s="5" t="str">
        <f>IFERROR(__xludf.DUMMYFUNCTION("""COMPUTED_VALUE"""),"Steve")</f>
        <v>Steve</v>
      </c>
      <c r="B7784" s="64">
        <f>IFERROR(__xludf.DUMMYFUNCTION("""COMPUTED_VALUE"""),44604.0)</f>
        <v>44604</v>
      </c>
      <c r="C7784" s="5"/>
      <c r="D7784" s="5"/>
      <c r="E7784" s="5"/>
      <c r="F7784" s="25">
        <f>IFERROR(__xludf.DUMMYFUNCTION("""COMPUTED_VALUE"""),500000.0)</f>
        <v>500000</v>
      </c>
      <c r="G7784" s="25">
        <f>IFERROR(__xludf.DUMMYFUNCTION("""COMPUTED_VALUE"""),0.0)</f>
        <v>0</v>
      </c>
      <c r="H7784" s="8">
        <f>IFERROR(__xludf.DUMMYFUNCTION("""COMPUTED_VALUE"""),502251.93752)</f>
        <v>502251.9375</v>
      </c>
      <c r="I7784" s="24">
        <f>IFERROR(__xludf.DUMMYFUNCTION("""COMPUTED_VALUE"""),0.004503875039999938)</f>
        <v>0.00450387504</v>
      </c>
    </row>
    <row r="7785">
      <c r="A7785" s="5" t="str">
        <f>IFERROR(__xludf.DUMMYFUNCTION("""COMPUTED_VALUE"""),"Steve")</f>
        <v>Steve</v>
      </c>
      <c r="B7785" s="64">
        <f>IFERROR(__xludf.DUMMYFUNCTION("""COMPUTED_VALUE"""),44605.0)</f>
        <v>44605</v>
      </c>
      <c r="C7785" s="5"/>
      <c r="D7785" s="5"/>
      <c r="E7785" s="5"/>
      <c r="F7785" s="25">
        <f>IFERROR(__xludf.DUMMYFUNCTION("""COMPUTED_VALUE"""),500000.0)</f>
        <v>500000</v>
      </c>
      <c r="G7785" s="25">
        <f>IFERROR(__xludf.DUMMYFUNCTION("""COMPUTED_VALUE"""),0.0)</f>
        <v>0</v>
      </c>
      <c r="H7785" s="8">
        <f>IFERROR(__xludf.DUMMYFUNCTION("""COMPUTED_VALUE"""),502251.93752)</f>
        <v>502251.9375</v>
      </c>
      <c r="I7785" s="24">
        <f>IFERROR(__xludf.DUMMYFUNCTION("""COMPUTED_VALUE"""),0.004503875039999938)</f>
        <v>0.00450387504</v>
      </c>
    </row>
    <row r="7786">
      <c r="A7786" s="5" t="str">
        <f>IFERROR(__xludf.DUMMYFUNCTION("""COMPUTED_VALUE"""),"Steve")</f>
        <v>Steve</v>
      </c>
      <c r="B7786" s="64">
        <f>IFERROR(__xludf.DUMMYFUNCTION("""COMPUTED_VALUE"""),44606.0)</f>
        <v>44606</v>
      </c>
      <c r="C7786" s="5"/>
      <c r="D7786" s="5"/>
      <c r="E7786" s="5"/>
      <c r="F7786" s="25">
        <f>IFERROR(__xludf.DUMMYFUNCTION("""COMPUTED_VALUE"""),500000.0)</f>
        <v>500000</v>
      </c>
      <c r="G7786" s="25">
        <f>IFERROR(__xludf.DUMMYFUNCTION("""COMPUTED_VALUE"""),0.0)</f>
        <v>0</v>
      </c>
      <c r="H7786" s="8">
        <f>IFERROR(__xludf.DUMMYFUNCTION("""COMPUTED_VALUE"""),502543.9505975)</f>
        <v>502543.9506</v>
      </c>
      <c r="I7786" s="24">
        <f>IFERROR(__xludf.DUMMYFUNCTION("""COMPUTED_VALUE"""),0.005087901195000022)</f>
        <v>0.005087901195</v>
      </c>
    </row>
    <row r="7787">
      <c r="A7787" s="5" t="str">
        <f>IFERROR(__xludf.DUMMYFUNCTION("""COMPUTED_VALUE"""),"Steve")</f>
        <v>Steve</v>
      </c>
      <c r="B7787" s="64">
        <f>IFERROR(__xludf.DUMMYFUNCTION("""COMPUTED_VALUE"""),44607.0)</f>
        <v>44607</v>
      </c>
      <c r="C7787" s="5"/>
      <c r="D7787" s="5"/>
      <c r="E7787" s="5"/>
      <c r="F7787" s="25">
        <f>IFERROR(__xludf.DUMMYFUNCTION("""COMPUTED_VALUE"""),500000.0)</f>
        <v>500000</v>
      </c>
      <c r="G7787" s="25">
        <f>IFERROR(__xludf.DUMMYFUNCTION("""COMPUTED_VALUE"""),0.0)</f>
        <v>0</v>
      </c>
      <c r="H7787" s="8">
        <f>IFERROR(__xludf.DUMMYFUNCTION("""COMPUTED_VALUE"""),502753.355225)</f>
        <v>502753.3552</v>
      </c>
      <c r="I7787" s="24">
        <f>IFERROR(__xludf.DUMMYFUNCTION("""COMPUTED_VALUE"""),0.005506710449999952)</f>
        <v>0.00550671045</v>
      </c>
    </row>
    <row r="7788">
      <c r="A7788" s="5" t="str">
        <f>IFERROR(__xludf.DUMMYFUNCTION("""COMPUTED_VALUE"""),"Steve")</f>
        <v>Steve</v>
      </c>
      <c r="B7788" s="64">
        <f>IFERROR(__xludf.DUMMYFUNCTION("""COMPUTED_VALUE"""),44608.0)</f>
        <v>44608</v>
      </c>
      <c r="C7788" s="5"/>
      <c r="D7788" s="5"/>
      <c r="E7788" s="5"/>
      <c r="F7788" s="25">
        <f>IFERROR(__xludf.DUMMYFUNCTION("""COMPUTED_VALUE"""),500000.0)</f>
        <v>500000</v>
      </c>
      <c r="G7788" s="25">
        <f>IFERROR(__xludf.DUMMYFUNCTION("""COMPUTED_VALUE"""),0.0)</f>
        <v>0</v>
      </c>
      <c r="H7788" s="8">
        <f>IFERROR(__xludf.DUMMYFUNCTION("""COMPUTED_VALUE"""),503001.180575)</f>
        <v>503001.1806</v>
      </c>
      <c r="I7788" s="24">
        <f>IFERROR(__xludf.DUMMYFUNCTION("""COMPUTED_VALUE"""),0.0060023611499999685)</f>
        <v>0.00600236115</v>
      </c>
    </row>
    <row r="7789">
      <c r="A7789" s="5" t="str">
        <f>IFERROR(__xludf.DUMMYFUNCTION("""COMPUTED_VALUE"""),"Steve")</f>
        <v>Steve</v>
      </c>
      <c r="B7789" s="64">
        <f>IFERROR(__xludf.DUMMYFUNCTION("""COMPUTED_VALUE"""),44609.0)</f>
        <v>44609</v>
      </c>
      <c r="C7789" s="5"/>
      <c r="D7789" s="5"/>
      <c r="E7789" s="5"/>
      <c r="F7789" s="25">
        <f>IFERROR(__xludf.DUMMYFUNCTION("""COMPUTED_VALUE"""),500000.0)</f>
        <v>500000</v>
      </c>
      <c r="G7789" s="25">
        <f>IFERROR(__xludf.DUMMYFUNCTION("""COMPUTED_VALUE"""),0.0)</f>
        <v>0</v>
      </c>
      <c r="H7789" s="8">
        <f>IFERROR(__xludf.DUMMYFUNCTION("""COMPUTED_VALUE"""),502463.758055)</f>
        <v>502463.7581</v>
      </c>
      <c r="I7789" s="24">
        <f>IFERROR(__xludf.DUMMYFUNCTION("""COMPUTED_VALUE"""),0.004927516109999974)</f>
        <v>0.00492751611</v>
      </c>
    </row>
    <row r="7790">
      <c r="A7790" s="5" t="str">
        <f>IFERROR(__xludf.DUMMYFUNCTION("""COMPUTED_VALUE"""),"Steve")</f>
        <v>Steve</v>
      </c>
      <c r="B7790" s="64">
        <f>IFERROR(__xludf.DUMMYFUNCTION("""COMPUTED_VALUE"""),44610.0)</f>
        <v>44610</v>
      </c>
      <c r="C7790" s="5"/>
      <c r="D7790" s="5"/>
      <c r="E7790" s="5"/>
      <c r="F7790" s="25">
        <f>IFERROR(__xludf.DUMMYFUNCTION("""COMPUTED_VALUE"""),500000.0)</f>
        <v>500000</v>
      </c>
      <c r="G7790" s="25">
        <f>IFERROR(__xludf.DUMMYFUNCTION("""COMPUTED_VALUE"""),0.0)</f>
        <v>0</v>
      </c>
      <c r="H7790" s="8">
        <f>IFERROR(__xludf.DUMMYFUNCTION("""COMPUTED_VALUE"""),502144.07894)</f>
        <v>502144.0789</v>
      </c>
      <c r="I7790" s="24">
        <f>IFERROR(__xludf.DUMMYFUNCTION("""COMPUTED_VALUE"""),0.004288157880000032)</f>
        <v>0.00428815788</v>
      </c>
    </row>
    <row r="7791">
      <c r="A7791" s="5" t="str">
        <f>IFERROR(__xludf.DUMMYFUNCTION("""COMPUTED_VALUE"""),"Steve")</f>
        <v>Steve</v>
      </c>
      <c r="B7791" s="64">
        <f>IFERROR(__xludf.DUMMYFUNCTION("""COMPUTED_VALUE"""),44611.0)</f>
        <v>44611</v>
      </c>
      <c r="C7791" s="5"/>
      <c r="D7791" s="5"/>
      <c r="E7791" s="5"/>
      <c r="F7791" s="25">
        <f>IFERROR(__xludf.DUMMYFUNCTION("""COMPUTED_VALUE"""),500000.0)</f>
        <v>500000</v>
      </c>
      <c r="G7791" s="25">
        <f>IFERROR(__xludf.DUMMYFUNCTION("""COMPUTED_VALUE"""),0.0)</f>
        <v>0</v>
      </c>
      <c r="H7791" s="8">
        <f>IFERROR(__xludf.DUMMYFUNCTION("""COMPUTED_VALUE"""),502144.07894)</f>
        <v>502144.0789</v>
      </c>
      <c r="I7791" s="24">
        <f>IFERROR(__xludf.DUMMYFUNCTION("""COMPUTED_VALUE"""),0.004288157880000032)</f>
        <v>0.00428815788</v>
      </c>
    </row>
    <row r="7792">
      <c r="A7792" s="5" t="str">
        <f>IFERROR(__xludf.DUMMYFUNCTION("""COMPUTED_VALUE"""),"Steve")</f>
        <v>Steve</v>
      </c>
      <c r="B7792" s="64">
        <f>IFERROR(__xludf.DUMMYFUNCTION("""COMPUTED_VALUE"""),44612.0)</f>
        <v>44612</v>
      </c>
      <c r="C7792" s="5"/>
      <c r="D7792" s="5"/>
      <c r="E7792" s="5"/>
      <c r="F7792" s="25">
        <f>IFERROR(__xludf.DUMMYFUNCTION("""COMPUTED_VALUE"""),500000.0)</f>
        <v>500000</v>
      </c>
      <c r="G7792" s="25">
        <f>IFERROR(__xludf.DUMMYFUNCTION("""COMPUTED_VALUE"""),0.0)</f>
        <v>0</v>
      </c>
      <c r="H7792" s="8">
        <f>IFERROR(__xludf.DUMMYFUNCTION("""COMPUTED_VALUE"""),502144.07894)</f>
        <v>502144.0789</v>
      </c>
      <c r="I7792" s="24">
        <f>IFERROR(__xludf.DUMMYFUNCTION("""COMPUTED_VALUE"""),0.004288157880000032)</f>
        <v>0.00428815788</v>
      </c>
    </row>
    <row r="7793">
      <c r="A7793" s="5" t="str">
        <f>IFERROR(__xludf.DUMMYFUNCTION("""COMPUTED_VALUE"""),"Steve")</f>
        <v>Steve</v>
      </c>
      <c r="B7793" s="64">
        <f>IFERROR(__xludf.DUMMYFUNCTION("""COMPUTED_VALUE"""),44613.0)</f>
        <v>44613</v>
      </c>
      <c r="C7793" s="5"/>
      <c r="D7793" s="5"/>
      <c r="E7793" s="5"/>
      <c r="F7793" s="25">
        <f>IFERROR(__xludf.DUMMYFUNCTION("""COMPUTED_VALUE"""),500000.0)</f>
        <v>500000</v>
      </c>
      <c r="G7793" s="25">
        <f>IFERROR(__xludf.DUMMYFUNCTION("""COMPUTED_VALUE"""),0.0)</f>
        <v>0</v>
      </c>
      <c r="H7793" s="8">
        <f>IFERROR(__xludf.DUMMYFUNCTION("""COMPUTED_VALUE"""),502144.07894)</f>
        <v>502144.0789</v>
      </c>
      <c r="I7793" s="24">
        <f>IFERROR(__xludf.DUMMYFUNCTION("""COMPUTED_VALUE"""),0.004288157880000032)</f>
        <v>0.00428815788</v>
      </c>
    </row>
    <row r="7794">
      <c r="A7794" s="5" t="str">
        <f>IFERROR(__xludf.DUMMYFUNCTION("""COMPUTED_VALUE"""),"Steve")</f>
        <v>Steve</v>
      </c>
      <c r="B7794" s="64">
        <f>IFERROR(__xludf.DUMMYFUNCTION("""COMPUTED_VALUE"""),44614.0)</f>
        <v>44614</v>
      </c>
      <c r="C7794" s="5"/>
      <c r="D7794" s="5"/>
      <c r="E7794" s="5"/>
      <c r="F7794" s="25">
        <f>IFERROR(__xludf.DUMMYFUNCTION("""COMPUTED_VALUE"""),500000.0)</f>
        <v>500000</v>
      </c>
      <c r="G7794" s="25">
        <f>IFERROR(__xludf.DUMMYFUNCTION("""COMPUTED_VALUE"""),0.0)</f>
        <v>0</v>
      </c>
      <c r="H7794" s="8">
        <f>IFERROR(__xludf.DUMMYFUNCTION("""COMPUTED_VALUE"""),501769.37948)</f>
        <v>501769.3795</v>
      </c>
      <c r="I7794" s="24">
        <f>IFERROR(__xludf.DUMMYFUNCTION("""COMPUTED_VALUE"""),0.003538758959999999)</f>
        <v>0.00353875896</v>
      </c>
    </row>
    <row r="7795">
      <c r="A7795" s="5" t="str">
        <f>IFERROR(__xludf.DUMMYFUNCTION("""COMPUTED_VALUE"""),"Steve")</f>
        <v>Steve</v>
      </c>
      <c r="B7795" s="64">
        <f>IFERROR(__xludf.DUMMYFUNCTION("""COMPUTED_VALUE"""),44615.0)</f>
        <v>44615</v>
      </c>
      <c r="C7795" s="5"/>
      <c r="D7795" s="5"/>
      <c r="E7795" s="5"/>
      <c r="F7795" s="25">
        <f>IFERROR(__xludf.DUMMYFUNCTION("""COMPUTED_VALUE"""),500000.0)</f>
        <v>500000</v>
      </c>
      <c r="G7795" s="25">
        <f>IFERROR(__xludf.DUMMYFUNCTION("""COMPUTED_VALUE"""),0.0)</f>
        <v>0</v>
      </c>
      <c r="H7795" s="8">
        <f>IFERROR(__xludf.DUMMYFUNCTION("""COMPUTED_VALUE"""),500932.3064975)</f>
        <v>500932.3065</v>
      </c>
      <c r="I7795" s="24">
        <f>IFERROR(__xludf.DUMMYFUNCTION("""COMPUTED_VALUE"""),0.001864612994999959)</f>
        <v>0.001864612995</v>
      </c>
    </row>
    <row r="7796">
      <c r="A7796" s="5" t="str">
        <f>IFERROR(__xludf.DUMMYFUNCTION("""COMPUTED_VALUE"""),"Steve")</f>
        <v>Steve</v>
      </c>
      <c r="B7796" s="64">
        <f>IFERROR(__xludf.DUMMYFUNCTION("""COMPUTED_VALUE"""),44616.0)</f>
        <v>44616</v>
      </c>
      <c r="C7796" s="5"/>
      <c r="D7796" s="5"/>
      <c r="E7796" s="5"/>
      <c r="F7796" s="25">
        <f>IFERROR(__xludf.DUMMYFUNCTION("""COMPUTED_VALUE"""),500000.0)</f>
        <v>500000</v>
      </c>
      <c r="G7796" s="25">
        <f>IFERROR(__xludf.DUMMYFUNCTION("""COMPUTED_VALUE"""),0.0)</f>
        <v>0</v>
      </c>
      <c r="H7796" s="8">
        <f>IFERROR(__xludf.DUMMYFUNCTION("""COMPUTED_VALUE"""),501950.2608125)</f>
        <v>501950.2608</v>
      </c>
      <c r="I7796" s="24">
        <f>IFERROR(__xludf.DUMMYFUNCTION("""COMPUTED_VALUE"""),0.0039005216250000974)</f>
        <v>0.003900521625</v>
      </c>
    </row>
    <row r="7797">
      <c r="A7797" s="5" t="str">
        <f>IFERROR(__xludf.DUMMYFUNCTION("""COMPUTED_VALUE"""),"Steve")</f>
        <v>Steve</v>
      </c>
      <c r="B7797" s="64">
        <f>IFERROR(__xludf.DUMMYFUNCTION("""COMPUTED_VALUE"""),44617.0)</f>
        <v>44617</v>
      </c>
      <c r="C7797" s="5"/>
      <c r="D7797" s="5"/>
      <c r="E7797" s="5"/>
      <c r="F7797" s="25">
        <f>IFERROR(__xludf.DUMMYFUNCTION("""COMPUTED_VALUE"""),500000.0)</f>
        <v>500000</v>
      </c>
      <c r="G7797" s="25">
        <f>IFERROR(__xludf.DUMMYFUNCTION("""COMPUTED_VALUE"""),0.0)</f>
        <v>0</v>
      </c>
      <c r="H7797" s="8">
        <f>IFERROR(__xludf.DUMMYFUNCTION("""COMPUTED_VALUE"""),502329.090695)</f>
        <v>502329.0907</v>
      </c>
      <c r="I7797" s="24">
        <f>IFERROR(__xludf.DUMMYFUNCTION("""COMPUTED_VALUE"""),0.00465818138999996)</f>
        <v>0.00465818139</v>
      </c>
    </row>
    <row r="7798">
      <c r="A7798" s="5" t="str">
        <f>IFERROR(__xludf.DUMMYFUNCTION("""COMPUTED_VALUE"""),"Steve")</f>
        <v>Steve</v>
      </c>
      <c r="B7798" s="64">
        <f>IFERROR(__xludf.DUMMYFUNCTION("""COMPUTED_VALUE"""),44618.0)</f>
        <v>44618</v>
      </c>
      <c r="C7798" s="5"/>
      <c r="D7798" s="5"/>
      <c r="E7798" s="5"/>
      <c r="F7798" s="25">
        <f>IFERROR(__xludf.DUMMYFUNCTION("""COMPUTED_VALUE"""),500000.0)</f>
        <v>500000</v>
      </c>
      <c r="G7798" s="25">
        <f>IFERROR(__xludf.DUMMYFUNCTION("""COMPUTED_VALUE"""),0.0)</f>
        <v>0</v>
      </c>
      <c r="H7798" s="8">
        <f>IFERROR(__xludf.DUMMYFUNCTION("""COMPUTED_VALUE"""),502329.090695)</f>
        <v>502329.0907</v>
      </c>
      <c r="I7798" s="24">
        <f>IFERROR(__xludf.DUMMYFUNCTION("""COMPUTED_VALUE"""),0.00465818138999996)</f>
        <v>0.00465818139</v>
      </c>
    </row>
    <row r="7799">
      <c r="A7799" s="5" t="str">
        <f>IFERROR(__xludf.DUMMYFUNCTION("""COMPUTED_VALUE"""),"Steve")</f>
        <v>Steve</v>
      </c>
      <c r="B7799" s="64">
        <f>IFERROR(__xludf.DUMMYFUNCTION("""COMPUTED_VALUE"""),44619.0)</f>
        <v>44619</v>
      </c>
      <c r="C7799" s="5"/>
      <c r="D7799" s="5"/>
      <c r="E7799" s="5"/>
      <c r="F7799" s="25">
        <f>IFERROR(__xludf.DUMMYFUNCTION("""COMPUTED_VALUE"""),500000.0)</f>
        <v>500000</v>
      </c>
      <c r="G7799" s="25">
        <f>IFERROR(__xludf.DUMMYFUNCTION("""COMPUTED_VALUE"""),0.0)</f>
        <v>0</v>
      </c>
      <c r="H7799" s="8">
        <f>IFERROR(__xludf.DUMMYFUNCTION("""COMPUTED_VALUE"""),502329.090695)</f>
        <v>502329.0907</v>
      </c>
      <c r="I7799" s="24">
        <f>IFERROR(__xludf.DUMMYFUNCTION("""COMPUTED_VALUE"""),0.00465818138999996)</f>
        <v>0.00465818139</v>
      </c>
    </row>
    <row r="7800">
      <c r="A7800" s="5" t="str">
        <f>IFERROR(__xludf.DUMMYFUNCTION("""COMPUTED_VALUE"""),"Steve")</f>
        <v>Steve</v>
      </c>
      <c r="B7800" s="64">
        <f>IFERROR(__xludf.DUMMYFUNCTION("""COMPUTED_VALUE"""),44620.0)</f>
        <v>44620</v>
      </c>
      <c r="C7800" s="5"/>
      <c r="D7800" s="5"/>
      <c r="E7800" s="5"/>
      <c r="F7800" s="25">
        <f>IFERROR(__xludf.DUMMYFUNCTION("""COMPUTED_VALUE"""),500000.0)</f>
        <v>500000</v>
      </c>
      <c r="G7800" s="25">
        <f>IFERROR(__xludf.DUMMYFUNCTION("""COMPUTED_VALUE"""),0.0)</f>
        <v>0</v>
      </c>
      <c r="H7800" s="8">
        <f>IFERROR(__xludf.DUMMYFUNCTION("""COMPUTED_VALUE"""),502293.9431375)</f>
        <v>502293.9431</v>
      </c>
      <c r="I7800" s="24">
        <f>IFERROR(__xludf.DUMMYFUNCTION("""COMPUTED_VALUE"""),0.004587886274999953)</f>
        <v>0.004587886275</v>
      </c>
    </row>
    <row r="7801">
      <c r="A7801" s="5" t="str">
        <f>IFERROR(__xludf.DUMMYFUNCTION("""COMPUTED_VALUE"""),"Steve")</f>
        <v>Steve</v>
      </c>
      <c r="B7801" s="64">
        <f>IFERROR(__xludf.DUMMYFUNCTION("""COMPUTED_VALUE"""),44621.0)</f>
        <v>44621</v>
      </c>
      <c r="C7801" s="5"/>
      <c r="D7801" s="5"/>
      <c r="E7801" s="5"/>
      <c r="F7801" s="25">
        <f>IFERROR(__xludf.DUMMYFUNCTION("""COMPUTED_VALUE"""),500000.0)</f>
        <v>500000</v>
      </c>
      <c r="G7801" s="25">
        <f>IFERROR(__xludf.DUMMYFUNCTION("""COMPUTED_VALUE"""),0.0)</f>
        <v>0</v>
      </c>
      <c r="H7801" s="8">
        <f>IFERROR(__xludf.DUMMYFUNCTION("""COMPUTED_VALUE"""),501916.5939725)</f>
        <v>501916.594</v>
      </c>
      <c r="I7801" s="24">
        <f>IFERROR(__xludf.DUMMYFUNCTION("""COMPUTED_VALUE"""),0.003833187944999983)</f>
        <v>0.003833187945</v>
      </c>
    </row>
    <row r="7802">
      <c r="A7802" s="5" t="str">
        <f>IFERROR(__xludf.DUMMYFUNCTION("""COMPUTED_VALUE"""),"Steve")</f>
        <v>Steve</v>
      </c>
      <c r="B7802" s="64">
        <f>IFERROR(__xludf.DUMMYFUNCTION("""COMPUTED_VALUE"""),44622.0)</f>
        <v>44622</v>
      </c>
      <c r="C7802" s="5"/>
      <c r="D7802" s="5"/>
      <c r="E7802" s="5"/>
      <c r="F7802" s="25">
        <f>IFERROR(__xludf.DUMMYFUNCTION("""COMPUTED_VALUE"""),500000.0)</f>
        <v>500000</v>
      </c>
      <c r="G7802" s="25">
        <f>IFERROR(__xludf.DUMMYFUNCTION("""COMPUTED_VALUE"""),0.0)</f>
        <v>0</v>
      </c>
      <c r="H7802" s="8">
        <f>IFERROR(__xludf.DUMMYFUNCTION("""COMPUTED_VALUE"""),502058.50905500003)</f>
        <v>502058.5091</v>
      </c>
      <c r="I7802" s="24">
        <f>IFERROR(__xludf.DUMMYFUNCTION("""COMPUTED_VALUE"""),0.0041170181100000924)</f>
        <v>0.00411701811</v>
      </c>
    </row>
    <row r="7803">
      <c r="A7803" s="5" t="str">
        <f>IFERROR(__xludf.DUMMYFUNCTION("""COMPUTED_VALUE"""),"Steve")</f>
        <v>Steve</v>
      </c>
      <c r="B7803" s="64">
        <f>IFERROR(__xludf.DUMMYFUNCTION("""COMPUTED_VALUE"""),44623.0)</f>
        <v>44623</v>
      </c>
      <c r="C7803" s="5"/>
      <c r="D7803" s="5"/>
      <c r="E7803" s="5"/>
      <c r="F7803" s="25">
        <f>IFERROR(__xludf.DUMMYFUNCTION("""COMPUTED_VALUE"""),500000.0)</f>
        <v>500000</v>
      </c>
      <c r="G7803" s="25">
        <f>IFERROR(__xludf.DUMMYFUNCTION("""COMPUTED_VALUE"""),0.0)</f>
        <v>0</v>
      </c>
      <c r="H7803" s="8">
        <f>IFERROR(__xludf.DUMMYFUNCTION("""COMPUTED_VALUE"""),501411.045845)</f>
        <v>501411.0458</v>
      </c>
      <c r="I7803" s="24">
        <f>IFERROR(__xludf.DUMMYFUNCTION("""COMPUTED_VALUE"""),0.002822091690000139)</f>
        <v>0.00282209169</v>
      </c>
    </row>
    <row r="7804">
      <c r="A7804" s="5" t="str">
        <f>IFERROR(__xludf.DUMMYFUNCTION("""COMPUTED_VALUE"""),"Steve")</f>
        <v>Steve</v>
      </c>
      <c r="B7804" s="64">
        <f>IFERROR(__xludf.DUMMYFUNCTION("""COMPUTED_VALUE"""),44624.0)</f>
        <v>44624</v>
      </c>
      <c r="C7804" s="5"/>
      <c r="D7804" s="5"/>
      <c r="E7804" s="5"/>
      <c r="F7804" s="25">
        <f>IFERROR(__xludf.DUMMYFUNCTION("""COMPUTED_VALUE"""),500000.0)</f>
        <v>500000</v>
      </c>
      <c r="G7804" s="25">
        <f>IFERROR(__xludf.DUMMYFUNCTION("""COMPUTED_VALUE"""),0.0)</f>
        <v>0</v>
      </c>
      <c r="H7804" s="8">
        <f>IFERROR(__xludf.DUMMYFUNCTION("""COMPUTED_VALUE"""),501059.1806075)</f>
        <v>501059.1806</v>
      </c>
      <c r="I7804" s="24">
        <f>IFERROR(__xludf.DUMMYFUNCTION("""COMPUTED_VALUE"""),0.0021183612149999753)</f>
        <v>0.002118361215</v>
      </c>
    </row>
    <row r="7805">
      <c r="A7805" s="5" t="str">
        <f>IFERROR(__xludf.DUMMYFUNCTION("""COMPUTED_VALUE"""),"Steve")</f>
        <v>Steve</v>
      </c>
      <c r="B7805" s="64">
        <f>IFERROR(__xludf.DUMMYFUNCTION("""COMPUTED_VALUE"""),44625.0)</f>
        <v>44625</v>
      </c>
      <c r="C7805" s="5"/>
      <c r="D7805" s="5"/>
      <c r="E7805" s="5"/>
      <c r="F7805" s="25">
        <f>IFERROR(__xludf.DUMMYFUNCTION("""COMPUTED_VALUE"""),500000.0)</f>
        <v>500000</v>
      </c>
      <c r="G7805" s="25">
        <f>IFERROR(__xludf.DUMMYFUNCTION("""COMPUTED_VALUE"""),0.0)</f>
        <v>0</v>
      </c>
      <c r="H7805" s="8">
        <f>IFERROR(__xludf.DUMMYFUNCTION("""COMPUTED_VALUE"""),501059.1806075)</f>
        <v>501059.1806</v>
      </c>
      <c r="I7805" s="24">
        <f>IFERROR(__xludf.DUMMYFUNCTION("""COMPUTED_VALUE"""),0.0021183612149999753)</f>
        <v>0.002118361215</v>
      </c>
    </row>
    <row r="7806">
      <c r="A7806" s="5" t="str">
        <f>IFERROR(__xludf.DUMMYFUNCTION("""COMPUTED_VALUE"""),"Steve")</f>
        <v>Steve</v>
      </c>
      <c r="B7806" s="64">
        <f>IFERROR(__xludf.DUMMYFUNCTION("""COMPUTED_VALUE"""),44626.0)</f>
        <v>44626</v>
      </c>
      <c r="C7806" s="5"/>
      <c r="D7806" s="5"/>
      <c r="E7806" s="5"/>
      <c r="F7806" s="25">
        <f>IFERROR(__xludf.DUMMYFUNCTION("""COMPUTED_VALUE"""),500000.0)</f>
        <v>500000</v>
      </c>
      <c r="G7806" s="25">
        <f>IFERROR(__xludf.DUMMYFUNCTION("""COMPUTED_VALUE"""),0.0)</f>
        <v>0</v>
      </c>
      <c r="H7806" s="8">
        <f>IFERROR(__xludf.DUMMYFUNCTION("""COMPUTED_VALUE"""),501059.1806075)</f>
        <v>501059.1806</v>
      </c>
      <c r="I7806" s="24">
        <f>IFERROR(__xludf.DUMMYFUNCTION("""COMPUTED_VALUE"""),0.0021183612149999753)</f>
        <v>0.002118361215</v>
      </c>
    </row>
    <row r="7807">
      <c r="A7807" s="5" t="str">
        <f>IFERROR(__xludf.DUMMYFUNCTION("""COMPUTED_VALUE"""),"Steve")</f>
        <v>Steve</v>
      </c>
      <c r="B7807" s="64">
        <f>IFERROR(__xludf.DUMMYFUNCTION("""COMPUTED_VALUE"""),44627.0)</f>
        <v>44627</v>
      </c>
      <c r="C7807" s="5"/>
      <c r="D7807" s="5"/>
      <c r="E7807" s="5"/>
      <c r="F7807" s="25">
        <f>IFERROR(__xludf.DUMMYFUNCTION("""COMPUTED_VALUE"""),500000.0)</f>
        <v>500000</v>
      </c>
      <c r="G7807" s="25">
        <f>IFERROR(__xludf.DUMMYFUNCTION("""COMPUTED_VALUE"""),0.0)</f>
        <v>0</v>
      </c>
      <c r="H7807" s="8">
        <f>IFERROR(__xludf.DUMMYFUNCTION("""COMPUTED_VALUE"""),499782.9579875)</f>
        <v>499782.958</v>
      </c>
      <c r="I7807" s="24">
        <f>IFERROR(__xludf.DUMMYFUNCTION("""COMPUTED_VALUE"""),-4.340840250000033E-4)</f>
        <v>-0.000434084025</v>
      </c>
    </row>
    <row r="7808">
      <c r="A7808" s="5" t="str">
        <f>IFERROR(__xludf.DUMMYFUNCTION("""COMPUTED_VALUE"""),"Steve")</f>
        <v>Steve</v>
      </c>
      <c r="B7808" s="64">
        <f>IFERROR(__xludf.DUMMYFUNCTION("""COMPUTED_VALUE"""),44628.0)</f>
        <v>44628</v>
      </c>
      <c r="C7808" s="5"/>
      <c r="D7808" s="5"/>
      <c r="E7808" s="5"/>
      <c r="F7808" s="25">
        <f>IFERROR(__xludf.DUMMYFUNCTION("""COMPUTED_VALUE"""),500000.0)</f>
        <v>500000</v>
      </c>
      <c r="G7808" s="25">
        <f>IFERROR(__xludf.DUMMYFUNCTION("""COMPUTED_VALUE"""),0.0)</f>
        <v>0</v>
      </c>
      <c r="H7808" s="8">
        <f>IFERROR(__xludf.DUMMYFUNCTION("""COMPUTED_VALUE"""),499558.746185)</f>
        <v>499558.7462</v>
      </c>
      <c r="I7808" s="24">
        <f>IFERROR(__xludf.DUMMYFUNCTION("""COMPUTED_VALUE"""),-8.825076299999735E-4)</f>
        <v>-0.00088250763</v>
      </c>
    </row>
    <row r="7809">
      <c r="A7809" s="5" t="str">
        <f>IFERROR(__xludf.DUMMYFUNCTION("""COMPUTED_VALUE"""),"Steve")</f>
        <v>Steve</v>
      </c>
      <c r="B7809" s="64">
        <f>IFERROR(__xludf.DUMMYFUNCTION("""COMPUTED_VALUE"""),44629.0)</f>
        <v>44629</v>
      </c>
      <c r="C7809" s="5"/>
      <c r="D7809" s="5"/>
      <c r="E7809" s="5"/>
      <c r="F7809" s="25">
        <f>IFERROR(__xludf.DUMMYFUNCTION("""COMPUTED_VALUE"""),500000.0)</f>
        <v>500000</v>
      </c>
      <c r="G7809" s="25">
        <f>IFERROR(__xludf.DUMMYFUNCTION("""COMPUTED_VALUE"""),0.0)</f>
        <v>0</v>
      </c>
      <c r="H7809" s="8">
        <f>IFERROR(__xludf.DUMMYFUNCTION("""COMPUTED_VALUE"""),500067.5674775)</f>
        <v>500067.5675</v>
      </c>
      <c r="I7809" s="24">
        <f>IFERROR(__xludf.DUMMYFUNCTION("""COMPUTED_VALUE"""),1.3513495500006023E-4)</f>
        <v>0.000135134955</v>
      </c>
    </row>
    <row r="7810">
      <c r="A7810" s="5" t="str">
        <f>IFERROR(__xludf.DUMMYFUNCTION("""COMPUTED_VALUE"""),"Steve")</f>
        <v>Steve</v>
      </c>
      <c r="B7810" s="64">
        <f>IFERROR(__xludf.DUMMYFUNCTION("""COMPUTED_VALUE"""),44630.0)</f>
        <v>44630</v>
      </c>
      <c r="C7810" s="5"/>
      <c r="D7810" s="5"/>
      <c r="E7810" s="5"/>
      <c r="F7810" s="25">
        <f>IFERROR(__xludf.DUMMYFUNCTION("""COMPUTED_VALUE"""),500000.0)</f>
        <v>500000</v>
      </c>
      <c r="G7810" s="25">
        <f>IFERROR(__xludf.DUMMYFUNCTION("""COMPUTED_VALUE"""),0.0)</f>
        <v>0</v>
      </c>
      <c r="H7810" s="8">
        <f>IFERROR(__xludf.DUMMYFUNCTION("""COMPUTED_VALUE"""),500067.5674775)</f>
        <v>500067.5675</v>
      </c>
      <c r="I7810" s="24">
        <f>IFERROR(__xludf.DUMMYFUNCTION("""COMPUTED_VALUE"""),1.3513495500006023E-4)</f>
        <v>0.000135134955</v>
      </c>
    </row>
    <row r="7811">
      <c r="A7811" s="5" t="str">
        <f>IFERROR(__xludf.DUMMYFUNCTION("""COMPUTED_VALUE"""),"Steve")</f>
        <v>Steve</v>
      </c>
      <c r="B7811" s="64">
        <f>IFERROR(__xludf.DUMMYFUNCTION("""COMPUTED_VALUE"""),44631.0)</f>
        <v>44631</v>
      </c>
      <c r="C7811" s="5"/>
      <c r="D7811" s="5"/>
      <c r="E7811" s="5"/>
      <c r="F7811" s="25">
        <f>IFERROR(__xludf.DUMMYFUNCTION("""COMPUTED_VALUE"""),500000.0)</f>
        <v>500000</v>
      </c>
      <c r="G7811" s="25">
        <f>IFERROR(__xludf.DUMMYFUNCTION("""COMPUTED_VALUE"""),0.0)</f>
        <v>0</v>
      </c>
      <c r="H7811" s="8">
        <f>IFERROR(__xludf.DUMMYFUNCTION("""COMPUTED_VALUE"""),501041.022335)</f>
        <v>501041.0223</v>
      </c>
      <c r="I7811" s="24">
        <f>IFERROR(__xludf.DUMMYFUNCTION("""COMPUTED_VALUE"""),0.0020820446700000605)</f>
        <v>0.00208204467</v>
      </c>
    </row>
    <row r="7812">
      <c r="A7812" s="5" t="str">
        <f>IFERROR(__xludf.DUMMYFUNCTION("""COMPUTED_VALUE"""),"Steve")</f>
        <v>Steve</v>
      </c>
      <c r="B7812" s="64">
        <f>IFERROR(__xludf.DUMMYFUNCTION("""COMPUTED_VALUE"""),44632.0)</f>
        <v>44632</v>
      </c>
      <c r="C7812" s="5"/>
      <c r="D7812" s="5"/>
      <c r="E7812" s="5"/>
      <c r="F7812" s="25">
        <f>IFERROR(__xludf.DUMMYFUNCTION("""COMPUTED_VALUE"""),500000.0)</f>
        <v>500000</v>
      </c>
      <c r="G7812" s="25">
        <f>IFERROR(__xludf.DUMMYFUNCTION("""COMPUTED_VALUE"""),0.0)</f>
        <v>0</v>
      </c>
      <c r="H7812" s="8">
        <f>IFERROR(__xludf.DUMMYFUNCTION("""COMPUTED_VALUE"""),501041.022335)</f>
        <v>501041.0223</v>
      </c>
      <c r="I7812" s="24">
        <f>IFERROR(__xludf.DUMMYFUNCTION("""COMPUTED_VALUE"""),0.0020820446700000605)</f>
        <v>0.00208204467</v>
      </c>
    </row>
    <row r="7813">
      <c r="A7813" s="5" t="str">
        <f>IFERROR(__xludf.DUMMYFUNCTION("""COMPUTED_VALUE"""),"Steve")</f>
        <v>Steve</v>
      </c>
      <c r="B7813" s="64">
        <f>IFERROR(__xludf.DUMMYFUNCTION("""COMPUTED_VALUE"""),44633.0)</f>
        <v>44633</v>
      </c>
      <c r="C7813" s="5"/>
      <c r="D7813" s="5"/>
      <c r="E7813" s="5"/>
      <c r="F7813" s="25">
        <f>IFERROR(__xludf.DUMMYFUNCTION("""COMPUTED_VALUE"""),500000.0)</f>
        <v>500000</v>
      </c>
      <c r="G7813" s="25">
        <f>IFERROR(__xludf.DUMMYFUNCTION("""COMPUTED_VALUE"""),0.0)</f>
        <v>0</v>
      </c>
      <c r="H7813" s="8">
        <f>IFERROR(__xludf.DUMMYFUNCTION("""COMPUTED_VALUE"""),501041.022335)</f>
        <v>501041.0223</v>
      </c>
      <c r="I7813" s="24">
        <f>IFERROR(__xludf.DUMMYFUNCTION("""COMPUTED_VALUE"""),0.0020820446700000605)</f>
        <v>0.00208204467</v>
      </c>
    </row>
    <row r="7814">
      <c r="A7814" s="5" t="str">
        <f>IFERROR(__xludf.DUMMYFUNCTION("""COMPUTED_VALUE"""),"Steve")</f>
        <v>Steve</v>
      </c>
      <c r="B7814" s="64">
        <f>IFERROR(__xludf.DUMMYFUNCTION("""COMPUTED_VALUE"""),44634.0)</f>
        <v>44634</v>
      </c>
      <c r="C7814" s="5"/>
      <c r="D7814" s="5"/>
      <c r="E7814" s="5"/>
      <c r="F7814" s="25">
        <f>IFERROR(__xludf.DUMMYFUNCTION("""COMPUTED_VALUE"""),500000.0)</f>
        <v>500000</v>
      </c>
      <c r="G7814" s="25">
        <f>IFERROR(__xludf.DUMMYFUNCTION("""COMPUTED_VALUE"""),0.0)</f>
        <v>0</v>
      </c>
      <c r="H7814" s="8">
        <f>IFERROR(__xludf.DUMMYFUNCTION("""COMPUTED_VALUE"""),500468.7639875)</f>
        <v>500468.764</v>
      </c>
      <c r="I7814" s="24">
        <f>IFERROR(__xludf.DUMMYFUNCTION("""COMPUTED_VALUE"""),9.375279749999077E-4)</f>
        <v>0.000937527975</v>
      </c>
    </row>
    <row r="7815">
      <c r="A7815" s="5" t="str">
        <f>IFERROR(__xludf.DUMMYFUNCTION("""COMPUTED_VALUE"""),"Steve")</f>
        <v>Steve</v>
      </c>
      <c r="B7815" s="64">
        <f>IFERROR(__xludf.DUMMYFUNCTION("""COMPUTED_VALUE"""),44635.0)</f>
        <v>44635</v>
      </c>
      <c r="C7815" s="5"/>
      <c r="D7815" s="5"/>
      <c r="E7815" s="5"/>
      <c r="F7815" s="25">
        <f>IFERROR(__xludf.DUMMYFUNCTION("""COMPUTED_VALUE"""),500000.0)</f>
        <v>500000</v>
      </c>
      <c r="G7815" s="25">
        <f>IFERROR(__xludf.DUMMYFUNCTION("""COMPUTED_VALUE"""),0.0)</f>
        <v>0</v>
      </c>
      <c r="H7815" s="8">
        <f>IFERROR(__xludf.DUMMYFUNCTION("""COMPUTED_VALUE"""),501328.125665)</f>
        <v>501328.1257</v>
      </c>
      <c r="I7815" s="24">
        <f>IFERROR(__xludf.DUMMYFUNCTION("""COMPUTED_VALUE"""),0.0026562513299999146)</f>
        <v>0.00265625133</v>
      </c>
    </row>
    <row r="7816">
      <c r="A7816" s="5" t="str">
        <f>IFERROR(__xludf.DUMMYFUNCTION("""COMPUTED_VALUE"""),"Steve")</f>
        <v>Steve</v>
      </c>
      <c r="B7816" s="64">
        <f>IFERROR(__xludf.DUMMYFUNCTION("""COMPUTED_VALUE"""),44636.0)</f>
        <v>44636</v>
      </c>
      <c r="C7816" s="5"/>
      <c r="D7816" s="5"/>
      <c r="E7816" s="5"/>
      <c r="F7816" s="25">
        <f>IFERROR(__xludf.DUMMYFUNCTION("""COMPUTED_VALUE"""),500000.0)</f>
        <v>500000</v>
      </c>
      <c r="G7816" s="25">
        <f>IFERROR(__xludf.DUMMYFUNCTION("""COMPUTED_VALUE"""),0.0)</f>
        <v>0</v>
      </c>
      <c r="H7816" s="8">
        <f>IFERROR(__xludf.DUMMYFUNCTION("""COMPUTED_VALUE"""),502222.4011025)</f>
        <v>502222.4011</v>
      </c>
      <c r="I7816" s="24">
        <f>IFERROR(__xludf.DUMMYFUNCTION("""COMPUTED_VALUE"""),0.004444802204999876)</f>
        <v>0.004444802205</v>
      </c>
    </row>
    <row r="7817">
      <c r="A7817" s="5" t="str">
        <f>IFERROR(__xludf.DUMMYFUNCTION("""COMPUTED_VALUE"""),"Steve")</f>
        <v>Steve</v>
      </c>
      <c r="B7817" s="64">
        <f>IFERROR(__xludf.DUMMYFUNCTION("""COMPUTED_VALUE"""),44637.0)</f>
        <v>44637</v>
      </c>
      <c r="C7817" s="5"/>
      <c r="D7817" s="5"/>
      <c r="E7817" s="5"/>
      <c r="F7817" s="25">
        <f>IFERROR(__xludf.DUMMYFUNCTION("""COMPUTED_VALUE"""),500000.0)</f>
        <v>500000</v>
      </c>
      <c r="G7817" s="25">
        <f>IFERROR(__xludf.DUMMYFUNCTION("""COMPUTED_VALUE"""),0.0)</f>
        <v>0</v>
      </c>
      <c r="H7817" s="8">
        <f>IFERROR(__xludf.DUMMYFUNCTION("""COMPUTED_VALUE"""),502866.9028775)</f>
        <v>502866.9029</v>
      </c>
      <c r="I7817" s="24">
        <f>IFERROR(__xludf.DUMMYFUNCTION("""COMPUTED_VALUE"""),0.005733805755000043)</f>
        <v>0.005733805755</v>
      </c>
    </row>
    <row r="7818">
      <c r="A7818" s="5" t="str">
        <f>IFERROR(__xludf.DUMMYFUNCTION("""COMPUTED_VALUE"""),"Steve")</f>
        <v>Steve</v>
      </c>
      <c r="B7818" s="64">
        <f>IFERROR(__xludf.DUMMYFUNCTION("""COMPUTED_VALUE"""),44638.0)</f>
        <v>44638</v>
      </c>
      <c r="C7818" s="5"/>
      <c r="D7818" s="5"/>
      <c r="E7818" s="5"/>
      <c r="F7818" s="25">
        <f>IFERROR(__xludf.DUMMYFUNCTION("""COMPUTED_VALUE"""),500000.0)</f>
        <v>500000</v>
      </c>
      <c r="G7818" s="25">
        <f>IFERROR(__xludf.DUMMYFUNCTION("""COMPUTED_VALUE"""),0.0)</f>
        <v>0</v>
      </c>
      <c r="H7818" s="8">
        <f>IFERROR(__xludf.DUMMYFUNCTION("""COMPUTED_VALUE"""),503492.155325)</f>
        <v>503492.1553</v>
      </c>
      <c r="I7818" s="24">
        <f>IFERROR(__xludf.DUMMYFUNCTION("""COMPUTED_VALUE"""),0.006984310650000047)</f>
        <v>0.00698431065</v>
      </c>
    </row>
    <row r="7819">
      <c r="A7819" s="5" t="str">
        <f>IFERROR(__xludf.DUMMYFUNCTION("""COMPUTED_VALUE"""),"Steve")</f>
        <v>Steve</v>
      </c>
      <c r="B7819" s="64">
        <f>IFERROR(__xludf.DUMMYFUNCTION("""COMPUTED_VALUE"""),44639.0)</f>
        <v>44639</v>
      </c>
      <c r="C7819" s="5"/>
      <c r="D7819" s="5"/>
      <c r="E7819" s="5"/>
      <c r="F7819" s="25">
        <f>IFERROR(__xludf.DUMMYFUNCTION("""COMPUTED_VALUE"""),500000.0)</f>
        <v>500000</v>
      </c>
      <c r="G7819" s="25">
        <f>IFERROR(__xludf.DUMMYFUNCTION("""COMPUTED_VALUE"""),0.0)</f>
        <v>0</v>
      </c>
      <c r="H7819" s="8">
        <f>IFERROR(__xludf.DUMMYFUNCTION("""COMPUTED_VALUE"""),503492.155325)</f>
        <v>503492.1553</v>
      </c>
      <c r="I7819" s="24">
        <f>IFERROR(__xludf.DUMMYFUNCTION("""COMPUTED_VALUE"""),0.006984310650000047)</f>
        <v>0.00698431065</v>
      </c>
    </row>
    <row r="7820">
      <c r="A7820" s="5" t="str">
        <f>IFERROR(__xludf.DUMMYFUNCTION("""COMPUTED_VALUE"""),"Steve")</f>
        <v>Steve</v>
      </c>
      <c r="B7820" s="64">
        <f>IFERROR(__xludf.DUMMYFUNCTION("""COMPUTED_VALUE"""),44640.0)</f>
        <v>44640</v>
      </c>
      <c r="C7820" s="5"/>
      <c r="D7820" s="5"/>
      <c r="E7820" s="5"/>
      <c r="F7820" s="25">
        <f>IFERROR(__xludf.DUMMYFUNCTION("""COMPUTED_VALUE"""),500000.0)</f>
        <v>500000</v>
      </c>
      <c r="G7820" s="25">
        <f>IFERROR(__xludf.DUMMYFUNCTION("""COMPUTED_VALUE"""),0.0)</f>
        <v>0</v>
      </c>
      <c r="H7820" s="8">
        <f>IFERROR(__xludf.DUMMYFUNCTION("""COMPUTED_VALUE"""),503492.155325)</f>
        <v>503492.1553</v>
      </c>
      <c r="I7820" s="24">
        <f>IFERROR(__xludf.DUMMYFUNCTION("""COMPUTED_VALUE"""),0.006984310650000047)</f>
        <v>0.00698431065</v>
      </c>
    </row>
    <row r="7821">
      <c r="A7821" s="5" t="str">
        <f>IFERROR(__xludf.DUMMYFUNCTION("""COMPUTED_VALUE"""),"Steve")</f>
        <v>Steve</v>
      </c>
      <c r="B7821" s="64">
        <f>IFERROR(__xludf.DUMMYFUNCTION("""COMPUTED_VALUE"""),44641.0)</f>
        <v>44641</v>
      </c>
      <c r="C7821" s="5"/>
      <c r="D7821" s="5"/>
      <c r="E7821" s="5"/>
      <c r="F7821" s="25">
        <f>IFERROR(__xludf.DUMMYFUNCTION("""COMPUTED_VALUE"""),500000.0)</f>
        <v>500000</v>
      </c>
      <c r="G7821" s="25">
        <f>IFERROR(__xludf.DUMMYFUNCTION("""COMPUTED_VALUE"""),0.0)</f>
        <v>0</v>
      </c>
      <c r="H7821" s="8">
        <f>IFERROR(__xludf.DUMMYFUNCTION("""COMPUTED_VALUE"""),503529.71879)</f>
        <v>503529.7188</v>
      </c>
      <c r="I7821" s="24">
        <f>IFERROR(__xludf.DUMMYFUNCTION("""COMPUTED_VALUE"""),0.007059437579999939)</f>
        <v>0.00705943758</v>
      </c>
    </row>
    <row r="7822">
      <c r="A7822" s="5" t="str">
        <f>IFERROR(__xludf.DUMMYFUNCTION("""COMPUTED_VALUE"""),"Steve")</f>
        <v>Steve</v>
      </c>
      <c r="B7822" s="64">
        <f>IFERROR(__xludf.DUMMYFUNCTION("""COMPUTED_VALUE"""),44642.0)</f>
        <v>44642</v>
      </c>
      <c r="C7822" s="5"/>
      <c r="D7822" s="5"/>
      <c r="E7822" s="5"/>
      <c r="F7822" s="25">
        <f>IFERROR(__xludf.DUMMYFUNCTION("""COMPUTED_VALUE"""),500000.0)</f>
        <v>500000</v>
      </c>
      <c r="G7822" s="25">
        <f>IFERROR(__xludf.DUMMYFUNCTION("""COMPUTED_VALUE"""),0.0)</f>
        <v>0</v>
      </c>
      <c r="H7822" s="8">
        <f>IFERROR(__xludf.DUMMYFUNCTION("""COMPUTED_VALUE"""),504059.2701275)</f>
        <v>504059.2701</v>
      </c>
      <c r="I7822" s="24">
        <f>IFERROR(__xludf.DUMMYFUNCTION("""COMPUTED_VALUE"""),0.008118540254999917)</f>
        <v>0.008118540255</v>
      </c>
    </row>
    <row r="7823">
      <c r="A7823" s="5" t="str">
        <f>IFERROR(__xludf.DUMMYFUNCTION("""COMPUTED_VALUE"""),"Steve")</f>
        <v>Steve</v>
      </c>
      <c r="B7823" s="64">
        <f>IFERROR(__xludf.DUMMYFUNCTION("""COMPUTED_VALUE"""),44643.0)</f>
        <v>44643</v>
      </c>
      <c r="C7823" s="5"/>
      <c r="D7823" s="5"/>
      <c r="E7823" s="5"/>
      <c r="F7823" s="25">
        <f>IFERROR(__xludf.DUMMYFUNCTION("""COMPUTED_VALUE"""),500000.0)</f>
        <v>500000</v>
      </c>
      <c r="G7823" s="25">
        <f>IFERROR(__xludf.DUMMYFUNCTION("""COMPUTED_VALUE"""),0.0)</f>
        <v>0</v>
      </c>
      <c r="H7823" s="8">
        <f>IFERROR(__xludf.DUMMYFUNCTION("""COMPUTED_VALUE"""),503828.4340625)</f>
        <v>503828.4341</v>
      </c>
      <c r="I7823" s="24">
        <f>IFERROR(__xludf.DUMMYFUNCTION("""COMPUTED_VALUE"""),0.007656868124999994)</f>
        <v>0.007656868125</v>
      </c>
    </row>
    <row r="7824">
      <c r="A7824" s="5" t="str">
        <f>IFERROR(__xludf.DUMMYFUNCTION("""COMPUTED_VALUE"""),"Steve")</f>
        <v>Steve</v>
      </c>
      <c r="B7824" s="64">
        <f>IFERROR(__xludf.DUMMYFUNCTION("""COMPUTED_VALUE"""),44644.0)</f>
        <v>44644</v>
      </c>
      <c r="C7824" s="5"/>
      <c r="D7824" s="5"/>
      <c r="E7824" s="5"/>
      <c r="F7824" s="25">
        <f>IFERROR(__xludf.DUMMYFUNCTION("""COMPUTED_VALUE"""),500000.0)</f>
        <v>500000</v>
      </c>
      <c r="G7824" s="25">
        <f>IFERROR(__xludf.DUMMYFUNCTION("""COMPUTED_VALUE"""),0.0)</f>
        <v>0</v>
      </c>
      <c r="H7824" s="8">
        <f>IFERROR(__xludf.DUMMYFUNCTION("""COMPUTED_VALUE"""),503866.07546)</f>
        <v>503866.0755</v>
      </c>
      <c r="I7824" s="24">
        <f>IFERROR(__xludf.DUMMYFUNCTION("""COMPUTED_VALUE"""),0.007732150920000125)</f>
        <v>0.00773215092</v>
      </c>
    </row>
    <row r="7825">
      <c r="A7825" s="5" t="str">
        <f>IFERROR(__xludf.DUMMYFUNCTION("""COMPUTED_VALUE"""),"Steve")</f>
        <v>Steve</v>
      </c>
      <c r="B7825" s="64">
        <f>IFERROR(__xludf.DUMMYFUNCTION("""COMPUTED_VALUE"""),44645.0)</f>
        <v>44645</v>
      </c>
      <c r="C7825" s="5"/>
      <c r="D7825" s="5"/>
      <c r="E7825" s="5"/>
      <c r="F7825" s="25">
        <f>IFERROR(__xludf.DUMMYFUNCTION("""COMPUTED_VALUE"""),500000.0)</f>
        <v>500000</v>
      </c>
      <c r="G7825" s="25">
        <f>IFERROR(__xludf.DUMMYFUNCTION("""COMPUTED_VALUE"""),0.0)</f>
        <v>0</v>
      </c>
      <c r="H7825" s="8">
        <f>IFERROR(__xludf.DUMMYFUNCTION("""COMPUTED_VALUE"""),504041.26772)</f>
        <v>504041.2677</v>
      </c>
      <c r="I7825" s="24">
        <f>IFERROR(__xludf.DUMMYFUNCTION("""COMPUTED_VALUE"""),0.008082535440000038)</f>
        <v>0.00808253544</v>
      </c>
    </row>
    <row r="7826">
      <c r="A7826" s="5" t="str">
        <f>IFERROR(__xludf.DUMMYFUNCTION("""COMPUTED_VALUE"""),"Steve")</f>
        <v>Steve</v>
      </c>
      <c r="B7826" s="64">
        <f>IFERROR(__xludf.DUMMYFUNCTION("""COMPUTED_VALUE"""),44646.0)</f>
        <v>44646</v>
      </c>
      <c r="C7826" s="5"/>
      <c r="D7826" s="5"/>
      <c r="E7826" s="5"/>
      <c r="F7826" s="25">
        <f>IFERROR(__xludf.DUMMYFUNCTION("""COMPUTED_VALUE"""),500000.0)</f>
        <v>500000</v>
      </c>
      <c r="G7826" s="25">
        <f>IFERROR(__xludf.DUMMYFUNCTION("""COMPUTED_VALUE"""),0.0)</f>
        <v>0</v>
      </c>
      <c r="H7826" s="8">
        <f>IFERROR(__xludf.DUMMYFUNCTION("""COMPUTED_VALUE"""),504041.26772)</f>
        <v>504041.2677</v>
      </c>
      <c r="I7826" s="24">
        <f>IFERROR(__xludf.DUMMYFUNCTION("""COMPUTED_VALUE"""),0.008082535440000038)</f>
        <v>0.00808253544</v>
      </c>
    </row>
    <row r="7827">
      <c r="A7827" s="5" t="str">
        <f>IFERROR(__xludf.DUMMYFUNCTION("""COMPUTED_VALUE"""),"Steve")</f>
        <v>Steve</v>
      </c>
      <c r="B7827" s="64">
        <f>IFERROR(__xludf.DUMMYFUNCTION("""COMPUTED_VALUE"""),44647.0)</f>
        <v>44647</v>
      </c>
      <c r="C7827" s="5"/>
      <c r="D7827" s="5"/>
      <c r="E7827" s="5"/>
      <c r="F7827" s="25">
        <f>IFERROR(__xludf.DUMMYFUNCTION("""COMPUTED_VALUE"""),500000.0)</f>
        <v>500000</v>
      </c>
      <c r="G7827" s="25">
        <f>IFERROR(__xludf.DUMMYFUNCTION("""COMPUTED_VALUE"""),0.0)</f>
        <v>0</v>
      </c>
      <c r="H7827" s="8">
        <f>IFERROR(__xludf.DUMMYFUNCTION("""COMPUTED_VALUE"""),504041.26772)</f>
        <v>504041.2677</v>
      </c>
      <c r="I7827" s="24">
        <f>IFERROR(__xludf.DUMMYFUNCTION("""COMPUTED_VALUE"""),0.008082535440000038)</f>
        <v>0.00808253544</v>
      </c>
    </row>
    <row r="7828">
      <c r="A7828" s="5" t="str">
        <f>IFERROR(__xludf.DUMMYFUNCTION("""COMPUTED_VALUE"""),"Steve")</f>
        <v>Steve</v>
      </c>
      <c r="B7828" s="64">
        <f>IFERROR(__xludf.DUMMYFUNCTION("""COMPUTED_VALUE"""),44648.0)</f>
        <v>44648</v>
      </c>
      <c r="C7828" s="5"/>
      <c r="D7828" s="5"/>
      <c r="E7828" s="5"/>
      <c r="F7828" s="25">
        <f>IFERROR(__xludf.DUMMYFUNCTION("""COMPUTED_VALUE"""),500000.0)</f>
        <v>500000</v>
      </c>
      <c r="G7828" s="25">
        <f>IFERROR(__xludf.DUMMYFUNCTION("""COMPUTED_VALUE"""),0.0)</f>
        <v>0</v>
      </c>
      <c r="H7828" s="8">
        <f>IFERROR(__xludf.DUMMYFUNCTION("""COMPUTED_VALUE"""),504698.550425)</f>
        <v>504698.5504</v>
      </c>
      <c r="I7828" s="24">
        <f>IFERROR(__xludf.DUMMYFUNCTION("""COMPUTED_VALUE"""),0.009397100850000006)</f>
        <v>0.00939710085</v>
      </c>
    </row>
    <row r="7829">
      <c r="A7829" s="5" t="str">
        <f>IFERROR(__xludf.DUMMYFUNCTION("""COMPUTED_VALUE"""),"Steve")</f>
        <v>Steve</v>
      </c>
      <c r="B7829" s="64">
        <f>IFERROR(__xludf.DUMMYFUNCTION("""COMPUTED_VALUE"""),44649.0)</f>
        <v>44649</v>
      </c>
      <c r="C7829" s="5"/>
      <c r="D7829" s="5"/>
      <c r="E7829" s="5"/>
      <c r="F7829" s="25">
        <f>IFERROR(__xludf.DUMMYFUNCTION("""COMPUTED_VALUE"""),500000.0)</f>
        <v>500000</v>
      </c>
      <c r="G7829" s="25">
        <f>IFERROR(__xludf.DUMMYFUNCTION("""COMPUTED_VALUE"""),0.0)</f>
        <v>0</v>
      </c>
      <c r="H7829" s="8">
        <f>IFERROR(__xludf.DUMMYFUNCTION("""COMPUTED_VALUE"""),504749.1286175)</f>
        <v>504749.1286</v>
      </c>
      <c r="I7829" s="24">
        <f>IFERROR(__xludf.DUMMYFUNCTION("""COMPUTED_VALUE"""),0.009498257234999974)</f>
        <v>0.009498257235</v>
      </c>
    </row>
    <row r="7830">
      <c r="A7830" s="5" t="str">
        <f>IFERROR(__xludf.DUMMYFUNCTION("""COMPUTED_VALUE"""),"Steve")</f>
        <v>Steve</v>
      </c>
      <c r="B7830" s="64">
        <f>IFERROR(__xludf.DUMMYFUNCTION("""COMPUTED_VALUE"""),44650.0)</f>
        <v>44650</v>
      </c>
      <c r="C7830" s="5"/>
      <c r="D7830" s="5"/>
      <c r="E7830" s="5"/>
      <c r="F7830" s="25">
        <f>IFERROR(__xludf.DUMMYFUNCTION("""COMPUTED_VALUE"""),500000.0)</f>
        <v>500000</v>
      </c>
      <c r="G7830" s="25">
        <f>IFERROR(__xludf.DUMMYFUNCTION("""COMPUTED_VALUE"""),0.0)</f>
        <v>0</v>
      </c>
      <c r="H7830" s="8">
        <f>IFERROR(__xludf.DUMMYFUNCTION("""COMPUTED_VALUE"""),504279.3515075)</f>
        <v>504279.3515</v>
      </c>
      <c r="I7830" s="24">
        <f>IFERROR(__xludf.DUMMYFUNCTION("""COMPUTED_VALUE"""),0.008558703015000058)</f>
        <v>0.008558703015</v>
      </c>
    </row>
    <row r="7831">
      <c r="A7831" s="5" t="str">
        <f>IFERROR(__xludf.DUMMYFUNCTION("""COMPUTED_VALUE"""),"Steve")</f>
        <v>Steve</v>
      </c>
      <c r="B7831" s="64">
        <f>IFERROR(__xludf.DUMMYFUNCTION("""COMPUTED_VALUE"""),44651.0)</f>
        <v>44651</v>
      </c>
      <c r="C7831" s="5"/>
      <c r="D7831" s="5"/>
      <c r="E7831" s="5"/>
      <c r="F7831" s="25">
        <f>IFERROR(__xludf.DUMMYFUNCTION("""COMPUTED_VALUE"""),500000.0)</f>
        <v>500000</v>
      </c>
      <c r="G7831" s="25">
        <f>IFERROR(__xludf.DUMMYFUNCTION("""COMPUTED_VALUE"""),0.0)</f>
        <v>0</v>
      </c>
      <c r="H7831" s="8">
        <f>IFERROR(__xludf.DUMMYFUNCTION("""COMPUTED_VALUE"""),503764.45148)</f>
        <v>503764.4515</v>
      </c>
      <c r="I7831" s="24">
        <f>IFERROR(__xludf.DUMMYFUNCTION("""COMPUTED_VALUE"""),0.007528902960000083)</f>
        <v>0.00752890296</v>
      </c>
    </row>
    <row r="7832">
      <c r="A7832" s="5" t="str">
        <f>IFERROR(__xludf.DUMMYFUNCTION("""COMPUTED_VALUE"""),"Steve")</f>
        <v>Steve</v>
      </c>
      <c r="B7832" s="64">
        <f>IFERROR(__xludf.DUMMYFUNCTION("""COMPUTED_VALUE"""),44652.0)</f>
        <v>44652</v>
      </c>
      <c r="C7832" s="5"/>
      <c r="D7832" s="5"/>
      <c r="E7832" s="5"/>
      <c r="F7832" s="25">
        <f>IFERROR(__xludf.DUMMYFUNCTION("""COMPUTED_VALUE"""),500000.0)</f>
        <v>500000</v>
      </c>
      <c r="G7832" s="25">
        <f>IFERROR(__xludf.DUMMYFUNCTION("""COMPUTED_VALUE"""),0.0)</f>
        <v>0</v>
      </c>
      <c r="H7832" s="8">
        <f>IFERROR(__xludf.DUMMYFUNCTION("""COMPUTED_VALUE"""),503852.1255425)</f>
        <v>503852.1255</v>
      </c>
      <c r="I7832" s="24">
        <f>IFERROR(__xludf.DUMMYFUNCTION("""COMPUTED_VALUE"""),0.007704251085000058)</f>
        <v>0.007704251085</v>
      </c>
    </row>
    <row r="7833">
      <c r="A7833" s="5" t="str">
        <f>IFERROR(__xludf.DUMMYFUNCTION("""COMPUTED_VALUE"""),"Steve")</f>
        <v>Steve</v>
      </c>
      <c r="B7833" s="64">
        <f>IFERROR(__xludf.DUMMYFUNCTION("""COMPUTED_VALUE"""),44653.0)</f>
        <v>44653</v>
      </c>
      <c r="C7833" s="5"/>
      <c r="D7833" s="5"/>
      <c r="E7833" s="5"/>
      <c r="F7833" s="25">
        <f>IFERROR(__xludf.DUMMYFUNCTION("""COMPUTED_VALUE"""),500000.0)</f>
        <v>500000</v>
      </c>
      <c r="G7833" s="25">
        <f>IFERROR(__xludf.DUMMYFUNCTION("""COMPUTED_VALUE"""),0.0)</f>
        <v>0</v>
      </c>
      <c r="H7833" s="8">
        <f>IFERROR(__xludf.DUMMYFUNCTION("""COMPUTED_VALUE"""),503852.1255425)</f>
        <v>503852.1255</v>
      </c>
      <c r="I7833" s="24">
        <f>IFERROR(__xludf.DUMMYFUNCTION("""COMPUTED_VALUE"""),0.007704251085000058)</f>
        <v>0.007704251085</v>
      </c>
    </row>
    <row r="7834">
      <c r="A7834" s="5" t="str">
        <f>IFERROR(__xludf.DUMMYFUNCTION("""COMPUTED_VALUE"""),"Steve")</f>
        <v>Steve</v>
      </c>
      <c r="B7834" s="64">
        <f>IFERROR(__xludf.DUMMYFUNCTION("""COMPUTED_VALUE"""),44654.0)</f>
        <v>44654</v>
      </c>
      <c r="C7834" s="5"/>
      <c r="D7834" s="5"/>
      <c r="E7834" s="5"/>
      <c r="F7834" s="25">
        <f>IFERROR(__xludf.DUMMYFUNCTION("""COMPUTED_VALUE"""),500000.0)</f>
        <v>500000</v>
      </c>
      <c r="G7834" s="25">
        <f>IFERROR(__xludf.DUMMYFUNCTION("""COMPUTED_VALUE"""),0.0)</f>
        <v>0</v>
      </c>
      <c r="H7834" s="8">
        <f>IFERROR(__xludf.DUMMYFUNCTION("""COMPUTED_VALUE"""),503852.1255425)</f>
        <v>503852.1255</v>
      </c>
      <c r="I7834" s="24">
        <f>IFERROR(__xludf.DUMMYFUNCTION("""COMPUTED_VALUE"""),0.007704251085000058)</f>
        <v>0.007704251085</v>
      </c>
    </row>
    <row r="7835">
      <c r="A7835" s="5" t="str">
        <f>IFERROR(__xludf.DUMMYFUNCTION("""COMPUTED_VALUE"""),"Steve")</f>
        <v>Steve</v>
      </c>
      <c r="B7835" s="64">
        <f>IFERROR(__xludf.DUMMYFUNCTION("""COMPUTED_VALUE"""),44655.0)</f>
        <v>44655</v>
      </c>
      <c r="C7835" s="5"/>
      <c r="D7835" s="5"/>
      <c r="E7835" s="5"/>
      <c r="F7835" s="25">
        <f>IFERROR(__xludf.DUMMYFUNCTION("""COMPUTED_VALUE"""),500000.0)</f>
        <v>500000</v>
      </c>
      <c r="G7835" s="25">
        <f>IFERROR(__xludf.DUMMYFUNCTION("""COMPUTED_VALUE"""),0.0)</f>
        <v>0</v>
      </c>
      <c r="H7835" s="8">
        <f>IFERROR(__xludf.DUMMYFUNCTION("""COMPUTED_VALUE"""),504598.173365)</f>
        <v>504598.1734</v>
      </c>
      <c r="I7835" s="24">
        <f>IFERROR(__xludf.DUMMYFUNCTION("""COMPUTED_VALUE"""),0.009196346730000027)</f>
        <v>0.00919634673</v>
      </c>
    </row>
    <row r="7836">
      <c r="A7836" s="5" t="str">
        <f>IFERROR(__xludf.DUMMYFUNCTION("""COMPUTED_VALUE"""),"Steve")</f>
        <v>Steve</v>
      </c>
      <c r="B7836" s="64">
        <f>IFERROR(__xludf.DUMMYFUNCTION("""COMPUTED_VALUE"""),44656.0)</f>
        <v>44656</v>
      </c>
      <c r="C7836" s="5"/>
      <c r="D7836" s="5"/>
      <c r="E7836" s="5"/>
      <c r="F7836" s="25">
        <f>IFERROR(__xludf.DUMMYFUNCTION("""COMPUTED_VALUE"""),500000.0)</f>
        <v>500000</v>
      </c>
      <c r="G7836" s="25">
        <f>IFERROR(__xludf.DUMMYFUNCTION("""COMPUTED_VALUE"""),0.0)</f>
        <v>0</v>
      </c>
      <c r="H7836" s="8">
        <f>IFERROR(__xludf.DUMMYFUNCTION("""COMPUTED_VALUE"""),503929.2787175)</f>
        <v>503929.2787</v>
      </c>
      <c r="I7836" s="24">
        <f>IFERROR(__xludf.DUMMYFUNCTION("""COMPUTED_VALUE"""),0.007858557434999858)</f>
        <v>0.007858557435</v>
      </c>
    </row>
    <row r="7837">
      <c r="A7837" s="5" t="str">
        <f>IFERROR(__xludf.DUMMYFUNCTION("""COMPUTED_VALUE"""),"Steve")</f>
        <v>Steve</v>
      </c>
      <c r="B7837" s="64">
        <f>IFERROR(__xludf.DUMMYFUNCTION("""COMPUTED_VALUE"""),44657.0)</f>
        <v>44657</v>
      </c>
      <c r="C7837" s="5"/>
      <c r="D7837" s="5"/>
      <c r="E7837" s="5"/>
      <c r="F7837" s="25">
        <f>IFERROR(__xludf.DUMMYFUNCTION("""COMPUTED_VALUE"""),500000.0)</f>
        <v>500000</v>
      </c>
      <c r="G7837" s="25">
        <f>IFERROR(__xludf.DUMMYFUNCTION("""COMPUTED_VALUE"""),0.0)</f>
        <v>0</v>
      </c>
      <c r="H7837" s="8">
        <f>IFERROR(__xludf.DUMMYFUNCTION("""COMPUTED_VALUE"""),503103.3500825)</f>
        <v>503103.3501</v>
      </c>
      <c r="I7837" s="24">
        <f>IFERROR(__xludf.DUMMYFUNCTION("""COMPUTED_VALUE"""),0.006206700165000134)</f>
        <v>0.006206700165</v>
      </c>
    </row>
    <row r="7838">
      <c r="A7838" s="5" t="str">
        <f>IFERROR(__xludf.DUMMYFUNCTION("""COMPUTED_VALUE"""),"Steve")</f>
        <v>Steve</v>
      </c>
      <c r="B7838" s="64">
        <f>IFERROR(__xludf.DUMMYFUNCTION("""COMPUTED_VALUE"""),44658.0)</f>
        <v>44658</v>
      </c>
      <c r="C7838" s="5"/>
      <c r="D7838" s="5"/>
      <c r="E7838" s="5"/>
      <c r="F7838" s="25">
        <f>IFERROR(__xludf.DUMMYFUNCTION("""COMPUTED_VALUE"""),500000.0)</f>
        <v>500000</v>
      </c>
      <c r="G7838" s="25">
        <f>IFERROR(__xludf.DUMMYFUNCTION("""COMPUTED_VALUE"""),0.0)</f>
        <v>0</v>
      </c>
      <c r="H7838" s="8">
        <f>IFERROR(__xludf.DUMMYFUNCTION("""COMPUTED_VALUE"""),502931.19719)</f>
        <v>502931.1972</v>
      </c>
      <c r="I7838" s="24">
        <f>IFERROR(__xludf.DUMMYFUNCTION("""COMPUTED_VALUE"""),0.0058623943800000244)</f>
        <v>0.00586239438</v>
      </c>
    </row>
    <row r="7839">
      <c r="A7839" s="5" t="str">
        <f>IFERROR(__xludf.DUMMYFUNCTION("""COMPUTED_VALUE"""),"Steve")</f>
        <v>Steve</v>
      </c>
      <c r="B7839" s="64">
        <f>IFERROR(__xludf.DUMMYFUNCTION("""COMPUTED_VALUE"""),44659.0)</f>
        <v>44659</v>
      </c>
      <c r="C7839" s="5"/>
      <c r="D7839" s="5"/>
      <c r="E7839" s="5"/>
      <c r="F7839" s="25">
        <f>IFERROR(__xludf.DUMMYFUNCTION("""COMPUTED_VALUE"""),500000.0)</f>
        <v>500000</v>
      </c>
      <c r="G7839" s="25">
        <f>IFERROR(__xludf.DUMMYFUNCTION("""COMPUTED_VALUE"""),0.0)</f>
        <v>0</v>
      </c>
      <c r="H7839" s="8">
        <f>IFERROR(__xludf.DUMMYFUNCTION("""COMPUTED_VALUE"""),502433.831975)</f>
        <v>502433.832</v>
      </c>
      <c r="I7839" s="24">
        <f>IFERROR(__xludf.DUMMYFUNCTION("""COMPUTED_VALUE"""),0.004867663950000045)</f>
        <v>0.00486766395</v>
      </c>
    </row>
    <row r="7840">
      <c r="A7840" s="5" t="str">
        <f>IFERROR(__xludf.DUMMYFUNCTION("""COMPUTED_VALUE"""),"Steve")</f>
        <v>Steve</v>
      </c>
      <c r="B7840" s="64">
        <f>IFERROR(__xludf.DUMMYFUNCTION("""COMPUTED_VALUE"""),44660.0)</f>
        <v>44660</v>
      </c>
      <c r="C7840" s="5"/>
      <c r="D7840" s="5"/>
      <c r="E7840" s="5"/>
      <c r="F7840" s="25">
        <f>IFERROR(__xludf.DUMMYFUNCTION("""COMPUTED_VALUE"""),500000.0)</f>
        <v>500000</v>
      </c>
      <c r="G7840" s="25">
        <f>IFERROR(__xludf.DUMMYFUNCTION("""COMPUTED_VALUE"""),0.0)</f>
        <v>0</v>
      </c>
      <c r="H7840" s="8">
        <f>IFERROR(__xludf.DUMMYFUNCTION("""COMPUTED_VALUE"""),502433.831975)</f>
        <v>502433.832</v>
      </c>
      <c r="I7840" s="24">
        <f>IFERROR(__xludf.DUMMYFUNCTION("""COMPUTED_VALUE"""),0.004867663950000045)</f>
        <v>0.00486766395</v>
      </c>
    </row>
    <row r="7841">
      <c r="A7841" s="5" t="str">
        <f>IFERROR(__xludf.DUMMYFUNCTION("""COMPUTED_VALUE"""),"Steve")</f>
        <v>Steve</v>
      </c>
      <c r="B7841" s="64">
        <f>IFERROR(__xludf.DUMMYFUNCTION("""COMPUTED_VALUE"""),44661.0)</f>
        <v>44661</v>
      </c>
      <c r="C7841" s="5"/>
      <c r="D7841" s="5"/>
      <c r="E7841" s="5"/>
      <c r="F7841" s="25">
        <f>IFERROR(__xludf.DUMMYFUNCTION("""COMPUTED_VALUE"""),500000.0)</f>
        <v>500000</v>
      </c>
      <c r="G7841" s="25">
        <f>IFERROR(__xludf.DUMMYFUNCTION("""COMPUTED_VALUE"""),0.0)</f>
        <v>0</v>
      </c>
      <c r="H7841" s="8">
        <f>IFERROR(__xludf.DUMMYFUNCTION("""COMPUTED_VALUE"""),502433.831975)</f>
        <v>502433.832</v>
      </c>
      <c r="I7841" s="24">
        <f>IFERROR(__xludf.DUMMYFUNCTION("""COMPUTED_VALUE"""),0.004867663950000045)</f>
        <v>0.00486766395</v>
      </c>
    </row>
    <row r="7842">
      <c r="A7842" s="5" t="str">
        <f>IFERROR(__xludf.DUMMYFUNCTION("""COMPUTED_VALUE"""),"Steve")</f>
        <v>Steve</v>
      </c>
      <c r="B7842" s="64">
        <f>IFERROR(__xludf.DUMMYFUNCTION("""COMPUTED_VALUE"""),44662.0)</f>
        <v>44662</v>
      </c>
      <c r="C7842" s="5"/>
      <c r="D7842" s="5"/>
      <c r="E7842" s="5"/>
      <c r="F7842" s="25">
        <f>IFERROR(__xludf.DUMMYFUNCTION("""COMPUTED_VALUE"""),500000.0)</f>
        <v>500000</v>
      </c>
      <c r="G7842" s="25">
        <f>IFERROR(__xludf.DUMMYFUNCTION("""COMPUTED_VALUE"""),0.0)</f>
        <v>0</v>
      </c>
      <c r="H7842" s="8">
        <f>IFERROR(__xludf.DUMMYFUNCTION("""COMPUTED_VALUE"""),501913.4766725)</f>
        <v>501913.4767</v>
      </c>
      <c r="I7842" s="24">
        <f>IFERROR(__xludf.DUMMYFUNCTION("""COMPUTED_VALUE"""),0.0038269533449999393)</f>
        <v>0.003826953345</v>
      </c>
    </row>
    <row r="7843">
      <c r="A7843" s="5" t="str">
        <f>IFERROR(__xludf.DUMMYFUNCTION("""COMPUTED_VALUE"""),"Steve")</f>
        <v>Steve</v>
      </c>
      <c r="B7843" s="64">
        <f>IFERROR(__xludf.DUMMYFUNCTION("""COMPUTED_VALUE"""),44663.0)</f>
        <v>44663</v>
      </c>
      <c r="C7843" s="5"/>
      <c r="D7843" s="5"/>
      <c r="E7843" s="5"/>
      <c r="F7843" s="25">
        <f>IFERROR(__xludf.DUMMYFUNCTION("""COMPUTED_VALUE"""),500000.0)</f>
        <v>500000</v>
      </c>
      <c r="G7843" s="25">
        <f>IFERROR(__xludf.DUMMYFUNCTION("""COMPUTED_VALUE"""),0.0)</f>
        <v>0</v>
      </c>
      <c r="H7843" s="8">
        <f>IFERROR(__xludf.DUMMYFUNCTION("""COMPUTED_VALUE"""),501861.33983)</f>
        <v>501861.3398</v>
      </c>
      <c r="I7843" s="24">
        <f>IFERROR(__xludf.DUMMYFUNCTION("""COMPUTED_VALUE"""),0.003722679660000061)</f>
        <v>0.00372267966</v>
      </c>
    </row>
    <row r="7844">
      <c r="A7844" s="5" t="str">
        <f>IFERROR(__xludf.DUMMYFUNCTION("""COMPUTED_VALUE"""),"TraderX")</f>
        <v>TraderX</v>
      </c>
      <c r="B7844" s="64">
        <f>IFERROR(__xludf.DUMMYFUNCTION("""COMPUTED_VALUE"""),44597.0)</f>
        <v>44597</v>
      </c>
      <c r="C7844" s="5"/>
      <c r="D7844" s="5"/>
      <c r="E7844" s="5"/>
      <c r="F7844" s="25">
        <f>IFERROR(__xludf.DUMMYFUNCTION("""COMPUTED_VALUE"""),500000.0)</f>
        <v>500000</v>
      </c>
      <c r="G7844" s="25">
        <f>IFERROR(__xludf.DUMMYFUNCTION("""COMPUTED_VALUE"""),0.0)</f>
        <v>0</v>
      </c>
      <c r="H7844" s="8">
        <f>IFERROR(__xludf.DUMMYFUNCTION("""COMPUTED_VALUE"""),500000.0)</f>
        <v>500000</v>
      </c>
      <c r="I7844" s="24">
        <f>IFERROR(__xludf.DUMMYFUNCTION("""COMPUTED_VALUE"""),0.0)</f>
        <v>0</v>
      </c>
    </row>
    <row r="7845">
      <c r="A7845" s="5" t="str">
        <f>IFERROR(__xludf.DUMMYFUNCTION("""COMPUTED_VALUE"""),"TraderX")</f>
        <v>TraderX</v>
      </c>
      <c r="B7845" s="64">
        <f>IFERROR(__xludf.DUMMYFUNCTION("""COMPUTED_VALUE"""),44598.0)</f>
        <v>44598</v>
      </c>
      <c r="C7845" s="5"/>
      <c r="D7845" s="5"/>
      <c r="E7845" s="5"/>
      <c r="F7845" s="25">
        <f>IFERROR(__xludf.DUMMYFUNCTION("""COMPUTED_VALUE"""),500000.0)</f>
        <v>500000</v>
      </c>
      <c r="G7845" s="25">
        <f>IFERROR(__xludf.DUMMYFUNCTION("""COMPUTED_VALUE"""),0.0)</f>
        <v>0</v>
      </c>
      <c r="H7845" s="8">
        <f>IFERROR(__xludf.DUMMYFUNCTION("""COMPUTED_VALUE"""),500000.0)</f>
        <v>500000</v>
      </c>
      <c r="I7845" s="24">
        <f>IFERROR(__xludf.DUMMYFUNCTION("""COMPUTED_VALUE"""),0.0)</f>
        <v>0</v>
      </c>
    </row>
    <row r="7846">
      <c r="A7846" s="5" t="str">
        <f>IFERROR(__xludf.DUMMYFUNCTION("""COMPUTED_VALUE"""),"TraderX")</f>
        <v>TraderX</v>
      </c>
      <c r="B7846" s="64">
        <f>IFERROR(__xludf.DUMMYFUNCTION("""COMPUTED_VALUE"""),44599.0)</f>
        <v>44599</v>
      </c>
      <c r="C7846" s="5"/>
      <c r="D7846" s="5"/>
      <c r="E7846" s="5"/>
      <c r="F7846" s="25">
        <f>IFERROR(__xludf.DUMMYFUNCTION("""COMPUTED_VALUE"""),500000.0)</f>
        <v>500000</v>
      </c>
      <c r="G7846" s="25">
        <f>IFERROR(__xludf.DUMMYFUNCTION("""COMPUTED_VALUE"""),0.0)</f>
        <v>0</v>
      </c>
      <c r="H7846" s="8">
        <f>IFERROR(__xludf.DUMMYFUNCTION("""COMPUTED_VALUE"""),500000.0)</f>
        <v>500000</v>
      </c>
      <c r="I7846" s="24">
        <f>IFERROR(__xludf.DUMMYFUNCTION("""COMPUTED_VALUE"""),0.0)</f>
        <v>0</v>
      </c>
    </row>
    <row r="7847">
      <c r="A7847" s="5" t="str">
        <f>IFERROR(__xludf.DUMMYFUNCTION("""COMPUTED_VALUE"""),"TraderX")</f>
        <v>TraderX</v>
      </c>
      <c r="B7847" s="64">
        <f>IFERROR(__xludf.DUMMYFUNCTION("""COMPUTED_VALUE"""),44600.0)</f>
        <v>44600</v>
      </c>
      <c r="C7847" s="5"/>
      <c r="D7847" s="5"/>
      <c r="E7847" s="5"/>
      <c r="F7847" s="25">
        <f>IFERROR(__xludf.DUMMYFUNCTION("""COMPUTED_VALUE"""),500000.0)</f>
        <v>500000</v>
      </c>
      <c r="G7847" s="25">
        <f>IFERROR(__xludf.DUMMYFUNCTION("""COMPUTED_VALUE"""),0.0)</f>
        <v>0</v>
      </c>
      <c r="H7847" s="8">
        <f>IFERROR(__xludf.DUMMYFUNCTION("""COMPUTED_VALUE"""),500000.0)</f>
        <v>500000</v>
      </c>
      <c r="I7847" s="24">
        <f>IFERROR(__xludf.DUMMYFUNCTION("""COMPUTED_VALUE"""),0.0)</f>
        <v>0</v>
      </c>
    </row>
    <row r="7848">
      <c r="A7848" s="5" t="str">
        <f>IFERROR(__xludf.DUMMYFUNCTION("""COMPUTED_VALUE"""),"TraderX")</f>
        <v>TraderX</v>
      </c>
      <c r="B7848" s="64">
        <f>IFERROR(__xludf.DUMMYFUNCTION("""COMPUTED_VALUE"""),44601.0)</f>
        <v>44601</v>
      </c>
      <c r="C7848" s="5"/>
      <c r="D7848" s="5"/>
      <c r="E7848" s="5"/>
      <c r="F7848" s="25">
        <f>IFERROR(__xludf.DUMMYFUNCTION("""COMPUTED_VALUE"""),500000.0)</f>
        <v>500000</v>
      </c>
      <c r="G7848" s="25">
        <f>IFERROR(__xludf.DUMMYFUNCTION("""COMPUTED_VALUE"""),0.0)</f>
        <v>0</v>
      </c>
      <c r="H7848" s="8">
        <f>IFERROR(__xludf.DUMMYFUNCTION("""COMPUTED_VALUE"""),500000.0)</f>
        <v>500000</v>
      </c>
      <c r="I7848" s="24">
        <f>IFERROR(__xludf.DUMMYFUNCTION("""COMPUTED_VALUE"""),0.0)</f>
        <v>0</v>
      </c>
    </row>
    <row r="7849">
      <c r="A7849" s="5" t="str">
        <f>IFERROR(__xludf.DUMMYFUNCTION("""COMPUTED_VALUE"""),"TraderX")</f>
        <v>TraderX</v>
      </c>
      <c r="B7849" s="64">
        <f>IFERROR(__xludf.DUMMYFUNCTION("""COMPUTED_VALUE"""),44602.0)</f>
        <v>44602</v>
      </c>
      <c r="C7849" s="5"/>
      <c r="D7849" s="5"/>
      <c r="E7849" s="5"/>
      <c r="F7849" s="25">
        <f>IFERROR(__xludf.DUMMYFUNCTION("""COMPUTED_VALUE"""),500000.0)</f>
        <v>500000</v>
      </c>
      <c r="G7849" s="25">
        <f>IFERROR(__xludf.DUMMYFUNCTION("""COMPUTED_VALUE"""),0.0)</f>
        <v>0</v>
      </c>
      <c r="H7849" s="8">
        <f>IFERROR(__xludf.DUMMYFUNCTION("""COMPUTED_VALUE"""),500000.0)</f>
        <v>500000</v>
      </c>
      <c r="I7849" s="24">
        <f>IFERROR(__xludf.DUMMYFUNCTION("""COMPUTED_VALUE"""),0.0)</f>
        <v>0</v>
      </c>
    </row>
    <row r="7850">
      <c r="A7850" s="5" t="str">
        <f>IFERROR(__xludf.DUMMYFUNCTION("""COMPUTED_VALUE"""),"TraderX")</f>
        <v>TraderX</v>
      </c>
      <c r="B7850" s="64">
        <f>IFERROR(__xludf.DUMMYFUNCTION("""COMPUTED_VALUE"""),44603.0)</f>
        <v>44603</v>
      </c>
      <c r="C7850" s="5"/>
      <c r="D7850" s="5"/>
      <c r="E7850" s="5"/>
      <c r="F7850" s="25">
        <f>IFERROR(__xludf.DUMMYFUNCTION("""COMPUTED_VALUE"""),500000.0)</f>
        <v>500000</v>
      </c>
      <c r="G7850" s="25">
        <f>IFERROR(__xludf.DUMMYFUNCTION("""COMPUTED_VALUE"""),0.0)</f>
        <v>0</v>
      </c>
      <c r="H7850" s="8">
        <f>IFERROR(__xludf.DUMMYFUNCTION("""COMPUTED_VALUE"""),500000.0)</f>
        <v>500000</v>
      </c>
      <c r="I7850" s="24">
        <f>IFERROR(__xludf.DUMMYFUNCTION("""COMPUTED_VALUE"""),0.0)</f>
        <v>0</v>
      </c>
    </row>
    <row r="7851">
      <c r="A7851" s="5" t="str">
        <f>IFERROR(__xludf.DUMMYFUNCTION("""COMPUTED_VALUE"""),"TraderX")</f>
        <v>TraderX</v>
      </c>
      <c r="B7851" s="64">
        <f>IFERROR(__xludf.DUMMYFUNCTION("""COMPUTED_VALUE"""),44604.0)</f>
        <v>44604</v>
      </c>
      <c r="C7851" s="5"/>
      <c r="D7851" s="5"/>
      <c r="E7851" s="5"/>
      <c r="F7851" s="25">
        <f>IFERROR(__xludf.DUMMYFUNCTION("""COMPUTED_VALUE"""),500000.0)</f>
        <v>500000</v>
      </c>
      <c r="G7851" s="25">
        <f>IFERROR(__xludf.DUMMYFUNCTION("""COMPUTED_VALUE"""),0.0)</f>
        <v>0</v>
      </c>
      <c r="H7851" s="8">
        <f>IFERROR(__xludf.DUMMYFUNCTION("""COMPUTED_VALUE"""),500000.0)</f>
        <v>500000</v>
      </c>
      <c r="I7851" s="24">
        <f>IFERROR(__xludf.DUMMYFUNCTION("""COMPUTED_VALUE"""),0.0)</f>
        <v>0</v>
      </c>
    </row>
    <row r="7852">
      <c r="A7852" s="5" t="str">
        <f>IFERROR(__xludf.DUMMYFUNCTION("""COMPUTED_VALUE"""),"TraderX")</f>
        <v>TraderX</v>
      </c>
      <c r="B7852" s="64">
        <f>IFERROR(__xludf.DUMMYFUNCTION("""COMPUTED_VALUE"""),44605.0)</f>
        <v>44605</v>
      </c>
      <c r="C7852" s="5"/>
      <c r="D7852" s="5"/>
      <c r="E7852" s="5"/>
      <c r="F7852" s="25">
        <f>IFERROR(__xludf.DUMMYFUNCTION("""COMPUTED_VALUE"""),500000.0)</f>
        <v>500000</v>
      </c>
      <c r="G7852" s="25">
        <f>IFERROR(__xludf.DUMMYFUNCTION("""COMPUTED_VALUE"""),0.0)</f>
        <v>0</v>
      </c>
      <c r="H7852" s="8">
        <f>IFERROR(__xludf.DUMMYFUNCTION("""COMPUTED_VALUE"""),500000.0)</f>
        <v>500000</v>
      </c>
      <c r="I7852" s="24">
        <f>IFERROR(__xludf.DUMMYFUNCTION("""COMPUTED_VALUE"""),0.0)</f>
        <v>0</v>
      </c>
    </row>
    <row r="7853">
      <c r="A7853" s="5" t="str">
        <f>IFERROR(__xludf.DUMMYFUNCTION("""COMPUTED_VALUE"""),"TraderX")</f>
        <v>TraderX</v>
      </c>
      <c r="B7853" s="64">
        <f>IFERROR(__xludf.DUMMYFUNCTION("""COMPUTED_VALUE"""),44606.0)</f>
        <v>44606</v>
      </c>
      <c r="C7853" s="5"/>
      <c r="D7853" s="5"/>
      <c r="E7853" s="5"/>
      <c r="F7853" s="25">
        <f>IFERROR(__xludf.DUMMYFUNCTION("""COMPUTED_VALUE"""),500000.0)</f>
        <v>500000</v>
      </c>
      <c r="G7853" s="25">
        <f>IFERROR(__xludf.DUMMYFUNCTION("""COMPUTED_VALUE"""),0.0)</f>
        <v>0</v>
      </c>
      <c r="H7853" s="8">
        <f>IFERROR(__xludf.DUMMYFUNCTION("""COMPUTED_VALUE"""),500000.0)</f>
        <v>500000</v>
      </c>
      <c r="I7853" s="24">
        <f>IFERROR(__xludf.DUMMYFUNCTION("""COMPUTED_VALUE"""),0.0)</f>
        <v>0</v>
      </c>
    </row>
    <row r="7854">
      <c r="A7854" s="5" t="str">
        <f>IFERROR(__xludf.DUMMYFUNCTION("""COMPUTED_VALUE"""),"TraderX")</f>
        <v>TraderX</v>
      </c>
      <c r="B7854" s="64">
        <f>IFERROR(__xludf.DUMMYFUNCTION("""COMPUTED_VALUE"""),44607.0)</f>
        <v>44607</v>
      </c>
      <c r="C7854" s="5"/>
      <c r="D7854" s="5"/>
      <c r="E7854" s="5"/>
      <c r="F7854" s="25">
        <f>IFERROR(__xludf.DUMMYFUNCTION("""COMPUTED_VALUE"""),500000.0)</f>
        <v>500000</v>
      </c>
      <c r="G7854" s="25">
        <f>IFERROR(__xludf.DUMMYFUNCTION("""COMPUTED_VALUE"""),0.0)</f>
        <v>0</v>
      </c>
      <c r="H7854" s="8">
        <f>IFERROR(__xludf.DUMMYFUNCTION("""COMPUTED_VALUE"""),500000.0)</f>
        <v>500000</v>
      </c>
      <c r="I7854" s="24">
        <f>IFERROR(__xludf.DUMMYFUNCTION("""COMPUTED_VALUE"""),0.0)</f>
        <v>0</v>
      </c>
    </row>
    <row r="7855">
      <c r="A7855" s="5" t="str">
        <f>IFERROR(__xludf.DUMMYFUNCTION("""COMPUTED_VALUE"""),"TraderX")</f>
        <v>TraderX</v>
      </c>
      <c r="B7855" s="64">
        <f>IFERROR(__xludf.DUMMYFUNCTION("""COMPUTED_VALUE"""),44608.0)</f>
        <v>44608</v>
      </c>
      <c r="C7855" s="5"/>
      <c r="D7855" s="5"/>
      <c r="E7855" s="5"/>
      <c r="F7855" s="25">
        <f>IFERROR(__xludf.DUMMYFUNCTION("""COMPUTED_VALUE"""),500000.0)</f>
        <v>500000</v>
      </c>
      <c r="G7855" s="25">
        <f>IFERROR(__xludf.DUMMYFUNCTION("""COMPUTED_VALUE"""),0.0)</f>
        <v>0</v>
      </c>
      <c r="H7855" s="8">
        <f>IFERROR(__xludf.DUMMYFUNCTION("""COMPUTED_VALUE"""),500000.0)</f>
        <v>500000</v>
      </c>
      <c r="I7855" s="24">
        <f>IFERROR(__xludf.DUMMYFUNCTION("""COMPUTED_VALUE"""),0.0)</f>
        <v>0</v>
      </c>
    </row>
    <row r="7856">
      <c r="A7856" s="5" t="str">
        <f>IFERROR(__xludf.DUMMYFUNCTION("""COMPUTED_VALUE"""),"TraderX")</f>
        <v>TraderX</v>
      </c>
      <c r="B7856" s="64">
        <f>IFERROR(__xludf.DUMMYFUNCTION("""COMPUTED_VALUE"""),44609.0)</f>
        <v>44609</v>
      </c>
      <c r="C7856" s="5"/>
      <c r="D7856" s="5"/>
      <c r="E7856" s="5"/>
      <c r="F7856" s="25">
        <f>IFERROR(__xludf.DUMMYFUNCTION("""COMPUTED_VALUE"""),499000.0)</f>
        <v>499000</v>
      </c>
      <c r="G7856" s="25">
        <f>IFERROR(__xludf.DUMMYFUNCTION("""COMPUTED_VALUE"""),0.0)</f>
        <v>0</v>
      </c>
      <c r="H7856" s="8">
        <f>IFERROR(__xludf.DUMMYFUNCTION("""COMPUTED_VALUE"""),500000.0)</f>
        <v>500000</v>
      </c>
      <c r="I7856" s="24">
        <f>IFERROR(__xludf.DUMMYFUNCTION("""COMPUTED_VALUE"""),0.0)</f>
        <v>0</v>
      </c>
    </row>
    <row r="7857">
      <c r="A7857" s="5" t="str">
        <f>IFERROR(__xludf.DUMMYFUNCTION("""COMPUTED_VALUE"""),"TraderX")</f>
        <v>TraderX</v>
      </c>
      <c r="B7857" s="64">
        <f>IFERROR(__xludf.DUMMYFUNCTION("""COMPUTED_VALUE"""),44610.0)</f>
        <v>44610</v>
      </c>
      <c r="C7857" s="5"/>
      <c r="D7857" s="5"/>
      <c r="E7857" s="5"/>
      <c r="F7857" s="25">
        <f>IFERROR(__xludf.DUMMYFUNCTION("""COMPUTED_VALUE"""),499000.0)</f>
        <v>499000</v>
      </c>
      <c r="G7857" s="25">
        <f>IFERROR(__xludf.DUMMYFUNCTION("""COMPUTED_VALUE"""),0.0)</f>
        <v>0</v>
      </c>
      <c r="H7857" s="8">
        <f>IFERROR(__xludf.DUMMYFUNCTION("""COMPUTED_VALUE"""),530884.4954)</f>
        <v>530884.4954</v>
      </c>
      <c r="I7857" s="24">
        <f>IFERROR(__xludf.DUMMYFUNCTION("""COMPUTED_VALUE"""),0.06176899080000009)</f>
        <v>0.0617689908</v>
      </c>
    </row>
    <row r="7858">
      <c r="A7858" s="5" t="str">
        <f>IFERROR(__xludf.DUMMYFUNCTION("""COMPUTED_VALUE"""),"TraderX")</f>
        <v>TraderX</v>
      </c>
      <c r="B7858" s="64">
        <f>IFERROR(__xludf.DUMMYFUNCTION("""COMPUTED_VALUE"""),44611.0)</f>
        <v>44611</v>
      </c>
      <c r="C7858" s="5"/>
      <c r="D7858" s="5"/>
      <c r="E7858" s="5"/>
      <c r="F7858" s="25">
        <f>IFERROR(__xludf.DUMMYFUNCTION("""COMPUTED_VALUE"""),499000.0)</f>
        <v>499000</v>
      </c>
      <c r="G7858" s="25">
        <f>IFERROR(__xludf.DUMMYFUNCTION("""COMPUTED_VALUE"""),0.0)</f>
        <v>0</v>
      </c>
      <c r="H7858" s="8">
        <f>IFERROR(__xludf.DUMMYFUNCTION("""COMPUTED_VALUE"""),530884.4954)</f>
        <v>530884.4954</v>
      </c>
      <c r="I7858" s="24">
        <f>IFERROR(__xludf.DUMMYFUNCTION("""COMPUTED_VALUE"""),0.06176899080000009)</f>
        <v>0.0617689908</v>
      </c>
    </row>
    <row r="7859">
      <c r="A7859" s="5" t="str">
        <f>IFERROR(__xludf.DUMMYFUNCTION("""COMPUTED_VALUE"""),"TraderX")</f>
        <v>TraderX</v>
      </c>
      <c r="B7859" s="64">
        <f>IFERROR(__xludf.DUMMYFUNCTION("""COMPUTED_VALUE"""),44612.0)</f>
        <v>44612</v>
      </c>
      <c r="C7859" s="5"/>
      <c r="D7859" s="5"/>
      <c r="E7859" s="5"/>
      <c r="F7859" s="25">
        <f>IFERROR(__xludf.DUMMYFUNCTION("""COMPUTED_VALUE"""),499000.0)</f>
        <v>499000</v>
      </c>
      <c r="G7859" s="25">
        <f>IFERROR(__xludf.DUMMYFUNCTION("""COMPUTED_VALUE"""),0.0)</f>
        <v>0</v>
      </c>
      <c r="H7859" s="8">
        <f>IFERROR(__xludf.DUMMYFUNCTION("""COMPUTED_VALUE"""),530884.4954)</f>
        <v>530884.4954</v>
      </c>
      <c r="I7859" s="24">
        <f>IFERROR(__xludf.DUMMYFUNCTION("""COMPUTED_VALUE"""),0.06176899080000009)</f>
        <v>0.0617689908</v>
      </c>
    </row>
    <row r="7860">
      <c r="A7860" s="5" t="str">
        <f>IFERROR(__xludf.DUMMYFUNCTION("""COMPUTED_VALUE"""),"TraderX")</f>
        <v>TraderX</v>
      </c>
      <c r="B7860" s="64">
        <f>IFERROR(__xludf.DUMMYFUNCTION("""COMPUTED_VALUE"""),44613.0)</f>
        <v>44613</v>
      </c>
      <c r="C7860" s="5"/>
      <c r="D7860" s="5"/>
      <c r="E7860" s="5"/>
      <c r="F7860" s="25">
        <f>IFERROR(__xludf.DUMMYFUNCTION("""COMPUTED_VALUE"""),499000.0)</f>
        <v>499000</v>
      </c>
      <c r="G7860" s="25">
        <f>IFERROR(__xludf.DUMMYFUNCTION("""COMPUTED_VALUE"""),0.0)</f>
        <v>0</v>
      </c>
      <c r="H7860" s="8">
        <f>IFERROR(__xludf.DUMMYFUNCTION("""COMPUTED_VALUE"""),530884.4954)</f>
        <v>530884.4954</v>
      </c>
      <c r="I7860" s="24">
        <f>IFERROR(__xludf.DUMMYFUNCTION("""COMPUTED_VALUE"""),0.06176899080000009)</f>
        <v>0.0617689908</v>
      </c>
    </row>
    <row r="7861">
      <c r="A7861" s="5" t="str">
        <f>IFERROR(__xludf.DUMMYFUNCTION("""COMPUTED_VALUE"""),"TraderX")</f>
        <v>TraderX</v>
      </c>
      <c r="B7861" s="64">
        <f>IFERROR(__xludf.DUMMYFUNCTION("""COMPUTED_VALUE"""),44614.0)</f>
        <v>44614</v>
      </c>
      <c r="C7861" s="5"/>
      <c r="D7861" s="5"/>
      <c r="E7861" s="5"/>
      <c r="F7861" s="25">
        <f>IFERROR(__xludf.DUMMYFUNCTION("""COMPUTED_VALUE"""),499000.0)</f>
        <v>499000</v>
      </c>
      <c r="G7861" s="25">
        <f>IFERROR(__xludf.DUMMYFUNCTION("""COMPUTED_VALUE"""),0.0)</f>
        <v>0</v>
      </c>
      <c r="H7861" s="8">
        <f>IFERROR(__xludf.DUMMYFUNCTION("""COMPUTED_VALUE"""),530884.4954)</f>
        <v>530884.4954</v>
      </c>
      <c r="I7861" s="24">
        <f>IFERROR(__xludf.DUMMYFUNCTION("""COMPUTED_VALUE"""),0.06176899080000009)</f>
        <v>0.0617689908</v>
      </c>
    </row>
    <row r="7862">
      <c r="A7862" s="5" t="str">
        <f>IFERROR(__xludf.DUMMYFUNCTION("""COMPUTED_VALUE"""),"TraderX")</f>
        <v>TraderX</v>
      </c>
      <c r="B7862" s="64">
        <f>IFERROR(__xludf.DUMMYFUNCTION("""COMPUTED_VALUE"""),44615.0)</f>
        <v>44615</v>
      </c>
      <c r="C7862" s="5"/>
      <c r="D7862" s="5"/>
      <c r="E7862" s="5"/>
      <c r="F7862" s="25">
        <f>IFERROR(__xludf.DUMMYFUNCTION("""COMPUTED_VALUE"""),499000.0)</f>
        <v>499000</v>
      </c>
      <c r="G7862" s="25">
        <f>IFERROR(__xludf.DUMMYFUNCTION("""COMPUTED_VALUE"""),0.0)</f>
        <v>0</v>
      </c>
      <c r="H7862" s="8">
        <f>IFERROR(__xludf.DUMMYFUNCTION("""COMPUTED_VALUE"""),530884.4954)</f>
        <v>530884.4954</v>
      </c>
      <c r="I7862" s="24">
        <f>IFERROR(__xludf.DUMMYFUNCTION("""COMPUTED_VALUE"""),0.06176899080000009)</f>
        <v>0.0617689908</v>
      </c>
    </row>
    <row r="7863">
      <c r="A7863" s="5" t="str">
        <f>IFERROR(__xludf.DUMMYFUNCTION("""COMPUTED_VALUE"""),"TraderX")</f>
        <v>TraderX</v>
      </c>
      <c r="B7863" s="64">
        <f>IFERROR(__xludf.DUMMYFUNCTION("""COMPUTED_VALUE"""),44616.0)</f>
        <v>44616</v>
      </c>
      <c r="C7863" s="5"/>
      <c r="D7863" s="5"/>
      <c r="E7863" s="5"/>
      <c r="F7863" s="25">
        <f>IFERROR(__xludf.DUMMYFUNCTION("""COMPUTED_VALUE"""),499000.0)</f>
        <v>499000</v>
      </c>
      <c r="G7863" s="25">
        <f>IFERROR(__xludf.DUMMYFUNCTION("""COMPUTED_VALUE"""),0.0)</f>
        <v>0</v>
      </c>
      <c r="H7863" s="8">
        <f>IFERROR(__xludf.DUMMYFUNCTION("""COMPUTED_VALUE"""),530884.4954)</f>
        <v>530884.4954</v>
      </c>
      <c r="I7863" s="24">
        <f>IFERROR(__xludf.DUMMYFUNCTION("""COMPUTED_VALUE"""),0.06176899080000009)</f>
        <v>0.0617689908</v>
      </c>
    </row>
    <row r="7864">
      <c r="A7864" s="5" t="str">
        <f>IFERROR(__xludf.DUMMYFUNCTION("""COMPUTED_VALUE"""),"TraderX")</f>
        <v>TraderX</v>
      </c>
      <c r="B7864" s="64">
        <f>IFERROR(__xludf.DUMMYFUNCTION("""COMPUTED_VALUE"""),44617.0)</f>
        <v>44617</v>
      </c>
      <c r="C7864" s="5"/>
      <c r="D7864" s="5"/>
      <c r="E7864" s="5"/>
      <c r="F7864" s="25">
        <f>IFERROR(__xludf.DUMMYFUNCTION("""COMPUTED_VALUE"""),499000.0)</f>
        <v>499000</v>
      </c>
      <c r="G7864" s="25">
        <f>IFERROR(__xludf.DUMMYFUNCTION("""COMPUTED_VALUE"""),0.0)</f>
        <v>0</v>
      </c>
      <c r="H7864" s="8">
        <f>IFERROR(__xludf.DUMMYFUNCTION("""COMPUTED_VALUE"""),530884.4954)</f>
        <v>530884.4954</v>
      </c>
      <c r="I7864" s="24">
        <f>IFERROR(__xludf.DUMMYFUNCTION("""COMPUTED_VALUE"""),0.06176899080000009)</f>
        <v>0.0617689908</v>
      </c>
    </row>
    <row r="7865">
      <c r="A7865" s="5" t="str">
        <f>IFERROR(__xludf.DUMMYFUNCTION("""COMPUTED_VALUE"""),"TraderX")</f>
        <v>TraderX</v>
      </c>
      <c r="B7865" s="64">
        <f>IFERROR(__xludf.DUMMYFUNCTION("""COMPUTED_VALUE"""),44618.0)</f>
        <v>44618</v>
      </c>
      <c r="C7865" s="5"/>
      <c r="D7865" s="5"/>
      <c r="E7865" s="5"/>
      <c r="F7865" s="25">
        <f>IFERROR(__xludf.DUMMYFUNCTION("""COMPUTED_VALUE"""),499000.0)</f>
        <v>499000</v>
      </c>
      <c r="G7865" s="25">
        <f>IFERROR(__xludf.DUMMYFUNCTION("""COMPUTED_VALUE"""),0.0)</f>
        <v>0</v>
      </c>
      <c r="H7865" s="8">
        <f>IFERROR(__xludf.DUMMYFUNCTION("""COMPUTED_VALUE"""),530884.4954)</f>
        <v>530884.4954</v>
      </c>
      <c r="I7865" s="24">
        <f>IFERROR(__xludf.DUMMYFUNCTION("""COMPUTED_VALUE"""),0.06176899080000009)</f>
        <v>0.0617689908</v>
      </c>
    </row>
    <row r="7866">
      <c r="A7866" s="5" t="str">
        <f>IFERROR(__xludf.DUMMYFUNCTION("""COMPUTED_VALUE"""),"TraderX")</f>
        <v>TraderX</v>
      </c>
      <c r="B7866" s="64">
        <f>IFERROR(__xludf.DUMMYFUNCTION("""COMPUTED_VALUE"""),44619.0)</f>
        <v>44619</v>
      </c>
      <c r="C7866" s="5"/>
      <c r="D7866" s="5"/>
      <c r="E7866" s="5"/>
      <c r="F7866" s="25">
        <f>IFERROR(__xludf.DUMMYFUNCTION("""COMPUTED_VALUE"""),499000.0)</f>
        <v>499000</v>
      </c>
      <c r="G7866" s="25">
        <f>IFERROR(__xludf.DUMMYFUNCTION("""COMPUTED_VALUE"""),0.0)</f>
        <v>0</v>
      </c>
      <c r="H7866" s="8">
        <f>IFERROR(__xludf.DUMMYFUNCTION("""COMPUTED_VALUE"""),530884.4954)</f>
        <v>530884.4954</v>
      </c>
      <c r="I7866" s="24">
        <f>IFERROR(__xludf.DUMMYFUNCTION("""COMPUTED_VALUE"""),0.06176899080000009)</f>
        <v>0.0617689908</v>
      </c>
    </row>
    <row r="7867">
      <c r="A7867" s="5" t="str">
        <f>IFERROR(__xludf.DUMMYFUNCTION("""COMPUTED_VALUE"""),"TraderX")</f>
        <v>TraderX</v>
      </c>
      <c r="B7867" s="64">
        <f>IFERROR(__xludf.DUMMYFUNCTION("""COMPUTED_VALUE"""),44620.0)</f>
        <v>44620</v>
      </c>
      <c r="C7867" s="5"/>
      <c r="D7867" s="5"/>
      <c r="E7867" s="5"/>
      <c r="F7867" s="25">
        <f>IFERROR(__xludf.DUMMYFUNCTION("""COMPUTED_VALUE"""),499000.0)</f>
        <v>499000</v>
      </c>
      <c r="G7867" s="25">
        <f>IFERROR(__xludf.DUMMYFUNCTION("""COMPUTED_VALUE"""),0.0)</f>
        <v>0</v>
      </c>
      <c r="H7867" s="8">
        <f>IFERROR(__xludf.DUMMYFUNCTION("""COMPUTED_VALUE"""),530884.4954)</f>
        <v>530884.4954</v>
      </c>
      <c r="I7867" s="24">
        <f>IFERROR(__xludf.DUMMYFUNCTION("""COMPUTED_VALUE"""),0.06176899080000009)</f>
        <v>0.0617689908</v>
      </c>
    </row>
    <row r="7868">
      <c r="A7868" s="5" t="str">
        <f>IFERROR(__xludf.DUMMYFUNCTION("""COMPUTED_VALUE"""),"TraderX")</f>
        <v>TraderX</v>
      </c>
      <c r="B7868" s="64">
        <f>IFERROR(__xludf.DUMMYFUNCTION("""COMPUTED_VALUE"""),44621.0)</f>
        <v>44621</v>
      </c>
      <c r="C7868" s="5"/>
      <c r="D7868" s="5"/>
      <c r="E7868" s="5"/>
      <c r="F7868" s="25">
        <f>IFERROR(__xludf.DUMMYFUNCTION("""COMPUTED_VALUE"""),499000.0)</f>
        <v>499000</v>
      </c>
      <c r="G7868" s="25">
        <f>IFERROR(__xludf.DUMMYFUNCTION("""COMPUTED_VALUE"""),0.0)</f>
        <v>0</v>
      </c>
      <c r="H7868" s="8">
        <f>IFERROR(__xludf.DUMMYFUNCTION("""COMPUTED_VALUE"""),530884.4954)</f>
        <v>530884.4954</v>
      </c>
      <c r="I7868" s="24">
        <f>IFERROR(__xludf.DUMMYFUNCTION("""COMPUTED_VALUE"""),0.06176899080000009)</f>
        <v>0.0617689908</v>
      </c>
    </row>
    <row r="7869">
      <c r="A7869" s="5" t="str">
        <f>IFERROR(__xludf.DUMMYFUNCTION("""COMPUTED_VALUE"""),"TraderX")</f>
        <v>TraderX</v>
      </c>
      <c r="B7869" s="64">
        <f>IFERROR(__xludf.DUMMYFUNCTION("""COMPUTED_VALUE"""),44622.0)</f>
        <v>44622</v>
      </c>
      <c r="C7869" s="5"/>
      <c r="D7869" s="5"/>
      <c r="E7869" s="5"/>
      <c r="F7869" s="25">
        <f>IFERROR(__xludf.DUMMYFUNCTION("""COMPUTED_VALUE"""),499000.0)</f>
        <v>499000</v>
      </c>
      <c r="G7869" s="25">
        <f>IFERROR(__xludf.DUMMYFUNCTION("""COMPUTED_VALUE"""),0.0)</f>
        <v>0</v>
      </c>
      <c r="H7869" s="8">
        <f>IFERROR(__xludf.DUMMYFUNCTION("""COMPUTED_VALUE"""),530884.4954)</f>
        <v>530884.4954</v>
      </c>
      <c r="I7869" s="24">
        <f>IFERROR(__xludf.DUMMYFUNCTION("""COMPUTED_VALUE"""),0.06176899080000009)</f>
        <v>0.0617689908</v>
      </c>
    </row>
    <row r="7870">
      <c r="A7870" s="5" t="str">
        <f>IFERROR(__xludf.DUMMYFUNCTION("""COMPUTED_VALUE"""),"TraderX")</f>
        <v>TraderX</v>
      </c>
      <c r="B7870" s="64">
        <f>IFERROR(__xludf.DUMMYFUNCTION("""COMPUTED_VALUE"""),44623.0)</f>
        <v>44623</v>
      </c>
      <c r="C7870" s="5"/>
      <c r="D7870" s="5"/>
      <c r="E7870" s="5"/>
      <c r="F7870" s="25">
        <f>IFERROR(__xludf.DUMMYFUNCTION("""COMPUTED_VALUE"""),499000.0)</f>
        <v>499000</v>
      </c>
      <c r="G7870" s="25">
        <f>IFERROR(__xludf.DUMMYFUNCTION("""COMPUTED_VALUE"""),0.0)</f>
        <v>0</v>
      </c>
      <c r="H7870" s="8">
        <f>IFERROR(__xludf.DUMMYFUNCTION("""COMPUTED_VALUE"""),530884.4954)</f>
        <v>530884.4954</v>
      </c>
      <c r="I7870" s="24">
        <f>IFERROR(__xludf.DUMMYFUNCTION("""COMPUTED_VALUE"""),0.06176899080000009)</f>
        <v>0.0617689908</v>
      </c>
    </row>
    <row r="7871">
      <c r="A7871" s="5" t="str">
        <f>IFERROR(__xludf.DUMMYFUNCTION("""COMPUTED_VALUE"""),"TraderX")</f>
        <v>TraderX</v>
      </c>
      <c r="B7871" s="64">
        <f>IFERROR(__xludf.DUMMYFUNCTION("""COMPUTED_VALUE"""),44624.0)</f>
        <v>44624</v>
      </c>
      <c r="C7871" s="5"/>
      <c r="D7871" s="5"/>
      <c r="E7871" s="5"/>
      <c r="F7871" s="25">
        <f>IFERROR(__xludf.DUMMYFUNCTION("""COMPUTED_VALUE"""),499000.0)</f>
        <v>499000</v>
      </c>
      <c r="G7871" s="25">
        <f>IFERROR(__xludf.DUMMYFUNCTION("""COMPUTED_VALUE"""),0.0)</f>
        <v>0</v>
      </c>
      <c r="H7871" s="8">
        <f>IFERROR(__xludf.DUMMYFUNCTION("""COMPUTED_VALUE"""),530884.4954)</f>
        <v>530884.4954</v>
      </c>
      <c r="I7871" s="24">
        <f>IFERROR(__xludf.DUMMYFUNCTION("""COMPUTED_VALUE"""),0.06176899080000009)</f>
        <v>0.0617689908</v>
      </c>
    </row>
    <row r="7872">
      <c r="A7872" s="5" t="str">
        <f>IFERROR(__xludf.DUMMYFUNCTION("""COMPUTED_VALUE"""),"TraderX")</f>
        <v>TraderX</v>
      </c>
      <c r="B7872" s="64">
        <f>IFERROR(__xludf.DUMMYFUNCTION("""COMPUTED_VALUE"""),44625.0)</f>
        <v>44625</v>
      </c>
      <c r="C7872" s="5"/>
      <c r="D7872" s="5"/>
      <c r="E7872" s="5"/>
      <c r="F7872" s="25">
        <f>IFERROR(__xludf.DUMMYFUNCTION("""COMPUTED_VALUE"""),499000.0)</f>
        <v>499000</v>
      </c>
      <c r="G7872" s="25">
        <f>IFERROR(__xludf.DUMMYFUNCTION("""COMPUTED_VALUE"""),0.0)</f>
        <v>0</v>
      </c>
      <c r="H7872" s="8">
        <f>IFERROR(__xludf.DUMMYFUNCTION("""COMPUTED_VALUE"""),530884.4954)</f>
        <v>530884.4954</v>
      </c>
      <c r="I7872" s="24">
        <f>IFERROR(__xludf.DUMMYFUNCTION("""COMPUTED_VALUE"""),0.06176899080000009)</f>
        <v>0.0617689908</v>
      </c>
    </row>
    <row r="7873">
      <c r="A7873" s="5" t="str">
        <f>IFERROR(__xludf.DUMMYFUNCTION("""COMPUTED_VALUE"""),"TraderX")</f>
        <v>TraderX</v>
      </c>
      <c r="B7873" s="64">
        <f>IFERROR(__xludf.DUMMYFUNCTION("""COMPUTED_VALUE"""),44626.0)</f>
        <v>44626</v>
      </c>
      <c r="C7873" s="5"/>
      <c r="D7873" s="5"/>
      <c r="E7873" s="5"/>
      <c r="F7873" s="25">
        <f>IFERROR(__xludf.DUMMYFUNCTION("""COMPUTED_VALUE"""),499000.0)</f>
        <v>499000</v>
      </c>
      <c r="G7873" s="25">
        <f>IFERROR(__xludf.DUMMYFUNCTION("""COMPUTED_VALUE"""),0.0)</f>
        <v>0</v>
      </c>
      <c r="H7873" s="8">
        <f>IFERROR(__xludf.DUMMYFUNCTION("""COMPUTED_VALUE"""),530884.4954)</f>
        <v>530884.4954</v>
      </c>
      <c r="I7873" s="24">
        <f>IFERROR(__xludf.DUMMYFUNCTION("""COMPUTED_VALUE"""),0.06176899080000009)</f>
        <v>0.0617689908</v>
      </c>
    </row>
    <row r="7874">
      <c r="A7874" s="5" t="str">
        <f>IFERROR(__xludf.DUMMYFUNCTION("""COMPUTED_VALUE"""),"TraderX")</f>
        <v>TraderX</v>
      </c>
      <c r="B7874" s="64">
        <f>IFERROR(__xludf.DUMMYFUNCTION("""COMPUTED_VALUE"""),44627.0)</f>
        <v>44627</v>
      </c>
      <c r="C7874" s="5"/>
      <c r="D7874" s="5"/>
      <c r="E7874" s="5"/>
      <c r="F7874" s="25">
        <f>IFERROR(__xludf.DUMMYFUNCTION("""COMPUTED_VALUE"""),499000.0)</f>
        <v>499000</v>
      </c>
      <c r="G7874" s="25">
        <f>IFERROR(__xludf.DUMMYFUNCTION("""COMPUTED_VALUE"""),0.0)</f>
        <v>0</v>
      </c>
      <c r="H7874" s="8">
        <f>IFERROR(__xludf.DUMMYFUNCTION("""COMPUTED_VALUE"""),530884.4954)</f>
        <v>530884.4954</v>
      </c>
      <c r="I7874" s="24">
        <f>IFERROR(__xludf.DUMMYFUNCTION("""COMPUTED_VALUE"""),0.06176899080000009)</f>
        <v>0.0617689908</v>
      </c>
    </row>
    <row r="7875">
      <c r="A7875" s="5" t="str">
        <f>IFERROR(__xludf.DUMMYFUNCTION("""COMPUTED_VALUE"""),"TraderX")</f>
        <v>TraderX</v>
      </c>
      <c r="B7875" s="64">
        <f>IFERROR(__xludf.DUMMYFUNCTION("""COMPUTED_VALUE"""),44628.0)</f>
        <v>44628</v>
      </c>
      <c r="C7875" s="5"/>
      <c r="D7875" s="5"/>
      <c r="E7875" s="5"/>
      <c r="F7875" s="25">
        <f>IFERROR(__xludf.DUMMYFUNCTION("""COMPUTED_VALUE"""),499000.0)</f>
        <v>499000</v>
      </c>
      <c r="G7875" s="25">
        <f>IFERROR(__xludf.DUMMYFUNCTION("""COMPUTED_VALUE"""),0.0)</f>
        <v>0</v>
      </c>
      <c r="H7875" s="8">
        <f>IFERROR(__xludf.DUMMYFUNCTION("""COMPUTED_VALUE"""),530884.4954)</f>
        <v>530884.4954</v>
      </c>
      <c r="I7875" s="24">
        <f>IFERROR(__xludf.DUMMYFUNCTION("""COMPUTED_VALUE"""),0.06176899080000009)</f>
        <v>0.0617689908</v>
      </c>
    </row>
    <row r="7876">
      <c r="A7876" s="5" t="str">
        <f>IFERROR(__xludf.DUMMYFUNCTION("""COMPUTED_VALUE"""),"TraderX")</f>
        <v>TraderX</v>
      </c>
      <c r="B7876" s="64">
        <f>IFERROR(__xludf.DUMMYFUNCTION("""COMPUTED_VALUE"""),44629.0)</f>
        <v>44629</v>
      </c>
      <c r="C7876" s="5"/>
      <c r="D7876" s="5"/>
      <c r="E7876" s="5"/>
      <c r="F7876" s="25">
        <f>IFERROR(__xludf.DUMMYFUNCTION("""COMPUTED_VALUE"""),499000.0)</f>
        <v>499000</v>
      </c>
      <c r="G7876" s="25">
        <f>IFERROR(__xludf.DUMMYFUNCTION("""COMPUTED_VALUE"""),0.0)</f>
        <v>0</v>
      </c>
      <c r="H7876" s="8">
        <f>IFERROR(__xludf.DUMMYFUNCTION("""COMPUTED_VALUE"""),530884.4954)</f>
        <v>530884.4954</v>
      </c>
      <c r="I7876" s="24">
        <f>IFERROR(__xludf.DUMMYFUNCTION("""COMPUTED_VALUE"""),0.06176899080000009)</f>
        <v>0.0617689908</v>
      </c>
    </row>
    <row r="7877">
      <c r="A7877" s="5" t="str">
        <f>IFERROR(__xludf.DUMMYFUNCTION("""COMPUTED_VALUE"""),"TraderX")</f>
        <v>TraderX</v>
      </c>
      <c r="B7877" s="64">
        <f>IFERROR(__xludf.DUMMYFUNCTION("""COMPUTED_VALUE"""),44630.0)</f>
        <v>44630</v>
      </c>
      <c r="C7877" s="5"/>
      <c r="D7877" s="5"/>
      <c r="E7877" s="5"/>
      <c r="F7877" s="25">
        <f>IFERROR(__xludf.DUMMYFUNCTION("""COMPUTED_VALUE"""),499000.0)</f>
        <v>499000</v>
      </c>
      <c r="G7877" s="25">
        <f>IFERROR(__xludf.DUMMYFUNCTION("""COMPUTED_VALUE"""),0.0)</f>
        <v>0</v>
      </c>
      <c r="H7877" s="8">
        <f>IFERROR(__xludf.DUMMYFUNCTION("""COMPUTED_VALUE"""),530884.4954)</f>
        <v>530884.4954</v>
      </c>
      <c r="I7877" s="24">
        <f>IFERROR(__xludf.DUMMYFUNCTION("""COMPUTED_VALUE"""),0.06176899080000009)</f>
        <v>0.0617689908</v>
      </c>
    </row>
    <row r="7878">
      <c r="A7878" s="5" t="str">
        <f>IFERROR(__xludf.DUMMYFUNCTION("""COMPUTED_VALUE"""),"TraderX")</f>
        <v>TraderX</v>
      </c>
      <c r="B7878" s="64">
        <f>IFERROR(__xludf.DUMMYFUNCTION("""COMPUTED_VALUE"""),44631.0)</f>
        <v>44631</v>
      </c>
      <c r="C7878" s="5"/>
      <c r="D7878" s="5"/>
      <c r="E7878" s="5"/>
      <c r="F7878" s="25">
        <f>IFERROR(__xludf.DUMMYFUNCTION("""COMPUTED_VALUE"""),499000.0)</f>
        <v>499000</v>
      </c>
      <c r="G7878" s="25">
        <f>IFERROR(__xludf.DUMMYFUNCTION("""COMPUTED_VALUE"""),0.0)</f>
        <v>0</v>
      </c>
      <c r="H7878" s="8">
        <f>IFERROR(__xludf.DUMMYFUNCTION("""COMPUTED_VALUE"""),530884.4954)</f>
        <v>530884.4954</v>
      </c>
      <c r="I7878" s="24">
        <f>IFERROR(__xludf.DUMMYFUNCTION("""COMPUTED_VALUE"""),0.06176899080000009)</f>
        <v>0.0617689908</v>
      </c>
    </row>
    <row r="7879">
      <c r="A7879" s="5" t="str">
        <f>IFERROR(__xludf.DUMMYFUNCTION("""COMPUTED_VALUE"""),"TraderX")</f>
        <v>TraderX</v>
      </c>
      <c r="B7879" s="64">
        <f>IFERROR(__xludf.DUMMYFUNCTION("""COMPUTED_VALUE"""),44632.0)</f>
        <v>44632</v>
      </c>
      <c r="C7879" s="5"/>
      <c r="D7879" s="5"/>
      <c r="E7879" s="5"/>
      <c r="F7879" s="25">
        <f>IFERROR(__xludf.DUMMYFUNCTION("""COMPUTED_VALUE"""),499000.0)</f>
        <v>499000</v>
      </c>
      <c r="G7879" s="25">
        <f>IFERROR(__xludf.DUMMYFUNCTION("""COMPUTED_VALUE"""),0.0)</f>
        <v>0</v>
      </c>
      <c r="H7879" s="8">
        <f>IFERROR(__xludf.DUMMYFUNCTION("""COMPUTED_VALUE"""),530884.4954)</f>
        <v>530884.4954</v>
      </c>
      <c r="I7879" s="24">
        <f>IFERROR(__xludf.DUMMYFUNCTION("""COMPUTED_VALUE"""),0.06176899080000009)</f>
        <v>0.0617689908</v>
      </c>
    </row>
    <row r="7880">
      <c r="A7880" s="5" t="str">
        <f>IFERROR(__xludf.DUMMYFUNCTION("""COMPUTED_VALUE"""),"TraderX")</f>
        <v>TraderX</v>
      </c>
      <c r="B7880" s="64">
        <f>IFERROR(__xludf.DUMMYFUNCTION("""COMPUTED_VALUE"""),44633.0)</f>
        <v>44633</v>
      </c>
      <c r="C7880" s="5"/>
      <c r="D7880" s="5"/>
      <c r="E7880" s="5"/>
      <c r="F7880" s="25">
        <f>IFERROR(__xludf.DUMMYFUNCTION("""COMPUTED_VALUE"""),499000.0)</f>
        <v>499000</v>
      </c>
      <c r="G7880" s="25">
        <f>IFERROR(__xludf.DUMMYFUNCTION("""COMPUTED_VALUE"""),0.0)</f>
        <v>0</v>
      </c>
      <c r="H7880" s="8">
        <f>IFERROR(__xludf.DUMMYFUNCTION("""COMPUTED_VALUE"""),530884.4954)</f>
        <v>530884.4954</v>
      </c>
      <c r="I7880" s="24">
        <f>IFERROR(__xludf.DUMMYFUNCTION("""COMPUTED_VALUE"""),0.06176899080000009)</f>
        <v>0.0617689908</v>
      </c>
    </row>
    <row r="7881">
      <c r="A7881" s="5" t="str">
        <f>IFERROR(__xludf.DUMMYFUNCTION("""COMPUTED_VALUE"""),"TraderX")</f>
        <v>TraderX</v>
      </c>
      <c r="B7881" s="64">
        <f>IFERROR(__xludf.DUMMYFUNCTION("""COMPUTED_VALUE"""),44634.0)</f>
        <v>44634</v>
      </c>
      <c r="C7881" s="5"/>
      <c r="D7881" s="5"/>
      <c r="E7881" s="5"/>
      <c r="F7881" s="25">
        <f>IFERROR(__xludf.DUMMYFUNCTION("""COMPUTED_VALUE"""),499000.0)</f>
        <v>499000</v>
      </c>
      <c r="G7881" s="25">
        <f>IFERROR(__xludf.DUMMYFUNCTION("""COMPUTED_VALUE"""),0.0)</f>
        <v>0</v>
      </c>
      <c r="H7881" s="8">
        <f>IFERROR(__xludf.DUMMYFUNCTION("""COMPUTED_VALUE"""),530884.4954)</f>
        <v>530884.4954</v>
      </c>
      <c r="I7881" s="24">
        <f>IFERROR(__xludf.DUMMYFUNCTION("""COMPUTED_VALUE"""),0.06176899080000009)</f>
        <v>0.0617689908</v>
      </c>
    </row>
    <row r="7882">
      <c r="A7882" s="5" t="str">
        <f>IFERROR(__xludf.DUMMYFUNCTION("""COMPUTED_VALUE"""),"TraderX")</f>
        <v>TraderX</v>
      </c>
      <c r="B7882" s="64">
        <f>IFERROR(__xludf.DUMMYFUNCTION("""COMPUTED_VALUE"""),44635.0)</f>
        <v>44635</v>
      </c>
      <c r="C7882" s="5"/>
      <c r="D7882" s="5"/>
      <c r="E7882" s="5"/>
      <c r="F7882" s="25">
        <f>IFERROR(__xludf.DUMMYFUNCTION("""COMPUTED_VALUE"""),499000.0)</f>
        <v>499000</v>
      </c>
      <c r="G7882" s="25">
        <f>IFERROR(__xludf.DUMMYFUNCTION("""COMPUTED_VALUE"""),0.0)</f>
        <v>0</v>
      </c>
      <c r="H7882" s="8">
        <f>IFERROR(__xludf.DUMMYFUNCTION("""COMPUTED_VALUE"""),530884.4954)</f>
        <v>530884.4954</v>
      </c>
      <c r="I7882" s="24">
        <f>IFERROR(__xludf.DUMMYFUNCTION("""COMPUTED_VALUE"""),0.06176899080000009)</f>
        <v>0.0617689908</v>
      </c>
    </row>
    <row r="7883">
      <c r="A7883" s="5" t="str">
        <f>IFERROR(__xludf.DUMMYFUNCTION("""COMPUTED_VALUE"""),"TraderX")</f>
        <v>TraderX</v>
      </c>
      <c r="B7883" s="64">
        <f>IFERROR(__xludf.DUMMYFUNCTION("""COMPUTED_VALUE"""),44636.0)</f>
        <v>44636</v>
      </c>
      <c r="C7883" s="5"/>
      <c r="D7883" s="5"/>
      <c r="E7883" s="5"/>
      <c r="F7883" s="25">
        <f>IFERROR(__xludf.DUMMYFUNCTION("""COMPUTED_VALUE"""),499000.0)</f>
        <v>499000</v>
      </c>
      <c r="G7883" s="25">
        <f>IFERROR(__xludf.DUMMYFUNCTION("""COMPUTED_VALUE"""),0.0)</f>
        <v>0</v>
      </c>
      <c r="H7883" s="8">
        <f>IFERROR(__xludf.DUMMYFUNCTION("""COMPUTED_VALUE"""),530884.4954)</f>
        <v>530884.4954</v>
      </c>
      <c r="I7883" s="24">
        <f>IFERROR(__xludf.DUMMYFUNCTION("""COMPUTED_VALUE"""),0.06176899080000009)</f>
        <v>0.0617689908</v>
      </c>
    </row>
    <row r="7884">
      <c r="A7884" s="5" t="str">
        <f>IFERROR(__xludf.DUMMYFUNCTION("""COMPUTED_VALUE"""),"TraderX")</f>
        <v>TraderX</v>
      </c>
      <c r="B7884" s="64">
        <f>IFERROR(__xludf.DUMMYFUNCTION("""COMPUTED_VALUE"""),44637.0)</f>
        <v>44637</v>
      </c>
      <c r="C7884" s="5"/>
      <c r="D7884" s="5"/>
      <c r="E7884" s="5"/>
      <c r="F7884" s="25">
        <f>IFERROR(__xludf.DUMMYFUNCTION("""COMPUTED_VALUE"""),499000.0)</f>
        <v>499000</v>
      </c>
      <c r="G7884" s="25">
        <f>IFERROR(__xludf.DUMMYFUNCTION("""COMPUTED_VALUE"""),0.0)</f>
        <v>0</v>
      </c>
      <c r="H7884" s="8">
        <f>IFERROR(__xludf.DUMMYFUNCTION("""COMPUTED_VALUE"""),530884.4954)</f>
        <v>530884.4954</v>
      </c>
      <c r="I7884" s="24">
        <f>IFERROR(__xludf.DUMMYFUNCTION("""COMPUTED_VALUE"""),0.06176899080000009)</f>
        <v>0.0617689908</v>
      </c>
    </row>
    <row r="7885">
      <c r="A7885" s="5" t="str">
        <f>IFERROR(__xludf.DUMMYFUNCTION("""COMPUTED_VALUE"""),"TraderX")</f>
        <v>TraderX</v>
      </c>
      <c r="B7885" s="64">
        <f>IFERROR(__xludf.DUMMYFUNCTION("""COMPUTED_VALUE"""),44638.0)</f>
        <v>44638</v>
      </c>
      <c r="C7885" s="5"/>
      <c r="D7885" s="5"/>
      <c r="E7885" s="5"/>
      <c r="F7885" s="25">
        <f>IFERROR(__xludf.DUMMYFUNCTION("""COMPUTED_VALUE"""),499000.0)</f>
        <v>499000</v>
      </c>
      <c r="G7885" s="25">
        <f>IFERROR(__xludf.DUMMYFUNCTION("""COMPUTED_VALUE"""),0.0)</f>
        <v>0</v>
      </c>
      <c r="H7885" s="8">
        <f>IFERROR(__xludf.DUMMYFUNCTION("""COMPUTED_VALUE"""),530884.4954)</f>
        <v>530884.4954</v>
      </c>
      <c r="I7885" s="24">
        <f>IFERROR(__xludf.DUMMYFUNCTION("""COMPUTED_VALUE"""),0.06176899080000009)</f>
        <v>0.0617689908</v>
      </c>
    </row>
    <row r="7886">
      <c r="A7886" s="5" t="str">
        <f>IFERROR(__xludf.DUMMYFUNCTION("""COMPUTED_VALUE"""),"TraderX")</f>
        <v>TraderX</v>
      </c>
      <c r="B7886" s="64">
        <f>IFERROR(__xludf.DUMMYFUNCTION("""COMPUTED_VALUE"""),44639.0)</f>
        <v>44639</v>
      </c>
      <c r="C7886" s="5"/>
      <c r="D7886" s="5"/>
      <c r="E7886" s="5"/>
      <c r="F7886" s="25">
        <f>IFERROR(__xludf.DUMMYFUNCTION("""COMPUTED_VALUE"""),499000.0)</f>
        <v>499000</v>
      </c>
      <c r="G7886" s="25">
        <f>IFERROR(__xludf.DUMMYFUNCTION("""COMPUTED_VALUE"""),0.0)</f>
        <v>0</v>
      </c>
      <c r="H7886" s="8">
        <f>IFERROR(__xludf.DUMMYFUNCTION("""COMPUTED_VALUE"""),530884.4954)</f>
        <v>530884.4954</v>
      </c>
      <c r="I7886" s="24">
        <f>IFERROR(__xludf.DUMMYFUNCTION("""COMPUTED_VALUE"""),0.06176899080000009)</f>
        <v>0.0617689908</v>
      </c>
    </row>
    <row r="7887">
      <c r="A7887" s="5" t="str">
        <f>IFERROR(__xludf.DUMMYFUNCTION("""COMPUTED_VALUE"""),"TraderX")</f>
        <v>TraderX</v>
      </c>
      <c r="B7887" s="64">
        <f>IFERROR(__xludf.DUMMYFUNCTION("""COMPUTED_VALUE"""),44640.0)</f>
        <v>44640</v>
      </c>
      <c r="C7887" s="5"/>
      <c r="D7887" s="5"/>
      <c r="E7887" s="5"/>
      <c r="F7887" s="25">
        <f>IFERROR(__xludf.DUMMYFUNCTION("""COMPUTED_VALUE"""),499000.0)</f>
        <v>499000</v>
      </c>
      <c r="G7887" s="25">
        <f>IFERROR(__xludf.DUMMYFUNCTION("""COMPUTED_VALUE"""),0.0)</f>
        <v>0</v>
      </c>
      <c r="H7887" s="8">
        <f>IFERROR(__xludf.DUMMYFUNCTION("""COMPUTED_VALUE"""),530884.4954)</f>
        <v>530884.4954</v>
      </c>
      <c r="I7887" s="24">
        <f>IFERROR(__xludf.DUMMYFUNCTION("""COMPUTED_VALUE"""),0.06176899080000009)</f>
        <v>0.0617689908</v>
      </c>
    </row>
    <row r="7888">
      <c r="A7888" s="5" t="str">
        <f>IFERROR(__xludf.DUMMYFUNCTION("""COMPUTED_VALUE"""),"TraderX")</f>
        <v>TraderX</v>
      </c>
      <c r="B7888" s="64">
        <f>IFERROR(__xludf.DUMMYFUNCTION("""COMPUTED_VALUE"""),44641.0)</f>
        <v>44641</v>
      </c>
      <c r="C7888" s="5"/>
      <c r="D7888" s="5"/>
      <c r="E7888" s="5"/>
      <c r="F7888" s="25">
        <f>IFERROR(__xludf.DUMMYFUNCTION("""COMPUTED_VALUE"""),499000.0)</f>
        <v>499000</v>
      </c>
      <c r="G7888" s="25">
        <f>IFERROR(__xludf.DUMMYFUNCTION("""COMPUTED_VALUE"""),0.0)</f>
        <v>0</v>
      </c>
      <c r="H7888" s="8">
        <f>IFERROR(__xludf.DUMMYFUNCTION("""COMPUTED_VALUE"""),530884.4954)</f>
        <v>530884.4954</v>
      </c>
      <c r="I7888" s="24">
        <f>IFERROR(__xludf.DUMMYFUNCTION("""COMPUTED_VALUE"""),0.06176899080000009)</f>
        <v>0.0617689908</v>
      </c>
    </row>
    <row r="7889">
      <c r="A7889" s="5" t="str">
        <f>IFERROR(__xludf.DUMMYFUNCTION("""COMPUTED_VALUE"""),"TraderX")</f>
        <v>TraderX</v>
      </c>
      <c r="B7889" s="64">
        <f>IFERROR(__xludf.DUMMYFUNCTION("""COMPUTED_VALUE"""),44642.0)</f>
        <v>44642</v>
      </c>
      <c r="C7889" s="5"/>
      <c r="D7889" s="5"/>
      <c r="E7889" s="5"/>
      <c r="F7889" s="25">
        <f>IFERROR(__xludf.DUMMYFUNCTION("""COMPUTED_VALUE"""),499000.0)</f>
        <v>499000</v>
      </c>
      <c r="G7889" s="25">
        <f>IFERROR(__xludf.DUMMYFUNCTION("""COMPUTED_VALUE"""),0.0)</f>
        <v>0</v>
      </c>
      <c r="H7889" s="8">
        <f>IFERROR(__xludf.DUMMYFUNCTION("""COMPUTED_VALUE"""),530884.4954)</f>
        <v>530884.4954</v>
      </c>
      <c r="I7889" s="24">
        <f>IFERROR(__xludf.DUMMYFUNCTION("""COMPUTED_VALUE"""),0.06176899080000009)</f>
        <v>0.0617689908</v>
      </c>
    </row>
    <row r="7890">
      <c r="A7890" s="5" t="str">
        <f>IFERROR(__xludf.DUMMYFUNCTION("""COMPUTED_VALUE"""),"TraderX")</f>
        <v>TraderX</v>
      </c>
      <c r="B7890" s="64">
        <f>IFERROR(__xludf.DUMMYFUNCTION("""COMPUTED_VALUE"""),44643.0)</f>
        <v>44643</v>
      </c>
      <c r="C7890" s="5"/>
      <c r="D7890" s="5"/>
      <c r="E7890" s="5"/>
      <c r="F7890" s="25">
        <f>IFERROR(__xludf.DUMMYFUNCTION("""COMPUTED_VALUE"""),499000.0)</f>
        <v>499000</v>
      </c>
      <c r="G7890" s="25">
        <f>IFERROR(__xludf.DUMMYFUNCTION("""COMPUTED_VALUE"""),0.0)</f>
        <v>0</v>
      </c>
      <c r="H7890" s="8">
        <f>IFERROR(__xludf.DUMMYFUNCTION("""COMPUTED_VALUE"""),530884.4954)</f>
        <v>530884.4954</v>
      </c>
      <c r="I7890" s="24">
        <f>IFERROR(__xludf.DUMMYFUNCTION("""COMPUTED_VALUE"""),0.06176899080000009)</f>
        <v>0.0617689908</v>
      </c>
    </row>
    <row r="7891">
      <c r="A7891" s="5" t="str">
        <f>IFERROR(__xludf.DUMMYFUNCTION("""COMPUTED_VALUE"""),"TraderX")</f>
        <v>TraderX</v>
      </c>
      <c r="B7891" s="64">
        <f>IFERROR(__xludf.DUMMYFUNCTION("""COMPUTED_VALUE"""),44644.0)</f>
        <v>44644</v>
      </c>
      <c r="C7891" s="5"/>
      <c r="D7891" s="5"/>
      <c r="E7891" s="5"/>
      <c r="F7891" s="25">
        <f>IFERROR(__xludf.DUMMYFUNCTION("""COMPUTED_VALUE"""),499000.0)</f>
        <v>499000</v>
      </c>
      <c r="G7891" s="25">
        <f>IFERROR(__xludf.DUMMYFUNCTION("""COMPUTED_VALUE"""),0.0)</f>
        <v>0</v>
      </c>
      <c r="H7891" s="8">
        <f>IFERROR(__xludf.DUMMYFUNCTION("""COMPUTED_VALUE"""),530884.4954)</f>
        <v>530884.4954</v>
      </c>
      <c r="I7891" s="24">
        <f>IFERROR(__xludf.DUMMYFUNCTION("""COMPUTED_VALUE"""),0.06176899080000009)</f>
        <v>0.0617689908</v>
      </c>
    </row>
    <row r="7892">
      <c r="A7892" s="5" t="str">
        <f>IFERROR(__xludf.DUMMYFUNCTION("""COMPUTED_VALUE"""),"TraderX")</f>
        <v>TraderX</v>
      </c>
      <c r="B7892" s="64">
        <f>IFERROR(__xludf.DUMMYFUNCTION("""COMPUTED_VALUE"""),44645.0)</f>
        <v>44645</v>
      </c>
      <c r="C7892" s="5"/>
      <c r="D7892" s="5"/>
      <c r="E7892" s="5"/>
      <c r="F7892" s="25">
        <f>IFERROR(__xludf.DUMMYFUNCTION("""COMPUTED_VALUE"""),499000.0)</f>
        <v>499000</v>
      </c>
      <c r="G7892" s="25">
        <f>IFERROR(__xludf.DUMMYFUNCTION("""COMPUTED_VALUE"""),0.0)</f>
        <v>0</v>
      </c>
      <c r="H7892" s="8">
        <f>IFERROR(__xludf.DUMMYFUNCTION("""COMPUTED_VALUE"""),530884.4954)</f>
        <v>530884.4954</v>
      </c>
      <c r="I7892" s="24">
        <f>IFERROR(__xludf.DUMMYFUNCTION("""COMPUTED_VALUE"""),0.06176899080000009)</f>
        <v>0.0617689908</v>
      </c>
    </row>
    <row r="7893">
      <c r="A7893" s="5" t="str">
        <f>IFERROR(__xludf.DUMMYFUNCTION("""COMPUTED_VALUE"""),"TraderX")</f>
        <v>TraderX</v>
      </c>
      <c r="B7893" s="64">
        <f>IFERROR(__xludf.DUMMYFUNCTION("""COMPUTED_VALUE"""),44646.0)</f>
        <v>44646</v>
      </c>
      <c r="C7893" s="5"/>
      <c r="D7893" s="5"/>
      <c r="E7893" s="5"/>
      <c r="F7893" s="25">
        <f>IFERROR(__xludf.DUMMYFUNCTION("""COMPUTED_VALUE"""),499000.0)</f>
        <v>499000</v>
      </c>
      <c r="G7893" s="25">
        <f>IFERROR(__xludf.DUMMYFUNCTION("""COMPUTED_VALUE"""),0.0)</f>
        <v>0</v>
      </c>
      <c r="H7893" s="8">
        <f>IFERROR(__xludf.DUMMYFUNCTION("""COMPUTED_VALUE"""),530884.4954)</f>
        <v>530884.4954</v>
      </c>
      <c r="I7893" s="24">
        <f>IFERROR(__xludf.DUMMYFUNCTION("""COMPUTED_VALUE"""),0.06176899080000009)</f>
        <v>0.0617689908</v>
      </c>
    </row>
    <row r="7894">
      <c r="A7894" s="5" t="str">
        <f>IFERROR(__xludf.DUMMYFUNCTION("""COMPUTED_VALUE"""),"TraderX")</f>
        <v>TraderX</v>
      </c>
      <c r="B7894" s="64">
        <f>IFERROR(__xludf.DUMMYFUNCTION("""COMPUTED_VALUE"""),44647.0)</f>
        <v>44647</v>
      </c>
      <c r="C7894" s="5"/>
      <c r="D7894" s="5"/>
      <c r="E7894" s="5"/>
      <c r="F7894" s="25">
        <f>IFERROR(__xludf.DUMMYFUNCTION("""COMPUTED_VALUE"""),499000.0)</f>
        <v>499000</v>
      </c>
      <c r="G7894" s="25">
        <f>IFERROR(__xludf.DUMMYFUNCTION("""COMPUTED_VALUE"""),0.0)</f>
        <v>0</v>
      </c>
      <c r="H7894" s="8">
        <f>IFERROR(__xludf.DUMMYFUNCTION("""COMPUTED_VALUE"""),530884.4954)</f>
        <v>530884.4954</v>
      </c>
      <c r="I7894" s="24">
        <f>IFERROR(__xludf.DUMMYFUNCTION("""COMPUTED_VALUE"""),0.06176899080000009)</f>
        <v>0.0617689908</v>
      </c>
    </row>
    <row r="7895">
      <c r="A7895" s="5" t="str">
        <f>IFERROR(__xludf.DUMMYFUNCTION("""COMPUTED_VALUE"""),"TraderX")</f>
        <v>TraderX</v>
      </c>
      <c r="B7895" s="64">
        <f>IFERROR(__xludf.DUMMYFUNCTION("""COMPUTED_VALUE"""),44648.0)</f>
        <v>44648</v>
      </c>
      <c r="C7895" s="5"/>
      <c r="D7895" s="5"/>
      <c r="E7895" s="5"/>
      <c r="F7895" s="25">
        <f>IFERROR(__xludf.DUMMYFUNCTION("""COMPUTED_VALUE"""),499000.0)</f>
        <v>499000</v>
      </c>
      <c r="G7895" s="25">
        <f>IFERROR(__xludf.DUMMYFUNCTION("""COMPUTED_VALUE"""),0.0)</f>
        <v>0</v>
      </c>
      <c r="H7895" s="8">
        <f>IFERROR(__xludf.DUMMYFUNCTION("""COMPUTED_VALUE"""),530884.4954)</f>
        <v>530884.4954</v>
      </c>
      <c r="I7895" s="24">
        <f>IFERROR(__xludf.DUMMYFUNCTION("""COMPUTED_VALUE"""),0.06176899080000009)</f>
        <v>0.0617689908</v>
      </c>
    </row>
    <row r="7896">
      <c r="A7896" s="5" t="str">
        <f>IFERROR(__xludf.DUMMYFUNCTION("""COMPUTED_VALUE"""),"TraderX")</f>
        <v>TraderX</v>
      </c>
      <c r="B7896" s="64">
        <f>IFERROR(__xludf.DUMMYFUNCTION("""COMPUTED_VALUE"""),44649.0)</f>
        <v>44649</v>
      </c>
      <c r="C7896" s="5"/>
      <c r="D7896" s="5"/>
      <c r="E7896" s="5"/>
      <c r="F7896" s="25">
        <f>IFERROR(__xludf.DUMMYFUNCTION("""COMPUTED_VALUE"""),499000.0)</f>
        <v>499000</v>
      </c>
      <c r="G7896" s="25">
        <f>IFERROR(__xludf.DUMMYFUNCTION("""COMPUTED_VALUE"""),0.0)</f>
        <v>0</v>
      </c>
      <c r="H7896" s="8">
        <f>IFERROR(__xludf.DUMMYFUNCTION("""COMPUTED_VALUE"""),530884.4954)</f>
        <v>530884.4954</v>
      </c>
      <c r="I7896" s="24">
        <f>IFERROR(__xludf.DUMMYFUNCTION("""COMPUTED_VALUE"""),0.06176899080000009)</f>
        <v>0.0617689908</v>
      </c>
    </row>
    <row r="7897">
      <c r="A7897" s="5" t="str">
        <f>IFERROR(__xludf.DUMMYFUNCTION("""COMPUTED_VALUE"""),"TraderX")</f>
        <v>TraderX</v>
      </c>
      <c r="B7897" s="64">
        <f>IFERROR(__xludf.DUMMYFUNCTION("""COMPUTED_VALUE"""),44650.0)</f>
        <v>44650</v>
      </c>
      <c r="C7897" s="5"/>
      <c r="D7897" s="5"/>
      <c r="E7897" s="5"/>
      <c r="F7897" s="25">
        <f>IFERROR(__xludf.DUMMYFUNCTION("""COMPUTED_VALUE"""),499000.0)</f>
        <v>499000</v>
      </c>
      <c r="G7897" s="25">
        <f>IFERROR(__xludf.DUMMYFUNCTION("""COMPUTED_VALUE"""),0.0)</f>
        <v>0</v>
      </c>
      <c r="H7897" s="8">
        <f>IFERROR(__xludf.DUMMYFUNCTION("""COMPUTED_VALUE"""),530884.4954)</f>
        <v>530884.4954</v>
      </c>
      <c r="I7897" s="24">
        <f>IFERROR(__xludf.DUMMYFUNCTION("""COMPUTED_VALUE"""),0.06176899080000009)</f>
        <v>0.0617689908</v>
      </c>
    </row>
    <row r="7898">
      <c r="A7898" s="5" t="str">
        <f>IFERROR(__xludf.DUMMYFUNCTION("""COMPUTED_VALUE"""),"TraderX")</f>
        <v>TraderX</v>
      </c>
      <c r="B7898" s="64">
        <f>IFERROR(__xludf.DUMMYFUNCTION("""COMPUTED_VALUE"""),44651.0)</f>
        <v>44651</v>
      </c>
      <c r="C7898" s="5"/>
      <c r="D7898" s="5"/>
      <c r="E7898" s="5"/>
      <c r="F7898" s="25">
        <f>IFERROR(__xludf.DUMMYFUNCTION("""COMPUTED_VALUE"""),499000.0)</f>
        <v>499000</v>
      </c>
      <c r="G7898" s="25">
        <f>IFERROR(__xludf.DUMMYFUNCTION("""COMPUTED_VALUE"""),0.0)</f>
        <v>0</v>
      </c>
      <c r="H7898" s="8">
        <f>IFERROR(__xludf.DUMMYFUNCTION("""COMPUTED_VALUE"""),530884.4954)</f>
        <v>530884.4954</v>
      </c>
      <c r="I7898" s="24">
        <f>IFERROR(__xludf.DUMMYFUNCTION("""COMPUTED_VALUE"""),0.06176899080000009)</f>
        <v>0.0617689908</v>
      </c>
    </row>
    <row r="7899">
      <c r="A7899" s="5" t="str">
        <f>IFERROR(__xludf.DUMMYFUNCTION("""COMPUTED_VALUE"""),"TraderX")</f>
        <v>TraderX</v>
      </c>
      <c r="B7899" s="64">
        <f>IFERROR(__xludf.DUMMYFUNCTION("""COMPUTED_VALUE"""),44652.0)</f>
        <v>44652</v>
      </c>
      <c r="C7899" s="5"/>
      <c r="D7899" s="5"/>
      <c r="E7899" s="5"/>
      <c r="F7899" s="25">
        <f>IFERROR(__xludf.DUMMYFUNCTION("""COMPUTED_VALUE"""),499000.0)</f>
        <v>499000</v>
      </c>
      <c r="G7899" s="25">
        <f>IFERROR(__xludf.DUMMYFUNCTION("""COMPUTED_VALUE"""),0.0)</f>
        <v>0</v>
      </c>
      <c r="H7899" s="8">
        <f>IFERROR(__xludf.DUMMYFUNCTION("""COMPUTED_VALUE"""),530884.4954)</f>
        <v>530884.4954</v>
      </c>
      <c r="I7899" s="24">
        <f>IFERROR(__xludf.DUMMYFUNCTION("""COMPUTED_VALUE"""),0.06176899080000009)</f>
        <v>0.0617689908</v>
      </c>
    </row>
    <row r="7900">
      <c r="A7900" s="5" t="str">
        <f>IFERROR(__xludf.DUMMYFUNCTION("""COMPUTED_VALUE"""),"TraderX")</f>
        <v>TraderX</v>
      </c>
      <c r="B7900" s="64">
        <f>IFERROR(__xludf.DUMMYFUNCTION("""COMPUTED_VALUE"""),44653.0)</f>
        <v>44653</v>
      </c>
      <c r="C7900" s="5"/>
      <c r="D7900" s="5"/>
      <c r="E7900" s="5"/>
      <c r="F7900" s="25">
        <f>IFERROR(__xludf.DUMMYFUNCTION("""COMPUTED_VALUE"""),499000.0)</f>
        <v>499000</v>
      </c>
      <c r="G7900" s="25">
        <f>IFERROR(__xludf.DUMMYFUNCTION("""COMPUTED_VALUE"""),0.0)</f>
        <v>0</v>
      </c>
      <c r="H7900" s="8">
        <f>IFERROR(__xludf.DUMMYFUNCTION("""COMPUTED_VALUE"""),530884.4954)</f>
        <v>530884.4954</v>
      </c>
      <c r="I7900" s="24">
        <f>IFERROR(__xludf.DUMMYFUNCTION("""COMPUTED_VALUE"""),0.06176899080000009)</f>
        <v>0.0617689908</v>
      </c>
    </row>
    <row r="7901">
      <c r="A7901" s="5" t="str">
        <f>IFERROR(__xludf.DUMMYFUNCTION("""COMPUTED_VALUE"""),"TraderX")</f>
        <v>TraderX</v>
      </c>
      <c r="B7901" s="64">
        <f>IFERROR(__xludf.DUMMYFUNCTION("""COMPUTED_VALUE"""),44654.0)</f>
        <v>44654</v>
      </c>
      <c r="C7901" s="5"/>
      <c r="D7901" s="5"/>
      <c r="E7901" s="5"/>
      <c r="F7901" s="25">
        <f>IFERROR(__xludf.DUMMYFUNCTION("""COMPUTED_VALUE"""),499000.0)</f>
        <v>499000</v>
      </c>
      <c r="G7901" s="25">
        <f>IFERROR(__xludf.DUMMYFUNCTION("""COMPUTED_VALUE"""),0.0)</f>
        <v>0</v>
      </c>
      <c r="H7901" s="8">
        <f>IFERROR(__xludf.DUMMYFUNCTION("""COMPUTED_VALUE"""),530884.4954)</f>
        <v>530884.4954</v>
      </c>
      <c r="I7901" s="24">
        <f>IFERROR(__xludf.DUMMYFUNCTION("""COMPUTED_VALUE"""),0.06176899080000009)</f>
        <v>0.0617689908</v>
      </c>
    </row>
    <row r="7902">
      <c r="A7902" s="5" t="str">
        <f>IFERROR(__xludf.DUMMYFUNCTION("""COMPUTED_VALUE"""),"TraderX")</f>
        <v>TraderX</v>
      </c>
      <c r="B7902" s="64">
        <f>IFERROR(__xludf.DUMMYFUNCTION("""COMPUTED_VALUE"""),44655.0)</f>
        <v>44655</v>
      </c>
      <c r="C7902" s="5"/>
      <c r="D7902" s="5"/>
      <c r="E7902" s="5"/>
      <c r="F7902" s="25">
        <f>IFERROR(__xludf.DUMMYFUNCTION("""COMPUTED_VALUE"""),499000.0)</f>
        <v>499000</v>
      </c>
      <c r="G7902" s="25">
        <f>IFERROR(__xludf.DUMMYFUNCTION("""COMPUTED_VALUE"""),0.0)</f>
        <v>0</v>
      </c>
      <c r="H7902" s="8">
        <f>IFERROR(__xludf.DUMMYFUNCTION("""COMPUTED_VALUE"""),530884.4954)</f>
        <v>530884.4954</v>
      </c>
      <c r="I7902" s="24">
        <f>IFERROR(__xludf.DUMMYFUNCTION("""COMPUTED_VALUE"""),0.06176899080000009)</f>
        <v>0.0617689908</v>
      </c>
    </row>
    <row r="7903">
      <c r="A7903" s="5" t="str">
        <f>IFERROR(__xludf.DUMMYFUNCTION("""COMPUTED_VALUE"""),"TraderX")</f>
        <v>TraderX</v>
      </c>
      <c r="B7903" s="64">
        <f>IFERROR(__xludf.DUMMYFUNCTION("""COMPUTED_VALUE"""),44656.0)</f>
        <v>44656</v>
      </c>
      <c r="C7903" s="5"/>
      <c r="D7903" s="5"/>
      <c r="E7903" s="5"/>
      <c r="F7903" s="25">
        <f>IFERROR(__xludf.DUMMYFUNCTION("""COMPUTED_VALUE"""),499000.0)</f>
        <v>499000</v>
      </c>
      <c r="G7903" s="25">
        <f>IFERROR(__xludf.DUMMYFUNCTION("""COMPUTED_VALUE"""),0.0)</f>
        <v>0</v>
      </c>
      <c r="H7903" s="8">
        <f>IFERROR(__xludf.DUMMYFUNCTION("""COMPUTED_VALUE"""),510577.25108)</f>
        <v>510577.2511</v>
      </c>
      <c r="I7903" s="24">
        <f>IFERROR(__xludf.DUMMYFUNCTION("""COMPUTED_VALUE"""),0.021154502160000144)</f>
        <v>0.02115450216</v>
      </c>
    </row>
    <row r="7904">
      <c r="A7904" s="5" t="str">
        <f>IFERROR(__xludf.DUMMYFUNCTION("""COMPUTED_VALUE"""),"TraderX")</f>
        <v>TraderX</v>
      </c>
      <c r="B7904" s="64">
        <f>IFERROR(__xludf.DUMMYFUNCTION("""COMPUTED_VALUE"""),44657.0)</f>
        <v>44657</v>
      </c>
      <c r="C7904" s="5"/>
      <c r="D7904" s="5"/>
      <c r="E7904" s="5"/>
      <c r="F7904" s="25">
        <f>IFERROR(__xludf.DUMMYFUNCTION("""COMPUTED_VALUE"""),499000.0)</f>
        <v>499000</v>
      </c>
      <c r="G7904" s="25">
        <f>IFERROR(__xludf.DUMMYFUNCTION("""COMPUTED_VALUE"""),0.0)</f>
        <v>0</v>
      </c>
      <c r="H7904" s="8">
        <f>IFERROR(__xludf.DUMMYFUNCTION("""COMPUTED_VALUE"""),521388.97838)</f>
        <v>521388.9784</v>
      </c>
      <c r="I7904" s="24">
        <f>IFERROR(__xludf.DUMMYFUNCTION("""COMPUTED_VALUE"""),0.04277795675999996)</f>
        <v>0.04277795676</v>
      </c>
    </row>
    <row r="7905">
      <c r="A7905" s="5" t="str">
        <f>IFERROR(__xludf.DUMMYFUNCTION("""COMPUTED_VALUE"""),"TraderX")</f>
        <v>TraderX</v>
      </c>
      <c r="B7905" s="64">
        <f>IFERROR(__xludf.DUMMYFUNCTION("""COMPUTED_VALUE"""),44658.0)</f>
        <v>44658</v>
      </c>
      <c r="C7905" s="5"/>
      <c r="D7905" s="5"/>
      <c r="E7905" s="5"/>
      <c r="F7905" s="25">
        <f>IFERROR(__xludf.DUMMYFUNCTION("""COMPUTED_VALUE"""),499000.0)</f>
        <v>499000</v>
      </c>
      <c r="G7905" s="25">
        <f>IFERROR(__xludf.DUMMYFUNCTION("""COMPUTED_VALUE"""),0.0)</f>
        <v>0</v>
      </c>
      <c r="H7905" s="8">
        <f>IFERROR(__xludf.DUMMYFUNCTION("""COMPUTED_VALUE"""),523598.91227)</f>
        <v>523598.9123</v>
      </c>
      <c r="I7905" s="24">
        <f>IFERROR(__xludf.DUMMYFUNCTION("""COMPUTED_VALUE"""),0.04719782453999999)</f>
        <v>0.04719782454</v>
      </c>
    </row>
    <row r="7906">
      <c r="A7906" s="5" t="str">
        <f>IFERROR(__xludf.DUMMYFUNCTION("""COMPUTED_VALUE"""),"TraderX")</f>
        <v>TraderX</v>
      </c>
      <c r="B7906" s="64">
        <f>IFERROR(__xludf.DUMMYFUNCTION("""COMPUTED_VALUE"""),44659.0)</f>
        <v>44659</v>
      </c>
      <c r="C7906" s="5"/>
      <c r="D7906" s="5"/>
      <c r="E7906" s="5"/>
      <c r="F7906" s="25">
        <f>IFERROR(__xludf.DUMMYFUNCTION("""COMPUTED_VALUE"""),499000.0)</f>
        <v>499000</v>
      </c>
      <c r="G7906" s="25">
        <f>IFERROR(__xludf.DUMMYFUNCTION("""COMPUTED_VALUE"""),0.0)</f>
        <v>0</v>
      </c>
      <c r="H7906" s="8">
        <f>IFERROR(__xludf.DUMMYFUNCTION("""COMPUTED_VALUE"""),551246.59583)</f>
        <v>551246.5958</v>
      </c>
      <c r="I7906" s="24">
        <f>IFERROR(__xludf.DUMMYFUNCTION("""COMPUTED_VALUE"""),0.10249319166000004)</f>
        <v>0.1024931917</v>
      </c>
    </row>
    <row r="7907">
      <c r="A7907" s="5" t="str">
        <f>IFERROR(__xludf.DUMMYFUNCTION("""COMPUTED_VALUE"""),"TraderX")</f>
        <v>TraderX</v>
      </c>
      <c r="B7907" s="64">
        <f>IFERROR(__xludf.DUMMYFUNCTION("""COMPUTED_VALUE"""),44660.0)</f>
        <v>44660</v>
      </c>
      <c r="C7907" s="5"/>
      <c r="D7907" s="5"/>
      <c r="E7907" s="5"/>
      <c r="F7907" s="25">
        <f>IFERROR(__xludf.DUMMYFUNCTION("""COMPUTED_VALUE"""),499000.0)</f>
        <v>499000</v>
      </c>
      <c r="G7907" s="25">
        <f>IFERROR(__xludf.DUMMYFUNCTION("""COMPUTED_VALUE"""),0.0)</f>
        <v>0</v>
      </c>
      <c r="H7907" s="8">
        <f>IFERROR(__xludf.DUMMYFUNCTION("""COMPUTED_VALUE"""),551246.59583)</f>
        <v>551246.5958</v>
      </c>
      <c r="I7907" s="24">
        <f>IFERROR(__xludf.DUMMYFUNCTION("""COMPUTED_VALUE"""),0.10249319166000004)</f>
        <v>0.1024931917</v>
      </c>
    </row>
    <row r="7908">
      <c r="A7908" s="5" t="str">
        <f>IFERROR(__xludf.DUMMYFUNCTION("""COMPUTED_VALUE"""),"TraderX")</f>
        <v>TraderX</v>
      </c>
      <c r="B7908" s="64">
        <f>IFERROR(__xludf.DUMMYFUNCTION("""COMPUTED_VALUE"""),44661.0)</f>
        <v>44661</v>
      </c>
      <c r="C7908" s="5"/>
      <c r="D7908" s="5"/>
      <c r="E7908" s="5"/>
      <c r="F7908" s="25">
        <f>IFERROR(__xludf.DUMMYFUNCTION("""COMPUTED_VALUE"""),499000.0)</f>
        <v>499000</v>
      </c>
      <c r="G7908" s="25">
        <f>IFERROR(__xludf.DUMMYFUNCTION("""COMPUTED_VALUE"""),0.0)</f>
        <v>0</v>
      </c>
      <c r="H7908" s="8">
        <f>IFERROR(__xludf.DUMMYFUNCTION("""COMPUTED_VALUE"""),551246.59583)</f>
        <v>551246.5958</v>
      </c>
      <c r="I7908" s="24">
        <f>IFERROR(__xludf.DUMMYFUNCTION("""COMPUTED_VALUE"""),0.10249319166000004)</f>
        <v>0.1024931917</v>
      </c>
    </row>
    <row r="7909">
      <c r="A7909" s="5" t="str">
        <f>IFERROR(__xludf.DUMMYFUNCTION("""COMPUTED_VALUE"""),"TraderX")</f>
        <v>TraderX</v>
      </c>
      <c r="B7909" s="64">
        <f>IFERROR(__xludf.DUMMYFUNCTION("""COMPUTED_VALUE"""),44662.0)</f>
        <v>44662</v>
      </c>
      <c r="C7909" s="5"/>
      <c r="D7909" s="5"/>
      <c r="E7909" s="5"/>
      <c r="F7909" s="25">
        <f>IFERROR(__xludf.DUMMYFUNCTION("""COMPUTED_VALUE"""),499000.0)</f>
        <v>499000</v>
      </c>
      <c r="G7909" s="25">
        <f>IFERROR(__xludf.DUMMYFUNCTION("""COMPUTED_VALUE"""),0.0)</f>
        <v>0</v>
      </c>
      <c r="H7909" s="8">
        <f>IFERROR(__xludf.DUMMYFUNCTION("""COMPUTED_VALUE"""),552673.34206)</f>
        <v>552673.3421</v>
      </c>
      <c r="I7909" s="24">
        <f>IFERROR(__xludf.DUMMYFUNCTION("""COMPUTED_VALUE"""),0.10534668412000014)</f>
        <v>0.1053466841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3.5"/>
    <col customWidth="1" min="2" max="3" width="10.0"/>
    <col customWidth="1" min="4" max="4" width="24.63"/>
    <col customWidth="1" min="5" max="5" width="8.13"/>
    <col customWidth="1" min="6" max="6" width="8.75"/>
    <col customWidth="1" min="7" max="7" width="8.63"/>
    <col customWidth="1" min="8" max="8" width="9.25"/>
    <col customWidth="1" min="9" max="9" width="11.13"/>
    <col customWidth="1" min="10" max="10" width="18.25"/>
    <col customWidth="1" min="11" max="11" width="7.25"/>
    <col customWidth="1" min="12" max="12" width="10.88"/>
    <col customWidth="1" min="13" max="13" width="6.75"/>
    <col customWidth="1" min="14" max="14" width="6.13"/>
    <col customWidth="1" min="15" max="15" width="5.13"/>
    <col customWidth="1" min="16" max="16" width="6.75"/>
    <col customWidth="1" min="17" max="17" width="9.0"/>
    <col customWidth="1" min="18" max="18" width="9.13"/>
    <col customWidth="1" min="19" max="19" width="6.75"/>
    <col customWidth="1" min="20" max="20" width="9.38"/>
    <col customWidth="1" min="21" max="21" width="9.5"/>
    <col customWidth="1" min="22" max="23" width="8.63"/>
  </cols>
  <sheetData>
    <row r="1">
      <c r="A1" s="65" t="str">
        <f>IFERROR(__xludf.DUMMYFUNCTION("importrange(""https://docs.google.com/spreadsheets/d/1mvA960mm3QaFyRdwkfIRxhE1UQJl45QEUTnDVxtxiIE/edit?usp=sharing"",""Trade Record by acct!A1:j"" &amp; right(N1,4)*1)"),"Trading Record Summary")</f>
        <v>Trading Record Summary</v>
      </c>
      <c r="B1" s="66"/>
      <c r="C1" s="67"/>
      <c r="D1" s="68"/>
      <c r="E1" s="5" t="str">
        <f>IFERROR(__xludf.DUMMYFUNCTION("""COMPUTED_VALUE"""),"As of closing day of 2022-4-12")</f>
        <v>As of closing day of 2022-4-12</v>
      </c>
      <c r="F1" s="69"/>
      <c r="G1" s="70"/>
      <c r="H1" s="71"/>
      <c r="I1" s="71"/>
      <c r="J1" s="22"/>
      <c r="K1" s="22"/>
      <c r="L1" s="72"/>
      <c r="M1" s="22"/>
      <c r="N1" s="22" t="str">
        <f>IFERROR(__xludf.DUMMYFUNCTION("importrange(""https://docs.google.com/spreadsheets/d/1mvA960mm3QaFyRdwkfIRxhE1UQJl45QEUTnDVxtxiIE/edit?usp=sharing"",""Trade Record by acct!n1"")"),"Last row: 1279")</f>
        <v>Last row: 1279</v>
      </c>
      <c r="O1" s="73"/>
      <c r="P1" s="8"/>
      <c r="Q1" s="69"/>
      <c r="R1" s="69"/>
      <c r="S1" s="8"/>
      <c r="T1" s="69"/>
      <c r="U1" s="8"/>
      <c r="V1" s="69"/>
      <c r="W1" s="74"/>
      <c r="X1" s="69"/>
    </row>
    <row r="2" collapsed="1">
      <c r="A2" s="75" t="str">
        <f>IFERROR(__xludf.DUMMYFUNCTION("""COMPUTED_VALUE"""),"Acct#")</f>
        <v>Acct#</v>
      </c>
      <c r="B2" s="76" t="str">
        <f>IFERROR(__xludf.DUMMYFUNCTION("""COMPUTED_VALUE"""),"Date/ Time")</f>
        <v>Date/ Time</v>
      </c>
      <c r="C2" s="75" t="str">
        <f>IFERROR(__xludf.DUMMYFUNCTION("""COMPUTED_VALUE"""),"Asset Class")</f>
        <v>Asset Class</v>
      </c>
      <c r="D2" s="77" t="str">
        <f>IFERROR(__xludf.DUMMYFUNCTION("""COMPUTED_VALUE"""),"Ticker Code")</f>
        <v>Ticker Code</v>
      </c>
      <c r="E2" s="78" t="str">
        <f>IFERROR(__xludf.DUMMYFUNCTION("""COMPUTED_VALUE"""),"Currency")</f>
        <v>Currency</v>
      </c>
      <c r="F2" s="79" t="str">
        <f>IFERROR(__xludf.DUMMYFUNCTION("""COMPUTED_VALUE"""),"Qty Executed")</f>
        <v>Qty Executed</v>
      </c>
      <c r="G2" s="80" t="str">
        <f>IFERROR(__xludf.DUMMYFUNCTION("""COMPUTED_VALUE"""),"FX average")</f>
        <v>FX average</v>
      </c>
      <c r="H2" s="81" t="str">
        <f>IFERROR(__xludf.DUMMYFUNCTION("""COMPUTED_VALUE"""),"Executed price (Local Currency) - Trade day")</f>
        <v>Executed price (Local Currency) - Trade day</v>
      </c>
      <c r="I2" s="82" t="str">
        <f>IFERROR(__xludf.DUMMYFUNCTION("""COMPUTED_VALUE"""),"Current Price (Local Currency) - Closing day")</f>
        <v>Current Price (Local Currency) - Closing day</v>
      </c>
      <c r="J2" s="83" t="str">
        <f>IFERROR(__xludf.DUMMYFUNCTION("""COMPUTED_VALUE"""),"Key-Statistics")</f>
        <v>Key-Statistics</v>
      </c>
      <c r="M2" s="22"/>
      <c r="N2" s="22"/>
      <c r="O2" s="22"/>
      <c r="P2" s="8"/>
      <c r="Q2" s="69"/>
      <c r="R2" s="25"/>
      <c r="S2" s="8"/>
      <c r="T2" s="69"/>
      <c r="U2" s="8"/>
      <c r="V2" s="69"/>
      <c r="W2" s="74"/>
      <c r="X2" s="22"/>
      <c r="Z2" s="22"/>
      <c r="AA2" s="22"/>
      <c r="AB2" s="22"/>
      <c r="AC2" s="22"/>
    </row>
    <row r="3" ht="36.0" hidden="1" customHeight="1" outlineLevel="1">
      <c r="A3" s="30" t="str">
        <f>IFERROR(__xludf.DUMMYFUNCTION("""COMPUTED_VALUE"""),"Acct#")</f>
        <v>Acct#</v>
      </c>
      <c r="B3" s="84" t="str">
        <f>IFERROR(__xludf.DUMMYFUNCTION("""COMPUTED_VALUE"""),"Date/ Time")</f>
        <v>Date/ Time</v>
      </c>
      <c r="C3" s="64" t="str">
        <f>IFERROR(__xludf.DUMMYFUNCTION("""COMPUTED_VALUE"""),"Asset Class")</f>
        <v>Asset Class</v>
      </c>
      <c r="D3" s="85" t="str">
        <f>IFERROR(__xludf.DUMMYFUNCTION("""COMPUTED_VALUE"""),"Ticker Code")</f>
        <v>Ticker Code</v>
      </c>
      <c r="E3" s="5" t="str">
        <f>IFERROR(__xludf.DUMMYFUNCTION("""COMPUTED_VALUE"""),"Currency")</f>
        <v>Currency</v>
      </c>
      <c r="F3" s="69" t="str">
        <f>IFERROR(__xludf.DUMMYFUNCTION("""COMPUTED_VALUE"""),"Qty Executed")</f>
        <v>Qty Executed</v>
      </c>
      <c r="G3" s="70" t="str">
        <f>IFERROR(__xludf.DUMMYFUNCTION("""COMPUTED_VALUE"""),"AVERAGE of FX - Value day")</f>
        <v>AVERAGE of FX - Value day</v>
      </c>
      <c r="H3" s="71" t="str">
        <f>IFERROR(__xludf.DUMMYFUNCTION("""COMPUTED_VALUE"""),"MAX of Executed price (Lcl) - Trade day")</f>
        <v>MAX of Executed price (Lcl) - Trade day</v>
      </c>
      <c r="I3" s="71"/>
      <c r="J3" s="22"/>
      <c r="K3" s="22"/>
      <c r="L3" s="22"/>
      <c r="M3" s="22"/>
      <c r="N3" s="22"/>
      <c r="O3" s="73"/>
      <c r="P3" s="8"/>
      <c r="Q3" s="69"/>
      <c r="R3" s="69"/>
      <c r="S3" s="8"/>
      <c r="T3" s="69"/>
      <c r="U3" s="8"/>
      <c r="V3" s="69"/>
      <c r="W3" s="74"/>
      <c r="X3" s="69"/>
    </row>
    <row r="4" hidden="1" outlineLevel="1">
      <c r="A4" s="30"/>
      <c r="B4" s="5"/>
      <c r="C4" s="64"/>
      <c r="D4" s="85"/>
      <c r="E4" s="5"/>
      <c r="F4" s="69"/>
      <c r="G4" s="70" t="str">
        <f>IFERROR(__xludf.DUMMYFUNCTION("""COMPUTED_VALUE"""),"#DIV/0!")</f>
        <v>#DIV/0!</v>
      </c>
      <c r="H4" s="71">
        <f>IFERROR(__xludf.DUMMYFUNCTION("""COMPUTED_VALUE"""),0.0)</f>
        <v>0</v>
      </c>
      <c r="I4" s="71" t="str">
        <f>IFERROR(__xludf.DUMMYFUNCTION("""COMPUTED_VALUE"""),"")</f>
        <v/>
      </c>
      <c r="J4" s="22" t="str">
        <f>IFERROR(__xludf.DUMMYFUNCTION("""COMPUTED_VALUE"""),"")</f>
        <v/>
      </c>
      <c r="K4" s="22"/>
      <c r="L4" s="22"/>
      <c r="M4" s="22"/>
      <c r="N4" s="22"/>
      <c r="O4" s="73"/>
      <c r="P4" s="8"/>
      <c r="Q4" s="69"/>
      <c r="R4" s="69"/>
      <c r="S4" s="8"/>
      <c r="T4" s="69"/>
      <c r="U4" s="8"/>
      <c r="V4" s="69"/>
      <c r="W4" s="74"/>
      <c r="X4" s="69"/>
    </row>
    <row r="5" hidden="1" outlineLevel="1">
      <c r="A5" s="30" t="str">
        <f>IFERROR(__xludf.DUMMYFUNCTION("""COMPUTED_VALUE""")," Total")</f>
        <v> Total</v>
      </c>
      <c r="B5" s="5"/>
      <c r="C5" s="64"/>
      <c r="D5" s="85"/>
      <c r="E5" s="5"/>
      <c r="F5" s="69"/>
      <c r="G5" s="70" t="str">
        <f>IFERROR(__xludf.DUMMYFUNCTION("""COMPUTED_VALUE"""),"#DIV/0!")</f>
        <v>#DIV/0!</v>
      </c>
      <c r="H5" s="71">
        <f>IFERROR(__xludf.DUMMYFUNCTION("""COMPUTED_VALUE"""),0.0)</f>
        <v>0</v>
      </c>
      <c r="I5" s="71" t="str">
        <f>IFERROR(__xludf.DUMMYFUNCTION("""COMPUTED_VALUE"""),"")</f>
        <v/>
      </c>
      <c r="J5" s="22" t="str">
        <f>IFERROR(__xludf.DUMMYFUNCTION("""COMPUTED_VALUE"""),"")</f>
        <v/>
      </c>
      <c r="K5" s="22"/>
      <c r="L5" s="22"/>
      <c r="M5" s="22"/>
      <c r="N5" s="22"/>
      <c r="O5" s="73"/>
      <c r="P5" s="8"/>
      <c r="Q5" s="69"/>
      <c r="R5" s="69"/>
      <c r="S5" s="8"/>
      <c r="T5" s="69"/>
      <c r="U5" s="8"/>
      <c r="V5" s="69"/>
      <c r="W5" s="74"/>
      <c r="X5" s="69"/>
    </row>
    <row r="6">
      <c r="A6" s="30" t="str">
        <f>IFERROR(__xludf.DUMMYFUNCTION("""COMPUTED_VALUE"""),"14626")</f>
        <v>14626</v>
      </c>
      <c r="B6" s="86">
        <f>IFERROR(__xludf.DUMMYFUNCTION("""COMPUTED_VALUE"""),44597.0)</f>
        <v>44597</v>
      </c>
      <c r="C6" s="64" t="str">
        <f>IFERROR(__xludf.DUMMYFUNCTION("""COMPUTED_VALUE"""),"Cash")</f>
        <v>Cash</v>
      </c>
      <c r="D6" s="85" t="str">
        <f>IFERROR(__xludf.DUMMYFUNCTION("""COMPUTED_VALUE"""),"Cash")</f>
        <v>Cash</v>
      </c>
      <c r="E6" s="5" t="str">
        <f>IFERROR(__xludf.DUMMYFUNCTION("""COMPUTED_VALUE"""),"HKD")</f>
        <v>HKD</v>
      </c>
      <c r="F6" s="69" t="str">
        <f>IFERROR(__xludf.DUMMYFUNCTION("""COMPUTED_VALUE"""),"")</f>
        <v/>
      </c>
      <c r="G6" s="70">
        <f>IFERROR(__xludf.DUMMYFUNCTION("""COMPUTED_VALUE"""),1.0)</f>
        <v>1</v>
      </c>
      <c r="H6" s="71">
        <f>IFERROR(__xludf.DUMMYFUNCTION("""COMPUTED_VALUE"""),1.0)</f>
        <v>1</v>
      </c>
      <c r="I6" s="71">
        <f>IFERROR(__xludf.DUMMYFUNCTION("""COMPUTED_VALUE"""),1.0)</f>
        <v>1</v>
      </c>
      <c r="J6" s="22" t="str">
        <f>IFERROR(__xludf.DUMMYFUNCTION("""COMPUTED_VALUE"""),"")</f>
        <v/>
      </c>
      <c r="K6" s="22"/>
      <c r="L6" s="22"/>
      <c r="M6" s="22"/>
      <c r="N6" s="22"/>
      <c r="O6" s="73"/>
      <c r="P6" s="8"/>
      <c r="Q6" s="69"/>
      <c r="R6" s="69"/>
      <c r="S6" s="8"/>
      <c r="T6" s="69"/>
      <c r="U6" s="8"/>
      <c r="V6" s="69"/>
      <c r="W6" s="74"/>
      <c r="X6" s="69"/>
    </row>
    <row r="7">
      <c r="A7" s="30" t="str">
        <f>IFERROR(__xludf.DUMMYFUNCTION("""COMPUTED_VALUE"""),"14626")</f>
        <v>14626</v>
      </c>
      <c r="B7" s="86">
        <f>IFERROR(__xludf.DUMMYFUNCTION("""COMPUTED_VALUE"""),44617.0)</f>
        <v>44617</v>
      </c>
      <c r="C7" s="64" t="str">
        <f>IFERROR(__xludf.DUMMYFUNCTION("""COMPUTED_VALUE"""),"Stock")</f>
        <v>Stock</v>
      </c>
      <c r="D7" s="87" t="str">
        <f>IFERROR(__xludf.DUMMYFUNCTION("""COMPUTED_VALUE"""),"AAPL")</f>
        <v>AAPL</v>
      </c>
      <c r="E7" s="5" t="str">
        <f>IFERROR(__xludf.DUMMYFUNCTION("""COMPUTED_VALUE"""),"USD")</f>
        <v>USD</v>
      </c>
      <c r="F7" s="69">
        <f>IFERROR(__xludf.DUMMYFUNCTION("""COMPUTED_VALUE"""),0.0)</f>
        <v>0</v>
      </c>
      <c r="G7" s="70">
        <f>IFERROR(__xludf.DUMMYFUNCTION("""COMPUTED_VALUE"""),7.83915)</f>
        <v>7.83915</v>
      </c>
      <c r="H7" s="71">
        <f>IFERROR(__xludf.DUMMYFUNCTION("""COMPUTED_VALUE"""),0.0)</f>
        <v>0</v>
      </c>
      <c r="I7" s="71">
        <f>IFERROR(__xludf.DUMMYFUNCTION("""COMPUTED_VALUE"""),170.4)</f>
        <v>170.4</v>
      </c>
      <c r="J7" s="88" t="str">
        <f>IFERROR(__xludf.DUMMYFUNCTION("""COMPUTED_VALUE"""),"Goto link: AAPL")</f>
        <v>Goto link: AAPL</v>
      </c>
      <c r="K7" s="22"/>
      <c r="L7" s="22"/>
      <c r="M7" s="22"/>
      <c r="N7" s="22"/>
      <c r="O7" s="73"/>
      <c r="P7" s="8"/>
      <c r="Q7" s="69"/>
      <c r="R7" s="69"/>
      <c r="S7" s="8"/>
      <c r="T7" s="69"/>
      <c r="U7" s="8"/>
      <c r="V7" s="69"/>
      <c r="W7" s="74"/>
      <c r="X7" s="69"/>
    </row>
    <row r="8">
      <c r="A8" s="89" t="str">
        <f>IFERROR(__xludf.DUMMYFUNCTION("""COMPUTED_VALUE"""),"14626")</f>
        <v>14626</v>
      </c>
      <c r="B8" s="86">
        <f>IFERROR(__xludf.DUMMYFUNCTION("""COMPUTED_VALUE"""),44617.0)</f>
        <v>44617</v>
      </c>
      <c r="C8" s="64" t="str">
        <f>IFERROR(__xludf.DUMMYFUNCTION("""COMPUTED_VALUE"""),"Stock")</f>
        <v>Stock</v>
      </c>
      <c r="D8" s="87" t="str">
        <f>IFERROR(__xludf.DUMMYFUNCTION("""COMPUTED_VALUE"""),"TSLA")</f>
        <v>TSLA</v>
      </c>
      <c r="E8" s="5" t="str">
        <f>IFERROR(__xludf.DUMMYFUNCTION("""COMPUTED_VALUE"""),"USD")</f>
        <v>USD</v>
      </c>
      <c r="F8" s="69">
        <f>IFERROR(__xludf.DUMMYFUNCTION("""COMPUTED_VALUE"""),0.0)</f>
        <v>0</v>
      </c>
      <c r="G8" s="70">
        <f>IFERROR(__xludf.DUMMYFUNCTION("""COMPUTED_VALUE"""),7.83915)</f>
        <v>7.83915</v>
      </c>
      <c r="H8" s="71">
        <f>IFERROR(__xludf.DUMMYFUNCTION("""COMPUTED_VALUE"""),0.0)</f>
        <v>0</v>
      </c>
      <c r="I8" s="71">
        <f>IFERROR(__xludf.DUMMYFUNCTION("""COMPUTED_VALUE"""),1022.37)</f>
        <v>1022.37</v>
      </c>
      <c r="J8" s="88" t="str">
        <f>IFERROR(__xludf.DUMMYFUNCTION("""COMPUTED_VALUE"""),"Goto link: TSLA")</f>
        <v>Goto link: TSLA</v>
      </c>
      <c r="K8" s="22"/>
      <c r="L8" s="22"/>
      <c r="M8" s="22"/>
      <c r="N8" s="22"/>
      <c r="O8" s="73"/>
      <c r="P8" s="8"/>
      <c r="Q8" s="69"/>
      <c r="R8" s="69"/>
      <c r="S8" s="8"/>
      <c r="T8" s="69"/>
      <c r="U8" s="8"/>
      <c r="V8" s="69"/>
      <c r="W8" s="74"/>
      <c r="X8" s="69"/>
    </row>
    <row r="9">
      <c r="A9" s="30" t="str">
        <f>IFERROR(__xludf.DUMMYFUNCTION("""COMPUTED_VALUE"""),"14626")</f>
        <v>14626</v>
      </c>
      <c r="B9" s="86">
        <f>IFERROR(__xludf.DUMMYFUNCTION("""COMPUTED_VALUE"""),44620.0)</f>
        <v>44620</v>
      </c>
      <c r="C9" s="64" t="str">
        <f>IFERROR(__xludf.DUMMYFUNCTION("""COMPUTED_VALUE"""),"Stock")</f>
        <v>Stock</v>
      </c>
      <c r="D9" s="87" t="str">
        <f>IFERROR(__xludf.DUMMYFUNCTION("""COMPUTED_VALUE"""),"TSLA")</f>
        <v>TSLA</v>
      </c>
      <c r="E9" s="5" t="str">
        <f>IFERROR(__xludf.DUMMYFUNCTION("""COMPUTED_VALUE"""),"USD")</f>
        <v>USD</v>
      </c>
      <c r="F9" s="69">
        <f>IFERROR(__xludf.DUMMYFUNCTION("""COMPUTED_VALUE"""),0.0)</f>
        <v>0</v>
      </c>
      <c r="G9" s="70">
        <f>IFERROR(__xludf.DUMMYFUNCTION("""COMPUTED_VALUE"""),7.83915)</f>
        <v>7.83915</v>
      </c>
      <c r="H9" s="71">
        <f>IFERROR(__xludf.DUMMYFUNCTION("""COMPUTED_VALUE"""),0.0)</f>
        <v>0</v>
      </c>
      <c r="I9" s="71">
        <f>IFERROR(__xludf.DUMMYFUNCTION("""COMPUTED_VALUE"""),1022.37)</f>
        <v>1022.37</v>
      </c>
      <c r="J9" s="88" t="str">
        <f>IFERROR(__xludf.DUMMYFUNCTION("""COMPUTED_VALUE"""),"Goto link: TSLA")</f>
        <v>Goto link: TSLA</v>
      </c>
      <c r="K9" s="22"/>
      <c r="L9" s="22"/>
      <c r="M9" s="22"/>
      <c r="N9" s="22"/>
      <c r="O9" s="73"/>
      <c r="P9" s="8"/>
      <c r="Q9" s="69"/>
      <c r="R9" s="69"/>
      <c r="S9" s="8"/>
      <c r="T9" s="69"/>
      <c r="U9" s="8"/>
      <c r="V9" s="69"/>
      <c r="W9" s="74"/>
      <c r="X9" s="69"/>
    </row>
    <row r="10">
      <c r="A10" s="30" t="str">
        <f>IFERROR(__xludf.DUMMYFUNCTION("""COMPUTED_VALUE"""),"14626")</f>
        <v>14626</v>
      </c>
      <c r="B10" s="86">
        <f>IFERROR(__xludf.DUMMYFUNCTION("""COMPUTED_VALUE"""),44621.0)</f>
        <v>44621</v>
      </c>
      <c r="C10" s="64" t="str">
        <f>IFERROR(__xludf.DUMMYFUNCTION("""COMPUTED_VALUE"""),"Stock")</f>
        <v>Stock</v>
      </c>
      <c r="D10" s="87" t="str">
        <f>IFERROR(__xludf.DUMMYFUNCTION("""COMPUTED_VALUE"""),"GC=F")</f>
        <v>GC=F</v>
      </c>
      <c r="E10" s="5" t="str">
        <f>IFERROR(__xludf.DUMMYFUNCTION("""COMPUTED_VALUE"""),"USD")</f>
        <v>USD</v>
      </c>
      <c r="F10" s="69">
        <f>IFERROR(__xludf.DUMMYFUNCTION("""COMPUTED_VALUE"""),-10.0)</f>
        <v>-10</v>
      </c>
      <c r="G10" s="70">
        <f>IFERROR(__xludf.DUMMYFUNCTION("""COMPUTED_VALUE"""),7.83915)</f>
        <v>7.83915</v>
      </c>
      <c r="H10" s="71">
        <f>IFERROR(__xludf.DUMMYFUNCTION("""COMPUTED_VALUE"""),1944.0)</f>
        <v>1944</v>
      </c>
      <c r="I10" s="71">
        <f>IFERROR(__xludf.DUMMYFUNCTION("""COMPUTED_VALUE"""),1980.7)</f>
        <v>1980.7</v>
      </c>
      <c r="J10" s="88" t="str">
        <f>IFERROR(__xludf.DUMMYFUNCTION("""COMPUTED_VALUE"""),"Goto link: GC=F")</f>
        <v>Goto link: GC=F</v>
      </c>
      <c r="K10" s="22"/>
      <c r="L10" s="22"/>
      <c r="M10" s="22"/>
      <c r="N10" s="22"/>
      <c r="O10" s="73"/>
      <c r="P10" s="8"/>
      <c r="Q10" s="69"/>
      <c r="R10" s="69"/>
      <c r="S10" s="8"/>
      <c r="T10" s="69"/>
      <c r="U10" s="8"/>
      <c r="V10" s="69"/>
      <c r="W10" s="74"/>
      <c r="X10" s="69"/>
    </row>
    <row r="11">
      <c r="A11" s="30" t="str">
        <f>IFERROR(__xludf.DUMMYFUNCTION("""COMPUTED_VALUE"""),"14626")</f>
        <v>14626</v>
      </c>
      <c r="B11" s="86">
        <f>IFERROR(__xludf.DUMMYFUNCTION("""COMPUTED_VALUE"""),44637.0)</f>
        <v>44637</v>
      </c>
      <c r="C11" s="64" t="str">
        <f>IFERROR(__xludf.DUMMYFUNCTION("""COMPUTED_VALUE"""),"Stock")</f>
        <v>Stock</v>
      </c>
      <c r="D11" s="87" t="str">
        <f>IFERROR(__xludf.DUMMYFUNCTION("""COMPUTED_VALUE"""),"CL=F")</f>
        <v>CL=F</v>
      </c>
      <c r="E11" s="5" t="str">
        <f>IFERROR(__xludf.DUMMYFUNCTION("""COMPUTED_VALUE"""),"USD")</f>
        <v>USD</v>
      </c>
      <c r="F11" s="69">
        <f>IFERROR(__xludf.DUMMYFUNCTION("""COMPUTED_VALUE"""),100.0)</f>
        <v>100</v>
      </c>
      <c r="G11" s="70">
        <f>IFERROR(__xludf.DUMMYFUNCTION("""COMPUTED_VALUE"""),7.83915)</f>
        <v>7.83915</v>
      </c>
      <c r="H11" s="71">
        <f>IFERROR(__xludf.DUMMYFUNCTION("""COMPUTED_VALUE"""),103.36)</f>
        <v>103.36</v>
      </c>
      <c r="I11" s="71">
        <f>IFERROR(__xludf.DUMMYFUNCTION("""COMPUTED_VALUE"""),104.31)</f>
        <v>104.31</v>
      </c>
      <c r="J11" s="88" t="str">
        <f>IFERROR(__xludf.DUMMYFUNCTION("""COMPUTED_VALUE"""),"Goto link: CL=F")</f>
        <v>Goto link: CL=F</v>
      </c>
      <c r="K11" s="22"/>
      <c r="L11" s="22"/>
      <c r="M11" s="22"/>
      <c r="N11" s="22"/>
      <c r="O11" s="73"/>
      <c r="P11" s="8"/>
      <c r="Q11" s="69"/>
      <c r="R11" s="69"/>
      <c r="S11" s="8"/>
      <c r="T11" s="69"/>
      <c r="U11" s="8"/>
      <c r="V11" s="69"/>
      <c r="W11" s="74"/>
      <c r="X11" s="69"/>
    </row>
    <row r="12">
      <c r="A12" s="30" t="str">
        <f>IFERROR(__xludf.DUMMYFUNCTION("""COMPUTED_VALUE"""),"14626")</f>
        <v>14626</v>
      </c>
      <c r="B12" s="86">
        <f>IFERROR(__xludf.DUMMYFUNCTION("""COMPUTED_VALUE"""),44637.0)</f>
        <v>44637</v>
      </c>
      <c r="C12" s="64" t="str">
        <f>IFERROR(__xludf.DUMMYFUNCTION("""COMPUTED_VALUE"""),"Stock")</f>
        <v>Stock</v>
      </c>
      <c r="D12" s="87" t="str">
        <f>IFERROR(__xludf.DUMMYFUNCTION("""COMPUTED_VALUE"""),"SI=F")</f>
        <v>SI=F</v>
      </c>
      <c r="E12" s="5" t="str">
        <f>IFERROR(__xludf.DUMMYFUNCTION("""COMPUTED_VALUE"""),"USD")</f>
        <v>USD</v>
      </c>
      <c r="F12" s="69">
        <f>IFERROR(__xludf.DUMMYFUNCTION("""COMPUTED_VALUE"""),100.0)</f>
        <v>100</v>
      </c>
      <c r="G12" s="70">
        <f>IFERROR(__xludf.DUMMYFUNCTION("""COMPUTED_VALUE"""),7.83915)</f>
        <v>7.83915</v>
      </c>
      <c r="H12" s="71">
        <f>IFERROR(__xludf.DUMMYFUNCTION("""COMPUTED_VALUE"""),25.455)</f>
        <v>25.455</v>
      </c>
      <c r="I12" s="71">
        <f>IFERROR(__xludf.DUMMYFUNCTION("""COMPUTED_VALUE"""),25.925)</f>
        <v>25.925</v>
      </c>
      <c r="J12" s="88" t="str">
        <f>IFERROR(__xludf.DUMMYFUNCTION("""COMPUTED_VALUE"""),"Goto link: SI=F")</f>
        <v>Goto link: SI=F</v>
      </c>
      <c r="K12" s="22"/>
      <c r="L12" s="22"/>
      <c r="M12" s="22"/>
      <c r="N12" s="22"/>
      <c r="O12" s="73"/>
      <c r="P12" s="8"/>
      <c r="Q12" s="69"/>
      <c r="R12" s="69"/>
      <c r="S12" s="8"/>
      <c r="T12" s="69"/>
      <c r="U12" s="8"/>
      <c r="V12" s="69"/>
      <c r="W12" s="74"/>
      <c r="X12" s="69"/>
    </row>
    <row r="13">
      <c r="A13" s="30" t="str">
        <f>IFERROR(__xludf.DUMMYFUNCTION("""COMPUTED_VALUE"""),"14626")</f>
        <v>14626</v>
      </c>
      <c r="B13" s="86">
        <f>IFERROR(__xludf.DUMMYFUNCTION("""COMPUTED_VALUE"""),44638.0)</f>
        <v>44638</v>
      </c>
      <c r="C13" s="64" t="str">
        <f>IFERROR(__xludf.DUMMYFUNCTION("""COMPUTED_VALUE"""),"Stock")</f>
        <v>Stock</v>
      </c>
      <c r="D13" s="87" t="str">
        <f>IFERROR(__xludf.DUMMYFUNCTION("""COMPUTED_VALUE"""),"AAPL")</f>
        <v>AAPL</v>
      </c>
      <c r="E13" s="5" t="str">
        <f>IFERROR(__xludf.DUMMYFUNCTION("""COMPUTED_VALUE"""),"USD")</f>
        <v>USD</v>
      </c>
      <c r="F13" s="69" t="str">
        <f>IFERROR(__xludf.DUMMYFUNCTION("""COMPUTED_VALUE"""),"")</f>
        <v/>
      </c>
      <c r="G13" s="70">
        <f>IFERROR(__xludf.DUMMYFUNCTION("""COMPUTED_VALUE"""),7.83915)</f>
        <v>7.83915</v>
      </c>
      <c r="H13" s="71">
        <f>IFERROR(__xludf.DUMMYFUNCTION("""COMPUTED_VALUE"""),163.98)</f>
        <v>163.98</v>
      </c>
      <c r="I13" s="71">
        <f>IFERROR(__xludf.DUMMYFUNCTION("""COMPUTED_VALUE"""),170.4)</f>
        <v>170.4</v>
      </c>
      <c r="J13" s="88" t="str">
        <f>IFERROR(__xludf.DUMMYFUNCTION("""COMPUTED_VALUE"""),"Goto link: AAPL")</f>
        <v>Goto link: AAPL</v>
      </c>
      <c r="K13" s="22"/>
      <c r="L13" s="22"/>
      <c r="M13" s="22"/>
      <c r="N13" s="22"/>
      <c r="O13" s="73"/>
      <c r="P13" s="8"/>
      <c r="Q13" s="69"/>
      <c r="R13" s="69"/>
      <c r="S13" s="8"/>
      <c r="T13" s="69"/>
      <c r="U13" s="8"/>
      <c r="V13" s="69"/>
      <c r="W13" s="74"/>
      <c r="X13" s="69"/>
    </row>
    <row r="14">
      <c r="A14" s="30" t="str">
        <f>IFERROR(__xludf.DUMMYFUNCTION("""COMPUTED_VALUE"""),"14626")</f>
        <v>14626</v>
      </c>
      <c r="B14" s="86">
        <f>IFERROR(__xludf.DUMMYFUNCTION("""COMPUTED_VALUE"""),44638.0)</f>
        <v>44638</v>
      </c>
      <c r="C14" s="64" t="str">
        <f>IFERROR(__xludf.DUMMYFUNCTION("""COMPUTED_VALUE"""),"Stock")</f>
        <v>Stock</v>
      </c>
      <c r="D14" s="87" t="str">
        <f>IFERROR(__xludf.DUMMYFUNCTION("""COMPUTED_VALUE"""),"ABBV")</f>
        <v>ABBV</v>
      </c>
      <c r="E14" s="5" t="str">
        <f>IFERROR(__xludf.DUMMYFUNCTION("""COMPUTED_VALUE"""),"USD")</f>
        <v>USD</v>
      </c>
      <c r="F14" s="69" t="str">
        <f>IFERROR(__xludf.DUMMYFUNCTION("""COMPUTED_VALUE"""),"")</f>
        <v/>
      </c>
      <c r="G14" s="70">
        <f>IFERROR(__xludf.DUMMYFUNCTION("""COMPUTED_VALUE"""),7.83915)</f>
        <v>7.83915</v>
      </c>
      <c r="H14" s="71">
        <f>IFERROR(__xludf.DUMMYFUNCTION("""COMPUTED_VALUE"""),159.2)</f>
        <v>159.2</v>
      </c>
      <c r="I14" s="71">
        <f>IFERROR(__xludf.DUMMYFUNCTION("""COMPUTED_VALUE"""),158.87)</f>
        <v>158.87</v>
      </c>
      <c r="J14" s="88" t="str">
        <f>IFERROR(__xludf.DUMMYFUNCTION("""COMPUTED_VALUE"""),"Goto link: ABBV")</f>
        <v>Goto link: ABBV</v>
      </c>
      <c r="K14" s="22"/>
      <c r="L14" s="22"/>
      <c r="M14" s="22"/>
      <c r="N14" s="22"/>
      <c r="O14" s="73"/>
      <c r="P14" s="8"/>
      <c r="Q14" s="69"/>
      <c r="R14" s="69"/>
      <c r="S14" s="8"/>
      <c r="T14" s="69"/>
      <c r="U14" s="8"/>
      <c r="V14" s="69"/>
      <c r="W14" s="74"/>
      <c r="X14" s="69"/>
    </row>
    <row r="15">
      <c r="A15" s="30" t="str">
        <f>IFERROR(__xludf.DUMMYFUNCTION("""COMPUTED_VALUE"""),"14626")</f>
        <v>14626</v>
      </c>
      <c r="B15" s="86">
        <f>IFERROR(__xludf.DUMMYFUNCTION("""COMPUTED_VALUE"""),44638.0)</f>
        <v>44638</v>
      </c>
      <c r="C15" s="64" t="str">
        <f>IFERROR(__xludf.DUMMYFUNCTION("""COMPUTED_VALUE"""),"Stock")</f>
        <v>Stock</v>
      </c>
      <c r="D15" s="87" t="str">
        <f>IFERROR(__xludf.DUMMYFUNCTION("""COMPUTED_VALUE"""),"AMZN")</f>
        <v>AMZN</v>
      </c>
      <c r="E15" s="5" t="str">
        <f>IFERROR(__xludf.DUMMYFUNCTION("""COMPUTED_VALUE"""),"USD")</f>
        <v>USD</v>
      </c>
      <c r="F15" s="69" t="str">
        <f>IFERROR(__xludf.DUMMYFUNCTION("""COMPUTED_VALUE"""),"")</f>
        <v/>
      </c>
      <c r="G15" s="70">
        <f>IFERROR(__xludf.DUMMYFUNCTION("""COMPUTED_VALUE"""),7.83915)</f>
        <v>7.83915</v>
      </c>
      <c r="H15" s="71">
        <f>IFERROR(__xludf.DUMMYFUNCTION("""COMPUTED_VALUE"""),3225.01)</f>
        <v>3225.01</v>
      </c>
      <c r="I15" s="71">
        <f>IFERROR(__xludf.DUMMYFUNCTION("""COMPUTED_VALUE"""),3110.82)</f>
        <v>3110.82</v>
      </c>
      <c r="J15" s="88" t="str">
        <f>IFERROR(__xludf.DUMMYFUNCTION("""COMPUTED_VALUE"""),"Goto link: AMZN")</f>
        <v>Goto link: AMZN</v>
      </c>
      <c r="K15" s="22"/>
      <c r="L15" s="22"/>
      <c r="M15" s="22"/>
      <c r="N15" s="22"/>
      <c r="O15" s="73"/>
      <c r="P15" s="8"/>
      <c r="Q15" s="69"/>
      <c r="R15" s="69"/>
      <c r="S15" s="8"/>
      <c r="T15" s="69"/>
      <c r="U15" s="8"/>
      <c r="V15" s="69"/>
      <c r="W15" s="74"/>
      <c r="X15" s="69"/>
    </row>
    <row r="16">
      <c r="A16" s="30" t="str">
        <f>IFERROR(__xludf.DUMMYFUNCTION("""COMPUTED_VALUE"""),"14626")</f>
        <v>14626</v>
      </c>
      <c r="B16" s="86">
        <f>IFERROR(__xludf.DUMMYFUNCTION("""COMPUTED_VALUE"""),44638.0)</f>
        <v>44638</v>
      </c>
      <c r="C16" s="64" t="str">
        <f>IFERROR(__xludf.DUMMYFUNCTION("""COMPUTED_VALUE"""),"Stock")</f>
        <v>Stock</v>
      </c>
      <c r="D16" s="87" t="str">
        <f>IFERROR(__xludf.DUMMYFUNCTION("""COMPUTED_VALUE"""),"MSFT")</f>
        <v>MSFT</v>
      </c>
      <c r="E16" s="5" t="str">
        <f>IFERROR(__xludf.DUMMYFUNCTION("""COMPUTED_VALUE"""),"USD")</f>
        <v>USD</v>
      </c>
      <c r="F16" s="69" t="str">
        <f>IFERROR(__xludf.DUMMYFUNCTION("""COMPUTED_VALUE"""),"")</f>
        <v/>
      </c>
      <c r="G16" s="70">
        <f>IFERROR(__xludf.DUMMYFUNCTION("""COMPUTED_VALUE"""),7.83915)</f>
        <v>7.83915</v>
      </c>
      <c r="H16" s="71">
        <f>IFERROR(__xludf.DUMMYFUNCTION("""COMPUTED_VALUE"""),300.43)</f>
        <v>300.43</v>
      </c>
      <c r="I16" s="71">
        <f>IFERROR(__xludf.DUMMYFUNCTION("""COMPUTED_VALUE"""),287.62)</f>
        <v>287.62</v>
      </c>
      <c r="J16" s="88" t="str">
        <f>IFERROR(__xludf.DUMMYFUNCTION("""COMPUTED_VALUE"""),"Goto link: MSFT")</f>
        <v>Goto link: MSFT</v>
      </c>
      <c r="K16" s="22"/>
      <c r="L16" s="22"/>
      <c r="M16" s="22"/>
      <c r="N16" s="22"/>
      <c r="O16" s="73"/>
      <c r="P16" s="8"/>
      <c r="Q16" s="69"/>
      <c r="R16" s="69"/>
      <c r="S16" s="8"/>
      <c r="T16" s="69"/>
      <c r="U16" s="8"/>
      <c r="V16" s="69"/>
      <c r="W16" s="74"/>
      <c r="X16" s="69"/>
    </row>
    <row r="17">
      <c r="A17" s="30" t="str">
        <f>IFERROR(__xludf.DUMMYFUNCTION("""COMPUTED_VALUE"""),"14626")</f>
        <v>14626</v>
      </c>
      <c r="B17" s="86">
        <f>IFERROR(__xludf.DUMMYFUNCTION("""COMPUTED_VALUE"""),44638.0)</f>
        <v>44638</v>
      </c>
      <c r="C17" s="64" t="str">
        <f>IFERROR(__xludf.DUMMYFUNCTION("""COMPUTED_VALUE"""),"Stock")</f>
        <v>Stock</v>
      </c>
      <c r="D17" s="87" t="str">
        <f>IFERROR(__xludf.DUMMYFUNCTION("""COMPUTED_VALUE"""),"OXY")</f>
        <v>OXY</v>
      </c>
      <c r="E17" s="5" t="str">
        <f>IFERROR(__xludf.DUMMYFUNCTION("""COMPUTED_VALUE"""),"USD")</f>
        <v>USD</v>
      </c>
      <c r="F17" s="69">
        <f>IFERROR(__xludf.DUMMYFUNCTION("""COMPUTED_VALUE"""),0.0)</f>
        <v>0</v>
      </c>
      <c r="G17" s="70">
        <f>IFERROR(__xludf.DUMMYFUNCTION("""COMPUTED_VALUE"""),7.83915)</f>
        <v>7.83915</v>
      </c>
      <c r="H17" s="71">
        <f>IFERROR(__xludf.DUMMYFUNCTION("""COMPUTED_VALUE"""),0.0)</f>
        <v>0</v>
      </c>
      <c r="I17" s="71">
        <f>IFERROR(__xludf.DUMMYFUNCTION("""COMPUTED_VALUE"""),59.62)</f>
        <v>59.62</v>
      </c>
      <c r="J17" s="88" t="str">
        <f>IFERROR(__xludf.DUMMYFUNCTION("""COMPUTED_VALUE"""),"Goto link: OXY")</f>
        <v>Goto link: OXY</v>
      </c>
      <c r="K17" s="22"/>
      <c r="L17" s="22"/>
      <c r="M17" s="22"/>
      <c r="N17" s="22"/>
      <c r="O17" s="73"/>
      <c r="P17" s="8"/>
      <c r="Q17" s="69"/>
      <c r="R17" s="69"/>
      <c r="S17" s="8"/>
      <c r="T17" s="69"/>
      <c r="U17" s="8"/>
      <c r="V17" s="69"/>
      <c r="W17" s="74"/>
      <c r="X17" s="69"/>
    </row>
    <row r="18">
      <c r="A18" s="30" t="str">
        <f>IFERROR(__xludf.DUMMYFUNCTION("""COMPUTED_VALUE"""),"14626")</f>
        <v>14626</v>
      </c>
      <c r="B18" s="86">
        <f>IFERROR(__xludf.DUMMYFUNCTION("""COMPUTED_VALUE"""),44641.0)</f>
        <v>44641</v>
      </c>
      <c r="C18" s="64" t="str">
        <f>IFERROR(__xludf.DUMMYFUNCTION("""COMPUTED_VALUE"""),"Stock")</f>
        <v>Stock</v>
      </c>
      <c r="D18" s="87" t="str">
        <f>IFERROR(__xludf.DUMMYFUNCTION("""COMPUTED_VALUE"""),"^CMC200")</f>
        <v>^CMC200</v>
      </c>
      <c r="E18" s="5" t="str">
        <f>IFERROR(__xludf.DUMMYFUNCTION("""COMPUTED_VALUE"""),"USD")</f>
        <v>USD</v>
      </c>
      <c r="F18" s="69" t="str">
        <f>IFERROR(__xludf.DUMMYFUNCTION("""COMPUTED_VALUE"""),"")</f>
        <v/>
      </c>
      <c r="G18" s="70">
        <f>IFERROR(__xludf.DUMMYFUNCTION("""COMPUTED_VALUE"""),7.83915)</f>
        <v>7.83915</v>
      </c>
      <c r="H18" s="71">
        <f>IFERROR(__xludf.DUMMYFUNCTION("""COMPUTED_VALUE"""),941.89)</f>
        <v>941.89</v>
      </c>
      <c r="I18" s="71">
        <f>IFERROR(__xludf.DUMMYFUNCTION("""COMPUTED_VALUE"""),960.27)</f>
        <v>960.27</v>
      </c>
      <c r="J18" s="88" t="str">
        <f>IFERROR(__xludf.DUMMYFUNCTION("""COMPUTED_VALUE"""),"Goto link: ^CMC200")</f>
        <v>Goto link: ^CMC200</v>
      </c>
      <c r="K18" s="22"/>
      <c r="L18" s="22"/>
      <c r="M18" s="22"/>
      <c r="N18" s="22"/>
      <c r="O18" s="73"/>
      <c r="P18" s="8"/>
      <c r="Q18" s="69"/>
      <c r="R18" s="69"/>
      <c r="S18" s="8"/>
      <c r="T18" s="69"/>
      <c r="U18" s="8"/>
      <c r="V18" s="69"/>
      <c r="W18" s="74"/>
      <c r="X18" s="69"/>
    </row>
    <row r="19">
      <c r="A19" s="30" t="str">
        <f>IFERROR(__xludf.DUMMYFUNCTION("""COMPUTED_VALUE"""),"14626")</f>
        <v>14626</v>
      </c>
      <c r="B19" s="86">
        <f>IFERROR(__xludf.DUMMYFUNCTION("""COMPUTED_VALUE"""),44641.0)</f>
        <v>44641</v>
      </c>
      <c r="C19" s="64" t="str">
        <f>IFERROR(__xludf.DUMMYFUNCTION("""COMPUTED_VALUE"""),"Stock")</f>
        <v>Stock</v>
      </c>
      <c r="D19" s="87" t="str">
        <f>IFERROR(__xludf.DUMMYFUNCTION("""COMPUTED_VALUE"""),"^N225")</f>
        <v>^N225</v>
      </c>
      <c r="E19" s="5" t="str">
        <f>IFERROR(__xludf.DUMMYFUNCTION("""COMPUTED_VALUE"""),"JPY")</f>
        <v>JPY</v>
      </c>
      <c r="F19" s="69" t="str">
        <f>IFERROR(__xludf.DUMMYFUNCTION("""COMPUTED_VALUE"""),"")</f>
        <v/>
      </c>
      <c r="G19" s="70">
        <f>IFERROR(__xludf.DUMMYFUNCTION("""COMPUTED_VALUE"""),0.0625275)</f>
        <v>0.0625275</v>
      </c>
      <c r="H19" s="71">
        <f>IFERROR(__xludf.DUMMYFUNCTION("""COMPUTED_VALUE"""),27222.93)</f>
        <v>27222.93</v>
      </c>
      <c r="I19" s="71">
        <f>IFERROR(__xludf.DUMMYFUNCTION("""COMPUTED_VALUE"""),26843.49)</f>
        <v>26843.49</v>
      </c>
      <c r="J19" s="88" t="str">
        <f>IFERROR(__xludf.DUMMYFUNCTION("""COMPUTED_VALUE"""),"Goto link: ^N225")</f>
        <v>Goto link: ^N225</v>
      </c>
      <c r="K19" s="22"/>
      <c r="L19" s="22"/>
      <c r="M19" s="22"/>
      <c r="N19" s="22"/>
      <c r="O19" s="73"/>
      <c r="P19" s="8"/>
      <c r="Q19" s="69"/>
      <c r="R19" s="69"/>
      <c r="S19" s="8"/>
      <c r="T19" s="69"/>
      <c r="U19" s="8"/>
      <c r="V19" s="69"/>
      <c r="W19" s="74"/>
      <c r="X19" s="69"/>
    </row>
    <row r="20">
      <c r="A20" s="30" t="str">
        <f>IFERROR(__xludf.DUMMYFUNCTION("""COMPUTED_VALUE"""),"14626")</f>
        <v>14626</v>
      </c>
      <c r="B20" s="86">
        <f>IFERROR(__xludf.DUMMYFUNCTION("""COMPUTED_VALUE"""),44641.0)</f>
        <v>44641</v>
      </c>
      <c r="C20" s="64" t="str">
        <f>IFERROR(__xludf.DUMMYFUNCTION("""COMPUTED_VALUE"""),"Stock")</f>
        <v>Stock</v>
      </c>
      <c r="D20" s="90" t="str">
        <f>IFERROR(__xludf.DUMMYFUNCTION("""COMPUTED_VALUE"""),"0700.HK")</f>
        <v>0700.HK</v>
      </c>
      <c r="E20" s="5" t="str">
        <f>IFERROR(__xludf.DUMMYFUNCTION("""COMPUTED_VALUE"""),"HKD")</f>
        <v>HKD</v>
      </c>
      <c r="F20" s="69" t="str">
        <f>IFERROR(__xludf.DUMMYFUNCTION("""COMPUTED_VALUE"""),"")</f>
        <v/>
      </c>
      <c r="G20" s="70">
        <f>IFERROR(__xludf.DUMMYFUNCTION("""COMPUTED_VALUE"""),1.0)</f>
        <v>1</v>
      </c>
      <c r="H20" s="71">
        <f>IFERROR(__xludf.DUMMYFUNCTION("""COMPUTED_VALUE"""),372.4)</f>
        <v>372.4</v>
      </c>
      <c r="I20" s="71">
        <f>IFERROR(__xludf.DUMMYFUNCTION("""COMPUTED_VALUE"""),373.6)</f>
        <v>373.6</v>
      </c>
      <c r="J20" s="88" t="str">
        <f>IFERROR(__xludf.DUMMYFUNCTION("""COMPUTED_VALUE"""),"Goto link: 0700.HK")</f>
        <v>Goto link: 0700.HK</v>
      </c>
      <c r="K20" s="22"/>
      <c r="L20" s="22"/>
      <c r="M20" s="22"/>
      <c r="N20" s="22"/>
      <c r="O20" s="73"/>
      <c r="P20" s="8"/>
      <c r="Q20" s="69"/>
      <c r="R20" s="69"/>
      <c r="S20" s="8"/>
      <c r="T20" s="69"/>
      <c r="U20" s="8"/>
      <c r="V20" s="69"/>
      <c r="W20" s="74"/>
      <c r="X20" s="69"/>
    </row>
    <row r="21">
      <c r="A21" s="30" t="str">
        <f>IFERROR(__xludf.DUMMYFUNCTION("""COMPUTED_VALUE"""),"14626")</f>
        <v>14626</v>
      </c>
      <c r="B21" s="86">
        <f>IFERROR(__xludf.DUMMYFUNCTION("""COMPUTED_VALUE"""),44641.0)</f>
        <v>44641</v>
      </c>
      <c r="C21" s="64" t="str">
        <f>IFERROR(__xludf.DUMMYFUNCTION("""COMPUTED_VALUE"""),"Stock")</f>
        <v>Stock</v>
      </c>
      <c r="D21" s="87" t="str">
        <f>IFERROR(__xludf.DUMMYFUNCTION("""COMPUTED_VALUE"""),"AMC")</f>
        <v>AMC</v>
      </c>
      <c r="E21" s="5" t="str">
        <f>IFERROR(__xludf.DUMMYFUNCTION("""COMPUTED_VALUE"""),"USD")</f>
        <v>USD</v>
      </c>
      <c r="F21" s="69" t="str">
        <f>IFERROR(__xludf.DUMMYFUNCTION("""COMPUTED_VALUE"""),"")</f>
        <v/>
      </c>
      <c r="G21" s="70">
        <f>IFERROR(__xludf.DUMMYFUNCTION("""COMPUTED_VALUE"""),7.83915)</f>
        <v>7.83915</v>
      </c>
      <c r="H21" s="71">
        <f>IFERROR(__xludf.DUMMYFUNCTION("""COMPUTED_VALUE"""),15.86)</f>
        <v>15.86</v>
      </c>
      <c r="I21" s="71">
        <f>IFERROR(__xludf.DUMMYFUNCTION("""COMPUTED_VALUE"""),18.52)</f>
        <v>18.52</v>
      </c>
      <c r="J21" s="88" t="str">
        <f>IFERROR(__xludf.DUMMYFUNCTION("""COMPUTED_VALUE"""),"Goto link: AMC")</f>
        <v>Goto link: AMC</v>
      </c>
      <c r="K21" s="22"/>
      <c r="L21" s="22"/>
      <c r="M21" s="22"/>
      <c r="N21" s="22"/>
      <c r="O21" s="73"/>
      <c r="P21" s="8"/>
      <c r="Q21" s="69"/>
      <c r="R21" s="69"/>
      <c r="S21" s="8"/>
      <c r="T21" s="69"/>
      <c r="U21" s="8"/>
      <c r="V21" s="69"/>
      <c r="W21" s="74"/>
      <c r="X21" s="69"/>
    </row>
    <row r="22">
      <c r="A22" s="30" t="str">
        <f>IFERROR(__xludf.DUMMYFUNCTION("""COMPUTED_VALUE"""),"14626")</f>
        <v>14626</v>
      </c>
      <c r="B22" s="86">
        <f>IFERROR(__xludf.DUMMYFUNCTION("""COMPUTED_VALUE"""),44641.0)</f>
        <v>44641</v>
      </c>
      <c r="C22" s="64" t="str">
        <f>IFERROR(__xludf.DUMMYFUNCTION("""COMPUTED_VALUE"""),"Stock")</f>
        <v>Stock</v>
      </c>
      <c r="D22" s="87" t="str">
        <f>IFERROR(__xludf.DUMMYFUNCTION("""COMPUTED_VALUE"""),"BA")</f>
        <v>BA</v>
      </c>
      <c r="E22" s="5" t="str">
        <f>IFERROR(__xludf.DUMMYFUNCTION("""COMPUTED_VALUE"""),"USD")</f>
        <v>USD</v>
      </c>
      <c r="F22" s="69" t="str">
        <f>IFERROR(__xludf.DUMMYFUNCTION("""COMPUTED_VALUE"""),"")</f>
        <v/>
      </c>
      <c r="G22" s="70">
        <f>IFERROR(__xludf.DUMMYFUNCTION("""COMPUTED_VALUE"""),7.83915)</f>
        <v>7.83915</v>
      </c>
      <c r="H22" s="71">
        <f>IFERROR(__xludf.DUMMYFUNCTION("""COMPUTED_VALUE"""),185.9)</f>
        <v>185.9</v>
      </c>
      <c r="I22" s="71">
        <f>IFERROR(__xludf.DUMMYFUNCTION("""COMPUTED_VALUE"""),182.96)</f>
        <v>182.96</v>
      </c>
      <c r="J22" s="88" t="str">
        <f>IFERROR(__xludf.DUMMYFUNCTION("""COMPUTED_VALUE"""),"Goto link: BA")</f>
        <v>Goto link: BA</v>
      </c>
      <c r="K22" s="22"/>
      <c r="L22" s="22"/>
      <c r="M22" s="22"/>
      <c r="N22" s="22"/>
      <c r="O22" s="73"/>
      <c r="P22" s="8"/>
      <c r="Q22" s="69"/>
      <c r="R22" s="69"/>
      <c r="S22" s="8"/>
      <c r="T22" s="69"/>
      <c r="U22" s="8"/>
      <c r="V22" s="69"/>
      <c r="W22" s="74"/>
      <c r="X22" s="69"/>
    </row>
    <row r="23">
      <c r="A23" s="30" t="str">
        <f>IFERROR(__xludf.DUMMYFUNCTION("""COMPUTED_VALUE"""),"14626")</f>
        <v>14626</v>
      </c>
      <c r="B23" s="86">
        <f>IFERROR(__xludf.DUMMYFUNCTION("""COMPUTED_VALUE"""),44641.0)</f>
        <v>44641</v>
      </c>
      <c r="C23" s="64" t="str">
        <f>IFERROR(__xludf.DUMMYFUNCTION("""COMPUTED_VALUE"""),"Stock")</f>
        <v>Stock</v>
      </c>
      <c r="D23" s="87" t="str">
        <f>IFERROR(__xludf.DUMMYFUNCTION("""COMPUTED_VALUE"""),"CL=F")</f>
        <v>CL=F</v>
      </c>
      <c r="E23" s="5" t="str">
        <f>IFERROR(__xludf.DUMMYFUNCTION("""COMPUTED_VALUE"""),"USD")</f>
        <v>USD</v>
      </c>
      <c r="F23" s="69" t="str">
        <f>IFERROR(__xludf.DUMMYFUNCTION("""COMPUTED_VALUE"""),"")</f>
        <v/>
      </c>
      <c r="G23" s="70">
        <f>IFERROR(__xludf.DUMMYFUNCTION("""COMPUTED_VALUE"""),7.83915)</f>
        <v>7.83915</v>
      </c>
      <c r="H23" s="71">
        <f>IFERROR(__xludf.DUMMYFUNCTION("""COMPUTED_VALUE"""),114.16)</f>
        <v>114.16</v>
      </c>
      <c r="I23" s="71">
        <f>IFERROR(__xludf.DUMMYFUNCTION("""COMPUTED_VALUE"""),104.31)</f>
        <v>104.31</v>
      </c>
      <c r="J23" s="88" t="str">
        <f>IFERROR(__xludf.DUMMYFUNCTION("""COMPUTED_VALUE"""),"Goto link: CL=F")</f>
        <v>Goto link: CL=F</v>
      </c>
      <c r="K23" s="22"/>
      <c r="L23" s="22"/>
      <c r="M23" s="22"/>
      <c r="N23" s="22"/>
      <c r="O23" s="73"/>
      <c r="P23" s="8"/>
      <c r="Q23" s="69"/>
      <c r="R23" s="69"/>
      <c r="S23" s="8"/>
      <c r="T23" s="69"/>
      <c r="U23" s="8"/>
      <c r="V23" s="69"/>
      <c r="W23" s="74"/>
      <c r="X23" s="69"/>
    </row>
    <row r="24">
      <c r="A24" s="30" t="str">
        <f>IFERROR(__xludf.DUMMYFUNCTION("""COMPUTED_VALUE"""),"14626")</f>
        <v>14626</v>
      </c>
      <c r="B24" s="86">
        <f>IFERROR(__xludf.DUMMYFUNCTION("""COMPUTED_VALUE"""),44641.0)</f>
        <v>44641</v>
      </c>
      <c r="C24" s="64" t="str">
        <f>IFERROR(__xludf.DUMMYFUNCTION("""COMPUTED_VALUE"""),"Stock")</f>
        <v>Stock</v>
      </c>
      <c r="D24" s="87" t="str">
        <f>IFERROR(__xludf.DUMMYFUNCTION("""COMPUTED_VALUE"""),"DIDI")</f>
        <v>DIDI</v>
      </c>
      <c r="E24" s="5" t="str">
        <f>IFERROR(__xludf.DUMMYFUNCTION("""COMPUTED_VALUE"""),"USD")</f>
        <v>USD</v>
      </c>
      <c r="F24" s="69">
        <f>IFERROR(__xludf.DUMMYFUNCTION("""COMPUTED_VALUE"""),500.0)</f>
        <v>500</v>
      </c>
      <c r="G24" s="70">
        <f>IFERROR(__xludf.DUMMYFUNCTION("""COMPUTED_VALUE"""),7.83915)</f>
        <v>7.83915</v>
      </c>
      <c r="H24" s="71">
        <f>IFERROR(__xludf.DUMMYFUNCTION("""COMPUTED_VALUE"""),4.16)</f>
        <v>4.16</v>
      </c>
      <c r="I24" s="71">
        <f>IFERROR(__xludf.DUMMYFUNCTION("""COMPUTED_VALUE"""),2.54)</f>
        <v>2.54</v>
      </c>
      <c r="J24" s="88" t="str">
        <f>IFERROR(__xludf.DUMMYFUNCTION("""COMPUTED_VALUE"""),"Goto link: DIDI")</f>
        <v>Goto link: DIDI</v>
      </c>
      <c r="K24" s="22"/>
      <c r="L24" s="22"/>
      <c r="M24" s="22"/>
      <c r="N24" s="22"/>
      <c r="O24" s="73"/>
      <c r="P24" s="8"/>
      <c r="Q24" s="69"/>
      <c r="R24" s="69"/>
      <c r="S24" s="8"/>
      <c r="T24" s="69"/>
      <c r="U24" s="8"/>
      <c r="V24" s="69"/>
      <c r="W24" s="74"/>
      <c r="X24" s="69"/>
    </row>
    <row r="25">
      <c r="A25" s="30" t="str">
        <f>IFERROR(__xludf.DUMMYFUNCTION("""COMPUTED_VALUE"""),"14626")</f>
        <v>14626</v>
      </c>
      <c r="B25" s="86">
        <f>IFERROR(__xludf.DUMMYFUNCTION("""COMPUTED_VALUE"""),44641.0)</f>
        <v>44641</v>
      </c>
      <c r="C25" s="64" t="str">
        <f>IFERROR(__xludf.DUMMYFUNCTION("""COMPUTED_VALUE"""),"Stock")</f>
        <v>Stock</v>
      </c>
      <c r="D25" s="87" t="str">
        <f>IFERROR(__xludf.DUMMYFUNCTION("""COMPUTED_VALUE"""),"F")</f>
        <v>F</v>
      </c>
      <c r="E25" s="5" t="str">
        <f>IFERROR(__xludf.DUMMYFUNCTION("""COMPUTED_VALUE"""),"USD")</f>
        <v>USD</v>
      </c>
      <c r="F25" s="69" t="str">
        <f>IFERROR(__xludf.DUMMYFUNCTION("""COMPUTED_VALUE"""),"")</f>
        <v/>
      </c>
      <c r="G25" s="70">
        <f>IFERROR(__xludf.DUMMYFUNCTION("""COMPUTED_VALUE"""),7.83915)</f>
        <v>7.83915</v>
      </c>
      <c r="H25" s="71">
        <f>IFERROR(__xludf.DUMMYFUNCTION("""COMPUTED_VALUE"""),16.48)</f>
        <v>16.48</v>
      </c>
      <c r="I25" s="71">
        <f>IFERROR(__xludf.DUMMYFUNCTION("""COMPUTED_VALUE"""),15.52)</f>
        <v>15.52</v>
      </c>
      <c r="J25" s="88" t="str">
        <f>IFERROR(__xludf.DUMMYFUNCTION("""COMPUTED_VALUE"""),"Goto link: F")</f>
        <v>Goto link: F</v>
      </c>
      <c r="K25" s="22"/>
      <c r="L25" s="22"/>
      <c r="M25" s="22"/>
      <c r="N25" s="22"/>
      <c r="O25" s="73"/>
      <c r="P25" s="8"/>
      <c r="Q25" s="69"/>
      <c r="R25" s="69"/>
      <c r="S25" s="8"/>
      <c r="T25" s="69"/>
      <c r="U25" s="8"/>
      <c r="V25" s="69"/>
      <c r="W25" s="74"/>
      <c r="X25" s="69"/>
    </row>
    <row r="26">
      <c r="A26" s="30" t="str">
        <f>IFERROR(__xludf.DUMMYFUNCTION("""COMPUTED_VALUE"""),"14626")</f>
        <v>14626</v>
      </c>
      <c r="B26" s="86">
        <f>IFERROR(__xludf.DUMMYFUNCTION("""COMPUTED_VALUE"""),44641.0)</f>
        <v>44641</v>
      </c>
      <c r="C26" s="64" t="str">
        <f>IFERROR(__xludf.DUMMYFUNCTION("""COMPUTED_VALUE"""),"Stock")</f>
        <v>Stock</v>
      </c>
      <c r="D26" s="87" t="str">
        <f>IFERROR(__xludf.DUMMYFUNCTION("""COMPUTED_VALUE"""),"FB")</f>
        <v>FB</v>
      </c>
      <c r="E26" s="5" t="str">
        <f>IFERROR(__xludf.DUMMYFUNCTION("""COMPUTED_VALUE"""),"USD")</f>
        <v>USD</v>
      </c>
      <c r="F26" s="69" t="str">
        <f>IFERROR(__xludf.DUMMYFUNCTION("""COMPUTED_VALUE"""),"")</f>
        <v/>
      </c>
      <c r="G26" s="70">
        <f>IFERROR(__xludf.DUMMYFUNCTION("""COMPUTED_VALUE"""),7.83915)</f>
        <v>7.83915</v>
      </c>
      <c r="H26" s="71">
        <f>IFERROR(__xludf.DUMMYFUNCTION("""COMPUTED_VALUE"""),211.49)</f>
        <v>211.49</v>
      </c>
      <c r="I26" s="71">
        <f>IFERROR(__xludf.DUMMYFUNCTION("""COMPUTED_VALUE"""),214.99)</f>
        <v>214.99</v>
      </c>
      <c r="J26" s="88" t="str">
        <f>IFERROR(__xludf.DUMMYFUNCTION("""COMPUTED_VALUE"""),"Goto link: FB")</f>
        <v>Goto link: FB</v>
      </c>
      <c r="K26" s="22"/>
      <c r="L26" s="22"/>
      <c r="M26" s="22"/>
      <c r="N26" s="22"/>
      <c r="O26" s="73"/>
      <c r="P26" s="8"/>
      <c r="Q26" s="69"/>
      <c r="R26" s="69"/>
      <c r="S26" s="8"/>
      <c r="T26" s="69"/>
      <c r="U26" s="8"/>
      <c r="V26" s="69"/>
      <c r="W26" s="74"/>
      <c r="X26" s="69"/>
    </row>
    <row r="27">
      <c r="A27" s="30" t="str">
        <f>IFERROR(__xludf.DUMMYFUNCTION("""COMPUTED_VALUE"""),"14626")</f>
        <v>14626</v>
      </c>
      <c r="B27" s="86">
        <f>IFERROR(__xludf.DUMMYFUNCTION("""COMPUTED_VALUE"""),44641.0)</f>
        <v>44641</v>
      </c>
      <c r="C27" s="64" t="str">
        <f>IFERROR(__xludf.DUMMYFUNCTION("""COMPUTED_VALUE"""),"Stock")</f>
        <v>Stock</v>
      </c>
      <c r="D27" s="87" t="str">
        <f>IFERROR(__xludf.DUMMYFUNCTION("""COMPUTED_VALUE"""),"GOOG")</f>
        <v>GOOG</v>
      </c>
      <c r="E27" s="5" t="str">
        <f>IFERROR(__xludf.DUMMYFUNCTION("""COMPUTED_VALUE"""),"USD")</f>
        <v>USD</v>
      </c>
      <c r="F27" s="69" t="str">
        <f>IFERROR(__xludf.DUMMYFUNCTION("""COMPUTED_VALUE"""),"")</f>
        <v/>
      </c>
      <c r="G27" s="70">
        <f>IFERROR(__xludf.DUMMYFUNCTION("""COMPUTED_VALUE"""),7.83915)</f>
        <v>7.83915</v>
      </c>
      <c r="H27" s="71">
        <f>IFERROR(__xludf.DUMMYFUNCTION("""COMPUTED_VALUE"""),2729.57)</f>
        <v>2729.57</v>
      </c>
      <c r="I27" s="71">
        <f>IFERROR(__xludf.DUMMYFUNCTION("""COMPUTED_VALUE"""),2605.72)</f>
        <v>2605.72</v>
      </c>
      <c r="J27" s="88" t="str">
        <f>IFERROR(__xludf.DUMMYFUNCTION("""COMPUTED_VALUE"""),"Goto link: GOOG")</f>
        <v>Goto link: GOOG</v>
      </c>
      <c r="K27" s="22"/>
      <c r="L27" s="22"/>
      <c r="M27" s="22"/>
      <c r="N27" s="22"/>
      <c r="O27" s="73"/>
      <c r="P27" s="8"/>
      <c r="Q27" s="69"/>
      <c r="R27" s="69"/>
      <c r="S27" s="8"/>
      <c r="T27" s="69"/>
      <c r="U27" s="8"/>
      <c r="V27" s="69"/>
      <c r="W27" s="74"/>
      <c r="X27" s="69"/>
    </row>
    <row r="28">
      <c r="A28" s="30" t="str">
        <f>IFERROR(__xludf.DUMMYFUNCTION("""COMPUTED_VALUE"""),"14626")</f>
        <v>14626</v>
      </c>
      <c r="B28" s="86">
        <f>IFERROR(__xludf.DUMMYFUNCTION("""COMPUTED_VALUE"""),44641.0)</f>
        <v>44641</v>
      </c>
      <c r="C28" s="64" t="str">
        <f>IFERROR(__xludf.DUMMYFUNCTION("""COMPUTED_VALUE"""),"Stock")</f>
        <v>Stock</v>
      </c>
      <c r="D28" s="87" t="str">
        <f>IFERROR(__xludf.DUMMYFUNCTION("""COMPUTED_VALUE"""),"LUNA1-USD")</f>
        <v>LUNA1-USD</v>
      </c>
      <c r="E28" s="5" t="str">
        <f>IFERROR(__xludf.DUMMYFUNCTION("""COMPUTED_VALUE"""),"USD")</f>
        <v>USD</v>
      </c>
      <c r="F28" s="69" t="str">
        <f>IFERROR(__xludf.DUMMYFUNCTION("""COMPUTED_VALUE"""),"")</f>
        <v/>
      </c>
      <c r="G28" s="70">
        <f>IFERROR(__xludf.DUMMYFUNCTION("""COMPUTED_VALUE"""),7.83915)</f>
        <v>7.83915</v>
      </c>
      <c r="H28" s="71">
        <f>IFERROR(__xludf.DUMMYFUNCTION("""COMPUTED_VALUE"""),94.99)</f>
        <v>94.99</v>
      </c>
      <c r="I28" s="71" t="str">
        <f>IFERROR(__xludf.DUMMYFUNCTION("""COMPUTED_VALUE"""),"#N/A")</f>
        <v>#N/A</v>
      </c>
      <c r="J28" s="88" t="str">
        <f>IFERROR(__xludf.DUMMYFUNCTION("""COMPUTED_VALUE"""),"Goto link: LUNA1-USD")</f>
        <v>Goto link: LUNA1-USD</v>
      </c>
      <c r="K28" s="22"/>
      <c r="L28" s="22"/>
      <c r="M28" s="22"/>
      <c r="N28" s="22"/>
      <c r="O28" s="73"/>
      <c r="P28" s="8"/>
      <c r="Q28" s="69"/>
      <c r="R28" s="69"/>
      <c r="S28" s="8"/>
      <c r="T28" s="69"/>
      <c r="U28" s="8"/>
      <c r="V28" s="69"/>
      <c r="W28" s="74"/>
      <c r="X28" s="69"/>
    </row>
    <row r="29">
      <c r="A29" s="30" t="str">
        <f>IFERROR(__xludf.DUMMYFUNCTION("""COMPUTED_VALUE"""),"14626")</f>
        <v>14626</v>
      </c>
      <c r="B29" s="86">
        <f>IFERROR(__xludf.DUMMYFUNCTION("""COMPUTED_VALUE"""),44641.0)</f>
        <v>44641</v>
      </c>
      <c r="C29" s="64" t="str">
        <f>IFERROR(__xludf.DUMMYFUNCTION("""COMPUTED_VALUE"""),"Stock")</f>
        <v>Stock</v>
      </c>
      <c r="D29" s="87" t="str">
        <f>IFERROR(__xludf.DUMMYFUNCTION("""COMPUTED_VALUE"""),"MMM")</f>
        <v>MMM</v>
      </c>
      <c r="E29" s="5" t="str">
        <f>IFERROR(__xludf.DUMMYFUNCTION("""COMPUTED_VALUE"""),"USD")</f>
        <v>USD</v>
      </c>
      <c r="F29" s="69" t="str">
        <f>IFERROR(__xludf.DUMMYFUNCTION("""COMPUTED_VALUE"""),"")</f>
        <v/>
      </c>
      <c r="G29" s="70">
        <f>IFERROR(__xludf.DUMMYFUNCTION("""COMPUTED_VALUE"""),7.83915)</f>
        <v>7.83915</v>
      </c>
      <c r="H29" s="71">
        <f>IFERROR(__xludf.DUMMYFUNCTION("""COMPUTED_VALUE"""),148.58)</f>
        <v>148.58</v>
      </c>
      <c r="I29" s="71">
        <f>IFERROR(__xludf.DUMMYFUNCTION("""COMPUTED_VALUE"""),148.65)</f>
        <v>148.65</v>
      </c>
      <c r="J29" s="88" t="str">
        <f>IFERROR(__xludf.DUMMYFUNCTION("""COMPUTED_VALUE"""),"Goto link: MMM")</f>
        <v>Goto link: MMM</v>
      </c>
      <c r="K29" s="22"/>
      <c r="L29" s="22"/>
      <c r="M29" s="22"/>
      <c r="N29" s="22"/>
      <c r="O29" s="73"/>
      <c r="P29" s="8"/>
      <c r="Q29" s="69"/>
      <c r="R29" s="69"/>
      <c r="S29" s="8"/>
      <c r="T29" s="69"/>
      <c r="U29" s="8"/>
      <c r="V29" s="69"/>
      <c r="W29" s="74"/>
      <c r="X29" s="69"/>
    </row>
    <row r="30">
      <c r="A30" s="30" t="str">
        <f>IFERROR(__xludf.DUMMYFUNCTION("""COMPUTED_VALUE"""),"14626")</f>
        <v>14626</v>
      </c>
      <c r="B30" s="86">
        <f>IFERROR(__xludf.DUMMYFUNCTION("""COMPUTED_VALUE"""),44641.0)</f>
        <v>44641</v>
      </c>
      <c r="C30" s="64" t="str">
        <f>IFERROR(__xludf.DUMMYFUNCTION("""COMPUTED_VALUE"""),"Stock")</f>
        <v>Stock</v>
      </c>
      <c r="D30" s="87" t="str">
        <f>IFERROR(__xludf.DUMMYFUNCTION("""COMPUTED_VALUE"""),"MSFT")</f>
        <v>MSFT</v>
      </c>
      <c r="E30" s="5" t="str">
        <f>IFERROR(__xludf.DUMMYFUNCTION("""COMPUTED_VALUE"""),"USD")</f>
        <v>USD</v>
      </c>
      <c r="F30" s="69" t="str">
        <f>IFERROR(__xludf.DUMMYFUNCTION("""COMPUTED_VALUE"""),"")</f>
        <v/>
      </c>
      <c r="G30" s="70">
        <f>IFERROR(__xludf.DUMMYFUNCTION("""COMPUTED_VALUE"""),7.83915)</f>
        <v>7.83915</v>
      </c>
      <c r="H30" s="71">
        <f>IFERROR(__xludf.DUMMYFUNCTION("""COMPUTED_VALUE"""),299.16)</f>
        <v>299.16</v>
      </c>
      <c r="I30" s="71">
        <f>IFERROR(__xludf.DUMMYFUNCTION("""COMPUTED_VALUE"""),287.62)</f>
        <v>287.62</v>
      </c>
      <c r="J30" s="88" t="str">
        <f>IFERROR(__xludf.DUMMYFUNCTION("""COMPUTED_VALUE"""),"Goto link: MSFT")</f>
        <v>Goto link: MSFT</v>
      </c>
      <c r="K30" s="22"/>
      <c r="L30" s="22"/>
      <c r="M30" s="22"/>
      <c r="N30" s="22"/>
      <c r="O30" s="73"/>
      <c r="P30" s="8"/>
      <c r="Q30" s="69"/>
      <c r="R30" s="69"/>
      <c r="S30" s="8"/>
      <c r="T30" s="69"/>
      <c r="U30" s="8"/>
      <c r="V30" s="69"/>
      <c r="W30" s="74"/>
      <c r="X30" s="69"/>
    </row>
    <row r="31">
      <c r="A31" s="30" t="str">
        <f>IFERROR(__xludf.DUMMYFUNCTION("""COMPUTED_VALUE"""),"14626")</f>
        <v>14626</v>
      </c>
      <c r="B31" s="86">
        <f>IFERROR(__xludf.DUMMYFUNCTION("""COMPUTED_VALUE"""),44641.0)</f>
        <v>44641</v>
      </c>
      <c r="C31" s="64" t="str">
        <f>IFERROR(__xludf.DUMMYFUNCTION("""COMPUTED_VALUE"""),"Stock")</f>
        <v>Stock</v>
      </c>
      <c r="D31" s="87" t="str">
        <f>IFERROR(__xludf.DUMMYFUNCTION("""COMPUTED_VALUE"""),"NFLX")</f>
        <v>NFLX</v>
      </c>
      <c r="E31" s="5" t="str">
        <f>IFERROR(__xludf.DUMMYFUNCTION("""COMPUTED_VALUE"""),"USD")</f>
        <v>USD</v>
      </c>
      <c r="F31" s="69" t="str">
        <f>IFERROR(__xludf.DUMMYFUNCTION("""COMPUTED_VALUE"""),"")</f>
        <v/>
      </c>
      <c r="G31" s="70">
        <f>IFERROR(__xludf.DUMMYFUNCTION("""COMPUTED_VALUE"""),7.83915)</f>
        <v>7.83915</v>
      </c>
      <c r="H31" s="71">
        <f>IFERROR(__xludf.DUMMYFUNCTION("""COMPUTED_VALUE"""),374.59)</f>
        <v>374.59</v>
      </c>
      <c r="I31" s="71">
        <f>IFERROR(__xludf.DUMMYFUNCTION("""COMPUTED_VALUE"""),350.43)</f>
        <v>350.43</v>
      </c>
      <c r="J31" s="88" t="str">
        <f>IFERROR(__xludf.DUMMYFUNCTION("""COMPUTED_VALUE"""),"Goto link: NFLX")</f>
        <v>Goto link: NFLX</v>
      </c>
      <c r="K31" s="22"/>
      <c r="L31" s="22"/>
      <c r="M31" s="22"/>
      <c r="N31" s="22"/>
      <c r="O31" s="73"/>
      <c r="P31" s="8"/>
      <c r="Q31" s="69"/>
      <c r="R31" s="69"/>
      <c r="S31" s="8"/>
      <c r="T31" s="69"/>
      <c r="U31" s="8"/>
      <c r="V31" s="69"/>
      <c r="W31" s="74"/>
      <c r="X31" s="69"/>
    </row>
    <row r="32">
      <c r="A32" s="30" t="str">
        <f>IFERROR(__xludf.DUMMYFUNCTION("""COMPUTED_VALUE"""),"14626")</f>
        <v>14626</v>
      </c>
      <c r="B32" s="86">
        <f>IFERROR(__xludf.DUMMYFUNCTION("""COMPUTED_VALUE"""),44641.0)</f>
        <v>44641</v>
      </c>
      <c r="C32" s="64" t="str">
        <f>IFERROR(__xludf.DUMMYFUNCTION("""COMPUTED_VALUE"""),"Stock")</f>
        <v>Stock</v>
      </c>
      <c r="D32" s="87" t="str">
        <f>IFERROR(__xludf.DUMMYFUNCTION("""COMPUTED_VALUE"""),"NKE")</f>
        <v>NKE</v>
      </c>
      <c r="E32" s="5" t="str">
        <f>IFERROR(__xludf.DUMMYFUNCTION("""COMPUTED_VALUE"""),"USD")</f>
        <v>USD</v>
      </c>
      <c r="F32" s="69" t="str">
        <f>IFERROR(__xludf.DUMMYFUNCTION("""COMPUTED_VALUE"""),"")</f>
        <v/>
      </c>
      <c r="G32" s="70">
        <f>IFERROR(__xludf.DUMMYFUNCTION("""COMPUTED_VALUE"""),7.83915)</f>
        <v>7.83915</v>
      </c>
      <c r="H32" s="71">
        <f>IFERROR(__xludf.DUMMYFUNCTION("""COMPUTED_VALUE"""),130.19)</f>
        <v>130.19</v>
      </c>
      <c r="I32" s="71">
        <f>IFERROR(__xludf.DUMMYFUNCTION("""COMPUTED_VALUE"""),127.48)</f>
        <v>127.48</v>
      </c>
      <c r="J32" s="88" t="str">
        <f>IFERROR(__xludf.DUMMYFUNCTION("""COMPUTED_VALUE"""),"Goto link: NKE")</f>
        <v>Goto link: NKE</v>
      </c>
      <c r="K32" s="22"/>
      <c r="L32" s="22"/>
      <c r="M32" s="22"/>
      <c r="N32" s="22"/>
      <c r="O32" s="73"/>
      <c r="P32" s="8"/>
      <c r="Q32" s="69"/>
      <c r="R32" s="69"/>
      <c r="S32" s="8"/>
      <c r="T32" s="69"/>
      <c r="U32" s="8"/>
      <c r="V32" s="69"/>
      <c r="W32" s="74"/>
      <c r="X32" s="69"/>
    </row>
    <row r="33">
      <c r="A33" s="30" t="str">
        <f>IFERROR(__xludf.DUMMYFUNCTION("""COMPUTED_VALUE"""),"14626")</f>
        <v>14626</v>
      </c>
      <c r="B33" s="86">
        <f>IFERROR(__xludf.DUMMYFUNCTION("""COMPUTED_VALUE"""),44641.0)</f>
        <v>44641</v>
      </c>
      <c r="C33" s="64" t="str">
        <f>IFERROR(__xludf.DUMMYFUNCTION("""COMPUTED_VALUE"""),"Stock")</f>
        <v>Stock</v>
      </c>
      <c r="D33" s="87" t="str">
        <f>IFERROR(__xludf.DUMMYFUNCTION("""COMPUTED_VALUE"""),"NVDA")</f>
        <v>NVDA</v>
      </c>
      <c r="E33" s="5" t="str">
        <f>IFERROR(__xludf.DUMMYFUNCTION("""COMPUTED_VALUE"""),"USD")</f>
        <v>USD</v>
      </c>
      <c r="F33" s="69" t="str">
        <f>IFERROR(__xludf.DUMMYFUNCTION("""COMPUTED_VALUE"""),"")</f>
        <v/>
      </c>
      <c r="G33" s="70">
        <f>IFERROR(__xludf.DUMMYFUNCTION("""COMPUTED_VALUE"""),7.83915)</f>
        <v>7.83915</v>
      </c>
      <c r="H33" s="71">
        <f>IFERROR(__xludf.DUMMYFUNCTION("""COMPUTED_VALUE"""),267.34)</f>
        <v>267.34</v>
      </c>
      <c r="I33" s="71">
        <f>IFERROR(__xludf.DUMMYFUNCTION("""COMPUTED_VALUE"""),222.03)</f>
        <v>222.03</v>
      </c>
      <c r="J33" s="88" t="str">
        <f>IFERROR(__xludf.DUMMYFUNCTION("""COMPUTED_VALUE"""),"Goto link: NVDA")</f>
        <v>Goto link: NVDA</v>
      </c>
      <c r="K33" s="22"/>
      <c r="L33" s="22"/>
      <c r="M33" s="22"/>
      <c r="N33" s="22"/>
      <c r="O33" s="73"/>
      <c r="P33" s="8"/>
      <c r="Q33" s="69"/>
      <c r="R33" s="69"/>
      <c r="S33" s="8"/>
      <c r="T33" s="69"/>
      <c r="U33" s="8"/>
      <c r="V33" s="69"/>
      <c r="W33" s="74"/>
      <c r="X33" s="69"/>
    </row>
    <row r="34">
      <c r="A34" s="30" t="str">
        <f>IFERROR(__xludf.DUMMYFUNCTION("""COMPUTED_VALUE"""),"14626")</f>
        <v>14626</v>
      </c>
      <c r="B34" s="86">
        <f>IFERROR(__xludf.DUMMYFUNCTION("""COMPUTED_VALUE"""),44641.0)</f>
        <v>44641</v>
      </c>
      <c r="C34" s="64" t="str">
        <f>IFERROR(__xludf.DUMMYFUNCTION("""COMPUTED_VALUE"""),"Stock")</f>
        <v>Stock</v>
      </c>
      <c r="D34" s="87" t="str">
        <f>IFERROR(__xludf.DUMMYFUNCTION("""COMPUTED_VALUE"""),"PFE")</f>
        <v>PFE</v>
      </c>
      <c r="E34" s="5" t="str">
        <f>IFERROR(__xludf.DUMMYFUNCTION("""COMPUTED_VALUE"""),"USD")</f>
        <v>USD</v>
      </c>
      <c r="F34" s="69">
        <f>IFERROR(__xludf.DUMMYFUNCTION("""COMPUTED_VALUE"""),1000.0)</f>
        <v>1000</v>
      </c>
      <c r="G34" s="70">
        <f>IFERROR(__xludf.DUMMYFUNCTION("""COMPUTED_VALUE"""),7.83915)</f>
        <v>7.83915</v>
      </c>
      <c r="H34" s="71">
        <f>IFERROR(__xludf.DUMMYFUNCTION("""COMPUTED_VALUE"""),54.19)</f>
        <v>54.19</v>
      </c>
      <c r="I34" s="71">
        <f>IFERROR(__xludf.DUMMYFUNCTION("""COMPUTED_VALUE"""),53.11)</f>
        <v>53.11</v>
      </c>
      <c r="J34" s="88" t="str">
        <f>IFERROR(__xludf.DUMMYFUNCTION("""COMPUTED_VALUE"""),"Goto link: PFE")</f>
        <v>Goto link: PFE</v>
      </c>
      <c r="K34" s="22"/>
      <c r="L34" s="22"/>
      <c r="M34" s="22"/>
      <c r="N34" s="22"/>
      <c r="O34" s="73"/>
      <c r="P34" s="8"/>
      <c r="Q34" s="69"/>
      <c r="R34" s="69"/>
      <c r="S34" s="8"/>
      <c r="T34" s="69"/>
      <c r="U34" s="8"/>
      <c r="V34" s="69"/>
      <c r="W34" s="74"/>
      <c r="X34" s="69"/>
    </row>
    <row r="35">
      <c r="A35" s="30" t="str">
        <f>IFERROR(__xludf.DUMMYFUNCTION("""COMPUTED_VALUE"""),"14626")</f>
        <v>14626</v>
      </c>
      <c r="B35" s="86">
        <f>IFERROR(__xludf.DUMMYFUNCTION("""COMPUTED_VALUE"""),44641.0)</f>
        <v>44641</v>
      </c>
      <c r="C35" s="64" t="str">
        <f>IFERROR(__xludf.DUMMYFUNCTION("""COMPUTED_VALUE"""),"Stock")</f>
        <v>Stock</v>
      </c>
      <c r="D35" s="87" t="str">
        <f>IFERROR(__xludf.DUMMYFUNCTION("""COMPUTED_VALUE"""),"SHOP")</f>
        <v>SHOP</v>
      </c>
      <c r="E35" s="5" t="str">
        <f>IFERROR(__xludf.DUMMYFUNCTION("""COMPUTED_VALUE"""),"USD")</f>
        <v>USD</v>
      </c>
      <c r="F35" s="69" t="str">
        <f>IFERROR(__xludf.DUMMYFUNCTION("""COMPUTED_VALUE"""),"")</f>
        <v/>
      </c>
      <c r="G35" s="70">
        <f>IFERROR(__xludf.DUMMYFUNCTION("""COMPUTED_VALUE"""),7.83915)</f>
        <v>7.83915</v>
      </c>
      <c r="H35" s="71">
        <f>IFERROR(__xludf.DUMMYFUNCTION("""COMPUTED_VALUE"""),683.45)</f>
        <v>683.45</v>
      </c>
      <c r="I35" s="71">
        <f>IFERROR(__xludf.DUMMYFUNCTION("""COMPUTED_VALUE"""),604.45)</f>
        <v>604.45</v>
      </c>
      <c r="J35" s="88" t="str">
        <f>IFERROR(__xludf.DUMMYFUNCTION("""COMPUTED_VALUE"""),"Goto link: SHOP")</f>
        <v>Goto link: SHOP</v>
      </c>
      <c r="K35" s="22"/>
      <c r="L35" s="22"/>
      <c r="M35" s="22"/>
      <c r="N35" s="22"/>
      <c r="O35" s="73"/>
      <c r="P35" s="8"/>
      <c r="Q35" s="69"/>
      <c r="R35" s="69"/>
      <c r="S35" s="8"/>
      <c r="T35" s="69"/>
      <c r="U35" s="8"/>
      <c r="V35" s="69"/>
      <c r="W35" s="74"/>
      <c r="X35" s="69"/>
    </row>
    <row r="36">
      <c r="A36" s="30" t="str">
        <f>IFERROR(__xludf.DUMMYFUNCTION("""COMPUTED_VALUE"""),"14626")</f>
        <v>14626</v>
      </c>
      <c r="B36" s="86">
        <f>IFERROR(__xludf.DUMMYFUNCTION("""COMPUTED_VALUE"""),44641.0)</f>
        <v>44641</v>
      </c>
      <c r="C36" s="64" t="str">
        <f>IFERROR(__xludf.DUMMYFUNCTION("""COMPUTED_VALUE"""),"Stock")</f>
        <v>Stock</v>
      </c>
      <c r="D36" s="87" t="str">
        <f>IFERROR(__xludf.DUMMYFUNCTION("""COMPUTED_VALUE"""),"TSLA")</f>
        <v>TSLA</v>
      </c>
      <c r="E36" s="5" t="str">
        <f>IFERROR(__xludf.DUMMYFUNCTION("""COMPUTED_VALUE"""),"USD")</f>
        <v>USD</v>
      </c>
      <c r="F36" s="69" t="str">
        <f>IFERROR(__xludf.DUMMYFUNCTION("""COMPUTED_VALUE"""),"")</f>
        <v/>
      </c>
      <c r="G36" s="70">
        <f>IFERROR(__xludf.DUMMYFUNCTION("""COMPUTED_VALUE"""),7.83915)</f>
        <v>7.83915</v>
      </c>
      <c r="H36" s="71">
        <f>IFERROR(__xludf.DUMMYFUNCTION("""COMPUTED_VALUE"""),921.16)</f>
        <v>921.16</v>
      </c>
      <c r="I36" s="71">
        <f>IFERROR(__xludf.DUMMYFUNCTION("""COMPUTED_VALUE"""),1022.37)</f>
        <v>1022.37</v>
      </c>
      <c r="J36" s="88" t="str">
        <f>IFERROR(__xludf.DUMMYFUNCTION("""COMPUTED_VALUE"""),"Goto link: TSLA")</f>
        <v>Goto link: TSLA</v>
      </c>
      <c r="K36" s="22"/>
      <c r="L36" s="22"/>
      <c r="M36" s="22"/>
      <c r="N36" s="22"/>
      <c r="O36" s="73"/>
      <c r="P36" s="8"/>
      <c r="Q36" s="69"/>
      <c r="R36" s="69"/>
      <c r="S36" s="8"/>
      <c r="T36" s="69"/>
      <c r="U36" s="8"/>
      <c r="V36" s="69"/>
      <c r="W36" s="74"/>
      <c r="X36" s="69"/>
    </row>
    <row r="37">
      <c r="A37" s="30" t="str">
        <f>IFERROR(__xludf.DUMMYFUNCTION("""COMPUTED_VALUE"""),"14626")</f>
        <v>14626</v>
      </c>
      <c r="B37" s="86">
        <f>IFERROR(__xludf.DUMMYFUNCTION("""COMPUTED_VALUE"""),44642.0)</f>
        <v>44642</v>
      </c>
      <c r="C37" s="64" t="str">
        <f>IFERROR(__xludf.DUMMYFUNCTION("""COMPUTED_VALUE"""),"Stock")</f>
        <v>Stock</v>
      </c>
      <c r="D37" s="87" t="str">
        <f>IFERROR(__xludf.DUMMYFUNCTION("""COMPUTED_VALUE"""),"BA")</f>
        <v>BA</v>
      </c>
      <c r="E37" s="5" t="str">
        <f>IFERROR(__xludf.DUMMYFUNCTION("""COMPUTED_VALUE"""),"USD")</f>
        <v>USD</v>
      </c>
      <c r="F37" s="69" t="str">
        <f>IFERROR(__xludf.DUMMYFUNCTION("""COMPUTED_VALUE"""),"")</f>
        <v/>
      </c>
      <c r="G37" s="70">
        <f>IFERROR(__xludf.DUMMYFUNCTION("""COMPUTED_VALUE"""),7.83915)</f>
        <v>7.83915</v>
      </c>
      <c r="H37" s="71">
        <f>IFERROR(__xludf.DUMMYFUNCTION("""COMPUTED_VALUE"""),191.04)</f>
        <v>191.04</v>
      </c>
      <c r="I37" s="71">
        <f>IFERROR(__xludf.DUMMYFUNCTION("""COMPUTED_VALUE"""),182.96)</f>
        <v>182.96</v>
      </c>
      <c r="J37" s="88" t="str">
        <f>IFERROR(__xludf.DUMMYFUNCTION("""COMPUTED_VALUE"""),"Goto link: BA")</f>
        <v>Goto link: BA</v>
      </c>
      <c r="K37" s="22"/>
      <c r="L37" s="22"/>
      <c r="M37" s="22"/>
      <c r="N37" s="22"/>
      <c r="O37" s="73"/>
      <c r="P37" s="8"/>
      <c r="Q37" s="69"/>
      <c r="R37" s="69"/>
      <c r="S37" s="8"/>
      <c r="T37" s="69"/>
      <c r="U37" s="8"/>
      <c r="V37" s="69"/>
      <c r="W37" s="74"/>
      <c r="X37" s="69"/>
    </row>
    <row r="38">
      <c r="A38" s="30" t="str">
        <f>IFERROR(__xludf.DUMMYFUNCTION("""COMPUTED_VALUE"""),"14626")</f>
        <v>14626</v>
      </c>
      <c r="B38" s="86">
        <f>IFERROR(__xludf.DUMMYFUNCTION("""COMPUTED_VALUE"""),44642.0)</f>
        <v>44642</v>
      </c>
      <c r="C38" s="64" t="str">
        <f>IFERROR(__xludf.DUMMYFUNCTION("""COMPUTED_VALUE"""),"Stock")</f>
        <v>Stock</v>
      </c>
      <c r="D38" s="87" t="str">
        <f>IFERROR(__xludf.DUMMYFUNCTION("""COMPUTED_VALUE"""),"BRK-B")</f>
        <v>BRK-B</v>
      </c>
      <c r="E38" s="5" t="str">
        <f>IFERROR(__xludf.DUMMYFUNCTION("""COMPUTED_VALUE"""),"USD")</f>
        <v>USD</v>
      </c>
      <c r="F38" s="69" t="str">
        <f>IFERROR(__xludf.DUMMYFUNCTION("""COMPUTED_VALUE"""),"")</f>
        <v/>
      </c>
      <c r="G38" s="70">
        <f>IFERROR(__xludf.DUMMYFUNCTION("""COMPUTED_VALUE"""),7.83915)</f>
        <v>7.83915</v>
      </c>
      <c r="H38" s="71">
        <f>IFERROR(__xludf.DUMMYFUNCTION("""COMPUTED_VALUE"""),349.93)</f>
        <v>349.93</v>
      </c>
      <c r="I38" s="71">
        <f>IFERROR(__xludf.DUMMYFUNCTION("""COMPUTED_VALUE"""),346.07)</f>
        <v>346.07</v>
      </c>
      <c r="J38" s="88" t="str">
        <f>IFERROR(__xludf.DUMMYFUNCTION("""COMPUTED_VALUE"""),"Goto link: BRK-B")</f>
        <v>Goto link: BRK-B</v>
      </c>
      <c r="K38" s="22"/>
      <c r="L38" s="22"/>
      <c r="M38" s="22"/>
      <c r="N38" s="22"/>
      <c r="O38" s="73"/>
      <c r="P38" s="8"/>
      <c r="Q38" s="69"/>
      <c r="R38" s="69"/>
      <c r="S38" s="8"/>
      <c r="T38" s="69"/>
      <c r="U38" s="8"/>
      <c r="V38" s="69"/>
      <c r="W38" s="74"/>
      <c r="X38" s="69"/>
    </row>
    <row r="39">
      <c r="A39" s="30" t="str">
        <f>IFERROR(__xludf.DUMMYFUNCTION("""COMPUTED_VALUE"""),"14626")</f>
        <v>14626</v>
      </c>
      <c r="B39" s="86">
        <f>IFERROR(__xludf.DUMMYFUNCTION("""COMPUTED_VALUE"""),44642.0)</f>
        <v>44642</v>
      </c>
      <c r="C39" s="64" t="str">
        <f>IFERROR(__xludf.DUMMYFUNCTION("""COMPUTED_VALUE"""),"Stock")</f>
        <v>Stock</v>
      </c>
      <c r="D39" s="87" t="str">
        <f>IFERROR(__xludf.DUMMYFUNCTION("""COMPUTED_VALUE"""),"F")</f>
        <v>F</v>
      </c>
      <c r="E39" s="5" t="str">
        <f>IFERROR(__xludf.DUMMYFUNCTION("""COMPUTED_VALUE"""),"USD")</f>
        <v>USD</v>
      </c>
      <c r="F39" s="69">
        <f>IFERROR(__xludf.DUMMYFUNCTION("""COMPUTED_VALUE"""),-100.0)</f>
        <v>-100</v>
      </c>
      <c r="G39" s="70">
        <f>IFERROR(__xludf.DUMMYFUNCTION("""COMPUTED_VALUE"""),7.83915)</f>
        <v>7.83915</v>
      </c>
      <c r="H39" s="71">
        <f>IFERROR(__xludf.DUMMYFUNCTION("""COMPUTED_VALUE"""),17.09)</f>
        <v>17.09</v>
      </c>
      <c r="I39" s="71">
        <f>IFERROR(__xludf.DUMMYFUNCTION("""COMPUTED_VALUE"""),15.52)</f>
        <v>15.52</v>
      </c>
      <c r="J39" s="88" t="str">
        <f>IFERROR(__xludf.DUMMYFUNCTION("""COMPUTED_VALUE"""),"Goto link: F")</f>
        <v>Goto link: F</v>
      </c>
      <c r="K39" s="22"/>
      <c r="L39" s="22"/>
      <c r="M39" s="22"/>
      <c r="N39" s="22"/>
      <c r="O39" s="73"/>
      <c r="P39" s="8"/>
      <c r="Q39" s="69"/>
      <c r="R39" s="69"/>
      <c r="S39" s="8"/>
      <c r="T39" s="69"/>
      <c r="U39" s="8"/>
      <c r="V39" s="69"/>
      <c r="W39" s="74"/>
      <c r="X39" s="69"/>
    </row>
    <row r="40">
      <c r="A40" s="30" t="str">
        <f>IFERROR(__xludf.DUMMYFUNCTION("""COMPUTED_VALUE"""),"14626")</f>
        <v>14626</v>
      </c>
      <c r="B40" s="86">
        <f>IFERROR(__xludf.DUMMYFUNCTION("""COMPUTED_VALUE"""),44642.0)</f>
        <v>44642</v>
      </c>
      <c r="C40" s="64" t="str">
        <f>IFERROR(__xludf.DUMMYFUNCTION("""COMPUTED_VALUE"""),"Stock")</f>
        <v>Stock</v>
      </c>
      <c r="D40" s="87" t="str">
        <f>IFERROR(__xludf.DUMMYFUNCTION("""COMPUTED_VALUE"""),"FB")</f>
        <v>FB</v>
      </c>
      <c r="E40" s="5" t="str">
        <f>IFERROR(__xludf.DUMMYFUNCTION("""COMPUTED_VALUE"""),"USD")</f>
        <v>USD</v>
      </c>
      <c r="F40" s="69" t="str">
        <f>IFERROR(__xludf.DUMMYFUNCTION("""COMPUTED_VALUE"""),"")</f>
        <v/>
      </c>
      <c r="G40" s="70">
        <f>IFERROR(__xludf.DUMMYFUNCTION("""COMPUTED_VALUE"""),7.83915)</f>
        <v>7.83915</v>
      </c>
      <c r="H40" s="71">
        <f>IFERROR(__xludf.DUMMYFUNCTION("""COMPUTED_VALUE"""),216.65)</f>
        <v>216.65</v>
      </c>
      <c r="I40" s="71">
        <f>IFERROR(__xludf.DUMMYFUNCTION("""COMPUTED_VALUE"""),214.99)</f>
        <v>214.99</v>
      </c>
      <c r="J40" s="88" t="str">
        <f>IFERROR(__xludf.DUMMYFUNCTION("""COMPUTED_VALUE"""),"Goto link: FB")</f>
        <v>Goto link: FB</v>
      </c>
      <c r="K40" s="22"/>
      <c r="L40" s="22"/>
      <c r="M40" s="22"/>
      <c r="N40" s="22"/>
      <c r="O40" s="73"/>
      <c r="P40" s="8"/>
      <c r="Q40" s="69"/>
      <c r="R40" s="69"/>
      <c r="S40" s="8"/>
      <c r="T40" s="69"/>
      <c r="U40" s="8"/>
      <c r="V40" s="69"/>
      <c r="W40" s="74"/>
      <c r="X40" s="69"/>
    </row>
    <row r="41">
      <c r="A41" s="30" t="str">
        <f>IFERROR(__xludf.DUMMYFUNCTION("""COMPUTED_VALUE"""),"14626")</f>
        <v>14626</v>
      </c>
      <c r="B41" s="86">
        <f>IFERROR(__xludf.DUMMYFUNCTION("""COMPUTED_VALUE"""),44642.0)</f>
        <v>44642</v>
      </c>
      <c r="C41" s="64" t="str">
        <f>IFERROR(__xludf.DUMMYFUNCTION("""COMPUTED_VALUE"""),"Stock")</f>
        <v>Stock</v>
      </c>
      <c r="D41" s="87" t="str">
        <f>IFERROR(__xludf.DUMMYFUNCTION("""COMPUTED_VALUE"""),"GOOG")</f>
        <v>GOOG</v>
      </c>
      <c r="E41" s="5" t="str">
        <f>IFERROR(__xludf.DUMMYFUNCTION("""COMPUTED_VALUE"""),"USD")</f>
        <v>USD</v>
      </c>
      <c r="F41" s="69" t="str">
        <f>IFERROR(__xludf.DUMMYFUNCTION("""COMPUTED_VALUE"""),"")</f>
        <v/>
      </c>
      <c r="G41" s="70">
        <f>IFERROR(__xludf.DUMMYFUNCTION("""COMPUTED_VALUE"""),7.83915)</f>
        <v>7.83915</v>
      </c>
      <c r="H41" s="71">
        <f>IFERROR(__xludf.DUMMYFUNCTION("""COMPUTED_VALUE"""),2805.55)</f>
        <v>2805.55</v>
      </c>
      <c r="I41" s="71">
        <f>IFERROR(__xludf.DUMMYFUNCTION("""COMPUTED_VALUE"""),2605.72)</f>
        <v>2605.72</v>
      </c>
      <c r="J41" s="88" t="str">
        <f>IFERROR(__xludf.DUMMYFUNCTION("""COMPUTED_VALUE"""),"Goto link: GOOG")</f>
        <v>Goto link: GOOG</v>
      </c>
      <c r="K41" s="22"/>
      <c r="L41" s="22"/>
      <c r="M41" s="22"/>
      <c r="N41" s="22"/>
      <c r="O41" s="73"/>
      <c r="P41" s="8"/>
      <c r="Q41" s="69"/>
      <c r="R41" s="69"/>
      <c r="S41" s="8"/>
      <c r="T41" s="69"/>
      <c r="U41" s="8"/>
      <c r="V41" s="69"/>
      <c r="W41" s="74"/>
      <c r="X41" s="69"/>
    </row>
    <row r="42">
      <c r="A42" s="30" t="str">
        <f>IFERROR(__xludf.DUMMYFUNCTION("""COMPUTED_VALUE"""),"14626")</f>
        <v>14626</v>
      </c>
      <c r="B42" s="86">
        <f>IFERROR(__xludf.DUMMYFUNCTION("""COMPUTED_VALUE"""),44642.0)</f>
        <v>44642</v>
      </c>
      <c r="C42" s="64" t="str">
        <f>IFERROR(__xludf.DUMMYFUNCTION("""COMPUTED_VALUE"""),"Stock")</f>
        <v>Stock</v>
      </c>
      <c r="D42" s="87" t="str">
        <f>IFERROR(__xludf.DUMMYFUNCTION("""COMPUTED_VALUE"""),"MSFT")</f>
        <v>MSFT</v>
      </c>
      <c r="E42" s="5" t="str">
        <f>IFERROR(__xludf.DUMMYFUNCTION("""COMPUTED_VALUE"""),"USD")</f>
        <v>USD</v>
      </c>
      <c r="F42" s="69" t="str">
        <f>IFERROR(__xludf.DUMMYFUNCTION("""COMPUTED_VALUE"""),"")</f>
        <v/>
      </c>
      <c r="G42" s="70">
        <f>IFERROR(__xludf.DUMMYFUNCTION("""COMPUTED_VALUE"""),7.83915)</f>
        <v>7.83915</v>
      </c>
      <c r="H42" s="71">
        <f>IFERROR(__xludf.DUMMYFUNCTION("""COMPUTED_VALUE"""),304.06)</f>
        <v>304.06</v>
      </c>
      <c r="I42" s="71">
        <f>IFERROR(__xludf.DUMMYFUNCTION("""COMPUTED_VALUE"""),287.62)</f>
        <v>287.62</v>
      </c>
      <c r="J42" s="88" t="str">
        <f>IFERROR(__xludf.DUMMYFUNCTION("""COMPUTED_VALUE"""),"Goto link: MSFT")</f>
        <v>Goto link: MSFT</v>
      </c>
      <c r="K42" s="22"/>
      <c r="L42" s="22"/>
      <c r="M42" s="22"/>
      <c r="N42" s="22"/>
      <c r="O42" s="73"/>
      <c r="P42" s="8"/>
      <c r="Q42" s="69"/>
      <c r="R42" s="69"/>
      <c r="S42" s="8"/>
      <c r="T42" s="69"/>
      <c r="U42" s="8"/>
      <c r="V42" s="69"/>
      <c r="W42" s="74"/>
      <c r="X42" s="69"/>
    </row>
    <row r="43">
      <c r="A43" s="30" t="str">
        <f>IFERROR(__xludf.DUMMYFUNCTION("""COMPUTED_VALUE"""),"14626")</f>
        <v>14626</v>
      </c>
      <c r="B43" s="86">
        <f>IFERROR(__xludf.DUMMYFUNCTION("""COMPUTED_VALUE"""),44642.0)</f>
        <v>44642</v>
      </c>
      <c r="C43" s="64" t="str">
        <f>IFERROR(__xludf.DUMMYFUNCTION("""COMPUTED_VALUE"""),"Stock")</f>
        <v>Stock</v>
      </c>
      <c r="D43" s="87" t="str">
        <f>IFERROR(__xludf.DUMMYFUNCTION("""COMPUTED_VALUE"""),"OXY")</f>
        <v>OXY</v>
      </c>
      <c r="E43" s="5" t="str">
        <f>IFERROR(__xludf.DUMMYFUNCTION("""COMPUTED_VALUE"""),"USD")</f>
        <v>USD</v>
      </c>
      <c r="F43" s="69" t="str">
        <f>IFERROR(__xludf.DUMMYFUNCTION("""COMPUTED_VALUE"""),"")</f>
        <v/>
      </c>
      <c r="G43" s="70">
        <f>IFERROR(__xludf.DUMMYFUNCTION("""COMPUTED_VALUE"""),7.83915)</f>
        <v>7.83915</v>
      </c>
      <c r="H43" s="71">
        <f>IFERROR(__xludf.DUMMYFUNCTION("""COMPUTED_VALUE"""),59.64)</f>
        <v>59.64</v>
      </c>
      <c r="I43" s="71">
        <f>IFERROR(__xludf.DUMMYFUNCTION("""COMPUTED_VALUE"""),59.62)</f>
        <v>59.62</v>
      </c>
      <c r="J43" s="88" t="str">
        <f>IFERROR(__xludf.DUMMYFUNCTION("""COMPUTED_VALUE"""),"Goto link: OXY")</f>
        <v>Goto link: OXY</v>
      </c>
      <c r="K43" s="22"/>
      <c r="L43" s="22"/>
      <c r="M43" s="22"/>
      <c r="N43" s="22"/>
      <c r="O43" s="73"/>
      <c r="P43" s="8"/>
      <c r="Q43" s="69"/>
      <c r="R43" s="69"/>
      <c r="S43" s="8"/>
      <c r="T43" s="69"/>
      <c r="U43" s="8"/>
      <c r="V43" s="69"/>
      <c r="W43" s="74"/>
      <c r="X43" s="69"/>
    </row>
    <row r="44">
      <c r="A44" s="30" t="str">
        <f>IFERROR(__xludf.DUMMYFUNCTION("""COMPUTED_VALUE"""),"14626")</f>
        <v>14626</v>
      </c>
      <c r="B44" s="86">
        <f>IFERROR(__xludf.DUMMYFUNCTION("""COMPUTED_VALUE"""),44642.0)</f>
        <v>44642</v>
      </c>
      <c r="C44" s="64" t="str">
        <f>IFERROR(__xludf.DUMMYFUNCTION("""COMPUTED_VALUE"""),"Stock")</f>
        <v>Stock</v>
      </c>
      <c r="D44" s="87" t="str">
        <f>IFERROR(__xludf.DUMMYFUNCTION("""COMPUTED_VALUE"""),"PFE")</f>
        <v>PFE</v>
      </c>
      <c r="E44" s="5" t="str">
        <f>IFERROR(__xludf.DUMMYFUNCTION("""COMPUTED_VALUE"""),"USD")</f>
        <v>USD</v>
      </c>
      <c r="F44" s="69" t="str">
        <f>IFERROR(__xludf.DUMMYFUNCTION("""COMPUTED_VALUE"""),"")</f>
        <v/>
      </c>
      <c r="G44" s="70">
        <f>IFERROR(__xludf.DUMMYFUNCTION("""COMPUTED_VALUE"""),7.83915)</f>
        <v>7.83915</v>
      </c>
      <c r="H44" s="71">
        <f>IFERROR(__xludf.DUMMYFUNCTION("""COMPUTED_VALUE"""),53.04)</f>
        <v>53.04</v>
      </c>
      <c r="I44" s="71">
        <f>IFERROR(__xludf.DUMMYFUNCTION("""COMPUTED_VALUE"""),53.11)</f>
        <v>53.11</v>
      </c>
      <c r="J44" s="88" t="str">
        <f>IFERROR(__xludf.DUMMYFUNCTION("""COMPUTED_VALUE"""),"Goto link: PFE")</f>
        <v>Goto link: PFE</v>
      </c>
      <c r="K44" s="22"/>
      <c r="L44" s="22"/>
      <c r="M44" s="22"/>
      <c r="N44" s="22"/>
      <c r="O44" s="73"/>
      <c r="P44" s="8"/>
      <c r="Q44" s="69"/>
      <c r="R44" s="69"/>
      <c r="S44" s="8"/>
      <c r="T44" s="69"/>
      <c r="U44" s="8"/>
      <c r="V44" s="69"/>
      <c r="W44" s="74"/>
      <c r="X44" s="69"/>
    </row>
    <row r="45">
      <c r="A45" s="30" t="str">
        <f>IFERROR(__xludf.DUMMYFUNCTION("""COMPUTED_VALUE"""),"14626")</f>
        <v>14626</v>
      </c>
      <c r="B45" s="86">
        <f>IFERROR(__xludf.DUMMYFUNCTION("""COMPUTED_VALUE"""),44642.0)</f>
        <v>44642</v>
      </c>
      <c r="C45" s="64" t="str">
        <f>IFERROR(__xludf.DUMMYFUNCTION("""COMPUTED_VALUE"""),"Stock")</f>
        <v>Stock</v>
      </c>
      <c r="D45" s="87" t="str">
        <f>IFERROR(__xludf.DUMMYFUNCTION("""COMPUTED_VALUE"""),"TSLA")</f>
        <v>TSLA</v>
      </c>
      <c r="E45" s="5" t="str">
        <f>IFERROR(__xludf.DUMMYFUNCTION("""COMPUTED_VALUE"""),"USD")</f>
        <v>USD</v>
      </c>
      <c r="F45" s="69" t="str">
        <f>IFERROR(__xludf.DUMMYFUNCTION("""COMPUTED_VALUE"""),"")</f>
        <v/>
      </c>
      <c r="G45" s="70">
        <f>IFERROR(__xludf.DUMMYFUNCTION("""COMPUTED_VALUE"""),7.83915)</f>
        <v>7.83915</v>
      </c>
      <c r="H45" s="71">
        <f>IFERROR(__xludf.DUMMYFUNCTION("""COMPUTED_VALUE"""),993.98)</f>
        <v>993.98</v>
      </c>
      <c r="I45" s="71">
        <f>IFERROR(__xludf.DUMMYFUNCTION("""COMPUTED_VALUE"""),1022.37)</f>
        <v>1022.37</v>
      </c>
      <c r="J45" s="88" t="str">
        <f>IFERROR(__xludf.DUMMYFUNCTION("""COMPUTED_VALUE"""),"Goto link: TSLA")</f>
        <v>Goto link: TSLA</v>
      </c>
      <c r="K45" s="22"/>
      <c r="L45" s="22"/>
      <c r="M45" s="22"/>
      <c r="N45" s="22"/>
      <c r="O45" s="73"/>
      <c r="P45" s="8"/>
      <c r="Q45" s="69"/>
      <c r="R45" s="69"/>
      <c r="S45" s="8"/>
      <c r="T45" s="69"/>
      <c r="U45" s="8"/>
      <c r="V45" s="69"/>
      <c r="W45" s="74"/>
      <c r="X45" s="69"/>
    </row>
    <row r="46">
      <c r="A46" s="30" t="str">
        <f>IFERROR(__xludf.DUMMYFUNCTION("""COMPUTED_VALUE"""),"14626")</f>
        <v>14626</v>
      </c>
      <c r="B46" s="86">
        <f>IFERROR(__xludf.DUMMYFUNCTION("""COMPUTED_VALUE"""),44664.0)</f>
        <v>44664</v>
      </c>
      <c r="C46" s="64" t="str">
        <f>IFERROR(__xludf.DUMMYFUNCTION("""COMPUTED_VALUE"""),"Stock")</f>
        <v>Stock</v>
      </c>
      <c r="D46" s="85" t="str">
        <f>IFERROR(__xludf.DUMMYFUNCTION("""COMPUTED_VALUE"""),"TSLA")</f>
        <v>TSLA</v>
      </c>
      <c r="E46" s="5" t="str">
        <f>IFERROR(__xludf.DUMMYFUNCTION("""COMPUTED_VALUE"""),"USD")</f>
        <v>USD</v>
      </c>
      <c r="F46" s="69" t="str">
        <f>IFERROR(__xludf.DUMMYFUNCTION("""COMPUTED_VALUE"""),"")</f>
        <v/>
      </c>
      <c r="G46" s="70">
        <f>IFERROR(__xludf.DUMMYFUNCTION("""COMPUTED_VALUE"""),7.83915)</f>
        <v>7.83915</v>
      </c>
      <c r="H46" s="71">
        <f>IFERROR(__xludf.DUMMYFUNCTION("""COMPUTED_VALUE"""),1022.37)</f>
        <v>1022.37</v>
      </c>
      <c r="I46" s="71">
        <f>IFERROR(__xludf.DUMMYFUNCTION("""COMPUTED_VALUE"""),1022.37)</f>
        <v>1022.37</v>
      </c>
      <c r="J46" s="88" t="str">
        <f>IFERROR(__xludf.DUMMYFUNCTION("""COMPUTED_VALUE"""),"Goto link: TSLA")</f>
        <v>Goto link: TSLA</v>
      </c>
      <c r="K46" s="22"/>
      <c r="L46" s="22"/>
      <c r="M46" s="22"/>
      <c r="N46" s="22"/>
      <c r="O46" s="73"/>
      <c r="P46" s="8"/>
      <c r="Q46" s="69"/>
      <c r="R46" s="69"/>
      <c r="S46" s="8"/>
      <c r="T46" s="69"/>
      <c r="U46" s="8"/>
      <c r="V46" s="69"/>
      <c r="W46" s="74"/>
      <c r="X46" s="69"/>
    </row>
    <row r="47">
      <c r="A47" s="30" t="str">
        <f>IFERROR(__xludf.DUMMYFUNCTION("""COMPUTED_VALUE"""),"14626 Total")</f>
        <v>14626 Total</v>
      </c>
      <c r="B47" s="5"/>
      <c r="C47" s="64"/>
      <c r="D47" s="85"/>
      <c r="E47" s="5"/>
      <c r="F47" s="69"/>
      <c r="G47" s="70">
        <f>IFERROR(__xludf.DUMMYFUNCTION("""COMPUTED_VALUE"""),7.328318511904762)</f>
        <v>7.328318512</v>
      </c>
      <c r="H47" s="71">
        <f>IFERROR(__xludf.DUMMYFUNCTION("""COMPUTED_VALUE"""),27222.93)</f>
        <v>27222.93</v>
      </c>
      <c r="I47" s="71" t="str">
        <f>IFERROR(__xludf.DUMMYFUNCTION("""COMPUTED_VALUE"""),"")</f>
        <v/>
      </c>
      <c r="J47" s="22" t="str">
        <f>IFERROR(__xludf.DUMMYFUNCTION("""COMPUTED_VALUE"""),"")</f>
        <v/>
      </c>
      <c r="K47" s="22"/>
      <c r="L47" s="22"/>
      <c r="M47" s="22"/>
      <c r="N47" s="22"/>
      <c r="O47" s="73"/>
      <c r="P47" s="8"/>
      <c r="Q47" s="69"/>
      <c r="R47" s="69"/>
      <c r="S47" s="8"/>
      <c r="T47" s="69"/>
      <c r="U47" s="8"/>
      <c r="V47" s="69"/>
      <c r="W47" s="74"/>
      <c r="X47" s="69"/>
    </row>
    <row r="48">
      <c r="A48" s="30" t="str">
        <f>IFERROR(__xludf.DUMMYFUNCTION("""COMPUTED_VALUE"""),"18111")</f>
        <v>18111</v>
      </c>
      <c r="B48" s="86">
        <f>IFERROR(__xludf.DUMMYFUNCTION("""COMPUTED_VALUE"""),44597.0)</f>
        <v>44597</v>
      </c>
      <c r="C48" s="64" t="str">
        <f>IFERROR(__xludf.DUMMYFUNCTION("""COMPUTED_VALUE"""),"Cash")</f>
        <v>Cash</v>
      </c>
      <c r="D48" s="85" t="str">
        <f>IFERROR(__xludf.DUMMYFUNCTION("""COMPUTED_VALUE"""),"Cash")</f>
        <v>Cash</v>
      </c>
      <c r="E48" s="5" t="str">
        <f>IFERROR(__xludf.DUMMYFUNCTION("""COMPUTED_VALUE"""),"HKD")</f>
        <v>HKD</v>
      </c>
      <c r="F48" s="69" t="str">
        <f>IFERROR(__xludf.DUMMYFUNCTION("""COMPUTED_VALUE"""),"")</f>
        <v/>
      </c>
      <c r="G48" s="70">
        <f>IFERROR(__xludf.DUMMYFUNCTION("""COMPUTED_VALUE"""),1.0)</f>
        <v>1</v>
      </c>
      <c r="H48" s="71">
        <f>IFERROR(__xludf.DUMMYFUNCTION("""COMPUTED_VALUE"""),1.0)</f>
        <v>1</v>
      </c>
      <c r="I48" s="71">
        <f>IFERROR(__xludf.DUMMYFUNCTION("""COMPUTED_VALUE"""),1.0)</f>
        <v>1</v>
      </c>
      <c r="J48" s="22" t="str">
        <f>IFERROR(__xludf.DUMMYFUNCTION("""COMPUTED_VALUE"""),"")</f>
        <v/>
      </c>
      <c r="K48" s="22"/>
      <c r="L48" s="22"/>
      <c r="M48" s="22"/>
      <c r="N48" s="22"/>
      <c r="O48" s="73"/>
      <c r="P48" s="8"/>
      <c r="Q48" s="69"/>
      <c r="R48" s="69"/>
      <c r="S48" s="8"/>
      <c r="T48" s="69"/>
      <c r="U48" s="8"/>
      <c r="V48" s="69"/>
      <c r="W48" s="74"/>
      <c r="X48" s="69"/>
    </row>
    <row r="49">
      <c r="A49" s="30" t="str">
        <f>IFERROR(__xludf.DUMMYFUNCTION("""COMPUTED_VALUE"""),"18111 Total")</f>
        <v>18111 Total</v>
      </c>
      <c r="B49" s="5"/>
      <c r="C49" s="64"/>
      <c r="D49" s="85"/>
      <c r="E49" s="5"/>
      <c r="F49" s="69"/>
      <c r="G49" s="70">
        <f>IFERROR(__xludf.DUMMYFUNCTION("""COMPUTED_VALUE"""),1.0)</f>
        <v>1</v>
      </c>
      <c r="H49" s="71">
        <f>IFERROR(__xludf.DUMMYFUNCTION("""COMPUTED_VALUE"""),1.0)</f>
        <v>1</v>
      </c>
      <c r="I49" s="71" t="str">
        <f>IFERROR(__xludf.DUMMYFUNCTION("""COMPUTED_VALUE"""),"")</f>
        <v/>
      </c>
      <c r="J49" s="22" t="str">
        <f>IFERROR(__xludf.DUMMYFUNCTION("""COMPUTED_VALUE"""),"")</f>
        <v/>
      </c>
      <c r="K49" s="22"/>
      <c r="L49" s="22"/>
      <c r="M49" s="22"/>
      <c r="N49" s="22"/>
      <c r="O49" s="73"/>
      <c r="P49" s="8"/>
      <c r="Q49" s="69"/>
      <c r="R49" s="69"/>
      <c r="S49" s="8"/>
      <c r="T49" s="69"/>
      <c r="U49" s="8"/>
      <c r="V49" s="69"/>
      <c r="W49" s="74"/>
      <c r="X49" s="69"/>
    </row>
    <row r="50">
      <c r="A50" s="30" t="str">
        <f>IFERROR(__xludf.DUMMYFUNCTION("""COMPUTED_VALUE"""),"18649")</f>
        <v>18649</v>
      </c>
      <c r="B50" s="86">
        <f>IFERROR(__xludf.DUMMYFUNCTION("""COMPUTED_VALUE"""),44597.0)</f>
        <v>44597</v>
      </c>
      <c r="C50" s="64" t="str">
        <f>IFERROR(__xludf.DUMMYFUNCTION("""COMPUTED_VALUE"""),"Cash")</f>
        <v>Cash</v>
      </c>
      <c r="D50" s="85" t="str">
        <f>IFERROR(__xludf.DUMMYFUNCTION("""COMPUTED_VALUE"""),"Cash")</f>
        <v>Cash</v>
      </c>
      <c r="E50" s="5" t="str">
        <f>IFERROR(__xludf.DUMMYFUNCTION("""COMPUTED_VALUE"""),"HKD")</f>
        <v>HKD</v>
      </c>
      <c r="F50" s="69" t="str">
        <f>IFERROR(__xludf.DUMMYFUNCTION("""COMPUTED_VALUE"""),"")</f>
        <v/>
      </c>
      <c r="G50" s="70">
        <f>IFERROR(__xludf.DUMMYFUNCTION("""COMPUTED_VALUE"""),1.0)</f>
        <v>1</v>
      </c>
      <c r="H50" s="71">
        <f>IFERROR(__xludf.DUMMYFUNCTION("""COMPUTED_VALUE"""),1.0)</f>
        <v>1</v>
      </c>
      <c r="I50" s="71">
        <f>IFERROR(__xludf.DUMMYFUNCTION("""COMPUTED_VALUE"""),1.0)</f>
        <v>1</v>
      </c>
      <c r="J50" s="22" t="str">
        <f>IFERROR(__xludf.DUMMYFUNCTION("""COMPUTED_VALUE"""),"")</f>
        <v/>
      </c>
      <c r="K50" s="22"/>
      <c r="L50" s="22"/>
      <c r="M50" s="22"/>
      <c r="N50" s="22"/>
      <c r="O50" s="73"/>
      <c r="P50" s="8"/>
      <c r="Q50" s="69"/>
      <c r="R50" s="69"/>
      <c r="S50" s="8"/>
      <c r="T50" s="69"/>
      <c r="U50" s="8"/>
      <c r="V50" s="69"/>
      <c r="W50" s="74"/>
      <c r="X50" s="69"/>
    </row>
    <row r="51">
      <c r="A51" s="30" t="str">
        <f>IFERROR(__xludf.DUMMYFUNCTION("""COMPUTED_VALUE"""),"18649 Total")</f>
        <v>18649 Total</v>
      </c>
      <c r="B51" s="5"/>
      <c r="C51" s="64"/>
      <c r="D51" s="85"/>
      <c r="E51" s="5"/>
      <c r="F51" s="69"/>
      <c r="G51" s="70">
        <f>IFERROR(__xludf.DUMMYFUNCTION("""COMPUTED_VALUE"""),1.0)</f>
        <v>1</v>
      </c>
      <c r="H51" s="71">
        <f>IFERROR(__xludf.DUMMYFUNCTION("""COMPUTED_VALUE"""),1.0)</f>
        <v>1</v>
      </c>
      <c r="I51" s="71" t="str">
        <f>IFERROR(__xludf.DUMMYFUNCTION("""COMPUTED_VALUE"""),"")</f>
        <v/>
      </c>
      <c r="J51" s="22" t="str">
        <f>IFERROR(__xludf.DUMMYFUNCTION("""COMPUTED_VALUE"""),"")</f>
        <v/>
      </c>
      <c r="K51" s="22"/>
      <c r="L51" s="22"/>
      <c r="M51" s="22"/>
      <c r="N51" s="22"/>
      <c r="O51" s="73"/>
      <c r="P51" s="8"/>
      <c r="Q51" s="69"/>
      <c r="R51" s="69"/>
      <c r="S51" s="8"/>
      <c r="T51" s="69"/>
      <c r="U51" s="8"/>
      <c r="V51" s="69"/>
      <c r="W51" s="74"/>
      <c r="X51" s="69"/>
    </row>
    <row r="52">
      <c r="A52" s="30" t="str">
        <f>IFERROR(__xludf.DUMMYFUNCTION("""COMPUTED_VALUE"""),"18874")</f>
        <v>18874</v>
      </c>
      <c r="B52" s="86">
        <f>IFERROR(__xludf.DUMMYFUNCTION("""COMPUTED_VALUE"""),44597.0)</f>
        <v>44597</v>
      </c>
      <c r="C52" s="64" t="str">
        <f>IFERROR(__xludf.DUMMYFUNCTION("""COMPUTED_VALUE"""),"Cash")</f>
        <v>Cash</v>
      </c>
      <c r="D52" s="85" t="str">
        <f>IFERROR(__xludf.DUMMYFUNCTION("""COMPUTED_VALUE"""),"Cash")</f>
        <v>Cash</v>
      </c>
      <c r="E52" s="5" t="str">
        <f>IFERROR(__xludf.DUMMYFUNCTION("""COMPUTED_VALUE"""),"HKD")</f>
        <v>HKD</v>
      </c>
      <c r="F52" s="69" t="str">
        <f>IFERROR(__xludf.DUMMYFUNCTION("""COMPUTED_VALUE"""),"")</f>
        <v/>
      </c>
      <c r="G52" s="70">
        <f>IFERROR(__xludf.DUMMYFUNCTION("""COMPUTED_VALUE"""),1.0)</f>
        <v>1</v>
      </c>
      <c r="H52" s="71">
        <f>IFERROR(__xludf.DUMMYFUNCTION("""COMPUTED_VALUE"""),1.0)</f>
        <v>1</v>
      </c>
      <c r="I52" s="71">
        <f>IFERROR(__xludf.DUMMYFUNCTION("""COMPUTED_VALUE"""),1.0)</f>
        <v>1</v>
      </c>
      <c r="J52" s="22" t="str">
        <f>IFERROR(__xludf.DUMMYFUNCTION("""COMPUTED_VALUE"""),"")</f>
        <v/>
      </c>
      <c r="K52" s="22"/>
      <c r="L52" s="22"/>
      <c r="M52" s="22"/>
      <c r="N52" s="22"/>
      <c r="O52" s="73"/>
      <c r="P52" s="8"/>
      <c r="Q52" s="69"/>
      <c r="R52" s="69"/>
      <c r="S52" s="8"/>
      <c r="T52" s="69"/>
      <c r="U52" s="8"/>
      <c r="V52" s="69"/>
      <c r="W52" s="74"/>
      <c r="X52" s="69"/>
    </row>
    <row r="53">
      <c r="A53" s="30" t="str">
        <f>IFERROR(__xludf.DUMMYFUNCTION("""COMPUTED_VALUE"""),"18874")</f>
        <v>18874</v>
      </c>
      <c r="B53" s="86">
        <f>IFERROR(__xludf.DUMMYFUNCTION("""COMPUTED_VALUE"""),44662.0)</f>
        <v>44662</v>
      </c>
      <c r="C53" s="64" t="str">
        <f>IFERROR(__xludf.DUMMYFUNCTION("""COMPUTED_VALUE"""),"Stock")</f>
        <v>Stock</v>
      </c>
      <c r="D53" s="85" t="str">
        <f>IFERROR(__xludf.DUMMYFUNCTION("""COMPUTED_VALUE"""),"AAPL")</f>
        <v>AAPL</v>
      </c>
      <c r="E53" s="5" t="str">
        <f>IFERROR(__xludf.DUMMYFUNCTION("""COMPUTED_VALUE"""),"USD")</f>
        <v>USD</v>
      </c>
      <c r="F53" s="69">
        <f>IFERROR(__xludf.DUMMYFUNCTION("""COMPUTED_VALUE"""),0.0)</f>
        <v>0</v>
      </c>
      <c r="G53" s="70">
        <f>IFERROR(__xludf.DUMMYFUNCTION("""COMPUTED_VALUE"""),7.83915)</f>
        <v>7.83915</v>
      </c>
      <c r="H53" s="71">
        <f>IFERROR(__xludf.DUMMYFUNCTION("""COMPUTED_VALUE"""),0.0)</f>
        <v>0</v>
      </c>
      <c r="I53" s="71">
        <f>IFERROR(__xludf.DUMMYFUNCTION("""COMPUTED_VALUE"""),170.4)</f>
        <v>170.4</v>
      </c>
      <c r="J53" s="88" t="str">
        <f>IFERROR(__xludf.DUMMYFUNCTION("""COMPUTED_VALUE"""),"Goto link: AAPL")</f>
        <v>Goto link: AAPL</v>
      </c>
      <c r="K53" s="22"/>
      <c r="L53" s="22"/>
      <c r="M53" s="22"/>
      <c r="N53" s="22"/>
      <c r="O53" s="73"/>
      <c r="P53" s="8"/>
      <c r="Q53" s="69"/>
      <c r="R53" s="69"/>
      <c r="S53" s="8"/>
      <c r="T53" s="69"/>
      <c r="U53" s="8"/>
      <c r="V53" s="69"/>
      <c r="W53" s="74"/>
      <c r="X53" s="69"/>
    </row>
    <row r="54">
      <c r="A54" s="30" t="str">
        <f>IFERROR(__xludf.DUMMYFUNCTION("""COMPUTED_VALUE"""),"18874")</f>
        <v>18874</v>
      </c>
      <c r="B54" s="86">
        <f>IFERROR(__xludf.DUMMYFUNCTION("""COMPUTED_VALUE"""),44662.0)</f>
        <v>44662</v>
      </c>
      <c r="C54" s="64" t="str">
        <f>IFERROR(__xludf.DUMMYFUNCTION("""COMPUTED_VALUE"""),"Stock")</f>
        <v>Stock</v>
      </c>
      <c r="D54" s="85" t="str">
        <f>IFERROR(__xludf.DUMMYFUNCTION("""COMPUTED_VALUE"""),"TSLA")</f>
        <v>TSLA</v>
      </c>
      <c r="E54" s="5" t="str">
        <f>IFERROR(__xludf.DUMMYFUNCTION("""COMPUTED_VALUE"""),"USD")</f>
        <v>USD</v>
      </c>
      <c r="F54" s="69">
        <f>IFERROR(__xludf.DUMMYFUNCTION("""COMPUTED_VALUE"""),0.0)</f>
        <v>0</v>
      </c>
      <c r="G54" s="70">
        <f>IFERROR(__xludf.DUMMYFUNCTION("""COMPUTED_VALUE"""),7.83915)</f>
        <v>7.83915</v>
      </c>
      <c r="H54" s="71">
        <f>IFERROR(__xludf.DUMMYFUNCTION("""COMPUTED_VALUE"""),0.0)</f>
        <v>0</v>
      </c>
      <c r="I54" s="71">
        <f>IFERROR(__xludf.DUMMYFUNCTION("""COMPUTED_VALUE"""),1022.37)</f>
        <v>1022.37</v>
      </c>
      <c r="J54" s="88" t="str">
        <f>IFERROR(__xludf.DUMMYFUNCTION("""COMPUTED_VALUE"""),"Goto link: TSLA")</f>
        <v>Goto link: TSLA</v>
      </c>
      <c r="K54" s="22"/>
      <c r="L54" s="22"/>
      <c r="M54" s="22"/>
      <c r="N54" s="22"/>
      <c r="O54" s="73"/>
      <c r="P54" s="8"/>
      <c r="Q54" s="69"/>
      <c r="R54" s="69"/>
      <c r="S54" s="8"/>
      <c r="T54" s="69"/>
      <c r="U54" s="8"/>
      <c r="V54" s="69"/>
      <c r="W54" s="74"/>
      <c r="X54" s="69"/>
    </row>
    <row r="55">
      <c r="A55" s="30" t="str">
        <f>IFERROR(__xludf.DUMMYFUNCTION("""COMPUTED_VALUE"""),"18874")</f>
        <v>18874</v>
      </c>
      <c r="B55" s="86">
        <f>IFERROR(__xludf.DUMMYFUNCTION("""COMPUTED_VALUE"""),44663.0)</f>
        <v>44663</v>
      </c>
      <c r="C55" s="64" t="str">
        <f>IFERROR(__xludf.DUMMYFUNCTION("""COMPUTED_VALUE"""),"Stock")</f>
        <v>Stock</v>
      </c>
      <c r="D55" s="91" t="str">
        <f>IFERROR(__xludf.DUMMYFUNCTION("""COMPUTED_VALUE"""),"0293.hk")</f>
        <v>0293.hk</v>
      </c>
      <c r="E55" s="5" t="str">
        <f>IFERROR(__xludf.DUMMYFUNCTION("""COMPUTED_VALUE"""),"HKD")</f>
        <v>HKD</v>
      </c>
      <c r="F55" s="69">
        <f>IFERROR(__xludf.DUMMYFUNCTION("""COMPUTED_VALUE"""),0.0)</f>
        <v>0</v>
      </c>
      <c r="G55" s="70">
        <f>IFERROR(__xludf.DUMMYFUNCTION("""COMPUTED_VALUE"""),1.0)</f>
        <v>1</v>
      </c>
      <c r="H55" s="71">
        <f>IFERROR(__xludf.DUMMYFUNCTION("""COMPUTED_VALUE"""),0.0)</f>
        <v>0</v>
      </c>
      <c r="I55" s="71">
        <f>IFERROR(__xludf.DUMMYFUNCTION("""COMPUTED_VALUE"""),7.68)</f>
        <v>7.68</v>
      </c>
      <c r="J55" s="88" t="str">
        <f>IFERROR(__xludf.DUMMYFUNCTION("""COMPUTED_VALUE"""),"Goto link: 0293.hk")</f>
        <v>Goto link: 0293.hk</v>
      </c>
      <c r="K55" s="22"/>
      <c r="L55" s="22"/>
      <c r="M55" s="22"/>
      <c r="N55" s="22"/>
      <c r="O55" s="73"/>
      <c r="P55" s="8"/>
      <c r="Q55" s="69"/>
      <c r="R55" s="69"/>
      <c r="S55" s="8"/>
      <c r="T55" s="69"/>
      <c r="U55" s="8"/>
      <c r="V55" s="69"/>
      <c r="W55" s="74"/>
      <c r="X55" s="69"/>
    </row>
    <row r="56">
      <c r="A56" s="30" t="str">
        <f>IFERROR(__xludf.DUMMYFUNCTION("""COMPUTED_VALUE"""),"18874")</f>
        <v>18874</v>
      </c>
      <c r="B56" s="86">
        <f>IFERROR(__xludf.DUMMYFUNCTION("""COMPUTED_VALUE"""),44663.0)</f>
        <v>44663</v>
      </c>
      <c r="C56" s="64" t="str">
        <f>IFERROR(__xludf.DUMMYFUNCTION("""COMPUTED_VALUE"""),"Stock")</f>
        <v>Stock</v>
      </c>
      <c r="D56" s="91" t="str">
        <f>IFERROR(__xludf.DUMMYFUNCTION("""COMPUTED_VALUE"""),"1929.hk")</f>
        <v>1929.hk</v>
      </c>
      <c r="E56" s="5" t="str">
        <f>IFERROR(__xludf.DUMMYFUNCTION("""COMPUTED_VALUE"""),"HKD")</f>
        <v>HKD</v>
      </c>
      <c r="F56" s="69">
        <f>IFERROR(__xludf.DUMMYFUNCTION("""COMPUTED_VALUE"""),0.0)</f>
        <v>0</v>
      </c>
      <c r="G56" s="70">
        <f>IFERROR(__xludf.DUMMYFUNCTION("""COMPUTED_VALUE"""),1.0)</f>
        <v>1</v>
      </c>
      <c r="H56" s="71">
        <f>IFERROR(__xludf.DUMMYFUNCTION("""COMPUTED_VALUE"""),0.0)</f>
        <v>0</v>
      </c>
      <c r="I56" s="71">
        <f>IFERROR(__xludf.DUMMYFUNCTION("""COMPUTED_VALUE"""),13.24)</f>
        <v>13.24</v>
      </c>
      <c r="J56" s="88" t="str">
        <f>IFERROR(__xludf.DUMMYFUNCTION("""COMPUTED_VALUE"""),"Goto link: 1929.hk")</f>
        <v>Goto link: 1929.hk</v>
      </c>
      <c r="K56" s="22"/>
      <c r="L56" s="22"/>
      <c r="M56" s="22"/>
      <c r="N56" s="22"/>
      <c r="O56" s="73"/>
      <c r="P56" s="8"/>
      <c r="Q56" s="69"/>
      <c r="R56" s="69"/>
      <c r="S56" s="8"/>
      <c r="T56" s="69"/>
      <c r="U56" s="8"/>
      <c r="V56" s="69"/>
      <c r="W56" s="74"/>
      <c r="X56" s="69"/>
    </row>
    <row r="57">
      <c r="A57" s="30" t="str">
        <f>IFERROR(__xludf.DUMMYFUNCTION("""COMPUTED_VALUE"""),"18874")</f>
        <v>18874</v>
      </c>
      <c r="B57" s="86">
        <f>IFERROR(__xludf.DUMMYFUNCTION("""COMPUTED_VALUE"""),44663.0)</f>
        <v>44663</v>
      </c>
      <c r="C57" s="64" t="str">
        <f>IFERROR(__xludf.DUMMYFUNCTION("""COMPUTED_VALUE"""),"Stock")</f>
        <v>Stock</v>
      </c>
      <c r="D57" s="91" t="str">
        <f>IFERROR(__xludf.DUMMYFUNCTION("""COMPUTED_VALUE"""),"9988.hk")</f>
        <v>9988.hk</v>
      </c>
      <c r="E57" s="5" t="str">
        <f>IFERROR(__xludf.DUMMYFUNCTION("""COMPUTED_VALUE"""),"HKD")</f>
        <v>HKD</v>
      </c>
      <c r="F57" s="69">
        <f>IFERROR(__xludf.DUMMYFUNCTION("""COMPUTED_VALUE"""),0.0)</f>
        <v>0</v>
      </c>
      <c r="G57" s="70">
        <f>IFERROR(__xludf.DUMMYFUNCTION("""COMPUTED_VALUE"""),1.0)</f>
        <v>1</v>
      </c>
      <c r="H57" s="71">
        <f>IFERROR(__xludf.DUMMYFUNCTION("""COMPUTED_VALUE"""),0.0)</f>
        <v>0</v>
      </c>
      <c r="I57" s="71">
        <f>IFERROR(__xludf.DUMMYFUNCTION("""COMPUTED_VALUE"""),98.5)</f>
        <v>98.5</v>
      </c>
      <c r="J57" s="88" t="str">
        <f>IFERROR(__xludf.DUMMYFUNCTION("""COMPUTED_VALUE"""),"Goto link: 9988.hk")</f>
        <v>Goto link: 9988.hk</v>
      </c>
      <c r="K57" s="22"/>
      <c r="L57" s="22"/>
      <c r="M57" s="22"/>
      <c r="N57" s="22"/>
      <c r="O57" s="73"/>
      <c r="P57" s="8"/>
      <c r="Q57" s="69"/>
      <c r="R57" s="69"/>
      <c r="S57" s="8"/>
      <c r="T57" s="69"/>
      <c r="U57" s="8"/>
      <c r="V57" s="69"/>
      <c r="W57" s="74"/>
      <c r="X57" s="69"/>
    </row>
    <row r="58">
      <c r="A58" s="30" t="str">
        <f>IFERROR(__xludf.DUMMYFUNCTION("""COMPUTED_VALUE"""),"18874")</f>
        <v>18874</v>
      </c>
      <c r="B58" s="86">
        <f>IFERROR(__xludf.DUMMYFUNCTION("""COMPUTED_VALUE"""),44663.0)</f>
        <v>44663</v>
      </c>
      <c r="C58" s="64" t="str">
        <f>IFERROR(__xludf.DUMMYFUNCTION("""COMPUTED_VALUE"""),"Stock")</f>
        <v>Stock</v>
      </c>
      <c r="D58" s="85" t="str">
        <f>IFERROR(__xludf.DUMMYFUNCTION("""COMPUTED_VALUE"""),"KO")</f>
        <v>KO</v>
      </c>
      <c r="E58" s="5" t="str">
        <f>IFERROR(__xludf.DUMMYFUNCTION("""COMPUTED_VALUE"""),"USD")</f>
        <v>USD</v>
      </c>
      <c r="F58" s="69">
        <f>IFERROR(__xludf.DUMMYFUNCTION("""COMPUTED_VALUE"""),200.0)</f>
        <v>200</v>
      </c>
      <c r="G58" s="70">
        <f>IFERROR(__xludf.DUMMYFUNCTION("""COMPUTED_VALUE"""),7.83915)</f>
        <v>7.83915</v>
      </c>
      <c r="H58" s="71">
        <f>IFERROR(__xludf.DUMMYFUNCTION("""COMPUTED_VALUE"""),64.56)</f>
        <v>64.56</v>
      </c>
      <c r="I58" s="71">
        <f>IFERROR(__xludf.DUMMYFUNCTION("""COMPUTED_VALUE"""),64.74)</f>
        <v>64.74</v>
      </c>
      <c r="J58" s="88" t="str">
        <f>IFERROR(__xludf.DUMMYFUNCTION("""COMPUTED_VALUE"""),"Goto link: KO")</f>
        <v>Goto link: KO</v>
      </c>
      <c r="K58" s="22"/>
      <c r="L58" s="22"/>
      <c r="M58" s="22"/>
      <c r="N58" s="22"/>
      <c r="O58" s="73"/>
      <c r="P58" s="8"/>
      <c r="Q58" s="69"/>
      <c r="R58" s="69"/>
      <c r="S58" s="8"/>
      <c r="T58" s="69"/>
      <c r="U58" s="8"/>
      <c r="V58" s="69"/>
      <c r="W58" s="74"/>
      <c r="X58" s="69"/>
    </row>
    <row r="59">
      <c r="A59" s="30" t="str">
        <f>IFERROR(__xludf.DUMMYFUNCTION("""COMPUTED_VALUE"""),"18874")</f>
        <v>18874</v>
      </c>
      <c r="B59" s="86">
        <f>IFERROR(__xludf.DUMMYFUNCTION("""COMPUTED_VALUE"""),44663.0)</f>
        <v>44663</v>
      </c>
      <c r="C59" s="64" t="str">
        <f>IFERROR(__xludf.DUMMYFUNCTION("""COMPUTED_VALUE"""),"Stock")</f>
        <v>Stock</v>
      </c>
      <c r="D59" s="85" t="str">
        <f>IFERROR(__xludf.DUMMYFUNCTION("""COMPUTED_VALUE"""),"NVDA")</f>
        <v>NVDA</v>
      </c>
      <c r="E59" s="5" t="str">
        <f>IFERROR(__xludf.DUMMYFUNCTION("""COMPUTED_VALUE"""),"USD")</f>
        <v>USD</v>
      </c>
      <c r="F59" s="69">
        <f>IFERROR(__xludf.DUMMYFUNCTION("""COMPUTED_VALUE"""),0.0)</f>
        <v>0</v>
      </c>
      <c r="G59" s="70">
        <f>IFERROR(__xludf.DUMMYFUNCTION("""COMPUTED_VALUE"""),7.83915)</f>
        <v>7.83915</v>
      </c>
      <c r="H59" s="71">
        <f>IFERROR(__xludf.DUMMYFUNCTION("""COMPUTED_VALUE"""),0.0)</f>
        <v>0</v>
      </c>
      <c r="I59" s="71">
        <f>IFERROR(__xludf.DUMMYFUNCTION("""COMPUTED_VALUE"""),222.03)</f>
        <v>222.03</v>
      </c>
      <c r="J59" s="88" t="str">
        <f>IFERROR(__xludf.DUMMYFUNCTION("""COMPUTED_VALUE"""),"Goto link: NVDA")</f>
        <v>Goto link: NVDA</v>
      </c>
      <c r="K59" s="22"/>
      <c r="L59" s="22"/>
      <c r="M59" s="22"/>
      <c r="N59" s="22"/>
      <c r="O59" s="73"/>
      <c r="P59" s="8"/>
      <c r="Q59" s="69"/>
      <c r="R59" s="69"/>
      <c r="S59" s="8"/>
      <c r="T59" s="69"/>
      <c r="U59" s="8"/>
      <c r="V59" s="69"/>
      <c r="W59" s="74"/>
      <c r="X59" s="69"/>
    </row>
    <row r="60">
      <c r="A60" s="30" t="str">
        <f>IFERROR(__xludf.DUMMYFUNCTION("""COMPUTED_VALUE"""),"18874")</f>
        <v>18874</v>
      </c>
      <c r="B60" s="86">
        <f>IFERROR(__xludf.DUMMYFUNCTION("""COMPUTED_VALUE"""),44663.0)</f>
        <v>44663</v>
      </c>
      <c r="C60" s="64" t="str">
        <f>IFERROR(__xludf.DUMMYFUNCTION("""COMPUTED_VALUE"""),"Stock")</f>
        <v>Stock</v>
      </c>
      <c r="D60" s="85" t="str">
        <f>IFERROR(__xludf.DUMMYFUNCTION("""COMPUTED_VALUE"""),"TSLA")</f>
        <v>TSLA</v>
      </c>
      <c r="E60" s="5" t="str">
        <f>IFERROR(__xludf.DUMMYFUNCTION("""COMPUTED_VALUE"""),"USD")</f>
        <v>USD</v>
      </c>
      <c r="F60" s="69">
        <f>IFERROR(__xludf.DUMMYFUNCTION("""COMPUTED_VALUE"""),10.0)</f>
        <v>10</v>
      </c>
      <c r="G60" s="70">
        <f>IFERROR(__xludf.DUMMYFUNCTION("""COMPUTED_VALUE"""),7.83915)</f>
        <v>7.83915</v>
      </c>
      <c r="H60" s="71">
        <f>IFERROR(__xludf.DUMMYFUNCTION("""COMPUTED_VALUE"""),986.95)</f>
        <v>986.95</v>
      </c>
      <c r="I60" s="71">
        <f>IFERROR(__xludf.DUMMYFUNCTION("""COMPUTED_VALUE"""),1022.37)</f>
        <v>1022.37</v>
      </c>
      <c r="J60" s="88" t="str">
        <f>IFERROR(__xludf.DUMMYFUNCTION("""COMPUTED_VALUE"""),"Goto link: TSLA")</f>
        <v>Goto link: TSLA</v>
      </c>
      <c r="K60" s="22"/>
      <c r="L60" s="22"/>
      <c r="M60" s="22"/>
      <c r="N60" s="22"/>
      <c r="O60" s="73"/>
      <c r="P60" s="8"/>
      <c r="Q60" s="69"/>
      <c r="R60" s="69"/>
      <c r="S60" s="8"/>
      <c r="T60" s="69"/>
      <c r="U60" s="8"/>
      <c r="V60" s="69"/>
      <c r="W60" s="74"/>
      <c r="X60" s="69"/>
    </row>
    <row r="61">
      <c r="A61" s="30" t="str">
        <f>IFERROR(__xludf.DUMMYFUNCTION("""COMPUTED_VALUE"""),"18874")</f>
        <v>18874</v>
      </c>
      <c r="B61" s="86">
        <f>IFERROR(__xludf.DUMMYFUNCTION("""COMPUTED_VALUE"""),44663.0)</f>
        <v>44663</v>
      </c>
      <c r="C61" s="64" t="str">
        <f>IFERROR(__xludf.DUMMYFUNCTION("""COMPUTED_VALUE"""),"Stock")</f>
        <v>Stock</v>
      </c>
      <c r="D61" s="85" t="str">
        <f>IFERROR(__xludf.DUMMYFUNCTION("""COMPUTED_VALUE"""),"TSM")</f>
        <v>TSM</v>
      </c>
      <c r="E61" s="5" t="str">
        <f>IFERROR(__xludf.DUMMYFUNCTION("""COMPUTED_VALUE"""),"USD")</f>
        <v>USD</v>
      </c>
      <c r="F61" s="69">
        <f>IFERROR(__xludf.DUMMYFUNCTION("""COMPUTED_VALUE"""),50.0)</f>
        <v>50</v>
      </c>
      <c r="G61" s="70">
        <f>IFERROR(__xludf.DUMMYFUNCTION("""COMPUTED_VALUE"""),7.83915)</f>
        <v>7.83915</v>
      </c>
      <c r="H61" s="71">
        <f>IFERROR(__xludf.DUMMYFUNCTION("""COMPUTED_VALUE"""),97.44)</f>
        <v>97.44</v>
      </c>
      <c r="I61" s="71">
        <f>IFERROR(__xludf.DUMMYFUNCTION("""COMPUTED_VALUE"""),101.55)</f>
        <v>101.55</v>
      </c>
      <c r="J61" s="88" t="str">
        <f>IFERROR(__xludf.DUMMYFUNCTION("""COMPUTED_VALUE"""),"Goto link: TSM")</f>
        <v>Goto link: TSM</v>
      </c>
      <c r="K61" s="22"/>
      <c r="L61" s="22"/>
      <c r="M61" s="22"/>
      <c r="N61" s="22"/>
      <c r="O61" s="73"/>
      <c r="P61" s="8"/>
      <c r="Q61" s="69"/>
      <c r="R61" s="69"/>
      <c r="S61" s="8"/>
      <c r="T61" s="69"/>
      <c r="U61" s="8"/>
      <c r="V61" s="69"/>
      <c r="W61" s="74"/>
      <c r="X61" s="69"/>
    </row>
    <row r="62">
      <c r="A62" s="30" t="str">
        <f>IFERROR(__xludf.DUMMYFUNCTION("""COMPUTED_VALUE"""),"18874")</f>
        <v>18874</v>
      </c>
      <c r="B62" s="86">
        <f>IFERROR(__xludf.DUMMYFUNCTION("""COMPUTED_VALUE"""),44664.0)</f>
        <v>44664</v>
      </c>
      <c r="C62" s="64" t="str">
        <f>IFERROR(__xludf.DUMMYFUNCTION("""COMPUTED_VALUE"""),"Stock")</f>
        <v>Stock</v>
      </c>
      <c r="D62" s="85" t="str">
        <f>IFERROR(__xludf.DUMMYFUNCTION("""COMPUTED_VALUE"""),"TSLA")</f>
        <v>TSLA</v>
      </c>
      <c r="E62" s="5" t="str">
        <f>IFERROR(__xludf.DUMMYFUNCTION("""COMPUTED_VALUE"""),"USD")</f>
        <v>USD</v>
      </c>
      <c r="F62" s="69">
        <f>IFERROR(__xludf.DUMMYFUNCTION("""COMPUTED_VALUE"""),-10.0)</f>
        <v>-10</v>
      </c>
      <c r="G62" s="70">
        <f>IFERROR(__xludf.DUMMYFUNCTION("""COMPUTED_VALUE"""),7.83915)</f>
        <v>7.83915</v>
      </c>
      <c r="H62" s="71">
        <f>IFERROR(__xludf.DUMMYFUNCTION("""COMPUTED_VALUE"""),1022.37)</f>
        <v>1022.37</v>
      </c>
      <c r="I62" s="71">
        <f>IFERROR(__xludf.DUMMYFUNCTION("""COMPUTED_VALUE"""),1022.37)</f>
        <v>1022.37</v>
      </c>
      <c r="J62" s="88" t="str">
        <f>IFERROR(__xludf.DUMMYFUNCTION("""COMPUTED_VALUE"""),"Goto link: TSLA")</f>
        <v>Goto link: TSLA</v>
      </c>
      <c r="K62" s="22"/>
      <c r="L62" s="22"/>
      <c r="M62" s="22"/>
      <c r="N62" s="22"/>
      <c r="O62" s="73"/>
      <c r="P62" s="8"/>
      <c r="Q62" s="69"/>
      <c r="R62" s="69"/>
      <c r="S62" s="8"/>
      <c r="T62" s="69"/>
      <c r="U62" s="8"/>
      <c r="V62" s="69"/>
      <c r="W62" s="74"/>
      <c r="X62" s="69"/>
    </row>
    <row r="63">
      <c r="A63" s="30" t="str">
        <f>IFERROR(__xludf.DUMMYFUNCTION("""COMPUTED_VALUE"""),"18874 Total")</f>
        <v>18874 Total</v>
      </c>
      <c r="B63" s="5"/>
      <c r="C63" s="64"/>
      <c r="D63" s="85"/>
      <c r="E63" s="5"/>
      <c r="F63" s="69"/>
      <c r="G63" s="70">
        <f>IFERROR(__xludf.DUMMYFUNCTION("""COMPUTED_VALUE"""),5.352186363636364)</f>
        <v>5.352186364</v>
      </c>
      <c r="H63" s="71">
        <f>IFERROR(__xludf.DUMMYFUNCTION("""COMPUTED_VALUE"""),1022.37)</f>
        <v>1022.37</v>
      </c>
      <c r="I63" s="71" t="str">
        <f>IFERROR(__xludf.DUMMYFUNCTION("""COMPUTED_VALUE"""),"")</f>
        <v/>
      </c>
      <c r="J63" s="22" t="str">
        <f>IFERROR(__xludf.DUMMYFUNCTION("""COMPUTED_VALUE"""),"")</f>
        <v/>
      </c>
      <c r="K63" s="22"/>
      <c r="L63" s="22"/>
      <c r="M63" s="22"/>
      <c r="N63" s="22"/>
      <c r="O63" s="73"/>
      <c r="P63" s="8"/>
      <c r="Q63" s="69"/>
      <c r="R63" s="69"/>
      <c r="S63" s="8"/>
      <c r="T63" s="69"/>
      <c r="U63" s="8"/>
      <c r="V63" s="69"/>
      <c r="W63" s="74"/>
      <c r="X63" s="69"/>
    </row>
    <row r="64">
      <c r="A64" s="30" t="str">
        <f>IFERROR(__xludf.DUMMYFUNCTION("""COMPUTED_VALUE"""),"24442")</f>
        <v>24442</v>
      </c>
      <c r="B64" s="86">
        <f>IFERROR(__xludf.DUMMYFUNCTION("""COMPUTED_VALUE"""),44597.0)</f>
        <v>44597</v>
      </c>
      <c r="C64" s="64" t="str">
        <f>IFERROR(__xludf.DUMMYFUNCTION("""COMPUTED_VALUE"""),"Cash")</f>
        <v>Cash</v>
      </c>
      <c r="D64" s="85" t="str">
        <f>IFERROR(__xludf.DUMMYFUNCTION("""COMPUTED_VALUE"""),"Cash")</f>
        <v>Cash</v>
      </c>
      <c r="E64" s="5" t="str">
        <f>IFERROR(__xludf.DUMMYFUNCTION("""COMPUTED_VALUE"""),"HKD")</f>
        <v>HKD</v>
      </c>
      <c r="F64" s="69" t="str">
        <f>IFERROR(__xludf.DUMMYFUNCTION("""COMPUTED_VALUE"""),"")</f>
        <v/>
      </c>
      <c r="G64" s="70">
        <f>IFERROR(__xludf.DUMMYFUNCTION("""COMPUTED_VALUE"""),1.0)</f>
        <v>1</v>
      </c>
      <c r="H64" s="71">
        <f>IFERROR(__xludf.DUMMYFUNCTION("""COMPUTED_VALUE"""),1.0)</f>
        <v>1</v>
      </c>
      <c r="I64" s="71">
        <f>IFERROR(__xludf.DUMMYFUNCTION("""COMPUTED_VALUE"""),1.0)</f>
        <v>1</v>
      </c>
      <c r="J64" s="22" t="str">
        <f>IFERROR(__xludf.DUMMYFUNCTION("""COMPUTED_VALUE"""),"")</f>
        <v/>
      </c>
      <c r="K64" s="22"/>
      <c r="L64" s="22"/>
      <c r="M64" s="22"/>
      <c r="N64" s="22"/>
      <c r="O64" s="73"/>
      <c r="P64" s="8"/>
      <c r="Q64" s="69"/>
      <c r="R64" s="69"/>
      <c r="S64" s="8"/>
      <c r="T64" s="69"/>
      <c r="U64" s="8"/>
      <c r="V64" s="69"/>
      <c r="W64" s="74"/>
      <c r="X64" s="69"/>
    </row>
    <row r="65">
      <c r="A65" s="30" t="str">
        <f>IFERROR(__xludf.DUMMYFUNCTION("""COMPUTED_VALUE"""),"24442")</f>
        <v>24442</v>
      </c>
      <c r="B65" s="86">
        <f>IFERROR(__xludf.DUMMYFUNCTION("""COMPUTED_VALUE"""),44620.0)</f>
        <v>44620</v>
      </c>
      <c r="C65" s="64" t="str">
        <f>IFERROR(__xludf.DUMMYFUNCTION("""COMPUTED_VALUE"""),"Stock")</f>
        <v>Stock</v>
      </c>
      <c r="D65" s="87" t="str">
        <f>IFERROR(__xludf.DUMMYFUNCTION("""COMPUTED_VALUE"""),"005930.KS")</f>
        <v>005930.KS</v>
      </c>
      <c r="E65" s="5" t="str">
        <f>IFERROR(__xludf.DUMMYFUNCTION("""COMPUTED_VALUE"""),"KRW")</f>
        <v>KRW</v>
      </c>
      <c r="F65" s="69">
        <f>IFERROR(__xludf.DUMMYFUNCTION("""COMPUTED_VALUE"""),100.0)</f>
        <v>100</v>
      </c>
      <c r="G65" s="70">
        <f>IFERROR(__xludf.DUMMYFUNCTION("""COMPUTED_VALUE"""),0.006406054)</f>
        <v>0.006406054</v>
      </c>
      <c r="H65" s="71">
        <f>IFERROR(__xludf.DUMMYFUNCTION("""COMPUTED_VALUE"""),72100.0)</f>
        <v>72100</v>
      </c>
      <c r="I65" s="71">
        <f>IFERROR(__xludf.DUMMYFUNCTION("""COMPUTED_VALUE"""),68700.0)</f>
        <v>68700</v>
      </c>
      <c r="J65" s="88" t="str">
        <f>IFERROR(__xludf.DUMMYFUNCTION("""COMPUTED_VALUE"""),"Goto link: 005930.KS")</f>
        <v>Goto link: 005930.KS</v>
      </c>
      <c r="K65" s="22"/>
      <c r="L65" s="22"/>
      <c r="M65" s="22"/>
      <c r="N65" s="22"/>
      <c r="O65" s="73"/>
      <c r="P65" s="8"/>
      <c r="Q65" s="69"/>
      <c r="R65" s="69"/>
      <c r="S65" s="8"/>
      <c r="T65" s="69"/>
      <c r="U65" s="8"/>
      <c r="V65" s="69"/>
      <c r="W65" s="74"/>
      <c r="X65" s="69"/>
    </row>
    <row r="66">
      <c r="A66" s="30" t="str">
        <f>IFERROR(__xludf.DUMMYFUNCTION("""COMPUTED_VALUE"""),"24442")</f>
        <v>24442</v>
      </c>
      <c r="B66" s="86">
        <f>IFERROR(__xludf.DUMMYFUNCTION("""COMPUTED_VALUE"""),44627.0)</f>
        <v>44627</v>
      </c>
      <c r="C66" s="64" t="str">
        <f>IFERROR(__xludf.DUMMYFUNCTION("""COMPUTED_VALUE"""),"Stock")</f>
        <v>Stock</v>
      </c>
      <c r="D66" s="87" t="str">
        <f>IFERROR(__xludf.DUMMYFUNCTION("""COMPUTED_VALUE"""),"XLK")</f>
        <v>XLK</v>
      </c>
      <c r="E66" s="5" t="str">
        <f>IFERROR(__xludf.DUMMYFUNCTION("""COMPUTED_VALUE"""),"USD")</f>
        <v>USD</v>
      </c>
      <c r="F66" s="69">
        <f>IFERROR(__xludf.DUMMYFUNCTION("""COMPUTED_VALUE"""),100.0)</f>
        <v>100</v>
      </c>
      <c r="G66" s="70">
        <f>IFERROR(__xludf.DUMMYFUNCTION("""COMPUTED_VALUE"""),7.83915)</f>
        <v>7.83915</v>
      </c>
      <c r="H66" s="71">
        <f>IFERROR(__xludf.DUMMYFUNCTION("""COMPUTED_VALUE"""),144.27)</f>
        <v>144.27</v>
      </c>
      <c r="I66" s="71">
        <f>IFERROR(__xludf.DUMMYFUNCTION("""COMPUTED_VALUE"""),150.27)</f>
        <v>150.27</v>
      </c>
      <c r="J66" s="88" t="str">
        <f>IFERROR(__xludf.DUMMYFUNCTION("""COMPUTED_VALUE"""),"Goto link: XLK")</f>
        <v>Goto link: XLK</v>
      </c>
      <c r="K66" s="22"/>
      <c r="L66" s="22"/>
      <c r="M66" s="22"/>
      <c r="N66" s="22"/>
      <c r="O66" s="73"/>
      <c r="P66" s="8"/>
      <c r="Q66" s="69"/>
      <c r="R66" s="69"/>
      <c r="S66" s="8"/>
      <c r="T66" s="69"/>
      <c r="U66" s="8"/>
      <c r="V66" s="69"/>
      <c r="W66" s="74"/>
      <c r="X66" s="69"/>
    </row>
    <row r="67">
      <c r="A67" s="30" t="str">
        <f>IFERROR(__xludf.DUMMYFUNCTION("""COMPUTED_VALUE"""),"24442")</f>
        <v>24442</v>
      </c>
      <c r="B67" s="86">
        <f>IFERROR(__xludf.DUMMYFUNCTION("""COMPUTED_VALUE"""),44628.0)</f>
        <v>44628</v>
      </c>
      <c r="C67" s="64" t="str">
        <f>IFERROR(__xludf.DUMMYFUNCTION("""COMPUTED_VALUE"""),"Stock")</f>
        <v>Stock</v>
      </c>
      <c r="D67" s="87" t="str">
        <f>IFERROR(__xludf.DUMMYFUNCTION("""COMPUTED_VALUE"""),"XLK")</f>
        <v>XLK</v>
      </c>
      <c r="E67" s="5" t="str">
        <f>IFERROR(__xludf.DUMMYFUNCTION("""COMPUTED_VALUE"""),"USD")</f>
        <v>USD</v>
      </c>
      <c r="F67" s="69">
        <f>IFERROR(__xludf.DUMMYFUNCTION("""COMPUTED_VALUE"""),-100.0)</f>
        <v>-100</v>
      </c>
      <c r="G67" s="70">
        <f>IFERROR(__xludf.DUMMYFUNCTION("""COMPUTED_VALUE"""),7.83915)</f>
        <v>7.83915</v>
      </c>
      <c r="H67" s="71">
        <f>IFERROR(__xludf.DUMMYFUNCTION("""COMPUTED_VALUE"""),143.57)</f>
        <v>143.57</v>
      </c>
      <c r="I67" s="71">
        <f>IFERROR(__xludf.DUMMYFUNCTION("""COMPUTED_VALUE"""),150.27)</f>
        <v>150.27</v>
      </c>
      <c r="J67" s="88" t="str">
        <f>IFERROR(__xludf.DUMMYFUNCTION("""COMPUTED_VALUE"""),"Goto link: XLK")</f>
        <v>Goto link: XLK</v>
      </c>
      <c r="K67" s="22"/>
      <c r="L67" s="22"/>
      <c r="M67" s="22"/>
      <c r="N67" s="22"/>
      <c r="O67" s="73"/>
      <c r="P67" s="8"/>
      <c r="Q67" s="69"/>
      <c r="R67" s="69"/>
      <c r="S67" s="8"/>
      <c r="T67" s="69"/>
      <c r="U67" s="8"/>
      <c r="V67" s="69"/>
      <c r="W67" s="74"/>
      <c r="X67" s="69"/>
    </row>
    <row r="68">
      <c r="A68" s="30" t="str">
        <f>IFERROR(__xludf.DUMMYFUNCTION("""COMPUTED_VALUE"""),"24442")</f>
        <v>24442</v>
      </c>
      <c r="B68" s="86">
        <f>IFERROR(__xludf.DUMMYFUNCTION("""COMPUTED_VALUE"""),44634.0)</f>
        <v>44634</v>
      </c>
      <c r="C68" s="64" t="str">
        <f>IFERROR(__xludf.DUMMYFUNCTION("""COMPUTED_VALUE"""),"Stock")</f>
        <v>Stock</v>
      </c>
      <c r="D68" s="87" t="str">
        <f>IFERROR(__xludf.DUMMYFUNCTION("""COMPUTED_VALUE"""),"XLB")</f>
        <v>XLB</v>
      </c>
      <c r="E68" s="5" t="str">
        <f>IFERROR(__xludf.DUMMYFUNCTION("""COMPUTED_VALUE"""),"USD")</f>
        <v>USD</v>
      </c>
      <c r="F68" s="69">
        <f>IFERROR(__xludf.DUMMYFUNCTION("""COMPUTED_VALUE"""),45.0)</f>
        <v>45</v>
      </c>
      <c r="G68" s="70">
        <f>IFERROR(__xludf.DUMMYFUNCTION("""COMPUTED_VALUE"""),7.83915)</f>
        <v>7.83915</v>
      </c>
      <c r="H68" s="71">
        <f>IFERROR(__xludf.DUMMYFUNCTION("""COMPUTED_VALUE"""),81.73)</f>
        <v>81.73</v>
      </c>
      <c r="I68" s="71">
        <f>IFERROR(__xludf.DUMMYFUNCTION("""COMPUTED_VALUE"""),89.37)</f>
        <v>89.37</v>
      </c>
      <c r="J68" s="88" t="str">
        <f>IFERROR(__xludf.DUMMYFUNCTION("""COMPUTED_VALUE"""),"Goto link: XLB")</f>
        <v>Goto link: XLB</v>
      </c>
      <c r="K68" s="22"/>
      <c r="L68" s="22"/>
      <c r="M68" s="22"/>
      <c r="N68" s="22"/>
      <c r="O68" s="73"/>
      <c r="P68" s="8"/>
      <c r="Q68" s="69"/>
      <c r="R68" s="69"/>
      <c r="S68" s="8"/>
      <c r="T68" s="69"/>
      <c r="U68" s="8"/>
      <c r="V68" s="69"/>
      <c r="W68" s="74"/>
      <c r="X68" s="69"/>
    </row>
    <row r="69">
      <c r="A69" s="30" t="str">
        <f>IFERROR(__xludf.DUMMYFUNCTION("""COMPUTED_VALUE"""),"24442")</f>
        <v>24442</v>
      </c>
      <c r="B69" s="86">
        <f>IFERROR(__xludf.DUMMYFUNCTION("""COMPUTED_VALUE"""),44634.0)</f>
        <v>44634</v>
      </c>
      <c r="C69" s="64" t="str">
        <f>IFERROR(__xludf.DUMMYFUNCTION("""COMPUTED_VALUE"""),"Stock")</f>
        <v>Stock</v>
      </c>
      <c r="D69" s="87" t="str">
        <f>IFERROR(__xludf.DUMMYFUNCTION("""COMPUTED_VALUE"""),"XLC")</f>
        <v>XLC</v>
      </c>
      <c r="E69" s="5" t="str">
        <f>IFERROR(__xludf.DUMMYFUNCTION("""COMPUTED_VALUE"""),"USD")</f>
        <v>USD</v>
      </c>
      <c r="F69" s="69">
        <f>IFERROR(__xludf.DUMMYFUNCTION("""COMPUTED_VALUE"""),72.0)</f>
        <v>72</v>
      </c>
      <c r="G69" s="70">
        <f>IFERROR(__xludf.DUMMYFUNCTION("""COMPUTED_VALUE"""),7.83915)</f>
        <v>7.83915</v>
      </c>
      <c r="H69" s="71">
        <f>IFERROR(__xludf.DUMMYFUNCTION("""COMPUTED_VALUE"""),63.62)</f>
        <v>63.62</v>
      </c>
      <c r="I69" s="71">
        <f>IFERROR(__xludf.DUMMYFUNCTION("""COMPUTED_VALUE"""),67.61)</f>
        <v>67.61</v>
      </c>
      <c r="J69" s="88" t="str">
        <f>IFERROR(__xludf.DUMMYFUNCTION("""COMPUTED_VALUE"""),"Goto link: XLC")</f>
        <v>Goto link: XLC</v>
      </c>
      <c r="K69" s="22"/>
      <c r="L69" s="22"/>
      <c r="M69" s="22"/>
      <c r="N69" s="22"/>
      <c r="O69" s="73"/>
      <c r="P69" s="8"/>
      <c r="Q69" s="69"/>
      <c r="R69" s="69"/>
      <c r="S69" s="8"/>
      <c r="T69" s="69"/>
      <c r="U69" s="8"/>
      <c r="V69" s="69"/>
      <c r="W69" s="74"/>
      <c r="X69" s="69"/>
    </row>
    <row r="70">
      <c r="A70" s="30" t="str">
        <f>IFERROR(__xludf.DUMMYFUNCTION("""COMPUTED_VALUE"""),"24442")</f>
        <v>24442</v>
      </c>
      <c r="B70" s="86">
        <f>IFERROR(__xludf.DUMMYFUNCTION("""COMPUTED_VALUE"""),44634.0)</f>
        <v>44634</v>
      </c>
      <c r="C70" s="64" t="str">
        <f>IFERROR(__xludf.DUMMYFUNCTION("""COMPUTED_VALUE"""),"Stock")</f>
        <v>Stock</v>
      </c>
      <c r="D70" s="87" t="str">
        <f>IFERROR(__xludf.DUMMYFUNCTION("""COMPUTED_VALUE"""),"XLE")</f>
        <v>XLE</v>
      </c>
      <c r="E70" s="5" t="str">
        <f>IFERROR(__xludf.DUMMYFUNCTION("""COMPUTED_VALUE"""),"USD")</f>
        <v>USD</v>
      </c>
      <c r="F70" s="69">
        <f>IFERROR(__xludf.DUMMYFUNCTION("""COMPUTED_VALUE"""),19.0)</f>
        <v>19</v>
      </c>
      <c r="G70" s="70">
        <f>IFERROR(__xludf.DUMMYFUNCTION("""COMPUTED_VALUE"""),7.83915)</f>
        <v>7.83915</v>
      </c>
      <c r="H70" s="71">
        <f>IFERROR(__xludf.DUMMYFUNCTION("""COMPUTED_VALUE"""),74.55)</f>
        <v>74.55</v>
      </c>
      <c r="I70" s="71">
        <f>IFERROR(__xludf.DUMMYFUNCTION("""COMPUTED_VALUE"""),79.6)</f>
        <v>79.6</v>
      </c>
      <c r="J70" s="88" t="str">
        <f>IFERROR(__xludf.DUMMYFUNCTION("""COMPUTED_VALUE"""),"Goto link: XLE")</f>
        <v>Goto link: XLE</v>
      </c>
      <c r="K70" s="22"/>
      <c r="L70" s="22"/>
      <c r="M70" s="22"/>
      <c r="N70" s="22"/>
      <c r="O70" s="73"/>
      <c r="P70" s="8"/>
      <c r="Q70" s="69"/>
      <c r="R70" s="69"/>
      <c r="S70" s="8"/>
      <c r="T70" s="69"/>
      <c r="U70" s="8"/>
      <c r="V70" s="69"/>
      <c r="W70" s="74"/>
      <c r="X70" s="69"/>
    </row>
    <row r="71">
      <c r="A71" s="30" t="str">
        <f>IFERROR(__xludf.DUMMYFUNCTION("""COMPUTED_VALUE"""),"24442")</f>
        <v>24442</v>
      </c>
      <c r="B71" s="86">
        <f>IFERROR(__xludf.DUMMYFUNCTION("""COMPUTED_VALUE"""),44634.0)</f>
        <v>44634</v>
      </c>
      <c r="C71" s="64" t="str">
        <f>IFERROR(__xludf.DUMMYFUNCTION("""COMPUTED_VALUE"""),"Stock")</f>
        <v>Stock</v>
      </c>
      <c r="D71" s="87" t="str">
        <f>IFERROR(__xludf.DUMMYFUNCTION("""COMPUTED_VALUE"""),"XLF")</f>
        <v>XLF</v>
      </c>
      <c r="E71" s="5" t="str">
        <f>IFERROR(__xludf.DUMMYFUNCTION("""COMPUTED_VALUE"""),"USD")</f>
        <v>USD</v>
      </c>
      <c r="F71" s="69">
        <f>IFERROR(__xludf.DUMMYFUNCTION("""COMPUTED_VALUE"""),70.0)</f>
        <v>70</v>
      </c>
      <c r="G71" s="70">
        <f>IFERROR(__xludf.DUMMYFUNCTION("""COMPUTED_VALUE"""),7.83915)</f>
        <v>7.83915</v>
      </c>
      <c r="H71" s="71">
        <f>IFERROR(__xludf.DUMMYFUNCTION("""COMPUTED_VALUE"""),36.86)</f>
        <v>36.86</v>
      </c>
      <c r="I71" s="71">
        <f>IFERROR(__xludf.DUMMYFUNCTION("""COMPUTED_VALUE"""),37.29)</f>
        <v>37.29</v>
      </c>
      <c r="J71" s="88" t="str">
        <f>IFERROR(__xludf.DUMMYFUNCTION("""COMPUTED_VALUE"""),"Goto link: XLF")</f>
        <v>Goto link: XLF</v>
      </c>
      <c r="K71" s="22"/>
      <c r="L71" s="22"/>
      <c r="M71" s="22"/>
      <c r="N71" s="22"/>
      <c r="O71" s="73"/>
      <c r="P71" s="8"/>
      <c r="Q71" s="69"/>
      <c r="R71" s="69"/>
      <c r="S71" s="8"/>
      <c r="T71" s="69"/>
      <c r="U71" s="8"/>
      <c r="V71" s="69"/>
      <c r="W71" s="74"/>
      <c r="X71" s="69"/>
    </row>
    <row r="72">
      <c r="A72" s="30" t="str">
        <f>IFERROR(__xludf.DUMMYFUNCTION("""COMPUTED_VALUE"""),"24442")</f>
        <v>24442</v>
      </c>
      <c r="B72" s="86">
        <f>IFERROR(__xludf.DUMMYFUNCTION("""COMPUTED_VALUE"""),44634.0)</f>
        <v>44634</v>
      </c>
      <c r="C72" s="64" t="str">
        <f>IFERROR(__xludf.DUMMYFUNCTION("""COMPUTED_VALUE"""),"Stock")</f>
        <v>Stock</v>
      </c>
      <c r="D72" s="87" t="str">
        <f>IFERROR(__xludf.DUMMYFUNCTION("""COMPUTED_VALUE"""),"XLI")</f>
        <v>XLI</v>
      </c>
      <c r="E72" s="5" t="str">
        <f>IFERROR(__xludf.DUMMYFUNCTION("""COMPUTED_VALUE"""),"USD")</f>
        <v>USD</v>
      </c>
      <c r="F72" s="69">
        <f>IFERROR(__xludf.DUMMYFUNCTION("""COMPUTED_VALUE"""),59.0)</f>
        <v>59</v>
      </c>
      <c r="G72" s="70">
        <f>IFERROR(__xludf.DUMMYFUNCTION("""COMPUTED_VALUE"""),7.83915)</f>
        <v>7.83915</v>
      </c>
      <c r="H72" s="71">
        <f>IFERROR(__xludf.DUMMYFUNCTION("""COMPUTED_VALUE"""),98.27)</f>
        <v>98.27</v>
      </c>
      <c r="I72" s="71">
        <f>IFERROR(__xludf.DUMMYFUNCTION("""COMPUTED_VALUE"""),100.07)</f>
        <v>100.07</v>
      </c>
      <c r="J72" s="88" t="str">
        <f>IFERROR(__xludf.DUMMYFUNCTION("""COMPUTED_VALUE"""),"Goto link: XLI")</f>
        <v>Goto link: XLI</v>
      </c>
      <c r="K72" s="22"/>
      <c r="L72" s="22"/>
      <c r="M72" s="22"/>
      <c r="N72" s="22"/>
      <c r="O72" s="73"/>
      <c r="P72" s="8"/>
      <c r="Q72" s="69"/>
      <c r="R72" s="69"/>
      <c r="S72" s="8"/>
      <c r="T72" s="69"/>
      <c r="U72" s="8"/>
      <c r="V72" s="69"/>
      <c r="W72" s="74"/>
      <c r="X72" s="69"/>
    </row>
    <row r="73">
      <c r="A73" s="30" t="str">
        <f>IFERROR(__xludf.DUMMYFUNCTION("""COMPUTED_VALUE"""),"24442")</f>
        <v>24442</v>
      </c>
      <c r="B73" s="86">
        <f>IFERROR(__xludf.DUMMYFUNCTION("""COMPUTED_VALUE"""),44634.0)</f>
        <v>44634</v>
      </c>
      <c r="C73" s="64" t="str">
        <f>IFERROR(__xludf.DUMMYFUNCTION("""COMPUTED_VALUE"""),"Stock")</f>
        <v>Stock</v>
      </c>
      <c r="D73" s="87" t="str">
        <f>IFERROR(__xludf.DUMMYFUNCTION("""COMPUTED_VALUE"""),"XLK")</f>
        <v>XLK</v>
      </c>
      <c r="E73" s="5" t="str">
        <f>IFERROR(__xludf.DUMMYFUNCTION("""COMPUTED_VALUE"""),"USD")</f>
        <v>USD</v>
      </c>
      <c r="F73" s="69">
        <f>IFERROR(__xludf.DUMMYFUNCTION("""COMPUTED_VALUE"""),39.0)</f>
        <v>39</v>
      </c>
      <c r="G73" s="70">
        <f>IFERROR(__xludf.DUMMYFUNCTION("""COMPUTED_VALUE"""),7.83915)</f>
        <v>7.83915</v>
      </c>
      <c r="H73" s="71">
        <f>IFERROR(__xludf.DUMMYFUNCTION("""COMPUTED_VALUE"""),141.39)</f>
        <v>141.39</v>
      </c>
      <c r="I73" s="71">
        <f>IFERROR(__xludf.DUMMYFUNCTION("""COMPUTED_VALUE"""),150.27)</f>
        <v>150.27</v>
      </c>
      <c r="J73" s="88" t="str">
        <f>IFERROR(__xludf.DUMMYFUNCTION("""COMPUTED_VALUE"""),"Goto link: XLK")</f>
        <v>Goto link: XLK</v>
      </c>
      <c r="K73" s="22"/>
      <c r="L73" s="22"/>
      <c r="M73" s="22"/>
      <c r="N73" s="22"/>
      <c r="O73" s="73"/>
      <c r="P73" s="8"/>
      <c r="Q73" s="69"/>
      <c r="R73" s="69"/>
      <c r="S73" s="8"/>
      <c r="T73" s="69"/>
      <c r="U73" s="8"/>
      <c r="V73" s="69"/>
      <c r="W73" s="74"/>
      <c r="X73" s="69"/>
    </row>
    <row r="74">
      <c r="A74" s="30" t="str">
        <f>IFERROR(__xludf.DUMMYFUNCTION("""COMPUTED_VALUE"""),"24442")</f>
        <v>24442</v>
      </c>
      <c r="B74" s="86">
        <f>IFERROR(__xludf.DUMMYFUNCTION("""COMPUTED_VALUE"""),44634.0)</f>
        <v>44634</v>
      </c>
      <c r="C74" s="64" t="str">
        <f>IFERROR(__xludf.DUMMYFUNCTION("""COMPUTED_VALUE"""),"Stock")</f>
        <v>Stock</v>
      </c>
      <c r="D74" s="87" t="str">
        <f>IFERROR(__xludf.DUMMYFUNCTION("""COMPUTED_VALUE"""),"XLP")</f>
        <v>XLP</v>
      </c>
      <c r="E74" s="5" t="str">
        <f>IFERROR(__xludf.DUMMYFUNCTION("""COMPUTED_VALUE"""),"USD")</f>
        <v>USD</v>
      </c>
      <c r="F74" s="69">
        <f>IFERROR(__xludf.DUMMYFUNCTION("""COMPUTED_VALUE"""),190.0)</f>
        <v>190</v>
      </c>
      <c r="G74" s="70">
        <f>IFERROR(__xludf.DUMMYFUNCTION("""COMPUTED_VALUE"""),7.83915)</f>
        <v>7.83915</v>
      </c>
      <c r="H74" s="71">
        <f>IFERROR(__xludf.DUMMYFUNCTION("""COMPUTED_VALUE"""),71.82)</f>
        <v>71.82</v>
      </c>
      <c r="I74" s="71">
        <f>IFERROR(__xludf.DUMMYFUNCTION("""COMPUTED_VALUE"""),78.86)</f>
        <v>78.86</v>
      </c>
      <c r="J74" s="88" t="str">
        <f>IFERROR(__xludf.DUMMYFUNCTION("""COMPUTED_VALUE"""),"Goto link: XLP")</f>
        <v>Goto link: XLP</v>
      </c>
      <c r="K74" s="22"/>
      <c r="L74" s="22"/>
      <c r="M74" s="22"/>
      <c r="N74" s="22"/>
      <c r="O74" s="73"/>
      <c r="P74" s="8"/>
      <c r="Q74" s="69"/>
      <c r="R74" s="69"/>
      <c r="S74" s="8"/>
      <c r="T74" s="69"/>
      <c r="U74" s="8"/>
      <c r="V74" s="69"/>
      <c r="W74" s="74"/>
      <c r="X74" s="69"/>
    </row>
    <row r="75">
      <c r="A75" s="30" t="str">
        <f>IFERROR(__xludf.DUMMYFUNCTION("""COMPUTED_VALUE"""),"24442")</f>
        <v>24442</v>
      </c>
      <c r="B75" s="86">
        <f>IFERROR(__xludf.DUMMYFUNCTION("""COMPUTED_VALUE"""),44634.0)</f>
        <v>44634</v>
      </c>
      <c r="C75" s="64" t="str">
        <f>IFERROR(__xludf.DUMMYFUNCTION("""COMPUTED_VALUE"""),"Stock")</f>
        <v>Stock</v>
      </c>
      <c r="D75" s="87" t="str">
        <f>IFERROR(__xludf.DUMMYFUNCTION("""COMPUTED_VALUE"""),"XLRE")</f>
        <v>XLRE</v>
      </c>
      <c r="E75" s="5" t="str">
        <f>IFERROR(__xludf.DUMMYFUNCTION("""COMPUTED_VALUE"""),"USD")</f>
        <v>USD</v>
      </c>
      <c r="F75" s="69">
        <f>IFERROR(__xludf.DUMMYFUNCTION("""COMPUTED_VALUE"""),159.0)</f>
        <v>159</v>
      </c>
      <c r="G75" s="70">
        <f>IFERROR(__xludf.DUMMYFUNCTION("""COMPUTED_VALUE"""),7.83915)</f>
        <v>7.83915</v>
      </c>
      <c r="H75" s="71">
        <f>IFERROR(__xludf.DUMMYFUNCTION("""COMPUTED_VALUE"""),45.59)</f>
        <v>45.59</v>
      </c>
      <c r="I75" s="71">
        <f>IFERROR(__xludf.DUMMYFUNCTION("""COMPUTED_VALUE"""),49.04)</f>
        <v>49.04</v>
      </c>
      <c r="J75" s="88" t="str">
        <f>IFERROR(__xludf.DUMMYFUNCTION("""COMPUTED_VALUE"""),"Goto link: XLRE")</f>
        <v>Goto link: XLRE</v>
      </c>
      <c r="K75" s="22"/>
      <c r="L75" s="22"/>
      <c r="M75" s="22"/>
      <c r="N75" s="22"/>
      <c r="O75" s="73"/>
      <c r="P75" s="8"/>
      <c r="Q75" s="69"/>
      <c r="R75" s="69"/>
      <c r="S75" s="8"/>
      <c r="T75" s="69"/>
      <c r="U75" s="8"/>
      <c r="V75" s="69"/>
      <c r="W75" s="74"/>
      <c r="X75" s="69"/>
    </row>
    <row r="76">
      <c r="A76" s="30" t="str">
        <f>IFERROR(__xludf.DUMMYFUNCTION("""COMPUTED_VALUE"""),"24442")</f>
        <v>24442</v>
      </c>
      <c r="B76" s="86">
        <f>IFERROR(__xludf.DUMMYFUNCTION("""COMPUTED_VALUE"""),44634.0)</f>
        <v>44634</v>
      </c>
      <c r="C76" s="64" t="str">
        <f>IFERROR(__xludf.DUMMYFUNCTION("""COMPUTED_VALUE"""),"Stock")</f>
        <v>Stock</v>
      </c>
      <c r="D76" s="87" t="str">
        <f>IFERROR(__xludf.DUMMYFUNCTION("""COMPUTED_VALUE"""),"XLU")</f>
        <v>XLU</v>
      </c>
      <c r="E76" s="5" t="str">
        <f>IFERROR(__xludf.DUMMYFUNCTION("""COMPUTED_VALUE"""),"USD")</f>
        <v>USD</v>
      </c>
      <c r="F76" s="69">
        <f>IFERROR(__xludf.DUMMYFUNCTION("""COMPUTED_VALUE"""),112.0)</f>
        <v>112</v>
      </c>
      <c r="G76" s="70">
        <f>IFERROR(__xludf.DUMMYFUNCTION("""COMPUTED_VALUE"""),7.83915)</f>
        <v>7.83915</v>
      </c>
      <c r="H76" s="71">
        <f>IFERROR(__xludf.DUMMYFUNCTION("""COMPUTED_VALUE"""),70.35)</f>
        <v>70.35</v>
      </c>
      <c r="I76" s="71">
        <f>IFERROR(__xludf.DUMMYFUNCTION("""COMPUTED_VALUE"""),76.08)</f>
        <v>76.08</v>
      </c>
      <c r="J76" s="88" t="str">
        <f>IFERROR(__xludf.DUMMYFUNCTION("""COMPUTED_VALUE"""),"Goto link: XLU")</f>
        <v>Goto link: XLU</v>
      </c>
      <c r="K76" s="22"/>
      <c r="L76" s="22"/>
      <c r="M76" s="22"/>
      <c r="N76" s="22"/>
      <c r="O76" s="73"/>
      <c r="P76" s="8"/>
      <c r="Q76" s="69"/>
      <c r="R76" s="69"/>
      <c r="S76" s="8"/>
      <c r="T76" s="69"/>
      <c r="U76" s="8"/>
      <c r="V76" s="69"/>
      <c r="W76" s="74"/>
      <c r="X76" s="69"/>
    </row>
    <row r="77">
      <c r="A77" s="30" t="str">
        <f>IFERROR(__xludf.DUMMYFUNCTION("""COMPUTED_VALUE"""),"24442")</f>
        <v>24442</v>
      </c>
      <c r="B77" s="86">
        <f>IFERROR(__xludf.DUMMYFUNCTION("""COMPUTED_VALUE"""),44634.0)</f>
        <v>44634</v>
      </c>
      <c r="C77" s="64" t="str">
        <f>IFERROR(__xludf.DUMMYFUNCTION("""COMPUTED_VALUE"""),"Stock")</f>
        <v>Stock</v>
      </c>
      <c r="D77" s="87" t="str">
        <f>IFERROR(__xludf.DUMMYFUNCTION("""COMPUTED_VALUE"""),"XLV")</f>
        <v>XLV</v>
      </c>
      <c r="E77" s="5" t="str">
        <f>IFERROR(__xludf.DUMMYFUNCTION("""COMPUTED_VALUE"""),"USD")</f>
        <v>USD</v>
      </c>
      <c r="F77" s="69">
        <f>IFERROR(__xludf.DUMMYFUNCTION("""COMPUTED_VALUE"""),48.0)</f>
        <v>48</v>
      </c>
      <c r="G77" s="70">
        <f>IFERROR(__xludf.DUMMYFUNCTION("""COMPUTED_VALUE"""),7.83915)</f>
        <v>7.83915</v>
      </c>
      <c r="H77" s="71">
        <f>IFERROR(__xludf.DUMMYFUNCTION("""COMPUTED_VALUE"""),129.85)</f>
        <v>129.85</v>
      </c>
      <c r="I77" s="71">
        <f>IFERROR(__xludf.DUMMYFUNCTION("""COMPUTED_VALUE"""),139.31)</f>
        <v>139.31</v>
      </c>
      <c r="J77" s="88" t="str">
        <f>IFERROR(__xludf.DUMMYFUNCTION("""COMPUTED_VALUE"""),"Goto link: XLV")</f>
        <v>Goto link: XLV</v>
      </c>
      <c r="K77" s="22"/>
      <c r="L77" s="22"/>
      <c r="M77" s="22"/>
      <c r="N77" s="22"/>
      <c r="O77" s="73"/>
      <c r="P77" s="8"/>
      <c r="Q77" s="69"/>
      <c r="R77" s="69"/>
      <c r="S77" s="8"/>
      <c r="T77" s="69"/>
      <c r="U77" s="8"/>
      <c r="V77" s="69"/>
      <c r="W77" s="74"/>
      <c r="X77" s="69"/>
    </row>
    <row r="78">
      <c r="A78" s="30" t="str">
        <f>IFERROR(__xludf.DUMMYFUNCTION("""COMPUTED_VALUE"""),"24442")</f>
        <v>24442</v>
      </c>
      <c r="B78" s="86">
        <f>IFERROR(__xludf.DUMMYFUNCTION("""COMPUTED_VALUE"""),44634.0)</f>
        <v>44634</v>
      </c>
      <c r="C78" s="64" t="str">
        <f>IFERROR(__xludf.DUMMYFUNCTION("""COMPUTED_VALUE"""),"Stock")</f>
        <v>Stock</v>
      </c>
      <c r="D78" s="87" t="str">
        <f>IFERROR(__xludf.DUMMYFUNCTION("""COMPUTED_VALUE"""),"XLY")</f>
        <v>XLY</v>
      </c>
      <c r="E78" s="5" t="str">
        <f>IFERROR(__xludf.DUMMYFUNCTION("""COMPUTED_VALUE"""),"USD")</f>
        <v>USD</v>
      </c>
      <c r="F78" s="69">
        <f>IFERROR(__xludf.DUMMYFUNCTION("""COMPUTED_VALUE"""),26.0)</f>
        <v>26</v>
      </c>
      <c r="G78" s="70">
        <f>IFERROR(__xludf.DUMMYFUNCTION("""COMPUTED_VALUE"""),7.83915)</f>
        <v>7.83915</v>
      </c>
      <c r="H78" s="71">
        <f>IFERROR(__xludf.DUMMYFUNCTION("""COMPUTED_VALUE"""),163.94)</f>
        <v>163.94</v>
      </c>
      <c r="I78" s="71">
        <f>IFERROR(__xludf.DUMMYFUNCTION("""COMPUTED_VALUE"""),180.95)</f>
        <v>180.95</v>
      </c>
      <c r="J78" s="88" t="str">
        <f>IFERROR(__xludf.DUMMYFUNCTION("""COMPUTED_VALUE"""),"Goto link: XLY")</f>
        <v>Goto link: XLY</v>
      </c>
      <c r="K78" s="22"/>
      <c r="L78" s="22"/>
      <c r="M78" s="22"/>
      <c r="N78" s="22"/>
      <c r="O78" s="73"/>
      <c r="P78" s="8"/>
      <c r="Q78" s="69"/>
      <c r="R78" s="69"/>
      <c r="S78" s="8"/>
      <c r="T78" s="69"/>
      <c r="U78" s="8"/>
      <c r="V78" s="69"/>
      <c r="W78" s="74"/>
      <c r="X78" s="69"/>
    </row>
    <row r="79">
      <c r="A79" s="30" t="str">
        <f>IFERROR(__xludf.DUMMYFUNCTION("""COMPUTED_VALUE"""),"24442 Total")</f>
        <v>24442 Total</v>
      </c>
      <c r="B79" s="5"/>
      <c r="C79" s="64"/>
      <c r="D79" s="85"/>
      <c r="E79" s="5"/>
      <c r="F79" s="69"/>
      <c r="G79" s="70">
        <f>IFERROR(__xludf.DUMMYFUNCTION("""COMPUTED_VALUE"""),6.922156628375002)</f>
        <v>6.922156628</v>
      </c>
      <c r="H79" s="71">
        <f>IFERROR(__xludf.DUMMYFUNCTION("""COMPUTED_VALUE"""),72100.0)</f>
        <v>72100</v>
      </c>
      <c r="I79" s="71" t="str">
        <f>IFERROR(__xludf.DUMMYFUNCTION("""COMPUTED_VALUE"""),"")</f>
        <v/>
      </c>
      <c r="J79" s="22" t="str">
        <f>IFERROR(__xludf.DUMMYFUNCTION("""COMPUTED_VALUE"""),"")</f>
        <v/>
      </c>
      <c r="K79" s="22"/>
      <c r="L79" s="22"/>
      <c r="M79" s="22"/>
      <c r="N79" s="22"/>
      <c r="O79" s="73"/>
      <c r="P79" s="8"/>
      <c r="Q79" s="69"/>
      <c r="R79" s="69"/>
      <c r="S79" s="8"/>
      <c r="T79" s="69"/>
      <c r="U79" s="8"/>
      <c r="V79" s="69"/>
      <c r="W79" s="74"/>
      <c r="X79" s="69"/>
    </row>
    <row r="80">
      <c r="A80" s="30" t="str">
        <f>IFERROR(__xludf.DUMMYFUNCTION("""COMPUTED_VALUE"""),"32312")</f>
        <v>32312</v>
      </c>
      <c r="B80" s="86">
        <f>IFERROR(__xludf.DUMMYFUNCTION("""COMPUTED_VALUE"""),44597.0)</f>
        <v>44597</v>
      </c>
      <c r="C80" s="64" t="str">
        <f>IFERROR(__xludf.DUMMYFUNCTION("""COMPUTED_VALUE"""),"Cash")</f>
        <v>Cash</v>
      </c>
      <c r="D80" s="85" t="str">
        <f>IFERROR(__xludf.DUMMYFUNCTION("""COMPUTED_VALUE"""),"Cash")</f>
        <v>Cash</v>
      </c>
      <c r="E80" s="5" t="str">
        <f>IFERROR(__xludf.DUMMYFUNCTION("""COMPUTED_VALUE"""),"HKD")</f>
        <v>HKD</v>
      </c>
      <c r="F80" s="69" t="str">
        <f>IFERROR(__xludf.DUMMYFUNCTION("""COMPUTED_VALUE"""),"")</f>
        <v/>
      </c>
      <c r="G80" s="70">
        <f>IFERROR(__xludf.DUMMYFUNCTION("""COMPUTED_VALUE"""),1.0)</f>
        <v>1</v>
      </c>
      <c r="H80" s="71">
        <f>IFERROR(__xludf.DUMMYFUNCTION("""COMPUTED_VALUE"""),1.0)</f>
        <v>1</v>
      </c>
      <c r="I80" s="71">
        <f>IFERROR(__xludf.DUMMYFUNCTION("""COMPUTED_VALUE"""),1.0)</f>
        <v>1</v>
      </c>
      <c r="J80" s="22" t="str">
        <f>IFERROR(__xludf.DUMMYFUNCTION("""COMPUTED_VALUE"""),"")</f>
        <v/>
      </c>
      <c r="K80" s="22"/>
      <c r="L80" s="22"/>
      <c r="M80" s="22"/>
      <c r="N80" s="22"/>
      <c r="O80" s="73"/>
      <c r="P80" s="8"/>
      <c r="Q80" s="69"/>
      <c r="R80" s="69"/>
      <c r="S80" s="8"/>
      <c r="T80" s="69"/>
      <c r="U80" s="8"/>
      <c r="V80" s="69"/>
      <c r="W80" s="74"/>
      <c r="X80" s="69"/>
    </row>
    <row r="81">
      <c r="A81" s="30" t="str">
        <f>IFERROR(__xludf.DUMMYFUNCTION("""COMPUTED_VALUE"""),"32312")</f>
        <v>32312</v>
      </c>
      <c r="B81" s="86">
        <f>IFERROR(__xludf.DUMMYFUNCTION("""COMPUTED_VALUE"""),44608.0)</f>
        <v>44608</v>
      </c>
      <c r="C81" s="64" t="str">
        <f>IFERROR(__xludf.DUMMYFUNCTION("""COMPUTED_VALUE"""),"Stock")</f>
        <v>Stock</v>
      </c>
      <c r="D81" s="87" t="str">
        <f>IFERROR(__xludf.DUMMYFUNCTION("""COMPUTED_VALUE"""),"TSLA")</f>
        <v>TSLA</v>
      </c>
      <c r="E81" s="5" t="str">
        <f>IFERROR(__xludf.DUMMYFUNCTION("""COMPUTED_VALUE"""),"USD")</f>
        <v>USD</v>
      </c>
      <c r="F81" s="69">
        <f>IFERROR(__xludf.DUMMYFUNCTION("""COMPUTED_VALUE"""),0.0)</f>
        <v>0</v>
      </c>
      <c r="G81" s="70">
        <f>IFERROR(__xludf.DUMMYFUNCTION("""COMPUTED_VALUE"""),7.83915)</f>
        <v>7.83915</v>
      </c>
      <c r="H81" s="71">
        <f>IFERROR(__xludf.DUMMYFUNCTION("""COMPUTED_VALUE"""),0.0)</f>
        <v>0</v>
      </c>
      <c r="I81" s="71">
        <f>IFERROR(__xludf.DUMMYFUNCTION("""COMPUTED_VALUE"""),1022.37)</f>
        <v>1022.37</v>
      </c>
      <c r="J81" s="88" t="str">
        <f>IFERROR(__xludf.DUMMYFUNCTION("""COMPUTED_VALUE"""),"Goto link: TSLA")</f>
        <v>Goto link: TSLA</v>
      </c>
      <c r="K81" s="22"/>
      <c r="L81" s="22"/>
      <c r="M81" s="22"/>
      <c r="N81" s="22"/>
      <c r="O81" s="73"/>
      <c r="P81" s="8"/>
      <c r="Q81" s="69"/>
      <c r="R81" s="69"/>
      <c r="S81" s="8"/>
      <c r="T81" s="69"/>
      <c r="U81" s="8"/>
      <c r="V81" s="69"/>
      <c r="W81" s="74"/>
      <c r="X81" s="69"/>
    </row>
    <row r="82">
      <c r="A82" s="30" t="str">
        <f>IFERROR(__xludf.DUMMYFUNCTION("""COMPUTED_VALUE"""),"32312")</f>
        <v>32312</v>
      </c>
      <c r="B82" s="86">
        <f>IFERROR(__xludf.DUMMYFUNCTION("""COMPUTED_VALUE"""),44609.0)</f>
        <v>44609</v>
      </c>
      <c r="C82" s="64" t="str">
        <f>IFERROR(__xludf.DUMMYFUNCTION("""COMPUTED_VALUE"""),"Stock")</f>
        <v>Stock</v>
      </c>
      <c r="D82" s="87" t="str">
        <f>IFERROR(__xludf.DUMMYFUNCTION("""COMPUTED_VALUE"""),"TSLA")</f>
        <v>TSLA</v>
      </c>
      <c r="E82" s="5" t="str">
        <f>IFERROR(__xludf.DUMMYFUNCTION("""COMPUTED_VALUE"""),"USD")</f>
        <v>USD</v>
      </c>
      <c r="F82" s="69">
        <f>IFERROR(__xludf.DUMMYFUNCTION("""COMPUTED_VALUE"""),18.0)</f>
        <v>18</v>
      </c>
      <c r="G82" s="70">
        <f>IFERROR(__xludf.DUMMYFUNCTION("""COMPUTED_VALUE"""),7.83915)</f>
        <v>7.83915</v>
      </c>
      <c r="H82" s="71">
        <f>IFERROR(__xludf.DUMMYFUNCTION("""COMPUTED_VALUE"""),876.35)</f>
        <v>876.35</v>
      </c>
      <c r="I82" s="71">
        <f>IFERROR(__xludf.DUMMYFUNCTION("""COMPUTED_VALUE"""),1022.37)</f>
        <v>1022.37</v>
      </c>
      <c r="J82" s="88" t="str">
        <f>IFERROR(__xludf.DUMMYFUNCTION("""COMPUTED_VALUE"""),"Goto link: TSLA")</f>
        <v>Goto link: TSLA</v>
      </c>
      <c r="K82" s="22"/>
      <c r="L82" s="22"/>
      <c r="M82" s="22"/>
      <c r="N82" s="22"/>
      <c r="O82" s="73"/>
      <c r="P82" s="8"/>
      <c r="Q82" s="69"/>
      <c r="R82" s="69"/>
      <c r="S82" s="8"/>
      <c r="T82" s="69"/>
      <c r="U82" s="8"/>
      <c r="V82" s="69"/>
      <c r="W82" s="74"/>
      <c r="X82" s="69"/>
    </row>
    <row r="83">
      <c r="A83" s="30" t="str">
        <f>IFERROR(__xludf.DUMMYFUNCTION("""COMPUTED_VALUE"""),"32312")</f>
        <v>32312</v>
      </c>
      <c r="B83" s="86">
        <f>IFERROR(__xludf.DUMMYFUNCTION("""COMPUTED_VALUE"""),44610.0)</f>
        <v>44610</v>
      </c>
      <c r="C83" s="64" t="str">
        <f>IFERROR(__xludf.DUMMYFUNCTION("""COMPUTED_VALUE"""),"Stock")</f>
        <v>Stock</v>
      </c>
      <c r="D83" s="87" t="str">
        <f>IFERROR(__xludf.DUMMYFUNCTION("""COMPUTED_VALUE"""),"ANPDY")</f>
        <v>ANPDY</v>
      </c>
      <c r="E83" s="5" t="str">
        <f>IFERROR(__xludf.DUMMYFUNCTION("""COMPUTED_VALUE"""),"USD")</f>
        <v>USD</v>
      </c>
      <c r="F83" s="69">
        <f>IFERROR(__xludf.DUMMYFUNCTION("""COMPUTED_VALUE"""),30.0)</f>
        <v>30</v>
      </c>
      <c r="G83" s="70">
        <f>IFERROR(__xludf.DUMMYFUNCTION("""COMPUTED_VALUE"""),7.83915)</f>
        <v>7.83915</v>
      </c>
      <c r="H83" s="71">
        <f>IFERROR(__xludf.DUMMYFUNCTION("""COMPUTED_VALUE"""),397.5)</f>
        <v>397.5</v>
      </c>
      <c r="I83" s="71">
        <f>IFERROR(__xludf.DUMMYFUNCTION("""COMPUTED_VALUE"""),288.61)</f>
        <v>288.61</v>
      </c>
      <c r="J83" s="88" t="str">
        <f>IFERROR(__xludf.DUMMYFUNCTION("""COMPUTED_VALUE"""),"Goto link: ANPDY")</f>
        <v>Goto link: ANPDY</v>
      </c>
      <c r="K83" s="22"/>
      <c r="L83" s="22"/>
      <c r="M83" s="22"/>
      <c r="N83" s="22"/>
      <c r="O83" s="73"/>
      <c r="P83" s="8"/>
      <c r="Q83" s="69"/>
      <c r="R83" s="69"/>
      <c r="S83" s="8"/>
      <c r="T83" s="69"/>
      <c r="U83" s="8"/>
      <c r="V83" s="69"/>
      <c r="W83" s="74"/>
      <c r="X83" s="69"/>
    </row>
    <row r="84">
      <c r="A84" s="30" t="str">
        <f>IFERROR(__xludf.DUMMYFUNCTION("""COMPUTED_VALUE"""),"32312")</f>
        <v>32312</v>
      </c>
      <c r="B84" s="86">
        <f>IFERROR(__xludf.DUMMYFUNCTION("""COMPUTED_VALUE"""),44616.0)</f>
        <v>44616</v>
      </c>
      <c r="C84" s="64" t="str">
        <f>IFERROR(__xludf.DUMMYFUNCTION("""COMPUTED_VALUE"""),"Stock")</f>
        <v>Stock</v>
      </c>
      <c r="D84" s="87" t="str">
        <f>IFERROR(__xludf.DUMMYFUNCTION("""COMPUTED_VALUE"""),"GOLD")</f>
        <v>GOLD</v>
      </c>
      <c r="E84" s="5" t="str">
        <f>IFERROR(__xludf.DUMMYFUNCTION("""COMPUTED_VALUE"""),"USD")</f>
        <v>USD</v>
      </c>
      <c r="F84" s="69">
        <f>IFERROR(__xludf.DUMMYFUNCTION("""COMPUTED_VALUE"""),888.0)</f>
        <v>888</v>
      </c>
      <c r="G84" s="70">
        <f>IFERROR(__xludf.DUMMYFUNCTION("""COMPUTED_VALUE"""),7.83915)</f>
        <v>7.83915</v>
      </c>
      <c r="H84" s="71">
        <f>IFERROR(__xludf.DUMMYFUNCTION("""COMPUTED_VALUE"""),22.54)</f>
        <v>22.54</v>
      </c>
      <c r="I84" s="71">
        <f>IFERROR(__xludf.DUMMYFUNCTION("""COMPUTED_VALUE"""),25.62)</f>
        <v>25.62</v>
      </c>
      <c r="J84" s="88" t="str">
        <f>IFERROR(__xludf.DUMMYFUNCTION("""COMPUTED_VALUE"""),"Goto link: GOLD")</f>
        <v>Goto link: GOLD</v>
      </c>
      <c r="K84" s="22"/>
      <c r="L84" s="22"/>
      <c r="M84" s="22"/>
      <c r="N84" s="22"/>
      <c r="O84" s="73"/>
      <c r="P84" s="8"/>
      <c r="Q84" s="69"/>
      <c r="R84" s="69"/>
      <c r="S84" s="8"/>
      <c r="T84" s="69"/>
      <c r="U84" s="8"/>
      <c r="V84" s="69"/>
      <c r="W84" s="74"/>
      <c r="X84" s="69"/>
    </row>
    <row r="85">
      <c r="A85" s="30" t="str">
        <f>IFERROR(__xludf.DUMMYFUNCTION("""COMPUTED_VALUE"""),"32312")</f>
        <v>32312</v>
      </c>
      <c r="B85" s="86">
        <f>IFERROR(__xludf.DUMMYFUNCTION("""COMPUTED_VALUE"""),44623.0)</f>
        <v>44623</v>
      </c>
      <c r="C85" s="64" t="str">
        <f>IFERROR(__xludf.DUMMYFUNCTION("""COMPUTED_VALUE"""),"Stock")</f>
        <v>Stock</v>
      </c>
      <c r="D85" s="87" t="str">
        <f>IFERROR(__xludf.DUMMYFUNCTION("""COMPUTED_VALUE"""),"GOLD")</f>
        <v>GOLD</v>
      </c>
      <c r="E85" s="5" t="str">
        <f>IFERROR(__xludf.DUMMYFUNCTION("""COMPUTED_VALUE"""),"USD")</f>
        <v>USD</v>
      </c>
      <c r="F85" s="69">
        <f>IFERROR(__xludf.DUMMYFUNCTION("""COMPUTED_VALUE"""),-388.0)</f>
        <v>-388</v>
      </c>
      <c r="G85" s="70">
        <f>IFERROR(__xludf.DUMMYFUNCTION("""COMPUTED_VALUE"""),7.83915)</f>
        <v>7.83915</v>
      </c>
      <c r="H85" s="71">
        <f>IFERROR(__xludf.DUMMYFUNCTION("""COMPUTED_VALUE"""),23.57)</f>
        <v>23.57</v>
      </c>
      <c r="I85" s="71">
        <f>IFERROR(__xludf.DUMMYFUNCTION("""COMPUTED_VALUE"""),25.62)</f>
        <v>25.62</v>
      </c>
      <c r="J85" s="88" t="str">
        <f>IFERROR(__xludf.DUMMYFUNCTION("""COMPUTED_VALUE"""),"Goto link: GOLD")</f>
        <v>Goto link: GOLD</v>
      </c>
      <c r="K85" s="22"/>
      <c r="L85" s="22"/>
      <c r="M85" s="22"/>
      <c r="N85" s="22"/>
      <c r="O85" s="73"/>
      <c r="P85" s="8"/>
      <c r="Q85" s="69"/>
      <c r="R85" s="69"/>
      <c r="S85" s="8"/>
      <c r="T85" s="69"/>
      <c r="U85" s="8"/>
      <c r="V85" s="69"/>
      <c r="W85" s="74"/>
      <c r="X85" s="69"/>
    </row>
    <row r="86">
      <c r="A86" s="30" t="str">
        <f>IFERROR(__xludf.DUMMYFUNCTION("""COMPUTED_VALUE"""),"32312")</f>
        <v>32312</v>
      </c>
      <c r="B86" s="86">
        <f>IFERROR(__xludf.DUMMYFUNCTION("""COMPUTED_VALUE"""),44624.0)</f>
        <v>44624</v>
      </c>
      <c r="C86" s="64" t="str">
        <f>IFERROR(__xludf.DUMMYFUNCTION("""COMPUTED_VALUE"""),"Stock")</f>
        <v>Stock</v>
      </c>
      <c r="D86" s="87" t="str">
        <f>IFERROR(__xludf.DUMMYFUNCTION("""COMPUTED_VALUE"""),"TSLA")</f>
        <v>TSLA</v>
      </c>
      <c r="E86" s="5" t="str">
        <f>IFERROR(__xludf.DUMMYFUNCTION("""COMPUTED_VALUE"""),"USD")</f>
        <v>USD</v>
      </c>
      <c r="F86" s="69">
        <f>IFERROR(__xludf.DUMMYFUNCTION("""COMPUTED_VALUE"""),18.0)</f>
        <v>18</v>
      </c>
      <c r="G86" s="70">
        <f>IFERROR(__xludf.DUMMYFUNCTION("""COMPUTED_VALUE"""),7.83915)</f>
        <v>7.83915</v>
      </c>
      <c r="H86" s="71">
        <f>IFERROR(__xludf.DUMMYFUNCTION("""COMPUTED_VALUE"""),838.29)</f>
        <v>838.29</v>
      </c>
      <c r="I86" s="71">
        <f>IFERROR(__xludf.DUMMYFUNCTION("""COMPUTED_VALUE"""),1022.37)</f>
        <v>1022.37</v>
      </c>
      <c r="J86" s="88" t="str">
        <f>IFERROR(__xludf.DUMMYFUNCTION("""COMPUTED_VALUE"""),"Goto link: TSLA")</f>
        <v>Goto link: TSLA</v>
      </c>
      <c r="K86" s="22"/>
      <c r="L86" s="22"/>
      <c r="M86" s="22"/>
      <c r="N86" s="22"/>
      <c r="O86" s="73"/>
      <c r="P86" s="8"/>
      <c r="Q86" s="69"/>
      <c r="R86" s="69"/>
      <c r="S86" s="8"/>
      <c r="T86" s="69"/>
      <c r="U86" s="8"/>
      <c r="V86" s="69"/>
      <c r="W86" s="74"/>
      <c r="X86" s="69"/>
    </row>
    <row r="87">
      <c r="A87" s="30" t="str">
        <f>IFERROR(__xludf.DUMMYFUNCTION("""COMPUTED_VALUE"""),"32312")</f>
        <v>32312</v>
      </c>
      <c r="B87" s="86">
        <f>IFERROR(__xludf.DUMMYFUNCTION("""COMPUTED_VALUE"""),44629.0)</f>
        <v>44629</v>
      </c>
      <c r="C87" s="64" t="str">
        <f>IFERROR(__xludf.DUMMYFUNCTION("""COMPUTED_VALUE"""),"Stock")</f>
        <v>Stock</v>
      </c>
      <c r="D87" s="87" t="str">
        <f>IFERROR(__xludf.DUMMYFUNCTION("""COMPUTED_VALUE"""),"ANPDY")</f>
        <v>ANPDY</v>
      </c>
      <c r="E87" s="5" t="str">
        <f>IFERROR(__xludf.DUMMYFUNCTION("""COMPUTED_VALUE"""),"USD")</f>
        <v>USD</v>
      </c>
      <c r="F87" s="69">
        <f>IFERROR(__xludf.DUMMYFUNCTION("""COMPUTED_VALUE"""),-30.0)</f>
        <v>-30</v>
      </c>
      <c r="G87" s="70">
        <f>IFERROR(__xludf.DUMMYFUNCTION("""COMPUTED_VALUE"""),7.83915)</f>
        <v>7.83915</v>
      </c>
      <c r="H87" s="71">
        <f>IFERROR(__xludf.DUMMYFUNCTION("""COMPUTED_VALUE"""),314.05)</f>
        <v>314.05</v>
      </c>
      <c r="I87" s="71">
        <f>IFERROR(__xludf.DUMMYFUNCTION("""COMPUTED_VALUE"""),288.61)</f>
        <v>288.61</v>
      </c>
      <c r="J87" s="88" t="str">
        <f>IFERROR(__xludf.DUMMYFUNCTION("""COMPUTED_VALUE"""),"Goto link: ANPDY")</f>
        <v>Goto link: ANPDY</v>
      </c>
      <c r="K87" s="22"/>
      <c r="L87" s="22"/>
      <c r="M87" s="22"/>
      <c r="N87" s="22"/>
      <c r="O87" s="73"/>
      <c r="P87" s="8"/>
      <c r="Q87" s="69"/>
      <c r="R87" s="69"/>
      <c r="S87" s="8"/>
      <c r="T87" s="69"/>
      <c r="U87" s="8"/>
      <c r="V87" s="69"/>
      <c r="W87" s="74"/>
      <c r="X87" s="69"/>
    </row>
    <row r="88">
      <c r="A88" s="30" t="str">
        <f>IFERROR(__xludf.DUMMYFUNCTION("""COMPUTED_VALUE"""),"32312")</f>
        <v>32312</v>
      </c>
      <c r="B88" s="86">
        <f>IFERROR(__xludf.DUMMYFUNCTION("""COMPUTED_VALUE"""),44641.0)</f>
        <v>44641</v>
      </c>
      <c r="C88" s="64" t="str">
        <f>IFERROR(__xludf.DUMMYFUNCTION("""COMPUTED_VALUE"""),"Stock")</f>
        <v>Stock</v>
      </c>
      <c r="D88" s="87" t="str">
        <f>IFERROR(__xludf.DUMMYFUNCTION("""COMPUTED_VALUE"""),"TSLA")</f>
        <v>TSLA</v>
      </c>
      <c r="E88" s="5" t="str">
        <f>IFERROR(__xludf.DUMMYFUNCTION("""COMPUTED_VALUE"""),"USD")</f>
        <v>USD</v>
      </c>
      <c r="F88" s="69">
        <f>IFERROR(__xludf.DUMMYFUNCTION("""COMPUTED_VALUE"""),-36.0)</f>
        <v>-36</v>
      </c>
      <c r="G88" s="70">
        <f>IFERROR(__xludf.DUMMYFUNCTION("""COMPUTED_VALUE"""),7.83915)</f>
        <v>7.83915</v>
      </c>
      <c r="H88" s="71">
        <f>IFERROR(__xludf.DUMMYFUNCTION("""COMPUTED_VALUE"""),921.16)</f>
        <v>921.16</v>
      </c>
      <c r="I88" s="71">
        <f>IFERROR(__xludf.DUMMYFUNCTION("""COMPUTED_VALUE"""),1022.37)</f>
        <v>1022.37</v>
      </c>
      <c r="J88" s="88" t="str">
        <f>IFERROR(__xludf.DUMMYFUNCTION("""COMPUTED_VALUE"""),"Goto link: TSLA")</f>
        <v>Goto link: TSLA</v>
      </c>
      <c r="K88" s="22"/>
      <c r="L88" s="22"/>
      <c r="M88" s="22"/>
      <c r="N88" s="22"/>
      <c r="O88" s="73"/>
      <c r="P88" s="8"/>
      <c r="Q88" s="69"/>
      <c r="R88" s="69"/>
      <c r="S88" s="8"/>
      <c r="T88" s="69"/>
      <c r="U88" s="8"/>
      <c r="V88" s="69"/>
      <c r="W88" s="74"/>
      <c r="X88" s="69"/>
    </row>
    <row r="89">
      <c r="A89" s="30" t="str">
        <f>IFERROR(__xludf.DUMMYFUNCTION("""COMPUTED_VALUE"""),"32312")</f>
        <v>32312</v>
      </c>
      <c r="B89" s="86">
        <f>IFERROR(__xludf.DUMMYFUNCTION("""COMPUTED_VALUE"""),44645.0)</f>
        <v>44645</v>
      </c>
      <c r="C89" s="64" t="str">
        <f>IFERROR(__xludf.DUMMYFUNCTION("""COMPUTED_VALUE"""),"Stock")</f>
        <v>Stock</v>
      </c>
      <c r="D89" s="87" t="str">
        <f>IFERROR(__xludf.DUMMYFUNCTION("""COMPUTED_VALUE"""),"GOLD")</f>
        <v>GOLD</v>
      </c>
      <c r="E89" s="5" t="str">
        <f>IFERROR(__xludf.DUMMYFUNCTION("""COMPUTED_VALUE"""),"USD")</f>
        <v>USD</v>
      </c>
      <c r="F89" s="69">
        <f>IFERROR(__xludf.DUMMYFUNCTION("""COMPUTED_VALUE"""),-500.0)</f>
        <v>-500</v>
      </c>
      <c r="G89" s="70">
        <f>IFERROR(__xludf.DUMMYFUNCTION("""COMPUTED_VALUE"""),7.83915)</f>
        <v>7.83915</v>
      </c>
      <c r="H89" s="71">
        <f>IFERROR(__xludf.DUMMYFUNCTION("""COMPUTED_VALUE"""),24.54)</f>
        <v>24.54</v>
      </c>
      <c r="I89" s="71">
        <f>IFERROR(__xludf.DUMMYFUNCTION("""COMPUTED_VALUE"""),25.62)</f>
        <v>25.62</v>
      </c>
      <c r="J89" s="88" t="str">
        <f>IFERROR(__xludf.DUMMYFUNCTION("""COMPUTED_VALUE"""),"Goto link: GOLD")</f>
        <v>Goto link: GOLD</v>
      </c>
      <c r="K89" s="22"/>
      <c r="L89" s="22"/>
      <c r="M89" s="22"/>
      <c r="N89" s="22"/>
      <c r="O89" s="73"/>
      <c r="P89" s="8"/>
      <c r="Q89" s="69"/>
      <c r="R89" s="69"/>
      <c r="S89" s="8"/>
      <c r="T89" s="69"/>
      <c r="U89" s="8"/>
      <c r="V89" s="69"/>
      <c r="W89" s="74"/>
      <c r="X89" s="69"/>
    </row>
    <row r="90">
      <c r="A90" s="30" t="str">
        <f>IFERROR(__xludf.DUMMYFUNCTION("""COMPUTED_VALUE"""),"32312 Total")</f>
        <v>32312 Total</v>
      </c>
      <c r="B90" s="5"/>
      <c r="C90" s="64"/>
      <c r="D90" s="85"/>
      <c r="E90" s="5"/>
      <c r="F90" s="69"/>
      <c r="G90" s="70">
        <f>IFERROR(__xludf.DUMMYFUNCTION("""COMPUTED_VALUE"""),7.155235000000002)</f>
        <v>7.155235</v>
      </c>
      <c r="H90" s="71">
        <f>IFERROR(__xludf.DUMMYFUNCTION("""COMPUTED_VALUE"""),921.16)</f>
        <v>921.16</v>
      </c>
      <c r="I90" s="71" t="str">
        <f>IFERROR(__xludf.DUMMYFUNCTION("""COMPUTED_VALUE"""),"")</f>
        <v/>
      </c>
      <c r="J90" s="22" t="str">
        <f>IFERROR(__xludf.DUMMYFUNCTION("""COMPUTED_VALUE"""),"")</f>
        <v/>
      </c>
      <c r="K90" s="22"/>
      <c r="L90" s="22"/>
      <c r="M90" s="22"/>
      <c r="N90" s="22"/>
      <c r="O90" s="73"/>
      <c r="P90" s="8"/>
      <c r="Q90" s="69"/>
      <c r="R90" s="69"/>
      <c r="S90" s="8"/>
      <c r="T90" s="69"/>
      <c r="U90" s="8"/>
      <c r="V90" s="69"/>
      <c r="W90" s="74"/>
      <c r="X90" s="69"/>
    </row>
    <row r="91">
      <c r="A91" s="30" t="str">
        <f>IFERROR(__xludf.DUMMYFUNCTION("""COMPUTED_VALUE"""),"32582")</f>
        <v>32582</v>
      </c>
      <c r="B91" s="86">
        <f>IFERROR(__xludf.DUMMYFUNCTION("""COMPUTED_VALUE"""),44597.0)</f>
        <v>44597</v>
      </c>
      <c r="C91" s="64" t="str">
        <f>IFERROR(__xludf.DUMMYFUNCTION("""COMPUTED_VALUE"""),"Cash")</f>
        <v>Cash</v>
      </c>
      <c r="D91" s="85" t="str">
        <f>IFERROR(__xludf.DUMMYFUNCTION("""COMPUTED_VALUE"""),"Cash")</f>
        <v>Cash</v>
      </c>
      <c r="E91" s="5" t="str">
        <f>IFERROR(__xludf.DUMMYFUNCTION("""COMPUTED_VALUE"""),"HKD")</f>
        <v>HKD</v>
      </c>
      <c r="F91" s="69" t="str">
        <f>IFERROR(__xludf.DUMMYFUNCTION("""COMPUTED_VALUE"""),"")</f>
        <v/>
      </c>
      <c r="G91" s="70">
        <f>IFERROR(__xludf.DUMMYFUNCTION("""COMPUTED_VALUE"""),1.0)</f>
        <v>1</v>
      </c>
      <c r="H91" s="71">
        <f>IFERROR(__xludf.DUMMYFUNCTION("""COMPUTED_VALUE"""),1.0)</f>
        <v>1</v>
      </c>
      <c r="I91" s="71">
        <f>IFERROR(__xludf.DUMMYFUNCTION("""COMPUTED_VALUE"""),1.0)</f>
        <v>1</v>
      </c>
      <c r="J91" s="22" t="str">
        <f>IFERROR(__xludf.DUMMYFUNCTION("""COMPUTED_VALUE"""),"")</f>
        <v/>
      </c>
      <c r="K91" s="22"/>
      <c r="L91" s="22"/>
      <c r="M91" s="22"/>
      <c r="N91" s="22"/>
      <c r="O91" s="73"/>
      <c r="P91" s="8"/>
      <c r="Q91" s="69"/>
      <c r="R91" s="69"/>
      <c r="S91" s="8"/>
      <c r="T91" s="69"/>
      <c r="U91" s="8"/>
      <c r="V91" s="69"/>
      <c r="W91" s="74"/>
      <c r="X91" s="69"/>
    </row>
    <row r="92">
      <c r="A92" s="30" t="str">
        <f>IFERROR(__xludf.DUMMYFUNCTION("""COMPUTED_VALUE"""),"32582 Total")</f>
        <v>32582 Total</v>
      </c>
      <c r="B92" s="5"/>
      <c r="C92" s="64"/>
      <c r="D92" s="85"/>
      <c r="E92" s="5"/>
      <c r="F92" s="69"/>
      <c r="G92" s="70">
        <f>IFERROR(__xludf.DUMMYFUNCTION("""COMPUTED_VALUE"""),1.0)</f>
        <v>1</v>
      </c>
      <c r="H92" s="71">
        <f>IFERROR(__xludf.DUMMYFUNCTION("""COMPUTED_VALUE"""),1.0)</f>
        <v>1</v>
      </c>
      <c r="I92" s="71" t="str">
        <f>IFERROR(__xludf.DUMMYFUNCTION("""COMPUTED_VALUE"""),"")</f>
        <v/>
      </c>
      <c r="J92" s="22" t="str">
        <f>IFERROR(__xludf.DUMMYFUNCTION("""COMPUTED_VALUE"""),"")</f>
        <v/>
      </c>
      <c r="K92" s="22"/>
      <c r="L92" s="22"/>
      <c r="M92" s="22"/>
      <c r="N92" s="22"/>
      <c r="O92" s="73"/>
      <c r="P92" s="8"/>
      <c r="Q92" s="69"/>
      <c r="R92" s="69"/>
      <c r="S92" s="8"/>
      <c r="T92" s="69"/>
      <c r="U92" s="8"/>
      <c r="V92" s="69"/>
      <c r="W92" s="74"/>
      <c r="X92" s="69"/>
    </row>
    <row r="93">
      <c r="A93" s="30" t="str">
        <f>IFERROR(__xludf.DUMMYFUNCTION("""COMPUTED_VALUE"""),"33050")</f>
        <v>33050</v>
      </c>
      <c r="B93" s="86">
        <f>IFERROR(__xludf.DUMMYFUNCTION("""COMPUTED_VALUE"""),44597.0)</f>
        <v>44597</v>
      </c>
      <c r="C93" s="64" t="str">
        <f>IFERROR(__xludf.DUMMYFUNCTION("""COMPUTED_VALUE"""),"Cash")</f>
        <v>Cash</v>
      </c>
      <c r="D93" s="85" t="str">
        <f>IFERROR(__xludf.DUMMYFUNCTION("""COMPUTED_VALUE"""),"Cash")</f>
        <v>Cash</v>
      </c>
      <c r="E93" s="5" t="str">
        <f>IFERROR(__xludf.DUMMYFUNCTION("""COMPUTED_VALUE"""),"HKD")</f>
        <v>HKD</v>
      </c>
      <c r="F93" s="69" t="str">
        <f>IFERROR(__xludf.DUMMYFUNCTION("""COMPUTED_VALUE"""),"")</f>
        <v/>
      </c>
      <c r="G93" s="70">
        <f>IFERROR(__xludf.DUMMYFUNCTION("""COMPUTED_VALUE"""),1.0)</f>
        <v>1</v>
      </c>
      <c r="H93" s="71">
        <f>IFERROR(__xludf.DUMMYFUNCTION("""COMPUTED_VALUE"""),1.0)</f>
        <v>1</v>
      </c>
      <c r="I93" s="71">
        <f>IFERROR(__xludf.DUMMYFUNCTION("""COMPUTED_VALUE"""),1.0)</f>
        <v>1</v>
      </c>
      <c r="J93" s="22" t="str">
        <f>IFERROR(__xludf.DUMMYFUNCTION("""COMPUTED_VALUE"""),"")</f>
        <v/>
      </c>
      <c r="K93" s="22"/>
      <c r="L93" s="22"/>
      <c r="M93" s="22"/>
      <c r="N93" s="22"/>
      <c r="O93" s="73"/>
      <c r="P93" s="8"/>
      <c r="Q93" s="69"/>
      <c r="R93" s="69"/>
      <c r="S93" s="8"/>
      <c r="T93" s="69"/>
      <c r="U93" s="8"/>
      <c r="V93" s="69"/>
      <c r="W93" s="74"/>
      <c r="X93" s="69"/>
    </row>
    <row r="94">
      <c r="A94" s="30" t="str">
        <f>IFERROR(__xludf.DUMMYFUNCTION("""COMPUTED_VALUE"""),"33050")</f>
        <v>33050</v>
      </c>
      <c r="B94" s="86">
        <f>IFERROR(__xludf.DUMMYFUNCTION("""COMPUTED_VALUE"""),44663.0)</f>
        <v>44663</v>
      </c>
      <c r="C94" s="64" t="str">
        <f>IFERROR(__xludf.DUMMYFUNCTION("""COMPUTED_VALUE"""),"Stock")</f>
        <v>Stock</v>
      </c>
      <c r="D94" s="85" t="str">
        <f>IFERROR(__xludf.DUMMYFUNCTION("""COMPUTED_VALUE"""),"BABA")</f>
        <v>BABA</v>
      </c>
      <c r="E94" s="5" t="str">
        <f>IFERROR(__xludf.DUMMYFUNCTION("""COMPUTED_VALUE"""),"USD")</f>
        <v>USD</v>
      </c>
      <c r="F94" s="69" t="str">
        <f>IFERROR(__xludf.DUMMYFUNCTION("""COMPUTED_VALUE"""),"")</f>
        <v/>
      </c>
      <c r="G94" s="70">
        <f>IFERROR(__xludf.DUMMYFUNCTION("""COMPUTED_VALUE"""),7.83915)</f>
        <v>7.83915</v>
      </c>
      <c r="H94" s="71">
        <f>IFERROR(__xludf.DUMMYFUNCTION("""COMPUTED_VALUE"""),99.75)</f>
        <v>99.75</v>
      </c>
      <c r="I94" s="71">
        <f>IFERROR(__xludf.DUMMYFUNCTION("""COMPUTED_VALUE"""),100.09)</f>
        <v>100.09</v>
      </c>
      <c r="J94" s="88" t="str">
        <f>IFERROR(__xludf.DUMMYFUNCTION("""COMPUTED_VALUE"""),"Goto link: BABA")</f>
        <v>Goto link: BABA</v>
      </c>
      <c r="K94" s="22"/>
      <c r="L94" s="22"/>
      <c r="M94" s="22"/>
      <c r="N94" s="22"/>
      <c r="O94" s="73"/>
      <c r="P94" s="8"/>
      <c r="Q94" s="69"/>
      <c r="R94" s="69"/>
      <c r="S94" s="8"/>
      <c r="T94" s="69"/>
      <c r="U94" s="8"/>
      <c r="V94" s="69"/>
      <c r="W94" s="74"/>
      <c r="X94" s="69"/>
    </row>
    <row r="95">
      <c r="A95" s="30" t="str">
        <f>IFERROR(__xludf.DUMMYFUNCTION("""COMPUTED_VALUE"""),"33050")</f>
        <v>33050</v>
      </c>
      <c r="B95" s="86">
        <f>IFERROR(__xludf.DUMMYFUNCTION("""COMPUTED_VALUE"""),44663.0)</f>
        <v>44663</v>
      </c>
      <c r="C95" s="64" t="str">
        <f>IFERROR(__xludf.DUMMYFUNCTION("""COMPUTED_VALUE"""),"Stock")</f>
        <v>Stock</v>
      </c>
      <c r="D95" s="85" t="str">
        <f>IFERROR(__xludf.DUMMYFUNCTION("""COMPUTED_VALUE"""),"DIS")</f>
        <v>DIS</v>
      </c>
      <c r="E95" s="5" t="str">
        <f>IFERROR(__xludf.DUMMYFUNCTION("""COMPUTED_VALUE"""),"USD")</f>
        <v>USD</v>
      </c>
      <c r="F95" s="69" t="str">
        <f>IFERROR(__xludf.DUMMYFUNCTION("""COMPUTED_VALUE"""),"")</f>
        <v/>
      </c>
      <c r="G95" s="70">
        <f>IFERROR(__xludf.DUMMYFUNCTION("""COMPUTED_VALUE"""),7.83915)</f>
        <v>7.83915</v>
      </c>
      <c r="H95" s="71">
        <f>IFERROR(__xludf.DUMMYFUNCTION("""COMPUTED_VALUE"""),130.84)</f>
        <v>130.84</v>
      </c>
      <c r="I95" s="71">
        <f>IFERROR(__xludf.DUMMYFUNCTION("""COMPUTED_VALUE"""),132.38)</f>
        <v>132.38</v>
      </c>
      <c r="J95" s="88" t="str">
        <f>IFERROR(__xludf.DUMMYFUNCTION("""COMPUTED_VALUE"""),"Goto link: DIS")</f>
        <v>Goto link: DIS</v>
      </c>
      <c r="K95" s="22"/>
      <c r="L95" s="22"/>
      <c r="M95" s="22"/>
      <c r="N95" s="22"/>
      <c r="O95" s="73"/>
      <c r="P95" s="8"/>
      <c r="Q95" s="69"/>
      <c r="R95" s="69"/>
      <c r="S95" s="8"/>
      <c r="T95" s="69"/>
      <c r="U95" s="8"/>
      <c r="V95" s="69"/>
      <c r="W95" s="74"/>
      <c r="X95" s="69"/>
    </row>
    <row r="96">
      <c r="A96" s="30" t="str">
        <f>IFERROR(__xludf.DUMMYFUNCTION("""COMPUTED_VALUE"""),"33050")</f>
        <v>33050</v>
      </c>
      <c r="B96" s="86">
        <f>IFERROR(__xludf.DUMMYFUNCTION("""COMPUTED_VALUE"""),44663.0)</f>
        <v>44663</v>
      </c>
      <c r="C96" s="64" t="str">
        <f>IFERROR(__xludf.DUMMYFUNCTION("""COMPUTED_VALUE"""),"Stock")</f>
        <v>Stock</v>
      </c>
      <c r="D96" s="85" t="str">
        <f>IFERROR(__xludf.DUMMYFUNCTION("""COMPUTED_VALUE"""),"SONY")</f>
        <v>SONY</v>
      </c>
      <c r="E96" s="5" t="str">
        <f>IFERROR(__xludf.DUMMYFUNCTION("""COMPUTED_VALUE"""),"USD")</f>
        <v>USD</v>
      </c>
      <c r="F96" s="69">
        <f>IFERROR(__xludf.DUMMYFUNCTION("""COMPUTED_VALUE"""),500.0)</f>
        <v>500</v>
      </c>
      <c r="G96" s="70">
        <f>IFERROR(__xludf.DUMMYFUNCTION("""COMPUTED_VALUE"""),7.83915)</f>
        <v>7.83915</v>
      </c>
      <c r="H96" s="71">
        <f>IFERROR(__xludf.DUMMYFUNCTION("""COMPUTED_VALUE"""),90.83)</f>
        <v>90.83</v>
      </c>
      <c r="I96" s="71">
        <f>IFERROR(__xludf.DUMMYFUNCTION("""COMPUTED_VALUE"""),91.79)</f>
        <v>91.79</v>
      </c>
      <c r="J96" s="88" t="str">
        <f>IFERROR(__xludf.DUMMYFUNCTION("""COMPUTED_VALUE"""),"Goto link: SONY")</f>
        <v>Goto link: SONY</v>
      </c>
      <c r="K96" s="22"/>
      <c r="L96" s="22"/>
      <c r="M96" s="22"/>
      <c r="N96" s="22"/>
      <c r="O96" s="73"/>
      <c r="P96" s="8"/>
      <c r="Q96" s="69"/>
      <c r="R96" s="69"/>
      <c r="S96" s="8"/>
      <c r="T96" s="69"/>
      <c r="U96" s="8"/>
      <c r="V96" s="69"/>
      <c r="W96" s="74"/>
      <c r="X96" s="69"/>
    </row>
    <row r="97">
      <c r="A97" s="30" t="str">
        <f>IFERROR(__xludf.DUMMYFUNCTION("""COMPUTED_VALUE"""),"33050")</f>
        <v>33050</v>
      </c>
      <c r="B97" s="86">
        <f>IFERROR(__xludf.DUMMYFUNCTION("""COMPUTED_VALUE"""),44664.0)</f>
        <v>44664</v>
      </c>
      <c r="C97" s="64" t="str">
        <f>IFERROR(__xludf.DUMMYFUNCTION("""COMPUTED_VALUE"""),"Stock")</f>
        <v>Stock</v>
      </c>
      <c r="D97" s="85" t="str">
        <f>IFERROR(__xludf.DUMMYFUNCTION("""COMPUTED_VALUE"""),"AAPL")</f>
        <v>AAPL</v>
      </c>
      <c r="E97" s="5" t="str">
        <f>IFERROR(__xludf.DUMMYFUNCTION("""COMPUTED_VALUE"""),"USD")</f>
        <v>USD</v>
      </c>
      <c r="F97" s="69" t="str">
        <f>IFERROR(__xludf.DUMMYFUNCTION("""COMPUTED_VALUE"""),"")</f>
        <v/>
      </c>
      <c r="G97" s="70">
        <f>IFERROR(__xludf.DUMMYFUNCTION("""COMPUTED_VALUE"""),7.83915)</f>
        <v>7.83915</v>
      </c>
      <c r="H97" s="71">
        <f>IFERROR(__xludf.DUMMYFUNCTION("""COMPUTED_VALUE"""),170.4)</f>
        <v>170.4</v>
      </c>
      <c r="I97" s="71">
        <f>IFERROR(__xludf.DUMMYFUNCTION("""COMPUTED_VALUE"""),170.4)</f>
        <v>170.4</v>
      </c>
      <c r="J97" s="88" t="str">
        <f>IFERROR(__xludf.DUMMYFUNCTION("""COMPUTED_VALUE"""),"Goto link: AAPL")</f>
        <v>Goto link: AAPL</v>
      </c>
      <c r="K97" s="22"/>
      <c r="L97" s="22"/>
      <c r="M97" s="22"/>
      <c r="N97" s="22"/>
      <c r="O97" s="73"/>
      <c r="P97" s="8"/>
      <c r="Q97" s="69"/>
      <c r="R97" s="69"/>
      <c r="S97" s="8"/>
      <c r="T97" s="69"/>
      <c r="U97" s="8"/>
      <c r="V97" s="69"/>
      <c r="W97" s="74"/>
      <c r="X97" s="69"/>
    </row>
    <row r="98">
      <c r="A98" s="30" t="str">
        <f>IFERROR(__xludf.DUMMYFUNCTION("""COMPUTED_VALUE"""),"33050")</f>
        <v>33050</v>
      </c>
      <c r="B98" s="86">
        <f>IFERROR(__xludf.DUMMYFUNCTION("""COMPUTED_VALUE"""),44664.0)</f>
        <v>44664</v>
      </c>
      <c r="C98" s="64" t="str">
        <f>IFERROR(__xludf.DUMMYFUNCTION("""COMPUTED_VALUE"""),"Stock")</f>
        <v>Stock</v>
      </c>
      <c r="D98" s="85" t="str">
        <f>IFERROR(__xludf.DUMMYFUNCTION("""COMPUTED_VALUE"""),"TSLA")</f>
        <v>TSLA</v>
      </c>
      <c r="E98" s="5" t="str">
        <f>IFERROR(__xludf.DUMMYFUNCTION("""COMPUTED_VALUE"""),"USD")</f>
        <v>USD</v>
      </c>
      <c r="F98" s="69" t="str">
        <f>IFERROR(__xludf.DUMMYFUNCTION("""COMPUTED_VALUE"""),"")</f>
        <v/>
      </c>
      <c r="G98" s="70">
        <f>IFERROR(__xludf.DUMMYFUNCTION("""COMPUTED_VALUE"""),7.83915)</f>
        <v>7.83915</v>
      </c>
      <c r="H98" s="71">
        <f>IFERROR(__xludf.DUMMYFUNCTION("""COMPUTED_VALUE"""),1022.37)</f>
        <v>1022.37</v>
      </c>
      <c r="I98" s="71">
        <f>IFERROR(__xludf.DUMMYFUNCTION("""COMPUTED_VALUE"""),1022.37)</f>
        <v>1022.37</v>
      </c>
      <c r="J98" s="88" t="str">
        <f>IFERROR(__xludf.DUMMYFUNCTION("""COMPUTED_VALUE"""),"Goto link: TSLA")</f>
        <v>Goto link: TSLA</v>
      </c>
      <c r="K98" s="22"/>
      <c r="L98" s="22"/>
      <c r="M98" s="22"/>
      <c r="N98" s="22"/>
      <c r="O98" s="73"/>
      <c r="P98" s="8"/>
      <c r="Q98" s="69"/>
      <c r="R98" s="69"/>
      <c r="S98" s="8"/>
      <c r="T98" s="69"/>
      <c r="U98" s="8"/>
      <c r="V98" s="69"/>
      <c r="W98" s="74"/>
      <c r="X98" s="69"/>
    </row>
    <row r="99">
      <c r="A99" s="30" t="str">
        <f>IFERROR(__xludf.DUMMYFUNCTION("""COMPUTED_VALUE"""),"33050 Total")</f>
        <v>33050 Total</v>
      </c>
      <c r="B99" s="5"/>
      <c r="C99" s="64"/>
      <c r="D99" s="85"/>
      <c r="E99" s="5"/>
      <c r="F99" s="69"/>
      <c r="G99" s="70">
        <f>IFERROR(__xludf.DUMMYFUNCTION("""COMPUTED_VALUE"""),6.699291666666667)</f>
        <v>6.699291667</v>
      </c>
      <c r="H99" s="71">
        <f>IFERROR(__xludf.DUMMYFUNCTION("""COMPUTED_VALUE"""),1022.37)</f>
        <v>1022.37</v>
      </c>
      <c r="I99" s="71" t="str">
        <f>IFERROR(__xludf.DUMMYFUNCTION("""COMPUTED_VALUE"""),"")</f>
        <v/>
      </c>
      <c r="J99" s="22" t="str">
        <f>IFERROR(__xludf.DUMMYFUNCTION("""COMPUTED_VALUE"""),"")</f>
        <v/>
      </c>
      <c r="K99" s="22"/>
      <c r="L99" s="22"/>
      <c r="M99" s="22"/>
      <c r="N99" s="22"/>
      <c r="O99" s="73"/>
      <c r="P99" s="8"/>
      <c r="Q99" s="69"/>
      <c r="R99" s="69"/>
      <c r="S99" s="8"/>
      <c r="T99" s="69"/>
      <c r="U99" s="8"/>
      <c r="V99" s="69"/>
      <c r="W99" s="74"/>
      <c r="X99" s="69"/>
    </row>
    <row r="100">
      <c r="A100" s="30" t="str">
        <f>IFERROR(__xludf.DUMMYFUNCTION("""COMPUTED_VALUE"""),"34857")</f>
        <v>34857</v>
      </c>
      <c r="B100" s="86">
        <f>IFERROR(__xludf.DUMMYFUNCTION("""COMPUTED_VALUE"""),44597.0)</f>
        <v>44597</v>
      </c>
      <c r="C100" s="64" t="str">
        <f>IFERROR(__xludf.DUMMYFUNCTION("""COMPUTED_VALUE"""),"Cash")</f>
        <v>Cash</v>
      </c>
      <c r="D100" s="85" t="str">
        <f>IFERROR(__xludf.DUMMYFUNCTION("""COMPUTED_VALUE"""),"Cash")</f>
        <v>Cash</v>
      </c>
      <c r="E100" s="5" t="str">
        <f>IFERROR(__xludf.DUMMYFUNCTION("""COMPUTED_VALUE"""),"HKD")</f>
        <v>HKD</v>
      </c>
      <c r="F100" s="69" t="str">
        <f>IFERROR(__xludf.DUMMYFUNCTION("""COMPUTED_VALUE"""),"")</f>
        <v/>
      </c>
      <c r="G100" s="70">
        <f>IFERROR(__xludf.DUMMYFUNCTION("""COMPUTED_VALUE"""),1.0)</f>
        <v>1</v>
      </c>
      <c r="H100" s="71">
        <f>IFERROR(__xludf.DUMMYFUNCTION("""COMPUTED_VALUE"""),1.0)</f>
        <v>1</v>
      </c>
      <c r="I100" s="71">
        <f>IFERROR(__xludf.DUMMYFUNCTION("""COMPUTED_VALUE"""),1.0)</f>
        <v>1</v>
      </c>
      <c r="J100" s="22" t="str">
        <f>IFERROR(__xludf.DUMMYFUNCTION("""COMPUTED_VALUE"""),"")</f>
        <v/>
      </c>
      <c r="K100" s="22"/>
      <c r="L100" s="22"/>
      <c r="M100" s="22"/>
      <c r="N100" s="22"/>
      <c r="O100" s="73"/>
      <c r="P100" s="8"/>
      <c r="Q100" s="69"/>
      <c r="R100" s="69"/>
      <c r="S100" s="8"/>
      <c r="T100" s="69"/>
      <c r="U100" s="8"/>
      <c r="V100" s="69"/>
      <c r="W100" s="74"/>
      <c r="X100" s="69"/>
    </row>
    <row r="101">
      <c r="A101" s="30" t="str">
        <f>IFERROR(__xludf.DUMMYFUNCTION("""COMPUTED_VALUE"""),"34857 Total")</f>
        <v>34857 Total</v>
      </c>
      <c r="B101" s="5"/>
      <c r="C101" s="64"/>
      <c r="D101" s="85"/>
      <c r="E101" s="5"/>
      <c r="F101" s="69"/>
      <c r="G101" s="70">
        <f>IFERROR(__xludf.DUMMYFUNCTION("""COMPUTED_VALUE"""),1.0)</f>
        <v>1</v>
      </c>
      <c r="H101" s="71">
        <f>IFERROR(__xludf.DUMMYFUNCTION("""COMPUTED_VALUE"""),1.0)</f>
        <v>1</v>
      </c>
      <c r="I101" s="71" t="str">
        <f>IFERROR(__xludf.DUMMYFUNCTION("""COMPUTED_VALUE"""),"")</f>
        <v/>
      </c>
      <c r="J101" s="22" t="str">
        <f>IFERROR(__xludf.DUMMYFUNCTION("""COMPUTED_VALUE"""),"")</f>
        <v/>
      </c>
      <c r="K101" s="22"/>
      <c r="L101" s="22"/>
      <c r="M101" s="22"/>
      <c r="N101" s="22"/>
      <c r="O101" s="73"/>
      <c r="P101" s="8"/>
      <c r="Q101" s="69"/>
      <c r="R101" s="69"/>
      <c r="S101" s="8"/>
      <c r="T101" s="69"/>
      <c r="U101" s="8"/>
      <c r="V101" s="69"/>
      <c r="W101" s="74"/>
      <c r="X101" s="69"/>
    </row>
    <row r="102">
      <c r="A102" s="30" t="str">
        <f>IFERROR(__xludf.DUMMYFUNCTION("""COMPUTED_VALUE"""),"35577")</f>
        <v>35577</v>
      </c>
      <c r="B102" s="86">
        <f>IFERROR(__xludf.DUMMYFUNCTION("""COMPUTED_VALUE"""),44597.0)</f>
        <v>44597</v>
      </c>
      <c r="C102" s="64" t="str">
        <f>IFERROR(__xludf.DUMMYFUNCTION("""COMPUTED_VALUE"""),"Cash")</f>
        <v>Cash</v>
      </c>
      <c r="D102" s="85" t="str">
        <f>IFERROR(__xludf.DUMMYFUNCTION("""COMPUTED_VALUE"""),"Cash")</f>
        <v>Cash</v>
      </c>
      <c r="E102" s="5" t="str">
        <f>IFERROR(__xludf.DUMMYFUNCTION("""COMPUTED_VALUE"""),"HKD")</f>
        <v>HKD</v>
      </c>
      <c r="F102" s="69" t="str">
        <f>IFERROR(__xludf.DUMMYFUNCTION("""COMPUTED_VALUE"""),"")</f>
        <v/>
      </c>
      <c r="G102" s="70">
        <f>IFERROR(__xludf.DUMMYFUNCTION("""COMPUTED_VALUE"""),1.0)</f>
        <v>1</v>
      </c>
      <c r="H102" s="71">
        <f>IFERROR(__xludf.DUMMYFUNCTION("""COMPUTED_VALUE"""),1.0)</f>
        <v>1</v>
      </c>
      <c r="I102" s="71">
        <f>IFERROR(__xludf.DUMMYFUNCTION("""COMPUTED_VALUE"""),1.0)</f>
        <v>1</v>
      </c>
      <c r="J102" s="22" t="str">
        <f>IFERROR(__xludf.DUMMYFUNCTION("""COMPUTED_VALUE"""),"")</f>
        <v/>
      </c>
      <c r="K102" s="22"/>
      <c r="L102" s="22"/>
      <c r="M102" s="22"/>
      <c r="N102" s="22"/>
      <c r="O102" s="73"/>
      <c r="P102" s="8"/>
      <c r="Q102" s="69"/>
      <c r="R102" s="69"/>
      <c r="S102" s="8"/>
      <c r="T102" s="69"/>
      <c r="U102" s="8"/>
      <c r="V102" s="69"/>
      <c r="W102" s="74"/>
      <c r="X102" s="69"/>
    </row>
    <row r="103">
      <c r="A103" s="30" t="str">
        <f>IFERROR(__xludf.DUMMYFUNCTION("""COMPUTED_VALUE"""),"35577")</f>
        <v>35577</v>
      </c>
      <c r="B103" s="86">
        <f>IFERROR(__xludf.DUMMYFUNCTION("""COMPUTED_VALUE"""),44606.0)</f>
        <v>44606</v>
      </c>
      <c r="C103" s="64" t="str">
        <f>IFERROR(__xludf.DUMMYFUNCTION("""COMPUTED_VALUE"""),"Stock")</f>
        <v>Stock</v>
      </c>
      <c r="D103" s="87" t="str">
        <f>IFERROR(__xludf.DUMMYFUNCTION("""COMPUTED_VALUE"""),"VYGLX")</f>
        <v>VYGLX</v>
      </c>
      <c r="E103" s="5" t="str">
        <f>IFERROR(__xludf.DUMMYFUNCTION("""COMPUTED_VALUE"""),"USD")</f>
        <v>USD</v>
      </c>
      <c r="F103" s="69">
        <f>IFERROR(__xludf.DUMMYFUNCTION("""COMPUTED_VALUE"""),300.0)</f>
        <v>300</v>
      </c>
      <c r="G103" s="70">
        <f>IFERROR(__xludf.DUMMYFUNCTION("""COMPUTED_VALUE"""),7.83915)</f>
        <v>7.83915</v>
      </c>
      <c r="H103" s="71">
        <f>IFERROR(__xludf.DUMMYFUNCTION("""COMPUTED_VALUE"""),12.28)</f>
        <v>12.28</v>
      </c>
      <c r="I103" s="71">
        <f>IFERROR(__xludf.DUMMYFUNCTION("""COMPUTED_VALUE"""),11.87)</f>
        <v>11.87</v>
      </c>
      <c r="J103" s="88" t="str">
        <f>IFERROR(__xludf.DUMMYFUNCTION("""COMPUTED_VALUE"""),"Goto link: VYGLX")</f>
        <v>Goto link: VYGLX</v>
      </c>
      <c r="K103" s="22"/>
      <c r="L103" s="22"/>
      <c r="M103" s="22"/>
      <c r="N103" s="22"/>
      <c r="O103" s="73"/>
      <c r="P103" s="8"/>
      <c r="Q103" s="69"/>
      <c r="R103" s="69"/>
      <c r="S103" s="8"/>
      <c r="T103" s="69"/>
      <c r="U103" s="8"/>
      <c r="V103" s="69"/>
      <c r="W103" s="74"/>
      <c r="X103" s="69"/>
    </row>
    <row r="104">
      <c r="A104" s="30" t="str">
        <f>IFERROR(__xludf.DUMMYFUNCTION("""COMPUTED_VALUE"""),"35577")</f>
        <v>35577</v>
      </c>
      <c r="B104" s="86">
        <f>IFERROR(__xludf.DUMMYFUNCTION("""COMPUTED_VALUE"""),44606.0)</f>
        <v>44606</v>
      </c>
      <c r="C104" s="64" t="str">
        <f>IFERROR(__xludf.DUMMYFUNCTION("""COMPUTED_VALUE"""),"Time Deposit")</f>
        <v>Time Deposit</v>
      </c>
      <c r="D104" s="87" t="str">
        <f>IFERROR(__xludf.DUMMYFUNCTION("""COMPUTED_VALUE"""),"1m")</f>
        <v>1m</v>
      </c>
      <c r="E104" s="5" t="str">
        <f>IFERROR(__xludf.DUMMYFUNCTION("""COMPUTED_VALUE"""),"HKD")</f>
        <v>HKD</v>
      </c>
      <c r="F104" s="69">
        <f>IFERROR(__xludf.DUMMYFUNCTION("""COMPUTED_VALUE"""),50000.0)</f>
        <v>50000</v>
      </c>
      <c r="G104" s="70">
        <f>IFERROR(__xludf.DUMMYFUNCTION("""COMPUTED_VALUE"""),1.0)</f>
        <v>1</v>
      </c>
      <c r="H104" s="71">
        <f>IFERROR(__xludf.DUMMYFUNCTION("""COMPUTED_VALUE"""),1.0)</f>
        <v>1</v>
      </c>
      <c r="I104" s="71" t="str">
        <f>IFERROR(__xludf.DUMMYFUNCTION("""COMPUTED_VALUE"""),"#N/A")</f>
        <v>#N/A</v>
      </c>
      <c r="J104" s="22" t="str">
        <f>IFERROR(__xludf.DUMMYFUNCTION("""COMPUTED_VALUE"""),"")</f>
        <v/>
      </c>
      <c r="K104" s="22"/>
      <c r="L104" s="22"/>
      <c r="M104" s="22"/>
      <c r="N104" s="22"/>
      <c r="O104" s="73"/>
      <c r="P104" s="8"/>
      <c r="Q104" s="69"/>
      <c r="R104" s="69"/>
      <c r="S104" s="8"/>
      <c r="T104" s="69"/>
      <c r="U104" s="8"/>
      <c r="V104" s="69"/>
      <c r="W104" s="74"/>
      <c r="X104" s="69"/>
    </row>
    <row r="105">
      <c r="A105" s="30" t="str">
        <f>IFERROR(__xludf.DUMMYFUNCTION("""COMPUTED_VALUE"""),"35577")</f>
        <v>35577</v>
      </c>
      <c r="B105" s="86">
        <f>IFERROR(__xludf.DUMMYFUNCTION("""COMPUTED_VALUE"""),44607.0)</f>
        <v>44607</v>
      </c>
      <c r="C105" s="64" t="str">
        <f>IFERROR(__xludf.DUMMYFUNCTION("""COMPUTED_VALUE"""),"Bond")</f>
        <v>Bond</v>
      </c>
      <c r="D105" s="87" t="str">
        <f>IFERROR(__xludf.DUMMYFUNCTION("""COMPUTED_VALUE"""),"US023135AN60")</f>
        <v>US023135AN60</v>
      </c>
      <c r="E105" s="5" t="str">
        <f>IFERROR(__xludf.DUMMYFUNCTION("""COMPUTED_VALUE"""),"USD")</f>
        <v>USD</v>
      </c>
      <c r="F105" s="69">
        <f>IFERROR(__xludf.DUMMYFUNCTION("""COMPUTED_VALUE"""),3.0)</f>
        <v>3</v>
      </c>
      <c r="G105" s="70">
        <f>IFERROR(__xludf.DUMMYFUNCTION("""COMPUTED_VALUE"""),7.83915)</f>
        <v>7.83915</v>
      </c>
      <c r="H105" s="71">
        <f>IFERROR(__xludf.DUMMYFUNCTION("""COMPUTED_VALUE"""),104.957)</f>
        <v>104.957</v>
      </c>
      <c r="I105" s="71" t="str">
        <f>IFERROR(__xludf.DUMMYFUNCTION("""COMPUTED_VALUE"""),"nil")</f>
        <v>nil</v>
      </c>
      <c r="J105" s="88" t="str">
        <f>IFERROR(__xludf.DUMMYFUNCTION("""COMPUTED_VALUE"""),"Bond Fact Sheet")</f>
        <v>Bond Fact Sheet</v>
      </c>
      <c r="K105" s="22"/>
      <c r="L105" s="22"/>
      <c r="M105" s="22"/>
      <c r="N105" s="22"/>
      <c r="O105" s="73"/>
      <c r="P105" s="8"/>
      <c r="Q105" s="69"/>
      <c r="R105" s="69"/>
      <c r="S105" s="8"/>
      <c r="T105" s="69"/>
      <c r="U105" s="8"/>
      <c r="V105" s="69"/>
      <c r="W105" s="74"/>
      <c r="X105" s="69"/>
    </row>
    <row r="106">
      <c r="A106" s="30" t="str">
        <f>IFERROR(__xludf.DUMMYFUNCTION("""COMPUTED_VALUE"""),"35577")</f>
        <v>35577</v>
      </c>
      <c r="B106" s="86">
        <f>IFERROR(__xludf.DUMMYFUNCTION("""COMPUTED_VALUE"""),44627.0)</f>
        <v>44627</v>
      </c>
      <c r="C106" s="64" t="str">
        <f>IFERROR(__xludf.DUMMYFUNCTION("""COMPUTED_VALUE"""),"Stock")</f>
        <v>Stock</v>
      </c>
      <c r="D106" s="87" t="str">
        <f>IFERROR(__xludf.DUMMYFUNCTION("""COMPUTED_VALUE"""),"AAPL")</f>
        <v>AAPL</v>
      </c>
      <c r="E106" s="5" t="str">
        <f>IFERROR(__xludf.DUMMYFUNCTION("""COMPUTED_VALUE"""),"USD")</f>
        <v>USD</v>
      </c>
      <c r="F106" s="69">
        <f>IFERROR(__xludf.DUMMYFUNCTION("""COMPUTED_VALUE"""),11.0)</f>
        <v>11</v>
      </c>
      <c r="G106" s="70">
        <f>IFERROR(__xludf.DUMMYFUNCTION("""COMPUTED_VALUE"""),7.83915)</f>
        <v>7.83915</v>
      </c>
      <c r="H106" s="71">
        <f>IFERROR(__xludf.DUMMYFUNCTION("""COMPUTED_VALUE"""),159.3)</f>
        <v>159.3</v>
      </c>
      <c r="I106" s="71">
        <f>IFERROR(__xludf.DUMMYFUNCTION("""COMPUTED_VALUE"""),170.4)</f>
        <v>170.4</v>
      </c>
      <c r="J106" s="88" t="str">
        <f>IFERROR(__xludf.DUMMYFUNCTION("""COMPUTED_VALUE"""),"Goto link: AAPL")</f>
        <v>Goto link: AAPL</v>
      </c>
      <c r="K106" s="22"/>
      <c r="L106" s="22"/>
      <c r="M106" s="22"/>
      <c r="N106" s="22"/>
      <c r="O106" s="73"/>
      <c r="P106" s="8"/>
      <c r="Q106" s="69"/>
      <c r="R106" s="69"/>
      <c r="S106" s="8"/>
      <c r="T106" s="69"/>
      <c r="U106" s="8"/>
      <c r="V106" s="69"/>
      <c r="W106" s="74"/>
      <c r="X106" s="69"/>
    </row>
    <row r="107">
      <c r="A107" s="30" t="str">
        <f>IFERROR(__xludf.DUMMYFUNCTION("""COMPUTED_VALUE"""),"35577")</f>
        <v>35577</v>
      </c>
      <c r="B107" s="86">
        <f>IFERROR(__xludf.DUMMYFUNCTION("""COMPUTED_VALUE"""),44627.0)</f>
        <v>44627</v>
      </c>
      <c r="C107" s="64" t="str">
        <f>IFERROR(__xludf.DUMMYFUNCTION("""COMPUTED_VALUE"""),"Stock")</f>
        <v>Stock</v>
      </c>
      <c r="D107" s="87" t="str">
        <f>IFERROR(__xludf.DUMMYFUNCTION("""COMPUTED_VALUE"""),"WMT")</f>
        <v>WMT</v>
      </c>
      <c r="E107" s="5" t="str">
        <f>IFERROR(__xludf.DUMMYFUNCTION("""COMPUTED_VALUE"""),"USD")</f>
        <v>USD</v>
      </c>
      <c r="F107" s="69">
        <f>IFERROR(__xludf.DUMMYFUNCTION("""COMPUTED_VALUE"""),0.0)</f>
        <v>0</v>
      </c>
      <c r="G107" s="70">
        <f>IFERROR(__xludf.DUMMYFUNCTION("""COMPUTED_VALUE"""),7.83915)</f>
        <v>7.83915</v>
      </c>
      <c r="H107" s="71">
        <f>IFERROR(__xludf.DUMMYFUNCTION("""COMPUTED_VALUE"""),0.0)</f>
        <v>0</v>
      </c>
      <c r="I107" s="71">
        <f>IFERROR(__xludf.DUMMYFUNCTION("""COMPUTED_VALUE"""),157.28)</f>
        <v>157.28</v>
      </c>
      <c r="J107" s="88" t="str">
        <f>IFERROR(__xludf.DUMMYFUNCTION("""COMPUTED_VALUE"""),"Goto link: WMT")</f>
        <v>Goto link: WMT</v>
      </c>
      <c r="K107" s="22"/>
      <c r="L107" s="22"/>
      <c r="M107" s="22"/>
      <c r="N107" s="22"/>
      <c r="O107" s="73"/>
      <c r="P107" s="8"/>
      <c r="Q107" s="69"/>
      <c r="R107" s="69"/>
      <c r="S107" s="8"/>
      <c r="T107" s="69"/>
      <c r="U107" s="8"/>
      <c r="V107" s="69"/>
      <c r="W107" s="74"/>
      <c r="X107" s="69"/>
    </row>
    <row r="108">
      <c r="A108" s="30" t="str">
        <f>IFERROR(__xludf.DUMMYFUNCTION("""COMPUTED_VALUE"""),"35577")</f>
        <v>35577</v>
      </c>
      <c r="B108" s="86">
        <f>IFERROR(__xludf.DUMMYFUNCTION("""COMPUTED_VALUE"""),44628.0)</f>
        <v>44628</v>
      </c>
      <c r="C108" s="64" t="str">
        <f>IFERROR(__xludf.DUMMYFUNCTION("""COMPUTED_VALUE"""),"Stock")</f>
        <v>Stock</v>
      </c>
      <c r="D108" s="87" t="str">
        <f>IFERROR(__xludf.DUMMYFUNCTION("""COMPUTED_VALUE"""),"WMT")</f>
        <v>WMT</v>
      </c>
      <c r="E108" s="5" t="str">
        <f>IFERROR(__xludf.DUMMYFUNCTION("""COMPUTED_VALUE"""),"USD")</f>
        <v>USD</v>
      </c>
      <c r="F108" s="69">
        <f>IFERROR(__xludf.DUMMYFUNCTION("""COMPUTED_VALUE"""),13.0)</f>
        <v>13</v>
      </c>
      <c r="G108" s="70">
        <f>IFERROR(__xludf.DUMMYFUNCTION("""COMPUTED_VALUE"""),7.83915)</f>
        <v>7.83915</v>
      </c>
      <c r="H108" s="71">
        <f>IFERROR(__xludf.DUMMYFUNCTION("""COMPUTED_VALUE"""),138.74)</f>
        <v>138.74</v>
      </c>
      <c r="I108" s="71">
        <f>IFERROR(__xludf.DUMMYFUNCTION("""COMPUTED_VALUE"""),157.28)</f>
        <v>157.28</v>
      </c>
      <c r="J108" s="88" t="str">
        <f>IFERROR(__xludf.DUMMYFUNCTION("""COMPUTED_VALUE"""),"Goto link: WMT")</f>
        <v>Goto link: WMT</v>
      </c>
      <c r="K108" s="22"/>
      <c r="L108" s="22"/>
      <c r="M108" s="22"/>
      <c r="N108" s="22"/>
      <c r="O108" s="73"/>
      <c r="P108" s="8"/>
      <c r="Q108" s="69"/>
      <c r="R108" s="69"/>
      <c r="S108" s="8"/>
      <c r="T108" s="69"/>
      <c r="U108" s="8"/>
      <c r="V108" s="69"/>
      <c r="W108" s="74"/>
      <c r="X108" s="69"/>
    </row>
    <row r="109">
      <c r="A109" s="30" t="str">
        <f>IFERROR(__xludf.DUMMYFUNCTION("""COMPUTED_VALUE"""),"35577")</f>
        <v>35577</v>
      </c>
      <c r="B109" s="86">
        <f>IFERROR(__xludf.DUMMYFUNCTION("""COMPUTED_VALUE"""),44642.0)</f>
        <v>44642</v>
      </c>
      <c r="C109" s="64" t="str">
        <f>IFERROR(__xludf.DUMMYFUNCTION("""COMPUTED_VALUE"""),"Stock")</f>
        <v>Stock</v>
      </c>
      <c r="D109" s="87" t="str">
        <f>IFERROR(__xludf.DUMMYFUNCTION("""COMPUTED_VALUE"""),"AAPL")</f>
        <v>AAPL</v>
      </c>
      <c r="E109" s="5" t="str">
        <f>IFERROR(__xludf.DUMMYFUNCTION("""COMPUTED_VALUE"""),"USD")</f>
        <v>USD</v>
      </c>
      <c r="F109" s="69">
        <f>IFERROR(__xludf.DUMMYFUNCTION("""COMPUTED_VALUE"""),0.0)</f>
        <v>0</v>
      </c>
      <c r="G109" s="70">
        <f>IFERROR(__xludf.DUMMYFUNCTION("""COMPUTED_VALUE"""),7.83915)</f>
        <v>7.83915</v>
      </c>
      <c r="H109" s="71">
        <f>IFERROR(__xludf.DUMMYFUNCTION("""COMPUTED_VALUE"""),0.0)</f>
        <v>0</v>
      </c>
      <c r="I109" s="71">
        <f>IFERROR(__xludf.DUMMYFUNCTION("""COMPUTED_VALUE"""),170.4)</f>
        <v>170.4</v>
      </c>
      <c r="J109" s="88" t="str">
        <f>IFERROR(__xludf.DUMMYFUNCTION("""COMPUTED_VALUE"""),"Goto link: AAPL")</f>
        <v>Goto link: AAPL</v>
      </c>
      <c r="K109" s="22"/>
      <c r="L109" s="22"/>
      <c r="M109" s="22"/>
      <c r="N109" s="22"/>
      <c r="O109" s="73"/>
      <c r="P109" s="8"/>
      <c r="Q109" s="69"/>
      <c r="R109" s="69"/>
      <c r="S109" s="8"/>
      <c r="T109" s="69"/>
      <c r="U109" s="8"/>
      <c r="V109" s="69"/>
      <c r="W109" s="74"/>
      <c r="X109" s="69"/>
    </row>
    <row r="110">
      <c r="A110" s="30" t="str">
        <f>IFERROR(__xludf.DUMMYFUNCTION("""COMPUTED_VALUE"""),"35577")</f>
        <v>35577</v>
      </c>
      <c r="B110" s="86">
        <f>IFERROR(__xludf.DUMMYFUNCTION("""COMPUTED_VALUE"""),44644.0)</f>
        <v>44644</v>
      </c>
      <c r="C110" s="64" t="str">
        <f>IFERROR(__xludf.DUMMYFUNCTION("""COMPUTED_VALUE"""),"Stock")</f>
        <v>Stock</v>
      </c>
      <c r="D110" s="87" t="str">
        <f>IFERROR(__xludf.DUMMYFUNCTION("""COMPUTED_VALUE"""),"AAPL")</f>
        <v>AAPL</v>
      </c>
      <c r="E110" s="5" t="str">
        <f>IFERROR(__xludf.DUMMYFUNCTION("""COMPUTED_VALUE"""),"USD")</f>
        <v>USD</v>
      </c>
      <c r="F110" s="69">
        <f>IFERROR(__xludf.DUMMYFUNCTION("""COMPUTED_VALUE"""),-11.0)</f>
        <v>-11</v>
      </c>
      <c r="G110" s="70">
        <f>IFERROR(__xludf.DUMMYFUNCTION("""COMPUTED_VALUE"""),7.83915)</f>
        <v>7.83915</v>
      </c>
      <c r="H110" s="71">
        <f>IFERROR(__xludf.DUMMYFUNCTION("""COMPUTED_VALUE"""),174.07)</f>
        <v>174.07</v>
      </c>
      <c r="I110" s="71">
        <f>IFERROR(__xludf.DUMMYFUNCTION("""COMPUTED_VALUE"""),170.4)</f>
        <v>170.4</v>
      </c>
      <c r="J110" s="88" t="str">
        <f>IFERROR(__xludf.DUMMYFUNCTION("""COMPUTED_VALUE"""),"Goto link: AAPL")</f>
        <v>Goto link: AAPL</v>
      </c>
      <c r="K110" s="22"/>
      <c r="L110" s="22"/>
      <c r="M110" s="22"/>
      <c r="N110" s="22"/>
      <c r="O110" s="73"/>
      <c r="P110" s="8"/>
      <c r="Q110" s="69"/>
      <c r="R110" s="69"/>
      <c r="S110" s="8"/>
      <c r="T110" s="69"/>
      <c r="U110" s="8"/>
      <c r="V110" s="69"/>
      <c r="W110" s="74"/>
      <c r="X110" s="69"/>
    </row>
    <row r="111">
      <c r="A111" s="30" t="str">
        <f>IFERROR(__xludf.DUMMYFUNCTION("""COMPUTED_VALUE"""),"35577")</f>
        <v>35577</v>
      </c>
      <c r="B111" s="86">
        <f>IFERROR(__xludf.DUMMYFUNCTION("""COMPUTED_VALUE"""),44648.0)</f>
        <v>44648</v>
      </c>
      <c r="C111" s="64" t="str">
        <f>IFERROR(__xludf.DUMMYFUNCTION("""COMPUTED_VALUE"""),"Stock")</f>
        <v>Stock</v>
      </c>
      <c r="D111" s="87" t="str">
        <f>IFERROR(__xludf.DUMMYFUNCTION("""COMPUTED_VALUE"""),"ADBE")</f>
        <v>ADBE</v>
      </c>
      <c r="E111" s="5" t="str">
        <f>IFERROR(__xludf.DUMMYFUNCTION("""COMPUTED_VALUE"""),"USD")</f>
        <v>USD</v>
      </c>
      <c r="F111" s="69">
        <f>IFERROR(__xludf.DUMMYFUNCTION("""COMPUTED_VALUE"""),0.0)</f>
        <v>0</v>
      </c>
      <c r="G111" s="70">
        <f>IFERROR(__xludf.DUMMYFUNCTION("""COMPUTED_VALUE"""),7.83915)</f>
        <v>7.83915</v>
      </c>
      <c r="H111" s="71">
        <f>IFERROR(__xludf.DUMMYFUNCTION("""COMPUTED_VALUE"""),0.0)</f>
        <v>0</v>
      </c>
      <c r="I111" s="71">
        <f>IFERROR(__xludf.DUMMYFUNCTION("""COMPUTED_VALUE"""),431.67)</f>
        <v>431.67</v>
      </c>
      <c r="J111" s="88" t="str">
        <f>IFERROR(__xludf.DUMMYFUNCTION("""COMPUTED_VALUE"""),"Goto link: ADBE")</f>
        <v>Goto link: ADBE</v>
      </c>
      <c r="K111" s="22"/>
      <c r="L111" s="22"/>
      <c r="M111" s="22"/>
      <c r="N111" s="22"/>
      <c r="O111" s="73"/>
      <c r="P111" s="8"/>
      <c r="Q111" s="69"/>
      <c r="R111" s="69"/>
      <c r="S111" s="8"/>
      <c r="T111" s="69"/>
      <c r="U111" s="8"/>
      <c r="V111" s="69"/>
      <c r="W111" s="74"/>
      <c r="X111" s="69"/>
    </row>
    <row r="112">
      <c r="A112" s="30" t="str">
        <f>IFERROR(__xludf.DUMMYFUNCTION("""COMPUTED_VALUE"""),"35577")</f>
        <v>35577</v>
      </c>
      <c r="B112" s="86">
        <f>IFERROR(__xludf.DUMMYFUNCTION("""COMPUTED_VALUE"""),44649.0)</f>
        <v>44649</v>
      </c>
      <c r="C112" s="64" t="str">
        <f>IFERROR(__xludf.DUMMYFUNCTION("""COMPUTED_VALUE"""),"Stock")</f>
        <v>Stock</v>
      </c>
      <c r="D112" s="87" t="str">
        <f>IFERROR(__xludf.DUMMYFUNCTION("""COMPUTED_VALUE"""),"ADBE")</f>
        <v>ADBE</v>
      </c>
      <c r="E112" s="5" t="str">
        <f>IFERROR(__xludf.DUMMYFUNCTION("""COMPUTED_VALUE"""),"USD")</f>
        <v>USD</v>
      </c>
      <c r="F112" s="69">
        <f>IFERROR(__xludf.DUMMYFUNCTION("""COMPUTED_VALUE"""),25.0)</f>
        <v>25</v>
      </c>
      <c r="G112" s="70">
        <f>IFERROR(__xludf.DUMMYFUNCTION("""COMPUTED_VALUE"""),7.83915)</f>
        <v>7.83915</v>
      </c>
      <c r="H112" s="71">
        <f>IFERROR(__xludf.DUMMYFUNCTION("""COMPUTED_VALUE"""),466.33)</f>
        <v>466.33</v>
      </c>
      <c r="I112" s="71">
        <f>IFERROR(__xludf.DUMMYFUNCTION("""COMPUTED_VALUE"""),431.67)</f>
        <v>431.67</v>
      </c>
      <c r="J112" s="88" t="str">
        <f>IFERROR(__xludf.DUMMYFUNCTION("""COMPUTED_VALUE"""),"Goto link: ADBE")</f>
        <v>Goto link: ADBE</v>
      </c>
      <c r="K112" s="22"/>
      <c r="L112" s="22"/>
      <c r="M112" s="22"/>
      <c r="N112" s="22"/>
      <c r="O112" s="73"/>
      <c r="P112" s="8"/>
      <c r="Q112" s="69"/>
      <c r="R112" s="69"/>
      <c r="S112" s="8"/>
      <c r="T112" s="69"/>
      <c r="U112" s="8"/>
      <c r="V112" s="69"/>
      <c r="W112" s="74"/>
      <c r="X112" s="69"/>
    </row>
    <row r="113">
      <c r="A113" s="30" t="str">
        <f>IFERROR(__xludf.DUMMYFUNCTION("""COMPUTED_VALUE"""),"35577")</f>
        <v>35577</v>
      </c>
      <c r="B113" s="86">
        <f>IFERROR(__xludf.DUMMYFUNCTION("""COMPUTED_VALUE"""),44649.0)</f>
        <v>44649</v>
      </c>
      <c r="C113" s="64" t="str">
        <f>IFERROR(__xludf.DUMMYFUNCTION("""COMPUTED_VALUE"""),"Stock")</f>
        <v>Stock</v>
      </c>
      <c r="D113" s="87" t="str">
        <f>IFERROR(__xludf.DUMMYFUNCTION("""COMPUTED_VALUE"""),"BAC")</f>
        <v>BAC</v>
      </c>
      <c r="E113" s="5" t="str">
        <f>IFERROR(__xludf.DUMMYFUNCTION("""COMPUTED_VALUE"""),"USD")</f>
        <v>USD</v>
      </c>
      <c r="F113" s="69">
        <f>IFERROR(__xludf.DUMMYFUNCTION("""COMPUTED_VALUE"""),235.0)</f>
        <v>235</v>
      </c>
      <c r="G113" s="70">
        <f>IFERROR(__xludf.DUMMYFUNCTION("""COMPUTED_VALUE"""),7.83915)</f>
        <v>7.83915</v>
      </c>
      <c r="H113" s="71">
        <f>IFERROR(__xludf.DUMMYFUNCTION("""COMPUTED_VALUE"""),43.44)</f>
        <v>43.44</v>
      </c>
      <c r="I113" s="71">
        <f>IFERROR(__xludf.DUMMYFUNCTION("""COMPUTED_VALUE"""),38.85)</f>
        <v>38.85</v>
      </c>
      <c r="J113" s="88" t="str">
        <f>IFERROR(__xludf.DUMMYFUNCTION("""COMPUTED_VALUE"""),"Goto link: BAC")</f>
        <v>Goto link: BAC</v>
      </c>
      <c r="K113" s="22"/>
      <c r="L113" s="22"/>
      <c r="M113" s="22"/>
      <c r="N113" s="22"/>
      <c r="O113" s="73"/>
      <c r="P113" s="8"/>
      <c r="Q113" s="69"/>
      <c r="R113" s="69"/>
      <c r="S113" s="8"/>
      <c r="T113" s="69"/>
      <c r="U113" s="8"/>
      <c r="V113" s="69"/>
      <c r="W113" s="74"/>
      <c r="X113" s="69"/>
    </row>
    <row r="114">
      <c r="A114" s="30" t="str">
        <f>IFERROR(__xludf.DUMMYFUNCTION("""COMPUTED_VALUE"""),"35577")</f>
        <v>35577</v>
      </c>
      <c r="B114" s="86">
        <f>IFERROR(__xludf.DUMMYFUNCTION("""COMPUTED_VALUE"""),44651.0)</f>
        <v>44651</v>
      </c>
      <c r="C114" s="64" t="str">
        <f>IFERROR(__xludf.DUMMYFUNCTION("""COMPUTED_VALUE"""),"Stock")</f>
        <v>Stock</v>
      </c>
      <c r="D114" s="87" t="str">
        <f>IFERROR(__xludf.DUMMYFUNCTION("""COMPUTED_VALUE"""),"DIS")</f>
        <v>DIS</v>
      </c>
      <c r="E114" s="5" t="str">
        <f>IFERROR(__xludf.DUMMYFUNCTION("""COMPUTED_VALUE"""),"USD")</f>
        <v>USD</v>
      </c>
      <c r="F114" s="69">
        <f>IFERROR(__xludf.DUMMYFUNCTION("""COMPUTED_VALUE"""),36.0)</f>
        <v>36</v>
      </c>
      <c r="G114" s="70">
        <f>IFERROR(__xludf.DUMMYFUNCTION("""COMPUTED_VALUE"""),7.83915)</f>
        <v>7.83915</v>
      </c>
      <c r="H114" s="71">
        <f>IFERROR(__xludf.DUMMYFUNCTION("""COMPUTED_VALUE"""),137.16)</f>
        <v>137.16</v>
      </c>
      <c r="I114" s="71">
        <f>IFERROR(__xludf.DUMMYFUNCTION("""COMPUTED_VALUE"""),132.38)</f>
        <v>132.38</v>
      </c>
      <c r="J114" s="88" t="str">
        <f>IFERROR(__xludf.DUMMYFUNCTION("""COMPUTED_VALUE"""),"Goto link: DIS")</f>
        <v>Goto link: DIS</v>
      </c>
      <c r="K114" s="22"/>
      <c r="L114" s="22"/>
      <c r="M114" s="22"/>
      <c r="N114" s="22"/>
      <c r="O114" s="73"/>
      <c r="P114" s="8"/>
      <c r="Q114" s="69"/>
      <c r="R114" s="69"/>
      <c r="S114" s="8"/>
      <c r="T114" s="69"/>
      <c r="U114" s="8"/>
      <c r="V114" s="69"/>
      <c r="W114" s="74"/>
      <c r="X114" s="69"/>
    </row>
    <row r="115">
      <c r="A115" s="30" t="str">
        <f>IFERROR(__xludf.DUMMYFUNCTION("""COMPUTED_VALUE"""),"35577")</f>
        <v>35577</v>
      </c>
      <c r="B115" s="86">
        <f>IFERROR(__xludf.DUMMYFUNCTION("""COMPUTED_VALUE"""),44656.0)</f>
        <v>44656</v>
      </c>
      <c r="C115" s="64" t="str">
        <f>IFERROR(__xludf.DUMMYFUNCTION("""COMPUTED_VALUE"""),"Stock")</f>
        <v>Stock</v>
      </c>
      <c r="D115" s="87" t="str">
        <f>IFERROR(__xludf.DUMMYFUNCTION("""COMPUTED_VALUE"""),"BAC")</f>
        <v>BAC</v>
      </c>
      <c r="E115" s="5" t="str">
        <f>IFERROR(__xludf.DUMMYFUNCTION("""COMPUTED_VALUE"""),"USD")</f>
        <v>USD</v>
      </c>
      <c r="F115" s="69">
        <f>IFERROR(__xludf.DUMMYFUNCTION("""COMPUTED_VALUE"""),80.0)</f>
        <v>80</v>
      </c>
      <c r="G115" s="70">
        <f>IFERROR(__xludf.DUMMYFUNCTION("""COMPUTED_VALUE"""),7.83915)</f>
        <v>7.83915</v>
      </c>
      <c r="H115" s="71">
        <f>IFERROR(__xludf.DUMMYFUNCTION("""COMPUTED_VALUE"""),40.14)</f>
        <v>40.14</v>
      </c>
      <c r="I115" s="71">
        <f>IFERROR(__xludf.DUMMYFUNCTION("""COMPUTED_VALUE"""),38.85)</f>
        <v>38.85</v>
      </c>
      <c r="J115" s="88" t="str">
        <f>IFERROR(__xludf.DUMMYFUNCTION("""COMPUTED_VALUE"""),"Goto link: BAC")</f>
        <v>Goto link: BAC</v>
      </c>
      <c r="K115" s="22"/>
      <c r="L115" s="22"/>
      <c r="M115" s="22"/>
      <c r="N115" s="22"/>
      <c r="O115" s="73"/>
      <c r="P115" s="8"/>
      <c r="Q115" s="69"/>
      <c r="R115" s="69"/>
      <c r="S115" s="8"/>
      <c r="T115" s="69"/>
      <c r="U115" s="8"/>
      <c r="V115" s="69"/>
      <c r="W115" s="74"/>
      <c r="X115" s="69"/>
    </row>
    <row r="116">
      <c r="A116" s="30" t="str">
        <f>IFERROR(__xludf.DUMMYFUNCTION("""COMPUTED_VALUE"""),"35577 Total")</f>
        <v>35577 Total</v>
      </c>
      <c r="B116" s="5"/>
      <c r="C116" s="64"/>
      <c r="D116" s="85"/>
      <c r="E116" s="5"/>
      <c r="F116" s="69"/>
      <c r="G116" s="70">
        <f>IFERROR(__xludf.DUMMYFUNCTION("""COMPUTED_VALUE"""),6.862128571428573)</f>
        <v>6.862128571</v>
      </c>
      <c r="H116" s="71">
        <f>IFERROR(__xludf.DUMMYFUNCTION("""COMPUTED_VALUE"""),466.33)</f>
        <v>466.33</v>
      </c>
      <c r="I116" s="71" t="str">
        <f>IFERROR(__xludf.DUMMYFUNCTION("""COMPUTED_VALUE"""),"")</f>
        <v/>
      </c>
      <c r="J116" s="22" t="str">
        <f>IFERROR(__xludf.DUMMYFUNCTION("""COMPUTED_VALUE"""),"")</f>
        <v/>
      </c>
      <c r="K116" s="22"/>
      <c r="L116" s="22"/>
      <c r="M116" s="22"/>
      <c r="N116" s="22"/>
      <c r="O116" s="73"/>
      <c r="P116" s="8"/>
      <c r="Q116" s="69"/>
      <c r="R116" s="69"/>
      <c r="S116" s="8"/>
      <c r="T116" s="69"/>
      <c r="U116" s="8"/>
      <c r="V116" s="69"/>
      <c r="W116" s="74"/>
      <c r="X116" s="69"/>
    </row>
    <row r="117">
      <c r="A117" s="30" t="str">
        <f>IFERROR(__xludf.DUMMYFUNCTION("""COMPUTED_VALUE"""),"35702")</f>
        <v>35702</v>
      </c>
      <c r="B117" s="86">
        <f>IFERROR(__xludf.DUMMYFUNCTION("""COMPUTED_VALUE"""),44597.0)</f>
        <v>44597</v>
      </c>
      <c r="C117" s="64" t="str">
        <f>IFERROR(__xludf.DUMMYFUNCTION("""COMPUTED_VALUE"""),"Cash")</f>
        <v>Cash</v>
      </c>
      <c r="D117" s="85" t="str">
        <f>IFERROR(__xludf.DUMMYFUNCTION("""COMPUTED_VALUE"""),"Cash")</f>
        <v>Cash</v>
      </c>
      <c r="E117" s="5" t="str">
        <f>IFERROR(__xludf.DUMMYFUNCTION("""COMPUTED_VALUE"""),"HKD")</f>
        <v>HKD</v>
      </c>
      <c r="F117" s="69" t="str">
        <f>IFERROR(__xludf.DUMMYFUNCTION("""COMPUTED_VALUE"""),"")</f>
        <v/>
      </c>
      <c r="G117" s="70">
        <f>IFERROR(__xludf.DUMMYFUNCTION("""COMPUTED_VALUE"""),1.0)</f>
        <v>1</v>
      </c>
      <c r="H117" s="71">
        <f>IFERROR(__xludf.DUMMYFUNCTION("""COMPUTED_VALUE"""),1.0)</f>
        <v>1</v>
      </c>
      <c r="I117" s="71">
        <f>IFERROR(__xludf.DUMMYFUNCTION("""COMPUTED_VALUE"""),1.0)</f>
        <v>1</v>
      </c>
      <c r="J117" s="22" t="str">
        <f>IFERROR(__xludf.DUMMYFUNCTION("""COMPUTED_VALUE"""),"")</f>
        <v/>
      </c>
      <c r="K117" s="22"/>
      <c r="L117" s="22"/>
      <c r="M117" s="22"/>
      <c r="N117" s="22"/>
      <c r="O117" s="73"/>
      <c r="P117" s="8"/>
      <c r="Q117" s="69"/>
      <c r="R117" s="69"/>
      <c r="S117" s="8"/>
      <c r="T117" s="69"/>
      <c r="U117" s="8"/>
      <c r="V117" s="69"/>
      <c r="W117" s="74"/>
      <c r="X117" s="69"/>
    </row>
    <row r="118">
      <c r="A118" s="30" t="str">
        <f>IFERROR(__xludf.DUMMYFUNCTION("""COMPUTED_VALUE"""),"35702")</f>
        <v>35702</v>
      </c>
      <c r="B118" s="86">
        <f>IFERROR(__xludf.DUMMYFUNCTION("""COMPUTED_VALUE"""),44644.0)</f>
        <v>44644</v>
      </c>
      <c r="C118" s="64" t="str">
        <f>IFERROR(__xludf.DUMMYFUNCTION("""COMPUTED_VALUE"""),"Stock")</f>
        <v>Stock</v>
      </c>
      <c r="D118" s="90" t="str">
        <f>IFERROR(__xludf.DUMMYFUNCTION("""COMPUTED_VALUE"""),"0853.HK")</f>
        <v>0853.HK</v>
      </c>
      <c r="E118" s="5" t="str">
        <f>IFERROR(__xludf.DUMMYFUNCTION("""COMPUTED_VALUE"""),"HKD")</f>
        <v>HKD</v>
      </c>
      <c r="F118" s="69">
        <f>IFERROR(__xludf.DUMMYFUNCTION("""COMPUTED_VALUE"""),1000.0)</f>
        <v>1000</v>
      </c>
      <c r="G118" s="70">
        <f>IFERROR(__xludf.DUMMYFUNCTION("""COMPUTED_VALUE"""),1.0)</f>
        <v>1</v>
      </c>
      <c r="H118" s="71">
        <f>IFERROR(__xludf.DUMMYFUNCTION("""COMPUTED_VALUE"""),19.38)</f>
        <v>19.38</v>
      </c>
      <c r="I118" s="71">
        <f>IFERROR(__xludf.DUMMYFUNCTION("""COMPUTED_VALUE"""),15.54)</f>
        <v>15.54</v>
      </c>
      <c r="J118" s="88" t="str">
        <f>IFERROR(__xludf.DUMMYFUNCTION("""COMPUTED_VALUE"""),"Goto link: 0853.HK")</f>
        <v>Goto link: 0853.HK</v>
      </c>
      <c r="K118" s="22"/>
      <c r="L118" s="22"/>
      <c r="M118" s="22"/>
      <c r="N118" s="22"/>
      <c r="O118" s="73"/>
      <c r="P118" s="8"/>
      <c r="Q118" s="69"/>
      <c r="R118" s="69"/>
      <c r="S118" s="8"/>
      <c r="T118" s="69"/>
      <c r="U118" s="8"/>
      <c r="V118" s="69"/>
      <c r="W118" s="74"/>
      <c r="X118" s="69"/>
    </row>
    <row r="119">
      <c r="A119" s="30" t="str">
        <f>IFERROR(__xludf.DUMMYFUNCTION("""COMPUTED_VALUE"""),"35702")</f>
        <v>35702</v>
      </c>
      <c r="B119" s="86">
        <f>IFERROR(__xludf.DUMMYFUNCTION("""COMPUTED_VALUE"""),44644.0)</f>
        <v>44644</v>
      </c>
      <c r="C119" s="64" t="str">
        <f>IFERROR(__xludf.DUMMYFUNCTION("""COMPUTED_VALUE"""),"Stock")</f>
        <v>Stock</v>
      </c>
      <c r="D119" s="87" t="str">
        <f>IFERROR(__xludf.DUMMYFUNCTION("""COMPUTED_VALUE"""),"NIO")</f>
        <v>NIO</v>
      </c>
      <c r="E119" s="5" t="str">
        <f>IFERROR(__xludf.DUMMYFUNCTION("""COMPUTED_VALUE"""),"USD")</f>
        <v>USD</v>
      </c>
      <c r="F119" s="69">
        <f>IFERROR(__xludf.DUMMYFUNCTION("""COMPUTED_VALUE"""),1000.0)</f>
        <v>1000</v>
      </c>
      <c r="G119" s="70">
        <f>IFERROR(__xludf.DUMMYFUNCTION("""COMPUTED_VALUE"""),7.83915)</f>
        <v>7.83915</v>
      </c>
      <c r="H119" s="71">
        <f>IFERROR(__xludf.DUMMYFUNCTION("""COMPUTED_VALUE"""),21.98)</f>
        <v>21.98</v>
      </c>
      <c r="I119" s="71">
        <f>IFERROR(__xludf.DUMMYFUNCTION("""COMPUTED_VALUE"""),20.41)</f>
        <v>20.41</v>
      </c>
      <c r="J119" s="88" t="str">
        <f>IFERROR(__xludf.DUMMYFUNCTION("""COMPUTED_VALUE"""),"Goto link: NIO")</f>
        <v>Goto link: NIO</v>
      </c>
      <c r="K119" s="22"/>
      <c r="L119" s="22"/>
      <c r="M119" s="22"/>
      <c r="N119" s="22"/>
      <c r="O119" s="73"/>
      <c r="P119" s="8"/>
      <c r="Q119" s="69"/>
      <c r="R119" s="69"/>
      <c r="S119" s="8"/>
      <c r="T119" s="69"/>
      <c r="U119" s="8"/>
      <c r="V119" s="69"/>
      <c r="W119" s="74"/>
      <c r="X119" s="69"/>
    </row>
    <row r="120">
      <c r="A120" s="30" t="str">
        <f>IFERROR(__xludf.DUMMYFUNCTION("""COMPUTED_VALUE"""),"35702 Total")</f>
        <v>35702 Total</v>
      </c>
      <c r="B120" s="5"/>
      <c r="C120" s="64"/>
      <c r="D120" s="85"/>
      <c r="E120" s="5"/>
      <c r="F120" s="69"/>
      <c r="G120" s="70">
        <f>IFERROR(__xludf.DUMMYFUNCTION("""COMPUTED_VALUE"""),2.7097875)</f>
        <v>2.7097875</v>
      </c>
      <c r="H120" s="71">
        <f>IFERROR(__xludf.DUMMYFUNCTION("""COMPUTED_VALUE"""),21.98)</f>
        <v>21.98</v>
      </c>
      <c r="I120" s="71" t="str">
        <f>IFERROR(__xludf.DUMMYFUNCTION("""COMPUTED_VALUE"""),"")</f>
        <v/>
      </c>
      <c r="J120" s="22" t="str">
        <f>IFERROR(__xludf.DUMMYFUNCTION("""COMPUTED_VALUE"""),"")</f>
        <v/>
      </c>
      <c r="K120" s="22"/>
      <c r="L120" s="22"/>
      <c r="M120" s="22"/>
      <c r="N120" s="22"/>
      <c r="O120" s="73"/>
      <c r="P120" s="8"/>
      <c r="Q120" s="69"/>
      <c r="R120" s="69"/>
      <c r="S120" s="8"/>
      <c r="T120" s="69"/>
      <c r="U120" s="8"/>
      <c r="V120" s="69"/>
      <c r="W120" s="74"/>
      <c r="X120" s="69"/>
    </row>
    <row r="121">
      <c r="A121" s="30" t="str">
        <f>IFERROR(__xludf.DUMMYFUNCTION("""COMPUTED_VALUE"""),"35792")</f>
        <v>35792</v>
      </c>
      <c r="B121" s="86">
        <f>IFERROR(__xludf.DUMMYFUNCTION("""COMPUTED_VALUE"""),44597.0)</f>
        <v>44597</v>
      </c>
      <c r="C121" s="64" t="str">
        <f>IFERROR(__xludf.DUMMYFUNCTION("""COMPUTED_VALUE"""),"Cash")</f>
        <v>Cash</v>
      </c>
      <c r="D121" s="85" t="str">
        <f>IFERROR(__xludf.DUMMYFUNCTION("""COMPUTED_VALUE"""),"Cash")</f>
        <v>Cash</v>
      </c>
      <c r="E121" s="5" t="str">
        <f>IFERROR(__xludf.DUMMYFUNCTION("""COMPUTED_VALUE"""),"HKD")</f>
        <v>HKD</v>
      </c>
      <c r="F121" s="69" t="str">
        <f>IFERROR(__xludf.DUMMYFUNCTION("""COMPUTED_VALUE"""),"")</f>
        <v/>
      </c>
      <c r="G121" s="70">
        <f>IFERROR(__xludf.DUMMYFUNCTION("""COMPUTED_VALUE"""),1.0)</f>
        <v>1</v>
      </c>
      <c r="H121" s="71">
        <f>IFERROR(__xludf.DUMMYFUNCTION("""COMPUTED_VALUE"""),1.0)</f>
        <v>1</v>
      </c>
      <c r="I121" s="71">
        <f>IFERROR(__xludf.DUMMYFUNCTION("""COMPUTED_VALUE"""),1.0)</f>
        <v>1</v>
      </c>
      <c r="J121" s="22" t="str">
        <f>IFERROR(__xludf.DUMMYFUNCTION("""COMPUTED_VALUE"""),"")</f>
        <v/>
      </c>
      <c r="K121" s="22"/>
      <c r="L121" s="22"/>
      <c r="M121" s="22"/>
      <c r="N121" s="22"/>
      <c r="O121" s="73"/>
      <c r="P121" s="8"/>
      <c r="Q121" s="69"/>
      <c r="R121" s="69"/>
      <c r="S121" s="8"/>
      <c r="T121" s="69"/>
      <c r="U121" s="8"/>
      <c r="V121" s="69"/>
      <c r="W121" s="74"/>
      <c r="X121" s="69"/>
    </row>
    <row r="122">
      <c r="A122" s="30" t="str">
        <f>IFERROR(__xludf.DUMMYFUNCTION("""COMPUTED_VALUE"""),"35792 Total")</f>
        <v>35792 Total</v>
      </c>
      <c r="B122" s="5"/>
      <c r="C122" s="64"/>
      <c r="D122" s="85"/>
      <c r="E122" s="5"/>
      <c r="F122" s="69"/>
      <c r="G122" s="70">
        <f>IFERROR(__xludf.DUMMYFUNCTION("""COMPUTED_VALUE"""),1.0)</f>
        <v>1</v>
      </c>
      <c r="H122" s="71">
        <f>IFERROR(__xludf.DUMMYFUNCTION("""COMPUTED_VALUE"""),1.0)</f>
        <v>1</v>
      </c>
      <c r="I122" s="71" t="str">
        <f>IFERROR(__xludf.DUMMYFUNCTION("""COMPUTED_VALUE"""),"")</f>
        <v/>
      </c>
      <c r="J122" s="22" t="str">
        <f>IFERROR(__xludf.DUMMYFUNCTION("""COMPUTED_VALUE"""),"")</f>
        <v/>
      </c>
      <c r="K122" s="22"/>
      <c r="L122" s="22"/>
      <c r="M122" s="22"/>
      <c r="N122" s="22"/>
      <c r="O122" s="73"/>
      <c r="P122" s="8"/>
      <c r="Q122" s="69"/>
      <c r="R122" s="69"/>
      <c r="S122" s="8"/>
      <c r="T122" s="69"/>
      <c r="U122" s="8"/>
      <c r="V122" s="69"/>
      <c r="W122" s="74"/>
      <c r="X122" s="69"/>
    </row>
    <row r="123">
      <c r="A123" s="30" t="str">
        <f>IFERROR(__xludf.DUMMYFUNCTION("""COMPUTED_VALUE"""),"36196")</f>
        <v>36196</v>
      </c>
      <c r="B123" s="86">
        <f>IFERROR(__xludf.DUMMYFUNCTION("""COMPUTED_VALUE"""),44597.0)</f>
        <v>44597</v>
      </c>
      <c r="C123" s="64" t="str">
        <f>IFERROR(__xludf.DUMMYFUNCTION("""COMPUTED_VALUE"""),"Cash")</f>
        <v>Cash</v>
      </c>
      <c r="D123" s="85" t="str">
        <f>IFERROR(__xludf.DUMMYFUNCTION("""COMPUTED_VALUE"""),"Cash")</f>
        <v>Cash</v>
      </c>
      <c r="E123" s="5" t="str">
        <f>IFERROR(__xludf.DUMMYFUNCTION("""COMPUTED_VALUE"""),"HKD")</f>
        <v>HKD</v>
      </c>
      <c r="F123" s="69" t="str">
        <f>IFERROR(__xludf.DUMMYFUNCTION("""COMPUTED_VALUE"""),"")</f>
        <v/>
      </c>
      <c r="G123" s="70">
        <f>IFERROR(__xludf.DUMMYFUNCTION("""COMPUTED_VALUE"""),1.0)</f>
        <v>1</v>
      </c>
      <c r="H123" s="71">
        <f>IFERROR(__xludf.DUMMYFUNCTION("""COMPUTED_VALUE"""),1.0)</f>
        <v>1</v>
      </c>
      <c r="I123" s="71">
        <f>IFERROR(__xludf.DUMMYFUNCTION("""COMPUTED_VALUE"""),1.0)</f>
        <v>1</v>
      </c>
      <c r="J123" s="22" t="str">
        <f>IFERROR(__xludf.DUMMYFUNCTION("""COMPUTED_VALUE"""),"")</f>
        <v/>
      </c>
      <c r="K123" s="22"/>
      <c r="L123" s="22"/>
      <c r="M123" s="22"/>
      <c r="N123" s="22"/>
      <c r="O123" s="73"/>
      <c r="P123" s="8"/>
      <c r="Q123" s="69"/>
      <c r="R123" s="69"/>
      <c r="S123" s="8"/>
      <c r="T123" s="69"/>
      <c r="U123" s="8"/>
      <c r="V123" s="69"/>
      <c r="W123" s="74"/>
      <c r="X123" s="69"/>
    </row>
    <row r="124">
      <c r="A124" s="30" t="str">
        <f>IFERROR(__xludf.DUMMYFUNCTION("""COMPUTED_VALUE"""),"36196 Total")</f>
        <v>36196 Total</v>
      </c>
      <c r="B124" s="5"/>
      <c r="C124" s="64"/>
      <c r="D124" s="85"/>
      <c r="E124" s="5"/>
      <c r="F124" s="69"/>
      <c r="G124" s="70">
        <f>IFERROR(__xludf.DUMMYFUNCTION("""COMPUTED_VALUE"""),1.0)</f>
        <v>1</v>
      </c>
      <c r="H124" s="71">
        <f>IFERROR(__xludf.DUMMYFUNCTION("""COMPUTED_VALUE"""),1.0)</f>
        <v>1</v>
      </c>
      <c r="I124" s="71" t="str">
        <f>IFERROR(__xludf.DUMMYFUNCTION("""COMPUTED_VALUE"""),"")</f>
        <v/>
      </c>
      <c r="J124" s="22" t="str">
        <f>IFERROR(__xludf.DUMMYFUNCTION("""COMPUTED_VALUE"""),"")</f>
        <v/>
      </c>
      <c r="K124" s="22"/>
      <c r="L124" s="22"/>
      <c r="M124" s="22"/>
      <c r="N124" s="22"/>
      <c r="O124" s="73"/>
      <c r="P124" s="8"/>
      <c r="Q124" s="69"/>
      <c r="R124" s="69"/>
      <c r="S124" s="8"/>
      <c r="T124" s="69"/>
      <c r="U124" s="8"/>
      <c r="V124" s="69"/>
      <c r="W124" s="74"/>
      <c r="X124" s="69"/>
    </row>
    <row r="125">
      <c r="A125" s="30" t="str">
        <f>IFERROR(__xludf.DUMMYFUNCTION("""COMPUTED_VALUE"""),"36221")</f>
        <v>36221</v>
      </c>
      <c r="B125" s="86">
        <f>IFERROR(__xludf.DUMMYFUNCTION("""COMPUTED_VALUE"""),44597.0)</f>
        <v>44597</v>
      </c>
      <c r="C125" s="64" t="str">
        <f>IFERROR(__xludf.DUMMYFUNCTION("""COMPUTED_VALUE"""),"Cash")</f>
        <v>Cash</v>
      </c>
      <c r="D125" s="85" t="str">
        <f>IFERROR(__xludf.DUMMYFUNCTION("""COMPUTED_VALUE"""),"Cash")</f>
        <v>Cash</v>
      </c>
      <c r="E125" s="5" t="str">
        <f>IFERROR(__xludf.DUMMYFUNCTION("""COMPUTED_VALUE"""),"HKD")</f>
        <v>HKD</v>
      </c>
      <c r="F125" s="69" t="str">
        <f>IFERROR(__xludf.DUMMYFUNCTION("""COMPUTED_VALUE"""),"")</f>
        <v/>
      </c>
      <c r="G125" s="70">
        <f>IFERROR(__xludf.DUMMYFUNCTION("""COMPUTED_VALUE"""),1.0)</f>
        <v>1</v>
      </c>
      <c r="H125" s="71">
        <f>IFERROR(__xludf.DUMMYFUNCTION("""COMPUTED_VALUE"""),1.0)</f>
        <v>1</v>
      </c>
      <c r="I125" s="71">
        <f>IFERROR(__xludf.DUMMYFUNCTION("""COMPUTED_VALUE"""),1.0)</f>
        <v>1</v>
      </c>
      <c r="J125" s="22" t="str">
        <f>IFERROR(__xludf.DUMMYFUNCTION("""COMPUTED_VALUE"""),"")</f>
        <v/>
      </c>
      <c r="K125" s="22"/>
      <c r="L125" s="22"/>
      <c r="M125" s="22"/>
      <c r="N125" s="22"/>
      <c r="O125" s="73"/>
      <c r="P125" s="8"/>
      <c r="Q125" s="69"/>
      <c r="R125" s="69"/>
      <c r="S125" s="8"/>
      <c r="T125" s="69"/>
      <c r="U125" s="8"/>
      <c r="V125" s="69"/>
      <c r="W125" s="74"/>
      <c r="X125" s="69"/>
    </row>
    <row r="126">
      <c r="A126" s="30" t="str">
        <f>IFERROR(__xludf.DUMMYFUNCTION("""COMPUTED_VALUE"""),"36221")</f>
        <v>36221</v>
      </c>
      <c r="B126" s="86">
        <f>IFERROR(__xludf.DUMMYFUNCTION("""COMPUTED_VALUE"""),44607.0)</f>
        <v>44607</v>
      </c>
      <c r="C126" s="64" t="str">
        <f>IFERROR(__xludf.DUMMYFUNCTION("""COMPUTED_VALUE"""),"Stock")</f>
        <v>Stock</v>
      </c>
      <c r="D126" s="87" t="str">
        <f>IFERROR(__xludf.DUMMYFUNCTION("""COMPUTED_VALUE"""),"ATVI")</f>
        <v>ATVI</v>
      </c>
      <c r="E126" s="5" t="str">
        <f>IFERROR(__xludf.DUMMYFUNCTION("""COMPUTED_VALUE"""),"USD")</f>
        <v>USD</v>
      </c>
      <c r="F126" s="69">
        <f>IFERROR(__xludf.DUMMYFUNCTION("""COMPUTED_VALUE"""),200.0)</f>
        <v>200</v>
      </c>
      <c r="G126" s="70">
        <f>IFERROR(__xludf.DUMMYFUNCTION("""COMPUTED_VALUE"""),7.83915)</f>
        <v>7.83915</v>
      </c>
      <c r="H126" s="71">
        <f>IFERROR(__xludf.DUMMYFUNCTION("""COMPUTED_VALUE"""),81.52)</f>
        <v>81.52</v>
      </c>
      <c r="I126" s="71">
        <f>IFERROR(__xludf.DUMMYFUNCTION("""COMPUTED_VALUE"""),79.1)</f>
        <v>79.1</v>
      </c>
      <c r="J126" s="88" t="str">
        <f>IFERROR(__xludf.DUMMYFUNCTION("""COMPUTED_VALUE"""),"Goto link: ATVI")</f>
        <v>Goto link: ATVI</v>
      </c>
      <c r="K126" s="22"/>
      <c r="L126" s="22"/>
      <c r="M126" s="22"/>
      <c r="N126" s="22"/>
      <c r="O126" s="73"/>
      <c r="P126" s="8"/>
      <c r="Q126" s="69"/>
      <c r="R126" s="69"/>
      <c r="S126" s="8"/>
      <c r="T126" s="69"/>
      <c r="U126" s="8"/>
      <c r="V126" s="69"/>
      <c r="W126" s="74"/>
      <c r="X126" s="69"/>
    </row>
    <row r="127">
      <c r="A127" s="30" t="str">
        <f>IFERROR(__xludf.DUMMYFUNCTION("""COMPUTED_VALUE"""),"36221")</f>
        <v>36221</v>
      </c>
      <c r="B127" s="86">
        <f>IFERROR(__xludf.DUMMYFUNCTION("""COMPUTED_VALUE"""),44607.0)</f>
        <v>44607</v>
      </c>
      <c r="C127" s="64" t="str">
        <f>IFERROR(__xludf.DUMMYFUNCTION("""COMPUTED_VALUE"""),"Stock")</f>
        <v>Stock</v>
      </c>
      <c r="D127" s="87" t="str">
        <f>IFERROR(__xludf.DUMMYFUNCTION("""COMPUTED_VALUE"""),"NVDA")</f>
        <v>NVDA</v>
      </c>
      <c r="E127" s="5" t="str">
        <f>IFERROR(__xludf.DUMMYFUNCTION("""COMPUTED_VALUE"""),"USD")</f>
        <v>USD</v>
      </c>
      <c r="F127" s="69">
        <f>IFERROR(__xludf.DUMMYFUNCTION("""COMPUTED_VALUE"""),100.0)</f>
        <v>100</v>
      </c>
      <c r="G127" s="70">
        <f>IFERROR(__xludf.DUMMYFUNCTION("""COMPUTED_VALUE"""),7.83915)</f>
        <v>7.83915</v>
      </c>
      <c r="H127" s="71">
        <f>IFERROR(__xludf.DUMMYFUNCTION("""COMPUTED_VALUE"""),264.95)</f>
        <v>264.95</v>
      </c>
      <c r="I127" s="71">
        <f>IFERROR(__xludf.DUMMYFUNCTION("""COMPUTED_VALUE"""),222.03)</f>
        <v>222.03</v>
      </c>
      <c r="J127" s="88" t="str">
        <f>IFERROR(__xludf.DUMMYFUNCTION("""COMPUTED_VALUE"""),"Goto link: NVDA")</f>
        <v>Goto link: NVDA</v>
      </c>
      <c r="K127" s="22"/>
      <c r="L127" s="22"/>
      <c r="M127" s="22"/>
      <c r="N127" s="22"/>
      <c r="O127" s="73"/>
      <c r="P127" s="8"/>
      <c r="Q127" s="69"/>
      <c r="R127" s="69"/>
      <c r="S127" s="8"/>
      <c r="T127" s="69"/>
      <c r="U127" s="8"/>
      <c r="V127" s="69"/>
      <c r="W127" s="74"/>
      <c r="X127" s="69"/>
    </row>
    <row r="128">
      <c r="A128" s="30" t="str">
        <f>IFERROR(__xludf.DUMMYFUNCTION("""COMPUTED_VALUE"""),"36221")</f>
        <v>36221</v>
      </c>
      <c r="B128" s="86">
        <f>IFERROR(__xludf.DUMMYFUNCTION("""COMPUTED_VALUE"""),44607.0)</f>
        <v>44607</v>
      </c>
      <c r="C128" s="64" t="str">
        <f>IFERROR(__xludf.DUMMYFUNCTION("""COMPUTED_VALUE"""),"Stock")</f>
        <v>Stock</v>
      </c>
      <c r="D128" s="87" t="str">
        <f>IFERROR(__xludf.DUMMYFUNCTION("""COMPUTED_VALUE"""),"SONY")</f>
        <v>SONY</v>
      </c>
      <c r="E128" s="5" t="str">
        <f>IFERROR(__xludf.DUMMYFUNCTION("""COMPUTED_VALUE"""),"USD")</f>
        <v>USD</v>
      </c>
      <c r="F128" s="69">
        <f>IFERROR(__xludf.DUMMYFUNCTION("""COMPUTED_VALUE"""),400.0)</f>
        <v>400</v>
      </c>
      <c r="G128" s="70">
        <f>IFERROR(__xludf.DUMMYFUNCTION("""COMPUTED_VALUE"""),7.83915)</f>
        <v>7.83915</v>
      </c>
      <c r="H128" s="71">
        <f>IFERROR(__xludf.DUMMYFUNCTION("""COMPUTED_VALUE"""),108.46)</f>
        <v>108.46</v>
      </c>
      <c r="I128" s="71">
        <f>IFERROR(__xludf.DUMMYFUNCTION("""COMPUTED_VALUE"""),91.79)</f>
        <v>91.79</v>
      </c>
      <c r="J128" s="88" t="str">
        <f>IFERROR(__xludf.DUMMYFUNCTION("""COMPUTED_VALUE"""),"Goto link: SONY")</f>
        <v>Goto link: SONY</v>
      </c>
      <c r="K128" s="22"/>
      <c r="L128" s="22"/>
      <c r="M128" s="22"/>
      <c r="N128" s="22"/>
      <c r="O128" s="73"/>
      <c r="P128" s="8"/>
      <c r="Q128" s="69"/>
      <c r="R128" s="69"/>
      <c r="S128" s="8"/>
      <c r="T128" s="69"/>
      <c r="U128" s="8"/>
      <c r="V128" s="69"/>
      <c r="W128" s="74"/>
      <c r="X128" s="69"/>
    </row>
    <row r="129">
      <c r="A129" s="30" t="str">
        <f>IFERROR(__xludf.DUMMYFUNCTION("""COMPUTED_VALUE"""),"36221")</f>
        <v>36221</v>
      </c>
      <c r="B129" s="86">
        <f>IFERROR(__xludf.DUMMYFUNCTION("""COMPUTED_VALUE"""),44607.0)</f>
        <v>44607</v>
      </c>
      <c r="C129" s="64" t="str">
        <f>IFERROR(__xludf.DUMMYFUNCTION("""COMPUTED_VALUE"""),"Stock")</f>
        <v>Stock</v>
      </c>
      <c r="D129" s="87" t="str">
        <f>IFERROR(__xludf.DUMMYFUNCTION("""COMPUTED_VALUE"""),"tcehy")</f>
        <v>tcehy</v>
      </c>
      <c r="E129" s="5" t="str">
        <f>IFERROR(__xludf.DUMMYFUNCTION("""COMPUTED_VALUE"""),"USD")</f>
        <v>USD</v>
      </c>
      <c r="F129" s="69" t="str">
        <f>IFERROR(__xludf.DUMMYFUNCTION("""COMPUTED_VALUE"""),"")</f>
        <v/>
      </c>
      <c r="G129" s="70">
        <f>IFERROR(__xludf.DUMMYFUNCTION("""COMPUTED_VALUE"""),7.83915)</f>
        <v>7.83915</v>
      </c>
      <c r="H129" s="71">
        <f>IFERROR(__xludf.DUMMYFUNCTION("""COMPUTED_VALUE"""),61.07)</f>
        <v>61.07</v>
      </c>
      <c r="I129" s="71">
        <f>IFERROR(__xludf.DUMMYFUNCTION("""COMPUTED_VALUE"""),48.03)</f>
        <v>48.03</v>
      </c>
      <c r="J129" s="88" t="str">
        <f>IFERROR(__xludf.DUMMYFUNCTION("""COMPUTED_VALUE"""),"Goto link: tcehy")</f>
        <v>Goto link: tcehy</v>
      </c>
      <c r="K129" s="22"/>
      <c r="L129" s="22"/>
      <c r="M129" s="22"/>
      <c r="N129" s="22"/>
      <c r="O129" s="73"/>
      <c r="P129" s="8"/>
      <c r="Q129" s="69"/>
      <c r="R129" s="69"/>
      <c r="S129" s="8"/>
      <c r="T129" s="69"/>
      <c r="U129" s="8"/>
      <c r="V129" s="69"/>
      <c r="W129" s="74"/>
      <c r="X129" s="69"/>
    </row>
    <row r="130">
      <c r="A130" s="30" t="str">
        <f>IFERROR(__xludf.DUMMYFUNCTION("""COMPUTED_VALUE"""),"36221 Total")</f>
        <v>36221 Total</v>
      </c>
      <c r="B130" s="5"/>
      <c r="C130" s="64"/>
      <c r="D130" s="85"/>
      <c r="E130" s="5"/>
      <c r="F130" s="69"/>
      <c r="G130" s="70">
        <f>IFERROR(__xludf.DUMMYFUNCTION("""COMPUTED_VALUE"""),6.47132)</f>
        <v>6.47132</v>
      </c>
      <c r="H130" s="71">
        <f>IFERROR(__xludf.DUMMYFUNCTION("""COMPUTED_VALUE"""),264.95)</f>
        <v>264.95</v>
      </c>
      <c r="I130" s="71" t="str">
        <f>IFERROR(__xludf.DUMMYFUNCTION("""COMPUTED_VALUE"""),"")</f>
        <v/>
      </c>
      <c r="J130" s="22" t="str">
        <f>IFERROR(__xludf.DUMMYFUNCTION("""COMPUTED_VALUE"""),"")</f>
        <v/>
      </c>
      <c r="K130" s="22"/>
      <c r="L130" s="22"/>
      <c r="M130" s="22"/>
      <c r="N130" s="22"/>
      <c r="O130" s="73"/>
      <c r="P130" s="8"/>
      <c r="Q130" s="69"/>
      <c r="R130" s="69"/>
      <c r="S130" s="8"/>
      <c r="T130" s="69"/>
      <c r="U130" s="8"/>
      <c r="V130" s="69"/>
      <c r="W130" s="74"/>
      <c r="X130" s="69"/>
    </row>
    <row r="131">
      <c r="A131" s="30" t="str">
        <f>IFERROR(__xludf.DUMMYFUNCTION("""COMPUTED_VALUE"""),"36242")</f>
        <v>36242</v>
      </c>
      <c r="B131" s="86">
        <f>IFERROR(__xludf.DUMMYFUNCTION("""COMPUTED_VALUE"""),44597.0)</f>
        <v>44597</v>
      </c>
      <c r="C131" s="64" t="str">
        <f>IFERROR(__xludf.DUMMYFUNCTION("""COMPUTED_VALUE"""),"Cash")</f>
        <v>Cash</v>
      </c>
      <c r="D131" s="85" t="str">
        <f>IFERROR(__xludf.DUMMYFUNCTION("""COMPUTED_VALUE"""),"Cash")</f>
        <v>Cash</v>
      </c>
      <c r="E131" s="5" t="str">
        <f>IFERROR(__xludf.DUMMYFUNCTION("""COMPUTED_VALUE"""),"HKD")</f>
        <v>HKD</v>
      </c>
      <c r="F131" s="69" t="str">
        <f>IFERROR(__xludf.DUMMYFUNCTION("""COMPUTED_VALUE"""),"")</f>
        <v/>
      </c>
      <c r="G131" s="70">
        <f>IFERROR(__xludf.DUMMYFUNCTION("""COMPUTED_VALUE"""),1.0)</f>
        <v>1</v>
      </c>
      <c r="H131" s="71">
        <f>IFERROR(__xludf.DUMMYFUNCTION("""COMPUTED_VALUE"""),1.0)</f>
        <v>1</v>
      </c>
      <c r="I131" s="71">
        <f>IFERROR(__xludf.DUMMYFUNCTION("""COMPUTED_VALUE"""),1.0)</f>
        <v>1</v>
      </c>
      <c r="J131" s="22" t="str">
        <f>IFERROR(__xludf.DUMMYFUNCTION("""COMPUTED_VALUE"""),"")</f>
        <v/>
      </c>
      <c r="K131" s="22"/>
      <c r="L131" s="22"/>
      <c r="M131" s="22"/>
      <c r="N131" s="22"/>
      <c r="O131" s="73"/>
      <c r="P131" s="8"/>
      <c r="Q131" s="69"/>
      <c r="R131" s="69"/>
      <c r="S131" s="8"/>
      <c r="T131" s="69"/>
      <c r="U131" s="8"/>
      <c r="V131" s="69"/>
      <c r="W131" s="74"/>
      <c r="X131" s="69"/>
    </row>
    <row r="132">
      <c r="A132" s="30" t="str">
        <f>IFERROR(__xludf.DUMMYFUNCTION("""COMPUTED_VALUE"""),"36242")</f>
        <v>36242</v>
      </c>
      <c r="B132" s="86">
        <f>IFERROR(__xludf.DUMMYFUNCTION("""COMPUTED_VALUE"""),44643.0)</f>
        <v>44643</v>
      </c>
      <c r="C132" s="64" t="str">
        <f>IFERROR(__xludf.DUMMYFUNCTION("""COMPUTED_VALUE"""),"Stock")</f>
        <v>Stock</v>
      </c>
      <c r="D132" s="87" t="str">
        <f>IFERROR(__xludf.DUMMYFUNCTION("""COMPUTED_VALUE"""),"BA")</f>
        <v>BA</v>
      </c>
      <c r="E132" s="5" t="str">
        <f>IFERROR(__xludf.DUMMYFUNCTION("""COMPUTED_VALUE"""),"USD")</f>
        <v>USD</v>
      </c>
      <c r="F132" s="69">
        <f>IFERROR(__xludf.DUMMYFUNCTION("""COMPUTED_VALUE"""),0.0)</f>
        <v>0</v>
      </c>
      <c r="G132" s="70">
        <f>IFERROR(__xludf.DUMMYFUNCTION("""COMPUTED_VALUE"""),7.83915)</f>
        <v>7.83915</v>
      </c>
      <c r="H132" s="71">
        <f>IFERROR(__xludf.DUMMYFUNCTION("""COMPUTED_VALUE"""),0.0)</f>
        <v>0</v>
      </c>
      <c r="I132" s="71">
        <f>IFERROR(__xludf.DUMMYFUNCTION("""COMPUTED_VALUE"""),182.96)</f>
        <v>182.96</v>
      </c>
      <c r="J132" s="88" t="str">
        <f>IFERROR(__xludf.DUMMYFUNCTION("""COMPUTED_VALUE"""),"Goto link: BA")</f>
        <v>Goto link: BA</v>
      </c>
      <c r="K132" s="22"/>
      <c r="L132" s="22"/>
      <c r="M132" s="22"/>
      <c r="N132" s="22"/>
      <c r="O132" s="73"/>
      <c r="P132" s="8"/>
      <c r="Q132" s="69"/>
      <c r="R132" s="69"/>
      <c r="S132" s="8"/>
      <c r="T132" s="69"/>
      <c r="U132" s="8"/>
      <c r="V132" s="69"/>
      <c r="W132" s="74"/>
      <c r="X132" s="69"/>
    </row>
    <row r="133">
      <c r="A133" s="30" t="str">
        <f>IFERROR(__xludf.DUMMYFUNCTION("""COMPUTED_VALUE"""),"36242")</f>
        <v>36242</v>
      </c>
      <c r="B133" s="86">
        <f>IFERROR(__xludf.DUMMYFUNCTION("""COMPUTED_VALUE"""),44644.0)</f>
        <v>44644</v>
      </c>
      <c r="C133" s="64" t="str">
        <f>IFERROR(__xludf.DUMMYFUNCTION("""COMPUTED_VALUE"""),"Stock")</f>
        <v>Stock</v>
      </c>
      <c r="D133" s="87" t="str">
        <f>IFERROR(__xludf.DUMMYFUNCTION("""COMPUTED_VALUE"""),"BA")</f>
        <v>BA</v>
      </c>
      <c r="E133" s="5" t="str">
        <f>IFERROR(__xludf.DUMMYFUNCTION("""COMPUTED_VALUE"""),"USD")</f>
        <v>USD</v>
      </c>
      <c r="F133" s="69">
        <f>IFERROR(__xludf.DUMMYFUNCTION("""COMPUTED_VALUE"""),0.0)</f>
        <v>0</v>
      </c>
      <c r="G133" s="70">
        <f>IFERROR(__xludf.DUMMYFUNCTION("""COMPUTED_VALUE"""),7.83915)</f>
        <v>7.83915</v>
      </c>
      <c r="H133" s="71">
        <f>IFERROR(__xludf.DUMMYFUNCTION("""COMPUTED_VALUE"""),0.0)</f>
        <v>0</v>
      </c>
      <c r="I133" s="71">
        <f>IFERROR(__xludf.DUMMYFUNCTION("""COMPUTED_VALUE"""),182.96)</f>
        <v>182.96</v>
      </c>
      <c r="J133" s="88" t="str">
        <f>IFERROR(__xludf.DUMMYFUNCTION("""COMPUTED_VALUE"""),"Goto link: BA")</f>
        <v>Goto link: BA</v>
      </c>
      <c r="K133" s="22"/>
      <c r="L133" s="22"/>
      <c r="M133" s="22"/>
      <c r="N133" s="22"/>
      <c r="O133" s="73"/>
      <c r="P133" s="8"/>
      <c r="Q133" s="69"/>
      <c r="R133" s="69"/>
      <c r="S133" s="8"/>
      <c r="T133" s="69"/>
      <c r="U133" s="8"/>
      <c r="V133" s="69"/>
      <c r="W133" s="74"/>
      <c r="X133" s="69"/>
    </row>
    <row r="134">
      <c r="A134" s="30" t="str">
        <f>IFERROR(__xludf.DUMMYFUNCTION("""COMPUTED_VALUE"""),"36242")</f>
        <v>36242</v>
      </c>
      <c r="B134" s="86">
        <f>IFERROR(__xludf.DUMMYFUNCTION("""COMPUTED_VALUE"""),44648.0)</f>
        <v>44648</v>
      </c>
      <c r="C134" s="64" t="str">
        <f>IFERROR(__xludf.DUMMYFUNCTION("""COMPUTED_VALUE"""),"Stock")</f>
        <v>Stock</v>
      </c>
      <c r="D134" s="87" t="str">
        <f>IFERROR(__xludf.DUMMYFUNCTION("""COMPUTED_VALUE"""),"TSLA")</f>
        <v>TSLA</v>
      </c>
      <c r="E134" s="5" t="str">
        <f>IFERROR(__xludf.DUMMYFUNCTION("""COMPUTED_VALUE"""),"USD")</f>
        <v>USD</v>
      </c>
      <c r="F134" s="69">
        <f>IFERROR(__xludf.DUMMYFUNCTION("""COMPUTED_VALUE"""),0.0)</f>
        <v>0</v>
      </c>
      <c r="G134" s="70">
        <f>IFERROR(__xludf.DUMMYFUNCTION("""COMPUTED_VALUE"""),7.83915)</f>
        <v>7.83915</v>
      </c>
      <c r="H134" s="71">
        <f>IFERROR(__xludf.DUMMYFUNCTION("""COMPUTED_VALUE"""),0.0)</f>
        <v>0</v>
      </c>
      <c r="I134" s="71">
        <f>IFERROR(__xludf.DUMMYFUNCTION("""COMPUTED_VALUE"""),1022.37)</f>
        <v>1022.37</v>
      </c>
      <c r="J134" s="88" t="str">
        <f>IFERROR(__xludf.DUMMYFUNCTION("""COMPUTED_VALUE"""),"Goto link: TSLA")</f>
        <v>Goto link: TSLA</v>
      </c>
      <c r="K134" s="22"/>
      <c r="L134" s="22"/>
      <c r="M134" s="22"/>
      <c r="N134" s="22"/>
      <c r="O134" s="73"/>
      <c r="P134" s="8"/>
      <c r="Q134" s="69"/>
      <c r="R134" s="69"/>
      <c r="S134" s="8"/>
      <c r="T134" s="69"/>
      <c r="U134" s="8"/>
      <c r="V134" s="69"/>
      <c r="W134" s="74"/>
      <c r="X134" s="69"/>
    </row>
    <row r="135">
      <c r="A135" s="30" t="str">
        <f>IFERROR(__xludf.DUMMYFUNCTION("""COMPUTED_VALUE"""),"36242")</f>
        <v>36242</v>
      </c>
      <c r="B135" s="86">
        <f>IFERROR(__xludf.DUMMYFUNCTION("""COMPUTED_VALUE"""),44649.0)</f>
        <v>44649</v>
      </c>
      <c r="C135" s="64" t="str">
        <f>IFERROR(__xludf.DUMMYFUNCTION("""COMPUTED_VALUE"""),"Stock")</f>
        <v>Stock</v>
      </c>
      <c r="D135" s="87" t="str">
        <f>IFERROR(__xludf.DUMMYFUNCTION("""COMPUTED_VALUE"""),"TSLA")</f>
        <v>TSLA</v>
      </c>
      <c r="E135" s="5" t="str">
        <f>IFERROR(__xludf.DUMMYFUNCTION("""COMPUTED_VALUE"""),"USD")</f>
        <v>USD</v>
      </c>
      <c r="F135" s="69">
        <f>IFERROR(__xludf.DUMMYFUNCTION("""COMPUTED_VALUE"""),-50.0)</f>
        <v>-50</v>
      </c>
      <c r="G135" s="70">
        <f>IFERROR(__xludf.DUMMYFUNCTION("""COMPUTED_VALUE"""),7.83915)</f>
        <v>7.83915</v>
      </c>
      <c r="H135" s="71">
        <f>IFERROR(__xludf.DUMMYFUNCTION("""COMPUTED_VALUE"""),1099.57)</f>
        <v>1099.57</v>
      </c>
      <c r="I135" s="71">
        <f>IFERROR(__xludf.DUMMYFUNCTION("""COMPUTED_VALUE"""),1022.37)</f>
        <v>1022.37</v>
      </c>
      <c r="J135" s="88" t="str">
        <f>IFERROR(__xludf.DUMMYFUNCTION("""COMPUTED_VALUE"""),"Goto link: TSLA")</f>
        <v>Goto link: TSLA</v>
      </c>
      <c r="K135" s="22"/>
      <c r="L135" s="22"/>
      <c r="M135" s="22"/>
      <c r="N135" s="22"/>
      <c r="O135" s="73"/>
      <c r="P135" s="8"/>
      <c r="Q135" s="69"/>
      <c r="R135" s="69"/>
      <c r="S135" s="8"/>
      <c r="T135" s="69"/>
      <c r="U135" s="8"/>
      <c r="V135" s="69"/>
      <c r="W135" s="74"/>
      <c r="X135" s="69"/>
    </row>
    <row r="136">
      <c r="A136" s="30" t="str">
        <f>IFERROR(__xludf.DUMMYFUNCTION("""COMPUTED_VALUE"""),"36242")</f>
        <v>36242</v>
      </c>
      <c r="B136" s="86">
        <f>IFERROR(__xludf.DUMMYFUNCTION("""COMPUTED_VALUE"""),44651.0)</f>
        <v>44651</v>
      </c>
      <c r="C136" s="64" t="str">
        <f>IFERROR(__xludf.DUMMYFUNCTION("""COMPUTED_VALUE"""),"Stock")</f>
        <v>Stock</v>
      </c>
      <c r="D136" s="87" t="str">
        <f>IFERROR(__xludf.DUMMYFUNCTION("""COMPUTED_VALUE"""),"TSLA")</f>
        <v>TSLA</v>
      </c>
      <c r="E136" s="5" t="str">
        <f>IFERROR(__xludf.DUMMYFUNCTION("""COMPUTED_VALUE"""),"USD")</f>
        <v>USD</v>
      </c>
      <c r="F136" s="69">
        <f>IFERROR(__xludf.DUMMYFUNCTION("""COMPUTED_VALUE"""),0.0)</f>
        <v>0</v>
      </c>
      <c r="G136" s="70">
        <f>IFERROR(__xludf.DUMMYFUNCTION("""COMPUTED_VALUE"""),7.83915)</f>
        <v>7.83915</v>
      </c>
      <c r="H136" s="71">
        <f>IFERROR(__xludf.DUMMYFUNCTION("""COMPUTED_VALUE"""),0.0)</f>
        <v>0</v>
      </c>
      <c r="I136" s="71">
        <f>IFERROR(__xludf.DUMMYFUNCTION("""COMPUTED_VALUE"""),1022.37)</f>
        <v>1022.37</v>
      </c>
      <c r="J136" s="88" t="str">
        <f>IFERROR(__xludf.DUMMYFUNCTION("""COMPUTED_VALUE"""),"Goto link: TSLA")</f>
        <v>Goto link: TSLA</v>
      </c>
      <c r="K136" s="22"/>
      <c r="L136" s="22"/>
      <c r="M136" s="22"/>
      <c r="N136" s="22"/>
      <c r="O136" s="73"/>
      <c r="P136" s="8"/>
      <c r="Q136" s="69"/>
      <c r="R136" s="69"/>
      <c r="S136" s="8"/>
      <c r="T136" s="69"/>
      <c r="U136" s="8"/>
      <c r="V136" s="69"/>
      <c r="W136" s="74"/>
      <c r="X136" s="69"/>
    </row>
    <row r="137">
      <c r="A137" s="30" t="str">
        <f>IFERROR(__xludf.DUMMYFUNCTION("""COMPUTED_VALUE"""),"36242")</f>
        <v>36242</v>
      </c>
      <c r="B137" s="86">
        <f>IFERROR(__xludf.DUMMYFUNCTION("""COMPUTED_VALUE"""),44659.0)</f>
        <v>44659</v>
      </c>
      <c r="C137" s="64" t="str">
        <f>IFERROR(__xludf.DUMMYFUNCTION("""COMPUTED_VALUE"""),"Stock")</f>
        <v>Stock</v>
      </c>
      <c r="D137" s="85" t="str">
        <f>IFERROR(__xludf.DUMMYFUNCTION("""COMPUTED_VALUE"""),"SOHU")</f>
        <v>SOHU</v>
      </c>
      <c r="E137" s="5" t="str">
        <f>IFERROR(__xludf.DUMMYFUNCTION("""COMPUTED_VALUE"""),"USD")</f>
        <v>USD</v>
      </c>
      <c r="F137" s="69">
        <f>IFERROR(__xludf.DUMMYFUNCTION("""COMPUTED_VALUE"""),300.0)</f>
        <v>300</v>
      </c>
      <c r="G137" s="70">
        <f>IFERROR(__xludf.DUMMYFUNCTION("""COMPUTED_VALUE"""),7.83915)</f>
        <v>7.83915</v>
      </c>
      <c r="H137" s="71">
        <f>IFERROR(__xludf.DUMMYFUNCTION("""COMPUTED_VALUE"""),19.03)</f>
        <v>19.03</v>
      </c>
      <c r="I137" s="71">
        <f>IFERROR(__xludf.DUMMYFUNCTION("""COMPUTED_VALUE"""),18.86)</f>
        <v>18.86</v>
      </c>
      <c r="J137" s="88" t="str">
        <f>IFERROR(__xludf.DUMMYFUNCTION("""COMPUTED_VALUE"""),"Goto link: SOHU")</f>
        <v>Goto link: SOHU</v>
      </c>
      <c r="K137" s="22"/>
      <c r="L137" s="22"/>
      <c r="M137" s="22"/>
      <c r="N137" s="22"/>
      <c r="O137" s="73"/>
      <c r="P137" s="8"/>
      <c r="Q137" s="69"/>
      <c r="R137" s="69"/>
      <c r="S137" s="8"/>
      <c r="T137" s="69"/>
      <c r="U137" s="8"/>
      <c r="V137" s="69"/>
      <c r="W137" s="74"/>
      <c r="X137" s="69"/>
    </row>
    <row r="138">
      <c r="A138" s="30" t="str">
        <f>IFERROR(__xludf.DUMMYFUNCTION("""COMPUTED_VALUE"""),"36242")</f>
        <v>36242</v>
      </c>
      <c r="B138" s="86">
        <f>IFERROR(__xludf.DUMMYFUNCTION("""COMPUTED_VALUE"""),44659.0)</f>
        <v>44659</v>
      </c>
      <c r="C138" s="64" t="str">
        <f>IFERROR(__xludf.DUMMYFUNCTION("""COMPUTED_VALUE"""),"Stock")</f>
        <v>Stock</v>
      </c>
      <c r="D138" s="85" t="str">
        <f>IFERROR(__xludf.DUMMYFUNCTION("""COMPUTED_VALUE"""),"TSLA")</f>
        <v>TSLA</v>
      </c>
      <c r="E138" s="5" t="str">
        <f>IFERROR(__xludf.DUMMYFUNCTION("""COMPUTED_VALUE"""),"USD")</f>
        <v>USD</v>
      </c>
      <c r="F138" s="69">
        <f>IFERROR(__xludf.DUMMYFUNCTION("""COMPUTED_VALUE"""),50.0)</f>
        <v>50</v>
      </c>
      <c r="G138" s="70">
        <f>IFERROR(__xludf.DUMMYFUNCTION("""COMPUTED_VALUE"""),7.83915)</f>
        <v>7.83915</v>
      </c>
      <c r="H138" s="71">
        <f>IFERROR(__xludf.DUMMYFUNCTION("""COMPUTED_VALUE"""),1025.49)</f>
        <v>1025.49</v>
      </c>
      <c r="I138" s="71">
        <f>IFERROR(__xludf.DUMMYFUNCTION("""COMPUTED_VALUE"""),1022.37)</f>
        <v>1022.37</v>
      </c>
      <c r="J138" s="88" t="str">
        <f>IFERROR(__xludf.DUMMYFUNCTION("""COMPUTED_VALUE"""),"Goto link: TSLA")</f>
        <v>Goto link: TSLA</v>
      </c>
      <c r="K138" s="22"/>
      <c r="L138" s="22"/>
      <c r="M138" s="22"/>
      <c r="N138" s="22"/>
      <c r="O138" s="73"/>
      <c r="P138" s="8"/>
      <c r="Q138" s="69"/>
      <c r="R138" s="69"/>
      <c r="S138" s="8"/>
      <c r="T138" s="69"/>
      <c r="U138" s="8"/>
      <c r="V138" s="69"/>
      <c r="W138" s="74"/>
      <c r="X138" s="69"/>
    </row>
    <row r="139">
      <c r="A139" s="30" t="str">
        <f>IFERROR(__xludf.DUMMYFUNCTION("""COMPUTED_VALUE"""),"36242")</f>
        <v>36242</v>
      </c>
      <c r="B139" s="86">
        <f>IFERROR(__xludf.DUMMYFUNCTION("""COMPUTED_VALUE"""),44663.0)</f>
        <v>44663</v>
      </c>
      <c r="C139" s="64" t="str">
        <f>IFERROR(__xludf.DUMMYFUNCTION("""COMPUTED_VALUE"""),"Stock")</f>
        <v>Stock</v>
      </c>
      <c r="D139" s="85" t="str">
        <f>IFERROR(__xludf.DUMMYFUNCTION("""COMPUTED_VALUE"""),"LMT")</f>
        <v>LMT</v>
      </c>
      <c r="E139" s="5" t="str">
        <f>IFERROR(__xludf.DUMMYFUNCTION("""COMPUTED_VALUE"""),"USD")</f>
        <v>USD</v>
      </c>
      <c r="F139" s="69">
        <f>IFERROR(__xludf.DUMMYFUNCTION("""COMPUTED_VALUE"""),50.0)</f>
        <v>50</v>
      </c>
      <c r="G139" s="70">
        <f>IFERROR(__xludf.DUMMYFUNCTION("""COMPUTED_VALUE"""),7.83915)</f>
        <v>7.83915</v>
      </c>
      <c r="H139" s="71">
        <f>IFERROR(__xludf.DUMMYFUNCTION("""COMPUTED_VALUE"""),467.55)</f>
        <v>467.55</v>
      </c>
      <c r="I139" s="71">
        <f>IFERROR(__xludf.DUMMYFUNCTION("""COMPUTED_VALUE"""),469.2)</f>
        <v>469.2</v>
      </c>
      <c r="J139" s="88" t="str">
        <f>IFERROR(__xludf.DUMMYFUNCTION("""COMPUTED_VALUE"""),"Goto link: LMT")</f>
        <v>Goto link: LMT</v>
      </c>
      <c r="K139" s="22"/>
      <c r="L139" s="22"/>
      <c r="M139" s="22"/>
      <c r="N139" s="22"/>
      <c r="O139" s="73"/>
      <c r="P139" s="8"/>
      <c r="Q139" s="69"/>
      <c r="R139" s="69"/>
      <c r="S139" s="8"/>
      <c r="T139" s="69"/>
      <c r="U139" s="8"/>
      <c r="V139" s="69"/>
      <c r="W139" s="74"/>
      <c r="X139" s="69"/>
    </row>
    <row r="140">
      <c r="A140" s="30" t="str">
        <f>IFERROR(__xludf.DUMMYFUNCTION("""COMPUTED_VALUE"""),"36242")</f>
        <v>36242</v>
      </c>
      <c r="B140" s="86">
        <f>IFERROR(__xludf.DUMMYFUNCTION("""COMPUTED_VALUE"""),44663.0)</f>
        <v>44663</v>
      </c>
      <c r="C140" s="64" t="str">
        <f>IFERROR(__xludf.DUMMYFUNCTION("""COMPUTED_VALUE"""),"Stock")</f>
        <v>Stock</v>
      </c>
      <c r="D140" s="85" t="str">
        <f>IFERROR(__xludf.DUMMYFUNCTION("""COMPUTED_VALUE"""),"SOHU")</f>
        <v>SOHU</v>
      </c>
      <c r="E140" s="5" t="str">
        <f>IFERROR(__xludf.DUMMYFUNCTION("""COMPUTED_VALUE"""),"USD")</f>
        <v>USD</v>
      </c>
      <c r="F140" s="69">
        <f>IFERROR(__xludf.DUMMYFUNCTION("""COMPUTED_VALUE"""),-300.0)</f>
        <v>-300</v>
      </c>
      <c r="G140" s="70">
        <f>IFERROR(__xludf.DUMMYFUNCTION("""COMPUTED_VALUE"""),7.83915)</f>
        <v>7.83915</v>
      </c>
      <c r="H140" s="71">
        <f>IFERROR(__xludf.DUMMYFUNCTION("""COMPUTED_VALUE"""),19.01)</f>
        <v>19.01</v>
      </c>
      <c r="I140" s="71">
        <f>IFERROR(__xludf.DUMMYFUNCTION("""COMPUTED_VALUE"""),18.86)</f>
        <v>18.86</v>
      </c>
      <c r="J140" s="88" t="str">
        <f>IFERROR(__xludf.DUMMYFUNCTION("""COMPUTED_VALUE"""),"Goto link: SOHU")</f>
        <v>Goto link: SOHU</v>
      </c>
      <c r="K140" s="22"/>
      <c r="L140" s="22"/>
      <c r="M140" s="22"/>
      <c r="N140" s="22"/>
      <c r="O140" s="73"/>
      <c r="P140" s="8"/>
      <c r="Q140" s="69"/>
      <c r="R140" s="69"/>
      <c r="S140" s="8"/>
      <c r="T140" s="69"/>
      <c r="U140" s="8"/>
      <c r="V140" s="69"/>
      <c r="W140" s="74"/>
      <c r="X140" s="69"/>
    </row>
    <row r="141">
      <c r="A141" s="30" t="str">
        <f>IFERROR(__xludf.DUMMYFUNCTION("""COMPUTED_VALUE"""),"36242")</f>
        <v>36242</v>
      </c>
      <c r="B141" s="86">
        <f>IFERROR(__xludf.DUMMYFUNCTION("""COMPUTED_VALUE"""),44664.0)</f>
        <v>44664</v>
      </c>
      <c r="C141" s="64" t="str">
        <f>IFERROR(__xludf.DUMMYFUNCTION("""COMPUTED_VALUE"""),"Stock")</f>
        <v>Stock</v>
      </c>
      <c r="D141" s="91" t="str">
        <f>IFERROR(__xludf.DUMMYFUNCTION("""COMPUTED_VALUE"""),"1024.HK")</f>
        <v>1024.HK</v>
      </c>
      <c r="E141" s="5" t="str">
        <f>IFERROR(__xludf.DUMMYFUNCTION("""COMPUTED_VALUE"""),"HKD")</f>
        <v>HKD</v>
      </c>
      <c r="F141" s="69">
        <f>IFERROR(__xludf.DUMMYFUNCTION("""COMPUTED_VALUE"""),1000.0)</f>
        <v>1000</v>
      </c>
      <c r="G141" s="70">
        <f>IFERROR(__xludf.DUMMYFUNCTION("""COMPUTED_VALUE"""),1.0)</f>
        <v>1</v>
      </c>
      <c r="H141" s="71">
        <f>IFERROR(__xludf.DUMMYFUNCTION("""COMPUTED_VALUE"""),64.0)</f>
        <v>64</v>
      </c>
      <c r="I141" s="71">
        <f>IFERROR(__xludf.DUMMYFUNCTION("""COMPUTED_VALUE"""),64.0)</f>
        <v>64</v>
      </c>
      <c r="J141" s="88" t="str">
        <f>IFERROR(__xludf.DUMMYFUNCTION("""COMPUTED_VALUE"""),"Goto link: 1024.HK")</f>
        <v>Goto link: 1024.HK</v>
      </c>
      <c r="K141" s="22"/>
      <c r="L141" s="22"/>
      <c r="M141" s="22"/>
      <c r="N141" s="22"/>
      <c r="O141" s="73"/>
      <c r="P141" s="8"/>
      <c r="Q141" s="69"/>
      <c r="R141" s="69"/>
      <c r="S141" s="8"/>
      <c r="T141" s="69"/>
      <c r="U141" s="8"/>
      <c r="V141" s="69"/>
      <c r="W141" s="74"/>
      <c r="X141" s="69"/>
    </row>
    <row r="142">
      <c r="A142" s="30" t="str">
        <f>IFERROR(__xludf.DUMMYFUNCTION("""COMPUTED_VALUE"""),"36242")</f>
        <v>36242</v>
      </c>
      <c r="B142" s="86">
        <f>IFERROR(__xludf.DUMMYFUNCTION("""COMPUTED_VALUE"""),44665.0)</f>
        <v>44665</v>
      </c>
      <c r="C142" s="64" t="str">
        <f>IFERROR(__xludf.DUMMYFUNCTION("""COMPUTED_VALUE"""),"Stock")</f>
        <v>Stock</v>
      </c>
      <c r="D142" s="91" t="str">
        <f>IFERROR(__xludf.DUMMYFUNCTION("""COMPUTED_VALUE"""),"000927.SZ")</f>
        <v>000927.SZ</v>
      </c>
      <c r="E142" s="5"/>
      <c r="F142" s="69" t="str">
        <f>IFERROR(__xludf.DUMMYFUNCTION("""COMPUTED_VALUE"""),"#N/A")</f>
        <v>#N/A</v>
      </c>
      <c r="G142" s="70" t="str">
        <f>IFERROR(__xludf.DUMMYFUNCTION("""COMPUTED_VALUE"""),"#N/A")</f>
        <v>#N/A</v>
      </c>
      <c r="H142" s="71">
        <f>IFERROR(__xludf.DUMMYFUNCTION("""COMPUTED_VALUE"""),0.0)</f>
        <v>0</v>
      </c>
      <c r="I142" s="71">
        <f>IFERROR(__xludf.DUMMYFUNCTION("""COMPUTED_VALUE"""),4.27)</f>
        <v>4.27</v>
      </c>
      <c r="J142" s="88" t="str">
        <f>IFERROR(__xludf.DUMMYFUNCTION("""COMPUTED_VALUE"""),"Goto link: 000927.SZ")</f>
        <v>Goto link: 000927.SZ</v>
      </c>
      <c r="K142" s="22"/>
      <c r="L142" s="22"/>
      <c r="M142" s="22"/>
      <c r="N142" s="22"/>
      <c r="O142" s="73"/>
      <c r="P142" s="8"/>
      <c r="Q142" s="69"/>
      <c r="R142" s="69"/>
      <c r="S142" s="8"/>
      <c r="T142" s="69"/>
      <c r="U142" s="8"/>
      <c r="V142" s="69"/>
      <c r="W142" s="74"/>
      <c r="X142" s="69"/>
    </row>
    <row r="143">
      <c r="A143" s="30" t="str">
        <f>IFERROR(__xludf.DUMMYFUNCTION("""COMPUTED_VALUE"""),"36242 Total")</f>
        <v>36242 Total</v>
      </c>
      <c r="B143" s="5"/>
      <c r="C143" s="64"/>
      <c r="D143" s="85"/>
      <c r="E143" s="5"/>
      <c r="F143" s="69"/>
      <c r="G143" s="70" t="str">
        <f>IFERROR(__xludf.DUMMYFUNCTION("""COMPUTED_VALUE"""),"#N/A")</f>
        <v>#N/A</v>
      </c>
      <c r="H143" s="71">
        <f>IFERROR(__xludf.DUMMYFUNCTION("""COMPUTED_VALUE"""),1099.57)</f>
        <v>1099.57</v>
      </c>
      <c r="I143" s="71" t="str">
        <f>IFERROR(__xludf.DUMMYFUNCTION("""COMPUTED_VALUE"""),"")</f>
        <v/>
      </c>
      <c r="J143" s="22" t="str">
        <f>IFERROR(__xludf.DUMMYFUNCTION("""COMPUTED_VALUE"""),"")</f>
        <v/>
      </c>
      <c r="K143" s="22"/>
      <c r="L143" s="22"/>
      <c r="M143" s="22"/>
      <c r="N143" s="22"/>
      <c r="O143" s="73"/>
      <c r="P143" s="8"/>
      <c r="Q143" s="69"/>
      <c r="R143" s="69"/>
      <c r="S143" s="8"/>
      <c r="T143" s="69"/>
      <c r="U143" s="8"/>
      <c r="V143" s="69"/>
      <c r="W143" s="74"/>
      <c r="X143" s="69"/>
    </row>
    <row r="144">
      <c r="A144" s="30" t="str">
        <f>IFERROR(__xludf.DUMMYFUNCTION("""COMPUTED_VALUE"""),"36252")</f>
        <v>36252</v>
      </c>
      <c r="B144" s="86">
        <f>IFERROR(__xludf.DUMMYFUNCTION("""COMPUTED_VALUE"""),44597.0)</f>
        <v>44597</v>
      </c>
      <c r="C144" s="64" t="str">
        <f>IFERROR(__xludf.DUMMYFUNCTION("""COMPUTED_VALUE"""),"Cash")</f>
        <v>Cash</v>
      </c>
      <c r="D144" s="85" t="str">
        <f>IFERROR(__xludf.DUMMYFUNCTION("""COMPUTED_VALUE"""),"Cash")</f>
        <v>Cash</v>
      </c>
      <c r="E144" s="5" t="str">
        <f>IFERROR(__xludf.DUMMYFUNCTION("""COMPUTED_VALUE"""),"HKD")</f>
        <v>HKD</v>
      </c>
      <c r="F144" s="69" t="str">
        <f>IFERROR(__xludf.DUMMYFUNCTION("""COMPUTED_VALUE"""),"")</f>
        <v/>
      </c>
      <c r="G144" s="70">
        <f>IFERROR(__xludf.DUMMYFUNCTION("""COMPUTED_VALUE"""),1.0)</f>
        <v>1</v>
      </c>
      <c r="H144" s="71">
        <f>IFERROR(__xludf.DUMMYFUNCTION("""COMPUTED_VALUE"""),1.0)</f>
        <v>1</v>
      </c>
      <c r="I144" s="71">
        <f>IFERROR(__xludf.DUMMYFUNCTION("""COMPUTED_VALUE"""),1.0)</f>
        <v>1</v>
      </c>
      <c r="J144" s="22" t="str">
        <f>IFERROR(__xludf.DUMMYFUNCTION("""COMPUTED_VALUE"""),"")</f>
        <v/>
      </c>
      <c r="K144" s="22"/>
      <c r="L144" s="22"/>
      <c r="M144" s="22"/>
      <c r="N144" s="22"/>
      <c r="O144" s="73"/>
      <c r="P144" s="8"/>
      <c r="Q144" s="69"/>
      <c r="R144" s="69"/>
      <c r="S144" s="8"/>
      <c r="T144" s="69"/>
      <c r="U144" s="8"/>
      <c r="V144" s="69"/>
      <c r="W144" s="74"/>
      <c r="X144" s="69"/>
    </row>
    <row r="145">
      <c r="A145" s="30" t="str">
        <f>IFERROR(__xludf.DUMMYFUNCTION("""COMPUTED_VALUE"""),"36252")</f>
        <v>36252</v>
      </c>
      <c r="B145" s="86">
        <f>IFERROR(__xludf.DUMMYFUNCTION("""COMPUTED_VALUE"""),44639.0)</f>
        <v>44639</v>
      </c>
      <c r="C145" s="64" t="str">
        <f>IFERROR(__xludf.DUMMYFUNCTION("""COMPUTED_VALUE"""),"Stock")</f>
        <v>Stock</v>
      </c>
      <c r="D145" s="90" t="str">
        <f>IFERROR(__xludf.DUMMYFUNCTION("""COMPUTED_VALUE"""),"2318.hk")</f>
        <v>2318.hk</v>
      </c>
      <c r="E145" s="5" t="str">
        <f>IFERROR(__xludf.DUMMYFUNCTION("""COMPUTED_VALUE"""),"HKD")</f>
        <v>HKD</v>
      </c>
      <c r="F145" s="69">
        <f>IFERROR(__xludf.DUMMYFUNCTION("""COMPUTED_VALUE"""),1600.0)</f>
        <v>1600</v>
      </c>
      <c r="G145" s="70">
        <f>IFERROR(__xludf.DUMMYFUNCTION("""COMPUTED_VALUE"""),1.0)</f>
        <v>1</v>
      </c>
      <c r="H145" s="71">
        <f>IFERROR(__xludf.DUMMYFUNCTION("""COMPUTED_VALUE"""),54.7)</f>
        <v>54.7</v>
      </c>
      <c r="I145" s="71">
        <f>IFERROR(__xludf.DUMMYFUNCTION("""COMPUTED_VALUE"""),55.3)</f>
        <v>55.3</v>
      </c>
      <c r="J145" s="88" t="str">
        <f>IFERROR(__xludf.DUMMYFUNCTION("""COMPUTED_VALUE"""),"Goto link: 2318.hk")</f>
        <v>Goto link: 2318.hk</v>
      </c>
      <c r="K145" s="22"/>
      <c r="L145" s="22"/>
      <c r="M145" s="22"/>
      <c r="N145" s="22"/>
      <c r="O145" s="73"/>
      <c r="P145" s="8"/>
      <c r="Q145" s="69"/>
      <c r="R145" s="69"/>
      <c r="S145" s="8"/>
      <c r="T145" s="69"/>
      <c r="U145" s="8"/>
      <c r="V145" s="69"/>
      <c r="W145" s="74"/>
      <c r="X145" s="69"/>
    </row>
    <row r="146">
      <c r="A146" s="30" t="str">
        <f>IFERROR(__xludf.DUMMYFUNCTION("""COMPUTED_VALUE"""),"36252")</f>
        <v>36252</v>
      </c>
      <c r="B146" s="86">
        <f>IFERROR(__xludf.DUMMYFUNCTION("""COMPUTED_VALUE"""),44641.0)</f>
        <v>44641</v>
      </c>
      <c r="C146" s="64" t="str">
        <f>IFERROR(__xludf.DUMMYFUNCTION("""COMPUTED_VALUE"""),"Stock")</f>
        <v>Stock</v>
      </c>
      <c r="D146" s="90" t="str">
        <f>IFERROR(__xludf.DUMMYFUNCTION("""COMPUTED_VALUE"""),"0346.hk")</f>
        <v>0346.hk</v>
      </c>
      <c r="E146" s="5" t="str">
        <f>IFERROR(__xludf.DUMMYFUNCTION("""COMPUTED_VALUE"""),"HKD")</f>
        <v>HKD</v>
      </c>
      <c r="F146" s="69">
        <f>IFERROR(__xludf.DUMMYFUNCTION("""COMPUTED_VALUE"""),500000.0)</f>
        <v>500000</v>
      </c>
      <c r="G146" s="70">
        <f>IFERROR(__xludf.DUMMYFUNCTION("""COMPUTED_VALUE"""),1.0)</f>
        <v>1</v>
      </c>
      <c r="H146" s="71">
        <f>IFERROR(__xludf.DUMMYFUNCTION("""COMPUTED_VALUE"""),0.064)</f>
        <v>0.064</v>
      </c>
      <c r="I146" s="71">
        <f>IFERROR(__xludf.DUMMYFUNCTION("""COMPUTED_VALUE"""),0.059)</f>
        <v>0.059</v>
      </c>
      <c r="J146" s="88" t="str">
        <f>IFERROR(__xludf.DUMMYFUNCTION("""COMPUTED_VALUE"""),"Goto link: 0346.hk")</f>
        <v>Goto link: 0346.hk</v>
      </c>
      <c r="K146" s="22"/>
      <c r="L146" s="22"/>
      <c r="M146" s="22"/>
      <c r="N146" s="22"/>
      <c r="O146" s="73"/>
      <c r="P146" s="8"/>
      <c r="Q146" s="69"/>
      <c r="R146" s="69"/>
      <c r="S146" s="8"/>
      <c r="T146" s="69"/>
      <c r="U146" s="8"/>
      <c r="V146" s="69"/>
      <c r="W146" s="74"/>
      <c r="X146" s="69"/>
    </row>
    <row r="147">
      <c r="A147" s="30" t="str">
        <f>IFERROR(__xludf.DUMMYFUNCTION("""COMPUTED_VALUE"""),"36252")</f>
        <v>36252</v>
      </c>
      <c r="B147" s="86">
        <f>IFERROR(__xludf.DUMMYFUNCTION("""COMPUTED_VALUE"""),44641.0)</f>
        <v>44641</v>
      </c>
      <c r="C147" s="64" t="str">
        <f>IFERROR(__xludf.DUMMYFUNCTION("""COMPUTED_VALUE"""),"Stock")</f>
        <v>Stock</v>
      </c>
      <c r="D147" s="90" t="str">
        <f>IFERROR(__xludf.DUMMYFUNCTION("""COMPUTED_VALUE"""),"2607.hk")</f>
        <v>2607.hk</v>
      </c>
      <c r="E147" s="5" t="str">
        <f>IFERROR(__xludf.DUMMYFUNCTION("""COMPUTED_VALUE"""),"HKD")</f>
        <v>HKD</v>
      </c>
      <c r="F147" s="69">
        <f>IFERROR(__xludf.DUMMYFUNCTION("""COMPUTED_VALUE"""),11000.0)</f>
        <v>11000</v>
      </c>
      <c r="G147" s="70">
        <f>IFERROR(__xludf.DUMMYFUNCTION("""COMPUTED_VALUE"""),1.0)</f>
        <v>1</v>
      </c>
      <c r="H147" s="71">
        <f>IFERROR(__xludf.DUMMYFUNCTION("""COMPUTED_VALUE"""),16.58)</f>
        <v>16.58</v>
      </c>
      <c r="I147" s="71">
        <f>IFERROR(__xludf.DUMMYFUNCTION("""COMPUTED_VALUE"""),12.92)</f>
        <v>12.92</v>
      </c>
      <c r="J147" s="88" t="str">
        <f>IFERROR(__xludf.DUMMYFUNCTION("""COMPUTED_VALUE"""),"Goto link: 2607.hk")</f>
        <v>Goto link: 2607.hk</v>
      </c>
      <c r="K147" s="22"/>
      <c r="L147" s="22"/>
      <c r="M147" s="22"/>
      <c r="N147" s="22"/>
      <c r="O147" s="73"/>
      <c r="P147" s="8"/>
      <c r="Q147" s="69"/>
      <c r="R147" s="69"/>
      <c r="S147" s="8"/>
      <c r="T147" s="69"/>
      <c r="U147" s="8"/>
      <c r="V147" s="69"/>
      <c r="W147" s="74"/>
      <c r="X147" s="69"/>
    </row>
    <row r="148">
      <c r="A148" s="30" t="str">
        <f>IFERROR(__xludf.DUMMYFUNCTION("""COMPUTED_VALUE"""),"36252")</f>
        <v>36252</v>
      </c>
      <c r="B148" s="86">
        <f>IFERROR(__xludf.DUMMYFUNCTION("""COMPUTED_VALUE"""),44644.0)</f>
        <v>44644</v>
      </c>
      <c r="C148" s="64" t="str">
        <f>IFERROR(__xludf.DUMMYFUNCTION("""COMPUTED_VALUE"""),"Stock")</f>
        <v>Stock</v>
      </c>
      <c r="D148" s="90" t="str">
        <f>IFERROR(__xludf.DUMMYFUNCTION("""COMPUTED_VALUE"""),"0346.hk")</f>
        <v>0346.hk</v>
      </c>
      <c r="E148" s="5" t="str">
        <f>IFERROR(__xludf.DUMMYFUNCTION("""COMPUTED_VALUE"""),"HKD")</f>
        <v>HKD</v>
      </c>
      <c r="F148" s="69">
        <f>IFERROR(__xludf.DUMMYFUNCTION("""COMPUTED_VALUE"""),-500000.0)</f>
        <v>-500000</v>
      </c>
      <c r="G148" s="70">
        <f>IFERROR(__xludf.DUMMYFUNCTION("""COMPUTED_VALUE"""),1.0)</f>
        <v>1</v>
      </c>
      <c r="H148" s="71">
        <f>IFERROR(__xludf.DUMMYFUNCTION("""COMPUTED_VALUE"""),0.069)</f>
        <v>0.069</v>
      </c>
      <c r="I148" s="71">
        <f>IFERROR(__xludf.DUMMYFUNCTION("""COMPUTED_VALUE"""),0.059)</f>
        <v>0.059</v>
      </c>
      <c r="J148" s="88" t="str">
        <f>IFERROR(__xludf.DUMMYFUNCTION("""COMPUTED_VALUE"""),"Goto link: 0346.hk")</f>
        <v>Goto link: 0346.hk</v>
      </c>
      <c r="K148" s="22"/>
      <c r="L148" s="22"/>
      <c r="M148" s="22"/>
      <c r="N148" s="22"/>
      <c r="O148" s="73"/>
      <c r="P148" s="8"/>
      <c r="Q148" s="69"/>
      <c r="R148" s="69"/>
      <c r="S148" s="8"/>
      <c r="T148" s="69"/>
      <c r="U148" s="8"/>
      <c r="V148" s="69"/>
      <c r="W148" s="74"/>
      <c r="X148" s="69"/>
    </row>
    <row r="149">
      <c r="A149" s="30" t="str">
        <f>IFERROR(__xludf.DUMMYFUNCTION("""COMPUTED_VALUE"""),"36252")</f>
        <v>36252</v>
      </c>
      <c r="B149" s="86">
        <f>IFERROR(__xludf.DUMMYFUNCTION("""COMPUTED_VALUE"""),44644.0)</f>
        <v>44644</v>
      </c>
      <c r="C149" s="64" t="str">
        <f>IFERROR(__xludf.DUMMYFUNCTION("""COMPUTED_VALUE"""),"Stock")</f>
        <v>Stock</v>
      </c>
      <c r="D149" s="90" t="str">
        <f>IFERROR(__xludf.DUMMYFUNCTION("""COMPUTED_VALUE"""),"603261.SS")</f>
        <v>603261.SS</v>
      </c>
      <c r="E149" s="5" t="str">
        <f>IFERROR(__xludf.DUMMYFUNCTION("""COMPUTED_VALUE"""),"CNY")</f>
        <v>CNY</v>
      </c>
      <c r="F149" s="69">
        <f>IFERROR(__xludf.DUMMYFUNCTION("""COMPUTED_VALUE"""),3000.0)</f>
        <v>3000</v>
      </c>
      <c r="G149" s="70">
        <f>IFERROR(__xludf.DUMMYFUNCTION("""COMPUTED_VALUE"""),1.231169)</f>
        <v>1.231169</v>
      </c>
      <c r="H149" s="71">
        <f>IFERROR(__xludf.DUMMYFUNCTION("""COMPUTED_VALUE"""),55.29)</f>
        <v>55.29</v>
      </c>
      <c r="I149" s="71">
        <f>IFERROR(__xludf.DUMMYFUNCTION("""COMPUTED_VALUE"""),45.74)</f>
        <v>45.74</v>
      </c>
      <c r="J149" s="88" t="str">
        <f>IFERROR(__xludf.DUMMYFUNCTION("""COMPUTED_VALUE"""),"Goto link: 603261.SS")</f>
        <v>Goto link: 603261.SS</v>
      </c>
      <c r="K149" s="22"/>
      <c r="L149" s="22"/>
      <c r="M149" s="22"/>
      <c r="N149" s="22"/>
      <c r="O149" s="73"/>
      <c r="P149" s="8"/>
      <c r="Q149" s="69"/>
      <c r="R149" s="69"/>
      <c r="S149" s="8"/>
      <c r="T149" s="69"/>
      <c r="U149" s="8"/>
      <c r="V149" s="69"/>
      <c r="W149" s="74"/>
      <c r="X149" s="69"/>
    </row>
    <row r="150">
      <c r="A150" s="30" t="str">
        <f>IFERROR(__xludf.DUMMYFUNCTION("""COMPUTED_VALUE"""),"36252")</f>
        <v>36252</v>
      </c>
      <c r="B150" s="86">
        <f>IFERROR(__xludf.DUMMYFUNCTION("""COMPUTED_VALUE"""),44645.0)</f>
        <v>44645</v>
      </c>
      <c r="C150" s="64" t="str">
        <f>IFERROR(__xludf.DUMMYFUNCTION("""COMPUTED_VALUE"""),"Stock")</f>
        <v>Stock</v>
      </c>
      <c r="D150" s="90" t="str">
        <f>IFERROR(__xludf.DUMMYFUNCTION("""COMPUTED_VALUE"""),"002864.SZ")</f>
        <v>002864.SZ</v>
      </c>
      <c r="E150" s="5" t="str">
        <f>IFERROR(__xludf.DUMMYFUNCTION("""COMPUTED_VALUE"""),"CNY")</f>
        <v>CNY</v>
      </c>
      <c r="F150" s="69">
        <f>IFERROR(__xludf.DUMMYFUNCTION("""COMPUTED_VALUE"""),600.0)</f>
        <v>600</v>
      </c>
      <c r="G150" s="70">
        <f>IFERROR(__xludf.DUMMYFUNCTION("""COMPUTED_VALUE"""),1.231169)</f>
        <v>1.231169</v>
      </c>
      <c r="H150" s="71">
        <f>IFERROR(__xludf.DUMMYFUNCTION("""COMPUTED_VALUE"""),58.1)</f>
        <v>58.1</v>
      </c>
      <c r="I150" s="71">
        <f>IFERROR(__xludf.DUMMYFUNCTION("""COMPUTED_VALUE"""),45.95)</f>
        <v>45.95</v>
      </c>
      <c r="J150" s="88" t="str">
        <f>IFERROR(__xludf.DUMMYFUNCTION("""COMPUTED_VALUE"""),"Goto link: 002864.SZ")</f>
        <v>Goto link: 002864.SZ</v>
      </c>
      <c r="K150" s="22"/>
      <c r="L150" s="22"/>
      <c r="M150" s="22"/>
      <c r="N150" s="22"/>
      <c r="O150" s="73"/>
      <c r="P150" s="8"/>
      <c r="Q150" s="69"/>
      <c r="R150" s="69"/>
      <c r="S150" s="8"/>
      <c r="T150" s="69"/>
      <c r="U150" s="8"/>
      <c r="V150" s="69"/>
      <c r="W150" s="74"/>
      <c r="X150" s="69"/>
    </row>
    <row r="151">
      <c r="A151" s="30" t="str">
        <f>IFERROR(__xludf.DUMMYFUNCTION("""COMPUTED_VALUE"""),"36252")</f>
        <v>36252</v>
      </c>
      <c r="B151" s="86">
        <f>IFERROR(__xludf.DUMMYFUNCTION("""COMPUTED_VALUE"""),44645.0)</f>
        <v>44645</v>
      </c>
      <c r="C151" s="64" t="str">
        <f>IFERROR(__xludf.DUMMYFUNCTION("""COMPUTED_VALUE"""),"Stock")</f>
        <v>Stock</v>
      </c>
      <c r="D151" s="90" t="str">
        <f>IFERROR(__xludf.DUMMYFUNCTION("""COMPUTED_VALUE"""),"2328.hk")</f>
        <v>2328.hk</v>
      </c>
      <c r="E151" s="5" t="str">
        <f>IFERROR(__xludf.DUMMYFUNCTION("""COMPUTED_VALUE"""),"HKD")</f>
        <v>HKD</v>
      </c>
      <c r="F151" s="69">
        <f>IFERROR(__xludf.DUMMYFUNCTION("""COMPUTED_VALUE"""),-1600.0)</f>
        <v>-1600</v>
      </c>
      <c r="G151" s="70">
        <f>IFERROR(__xludf.DUMMYFUNCTION("""COMPUTED_VALUE"""),1.0)</f>
        <v>1</v>
      </c>
      <c r="H151" s="71">
        <f>IFERROR(__xludf.DUMMYFUNCTION("""COMPUTED_VALUE"""),7.68)</f>
        <v>7.68</v>
      </c>
      <c r="I151" s="71">
        <f>IFERROR(__xludf.DUMMYFUNCTION("""COMPUTED_VALUE"""),8.26)</f>
        <v>8.26</v>
      </c>
      <c r="J151" s="88" t="str">
        <f>IFERROR(__xludf.DUMMYFUNCTION("""COMPUTED_VALUE"""),"Goto link: 2328.hk")</f>
        <v>Goto link: 2328.hk</v>
      </c>
      <c r="K151" s="22"/>
      <c r="L151" s="22"/>
      <c r="M151" s="22"/>
      <c r="N151" s="22"/>
      <c r="O151" s="73"/>
      <c r="P151" s="8"/>
      <c r="Q151" s="69"/>
      <c r="R151" s="69"/>
      <c r="S151" s="8"/>
      <c r="T151" s="69"/>
      <c r="U151" s="8"/>
      <c r="V151" s="69"/>
      <c r="W151" s="74"/>
      <c r="X151" s="69"/>
    </row>
    <row r="152">
      <c r="A152" s="30" t="str">
        <f>IFERROR(__xludf.DUMMYFUNCTION("""COMPUTED_VALUE"""),"36252")</f>
        <v>36252</v>
      </c>
      <c r="B152" s="86">
        <f>IFERROR(__xludf.DUMMYFUNCTION("""COMPUTED_VALUE"""),44645.0)</f>
        <v>44645</v>
      </c>
      <c r="C152" s="64" t="str">
        <f>IFERROR(__xludf.DUMMYFUNCTION("""COMPUTED_VALUE"""),"Stock")</f>
        <v>Stock</v>
      </c>
      <c r="D152" s="90" t="str">
        <f>IFERROR(__xludf.DUMMYFUNCTION("""COMPUTED_VALUE"""),"2607.hk")</f>
        <v>2607.hk</v>
      </c>
      <c r="E152" s="5" t="str">
        <f>IFERROR(__xludf.DUMMYFUNCTION("""COMPUTED_VALUE"""),"HKD")</f>
        <v>HKD</v>
      </c>
      <c r="F152" s="69">
        <f>IFERROR(__xludf.DUMMYFUNCTION("""COMPUTED_VALUE"""),-5000.0)</f>
        <v>-5000</v>
      </c>
      <c r="G152" s="70">
        <f>IFERROR(__xludf.DUMMYFUNCTION("""COMPUTED_VALUE"""),1.0)</f>
        <v>1</v>
      </c>
      <c r="H152" s="71">
        <f>IFERROR(__xludf.DUMMYFUNCTION("""COMPUTED_VALUE"""),15.3)</f>
        <v>15.3</v>
      </c>
      <c r="I152" s="71">
        <f>IFERROR(__xludf.DUMMYFUNCTION("""COMPUTED_VALUE"""),12.92)</f>
        <v>12.92</v>
      </c>
      <c r="J152" s="88" t="str">
        <f>IFERROR(__xludf.DUMMYFUNCTION("""COMPUTED_VALUE"""),"Goto link: 2607.hk")</f>
        <v>Goto link: 2607.hk</v>
      </c>
      <c r="K152" s="22"/>
      <c r="L152" s="22"/>
      <c r="M152" s="22"/>
      <c r="N152" s="22"/>
      <c r="O152" s="73"/>
      <c r="P152" s="8"/>
      <c r="Q152" s="69"/>
      <c r="R152" s="69"/>
      <c r="S152" s="8"/>
      <c r="T152" s="69"/>
      <c r="U152" s="8"/>
      <c r="V152" s="69"/>
      <c r="W152" s="74"/>
      <c r="X152" s="69"/>
    </row>
    <row r="153">
      <c r="A153" s="30" t="str">
        <f>IFERROR(__xludf.DUMMYFUNCTION("""COMPUTED_VALUE"""),"36252")</f>
        <v>36252</v>
      </c>
      <c r="B153" s="86">
        <f>IFERROR(__xludf.DUMMYFUNCTION("""COMPUTED_VALUE"""),44648.0)</f>
        <v>44648</v>
      </c>
      <c r="C153" s="64" t="str">
        <f>IFERROR(__xludf.DUMMYFUNCTION("""COMPUTED_VALUE"""),"Stock")</f>
        <v>Stock</v>
      </c>
      <c r="D153" s="90" t="str">
        <f>IFERROR(__xludf.DUMMYFUNCTION("""COMPUTED_VALUE"""),"002864.SZ")</f>
        <v>002864.SZ</v>
      </c>
      <c r="E153" s="5" t="str">
        <f>IFERROR(__xludf.DUMMYFUNCTION("""COMPUTED_VALUE"""),"CNY")</f>
        <v>CNY</v>
      </c>
      <c r="F153" s="69">
        <f>IFERROR(__xludf.DUMMYFUNCTION("""COMPUTED_VALUE"""),-600.0)</f>
        <v>-600</v>
      </c>
      <c r="G153" s="70">
        <f>IFERROR(__xludf.DUMMYFUNCTION("""COMPUTED_VALUE"""),1.231169)</f>
        <v>1.231169</v>
      </c>
      <c r="H153" s="71">
        <f>IFERROR(__xludf.DUMMYFUNCTION("""COMPUTED_VALUE"""),63.91)</f>
        <v>63.91</v>
      </c>
      <c r="I153" s="71">
        <f>IFERROR(__xludf.DUMMYFUNCTION("""COMPUTED_VALUE"""),45.95)</f>
        <v>45.95</v>
      </c>
      <c r="J153" s="88" t="str">
        <f>IFERROR(__xludf.DUMMYFUNCTION("""COMPUTED_VALUE"""),"Goto link: 002864.SZ")</f>
        <v>Goto link: 002864.SZ</v>
      </c>
      <c r="K153" s="22"/>
      <c r="L153" s="22"/>
      <c r="M153" s="22"/>
      <c r="N153" s="22"/>
      <c r="O153" s="73"/>
      <c r="P153" s="8"/>
      <c r="Q153" s="69"/>
      <c r="R153" s="69"/>
      <c r="S153" s="8"/>
      <c r="T153" s="69"/>
      <c r="U153" s="8"/>
      <c r="V153" s="69"/>
      <c r="W153" s="74"/>
      <c r="X153" s="69"/>
    </row>
    <row r="154">
      <c r="A154" s="30" t="str">
        <f>IFERROR(__xludf.DUMMYFUNCTION("""COMPUTED_VALUE"""),"36252")</f>
        <v>36252</v>
      </c>
      <c r="B154" s="86">
        <f>IFERROR(__xludf.DUMMYFUNCTION("""COMPUTED_VALUE"""),44648.0)</f>
        <v>44648</v>
      </c>
      <c r="C154" s="64" t="str">
        <f>IFERROR(__xludf.DUMMYFUNCTION("""COMPUTED_VALUE"""),"Stock")</f>
        <v>Stock</v>
      </c>
      <c r="D154" s="90" t="str">
        <f>IFERROR(__xludf.DUMMYFUNCTION("""COMPUTED_VALUE"""),"2318.hk")</f>
        <v>2318.hk</v>
      </c>
      <c r="E154" s="5" t="str">
        <f>IFERROR(__xludf.DUMMYFUNCTION("""COMPUTED_VALUE"""),"HKD")</f>
        <v>HKD</v>
      </c>
      <c r="F154" s="69">
        <f>IFERROR(__xludf.DUMMYFUNCTION("""COMPUTED_VALUE"""),-1600.0)</f>
        <v>-1600</v>
      </c>
      <c r="G154" s="70">
        <f>IFERROR(__xludf.DUMMYFUNCTION("""COMPUTED_VALUE"""),1.0)</f>
        <v>1</v>
      </c>
      <c r="H154" s="71">
        <f>IFERROR(__xludf.DUMMYFUNCTION("""COMPUTED_VALUE"""),55.4)</f>
        <v>55.4</v>
      </c>
      <c r="I154" s="71">
        <f>IFERROR(__xludf.DUMMYFUNCTION("""COMPUTED_VALUE"""),55.3)</f>
        <v>55.3</v>
      </c>
      <c r="J154" s="88" t="str">
        <f>IFERROR(__xludf.DUMMYFUNCTION("""COMPUTED_VALUE"""),"Goto link: 2318.hk")</f>
        <v>Goto link: 2318.hk</v>
      </c>
      <c r="K154" s="22"/>
      <c r="L154" s="22"/>
      <c r="M154" s="22"/>
      <c r="N154" s="22"/>
      <c r="O154" s="73"/>
      <c r="P154" s="8"/>
      <c r="Q154" s="69"/>
      <c r="R154" s="69"/>
      <c r="S154" s="8"/>
      <c r="T154" s="69"/>
      <c r="U154" s="8"/>
      <c r="V154" s="69"/>
      <c r="W154" s="74"/>
      <c r="X154" s="69"/>
    </row>
    <row r="155">
      <c r="A155" s="30" t="str">
        <f>IFERROR(__xludf.DUMMYFUNCTION("""COMPUTED_VALUE"""),"36252")</f>
        <v>36252</v>
      </c>
      <c r="B155" s="86">
        <f>IFERROR(__xludf.DUMMYFUNCTION("""COMPUTED_VALUE"""),44648.0)</f>
        <v>44648</v>
      </c>
      <c r="C155" s="64" t="str">
        <f>IFERROR(__xludf.DUMMYFUNCTION("""COMPUTED_VALUE"""),"Stock")</f>
        <v>Stock</v>
      </c>
      <c r="D155" s="90" t="str">
        <f>IFERROR(__xludf.DUMMYFUNCTION("""COMPUTED_VALUE"""),"2328.hk")</f>
        <v>2328.hk</v>
      </c>
      <c r="E155" s="5" t="str">
        <f>IFERROR(__xludf.DUMMYFUNCTION("""COMPUTED_VALUE"""),"HKD")</f>
        <v>HKD</v>
      </c>
      <c r="F155" s="69">
        <f>IFERROR(__xludf.DUMMYFUNCTION("""COMPUTED_VALUE"""),1600.0)</f>
        <v>1600</v>
      </c>
      <c r="G155" s="70">
        <f>IFERROR(__xludf.DUMMYFUNCTION("""COMPUTED_VALUE"""),1.0)</f>
        <v>1</v>
      </c>
      <c r="H155" s="71">
        <f>IFERROR(__xludf.DUMMYFUNCTION("""COMPUTED_VALUE"""),7.6)</f>
        <v>7.6</v>
      </c>
      <c r="I155" s="71">
        <f>IFERROR(__xludf.DUMMYFUNCTION("""COMPUTED_VALUE"""),8.26)</f>
        <v>8.26</v>
      </c>
      <c r="J155" s="88" t="str">
        <f>IFERROR(__xludf.DUMMYFUNCTION("""COMPUTED_VALUE"""),"Goto link: 2328.hk")</f>
        <v>Goto link: 2328.hk</v>
      </c>
      <c r="K155" s="22"/>
      <c r="L155" s="22"/>
      <c r="M155" s="22"/>
      <c r="N155" s="22"/>
      <c r="O155" s="73"/>
      <c r="P155" s="8"/>
      <c r="Q155" s="69"/>
      <c r="R155" s="69"/>
      <c r="S155" s="8"/>
      <c r="T155" s="69"/>
      <c r="U155" s="8"/>
      <c r="V155" s="69"/>
      <c r="W155" s="74"/>
      <c r="X155" s="69"/>
    </row>
    <row r="156">
      <c r="A156" s="30" t="str">
        <f>IFERROR(__xludf.DUMMYFUNCTION("""COMPUTED_VALUE"""),"36252")</f>
        <v>36252</v>
      </c>
      <c r="B156" s="86">
        <f>IFERROR(__xludf.DUMMYFUNCTION("""COMPUTED_VALUE"""),44648.0)</f>
        <v>44648</v>
      </c>
      <c r="C156" s="64" t="str">
        <f>IFERROR(__xludf.DUMMYFUNCTION("""COMPUTED_VALUE"""),"Stock")</f>
        <v>Stock</v>
      </c>
      <c r="D156" s="90" t="str">
        <f>IFERROR(__xludf.DUMMYFUNCTION("""COMPUTED_VALUE"""),"2607.hk")</f>
        <v>2607.hk</v>
      </c>
      <c r="E156" s="5" t="str">
        <f>IFERROR(__xludf.DUMMYFUNCTION("""COMPUTED_VALUE"""),"HKD")</f>
        <v>HKD</v>
      </c>
      <c r="F156" s="69">
        <f>IFERROR(__xludf.DUMMYFUNCTION("""COMPUTED_VALUE"""),-6000.0)</f>
        <v>-6000</v>
      </c>
      <c r="G156" s="70">
        <f>IFERROR(__xludf.DUMMYFUNCTION("""COMPUTED_VALUE"""),1.0)</f>
        <v>1</v>
      </c>
      <c r="H156" s="71">
        <f>IFERROR(__xludf.DUMMYFUNCTION("""COMPUTED_VALUE"""),15.2)</f>
        <v>15.2</v>
      </c>
      <c r="I156" s="71">
        <f>IFERROR(__xludf.DUMMYFUNCTION("""COMPUTED_VALUE"""),12.92)</f>
        <v>12.92</v>
      </c>
      <c r="J156" s="88" t="str">
        <f>IFERROR(__xludf.DUMMYFUNCTION("""COMPUTED_VALUE"""),"Goto link: 2607.hk")</f>
        <v>Goto link: 2607.hk</v>
      </c>
      <c r="K156" s="22"/>
      <c r="L156" s="22"/>
      <c r="M156" s="22"/>
      <c r="N156" s="22"/>
      <c r="O156" s="73"/>
      <c r="P156" s="8"/>
      <c r="Q156" s="69"/>
      <c r="R156" s="69"/>
      <c r="S156" s="8"/>
      <c r="T156" s="69"/>
      <c r="U156" s="8"/>
      <c r="V156" s="69"/>
      <c r="W156" s="74"/>
      <c r="X156" s="69"/>
    </row>
    <row r="157">
      <c r="A157" s="30" t="str">
        <f>IFERROR(__xludf.DUMMYFUNCTION("""COMPUTED_VALUE"""),"36252")</f>
        <v>36252</v>
      </c>
      <c r="B157" s="86">
        <f>IFERROR(__xludf.DUMMYFUNCTION("""COMPUTED_VALUE"""),44650.0)</f>
        <v>44650</v>
      </c>
      <c r="C157" s="64" t="str">
        <f>IFERROR(__xludf.DUMMYFUNCTION("""COMPUTED_VALUE"""),"Stock")</f>
        <v>Stock</v>
      </c>
      <c r="D157" s="90" t="str">
        <f>IFERROR(__xludf.DUMMYFUNCTION("""COMPUTED_VALUE"""),"000545.SZ")</f>
        <v>000545.SZ</v>
      </c>
      <c r="E157" s="5" t="str">
        <f>IFERROR(__xludf.DUMMYFUNCTION("""COMPUTED_VALUE"""),"CNY")</f>
        <v>CNY</v>
      </c>
      <c r="F157" s="69">
        <f>IFERROR(__xludf.DUMMYFUNCTION("""COMPUTED_VALUE"""),10000.0)</f>
        <v>10000</v>
      </c>
      <c r="G157" s="70">
        <f>IFERROR(__xludf.DUMMYFUNCTION("""COMPUTED_VALUE"""),1.231169)</f>
        <v>1.231169</v>
      </c>
      <c r="H157" s="71">
        <f>IFERROR(__xludf.DUMMYFUNCTION("""COMPUTED_VALUE"""),4.71)</f>
        <v>4.71</v>
      </c>
      <c r="I157" s="71">
        <f>IFERROR(__xludf.DUMMYFUNCTION("""COMPUTED_VALUE"""),4.36)</f>
        <v>4.36</v>
      </c>
      <c r="J157" s="88" t="str">
        <f>IFERROR(__xludf.DUMMYFUNCTION("""COMPUTED_VALUE"""),"Goto link: 000545.SZ")</f>
        <v>Goto link: 000545.SZ</v>
      </c>
      <c r="K157" s="22"/>
      <c r="L157" s="22"/>
      <c r="M157" s="22"/>
      <c r="N157" s="22"/>
      <c r="O157" s="73"/>
      <c r="P157" s="8"/>
      <c r="Q157" s="69"/>
      <c r="R157" s="69"/>
      <c r="S157" s="8"/>
      <c r="T157" s="69"/>
      <c r="U157" s="8"/>
      <c r="V157" s="69"/>
      <c r="W157" s="74"/>
      <c r="X157" s="69"/>
    </row>
    <row r="158">
      <c r="A158" s="30" t="str">
        <f>IFERROR(__xludf.DUMMYFUNCTION("""COMPUTED_VALUE"""),"36252")</f>
        <v>36252</v>
      </c>
      <c r="B158" s="86">
        <f>IFERROR(__xludf.DUMMYFUNCTION("""COMPUTED_VALUE"""),44650.0)</f>
        <v>44650</v>
      </c>
      <c r="C158" s="64" t="str">
        <f>IFERROR(__xludf.DUMMYFUNCTION("""COMPUTED_VALUE"""),"Stock")</f>
        <v>Stock</v>
      </c>
      <c r="D158" s="90" t="str">
        <f>IFERROR(__xludf.DUMMYFUNCTION("""COMPUTED_VALUE"""),"603261.SS")</f>
        <v>603261.SS</v>
      </c>
      <c r="E158" s="5" t="str">
        <f>IFERROR(__xludf.DUMMYFUNCTION("""COMPUTED_VALUE"""),"CNY")</f>
        <v>CNY</v>
      </c>
      <c r="F158" s="69">
        <f>IFERROR(__xludf.DUMMYFUNCTION("""COMPUTED_VALUE"""),-3000.0)</f>
        <v>-3000</v>
      </c>
      <c r="G158" s="70">
        <f>IFERROR(__xludf.DUMMYFUNCTION("""COMPUTED_VALUE"""),1.231169)</f>
        <v>1.231169</v>
      </c>
      <c r="H158" s="71">
        <f>IFERROR(__xludf.DUMMYFUNCTION("""COMPUTED_VALUE"""),66.23)</f>
        <v>66.23</v>
      </c>
      <c r="I158" s="71">
        <f>IFERROR(__xludf.DUMMYFUNCTION("""COMPUTED_VALUE"""),45.74)</f>
        <v>45.74</v>
      </c>
      <c r="J158" s="88" t="str">
        <f>IFERROR(__xludf.DUMMYFUNCTION("""COMPUTED_VALUE"""),"Goto link: 603261.SS")</f>
        <v>Goto link: 603261.SS</v>
      </c>
      <c r="K158" s="22"/>
      <c r="L158" s="22"/>
      <c r="M158" s="22"/>
      <c r="N158" s="22"/>
      <c r="O158" s="73"/>
      <c r="P158" s="8"/>
      <c r="Q158" s="69"/>
      <c r="R158" s="69"/>
      <c r="S158" s="8"/>
      <c r="T158" s="69"/>
      <c r="U158" s="8"/>
      <c r="V158" s="69"/>
      <c r="W158" s="74"/>
      <c r="X158" s="69"/>
    </row>
    <row r="159">
      <c r="A159" s="30" t="str">
        <f>IFERROR(__xludf.DUMMYFUNCTION("""COMPUTED_VALUE"""),"36252")</f>
        <v>36252</v>
      </c>
      <c r="B159" s="86">
        <f>IFERROR(__xludf.DUMMYFUNCTION("""COMPUTED_VALUE"""),44651.0)</f>
        <v>44651</v>
      </c>
      <c r="C159" s="64" t="str">
        <f>IFERROR(__xludf.DUMMYFUNCTION("""COMPUTED_VALUE"""),"Stock")</f>
        <v>Stock</v>
      </c>
      <c r="D159" s="90" t="str">
        <f>IFERROR(__xludf.DUMMYFUNCTION("""COMPUTED_VALUE"""),"000545.SZ")</f>
        <v>000545.SZ</v>
      </c>
      <c r="E159" s="5" t="str">
        <f>IFERROR(__xludf.DUMMYFUNCTION("""COMPUTED_VALUE"""),"CNY")</f>
        <v>CNY</v>
      </c>
      <c r="F159" s="69">
        <f>IFERROR(__xludf.DUMMYFUNCTION("""COMPUTED_VALUE"""),-10000.0)</f>
        <v>-10000</v>
      </c>
      <c r="G159" s="70">
        <f>IFERROR(__xludf.DUMMYFUNCTION("""COMPUTED_VALUE"""),1.231169)</f>
        <v>1.231169</v>
      </c>
      <c r="H159" s="71">
        <f>IFERROR(__xludf.DUMMYFUNCTION("""COMPUTED_VALUE"""),5.18)</f>
        <v>5.18</v>
      </c>
      <c r="I159" s="71">
        <f>IFERROR(__xludf.DUMMYFUNCTION("""COMPUTED_VALUE"""),4.36)</f>
        <v>4.36</v>
      </c>
      <c r="J159" s="88" t="str">
        <f>IFERROR(__xludf.DUMMYFUNCTION("""COMPUTED_VALUE"""),"Goto link: 000545.SZ")</f>
        <v>Goto link: 000545.SZ</v>
      </c>
      <c r="K159" s="22"/>
      <c r="L159" s="22"/>
      <c r="M159" s="22"/>
      <c r="N159" s="22"/>
      <c r="O159" s="73"/>
      <c r="P159" s="8"/>
      <c r="Q159" s="69"/>
      <c r="R159" s="69"/>
      <c r="S159" s="8"/>
      <c r="T159" s="69"/>
      <c r="U159" s="8"/>
      <c r="V159" s="69"/>
      <c r="W159" s="74"/>
      <c r="X159" s="69"/>
    </row>
    <row r="160">
      <c r="A160" s="30" t="str">
        <f>IFERROR(__xludf.DUMMYFUNCTION("""COMPUTED_VALUE"""),"36252")</f>
        <v>36252</v>
      </c>
      <c r="B160" s="86">
        <f>IFERROR(__xludf.DUMMYFUNCTION("""COMPUTED_VALUE"""),44651.0)</f>
        <v>44651</v>
      </c>
      <c r="C160" s="64" t="str">
        <f>IFERROR(__xludf.DUMMYFUNCTION("""COMPUTED_VALUE"""),"Stock")</f>
        <v>Stock</v>
      </c>
      <c r="D160" s="90" t="str">
        <f>IFERROR(__xludf.DUMMYFUNCTION("""COMPUTED_VALUE"""),"603051.SS")</f>
        <v>603051.SS</v>
      </c>
      <c r="E160" s="5" t="str">
        <f>IFERROR(__xludf.DUMMYFUNCTION("""COMPUTED_VALUE"""),"CNY")</f>
        <v>CNY</v>
      </c>
      <c r="F160" s="69">
        <f>IFERROR(__xludf.DUMMYFUNCTION("""COMPUTED_VALUE"""),500.0)</f>
        <v>500</v>
      </c>
      <c r="G160" s="70">
        <f>IFERROR(__xludf.DUMMYFUNCTION("""COMPUTED_VALUE"""),1.231169)</f>
        <v>1.231169</v>
      </c>
      <c r="H160" s="71">
        <f>IFERROR(__xludf.DUMMYFUNCTION("""COMPUTED_VALUE"""),54.37)</f>
        <v>54.37</v>
      </c>
      <c r="I160" s="71">
        <f>IFERROR(__xludf.DUMMYFUNCTION("""COMPUTED_VALUE"""),49.41)</f>
        <v>49.41</v>
      </c>
      <c r="J160" s="88" t="str">
        <f>IFERROR(__xludf.DUMMYFUNCTION("""COMPUTED_VALUE"""),"Goto link: 603051.SS")</f>
        <v>Goto link: 603051.SS</v>
      </c>
      <c r="K160" s="22"/>
      <c r="L160" s="22"/>
      <c r="M160" s="22"/>
      <c r="N160" s="22"/>
      <c r="O160" s="73"/>
      <c r="P160" s="8"/>
      <c r="Q160" s="69"/>
      <c r="R160" s="69"/>
      <c r="S160" s="8"/>
      <c r="T160" s="69"/>
      <c r="U160" s="8"/>
      <c r="V160" s="69"/>
      <c r="W160" s="74"/>
      <c r="X160" s="69"/>
    </row>
    <row r="161">
      <c r="A161" s="30" t="str">
        <f>IFERROR(__xludf.DUMMYFUNCTION("""COMPUTED_VALUE"""),"36252")</f>
        <v>36252</v>
      </c>
      <c r="B161" s="86">
        <f>IFERROR(__xludf.DUMMYFUNCTION("""COMPUTED_VALUE"""),44651.0)</f>
        <v>44651</v>
      </c>
      <c r="C161" s="64" t="str">
        <f>IFERROR(__xludf.DUMMYFUNCTION("""COMPUTED_VALUE"""),"Stock")</f>
        <v>Stock</v>
      </c>
      <c r="D161" s="90" t="str">
        <f>IFERROR(__xludf.DUMMYFUNCTION("""COMPUTED_VALUE"""),"603051.SS")</f>
        <v>603051.SS</v>
      </c>
      <c r="E161" s="5" t="str">
        <f>IFERROR(__xludf.DUMMYFUNCTION("""COMPUTED_VALUE"""),"CNY")</f>
        <v>CNY</v>
      </c>
      <c r="F161" s="69">
        <f>IFERROR(__xludf.DUMMYFUNCTION("""COMPUTED_VALUE"""),1500.0)</f>
        <v>1500</v>
      </c>
      <c r="G161" s="70">
        <f>IFERROR(__xludf.DUMMYFUNCTION("""COMPUTED_VALUE"""),1.231169)</f>
        <v>1.231169</v>
      </c>
      <c r="H161" s="71">
        <f>IFERROR(__xludf.DUMMYFUNCTION("""COMPUTED_VALUE"""),54.37)</f>
        <v>54.37</v>
      </c>
      <c r="I161" s="71">
        <f>IFERROR(__xludf.DUMMYFUNCTION("""COMPUTED_VALUE"""),49.41)</f>
        <v>49.41</v>
      </c>
      <c r="J161" s="88" t="str">
        <f>IFERROR(__xludf.DUMMYFUNCTION("""COMPUTED_VALUE"""),"Goto link: 603051.SS")</f>
        <v>Goto link: 603051.SS</v>
      </c>
      <c r="K161" s="22"/>
      <c r="L161" s="22"/>
      <c r="M161" s="22"/>
      <c r="N161" s="22"/>
      <c r="O161" s="73"/>
      <c r="P161" s="8"/>
      <c r="Q161" s="69"/>
      <c r="R161" s="69"/>
      <c r="S161" s="8"/>
      <c r="T161" s="69"/>
      <c r="U161" s="8"/>
      <c r="V161" s="69"/>
      <c r="W161" s="74"/>
      <c r="X161" s="69"/>
    </row>
    <row r="162">
      <c r="A162" s="30" t="str">
        <f>IFERROR(__xludf.DUMMYFUNCTION("""COMPUTED_VALUE"""),"36252")</f>
        <v>36252</v>
      </c>
      <c r="B162" s="86">
        <f>IFERROR(__xludf.DUMMYFUNCTION("""COMPUTED_VALUE"""),44654.0)</f>
        <v>44654</v>
      </c>
      <c r="C162" s="64" t="str">
        <f>IFERROR(__xludf.DUMMYFUNCTION("""COMPUTED_VALUE"""),"Stock")</f>
        <v>Stock</v>
      </c>
      <c r="D162" s="90" t="str">
        <f>IFERROR(__xludf.DUMMYFUNCTION("""COMPUTED_VALUE"""),"603051.SS")</f>
        <v>603051.SS</v>
      </c>
      <c r="E162" s="5" t="str">
        <f>IFERROR(__xludf.DUMMYFUNCTION("""COMPUTED_VALUE"""),"CNY")</f>
        <v>CNY</v>
      </c>
      <c r="F162" s="69">
        <f>IFERROR(__xludf.DUMMYFUNCTION("""COMPUTED_VALUE"""),-2000.0)</f>
        <v>-2000</v>
      </c>
      <c r="G162" s="70">
        <f>IFERROR(__xludf.DUMMYFUNCTION("""COMPUTED_VALUE"""),1.231169)</f>
        <v>1.231169</v>
      </c>
      <c r="H162" s="71">
        <f>IFERROR(__xludf.DUMMYFUNCTION("""COMPUTED_VALUE"""),59.81)</f>
        <v>59.81</v>
      </c>
      <c r="I162" s="71">
        <f>IFERROR(__xludf.DUMMYFUNCTION("""COMPUTED_VALUE"""),49.41)</f>
        <v>49.41</v>
      </c>
      <c r="J162" s="88" t="str">
        <f>IFERROR(__xludf.DUMMYFUNCTION("""COMPUTED_VALUE"""),"Goto link: 603051.SS")</f>
        <v>Goto link: 603051.SS</v>
      </c>
      <c r="K162" s="22"/>
      <c r="L162" s="22"/>
      <c r="M162" s="22"/>
      <c r="N162" s="22"/>
      <c r="O162" s="73"/>
      <c r="P162" s="8"/>
      <c r="Q162" s="69"/>
      <c r="R162" s="69"/>
      <c r="S162" s="8"/>
      <c r="T162" s="69"/>
      <c r="U162" s="8"/>
      <c r="V162" s="69"/>
      <c r="W162" s="74"/>
      <c r="X162" s="69"/>
    </row>
    <row r="163">
      <c r="A163" s="30" t="str">
        <f>IFERROR(__xludf.DUMMYFUNCTION("""COMPUTED_VALUE"""),"36252 Total")</f>
        <v>36252 Total</v>
      </c>
      <c r="B163" s="5"/>
      <c r="C163" s="64"/>
      <c r="D163" s="85"/>
      <c r="E163" s="5"/>
      <c r="F163" s="69"/>
      <c r="G163" s="70">
        <f>IFERROR(__xludf.DUMMYFUNCTION("""COMPUTED_VALUE"""),1.109501105263158)</f>
        <v>1.109501105</v>
      </c>
      <c r="H163" s="71">
        <f>IFERROR(__xludf.DUMMYFUNCTION("""COMPUTED_VALUE"""),66.23)</f>
        <v>66.23</v>
      </c>
      <c r="I163" s="71" t="str">
        <f>IFERROR(__xludf.DUMMYFUNCTION("""COMPUTED_VALUE"""),"")</f>
        <v/>
      </c>
      <c r="J163" s="22" t="str">
        <f>IFERROR(__xludf.DUMMYFUNCTION("""COMPUTED_VALUE"""),"")</f>
        <v/>
      </c>
      <c r="K163" s="22"/>
      <c r="L163" s="22"/>
      <c r="M163" s="22"/>
      <c r="N163" s="22"/>
      <c r="O163" s="73"/>
      <c r="P163" s="8"/>
      <c r="Q163" s="69"/>
      <c r="R163" s="69"/>
      <c r="S163" s="8"/>
      <c r="T163" s="69"/>
      <c r="U163" s="8"/>
      <c r="V163" s="69"/>
      <c r="W163" s="74"/>
      <c r="X163" s="69"/>
    </row>
    <row r="164">
      <c r="A164" s="30" t="str">
        <f>IFERROR(__xludf.DUMMYFUNCTION("""COMPUTED_VALUE"""),"36460")</f>
        <v>36460</v>
      </c>
      <c r="B164" s="86">
        <f>IFERROR(__xludf.DUMMYFUNCTION("""COMPUTED_VALUE"""),44597.0)</f>
        <v>44597</v>
      </c>
      <c r="C164" s="64" t="str">
        <f>IFERROR(__xludf.DUMMYFUNCTION("""COMPUTED_VALUE"""),"Cash")</f>
        <v>Cash</v>
      </c>
      <c r="D164" s="85" t="str">
        <f>IFERROR(__xludf.DUMMYFUNCTION("""COMPUTED_VALUE"""),"Cash")</f>
        <v>Cash</v>
      </c>
      <c r="E164" s="5" t="str">
        <f>IFERROR(__xludf.DUMMYFUNCTION("""COMPUTED_VALUE"""),"HKD")</f>
        <v>HKD</v>
      </c>
      <c r="F164" s="69" t="str">
        <f>IFERROR(__xludf.DUMMYFUNCTION("""COMPUTED_VALUE"""),"")</f>
        <v/>
      </c>
      <c r="G164" s="70">
        <f>IFERROR(__xludf.DUMMYFUNCTION("""COMPUTED_VALUE"""),1.0)</f>
        <v>1</v>
      </c>
      <c r="H164" s="71">
        <f>IFERROR(__xludf.DUMMYFUNCTION("""COMPUTED_VALUE"""),1.0)</f>
        <v>1</v>
      </c>
      <c r="I164" s="71">
        <f>IFERROR(__xludf.DUMMYFUNCTION("""COMPUTED_VALUE"""),1.0)</f>
        <v>1</v>
      </c>
      <c r="J164" s="22" t="str">
        <f>IFERROR(__xludf.DUMMYFUNCTION("""COMPUTED_VALUE"""),"")</f>
        <v/>
      </c>
      <c r="K164" s="22"/>
      <c r="L164" s="22"/>
      <c r="M164" s="22"/>
      <c r="N164" s="22"/>
      <c r="O164" s="73"/>
      <c r="P164" s="8"/>
      <c r="Q164" s="69"/>
      <c r="R164" s="69"/>
      <c r="S164" s="8"/>
      <c r="T164" s="69"/>
      <c r="U164" s="8"/>
      <c r="V164" s="69"/>
      <c r="W164" s="74"/>
      <c r="X164" s="69"/>
    </row>
    <row r="165">
      <c r="A165" s="30" t="str">
        <f>IFERROR(__xludf.DUMMYFUNCTION("""COMPUTED_VALUE"""),"36460")</f>
        <v>36460</v>
      </c>
      <c r="B165" s="86">
        <f>IFERROR(__xludf.DUMMYFUNCTION("""COMPUTED_VALUE"""),44613.0)</f>
        <v>44613</v>
      </c>
      <c r="C165" s="64" t="str">
        <f>IFERROR(__xludf.DUMMYFUNCTION("""COMPUTED_VALUE"""),"Stock")</f>
        <v>Stock</v>
      </c>
      <c r="D165" s="90" t="str">
        <f>IFERROR(__xludf.DUMMYFUNCTION("""COMPUTED_VALUE"""),"0700.HK")</f>
        <v>0700.HK</v>
      </c>
      <c r="E165" s="5" t="str">
        <f>IFERROR(__xludf.DUMMYFUNCTION("""COMPUTED_VALUE"""),"HKD")</f>
        <v>HKD</v>
      </c>
      <c r="F165" s="69">
        <f>IFERROR(__xludf.DUMMYFUNCTION("""COMPUTED_VALUE"""),200.0)</f>
        <v>200</v>
      </c>
      <c r="G165" s="70">
        <f>IFERROR(__xludf.DUMMYFUNCTION("""COMPUTED_VALUE"""),1.0)</f>
        <v>1</v>
      </c>
      <c r="H165" s="71">
        <f>IFERROR(__xludf.DUMMYFUNCTION("""COMPUTED_VALUE"""),470.0)</f>
        <v>470</v>
      </c>
      <c r="I165" s="71">
        <f>IFERROR(__xludf.DUMMYFUNCTION("""COMPUTED_VALUE"""),373.6)</f>
        <v>373.6</v>
      </c>
      <c r="J165" s="88" t="str">
        <f>IFERROR(__xludf.DUMMYFUNCTION("""COMPUTED_VALUE"""),"Goto link: 0700.HK")</f>
        <v>Goto link: 0700.HK</v>
      </c>
      <c r="K165" s="22"/>
      <c r="L165" s="22"/>
      <c r="M165" s="22"/>
      <c r="N165" s="22"/>
      <c r="O165" s="73"/>
      <c r="P165" s="8"/>
      <c r="Q165" s="69"/>
      <c r="R165" s="69"/>
      <c r="S165" s="8"/>
      <c r="T165" s="69"/>
      <c r="U165" s="8"/>
      <c r="V165" s="69"/>
      <c r="W165" s="74"/>
      <c r="X165" s="69"/>
    </row>
    <row r="166">
      <c r="A166" s="30" t="str">
        <f>IFERROR(__xludf.DUMMYFUNCTION("""COMPUTED_VALUE"""),"36460")</f>
        <v>36460</v>
      </c>
      <c r="B166" s="86">
        <f>IFERROR(__xludf.DUMMYFUNCTION("""COMPUTED_VALUE"""),44616.0)</f>
        <v>44616</v>
      </c>
      <c r="C166" s="64" t="str">
        <f>IFERROR(__xludf.DUMMYFUNCTION("""COMPUTED_VALUE"""),"Stock")</f>
        <v>Stock</v>
      </c>
      <c r="D166" s="87" t="str">
        <f>IFERROR(__xludf.DUMMYFUNCTION("""COMPUTED_VALUE"""),"CL=F")</f>
        <v>CL=F</v>
      </c>
      <c r="E166" s="5" t="str">
        <f>IFERROR(__xludf.DUMMYFUNCTION("""COMPUTED_VALUE"""),"USD")</f>
        <v>USD</v>
      </c>
      <c r="F166" s="69" t="str">
        <f>IFERROR(__xludf.DUMMYFUNCTION("""COMPUTED_VALUE"""),"")</f>
        <v/>
      </c>
      <c r="G166" s="70">
        <f>IFERROR(__xludf.DUMMYFUNCTION("""COMPUTED_VALUE"""),7.83915)</f>
        <v>7.83915</v>
      </c>
      <c r="H166" s="71">
        <f>IFERROR(__xludf.DUMMYFUNCTION("""COMPUTED_VALUE"""),92.81)</f>
        <v>92.81</v>
      </c>
      <c r="I166" s="71">
        <f>IFERROR(__xludf.DUMMYFUNCTION("""COMPUTED_VALUE"""),104.31)</f>
        <v>104.31</v>
      </c>
      <c r="J166" s="88" t="str">
        <f>IFERROR(__xludf.DUMMYFUNCTION("""COMPUTED_VALUE"""),"Goto link: CL=F")</f>
        <v>Goto link: CL=F</v>
      </c>
      <c r="K166" s="22"/>
      <c r="L166" s="22"/>
      <c r="M166" s="22"/>
      <c r="N166" s="22"/>
      <c r="O166" s="73"/>
      <c r="P166" s="8"/>
      <c r="Q166" s="69"/>
      <c r="R166" s="69"/>
      <c r="S166" s="8"/>
      <c r="T166" s="69"/>
      <c r="U166" s="8"/>
      <c r="V166" s="69"/>
      <c r="W166" s="74"/>
      <c r="X166" s="69"/>
    </row>
    <row r="167">
      <c r="A167" s="30" t="str">
        <f>IFERROR(__xludf.DUMMYFUNCTION("""COMPUTED_VALUE"""),"36460")</f>
        <v>36460</v>
      </c>
      <c r="B167" s="86">
        <f>IFERROR(__xludf.DUMMYFUNCTION("""COMPUTED_VALUE"""),44616.0)</f>
        <v>44616</v>
      </c>
      <c r="C167" s="64" t="str">
        <f>IFERROR(__xludf.DUMMYFUNCTION("""COMPUTED_VALUE"""),"Stock")</f>
        <v>Stock</v>
      </c>
      <c r="D167" s="87" t="str">
        <f>IFERROR(__xludf.DUMMYFUNCTION("""COMPUTED_VALUE"""),"TSLA")</f>
        <v>TSLA</v>
      </c>
      <c r="E167" s="5" t="str">
        <f>IFERROR(__xludf.DUMMYFUNCTION("""COMPUTED_VALUE"""),"USD")</f>
        <v>USD</v>
      </c>
      <c r="F167" s="69">
        <f>IFERROR(__xludf.DUMMYFUNCTION("""COMPUTED_VALUE"""),100.0)</f>
        <v>100</v>
      </c>
      <c r="G167" s="70">
        <f>IFERROR(__xludf.DUMMYFUNCTION("""COMPUTED_VALUE"""),7.83915)</f>
        <v>7.83915</v>
      </c>
      <c r="H167" s="71">
        <f>IFERROR(__xludf.DUMMYFUNCTION("""COMPUTED_VALUE"""),800.77)</f>
        <v>800.77</v>
      </c>
      <c r="I167" s="71">
        <f>IFERROR(__xludf.DUMMYFUNCTION("""COMPUTED_VALUE"""),1022.37)</f>
        <v>1022.37</v>
      </c>
      <c r="J167" s="88" t="str">
        <f>IFERROR(__xludf.DUMMYFUNCTION("""COMPUTED_VALUE"""),"Goto link: TSLA")</f>
        <v>Goto link: TSLA</v>
      </c>
      <c r="K167" s="22"/>
      <c r="L167" s="22"/>
      <c r="M167" s="22"/>
      <c r="N167" s="22"/>
      <c r="O167" s="73"/>
      <c r="P167" s="8"/>
      <c r="Q167" s="69"/>
      <c r="R167" s="69"/>
      <c r="S167" s="8"/>
      <c r="T167" s="69"/>
      <c r="U167" s="8"/>
      <c r="V167" s="69"/>
      <c r="W167" s="74"/>
      <c r="X167" s="69"/>
    </row>
    <row r="168">
      <c r="A168" s="30" t="str">
        <f>IFERROR(__xludf.DUMMYFUNCTION("""COMPUTED_VALUE"""),"36460")</f>
        <v>36460</v>
      </c>
      <c r="B168" s="86">
        <f>IFERROR(__xludf.DUMMYFUNCTION("""COMPUTED_VALUE"""),44620.0)</f>
        <v>44620</v>
      </c>
      <c r="C168" s="64" t="str">
        <f>IFERROR(__xludf.DUMMYFUNCTION("""COMPUTED_VALUE"""),"Stock")</f>
        <v>Stock</v>
      </c>
      <c r="D168" s="87" t="str">
        <f>IFERROR(__xludf.DUMMYFUNCTION("""COMPUTED_VALUE"""),"TSLA")</f>
        <v>TSLA</v>
      </c>
      <c r="E168" s="5" t="str">
        <f>IFERROR(__xludf.DUMMYFUNCTION("""COMPUTED_VALUE"""),"USD")</f>
        <v>USD</v>
      </c>
      <c r="F168" s="69">
        <f>IFERROR(__xludf.DUMMYFUNCTION("""COMPUTED_VALUE"""),-80.0)</f>
        <v>-80</v>
      </c>
      <c r="G168" s="70">
        <f>IFERROR(__xludf.DUMMYFUNCTION("""COMPUTED_VALUE"""),7.83915)</f>
        <v>7.83915</v>
      </c>
      <c r="H168" s="71">
        <f>IFERROR(__xludf.DUMMYFUNCTION("""COMPUTED_VALUE"""),870.43)</f>
        <v>870.43</v>
      </c>
      <c r="I168" s="71">
        <f>IFERROR(__xludf.DUMMYFUNCTION("""COMPUTED_VALUE"""),1022.37)</f>
        <v>1022.37</v>
      </c>
      <c r="J168" s="88" t="str">
        <f>IFERROR(__xludf.DUMMYFUNCTION("""COMPUTED_VALUE"""),"Goto link: TSLA")</f>
        <v>Goto link: TSLA</v>
      </c>
      <c r="K168" s="22"/>
      <c r="L168" s="22"/>
      <c r="M168" s="22"/>
      <c r="N168" s="22"/>
      <c r="O168" s="73"/>
      <c r="P168" s="8"/>
      <c r="Q168" s="69"/>
      <c r="R168" s="69"/>
      <c r="S168" s="8"/>
      <c r="T168" s="69"/>
      <c r="U168" s="8"/>
      <c r="V168" s="69"/>
      <c r="W168" s="74"/>
      <c r="X168" s="69"/>
    </row>
    <row r="169">
      <c r="A169" s="30" t="str">
        <f>IFERROR(__xludf.DUMMYFUNCTION("""COMPUTED_VALUE"""),"36460")</f>
        <v>36460</v>
      </c>
      <c r="B169" s="86">
        <f>IFERROR(__xludf.DUMMYFUNCTION("""COMPUTED_VALUE"""),44643.0)</f>
        <v>44643</v>
      </c>
      <c r="C169" s="64" t="str">
        <f>IFERROR(__xludf.DUMMYFUNCTION("""COMPUTED_VALUE"""),"Option")</f>
        <v>Option</v>
      </c>
      <c r="D169" s="87" t="str">
        <f>IFERROR(__xludf.DUMMYFUNCTION("""COMPUTED_VALUE"""),"F220325C00010000")</f>
        <v>F220325C00010000</v>
      </c>
      <c r="E169" s="5" t="str">
        <f>IFERROR(__xludf.DUMMYFUNCTION("""COMPUTED_VALUE"""),"USD")</f>
        <v>USD</v>
      </c>
      <c r="F169" s="69">
        <f>IFERROR(__xludf.DUMMYFUNCTION("""COMPUTED_VALUE"""),1.0)</f>
        <v>1</v>
      </c>
      <c r="G169" s="70">
        <f>IFERROR(__xludf.DUMMYFUNCTION("""COMPUTED_VALUE"""),7.83915)</f>
        <v>7.83915</v>
      </c>
      <c r="H169" s="71">
        <f>IFERROR(__xludf.DUMMYFUNCTION("""COMPUTED_VALUE"""),6.65)</f>
        <v>6.65</v>
      </c>
      <c r="I169" s="71">
        <f>IFERROR(__xludf.DUMMYFUNCTION("""COMPUTED_VALUE"""),0.0)</f>
        <v>0</v>
      </c>
      <c r="J169" s="22" t="str">
        <f>IFERROR(__xludf.DUMMYFUNCTION("""COMPUTED_VALUE"""),"")</f>
        <v/>
      </c>
      <c r="K169" s="22"/>
      <c r="L169" s="22"/>
      <c r="M169" s="22"/>
      <c r="N169" s="22"/>
      <c r="O169" s="73"/>
      <c r="P169" s="8"/>
      <c r="Q169" s="69"/>
      <c r="R169" s="69"/>
      <c r="S169" s="8"/>
      <c r="T169" s="69"/>
      <c r="U169" s="8"/>
      <c r="V169" s="69"/>
      <c r="W169" s="74"/>
      <c r="X169" s="69"/>
    </row>
    <row r="170">
      <c r="A170" s="30" t="str">
        <f>IFERROR(__xludf.DUMMYFUNCTION("""COMPUTED_VALUE"""),"36460")</f>
        <v>36460</v>
      </c>
      <c r="B170" s="86">
        <f>IFERROR(__xludf.DUMMYFUNCTION("""COMPUTED_VALUE"""),44643.0)</f>
        <v>44643</v>
      </c>
      <c r="C170" s="64" t="str">
        <f>IFERROR(__xludf.DUMMYFUNCTION("""COMPUTED_VALUE"""),"Stock")</f>
        <v>Stock</v>
      </c>
      <c r="D170" s="90" t="str">
        <f>IFERROR(__xludf.DUMMYFUNCTION("""COMPUTED_VALUE"""),"0700.HK")</f>
        <v>0700.HK</v>
      </c>
      <c r="E170" s="5" t="str">
        <f>IFERROR(__xludf.DUMMYFUNCTION("""COMPUTED_VALUE"""),"HKD")</f>
        <v>HKD</v>
      </c>
      <c r="F170" s="69">
        <f>IFERROR(__xludf.DUMMYFUNCTION("""COMPUTED_VALUE"""),-150.0)</f>
        <v>-150</v>
      </c>
      <c r="G170" s="70">
        <f>IFERROR(__xludf.DUMMYFUNCTION("""COMPUTED_VALUE"""),1.0)</f>
        <v>1</v>
      </c>
      <c r="H170" s="71">
        <f>IFERROR(__xludf.DUMMYFUNCTION("""COMPUTED_VALUE"""),389.0)</f>
        <v>389</v>
      </c>
      <c r="I170" s="71">
        <f>IFERROR(__xludf.DUMMYFUNCTION("""COMPUTED_VALUE"""),373.6)</f>
        <v>373.6</v>
      </c>
      <c r="J170" s="88" t="str">
        <f>IFERROR(__xludf.DUMMYFUNCTION("""COMPUTED_VALUE"""),"Goto link: 0700.HK")</f>
        <v>Goto link: 0700.HK</v>
      </c>
      <c r="K170" s="22"/>
      <c r="L170" s="22"/>
      <c r="M170" s="22"/>
      <c r="N170" s="22"/>
      <c r="O170" s="73"/>
      <c r="P170" s="8"/>
      <c r="Q170" s="69"/>
      <c r="R170" s="69"/>
      <c r="S170" s="8"/>
      <c r="T170" s="69"/>
      <c r="U170" s="8"/>
      <c r="V170" s="69"/>
      <c r="W170" s="74"/>
      <c r="X170" s="69"/>
    </row>
    <row r="171">
      <c r="A171" s="30" t="str">
        <f>IFERROR(__xludf.DUMMYFUNCTION("""COMPUTED_VALUE"""),"36460")</f>
        <v>36460</v>
      </c>
      <c r="B171" s="86">
        <f>IFERROR(__xludf.DUMMYFUNCTION("""COMPUTED_VALUE"""),44645.0)</f>
        <v>44645</v>
      </c>
      <c r="C171" s="64" t="str">
        <f>IFERROR(__xludf.DUMMYFUNCTION("""COMPUTED_VALUE"""),"Option")</f>
        <v>Option</v>
      </c>
      <c r="D171" s="87" t="str">
        <f>IFERROR(__xludf.DUMMYFUNCTION("""COMPUTED_VALUE"""),"F220325C00010000")</f>
        <v>F220325C00010000</v>
      </c>
      <c r="E171" s="5" t="str">
        <f>IFERROR(__xludf.DUMMYFUNCTION("""COMPUTED_VALUE"""),"USD")</f>
        <v>USD</v>
      </c>
      <c r="F171" s="69">
        <f>IFERROR(__xludf.DUMMYFUNCTION("""COMPUTED_VALUE"""),-1.0)</f>
        <v>-1</v>
      </c>
      <c r="G171" s="70">
        <f>IFERROR(__xludf.DUMMYFUNCTION("""COMPUTED_VALUE"""),7.83915)</f>
        <v>7.83915</v>
      </c>
      <c r="H171" s="71">
        <f>IFERROR(__xludf.DUMMYFUNCTION("""COMPUTED_VALUE"""),6.37)</f>
        <v>6.37</v>
      </c>
      <c r="I171" s="71">
        <f>IFERROR(__xludf.DUMMYFUNCTION("""COMPUTED_VALUE"""),0.0)</f>
        <v>0</v>
      </c>
      <c r="J171" s="22" t="str">
        <f>IFERROR(__xludf.DUMMYFUNCTION("""COMPUTED_VALUE"""),"")</f>
        <v/>
      </c>
      <c r="K171" s="22"/>
      <c r="L171" s="22"/>
      <c r="M171" s="22"/>
      <c r="N171" s="22"/>
      <c r="O171" s="73"/>
      <c r="P171" s="8"/>
      <c r="Q171" s="69"/>
      <c r="R171" s="69"/>
      <c r="S171" s="8"/>
      <c r="T171" s="69"/>
      <c r="U171" s="8"/>
      <c r="V171" s="69"/>
      <c r="W171" s="74"/>
      <c r="X171" s="69"/>
    </row>
    <row r="172">
      <c r="A172" s="30" t="str">
        <f>IFERROR(__xludf.DUMMYFUNCTION("""COMPUTED_VALUE"""),"36460")</f>
        <v>36460</v>
      </c>
      <c r="B172" s="86">
        <f>IFERROR(__xludf.DUMMYFUNCTION("""COMPUTED_VALUE"""),44652.0)</f>
        <v>44652</v>
      </c>
      <c r="C172" s="64" t="str">
        <f>IFERROR(__xludf.DUMMYFUNCTION("""COMPUTED_VALUE"""),"Stock")</f>
        <v>Stock</v>
      </c>
      <c r="D172" s="87" t="str">
        <f>IFERROR(__xludf.DUMMYFUNCTION("""COMPUTED_VALUE"""),"TSLA")</f>
        <v>TSLA</v>
      </c>
      <c r="E172" s="5" t="str">
        <f>IFERROR(__xludf.DUMMYFUNCTION("""COMPUTED_VALUE"""),"USD")</f>
        <v>USD</v>
      </c>
      <c r="F172" s="69">
        <f>IFERROR(__xludf.DUMMYFUNCTION("""COMPUTED_VALUE"""),-20.0)</f>
        <v>-20</v>
      </c>
      <c r="G172" s="70">
        <f>IFERROR(__xludf.DUMMYFUNCTION("""COMPUTED_VALUE"""),7.83915)</f>
        <v>7.83915</v>
      </c>
      <c r="H172" s="71">
        <f>IFERROR(__xludf.DUMMYFUNCTION("""COMPUTED_VALUE"""),1084.59)</f>
        <v>1084.59</v>
      </c>
      <c r="I172" s="71">
        <f>IFERROR(__xludf.DUMMYFUNCTION("""COMPUTED_VALUE"""),1022.37)</f>
        <v>1022.37</v>
      </c>
      <c r="J172" s="88" t="str">
        <f>IFERROR(__xludf.DUMMYFUNCTION("""COMPUTED_VALUE"""),"Goto link: TSLA")</f>
        <v>Goto link: TSLA</v>
      </c>
      <c r="K172" s="22"/>
      <c r="L172" s="22"/>
      <c r="M172" s="22"/>
      <c r="N172" s="22"/>
      <c r="O172" s="73"/>
      <c r="P172" s="8"/>
      <c r="Q172" s="69"/>
      <c r="R172" s="69"/>
      <c r="S172" s="8"/>
      <c r="T172" s="69"/>
      <c r="U172" s="8"/>
      <c r="V172" s="69"/>
      <c r="W172" s="74"/>
      <c r="X172" s="69"/>
    </row>
    <row r="173">
      <c r="A173" s="30" t="str">
        <f>IFERROR(__xludf.DUMMYFUNCTION("""COMPUTED_VALUE"""),"36460")</f>
        <v>36460</v>
      </c>
      <c r="B173" s="86">
        <f>IFERROR(__xludf.DUMMYFUNCTION("""COMPUTED_VALUE"""),44657.0)</f>
        <v>44657</v>
      </c>
      <c r="C173" s="64" t="str">
        <f>IFERROR(__xludf.DUMMYFUNCTION("""COMPUTED_VALUE"""),"Bond")</f>
        <v>Bond</v>
      </c>
      <c r="D173" s="87" t="str">
        <f>IFERROR(__xludf.DUMMYFUNCTION("""COMPUTED_VALUE"""),"XS1637274124")</f>
        <v>XS1637274124</v>
      </c>
      <c r="E173" s="5" t="str">
        <f>IFERROR(__xludf.DUMMYFUNCTION("""COMPUTED_VALUE"""),"USD")</f>
        <v>USD</v>
      </c>
      <c r="F173" s="69">
        <f>IFERROR(__xludf.DUMMYFUNCTION("""COMPUTED_VALUE"""),5.0)</f>
        <v>5</v>
      </c>
      <c r="G173" s="70">
        <f>IFERROR(__xludf.DUMMYFUNCTION("""COMPUTED_VALUE"""),7.83915)</f>
        <v>7.83915</v>
      </c>
      <c r="H173" s="71">
        <f>IFERROR(__xludf.DUMMYFUNCTION("""COMPUTED_VALUE"""),39.525)</f>
        <v>39.525</v>
      </c>
      <c r="I173" s="71" t="str">
        <f>IFERROR(__xludf.DUMMYFUNCTION("""COMPUTED_VALUE"""),"nil")</f>
        <v>nil</v>
      </c>
      <c r="J173" s="88" t="str">
        <f>IFERROR(__xludf.DUMMYFUNCTION("""COMPUTED_VALUE"""),"Bond Fact Sheet")</f>
        <v>Bond Fact Sheet</v>
      </c>
      <c r="K173" s="22"/>
      <c r="L173" s="22"/>
      <c r="M173" s="22"/>
      <c r="N173" s="22"/>
      <c r="O173" s="73"/>
      <c r="P173" s="8"/>
      <c r="Q173" s="69"/>
      <c r="R173" s="69"/>
      <c r="S173" s="8"/>
      <c r="T173" s="69"/>
      <c r="U173" s="8"/>
      <c r="V173" s="69"/>
      <c r="W173" s="74"/>
      <c r="X173" s="69"/>
    </row>
    <row r="174">
      <c r="A174" s="30" t="str">
        <f>IFERROR(__xludf.DUMMYFUNCTION("""COMPUTED_VALUE"""),"36460 Total")</f>
        <v>36460 Total</v>
      </c>
      <c r="B174" s="5"/>
      <c r="C174" s="64"/>
      <c r="D174" s="85"/>
      <c r="E174" s="5"/>
      <c r="F174" s="69"/>
      <c r="G174" s="70">
        <f>IFERROR(__xludf.DUMMYFUNCTION("""COMPUTED_VALUE"""),5.973927272727274)</f>
        <v>5.973927273</v>
      </c>
      <c r="H174" s="71">
        <f>IFERROR(__xludf.DUMMYFUNCTION("""COMPUTED_VALUE"""),1084.59)</f>
        <v>1084.59</v>
      </c>
      <c r="I174" s="71" t="str">
        <f>IFERROR(__xludf.DUMMYFUNCTION("""COMPUTED_VALUE"""),"")</f>
        <v/>
      </c>
      <c r="J174" s="22" t="str">
        <f>IFERROR(__xludf.DUMMYFUNCTION("""COMPUTED_VALUE"""),"")</f>
        <v/>
      </c>
      <c r="K174" s="22"/>
      <c r="L174" s="22"/>
      <c r="M174" s="22"/>
      <c r="N174" s="22"/>
      <c r="O174" s="73"/>
      <c r="P174" s="8"/>
      <c r="Q174" s="69"/>
      <c r="R174" s="69"/>
      <c r="S174" s="8"/>
      <c r="T174" s="69"/>
      <c r="U174" s="8"/>
      <c r="V174" s="69"/>
      <c r="W174" s="74"/>
      <c r="X174" s="69"/>
    </row>
    <row r="175">
      <c r="A175" s="30" t="str">
        <f>IFERROR(__xludf.DUMMYFUNCTION("""COMPUTED_VALUE"""),"36560")</f>
        <v>36560</v>
      </c>
      <c r="B175" s="86">
        <f>IFERROR(__xludf.DUMMYFUNCTION("""COMPUTED_VALUE"""),44597.0)</f>
        <v>44597</v>
      </c>
      <c r="C175" s="64" t="str">
        <f>IFERROR(__xludf.DUMMYFUNCTION("""COMPUTED_VALUE"""),"Cash")</f>
        <v>Cash</v>
      </c>
      <c r="D175" s="85" t="str">
        <f>IFERROR(__xludf.DUMMYFUNCTION("""COMPUTED_VALUE"""),"Cash")</f>
        <v>Cash</v>
      </c>
      <c r="E175" s="5" t="str">
        <f>IFERROR(__xludf.DUMMYFUNCTION("""COMPUTED_VALUE"""),"HKD")</f>
        <v>HKD</v>
      </c>
      <c r="F175" s="69" t="str">
        <f>IFERROR(__xludf.DUMMYFUNCTION("""COMPUTED_VALUE"""),"")</f>
        <v/>
      </c>
      <c r="G175" s="70">
        <f>IFERROR(__xludf.DUMMYFUNCTION("""COMPUTED_VALUE"""),1.0)</f>
        <v>1</v>
      </c>
      <c r="H175" s="71">
        <f>IFERROR(__xludf.DUMMYFUNCTION("""COMPUTED_VALUE"""),1.0)</f>
        <v>1</v>
      </c>
      <c r="I175" s="71">
        <f>IFERROR(__xludf.DUMMYFUNCTION("""COMPUTED_VALUE"""),1.0)</f>
        <v>1</v>
      </c>
      <c r="J175" s="22" t="str">
        <f>IFERROR(__xludf.DUMMYFUNCTION("""COMPUTED_VALUE"""),"")</f>
        <v/>
      </c>
      <c r="K175" s="22"/>
      <c r="L175" s="22"/>
      <c r="M175" s="22"/>
      <c r="N175" s="22"/>
      <c r="O175" s="73"/>
      <c r="P175" s="8"/>
      <c r="Q175" s="69"/>
      <c r="R175" s="69"/>
      <c r="S175" s="8"/>
      <c r="T175" s="69"/>
      <c r="U175" s="8"/>
      <c r="V175" s="69"/>
      <c r="W175" s="74"/>
      <c r="X175" s="69"/>
    </row>
    <row r="176">
      <c r="A176" s="30" t="str">
        <f>IFERROR(__xludf.DUMMYFUNCTION("""COMPUTED_VALUE"""),"36560 Total")</f>
        <v>36560 Total</v>
      </c>
      <c r="B176" s="5"/>
      <c r="C176" s="64"/>
      <c r="D176" s="85"/>
      <c r="E176" s="5"/>
      <c r="F176" s="69"/>
      <c r="G176" s="70">
        <f>IFERROR(__xludf.DUMMYFUNCTION("""COMPUTED_VALUE"""),1.0)</f>
        <v>1</v>
      </c>
      <c r="H176" s="71">
        <f>IFERROR(__xludf.DUMMYFUNCTION("""COMPUTED_VALUE"""),1.0)</f>
        <v>1</v>
      </c>
      <c r="I176" s="71" t="str">
        <f>IFERROR(__xludf.DUMMYFUNCTION("""COMPUTED_VALUE"""),"")</f>
        <v/>
      </c>
      <c r="J176" s="22" t="str">
        <f>IFERROR(__xludf.DUMMYFUNCTION("""COMPUTED_VALUE"""),"")</f>
        <v/>
      </c>
      <c r="K176" s="22"/>
      <c r="L176" s="22"/>
      <c r="M176" s="22"/>
      <c r="N176" s="22"/>
      <c r="O176" s="73"/>
      <c r="P176" s="8"/>
      <c r="Q176" s="69"/>
      <c r="R176" s="69"/>
      <c r="S176" s="8"/>
      <c r="T176" s="69"/>
      <c r="U176" s="8"/>
      <c r="V176" s="69"/>
      <c r="W176" s="74"/>
      <c r="X176" s="69"/>
    </row>
    <row r="177">
      <c r="A177" s="30" t="str">
        <f>IFERROR(__xludf.DUMMYFUNCTION("""COMPUTED_VALUE"""),"36903")</f>
        <v>36903</v>
      </c>
      <c r="B177" s="86">
        <f>IFERROR(__xludf.DUMMYFUNCTION("""COMPUTED_VALUE"""),44597.0)</f>
        <v>44597</v>
      </c>
      <c r="C177" s="64" t="str">
        <f>IFERROR(__xludf.DUMMYFUNCTION("""COMPUTED_VALUE"""),"Cash")</f>
        <v>Cash</v>
      </c>
      <c r="D177" s="85" t="str">
        <f>IFERROR(__xludf.DUMMYFUNCTION("""COMPUTED_VALUE"""),"Cash")</f>
        <v>Cash</v>
      </c>
      <c r="E177" s="5" t="str">
        <f>IFERROR(__xludf.DUMMYFUNCTION("""COMPUTED_VALUE"""),"HKD")</f>
        <v>HKD</v>
      </c>
      <c r="F177" s="69" t="str">
        <f>IFERROR(__xludf.DUMMYFUNCTION("""COMPUTED_VALUE"""),"")</f>
        <v/>
      </c>
      <c r="G177" s="70">
        <f>IFERROR(__xludf.DUMMYFUNCTION("""COMPUTED_VALUE"""),1.0)</f>
        <v>1</v>
      </c>
      <c r="H177" s="71">
        <f>IFERROR(__xludf.DUMMYFUNCTION("""COMPUTED_VALUE"""),1.0)</f>
        <v>1</v>
      </c>
      <c r="I177" s="71">
        <f>IFERROR(__xludf.DUMMYFUNCTION("""COMPUTED_VALUE"""),1.0)</f>
        <v>1</v>
      </c>
      <c r="J177" s="22" t="str">
        <f>IFERROR(__xludf.DUMMYFUNCTION("""COMPUTED_VALUE"""),"")</f>
        <v/>
      </c>
      <c r="K177" s="22"/>
      <c r="L177" s="22"/>
      <c r="M177" s="22"/>
      <c r="N177" s="22"/>
      <c r="O177" s="73"/>
      <c r="P177" s="8"/>
      <c r="Q177" s="69"/>
      <c r="R177" s="69"/>
      <c r="S177" s="8"/>
      <c r="T177" s="69"/>
      <c r="U177" s="8"/>
      <c r="V177" s="69"/>
      <c r="W177" s="74"/>
      <c r="X177" s="69"/>
    </row>
    <row r="178">
      <c r="A178" s="30" t="str">
        <f>IFERROR(__xludf.DUMMYFUNCTION("""COMPUTED_VALUE"""),"36903")</f>
        <v>36903</v>
      </c>
      <c r="B178" s="86">
        <f>IFERROR(__xludf.DUMMYFUNCTION("""COMPUTED_VALUE"""),44599.0)</f>
        <v>44599</v>
      </c>
      <c r="C178" s="64" t="str">
        <f>IFERROR(__xludf.DUMMYFUNCTION("""COMPUTED_VALUE"""),"Stock")</f>
        <v>Stock</v>
      </c>
      <c r="D178" s="87" t="str">
        <f>IFERROR(__xludf.DUMMYFUNCTION("""COMPUTED_VALUE"""),"FB")</f>
        <v>FB</v>
      </c>
      <c r="E178" s="5" t="str">
        <f>IFERROR(__xludf.DUMMYFUNCTION("""COMPUTED_VALUE"""),"USD")</f>
        <v>USD</v>
      </c>
      <c r="F178" s="69">
        <f>IFERROR(__xludf.DUMMYFUNCTION("""COMPUTED_VALUE"""),50.0)</f>
        <v>50</v>
      </c>
      <c r="G178" s="70">
        <f>IFERROR(__xludf.DUMMYFUNCTION("""COMPUTED_VALUE"""),7.83915)</f>
        <v>7.83915</v>
      </c>
      <c r="H178" s="71">
        <f>IFERROR(__xludf.DUMMYFUNCTION("""COMPUTED_VALUE"""),224.91)</f>
        <v>224.91</v>
      </c>
      <c r="I178" s="71">
        <f>IFERROR(__xludf.DUMMYFUNCTION("""COMPUTED_VALUE"""),214.99)</f>
        <v>214.99</v>
      </c>
      <c r="J178" s="88" t="str">
        <f>IFERROR(__xludf.DUMMYFUNCTION("""COMPUTED_VALUE"""),"Goto link: FB")</f>
        <v>Goto link: FB</v>
      </c>
      <c r="K178" s="22"/>
      <c r="L178" s="22"/>
      <c r="M178" s="22"/>
      <c r="N178" s="22"/>
      <c r="O178" s="73"/>
      <c r="P178" s="8"/>
      <c r="Q178" s="69"/>
      <c r="R178" s="69"/>
      <c r="S178" s="8"/>
      <c r="T178" s="69"/>
      <c r="U178" s="8"/>
      <c r="V178" s="69"/>
      <c r="W178" s="74"/>
      <c r="X178" s="69"/>
    </row>
    <row r="179">
      <c r="A179" s="30" t="str">
        <f>IFERROR(__xludf.DUMMYFUNCTION("""COMPUTED_VALUE"""),"36903")</f>
        <v>36903</v>
      </c>
      <c r="B179" s="86">
        <f>IFERROR(__xludf.DUMMYFUNCTION("""COMPUTED_VALUE"""),44601.0)</f>
        <v>44601</v>
      </c>
      <c r="C179" s="64" t="str">
        <f>IFERROR(__xludf.DUMMYFUNCTION("""COMPUTED_VALUE"""),"Stock")</f>
        <v>Stock</v>
      </c>
      <c r="D179" s="87" t="str">
        <f>IFERROR(__xludf.DUMMYFUNCTION("""COMPUTED_VALUE"""),"BMBL")</f>
        <v>BMBL</v>
      </c>
      <c r="E179" s="5" t="str">
        <f>IFERROR(__xludf.DUMMYFUNCTION("""COMPUTED_VALUE"""),"USD")</f>
        <v>USD</v>
      </c>
      <c r="F179" s="69">
        <f>IFERROR(__xludf.DUMMYFUNCTION("""COMPUTED_VALUE"""),500.0)</f>
        <v>500</v>
      </c>
      <c r="G179" s="70">
        <f>IFERROR(__xludf.DUMMYFUNCTION("""COMPUTED_VALUE"""),7.83915)</f>
        <v>7.83915</v>
      </c>
      <c r="H179" s="71">
        <f>IFERROR(__xludf.DUMMYFUNCTION("""COMPUTED_VALUE"""),29.59)</f>
        <v>29.59</v>
      </c>
      <c r="I179" s="71">
        <f>IFERROR(__xludf.DUMMYFUNCTION("""COMPUTED_VALUE"""),26.66)</f>
        <v>26.66</v>
      </c>
      <c r="J179" s="88" t="str">
        <f>IFERROR(__xludf.DUMMYFUNCTION("""COMPUTED_VALUE"""),"Goto link: BMBL")</f>
        <v>Goto link: BMBL</v>
      </c>
      <c r="K179" s="22"/>
      <c r="L179" s="22"/>
      <c r="M179" s="22"/>
      <c r="N179" s="22"/>
      <c r="O179" s="73"/>
      <c r="P179" s="8"/>
      <c r="Q179" s="69"/>
      <c r="R179" s="69"/>
      <c r="S179" s="8"/>
      <c r="T179" s="69"/>
      <c r="U179" s="8"/>
      <c r="V179" s="69"/>
      <c r="W179" s="74"/>
      <c r="X179" s="69"/>
    </row>
    <row r="180">
      <c r="A180" s="30" t="str">
        <f>IFERROR(__xludf.DUMMYFUNCTION("""COMPUTED_VALUE"""),"36903")</f>
        <v>36903</v>
      </c>
      <c r="B180" s="86">
        <f>IFERROR(__xludf.DUMMYFUNCTION("""COMPUTED_VALUE"""),44601.0)</f>
        <v>44601</v>
      </c>
      <c r="C180" s="64" t="str">
        <f>IFERROR(__xludf.DUMMYFUNCTION("""COMPUTED_VALUE"""),"Stock")</f>
        <v>Stock</v>
      </c>
      <c r="D180" s="87" t="str">
        <f>IFERROR(__xludf.DUMMYFUNCTION("""COMPUTED_VALUE"""),"FB")</f>
        <v>FB</v>
      </c>
      <c r="E180" s="5" t="str">
        <f>IFERROR(__xludf.DUMMYFUNCTION("""COMPUTED_VALUE"""),"USD")</f>
        <v>USD</v>
      </c>
      <c r="F180" s="69">
        <f>IFERROR(__xludf.DUMMYFUNCTION("""COMPUTED_VALUE"""),80.0)</f>
        <v>80</v>
      </c>
      <c r="G180" s="70">
        <f>IFERROR(__xludf.DUMMYFUNCTION("""COMPUTED_VALUE"""),7.83915)</f>
        <v>7.83915</v>
      </c>
      <c r="H180" s="71">
        <f>IFERROR(__xludf.DUMMYFUNCTION("""COMPUTED_VALUE"""),232.0)</f>
        <v>232</v>
      </c>
      <c r="I180" s="71">
        <f>IFERROR(__xludf.DUMMYFUNCTION("""COMPUTED_VALUE"""),214.99)</f>
        <v>214.99</v>
      </c>
      <c r="J180" s="88" t="str">
        <f>IFERROR(__xludf.DUMMYFUNCTION("""COMPUTED_VALUE"""),"Goto link: FB")</f>
        <v>Goto link: FB</v>
      </c>
      <c r="K180" s="22"/>
      <c r="L180" s="22"/>
      <c r="M180" s="22"/>
      <c r="N180" s="22"/>
      <c r="O180" s="73"/>
      <c r="P180" s="8"/>
      <c r="Q180" s="69"/>
      <c r="R180" s="69"/>
      <c r="S180" s="8"/>
      <c r="T180" s="69"/>
      <c r="U180" s="8"/>
      <c r="V180" s="69"/>
      <c r="W180" s="74"/>
      <c r="X180" s="69"/>
    </row>
    <row r="181">
      <c r="A181" s="30" t="str">
        <f>IFERROR(__xludf.DUMMYFUNCTION("""COMPUTED_VALUE"""),"36903")</f>
        <v>36903</v>
      </c>
      <c r="B181" s="86">
        <f>IFERROR(__xludf.DUMMYFUNCTION("""COMPUTED_VALUE"""),44601.0)</f>
        <v>44601</v>
      </c>
      <c r="C181" s="64" t="str">
        <f>IFERROR(__xludf.DUMMYFUNCTION("""COMPUTED_VALUE"""),"Stock")</f>
        <v>Stock</v>
      </c>
      <c r="D181" s="87" t="str">
        <f>IFERROR(__xludf.DUMMYFUNCTION("""COMPUTED_VALUE"""),"NUSI")</f>
        <v>NUSI</v>
      </c>
      <c r="E181" s="5" t="str">
        <f>IFERROR(__xludf.DUMMYFUNCTION("""COMPUTED_VALUE"""),"USD")</f>
        <v>USD</v>
      </c>
      <c r="F181" s="69">
        <f>IFERROR(__xludf.DUMMYFUNCTION("""COMPUTED_VALUE"""),400.0)</f>
        <v>400</v>
      </c>
      <c r="G181" s="70">
        <f>IFERROR(__xludf.DUMMYFUNCTION("""COMPUTED_VALUE"""),7.83915)</f>
        <v>7.83915</v>
      </c>
      <c r="H181" s="71">
        <f>IFERROR(__xludf.DUMMYFUNCTION("""COMPUTED_VALUE"""),25.76)</f>
        <v>25.76</v>
      </c>
      <c r="I181" s="71">
        <f>IFERROR(__xludf.DUMMYFUNCTION("""COMPUTED_VALUE"""),23.43)</f>
        <v>23.43</v>
      </c>
      <c r="J181" s="88" t="str">
        <f>IFERROR(__xludf.DUMMYFUNCTION("""COMPUTED_VALUE"""),"Goto link: NUSI")</f>
        <v>Goto link: NUSI</v>
      </c>
      <c r="K181" s="22"/>
      <c r="L181" s="22"/>
      <c r="M181" s="22"/>
      <c r="N181" s="22"/>
      <c r="O181" s="73"/>
      <c r="P181" s="8"/>
      <c r="Q181" s="69"/>
      <c r="R181" s="69"/>
      <c r="S181" s="8"/>
      <c r="T181" s="69"/>
      <c r="U181" s="8"/>
      <c r="V181" s="69"/>
      <c r="W181" s="74"/>
      <c r="X181" s="69"/>
    </row>
    <row r="182">
      <c r="A182" s="30" t="str">
        <f>IFERROR(__xludf.DUMMYFUNCTION("""COMPUTED_VALUE"""),"36903")</f>
        <v>36903</v>
      </c>
      <c r="B182" s="86">
        <f>IFERROR(__xludf.DUMMYFUNCTION("""COMPUTED_VALUE"""),44634.0)</f>
        <v>44634</v>
      </c>
      <c r="C182" s="64" t="str">
        <f>IFERROR(__xludf.DUMMYFUNCTION("""COMPUTED_VALUE"""),"Stock")</f>
        <v>Stock</v>
      </c>
      <c r="D182" s="90" t="str">
        <f>IFERROR(__xludf.DUMMYFUNCTION("""COMPUTED_VALUE"""),"0388.HK")</f>
        <v>0388.HK</v>
      </c>
      <c r="E182" s="5" t="str">
        <f>IFERROR(__xludf.DUMMYFUNCTION("""COMPUTED_VALUE"""),"HKD")</f>
        <v>HKD</v>
      </c>
      <c r="F182" s="69">
        <f>IFERROR(__xludf.DUMMYFUNCTION("""COMPUTED_VALUE"""),100.0)</f>
        <v>100</v>
      </c>
      <c r="G182" s="70">
        <f>IFERROR(__xludf.DUMMYFUNCTION("""COMPUTED_VALUE"""),1.0)</f>
        <v>1</v>
      </c>
      <c r="H182" s="71">
        <f>IFERROR(__xludf.DUMMYFUNCTION("""COMPUTED_VALUE"""),333.4)</f>
        <v>333.4</v>
      </c>
      <c r="I182" s="71">
        <f>IFERROR(__xludf.DUMMYFUNCTION("""COMPUTED_VALUE"""),340.8)</f>
        <v>340.8</v>
      </c>
      <c r="J182" s="88" t="str">
        <f>IFERROR(__xludf.DUMMYFUNCTION("""COMPUTED_VALUE"""),"Goto link: 0388.HK")</f>
        <v>Goto link: 0388.HK</v>
      </c>
      <c r="K182" s="22"/>
      <c r="L182" s="22"/>
      <c r="M182" s="22"/>
      <c r="N182" s="22"/>
      <c r="O182" s="73"/>
      <c r="P182" s="8"/>
      <c r="Q182" s="69"/>
      <c r="R182" s="69"/>
      <c r="S182" s="8"/>
      <c r="T182" s="69"/>
      <c r="U182" s="8"/>
      <c r="V182" s="69"/>
      <c r="W182" s="74"/>
      <c r="X182" s="69"/>
    </row>
    <row r="183">
      <c r="A183" s="30" t="str">
        <f>IFERROR(__xludf.DUMMYFUNCTION("""COMPUTED_VALUE"""),"36903 Total")</f>
        <v>36903 Total</v>
      </c>
      <c r="B183" s="5"/>
      <c r="C183" s="64"/>
      <c r="D183" s="85"/>
      <c r="E183" s="5"/>
      <c r="F183" s="69"/>
      <c r="G183" s="70">
        <f>IFERROR(__xludf.DUMMYFUNCTION("""COMPUTED_VALUE"""),5.559433333333334)</f>
        <v>5.559433333</v>
      </c>
      <c r="H183" s="71">
        <f>IFERROR(__xludf.DUMMYFUNCTION("""COMPUTED_VALUE"""),333.4)</f>
        <v>333.4</v>
      </c>
      <c r="I183" s="71" t="str">
        <f>IFERROR(__xludf.DUMMYFUNCTION("""COMPUTED_VALUE"""),"")</f>
        <v/>
      </c>
      <c r="J183" s="22" t="str">
        <f>IFERROR(__xludf.DUMMYFUNCTION("""COMPUTED_VALUE"""),"")</f>
        <v/>
      </c>
      <c r="K183" s="22"/>
      <c r="L183" s="22"/>
      <c r="M183" s="22"/>
      <c r="N183" s="22"/>
      <c r="O183" s="73"/>
      <c r="P183" s="8"/>
      <c r="Q183" s="69"/>
      <c r="R183" s="69"/>
      <c r="S183" s="8"/>
      <c r="T183" s="69"/>
      <c r="U183" s="8"/>
      <c r="V183" s="69"/>
      <c r="W183" s="74"/>
      <c r="X183" s="69"/>
    </row>
    <row r="184">
      <c r="A184" s="30" t="str">
        <f>IFERROR(__xludf.DUMMYFUNCTION("""COMPUTED_VALUE"""),"37198")</f>
        <v>37198</v>
      </c>
      <c r="B184" s="86">
        <f>IFERROR(__xludf.DUMMYFUNCTION("""COMPUTED_VALUE"""),44597.0)</f>
        <v>44597</v>
      </c>
      <c r="C184" s="64" t="str">
        <f>IFERROR(__xludf.DUMMYFUNCTION("""COMPUTED_VALUE"""),"Cash")</f>
        <v>Cash</v>
      </c>
      <c r="D184" s="85" t="str">
        <f>IFERROR(__xludf.DUMMYFUNCTION("""COMPUTED_VALUE"""),"Cash")</f>
        <v>Cash</v>
      </c>
      <c r="E184" s="5" t="str">
        <f>IFERROR(__xludf.DUMMYFUNCTION("""COMPUTED_VALUE"""),"HKD")</f>
        <v>HKD</v>
      </c>
      <c r="F184" s="69" t="str">
        <f>IFERROR(__xludf.DUMMYFUNCTION("""COMPUTED_VALUE"""),"")</f>
        <v/>
      </c>
      <c r="G184" s="70">
        <f>IFERROR(__xludf.DUMMYFUNCTION("""COMPUTED_VALUE"""),1.0)</f>
        <v>1</v>
      </c>
      <c r="H184" s="71">
        <f>IFERROR(__xludf.DUMMYFUNCTION("""COMPUTED_VALUE"""),1.0)</f>
        <v>1</v>
      </c>
      <c r="I184" s="71">
        <f>IFERROR(__xludf.DUMMYFUNCTION("""COMPUTED_VALUE"""),1.0)</f>
        <v>1</v>
      </c>
      <c r="J184" s="22" t="str">
        <f>IFERROR(__xludf.DUMMYFUNCTION("""COMPUTED_VALUE"""),"")</f>
        <v/>
      </c>
      <c r="K184" s="22"/>
      <c r="L184" s="22"/>
      <c r="M184" s="22"/>
      <c r="N184" s="22"/>
      <c r="O184" s="73"/>
      <c r="P184" s="8"/>
      <c r="Q184" s="69"/>
      <c r="R184" s="69"/>
      <c r="S184" s="8"/>
      <c r="T184" s="69"/>
      <c r="U184" s="8"/>
      <c r="V184" s="69"/>
      <c r="W184" s="74"/>
      <c r="X184" s="69"/>
    </row>
    <row r="185">
      <c r="A185" s="30" t="str">
        <f>IFERROR(__xludf.DUMMYFUNCTION("""COMPUTED_VALUE"""),"37198")</f>
        <v>37198</v>
      </c>
      <c r="B185" s="86">
        <f>IFERROR(__xludf.DUMMYFUNCTION("""COMPUTED_VALUE"""),44637.0)</f>
        <v>44637</v>
      </c>
      <c r="C185" s="64" t="str">
        <f>IFERROR(__xludf.DUMMYFUNCTION("""COMPUTED_VALUE"""),"Stock")</f>
        <v>Stock</v>
      </c>
      <c r="D185" s="87" t="str">
        <f>IFERROR(__xludf.DUMMYFUNCTION("""COMPUTED_VALUE"""),"BNTX")</f>
        <v>BNTX</v>
      </c>
      <c r="E185" s="5" t="str">
        <f>IFERROR(__xludf.DUMMYFUNCTION("""COMPUTED_VALUE"""),"USD")</f>
        <v>USD</v>
      </c>
      <c r="F185" s="69">
        <f>IFERROR(__xludf.DUMMYFUNCTION("""COMPUTED_VALUE"""),0.0)</f>
        <v>0</v>
      </c>
      <c r="G185" s="70">
        <f>IFERROR(__xludf.DUMMYFUNCTION("""COMPUTED_VALUE"""),7.83915)</f>
        <v>7.83915</v>
      </c>
      <c r="H185" s="71">
        <f>IFERROR(__xludf.DUMMYFUNCTION("""COMPUTED_VALUE"""),0.0)</f>
        <v>0</v>
      </c>
      <c r="I185" s="71">
        <f>IFERROR(__xludf.DUMMYFUNCTION("""COMPUTED_VALUE"""),179.38)</f>
        <v>179.38</v>
      </c>
      <c r="J185" s="88" t="str">
        <f>IFERROR(__xludf.DUMMYFUNCTION("""COMPUTED_VALUE"""),"Goto link: BNTX")</f>
        <v>Goto link: BNTX</v>
      </c>
      <c r="K185" s="22"/>
      <c r="L185" s="22"/>
      <c r="M185" s="22"/>
      <c r="N185" s="22"/>
      <c r="O185" s="73"/>
      <c r="P185" s="8"/>
      <c r="Q185" s="69"/>
      <c r="R185" s="69"/>
      <c r="S185" s="8"/>
      <c r="T185" s="69"/>
      <c r="U185" s="8"/>
      <c r="V185" s="69"/>
      <c r="W185" s="74"/>
      <c r="X185" s="69"/>
    </row>
    <row r="186">
      <c r="A186" s="30" t="str">
        <f>IFERROR(__xludf.DUMMYFUNCTION("""COMPUTED_VALUE"""),"37198")</f>
        <v>37198</v>
      </c>
      <c r="B186" s="86">
        <f>IFERROR(__xludf.DUMMYFUNCTION("""COMPUTED_VALUE"""),44637.0)</f>
        <v>44637</v>
      </c>
      <c r="C186" s="64" t="str">
        <f>IFERROR(__xludf.DUMMYFUNCTION("""COMPUTED_VALUE"""),"Stock")</f>
        <v>Stock</v>
      </c>
      <c r="D186" s="87" t="str">
        <f>IFERROR(__xludf.DUMMYFUNCTION("""COMPUTED_VALUE"""),"TME")</f>
        <v>TME</v>
      </c>
      <c r="E186" s="5" t="str">
        <f>IFERROR(__xludf.DUMMYFUNCTION("""COMPUTED_VALUE"""),"USD")</f>
        <v>USD</v>
      </c>
      <c r="F186" s="69">
        <f>IFERROR(__xludf.DUMMYFUNCTION("""COMPUTED_VALUE"""),200.0)</f>
        <v>200</v>
      </c>
      <c r="G186" s="70">
        <f>IFERROR(__xludf.DUMMYFUNCTION("""COMPUTED_VALUE"""),7.83915)</f>
        <v>7.83915</v>
      </c>
      <c r="H186" s="71">
        <f>IFERROR(__xludf.DUMMYFUNCTION("""COMPUTED_VALUE"""),4.19)</f>
        <v>4.19</v>
      </c>
      <c r="I186" s="71">
        <f>IFERROR(__xludf.DUMMYFUNCTION("""COMPUTED_VALUE"""),5.0)</f>
        <v>5</v>
      </c>
      <c r="J186" s="88" t="str">
        <f>IFERROR(__xludf.DUMMYFUNCTION("""COMPUTED_VALUE"""),"Goto link: TME")</f>
        <v>Goto link: TME</v>
      </c>
      <c r="K186" s="22"/>
      <c r="L186" s="22"/>
      <c r="M186" s="22"/>
      <c r="N186" s="22"/>
      <c r="O186" s="73"/>
      <c r="P186" s="8"/>
      <c r="Q186" s="69"/>
      <c r="R186" s="69"/>
      <c r="S186" s="8"/>
      <c r="T186" s="69"/>
      <c r="U186" s="8"/>
      <c r="V186" s="69"/>
      <c r="W186" s="74"/>
      <c r="X186" s="69"/>
    </row>
    <row r="187">
      <c r="A187" s="30" t="str">
        <f>IFERROR(__xludf.DUMMYFUNCTION("""COMPUTED_VALUE"""),"37198")</f>
        <v>37198</v>
      </c>
      <c r="B187" s="86">
        <f>IFERROR(__xludf.DUMMYFUNCTION("""COMPUTED_VALUE"""),44638.0)</f>
        <v>44638</v>
      </c>
      <c r="C187" s="64" t="str">
        <f>IFERROR(__xludf.DUMMYFUNCTION("""COMPUTED_VALUE"""),"Stock")</f>
        <v>Stock</v>
      </c>
      <c r="D187" s="87" t="str">
        <f>IFERROR(__xludf.DUMMYFUNCTION("""COMPUTED_VALUE"""),"BNTX")</f>
        <v>BNTX</v>
      </c>
      <c r="E187" s="5" t="str">
        <f>IFERROR(__xludf.DUMMYFUNCTION("""COMPUTED_VALUE"""),"USD")</f>
        <v>USD</v>
      </c>
      <c r="F187" s="69">
        <f>IFERROR(__xludf.DUMMYFUNCTION("""COMPUTED_VALUE"""),0.0)</f>
        <v>0</v>
      </c>
      <c r="G187" s="70">
        <f>IFERROR(__xludf.DUMMYFUNCTION("""COMPUTED_VALUE"""),7.83915)</f>
        <v>7.83915</v>
      </c>
      <c r="H187" s="71">
        <f>IFERROR(__xludf.DUMMYFUNCTION("""COMPUTED_VALUE"""),0.0)</f>
        <v>0</v>
      </c>
      <c r="I187" s="71">
        <f>IFERROR(__xludf.DUMMYFUNCTION("""COMPUTED_VALUE"""),179.38)</f>
        <v>179.38</v>
      </c>
      <c r="J187" s="88" t="str">
        <f>IFERROR(__xludf.DUMMYFUNCTION("""COMPUTED_VALUE"""),"Goto link: BNTX")</f>
        <v>Goto link: BNTX</v>
      </c>
      <c r="K187" s="22"/>
      <c r="L187" s="22"/>
      <c r="M187" s="22"/>
      <c r="N187" s="22"/>
      <c r="O187" s="73"/>
      <c r="P187" s="8"/>
      <c r="Q187" s="69"/>
      <c r="R187" s="69"/>
      <c r="S187" s="8"/>
      <c r="T187" s="69"/>
      <c r="U187" s="8"/>
      <c r="V187" s="69"/>
      <c r="W187" s="74"/>
      <c r="X187" s="69"/>
    </row>
    <row r="188">
      <c r="A188" s="30" t="str">
        <f>IFERROR(__xludf.DUMMYFUNCTION("""COMPUTED_VALUE"""),"37198")</f>
        <v>37198</v>
      </c>
      <c r="B188" s="86">
        <f>IFERROR(__xludf.DUMMYFUNCTION("""COMPUTED_VALUE"""),44638.0)</f>
        <v>44638</v>
      </c>
      <c r="C188" s="64" t="str">
        <f>IFERROR(__xludf.DUMMYFUNCTION("""COMPUTED_VALUE"""),"Stock")</f>
        <v>Stock</v>
      </c>
      <c r="D188" s="87" t="str">
        <f>IFERROR(__xludf.DUMMYFUNCTION("""COMPUTED_VALUE"""),"CL=F")</f>
        <v>CL=F</v>
      </c>
      <c r="E188" s="5" t="str">
        <f>IFERROR(__xludf.DUMMYFUNCTION("""COMPUTED_VALUE"""),"USD")</f>
        <v>USD</v>
      </c>
      <c r="F188" s="69">
        <f>IFERROR(__xludf.DUMMYFUNCTION("""COMPUTED_VALUE"""),50.0)</f>
        <v>50</v>
      </c>
      <c r="G188" s="70">
        <f>IFERROR(__xludf.DUMMYFUNCTION("""COMPUTED_VALUE"""),7.83915)</f>
        <v>7.83915</v>
      </c>
      <c r="H188" s="71">
        <f>IFERROR(__xludf.DUMMYFUNCTION("""COMPUTED_VALUE"""),105.1)</f>
        <v>105.1</v>
      </c>
      <c r="I188" s="71">
        <f>IFERROR(__xludf.DUMMYFUNCTION("""COMPUTED_VALUE"""),104.31)</f>
        <v>104.31</v>
      </c>
      <c r="J188" s="88" t="str">
        <f>IFERROR(__xludf.DUMMYFUNCTION("""COMPUTED_VALUE"""),"Goto link: CL=F")</f>
        <v>Goto link: CL=F</v>
      </c>
      <c r="K188" s="22"/>
      <c r="L188" s="22"/>
      <c r="M188" s="22"/>
      <c r="N188" s="22"/>
      <c r="O188" s="73"/>
      <c r="P188" s="8"/>
      <c r="Q188" s="69"/>
      <c r="R188" s="69"/>
      <c r="S188" s="8"/>
      <c r="T188" s="69"/>
      <c r="U188" s="8"/>
      <c r="V188" s="69"/>
      <c r="W188" s="74"/>
      <c r="X188" s="69"/>
    </row>
    <row r="189">
      <c r="A189" s="30" t="str">
        <f>IFERROR(__xludf.DUMMYFUNCTION("""COMPUTED_VALUE"""),"37198")</f>
        <v>37198</v>
      </c>
      <c r="B189" s="86">
        <f>IFERROR(__xludf.DUMMYFUNCTION("""COMPUTED_VALUE"""),44638.0)</f>
        <v>44638</v>
      </c>
      <c r="C189" s="64" t="str">
        <f>IFERROR(__xludf.DUMMYFUNCTION("""COMPUTED_VALUE"""),"Stock")</f>
        <v>Stock</v>
      </c>
      <c r="D189" s="87" t="str">
        <f>IFERROR(__xludf.DUMMYFUNCTION("""COMPUTED_VALUE"""),"DVN")</f>
        <v>DVN</v>
      </c>
      <c r="E189" s="5" t="str">
        <f>IFERROR(__xludf.DUMMYFUNCTION("""COMPUTED_VALUE"""),"USD")</f>
        <v>USD</v>
      </c>
      <c r="F189" s="69">
        <f>IFERROR(__xludf.DUMMYFUNCTION("""COMPUTED_VALUE"""),0.0)</f>
        <v>0</v>
      </c>
      <c r="G189" s="70">
        <f>IFERROR(__xludf.DUMMYFUNCTION("""COMPUTED_VALUE"""),7.83915)</f>
        <v>7.83915</v>
      </c>
      <c r="H189" s="71">
        <f>IFERROR(__xludf.DUMMYFUNCTION("""COMPUTED_VALUE"""),0.0)</f>
        <v>0</v>
      </c>
      <c r="I189" s="71">
        <f>IFERROR(__xludf.DUMMYFUNCTION("""COMPUTED_VALUE"""),63.73)</f>
        <v>63.73</v>
      </c>
      <c r="J189" s="88" t="str">
        <f>IFERROR(__xludf.DUMMYFUNCTION("""COMPUTED_VALUE"""),"Goto link: DVN")</f>
        <v>Goto link: DVN</v>
      </c>
      <c r="K189" s="22"/>
      <c r="L189" s="22"/>
      <c r="M189" s="22"/>
      <c r="N189" s="22"/>
      <c r="O189" s="73"/>
      <c r="P189" s="8"/>
      <c r="Q189" s="69"/>
      <c r="R189" s="69"/>
      <c r="S189" s="8"/>
      <c r="T189" s="69"/>
      <c r="U189" s="8"/>
      <c r="V189" s="69"/>
      <c r="W189" s="74"/>
      <c r="X189" s="69"/>
    </row>
    <row r="190">
      <c r="A190" s="30" t="str">
        <f>IFERROR(__xludf.DUMMYFUNCTION("""COMPUTED_VALUE"""),"37198")</f>
        <v>37198</v>
      </c>
      <c r="B190" s="86">
        <f>IFERROR(__xludf.DUMMYFUNCTION("""COMPUTED_VALUE"""),44658.0)</f>
        <v>44658</v>
      </c>
      <c r="C190" s="64" t="str">
        <f>IFERROR(__xludf.DUMMYFUNCTION("""COMPUTED_VALUE"""),"Stock")</f>
        <v>Stock</v>
      </c>
      <c r="D190" s="87" t="str">
        <f>IFERROR(__xludf.DUMMYFUNCTION("""COMPUTED_VALUE"""),"ADN")</f>
        <v>ADN</v>
      </c>
      <c r="E190" s="5" t="str">
        <f>IFERROR(__xludf.DUMMYFUNCTION("""COMPUTED_VALUE"""),"USD")</f>
        <v>USD</v>
      </c>
      <c r="F190" s="69">
        <f>IFERROR(__xludf.DUMMYFUNCTION("""COMPUTED_VALUE"""),500.0)</f>
        <v>500</v>
      </c>
      <c r="G190" s="70">
        <f>IFERROR(__xludf.DUMMYFUNCTION("""COMPUTED_VALUE"""),7.83915)</f>
        <v>7.83915</v>
      </c>
      <c r="H190" s="71">
        <f>IFERROR(__xludf.DUMMYFUNCTION("""COMPUTED_VALUE"""),3.3)</f>
        <v>3.3</v>
      </c>
      <c r="I190" s="71">
        <f>IFERROR(__xludf.DUMMYFUNCTION("""COMPUTED_VALUE"""),2.46)</f>
        <v>2.46</v>
      </c>
      <c r="J190" s="88" t="str">
        <f>IFERROR(__xludf.DUMMYFUNCTION("""COMPUTED_VALUE"""),"Goto link: ADN")</f>
        <v>Goto link: ADN</v>
      </c>
      <c r="K190" s="22"/>
      <c r="L190" s="22"/>
      <c r="M190" s="22"/>
      <c r="N190" s="22"/>
      <c r="O190" s="73"/>
      <c r="P190" s="8"/>
      <c r="Q190" s="69"/>
      <c r="R190" s="69"/>
      <c r="S190" s="8"/>
      <c r="T190" s="69"/>
      <c r="U190" s="8"/>
      <c r="V190" s="69"/>
      <c r="W190" s="74"/>
      <c r="X190" s="69"/>
    </row>
    <row r="191">
      <c r="A191" s="30" t="str">
        <f>IFERROR(__xludf.DUMMYFUNCTION("""COMPUTED_VALUE"""),"37198")</f>
        <v>37198</v>
      </c>
      <c r="B191" s="86">
        <f>IFERROR(__xludf.DUMMYFUNCTION("""COMPUTED_VALUE"""),44658.0)</f>
        <v>44658</v>
      </c>
      <c r="C191" s="64" t="str">
        <f>IFERROR(__xludf.DUMMYFUNCTION("""COMPUTED_VALUE"""),"Stock")</f>
        <v>Stock</v>
      </c>
      <c r="D191" s="87" t="str">
        <f>IFERROR(__xludf.DUMMYFUNCTION("""COMPUTED_VALUE"""),"MF")</f>
        <v>MF</v>
      </c>
      <c r="E191" s="5" t="str">
        <f>IFERROR(__xludf.DUMMYFUNCTION("""COMPUTED_VALUE"""),"USD")</f>
        <v>USD</v>
      </c>
      <c r="F191" s="69">
        <f>IFERROR(__xludf.DUMMYFUNCTION("""COMPUTED_VALUE"""),1000.0)</f>
        <v>1000</v>
      </c>
      <c r="G191" s="70">
        <f>IFERROR(__xludf.DUMMYFUNCTION("""COMPUTED_VALUE"""),7.83915)</f>
        <v>7.83915</v>
      </c>
      <c r="H191" s="71">
        <f>IFERROR(__xludf.DUMMYFUNCTION("""COMPUTED_VALUE"""),1.47)</f>
        <v>1.47</v>
      </c>
      <c r="I191" s="71">
        <f>IFERROR(__xludf.DUMMYFUNCTION("""COMPUTED_VALUE"""),1.19)</f>
        <v>1.19</v>
      </c>
      <c r="J191" s="88" t="str">
        <f>IFERROR(__xludf.DUMMYFUNCTION("""COMPUTED_VALUE"""),"Goto link: MF")</f>
        <v>Goto link: MF</v>
      </c>
      <c r="K191" s="22"/>
      <c r="L191" s="22"/>
      <c r="M191" s="22"/>
      <c r="N191" s="22"/>
      <c r="O191" s="73"/>
      <c r="P191" s="8"/>
      <c r="Q191" s="69"/>
      <c r="R191" s="69"/>
      <c r="S191" s="8"/>
      <c r="T191" s="69"/>
      <c r="U191" s="8"/>
      <c r="V191" s="69"/>
      <c r="W191" s="74"/>
      <c r="X191" s="69"/>
    </row>
    <row r="192">
      <c r="A192" s="30" t="str">
        <f>IFERROR(__xludf.DUMMYFUNCTION("""COMPUTED_VALUE"""),"37198")</f>
        <v>37198</v>
      </c>
      <c r="B192" s="86">
        <f>IFERROR(__xludf.DUMMYFUNCTION("""COMPUTED_VALUE"""),44660.0)</f>
        <v>44660</v>
      </c>
      <c r="C192" s="64" t="str">
        <f>IFERROR(__xludf.DUMMYFUNCTION("""COMPUTED_VALUE"""),"Stock")</f>
        <v>Stock</v>
      </c>
      <c r="D192" s="85" t="str">
        <f>IFERROR(__xludf.DUMMYFUNCTION("""COMPUTED_VALUE"""),"DVN")</f>
        <v>DVN</v>
      </c>
      <c r="E192" s="5" t="str">
        <f>IFERROR(__xludf.DUMMYFUNCTION("""COMPUTED_VALUE"""),"USD")</f>
        <v>USD</v>
      </c>
      <c r="F192" s="69">
        <f>IFERROR(__xludf.DUMMYFUNCTION("""COMPUTED_VALUE"""),100.0)</f>
        <v>100</v>
      </c>
      <c r="G192" s="70">
        <f>IFERROR(__xludf.DUMMYFUNCTION("""COMPUTED_VALUE"""),7.83915)</f>
        <v>7.83915</v>
      </c>
      <c r="H192" s="71">
        <f>IFERROR(__xludf.DUMMYFUNCTION("""COMPUTED_VALUE"""),60.03)</f>
        <v>60.03</v>
      </c>
      <c r="I192" s="71">
        <f>IFERROR(__xludf.DUMMYFUNCTION("""COMPUTED_VALUE"""),63.73)</f>
        <v>63.73</v>
      </c>
      <c r="J192" s="88" t="str">
        <f>IFERROR(__xludf.DUMMYFUNCTION("""COMPUTED_VALUE"""),"Goto link: DVN")</f>
        <v>Goto link: DVN</v>
      </c>
      <c r="K192" s="22"/>
      <c r="L192" s="22"/>
      <c r="M192" s="22"/>
      <c r="N192" s="22"/>
      <c r="O192" s="73"/>
      <c r="P192" s="8"/>
      <c r="Q192" s="69"/>
      <c r="R192" s="69"/>
      <c r="S192" s="8"/>
      <c r="T192" s="69"/>
      <c r="U192" s="8"/>
      <c r="V192" s="69"/>
      <c r="W192" s="74"/>
      <c r="X192" s="69"/>
    </row>
    <row r="193">
      <c r="A193" s="30" t="str">
        <f>IFERROR(__xludf.DUMMYFUNCTION("""COMPUTED_VALUE"""),"37198")</f>
        <v>37198</v>
      </c>
      <c r="B193" s="86">
        <f>IFERROR(__xludf.DUMMYFUNCTION("""COMPUTED_VALUE"""),44660.0)</f>
        <v>44660</v>
      </c>
      <c r="C193" s="64" t="str">
        <f>IFERROR(__xludf.DUMMYFUNCTION("""COMPUTED_VALUE"""),"Stock")</f>
        <v>Stock</v>
      </c>
      <c r="D193" s="85" t="str">
        <f>IFERROR(__xludf.DUMMYFUNCTION("""COMPUTED_VALUE"""),"TME")</f>
        <v>TME</v>
      </c>
      <c r="E193" s="5" t="str">
        <f>IFERROR(__xludf.DUMMYFUNCTION("""COMPUTED_VALUE"""),"USD")</f>
        <v>USD</v>
      </c>
      <c r="F193" s="69">
        <f>IFERROR(__xludf.DUMMYFUNCTION("""COMPUTED_VALUE"""),-200.0)</f>
        <v>-200</v>
      </c>
      <c r="G193" s="70">
        <f>IFERROR(__xludf.DUMMYFUNCTION("""COMPUTED_VALUE"""),7.83915)</f>
        <v>7.83915</v>
      </c>
      <c r="H193" s="71">
        <f>IFERROR(__xludf.DUMMYFUNCTION("""COMPUTED_VALUE"""),4.96)</f>
        <v>4.96</v>
      </c>
      <c r="I193" s="71">
        <f>IFERROR(__xludf.DUMMYFUNCTION("""COMPUTED_VALUE"""),5.0)</f>
        <v>5</v>
      </c>
      <c r="J193" s="88" t="str">
        <f>IFERROR(__xludf.DUMMYFUNCTION("""COMPUTED_VALUE"""),"Goto link: TME")</f>
        <v>Goto link: TME</v>
      </c>
      <c r="K193" s="22"/>
      <c r="L193" s="22"/>
      <c r="M193" s="22"/>
      <c r="N193" s="22"/>
      <c r="O193" s="73"/>
      <c r="P193" s="8"/>
      <c r="Q193" s="69"/>
      <c r="R193" s="69"/>
      <c r="S193" s="8"/>
      <c r="T193" s="69"/>
      <c r="U193" s="8"/>
      <c r="V193" s="69"/>
      <c r="W193" s="74"/>
      <c r="X193" s="69"/>
    </row>
    <row r="194">
      <c r="A194" s="30" t="str">
        <f>IFERROR(__xludf.DUMMYFUNCTION("""COMPUTED_VALUE"""),"37198 Total")</f>
        <v>37198 Total</v>
      </c>
      <c r="B194" s="5"/>
      <c r="C194" s="64"/>
      <c r="D194" s="85"/>
      <c r="E194" s="5"/>
      <c r="F194" s="69"/>
      <c r="G194" s="70">
        <f>IFERROR(__xludf.DUMMYFUNCTION("""COMPUTED_VALUE"""),7.2692208333333355)</f>
        <v>7.269220833</v>
      </c>
      <c r="H194" s="71">
        <f>IFERROR(__xludf.DUMMYFUNCTION("""COMPUTED_VALUE"""),105.1)</f>
        <v>105.1</v>
      </c>
      <c r="I194" s="71" t="str">
        <f>IFERROR(__xludf.DUMMYFUNCTION("""COMPUTED_VALUE"""),"")</f>
        <v/>
      </c>
      <c r="J194" s="22" t="str">
        <f>IFERROR(__xludf.DUMMYFUNCTION("""COMPUTED_VALUE"""),"")</f>
        <v/>
      </c>
      <c r="K194" s="22"/>
      <c r="L194" s="22"/>
      <c r="M194" s="22"/>
      <c r="N194" s="22"/>
      <c r="O194" s="73"/>
      <c r="P194" s="8"/>
      <c r="Q194" s="69"/>
      <c r="R194" s="69"/>
      <c r="S194" s="8"/>
      <c r="T194" s="69"/>
      <c r="U194" s="8"/>
      <c r="V194" s="69"/>
      <c r="W194" s="74"/>
      <c r="X194" s="69"/>
    </row>
    <row r="195">
      <c r="A195" s="30" t="str">
        <f>IFERROR(__xludf.DUMMYFUNCTION("""COMPUTED_VALUE"""),"37400")</f>
        <v>37400</v>
      </c>
      <c r="B195" s="86">
        <f>IFERROR(__xludf.DUMMYFUNCTION("""COMPUTED_VALUE"""),44597.0)</f>
        <v>44597</v>
      </c>
      <c r="C195" s="64" t="str">
        <f>IFERROR(__xludf.DUMMYFUNCTION("""COMPUTED_VALUE"""),"Cash")</f>
        <v>Cash</v>
      </c>
      <c r="D195" s="85" t="str">
        <f>IFERROR(__xludf.DUMMYFUNCTION("""COMPUTED_VALUE"""),"Cash")</f>
        <v>Cash</v>
      </c>
      <c r="E195" s="5" t="str">
        <f>IFERROR(__xludf.DUMMYFUNCTION("""COMPUTED_VALUE"""),"HKD")</f>
        <v>HKD</v>
      </c>
      <c r="F195" s="69" t="str">
        <f>IFERROR(__xludf.DUMMYFUNCTION("""COMPUTED_VALUE"""),"")</f>
        <v/>
      </c>
      <c r="G195" s="70">
        <f>IFERROR(__xludf.DUMMYFUNCTION("""COMPUTED_VALUE"""),1.0)</f>
        <v>1</v>
      </c>
      <c r="H195" s="71">
        <f>IFERROR(__xludf.DUMMYFUNCTION("""COMPUTED_VALUE"""),1.0)</f>
        <v>1</v>
      </c>
      <c r="I195" s="71">
        <f>IFERROR(__xludf.DUMMYFUNCTION("""COMPUTED_VALUE"""),1.0)</f>
        <v>1</v>
      </c>
      <c r="J195" s="22" t="str">
        <f>IFERROR(__xludf.DUMMYFUNCTION("""COMPUTED_VALUE"""),"")</f>
        <v/>
      </c>
      <c r="K195" s="22"/>
      <c r="L195" s="22"/>
      <c r="M195" s="22"/>
      <c r="N195" s="22"/>
      <c r="O195" s="73"/>
      <c r="P195" s="8"/>
      <c r="Q195" s="69"/>
      <c r="R195" s="69"/>
      <c r="S195" s="8"/>
      <c r="T195" s="69"/>
      <c r="U195" s="8"/>
      <c r="V195" s="69"/>
      <c r="W195" s="74"/>
      <c r="X195" s="69"/>
    </row>
    <row r="196">
      <c r="A196" s="30" t="str">
        <f>IFERROR(__xludf.DUMMYFUNCTION("""COMPUTED_VALUE"""),"37400")</f>
        <v>37400</v>
      </c>
      <c r="B196" s="86">
        <f>IFERROR(__xludf.DUMMYFUNCTION("""COMPUTED_VALUE"""),44608.0)</f>
        <v>44608</v>
      </c>
      <c r="C196" s="64" t="str">
        <f>IFERROR(__xludf.DUMMYFUNCTION("""COMPUTED_VALUE"""),"Stock")</f>
        <v>Stock</v>
      </c>
      <c r="D196" s="87" t="str">
        <f>IFERROR(__xludf.DUMMYFUNCTION("""COMPUTED_VALUE"""),"TSLA")</f>
        <v>TSLA</v>
      </c>
      <c r="E196" s="5" t="str">
        <f>IFERROR(__xludf.DUMMYFUNCTION("""COMPUTED_VALUE"""),"USD")</f>
        <v>USD</v>
      </c>
      <c r="F196" s="69">
        <f>IFERROR(__xludf.DUMMYFUNCTION("""COMPUTED_VALUE"""),0.0)</f>
        <v>0</v>
      </c>
      <c r="G196" s="70">
        <f>IFERROR(__xludf.DUMMYFUNCTION("""COMPUTED_VALUE"""),7.83915)</f>
        <v>7.83915</v>
      </c>
      <c r="H196" s="71">
        <f>IFERROR(__xludf.DUMMYFUNCTION("""COMPUTED_VALUE"""),0.0)</f>
        <v>0</v>
      </c>
      <c r="I196" s="71">
        <f>IFERROR(__xludf.DUMMYFUNCTION("""COMPUTED_VALUE"""),1022.37)</f>
        <v>1022.37</v>
      </c>
      <c r="J196" s="88" t="str">
        <f>IFERROR(__xludf.DUMMYFUNCTION("""COMPUTED_VALUE"""),"Goto link: TSLA")</f>
        <v>Goto link: TSLA</v>
      </c>
      <c r="K196" s="22"/>
      <c r="L196" s="22"/>
      <c r="M196" s="22"/>
      <c r="N196" s="22"/>
      <c r="O196" s="73"/>
      <c r="P196" s="8"/>
      <c r="Q196" s="69"/>
      <c r="R196" s="69"/>
      <c r="S196" s="8"/>
      <c r="T196" s="69"/>
      <c r="U196" s="8"/>
      <c r="V196" s="69"/>
      <c r="W196" s="74"/>
      <c r="X196" s="69"/>
    </row>
    <row r="197">
      <c r="A197" s="30" t="str">
        <f>IFERROR(__xludf.DUMMYFUNCTION("""COMPUTED_VALUE"""),"37400")</f>
        <v>37400</v>
      </c>
      <c r="B197" s="86">
        <f>IFERROR(__xludf.DUMMYFUNCTION("""COMPUTED_VALUE"""),44609.0)</f>
        <v>44609</v>
      </c>
      <c r="C197" s="64" t="str">
        <f>IFERROR(__xludf.DUMMYFUNCTION("""COMPUTED_VALUE"""),"Stock")</f>
        <v>Stock</v>
      </c>
      <c r="D197" s="87" t="str">
        <f>IFERROR(__xludf.DUMMYFUNCTION("""COMPUTED_VALUE"""),"TSLA")</f>
        <v>TSLA</v>
      </c>
      <c r="E197" s="5" t="str">
        <f>IFERROR(__xludf.DUMMYFUNCTION("""COMPUTED_VALUE"""),"USD")</f>
        <v>USD</v>
      </c>
      <c r="F197" s="69">
        <f>IFERROR(__xludf.DUMMYFUNCTION("""COMPUTED_VALUE"""),18.0)</f>
        <v>18</v>
      </c>
      <c r="G197" s="70">
        <f>IFERROR(__xludf.DUMMYFUNCTION("""COMPUTED_VALUE"""),7.83915)</f>
        <v>7.83915</v>
      </c>
      <c r="H197" s="71">
        <f>IFERROR(__xludf.DUMMYFUNCTION("""COMPUTED_VALUE"""),876.35)</f>
        <v>876.35</v>
      </c>
      <c r="I197" s="71">
        <f>IFERROR(__xludf.DUMMYFUNCTION("""COMPUTED_VALUE"""),1022.37)</f>
        <v>1022.37</v>
      </c>
      <c r="J197" s="88" t="str">
        <f>IFERROR(__xludf.DUMMYFUNCTION("""COMPUTED_VALUE"""),"Goto link: TSLA")</f>
        <v>Goto link: TSLA</v>
      </c>
      <c r="K197" s="22"/>
      <c r="L197" s="22"/>
      <c r="M197" s="22"/>
      <c r="N197" s="22"/>
      <c r="O197" s="73"/>
      <c r="P197" s="8"/>
      <c r="Q197" s="69"/>
      <c r="R197" s="69"/>
      <c r="S197" s="8"/>
      <c r="T197" s="69"/>
      <c r="U197" s="8"/>
      <c r="V197" s="69"/>
      <c r="W197" s="74"/>
      <c r="X197" s="69"/>
    </row>
    <row r="198">
      <c r="A198" s="30" t="str">
        <f>IFERROR(__xludf.DUMMYFUNCTION("""COMPUTED_VALUE"""),"37400")</f>
        <v>37400</v>
      </c>
      <c r="B198" s="86">
        <f>IFERROR(__xludf.DUMMYFUNCTION("""COMPUTED_VALUE"""),44610.0)</f>
        <v>44610</v>
      </c>
      <c r="C198" s="64" t="str">
        <f>IFERROR(__xludf.DUMMYFUNCTION("""COMPUTED_VALUE"""),"Stock")</f>
        <v>Stock</v>
      </c>
      <c r="D198" s="87" t="str">
        <f>IFERROR(__xludf.DUMMYFUNCTION("""COMPUTED_VALUE"""),"ANPDY")</f>
        <v>ANPDY</v>
      </c>
      <c r="E198" s="5" t="str">
        <f>IFERROR(__xludf.DUMMYFUNCTION("""COMPUTED_VALUE"""),"USD")</f>
        <v>USD</v>
      </c>
      <c r="F198" s="69">
        <f>IFERROR(__xludf.DUMMYFUNCTION("""COMPUTED_VALUE"""),30.0)</f>
        <v>30</v>
      </c>
      <c r="G198" s="70">
        <f>IFERROR(__xludf.DUMMYFUNCTION("""COMPUTED_VALUE"""),7.83915)</f>
        <v>7.83915</v>
      </c>
      <c r="H198" s="71">
        <f>IFERROR(__xludf.DUMMYFUNCTION("""COMPUTED_VALUE"""),397.5)</f>
        <v>397.5</v>
      </c>
      <c r="I198" s="71">
        <f>IFERROR(__xludf.DUMMYFUNCTION("""COMPUTED_VALUE"""),288.61)</f>
        <v>288.61</v>
      </c>
      <c r="J198" s="88" t="str">
        <f>IFERROR(__xludf.DUMMYFUNCTION("""COMPUTED_VALUE"""),"Goto link: ANPDY")</f>
        <v>Goto link: ANPDY</v>
      </c>
      <c r="K198" s="22"/>
      <c r="L198" s="22"/>
      <c r="M198" s="22"/>
      <c r="N198" s="22"/>
      <c r="O198" s="73"/>
      <c r="P198" s="8"/>
      <c r="Q198" s="69"/>
      <c r="R198" s="69"/>
      <c r="S198" s="8"/>
      <c r="T198" s="69"/>
      <c r="U198" s="8"/>
      <c r="V198" s="69"/>
      <c r="W198" s="74"/>
      <c r="X198" s="69"/>
    </row>
    <row r="199">
      <c r="A199" s="30" t="str">
        <f>IFERROR(__xludf.DUMMYFUNCTION("""COMPUTED_VALUE"""),"37400")</f>
        <v>37400</v>
      </c>
      <c r="B199" s="86">
        <f>IFERROR(__xludf.DUMMYFUNCTION("""COMPUTED_VALUE"""),44616.0)</f>
        <v>44616</v>
      </c>
      <c r="C199" s="64" t="str">
        <f>IFERROR(__xludf.DUMMYFUNCTION("""COMPUTED_VALUE"""),"Stock")</f>
        <v>Stock</v>
      </c>
      <c r="D199" s="87" t="str">
        <f>IFERROR(__xludf.DUMMYFUNCTION("""COMPUTED_VALUE"""),"GOLD")</f>
        <v>GOLD</v>
      </c>
      <c r="E199" s="5" t="str">
        <f>IFERROR(__xludf.DUMMYFUNCTION("""COMPUTED_VALUE"""),"USD")</f>
        <v>USD</v>
      </c>
      <c r="F199" s="69">
        <f>IFERROR(__xludf.DUMMYFUNCTION("""COMPUTED_VALUE"""),888.0)</f>
        <v>888</v>
      </c>
      <c r="G199" s="70">
        <f>IFERROR(__xludf.DUMMYFUNCTION("""COMPUTED_VALUE"""),7.83915)</f>
        <v>7.83915</v>
      </c>
      <c r="H199" s="71">
        <f>IFERROR(__xludf.DUMMYFUNCTION("""COMPUTED_VALUE"""),22.54)</f>
        <v>22.54</v>
      </c>
      <c r="I199" s="71">
        <f>IFERROR(__xludf.DUMMYFUNCTION("""COMPUTED_VALUE"""),25.62)</f>
        <v>25.62</v>
      </c>
      <c r="J199" s="88" t="str">
        <f>IFERROR(__xludf.DUMMYFUNCTION("""COMPUTED_VALUE"""),"Goto link: GOLD")</f>
        <v>Goto link: GOLD</v>
      </c>
      <c r="K199" s="22"/>
      <c r="L199" s="22"/>
      <c r="M199" s="22"/>
      <c r="N199" s="22"/>
      <c r="O199" s="73"/>
      <c r="P199" s="8"/>
      <c r="Q199" s="69"/>
      <c r="R199" s="69"/>
      <c r="S199" s="8"/>
      <c r="T199" s="69"/>
      <c r="U199" s="8"/>
      <c r="V199" s="69"/>
      <c r="W199" s="74"/>
      <c r="X199" s="69"/>
    </row>
    <row r="200">
      <c r="A200" s="30" t="str">
        <f>IFERROR(__xludf.DUMMYFUNCTION("""COMPUTED_VALUE"""),"37400")</f>
        <v>37400</v>
      </c>
      <c r="B200" s="86">
        <f>IFERROR(__xludf.DUMMYFUNCTION("""COMPUTED_VALUE"""),44623.0)</f>
        <v>44623</v>
      </c>
      <c r="C200" s="64" t="str">
        <f>IFERROR(__xludf.DUMMYFUNCTION("""COMPUTED_VALUE"""),"Stock")</f>
        <v>Stock</v>
      </c>
      <c r="D200" s="87" t="str">
        <f>IFERROR(__xludf.DUMMYFUNCTION("""COMPUTED_VALUE"""),"GOLD")</f>
        <v>GOLD</v>
      </c>
      <c r="E200" s="5" t="str">
        <f>IFERROR(__xludf.DUMMYFUNCTION("""COMPUTED_VALUE"""),"USD")</f>
        <v>USD</v>
      </c>
      <c r="F200" s="69">
        <f>IFERROR(__xludf.DUMMYFUNCTION("""COMPUTED_VALUE"""),-388.0)</f>
        <v>-388</v>
      </c>
      <c r="G200" s="70">
        <f>IFERROR(__xludf.DUMMYFUNCTION("""COMPUTED_VALUE"""),7.83915)</f>
        <v>7.83915</v>
      </c>
      <c r="H200" s="71">
        <f>IFERROR(__xludf.DUMMYFUNCTION("""COMPUTED_VALUE"""),23.57)</f>
        <v>23.57</v>
      </c>
      <c r="I200" s="71">
        <f>IFERROR(__xludf.DUMMYFUNCTION("""COMPUTED_VALUE"""),25.62)</f>
        <v>25.62</v>
      </c>
      <c r="J200" s="88" t="str">
        <f>IFERROR(__xludf.DUMMYFUNCTION("""COMPUTED_VALUE"""),"Goto link: GOLD")</f>
        <v>Goto link: GOLD</v>
      </c>
      <c r="K200" s="22"/>
      <c r="L200" s="22"/>
      <c r="M200" s="22"/>
      <c r="N200" s="22"/>
      <c r="O200" s="73"/>
      <c r="P200" s="8"/>
      <c r="Q200" s="69"/>
      <c r="R200" s="69"/>
      <c r="S200" s="8"/>
      <c r="T200" s="69"/>
      <c r="U200" s="8"/>
      <c r="V200" s="69"/>
      <c r="W200" s="74"/>
      <c r="X200" s="69"/>
    </row>
    <row r="201">
      <c r="A201" s="30" t="str">
        <f>IFERROR(__xludf.DUMMYFUNCTION("""COMPUTED_VALUE"""),"37400")</f>
        <v>37400</v>
      </c>
      <c r="B201" s="86">
        <f>IFERROR(__xludf.DUMMYFUNCTION("""COMPUTED_VALUE"""),44624.0)</f>
        <v>44624</v>
      </c>
      <c r="C201" s="64" t="str">
        <f>IFERROR(__xludf.DUMMYFUNCTION("""COMPUTED_VALUE"""),"Stock")</f>
        <v>Stock</v>
      </c>
      <c r="D201" s="87" t="str">
        <f>IFERROR(__xludf.DUMMYFUNCTION("""COMPUTED_VALUE"""),"TSLA")</f>
        <v>TSLA</v>
      </c>
      <c r="E201" s="5" t="str">
        <f>IFERROR(__xludf.DUMMYFUNCTION("""COMPUTED_VALUE"""),"USD")</f>
        <v>USD</v>
      </c>
      <c r="F201" s="69">
        <f>IFERROR(__xludf.DUMMYFUNCTION("""COMPUTED_VALUE"""),18.0)</f>
        <v>18</v>
      </c>
      <c r="G201" s="70">
        <f>IFERROR(__xludf.DUMMYFUNCTION("""COMPUTED_VALUE"""),7.83915)</f>
        <v>7.83915</v>
      </c>
      <c r="H201" s="71">
        <f>IFERROR(__xludf.DUMMYFUNCTION("""COMPUTED_VALUE"""),838.29)</f>
        <v>838.29</v>
      </c>
      <c r="I201" s="71">
        <f>IFERROR(__xludf.DUMMYFUNCTION("""COMPUTED_VALUE"""),1022.37)</f>
        <v>1022.37</v>
      </c>
      <c r="J201" s="88" t="str">
        <f>IFERROR(__xludf.DUMMYFUNCTION("""COMPUTED_VALUE"""),"Goto link: TSLA")</f>
        <v>Goto link: TSLA</v>
      </c>
      <c r="K201" s="22"/>
      <c r="L201" s="22"/>
      <c r="M201" s="22"/>
      <c r="N201" s="22"/>
      <c r="O201" s="73"/>
      <c r="P201" s="8"/>
      <c r="Q201" s="69"/>
      <c r="R201" s="69"/>
      <c r="S201" s="8"/>
      <c r="T201" s="69"/>
      <c r="U201" s="8"/>
      <c r="V201" s="69"/>
      <c r="W201" s="74"/>
      <c r="X201" s="69"/>
    </row>
    <row r="202">
      <c r="A202" s="30" t="str">
        <f>IFERROR(__xludf.DUMMYFUNCTION("""COMPUTED_VALUE"""),"37400")</f>
        <v>37400</v>
      </c>
      <c r="B202" s="86">
        <f>IFERROR(__xludf.DUMMYFUNCTION("""COMPUTED_VALUE"""),44629.0)</f>
        <v>44629</v>
      </c>
      <c r="C202" s="64" t="str">
        <f>IFERROR(__xludf.DUMMYFUNCTION("""COMPUTED_VALUE"""),"Stock")</f>
        <v>Stock</v>
      </c>
      <c r="D202" s="87" t="str">
        <f>IFERROR(__xludf.DUMMYFUNCTION("""COMPUTED_VALUE"""),"ANPDY")</f>
        <v>ANPDY</v>
      </c>
      <c r="E202" s="5" t="str">
        <f>IFERROR(__xludf.DUMMYFUNCTION("""COMPUTED_VALUE"""),"USD")</f>
        <v>USD</v>
      </c>
      <c r="F202" s="69">
        <f>IFERROR(__xludf.DUMMYFUNCTION("""COMPUTED_VALUE"""),-30.0)</f>
        <v>-30</v>
      </c>
      <c r="G202" s="70">
        <f>IFERROR(__xludf.DUMMYFUNCTION("""COMPUTED_VALUE"""),7.83915)</f>
        <v>7.83915</v>
      </c>
      <c r="H202" s="71">
        <f>IFERROR(__xludf.DUMMYFUNCTION("""COMPUTED_VALUE"""),314.05)</f>
        <v>314.05</v>
      </c>
      <c r="I202" s="71">
        <f>IFERROR(__xludf.DUMMYFUNCTION("""COMPUTED_VALUE"""),288.61)</f>
        <v>288.61</v>
      </c>
      <c r="J202" s="88" t="str">
        <f>IFERROR(__xludf.DUMMYFUNCTION("""COMPUTED_VALUE"""),"Goto link: ANPDY")</f>
        <v>Goto link: ANPDY</v>
      </c>
      <c r="K202" s="22"/>
      <c r="L202" s="22"/>
      <c r="M202" s="22"/>
      <c r="N202" s="22"/>
      <c r="O202" s="73"/>
      <c r="P202" s="8"/>
      <c r="Q202" s="69"/>
      <c r="R202" s="69"/>
      <c r="S202" s="8"/>
      <c r="T202" s="69"/>
      <c r="U202" s="8"/>
      <c r="V202" s="69"/>
      <c r="W202" s="74"/>
      <c r="X202" s="69"/>
    </row>
    <row r="203">
      <c r="A203" s="30" t="str">
        <f>IFERROR(__xludf.DUMMYFUNCTION("""COMPUTED_VALUE"""),"37400")</f>
        <v>37400</v>
      </c>
      <c r="B203" s="86">
        <f>IFERROR(__xludf.DUMMYFUNCTION("""COMPUTED_VALUE"""),44641.0)</f>
        <v>44641</v>
      </c>
      <c r="C203" s="64" t="str">
        <f>IFERROR(__xludf.DUMMYFUNCTION("""COMPUTED_VALUE"""),"Stock")</f>
        <v>Stock</v>
      </c>
      <c r="D203" s="87" t="str">
        <f>IFERROR(__xludf.DUMMYFUNCTION("""COMPUTED_VALUE"""),"TSLA")</f>
        <v>TSLA</v>
      </c>
      <c r="E203" s="5" t="str">
        <f>IFERROR(__xludf.DUMMYFUNCTION("""COMPUTED_VALUE"""),"USD")</f>
        <v>USD</v>
      </c>
      <c r="F203" s="69">
        <f>IFERROR(__xludf.DUMMYFUNCTION("""COMPUTED_VALUE"""),-36.0)</f>
        <v>-36</v>
      </c>
      <c r="G203" s="70">
        <f>IFERROR(__xludf.DUMMYFUNCTION("""COMPUTED_VALUE"""),7.83915)</f>
        <v>7.83915</v>
      </c>
      <c r="H203" s="71">
        <f>IFERROR(__xludf.DUMMYFUNCTION("""COMPUTED_VALUE"""),921.16)</f>
        <v>921.16</v>
      </c>
      <c r="I203" s="71">
        <f>IFERROR(__xludf.DUMMYFUNCTION("""COMPUTED_VALUE"""),1022.37)</f>
        <v>1022.37</v>
      </c>
      <c r="J203" s="88" t="str">
        <f>IFERROR(__xludf.DUMMYFUNCTION("""COMPUTED_VALUE"""),"Goto link: TSLA")</f>
        <v>Goto link: TSLA</v>
      </c>
      <c r="K203" s="22"/>
      <c r="L203" s="22"/>
      <c r="M203" s="22"/>
      <c r="N203" s="22"/>
      <c r="O203" s="73"/>
      <c r="P203" s="8"/>
      <c r="Q203" s="69"/>
      <c r="R203" s="69"/>
      <c r="S203" s="8"/>
      <c r="T203" s="69"/>
      <c r="U203" s="8"/>
      <c r="V203" s="69"/>
      <c r="W203" s="74"/>
      <c r="X203" s="69"/>
    </row>
    <row r="204">
      <c r="A204" s="30" t="str">
        <f>IFERROR(__xludf.DUMMYFUNCTION("""COMPUTED_VALUE"""),"37400")</f>
        <v>37400</v>
      </c>
      <c r="B204" s="86">
        <f>IFERROR(__xludf.DUMMYFUNCTION("""COMPUTED_VALUE"""),44645.0)</f>
        <v>44645</v>
      </c>
      <c r="C204" s="64" t="str">
        <f>IFERROR(__xludf.DUMMYFUNCTION("""COMPUTED_VALUE"""),"Stock")</f>
        <v>Stock</v>
      </c>
      <c r="D204" s="87" t="str">
        <f>IFERROR(__xludf.DUMMYFUNCTION("""COMPUTED_VALUE"""),"GOLD")</f>
        <v>GOLD</v>
      </c>
      <c r="E204" s="5" t="str">
        <f>IFERROR(__xludf.DUMMYFUNCTION("""COMPUTED_VALUE"""),"USD")</f>
        <v>USD</v>
      </c>
      <c r="F204" s="69">
        <f>IFERROR(__xludf.DUMMYFUNCTION("""COMPUTED_VALUE"""),-500.0)</f>
        <v>-500</v>
      </c>
      <c r="G204" s="70">
        <f>IFERROR(__xludf.DUMMYFUNCTION("""COMPUTED_VALUE"""),7.83915)</f>
        <v>7.83915</v>
      </c>
      <c r="H204" s="71">
        <f>IFERROR(__xludf.DUMMYFUNCTION("""COMPUTED_VALUE"""),24.54)</f>
        <v>24.54</v>
      </c>
      <c r="I204" s="71">
        <f>IFERROR(__xludf.DUMMYFUNCTION("""COMPUTED_VALUE"""),25.62)</f>
        <v>25.62</v>
      </c>
      <c r="J204" s="88" t="str">
        <f>IFERROR(__xludf.DUMMYFUNCTION("""COMPUTED_VALUE"""),"Goto link: GOLD")</f>
        <v>Goto link: GOLD</v>
      </c>
      <c r="K204" s="22"/>
      <c r="L204" s="22"/>
      <c r="M204" s="22"/>
      <c r="N204" s="22"/>
      <c r="O204" s="73"/>
      <c r="P204" s="8"/>
      <c r="Q204" s="69"/>
      <c r="R204" s="69"/>
      <c r="S204" s="8"/>
      <c r="T204" s="69"/>
      <c r="U204" s="8"/>
      <c r="V204" s="69"/>
      <c r="W204" s="74"/>
      <c r="X204" s="69"/>
    </row>
    <row r="205">
      <c r="A205" s="30" t="str">
        <f>IFERROR(__xludf.DUMMYFUNCTION("""COMPUTED_VALUE"""),"37400 Total")</f>
        <v>37400 Total</v>
      </c>
      <c r="B205" s="5"/>
      <c r="C205" s="64"/>
      <c r="D205" s="85"/>
      <c r="E205" s="5"/>
      <c r="F205" s="69"/>
      <c r="G205" s="70">
        <f>IFERROR(__xludf.DUMMYFUNCTION("""COMPUTED_VALUE"""),7.155235000000002)</f>
        <v>7.155235</v>
      </c>
      <c r="H205" s="71">
        <f>IFERROR(__xludf.DUMMYFUNCTION("""COMPUTED_VALUE"""),921.16)</f>
        <v>921.16</v>
      </c>
      <c r="I205" s="71" t="str">
        <f>IFERROR(__xludf.DUMMYFUNCTION("""COMPUTED_VALUE"""),"")</f>
        <v/>
      </c>
      <c r="J205" s="22" t="str">
        <f>IFERROR(__xludf.DUMMYFUNCTION("""COMPUTED_VALUE"""),"")</f>
        <v/>
      </c>
      <c r="K205" s="22"/>
      <c r="L205" s="22"/>
      <c r="M205" s="22"/>
      <c r="N205" s="22"/>
      <c r="O205" s="73"/>
      <c r="P205" s="8"/>
      <c r="Q205" s="69"/>
      <c r="R205" s="69"/>
      <c r="S205" s="8"/>
      <c r="T205" s="69"/>
      <c r="U205" s="8"/>
      <c r="V205" s="69"/>
      <c r="W205" s="74"/>
      <c r="X205" s="69"/>
    </row>
    <row r="206">
      <c r="A206" s="30" t="str">
        <f>IFERROR(__xludf.DUMMYFUNCTION("""COMPUTED_VALUE"""),"37568")</f>
        <v>37568</v>
      </c>
      <c r="B206" s="86">
        <f>IFERROR(__xludf.DUMMYFUNCTION("""COMPUTED_VALUE"""),44597.0)</f>
        <v>44597</v>
      </c>
      <c r="C206" s="64" t="str">
        <f>IFERROR(__xludf.DUMMYFUNCTION("""COMPUTED_VALUE"""),"Cash")</f>
        <v>Cash</v>
      </c>
      <c r="D206" s="85" t="str">
        <f>IFERROR(__xludf.DUMMYFUNCTION("""COMPUTED_VALUE"""),"Cash")</f>
        <v>Cash</v>
      </c>
      <c r="E206" s="5" t="str">
        <f>IFERROR(__xludf.DUMMYFUNCTION("""COMPUTED_VALUE"""),"HKD")</f>
        <v>HKD</v>
      </c>
      <c r="F206" s="69" t="str">
        <f>IFERROR(__xludf.DUMMYFUNCTION("""COMPUTED_VALUE"""),"")</f>
        <v/>
      </c>
      <c r="G206" s="70">
        <f>IFERROR(__xludf.DUMMYFUNCTION("""COMPUTED_VALUE"""),1.0)</f>
        <v>1</v>
      </c>
      <c r="H206" s="71">
        <f>IFERROR(__xludf.DUMMYFUNCTION("""COMPUTED_VALUE"""),1.0)</f>
        <v>1</v>
      </c>
      <c r="I206" s="71">
        <f>IFERROR(__xludf.DUMMYFUNCTION("""COMPUTED_VALUE"""),1.0)</f>
        <v>1</v>
      </c>
      <c r="J206" s="22" t="str">
        <f>IFERROR(__xludf.DUMMYFUNCTION("""COMPUTED_VALUE"""),"")</f>
        <v/>
      </c>
      <c r="K206" s="22"/>
      <c r="L206" s="22"/>
      <c r="M206" s="22"/>
      <c r="N206" s="22"/>
      <c r="O206" s="73"/>
      <c r="P206" s="8"/>
      <c r="Q206" s="69"/>
      <c r="R206" s="69"/>
      <c r="S206" s="8"/>
      <c r="T206" s="69"/>
      <c r="U206" s="8"/>
      <c r="V206" s="69"/>
      <c r="W206" s="74"/>
      <c r="X206" s="69"/>
    </row>
    <row r="207">
      <c r="A207" s="30" t="str">
        <f>IFERROR(__xludf.DUMMYFUNCTION("""COMPUTED_VALUE"""),"37568")</f>
        <v>37568</v>
      </c>
      <c r="B207" s="86">
        <f>IFERROR(__xludf.DUMMYFUNCTION("""COMPUTED_VALUE"""),44661.0)</f>
        <v>44661</v>
      </c>
      <c r="C207" s="64" t="str">
        <f>IFERROR(__xludf.DUMMYFUNCTION("""COMPUTED_VALUE"""),"Stock")</f>
        <v>Stock</v>
      </c>
      <c r="D207" s="85" t="str">
        <f>IFERROR(__xludf.DUMMYFUNCTION("""COMPUTED_VALUE"""),"MSFT")</f>
        <v>MSFT</v>
      </c>
      <c r="E207" s="5" t="str">
        <f>IFERROR(__xludf.DUMMYFUNCTION("""COMPUTED_VALUE"""),"USD")</f>
        <v>USD</v>
      </c>
      <c r="F207" s="69">
        <f>IFERROR(__xludf.DUMMYFUNCTION("""COMPUTED_VALUE"""),10.0)</f>
        <v>10</v>
      </c>
      <c r="G207" s="70">
        <f>IFERROR(__xludf.DUMMYFUNCTION("""COMPUTED_VALUE"""),7.83915)</f>
        <v>7.83915</v>
      </c>
      <c r="H207" s="71">
        <f>IFERROR(__xludf.DUMMYFUNCTION("""COMPUTED_VALUE"""),285.26)</f>
        <v>285.26</v>
      </c>
      <c r="I207" s="71">
        <f>IFERROR(__xludf.DUMMYFUNCTION("""COMPUTED_VALUE"""),287.62)</f>
        <v>287.62</v>
      </c>
      <c r="J207" s="88" t="str">
        <f>IFERROR(__xludf.DUMMYFUNCTION("""COMPUTED_VALUE"""),"Goto link: MSFT")</f>
        <v>Goto link: MSFT</v>
      </c>
      <c r="K207" s="22"/>
      <c r="L207" s="22"/>
      <c r="M207" s="22"/>
      <c r="N207" s="22"/>
      <c r="O207" s="73"/>
      <c r="P207" s="8"/>
      <c r="Q207" s="69"/>
      <c r="R207" s="69"/>
      <c r="S207" s="8"/>
      <c r="T207" s="69"/>
      <c r="U207" s="8"/>
      <c r="V207" s="69"/>
      <c r="W207" s="74"/>
      <c r="X207" s="69"/>
    </row>
    <row r="208">
      <c r="A208" s="30" t="str">
        <f>IFERROR(__xludf.DUMMYFUNCTION("""COMPUTED_VALUE"""),"37568")</f>
        <v>37568</v>
      </c>
      <c r="B208" s="86">
        <f>IFERROR(__xludf.DUMMYFUNCTION("""COMPUTED_VALUE"""),44662.0)</f>
        <v>44662</v>
      </c>
      <c r="C208" s="64" t="str">
        <f>IFERROR(__xludf.DUMMYFUNCTION("""COMPUTED_VALUE"""),"Stock")</f>
        <v>Stock</v>
      </c>
      <c r="D208" s="85" t="str">
        <f>IFERROR(__xludf.DUMMYFUNCTION("""COMPUTED_VALUE"""),"MSFT")</f>
        <v>MSFT</v>
      </c>
      <c r="E208" s="5" t="str">
        <f>IFERROR(__xludf.DUMMYFUNCTION("""COMPUTED_VALUE"""),"USD")</f>
        <v>USD</v>
      </c>
      <c r="F208" s="69" t="str">
        <f>IFERROR(__xludf.DUMMYFUNCTION("""COMPUTED_VALUE"""),"")</f>
        <v/>
      </c>
      <c r="G208" s="70">
        <f>IFERROR(__xludf.DUMMYFUNCTION("""COMPUTED_VALUE"""),7.83915)</f>
        <v>7.83915</v>
      </c>
      <c r="H208" s="71">
        <f>IFERROR(__xludf.DUMMYFUNCTION("""COMPUTED_VALUE"""),285.26)</f>
        <v>285.26</v>
      </c>
      <c r="I208" s="71">
        <f>IFERROR(__xludf.DUMMYFUNCTION("""COMPUTED_VALUE"""),287.62)</f>
        <v>287.62</v>
      </c>
      <c r="J208" s="88" t="str">
        <f>IFERROR(__xludf.DUMMYFUNCTION("""COMPUTED_VALUE"""),"Goto link: MSFT")</f>
        <v>Goto link: MSFT</v>
      </c>
      <c r="K208" s="22"/>
      <c r="L208" s="22"/>
      <c r="M208" s="22"/>
      <c r="N208" s="22"/>
      <c r="O208" s="73"/>
      <c r="P208" s="8"/>
      <c r="Q208" s="69"/>
      <c r="R208" s="69"/>
      <c r="S208" s="8"/>
      <c r="T208" s="69"/>
      <c r="U208" s="8"/>
      <c r="V208" s="69"/>
      <c r="W208" s="74"/>
      <c r="X208" s="69"/>
    </row>
    <row r="209">
      <c r="A209" s="30" t="str">
        <f>IFERROR(__xludf.DUMMYFUNCTION("""COMPUTED_VALUE"""),"37568")</f>
        <v>37568</v>
      </c>
      <c r="B209" s="86">
        <f>IFERROR(__xludf.DUMMYFUNCTION("""COMPUTED_VALUE"""),44663.0)</f>
        <v>44663</v>
      </c>
      <c r="C209" s="64" t="str">
        <f>IFERROR(__xludf.DUMMYFUNCTION("""COMPUTED_VALUE"""),"Stock")</f>
        <v>Stock</v>
      </c>
      <c r="D209" s="91" t="str">
        <f>IFERROR(__xludf.DUMMYFUNCTION("""COMPUTED_VALUE"""),"9939.HK")</f>
        <v>9939.HK</v>
      </c>
      <c r="E209" s="5" t="str">
        <f>IFERROR(__xludf.DUMMYFUNCTION("""COMPUTED_VALUE"""),"HKD")</f>
        <v>HKD</v>
      </c>
      <c r="F209" s="69">
        <f>IFERROR(__xludf.DUMMYFUNCTION("""COMPUTED_VALUE"""),500.0)</f>
        <v>500</v>
      </c>
      <c r="G209" s="70">
        <f>IFERROR(__xludf.DUMMYFUNCTION("""COMPUTED_VALUE"""),1.0)</f>
        <v>1</v>
      </c>
      <c r="H209" s="71">
        <f>IFERROR(__xludf.DUMMYFUNCTION("""COMPUTED_VALUE"""),28.0)</f>
        <v>28</v>
      </c>
      <c r="I209" s="71">
        <f>IFERROR(__xludf.DUMMYFUNCTION("""COMPUTED_VALUE"""),28.15)</f>
        <v>28.15</v>
      </c>
      <c r="J209" s="88" t="str">
        <f>IFERROR(__xludf.DUMMYFUNCTION("""COMPUTED_VALUE"""),"Goto link: 9939.HK")</f>
        <v>Goto link: 9939.HK</v>
      </c>
      <c r="K209" s="22"/>
      <c r="L209" s="22"/>
      <c r="M209" s="22"/>
      <c r="N209" s="22"/>
      <c r="O209" s="73"/>
      <c r="P209" s="8"/>
      <c r="Q209" s="69"/>
      <c r="R209" s="69"/>
      <c r="S209" s="8"/>
      <c r="T209" s="69"/>
      <c r="U209" s="8"/>
      <c r="V209" s="69"/>
      <c r="W209" s="74"/>
      <c r="X209" s="69"/>
    </row>
    <row r="210">
      <c r="A210" s="30" t="str">
        <f>IFERROR(__xludf.DUMMYFUNCTION("""COMPUTED_VALUE"""),"37568")</f>
        <v>37568</v>
      </c>
      <c r="B210" s="86">
        <f>IFERROR(__xludf.DUMMYFUNCTION("""COMPUTED_VALUE"""),44663.0)</f>
        <v>44663</v>
      </c>
      <c r="C210" s="64" t="str">
        <f>IFERROR(__xludf.DUMMYFUNCTION("""COMPUTED_VALUE"""),"Stock")</f>
        <v>Stock</v>
      </c>
      <c r="D210" s="85" t="str">
        <f>IFERROR(__xludf.DUMMYFUNCTION("""COMPUTED_VALUE"""),"AAPL")</f>
        <v>AAPL</v>
      </c>
      <c r="E210" s="5" t="str">
        <f>IFERROR(__xludf.DUMMYFUNCTION("""COMPUTED_VALUE"""),"USD")</f>
        <v>USD</v>
      </c>
      <c r="F210" s="69">
        <f>IFERROR(__xludf.DUMMYFUNCTION("""COMPUTED_VALUE"""),500.0)</f>
        <v>500</v>
      </c>
      <c r="G210" s="70">
        <f>IFERROR(__xludf.DUMMYFUNCTION("""COMPUTED_VALUE"""),7.83915)</f>
        <v>7.83915</v>
      </c>
      <c r="H210" s="71">
        <f>IFERROR(__xludf.DUMMYFUNCTION("""COMPUTED_VALUE"""),167.66)</f>
        <v>167.66</v>
      </c>
      <c r="I210" s="71">
        <f>IFERROR(__xludf.DUMMYFUNCTION("""COMPUTED_VALUE"""),170.4)</f>
        <v>170.4</v>
      </c>
      <c r="J210" s="88" t="str">
        <f>IFERROR(__xludf.DUMMYFUNCTION("""COMPUTED_VALUE"""),"Goto link: AAPL")</f>
        <v>Goto link: AAPL</v>
      </c>
      <c r="K210" s="22"/>
      <c r="L210" s="22"/>
      <c r="M210" s="22"/>
      <c r="N210" s="22"/>
      <c r="O210" s="73"/>
      <c r="P210" s="8"/>
      <c r="Q210" s="69"/>
      <c r="R210" s="69"/>
      <c r="S210" s="8"/>
      <c r="T210" s="69"/>
      <c r="U210" s="8"/>
      <c r="V210" s="69"/>
      <c r="W210" s="74"/>
      <c r="X210" s="69"/>
    </row>
    <row r="211">
      <c r="A211" s="30" t="str">
        <f>IFERROR(__xludf.DUMMYFUNCTION("""COMPUTED_VALUE"""),"37568")</f>
        <v>37568</v>
      </c>
      <c r="B211" s="86">
        <f>IFERROR(__xludf.DUMMYFUNCTION("""COMPUTED_VALUE"""),44663.0)</f>
        <v>44663</v>
      </c>
      <c r="C211" s="64" t="str">
        <f>IFERROR(__xludf.DUMMYFUNCTION("""COMPUTED_VALUE"""),"Stock")</f>
        <v>Stock</v>
      </c>
      <c r="D211" s="85" t="str">
        <f>IFERROR(__xludf.DUMMYFUNCTION("""COMPUTED_VALUE"""),"BILI")</f>
        <v>BILI</v>
      </c>
      <c r="E211" s="5" t="str">
        <f>IFERROR(__xludf.DUMMYFUNCTION("""COMPUTED_VALUE"""),"USD")</f>
        <v>USD</v>
      </c>
      <c r="F211" s="69" t="str">
        <f>IFERROR(__xludf.DUMMYFUNCTION("""COMPUTED_VALUE"""),"")</f>
        <v/>
      </c>
      <c r="G211" s="70">
        <f>IFERROR(__xludf.DUMMYFUNCTION("""COMPUTED_VALUE"""),7.83915)</f>
        <v>7.83915</v>
      </c>
      <c r="H211" s="71">
        <f>IFERROR(__xludf.DUMMYFUNCTION("""COMPUTED_VALUE"""),24.94)</f>
        <v>24.94</v>
      </c>
      <c r="I211" s="71">
        <f>IFERROR(__xludf.DUMMYFUNCTION("""COMPUTED_VALUE"""),26.24)</f>
        <v>26.24</v>
      </c>
      <c r="J211" s="88" t="str">
        <f>IFERROR(__xludf.DUMMYFUNCTION("""COMPUTED_VALUE"""),"Goto link: BILI")</f>
        <v>Goto link: BILI</v>
      </c>
      <c r="K211" s="22"/>
      <c r="L211" s="22"/>
      <c r="M211" s="22"/>
      <c r="N211" s="22"/>
      <c r="O211" s="73"/>
      <c r="P211" s="8"/>
      <c r="Q211" s="69"/>
      <c r="R211" s="69"/>
      <c r="S211" s="8"/>
      <c r="T211" s="69"/>
      <c r="U211" s="8"/>
      <c r="V211" s="69"/>
      <c r="W211" s="74"/>
      <c r="X211" s="69"/>
    </row>
    <row r="212">
      <c r="A212" s="30" t="str">
        <f>IFERROR(__xludf.DUMMYFUNCTION("""COMPUTED_VALUE"""),"37568 Total")</f>
        <v>37568 Total</v>
      </c>
      <c r="B212" s="5"/>
      <c r="C212" s="64"/>
      <c r="D212" s="85"/>
      <c r="E212" s="5"/>
      <c r="F212" s="69"/>
      <c r="G212" s="70">
        <f>IFERROR(__xludf.DUMMYFUNCTION("""COMPUTED_VALUE"""),5.8851071428571435)</f>
        <v>5.885107143</v>
      </c>
      <c r="H212" s="71">
        <f>IFERROR(__xludf.DUMMYFUNCTION("""COMPUTED_VALUE"""),285.26)</f>
        <v>285.26</v>
      </c>
      <c r="I212" s="71" t="str">
        <f>IFERROR(__xludf.DUMMYFUNCTION("""COMPUTED_VALUE"""),"")</f>
        <v/>
      </c>
      <c r="J212" s="22" t="str">
        <f>IFERROR(__xludf.DUMMYFUNCTION("""COMPUTED_VALUE"""),"")</f>
        <v/>
      </c>
      <c r="K212" s="22"/>
      <c r="L212" s="22"/>
      <c r="M212" s="22"/>
      <c r="N212" s="22"/>
      <c r="O212" s="73"/>
      <c r="P212" s="8"/>
      <c r="Q212" s="69"/>
      <c r="R212" s="69"/>
      <c r="S212" s="8"/>
      <c r="T212" s="69"/>
      <c r="U212" s="8"/>
      <c r="V212" s="69"/>
      <c r="W212" s="74"/>
      <c r="X212" s="69"/>
    </row>
    <row r="213">
      <c r="A213" s="30" t="str">
        <f>IFERROR(__xludf.DUMMYFUNCTION("""COMPUTED_VALUE"""),"37649")</f>
        <v>37649</v>
      </c>
      <c r="B213" s="86">
        <f>IFERROR(__xludf.DUMMYFUNCTION("""COMPUTED_VALUE"""),44597.0)</f>
        <v>44597</v>
      </c>
      <c r="C213" s="64" t="str">
        <f>IFERROR(__xludf.DUMMYFUNCTION("""COMPUTED_VALUE"""),"Cash")</f>
        <v>Cash</v>
      </c>
      <c r="D213" s="85" t="str">
        <f>IFERROR(__xludf.DUMMYFUNCTION("""COMPUTED_VALUE"""),"Cash")</f>
        <v>Cash</v>
      </c>
      <c r="E213" s="5" t="str">
        <f>IFERROR(__xludf.DUMMYFUNCTION("""COMPUTED_VALUE"""),"HKD")</f>
        <v>HKD</v>
      </c>
      <c r="F213" s="69" t="str">
        <f>IFERROR(__xludf.DUMMYFUNCTION("""COMPUTED_VALUE"""),"")</f>
        <v/>
      </c>
      <c r="G213" s="70">
        <f>IFERROR(__xludf.DUMMYFUNCTION("""COMPUTED_VALUE"""),1.0)</f>
        <v>1</v>
      </c>
      <c r="H213" s="71">
        <f>IFERROR(__xludf.DUMMYFUNCTION("""COMPUTED_VALUE"""),1.0)</f>
        <v>1</v>
      </c>
      <c r="I213" s="71">
        <f>IFERROR(__xludf.DUMMYFUNCTION("""COMPUTED_VALUE"""),1.0)</f>
        <v>1</v>
      </c>
      <c r="J213" s="22" t="str">
        <f>IFERROR(__xludf.DUMMYFUNCTION("""COMPUTED_VALUE"""),"")</f>
        <v/>
      </c>
      <c r="K213" s="22"/>
      <c r="L213" s="22"/>
      <c r="M213" s="22"/>
      <c r="N213" s="22"/>
      <c r="O213" s="73"/>
      <c r="P213" s="8"/>
      <c r="Q213" s="69"/>
      <c r="R213" s="69"/>
      <c r="S213" s="8"/>
      <c r="T213" s="69"/>
      <c r="U213" s="8"/>
      <c r="V213" s="69"/>
      <c r="W213" s="74"/>
      <c r="X213" s="69"/>
    </row>
    <row r="214">
      <c r="A214" s="30" t="str">
        <f>IFERROR(__xludf.DUMMYFUNCTION("""COMPUTED_VALUE"""),"37649")</f>
        <v>37649</v>
      </c>
      <c r="B214" s="86">
        <f>IFERROR(__xludf.DUMMYFUNCTION("""COMPUTED_VALUE"""),44613.0)</f>
        <v>44613</v>
      </c>
      <c r="C214" s="64" t="str">
        <f>IFERROR(__xludf.DUMMYFUNCTION("""COMPUTED_VALUE"""),"Stock")</f>
        <v>Stock</v>
      </c>
      <c r="D214" s="90" t="str">
        <f>IFERROR(__xludf.DUMMYFUNCTION("""COMPUTED_VALUE"""),"1109.HK")</f>
        <v>1109.HK</v>
      </c>
      <c r="E214" s="5" t="str">
        <f>IFERROR(__xludf.DUMMYFUNCTION("""COMPUTED_VALUE"""),"HKD")</f>
        <v>HKD</v>
      </c>
      <c r="F214" s="69">
        <f>IFERROR(__xludf.DUMMYFUNCTION("""COMPUTED_VALUE"""),4000.0)</f>
        <v>4000</v>
      </c>
      <c r="G214" s="70">
        <f>IFERROR(__xludf.DUMMYFUNCTION("""COMPUTED_VALUE"""),1.0)</f>
        <v>1</v>
      </c>
      <c r="H214" s="71">
        <f>IFERROR(__xludf.DUMMYFUNCTION("""COMPUTED_VALUE"""),39.7)</f>
        <v>39.7</v>
      </c>
      <c r="I214" s="71">
        <f>IFERROR(__xludf.DUMMYFUNCTION("""COMPUTED_VALUE"""),38.75)</f>
        <v>38.75</v>
      </c>
      <c r="J214" s="88" t="str">
        <f>IFERROR(__xludf.DUMMYFUNCTION("""COMPUTED_VALUE"""),"Goto link: 1109.HK")</f>
        <v>Goto link: 1109.HK</v>
      </c>
      <c r="K214" s="22"/>
      <c r="L214" s="22"/>
      <c r="M214" s="22"/>
      <c r="N214" s="22"/>
      <c r="O214" s="73"/>
      <c r="P214" s="8"/>
      <c r="Q214" s="69"/>
      <c r="R214" s="69"/>
      <c r="S214" s="8"/>
      <c r="T214" s="69"/>
      <c r="U214" s="8"/>
      <c r="V214" s="69"/>
      <c r="W214" s="74"/>
      <c r="X214" s="69"/>
    </row>
    <row r="215">
      <c r="A215" s="30" t="str">
        <f>IFERROR(__xludf.DUMMYFUNCTION("""COMPUTED_VALUE"""),"37649")</f>
        <v>37649</v>
      </c>
      <c r="B215" s="86">
        <f>IFERROR(__xludf.DUMMYFUNCTION("""COMPUTED_VALUE"""),44638.0)</f>
        <v>44638</v>
      </c>
      <c r="C215" s="64" t="str">
        <f>IFERROR(__xludf.DUMMYFUNCTION("""COMPUTED_VALUE"""),"Stock")</f>
        <v>Stock</v>
      </c>
      <c r="D215" s="90" t="str">
        <f>IFERROR(__xludf.DUMMYFUNCTION("""COMPUTED_VALUE"""),"1109.HK")</f>
        <v>1109.HK</v>
      </c>
      <c r="E215" s="5" t="str">
        <f>IFERROR(__xludf.DUMMYFUNCTION("""COMPUTED_VALUE"""),"HKD")</f>
        <v>HKD</v>
      </c>
      <c r="F215" s="69">
        <f>IFERROR(__xludf.DUMMYFUNCTION("""COMPUTED_VALUE"""),-4000.0)</f>
        <v>-4000</v>
      </c>
      <c r="G215" s="70">
        <f>IFERROR(__xludf.DUMMYFUNCTION("""COMPUTED_VALUE"""),1.0)</f>
        <v>1</v>
      </c>
      <c r="H215" s="71">
        <f>IFERROR(__xludf.DUMMYFUNCTION("""COMPUTED_VALUE"""),37.2)</f>
        <v>37.2</v>
      </c>
      <c r="I215" s="71">
        <f>IFERROR(__xludf.DUMMYFUNCTION("""COMPUTED_VALUE"""),38.75)</f>
        <v>38.75</v>
      </c>
      <c r="J215" s="88" t="str">
        <f>IFERROR(__xludf.DUMMYFUNCTION("""COMPUTED_VALUE"""),"Goto link: 1109.HK")</f>
        <v>Goto link: 1109.HK</v>
      </c>
      <c r="K215" s="22"/>
      <c r="L215" s="22"/>
      <c r="M215" s="22"/>
      <c r="N215" s="22"/>
      <c r="O215" s="73"/>
      <c r="P215" s="8"/>
      <c r="Q215" s="69"/>
      <c r="R215" s="69"/>
      <c r="S215" s="8"/>
      <c r="T215" s="69"/>
      <c r="U215" s="8"/>
      <c r="V215" s="69"/>
      <c r="W215" s="74"/>
      <c r="X215" s="69"/>
    </row>
    <row r="216">
      <c r="A216" s="30" t="str">
        <f>IFERROR(__xludf.DUMMYFUNCTION("""COMPUTED_VALUE"""),"37649")</f>
        <v>37649</v>
      </c>
      <c r="B216" s="86">
        <f>IFERROR(__xludf.DUMMYFUNCTION("""COMPUTED_VALUE"""),44648.0)</f>
        <v>44648</v>
      </c>
      <c r="C216" s="64" t="str">
        <f>IFERROR(__xludf.DUMMYFUNCTION("""COMPUTED_VALUE"""),"Stock")</f>
        <v>Stock</v>
      </c>
      <c r="D216" s="87" t="str">
        <f>IFERROR(__xludf.DUMMYFUNCTION("""COMPUTED_VALUE"""),"AAPL")</f>
        <v>AAPL</v>
      </c>
      <c r="E216" s="5" t="str">
        <f>IFERROR(__xludf.DUMMYFUNCTION("""COMPUTED_VALUE"""),"USD")</f>
        <v>USD</v>
      </c>
      <c r="F216" s="69">
        <f>IFERROR(__xludf.DUMMYFUNCTION("""COMPUTED_VALUE"""),50.0)</f>
        <v>50</v>
      </c>
      <c r="G216" s="70">
        <f>IFERROR(__xludf.DUMMYFUNCTION("""COMPUTED_VALUE"""),7.83915)</f>
        <v>7.83915</v>
      </c>
      <c r="H216" s="71">
        <f>IFERROR(__xludf.DUMMYFUNCTION("""COMPUTED_VALUE"""),175.6)</f>
        <v>175.6</v>
      </c>
      <c r="I216" s="71">
        <f>IFERROR(__xludf.DUMMYFUNCTION("""COMPUTED_VALUE"""),170.4)</f>
        <v>170.4</v>
      </c>
      <c r="J216" s="88" t="str">
        <f>IFERROR(__xludf.DUMMYFUNCTION("""COMPUTED_VALUE"""),"Goto link: AAPL")</f>
        <v>Goto link: AAPL</v>
      </c>
      <c r="K216" s="22"/>
      <c r="L216" s="22"/>
      <c r="M216" s="22"/>
      <c r="N216" s="22"/>
      <c r="O216" s="73"/>
      <c r="P216" s="8"/>
      <c r="Q216" s="69"/>
      <c r="R216" s="69"/>
      <c r="S216" s="8"/>
      <c r="T216" s="69"/>
      <c r="U216" s="8"/>
      <c r="V216" s="69"/>
      <c r="W216" s="74"/>
      <c r="X216" s="69"/>
    </row>
    <row r="217">
      <c r="A217" s="30" t="str">
        <f>IFERROR(__xludf.DUMMYFUNCTION("""COMPUTED_VALUE"""),"37649")</f>
        <v>37649</v>
      </c>
      <c r="B217" s="86">
        <f>IFERROR(__xludf.DUMMYFUNCTION("""COMPUTED_VALUE"""),44648.0)</f>
        <v>44648</v>
      </c>
      <c r="C217" s="64" t="str">
        <f>IFERROR(__xludf.DUMMYFUNCTION("""COMPUTED_VALUE"""),"Stock")</f>
        <v>Stock</v>
      </c>
      <c r="D217" s="87" t="str">
        <f>IFERROR(__xludf.DUMMYFUNCTION("""COMPUTED_VALUE"""),"NDAQ")</f>
        <v>NDAQ</v>
      </c>
      <c r="E217" s="5" t="str">
        <f>IFERROR(__xludf.DUMMYFUNCTION("""COMPUTED_VALUE"""),"USD")</f>
        <v>USD</v>
      </c>
      <c r="F217" s="69">
        <f>IFERROR(__xludf.DUMMYFUNCTION("""COMPUTED_VALUE"""),50.0)</f>
        <v>50</v>
      </c>
      <c r="G217" s="70">
        <f>IFERROR(__xludf.DUMMYFUNCTION("""COMPUTED_VALUE"""),7.83915)</f>
        <v>7.83915</v>
      </c>
      <c r="H217" s="71">
        <f>IFERROR(__xludf.DUMMYFUNCTION("""COMPUTED_VALUE"""),177.54)</f>
        <v>177.54</v>
      </c>
      <c r="I217" s="71">
        <f>IFERROR(__xludf.DUMMYFUNCTION("""COMPUTED_VALUE"""),181.39)</f>
        <v>181.39</v>
      </c>
      <c r="J217" s="88" t="str">
        <f>IFERROR(__xludf.DUMMYFUNCTION("""COMPUTED_VALUE"""),"Goto link: NDAQ")</f>
        <v>Goto link: NDAQ</v>
      </c>
      <c r="K217" s="22"/>
      <c r="L217" s="22"/>
      <c r="M217" s="22"/>
      <c r="N217" s="22"/>
      <c r="O217" s="73"/>
      <c r="P217" s="8"/>
      <c r="Q217" s="69"/>
      <c r="R217" s="69"/>
      <c r="S217" s="8"/>
      <c r="T217" s="69"/>
      <c r="U217" s="8"/>
      <c r="V217" s="69"/>
      <c r="W217" s="74"/>
      <c r="X217" s="69"/>
    </row>
    <row r="218">
      <c r="A218" s="30" t="str">
        <f>IFERROR(__xludf.DUMMYFUNCTION("""COMPUTED_VALUE"""),"37649")</f>
        <v>37649</v>
      </c>
      <c r="B218" s="86">
        <f>IFERROR(__xludf.DUMMYFUNCTION("""COMPUTED_VALUE"""),44652.0)</f>
        <v>44652</v>
      </c>
      <c r="C218" s="64" t="str">
        <f>IFERROR(__xludf.DUMMYFUNCTION("""COMPUTED_VALUE"""),"Stock")</f>
        <v>Stock</v>
      </c>
      <c r="D218" s="90" t="str">
        <f>IFERROR(__xludf.DUMMYFUNCTION("""COMPUTED_VALUE"""),"9988.HK")</f>
        <v>9988.HK</v>
      </c>
      <c r="E218" s="5" t="str">
        <f>IFERROR(__xludf.DUMMYFUNCTION("""COMPUTED_VALUE"""),"HKD")</f>
        <v>HKD</v>
      </c>
      <c r="F218" s="69">
        <f>IFERROR(__xludf.DUMMYFUNCTION("""COMPUTED_VALUE"""),1500.0)</f>
        <v>1500</v>
      </c>
      <c r="G218" s="70">
        <f>IFERROR(__xludf.DUMMYFUNCTION("""COMPUTED_VALUE"""),1.0)</f>
        <v>1</v>
      </c>
      <c r="H218" s="71">
        <f>IFERROR(__xludf.DUMMYFUNCTION("""COMPUTED_VALUE"""),109.7)</f>
        <v>109.7</v>
      </c>
      <c r="I218" s="71">
        <f>IFERROR(__xludf.DUMMYFUNCTION("""COMPUTED_VALUE"""),98.5)</f>
        <v>98.5</v>
      </c>
      <c r="J218" s="88" t="str">
        <f>IFERROR(__xludf.DUMMYFUNCTION("""COMPUTED_VALUE"""),"Goto link: 9988.HK")</f>
        <v>Goto link: 9988.HK</v>
      </c>
      <c r="K218" s="22"/>
      <c r="L218" s="22"/>
      <c r="M218" s="22"/>
      <c r="N218" s="22"/>
      <c r="O218" s="73"/>
      <c r="P218" s="8"/>
      <c r="Q218" s="69"/>
      <c r="R218" s="69"/>
      <c r="S218" s="8"/>
      <c r="T218" s="69"/>
      <c r="U218" s="8"/>
      <c r="V218" s="69"/>
      <c r="W218" s="74"/>
      <c r="X218" s="69"/>
    </row>
    <row r="219">
      <c r="A219" s="30" t="str">
        <f>IFERROR(__xludf.DUMMYFUNCTION("""COMPUTED_VALUE"""),"37649 Total")</f>
        <v>37649 Total</v>
      </c>
      <c r="B219" s="5"/>
      <c r="C219" s="64"/>
      <c r="D219" s="85"/>
      <c r="E219" s="5"/>
      <c r="F219" s="69"/>
      <c r="G219" s="70">
        <f>IFERROR(__xludf.DUMMYFUNCTION("""COMPUTED_VALUE"""),3.279716666666667)</f>
        <v>3.279716667</v>
      </c>
      <c r="H219" s="71">
        <f>IFERROR(__xludf.DUMMYFUNCTION("""COMPUTED_VALUE"""),177.54)</f>
        <v>177.54</v>
      </c>
      <c r="I219" s="71" t="str">
        <f>IFERROR(__xludf.DUMMYFUNCTION("""COMPUTED_VALUE"""),"")</f>
        <v/>
      </c>
      <c r="J219" s="22" t="str">
        <f>IFERROR(__xludf.DUMMYFUNCTION("""COMPUTED_VALUE"""),"")</f>
        <v/>
      </c>
      <c r="K219" s="22"/>
      <c r="L219" s="22"/>
      <c r="M219" s="22"/>
      <c r="N219" s="22"/>
      <c r="O219" s="73"/>
      <c r="P219" s="8"/>
      <c r="Q219" s="69"/>
      <c r="R219" s="69"/>
      <c r="S219" s="8"/>
      <c r="T219" s="69"/>
      <c r="U219" s="8"/>
      <c r="V219" s="69"/>
      <c r="W219" s="74"/>
      <c r="X219" s="69"/>
    </row>
    <row r="220">
      <c r="A220" s="30" t="str">
        <f>IFERROR(__xludf.DUMMYFUNCTION("""COMPUTED_VALUE"""),"37922")</f>
        <v>37922</v>
      </c>
      <c r="B220" s="86">
        <f>IFERROR(__xludf.DUMMYFUNCTION("""COMPUTED_VALUE"""),44597.0)</f>
        <v>44597</v>
      </c>
      <c r="C220" s="64" t="str">
        <f>IFERROR(__xludf.DUMMYFUNCTION("""COMPUTED_VALUE"""),"Cash")</f>
        <v>Cash</v>
      </c>
      <c r="D220" s="85" t="str">
        <f>IFERROR(__xludf.DUMMYFUNCTION("""COMPUTED_VALUE"""),"Cash")</f>
        <v>Cash</v>
      </c>
      <c r="E220" s="5" t="str">
        <f>IFERROR(__xludf.DUMMYFUNCTION("""COMPUTED_VALUE"""),"HKD")</f>
        <v>HKD</v>
      </c>
      <c r="F220" s="69" t="str">
        <f>IFERROR(__xludf.DUMMYFUNCTION("""COMPUTED_VALUE"""),"")</f>
        <v/>
      </c>
      <c r="G220" s="70">
        <f>IFERROR(__xludf.DUMMYFUNCTION("""COMPUTED_VALUE"""),1.0)</f>
        <v>1</v>
      </c>
      <c r="H220" s="71">
        <f>IFERROR(__xludf.DUMMYFUNCTION("""COMPUTED_VALUE"""),1.0)</f>
        <v>1</v>
      </c>
      <c r="I220" s="71">
        <f>IFERROR(__xludf.DUMMYFUNCTION("""COMPUTED_VALUE"""),1.0)</f>
        <v>1</v>
      </c>
      <c r="J220" s="22" t="str">
        <f>IFERROR(__xludf.DUMMYFUNCTION("""COMPUTED_VALUE"""),"")</f>
        <v/>
      </c>
      <c r="K220" s="22"/>
      <c r="L220" s="22"/>
      <c r="M220" s="22"/>
      <c r="N220" s="22"/>
      <c r="O220" s="73"/>
      <c r="P220" s="8"/>
      <c r="Q220" s="69"/>
      <c r="R220" s="69"/>
      <c r="S220" s="8"/>
      <c r="T220" s="69"/>
      <c r="U220" s="8"/>
      <c r="V220" s="69"/>
      <c r="W220" s="74"/>
      <c r="X220" s="69"/>
    </row>
    <row r="221">
      <c r="A221" s="30" t="str">
        <f>IFERROR(__xludf.DUMMYFUNCTION("""COMPUTED_VALUE"""),"37922")</f>
        <v>37922</v>
      </c>
      <c r="B221" s="86">
        <f>IFERROR(__xludf.DUMMYFUNCTION("""COMPUTED_VALUE"""),44636.0)</f>
        <v>44636</v>
      </c>
      <c r="C221" s="64" t="str">
        <f>IFERROR(__xludf.DUMMYFUNCTION("""COMPUTED_VALUE"""),"Stock")</f>
        <v>Stock</v>
      </c>
      <c r="D221" s="90" t="str">
        <f>IFERROR(__xludf.DUMMYFUNCTION("""COMPUTED_VALUE"""),"0700.hk")</f>
        <v>0700.hk</v>
      </c>
      <c r="E221" s="5" t="str">
        <f>IFERROR(__xludf.DUMMYFUNCTION("""COMPUTED_VALUE"""),"HKD")</f>
        <v>HKD</v>
      </c>
      <c r="F221" s="69">
        <f>IFERROR(__xludf.DUMMYFUNCTION("""COMPUTED_VALUE"""),1.0)</f>
        <v>1</v>
      </c>
      <c r="G221" s="70">
        <f>IFERROR(__xludf.DUMMYFUNCTION("""COMPUTED_VALUE"""),1.0)</f>
        <v>1</v>
      </c>
      <c r="H221" s="71">
        <f>IFERROR(__xludf.DUMMYFUNCTION("""COMPUTED_VALUE"""),298.0)</f>
        <v>298</v>
      </c>
      <c r="I221" s="71">
        <f>IFERROR(__xludf.DUMMYFUNCTION("""COMPUTED_VALUE"""),373.6)</f>
        <v>373.6</v>
      </c>
      <c r="J221" s="88" t="str">
        <f>IFERROR(__xludf.DUMMYFUNCTION("""COMPUTED_VALUE"""),"Goto link: 0700.hk")</f>
        <v>Goto link: 0700.hk</v>
      </c>
      <c r="K221" s="22"/>
      <c r="L221" s="22"/>
      <c r="M221" s="22"/>
      <c r="N221" s="22"/>
      <c r="O221" s="73"/>
      <c r="P221" s="8"/>
      <c r="Q221" s="69"/>
      <c r="R221" s="69"/>
      <c r="S221" s="8"/>
      <c r="T221" s="69"/>
      <c r="U221" s="8"/>
      <c r="V221" s="69"/>
      <c r="W221" s="74"/>
      <c r="X221" s="69"/>
    </row>
    <row r="222">
      <c r="A222" s="30" t="str">
        <f>IFERROR(__xludf.DUMMYFUNCTION("""COMPUTED_VALUE"""),"37922")</f>
        <v>37922</v>
      </c>
      <c r="B222" s="86">
        <f>IFERROR(__xludf.DUMMYFUNCTION("""COMPUTED_VALUE"""),44643.0)</f>
        <v>44643</v>
      </c>
      <c r="C222" s="64" t="str">
        <f>IFERROR(__xludf.DUMMYFUNCTION("""COMPUTED_VALUE"""),"Stock")</f>
        <v>Stock</v>
      </c>
      <c r="D222" s="90" t="str">
        <f>IFERROR(__xludf.DUMMYFUNCTION("""COMPUTED_VALUE"""),"0700.HK")</f>
        <v>0700.HK</v>
      </c>
      <c r="E222" s="5" t="str">
        <f>IFERROR(__xludf.DUMMYFUNCTION("""COMPUTED_VALUE"""),"HKD")</f>
        <v>HKD</v>
      </c>
      <c r="F222" s="69">
        <f>IFERROR(__xludf.DUMMYFUNCTION("""COMPUTED_VALUE"""),-1.0)</f>
        <v>-1</v>
      </c>
      <c r="G222" s="70">
        <f>IFERROR(__xludf.DUMMYFUNCTION("""COMPUTED_VALUE"""),1.0)</f>
        <v>1</v>
      </c>
      <c r="H222" s="71">
        <f>IFERROR(__xludf.DUMMYFUNCTION("""COMPUTED_VALUE"""),389.0)</f>
        <v>389</v>
      </c>
      <c r="I222" s="71">
        <f>IFERROR(__xludf.DUMMYFUNCTION("""COMPUTED_VALUE"""),373.6)</f>
        <v>373.6</v>
      </c>
      <c r="J222" s="88" t="str">
        <f>IFERROR(__xludf.DUMMYFUNCTION("""COMPUTED_VALUE"""),"Goto link: 0700.HK")</f>
        <v>Goto link: 0700.HK</v>
      </c>
      <c r="K222" s="22"/>
      <c r="L222" s="22"/>
      <c r="M222" s="22"/>
      <c r="N222" s="22"/>
      <c r="O222" s="73"/>
      <c r="P222" s="8"/>
      <c r="Q222" s="69"/>
      <c r="R222" s="69"/>
      <c r="S222" s="8"/>
      <c r="T222" s="69"/>
      <c r="U222" s="8"/>
      <c r="V222" s="69"/>
      <c r="W222" s="74"/>
      <c r="X222" s="69"/>
    </row>
    <row r="223">
      <c r="A223" s="30" t="str">
        <f>IFERROR(__xludf.DUMMYFUNCTION("""COMPUTED_VALUE"""),"37922")</f>
        <v>37922</v>
      </c>
      <c r="B223" s="86">
        <f>IFERROR(__xludf.DUMMYFUNCTION("""COMPUTED_VALUE"""),44645.0)</f>
        <v>44645</v>
      </c>
      <c r="C223" s="64" t="str">
        <f>IFERROR(__xludf.DUMMYFUNCTION("""COMPUTED_VALUE"""),"Time Deposit")</f>
        <v>Time Deposit</v>
      </c>
      <c r="D223" s="87" t="str">
        <f>IFERROR(__xludf.DUMMYFUNCTION("""COMPUTED_VALUE"""),"3M")</f>
        <v>3M</v>
      </c>
      <c r="E223" s="5" t="str">
        <f>IFERROR(__xludf.DUMMYFUNCTION("""COMPUTED_VALUE"""),"HKD")</f>
        <v>HKD</v>
      </c>
      <c r="F223" s="69">
        <f>IFERROR(__xludf.DUMMYFUNCTION("""COMPUTED_VALUE"""),100000.0)</f>
        <v>100000</v>
      </c>
      <c r="G223" s="70">
        <f>IFERROR(__xludf.DUMMYFUNCTION("""COMPUTED_VALUE"""),1.0)</f>
        <v>1</v>
      </c>
      <c r="H223" s="71">
        <f>IFERROR(__xludf.DUMMYFUNCTION("""COMPUTED_VALUE"""),1.0)</f>
        <v>1</v>
      </c>
      <c r="I223" s="71" t="str">
        <f>IFERROR(__xludf.DUMMYFUNCTION("""COMPUTED_VALUE"""),"#N/A")</f>
        <v>#N/A</v>
      </c>
      <c r="J223" s="22" t="str">
        <f>IFERROR(__xludf.DUMMYFUNCTION("""COMPUTED_VALUE"""),"")</f>
        <v/>
      </c>
      <c r="K223" s="22"/>
      <c r="L223" s="22"/>
      <c r="M223" s="22"/>
      <c r="N223" s="22"/>
      <c r="O223" s="73"/>
      <c r="P223" s="8"/>
      <c r="Q223" s="69"/>
      <c r="R223" s="69"/>
      <c r="S223" s="8"/>
      <c r="T223" s="69"/>
      <c r="U223" s="8"/>
      <c r="V223" s="69"/>
      <c r="W223" s="74"/>
      <c r="X223" s="69"/>
    </row>
    <row r="224">
      <c r="A224" s="30" t="str">
        <f>IFERROR(__xludf.DUMMYFUNCTION("""COMPUTED_VALUE"""),"37922")</f>
        <v>37922</v>
      </c>
      <c r="B224" s="86">
        <f>IFERROR(__xludf.DUMMYFUNCTION("""COMPUTED_VALUE"""),44649.0)</f>
        <v>44649</v>
      </c>
      <c r="C224" s="64" t="str">
        <f>IFERROR(__xludf.DUMMYFUNCTION("""COMPUTED_VALUE"""),"Stock")</f>
        <v>Stock</v>
      </c>
      <c r="D224" s="90" t="str">
        <f>IFERROR(__xludf.DUMMYFUNCTION("""COMPUTED_VALUE"""),"002060.SZ")</f>
        <v>002060.SZ</v>
      </c>
      <c r="E224" s="5" t="str">
        <f>IFERROR(__xludf.DUMMYFUNCTION("""COMPUTED_VALUE"""),"CNY")</f>
        <v>CNY</v>
      </c>
      <c r="F224" s="69">
        <f>IFERROR(__xludf.DUMMYFUNCTION("""COMPUTED_VALUE"""),10.0)</f>
        <v>10</v>
      </c>
      <c r="G224" s="70">
        <f>IFERROR(__xludf.DUMMYFUNCTION("""COMPUTED_VALUE"""),1.231169)</f>
        <v>1.231169</v>
      </c>
      <c r="H224" s="71">
        <f>IFERROR(__xludf.DUMMYFUNCTION("""COMPUTED_VALUE"""),8.25)</f>
        <v>8.25</v>
      </c>
      <c r="I224" s="71">
        <f>IFERROR(__xludf.DUMMYFUNCTION("""COMPUTED_VALUE"""),6.85)</f>
        <v>6.85</v>
      </c>
      <c r="J224" s="88" t="str">
        <f>IFERROR(__xludf.DUMMYFUNCTION("""COMPUTED_VALUE"""),"Goto link: 002060.SZ")</f>
        <v>Goto link: 002060.SZ</v>
      </c>
      <c r="K224" s="22"/>
      <c r="L224" s="22"/>
      <c r="M224" s="22"/>
      <c r="N224" s="22"/>
      <c r="O224" s="73"/>
      <c r="P224" s="8"/>
      <c r="Q224" s="69"/>
      <c r="R224" s="69"/>
      <c r="S224" s="8"/>
      <c r="T224" s="69"/>
      <c r="U224" s="8"/>
      <c r="V224" s="69"/>
      <c r="W224" s="74"/>
      <c r="X224" s="69"/>
    </row>
    <row r="225">
      <c r="A225" s="30" t="str">
        <f>IFERROR(__xludf.DUMMYFUNCTION("""COMPUTED_VALUE"""),"37922")</f>
        <v>37922</v>
      </c>
      <c r="B225" s="86">
        <f>IFERROR(__xludf.DUMMYFUNCTION("""COMPUTED_VALUE"""),44649.0)</f>
        <v>44649</v>
      </c>
      <c r="C225" s="64" t="str">
        <f>IFERROR(__xludf.DUMMYFUNCTION("""COMPUTED_VALUE"""),"Stock")</f>
        <v>Stock</v>
      </c>
      <c r="D225" s="90" t="str">
        <f>IFERROR(__xludf.DUMMYFUNCTION("""COMPUTED_VALUE"""),"600056.SS")</f>
        <v>600056.SS</v>
      </c>
      <c r="E225" s="5" t="str">
        <f>IFERROR(__xludf.DUMMYFUNCTION("""COMPUTED_VALUE"""),"CNY")</f>
        <v>CNY</v>
      </c>
      <c r="F225" s="69">
        <f>IFERROR(__xludf.DUMMYFUNCTION("""COMPUTED_VALUE"""),10.0)</f>
        <v>10</v>
      </c>
      <c r="G225" s="70">
        <f>IFERROR(__xludf.DUMMYFUNCTION("""COMPUTED_VALUE"""),1.231169)</f>
        <v>1.231169</v>
      </c>
      <c r="H225" s="71">
        <f>IFERROR(__xludf.DUMMYFUNCTION("""COMPUTED_VALUE"""),33.25)</f>
        <v>33.25</v>
      </c>
      <c r="I225" s="71">
        <f>IFERROR(__xludf.DUMMYFUNCTION("""COMPUTED_VALUE"""),25.89)</f>
        <v>25.89</v>
      </c>
      <c r="J225" s="88" t="str">
        <f>IFERROR(__xludf.DUMMYFUNCTION("""COMPUTED_VALUE"""),"Goto link: 600056.SS")</f>
        <v>Goto link: 600056.SS</v>
      </c>
      <c r="K225" s="22"/>
      <c r="L225" s="22"/>
      <c r="M225" s="22"/>
      <c r="N225" s="22"/>
      <c r="O225" s="73"/>
      <c r="P225" s="8"/>
      <c r="Q225" s="69"/>
      <c r="R225" s="69"/>
      <c r="S225" s="8"/>
      <c r="T225" s="69"/>
      <c r="U225" s="8"/>
      <c r="V225" s="69"/>
      <c r="W225" s="74"/>
      <c r="X225" s="69"/>
    </row>
    <row r="226">
      <c r="A226" s="30" t="str">
        <f>IFERROR(__xludf.DUMMYFUNCTION("""COMPUTED_VALUE"""),"37922")</f>
        <v>37922</v>
      </c>
      <c r="B226" s="86">
        <f>IFERROR(__xludf.DUMMYFUNCTION("""COMPUTED_VALUE"""),44650.0)</f>
        <v>44650</v>
      </c>
      <c r="C226" s="64" t="str">
        <f>IFERROR(__xludf.DUMMYFUNCTION("""COMPUTED_VALUE"""),"Bond")</f>
        <v>Bond</v>
      </c>
      <c r="D226" s="87" t="str">
        <f>IFERROR(__xludf.DUMMYFUNCTION("""COMPUTED_VALUE"""),"HK0000814290")</f>
        <v>HK0000814290</v>
      </c>
      <c r="E226" s="5" t="str">
        <f>IFERROR(__xludf.DUMMYFUNCTION("""COMPUTED_VALUE"""),"CNY")</f>
        <v>CNY</v>
      </c>
      <c r="F226" s="69">
        <f>IFERROR(__xludf.DUMMYFUNCTION("""COMPUTED_VALUE"""),1.0)</f>
        <v>1</v>
      </c>
      <c r="G226" s="70">
        <f>IFERROR(__xludf.DUMMYFUNCTION("""COMPUTED_VALUE"""),1.231169)</f>
        <v>1.231169</v>
      </c>
      <c r="H226" s="71">
        <f>IFERROR(__xludf.DUMMYFUNCTION("""COMPUTED_VALUE"""),99.867)</f>
        <v>99.867</v>
      </c>
      <c r="I226" s="71" t="str">
        <f>IFERROR(__xludf.DUMMYFUNCTION("""COMPUTED_VALUE"""),"nil")</f>
        <v>nil</v>
      </c>
      <c r="J226" s="88" t="str">
        <f>IFERROR(__xludf.DUMMYFUNCTION("""COMPUTED_VALUE"""),"Bond Fact Sheet")</f>
        <v>Bond Fact Sheet</v>
      </c>
      <c r="K226" s="22"/>
      <c r="L226" s="22"/>
      <c r="M226" s="22"/>
      <c r="N226" s="22"/>
      <c r="O226" s="73"/>
      <c r="P226" s="8"/>
      <c r="Q226" s="69"/>
      <c r="R226" s="69"/>
      <c r="S226" s="8"/>
      <c r="T226" s="69"/>
      <c r="U226" s="8"/>
      <c r="V226" s="69"/>
      <c r="W226" s="74"/>
      <c r="X226" s="69"/>
    </row>
    <row r="227">
      <c r="A227" s="30" t="str">
        <f>IFERROR(__xludf.DUMMYFUNCTION("""COMPUTED_VALUE"""),"37922 Total")</f>
        <v>37922 Total</v>
      </c>
      <c r="B227" s="5"/>
      <c r="C227" s="64"/>
      <c r="D227" s="85"/>
      <c r="E227" s="5"/>
      <c r="F227" s="69"/>
      <c r="G227" s="70">
        <f>IFERROR(__xludf.DUMMYFUNCTION("""COMPUTED_VALUE"""),1.0990724285714284)</f>
        <v>1.099072429</v>
      </c>
      <c r="H227" s="71">
        <f>IFERROR(__xludf.DUMMYFUNCTION("""COMPUTED_VALUE"""),389.0)</f>
        <v>389</v>
      </c>
      <c r="I227" s="71" t="str">
        <f>IFERROR(__xludf.DUMMYFUNCTION("""COMPUTED_VALUE"""),"")</f>
        <v/>
      </c>
      <c r="J227" s="22" t="str">
        <f>IFERROR(__xludf.DUMMYFUNCTION("""COMPUTED_VALUE"""),"")</f>
        <v/>
      </c>
      <c r="K227" s="22"/>
      <c r="L227" s="22"/>
      <c r="M227" s="22"/>
      <c r="N227" s="22"/>
      <c r="O227" s="73"/>
      <c r="P227" s="8"/>
      <c r="Q227" s="69"/>
      <c r="R227" s="69"/>
      <c r="S227" s="8"/>
      <c r="T227" s="69"/>
      <c r="U227" s="8"/>
      <c r="V227" s="69"/>
      <c r="W227" s="74"/>
      <c r="X227" s="69"/>
    </row>
    <row r="228">
      <c r="A228" s="30" t="str">
        <f>IFERROR(__xludf.DUMMYFUNCTION("""COMPUTED_VALUE"""),"37934")</f>
        <v>37934</v>
      </c>
      <c r="B228" s="86">
        <f>IFERROR(__xludf.DUMMYFUNCTION("""COMPUTED_VALUE"""),44597.0)</f>
        <v>44597</v>
      </c>
      <c r="C228" s="64" t="str">
        <f>IFERROR(__xludf.DUMMYFUNCTION("""COMPUTED_VALUE"""),"Cash")</f>
        <v>Cash</v>
      </c>
      <c r="D228" s="85" t="str">
        <f>IFERROR(__xludf.DUMMYFUNCTION("""COMPUTED_VALUE"""),"Cash")</f>
        <v>Cash</v>
      </c>
      <c r="E228" s="5" t="str">
        <f>IFERROR(__xludf.DUMMYFUNCTION("""COMPUTED_VALUE"""),"HKD")</f>
        <v>HKD</v>
      </c>
      <c r="F228" s="69" t="str">
        <f>IFERROR(__xludf.DUMMYFUNCTION("""COMPUTED_VALUE"""),"")</f>
        <v/>
      </c>
      <c r="G228" s="70">
        <f>IFERROR(__xludf.DUMMYFUNCTION("""COMPUTED_VALUE"""),1.0)</f>
        <v>1</v>
      </c>
      <c r="H228" s="71">
        <f>IFERROR(__xludf.DUMMYFUNCTION("""COMPUTED_VALUE"""),1.0)</f>
        <v>1</v>
      </c>
      <c r="I228" s="71">
        <f>IFERROR(__xludf.DUMMYFUNCTION("""COMPUTED_VALUE"""),1.0)</f>
        <v>1</v>
      </c>
      <c r="J228" s="22" t="str">
        <f>IFERROR(__xludf.DUMMYFUNCTION("""COMPUTED_VALUE"""),"")</f>
        <v/>
      </c>
      <c r="K228" s="22"/>
      <c r="L228" s="22"/>
      <c r="M228" s="22"/>
      <c r="N228" s="22"/>
      <c r="O228" s="73"/>
      <c r="P228" s="8"/>
      <c r="Q228" s="69"/>
      <c r="R228" s="69"/>
      <c r="S228" s="8"/>
      <c r="T228" s="69"/>
      <c r="U228" s="8"/>
      <c r="V228" s="69"/>
      <c r="W228" s="74"/>
      <c r="X228" s="69"/>
    </row>
    <row r="229">
      <c r="A229" s="30" t="str">
        <f>IFERROR(__xludf.DUMMYFUNCTION("""COMPUTED_VALUE"""),"37934")</f>
        <v>37934</v>
      </c>
      <c r="B229" s="86">
        <f>IFERROR(__xludf.DUMMYFUNCTION("""COMPUTED_VALUE"""),44614.0)</f>
        <v>44614</v>
      </c>
      <c r="C229" s="64" t="str">
        <f>IFERROR(__xludf.DUMMYFUNCTION("""COMPUTED_VALUE"""),"Stock")</f>
        <v>Stock</v>
      </c>
      <c r="D229" s="87" t="str">
        <f>IFERROR(__xludf.DUMMYFUNCTION("""COMPUTED_VALUE"""),"SOFI")</f>
        <v>SOFI</v>
      </c>
      <c r="E229" s="5" t="str">
        <f>IFERROR(__xludf.DUMMYFUNCTION("""COMPUTED_VALUE"""),"USD")</f>
        <v>USD</v>
      </c>
      <c r="F229" s="69">
        <f>IFERROR(__xludf.DUMMYFUNCTION("""COMPUTED_VALUE"""),200.0)</f>
        <v>200</v>
      </c>
      <c r="G229" s="70">
        <f>IFERROR(__xludf.DUMMYFUNCTION("""COMPUTED_VALUE"""),7.83915)</f>
        <v>7.83915</v>
      </c>
      <c r="H229" s="71">
        <f>IFERROR(__xludf.DUMMYFUNCTION("""COMPUTED_VALUE"""),10.26)</f>
        <v>10.26</v>
      </c>
      <c r="I229" s="71">
        <f>IFERROR(__xludf.DUMMYFUNCTION("""COMPUTED_VALUE"""),7.61)</f>
        <v>7.61</v>
      </c>
      <c r="J229" s="88" t="str">
        <f>IFERROR(__xludf.DUMMYFUNCTION("""COMPUTED_VALUE"""),"Goto link: SOFI")</f>
        <v>Goto link: SOFI</v>
      </c>
      <c r="K229" s="22"/>
      <c r="L229" s="22"/>
      <c r="M229" s="22"/>
      <c r="N229" s="22"/>
      <c r="O229" s="73"/>
      <c r="P229" s="8"/>
      <c r="Q229" s="69"/>
      <c r="R229" s="69"/>
      <c r="S229" s="8"/>
      <c r="T229" s="69"/>
      <c r="U229" s="8"/>
      <c r="V229" s="69"/>
      <c r="W229" s="74"/>
      <c r="X229" s="69"/>
    </row>
    <row r="230">
      <c r="A230" s="30" t="str">
        <f>IFERROR(__xludf.DUMMYFUNCTION("""COMPUTED_VALUE"""),"37934")</f>
        <v>37934</v>
      </c>
      <c r="B230" s="86">
        <f>IFERROR(__xludf.DUMMYFUNCTION("""COMPUTED_VALUE"""),44619.0)</f>
        <v>44619</v>
      </c>
      <c r="C230" s="64" t="str">
        <f>IFERROR(__xludf.DUMMYFUNCTION("""COMPUTED_VALUE"""),"Stock")</f>
        <v>Stock</v>
      </c>
      <c r="D230" s="90" t="str">
        <f>IFERROR(__xludf.DUMMYFUNCTION("""COMPUTED_VALUE"""),"9626.HK")</f>
        <v>9626.HK</v>
      </c>
      <c r="E230" s="5" t="str">
        <f>IFERROR(__xludf.DUMMYFUNCTION("""COMPUTED_VALUE"""),"HKD")</f>
        <v>HKD</v>
      </c>
      <c r="F230" s="69">
        <f>IFERROR(__xludf.DUMMYFUNCTION("""COMPUTED_VALUE"""),50.0)</f>
        <v>50</v>
      </c>
      <c r="G230" s="70">
        <f>IFERROR(__xludf.DUMMYFUNCTION("""COMPUTED_VALUE"""),1.0)</f>
        <v>1</v>
      </c>
      <c r="H230" s="71">
        <f>IFERROR(__xludf.DUMMYFUNCTION("""COMPUTED_VALUE"""),237.0)</f>
        <v>237</v>
      </c>
      <c r="I230" s="71">
        <f>IFERROR(__xludf.DUMMYFUNCTION("""COMPUTED_VALUE"""),202.6)</f>
        <v>202.6</v>
      </c>
      <c r="J230" s="88" t="str">
        <f>IFERROR(__xludf.DUMMYFUNCTION("""COMPUTED_VALUE"""),"Goto link: 9626.HK")</f>
        <v>Goto link: 9626.HK</v>
      </c>
      <c r="K230" s="22"/>
      <c r="L230" s="22"/>
      <c r="M230" s="22"/>
      <c r="N230" s="22"/>
      <c r="O230" s="73"/>
      <c r="P230" s="8"/>
      <c r="Q230" s="69"/>
      <c r="R230" s="69"/>
      <c r="S230" s="8"/>
      <c r="T230" s="69"/>
      <c r="U230" s="8"/>
      <c r="V230" s="69"/>
      <c r="W230" s="74"/>
      <c r="X230" s="69"/>
    </row>
    <row r="231">
      <c r="A231" s="30" t="str">
        <f>IFERROR(__xludf.DUMMYFUNCTION("""COMPUTED_VALUE"""),"37934")</f>
        <v>37934</v>
      </c>
      <c r="B231" s="86">
        <f>IFERROR(__xludf.DUMMYFUNCTION("""COMPUTED_VALUE"""),44619.0)</f>
        <v>44619</v>
      </c>
      <c r="C231" s="64" t="str">
        <f>IFERROR(__xludf.DUMMYFUNCTION("""COMPUTED_VALUE"""),"Stock")</f>
        <v>Stock</v>
      </c>
      <c r="D231" s="90" t="str">
        <f>IFERROR(__xludf.DUMMYFUNCTION("""COMPUTED_VALUE"""),"9626.HK")</f>
        <v>9626.HK</v>
      </c>
      <c r="E231" s="5" t="str">
        <f>IFERROR(__xludf.DUMMYFUNCTION("""COMPUTED_VALUE"""),"HKD")</f>
        <v>HKD</v>
      </c>
      <c r="F231" s="69">
        <f>IFERROR(__xludf.DUMMYFUNCTION("""COMPUTED_VALUE"""),450.0)</f>
        <v>450</v>
      </c>
      <c r="G231" s="70">
        <f>IFERROR(__xludf.DUMMYFUNCTION("""COMPUTED_VALUE"""),1.0)</f>
        <v>1</v>
      </c>
      <c r="H231" s="71">
        <f>IFERROR(__xludf.DUMMYFUNCTION("""COMPUTED_VALUE"""),237.0)</f>
        <v>237</v>
      </c>
      <c r="I231" s="71">
        <f>IFERROR(__xludf.DUMMYFUNCTION("""COMPUTED_VALUE"""),202.6)</f>
        <v>202.6</v>
      </c>
      <c r="J231" s="88" t="str">
        <f>IFERROR(__xludf.DUMMYFUNCTION("""COMPUTED_VALUE"""),"Goto link: 9626.HK")</f>
        <v>Goto link: 9626.HK</v>
      </c>
      <c r="K231" s="22"/>
      <c r="L231" s="22"/>
      <c r="M231" s="22"/>
      <c r="N231" s="22"/>
      <c r="O231" s="73"/>
      <c r="P231" s="8"/>
      <c r="Q231" s="69"/>
      <c r="R231" s="69"/>
      <c r="S231" s="8"/>
      <c r="T231" s="69"/>
      <c r="U231" s="8"/>
      <c r="V231" s="69"/>
      <c r="W231" s="74"/>
      <c r="X231" s="69"/>
    </row>
    <row r="232">
      <c r="A232" s="30" t="str">
        <f>IFERROR(__xludf.DUMMYFUNCTION("""COMPUTED_VALUE"""),"37934")</f>
        <v>37934</v>
      </c>
      <c r="B232" s="86">
        <f>IFERROR(__xludf.DUMMYFUNCTION("""COMPUTED_VALUE"""),44619.0)</f>
        <v>44619</v>
      </c>
      <c r="C232" s="64" t="str">
        <f>IFERROR(__xludf.DUMMYFUNCTION("""COMPUTED_VALUE"""),"Stock")</f>
        <v>Stock</v>
      </c>
      <c r="D232" s="90" t="str">
        <f>IFERROR(__xludf.DUMMYFUNCTION("""COMPUTED_VALUE"""),"9888.HK")</f>
        <v>9888.HK</v>
      </c>
      <c r="E232" s="5" t="str">
        <f>IFERROR(__xludf.DUMMYFUNCTION("""COMPUTED_VALUE"""),"HKD")</f>
        <v>HKD</v>
      </c>
      <c r="F232" s="69">
        <f>IFERROR(__xludf.DUMMYFUNCTION("""COMPUTED_VALUE"""),0.0)</f>
        <v>0</v>
      </c>
      <c r="G232" s="70">
        <f>IFERROR(__xludf.DUMMYFUNCTION("""COMPUTED_VALUE"""),1.0)</f>
        <v>1</v>
      </c>
      <c r="H232" s="71">
        <f>IFERROR(__xludf.DUMMYFUNCTION("""COMPUTED_VALUE"""),0.0)</f>
        <v>0</v>
      </c>
      <c r="I232" s="71">
        <f>IFERROR(__xludf.DUMMYFUNCTION("""COMPUTED_VALUE"""),128.9)</f>
        <v>128.9</v>
      </c>
      <c r="J232" s="88" t="str">
        <f>IFERROR(__xludf.DUMMYFUNCTION("""COMPUTED_VALUE"""),"Goto link: 9888.HK")</f>
        <v>Goto link: 9888.HK</v>
      </c>
      <c r="K232" s="22"/>
      <c r="L232" s="22"/>
      <c r="M232" s="22"/>
      <c r="N232" s="22"/>
      <c r="O232" s="73"/>
      <c r="P232" s="8"/>
      <c r="Q232" s="69"/>
      <c r="R232" s="69"/>
      <c r="S232" s="8"/>
      <c r="T232" s="69"/>
      <c r="U232" s="8"/>
      <c r="V232" s="69"/>
      <c r="W232" s="74"/>
      <c r="X232" s="69"/>
    </row>
    <row r="233">
      <c r="A233" s="30" t="str">
        <f>IFERROR(__xludf.DUMMYFUNCTION("""COMPUTED_VALUE"""),"37934")</f>
        <v>37934</v>
      </c>
      <c r="B233" s="86">
        <f>IFERROR(__xludf.DUMMYFUNCTION("""COMPUTED_VALUE"""),44619.0)</f>
        <v>44619</v>
      </c>
      <c r="C233" s="64" t="str">
        <f>IFERROR(__xludf.DUMMYFUNCTION("""COMPUTED_VALUE"""),"Stock")</f>
        <v>Stock</v>
      </c>
      <c r="D233" s="90" t="str">
        <f>IFERROR(__xludf.DUMMYFUNCTION("""COMPUTED_VALUE"""),"9988.HK")</f>
        <v>9988.HK</v>
      </c>
      <c r="E233" s="5" t="str">
        <f>IFERROR(__xludf.DUMMYFUNCTION("""COMPUTED_VALUE"""),"HKD")</f>
        <v>HKD</v>
      </c>
      <c r="F233" s="69">
        <f>IFERROR(__xludf.DUMMYFUNCTION("""COMPUTED_VALUE"""),900.0)</f>
        <v>900</v>
      </c>
      <c r="G233" s="70">
        <f>IFERROR(__xludf.DUMMYFUNCTION("""COMPUTED_VALUE"""),1.0)</f>
        <v>1</v>
      </c>
      <c r="H233" s="71">
        <f>IFERROR(__xludf.DUMMYFUNCTION("""COMPUTED_VALUE"""),104.2)</f>
        <v>104.2</v>
      </c>
      <c r="I233" s="71">
        <f>IFERROR(__xludf.DUMMYFUNCTION("""COMPUTED_VALUE"""),98.5)</f>
        <v>98.5</v>
      </c>
      <c r="J233" s="88" t="str">
        <f>IFERROR(__xludf.DUMMYFUNCTION("""COMPUTED_VALUE"""),"Goto link: 9988.HK")</f>
        <v>Goto link: 9988.HK</v>
      </c>
      <c r="K233" s="22"/>
      <c r="L233" s="22"/>
      <c r="M233" s="22"/>
      <c r="N233" s="22"/>
      <c r="O233" s="73"/>
      <c r="P233" s="8"/>
      <c r="Q233" s="69"/>
      <c r="R233" s="69"/>
      <c r="S233" s="8"/>
      <c r="T233" s="69"/>
      <c r="U233" s="8"/>
      <c r="V233" s="69"/>
      <c r="W233" s="74"/>
      <c r="X233" s="69"/>
    </row>
    <row r="234">
      <c r="A234" s="30" t="str">
        <f>IFERROR(__xludf.DUMMYFUNCTION("""COMPUTED_VALUE"""),"37934")</f>
        <v>37934</v>
      </c>
      <c r="B234" s="86">
        <f>IFERROR(__xludf.DUMMYFUNCTION("""COMPUTED_VALUE"""),44634.0)</f>
        <v>44634</v>
      </c>
      <c r="C234" s="64" t="str">
        <f>IFERROR(__xludf.DUMMYFUNCTION("""COMPUTED_VALUE"""),"Stock")</f>
        <v>Stock</v>
      </c>
      <c r="D234" s="87" t="str">
        <f>IFERROR(__xludf.DUMMYFUNCTION("""COMPUTED_VALUE"""),"TSLA")</f>
        <v>TSLA</v>
      </c>
      <c r="E234" s="5" t="str">
        <f>IFERROR(__xludf.DUMMYFUNCTION("""COMPUTED_VALUE"""),"USD")</f>
        <v>USD</v>
      </c>
      <c r="F234" s="69">
        <f>IFERROR(__xludf.DUMMYFUNCTION("""COMPUTED_VALUE"""),20.0)</f>
        <v>20</v>
      </c>
      <c r="G234" s="70">
        <f>IFERROR(__xludf.DUMMYFUNCTION("""COMPUTED_VALUE"""),7.83915)</f>
        <v>7.83915</v>
      </c>
      <c r="H234" s="71">
        <f>IFERROR(__xludf.DUMMYFUNCTION("""COMPUTED_VALUE"""),766.37)</f>
        <v>766.37</v>
      </c>
      <c r="I234" s="71">
        <f>IFERROR(__xludf.DUMMYFUNCTION("""COMPUTED_VALUE"""),1022.37)</f>
        <v>1022.37</v>
      </c>
      <c r="J234" s="88" t="str">
        <f>IFERROR(__xludf.DUMMYFUNCTION("""COMPUTED_VALUE"""),"Goto link: TSLA")</f>
        <v>Goto link: TSLA</v>
      </c>
      <c r="K234" s="22"/>
      <c r="L234" s="22"/>
      <c r="M234" s="22"/>
      <c r="N234" s="22"/>
      <c r="O234" s="73"/>
      <c r="P234" s="8"/>
      <c r="Q234" s="69"/>
      <c r="R234" s="69"/>
      <c r="S234" s="8"/>
      <c r="T234" s="69"/>
      <c r="U234" s="8"/>
      <c r="V234" s="69"/>
      <c r="W234" s="74"/>
      <c r="X234" s="69"/>
    </row>
    <row r="235">
      <c r="A235" s="30" t="str">
        <f>IFERROR(__xludf.DUMMYFUNCTION("""COMPUTED_VALUE"""),"37934")</f>
        <v>37934</v>
      </c>
      <c r="B235" s="86">
        <f>IFERROR(__xludf.DUMMYFUNCTION("""COMPUTED_VALUE"""),44648.0)</f>
        <v>44648</v>
      </c>
      <c r="C235" s="64" t="str">
        <f>IFERROR(__xludf.DUMMYFUNCTION("""COMPUTED_VALUE"""),"Stock")</f>
        <v>Stock</v>
      </c>
      <c r="D235" s="90" t="str">
        <f>IFERROR(__xludf.DUMMYFUNCTION("""COMPUTED_VALUE"""),"0700.HK")</f>
        <v>0700.HK</v>
      </c>
      <c r="E235" s="5" t="str">
        <f>IFERROR(__xludf.DUMMYFUNCTION("""COMPUTED_VALUE"""),"HKD")</f>
        <v>HKD</v>
      </c>
      <c r="F235" s="69">
        <f>IFERROR(__xludf.DUMMYFUNCTION("""COMPUTED_VALUE"""),0.0)</f>
        <v>0</v>
      </c>
      <c r="G235" s="70">
        <f>IFERROR(__xludf.DUMMYFUNCTION("""COMPUTED_VALUE"""),1.0)</f>
        <v>1</v>
      </c>
      <c r="H235" s="71">
        <f>IFERROR(__xludf.DUMMYFUNCTION("""COMPUTED_VALUE"""),0.0)</f>
        <v>0</v>
      </c>
      <c r="I235" s="71">
        <f>IFERROR(__xludf.DUMMYFUNCTION("""COMPUTED_VALUE"""),373.6)</f>
        <v>373.6</v>
      </c>
      <c r="J235" s="88" t="str">
        <f>IFERROR(__xludf.DUMMYFUNCTION("""COMPUTED_VALUE"""),"Goto link: 0700.HK")</f>
        <v>Goto link: 0700.HK</v>
      </c>
      <c r="K235" s="22"/>
      <c r="L235" s="22"/>
      <c r="M235" s="22"/>
      <c r="N235" s="22"/>
      <c r="O235" s="73"/>
      <c r="P235" s="8"/>
      <c r="Q235" s="69"/>
      <c r="R235" s="69"/>
      <c r="S235" s="8"/>
      <c r="T235" s="69"/>
      <c r="U235" s="8"/>
      <c r="V235" s="69"/>
      <c r="W235" s="74"/>
      <c r="X235" s="69"/>
    </row>
    <row r="236">
      <c r="A236" s="30" t="str">
        <f>IFERROR(__xludf.DUMMYFUNCTION("""COMPUTED_VALUE"""),"37934")</f>
        <v>37934</v>
      </c>
      <c r="B236" s="86">
        <f>IFERROR(__xludf.DUMMYFUNCTION("""COMPUTED_VALUE"""),44648.0)</f>
        <v>44648</v>
      </c>
      <c r="C236" s="64" t="str">
        <f>IFERROR(__xludf.DUMMYFUNCTION("""COMPUTED_VALUE"""),"Stock")</f>
        <v>Stock</v>
      </c>
      <c r="D236" s="90" t="str">
        <f>IFERROR(__xludf.DUMMYFUNCTION("""COMPUTED_VALUE"""),"9988.HK")</f>
        <v>9988.HK</v>
      </c>
      <c r="E236" s="5" t="str">
        <f>IFERROR(__xludf.DUMMYFUNCTION("""COMPUTED_VALUE"""),"HKD")</f>
        <v>HKD</v>
      </c>
      <c r="F236" s="69">
        <f>IFERROR(__xludf.DUMMYFUNCTION("""COMPUTED_VALUE"""),-450.0)</f>
        <v>-450</v>
      </c>
      <c r="G236" s="70">
        <f>IFERROR(__xludf.DUMMYFUNCTION("""COMPUTED_VALUE"""),1.0)</f>
        <v>1</v>
      </c>
      <c r="H236" s="71">
        <f>IFERROR(__xludf.DUMMYFUNCTION("""COMPUTED_VALUE"""),111.1)</f>
        <v>111.1</v>
      </c>
      <c r="I236" s="71">
        <f>IFERROR(__xludf.DUMMYFUNCTION("""COMPUTED_VALUE"""),98.5)</f>
        <v>98.5</v>
      </c>
      <c r="J236" s="88" t="str">
        <f>IFERROR(__xludf.DUMMYFUNCTION("""COMPUTED_VALUE"""),"Goto link: 9988.HK")</f>
        <v>Goto link: 9988.HK</v>
      </c>
      <c r="K236" s="22"/>
      <c r="L236" s="22"/>
      <c r="M236" s="22"/>
      <c r="N236" s="22"/>
      <c r="O236" s="73"/>
      <c r="P236" s="8"/>
      <c r="Q236" s="69"/>
      <c r="R236" s="69"/>
      <c r="S236" s="8"/>
      <c r="T236" s="69"/>
      <c r="U236" s="8"/>
      <c r="V236" s="69"/>
      <c r="W236" s="74"/>
      <c r="X236" s="69"/>
    </row>
    <row r="237">
      <c r="A237" s="30" t="str">
        <f>IFERROR(__xludf.DUMMYFUNCTION("""COMPUTED_VALUE"""),"37934")</f>
        <v>37934</v>
      </c>
      <c r="B237" s="86">
        <f>IFERROR(__xludf.DUMMYFUNCTION("""COMPUTED_VALUE"""),44660.0)</f>
        <v>44660</v>
      </c>
      <c r="C237" s="64" t="str">
        <f>IFERROR(__xludf.DUMMYFUNCTION("""COMPUTED_VALUE"""),"Stock")</f>
        <v>Stock</v>
      </c>
      <c r="D237" s="85" t="str">
        <f>IFERROR(__xludf.DUMMYFUNCTION("""COMPUTED_VALUE"""),"TSLA")</f>
        <v>TSLA</v>
      </c>
      <c r="E237" s="5" t="str">
        <f>IFERROR(__xludf.DUMMYFUNCTION("""COMPUTED_VALUE"""),"USD")</f>
        <v>USD</v>
      </c>
      <c r="F237" s="69">
        <f>IFERROR(__xludf.DUMMYFUNCTION("""COMPUTED_VALUE"""),0.0)</f>
        <v>0</v>
      </c>
      <c r="G237" s="70">
        <f>IFERROR(__xludf.DUMMYFUNCTION("""COMPUTED_VALUE"""),7.83915)</f>
        <v>7.83915</v>
      </c>
      <c r="H237" s="71">
        <f>IFERROR(__xludf.DUMMYFUNCTION("""COMPUTED_VALUE"""),0.0)</f>
        <v>0</v>
      </c>
      <c r="I237" s="71">
        <f>IFERROR(__xludf.DUMMYFUNCTION("""COMPUTED_VALUE"""),1022.37)</f>
        <v>1022.37</v>
      </c>
      <c r="J237" s="88" t="str">
        <f>IFERROR(__xludf.DUMMYFUNCTION("""COMPUTED_VALUE"""),"Goto link: TSLA")</f>
        <v>Goto link: TSLA</v>
      </c>
      <c r="K237" s="22"/>
      <c r="L237" s="22"/>
      <c r="M237" s="22"/>
      <c r="N237" s="22"/>
      <c r="O237" s="73"/>
      <c r="P237" s="8"/>
      <c r="Q237" s="69"/>
      <c r="R237" s="69"/>
      <c r="S237" s="8"/>
      <c r="T237" s="69"/>
      <c r="U237" s="8"/>
      <c r="V237" s="69"/>
      <c r="W237" s="74"/>
      <c r="X237" s="69"/>
    </row>
    <row r="238">
      <c r="A238" s="30" t="str">
        <f>IFERROR(__xludf.DUMMYFUNCTION("""COMPUTED_VALUE"""),"37934 Total")</f>
        <v>37934 Total</v>
      </c>
      <c r="B238" s="5"/>
      <c r="C238" s="64"/>
      <c r="D238" s="85"/>
      <c r="E238" s="5"/>
      <c r="F238" s="69"/>
      <c r="G238" s="70">
        <f>IFERROR(__xludf.DUMMYFUNCTION("""COMPUTED_VALUE"""),3.051745)</f>
        <v>3.051745</v>
      </c>
      <c r="H238" s="71">
        <f>IFERROR(__xludf.DUMMYFUNCTION("""COMPUTED_VALUE"""),766.37)</f>
        <v>766.37</v>
      </c>
      <c r="I238" s="71" t="str">
        <f>IFERROR(__xludf.DUMMYFUNCTION("""COMPUTED_VALUE"""),"")</f>
        <v/>
      </c>
      <c r="J238" s="22" t="str">
        <f>IFERROR(__xludf.DUMMYFUNCTION("""COMPUTED_VALUE"""),"")</f>
        <v/>
      </c>
      <c r="K238" s="22"/>
      <c r="L238" s="22"/>
      <c r="M238" s="22"/>
      <c r="N238" s="22"/>
      <c r="O238" s="73"/>
      <c r="P238" s="8"/>
      <c r="Q238" s="69"/>
      <c r="R238" s="69"/>
      <c r="S238" s="8"/>
      <c r="T238" s="69"/>
      <c r="U238" s="8"/>
      <c r="V238" s="69"/>
      <c r="W238" s="74"/>
      <c r="X238" s="69"/>
    </row>
    <row r="239">
      <c r="A239" s="30" t="str">
        <f>IFERROR(__xludf.DUMMYFUNCTION("""COMPUTED_VALUE"""),"38063")</f>
        <v>38063</v>
      </c>
      <c r="B239" s="86">
        <f>IFERROR(__xludf.DUMMYFUNCTION("""COMPUTED_VALUE"""),44597.0)</f>
        <v>44597</v>
      </c>
      <c r="C239" s="64" t="str">
        <f>IFERROR(__xludf.DUMMYFUNCTION("""COMPUTED_VALUE"""),"Cash")</f>
        <v>Cash</v>
      </c>
      <c r="D239" s="85" t="str">
        <f>IFERROR(__xludf.DUMMYFUNCTION("""COMPUTED_VALUE"""),"Cash")</f>
        <v>Cash</v>
      </c>
      <c r="E239" s="5" t="str">
        <f>IFERROR(__xludf.DUMMYFUNCTION("""COMPUTED_VALUE"""),"HKD")</f>
        <v>HKD</v>
      </c>
      <c r="F239" s="69" t="str">
        <f>IFERROR(__xludf.DUMMYFUNCTION("""COMPUTED_VALUE"""),"")</f>
        <v/>
      </c>
      <c r="G239" s="70">
        <f>IFERROR(__xludf.DUMMYFUNCTION("""COMPUTED_VALUE"""),1.0)</f>
        <v>1</v>
      </c>
      <c r="H239" s="71">
        <f>IFERROR(__xludf.DUMMYFUNCTION("""COMPUTED_VALUE"""),1.0)</f>
        <v>1</v>
      </c>
      <c r="I239" s="71">
        <f>IFERROR(__xludf.DUMMYFUNCTION("""COMPUTED_VALUE"""),1.0)</f>
        <v>1</v>
      </c>
      <c r="J239" s="22" t="str">
        <f>IFERROR(__xludf.DUMMYFUNCTION("""COMPUTED_VALUE"""),"")</f>
        <v/>
      </c>
      <c r="K239" s="22"/>
      <c r="L239" s="22"/>
      <c r="M239" s="22"/>
      <c r="N239" s="22"/>
      <c r="O239" s="73"/>
      <c r="P239" s="8"/>
      <c r="Q239" s="69"/>
      <c r="R239" s="69"/>
      <c r="S239" s="8"/>
      <c r="T239" s="69"/>
      <c r="U239" s="8"/>
      <c r="V239" s="69"/>
      <c r="W239" s="74"/>
      <c r="X239" s="69"/>
    </row>
    <row r="240">
      <c r="A240" s="30" t="str">
        <f>IFERROR(__xludf.DUMMYFUNCTION("""COMPUTED_VALUE"""),"38063")</f>
        <v>38063</v>
      </c>
      <c r="B240" s="86">
        <f>IFERROR(__xludf.DUMMYFUNCTION("""COMPUTED_VALUE"""),44650.0)</f>
        <v>44650</v>
      </c>
      <c r="C240" s="64" t="str">
        <f>IFERROR(__xludf.DUMMYFUNCTION("""COMPUTED_VALUE"""),"Stock")</f>
        <v>Stock</v>
      </c>
      <c r="D240" s="90" t="str">
        <f>IFERROR(__xludf.DUMMYFUNCTION("""COMPUTED_VALUE"""),"2007.hk")</f>
        <v>2007.hk</v>
      </c>
      <c r="E240" s="5" t="str">
        <f>IFERROR(__xludf.DUMMYFUNCTION("""COMPUTED_VALUE"""),"HKD")</f>
        <v>HKD</v>
      </c>
      <c r="F240" s="69">
        <f>IFERROR(__xludf.DUMMYFUNCTION("""COMPUTED_VALUE"""),500.0)</f>
        <v>500</v>
      </c>
      <c r="G240" s="70">
        <f>IFERROR(__xludf.DUMMYFUNCTION("""COMPUTED_VALUE"""),1.0)</f>
        <v>1</v>
      </c>
      <c r="H240" s="71">
        <f>IFERROR(__xludf.DUMMYFUNCTION("""COMPUTED_VALUE"""),6.08)</f>
        <v>6.08</v>
      </c>
      <c r="I240" s="71">
        <f>IFERROR(__xludf.DUMMYFUNCTION("""COMPUTED_VALUE"""),5.9)</f>
        <v>5.9</v>
      </c>
      <c r="J240" s="88" t="str">
        <f>IFERROR(__xludf.DUMMYFUNCTION("""COMPUTED_VALUE"""),"Goto link: 2007.hk")</f>
        <v>Goto link: 2007.hk</v>
      </c>
      <c r="K240" s="22"/>
      <c r="L240" s="22"/>
      <c r="M240" s="22"/>
      <c r="N240" s="22"/>
      <c r="O240" s="73"/>
      <c r="P240" s="8"/>
      <c r="Q240" s="69"/>
      <c r="R240" s="69"/>
      <c r="S240" s="8"/>
      <c r="T240" s="69"/>
      <c r="U240" s="8"/>
      <c r="V240" s="69"/>
      <c r="W240" s="74"/>
      <c r="X240" s="69"/>
    </row>
    <row r="241">
      <c r="A241" s="30" t="str">
        <f>IFERROR(__xludf.DUMMYFUNCTION("""COMPUTED_VALUE"""),"38063")</f>
        <v>38063</v>
      </c>
      <c r="B241" s="86">
        <f>IFERROR(__xludf.DUMMYFUNCTION("""COMPUTED_VALUE"""),44652.0)</f>
        <v>44652</v>
      </c>
      <c r="C241" s="64" t="str">
        <f>IFERROR(__xludf.DUMMYFUNCTION("""COMPUTED_VALUE"""),"Stock")</f>
        <v>Stock</v>
      </c>
      <c r="D241" s="90" t="str">
        <f>IFERROR(__xludf.DUMMYFUNCTION("""COMPUTED_VALUE"""),"0836.HK")</f>
        <v>0836.HK</v>
      </c>
      <c r="E241" s="5" t="str">
        <f>IFERROR(__xludf.DUMMYFUNCTION("""COMPUTED_VALUE"""),"HKD")</f>
        <v>HKD</v>
      </c>
      <c r="F241" s="69">
        <f>IFERROR(__xludf.DUMMYFUNCTION("""COMPUTED_VALUE"""),5000.0)</f>
        <v>5000</v>
      </c>
      <c r="G241" s="70">
        <f>IFERROR(__xludf.DUMMYFUNCTION("""COMPUTED_VALUE"""),1.0)</f>
        <v>1</v>
      </c>
      <c r="H241" s="71">
        <f>IFERROR(__xludf.DUMMYFUNCTION("""COMPUTED_VALUE"""),14.92)</f>
        <v>14.92</v>
      </c>
      <c r="I241" s="71">
        <f>IFERROR(__xludf.DUMMYFUNCTION("""COMPUTED_VALUE"""),14.56)</f>
        <v>14.56</v>
      </c>
      <c r="J241" s="88" t="str">
        <f>IFERROR(__xludf.DUMMYFUNCTION("""COMPUTED_VALUE"""),"Goto link: 0836.HK")</f>
        <v>Goto link: 0836.HK</v>
      </c>
      <c r="K241" s="22"/>
      <c r="L241" s="22"/>
      <c r="M241" s="22"/>
      <c r="N241" s="22"/>
      <c r="O241" s="73"/>
      <c r="P241" s="8"/>
      <c r="Q241" s="69"/>
      <c r="R241" s="69"/>
      <c r="S241" s="8"/>
      <c r="T241" s="69"/>
      <c r="U241" s="8"/>
      <c r="V241" s="69"/>
      <c r="W241" s="74"/>
      <c r="X241" s="69"/>
    </row>
    <row r="242">
      <c r="A242" s="30" t="str">
        <f>IFERROR(__xludf.DUMMYFUNCTION("""COMPUTED_VALUE"""),"38063")</f>
        <v>38063</v>
      </c>
      <c r="B242" s="86">
        <f>IFERROR(__xludf.DUMMYFUNCTION("""COMPUTED_VALUE"""),44657.0)</f>
        <v>44657</v>
      </c>
      <c r="C242" s="64" t="str">
        <f>IFERROR(__xludf.DUMMYFUNCTION("""COMPUTED_VALUE"""),"Stock")</f>
        <v>Stock</v>
      </c>
      <c r="D242" s="90" t="str">
        <f>IFERROR(__xludf.DUMMYFUNCTION("""COMPUTED_VALUE"""),"0095.HK")</f>
        <v>0095.HK</v>
      </c>
      <c r="E242" s="5" t="str">
        <f>IFERROR(__xludf.DUMMYFUNCTION("""COMPUTED_VALUE"""),"HKD")</f>
        <v>HKD</v>
      </c>
      <c r="F242" s="69">
        <f>IFERROR(__xludf.DUMMYFUNCTION("""COMPUTED_VALUE"""),1000.0)</f>
        <v>1000</v>
      </c>
      <c r="G242" s="70">
        <f>IFERROR(__xludf.DUMMYFUNCTION("""COMPUTED_VALUE"""),1.0)</f>
        <v>1</v>
      </c>
      <c r="H242" s="71">
        <f>IFERROR(__xludf.DUMMYFUNCTION("""COMPUTED_VALUE"""),1.39)</f>
        <v>1.39</v>
      </c>
      <c r="I242" s="71">
        <f>IFERROR(__xludf.DUMMYFUNCTION("""COMPUTED_VALUE"""),1.3)</f>
        <v>1.3</v>
      </c>
      <c r="J242" s="88" t="str">
        <f>IFERROR(__xludf.DUMMYFUNCTION("""COMPUTED_VALUE"""),"Goto link: 0095.HK")</f>
        <v>Goto link: 0095.HK</v>
      </c>
      <c r="K242" s="22"/>
      <c r="L242" s="22"/>
      <c r="M242" s="22"/>
      <c r="N242" s="22"/>
      <c r="O242" s="73"/>
      <c r="P242" s="8"/>
      <c r="Q242" s="69"/>
      <c r="R242" s="69"/>
      <c r="S242" s="8"/>
      <c r="T242" s="69"/>
      <c r="U242" s="8"/>
      <c r="V242" s="69"/>
      <c r="W242" s="74"/>
      <c r="X242" s="69"/>
    </row>
    <row r="243">
      <c r="A243" s="30" t="str">
        <f>IFERROR(__xludf.DUMMYFUNCTION("""COMPUTED_VALUE"""),"38063")</f>
        <v>38063</v>
      </c>
      <c r="B243" s="86">
        <f>IFERROR(__xludf.DUMMYFUNCTION("""COMPUTED_VALUE"""),44659.0)</f>
        <v>44659</v>
      </c>
      <c r="C243" s="64" t="str">
        <f>IFERROR(__xludf.DUMMYFUNCTION("""COMPUTED_VALUE"""),"Stock")</f>
        <v>Stock</v>
      </c>
      <c r="D243" s="91" t="str">
        <f>IFERROR(__xludf.DUMMYFUNCTION("""COMPUTED_VALUE"""),"0001.HK")</f>
        <v>0001.HK</v>
      </c>
      <c r="E243" s="5" t="str">
        <f>IFERROR(__xludf.DUMMYFUNCTION("""COMPUTED_VALUE"""),"HKD")</f>
        <v>HKD</v>
      </c>
      <c r="F243" s="69">
        <f>IFERROR(__xludf.DUMMYFUNCTION("""COMPUTED_VALUE"""),1000.0)</f>
        <v>1000</v>
      </c>
      <c r="G243" s="70">
        <f>IFERROR(__xludf.DUMMYFUNCTION("""COMPUTED_VALUE"""),1.0)</f>
        <v>1</v>
      </c>
      <c r="H243" s="71">
        <f>IFERROR(__xludf.DUMMYFUNCTION("""COMPUTED_VALUE"""),56.5)</f>
        <v>56.5</v>
      </c>
      <c r="I243" s="71">
        <f>IFERROR(__xludf.DUMMYFUNCTION("""COMPUTED_VALUE"""),56.7)</f>
        <v>56.7</v>
      </c>
      <c r="J243" s="88" t="str">
        <f>IFERROR(__xludf.DUMMYFUNCTION("""COMPUTED_VALUE"""),"Goto link: 0001.HK")</f>
        <v>Goto link: 0001.HK</v>
      </c>
      <c r="K243" s="22"/>
      <c r="L243" s="22"/>
      <c r="M243" s="22"/>
      <c r="N243" s="22"/>
      <c r="O243" s="73"/>
      <c r="P243" s="8"/>
      <c r="Q243" s="69"/>
      <c r="R243" s="69"/>
      <c r="S243" s="8"/>
      <c r="T243" s="69"/>
      <c r="U243" s="8"/>
      <c r="V243" s="69"/>
      <c r="W243" s="74"/>
      <c r="X243" s="69"/>
    </row>
    <row r="244">
      <c r="A244" s="30" t="str">
        <f>IFERROR(__xludf.DUMMYFUNCTION("""COMPUTED_VALUE"""),"38063")</f>
        <v>38063</v>
      </c>
      <c r="B244" s="86">
        <f>IFERROR(__xludf.DUMMYFUNCTION("""COMPUTED_VALUE"""),44659.0)</f>
        <v>44659</v>
      </c>
      <c r="C244" s="64" t="str">
        <f>IFERROR(__xludf.DUMMYFUNCTION("""COMPUTED_VALUE"""),"Stock")</f>
        <v>Stock</v>
      </c>
      <c r="D244" s="91" t="str">
        <f>IFERROR(__xludf.DUMMYFUNCTION("""COMPUTED_VALUE"""),"0836.HK")</f>
        <v>0836.HK</v>
      </c>
      <c r="E244" s="5" t="str">
        <f>IFERROR(__xludf.DUMMYFUNCTION("""COMPUTED_VALUE"""),"HKD")</f>
        <v>HKD</v>
      </c>
      <c r="F244" s="69">
        <f>IFERROR(__xludf.DUMMYFUNCTION("""COMPUTED_VALUE"""),5000.0)</f>
        <v>5000</v>
      </c>
      <c r="G244" s="70">
        <f>IFERROR(__xludf.DUMMYFUNCTION("""COMPUTED_VALUE"""),1.0)</f>
        <v>1</v>
      </c>
      <c r="H244" s="71">
        <f>IFERROR(__xludf.DUMMYFUNCTION("""COMPUTED_VALUE"""),15.46)</f>
        <v>15.46</v>
      </c>
      <c r="I244" s="71">
        <f>IFERROR(__xludf.DUMMYFUNCTION("""COMPUTED_VALUE"""),14.56)</f>
        <v>14.56</v>
      </c>
      <c r="J244" s="88" t="str">
        <f>IFERROR(__xludf.DUMMYFUNCTION("""COMPUTED_VALUE"""),"Goto link: 0836.HK")</f>
        <v>Goto link: 0836.HK</v>
      </c>
      <c r="K244" s="22"/>
      <c r="L244" s="22"/>
      <c r="M244" s="22"/>
      <c r="N244" s="22"/>
      <c r="O244" s="73"/>
      <c r="P244" s="8"/>
      <c r="Q244" s="69"/>
      <c r="R244" s="69"/>
      <c r="S244" s="8"/>
      <c r="T244" s="69"/>
      <c r="U244" s="8"/>
      <c r="V244" s="69"/>
      <c r="W244" s="74"/>
      <c r="X244" s="69"/>
    </row>
    <row r="245">
      <c r="A245" s="30" t="str">
        <f>IFERROR(__xludf.DUMMYFUNCTION("""COMPUTED_VALUE"""),"38063")</f>
        <v>38063</v>
      </c>
      <c r="B245" s="86">
        <f>IFERROR(__xludf.DUMMYFUNCTION("""COMPUTED_VALUE"""),44659.0)</f>
        <v>44659</v>
      </c>
      <c r="C245" s="64" t="str">
        <f>IFERROR(__xludf.DUMMYFUNCTION("""COMPUTED_VALUE"""),"Stock")</f>
        <v>Stock</v>
      </c>
      <c r="D245" s="91" t="str">
        <f>IFERROR(__xludf.DUMMYFUNCTION("""COMPUTED_VALUE"""),"9988.HK")</f>
        <v>9988.HK</v>
      </c>
      <c r="E245" s="5" t="str">
        <f>IFERROR(__xludf.DUMMYFUNCTION("""COMPUTED_VALUE"""),"HKD")</f>
        <v>HKD</v>
      </c>
      <c r="F245" s="69">
        <f>IFERROR(__xludf.DUMMYFUNCTION("""COMPUTED_VALUE"""),1000.0)</f>
        <v>1000</v>
      </c>
      <c r="G245" s="70">
        <f>IFERROR(__xludf.DUMMYFUNCTION("""COMPUTED_VALUE"""),1.0)</f>
        <v>1</v>
      </c>
      <c r="H245" s="71">
        <f>IFERROR(__xludf.DUMMYFUNCTION("""COMPUTED_VALUE"""),103.8)</f>
        <v>103.8</v>
      </c>
      <c r="I245" s="71">
        <f>IFERROR(__xludf.DUMMYFUNCTION("""COMPUTED_VALUE"""),98.5)</f>
        <v>98.5</v>
      </c>
      <c r="J245" s="88" t="str">
        <f>IFERROR(__xludf.DUMMYFUNCTION("""COMPUTED_VALUE"""),"Goto link: 9988.HK")</f>
        <v>Goto link: 9988.HK</v>
      </c>
      <c r="K245" s="22"/>
      <c r="L245" s="22"/>
      <c r="M245" s="22"/>
      <c r="N245" s="22"/>
      <c r="O245" s="73"/>
      <c r="P245" s="8"/>
      <c r="Q245" s="69"/>
      <c r="R245" s="69"/>
      <c r="S245" s="8"/>
      <c r="T245" s="69"/>
      <c r="U245" s="8"/>
      <c r="V245" s="69"/>
      <c r="W245" s="74"/>
      <c r="X245" s="69"/>
    </row>
    <row r="246">
      <c r="A246" s="30" t="str">
        <f>IFERROR(__xludf.DUMMYFUNCTION("""COMPUTED_VALUE"""),"38063 Total")</f>
        <v>38063 Total</v>
      </c>
      <c r="B246" s="5"/>
      <c r="C246" s="64"/>
      <c r="D246" s="85"/>
      <c r="E246" s="5"/>
      <c r="F246" s="69"/>
      <c r="G246" s="70">
        <f>IFERROR(__xludf.DUMMYFUNCTION("""COMPUTED_VALUE"""),1.0)</f>
        <v>1</v>
      </c>
      <c r="H246" s="71">
        <f>IFERROR(__xludf.DUMMYFUNCTION("""COMPUTED_VALUE"""),103.8)</f>
        <v>103.8</v>
      </c>
      <c r="I246" s="71" t="str">
        <f>IFERROR(__xludf.DUMMYFUNCTION("""COMPUTED_VALUE"""),"")</f>
        <v/>
      </c>
      <c r="J246" s="22" t="str">
        <f>IFERROR(__xludf.DUMMYFUNCTION("""COMPUTED_VALUE"""),"")</f>
        <v/>
      </c>
      <c r="K246" s="22"/>
      <c r="L246" s="22"/>
      <c r="M246" s="22"/>
      <c r="N246" s="22"/>
      <c r="O246" s="73"/>
      <c r="P246" s="8"/>
      <c r="Q246" s="69"/>
      <c r="R246" s="69"/>
      <c r="S246" s="8"/>
      <c r="T246" s="69"/>
      <c r="U246" s="8"/>
      <c r="V246" s="69"/>
      <c r="W246" s="74"/>
      <c r="X246" s="69"/>
    </row>
    <row r="247">
      <c r="A247" s="30" t="str">
        <f>IFERROR(__xludf.DUMMYFUNCTION("""COMPUTED_VALUE"""),"38093")</f>
        <v>38093</v>
      </c>
      <c r="B247" s="86">
        <f>IFERROR(__xludf.DUMMYFUNCTION("""COMPUTED_VALUE"""),44597.0)</f>
        <v>44597</v>
      </c>
      <c r="C247" s="64" t="str">
        <f>IFERROR(__xludf.DUMMYFUNCTION("""COMPUTED_VALUE"""),"Cash")</f>
        <v>Cash</v>
      </c>
      <c r="D247" s="85" t="str">
        <f>IFERROR(__xludf.DUMMYFUNCTION("""COMPUTED_VALUE"""),"Cash")</f>
        <v>Cash</v>
      </c>
      <c r="E247" s="5" t="str">
        <f>IFERROR(__xludf.DUMMYFUNCTION("""COMPUTED_VALUE"""),"HKD")</f>
        <v>HKD</v>
      </c>
      <c r="F247" s="69" t="str">
        <f>IFERROR(__xludf.DUMMYFUNCTION("""COMPUTED_VALUE"""),"")</f>
        <v/>
      </c>
      <c r="G247" s="70">
        <f>IFERROR(__xludf.DUMMYFUNCTION("""COMPUTED_VALUE"""),1.0)</f>
        <v>1</v>
      </c>
      <c r="H247" s="71">
        <f>IFERROR(__xludf.DUMMYFUNCTION("""COMPUTED_VALUE"""),1.0)</f>
        <v>1</v>
      </c>
      <c r="I247" s="71">
        <f>IFERROR(__xludf.DUMMYFUNCTION("""COMPUTED_VALUE"""),1.0)</f>
        <v>1</v>
      </c>
      <c r="J247" s="22" t="str">
        <f>IFERROR(__xludf.DUMMYFUNCTION("""COMPUTED_VALUE"""),"")</f>
        <v/>
      </c>
      <c r="K247" s="22"/>
      <c r="L247" s="22"/>
      <c r="M247" s="22"/>
      <c r="N247" s="22"/>
      <c r="O247" s="73"/>
      <c r="P247" s="8"/>
      <c r="Q247" s="69"/>
      <c r="R247" s="69"/>
      <c r="S247" s="8"/>
      <c r="T247" s="69"/>
      <c r="U247" s="8"/>
      <c r="V247" s="69"/>
      <c r="W247" s="74"/>
      <c r="X247" s="69"/>
    </row>
    <row r="248">
      <c r="A248" s="30" t="str">
        <f>IFERROR(__xludf.DUMMYFUNCTION("""COMPUTED_VALUE"""),"38093")</f>
        <v>38093</v>
      </c>
      <c r="B248" s="86">
        <f>IFERROR(__xludf.DUMMYFUNCTION("""COMPUTED_VALUE"""),44644.0)</f>
        <v>44644</v>
      </c>
      <c r="C248" s="64" t="str">
        <f>IFERROR(__xludf.DUMMYFUNCTION("""COMPUTED_VALUE"""),"Stock")</f>
        <v>Stock</v>
      </c>
      <c r="D248" s="87" t="str">
        <f>IFERROR(__xludf.DUMMYFUNCTION("""COMPUTED_VALUE"""),"NKE")</f>
        <v>NKE</v>
      </c>
      <c r="E248" s="5" t="str">
        <f>IFERROR(__xludf.DUMMYFUNCTION("""COMPUTED_VALUE"""),"USD")</f>
        <v>USD</v>
      </c>
      <c r="F248" s="69" t="str">
        <f>IFERROR(__xludf.DUMMYFUNCTION("""COMPUTED_VALUE"""),"")</f>
        <v/>
      </c>
      <c r="G248" s="70">
        <f>IFERROR(__xludf.DUMMYFUNCTION("""COMPUTED_VALUE"""),7.83915)</f>
        <v>7.83915</v>
      </c>
      <c r="H248" s="71">
        <f>IFERROR(__xludf.DUMMYFUNCTION("""COMPUTED_VALUE"""),132.08)</f>
        <v>132.08</v>
      </c>
      <c r="I248" s="71">
        <f>IFERROR(__xludf.DUMMYFUNCTION("""COMPUTED_VALUE"""),127.48)</f>
        <v>127.48</v>
      </c>
      <c r="J248" s="88" t="str">
        <f>IFERROR(__xludf.DUMMYFUNCTION("""COMPUTED_VALUE"""),"Goto link: NKE")</f>
        <v>Goto link: NKE</v>
      </c>
      <c r="K248" s="22"/>
      <c r="L248" s="22"/>
      <c r="M248" s="22"/>
      <c r="N248" s="22"/>
      <c r="O248" s="73"/>
      <c r="P248" s="8"/>
      <c r="Q248" s="69"/>
      <c r="R248" s="69"/>
      <c r="S248" s="8"/>
      <c r="T248" s="69"/>
      <c r="U248" s="8"/>
      <c r="V248" s="69"/>
      <c r="W248" s="74"/>
      <c r="X248" s="69"/>
    </row>
    <row r="249">
      <c r="A249" s="30" t="str">
        <f>IFERROR(__xludf.DUMMYFUNCTION("""COMPUTED_VALUE"""),"38093")</f>
        <v>38093</v>
      </c>
      <c r="B249" s="86">
        <f>IFERROR(__xludf.DUMMYFUNCTION("""COMPUTED_VALUE"""),44644.0)</f>
        <v>44644</v>
      </c>
      <c r="C249" s="64" t="str">
        <f>IFERROR(__xludf.DUMMYFUNCTION("""COMPUTED_VALUE"""),"Stock")</f>
        <v>Stock</v>
      </c>
      <c r="D249" s="87" t="str">
        <f>IFERROR(__xludf.DUMMYFUNCTION("""COMPUTED_VALUE"""),"TSLA")</f>
        <v>TSLA</v>
      </c>
      <c r="E249" s="5" t="str">
        <f>IFERROR(__xludf.DUMMYFUNCTION("""COMPUTED_VALUE"""),"USD")</f>
        <v>USD</v>
      </c>
      <c r="F249" s="69" t="str">
        <f>IFERROR(__xludf.DUMMYFUNCTION("""COMPUTED_VALUE"""),"")</f>
        <v/>
      </c>
      <c r="G249" s="70">
        <f>IFERROR(__xludf.DUMMYFUNCTION("""COMPUTED_VALUE"""),7.83915)</f>
        <v>7.83915</v>
      </c>
      <c r="H249" s="71">
        <f>IFERROR(__xludf.DUMMYFUNCTION("""COMPUTED_VALUE"""),1013.92)</f>
        <v>1013.92</v>
      </c>
      <c r="I249" s="71">
        <f>IFERROR(__xludf.DUMMYFUNCTION("""COMPUTED_VALUE"""),1022.37)</f>
        <v>1022.37</v>
      </c>
      <c r="J249" s="88" t="str">
        <f>IFERROR(__xludf.DUMMYFUNCTION("""COMPUTED_VALUE"""),"Goto link: TSLA")</f>
        <v>Goto link: TSLA</v>
      </c>
      <c r="K249" s="22"/>
      <c r="L249" s="22"/>
      <c r="M249" s="22"/>
      <c r="N249" s="22"/>
      <c r="O249" s="73"/>
      <c r="P249" s="8"/>
      <c r="Q249" s="69"/>
      <c r="R249" s="69"/>
      <c r="S249" s="8"/>
      <c r="T249" s="69"/>
      <c r="U249" s="8"/>
      <c r="V249" s="69"/>
      <c r="W249" s="74"/>
      <c r="X249" s="69"/>
    </row>
    <row r="250">
      <c r="A250" s="30" t="str">
        <f>IFERROR(__xludf.DUMMYFUNCTION("""COMPUTED_VALUE"""),"38093")</f>
        <v>38093</v>
      </c>
      <c r="B250" s="86">
        <f>IFERROR(__xludf.DUMMYFUNCTION("""COMPUTED_VALUE"""),44645.0)</f>
        <v>44645</v>
      </c>
      <c r="C250" s="64" t="str">
        <f>IFERROR(__xludf.DUMMYFUNCTION("""COMPUTED_VALUE"""),"Stock")</f>
        <v>Stock</v>
      </c>
      <c r="D250" s="87" t="str">
        <f>IFERROR(__xludf.DUMMYFUNCTION("""COMPUTED_VALUE"""),"ADA-USD")</f>
        <v>ADA-USD</v>
      </c>
      <c r="E250" s="5" t="str">
        <f>IFERROR(__xludf.DUMMYFUNCTION("""COMPUTED_VALUE"""),"USD")</f>
        <v>USD</v>
      </c>
      <c r="F250" s="69">
        <f>IFERROR(__xludf.DUMMYFUNCTION("""COMPUTED_VALUE"""),500.0)</f>
        <v>500</v>
      </c>
      <c r="G250" s="70">
        <f>IFERROR(__xludf.DUMMYFUNCTION("""COMPUTED_VALUE"""),7.83915)</f>
        <v>7.83915</v>
      </c>
      <c r="H250" s="71">
        <f>IFERROR(__xludf.DUMMYFUNCTION("""COMPUTED_VALUE"""),1.0994)</f>
        <v>1.0994</v>
      </c>
      <c r="I250" s="71" t="str">
        <f>IFERROR(__xludf.DUMMYFUNCTION("""COMPUTED_VALUE"""),"#N/A")</f>
        <v>#N/A</v>
      </c>
      <c r="J250" s="88" t="str">
        <f>IFERROR(__xludf.DUMMYFUNCTION("""COMPUTED_VALUE"""),"Goto link: ADA-USD")</f>
        <v>Goto link: ADA-USD</v>
      </c>
      <c r="K250" s="22"/>
      <c r="L250" s="22"/>
      <c r="M250" s="22"/>
      <c r="N250" s="22"/>
      <c r="O250" s="73"/>
      <c r="P250" s="8"/>
      <c r="Q250" s="69"/>
      <c r="R250" s="69"/>
      <c r="S250" s="8"/>
      <c r="T250" s="69"/>
      <c r="U250" s="8"/>
      <c r="V250" s="69"/>
      <c r="W250" s="74"/>
      <c r="X250" s="69"/>
    </row>
    <row r="251">
      <c r="A251" s="30" t="str">
        <f>IFERROR(__xludf.DUMMYFUNCTION("""COMPUTED_VALUE"""),"38093")</f>
        <v>38093</v>
      </c>
      <c r="B251" s="86">
        <f>IFERROR(__xludf.DUMMYFUNCTION("""COMPUTED_VALUE"""),44645.0)</f>
        <v>44645</v>
      </c>
      <c r="C251" s="64" t="str">
        <f>IFERROR(__xludf.DUMMYFUNCTION("""COMPUTED_VALUE"""),"Stock")</f>
        <v>Stock</v>
      </c>
      <c r="D251" s="87" t="str">
        <f>IFERROR(__xludf.DUMMYFUNCTION("""COMPUTED_VALUE"""),"NKE")</f>
        <v>NKE</v>
      </c>
      <c r="E251" s="5" t="str">
        <f>IFERROR(__xludf.DUMMYFUNCTION("""COMPUTED_VALUE"""),"USD")</f>
        <v>USD</v>
      </c>
      <c r="F251" s="69">
        <f>IFERROR(__xludf.DUMMYFUNCTION("""COMPUTED_VALUE"""),100.0)</f>
        <v>100</v>
      </c>
      <c r="G251" s="70">
        <f>IFERROR(__xludf.DUMMYFUNCTION("""COMPUTED_VALUE"""),7.83915)</f>
        <v>7.83915</v>
      </c>
      <c r="H251" s="71">
        <f>IFERROR(__xludf.DUMMYFUNCTION("""COMPUTED_VALUE"""),133.7)</f>
        <v>133.7</v>
      </c>
      <c r="I251" s="71">
        <f>IFERROR(__xludf.DUMMYFUNCTION("""COMPUTED_VALUE"""),127.48)</f>
        <v>127.48</v>
      </c>
      <c r="J251" s="88" t="str">
        <f>IFERROR(__xludf.DUMMYFUNCTION("""COMPUTED_VALUE"""),"Goto link: NKE")</f>
        <v>Goto link: NKE</v>
      </c>
      <c r="K251" s="22"/>
      <c r="L251" s="22"/>
      <c r="M251" s="22"/>
      <c r="N251" s="22"/>
      <c r="O251" s="73"/>
      <c r="P251" s="8"/>
      <c r="Q251" s="69"/>
      <c r="R251" s="69"/>
      <c r="S251" s="8"/>
      <c r="T251" s="69"/>
      <c r="U251" s="8"/>
      <c r="V251" s="69"/>
      <c r="W251" s="74"/>
      <c r="X251" s="69"/>
    </row>
    <row r="252">
      <c r="A252" s="30" t="str">
        <f>IFERROR(__xludf.DUMMYFUNCTION("""COMPUTED_VALUE"""),"38093")</f>
        <v>38093</v>
      </c>
      <c r="B252" s="86">
        <f>IFERROR(__xludf.DUMMYFUNCTION("""COMPUTED_VALUE"""),44645.0)</f>
        <v>44645</v>
      </c>
      <c r="C252" s="64" t="str">
        <f>IFERROR(__xludf.DUMMYFUNCTION("""COMPUTED_VALUE"""),"Stock")</f>
        <v>Stock</v>
      </c>
      <c r="D252" s="87" t="str">
        <f>IFERROR(__xludf.DUMMYFUNCTION("""COMPUTED_VALUE"""),"TSLA")</f>
        <v>TSLA</v>
      </c>
      <c r="E252" s="5" t="str">
        <f>IFERROR(__xludf.DUMMYFUNCTION("""COMPUTED_VALUE"""),"USD")</f>
        <v>USD</v>
      </c>
      <c r="F252" s="69">
        <f>IFERROR(__xludf.DUMMYFUNCTION("""COMPUTED_VALUE"""),50.0)</f>
        <v>50</v>
      </c>
      <c r="G252" s="70">
        <f>IFERROR(__xludf.DUMMYFUNCTION("""COMPUTED_VALUE"""),7.83915)</f>
        <v>7.83915</v>
      </c>
      <c r="H252" s="71">
        <f>IFERROR(__xludf.DUMMYFUNCTION("""COMPUTED_VALUE"""),1010.64)</f>
        <v>1010.64</v>
      </c>
      <c r="I252" s="71">
        <f>IFERROR(__xludf.DUMMYFUNCTION("""COMPUTED_VALUE"""),1022.37)</f>
        <v>1022.37</v>
      </c>
      <c r="J252" s="88" t="str">
        <f>IFERROR(__xludf.DUMMYFUNCTION("""COMPUTED_VALUE"""),"Goto link: TSLA")</f>
        <v>Goto link: TSLA</v>
      </c>
      <c r="K252" s="22"/>
      <c r="L252" s="22"/>
      <c r="M252" s="22"/>
      <c r="N252" s="22"/>
      <c r="O252" s="73"/>
      <c r="P252" s="8"/>
      <c r="Q252" s="69"/>
      <c r="R252" s="69"/>
      <c r="S252" s="8"/>
      <c r="T252" s="69"/>
      <c r="U252" s="8"/>
      <c r="V252" s="69"/>
      <c r="W252" s="74"/>
      <c r="X252" s="69"/>
    </row>
    <row r="253">
      <c r="A253" s="30" t="str">
        <f>IFERROR(__xludf.DUMMYFUNCTION("""COMPUTED_VALUE"""),"38093")</f>
        <v>38093</v>
      </c>
      <c r="B253" s="86">
        <f>IFERROR(__xludf.DUMMYFUNCTION("""COMPUTED_VALUE"""),44648.0)</f>
        <v>44648</v>
      </c>
      <c r="C253" s="64" t="str">
        <f>IFERROR(__xludf.DUMMYFUNCTION("""COMPUTED_VALUE"""),"Stock")</f>
        <v>Stock</v>
      </c>
      <c r="D253" s="90" t="str">
        <f>IFERROR(__xludf.DUMMYFUNCTION("""COMPUTED_VALUE"""),"0700.HK")</f>
        <v>0700.HK</v>
      </c>
      <c r="E253" s="5" t="str">
        <f>IFERROR(__xludf.DUMMYFUNCTION("""COMPUTED_VALUE"""),"HKD")</f>
        <v>HKD</v>
      </c>
      <c r="F253" s="69">
        <f>IFERROR(__xludf.DUMMYFUNCTION("""COMPUTED_VALUE"""),100.0)</f>
        <v>100</v>
      </c>
      <c r="G253" s="70">
        <f>IFERROR(__xludf.DUMMYFUNCTION("""COMPUTED_VALUE"""),1.0)</f>
        <v>1</v>
      </c>
      <c r="H253" s="71">
        <f>IFERROR(__xludf.DUMMYFUNCTION("""COMPUTED_VALUE"""),366.4)</f>
        <v>366.4</v>
      </c>
      <c r="I253" s="71">
        <f>IFERROR(__xludf.DUMMYFUNCTION("""COMPUTED_VALUE"""),373.6)</f>
        <v>373.6</v>
      </c>
      <c r="J253" s="88" t="str">
        <f>IFERROR(__xludf.DUMMYFUNCTION("""COMPUTED_VALUE"""),"Goto link: 0700.HK")</f>
        <v>Goto link: 0700.HK</v>
      </c>
      <c r="K253" s="22"/>
      <c r="L253" s="22"/>
      <c r="M253" s="22"/>
      <c r="N253" s="22"/>
      <c r="O253" s="73"/>
      <c r="P253" s="8"/>
      <c r="Q253" s="69"/>
      <c r="R253" s="69"/>
      <c r="S253" s="8"/>
      <c r="T253" s="69"/>
      <c r="U253" s="8"/>
      <c r="V253" s="69"/>
      <c r="W253" s="74"/>
      <c r="X253" s="69"/>
    </row>
    <row r="254">
      <c r="A254" s="30" t="str">
        <f>IFERROR(__xludf.DUMMYFUNCTION("""COMPUTED_VALUE"""),"38093")</f>
        <v>38093</v>
      </c>
      <c r="B254" s="86">
        <f>IFERROR(__xludf.DUMMYFUNCTION("""COMPUTED_VALUE"""),44651.0)</f>
        <v>44651</v>
      </c>
      <c r="C254" s="64" t="str">
        <f>IFERROR(__xludf.DUMMYFUNCTION("""COMPUTED_VALUE"""),"Stock")</f>
        <v>Stock</v>
      </c>
      <c r="D254" s="90" t="str">
        <f>IFERROR(__xludf.DUMMYFUNCTION("""COMPUTED_VALUE"""),"0386.HK")</f>
        <v>0386.HK</v>
      </c>
      <c r="E254" s="5" t="str">
        <f>IFERROR(__xludf.DUMMYFUNCTION("""COMPUTED_VALUE"""),"HKD")</f>
        <v>HKD</v>
      </c>
      <c r="F254" s="69">
        <f>IFERROR(__xludf.DUMMYFUNCTION("""COMPUTED_VALUE"""),200.0)</f>
        <v>200</v>
      </c>
      <c r="G254" s="70">
        <f>IFERROR(__xludf.DUMMYFUNCTION("""COMPUTED_VALUE"""),1.0)</f>
        <v>1</v>
      </c>
      <c r="H254" s="71">
        <f>IFERROR(__xludf.DUMMYFUNCTION("""COMPUTED_VALUE"""),3.93)</f>
        <v>3.93</v>
      </c>
      <c r="I254" s="71">
        <f>IFERROR(__xludf.DUMMYFUNCTION("""COMPUTED_VALUE"""),4.0)</f>
        <v>4</v>
      </c>
      <c r="J254" s="88" t="str">
        <f>IFERROR(__xludf.DUMMYFUNCTION("""COMPUTED_VALUE"""),"Goto link: 0386.HK")</f>
        <v>Goto link: 0386.HK</v>
      </c>
      <c r="K254" s="22"/>
      <c r="L254" s="22"/>
      <c r="M254" s="22"/>
      <c r="N254" s="22"/>
      <c r="O254" s="73"/>
      <c r="P254" s="8"/>
      <c r="Q254" s="69"/>
      <c r="R254" s="69"/>
      <c r="S254" s="8"/>
      <c r="T254" s="69"/>
      <c r="U254" s="8"/>
      <c r="V254" s="69"/>
      <c r="W254" s="74"/>
      <c r="X254" s="69"/>
    </row>
    <row r="255">
      <c r="A255" s="30" t="str">
        <f>IFERROR(__xludf.DUMMYFUNCTION("""COMPUTED_VALUE"""),"38093")</f>
        <v>38093</v>
      </c>
      <c r="B255" s="86">
        <f>IFERROR(__xludf.DUMMYFUNCTION("""COMPUTED_VALUE"""),44651.0)</f>
        <v>44651</v>
      </c>
      <c r="C255" s="64" t="str">
        <f>IFERROR(__xludf.DUMMYFUNCTION("""COMPUTED_VALUE"""),"Stock")</f>
        <v>Stock</v>
      </c>
      <c r="D255" s="90" t="str">
        <f>IFERROR(__xludf.DUMMYFUNCTION("""COMPUTED_VALUE"""),"1398.HK")</f>
        <v>1398.HK</v>
      </c>
      <c r="E255" s="5" t="str">
        <f>IFERROR(__xludf.DUMMYFUNCTION("""COMPUTED_VALUE"""),"HKD")</f>
        <v>HKD</v>
      </c>
      <c r="F255" s="69">
        <f>IFERROR(__xludf.DUMMYFUNCTION("""COMPUTED_VALUE"""),200.0)</f>
        <v>200</v>
      </c>
      <c r="G255" s="70">
        <f>IFERROR(__xludf.DUMMYFUNCTION("""COMPUTED_VALUE"""),1.0)</f>
        <v>1</v>
      </c>
      <c r="H255" s="71">
        <f>IFERROR(__xludf.DUMMYFUNCTION("""COMPUTED_VALUE"""),4.81)</f>
        <v>4.81</v>
      </c>
      <c r="I255" s="71">
        <f>IFERROR(__xludf.DUMMYFUNCTION("""COMPUTED_VALUE"""),4.75)</f>
        <v>4.75</v>
      </c>
      <c r="J255" s="88" t="str">
        <f>IFERROR(__xludf.DUMMYFUNCTION("""COMPUTED_VALUE"""),"Goto link: 1398.HK")</f>
        <v>Goto link: 1398.HK</v>
      </c>
      <c r="K255" s="22"/>
      <c r="L255" s="22"/>
      <c r="M255" s="22"/>
      <c r="N255" s="22"/>
      <c r="O255" s="73"/>
      <c r="P255" s="8"/>
      <c r="Q255" s="69"/>
      <c r="R255" s="69"/>
      <c r="S255" s="8"/>
      <c r="T255" s="69"/>
      <c r="U255" s="8"/>
      <c r="V255" s="69"/>
      <c r="W255" s="74"/>
      <c r="X255" s="69"/>
    </row>
    <row r="256">
      <c r="A256" s="30" t="str">
        <f>IFERROR(__xludf.DUMMYFUNCTION("""COMPUTED_VALUE"""),"38093")</f>
        <v>38093</v>
      </c>
      <c r="B256" s="86">
        <f>IFERROR(__xludf.DUMMYFUNCTION("""COMPUTED_VALUE"""),44651.0)</f>
        <v>44651</v>
      </c>
      <c r="C256" s="64" t="str">
        <f>IFERROR(__xludf.DUMMYFUNCTION("""COMPUTED_VALUE"""),"Stock")</f>
        <v>Stock</v>
      </c>
      <c r="D256" s="90" t="str">
        <f>IFERROR(__xludf.DUMMYFUNCTION("""COMPUTED_VALUE"""),"3333.HK")</f>
        <v>3333.HK</v>
      </c>
      <c r="E256" s="5" t="str">
        <f>IFERROR(__xludf.DUMMYFUNCTION("""COMPUTED_VALUE"""),"HKD")</f>
        <v>HKD</v>
      </c>
      <c r="F256" s="69">
        <f>IFERROR(__xludf.DUMMYFUNCTION("""COMPUTED_VALUE"""),400.0)</f>
        <v>400</v>
      </c>
      <c r="G256" s="70">
        <f>IFERROR(__xludf.DUMMYFUNCTION("""COMPUTED_VALUE"""),1.0)</f>
        <v>1</v>
      </c>
      <c r="H256" s="71">
        <f>IFERROR(__xludf.DUMMYFUNCTION("""COMPUTED_VALUE"""),1.65)</f>
        <v>1.65</v>
      </c>
      <c r="I256" s="71">
        <f>IFERROR(__xludf.DUMMYFUNCTION("""COMPUTED_VALUE"""),1.65)</f>
        <v>1.65</v>
      </c>
      <c r="J256" s="88" t="str">
        <f>IFERROR(__xludf.DUMMYFUNCTION("""COMPUTED_VALUE"""),"Goto link: 3333.HK")</f>
        <v>Goto link: 3333.HK</v>
      </c>
      <c r="K256" s="22"/>
      <c r="L256" s="22"/>
      <c r="M256" s="22"/>
      <c r="N256" s="22"/>
      <c r="O256" s="73"/>
      <c r="P256" s="8"/>
      <c r="Q256" s="69"/>
      <c r="R256" s="69"/>
      <c r="S256" s="8"/>
      <c r="T256" s="69"/>
      <c r="U256" s="8"/>
      <c r="V256" s="69"/>
      <c r="W256" s="74"/>
      <c r="X256" s="69"/>
    </row>
    <row r="257">
      <c r="A257" s="30" t="str">
        <f>IFERROR(__xludf.DUMMYFUNCTION("""COMPUTED_VALUE"""),"38093")</f>
        <v>38093</v>
      </c>
      <c r="B257" s="86">
        <f>IFERROR(__xludf.DUMMYFUNCTION("""COMPUTED_VALUE"""),44651.0)</f>
        <v>44651</v>
      </c>
      <c r="C257" s="64" t="str">
        <f>IFERROR(__xludf.DUMMYFUNCTION("""COMPUTED_VALUE"""),"Stock")</f>
        <v>Stock</v>
      </c>
      <c r="D257" s="90" t="str">
        <f>IFERROR(__xludf.DUMMYFUNCTION("""COMPUTED_VALUE"""),"8055.HK")</f>
        <v>8055.HK</v>
      </c>
      <c r="E257" s="5" t="str">
        <f>IFERROR(__xludf.DUMMYFUNCTION("""COMPUTED_VALUE"""),"HKD")</f>
        <v>HKD</v>
      </c>
      <c r="F257" s="69">
        <f>IFERROR(__xludf.DUMMYFUNCTION("""COMPUTED_VALUE"""),500.0)</f>
        <v>500</v>
      </c>
      <c r="G257" s="70">
        <f>IFERROR(__xludf.DUMMYFUNCTION("""COMPUTED_VALUE"""),1.0)</f>
        <v>1</v>
      </c>
      <c r="H257" s="71">
        <f>IFERROR(__xludf.DUMMYFUNCTION("""COMPUTED_VALUE"""),0.011)</f>
        <v>0.011</v>
      </c>
      <c r="I257" s="71">
        <f>IFERROR(__xludf.DUMMYFUNCTION("""COMPUTED_VALUE"""),0.011)</f>
        <v>0.011</v>
      </c>
      <c r="J257" s="88" t="str">
        <f>IFERROR(__xludf.DUMMYFUNCTION("""COMPUTED_VALUE"""),"Goto link: 8055.HK")</f>
        <v>Goto link: 8055.HK</v>
      </c>
      <c r="K257" s="22"/>
      <c r="L257" s="22"/>
      <c r="M257" s="22"/>
      <c r="N257" s="22"/>
      <c r="O257" s="73"/>
      <c r="P257" s="8"/>
      <c r="Q257" s="69"/>
      <c r="R257" s="69"/>
      <c r="S257" s="8"/>
      <c r="T257" s="69"/>
      <c r="U257" s="8"/>
      <c r="V257" s="69"/>
      <c r="W257" s="74"/>
      <c r="X257" s="69"/>
    </row>
    <row r="258">
      <c r="A258" s="30" t="str">
        <f>IFERROR(__xludf.DUMMYFUNCTION("""COMPUTED_VALUE"""),"38093")</f>
        <v>38093</v>
      </c>
      <c r="B258" s="86">
        <f>IFERROR(__xludf.DUMMYFUNCTION("""COMPUTED_VALUE"""),44653.0)</f>
        <v>44653</v>
      </c>
      <c r="C258" s="64" t="str">
        <f>IFERROR(__xludf.DUMMYFUNCTION("""COMPUTED_VALUE"""),"Stock")</f>
        <v>Stock</v>
      </c>
      <c r="D258" s="90" t="str">
        <f>IFERROR(__xludf.DUMMYFUNCTION("""COMPUTED_VALUE"""),"0587.HK")</f>
        <v>0587.HK</v>
      </c>
      <c r="E258" s="5" t="str">
        <f>IFERROR(__xludf.DUMMYFUNCTION("""COMPUTED_VALUE"""),"HKD")</f>
        <v>HKD</v>
      </c>
      <c r="F258" s="69">
        <f>IFERROR(__xludf.DUMMYFUNCTION("""COMPUTED_VALUE"""),150.0)</f>
        <v>150</v>
      </c>
      <c r="G258" s="70">
        <f>IFERROR(__xludf.DUMMYFUNCTION("""COMPUTED_VALUE"""),1.0)</f>
        <v>1</v>
      </c>
      <c r="H258" s="71">
        <f>IFERROR(__xludf.DUMMYFUNCTION("""COMPUTED_VALUE"""),10.1)</f>
        <v>10.1</v>
      </c>
      <c r="I258" s="71">
        <f>IFERROR(__xludf.DUMMYFUNCTION("""COMPUTED_VALUE"""),9.35)</f>
        <v>9.35</v>
      </c>
      <c r="J258" s="88" t="str">
        <f>IFERROR(__xludf.DUMMYFUNCTION("""COMPUTED_VALUE"""),"Goto link: 0587.HK")</f>
        <v>Goto link: 0587.HK</v>
      </c>
      <c r="K258" s="22"/>
      <c r="L258" s="22"/>
      <c r="M258" s="22"/>
      <c r="N258" s="22"/>
      <c r="O258" s="73"/>
      <c r="P258" s="8"/>
      <c r="Q258" s="69"/>
      <c r="R258" s="69"/>
      <c r="S258" s="8"/>
      <c r="T258" s="69"/>
      <c r="U258" s="8"/>
      <c r="V258" s="69"/>
      <c r="W258" s="74"/>
      <c r="X258" s="69"/>
    </row>
    <row r="259">
      <c r="A259" s="30" t="str">
        <f>IFERROR(__xludf.DUMMYFUNCTION("""COMPUTED_VALUE"""),"38093")</f>
        <v>38093</v>
      </c>
      <c r="B259" s="86">
        <f>IFERROR(__xludf.DUMMYFUNCTION("""COMPUTED_VALUE"""),44653.0)</f>
        <v>44653</v>
      </c>
      <c r="C259" s="64" t="str">
        <f>IFERROR(__xludf.DUMMYFUNCTION("""COMPUTED_VALUE"""),"Stock")</f>
        <v>Stock</v>
      </c>
      <c r="D259" s="90" t="str">
        <f>IFERROR(__xludf.DUMMYFUNCTION("""COMPUTED_VALUE"""),"1919.HK")</f>
        <v>1919.HK</v>
      </c>
      <c r="E259" s="5" t="str">
        <f>IFERROR(__xludf.DUMMYFUNCTION("""COMPUTED_VALUE"""),"HKD")</f>
        <v>HKD</v>
      </c>
      <c r="F259" s="69">
        <f>IFERROR(__xludf.DUMMYFUNCTION("""COMPUTED_VALUE"""),150.0)</f>
        <v>150</v>
      </c>
      <c r="G259" s="70">
        <f>IFERROR(__xludf.DUMMYFUNCTION("""COMPUTED_VALUE"""),1.0)</f>
        <v>1</v>
      </c>
      <c r="H259" s="71">
        <f>IFERROR(__xludf.DUMMYFUNCTION("""COMPUTED_VALUE"""),14.72)</f>
        <v>14.72</v>
      </c>
      <c r="I259" s="71">
        <f>IFERROR(__xludf.DUMMYFUNCTION("""COMPUTED_VALUE"""),12.78)</f>
        <v>12.78</v>
      </c>
      <c r="J259" s="88" t="str">
        <f>IFERROR(__xludf.DUMMYFUNCTION("""COMPUTED_VALUE"""),"Goto link: 1919.HK")</f>
        <v>Goto link: 1919.HK</v>
      </c>
      <c r="K259" s="22"/>
      <c r="L259" s="22"/>
      <c r="M259" s="22"/>
      <c r="N259" s="22"/>
      <c r="O259" s="73"/>
      <c r="P259" s="8"/>
      <c r="Q259" s="69"/>
      <c r="R259" s="69"/>
      <c r="S259" s="8"/>
      <c r="T259" s="69"/>
      <c r="U259" s="8"/>
      <c r="V259" s="69"/>
      <c r="W259" s="74"/>
      <c r="X259" s="69"/>
    </row>
    <row r="260">
      <c r="A260" s="30" t="str">
        <f>IFERROR(__xludf.DUMMYFUNCTION("""COMPUTED_VALUE"""),"38093")</f>
        <v>38093</v>
      </c>
      <c r="B260" s="86">
        <f>IFERROR(__xludf.DUMMYFUNCTION("""COMPUTED_VALUE"""),44653.0)</f>
        <v>44653</v>
      </c>
      <c r="C260" s="64" t="str">
        <f>IFERROR(__xludf.DUMMYFUNCTION("""COMPUTED_VALUE"""),"Stock")</f>
        <v>Stock</v>
      </c>
      <c r="D260" s="90" t="str">
        <f>IFERROR(__xludf.DUMMYFUNCTION("""COMPUTED_VALUE"""),"2799.HK")</f>
        <v>2799.HK</v>
      </c>
      <c r="E260" s="5" t="str">
        <f>IFERROR(__xludf.DUMMYFUNCTION("""COMPUTED_VALUE"""),"HKD")</f>
        <v>HKD</v>
      </c>
      <c r="F260" s="69">
        <f>IFERROR(__xludf.DUMMYFUNCTION("""COMPUTED_VALUE"""),300.0)</f>
        <v>300</v>
      </c>
      <c r="G260" s="70">
        <f>IFERROR(__xludf.DUMMYFUNCTION("""COMPUTED_VALUE"""),1.0)</f>
        <v>1</v>
      </c>
      <c r="H260" s="71">
        <f>IFERROR(__xludf.DUMMYFUNCTION("""COMPUTED_VALUE"""),0.44)</f>
        <v>0.44</v>
      </c>
      <c r="I260" s="71">
        <f>IFERROR(__xludf.DUMMYFUNCTION("""COMPUTED_VALUE"""),0.405)</f>
        <v>0.405</v>
      </c>
      <c r="J260" s="88" t="str">
        <f>IFERROR(__xludf.DUMMYFUNCTION("""COMPUTED_VALUE"""),"Goto link: 2799.HK")</f>
        <v>Goto link: 2799.HK</v>
      </c>
      <c r="K260" s="22"/>
      <c r="L260" s="22"/>
      <c r="M260" s="22"/>
      <c r="N260" s="22"/>
      <c r="O260" s="73"/>
      <c r="P260" s="8"/>
      <c r="Q260" s="69"/>
      <c r="R260" s="69"/>
      <c r="S260" s="8"/>
      <c r="T260" s="69"/>
      <c r="U260" s="8"/>
      <c r="V260" s="69"/>
      <c r="W260" s="74"/>
      <c r="X260" s="69"/>
    </row>
    <row r="261">
      <c r="A261" s="30" t="str">
        <f>IFERROR(__xludf.DUMMYFUNCTION("""COMPUTED_VALUE"""),"38093")</f>
        <v>38093</v>
      </c>
      <c r="B261" s="86">
        <f>IFERROR(__xludf.DUMMYFUNCTION("""COMPUTED_VALUE"""),44655.0)</f>
        <v>44655</v>
      </c>
      <c r="C261" s="64" t="str">
        <f>IFERROR(__xludf.DUMMYFUNCTION("""COMPUTED_VALUE"""),"Stock")</f>
        <v>Stock</v>
      </c>
      <c r="D261" s="90" t="str">
        <f>IFERROR(__xludf.DUMMYFUNCTION("""COMPUTED_VALUE"""),"0817.HK")</f>
        <v>0817.HK</v>
      </c>
      <c r="E261" s="5" t="str">
        <f>IFERROR(__xludf.DUMMYFUNCTION("""COMPUTED_VALUE"""),"HKD")</f>
        <v>HKD</v>
      </c>
      <c r="F261" s="69">
        <f>IFERROR(__xludf.DUMMYFUNCTION("""COMPUTED_VALUE"""),200.0)</f>
        <v>200</v>
      </c>
      <c r="G261" s="70">
        <f>IFERROR(__xludf.DUMMYFUNCTION("""COMPUTED_VALUE"""),1.0)</f>
        <v>1</v>
      </c>
      <c r="H261" s="71">
        <f>IFERROR(__xludf.DUMMYFUNCTION("""COMPUTED_VALUE"""),2.85)</f>
        <v>2.85</v>
      </c>
      <c r="I261" s="71">
        <f>IFERROR(__xludf.DUMMYFUNCTION("""COMPUTED_VALUE"""),2.66)</f>
        <v>2.66</v>
      </c>
      <c r="J261" s="88" t="str">
        <f>IFERROR(__xludf.DUMMYFUNCTION("""COMPUTED_VALUE"""),"Goto link: 0817.HK")</f>
        <v>Goto link: 0817.HK</v>
      </c>
      <c r="K261" s="22"/>
      <c r="L261" s="22"/>
      <c r="M261" s="22"/>
      <c r="N261" s="22"/>
      <c r="O261" s="73"/>
      <c r="P261" s="8"/>
      <c r="Q261" s="69"/>
      <c r="R261" s="69"/>
      <c r="S261" s="8"/>
      <c r="T261" s="69"/>
      <c r="U261" s="8"/>
      <c r="V261" s="69"/>
      <c r="W261" s="74"/>
      <c r="X261" s="69"/>
    </row>
    <row r="262">
      <c r="A262" s="30" t="str">
        <f>IFERROR(__xludf.DUMMYFUNCTION("""COMPUTED_VALUE"""),"38093")</f>
        <v>38093</v>
      </c>
      <c r="B262" s="86">
        <f>IFERROR(__xludf.DUMMYFUNCTION("""COMPUTED_VALUE"""),44655.0)</f>
        <v>44655</v>
      </c>
      <c r="C262" s="64" t="str">
        <f>IFERROR(__xludf.DUMMYFUNCTION("""COMPUTED_VALUE"""),"Stock")</f>
        <v>Stock</v>
      </c>
      <c r="D262" s="90" t="str">
        <f>IFERROR(__xludf.DUMMYFUNCTION("""COMPUTED_VALUE"""),"1638.HK")</f>
        <v>1638.HK</v>
      </c>
      <c r="E262" s="5" t="str">
        <f>IFERROR(__xludf.DUMMYFUNCTION("""COMPUTED_VALUE"""),"HKD")</f>
        <v>HKD</v>
      </c>
      <c r="F262" s="69">
        <f>IFERROR(__xludf.DUMMYFUNCTION("""COMPUTED_VALUE"""),500.0)</f>
        <v>500</v>
      </c>
      <c r="G262" s="70">
        <f>IFERROR(__xludf.DUMMYFUNCTION("""COMPUTED_VALUE"""),1.0)</f>
        <v>1</v>
      </c>
      <c r="H262" s="71">
        <f>IFERROR(__xludf.DUMMYFUNCTION("""COMPUTED_VALUE"""),0.84)</f>
        <v>0.84</v>
      </c>
      <c r="I262" s="71">
        <f>IFERROR(__xludf.DUMMYFUNCTION("""COMPUTED_VALUE"""),0.84)</f>
        <v>0.84</v>
      </c>
      <c r="J262" s="88" t="str">
        <f>IFERROR(__xludf.DUMMYFUNCTION("""COMPUTED_VALUE"""),"Goto link: 1638.HK")</f>
        <v>Goto link: 1638.HK</v>
      </c>
      <c r="K262" s="22"/>
      <c r="L262" s="22"/>
      <c r="M262" s="22"/>
      <c r="N262" s="22"/>
      <c r="O262" s="73"/>
      <c r="P262" s="8"/>
      <c r="Q262" s="69"/>
      <c r="R262" s="69"/>
      <c r="S262" s="8"/>
      <c r="T262" s="69"/>
      <c r="U262" s="8"/>
      <c r="V262" s="69"/>
      <c r="W262" s="74"/>
      <c r="X262" s="69"/>
    </row>
    <row r="263">
      <c r="A263" s="30" t="str">
        <f>IFERROR(__xludf.DUMMYFUNCTION("""COMPUTED_VALUE"""),"38093")</f>
        <v>38093</v>
      </c>
      <c r="B263" s="86">
        <f>IFERROR(__xludf.DUMMYFUNCTION("""COMPUTED_VALUE"""),44655.0)</f>
        <v>44655</v>
      </c>
      <c r="C263" s="64" t="str">
        <f>IFERROR(__xludf.DUMMYFUNCTION("""COMPUTED_VALUE"""),"Stock")</f>
        <v>Stock</v>
      </c>
      <c r="D263" s="90" t="str">
        <f>IFERROR(__xludf.DUMMYFUNCTION("""COMPUTED_VALUE"""),"3380.HK")</f>
        <v>3380.HK</v>
      </c>
      <c r="E263" s="5" t="str">
        <f>IFERROR(__xludf.DUMMYFUNCTION("""COMPUTED_VALUE"""),"HKD")</f>
        <v>HKD</v>
      </c>
      <c r="F263" s="69">
        <f>IFERROR(__xludf.DUMMYFUNCTION("""COMPUTED_VALUE"""),300.0)</f>
        <v>300</v>
      </c>
      <c r="G263" s="70">
        <f>IFERROR(__xludf.DUMMYFUNCTION("""COMPUTED_VALUE"""),1.0)</f>
        <v>1</v>
      </c>
      <c r="H263" s="71">
        <f>IFERROR(__xludf.DUMMYFUNCTION("""COMPUTED_VALUE"""),2.83)</f>
        <v>2.83</v>
      </c>
      <c r="I263" s="71">
        <f>IFERROR(__xludf.DUMMYFUNCTION("""COMPUTED_VALUE"""),2.42)</f>
        <v>2.42</v>
      </c>
      <c r="J263" s="88" t="str">
        <f>IFERROR(__xludf.DUMMYFUNCTION("""COMPUTED_VALUE"""),"Goto link: 3380.HK")</f>
        <v>Goto link: 3380.HK</v>
      </c>
      <c r="K263" s="22"/>
      <c r="L263" s="22"/>
      <c r="M263" s="22"/>
      <c r="N263" s="22"/>
      <c r="O263" s="73"/>
      <c r="P263" s="8"/>
      <c r="Q263" s="69"/>
      <c r="R263" s="69"/>
      <c r="S263" s="8"/>
      <c r="T263" s="69"/>
      <c r="U263" s="8"/>
      <c r="V263" s="69"/>
      <c r="W263" s="74"/>
      <c r="X263" s="69"/>
    </row>
    <row r="264">
      <c r="A264" s="30" t="str">
        <f>IFERROR(__xludf.DUMMYFUNCTION("""COMPUTED_VALUE"""),"38093")</f>
        <v>38093</v>
      </c>
      <c r="B264" s="86">
        <f>IFERROR(__xludf.DUMMYFUNCTION("""COMPUTED_VALUE"""),44655.0)</f>
        <v>44655</v>
      </c>
      <c r="C264" s="64" t="str">
        <f>IFERROR(__xludf.DUMMYFUNCTION("""COMPUTED_VALUE"""),"Stock")</f>
        <v>Stock</v>
      </c>
      <c r="D264" s="87" t="str">
        <f>IFERROR(__xludf.DUMMYFUNCTION("""COMPUTED_VALUE"""),"NKE")</f>
        <v>NKE</v>
      </c>
      <c r="E264" s="5" t="str">
        <f>IFERROR(__xludf.DUMMYFUNCTION("""COMPUTED_VALUE"""),"USD")</f>
        <v>USD</v>
      </c>
      <c r="F264" s="69">
        <f>IFERROR(__xludf.DUMMYFUNCTION("""COMPUTED_VALUE"""),-100.0)</f>
        <v>-100</v>
      </c>
      <c r="G264" s="70">
        <f>IFERROR(__xludf.DUMMYFUNCTION("""COMPUTED_VALUE"""),7.83915)</f>
        <v>7.83915</v>
      </c>
      <c r="H264" s="71">
        <f>IFERROR(__xludf.DUMMYFUNCTION("""COMPUTED_VALUE"""),134.34)</f>
        <v>134.34</v>
      </c>
      <c r="I264" s="71">
        <f>IFERROR(__xludf.DUMMYFUNCTION("""COMPUTED_VALUE"""),127.48)</f>
        <v>127.48</v>
      </c>
      <c r="J264" s="88" t="str">
        <f>IFERROR(__xludf.DUMMYFUNCTION("""COMPUTED_VALUE"""),"Goto link: NKE")</f>
        <v>Goto link: NKE</v>
      </c>
      <c r="K264" s="22"/>
      <c r="L264" s="22"/>
      <c r="M264" s="22"/>
      <c r="N264" s="22"/>
      <c r="O264" s="73"/>
      <c r="P264" s="8"/>
      <c r="Q264" s="69"/>
      <c r="R264" s="69"/>
      <c r="S264" s="8"/>
      <c r="T264" s="69"/>
      <c r="U264" s="8"/>
      <c r="V264" s="69"/>
      <c r="W264" s="74"/>
      <c r="X264" s="69"/>
    </row>
    <row r="265">
      <c r="A265" s="30" t="str">
        <f>IFERROR(__xludf.DUMMYFUNCTION("""COMPUTED_VALUE"""),"38093")</f>
        <v>38093</v>
      </c>
      <c r="B265" s="86">
        <f>IFERROR(__xludf.DUMMYFUNCTION("""COMPUTED_VALUE"""),44658.0)</f>
        <v>44658</v>
      </c>
      <c r="C265" s="64" t="str">
        <f>IFERROR(__xludf.DUMMYFUNCTION("""COMPUTED_VALUE"""),"Stock")</f>
        <v>Stock</v>
      </c>
      <c r="D265" s="91" t="str">
        <f>IFERROR(__xludf.DUMMYFUNCTION("""COMPUTED_VALUE"""),"0510.HK")</f>
        <v>0510.HK</v>
      </c>
      <c r="E265" s="5" t="str">
        <f>IFERROR(__xludf.DUMMYFUNCTION("""COMPUTED_VALUE"""),"HKD")</f>
        <v>HKD</v>
      </c>
      <c r="F265" s="69">
        <f>IFERROR(__xludf.DUMMYFUNCTION("""COMPUTED_VALUE"""),300.0)</f>
        <v>300</v>
      </c>
      <c r="G265" s="70">
        <f>IFERROR(__xludf.DUMMYFUNCTION("""COMPUTED_VALUE"""),1.0)</f>
        <v>1</v>
      </c>
      <c r="H265" s="71">
        <f>IFERROR(__xludf.DUMMYFUNCTION("""COMPUTED_VALUE"""),0.28)</f>
        <v>0.28</v>
      </c>
      <c r="I265" s="71">
        <f>IFERROR(__xludf.DUMMYFUNCTION("""COMPUTED_VALUE"""),0.275)</f>
        <v>0.275</v>
      </c>
      <c r="J265" s="88" t="str">
        <f>IFERROR(__xludf.DUMMYFUNCTION("""COMPUTED_VALUE"""),"Goto link: 0510.HK")</f>
        <v>Goto link: 0510.HK</v>
      </c>
      <c r="K265" s="22"/>
      <c r="L265" s="22"/>
      <c r="M265" s="22"/>
      <c r="N265" s="22"/>
      <c r="O265" s="73"/>
      <c r="P265" s="8"/>
      <c r="Q265" s="69"/>
      <c r="R265" s="69"/>
      <c r="S265" s="8"/>
      <c r="T265" s="69"/>
      <c r="U265" s="8"/>
      <c r="V265" s="69"/>
      <c r="W265" s="74"/>
      <c r="X265" s="69"/>
    </row>
    <row r="266">
      <c r="A266" s="30" t="str">
        <f>IFERROR(__xludf.DUMMYFUNCTION("""COMPUTED_VALUE"""),"38093")</f>
        <v>38093</v>
      </c>
      <c r="B266" s="86">
        <f>IFERROR(__xludf.DUMMYFUNCTION("""COMPUTED_VALUE"""),44658.0)</f>
        <v>44658</v>
      </c>
      <c r="C266" s="64" t="str">
        <f>IFERROR(__xludf.DUMMYFUNCTION("""COMPUTED_VALUE"""),"Stock")</f>
        <v>Stock</v>
      </c>
      <c r="D266" s="91" t="str">
        <f>IFERROR(__xludf.DUMMYFUNCTION("""COMPUTED_VALUE"""),"1725.HK")</f>
        <v>1725.HK</v>
      </c>
      <c r="E266" s="5" t="str">
        <f>IFERROR(__xludf.DUMMYFUNCTION("""COMPUTED_VALUE"""),"HKD")</f>
        <v>HKD</v>
      </c>
      <c r="F266" s="69">
        <f>IFERROR(__xludf.DUMMYFUNCTION("""COMPUTED_VALUE"""),120.0)</f>
        <v>120</v>
      </c>
      <c r="G266" s="70">
        <f>IFERROR(__xludf.DUMMYFUNCTION("""COMPUTED_VALUE"""),1.0)</f>
        <v>1</v>
      </c>
      <c r="H266" s="71">
        <f>IFERROR(__xludf.DUMMYFUNCTION("""COMPUTED_VALUE"""),26.0)</f>
        <v>26</v>
      </c>
      <c r="I266" s="71">
        <f>IFERROR(__xludf.DUMMYFUNCTION("""COMPUTED_VALUE"""),19.26)</f>
        <v>19.26</v>
      </c>
      <c r="J266" s="88" t="str">
        <f>IFERROR(__xludf.DUMMYFUNCTION("""COMPUTED_VALUE"""),"Goto link: 1725.HK")</f>
        <v>Goto link: 1725.HK</v>
      </c>
      <c r="K266" s="22"/>
      <c r="L266" s="22"/>
      <c r="M266" s="22"/>
      <c r="N266" s="22"/>
      <c r="O266" s="73"/>
      <c r="P266" s="8"/>
      <c r="Q266" s="69"/>
      <c r="R266" s="69"/>
      <c r="S266" s="8"/>
      <c r="T266" s="69"/>
      <c r="U266" s="8"/>
      <c r="V266" s="69"/>
      <c r="W266" s="74"/>
      <c r="X266" s="69"/>
    </row>
    <row r="267">
      <c r="A267" s="30" t="str">
        <f>IFERROR(__xludf.DUMMYFUNCTION("""COMPUTED_VALUE"""),"38093")</f>
        <v>38093</v>
      </c>
      <c r="B267" s="86">
        <f>IFERROR(__xludf.DUMMYFUNCTION("""COMPUTED_VALUE"""),44658.0)</f>
        <v>44658</v>
      </c>
      <c r="C267" s="64" t="str">
        <f>IFERROR(__xludf.DUMMYFUNCTION("""COMPUTED_VALUE"""),"Stock")</f>
        <v>Stock</v>
      </c>
      <c r="D267" s="91" t="str">
        <f>IFERROR(__xludf.DUMMYFUNCTION("""COMPUTED_VALUE"""),"8009.HK")</f>
        <v>8009.HK</v>
      </c>
      <c r="E267" s="5" t="str">
        <f>IFERROR(__xludf.DUMMYFUNCTION("""COMPUTED_VALUE"""),"HKD")</f>
        <v>HKD</v>
      </c>
      <c r="F267" s="69">
        <f>IFERROR(__xludf.DUMMYFUNCTION("""COMPUTED_VALUE"""),150.0)</f>
        <v>150</v>
      </c>
      <c r="G267" s="70">
        <f>IFERROR(__xludf.DUMMYFUNCTION("""COMPUTED_VALUE"""),1.0)</f>
        <v>1</v>
      </c>
      <c r="H267" s="71">
        <f>IFERROR(__xludf.DUMMYFUNCTION("""COMPUTED_VALUE"""),0.365)</f>
        <v>0.365</v>
      </c>
      <c r="I267" s="71">
        <f>IFERROR(__xludf.DUMMYFUNCTION("""COMPUTED_VALUE"""),0.365)</f>
        <v>0.365</v>
      </c>
      <c r="J267" s="88" t="str">
        <f>IFERROR(__xludf.DUMMYFUNCTION("""COMPUTED_VALUE"""),"Goto link: 8009.HK")</f>
        <v>Goto link: 8009.HK</v>
      </c>
      <c r="K267" s="22"/>
      <c r="L267" s="22"/>
      <c r="M267" s="22"/>
      <c r="N267" s="22"/>
      <c r="O267" s="73"/>
      <c r="P267" s="8"/>
      <c r="Q267" s="69"/>
      <c r="R267" s="69"/>
      <c r="S267" s="8"/>
      <c r="T267" s="69"/>
      <c r="U267" s="8"/>
      <c r="V267" s="69"/>
      <c r="W267" s="74"/>
      <c r="X267" s="69"/>
    </row>
    <row r="268">
      <c r="A268" s="30" t="str">
        <f>IFERROR(__xludf.DUMMYFUNCTION("""COMPUTED_VALUE"""),"38093")</f>
        <v>38093</v>
      </c>
      <c r="B268" s="86">
        <f>IFERROR(__xludf.DUMMYFUNCTION("""COMPUTED_VALUE"""),44659.0)</f>
        <v>44659</v>
      </c>
      <c r="C268" s="64" t="str">
        <f>IFERROR(__xludf.DUMMYFUNCTION("""COMPUTED_VALUE"""),"Stock")</f>
        <v>Stock</v>
      </c>
      <c r="D268" s="91" t="str">
        <f>IFERROR(__xludf.DUMMYFUNCTION("""COMPUTED_VALUE"""),"1566.HK")</f>
        <v>1566.HK</v>
      </c>
      <c r="E268" s="5" t="str">
        <f>IFERROR(__xludf.DUMMYFUNCTION("""COMPUTED_VALUE"""),"HKD")</f>
        <v>HKD</v>
      </c>
      <c r="F268" s="69">
        <f>IFERROR(__xludf.DUMMYFUNCTION("""COMPUTED_VALUE"""),200.0)</f>
        <v>200</v>
      </c>
      <c r="G268" s="70">
        <f>IFERROR(__xludf.DUMMYFUNCTION("""COMPUTED_VALUE"""),1.0)</f>
        <v>1</v>
      </c>
      <c r="H268" s="71">
        <f>IFERROR(__xludf.DUMMYFUNCTION("""COMPUTED_VALUE"""),0.216)</f>
        <v>0.216</v>
      </c>
      <c r="I268" s="71">
        <f>IFERROR(__xludf.DUMMYFUNCTION("""COMPUTED_VALUE"""),0.154)</f>
        <v>0.154</v>
      </c>
      <c r="J268" s="88" t="str">
        <f>IFERROR(__xludf.DUMMYFUNCTION("""COMPUTED_VALUE"""),"Goto link: 1566.HK")</f>
        <v>Goto link: 1566.HK</v>
      </c>
      <c r="K268" s="22"/>
      <c r="L268" s="22"/>
      <c r="M268" s="22"/>
      <c r="N268" s="22"/>
      <c r="O268" s="73"/>
      <c r="P268" s="8"/>
      <c r="Q268" s="69"/>
      <c r="R268" s="69"/>
      <c r="S268" s="8"/>
      <c r="T268" s="69"/>
      <c r="U268" s="8"/>
      <c r="V268" s="69"/>
      <c r="W268" s="74"/>
      <c r="X268" s="69"/>
    </row>
    <row r="269">
      <c r="A269" s="30" t="str">
        <f>IFERROR(__xludf.DUMMYFUNCTION("""COMPUTED_VALUE"""),"38093")</f>
        <v>38093</v>
      </c>
      <c r="B269" s="86">
        <f>IFERROR(__xludf.DUMMYFUNCTION("""COMPUTED_VALUE"""),44659.0)</f>
        <v>44659</v>
      </c>
      <c r="C269" s="64" t="str">
        <f>IFERROR(__xludf.DUMMYFUNCTION("""COMPUTED_VALUE"""),"Stock")</f>
        <v>Stock</v>
      </c>
      <c r="D269" s="91" t="str">
        <f>IFERROR(__xludf.DUMMYFUNCTION("""COMPUTED_VALUE"""),"9939.HK")</f>
        <v>9939.HK</v>
      </c>
      <c r="E269" s="5" t="str">
        <f>IFERROR(__xludf.DUMMYFUNCTION("""COMPUTED_VALUE"""),"HKD")</f>
        <v>HKD</v>
      </c>
      <c r="F269" s="69">
        <f>IFERROR(__xludf.DUMMYFUNCTION("""COMPUTED_VALUE"""),200.0)</f>
        <v>200</v>
      </c>
      <c r="G269" s="70">
        <f>IFERROR(__xludf.DUMMYFUNCTION("""COMPUTED_VALUE"""),1.0)</f>
        <v>1</v>
      </c>
      <c r="H269" s="71">
        <f>IFERROR(__xludf.DUMMYFUNCTION("""COMPUTED_VALUE"""),25.65)</f>
        <v>25.65</v>
      </c>
      <c r="I269" s="71">
        <f>IFERROR(__xludf.DUMMYFUNCTION("""COMPUTED_VALUE"""),28.15)</f>
        <v>28.15</v>
      </c>
      <c r="J269" s="88" t="str">
        <f>IFERROR(__xludf.DUMMYFUNCTION("""COMPUTED_VALUE"""),"Goto link: 9939.HK")</f>
        <v>Goto link: 9939.HK</v>
      </c>
      <c r="K269" s="22"/>
      <c r="L269" s="22"/>
      <c r="M269" s="22"/>
      <c r="N269" s="22"/>
      <c r="O269" s="73"/>
      <c r="P269" s="8"/>
      <c r="Q269" s="69"/>
      <c r="R269" s="69"/>
      <c r="S269" s="8"/>
      <c r="T269" s="69"/>
      <c r="U269" s="8"/>
      <c r="V269" s="69"/>
      <c r="W269" s="74"/>
      <c r="X269" s="69"/>
    </row>
    <row r="270">
      <c r="A270" s="30" t="str">
        <f>IFERROR(__xludf.DUMMYFUNCTION("""COMPUTED_VALUE"""),"38093")</f>
        <v>38093</v>
      </c>
      <c r="B270" s="86">
        <f>IFERROR(__xludf.DUMMYFUNCTION("""COMPUTED_VALUE"""),44662.0)</f>
        <v>44662</v>
      </c>
      <c r="C270" s="64" t="str">
        <f>IFERROR(__xludf.DUMMYFUNCTION("""COMPUTED_VALUE"""),"Stock")</f>
        <v>Stock</v>
      </c>
      <c r="D270" s="91" t="str">
        <f>IFERROR(__xludf.DUMMYFUNCTION("""COMPUTED_VALUE"""),"6928.HK")</f>
        <v>6928.HK</v>
      </c>
      <c r="E270" s="5" t="str">
        <f>IFERROR(__xludf.DUMMYFUNCTION("""COMPUTED_VALUE"""),"HKD")</f>
        <v>HKD</v>
      </c>
      <c r="F270" s="69">
        <f>IFERROR(__xludf.DUMMYFUNCTION("""COMPUTED_VALUE"""),800.0)</f>
        <v>800</v>
      </c>
      <c r="G270" s="70">
        <f>IFERROR(__xludf.DUMMYFUNCTION("""COMPUTED_VALUE"""),1.0)</f>
        <v>1</v>
      </c>
      <c r="H270" s="71">
        <f>IFERROR(__xludf.DUMMYFUNCTION("""COMPUTED_VALUE"""),3.1)</f>
        <v>3.1</v>
      </c>
      <c r="I270" s="71">
        <f>IFERROR(__xludf.DUMMYFUNCTION("""COMPUTED_VALUE"""),3.05)</f>
        <v>3.05</v>
      </c>
      <c r="J270" s="88" t="str">
        <f>IFERROR(__xludf.DUMMYFUNCTION("""COMPUTED_VALUE"""),"Goto link: 6928.HK")</f>
        <v>Goto link: 6928.HK</v>
      </c>
      <c r="K270" s="22"/>
      <c r="L270" s="22"/>
      <c r="M270" s="22"/>
      <c r="N270" s="22"/>
      <c r="O270" s="73"/>
      <c r="P270" s="8"/>
      <c r="Q270" s="69"/>
      <c r="R270" s="69"/>
      <c r="S270" s="8"/>
      <c r="T270" s="69"/>
      <c r="U270" s="8"/>
      <c r="V270" s="69"/>
      <c r="W270" s="74"/>
      <c r="X270" s="69"/>
    </row>
    <row r="271">
      <c r="A271" s="30" t="str">
        <f>IFERROR(__xludf.DUMMYFUNCTION("""COMPUTED_VALUE"""),"38093")</f>
        <v>38093</v>
      </c>
      <c r="B271" s="86">
        <f>IFERROR(__xludf.DUMMYFUNCTION("""COMPUTED_VALUE"""),44662.0)</f>
        <v>44662</v>
      </c>
      <c r="C271" s="64" t="str">
        <f>IFERROR(__xludf.DUMMYFUNCTION("""COMPUTED_VALUE"""),"Stock")</f>
        <v>Stock</v>
      </c>
      <c r="D271" s="91" t="str">
        <f>IFERROR(__xludf.DUMMYFUNCTION("""COMPUTED_VALUE"""),"7552.HK")</f>
        <v>7552.HK</v>
      </c>
      <c r="E271" s="5" t="str">
        <f>IFERROR(__xludf.DUMMYFUNCTION("""COMPUTED_VALUE"""),"HKD")</f>
        <v>HKD</v>
      </c>
      <c r="F271" s="69">
        <f>IFERROR(__xludf.DUMMYFUNCTION("""COMPUTED_VALUE"""),600.0)</f>
        <v>600</v>
      </c>
      <c r="G271" s="70">
        <f>IFERROR(__xludf.DUMMYFUNCTION("""COMPUTED_VALUE"""),1.0)</f>
        <v>1</v>
      </c>
      <c r="H271" s="71">
        <f>IFERROR(__xludf.DUMMYFUNCTION("""COMPUTED_VALUE"""),12.2)</f>
        <v>12.2</v>
      </c>
      <c r="I271" s="71">
        <f>IFERROR(__xludf.DUMMYFUNCTION("""COMPUTED_VALUE"""),11.73)</f>
        <v>11.73</v>
      </c>
      <c r="J271" s="88" t="str">
        <f>IFERROR(__xludf.DUMMYFUNCTION("""COMPUTED_VALUE"""),"Goto link: 7552.HK")</f>
        <v>Goto link: 7552.HK</v>
      </c>
      <c r="K271" s="22"/>
      <c r="L271" s="22"/>
      <c r="M271" s="22"/>
      <c r="N271" s="22"/>
      <c r="O271" s="73"/>
      <c r="P271" s="8"/>
      <c r="Q271" s="69"/>
      <c r="R271" s="69"/>
      <c r="S271" s="8"/>
      <c r="T271" s="69"/>
      <c r="U271" s="8"/>
      <c r="V271" s="69"/>
      <c r="W271" s="74"/>
      <c r="X271" s="69"/>
    </row>
    <row r="272">
      <c r="A272" s="30" t="str">
        <f>IFERROR(__xludf.DUMMYFUNCTION("""COMPUTED_VALUE"""),"38093")</f>
        <v>38093</v>
      </c>
      <c r="B272" s="86">
        <f>IFERROR(__xludf.DUMMYFUNCTION("""COMPUTED_VALUE"""),44663.0)</f>
        <v>44663</v>
      </c>
      <c r="C272" s="64" t="str">
        <f>IFERROR(__xludf.DUMMYFUNCTION("""COMPUTED_VALUE"""),"Stock")</f>
        <v>Stock</v>
      </c>
      <c r="D272" s="91" t="str">
        <f>IFERROR(__xludf.DUMMYFUNCTION("""COMPUTED_VALUE"""),"9922.HK")</f>
        <v>9922.HK</v>
      </c>
      <c r="E272" s="5" t="str">
        <f>IFERROR(__xludf.DUMMYFUNCTION("""COMPUTED_VALUE"""),"HKD")</f>
        <v>HKD</v>
      </c>
      <c r="F272" s="69">
        <f>IFERROR(__xludf.DUMMYFUNCTION("""COMPUTED_VALUE"""),400.0)</f>
        <v>400</v>
      </c>
      <c r="G272" s="70">
        <f>IFERROR(__xludf.DUMMYFUNCTION("""COMPUTED_VALUE"""),1.0)</f>
        <v>1</v>
      </c>
      <c r="H272" s="71">
        <f>IFERROR(__xludf.DUMMYFUNCTION("""COMPUTED_VALUE"""),15.04)</f>
        <v>15.04</v>
      </c>
      <c r="I272" s="71">
        <f>IFERROR(__xludf.DUMMYFUNCTION("""COMPUTED_VALUE"""),15.58)</f>
        <v>15.58</v>
      </c>
      <c r="J272" s="88" t="str">
        <f>IFERROR(__xludf.DUMMYFUNCTION("""COMPUTED_VALUE"""),"Goto link: 9922.HK")</f>
        <v>Goto link: 9922.HK</v>
      </c>
      <c r="K272" s="22"/>
      <c r="L272" s="22"/>
      <c r="M272" s="22"/>
      <c r="N272" s="22"/>
      <c r="O272" s="73"/>
      <c r="P272" s="8"/>
      <c r="Q272" s="69"/>
      <c r="R272" s="69"/>
      <c r="S272" s="8"/>
      <c r="T272" s="69"/>
      <c r="U272" s="8"/>
      <c r="V272" s="69"/>
      <c r="W272" s="74"/>
      <c r="X272" s="69"/>
    </row>
    <row r="273">
      <c r="A273" s="30" t="str">
        <f>IFERROR(__xludf.DUMMYFUNCTION("""COMPUTED_VALUE"""),"38093")</f>
        <v>38093</v>
      </c>
      <c r="B273" s="86">
        <f>IFERROR(__xludf.DUMMYFUNCTION("""COMPUTED_VALUE"""),44663.0)</f>
        <v>44663</v>
      </c>
      <c r="C273" s="64" t="str">
        <f>IFERROR(__xludf.DUMMYFUNCTION("""COMPUTED_VALUE"""),"Stock")</f>
        <v>Stock</v>
      </c>
      <c r="D273" s="91" t="str">
        <f>IFERROR(__xludf.DUMMYFUNCTION("""COMPUTED_VALUE"""),"9992.HK")</f>
        <v>9992.HK</v>
      </c>
      <c r="E273" s="5" t="str">
        <f>IFERROR(__xludf.DUMMYFUNCTION("""COMPUTED_VALUE"""),"HKD")</f>
        <v>HKD</v>
      </c>
      <c r="F273" s="69">
        <f>IFERROR(__xludf.DUMMYFUNCTION("""COMPUTED_VALUE"""),400.0)</f>
        <v>400</v>
      </c>
      <c r="G273" s="70">
        <f>IFERROR(__xludf.DUMMYFUNCTION("""COMPUTED_VALUE"""),1.0)</f>
        <v>1</v>
      </c>
      <c r="H273" s="71">
        <f>IFERROR(__xludf.DUMMYFUNCTION("""COMPUTED_VALUE"""),35.7)</f>
        <v>35.7</v>
      </c>
      <c r="I273" s="71">
        <f>IFERROR(__xludf.DUMMYFUNCTION("""COMPUTED_VALUE"""),34.75)</f>
        <v>34.75</v>
      </c>
      <c r="J273" s="88" t="str">
        <f>IFERROR(__xludf.DUMMYFUNCTION("""COMPUTED_VALUE"""),"Goto link: 9992.HK")</f>
        <v>Goto link: 9992.HK</v>
      </c>
      <c r="K273" s="22"/>
      <c r="L273" s="22"/>
      <c r="M273" s="22"/>
      <c r="N273" s="22"/>
      <c r="O273" s="73"/>
      <c r="P273" s="8"/>
      <c r="Q273" s="69"/>
      <c r="R273" s="69"/>
      <c r="S273" s="8"/>
      <c r="T273" s="69"/>
      <c r="U273" s="8"/>
      <c r="V273" s="69"/>
      <c r="W273" s="74"/>
      <c r="X273" s="69"/>
    </row>
    <row r="274">
      <c r="A274" s="30" t="str">
        <f>IFERROR(__xludf.DUMMYFUNCTION("""COMPUTED_VALUE"""),"38093")</f>
        <v>38093</v>
      </c>
      <c r="B274" s="86">
        <f>IFERROR(__xludf.DUMMYFUNCTION("""COMPUTED_VALUE"""),44664.0)</f>
        <v>44664</v>
      </c>
      <c r="C274" s="64" t="str">
        <f>IFERROR(__xludf.DUMMYFUNCTION("""COMPUTED_VALUE"""),"Stock")</f>
        <v>Stock</v>
      </c>
      <c r="D274" s="91" t="str">
        <f>IFERROR(__xludf.DUMMYFUNCTION("""COMPUTED_VALUE"""),"6862.HK")</f>
        <v>6862.HK</v>
      </c>
      <c r="E274" s="5" t="str">
        <f>IFERROR(__xludf.DUMMYFUNCTION("""COMPUTED_VALUE"""),"HKD")</f>
        <v>HKD</v>
      </c>
      <c r="F274" s="69">
        <f>IFERROR(__xludf.DUMMYFUNCTION("""COMPUTED_VALUE"""),300.0)</f>
        <v>300</v>
      </c>
      <c r="G274" s="70">
        <f>IFERROR(__xludf.DUMMYFUNCTION("""COMPUTED_VALUE"""),1.0)</f>
        <v>1</v>
      </c>
      <c r="H274" s="71">
        <f>IFERROR(__xludf.DUMMYFUNCTION("""COMPUTED_VALUE"""),14.68)</f>
        <v>14.68</v>
      </c>
      <c r="I274" s="71">
        <f>IFERROR(__xludf.DUMMYFUNCTION("""COMPUTED_VALUE"""),14.68)</f>
        <v>14.68</v>
      </c>
      <c r="J274" s="88" t="str">
        <f>IFERROR(__xludf.DUMMYFUNCTION("""COMPUTED_VALUE"""),"Goto link: 6862.HK")</f>
        <v>Goto link: 6862.HK</v>
      </c>
      <c r="K274" s="22"/>
      <c r="L274" s="22"/>
      <c r="M274" s="22"/>
      <c r="N274" s="22"/>
      <c r="O274" s="73"/>
      <c r="P274" s="8"/>
      <c r="Q274" s="69"/>
      <c r="R274" s="69"/>
      <c r="S274" s="8"/>
      <c r="T274" s="69"/>
      <c r="U274" s="8"/>
      <c r="V274" s="69"/>
      <c r="W274" s="74"/>
      <c r="X274" s="69"/>
    </row>
    <row r="275">
      <c r="A275" s="30" t="str">
        <f>IFERROR(__xludf.DUMMYFUNCTION("""COMPUTED_VALUE"""),"38093 Total")</f>
        <v>38093 Total</v>
      </c>
      <c r="B275" s="5"/>
      <c r="C275" s="64"/>
      <c r="D275" s="85"/>
      <c r="E275" s="5"/>
      <c r="F275" s="69"/>
      <c r="G275" s="70">
        <f>IFERROR(__xludf.DUMMYFUNCTION("""COMPUTED_VALUE"""),2.465532142857143)</f>
        <v>2.465532143</v>
      </c>
      <c r="H275" s="71">
        <f>IFERROR(__xludf.DUMMYFUNCTION("""COMPUTED_VALUE"""),1013.92)</f>
        <v>1013.92</v>
      </c>
      <c r="I275" s="71" t="str">
        <f>IFERROR(__xludf.DUMMYFUNCTION("""COMPUTED_VALUE"""),"")</f>
        <v/>
      </c>
      <c r="J275" s="22" t="str">
        <f>IFERROR(__xludf.DUMMYFUNCTION("""COMPUTED_VALUE"""),"")</f>
        <v/>
      </c>
      <c r="K275" s="22"/>
      <c r="L275" s="22"/>
      <c r="M275" s="22"/>
      <c r="N275" s="22"/>
      <c r="O275" s="73"/>
      <c r="P275" s="8"/>
      <c r="Q275" s="69"/>
      <c r="R275" s="69"/>
      <c r="S275" s="8"/>
      <c r="T275" s="69"/>
      <c r="U275" s="8"/>
      <c r="V275" s="69"/>
      <c r="W275" s="74"/>
      <c r="X275" s="69"/>
    </row>
    <row r="276">
      <c r="A276" s="30" t="str">
        <f>IFERROR(__xludf.DUMMYFUNCTION("""COMPUTED_VALUE"""),"38105")</f>
        <v>38105</v>
      </c>
      <c r="B276" s="86">
        <f>IFERROR(__xludf.DUMMYFUNCTION("""COMPUTED_VALUE"""),44597.0)</f>
        <v>44597</v>
      </c>
      <c r="C276" s="64" t="str">
        <f>IFERROR(__xludf.DUMMYFUNCTION("""COMPUTED_VALUE"""),"Cash")</f>
        <v>Cash</v>
      </c>
      <c r="D276" s="85" t="str">
        <f>IFERROR(__xludf.DUMMYFUNCTION("""COMPUTED_VALUE"""),"Cash")</f>
        <v>Cash</v>
      </c>
      <c r="E276" s="5" t="str">
        <f>IFERROR(__xludf.DUMMYFUNCTION("""COMPUTED_VALUE"""),"HKD")</f>
        <v>HKD</v>
      </c>
      <c r="F276" s="69" t="str">
        <f>IFERROR(__xludf.DUMMYFUNCTION("""COMPUTED_VALUE"""),"")</f>
        <v/>
      </c>
      <c r="G276" s="70">
        <f>IFERROR(__xludf.DUMMYFUNCTION("""COMPUTED_VALUE"""),1.0)</f>
        <v>1</v>
      </c>
      <c r="H276" s="71">
        <f>IFERROR(__xludf.DUMMYFUNCTION("""COMPUTED_VALUE"""),1.0)</f>
        <v>1</v>
      </c>
      <c r="I276" s="71">
        <f>IFERROR(__xludf.DUMMYFUNCTION("""COMPUTED_VALUE"""),1.0)</f>
        <v>1</v>
      </c>
      <c r="J276" s="22" t="str">
        <f>IFERROR(__xludf.DUMMYFUNCTION("""COMPUTED_VALUE"""),"")</f>
        <v/>
      </c>
      <c r="K276" s="22"/>
      <c r="L276" s="22"/>
      <c r="M276" s="22"/>
      <c r="N276" s="22"/>
      <c r="O276" s="73"/>
      <c r="P276" s="8"/>
      <c r="Q276" s="69"/>
      <c r="R276" s="69"/>
      <c r="S276" s="8"/>
      <c r="T276" s="69"/>
      <c r="U276" s="8"/>
      <c r="V276" s="69"/>
      <c r="W276" s="74"/>
      <c r="X276" s="69"/>
    </row>
    <row r="277">
      <c r="A277" s="30" t="str">
        <f>IFERROR(__xludf.DUMMYFUNCTION("""COMPUTED_VALUE"""),"38105")</f>
        <v>38105</v>
      </c>
      <c r="B277" s="86">
        <f>IFERROR(__xludf.DUMMYFUNCTION("""COMPUTED_VALUE"""),44648.0)</f>
        <v>44648</v>
      </c>
      <c r="C277" s="64" t="str">
        <f>IFERROR(__xludf.DUMMYFUNCTION("""COMPUTED_VALUE"""),"Stock")</f>
        <v>Stock</v>
      </c>
      <c r="D277" s="87" t="str">
        <f>IFERROR(__xludf.DUMMYFUNCTION("""COMPUTED_VALUE"""),"GME")</f>
        <v>GME</v>
      </c>
      <c r="E277" s="5" t="str">
        <f>IFERROR(__xludf.DUMMYFUNCTION("""COMPUTED_VALUE"""),"USD")</f>
        <v>USD</v>
      </c>
      <c r="F277" s="69">
        <f>IFERROR(__xludf.DUMMYFUNCTION("""COMPUTED_VALUE"""),0.0)</f>
        <v>0</v>
      </c>
      <c r="G277" s="70">
        <f>IFERROR(__xludf.DUMMYFUNCTION("""COMPUTED_VALUE"""),7.83915)</f>
        <v>7.83915</v>
      </c>
      <c r="H277" s="71">
        <f>IFERROR(__xludf.DUMMYFUNCTION("""COMPUTED_VALUE"""),0.0)</f>
        <v>0</v>
      </c>
      <c r="I277" s="71">
        <f>IFERROR(__xludf.DUMMYFUNCTION("""COMPUTED_VALUE"""),150.4)</f>
        <v>150.4</v>
      </c>
      <c r="J277" s="88" t="str">
        <f>IFERROR(__xludf.DUMMYFUNCTION("""COMPUTED_VALUE"""),"Goto link: GME")</f>
        <v>Goto link: GME</v>
      </c>
      <c r="K277" s="22"/>
      <c r="L277" s="22"/>
      <c r="M277" s="22"/>
      <c r="N277" s="22"/>
      <c r="O277" s="73"/>
      <c r="P277" s="8"/>
      <c r="Q277" s="69"/>
      <c r="R277" s="69"/>
      <c r="S277" s="8"/>
      <c r="T277" s="69"/>
      <c r="U277" s="8"/>
      <c r="V277" s="69"/>
      <c r="W277" s="74"/>
      <c r="X277" s="69"/>
    </row>
    <row r="278">
      <c r="A278" s="30" t="str">
        <f>IFERROR(__xludf.DUMMYFUNCTION("""COMPUTED_VALUE"""),"38105")</f>
        <v>38105</v>
      </c>
      <c r="B278" s="86">
        <f>IFERROR(__xludf.DUMMYFUNCTION("""COMPUTED_VALUE"""),44649.0)</f>
        <v>44649</v>
      </c>
      <c r="C278" s="64" t="str">
        <f>IFERROR(__xludf.DUMMYFUNCTION("""COMPUTED_VALUE"""),"Stock")</f>
        <v>Stock</v>
      </c>
      <c r="D278" s="87" t="str">
        <f>IFERROR(__xludf.DUMMYFUNCTION("""COMPUTED_VALUE"""),"XOM")</f>
        <v>XOM</v>
      </c>
      <c r="E278" s="5" t="str">
        <f>IFERROR(__xludf.DUMMYFUNCTION("""COMPUTED_VALUE"""),"USD")</f>
        <v>USD</v>
      </c>
      <c r="F278" s="69">
        <f>IFERROR(__xludf.DUMMYFUNCTION("""COMPUTED_VALUE"""),-30.0)</f>
        <v>-30</v>
      </c>
      <c r="G278" s="70">
        <f>IFERROR(__xludf.DUMMYFUNCTION("""COMPUTED_VALUE"""),7.83915)</f>
        <v>7.83915</v>
      </c>
      <c r="H278" s="71">
        <f>IFERROR(__xludf.DUMMYFUNCTION("""COMPUTED_VALUE"""),82.37)</f>
        <v>82.37</v>
      </c>
      <c r="I278" s="71">
        <f>IFERROR(__xludf.DUMMYFUNCTION("""COMPUTED_VALUE"""),86.84)</f>
        <v>86.84</v>
      </c>
      <c r="J278" s="88" t="str">
        <f>IFERROR(__xludf.DUMMYFUNCTION("""COMPUTED_VALUE"""),"Goto link: XOM")</f>
        <v>Goto link: XOM</v>
      </c>
      <c r="K278" s="22"/>
      <c r="L278" s="22"/>
      <c r="M278" s="22"/>
      <c r="N278" s="22"/>
      <c r="O278" s="73"/>
      <c r="P278" s="8"/>
      <c r="Q278" s="69"/>
      <c r="R278" s="69"/>
      <c r="S278" s="8"/>
      <c r="T278" s="69"/>
      <c r="U278" s="8"/>
      <c r="V278" s="69"/>
      <c r="W278" s="74"/>
      <c r="X278" s="69"/>
    </row>
    <row r="279">
      <c r="A279" s="30" t="str">
        <f>IFERROR(__xludf.DUMMYFUNCTION("""COMPUTED_VALUE"""),"38105")</f>
        <v>38105</v>
      </c>
      <c r="B279" s="86">
        <f>IFERROR(__xludf.DUMMYFUNCTION("""COMPUTED_VALUE"""),44652.0)</f>
        <v>44652</v>
      </c>
      <c r="C279" s="64" t="str">
        <f>IFERROR(__xludf.DUMMYFUNCTION("""COMPUTED_VALUE"""),"Stock")</f>
        <v>Stock</v>
      </c>
      <c r="D279" s="87" t="str">
        <f>IFERROR(__xludf.DUMMYFUNCTION("""COMPUTED_VALUE"""),"LMT")</f>
        <v>LMT</v>
      </c>
      <c r="E279" s="5" t="str">
        <f>IFERROR(__xludf.DUMMYFUNCTION("""COMPUTED_VALUE"""),"USD")</f>
        <v>USD</v>
      </c>
      <c r="F279" s="69">
        <f>IFERROR(__xludf.DUMMYFUNCTION("""COMPUTED_VALUE"""),200.0)</f>
        <v>200</v>
      </c>
      <c r="G279" s="70">
        <f>IFERROR(__xludf.DUMMYFUNCTION("""COMPUTED_VALUE"""),7.83915)</f>
        <v>7.83915</v>
      </c>
      <c r="H279" s="71">
        <f>IFERROR(__xludf.DUMMYFUNCTION("""COMPUTED_VALUE"""),445.98)</f>
        <v>445.98</v>
      </c>
      <c r="I279" s="71">
        <f>IFERROR(__xludf.DUMMYFUNCTION("""COMPUTED_VALUE"""),469.2)</f>
        <v>469.2</v>
      </c>
      <c r="J279" s="88" t="str">
        <f>IFERROR(__xludf.DUMMYFUNCTION("""COMPUTED_VALUE"""),"Goto link: LMT")</f>
        <v>Goto link: LMT</v>
      </c>
      <c r="K279" s="22"/>
      <c r="L279" s="22"/>
      <c r="M279" s="22"/>
      <c r="N279" s="22"/>
      <c r="O279" s="73"/>
      <c r="P279" s="8"/>
      <c r="Q279" s="69"/>
      <c r="R279" s="69"/>
      <c r="S279" s="8"/>
      <c r="T279" s="69"/>
      <c r="U279" s="8"/>
      <c r="V279" s="69"/>
      <c r="W279" s="74"/>
      <c r="X279" s="69"/>
    </row>
    <row r="280">
      <c r="A280" s="30" t="str">
        <f>IFERROR(__xludf.DUMMYFUNCTION("""COMPUTED_VALUE"""),"38105 Total")</f>
        <v>38105 Total</v>
      </c>
      <c r="B280" s="5"/>
      <c r="C280" s="64"/>
      <c r="D280" s="85"/>
      <c r="E280" s="5"/>
      <c r="F280" s="69"/>
      <c r="G280" s="70">
        <f>IFERROR(__xludf.DUMMYFUNCTION("""COMPUTED_VALUE"""),6.1293625)</f>
        <v>6.1293625</v>
      </c>
      <c r="H280" s="71">
        <f>IFERROR(__xludf.DUMMYFUNCTION("""COMPUTED_VALUE"""),445.98)</f>
        <v>445.98</v>
      </c>
      <c r="I280" s="71" t="str">
        <f>IFERROR(__xludf.DUMMYFUNCTION("""COMPUTED_VALUE"""),"")</f>
        <v/>
      </c>
      <c r="J280" s="22" t="str">
        <f>IFERROR(__xludf.DUMMYFUNCTION("""COMPUTED_VALUE"""),"")</f>
        <v/>
      </c>
      <c r="K280" s="22"/>
      <c r="L280" s="22"/>
      <c r="M280" s="22"/>
      <c r="N280" s="22"/>
      <c r="O280" s="73"/>
      <c r="P280" s="8"/>
      <c r="Q280" s="69"/>
      <c r="R280" s="69"/>
      <c r="S280" s="8"/>
      <c r="T280" s="69"/>
      <c r="U280" s="8"/>
      <c r="V280" s="69"/>
      <c r="W280" s="74"/>
      <c r="X280" s="69"/>
    </row>
    <row r="281">
      <c r="A281" s="30" t="str">
        <f>IFERROR(__xludf.DUMMYFUNCTION("""COMPUTED_VALUE"""),"38109")</f>
        <v>38109</v>
      </c>
      <c r="B281" s="86">
        <f>IFERROR(__xludf.DUMMYFUNCTION("""COMPUTED_VALUE"""),44597.0)</f>
        <v>44597</v>
      </c>
      <c r="C281" s="64" t="str">
        <f>IFERROR(__xludf.DUMMYFUNCTION("""COMPUTED_VALUE"""),"Cash")</f>
        <v>Cash</v>
      </c>
      <c r="D281" s="85" t="str">
        <f>IFERROR(__xludf.DUMMYFUNCTION("""COMPUTED_VALUE"""),"Cash")</f>
        <v>Cash</v>
      </c>
      <c r="E281" s="5" t="str">
        <f>IFERROR(__xludf.DUMMYFUNCTION("""COMPUTED_VALUE"""),"HKD")</f>
        <v>HKD</v>
      </c>
      <c r="F281" s="69" t="str">
        <f>IFERROR(__xludf.DUMMYFUNCTION("""COMPUTED_VALUE"""),"")</f>
        <v/>
      </c>
      <c r="G281" s="70">
        <f>IFERROR(__xludf.DUMMYFUNCTION("""COMPUTED_VALUE"""),1.0)</f>
        <v>1</v>
      </c>
      <c r="H281" s="71">
        <f>IFERROR(__xludf.DUMMYFUNCTION("""COMPUTED_VALUE"""),1.0)</f>
        <v>1</v>
      </c>
      <c r="I281" s="71">
        <f>IFERROR(__xludf.DUMMYFUNCTION("""COMPUTED_VALUE"""),1.0)</f>
        <v>1</v>
      </c>
      <c r="J281" s="22" t="str">
        <f>IFERROR(__xludf.DUMMYFUNCTION("""COMPUTED_VALUE"""),"")</f>
        <v/>
      </c>
      <c r="K281" s="22"/>
      <c r="L281" s="22"/>
      <c r="M281" s="22"/>
      <c r="N281" s="22"/>
      <c r="O281" s="73"/>
      <c r="P281" s="8"/>
      <c r="Q281" s="69"/>
      <c r="R281" s="69"/>
      <c r="S281" s="8"/>
      <c r="T281" s="69"/>
      <c r="U281" s="8"/>
      <c r="V281" s="69"/>
      <c r="W281" s="74"/>
      <c r="X281" s="69"/>
    </row>
    <row r="282">
      <c r="A282" s="30" t="str">
        <f>IFERROR(__xludf.DUMMYFUNCTION("""COMPUTED_VALUE"""),"38109")</f>
        <v>38109</v>
      </c>
      <c r="B282" s="86">
        <f>IFERROR(__xludf.DUMMYFUNCTION("""COMPUTED_VALUE"""),44659.0)</f>
        <v>44659</v>
      </c>
      <c r="C282" s="64" t="str">
        <f>IFERROR(__xludf.DUMMYFUNCTION("""COMPUTED_VALUE"""),"Stock")</f>
        <v>Stock</v>
      </c>
      <c r="D282" s="85" t="str">
        <f>IFERROR(__xludf.DUMMYFUNCTION("""COMPUTED_VALUE"""),"AMZN")</f>
        <v>AMZN</v>
      </c>
      <c r="E282" s="5" t="str">
        <f>IFERROR(__xludf.DUMMYFUNCTION("""COMPUTED_VALUE"""),"USD")</f>
        <v>USD</v>
      </c>
      <c r="F282" s="69" t="str">
        <f>IFERROR(__xludf.DUMMYFUNCTION("""COMPUTED_VALUE"""),"")</f>
        <v/>
      </c>
      <c r="G282" s="70">
        <f>IFERROR(__xludf.DUMMYFUNCTION("""COMPUTED_VALUE"""),7.83915)</f>
        <v>7.83915</v>
      </c>
      <c r="H282" s="71">
        <f>IFERROR(__xludf.DUMMYFUNCTION("""COMPUTED_VALUE"""),3089.21)</f>
        <v>3089.21</v>
      </c>
      <c r="I282" s="71">
        <f>IFERROR(__xludf.DUMMYFUNCTION("""COMPUTED_VALUE"""),3110.82)</f>
        <v>3110.82</v>
      </c>
      <c r="J282" s="88" t="str">
        <f>IFERROR(__xludf.DUMMYFUNCTION("""COMPUTED_VALUE"""),"Goto link: AMZN")</f>
        <v>Goto link: AMZN</v>
      </c>
      <c r="K282" s="22"/>
      <c r="L282" s="22"/>
      <c r="M282" s="22"/>
      <c r="N282" s="22"/>
      <c r="O282" s="73"/>
      <c r="P282" s="8"/>
      <c r="Q282" s="69"/>
      <c r="R282" s="69"/>
      <c r="S282" s="8"/>
      <c r="T282" s="69"/>
      <c r="U282" s="8"/>
      <c r="V282" s="69"/>
      <c r="W282" s="74"/>
      <c r="X282" s="69"/>
    </row>
    <row r="283">
      <c r="A283" s="30" t="str">
        <f>IFERROR(__xludf.DUMMYFUNCTION("""COMPUTED_VALUE"""),"38109")</f>
        <v>38109</v>
      </c>
      <c r="B283" s="86">
        <f>IFERROR(__xludf.DUMMYFUNCTION("""COMPUTED_VALUE"""),44659.0)</f>
        <v>44659</v>
      </c>
      <c r="C283" s="64" t="str">
        <f>IFERROR(__xludf.DUMMYFUNCTION("""COMPUTED_VALUE"""),"Stock")</f>
        <v>Stock</v>
      </c>
      <c r="D283" s="85" t="str">
        <f>IFERROR(__xludf.DUMMYFUNCTION("""COMPUTED_VALUE"""),"FB")</f>
        <v>FB</v>
      </c>
      <c r="E283" s="5" t="str">
        <f>IFERROR(__xludf.DUMMYFUNCTION("""COMPUTED_VALUE"""),"USD")</f>
        <v>USD</v>
      </c>
      <c r="F283" s="69" t="str">
        <f>IFERROR(__xludf.DUMMYFUNCTION("""COMPUTED_VALUE"""),"")</f>
        <v/>
      </c>
      <c r="G283" s="70">
        <f>IFERROR(__xludf.DUMMYFUNCTION("""COMPUTED_VALUE"""),7.83915)</f>
        <v>7.83915</v>
      </c>
      <c r="H283" s="71">
        <f>IFERROR(__xludf.DUMMYFUNCTION("""COMPUTED_VALUE"""),222.33)</f>
        <v>222.33</v>
      </c>
      <c r="I283" s="71">
        <f>IFERROR(__xludf.DUMMYFUNCTION("""COMPUTED_VALUE"""),214.99)</f>
        <v>214.99</v>
      </c>
      <c r="J283" s="88" t="str">
        <f>IFERROR(__xludf.DUMMYFUNCTION("""COMPUTED_VALUE"""),"Goto link: FB")</f>
        <v>Goto link: FB</v>
      </c>
      <c r="K283" s="22"/>
      <c r="L283" s="22"/>
      <c r="M283" s="22"/>
      <c r="N283" s="22"/>
      <c r="O283" s="73"/>
      <c r="P283" s="8"/>
      <c r="Q283" s="69"/>
      <c r="R283" s="69"/>
      <c r="S283" s="8"/>
      <c r="T283" s="69"/>
      <c r="U283" s="8"/>
      <c r="V283" s="69"/>
      <c r="W283" s="74"/>
      <c r="X283" s="69"/>
    </row>
    <row r="284">
      <c r="A284" s="30" t="str">
        <f>IFERROR(__xludf.DUMMYFUNCTION("""COMPUTED_VALUE"""),"38109")</f>
        <v>38109</v>
      </c>
      <c r="B284" s="86">
        <f>IFERROR(__xludf.DUMMYFUNCTION("""COMPUTED_VALUE"""),44664.0)</f>
        <v>44664</v>
      </c>
      <c r="C284" s="64" t="str">
        <f>IFERROR(__xludf.DUMMYFUNCTION("""COMPUTED_VALUE"""),"Stock")</f>
        <v>Stock</v>
      </c>
      <c r="D284" s="85" t="str">
        <f>IFERROR(__xludf.DUMMYFUNCTION("""COMPUTED_VALUE"""),"AAPL")</f>
        <v>AAPL</v>
      </c>
      <c r="E284" s="5" t="str">
        <f>IFERROR(__xludf.DUMMYFUNCTION("""COMPUTED_VALUE"""),"USD")</f>
        <v>USD</v>
      </c>
      <c r="F284" s="69">
        <f>IFERROR(__xludf.DUMMYFUNCTION("""COMPUTED_VALUE"""),10.0)</f>
        <v>10</v>
      </c>
      <c r="G284" s="70">
        <f>IFERROR(__xludf.DUMMYFUNCTION("""COMPUTED_VALUE"""),7.83915)</f>
        <v>7.83915</v>
      </c>
      <c r="H284" s="71">
        <f>IFERROR(__xludf.DUMMYFUNCTION("""COMPUTED_VALUE"""),170.4)</f>
        <v>170.4</v>
      </c>
      <c r="I284" s="71">
        <f>IFERROR(__xludf.DUMMYFUNCTION("""COMPUTED_VALUE"""),170.4)</f>
        <v>170.4</v>
      </c>
      <c r="J284" s="88" t="str">
        <f>IFERROR(__xludf.DUMMYFUNCTION("""COMPUTED_VALUE"""),"Goto link: AAPL")</f>
        <v>Goto link: AAPL</v>
      </c>
      <c r="K284" s="22"/>
      <c r="L284" s="22"/>
      <c r="M284" s="22"/>
      <c r="N284" s="22"/>
      <c r="O284" s="73"/>
      <c r="P284" s="8"/>
      <c r="Q284" s="69"/>
      <c r="R284" s="69"/>
      <c r="S284" s="8"/>
      <c r="T284" s="69"/>
      <c r="U284" s="8"/>
      <c r="V284" s="69"/>
      <c r="W284" s="74"/>
      <c r="X284" s="69"/>
    </row>
    <row r="285">
      <c r="A285" s="30" t="str">
        <f>IFERROR(__xludf.DUMMYFUNCTION("""COMPUTED_VALUE"""),"38109")</f>
        <v>38109</v>
      </c>
      <c r="B285" s="86">
        <f>IFERROR(__xludf.DUMMYFUNCTION("""COMPUTED_VALUE"""),44664.0)</f>
        <v>44664</v>
      </c>
      <c r="C285" s="64" t="str">
        <f>IFERROR(__xludf.DUMMYFUNCTION("""COMPUTED_VALUE"""),"Stock")</f>
        <v>Stock</v>
      </c>
      <c r="D285" s="85" t="str">
        <f>IFERROR(__xludf.DUMMYFUNCTION("""COMPUTED_VALUE"""),"AMZN")</f>
        <v>AMZN</v>
      </c>
      <c r="E285" s="5" t="str">
        <f>IFERROR(__xludf.DUMMYFUNCTION("""COMPUTED_VALUE"""),"USD")</f>
        <v>USD</v>
      </c>
      <c r="F285" s="69">
        <f>IFERROR(__xludf.DUMMYFUNCTION("""COMPUTED_VALUE"""),10.0)</f>
        <v>10</v>
      </c>
      <c r="G285" s="70">
        <f>IFERROR(__xludf.DUMMYFUNCTION("""COMPUTED_VALUE"""),7.83915)</f>
        <v>7.83915</v>
      </c>
      <c r="H285" s="71">
        <f>IFERROR(__xludf.DUMMYFUNCTION("""COMPUTED_VALUE"""),3110.82)</f>
        <v>3110.82</v>
      </c>
      <c r="I285" s="71">
        <f>IFERROR(__xludf.DUMMYFUNCTION("""COMPUTED_VALUE"""),3110.82)</f>
        <v>3110.82</v>
      </c>
      <c r="J285" s="88" t="str">
        <f>IFERROR(__xludf.DUMMYFUNCTION("""COMPUTED_VALUE"""),"Goto link: AMZN")</f>
        <v>Goto link: AMZN</v>
      </c>
      <c r="K285" s="22"/>
      <c r="L285" s="22"/>
      <c r="M285" s="22"/>
      <c r="N285" s="22"/>
      <c r="O285" s="73"/>
      <c r="P285" s="8"/>
      <c r="Q285" s="69"/>
      <c r="R285" s="69"/>
      <c r="S285" s="8"/>
      <c r="T285" s="69"/>
      <c r="U285" s="8"/>
      <c r="V285" s="69"/>
      <c r="W285" s="74"/>
      <c r="X285" s="69"/>
    </row>
    <row r="286">
      <c r="A286" s="30" t="str">
        <f>IFERROR(__xludf.DUMMYFUNCTION("""COMPUTED_VALUE"""),"38109")</f>
        <v>38109</v>
      </c>
      <c r="B286" s="86">
        <f>IFERROR(__xludf.DUMMYFUNCTION("""COMPUTED_VALUE"""),44664.0)</f>
        <v>44664</v>
      </c>
      <c r="C286" s="64" t="str">
        <f>IFERROR(__xludf.DUMMYFUNCTION("""COMPUTED_VALUE"""),"Stock")</f>
        <v>Stock</v>
      </c>
      <c r="D286" s="85" t="str">
        <f>IFERROR(__xludf.DUMMYFUNCTION("""COMPUTED_VALUE"""),"FB")</f>
        <v>FB</v>
      </c>
      <c r="E286" s="5" t="str">
        <f>IFERROR(__xludf.DUMMYFUNCTION("""COMPUTED_VALUE"""),"USD")</f>
        <v>USD</v>
      </c>
      <c r="F286" s="69">
        <f>IFERROR(__xludf.DUMMYFUNCTION("""COMPUTED_VALUE"""),100.0)</f>
        <v>100</v>
      </c>
      <c r="G286" s="70">
        <f>IFERROR(__xludf.DUMMYFUNCTION("""COMPUTED_VALUE"""),7.83915)</f>
        <v>7.83915</v>
      </c>
      <c r="H286" s="71">
        <f>IFERROR(__xludf.DUMMYFUNCTION("""COMPUTED_VALUE"""),214.99)</f>
        <v>214.99</v>
      </c>
      <c r="I286" s="71">
        <f>IFERROR(__xludf.DUMMYFUNCTION("""COMPUTED_VALUE"""),214.99)</f>
        <v>214.99</v>
      </c>
      <c r="J286" s="88" t="str">
        <f>IFERROR(__xludf.DUMMYFUNCTION("""COMPUTED_VALUE"""),"Goto link: FB")</f>
        <v>Goto link: FB</v>
      </c>
      <c r="K286" s="22"/>
      <c r="L286" s="22"/>
      <c r="M286" s="22"/>
      <c r="N286" s="22"/>
      <c r="O286" s="73"/>
      <c r="P286" s="8"/>
      <c r="Q286" s="69"/>
      <c r="R286" s="69"/>
      <c r="S286" s="8"/>
      <c r="T286" s="69"/>
      <c r="U286" s="8"/>
      <c r="V286" s="69"/>
      <c r="W286" s="74"/>
      <c r="X286" s="69"/>
    </row>
    <row r="287">
      <c r="A287" s="30" t="str">
        <f>IFERROR(__xludf.DUMMYFUNCTION("""COMPUTED_VALUE"""),"38109")</f>
        <v>38109</v>
      </c>
      <c r="B287" s="86">
        <f>IFERROR(__xludf.DUMMYFUNCTION("""COMPUTED_VALUE"""),44664.0)</f>
        <v>44664</v>
      </c>
      <c r="C287" s="64" t="str">
        <f>IFERROR(__xludf.DUMMYFUNCTION("""COMPUTED_VALUE"""),"Stock")</f>
        <v>Stock</v>
      </c>
      <c r="D287" s="85" t="str">
        <f>IFERROR(__xludf.DUMMYFUNCTION("""COMPUTED_VALUE"""),"TSLA")</f>
        <v>TSLA</v>
      </c>
      <c r="E287" s="5" t="str">
        <f>IFERROR(__xludf.DUMMYFUNCTION("""COMPUTED_VALUE"""),"USD")</f>
        <v>USD</v>
      </c>
      <c r="F287" s="69">
        <f>IFERROR(__xludf.DUMMYFUNCTION("""COMPUTED_VALUE"""),6.0)</f>
        <v>6</v>
      </c>
      <c r="G287" s="70">
        <f>IFERROR(__xludf.DUMMYFUNCTION("""COMPUTED_VALUE"""),7.83915)</f>
        <v>7.83915</v>
      </c>
      <c r="H287" s="71">
        <f>IFERROR(__xludf.DUMMYFUNCTION("""COMPUTED_VALUE"""),1022.37)</f>
        <v>1022.37</v>
      </c>
      <c r="I287" s="71">
        <f>IFERROR(__xludf.DUMMYFUNCTION("""COMPUTED_VALUE"""),1022.37)</f>
        <v>1022.37</v>
      </c>
      <c r="J287" s="88" t="str">
        <f>IFERROR(__xludf.DUMMYFUNCTION("""COMPUTED_VALUE"""),"Goto link: TSLA")</f>
        <v>Goto link: TSLA</v>
      </c>
      <c r="K287" s="22"/>
      <c r="L287" s="22"/>
      <c r="M287" s="22"/>
      <c r="N287" s="22"/>
      <c r="O287" s="73"/>
      <c r="P287" s="8"/>
      <c r="Q287" s="69"/>
      <c r="R287" s="69"/>
      <c r="S287" s="8"/>
      <c r="T287" s="69"/>
      <c r="U287" s="8"/>
      <c r="V287" s="69"/>
      <c r="W287" s="74"/>
      <c r="X287" s="69"/>
    </row>
    <row r="288">
      <c r="A288" s="30" t="str">
        <f>IFERROR(__xludf.DUMMYFUNCTION("""COMPUTED_VALUE"""),"38109 Total")</f>
        <v>38109 Total</v>
      </c>
      <c r="B288" s="5"/>
      <c r="C288" s="64"/>
      <c r="D288" s="85"/>
      <c r="E288" s="5"/>
      <c r="F288" s="69"/>
      <c r="G288" s="70">
        <f>IFERROR(__xludf.DUMMYFUNCTION("""COMPUTED_VALUE"""),6.862128571428572)</f>
        <v>6.862128571</v>
      </c>
      <c r="H288" s="71">
        <f>IFERROR(__xludf.DUMMYFUNCTION("""COMPUTED_VALUE"""),3110.82)</f>
        <v>3110.82</v>
      </c>
      <c r="I288" s="71" t="str">
        <f>IFERROR(__xludf.DUMMYFUNCTION("""COMPUTED_VALUE"""),"")</f>
        <v/>
      </c>
      <c r="J288" s="22" t="str">
        <f>IFERROR(__xludf.DUMMYFUNCTION("""COMPUTED_VALUE"""),"")</f>
        <v/>
      </c>
      <c r="K288" s="22"/>
      <c r="L288" s="22"/>
      <c r="M288" s="22"/>
      <c r="N288" s="22"/>
      <c r="O288" s="73"/>
      <c r="P288" s="8"/>
      <c r="Q288" s="69"/>
      <c r="R288" s="69"/>
      <c r="S288" s="8"/>
      <c r="T288" s="69"/>
      <c r="U288" s="8"/>
      <c r="V288" s="69"/>
      <c r="W288" s="74"/>
      <c r="X288" s="69"/>
    </row>
    <row r="289">
      <c r="A289" s="30" t="str">
        <f>IFERROR(__xludf.DUMMYFUNCTION("""COMPUTED_VALUE"""),"38209")</f>
        <v>38209</v>
      </c>
      <c r="B289" s="86">
        <f>IFERROR(__xludf.DUMMYFUNCTION("""COMPUTED_VALUE"""),44597.0)</f>
        <v>44597</v>
      </c>
      <c r="C289" s="64" t="str">
        <f>IFERROR(__xludf.DUMMYFUNCTION("""COMPUTED_VALUE"""),"Cash")</f>
        <v>Cash</v>
      </c>
      <c r="D289" s="85" t="str">
        <f>IFERROR(__xludf.DUMMYFUNCTION("""COMPUTED_VALUE"""),"Cash")</f>
        <v>Cash</v>
      </c>
      <c r="E289" s="5" t="str">
        <f>IFERROR(__xludf.DUMMYFUNCTION("""COMPUTED_VALUE"""),"HKD")</f>
        <v>HKD</v>
      </c>
      <c r="F289" s="69" t="str">
        <f>IFERROR(__xludf.DUMMYFUNCTION("""COMPUTED_VALUE"""),"")</f>
        <v/>
      </c>
      <c r="G289" s="70">
        <f>IFERROR(__xludf.DUMMYFUNCTION("""COMPUTED_VALUE"""),1.0)</f>
        <v>1</v>
      </c>
      <c r="H289" s="71">
        <f>IFERROR(__xludf.DUMMYFUNCTION("""COMPUTED_VALUE"""),1.0)</f>
        <v>1</v>
      </c>
      <c r="I289" s="71">
        <f>IFERROR(__xludf.DUMMYFUNCTION("""COMPUTED_VALUE"""),1.0)</f>
        <v>1</v>
      </c>
      <c r="J289" s="22" t="str">
        <f>IFERROR(__xludf.DUMMYFUNCTION("""COMPUTED_VALUE"""),"")</f>
        <v/>
      </c>
      <c r="K289" s="22"/>
      <c r="L289" s="22"/>
      <c r="M289" s="22"/>
      <c r="N289" s="22"/>
      <c r="O289" s="73"/>
      <c r="P289" s="8"/>
      <c r="Q289" s="69"/>
      <c r="R289" s="69"/>
      <c r="S289" s="8"/>
      <c r="T289" s="69"/>
      <c r="U289" s="8"/>
      <c r="V289" s="69"/>
      <c r="W289" s="74"/>
      <c r="X289" s="69"/>
    </row>
    <row r="290">
      <c r="A290" s="30" t="str">
        <f>IFERROR(__xludf.DUMMYFUNCTION("""COMPUTED_VALUE"""),"38209")</f>
        <v>38209</v>
      </c>
      <c r="B290" s="86">
        <f>IFERROR(__xludf.DUMMYFUNCTION("""COMPUTED_VALUE"""),44623.0)</f>
        <v>44623</v>
      </c>
      <c r="C290" s="64" t="str">
        <f>IFERROR(__xludf.DUMMYFUNCTION("""COMPUTED_VALUE"""),"Stock")</f>
        <v>Stock</v>
      </c>
      <c r="D290" s="90" t="str">
        <f>IFERROR(__xludf.DUMMYFUNCTION("""COMPUTED_VALUE"""),"1810.HK")</f>
        <v>1810.HK</v>
      </c>
      <c r="E290" s="5" t="str">
        <f>IFERROR(__xludf.DUMMYFUNCTION("""COMPUTED_VALUE"""),"HKD")</f>
        <v>HKD</v>
      </c>
      <c r="F290" s="69">
        <f>IFERROR(__xludf.DUMMYFUNCTION("""COMPUTED_VALUE"""),0.0)</f>
        <v>0</v>
      </c>
      <c r="G290" s="70">
        <f>IFERROR(__xludf.DUMMYFUNCTION("""COMPUTED_VALUE"""),1.0)</f>
        <v>1</v>
      </c>
      <c r="H290" s="71">
        <f>IFERROR(__xludf.DUMMYFUNCTION("""COMPUTED_VALUE"""),0.0)</f>
        <v>0</v>
      </c>
      <c r="I290" s="71">
        <f>IFERROR(__xludf.DUMMYFUNCTION("""COMPUTED_VALUE"""),12.36)</f>
        <v>12.36</v>
      </c>
      <c r="J290" s="88" t="str">
        <f>IFERROR(__xludf.DUMMYFUNCTION("""COMPUTED_VALUE"""),"Goto link: 1810.HK")</f>
        <v>Goto link: 1810.HK</v>
      </c>
      <c r="K290" s="22"/>
      <c r="L290" s="22"/>
      <c r="M290" s="22"/>
      <c r="N290" s="22"/>
      <c r="O290" s="73"/>
      <c r="P290" s="8"/>
      <c r="Q290" s="69"/>
      <c r="R290" s="69"/>
      <c r="S290" s="8"/>
      <c r="T290" s="69"/>
      <c r="U290" s="8"/>
      <c r="V290" s="69"/>
      <c r="W290" s="74"/>
      <c r="X290" s="69"/>
    </row>
    <row r="291">
      <c r="A291" s="30" t="str">
        <f>IFERROR(__xludf.DUMMYFUNCTION("""COMPUTED_VALUE"""),"38209")</f>
        <v>38209</v>
      </c>
      <c r="B291" s="86">
        <f>IFERROR(__xludf.DUMMYFUNCTION("""COMPUTED_VALUE"""),44624.0)</f>
        <v>44624</v>
      </c>
      <c r="C291" s="64" t="str">
        <f>IFERROR(__xludf.DUMMYFUNCTION("""COMPUTED_VALUE"""),"Stock")</f>
        <v>Stock</v>
      </c>
      <c r="D291" s="90" t="str">
        <f>IFERROR(__xludf.DUMMYFUNCTION("""COMPUTED_VALUE"""),"1024.HK")</f>
        <v>1024.HK</v>
      </c>
      <c r="E291" s="5" t="str">
        <f>IFERROR(__xludf.DUMMYFUNCTION("""COMPUTED_VALUE"""),"HKD")</f>
        <v>HKD</v>
      </c>
      <c r="F291" s="69">
        <f>IFERROR(__xludf.DUMMYFUNCTION("""COMPUTED_VALUE"""),200.0)</f>
        <v>200</v>
      </c>
      <c r="G291" s="70">
        <f>IFERROR(__xludf.DUMMYFUNCTION("""COMPUTED_VALUE"""),1.0)</f>
        <v>1</v>
      </c>
      <c r="H291" s="71">
        <f>IFERROR(__xludf.DUMMYFUNCTION("""COMPUTED_VALUE"""),76.65)</f>
        <v>76.65</v>
      </c>
      <c r="I291" s="71">
        <f>IFERROR(__xludf.DUMMYFUNCTION("""COMPUTED_VALUE"""),64.0)</f>
        <v>64</v>
      </c>
      <c r="J291" s="88" t="str">
        <f>IFERROR(__xludf.DUMMYFUNCTION("""COMPUTED_VALUE"""),"Goto link: 1024.HK")</f>
        <v>Goto link: 1024.HK</v>
      </c>
      <c r="K291" s="22"/>
      <c r="L291" s="22"/>
      <c r="M291" s="22"/>
      <c r="N291" s="22"/>
      <c r="O291" s="73"/>
      <c r="P291" s="8"/>
      <c r="Q291" s="69"/>
      <c r="R291" s="69"/>
      <c r="S291" s="8"/>
      <c r="T291" s="69"/>
      <c r="U291" s="8"/>
      <c r="V291" s="69"/>
      <c r="W291" s="74"/>
      <c r="X291" s="69"/>
    </row>
    <row r="292">
      <c r="A292" s="30" t="str">
        <f>IFERROR(__xludf.DUMMYFUNCTION("""COMPUTED_VALUE"""),"38209")</f>
        <v>38209</v>
      </c>
      <c r="B292" s="86">
        <f>IFERROR(__xludf.DUMMYFUNCTION("""COMPUTED_VALUE"""),44624.0)</f>
        <v>44624</v>
      </c>
      <c r="C292" s="64" t="str">
        <f>IFERROR(__xludf.DUMMYFUNCTION("""COMPUTED_VALUE"""),"Stock")</f>
        <v>Stock</v>
      </c>
      <c r="D292" s="90" t="str">
        <f>IFERROR(__xludf.DUMMYFUNCTION("""COMPUTED_VALUE"""),"1810.HK")</f>
        <v>1810.HK</v>
      </c>
      <c r="E292" s="5" t="str">
        <f>IFERROR(__xludf.DUMMYFUNCTION("""COMPUTED_VALUE"""),"HKD")</f>
        <v>HKD</v>
      </c>
      <c r="F292" s="69">
        <f>IFERROR(__xludf.DUMMYFUNCTION("""COMPUTED_VALUE"""),1000.0)</f>
        <v>1000</v>
      </c>
      <c r="G292" s="70">
        <f>IFERROR(__xludf.DUMMYFUNCTION("""COMPUTED_VALUE"""),1.0)</f>
        <v>1</v>
      </c>
      <c r="H292" s="71">
        <f>IFERROR(__xludf.DUMMYFUNCTION("""COMPUTED_VALUE"""),13.96)</f>
        <v>13.96</v>
      </c>
      <c r="I292" s="71">
        <f>IFERROR(__xludf.DUMMYFUNCTION("""COMPUTED_VALUE"""),12.36)</f>
        <v>12.36</v>
      </c>
      <c r="J292" s="88" t="str">
        <f>IFERROR(__xludf.DUMMYFUNCTION("""COMPUTED_VALUE"""),"Goto link: 1810.HK")</f>
        <v>Goto link: 1810.HK</v>
      </c>
      <c r="K292" s="22"/>
      <c r="L292" s="22"/>
      <c r="M292" s="22"/>
      <c r="N292" s="22"/>
      <c r="O292" s="73"/>
      <c r="P292" s="8"/>
      <c r="Q292" s="69"/>
      <c r="R292" s="69"/>
      <c r="S292" s="8"/>
      <c r="T292" s="69"/>
      <c r="U292" s="8"/>
      <c r="V292" s="69"/>
      <c r="W292" s="74"/>
      <c r="X292" s="69"/>
    </row>
    <row r="293">
      <c r="A293" s="30" t="str">
        <f>IFERROR(__xludf.DUMMYFUNCTION("""COMPUTED_VALUE"""),"38209")</f>
        <v>38209</v>
      </c>
      <c r="B293" s="86">
        <f>IFERROR(__xludf.DUMMYFUNCTION("""COMPUTED_VALUE"""),44624.0)</f>
        <v>44624</v>
      </c>
      <c r="C293" s="64" t="str">
        <f>IFERROR(__xludf.DUMMYFUNCTION("""COMPUTED_VALUE"""),"Stock")</f>
        <v>Stock</v>
      </c>
      <c r="D293" s="90" t="str">
        <f>IFERROR(__xludf.DUMMYFUNCTION("""COMPUTED_VALUE"""),"9988.HK")</f>
        <v>9988.HK</v>
      </c>
      <c r="E293" s="5" t="str">
        <f>IFERROR(__xludf.DUMMYFUNCTION("""COMPUTED_VALUE"""),"HKD")</f>
        <v>HKD</v>
      </c>
      <c r="F293" s="69">
        <f>IFERROR(__xludf.DUMMYFUNCTION("""COMPUTED_VALUE"""),200.0)</f>
        <v>200</v>
      </c>
      <c r="G293" s="70">
        <f>IFERROR(__xludf.DUMMYFUNCTION("""COMPUTED_VALUE"""),1.0)</f>
        <v>1</v>
      </c>
      <c r="H293" s="71">
        <f>IFERROR(__xludf.DUMMYFUNCTION("""COMPUTED_VALUE"""),99.0)</f>
        <v>99</v>
      </c>
      <c r="I293" s="71">
        <f>IFERROR(__xludf.DUMMYFUNCTION("""COMPUTED_VALUE"""),98.5)</f>
        <v>98.5</v>
      </c>
      <c r="J293" s="88" t="str">
        <f>IFERROR(__xludf.DUMMYFUNCTION("""COMPUTED_VALUE"""),"Goto link: 9988.HK")</f>
        <v>Goto link: 9988.HK</v>
      </c>
      <c r="K293" s="22"/>
      <c r="L293" s="22"/>
      <c r="M293" s="22"/>
      <c r="N293" s="22"/>
      <c r="O293" s="73"/>
      <c r="P293" s="8"/>
      <c r="Q293" s="69"/>
      <c r="R293" s="69"/>
      <c r="S293" s="8"/>
      <c r="T293" s="69"/>
      <c r="U293" s="8"/>
      <c r="V293" s="69"/>
      <c r="W293" s="74"/>
      <c r="X293" s="69"/>
    </row>
    <row r="294">
      <c r="A294" s="30" t="str">
        <f>IFERROR(__xludf.DUMMYFUNCTION("""COMPUTED_VALUE"""),"38209")</f>
        <v>38209</v>
      </c>
      <c r="B294" s="86">
        <f>IFERROR(__xludf.DUMMYFUNCTION("""COMPUTED_VALUE"""),44627.0)</f>
        <v>44627</v>
      </c>
      <c r="C294" s="64" t="str">
        <f>IFERROR(__xludf.DUMMYFUNCTION("""COMPUTED_VALUE"""),"Stock")</f>
        <v>Stock</v>
      </c>
      <c r="D294" s="90" t="str">
        <f>IFERROR(__xludf.DUMMYFUNCTION("""COMPUTED_VALUE"""),"1024.HK")</f>
        <v>1024.HK</v>
      </c>
      <c r="E294" s="5" t="str">
        <f>IFERROR(__xludf.DUMMYFUNCTION("""COMPUTED_VALUE"""),"HKD")</f>
        <v>HKD</v>
      </c>
      <c r="F294" s="69">
        <f>IFERROR(__xludf.DUMMYFUNCTION("""COMPUTED_VALUE"""),0.0)</f>
        <v>0</v>
      </c>
      <c r="G294" s="70">
        <f>IFERROR(__xludf.DUMMYFUNCTION("""COMPUTED_VALUE"""),1.0)</f>
        <v>1</v>
      </c>
      <c r="H294" s="71">
        <f>IFERROR(__xludf.DUMMYFUNCTION("""COMPUTED_VALUE"""),0.0)</f>
        <v>0</v>
      </c>
      <c r="I294" s="71">
        <f>IFERROR(__xludf.DUMMYFUNCTION("""COMPUTED_VALUE"""),64.0)</f>
        <v>64</v>
      </c>
      <c r="J294" s="88" t="str">
        <f>IFERROR(__xludf.DUMMYFUNCTION("""COMPUTED_VALUE"""),"Goto link: 1024.HK")</f>
        <v>Goto link: 1024.HK</v>
      </c>
      <c r="K294" s="22"/>
      <c r="L294" s="22"/>
      <c r="M294" s="22"/>
      <c r="N294" s="22"/>
      <c r="O294" s="73"/>
      <c r="P294" s="8"/>
      <c r="Q294" s="69"/>
      <c r="R294" s="69"/>
      <c r="S294" s="8"/>
      <c r="T294" s="69"/>
      <c r="U294" s="8"/>
      <c r="V294" s="69"/>
      <c r="W294" s="74"/>
      <c r="X294" s="69"/>
    </row>
    <row r="295">
      <c r="A295" s="30" t="str">
        <f>IFERROR(__xludf.DUMMYFUNCTION("""COMPUTED_VALUE"""),"38209")</f>
        <v>38209</v>
      </c>
      <c r="B295" s="86">
        <f>IFERROR(__xludf.DUMMYFUNCTION("""COMPUTED_VALUE"""),44627.0)</f>
        <v>44627</v>
      </c>
      <c r="C295" s="64" t="str">
        <f>IFERROR(__xludf.DUMMYFUNCTION("""COMPUTED_VALUE"""),"Stock")</f>
        <v>Stock</v>
      </c>
      <c r="D295" s="90" t="str">
        <f>IFERROR(__xludf.DUMMYFUNCTION("""COMPUTED_VALUE"""),"1810.HK")</f>
        <v>1810.HK</v>
      </c>
      <c r="E295" s="5" t="str">
        <f>IFERROR(__xludf.DUMMYFUNCTION("""COMPUTED_VALUE"""),"HKD")</f>
        <v>HKD</v>
      </c>
      <c r="F295" s="69">
        <f>IFERROR(__xludf.DUMMYFUNCTION("""COMPUTED_VALUE"""),1000.0)</f>
        <v>1000</v>
      </c>
      <c r="G295" s="70">
        <f>IFERROR(__xludf.DUMMYFUNCTION("""COMPUTED_VALUE"""),1.0)</f>
        <v>1</v>
      </c>
      <c r="H295" s="71">
        <f>IFERROR(__xludf.DUMMYFUNCTION("""COMPUTED_VALUE"""),13.68)</f>
        <v>13.68</v>
      </c>
      <c r="I295" s="71">
        <f>IFERROR(__xludf.DUMMYFUNCTION("""COMPUTED_VALUE"""),12.36)</f>
        <v>12.36</v>
      </c>
      <c r="J295" s="88" t="str">
        <f>IFERROR(__xludf.DUMMYFUNCTION("""COMPUTED_VALUE"""),"Goto link: 1810.HK")</f>
        <v>Goto link: 1810.HK</v>
      </c>
      <c r="K295" s="22"/>
      <c r="L295" s="22"/>
      <c r="M295" s="22"/>
      <c r="N295" s="22"/>
      <c r="O295" s="73"/>
      <c r="P295" s="8"/>
      <c r="Q295" s="69"/>
      <c r="R295" s="69"/>
      <c r="S295" s="8"/>
      <c r="T295" s="69"/>
      <c r="U295" s="8"/>
      <c r="V295" s="69"/>
      <c r="W295" s="74"/>
      <c r="X295" s="69"/>
    </row>
    <row r="296">
      <c r="A296" s="30" t="str">
        <f>IFERROR(__xludf.DUMMYFUNCTION("""COMPUTED_VALUE"""),"38209")</f>
        <v>38209</v>
      </c>
      <c r="B296" s="86">
        <f>IFERROR(__xludf.DUMMYFUNCTION("""COMPUTED_VALUE"""),44627.0)</f>
        <v>44627</v>
      </c>
      <c r="C296" s="64" t="str">
        <f>IFERROR(__xludf.DUMMYFUNCTION("""COMPUTED_VALUE"""),"Stock")</f>
        <v>Stock</v>
      </c>
      <c r="D296" s="90" t="str">
        <f>IFERROR(__xludf.DUMMYFUNCTION("""COMPUTED_VALUE"""),"9988.Hk")</f>
        <v>9988.Hk</v>
      </c>
      <c r="E296" s="5" t="str">
        <f>IFERROR(__xludf.DUMMYFUNCTION("""COMPUTED_VALUE"""),"HKD")</f>
        <v>HKD</v>
      </c>
      <c r="F296" s="69">
        <f>IFERROR(__xludf.DUMMYFUNCTION("""COMPUTED_VALUE"""),100.0)</f>
        <v>100</v>
      </c>
      <c r="G296" s="70">
        <f>IFERROR(__xludf.DUMMYFUNCTION("""COMPUTED_VALUE"""),1.0)</f>
        <v>1</v>
      </c>
      <c r="H296" s="71">
        <f>IFERROR(__xludf.DUMMYFUNCTION("""COMPUTED_VALUE"""),96.0)</f>
        <v>96</v>
      </c>
      <c r="I296" s="71">
        <f>IFERROR(__xludf.DUMMYFUNCTION("""COMPUTED_VALUE"""),98.5)</f>
        <v>98.5</v>
      </c>
      <c r="J296" s="88" t="str">
        <f>IFERROR(__xludf.DUMMYFUNCTION("""COMPUTED_VALUE"""),"Goto link: 9988.Hk")</f>
        <v>Goto link: 9988.Hk</v>
      </c>
      <c r="K296" s="22"/>
      <c r="L296" s="22"/>
      <c r="M296" s="22"/>
      <c r="N296" s="22"/>
      <c r="O296" s="73"/>
      <c r="P296" s="8"/>
      <c r="Q296" s="69"/>
      <c r="R296" s="69"/>
      <c r="S296" s="8"/>
      <c r="T296" s="69"/>
      <c r="U296" s="8"/>
      <c r="V296" s="69"/>
      <c r="W296" s="74"/>
      <c r="X296" s="69"/>
    </row>
    <row r="297">
      <c r="A297" s="30" t="str">
        <f>IFERROR(__xludf.DUMMYFUNCTION("""COMPUTED_VALUE"""),"38209")</f>
        <v>38209</v>
      </c>
      <c r="B297" s="86">
        <f>IFERROR(__xludf.DUMMYFUNCTION("""COMPUTED_VALUE"""),44629.0)</f>
        <v>44629</v>
      </c>
      <c r="C297" s="64" t="str">
        <f>IFERROR(__xludf.DUMMYFUNCTION("""COMPUTED_VALUE"""),"Stock")</f>
        <v>Stock</v>
      </c>
      <c r="D297" s="90" t="str">
        <f>IFERROR(__xludf.DUMMYFUNCTION("""COMPUTED_VALUE"""),"1024.HK")</f>
        <v>1024.HK</v>
      </c>
      <c r="E297" s="5" t="str">
        <f>IFERROR(__xludf.DUMMYFUNCTION("""COMPUTED_VALUE"""),"HKD")</f>
        <v>HKD</v>
      </c>
      <c r="F297" s="69">
        <f>IFERROR(__xludf.DUMMYFUNCTION("""COMPUTED_VALUE"""),400.0)</f>
        <v>400</v>
      </c>
      <c r="G297" s="70">
        <f>IFERROR(__xludf.DUMMYFUNCTION("""COMPUTED_VALUE"""),1.0)</f>
        <v>1</v>
      </c>
      <c r="H297" s="71">
        <f>IFERROR(__xludf.DUMMYFUNCTION("""COMPUTED_VALUE"""),71.95)</f>
        <v>71.95</v>
      </c>
      <c r="I297" s="71">
        <f>IFERROR(__xludf.DUMMYFUNCTION("""COMPUTED_VALUE"""),64.0)</f>
        <v>64</v>
      </c>
      <c r="J297" s="88" t="str">
        <f>IFERROR(__xludf.DUMMYFUNCTION("""COMPUTED_VALUE"""),"Goto link: 1024.HK")</f>
        <v>Goto link: 1024.HK</v>
      </c>
      <c r="K297" s="22"/>
      <c r="L297" s="22"/>
      <c r="M297" s="22"/>
      <c r="N297" s="22"/>
      <c r="O297" s="73"/>
      <c r="P297" s="8"/>
      <c r="Q297" s="69"/>
      <c r="R297" s="69"/>
      <c r="S297" s="8"/>
      <c r="T297" s="69"/>
      <c r="U297" s="8"/>
      <c r="V297" s="69"/>
      <c r="W297" s="74"/>
      <c r="X297" s="69"/>
    </row>
    <row r="298">
      <c r="A298" s="30" t="str">
        <f>IFERROR(__xludf.DUMMYFUNCTION("""COMPUTED_VALUE"""),"38209")</f>
        <v>38209</v>
      </c>
      <c r="B298" s="86">
        <f>IFERROR(__xludf.DUMMYFUNCTION("""COMPUTED_VALUE"""),44629.0)</f>
        <v>44629</v>
      </c>
      <c r="C298" s="64" t="str">
        <f>IFERROR(__xludf.DUMMYFUNCTION("""COMPUTED_VALUE"""),"Stock")</f>
        <v>Stock</v>
      </c>
      <c r="D298" s="90" t="str">
        <f>IFERROR(__xludf.DUMMYFUNCTION("""COMPUTED_VALUE"""),"1810.HK")</f>
        <v>1810.HK</v>
      </c>
      <c r="E298" s="5" t="str">
        <f>IFERROR(__xludf.DUMMYFUNCTION("""COMPUTED_VALUE"""),"HKD")</f>
        <v>HKD</v>
      </c>
      <c r="F298" s="69">
        <f>IFERROR(__xludf.DUMMYFUNCTION("""COMPUTED_VALUE"""),0.0)</f>
        <v>0</v>
      </c>
      <c r="G298" s="70">
        <f>IFERROR(__xludf.DUMMYFUNCTION("""COMPUTED_VALUE"""),1.0)</f>
        <v>1</v>
      </c>
      <c r="H298" s="71">
        <f>IFERROR(__xludf.DUMMYFUNCTION("""COMPUTED_VALUE"""),0.0)</f>
        <v>0</v>
      </c>
      <c r="I298" s="71">
        <f>IFERROR(__xludf.DUMMYFUNCTION("""COMPUTED_VALUE"""),12.36)</f>
        <v>12.36</v>
      </c>
      <c r="J298" s="88" t="str">
        <f>IFERROR(__xludf.DUMMYFUNCTION("""COMPUTED_VALUE"""),"Goto link: 1810.HK")</f>
        <v>Goto link: 1810.HK</v>
      </c>
      <c r="K298" s="22"/>
      <c r="L298" s="22"/>
      <c r="M298" s="22"/>
      <c r="N298" s="22"/>
      <c r="O298" s="73"/>
      <c r="P298" s="8"/>
      <c r="Q298" s="69"/>
      <c r="R298" s="69"/>
      <c r="S298" s="8"/>
      <c r="T298" s="69"/>
      <c r="U298" s="8"/>
      <c r="V298" s="69"/>
      <c r="W298" s="74"/>
      <c r="X298" s="69"/>
    </row>
    <row r="299">
      <c r="A299" s="30" t="str">
        <f>IFERROR(__xludf.DUMMYFUNCTION("""COMPUTED_VALUE"""),"38209")</f>
        <v>38209</v>
      </c>
      <c r="B299" s="86">
        <f>IFERROR(__xludf.DUMMYFUNCTION("""COMPUTED_VALUE"""),44629.0)</f>
        <v>44629</v>
      </c>
      <c r="C299" s="64" t="str">
        <f>IFERROR(__xludf.DUMMYFUNCTION("""COMPUTED_VALUE"""),"Stock")</f>
        <v>Stock</v>
      </c>
      <c r="D299" s="90" t="str">
        <f>IFERROR(__xludf.DUMMYFUNCTION("""COMPUTED_VALUE"""),"6680.HK")</f>
        <v>6680.HK</v>
      </c>
      <c r="E299" s="5" t="str">
        <f>IFERROR(__xludf.DUMMYFUNCTION("""COMPUTED_VALUE"""),"HKD")</f>
        <v>HKD</v>
      </c>
      <c r="F299" s="69">
        <f>IFERROR(__xludf.DUMMYFUNCTION("""COMPUTED_VALUE"""),1000.0)</f>
        <v>1000</v>
      </c>
      <c r="G299" s="70">
        <f>IFERROR(__xludf.DUMMYFUNCTION("""COMPUTED_VALUE"""),1.0)</f>
        <v>1</v>
      </c>
      <c r="H299" s="71">
        <f>IFERROR(__xludf.DUMMYFUNCTION("""COMPUTED_VALUE"""),26.65)</f>
        <v>26.65</v>
      </c>
      <c r="I299" s="71">
        <f>IFERROR(__xludf.DUMMYFUNCTION("""COMPUTED_VALUE"""),22.8)</f>
        <v>22.8</v>
      </c>
      <c r="J299" s="88" t="str">
        <f>IFERROR(__xludf.DUMMYFUNCTION("""COMPUTED_VALUE"""),"Goto link: 6680.HK")</f>
        <v>Goto link: 6680.HK</v>
      </c>
      <c r="K299" s="22"/>
      <c r="L299" s="22"/>
      <c r="M299" s="22"/>
      <c r="N299" s="22"/>
      <c r="O299" s="73"/>
      <c r="P299" s="8"/>
      <c r="Q299" s="69"/>
      <c r="R299" s="69"/>
      <c r="S299" s="8"/>
      <c r="T299" s="69"/>
      <c r="U299" s="8"/>
      <c r="V299" s="69"/>
      <c r="W299" s="74"/>
      <c r="X299" s="69"/>
    </row>
    <row r="300">
      <c r="A300" s="30" t="str">
        <f>IFERROR(__xludf.DUMMYFUNCTION("""COMPUTED_VALUE"""),"38209")</f>
        <v>38209</v>
      </c>
      <c r="B300" s="86">
        <f>IFERROR(__xludf.DUMMYFUNCTION("""COMPUTED_VALUE"""),44629.0)</f>
        <v>44629</v>
      </c>
      <c r="C300" s="64" t="str">
        <f>IFERROR(__xludf.DUMMYFUNCTION("""COMPUTED_VALUE"""),"Stock")</f>
        <v>Stock</v>
      </c>
      <c r="D300" s="90" t="str">
        <f>IFERROR(__xludf.DUMMYFUNCTION("""COMPUTED_VALUE"""),"9988.HK")</f>
        <v>9988.HK</v>
      </c>
      <c r="E300" s="5" t="str">
        <f>IFERROR(__xludf.DUMMYFUNCTION("""COMPUTED_VALUE"""),"HKD")</f>
        <v>HKD</v>
      </c>
      <c r="F300" s="69">
        <f>IFERROR(__xludf.DUMMYFUNCTION("""COMPUTED_VALUE"""),300.0)</f>
        <v>300</v>
      </c>
      <c r="G300" s="70">
        <f>IFERROR(__xludf.DUMMYFUNCTION("""COMPUTED_VALUE"""),1.0)</f>
        <v>1</v>
      </c>
      <c r="H300" s="71">
        <f>IFERROR(__xludf.DUMMYFUNCTION("""COMPUTED_VALUE"""),96.25)</f>
        <v>96.25</v>
      </c>
      <c r="I300" s="71">
        <f>IFERROR(__xludf.DUMMYFUNCTION("""COMPUTED_VALUE"""),98.5)</f>
        <v>98.5</v>
      </c>
      <c r="J300" s="88" t="str">
        <f>IFERROR(__xludf.DUMMYFUNCTION("""COMPUTED_VALUE"""),"Goto link: 9988.HK")</f>
        <v>Goto link: 9988.HK</v>
      </c>
      <c r="K300" s="22"/>
      <c r="L300" s="22"/>
      <c r="M300" s="22"/>
      <c r="N300" s="22"/>
      <c r="O300" s="73"/>
      <c r="P300" s="8"/>
      <c r="Q300" s="69"/>
      <c r="R300" s="69"/>
      <c r="S300" s="8"/>
      <c r="T300" s="69"/>
      <c r="U300" s="8"/>
      <c r="V300" s="69"/>
      <c r="W300" s="74"/>
      <c r="X300" s="69"/>
    </row>
    <row r="301">
      <c r="A301" s="30" t="str">
        <f>IFERROR(__xludf.DUMMYFUNCTION("""COMPUTED_VALUE"""),"38209")</f>
        <v>38209</v>
      </c>
      <c r="B301" s="86">
        <f>IFERROR(__xludf.DUMMYFUNCTION("""COMPUTED_VALUE"""),44630.0)</f>
        <v>44630</v>
      </c>
      <c r="C301" s="64" t="str">
        <f>IFERROR(__xludf.DUMMYFUNCTION("""COMPUTED_VALUE"""),"Stock")</f>
        <v>Stock</v>
      </c>
      <c r="D301" s="90" t="str">
        <f>IFERROR(__xludf.DUMMYFUNCTION("""COMPUTED_VALUE"""),"1024.HK")</f>
        <v>1024.HK</v>
      </c>
      <c r="E301" s="5" t="str">
        <f>IFERROR(__xludf.DUMMYFUNCTION("""COMPUTED_VALUE"""),"HKD")</f>
        <v>HKD</v>
      </c>
      <c r="F301" s="69">
        <f>IFERROR(__xludf.DUMMYFUNCTION("""COMPUTED_VALUE"""),0.0)</f>
        <v>0</v>
      </c>
      <c r="G301" s="70">
        <f>IFERROR(__xludf.DUMMYFUNCTION("""COMPUTED_VALUE"""),1.0)</f>
        <v>1</v>
      </c>
      <c r="H301" s="71">
        <f>IFERROR(__xludf.DUMMYFUNCTION("""COMPUTED_VALUE"""),0.0)</f>
        <v>0</v>
      </c>
      <c r="I301" s="71">
        <f>IFERROR(__xludf.DUMMYFUNCTION("""COMPUTED_VALUE"""),64.0)</f>
        <v>64</v>
      </c>
      <c r="J301" s="88" t="str">
        <f>IFERROR(__xludf.DUMMYFUNCTION("""COMPUTED_VALUE"""),"Goto link: 1024.HK")</f>
        <v>Goto link: 1024.HK</v>
      </c>
      <c r="K301" s="22"/>
      <c r="L301" s="22"/>
      <c r="M301" s="22"/>
      <c r="N301" s="22"/>
      <c r="O301" s="73"/>
      <c r="P301" s="8"/>
      <c r="Q301" s="69"/>
      <c r="R301" s="69"/>
      <c r="S301" s="8"/>
      <c r="T301" s="69"/>
      <c r="U301" s="8"/>
      <c r="V301" s="69"/>
      <c r="W301" s="74"/>
      <c r="X301" s="69"/>
    </row>
    <row r="302">
      <c r="A302" s="30" t="str">
        <f>IFERROR(__xludf.DUMMYFUNCTION("""COMPUTED_VALUE"""),"38209")</f>
        <v>38209</v>
      </c>
      <c r="B302" s="86">
        <f>IFERROR(__xludf.DUMMYFUNCTION("""COMPUTED_VALUE"""),44630.0)</f>
        <v>44630</v>
      </c>
      <c r="C302" s="64" t="str">
        <f>IFERROR(__xludf.DUMMYFUNCTION("""COMPUTED_VALUE"""),"Stock")</f>
        <v>Stock</v>
      </c>
      <c r="D302" s="90" t="str">
        <f>IFERROR(__xludf.DUMMYFUNCTION("""COMPUTED_VALUE"""),"1024.HK")</f>
        <v>1024.HK</v>
      </c>
      <c r="E302" s="5" t="str">
        <f>IFERROR(__xludf.DUMMYFUNCTION("""COMPUTED_VALUE"""),"HKD")</f>
        <v>HKD</v>
      </c>
      <c r="F302" s="69">
        <f>IFERROR(__xludf.DUMMYFUNCTION("""COMPUTED_VALUE"""),800.0)</f>
        <v>800</v>
      </c>
      <c r="G302" s="70">
        <f>IFERROR(__xludf.DUMMYFUNCTION("""COMPUTED_VALUE"""),1.0)</f>
        <v>1</v>
      </c>
      <c r="H302" s="71">
        <f>IFERROR(__xludf.DUMMYFUNCTION("""COMPUTED_VALUE"""),73.9)</f>
        <v>73.9</v>
      </c>
      <c r="I302" s="71">
        <f>IFERROR(__xludf.DUMMYFUNCTION("""COMPUTED_VALUE"""),64.0)</f>
        <v>64</v>
      </c>
      <c r="J302" s="88" t="str">
        <f>IFERROR(__xludf.DUMMYFUNCTION("""COMPUTED_VALUE"""),"Goto link: 1024.HK")</f>
        <v>Goto link: 1024.HK</v>
      </c>
      <c r="K302" s="22"/>
      <c r="L302" s="22"/>
      <c r="M302" s="22"/>
      <c r="N302" s="22"/>
      <c r="O302" s="73"/>
      <c r="P302" s="8"/>
      <c r="Q302" s="69"/>
      <c r="R302" s="69"/>
      <c r="S302" s="8"/>
      <c r="T302" s="69"/>
      <c r="U302" s="8"/>
      <c r="V302" s="69"/>
      <c r="W302" s="74"/>
      <c r="X302" s="69"/>
    </row>
    <row r="303">
      <c r="A303" s="30" t="str">
        <f>IFERROR(__xludf.DUMMYFUNCTION("""COMPUTED_VALUE"""),"38209")</f>
        <v>38209</v>
      </c>
      <c r="B303" s="86">
        <f>IFERROR(__xludf.DUMMYFUNCTION("""COMPUTED_VALUE"""),44630.0)</f>
        <v>44630</v>
      </c>
      <c r="C303" s="64" t="str">
        <f>IFERROR(__xludf.DUMMYFUNCTION("""COMPUTED_VALUE"""),"Stock")</f>
        <v>Stock</v>
      </c>
      <c r="D303" s="90" t="str">
        <f>IFERROR(__xludf.DUMMYFUNCTION("""COMPUTED_VALUE"""),"6680.HK")</f>
        <v>6680.HK</v>
      </c>
      <c r="E303" s="5" t="str">
        <f>IFERROR(__xludf.DUMMYFUNCTION("""COMPUTED_VALUE"""),"HKD")</f>
        <v>HKD</v>
      </c>
      <c r="F303" s="69">
        <f>IFERROR(__xludf.DUMMYFUNCTION("""COMPUTED_VALUE"""),0.0)</f>
        <v>0</v>
      </c>
      <c r="G303" s="70">
        <f>IFERROR(__xludf.DUMMYFUNCTION("""COMPUTED_VALUE"""),1.0)</f>
        <v>1</v>
      </c>
      <c r="H303" s="71">
        <f>IFERROR(__xludf.DUMMYFUNCTION("""COMPUTED_VALUE"""),0.0)</f>
        <v>0</v>
      </c>
      <c r="I303" s="71">
        <f>IFERROR(__xludf.DUMMYFUNCTION("""COMPUTED_VALUE"""),22.8)</f>
        <v>22.8</v>
      </c>
      <c r="J303" s="88" t="str">
        <f>IFERROR(__xludf.DUMMYFUNCTION("""COMPUTED_VALUE"""),"Goto link: 6680.HK")</f>
        <v>Goto link: 6680.HK</v>
      </c>
      <c r="K303" s="22"/>
      <c r="L303" s="22"/>
      <c r="M303" s="22"/>
      <c r="N303" s="22"/>
      <c r="O303" s="73"/>
      <c r="P303" s="8"/>
      <c r="Q303" s="69"/>
      <c r="R303" s="69"/>
      <c r="S303" s="8"/>
      <c r="T303" s="69"/>
      <c r="U303" s="8"/>
      <c r="V303" s="69"/>
      <c r="W303" s="74"/>
      <c r="X303" s="69"/>
    </row>
    <row r="304">
      <c r="A304" s="30" t="str">
        <f>IFERROR(__xludf.DUMMYFUNCTION("""COMPUTED_VALUE"""),"38209")</f>
        <v>38209</v>
      </c>
      <c r="B304" s="86">
        <f>IFERROR(__xludf.DUMMYFUNCTION("""COMPUTED_VALUE"""),44630.0)</f>
        <v>44630</v>
      </c>
      <c r="C304" s="64" t="str">
        <f>IFERROR(__xludf.DUMMYFUNCTION("""COMPUTED_VALUE"""),"Stock")</f>
        <v>Stock</v>
      </c>
      <c r="D304" s="90" t="str">
        <f>IFERROR(__xludf.DUMMYFUNCTION("""COMPUTED_VALUE"""),"9988.HK")</f>
        <v>9988.HK</v>
      </c>
      <c r="E304" s="5" t="str">
        <f>IFERROR(__xludf.DUMMYFUNCTION("""COMPUTED_VALUE"""),"HKD")</f>
        <v>HKD</v>
      </c>
      <c r="F304" s="69">
        <f>IFERROR(__xludf.DUMMYFUNCTION("""COMPUTED_VALUE"""),0.0)</f>
        <v>0</v>
      </c>
      <c r="G304" s="70">
        <f>IFERROR(__xludf.DUMMYFUNCTION("""COMPUTED_VALUE"""),1.0)</f>
        <v>1</v>
      </c>
      <c r="H304" s="71">
        <f>IFERROR(__xludf.DUMMYFUNCTION("""COMPUTED_VALUE"""),0.0)</f>
        <v>0</v>
      </c>
      <c r="I304" s="71">
        <f>IFERROR(__xludf.DUMMYFUNCTION("""COMPUTED_VALUE"""),98.5)</f>
        <v>98.5</v>
      </c>
      <c r="J304" s="88" t="str">
        <f>IFERROR(__xludf.DUMMYFUNCTION("""COMPUTED_VALUE"""),"Goto link: 9988.HK")</f>
        <v>Goto link: 9988.HK</v>
      </c>
      <c r="K304" s="22"/>
      <c r="L304" s="22"/>
      <c r="M304" s="22"/>
      <c r="N304" s="22"/>
      <c r="O304" s="73"/>
      <c r="P304" s="8"/>
      <c r="Q304" s="69"/>
      <c r="R304" s="69"/>
      <c r="S304" s="8"/>
      <c r="T304" s="69"/>
      <c r="U304" s="8"/>
      <c r="V304" s="69"/>
      <c r="W304" s="74"/>
      <c r="X304" s="69"/>
    </row>
    <row r="305">
      <c r="A305" s="30" t="str">
        <f>IFERROR(__xludf.DUMMYFUNCTION("""COMPUTED_VALUE"""),"38209")</f>
        <v>38209</v>
      </c>
      <c r="B305" s="86">
        <f>IFERROR(__xludf.DUMMYFUNCTION("""COMPUTED_VALUE"""),44634.0)</f>
        <v>44634</v>
      </c>
      <c r="C305" s="64" t="str">
        <f>IFERROR(__xludf.DUMMYFUNCTION("""COMPUTED_VALUE"""),"Stock")</f>
        <v>Stock</v>
      </c>
      <c r="D305" s="90" t="str">
        <f>IFERROR(__xludf.DUMMYFUNCTION("""COMPUTED_VALUE"""),"1024.HK")</f>
        <v>1024.HK</v>
      </c>
      <c r="E305" s="5" t="str">
        <f>IFERROR(__xludf.DUMMYFUNCTION("""COMPUTED_VALUE"""),"HKD")</f>
        <v>HKD</v>
      </c>
      <c r="F305" s="69">
        <f>IFERROR(__xludf.DUMMYFUNCTION("""COMPUTED_VALUE"""),-1600.0)</f>
        <v>-1600</v>
      </c>
      <c r="G305" s="70">
        <f>IFERROR(__xludf.DUMMYFUNCTION("""COMPUTED_VALUE"""),1.0)</f>
        <v>1</v>
      </c>
      <c r="H305" s="71">
        <f>IFERROR(__xludf.DUMMYFUNCTION("""COMPUTED_VALUE"""),60.2)</f>
        <v>60.2</v>
      </c>
      <c r="I305" s="71">
        <f>IFERROR(__xludf.DUMMYFUNCTION("""COMPUTED_VALUE"""),64.0)</f>
        <v>64</v>
      </c>
      <c r="J305" s="88" t="str">
        <f>IFERROR(__xludf.DUMMYFUNCTION("""COMPUTED_VALUE"""),"Goto link: 1024.HK")</f>
        <v>Goto link: 1024.HK</v>
      </c>
      <c r="K305" s="22"/>
      <c r="L305" s="22"/>
      <c r="M305" s="22"/>
      <c r="N305" s="22"/>
      <c r="O305" s="73"/>
      <c r="P305" s="8"/>
      <c r="Q305" s="69"/>
      <c r="R305" s="69"/>
      <c r="S305" s="8"/>
      <c r="T305" s="69"/>
      <c r="U305" s="8"/>
      <c r="V305" s="69"/>
      <c r="W305" s="74"/>
      <c r="X305" s="69"/>
    </row>
    <row r="306">
      <c r="A306" s="30" t="str">
        <f>IFERROR(__xludf.DUMMYFUNCTION("""COMPUTED_VALUE"""),"38209")</f>
        <v>38209</v>
      </c>
      <c r="B306" s="86">
        <f>IFERROR(__xludf.DUMMYFUNCTION("""COMPUTED_VALUE"""),44634.0)</f>
        <v>44634</v>
      </c>
      <c r="C306" s="64" t="str">
        <f>IFERROR(__xludf.DUMMYFUNCTION("""COMPUTED_VALUE"""),"Stock")</f>
        <v>Stock</v>
      </c>
      <c r="D306" s="90" t="str">
        <f>IFERROR(__xludf.DUMMYFUNCTION("""COMPUTED_VALUE"""),"9988.HK")</f>
        <v>9988.HK</v>
      </c>
      <c r="E306" s="5" t="str">
        <f>IFERROR(__xludf.DUMMYFUNCTION("""COMPUTED_VALUE"""),"HKD")</f>
        <v>HKD</v>
      </c>
      <c r="F306" s="69">
        <f>IFERROR(__xludf.DUMMYFUNCTION("""COMPUTED_VALUE"""),-600.0)</f>
        <v>-600</v>
      </c>
      <c r="G306" s="70">
        <f>IFERROR(__xludf.DUMMYFUNCTION("""COMPUTED_VALUE"""),1.0)</f>
        <v>1</v>
      </c>
      <c r="H306" s="71">
        <f>IFERROR(__xludf.DUMMYFUNCTION("""COMPUTED_VALUE"""),80.9)</f>
        <v>80.9</v>
      </c>
      <c r="I306" s="71">
        <f>IFERROR(__xludf.DUMMYFUNCTION("""COMPUTED_VALUE"""),98.5)</f>
        <v>98.5</v>
      </c>
      <c r="J306" s="88" t="str">
        <f>IFERROR(__xludf.DUMMYFUNCTION("""COMPUTED_VALUE"""),"Goto link: 9988.HK")</f>
        <v>Goto link: 9988.HK</v>
      </c>
      <c r="K306" s="22"/>
      <c r="L306" s="22"/>
      <c r="M306" s="22"/>
      <c r="N306" s="22"/>
      <c r="O306" s="73"/>
      <c r="P306" s="8"/>
      <c r="Q306" s="69"/>
      <c r="R306" s="69"/>
      <c r="S306" s="8"/>
      <c r="T306" s="69"/>
      <c r="U306" s="8"/>
      <c r="V306" s="69"/>
      <c r="W306" s="74"/>
      <c r="X306" s="69"/>
    </row>
    <row r="307">
      <c r="A307" s="30" t="str">
        <f>IFERROR(__xludf.DUMMYFUNCTION("""COMPUTED_VALUE"""),"38209")</f>
        <v>38209</v>
      </c>
      <c r="B307" s="86">
        <f>IFERROR(__xludf.DUMMYFUNCTION("""COMPUTED_VALUE"""),44635.0)</f>
        <v>44635</v>
      </c>
      <c r="C307" s="64" t="str">
        <f>IFERROR(__xludf.DUMMYFUNCTION("""COMPUTED_VALUE"""),"Stock")</f>
        <v>Stock</v>
      </c>
      <c r="D307" s="90" t="str">
        <f>IFERROR(__xludf.DUMMYFUNCTION("""COMPUTED_VALUE"""),"600519.SS")</f>
        <v>600519.SS</v>
      </c>
      <c r="E307" s="5" t="str">
        <f>IFERROR(__xludf.DUMMYFUNCTION("""COMPUTED_VALUE"""),"CNY")</f>
        <v>CNY</v>
      </c>
      <c r="F307" s="69">
        <f>IFERROR(__xludf.DUMMYFUNCTION("""COMPUTED_VALUE"""),100.0)</f>
        <v>100</v>
      </c>
      <c r="G307" s="70">
        <f>IFERROR(__xludf.DUMMYFUNCTION("""COMPUTED_VALUE"""),1.231169)</f>
        <v>1.231169</v>
      </c>
      <c r="H307" s="71">
        <f>IFERROR(__xludf.DUMMYFUNCTION("""COMPUTED_VALUE"""),1603.0)</f>
        <v>1603</v>
      </c>
      <c r="I307" s="71">
        <f>IFERROR(__xludf.DUMMYFUNCTION("""COMPUTED_VALUE"""),1769.0)</f>
        <v>1769</v>
      </c>
      <c r="J307" s="88" t="str">
        <f>IFERROR(__xludf.DUMMYFUNCTION("""COMPUTED_VALUE"""),"Goto link: 600519.SS")</f>
        <v>Goto link: 600519.SS</v>
      </c>
      <c r="K307" s="22"/>
      <c r="L307" s="22"/>
      <c r="M307" s="22"/>
      <c r="N307" s="22"/>
      <c r="O307" s="73"/>
      <c r="P307" s="8"/>
      <c r="Q307" s="69"/>
      <c r="R307" s="69"/>
      <c r="S307" s="8"/>
      <c r="T307" s="69"/>
      <c r="U307" s="8"/>
      <c r="V307" s="69"/>
      <c r="W307" s="74"/>
      <c r="X307" s="69"/>
    </row>
    <row r="308">
      <c r="A308" s="30" t="str">
        <f>IFERROR(__xludf.DUMMYFUNCTION("""COMPUTED_VALUE"""),"38209")</f>
        <v>38209</v>
      </c>
      <c r="B308" s="86">
        <f>IFERROR(__xludf.DUMMYFUNCTION("""COMPUTED_VALUE"""),44635.0)</f>
        <v>44635</v>
      </c>
      <c r="C308" s="64" t="str">
        <f>IFERROR(__xludf.DUMMYFUNCTION("""COMPUTED_VALUE"""),"Stock")</f>
        <v>Stock</v>
      </c>
      <c r="D308" s="90" t="str">
        <f>IFERROR(__xludf.DUMMYFUNCTION("""COMPUTED_VALUE"""),"6862.HK")</f>
        <v>6862.HK</v>
      </c>
      <c r="E308" s="5" t="str">
        <f>IFERROR(__xludf.DUMMYFUNCTION("""COMPUTED_VALUE"""),"HKD")</f>
        <v>HKD</v>
      </c>
      <c r="F308" s="69">
        <f>IFERROR(__xludf.DUMMYFUNCTION("""COMPUTED_VALUE"""),2500.0)</f>
        <v>2500</v>
      </c>
      <c r="G308" s="70">
        <f>IFERROR(__xludf.DUMMYFUNCTION("""COMPUTED_VALUE"""),1.0)</f>
        <v>1</v>
      </c>
      <c r="H308" s="71">
        <f>IFERROR(__xludf.DUMMYFUNCTION("""COMPUTED_VALUE"""),10.08)</f>
        <v>10.08</v>
      </c>
      <c r="I308" s="71">
        <f>IFERROR(__xludf.DUMMYFUNCTION("""COMPUTED_VALUE"""),14.68)</f>
        <v>14.68</v>
      </c>
      <c r="J308" s="88" t="str">
        <f>IFERROR(__xludf.DUMMYFUNCTION("""COMPUTED_VALUE"""),"Goto link: 6862.HK")</f>
        <v>Goto link: 6862.HK</v>
      </c>
      <c r="K308" s="22"/>
      <c r="L308" s="22"/>
      <c r="M308" s="22"/>
      <c r="N308" s="22"/>
      <c r="O308" s="73"/>
      <c r="P308" s="8"/>
      <c r="Q308" s="69"/>
      <c r="R308" s="69"/>
      <c r="S308" s="8"/>
      <c r="T308" s="69"/>
      <c r="U308" s="8"/>
      <c r="V308" s="69"/>
      <c r="W308" s="74"/>
      <c r="X308" s="69"/>
    </row>
    <row r="309">
      <c r="A309" s="30" t="str">
        <f>IFERROR(__xludf.DUMMYFUNCTION("""COMPUTED_VALUE"""),"38209")</f>
        <v>38209</v>
      </c>
      <c r="B309" s="86">
        <f>IFERROR(__xludf.DUMMYFUNCTION("""COMPUTED_VALUE"""),44635.0)</f>
        <v>44635</v>
      </c>
      <c r="C309" s="64" t="str">
        <f>IFERROR(__xludf.DUMMYFUNCTION("""COMPUTED_VALUE"""),"Stock")</f>
        <v>Stock</v>
      </c>
      <c r="D309" s="90" t="str">
        <f>IFERROR(__xludf.DUMMYFUNCTION("""COMPUTED_VALUE"""),"9988.HK")</f>
        <v>9988.HK</v>
      </c>
      <c r="E309" s="5" t="str">
        <f>IFERROR(__xludf.DUMMYFUNCTION("""COMPUTED_VALUE"""),"HKD")</f>
        <v>HKD</v>
      </c>
      <c r="F309" s="69">
        <f>IFERROR(__xludf.DUMMYFUNCTION("""COMPUTED_VALUE"""),1000.0)</f>
        <v>1000</v>
      </c>
      <c r="G309" s="70">
        <f>IFERROR(__xludf.DUMMYFUNCTION("""COMPUTED_VALUE"""),1.0)</f>
        <v>1</v>
      </c>
      <c r="H309" s="71">
        <f>IFERROR(__xludf.DUMMYFUNCTION("""COMPUTED_VALUE"""),71.25)</f>
        <v>71.25</v>
      </c>
      <c r="I309" s="71">
        <f>IFERROR(__xludf.DUMMYFUNCTION("""COMPUTED_VALUE"""),98.5)</f>
        <v>98.5</v>
      </c>
      <c r="J309" s="88" t="str">
        <f>IFERROR(__xludf.DUMMYFUNCTION("""COMPUTED_VALUE"""),"Goto link: 9988.HK")</f>
        <v>Goto link: 9988.HK</v>
      </c>
      <c r="K309" s="22"/>
      <c r="L309" s="22"/>
      <c r="M309" s="22"/>
      <c r="N309" s="22"/>
      <c r="O309" s="73"/>
      <c r="P309" s="8"/>
      <c r="Q309" s="69"/>
      <c r="R309" s="69"/>
      <c r="S309" s="8"/>
      <c r="T309" s="69"/>
      <c r="U309" s="8"/>
      <c r="V309" s="69"/>
      <c r="W309" s="74"/>
      <c r="X309" s="69"/>
    </row>
    <row r="310">
      <c r="A310" s="30" t="str">
        <f>IFERROR(__xludf.DUMMYFUNCTION("""COMPUTED_VALUE"""),"38209")</f>
        <v>38209</v>
      </c>
      <c r="B310" s="86">
        <f>IFERROR(__xludf.DUMMYFUNCTION("""COMPUTED_VALUE"""),44635.0)</f>
        <v>44635</v>
      </c>
      <c r="C310" s="64" t="str">
        <f>IFERROR(__xludf.DUMMYFUNCTION("""COMPUTED_VALUE"""),"Stock")</f>
        <v>Stock</v>
      </c>
      <c r="D310" s="87" t="str">
        <f>IFERROR(__xludf.DUMMYFUNCTION("""COMPUTED_VALUE"""),"XLV")</f>
        <v>XLV</v>
      </c>
      <c r="E310" s="5" t="str">
        <f>IFERROR(__xludf.DUMMYFUNCTION("""COMPUTED_VALUE"""),"USD")</f>
        <v>USD</v>
      </c>
      <c r="F310" s="69">
        <f>IFERROR(__xludf.DUMMYFUNCTION("""COMPUTED_VALUE"""),200.0)</f>
        <v>200</v>
      </c>
      <c r="G310" s="70">
        <f>IFERROR(__xludf.DUMMYFUNCTION("""COMPUTED_VALUE"""),7.83915)</f>
        <v>7.83915</v>
      </c>
      <c r="H310" s="71">
        <f>IFERROR(__xludf.DUMMYFUNCTION("""COMPUTED_VALUE"""),132.44)</f>
        <v>132.44</v>
      </c>
      <c r="I310" s="71">
        <f>IFERROR(__xludf.DUMMYFUNCTION("""COMPUTED_VALUE"""),139.31)</f>
        <v>139.31</v>
      </c>
      <c r="J310" s="88" t="str">
        <f>IFERROR(__xludf.DUMMYFUNCTION("""COMPUTED_VALUE"""),"Goto link: XLV")</f>
        <v>Goto link: XLV</v>
      </c>
      <c r="K310" s="22"/>
      <c r="L310" s="22"/>
      <c r="M310" s="22"/>
      <c r="N310" s="22"/>
      <c r="O310" s="73"/>
      <c r="P310" s="8"/>
      <c r="Q310" s="69"/>
      <c r="R310" s="69"/>
      <c r="S310" s="8"/>
      <c r="T310" s="69"/>
      <c r="U310" s="8"/>
      <c r="V310" s="69"/>
      <c r="W310" s="74"/>
      <c r="X310" s="69"/>
    </row>
    <row r="311">
      <c r="A311" s="30" t="str">
        <f>IFERROR(__xludf.DUMMYFUNCTION("""COMPUTED_VALUE"""),"38209")</f>
        <v>38209</v>
      </c>
      <c r="B311" s="86">
        <f>IFERROR(__xludf.DUMMYFUNCTION("""COMPUTED_VALUE"""),44636.0)</f>
        <v>44636</v>
      </c>
      <c r="C311" s="64" t="str">
        <f>IFERROR(__xludf.DUMMYFUNCTION("""COMPUTED_VALUE"""),"Stock")</f>
        <v>Stock</v>
      </c>
      <c r="D311" s="90" t="str">
        <f>IFERROR(__xludf.DUMMYFUNCTION("""COMPUTED_VALUE"""),"1810.HK")</f>
        <v>1810.HK</v>
      </c>
      <c r="E311" s="5" t="str">
        <f>IFERROR(__xludf.DUMMYFUNCTION("""COMPUTED_VALUE"""),"HKD")</f>
        <v>HKD</v>
      </c>
      <c r="F311" s="69">
        <f>IFERROR(__xludf.DUMMYFUNCTION("""COMPUTED_VALUE"""),3000.0)</f>
        <v>3000</v>
      </c>
      <c r="G311" s="70">
        <f>IFERROR(__xludf.DUMMYFUNCTION("""COMPUTED_VALUE"""),1.0)</f>
        <v>1</v>
      </c>
      <c r="H311" s="71">
        <f>IFERROR(__xludf.DUMMYFUNCTION("""COMPUTED_VALUE"""),13.4)</f>
        <v>13.4</v>
      </c>
      <c r="I311" s="71">
        <f>IFERROR(__xludf.DUMMYFUNCTION("""COMPUTED_VALUE"""),12.36)</f>
        <v>12.36</v>
      </c>
      <c r="J311" s="88" t="str">
        <f>IFERROR(__xludf.DUMMYFUNCTION("""COMPUTED_VALUE"""),"Goto link: 1810.HK")</f>
        <v>Goto link: 1810.HK</v>
      </c>
      <c r="K311" s="22"/>
      <c r="L311" s="22"/>
      <c r="M311" s="22"/>
      <c r="N311" s="22"/>
      <c r="O311" s="73"/>
      <c r="P311" s="8"/>
      <c r="Q311" s="69"/>
      <c r="R311" s="69"/>
      <c r="S311" s="8"/>
      <c r="T311" s="69"/>
      <c r="U311" s="8"/>
      <c r="V311" s="69"/>
      <c r="W311" s="74"/>
      <c r="X311" s="69"/>
    </row>
    <row r="312">
      <c r="A312" s="30" t="str">
        <f>IFERROR(__xludf.DUMMYFUNCTION("""COMPUTED_VALUE"""),"38209")</f>
        <v>38209</v>
      </c>
      <c r="B312" s="86">
        <f>IFERROR(__xludf.DUMMYFUNCTION("""COMPUTED_VALUE"""),44637.0)</f>
        <v>44637</v>
      </c>
      <c r="C312" s="64" t="str">
        <f>IFERROR(__xludf.DUMMYFUNCTION("""COMPUTED_VALUE"""),"Stock")</f>
        <v>Stock</v>
      </c>
      <c r="D312" s="90" t="str">
        <f>IFERROR(__xludf.DUMMYFUNCTION("""COMPUTED_VALUE"""),"9988.HK")</f>
        <v>9988.HK</v>
      </c>
      <c r="E312" s="5" t="str">
        <f>IFERROR(__xludf.DUMMYFUNCTION("""COMPUTED_VALUE"""),"HKD")</f>
        <v>HKD</v>
      </c>
      <c r="F312" s="69">
        <f>IFERROR(__xludf.DUMMYFUNCTION("""COMPUTED_VALUE"""),-1000.0)</f>
        <v>-1000</v>
      </c>
      <c r="G312" s="70">
        <f>IFERROR(__xludf.DUMMYFUNCTION("""COMPUTED_VALUE"""),1.0)</f>
        <v>1</v>
      </c>
      <c r="H312" s="71">
        <f>IFERROR(__xludf.DUMMYFUNCTION("""COMPUTED_VALUE"""),102.0)</f>
        <v>102</v>
      </c>
      <c r="I312" s="71">
        <f>IFERROR(__xludf.DUMMYFUNCTION("""COMPUTED_VALUE"""),98.5)</f>
        <v>98.5</v>
      </c>
      <c r="J312" s="88" t="str">
        <f>IFERROR(__xludf.DUMMYFUNCTION("""COMPUTED_VALUE"""),"Goto link: 9988.HK")</f>
        <v>Goto link: 9988.HK</v>
      </c>
      <c r="K312" s="22"/>
      <c r="L312" s="22"/>
      <c r="M312" s="22"/>
      <c r="N312" s="22"/>
      <c r="O312" s="73"/>
      <c r="P312" s="8"/>
      <c r="Q312" s="69"/>
      <c r="R312" s="69"/>
      <c r="S312" s="8"/>
      <c r="T312" s="69"/>
      <c r="U312" s="8"/>
      <c r="V312" s="69"/>
      <c r="W312" s="74"/>
      <c r="X312" s="69"/>
    </row>
    <row r="313">
      <c r="A313" s="30" t="str">
        <f>IFERROR(__xludf.DUMMYFUNCTION("""COMPUTED_VALUE"""),"38209")</f>
        <v>38209</v>
      </c>
      <c r="B313" s="86">
        <f>IFERROR(__xludf.DUMMYFUNCTION("""COMPUTED_VALUE"""),44638.0)</f>
        <v>44638</v>
      </c>
      <c r="C313" s="64" t="str">
        <f>IFERROR(__xludf.DUMMYFUNCTION("""COMPUTED_VALUE"""),"Stock")</f>
        <v>Stock</v>
      </c>
      <c r="D313" s="90" t="str">
        <f>IFERROR(__xludf.DUMMYFUNCTION("""COMPUTED_VALUE"""),"600519.SS")</f>
        <v>600519.SS</v>
      </c>
      <c r="E313" s="5" t="str">
        <f>IFERROR(__xludf.DUMMYFUNCTION("""COMPUTED_VALUE"""),"CNY")</f>
        <v>CNY</v>
      </c>
      <c r="F313" s="69">
        <f>IFERROR(__xludf.DUMMYFUNCTION("""COMPUTED_VALUE"""),-100.0)</f>
        <v>-100</v>
      </c>
      <c r="G313" s="70">
        <f>IFERROR(__xludf.DUMMYFUNCTION("""COMPUTED_VALUE"""),1.231169)</f>
        <v>1.231169</v>
      </c>
      <c r="H313" s="71">
        <f>IFERROR(__xludf.DUMMYFUNCTION("""COMPUTED_VALUE"""),1707.79)</f>
        <v>1707.79</v>
      </c>
      <c r="I313" s="71">
        <f>IFERROR(__xludf.DUMMYFUNCTION("""COMPUTED_VALUE"""),1769.0)</f>
        <v>1769</v>
      </c>
      <c r="J313" s="88" t="str">
        <f>IFERROR(__xludf.DUMMYFUNCTION("""COMPUTED_VALUE"""),"Goto link: 600519.SS")</f>
        <v>Goto link: 600519.SS</v>
      </c>
      <c r="K313" s="22"/>
      <c r="L313" s="22"/>
      <c r="M313" s="22"/>
      <c r="N313" s="22"/>
      <c r="O313" s="73"/>
      <c r="P313" s="8"/>
      <c r="Q313" s="69"/>
      <c r="R313" s="69"/>
      <c r="S313" s="8"/>
      <c r="T313" s="69"/>
      <c r="U313" s="8"/>
      <c r="V313" s="69"/>
      <c r="W313" s="74"/>
      <c r="X313" s="69"/>
    </row>
    <row r="314">
      <c r="A314" s="30" t="str">
        <f>IFERROR(__xludf.DUMMYFUNCTION("""COMPUTED_VALUE"""),"38209")</f>
        <v>38209</v>
      </c>
      <c r="B314" s="86">
        <f>IFERROR(__xludf.DUMMYFUNCTION("""COMPUTED_VALUE"""),44638.0)</f>
        <v>44638</v>
      </c>
      <c r="C314" s="64" t="str">
        <f>IFERROR(__xludf.DUMMYFUNCTION("""COMPUTED_VALUE"""),"Stock")</f>
        <v>Stock</v>
      </c>
      <c r="D314" s="87" t="str">
        <f>IFERROR(__xludf.DUMMYFUNCTION("""COMPUTED_VALUE"""),"XLV")</f>
        <v>XLV</v>
      </c>
      <c r="E314" s="5" t="str">
        <f>IFERROR(__xludf.DUMMYFUNCTION("""COMPUTED_VALUE"""),"USD")</f>
        <v>USD</v>
      </c>
      <c r="F314" s="69">
        <f>IFERROR(__xludf.DUMMYFUNCTION("""COMPUTED_VALUE"""),-200.0)</f>
        <v>-200</v>
      </c>
      <c r="G314" s="70">
        <f>IFERROR(__xludf.DUMMYFUNCTION("""COMPUTED_VALUE"""),7.83915)</f>
        <v>7.83915</v>
      </c>
      <c r="H314" s="71">
        <f>IFERROR(__xludf.DUMMYFUNCTION("""COMPUTED_VALUE"""),136.99)</f>
        <v>136.99</v>
      </c>
      <c r="I314" s="71">
        <f>IFERROR(__xludf.DUMMYFUNCTION("""COMPUTED_VALUE"""),139.31)</f>
        <v>139.31</v>
      </c>
      <c r="J314" s="88" t="str">
        <f>IFERROR(__xludf.DUMMYFUNCTION("""COMPUTED_VALUE"""),"Goto link: XLV")</f>
        <v>Goto link: XLV</v>
      </c>
      <c r="K314" s="22"/>
      <c r="L314" s="22"/>
      <c r="M314" s="22"/>
      <c r="N314" s="22"/>
      <c r="O314" s="73"/>
      <c r="P314" s="8"/>
      <c r="Q314" s="69"/>
      <c r="R314" s="69"/>
      <c r="S314" s="8"/>
      <c r="T314" s="69"/>
      <c r="U314" s="8"/>
      <c r="V314" s="69"/>
      <c r="W314" s="74"/>
      <c r="X314" s="69"/>
    </row>
    <row r="315">
      <c r="A315" s="30" t="str">
        <f>IFERROR(__xludf.DUMMYFUNCTION("""COMPUTED_VALUE"""),"38209")</f>
        <v>38209</v>
      </c>
      <c r="B315" s="86">
        <f>IFERROR(__xludf.DUMMYFUNCTION("""COMPUTED_VALUE"""),44644.0)</f>
        <v>44644</v>
      </c>
      <c r="C315" s="64" t="str">
        <f>IFERROR(__xludf.DUMMYFUNCTION("""COMPUTED_VALUE"""),"Stock")</f>
        <v>Stock</v>
      </c>
      <c r="D315" s="90" t="str">
        <f>IFERROR(__xludf.DUMMYFUNCTION("""COMPUTED_VALUE"""),"0700.HK")</f>
        <v>0700.HK</v>
      </c>
      <c r="E315" s="5" t="str">
        <f>IFERROR(__xludf.DUMMYFUNCTION("""COMPUTED_VALUE"""),"HKD")</f>
        <v>HKD</v>
      </c>
      <c r="F315" s="69">
        <f>IFERROR(__xludf.DUMMYFUNCTION("""COMPUTED_VALUE"""),-1000.0)</f>
        <v>-1000</v>
      </c>
      <c r="G315" s="70">
        <f>IFERROR(__xludf.DUMMYFUNCTION("""COMPUTED_VALUE"""),1.0)</f>
        <v>1</v>
      </c>
      <c r="H315" s="71">
        <f>IFERROR(__xludf.DUMMYFUNCTION("""COMPUTED_VALUE"""),366.0)</f>
        <v>366</v>
      </c>
      <c r="I315" s="71">
        <f>IFERROR(__xludf.DUMMYFUNCTION("""COMPUTED_VALUE"""),373.6)</f>
        <v>373.6</v>
      </c>
      <c r="J315" s="88" t="str">
        <f>IFERROR(__xludf.DUMMYFUNCTION("""COMPUTED_VALUE"""),"Goto link: 0700.HK")</f>
        <v>Goto link: 0700.HK</v>
      </c>
      <c r="K315" s="22"/>
      <c r="L315" s="22"/>
      <c r="M315" s="22"/>
      <c r="N315" s="22"/>
      <c r="O315" s="73"/>
      <c r="P315" s="8"/>
      <c r="Q315" s="69"/>
      <c r="R315" s="69"/>
      <c r="S315" s="8"/>
      <c r="T315" s="69"/>
      <c r="U315" s="8"/>
      <c r="V315" s="69"/>
      <c r="W315" s="74"/>
      <c r="X315" s="69"/>
    </row>
    <row r="316">
      <c r="A316" s="30" t="str">
        <f>IFERROR(__xludf.DUMMYFUNCTION("""COMPUTED_VALUE"""),"38209")</f>
        <v>38209</v>
      </c>
      <c r="B316" s="86">
        <f>IFERROR(__xludf.DUMMYFUNCTION("""COMPUTED_VALUE"""),44644.0)</f>
        <v>44644</v>
      </c>
      <c r="C316" s="64" t="str">
        <f>IFERROR(__xludf.DUMMYFUNCTION("""COMPUTED_VALUE"""),"Stock")</f>
        <v>Stock</v>
      </c>
      <c r="D316" s="90" t="str">
        <f>IFERROR(__xludf.DUMMYFUNCTION("""COMPUTED_VALUE"""),"1810.HK")</f>
        <v>1810.HK</v>
      </c>
      <c r="E316" s="5" t="str">
        <f>IFERROR(__xludf.DUMMYFUNCTION("""COMPUTED_VALUE"""),"HKD")</f>
        <v>HKD</v>
      </c>
      <c r="F316" s="69">
        <f>IFERROR(__xludf.DUMMYFUNCTION("""COMPUTED_VALUE"""),-5000.0)</f>
        <v>-5000</v>
      </c>
      <c r="G316" s="70">
        <f>IFERROR(__xludf.DUMMYFUNCTION("""COMPUTED_VALUE"""),1.0)</f>
        <v>1</v>
      </c>
      <c r="H316" s="71">
        <f>IFERROR(__xludf.DUMMYFUNCTION("""COMPUTED_VALUE"""),14.5)</f>
        <v>14.5</v>
      </c>
      <c r="I316" s="71">
        <f>IFERROR(__xludf.DUMMYFUNCTION("""COMPUTED_VALUE"""),12.36)</f>
        <v>12.36</v>
      </c>
      <c r="J316" s="88" t="str">
        <f>IFERROR(__xludf.DUMMYFUNCTION("""COMPUTED_VALUE"""),"Goto link: 1810.HK")</f>
        <v>Goto link: 1810.HK</v>
      </c>
      <c r="K316" s="22"/>
      <c r="L316" s="22"/>
      <c r="M316" s="22"/>
      <c r="N316" s="22"/>
      <c r="O316" s="73"/>
      <c r="P316" s="8"/>
      <c r="Q316" s="69"/>
      <c r="R316" s="69"/>
      <c r="S316" s="8"/>
      <c r="T316" s="69"/>
      <c r="U316" s="8"/>
      <c r="V316" s="69"/>
      <c r="W316" s="74"/>
      <c r="X316" s="69"/>
    </row>
    <row r="317">
      <c r="A317" s="30" t="str">
        <f>IFERROR(__xludf.DUMMYFUNCTION("""COMPUTED_VALUE"""),"38209")</f>
        <v>38209</v>
      </c>
      <c r="B317" s="86">
        <f>IFERROR(__xludf.DUMMYFUNCTION("""COMPUTED_VALUE"""),44644.0)</f>
        <v>44644</v>
      </c>
      <c r="C317" s="64" t="str">
        <f>IFERROR(__xludf.DUMMYFUNCTION("""COMPUTED_VALUE"""),"Stock")</f>
        <v>Stock</v>
      </c>
      <c r="D317" s="90" t="str">
        <f>IFERROR(__xludf.DUMMYFUNCTION("""COMPUTED_VALUE"""),"6862.HK")</f>
        <v>6862.HK</v>
      </c>
      <c r="E317" s="5" t="str">
        <f>IFERROR(__xludf.DUMMYFUNCTION("""COMPUTED_VALUE"""),"HKD")</f>
        <v>HKD</v>
      </c>
      <c r="F317" s="69">
        <f>IFERROR(__xludf.DUMMYFUNCTION("""COMPUTED_VALUE"""),-2500.0)</f>
        <v>-2500</v>
      </c>
      <c r="G317" s="70">
        <f>IFERROR(__xludf.DUMMYFUNCTION("""COMPUTED_VALUE"""),1.0)</f>
        <v>1</v>
      </c>
      <c r="H317" s="71">
        <f>IFERROR(__xludf.DUMMYFUNCTION("""COMPUTED_VALUE"""),14.48)</f>
        <v>14.48</v>
      </c>
      <c r="I317" s="71">
        <f>IFERROR(__xludf.DUMMYFUNCTION("""COMPUTED_VALUE"""),14.68)</f>
        <v>14.68</v>
      </c>
      <c r="J317" s="88" t="str">
        <f>IFERROR(__xludf.DUMMYFUNCTION("""COMPUTED_VALUE"""),"Goto link: 6862.HK")</f>
        <v>Goto link: 6862.HK</v>
      </c>
      <c r="K317" s="22"/>
      <c r="L317" s="22"/>
      <c r="M317" s="22"/>
      <c r="N317" s="22"/>
      <c r="O317" s="73"/>
      <c r="P317" s="8"/>
      <c r="Q317" s="69"/>
      <c r="R317" s="69"/>
      <c r="S317" s="8"/>
      <c r="T317" s="69"/>
      <c r="U317" s="8"/>
      <c r="V317" s="69"/>
      <c r="W317" s="74"/>
      <c r="X317" s="69"/>
    </row>
    <row r="318">
      <c r="A318" s="30" t="str">
        <f>IFERROR(__xludf.DUMMYFUNCTION("""COMPUTED_VALUE"""),"38209")</f>
        <v>38209</v>
      </c>
      <c r="B318" s="86">
        <f>IFERROR(__xludf.DUMMYFUNCTION("""COMPUTED_VALUE"""),44648.0)</f>
        <v>44648</v>
      </c>
      <c r="C318" s="64" t="str">
        <f>IFERROR(__xludf.DUMMYFUNCTION("""COMPUTED_VALUE"""),"Stock")</f>
        <v>Stock</v>
      </c>
      <c r="D318" s="90" t="str">
        <f>IFERROR(__xludf.DUMMYFUNCTION("""COMPUTED_VALUE"""),"600519.SS")</f>
        <v>600519.SS</v>
      </c>
      <c r="E318" s="5" t="str">
        <f>IFERROR(__xludf.DUMMYFUNCTION("""COMPUTED_VALUE"""),"CNY")</f>
        <v>CNY</v>
      </c>
      <c r="F318" s="69">
        <f>IFERROR(__xludf.DUMMYFUNCTION("""COMPUTED_VALUE"""),-100.0)</f>
        <v>-100</v>
      </c>
      <c r="G318" s="70">
        <f>IFERROR(__xludf.DUMMYFUNCTION("""COMPUTED_VALUE"""),1.231169)</f>
        <v>1.231169</v>
      </c>
      <c r="H318" s="71">
        <f>IFERROR(__xludf.DUMMYFUNCTION("""COMPUTED_VALUE"""),1660.8)</f>
        <v>1660.8</v>
      </c>
      <c r="I318" s="71">
        <f>IFERROR(__xludf.DUMMYFUNCTION("""COMPUTED_VALUE"""),1769.0)</f>
        <v>1769</v>
      </c>
      <c r="J318" s="88" t="str">
        <f>IFERROR(__xludf.DUMMYFUNCTION("""COMPUTED_VALUE"""),"Goto link: 600519.SS")</f>
        <v>Goto link: 600519.SS</v>
      </c>
      <c r="K318" s="22"/>
      <c r="L318" s="22"/>
      <c r="M318" s="22"/>
      <c r="N318" s="22"/>
      <c r="O318" s="73"/>
      <c r="P318" s="8"/>
      <c r="Q318" s="69"/>
      <c r="R318" s="69"/>
      <c r="S318" s="8"/>
      <c r="T318" s="69"/>
      <c r="U318" s="8"/>
      <c r="V318" s="69"/>
      <c r="W318" s="74"/>
      <c r="X318" s="69"/>
    </row>
    <row r="319">
      <c r="A319" s="30" t="str">
        <f>IFERROR(__xludf.DUMMYFUNCTION("""COMPUTED_VALUE"""),"38209")</f>
        <v>38209</v>
      </c>
      <c r="B319" s="86">
        <f>IFERROR(__xludf.DUMMYFUNCTION("""COMPUTED_VALUE"""),44648.0)</f>
        <v>44648</v>
      </c>
      <c r="C319" s="64" t="str">
        <f>IFERROR(__xludf.DUMMYFUNCTION("""COMPUTED_VALUE"""),"Stock")</f>
        <v>Stock</v>
      </c>
      <c r="D319" s="90" t="str">
        <f>IFERROR(__xludf.DUMMYFUNCTION("""COMPUTED_VALUE"""),"6680.HK")</f>
        <v>6680.HK</v>
      </c>
      <c r="E319" s="5" t="str">
        <f>IFERROR(__xludf.DUMMYFUNCTION("""COMPUTED_VALUE"""),"HKD")</f>
        <v>HKD</v>
      </c>
      <c r="F319" s="69">
        <f>IFERROR(__xludf.DUMMYFUNCTION("""COMPUTED_VALUE"""),-1000.0)</f>
        <v>-1000</v>
      </c>
      <c r="G319" s="70">
        <f>IFERROR(__xludf.DUMMYFUNCTION("""COMPUTED_VALUE"""),1.0)</f>
        <v>1</v>
      </c>
      <c r="H319" s="71">
        <f>IFERROR(__xludf.DUMMYFUNCTION("""COMPUTED_VALUE"""),25.1)</f>
        <v>25.1</v>
      </c>
      <c r="I319" s="71">
        <f>IFERROR(__xludf.DUMMYFUNCTION("""COMPUTED_VALUE"""),22.8)</f>
        <v>22.8</v>
      </c>
      <c r="J319" s="88" t="str">
        <f>IFERROR(__xludf.DUMMYFUNCTION("""COMPUTED_VALUE"""),"Goto link: 6680.HK")</f>
        <v>Goto link: 6680.HK</v>
      </c>
      <c r="K319" s="22"/>
      <c r="L319" s="22"/>
      <c r="M319" s="22"/>
      <c r="N319" s="22"/>
      <c r="O319" s="73"/>
      <c r="P319" s="8"/>
      <c r="Q319" s="69"/>
      <c r="R319" s="69"/>
      <c r="S319" s="8"/>
      <c r="T319" s="69"/>
      <c r="U319" s="8"/>
      <c r="V319" s="69"/>
      <c r="W319" s="74"/>
      <c r="X319" s="69"/>
    </row>
    <row r="320">
      <c r="A320" s="30" t="str">
        <f>IFERROR(__xludf.DUMMYFUNCTION("""COMPUTED_VALUE"""),"38209")</f>
        <v>38209</v>
      </c>
      <c r="B320" s="86">
        <f>IFERROR(__xludf.DUMMYFUNCTION("""COMPUTED_VALUE"""),44662.0)</f>
        <v>44662</v>
      </c>
      <c r="C320" s="64" t="str">
        <f>IFERROR(__xludf.DUMMYFUNCTION("""COMPUTED_VALUE"""),"Stock")</f>
        <v>Stock</v>
      </c>
      <c r="D320" s="91" t="str">
        <f>IFERROR(__xludf.DUMMYFUNCTION("""COMPUTED_VALUE"""),"000568.SZ")</f>
        <v>000568.SZ</v>
      </c>
      <c r="E320" s="5" t="str">
        <f>IFERROR(__xludf.DUMMYFUNCTION("""COMPUTED_VALUE"""),"CNY")</f>
        <v>CNY</v>
      </c>
      <c r="F320" s="69">
        <f>IFERROR(__xludf.DUMMYFUNCTION("""COMPUTED_VALUE"""),1000.0)</f>
        <v>1000</v>
      </c>
      <c r="G320" s="70">
        <f>IFERROR(__xludf.DUMMYFUNCTION("""COMPUTED_VALUE"""),1.231169)</f>
        <v>1.231169</v>
      </c>
      <c r="H320" s="71">
        <f>IFERROR(__xludf.DUMMYFUNCTION("""COMPUTED_VALUE"""),180.1)</f>
        <v>180.1</v>
      </c>
      <c r="I320" s="71">
        <f>IFERROR(__xludf.DUMMYFUNCTION("""COMPUTED_VALUE"""),192.7)</f>
        <v>192.7</v>
      </c>
      <c r="J320" s="88" t="str">
        <f>IFERROR(__xludf.DUMMYFUNCTION("""COMPUTED_VALUE"""),"Goto link: 000568.SZ")</f>
        <v>Goto link: 000568.SZ</v>
      </c>
      <c r="K320" s="22"/>
      <c r="L320" s="22"/>
      <c r="M320" s="22"/>
      <c r="N320" s="22"/>
      <c r="O320" s="73"/>
      <c r="P320" s="8"/>
      <c r="Q320" s="69"/>
      <c r="R320" s="69"/>
      <c r="S320" s="8"/>
      <c r="T320" s="69"/>
      <c r="U320" s="8"/>
      <c r="V320" s="69"/>
      <c r="W320" s="74"/>
      <c r="X320" s="69"/>
    </row>
    <row r="321">
      <c r="A321" s="30" t="str">
        <f>IFERROR(__xludf.DUMMYFUNCTION("""COMPUTED_VALUE"""),"38209")</f>
        <v>38209</v>
      </c>
      <c r="B321" s="86">
        <f>IFERROR(__xludf.DUMMYFUNCTION("""COMPUTED_VALUE"""),44662.0)</f>
        <v>44662</v>
      </c>
      <c r="C321" s="64" t="str">
        <f>IFERROR(__xludf.DUMMYFUNCTION("""COMPUTED_VALUE"""),"Stock")</f>
        <v>Stock</v>
      </c>
      <c r="D321" s="91" t="str">
        <f>IFERROR(__xludf.DUMMYFUNCTION("""COMPUTED_VALUE"""),"600519.SS")</f>
        <v>600519.SS</v>
      </c>
      <c r="E321" s="5" t="str">
        <f>IFERROR(__xludf.DUMMYFUNCTION("""COMPUTED_VALUE"""),"CNY")</f>
        <v>CNY</v>
      </c>
      <c r="F321" s="69">
        <f>IFERROR(__xludf.DUMMYFUNCTION("""COMPUTED_VALUE"""),100.0)</f>
        <v>100</v>
      </c>
      <c r="G321" s="70">
        <f>IFERROR(__xludf.DUMMYFUNCTION("""COMPUTED_VALUE"""),1.231169)</f>
        <v>1.231169</v>
      </c>
      <c r="H321" s="71">
        <f>IFERROR(__xludf.DUMMYFUNCTION("""COMPUTED_VALUE"""),1720.0)</f>
        <v>1720</v>
      </c>
      <c r="I321" s="71">
        <f>IFERROR(__xludf.DUMMYFUNCTION("""COMPUTED_VALUE"""),1769.0)</f>
        <v>1769</v>
      </c>
      <c r="J321" s="88" t="str">
        <f>IFERROR(__xludf.DUMMYFUNCTION("""COMPUTED_VALUE"""),"Goto link: 600519.SS")</f>
        <v>Goto link: 600519.SS</v>
      </c>
      <c r="K321" s="22"/>
      <c r="L321" s="22"/>
      <c r="M321" s="22"/>
      <c r="N321" s="22"/>
      <c r="O321" s="73"/>
      <c r="P321" s="8"/>
      <c r="Q321" s="69"/>
      <c r="R321" s="69"/>
      <c r="S321" s="8"/>
      <c r="T321" s="69"/>
      <c r="U321" s="8"/>
      <c r="V321" s="69"/>
      <c r="W321" s="74"/>
      <c r="X321" s="69"/>
    </row>
    <row r="322">
      <c r="A322" s="30" t="str">
        <f>IFERROR(__xludf.DUMMYFUNCTION("""COMPUTED_VALUE"""),"38209")</f>
        <v>38209</v>
      </c>
      <c r="B322" s="86">
        <f>IFERROR(__xludf.DUMMYFUNCTION("""COMPUTED_VALUE"""),44663.0)</f>
        <v>44663</v>
      </c>
      <c r="C322" s="64" t="str">
        <f>IFERROR(__xludf.DUMMYFUNCTION("""COMPUTED_VALUE"""),"Stock")</f>
        <v>Stock</v>
      </c>
      <c r="D322" s="85" t="str">
        <f>IFERROR(__xludf.DUMMYFUNCTION("""COMPUTED_VALUE"""),"^SPX")</f>
        <v>^SPX</v>
      </c>
      <c r="E322" s="5" t="str">
        <f>IFERROR(__xludf.DUMMYFUNCTION("""COMPUTED_VALUE"""),"USD")</f>
        <v>USD</v>
      </c>
      <c r="F322" s="69">
        <f>IFERROR(__xludf.DUMMYFUNCTION("""COMPUTED_VALUE"""),1.0)</f>
        <v>1</v>
      </c>
      <c r="G322" s="70">
        <f>IFERROR(__xludf.DUMMYFUNCTION("""COMPUTED_VALUE"""),7.83915)</f>
        <v>7.83915</v>
      </c>
      <c r="H322" s="71">
        <f>IFERROR(__xludf.DUMMYFUNCTION("""COMPUTED_VALUE"""),4397.45)</f>
        <v>4397.45</v>
      </c>
      <c r="I322" s="71">
        <f>IFERROR(__xludf.DUMMYFUNCTION("""COMPUTED_VALUE"""),4446.87)</f>
        <v>4446.87</v>
      </c>
      <c r="J322" s="88" t="str">
        <f>IFERROR(__xludf.DUMMYFUNCTION("""COMPUTED_VALUE"""),"Goto link: ^SPX")</f>
        <v>Goto link: ^SPX</v>
      </c>
      <c r="K322" s="22"/>
      <c r="L322" s="22"/>
      <c r="M322" s="22"/>
      <c r="N322" s="22"/>
      <c r="O322" s="73"/>
      <c r="P322" s="8"/>
      <c r="Q322" s="69"/>
      <c r="R322" s="69"/>
      <c r="S322" s="8"/>
      <c r="T322" s="69"/>
      <c r="U322" s="8"/>
      <c r="V322" s="69"/>
      <c r="W322" s="74"/>
      <c r="X322" s="69"/>
    </row>
    <row r="323">
      <c r="A323" s="30" t="str">
        <f>IFERROR(__xludf.DUMMYFUNCTION("""COMPUTED_VALUE"""),"38209")</f>
        <v>38209</v>
      </c>
      <c r="B323" s="86">
        <f>IFERROR(__xludf.DUMMYFUNCTION("""COMPUTED_VALUE"""),44663.0)</f>
        <v>44663</v>
      </c>
      <c r="C323" s="64" t="str">
        <f>IFERROR(__xludf.DUMMYFUNCTION("""COMPUTED_VALUE"""),"Stock")</f>
        <v>Stock</v>
      </c>
      <c r="D323" s="91" t="str">
        <f>IFERROR(__xludf.DUMMYFUNCTION("""COMPUTED_VALUE"""),"000568.SZ")</f>
        <v>000568.SZ</v>
      </c>
      <c r="E323" s="5" t="str">
        <f>IFERROR(__xludf.DUMMYFUNCTION("""COMPUTED_VALUE"""),"CNY")</f>
        <v>CNY</v>
      </c>
      <c r="F323" s="69">
        <f>IFERROR(__xludf.DUMMYFUNCTION("""COMPUTED_VALUE"""),-1000.0)</f>
        <v>-1000</v>
      </c>
      <c r="G323" s="70">
        <f>IFERROR(__xludf.DUMMYFUNCTION("""COMPUTED_VALUE"""),1.231169)</f>
        <v>1.231169</v>
      </c>
      <c r="H323" s="71">
        <f>IFERROR(__xludf.DUMMYFUNCTION("""COMPUTED_VALUE"""),193.0)</f>
        <v>193</v>
      </c>
      <c r="I323" s="71">
        <f>IFERROR(__xludf.DUMMYFUNCTION("""COMPUTED_VALUE"""),192.7)</f>
        <v>192.7</v>
      </c>
      <c r="J323" s="88" t="str">
        <f>IFERROR(__xludf.DUMMYFUNCTION("""COMPUTED_VALUE"""),"Goto link: 000568.SZ")</f>
        <v>Goto link: 000568.SZ</v>
      </c>
      <c r="K323" s="22"/>
      <c r="L323" s="22"/>
      <c r="M323" s="22"/>
      <c r="N323" s="22"/>
      <c r="O323" s="73"/>
      <c r="P323" s="8"/>
      <c r="Q323" s="69"/>
      <c r="R323" s="69"/>
      <c r="S323" s="8"/>
      <c r="T323" s="69"/>
      <c r="U323" s="8"/>
      <c r="V323" s="69"/>
      <c r="W323" s="74"/>
      <c r="X323" s="69"/>
    </row>
    <row r="324">
      <c r="A324" s="30" t="str">
        <f>IFERROR(__xludf.DUMMYFUNCTION("""COMPUTED_VALUE"""),"38209")</f>
        <v>38209</v>
      </c>
      <c r="B324" s="86">
        <f>IFERROR(__xludf.DUMMYFUNCTION("""COMPUTED_VALUE"""),44663.0)</f>
        <v>44663</v>
      </c>
      <c r="C324" s="64" t="str">
        <f>IFERROR(__xludf.DUMMYFUNCTION("""COMPUTED_VALUE"""),"Stock")</f>
        <v>Stock</v>
      </c>
      <c r="D324" s="91" t="str">
        <f>IFERROR(__xludf.DUMMYFUNCTION("""COMPUTED_VALUE"""),"1024.HK")</f>
        <v>1024.HK</v>
      </c>
      <c r="E324" s="5" t="str">
        <f>IFERROR(__xludf.DUMMYFUNCTION("""COMPUTED_VALUE"""),"HKD")</f>
        <v>HKD</v>
      </c>
      <c r="F324" s="69">
        <f>IFERROR(__xludf.DUMMYFUNCTION("""COMPUTED_VALUE"""),200.0)</f>
        <v>200</v>
      </c>
      <c r="G324" s="70">
        <f>IFERROR(__xludf.DUMMYFUNCTION("""COMPUTED_VALUE"""),1.0)</f>
        <v>1</v>
      </c>
      <c r="H324" s="71">
        <f>IFERROR(__xludf.DUMMYFUNCTION("""COMPUTED_VALUE"""),60.65)</f>
        <v>60.65</v>
      </c>
      <c r="I324" s="71">
        <f>IFERROR(__xludf.DUMMYFUNCTION("""COMPUTED_VALUE"""),64.0)</f>
        <v>64</v>
      </c>
      <c r="J324" s="88" t="str">
        <f>IFERROR(__xludf.DUMMYFUNCTION("""COMPUTED_VALUE"""),"Goto link: 1024.HK")</f>
        <v>Goto link: 1024.HK</v>
      </c>
      <c r="K324" s="22"/>
      <c r="L324" s="22"/>
      <c r="M324" s="22"/>
      <c r="N324" s="22"/>
      <c r="O324" s="73"/>
      <c r="P324" s="8"/>
      <c r="Q324" s="69"/>
      <c r="R324" s="69"/>
      <c r="S324" s="8"/>
      <c r="T324" s="69"/>
      <c r="U324" s="8"/>
      <c r="V324" s="69"/>
      <c r="W324" s="74"/>
      <c r="X324" s="69"/>
    </row>
    <row r="325">
      <c r="A325" s="30" t="str">
        <f>IFERROR(__xludf.DUMMYFUNCTION("""COMPUTED_VALUE"""),"38209 Total")</f>
        <v>38209 Total</v>
      </c>
      <c r="B325" s="5"/>
      <c r="C325" s="64"/>
      <c r="D325" s="85"/>
      <c r="E325" s="5"/>
      <c r="F325" s="69"/>
      <c r="G325" s="70">
        <f>IFERROR(__xludf.DUMMYFUNCTION("""COMPUTED_VALUE"""),1.5764332631578948)</f>
        <v>1.576433263</v>
      </c>
      <c r="H325" s="71">
        <f>IFERROR(__xludf.DUMMYFUNCTION("""COMPUTED_VALUE"""),4397.45)</f>
        <v>4397.45</v>
      </c>
      <c r="I325" s="71" t="str">
        <f>IFERROR(__xludf.DUMMYFUNCTION("""COMPUTED_VALUE"""),"")</f>
        <v/>
      </c>
      <c r="J325" s="22" t="str">
        <f>IFERROR(__xludf.DUMMYFUNCTION("""COMPUTED_VALUE"""),"")</f>
        <v/>
      </c>
      <c r="K325" s="22"/>
      <c r="L325" s="22"/>
      <c r="M325" s="22"/>
      <c r="N325" s="22"/>
      <c r="O325" s="73"/>
      <c r="P325" s="8"/>
      <c r="Q325" s="69"/>
      <c r="R325" s="69"/>
      <c r="S325" s="8"/>
      <c r="T325" s="69"/>
      <c r="U325" s="8"/>
      <c r="V325" s="69"/>
      <c r="W325" s="74"/>
      <c r="X325" s="69"/>
    </row>
    <row r="326">
      <c r="A326" s="30" t="str">
        <f>IFERROR(__xludf.DUMMYFUNCTION("""COMPUTED_VALUE"""),"38302")</f>
        <v>38302</v>
      </c>
      <c r="B326" s="86">
        <f>IFERROR(__xludf.DUMMYFUNCTION("""COMPUTED_VALUE"""),44597.0)</f>
        <v>44597</v>
      </c>
      <c r="C326" s="64" t="str">
        <f>IFERROR(__xludf.DUMMYFUNCTION("""COMPUTED_VALUE"""),"Cash")</f>
        <v>Cash</v>
      </c>
      <c r="D326" s="85" t="str">
        <f>IFERROR(__xludf.DUMMYFUNCTION("""COMPUTED_VALUE"""),"Cash")</f>
        <v>Cash</v>
      </c>
      <c r="E326" s="5" t="str">
        <f>IFERROR(__xludf.DUMMYFUNCTION("""COMPUTED_VALUE"""),"HKD")</f>
        <v>HKD</v>
      </c>
      <c r="F326" s="69" t="str">
        <f>IFERROR(__xludf.DUMMYFUNCTION("""COMPUTED_VALUE"""),"")</f>
        <v/>
      </c>
      <c r="G326" s="70">
        <f>IFERROR(__xludf.DUMMYFUNCTION("""COMPUTED_VALUE"""),1.0)</f>
        <v>1</v>
      </c>
      <c r="H326" s="71">
        <f>IFERROR(__xludf.DUMMYFUNCTION("""COMPUTED_VALUE"""),1.0)</f>
        <v>1</v>
      </c>
      <c r="I326" s="71">
        <f>IFERROR(__xludf.DUMMYFUNCTION("""COMPUTED_VALUE"""),1.0)</f>
        <v>1</v>
      </c>
      <c r="J326" s="22" t="str">
        <f>IFERROR(__xludf.DUMMYFUNCTION("""COMPUTED_VALUE"""),"")</f>
        <v/>
      </c>
      <c r="K326" s="22"/>
      <c r="L326" s="22"/>
      <c r="M326" s="22"/>
      <c r="N326" s="22"/>
      <c r="O326" s="73"/>
      <c r="P326" s="8"/>
      <c r="Q326" s="69"/>
      <c r="R326" s="69"/>
      <c r="S326" s="8"/>
      <c r="T326" s="69"/>
      <c r="U326" s="8"/>
      <c r="V326" s="69"/>
      <c r="W326" s="74"/>
      <c r="X326" s="69"/>
    </row>
    <row r="327">
      <c r="A327" s="30" t="str">
        <f>IFERROR(__xludf.DUMMYFUNCTION("""COMPUTED_VALUE"""),"38302")</f>
        <v>38302</v>
      </c>
      <c r="B327" s="86">
        <f>IFERROR(__xludf.DUMMYFUNCTION("""COMPUTED_VALUE"""),44654.0)</f>
        <v>44654</v>
      </c>
      <c r="C327" s="64" t="str">
        <f>IFERROR(__xludf.DUMMYFUNCTION("""COMPUTED_VALUE"""),"Stock")</f>
        <v>Stock</v>
      </c>
      <c r="D327" s="87" t="str">
        <f>IFERROR(__xludf.DUMMYFUNCTION("""COMPUTED_VALUE"""),"AU")</f>
        <v>AU</v>
      </c>
      <c r="E327" s="5" t="str">
        <f>IFERROR(__xludf.DUMMYFUNCTION("""COMPUTED_VALUE"""),"USD")</f>
        <v>USD</v>
      </c>
      <c r="F327" s="69" t="str">
        <f>IFERROR(__xludf.DUMMYFUNCTION("""COMPUTED_VALUE"""),"")</f>
        <v/>
      </c>
      <c r="G327" s="70">
        <f>IFERROR(__xludf.DUMMYFUNCTION("""COMPUTED_VALUE"""),7.83915)</f>
        <v>7.83915</v>
      </c>
      <c r="H327" s="71">
        <f>IFERROR(__xludf.DUMMYFUNCTION("""COMPUTED_VALUE"""),24.08)</f>
        <v>24.08</v>
      </c>
      <c r="I327" s="71">
        <f>IFERROR(__xludf.DUMMYFUNCTION("""COMPUTED_VALUE"""),23.88)</f>
        <v>23.88</v>
      </c>
      <c r="J327" s="88" t="str">
        <f>IFERROR(__xludf.DUMMYFUNCTION("""COMPUTED_VALUE"""),"Goto link: AU")</f>
        <v>Goto link: AU</v>
      </c>
      <c r="K327" s="22"/>
      <c r="L327" s="22"/>
      <c r="M327" s="22"/>
      <c r="N327" s="22"/>
      <c r="O327" s="73"/>
      <c r="P327" s="8"/>
      <c r="Q327" s="69"/>
      <c r="R327" s="69"/>
      <c r="S327" s="8"/>
      <c r="T327" s="69"/>
      <c r="U327" s="8"/>
      <c r="V327" s="69"/>
      <c r="W327" s="74"/>
      <c r="X327" s="69"/>
    </row>
    <row r="328">
      <c r="A328" s="30" t="str">
        <f>IFERROR(__xludf.DUMMYFUNCTION("""COMPUTED_VALUE"""),"38302")</f>
        <v>38302</v>
      </c>
      <c r="B328" s="86">
        <f>IFERROR(__xludf.DUMMYFUNCTION("""COMPUTED_VALUE"""),44654.0)</f>
        <v>44654</v>
      </c>
      <c r="C328" s="64" t="str">
        <f>IFERROR(__xludf.DUMMYFUNCTION("""COMPUTED_VALUE"""),"Stock")</f>
        <v>Stock</v>
      </c>
      <c r="D328" s="87" t="str">
        <f>IFERROR(__xludf.DUMMYFUNCTION("""COMPUTED_VALUE"""),"NEM")</f>
        <v>NEM</v>
      </c>
      <c r="E328" s="5" t="str">
        <f>IFERROR(__xludf.DUMMYFUNCTION("""COMPUTED_VALUE"""),"USD")</f>
        <v>USD</v>
      </c>
      <c r="F328" s="69">
        <f>IFERROR(__xludf.DUMMYFUNCTION("""COMPUTED_VALUE"""),1000.0)</f>
        <v>1000</v>
      </c>
      <c r="G328" s="70">
        <f>IFERROR(__xludf.DUMMYFUNCTION("""COMPUTED_VALUE"""),7.83915)</f>
        <v>7.83915</v>
      </c>
      <c r="H328" s="71">
        <f>IFERROR(__xludf.DUMMYFUNCTION("""COMPUTED_VALUE"""),81.25)</f>
        <v>81.25</v>
      </c>
      <c r="I328" s="71">
        <f>IFERROR(__xludf.DUMMYFUNCTION("""COMPUTED_VALUE"""),84.29)</f>
        <v>84.29</v>
      </c>
      <c r="J328" s="88" t="str">
        <f>IFERROR(__xludf.DUMMYFUNCTION("""COMPUTED_VALUE"""),"Goto link: NEM")</f>
        <v>Goto link: NEM</v>
      </c>
      <c r="K328" s="22"/>
      <c r="L328" s="22"/>
      <c r="M328" s="22"/>
      <c r="N328" s="22"/>
      <c r="O328" s="73"/>
      <c r="P328" s="8"/>
      <c r="Q328" s="69"/>
      <c r="R328" s="69"/>
      <c r="S328" s="8"/>
      <c r="T328" s="69"/>
      <c r="U328" s="8"/>
      <c r="V328" s="69"/>
      <c r="W328" s="74"/>
      <c r="X328" s="69"/>
    </row>
    <row r="329">
      <c r="A329" s="30" t="str">
        <f>IFERROR(__xludf.DUMMYFUNCTION("""COMPUTED_VALUE"""),"38302 Total")</f>
        <v>38302 Total</v>
      </c>
      <c r="B329" s="5"/>
      <c r="C329" s="64"/>
      <c r="D329" s="85"/>
      <c r="E329" s="5"/>
      <c r="F329" s="69"/>
      <c r="G329" s="70">
        <f>IFERROR(__xludf.DUMMYFUNCTION("""COMPUTED_VALUE"""),5.559433333333334)</f>
        <v>5.559433333</v>
      </c>
      <c r="H329" s="71">
        <f>IFERROR(__xludf.DUMMYFUNCTION("""COMPUTED_VALUE"""),81.25)</f>
        <v>81.25</v>
      </c>
      <c r="I329" s="71" t="str">
        <f>IFERROR(__xludf.DUMMYFUNCTION("""COMPUTED_VALUE"""),"")</f>
        <v/>
      </c>
      <c r="J329" s="22" t="str">
        <f>IFERROR(__xludf.DUMMYFUNCTION("""COMPUTED_VALUE"""),"")</f>
        <v/>
      </c>
      <c r="K329" s="22"/>
      <c r="L329" s="22"/>
      <c r="M329" s="22"/>
      <c r="N329" s="22"/>
      <c r="O329" s="73"/>
      <c r="P329" s="8"/>
      <c r="Q329" s="69"/>
      <c r="R329" s="69"/>
      <c r="S329" s="8"/>
      <c r="T329" s="69"/>
      <c r="U329" s="8"/>
      <c r="V329" s="69"/>
      <c r="W329" s="74"/>
      <c r="X329" s="69"/>
    </row>
    <row r="330">
      <c r="A330" s="30" t="str">
        <f>IFERROR(__xludf.DUMMYFUNCTION("""COMPUTED_VALUE"""),"38307")</f>
        <v>38307</v>
      </c>
      <c r="B330" s="86">
        <f>IFERROR(__xludf.DUMMYFUNCTION("""COMPUTED_VALUE"""),44597.0)</f>
        <v>44597</v>
      </c>
      <c r="C330" s="64" t="str">
        <f>IFERROR(__xludf.DUMMYFUNCTION("""COMPUTED_VALUE"""),"Cash")</f>
        <v>Cash</v>
      </c>
      <c r="D330" s="85" t="str">
        <f>IFERROR(__xludf.DUMMYFUNCTION("""COMPUTED_VALUE"""),"Cash")</f>
        <v>Cash</v>
      </c>
      <c r="E330" s="5" t="str">
        <f>IFERROR(__xludf.DUMMYFUNCTION("""COMPUTED_VALUE"""),"HKD")</f>
        <v>HKD</v>
      </c>
      <c r="F330" s="69" t="str">
        <f>IFERROR(__xludf.DUMMYFUNCTION("""COMPUTED_VALUE"""),"")</f>
        <v/>
      </c>
      <c r="G330" s="70">
        <f>IFERROR(__xludf.DUMMYFUNCTION("""COMPUTED_VALUE"""),1.0)</f>
        <v>1</v>
      </c>
      <c r="H330" s="71">
        <f>IFERROR(__xludf.DUMMYFUNCTION("""COMPUTED_VALUE"""),1.0)</f>
        <v>1</v>
      </c>
      <c r="I330" s="71">
        <f>IFERROR(__xludf.DUMMYFUNCTION("""COMPUTED_VALUE"""),1.0)</f>
        <v>1</v>
      </c>
      <c r="J330" s="22" t="str">
        <f>IFERROR(__xludf.DUMMYFUNCTION("""COMPUTED_VALUE"""),"")</f>
        <v/>
      </c>
      <c r="K330" s="22"/>
      <c r="L330" s="22"/>
      <c r="M330" s="22"/>
      <c r="N330" s="22"/>
      <c r="O330" s="73"/>
      <c r="P330" s="8"/>
      <c r="Q330" s="69"/>
      <c r="R330" s="69"/>
      <c r="S330" s="8"/>
      <c r="T330" s="69"/>
      <c r="U330" s="8"/>
      <c r="V330" s="69"/>
      <c r="W330" s="74"/>
      <c r="X330" s="69"/>
    </row>
    <row r="331">
      <c r="A331" s="30" t="str">
        <f>IFERROR(__xludf.DUMMYFUNCTION("""COMPUTED_VALUE"""),"38307")</f>
        <v>38307</v>
      </c>
      <c r="B331" s="86">
        <f>IFERROR(__xludf.DUMMYFUNCTION("""COMPUTED_VALUE"""),44634.0)</f>
        <v>44634</v>
      </c>
      <c r="C331" s="64" t="str">
        <f>IFERROR(__xludf.DUMMYFUNCTION("""COMPUTED_VALUE"""),"Stock")</f>
        <v>Stock</v>
      </c>
      <c r="D331" s="87" t="str">
        <f>IFERROR(__xludf.DUMMYFUNCTION("""COMPUTED_VALUE"""),"NVAX")</f>
        <v>NVAX</v>
      </c>
      <c r="E331" s="5" t="str">
        <f>IFERROR(__xludf.DUMMYFUNCTION("""COMPUTED_VALUE"""),"USD")</f>
        <v>USD</v>
      </c>
      <c r="F331" s="69">
        <f>IFERROR(__xludf.DUMMYFUNCTION("""COMPUTED_VALUE"""),300.0)</f>
        <v>300</v>
      </c>
      <c r="G331" s="70">
        <f>IFERROR(__xludf.DUMMYFUNCTION("""COMPUTED_VALUE"""),7.83915)</f>
        <v>7.83915</v>
      </c>
      <c r="H331" s="71">
        <f>IFERROR(__xludf.DUMMYFUNCTION("""COMPUTED_VALUE"""),71.93)</f>
        <v>71.93</v>
      </c>
      <c r="I331" s="71">
        <f>IFERROR(__xludf.DUMMYFUNCTION("""COMPUTED_VALUE"""),62.17)</f>
        <v>62.17</v>
      </c>
      <c r="J331" s="88" t="str">
        <f>IFERROR(__xludf.DUMMYFUNCTION("""COMPUTED_VALUE"""),"Goto link: NVAX")</f>
        <v>Goto link: NVAX</v>
      </c>
      <c r="K331" s="22"/>
      <c r="L331" s="22"/>
      <c r="M331" s="22"/>
      <c r="N331" s="22"/>
      <c r="O331" s="73"/>
      <c r="P331" s="8"/>
      <c r="Q331" s="69"/>
      <c r="R331" s="69"/>
      <c r="S331" s="8"/>
      <c r="T331" s="69"/>
      <c r="U331" s="8"/>
      <c r="V331" s="69"/>
      <c r="W331" s="74"/>
      <c r="X331" s="69"/>
    </row>
    <row r="332">
      <c r="A332" s="30" t="str">
        <f>IFERROR(__xludf.DUMMYFUNCTION("""COMPUTED_VALUE"""),"38307")</f>
        <v>38307</v>
      </c>
      <c r="B332" s="86">
        <f>IFERROR(__xludf.DUMMYFUNCTION("""COMPUTED_VALUE"""),44634.0)</f>
        <v>44634</v>
      </c>
      <c r="C332" s="64" t="str">
        <f>IFERROR(__xludf.DUMMYFUNCTION("""COMPUTED_VALUE"""),"Stock")</f>
        <v>Stock</v>
      </c>
      <c r="D332" s="87" t="str">
        <f>IFERROR(__xludf.DUMMYFUNCTION("""COMPUTED_VALUE"""),"PFE")</f>
        <v>PFE</v>
      </c>
      <c r="E332" s="5" t="str">
        <f>IFERROR(__xludf.DUMMYFUNCTION("""COMPUTED_VALUE"""),"USD")</f>
        <v>USD</v>
      </c>
      <c r="F332" s="69">
        <f>IFERROR(__xludf.DUMMYFUNCTION("""COMPUTED_VALUE"""),500.0)</f>
        <v>500</v>
      </c>
      <c r="G332" s="70">
        <f>IFERROR(__xludf.DUMMYFUNCTION("""COMPUTED_VALUE"""),7.83915)</f>
        <v>7.83915</v>
      </c>
      <c r="H332" s="71">
        <f>IFERROR(__xludf.DUMMYFUNCTION("""COMPUTED_VALUE"""),52.25)</f>
        <v>52.25</v>
      </c>
      <c r="I332" s="71">
        <f>IFERROR(__xludf.DUMMYFUNCTION("""COMPUTED_VALUE"""),53.11)</f>
        <v>53.11</v>
      </c>
      <c r="J332" s="88" t="str">
        <f>IFERROR(__xludf.DUMMYFUNCTION("""COMPUTED_VALUE"""),"Goto link: PFE")</f>
        <v>Goto link: PFE</v>
      </c>
      <c r="K332" s="22"/>
      <c r="L332" s="22"/>
      <c r="M332" s="22"/>
      <c r="N332" s="22"/>
      <c r="O332" s="73"/>
      <c r="P332" s="8"/>
      <c r="Q332" s="69"/>
      <c r="R332" s="69"/>
      <c r="S332" s="8"/>
      <c r="T332" s="69"/>
      <c r="U332" s="8"/>
      <c r="V332" s="69"/>
      <c r="W332" s="74"/>
      <c r="X332" s="69"/>
    </row>
    <row r="333">
      <c r="A333" s="30" t="str">
        <f>IFERROR(__xludf.DUMMYFUNCTION("""COMPUTED_VALUE"""),"38307")</f>
        <v>38307</v>
      </c>
      <c r="B333" s="86">
        <f>IFERROR(__xludf.DUMMYFUNCTION("""COMPUTED_VALUE"""),44635.0)</f>
        <v>44635</v>
      </c>
      <c r="C333" s="64" t="str">
        <f>IFERROR(__xludf.DUMMYFUNCTION("""COMPUTED_VALUE"""),"Stock")</f>
        <v>Stock</v>
      </c>
      <c r="D333" s="90" t="str">
        <f>IFERROR(__xludf.DUMMYFUNCTION("""COMPUTED_VALUE"""),"603392.SS")</f>
        <v>603392.SS</v>
      </c>
      <c r="E333" s="5" t="str">
        <f>IFERROR(__xludf.DUMMYFUNCTION("""COMPUTED_VALUE"""),"CNY")</f>
        <v>CNY</v>
      </c>
      <c r="F333" s="69" t="str">
        <f>IFERROR(__xludf.DUMMYFUNCTION("""COMPUTED_VALUE"""),"")</f>
        <v/>
      </c>
      <c r="G333" s="70">
        <f>IFERROR(__xludf.DUMMYFUNCTION("""COMPUTED_VALUE"""),1.231169)</f>
        <v>1.231169</v>
      </c>
      <c r="H333" s="71">
        <f>IFERROR(__xludf.DUMMYFUNCTION("""COMPUTED_VALUE"""),246.0)</f>
        <v>246</v>
      </c>
      <c r="I333" s="71">
        <f>IFERROR(__xludf.DUMMYFUNCTION("""COMPUTED_VALUE"""),284.49)</f>
        <v>284.49</v>
      </c>
      <c r="J333" s="88" t="str">
        <f>IFERROR(__xludf.DUMMYFUNCTION("""COMPUTED_VALUE"""),"Goto link: 603392.SS")</f>
        <v>Goto link: 603392.SS</v>
      </c>
      <c r="K333" s="22"/>
      <c r="L333" s="22"/>
      <c r="M333" s="22"/>
      <c r="N333" s="22"/>
      <c r="O333" s="73"/>
      <c r="P333" s="8"/>
      <c r="Q333" s="69"/>
      <c r="R333" s="69"/>
      <c r="S333" s="8"/>
      <c r="T333" s="69"/>
      <c r="U333" s="8"/>
      <c r="V333" s="69"/>
      <c r="W333" s="74"/>
      <c r="X333" s="69"/>
    </row>
    <row r="334">
      <c r="A334" s="30" t="str">
        <f>IFERROR(__xludf.DUMMYFUNCTION("""COMPUTED_VALUE"""),"38307")</f>
        <v>38307</v>
      </c>
      <c r="B334" s="86">
        <f>IFERROR(__xludf.DUMMYFUNCTION("""COMPUTED_VALUE"""),44635.0)</f>
        <v>44635</v>
      </c>
      <c r="C334" s="64" t="str">
        <f>IFERROR(__xludf.DUMMYFUNCTION("""COMPUTED_VALUE"""),"Stock")</f>
        <v>Stock</v>
      </c>
      <c r="D334" s="90" t="str">
        <f>IFERROR(__xludf.DUMMYFUNCTION("""COMPUTED_VALUE"""),"603939.SS")</f>
        <v>603939.SS</v>
      </c>
      <c r="E334" s="5" t="str">
        <f>IFERROR(__xludf.DUMMYFUNCTION("""COMPUTED_VALUE"""),"CNY")</f>
        <v>CNY</v>
      </c>
      <c r="F334" s="69">
        <f>IFERROR(__xludf.DUMMYFUNCTION("""COMPUTED_VALUE"""),700.0)</f>
        <v>700</v>
      </c>
      <c r="G334" s="70">
        <f>IFERROR(__xludf.DUMMYFUNCTION("""COMPUTED_VALUE"""),1.231169)</f>
        <v>1.231169</v>
      </c>
      <c r="H334" s="71">
        <f>IFERROR(__xludf.DUMMYFUNCTION("""COMPUTED_VALUE"""),42.46)</f>
        <v>42.46</v>
      </c>
      <c r="I334" s="71">
        <f>IFERROR(__xludf.DUMMYFUNCTION("""COMPUTED_VALUE"""),36.4)</f>
        <v>36.4</v>
      </c>
      <c r="J334" s="88" t="str">
        <f>IFERROR(__xludf.DUMMYFUNCTION("""COMPUTED_VALUE"""),"Goto link: 603939.SS")</f>
        <v>Goto link: 603939.SS</v>
      </c>
      <c r="K334" s="22"/>
      <c r="L334" s="22"/>
      <c r="M334" s="22"/>
      <c r="N334" s="22"/>
      <c r="O334" s="73"/>
      <c r="P334" s="8"/>
      <c r="Q334" s="69"/>
      <c r="R334" s="69"/>
      <c r="S334" s="8"/>
      <c r="T334" s="69"/>
      <c r="U334" s="8"/>
      <c r="V334" s="69"/>
      <c r="W334" s="74"/>
      <c r="X334" s="69"/>
    </row>
    <row r="335">
      <c r="A335" s="30" t="str">
        <f>IFERROR(__xludf.DUMMYFUNCTION("""COMPUTED_VALUE"""),"38307")</f>
        <v>38307</v>
      </c>
      <c r="B335" s="86">
        <f>IFERROR(__xludf.DUMMYFUNCTION("""COMPUTED_VALUE"""),44644.0)</f>
        <v>44644</v>
      </c>
      <c r="C335" s="64" t="str">
        <f>IFERROR(__xludf.DUMMYFUNCTION("""COMPUTED_VALUE"""),"Stock")</f>
        <v>Stock</v>
      </c>
      <c r="D335" s="87" t="str">
        <f>IFERROR(__xludf.DUMMYFUNCTION("""COMPUTED_VALUE"""),"AAPL")</f>
        <v>AAPL</v>
      </c>
      <c r="E335" s="5" t="str">
        <f>IFERROR(__xludf.DUMMYFUNCTION("""COMPUTED_VALUE"""),"USD")</f>
        <v>USD</v>
      </c>
      <c r="F335" s="69" t="str">
        <f>IFERROR(__xludf.DUMMYFUNCTION("""COMPUTED_VALUE"""),"")</f>
        <v/>
      </c>
      <c r="G335" s="70">
        <f>IFERROR(__xludf.DUMMYFUNCTION("""COMPUTED_VALUE"""),7.83915)</f>
        <v>7.83915</v>
      </c>
      <c r="H335" s="71">
        <f>IFERROR(__xludf.DUMMYFUNCTION("""COMPUTED_VALUE"""),174.07)</f>
        <v>174.07</v>
      </c>
      <c r="I335" s="71">
        <f>IFERROR(__xludf.DUMMYFUNCTION("""COMPUTED_VALUE"""),170.4)</f>
        <v>170.4</v>
      </c>
      <c r="J335" s="88" t="str">
        <f>IFERROR(__xludf.DUMMYFUNCTION("""COMPUTED_VALUE"""),"Goto link: AAPL")</f>
        <v>Goto link: AAPL</v>
      </c>
      <c r="K335" s="22"/>
      <c r="L335" s="22"/>
      <c r="M335" s="22"/>
      <c r="N335" s="22"/>
      <c r="O335" s="73"/>
      <c r="P335" s="8"/>
      <c r="Q335" s="69"/>
      <c r="R335" s="69"/>
      <c r="S335" s="8"/>
      <c r="T335" s="69"/>
      <c r="U335" s="8"/>
      <c r="V335" s="69"/>
      <c r="W335" s="74"/>
      <c r="X335" s="69"/>
    </row>
    <row r="336">
      <c r="A336" s="30" t="str">
        <f>IFERROR(__xludf.DUMMYFUNCTION("""COMPUTED_VALUE"""),"38307")</f>
        <v>38307</v>
      </c>
      <c r="B336" s="86">
        <f>IFERROR(__xludf.DUMMYFUNCTION("""COMPUTED_VALUE"""),44644.0)</f>
        <v>44644</v>
      </c>
      <c r="C336" s="64" t="str">
        <f>IFERROR(__xludf.DUMMYFUNCTION("""COMPUTED_VALUE"""),"Stock")</f>
        <v>Stock</v>
      </c>
      <c r="D336" s="87" t="str">
        <f>IFERROR(__xludf.DUMMYFUNCTION("""COMPUTED_VALUE"""),"FWONK")</f>
        <v>FWONK</v>
      </c>
      <c r="E336" s="5" t="str">
        <f>IFERROR(__xludf.DUMMYFUNCTION("""COMPUTED_VALUE"""),"USD")</f>
        <v>USD</v>
      </c>
      <c r="F336" s="69">
        <f>IFERROR(__xludf.DUMMYFUNCTION("""COMPUTED_VALUE"""),100.0)</f>
        <v>100</v>
      </c>
      <c r="G336" s="70">
        <f>IFERROR(__xludf.DUMMYFUNCTION("""COMPUTED_VALUE"""),7.83915)</f>
        <v>7.83915</v>
      </c>
      <c r="H336" s="71">
        <f>IFERROR(__xludf.DUMMYFUNCTION("""COMPUTED_VALUE"""),65.97)</f>
        <v>65.97</v>
      </c>
      <c r="I336" s="71">
        <f>IFERROR(__xludf.DUMMYFUNCTION("""COMPUTED_VALUE"""),68.89)</f>
        <v>68.89</v>
      </c>
      <c r="J336" s="88" t="str">
        <f>IFERROR(__xludf.DUMMYFUNCTION("""COMPUTED_VALUE"""),"Goto link: FWONK")</f>
        <v>Goto link: FWONK</v>
      </c>
      <c r="K336" s="22"/>
      <c r="L336" s="22"/>
      <c r="M336" s="22"/>
      <c r="N336" s="22"/>
      <c r="O336" s="73"/>
      <c r="P336" s="8"/>
      <c r="Q336" s="69"/>
      <c r="R336" s="69"/>
      <c r="S336" s="8"/>
      <c r="T336" s="69"/>
      <c r="U336" s="8"/>
      <c r="V336" s="69"/>
      <c r="W336" s="74"/>
      <c r="X336" s="69"/>
    </row>
    <row r="337">
      <c r="A337" s="30" t="str">
        <f>IFERROR(__xludf.DUMMYFUNCTION("""COMPUTED_VALUE"""),"38307")</f>
        <v>38307</v>
      </c>
      <c r="B337" s="86">
        <f>IFERROR(__xludf.DUMMYFUNCTION("""COMPUTED_VALUE"""),44644.0)</f>
        <v>44644</v>
      </c>
      <c r="C337" s="64" t="str">
        <f>IFERROR(__xludf.DUMMYFUNCTION("""COMPUTED_VALUE"""),"Stock")</f>
        <v>Stock</v>
      </c>
      <c r="D337" s="87" t="str">
        <f>IFERROR(__xludf.DUMMYFUNCTION("""COMPUTED_VALUE"""),"FWONK")</f>
        <v>FWONK</v>
      </c>
      <c r="E337" s="5" t="str">
        <f>IFERROR(__xludf.DUMMYFUNCTION("""COMPUTED_VALUE"""),"USD")</f>
        <v>USD</v>
      </c>
      <c r="F337" s="69">
        <f>IFERROR(__xludf.DUMMYFUNCTION("""COMPUTED_VALUE"""),200.0)</f>
        <v>200</v>
      </c>
      <c r="G337" s="70">
        <f>IFERROR(__xludf.DUMMYFUNCTION("""COMPUTED_VALUE"""),7.83915)</f>
        <v>7.83915</v>
      </c>
      <c r="H337" s="71">
        <f>IFERROR(__xludf.DUMMYFUNCTION("""COMPUTED_VALUE"""),65.97)</f>
        <v>65.97</v>
      </c>
      <c r="I337" s="71">
        <f>IFERROR(__xludf.DUMMYFUNCTION("""COMPUTED_VALUE"""),68.89)</f>
        <v>68.89</v>
      </c>
      <c r="J337" s="88" t="str">
        <f>IFERROR(__xludf.DUMMYFUNCTION("""COMPUTED_VALUE"""),"Goto link: FWONK")</f>
        <v>Goto link: FWONK</v>
      </c>
      <c r="K337" s="22"/>
      <c r="L337" s="22"/>
      <c r="M337" s="22"/>
      <c r="N337" s="22"/>
      <c r="O337" s="73"/>
      <c r="P337" s="8"/>
      <c r="Q337" s="69"/>
      <c r="R337" s="69"/>
      <c r="S337" s="8"/>
      <c r="T337" s="69"/>
      <c r="U337" s="8"/>
      <c r="V337" s="69"/>
      <c r="W337" s="74"/>
      <c r="X337" s="69"/>
    </row>
    <row r="338">
      <c r="A338" s="30" t="str">
        <f>IFERROR(__xludf.DUMMYFUNCTION("""COMPUTED_VALUE"""),"38307")</f>
        <v>38307</v>
      </c>
      <c r="B338" s="86">
        <f>IFERROR(__xludf.DUMMYFUNCTION("""COMPUTED_VALUE"""),44644.0)</f>
        <v>44644</v>
      </c>
      <c r="C338" s="64" t="str">
        <f>IFERROR(__xludf.DUMMYFUNCTION("""COMPUTED_VALUE"""),"Stock")</f>
        <v>Stock</v>
      </c>
      <c r="D338" s="87" t="str">
        <f>IFERROR(__xludf.DUMMYFUNCTION("""COMPUTED_VALUE"""),"NVAX")</f>
        <v>NVAX</v>
      </c>
      <c r="E338" s="5" t="str">
        <f>IFERROR(__xludf.DUMMYFUNCTION("""COMPUTED_VALUE"""),"USD")</f>
        <v>USD</v>
      </c>
      <c r="F338" s="69">
        <f>IFERROR(__xludf.DUMMYFUNCTION("""COMPUTED_VALUE"""),-200.0)</f>
        <v>-200</v>
      </c>
      <c r="G338" s="70">
        <f>IFERROR(__xludf.DUMMYFUNCTION("""COMPUTED_VALUE"""),7.83915)</f>
        <v>7.83915</v>
      </c>
      <c r="H338" s="71">
        <f>IFERROR(__xludf.DUMMYFUNCTION("""COMPUTED_VALUE"""),81.45)</f>
        <v>81.45</v>
      </c>
      <c r="I338" s="71">
        <f>IFERROR(__xludf.DUMMYFUNCTION("""COMPUTED_VALUE"""),62.17)</f>
        <v>62.17</v>
      </c>
      <c r="J338" s="88" t="str">
        <f>IFERROR(__xludf.DUMMYFUNCTION("""COMPUTED_VALUE"""),"Goto link: NVAX")</f>
        <v>Goto link: NVAX</v>
      </c>
      <c r="K338" s="22"/>
      <c r="L338" s="22"/>
      <c r="M338" s="22"/>
      <c r="N338" s="22"/>
      <c r="O338" s="73"/>
      <c r="P338" s="8"/>
      <c r="Q338" s="69"/>
      <c r="R338" s="69"/>
      <c r="S338" s="8"/>
      <c r="T338" s="69"/>
      <c r="U338" s="8"/>
      <c r="V338" s="69"/>
      <c r="W338" s="74"/>
      <c r="X338" s="69"/>
    </row>
    <row r="339">
      <c r="A339" s="30" t="str">
        <f>IFERROR(__xludf.DUMMYFUNCTION("""COMPUTED_VALUE"""),"38307")</f>
        <v>38307</v>
      </c>
      <c r="B339" s="86">
        <f>IFERROR(__xludf.DUMMYFUNCTION("""COMPUTED_VALUE"""),44644.0)</f>
        <v>44644</v>
      </c>
      <c r="C339" s="64" t="str">
        <f>IFERROR(__xludf.DUMMYFUNCTION("""COMPUTED_VALUE"""),"Stock")</f>
        <v>Stock</v>
      </c>
      <c r="D339" s="87" t="str">
        <f>IFERROR(__xludf.DUMMYFUNCTION("""COMPUTED_VALUE"""),"NVAX")</f>
        <v>NVAX</v>
      </c>
      <c r="E339" s="5" t="str">
        <f>IFERROR(__xludf.DUMMYFUNCTION("""COMPUTED_VALUE"""),"USD")</f>
        <v>USD</v>
      </c>
      <c r="F339" s="69">
        <f>IFERROR(__xludf.DUMMYFUNCTION("""COMPUTED_VALUE"""),-100.0)</f>
        <v>-100</v>
      </c>
      <c r="G339" s="70">
        <f>IFERROR(__xludf.DUMMYFUNCTION("""COMPUTED_VALUE"""),7.83915)</f>
        <v>7.83915</v>
      </c>
      <c r="H339" s="71">
        <f>IFERROR(__xludf.DUMMYFUNCTION("""COMPUTED_VALUE"""),81.45)</f>
        <v>81.45</v>
      </c>
      <c r="I339" s="71">
        <f>IFERROR(__xludf.DUMMYFUNCTION("""COMPUTED_VALUE"""),62.17)</f>
        <v>62.17</v>
      </c>
      <c r="J339" s="88" t="str">
        <f>IFERROR(__xludf.DUMMYFUNCTION("""COMPUTED_VALUE"""),"Goto link: NVAX")</f>
        <v>Goto link: NVAX</v>
      </c>
      <c r="K339" s="22"/>
      <c r="L339" s="22"/>
      <c r="M339" s="22"/>
      <c r="N339" s="22"/>
      <c r="O339" s="73"/>
      <c r="P339" s="8"/>
      <c r="Q339" s="69"/>
      <c r="R339" s="69"/>
      <c r="S339" s="8"/>
      <c r="T339" s="69"/>
      <c r="U339" s="8"/>
      <c r="V339" s="69"/>
      <c r="W339" s="74"/>
      <c r="X339" s="69"/>
    </row>
    <row r="340">
      <c r="A340" s="30" t="str">
        <f>IFERROR(__xludf.DUMMYFUNCTION("""COMPUTED_VALUE"""),"38307")</f>
        <v>38307</v>
      </c>
      <c r="B340" s="86">
        <f>IFERROR(__xludf.DUMMYFUNCTION("""COMPUTED_VALUE"""),44645.0)</f>
        <v>44645</v>
      </c>
      <c r="C340" s="64" t="str">
        <f>IFERROR(__xludf.DUMMYFUNCTION("""COMPUTED_VALUE"""),"Stock")</f>
        <v>Stock</v>
      </c>
      <c r="D340" s="90" t="str">
        <f>IFERROR(__xludf.DUMMYFUNCTION("""COMPUTED_VALUE"""),"002104.SZ")</f>
        <v>002104.SZ</v>
      </c>
      <c r="E340" s="5" t="str">
        <f>IFERROR(__xludf.DUMMYFUNCTION("""COMPUTED_VALUE"""),"CNY")</f>
        <v>CNY</v>
      </c>
      <c r="F340" s="69">
        <f>IFERROR(__xludf.DUMMYFUNCTION("""COMPUTED_VALUE"""),2000.0)</f>
        <v>2000</v>
      </c>
      <c r="G340" s="70">
        <f>IFERROR(__xludf.DUMMYFUNCTION("""COMPUTED_VALUE"""),1.231169)</f>
        <v>1.231169</v>
      </c>
      <c r="H340" s="71">
        <f>IFERROR(__xludf.DUMMYFUNCTION("""COMPUTED_VALUE"""),11.39)</f>
        <v>11.39</v>
      </c>
      <c r="I340" s="71">
        <f>IFERROR(__xludf.DUMMYFUNCTION("""COMPUTED_VALUE"""),10.14)</f>
        <v>10.14</v>
      </c>
      <c r="J340" s="88" t="str">
        <f>IFERROR(__xludf.DUMMYFUNCTION("""COMPUTED_VALUE"""),"Goto link: 002104.SZ")</f>
        <v>Goto link: 002104.SZ</v>
      </c>
      <c r="K340" s="22"/>
      <c r="L340" s="22"/>
      <c r="M340" s="22"/>
      <c r="N340" s="22"/>
      <c r="O340" s="73"/>
      <c r="P340" s="8"/>
      <c r="Q340" s="69"/>
      <c r="R340" s="69"/>
      <c r="S340" s="8"/>
      <c r="T340" s="69"/>
      <c r="U340" s="8"/>
      <c r="V340" s="69"/>
      <c r="W340" s="74"/>
      <c r="X340" s="69"/>
    </row>
    <row r="341">
      <c r="A341" s="30" t="str">
        <f>IFERROR(__xludf.DUMMYFUNCTION("""COMPUTED_VALUE"""),"38307")</f>
        <v>38307</v>
      </c>
      <c r="B341" s="86">
        <f>IFERROR(__xludf.DUMMYFUNCTION("""COMPUTED_VALUE"""),44645.0)</f>
        <v>44645</v>
      </c>
      <c r="C341" s="64" t="str">
        <f>IFERROR(__xludf.DUMMYFUNCTION("""COMPUTED_VALUE"""),"Stock")</f>
        <v>Stock</v>
      </c>
      <c r="D341" s="90" t="str">
        <f>IFERROR(__xludf.DUMMYFUNCTION("""COMPUTED_VALUE"""),"600511.SS")</f>
        <v>600511.SS</v>
      </c>
      <c r="E341" s="5" t="str">
        <f>IFERROR(__xludf.DUMMYFUNCTION("""COMPUTED_VALUE"""),"CNY")</f>
        <v>CNY</v>
      </c>
      <c r="F341" s="69">
        <f>IFERROR(__xludf.DUMMYFUNCTION("""COMPUTED_VALUE"""),600.0)</f>
        <v>600</v>
      </c>
      <c r="G341" s="70">
        <f>IFERROR(__xludf.DUMMYFUNCTION("""COMPUTED_VALUE"""),1.231169)</f>
        <v>1.231169</v>
      </c>
      <c r="H341" s="71">
        <f>IFERROR(__xludf.DUMMYFUNCTION("""COMPUTED_VALUE"""),32.66)</f>
        <v>32.66</v>
      </c>
      <c r="I341" s="71">
        <f>IFERROR(__xludf.DUMMYFUNCTION("""COMPUTED_VALUE"""),27.74)</f>
        <v>27.74</v>
      </c>
      <c r="J341" s="88" t="str">
        <f>IFERROR(__xludf.DUMMYFUNCTION("""COMPUTED_VALUE"""),"Goto link: 600511.SS")</f>
        <v>Goto link: 600511.SS</v>
      </c>
      <c r="K341" s="22"/>
      <c r="L341" s="22"/>
      <c r="M341" s="22"/>
      <c r="N341" s="22"/>
      <c r="O341" s="73"/>
      <c r="P341" s="8"/>
      <c r="Q341" s="69"/>
      <c r="R341" s="69"/>
      <c r="S341" s="8"/>
      <c r="T341" s="69"/>
      <c r="U341" s="8"/>
      <c r="V341" s="69"/>
      <c r="W341" s="74"/>
      <c r="X341" s="69"/>
    </row>
    <row r="342">
      <c r="A342" s="30" t="str">
        <f>IFERROR(__xludf.DUMMYFUNCTION("""COMPUTED_VALUE"""),"38307")</f>
        <v>38307</v>
      </c>
      <c r="B342" s="86">
        <f>IFERROR(__xludf.DUMMYFUNCTION("""COMPUTED_VALUE"""),44645.0)</f>
        <v>44645</v>
      </c>
      <c r="C342" s="64" t="str">
        <f>IFERROR(__xludf.DUMMYFUNCTION("""COMPUTED_VALUE"""),"Stock")</f>
        <v>Stock</v>
      </c>
      <c r="D342" s="90" t="str">
        <f>IFERROR(__xludf.DUMMYFUNCTION("""COMPUTED_VALUE"""),"603392.SS")</f>
        <v>603392.SS</v>
      </c>
      <c r="E342" s="5" t="str">
        <f>IFERROR(__xludf.DUMMYFUNCTION("""COMPUTED_VALUE"""),"CNY")</f>
        <v>CNY</v>
      </c>
      <c r="F342" s="69" t="str">
        <f>IFERROR(__xludf.DUMMYFUNCTION("""COMPUTED_VALUE"""),"")</f>
        <v/>
      </c>
      <c r="G342" s="70">
        <f>IFERROR(__xludf.DUMMYFUNCTION("""COMPUTED_VALUE"""),1.231169)</f>
        <v>1.231169</v>
      </c>
      <c r="H342" s="71">
        <f>IFERROR(__xludf.DUMMYFUNCTION("""COMPUTED_VALUE"""),270.99)</f>
        <v>270.99</v>
      </c>
      <c r="I342" s="71">
        <f>IFERROR(__xludf.DUMMYFUNCTION("""COMPUTED_VALUE"""),284.49)</f>
        <v>284.49</v>
      </c>
      <c r="J342" s="88" t="str">
        <f>IFERROR(__xludf.DUMMYFUNCTION("""COMPUTED_VALUE"""),"Goto link: 603392.SS")</f>
        <v>Goto link: 603392.SS</v>
      </c>
      <c r="K342" s="22"/>
      <c r="L342" s="22"/>
      <c r="M342" s="22"/>
      <c r="N342" s="22"/>
      <c r="O342" s="73"/>
      <c r="P342" s="8"/>
      <c r="Q342" s="69"/>
      <c r="R342" s="69"/>
      <c r="S342" s="8"/>
      <c r="T342" s="69"/>
      <c r="U342" s="8"/>
      <c r="V342" s="69"/>
      <c r="W342" s="74"/>
      <c r="X342" s="69"/>
    </row>
    <row r="343">
      <c r="A343" s="30" t="str">
        <f>IFERROR(__xludf.DUMMYFUNCTION("""COMPUTED_VALUE"""),"38307")</f>
        <v>38307</v>
      </c>
      <c r="B343" s="86">
        <f>IFERROR(__xludf.DUMMYFUNCTION("""COMPUTED_VALUE"""),44645.0)</f>
        <v>44645</v>
      </c>
      <c r="C343" s="64" t="str">
        <f>IFERROR(__xludf.DUMMYFUNCTION("""COMPUTED_VALUE"""),"Stock")</f>
        <v>Stock</v>
      </c>
      <c r="D343" s="87" t="str">
        <f>IFERROR(__xludf.DUMMYFUNCTION("""COMPUTED_VALUE"""),"FWONK")</f>
        <v>FWONK</v>
      </c>
      <c r="E343" s="5" t="str">
        <f>IFERROR(__xludf.DUMMYFUNCTION("""COMPUTED_VALUE"""),"USD")</f>
        <v>USD</v>
      </c>
      <c r="F343" s="69">
        <f>IFERROR(__xludf.DUMMYFUNCTION("""COMPUTED_VALUE"""),-300.0)</f>
        <v>-300</v>
      </c>
      <c r="G343" s="70">
        <f>IFERROR(__xludf.DUMMYFUNCTION("""COMPUTED_VALUE"""),7.83915)</f>
        <v>7.83915</v>
      </c>
      <c r="H343" s="71">
        <f>IFERROR(__xludf.DUMMYFUNCTION("""COMPUTED_VALUE"""),66.55)</f>
        <v>66.55</v>
      </c>
      <c r="I343" s="71">
        <f>IFERROR(__xludf.DUMMYFUNCTION("""COMPUTED_VALUE"""),68.89)</f>
        <v>68.89</v>
      </c>
      <c r="J343" s="88" t="str">
        <f>IFERROR(__xludf.DUMMYFUNCTION("""COMPUTED_VALUE"""),"Goto link: FWONK")</f>
        <v>Goto link: FWONK</v>
      </c>
      <c r="K343" s="22"/>
      <c r="L343" s="22"/>
      <c r="M343" s="22"/>
      <c r="N343" s="22"/>
      <c r="O343" s="73"/>
      <c r="P343" s="8"/>
      <c r="Q343" s="69"/>
      <c r="R343" s="69"/>
      <c r="S343" s="8"/>
      <c r="T343" s="69"/>
      <c r="U343" s="8"/>
      <c r="V343" s="69"/>
      <c r="W343" s="74"/>
      <c r="X343" s="69"/>
    </row>
    <row r="344">
      <c r="A344" s="30" t="str">
        <f>IFERROR(__xludf.DUMMYFUNCTION("""COMPUTED_VALUE"""),"38307")</f>
        <v>38307</v>
      </c>
      <c r="B344" s="86">
        <f>IFERROR(__xludf.DUMMYFUNCTION("""COMPUTED_VALUE"""),44645.0)</f>
        <v>44645</v>
      </c>
      <c r="C344" s="64" t="str">
        <f>IFERROR(__xludf.DUMMYFUNCTION("""COMPUTED_VALUE"""),"Stock")</f>
        <v>Stock</v>
      </c>
      <c r="D344" s="87" t="str">
        <f>IFERROR(__xludf.DUMMYFUNCTION("""COMPUTED_VALUE"""),"PFE")</f>
        <v>PFE</v>
      </c>
      <c r="E344" s="5" t="str">
        <f>IFERROR(__xludf.DUMMYFUNCTION("""COMPUTED_VALUE"""),"USD")</f>
        <v>USD</v>
      </c>
      <c r="F344" s="69">
        <f>IFERROR(__xludf.DUMMYFUNCTION("""COMPUTED_VALUE"""),-500.0)</f>
        <v>-500</v>
      </c>
      <c r="G344" s="70">
        <f>IFERROR(__xludf.DUMMYFUNCTION("""COMPUTED_VALUE"""),7.83915)</f>
        <v>7.83915</v>
      </c>
      <c r="H344" s="71">
        <f>IFERROR(__xludf.DUMMYFUNCTION("""COMPUTED_VALUE"""),52.78)</f>
        <v>52.78</v>
      </c>
      <c r="I344" s="71">
        <f>IFERROR(__xludf.DUMMYFUNCTION("""COMPUTED_VALUE"""),53.11)</f>
        <v>53.11</v>
      </c>
      <c r="J344" s="88" t="str">
        <f>IFERROR(__xludf.DUMMYFUNCTION("""COMPUTED_VALUE"""),"Goto link: PFE")</f>
        <v>Goto link: PFE</v>
      </c>
      <c r="K344" s="22"/>
      <c r="L344" s="22"/>
      <c r="M344" s="22"/>
      <c r="N344" s="22"/>
      <c r="O344" s="73"/>
      <c r="P344" s="8"/>
      <c r="Q344" s="69"/>
      <c r="R344" s="69"/>
      <c r="S344" s="8"/>
      <c r="T344" s="69"/>
      <c r="U344" s="8"/>
      <c r="V344" s="69"/>
      <c r="W344" s="74"/>
      <c r="X344" s="69"/>
    </row>
    <row r="345">
      <c r="A345" s="30" t="str">
        <f>IFERROR(__xludf.DUMMYFUNCTION("""COMPUTED_VALUE"""),"38307")</f>
        <v>38307</v>
      </c>
      <c r="B345" s="86">
        <f>IFERROR(__xludf.DUMMYFUNCTION("""COMPUTED_VALUE"""),44649.0)</f>
        <v>44649</v>
      </c>
      <c r="C345" s="64" t="str">
        <f>IFERROR(__xludf.DUMMYFUNCTION("""COMPUTED_VALUE"""),"Stock")</f>
        <v>Stock</v>
      </c>
      <c r="D345" s="90" t="str">
        <f>IFERROR(__xludf.DUMMYFUNCTION("""COMPUTED_VALUE"""),"603392.SS")</f>
        <v>603392.SS</v>
      </c>
      <c r="E345" s="5" t="str">
        <f>IFERROR(__xludf.DUMMYFUNCTION("""COMPUTED_VALUE"""),"CNY")</f>
        <v>CNY</v>
      </c>
      <c r="F345" s="69">
        <f>IFERROR(__xludf.DUMMYFUNCTION("""COMPUTED_VALUE"""),400.0)</f>
        <v>400</v>
      </c>
      <c r="G345" s="70">
        <f>IFERROR(__xludf.DUMMYFUNCTION("""COMPUTED_VALUE"""),1.231169)</f>
        <v>1.231169</v>
      </c>
      <c r="H345" s="71">
        <f>IFERROR(__xludf.DUMMYFUNCTION("""COMPUTED_VALUE"""),274.66)</f>
        <v>274.66</v>
      </c>
      <c r="I345" s="71">
        <f>IFERROR(__xludf.DUMMYFUNCTION("""COMPUTED_VALUE"""),284.49)</f>
        <v>284.49</v>
      </c>
      <c r="J345" s="88" t="str">
        <f>IFERROR(__xludf.DUMMYFUNCTION("""COMPUTED_VALUE"""),"Goto link: 603392.SS")</f>
        <v>Goto link: 603392.SS</v>
      </c>
      <c r="K345" s="22"/>
      <c r="L345" s="22"/>
      <c r="M345" s="22"/>
      <c r="N345" s="22"/>
      <c r="O345" s="73"/>
      <c r="P345" s="8"/>
      <c r="Q345" s="69"/>
      <c r="R345" s="69"/>
      <c r="S345" s="8"/>
      <c r="T345" s="69"/>
      <c r="U345" s="8"/>
      <c r="V345" s="69"/>
      <c r="W345" s="74"/>
      <c r="X345" s="69"/>
    </row>
    <row r="346">
      <c r="A346" s="30" t="str">
        <f>IFERROR(__xludf.DUMMYFUNCTION("""COMPUTED_VALUE"""),"38307")</f>
        <v>38307</v>
      </c>
      <c r="B346" s="86">
        <f>IFERROR(__xludf.DUMMYFUNCTION("""COMPUTED_VALUE"""),44649.0)</f>
        <v>44649</v>
      </c>
      <c r="C346" s="64" t="str">
        <f>IFERROR(__xludf.DUMMYFUNCTION("""COMPUTED_VALUE"""),"Stock")</f>
        <v>Stock</v>
      </c>
      <c r="D346" s="87" t="str">
        <f>IFERROR(__xludf.DUMMYFUNCTION("""COMPUTED_VALUE"""),"BA")</f>
        <v>BA</v>
      </c>
      <c r="E346" s="5" t="str">
        <f>IFERROR(__xludf.DUMMYFUNCTION("""COMPUTED_VALUE"""),"USD")</f>
        <v>USD</v>
      </c>
      <c r="F346" s="69">
        <f>IFERROR(__xludf.DUMMYFUNCTION("""COMPUTED_VALUE"""),100.0)</f>
        <v>100</v>
      </c>
      <c r="G346" s="70">
        <f>IFERROR(__xludf.DUMMYFUNCTION("""COMPUTED_VALUE"""),7.83915)</f>
        <v>7.83915</v>
      </c>
      <c r="H346" s="71">
        <f>IFERROR(__xludf.DUMMYFUNCTION("""COMPUTED_VALUE"""),193.8)</f>
        <v>193.8</v>
      </c>
      <c r="I346" s="71">
        <f>IFERROR(__xludf.DUMMYFUNCTION("""COMPUTED_VALUE"""),182.96)</f>
        <v>182.96</v>
      </c>
      <c r="J346" s="88" t="str">
        <f>IFERROR(__xludf.DUMMYFUNCTION("""COMPUTED_VALUE"""),"Goto link: BA")</f>
        <v>Goto link: BA</v>
      </c>
      <c r="K346" s="22"/>
      <c r="L346" s="22"/>
      <c r="M346" s="22"/>
      <c r="N346" s="22"/>
      <c r="O346" s="73"/>
      <c r="P346" s="8"/>
      <c r="Q346" s="69"/>
      <c r="R346" s="69"/>
      <c r="S346" s="8"/>
      <c r="T346" s="69"/>
      <c r="U346" s="8"/>
      <c r="V346" s="69"/>
      <c r="W346" s="74"/>
      <c r="X346" s="69"/>
    </row>
    <row r="347">
      <c r="A347" s="30" t="str">
        <f>IFERROR(__xludf.DUMMYFUNCTION("""COMPUTED_VALUE"""),"38307")</f>
        <v>38307</v>
      </c>
      <c r="B347" s="86">
        <f>IFERROR(__xludf.DUMMYFUNCTION("""COMPUTED_VALUE"""),44655.0)</f>
        <v>44655</v>
      </c>
      <c r="C347" s="64" t="str">
        <f>IFERROR(__xludf.DUMMYFUNCTION("""COMPUTED_VALUE"""),"Stock")</f>
        <v>Stock</v>
      </c>
      <c r="D347" s="90" t="str">
        <f>IFERROR(__xludf.DUMMYFUNCTION("""COMPUTED_VALUE"""),"600511.SS")</f>
        <v>600511.SS</v>
      </c>
      <c r="E347" s="5" t="str">
        <f>IFERROR(__xludf.DUMMYFUNCTION("""COMPUTED_VALUE"""),"CNY")</f>
        <v>CNY</v>
      </c>
      <c r="F347" s="69">
        <f>IFERROR(__xludf.DUMMYFUNCTION("""COMPUTED_VALUE"""),-600.0)</f>
        <v>-600</v>
      </c>
      <c r="G347" s="70">
        <f>IFERROR(__xludf.DUMMYFUNCTION("""COMPUTED_VALUE"""),1.231169)</f>
        <v>1.231169</v>
      </c>
      <c r="H347" s="71">
        <f>IFERROR(__xludf.DUMMYFUNCTION("""COMPUTED_VALUE"""),28.56)</f>
        <v>28.56</v>
      </c>
      <c r="I347" s="71">
        <f>IFERROR(__xludf.DUMMYFUNCTION("""COMPUTED_VALUE"""),27.74)</f>
        <v>27.74</v>
      </c>
      <c r="J347" s="88" t="str">
        <f>IFERROR(__xludf.DUMMYFUNCTION("""COMPUTED_VALUE"""),"Goto link: 600511.SS")</f>
        <v>Goto link: 600511.SS</v>
      </c>
      <c r="K347" s="22"/>
      <c r="L347" s="22"/>
      <c r="M347" s="22"/>
      <c r="N347" s="22"/>
      <c r="O347" s="73"/>
      <c r="P347" s="8"/>
      <c r="Q347" s="69"/>
      <c r="R347" s="69"/>
      <c r="S347" s="8"/>
      <c r="T347" s="69"/>
      <c r="U347" s="8"/>
      <c r="V347" s="69"/>
      <c r="W347" s="74"/>
      <c r="X347" s="69"/>
    </row>
    <row r="348">
      <c r="A348" s="30" t="str">
        <f>IFERROR(__xludf.DUMMYFUNCTION("""COMPUTED_VALUE"""),"38307")</f>
        <v>38307</v>
      </c>
      <c r="B348" s="86">
        <f>IFERROR(__xludf.DUMMYFUNCTION("""COMPUTED_VALUE"""),44655.0)</f>
        <v>44655</v>
      </c>
      <c r="C348" s="64" t="str">
        <f>IFERROR(__xludf.DUMMYFUNCTION("""COMPUTED_VALUE"""),"Stock")</f>
        <v>Stock</v>
      </c>
      <c r="D348" s="90" t="str">
        <f>IFERROR(__xludf.DUMMYFUNCTION("""COMPUTED_VALUE"""),"603392.SS")</f>
        <v>603392.SS</v>
      </c>
      <c r="E348" s="5" t="str">
        <f>IFERROR(__xludf.DUMMYFUNCTION("""COMPUTED_VALUE"""),"CNY")</f>
        <v>CNY</v>
      </c>
      <c r="F348" s="69">
        <f>IFERROR(__xludf.DUMMYFUNCTION("""COMPUTED_VALUE"""),-400.0)</f>
        <v>-400</v>
      </c>
      <c r="G348" s="70">
        <f>IFERROR(__xludf.DUMMYFUNCTION("""COMPUTED_VALUE"""),1.231169)</f>
        <v>1.231169</v>
      </c>
      <c r="H348" s="71">
        <f>IFERROR(__xludf.DUMMYFUNCTION("""COMPUTED_VALUE"""),277.02)</f>
        <v>277.02</v>
      </c>
      <c r="I348" s="71">
        <f>IFERROR(__xludf.DUMMYFUNCTION("""COMPUTED_VALUE"""),284.49)</f>
        <v>284.49</v>
      </c>
      <c r="J348" s="88" t="str">
        <f>IFERROR(__xludf.DUMMYFUNCTION("""COMPUTED_VALUE"""),"Goto link: 603392.SS")</f>
        <v>Goto link: 603392.SS</v>
      </c>
      <c r="K348" s="22"/>
      <c r="L348" s="22"/>
      <c r="M348" s="22"/>
      <c r="N348" s="22"/>
      <c r="O348" s="73"/>
      <c r="P348" s="8"/>
      <c r="Q348" s="69"/>
      <c r="R348" s="69"/>
      <c r="S348" s="8"/>
      <c r="T348" s="69"/>
      <c r="U348" s="8"/>
      <c r="V348" s="69"/>
      <c r="W348" s="74"/>
      <c r="X348" s="69"/>
    </row>
    <row r="349">
      <c r="A349" s="30" t="str">
        <f>IFERROR(__xludf.DUMMYFUNCTION("""COMPUTED_VALUE"""),"38307")</f>
        <v>38307</v>
      </c>
      <c r="B349" s="86">
        <f>IFERROR(__xludf.DUMMYFUNCTION("""COMPUTED_VALUE"""),44657.0)</f>
        <v>44657</v>
      </c>
      <c r="C349" s="64" t="str">
        <f>IFERROR(__xludf.DUMMYFUNCTION("""COMPUTED_VALUE"""),"Stock")</f>
        <v>Stock</v>
      </c>
      <c r="D349" s="87" t="str">
        <f>IFERROR(__xludf.DUMMYFUNCTION("""COMPUTED_VALUE"""),"BA")</f>
        <v>BA</v>
      </c>
      <c r="E349" s="5" t="str">
        <f>IFERROR(__xludf.DUMMYFUNCTION("""COMPUTED_VALUE"""),"USD")</f>
        <v>USD</v>
      </c>
      <c r="F349" s="69">
        <f>IFERROR(__xludf.DUMMYFUNCTION("""COMPUTED_VALUE"""),-100.0)</f>
        <v>-100</v>
      </c>
      <c r="G349" s="70">
        <f>IFERROR(__xludf.DUMMYFUNCTION("""COMPUTED_VALUE"""),7.83915)</f>
        <v>7.83915</v>
      </c>
      <c r="H349" s="71">
        <f>IFERROR(__xludf.DUMMYFUNCTION("""COMPUTED_VALUE"""),178.72)</f>
        <v>178.72</v>
      </c>
      <c r="I349" s="71">
        <f>IFERROR(__xludf.DUMMYFUNCTION("""COMPUTED_VALUE"""),182.96)</f>
        <v>182.96</v>
      </c>
      <c r="J349" s="88" t="str">
        <f>IFERROR(__xludf.DUMMYFUNCTION("""COMPUTED_VALUE"""),"Goto link: BA")</f>
        <v>Goto link: BA</v>
      </c>
      <c r="K349" s="22"/>
      <c r="L349" s="22"/>
      <c r="M349" s="22"/>
      <c r="N349" s="22"/>
      <c r="O349" s="73"/>
      <c r="P349" s="8"/>
      <c r="Q349" s="69"/>
      <c r="R349" s="69"/>
      <c r="S349" s="8"/>
      <c r="T349" s="69"/>
      <c r="U349" s="8"/>
      <c r="V349" s="69"/>
      <c r="W349" s="74"/>
      <c r="X349" s="69"/>
    </row>
    <row r="350">
      <c r="A350" s="30" t="str">
        <f>IFERROR(__xludf.DUMMYFUNCTION("""COMPUTED_VALUE"""),"38307")</f>
        <v>38307</v>
      </c>
      <c r="B350" s="86">
        <f>IFERROR(__xludf.DUMMYFUNCTION("""COMPUTED_VALUE"""),44658.0)</f>
        <v>44658</v>
      </c>
      <c r="C350" s="64" t="str">
        <f>IFERROR(__xludf.DUMMYFUNCTION("""COMPUTED_VALUE"""),"Stock")</f>
        <v>Stock</v>
      </c>
      <c r="D350" s="85" t="str">
        <f>IFERROR(__xludf.DUMMYFUNCTION("""COMPUTED_VALUE"""),"NZRO")</f>
        <v>NZRO</v>
      </c>
      <c r="E350" s="5" t="str">
        <f>IFERROR(__xludf.DUMMYFUNCTION("""COMPUTED_VALUE"""),"USD")</f>
        <v>USD</v>
      </c>
      <c r="F350" s="69">
        <f>IFERROR(__xludf.DUMMYFUNCTION("""COMPUTED_VALUE"""),300.0)</f>
        <v>300</v>
      </c>
      <c r="G350" s="70">
        <f>IFERROR(__xludf.DUMMYFUNCTION("""COMPUTED_VALUE"""),7.83915)</f>
        <v>7.83915</v>
      </c>
      <c r="H350" s="71">
        <f>IFERROR(__xludf.DUMMYFUNCTION("""COMPUTED_VALUE"""),23.87)</f>
        <v>23.87</v>
      </c>
      <c r="I350" s="71">
        <f>IFERROR(__xludf.DUMMYFUNCTION("""COMPUTED_VALUE"""),24.0)</f>
        <v>24</v>
      </c>
      <c r="J350" s="88" t="str">
        <f>IFERROR(__xludf.DUMMYFUNCTION("""COMPUTED_VALUE"""),"Goto link: NZRO")</f>
        <v>Goto link: NZRO</v>
      </c>
      <c r="K350" s="22"/>
      <c r="L350" s="22"/>
      <c r="M350" s="22"/>
      <c r="N350" s="22"/>
      <c r="O350" s="73"/>
      <c r="P350" s="8"/>
      <c r="Q350" s="69"/>
      <c r="R350" s="69"/>
      <c r="S350" s="8"/>
      <c r="T350" s="69"/>
      <c r="U350" s="8"/>
      <c r="V350" s="69"/>
      <c r="W350" s="74"/>
      <c r="X350" s="69"/>
    </row>
    <row r="351">
      <c r="A351" s="30" t="str">
        <f>IFERROR(__xludf.DUMMYFUNCTION("""COMPUTED_VALUE"""),"38307")</f>
        <v>38307</v>
      </c>
      <c r="B351" s="86">
        <f>IFERROR(__xludf.DUMMYFUNCTION("""COMPUTED_VALUE"""),44659.0)</f>
        <v>44659</v>
      </c>
      <c r="C351" s="64" t="str">
        <f>IFERROR(__xludf.DUMMYFUNCTION("""COMPUTED_VALUE"""),"Stock")</f>
        <v>Stock</v>
      </c>
      <c r="D351" s="91" t="str">
        <f>IFERROR(__xludf.DUMMYFUNCTION("""COMPUTED_VALUE"""),"002104.SZ")</f>
        <v>002104.SZ</v>
      </c>
      <c r="E351" s="5" t="str">
        <f>IFERROR(__xludf.DUMMYFUNCTION("""COMPUTED_VALUE"""),"CNY")</f>
        <v>CNY</v>
      </c>
      <c r="F351" s="69">
        <f>IFERROR(__xludf.DUMMYFUNCTION("""COMPUTED_VALUE"""),1000.0)</f>
        <v>1000</v>
      </c>
      <c r="G351" s="70">
        <f>IFERROR(__xludf.DUMMYFUNCTION("""COMPUTED_VALUE"""),1.231169)</f>
        <v>1.231169</v>
      </c>
      <c r="H351" s="71">
        <f>IFERROR(__xludf.DUMMYFUNCTION("""COMPUTED_VALUE"""),11.89)</f>
        <v>11.89</v>
      </c>
      <c r="I351" s="71">
        <f>IFERROR(__xludf.DUMMYFUNCTION("""COMPUTED_VALUE"""),10.14)</f>
        <v>10.14</v>
      </c>
      <c r="J351" s="88" t="str">
        <f>IFERROR(__xludf.DUMMYFUNCTION("""COMPUTED_VALUE"""),"Goto link: 002104.SZ")</f>
        <v>Goto link: 002104.SZ</v>
      </c>
      <c r="K351" s="22"/>
      <c r="L351" s="22"/>
      <c r="M351" s="22"/>
      <c r="N351" s="22"/>
      <c r="O351" s="73"/>
      <c r="P351" s="8"/>
      <c r="Q351" s="69"/>
      <c r="R351" s="69"/>
      <c r="S351" s="8"/>
      <c r="T351" s="69"/>
      <c r="U351" s="8"/>
      <c r="V351" s="69"/>
      <c r="W351" s="74"/>
      <c r="X351" s="69"/>
    </row>
    <row r="352">
      <c r="A352" s="30" t="str">
        <f>IFERROR(__xludf.DUMMYFUNCTION("""COMPUTED_VALUE"""),"38307 Total")</f>
        <v>38307 Total</v>
      </c>
      <c r="B352" s="5"/>
      <c r="C352" s="64"/>
      <c r="D352" s="85"/>
      <c r="E352" s="5"/>
      <c r="F352" s="69"/>
      <c r="G352" s="70">
        <f>IFERROR(__xludf.DUMMYFUNCTION("""COMPUTED_VALUE"""),4.956063956521739)</f>
        <v>4.956063957</v>
      </c>
      <c r="H352" s="71">
        <f>IFERROR(__xludf.DUMMYFUNCTION("""COMPUTED_VALUE"""),277.02)</f>
        <v>277.02</v>
      </c>
      <c r="I352" s="71" t="str">
        <f>IFERROR(__xludf.DUMMYFUNCTION("""COMPUTED_VALUE"""),"")</f>
        <v/>
      </c>
      <c r="J352" s="22" t="str">
        <f>IFERROR(__xludf.DUMMYFUNCTION("""COMPUTED_VALUE"""),"")</f>
        <v/>
      </c>
      <c r="K352" s="22"/>
      <c r="L352" s="22"/>
      <c r="M352" s="22"/>
      <c r="N352" s="22"/>
      <c r="O352" s="73"/>
      <c r="P352" s="8"/>
      <c r="Q352" s="69"/>
      <c r="R352" s="69"/>
      <c r="S352" s="8"/>
      <c r="T352" s="69"/>
      <c r="U352" s="8"/>
      <c r="V352" s="69"/>
      <c r="W352" s="74"/>
      <c r="X352" s="69"/>
    </row>
    <row r="353">
      <c r="A353" s="30" t="str">
        <f>IFERROR(__xludf.DUMMYFUNCTION("""COMPUTED_VALUE"""),"38369")</f>
        <v>38369</v>
      </c>
      <c r="B353" s="86">
        <f>IFERROR(__xludf.DUMMYFUNCTION("""COMPUTED_VALUE"""),44597.0)</f>
        <v>44597</v>
      </c>
      <c r="C353" s="64" t="str">
        <f>IFERROR(__xludf.DUMMYFUNCTION("""COMPUTED_VALUE"""),"Cash")</f>
        <v>Cash</v>
      </c>
      <c r="D353" s="85" t="str">
        <f>IFERROR(__xludf.DUMMYFUNCTION("""COMPUTED_VALUE"""),"Cash")</f>
        <v>Cash</v>
      </c>
      <c r="E353" s="5" t="str">
        <f>IFERROR(__xludf.DUMMYFUNCTION("""COMPUTED_VALUE"""),"HKD")</f>
        <v>HKD</v>
      </c>
      <c r="F353" s="69" t="str">
        <f>IFERROR(__xludf.DUMMYFUNCTION("""COMPUTED_VALUE"""),"")</f>
        <v/>
      </c>
      <c r="G353" s="70">
        <f>IFERROR(__xludf.DUMMYFUNCTION("""COMPUTED_VALUE"""),1.0)</f>
        <v>1</v>
      </c>
      <c r="H353" s="71">
        <f>IFERROR(__xludf.DUMMYFUNCTION("""COMPUTED_VALUE"""),1.0)</f>
        <v>1</v>
      </c>
      <c r="I353" s="71">
        <f>IFERROR(__xludf.DUMMYFUNCTION("""COMPUTED_VALUE"""),1.0)</f>
        <v>1</v>
      </c>
      <c r="J353" s="22" t="str">
        <f>IFERROR(__xludf.DUMMYFUNCTION("""COMPUTED_VALUE"""),"")</f>
        <v/>
      </c>
      <c r="K353" s="22"/>
      <c r="L353" s="22"/>
      <c r="M353" s="22"/>
      <c r="N353" s="22"/>
      <c r="O353" s="73"/>
      <c r="P353" s="8"/>
      <c r="Q353" s="69"/>
      <c r="R353" s="69"/>
      <c r="S353" s="8"/>
      <c r="T353" s="69"/>
      <c r="U353" s="8"/>
      <c r="V353" s="69"/>
      <c r="W353" s="74"/>
      <c r="X353" s="69"/>
    </row>
    <row r="354">
      <c r="A354" s="30" t="str">
        <f>IFERROR(__xludf.DUMMYFUNCTION("""COMPUTED_VALUE"""),"38369")</f>
        <v>38369</v>
      </c>
      <c r="B354" s="86">
        <f>IFERROR(__xludf.DUMMYFUNCTION("""COMPUTED_VALUE"""),44659.0)</f>
        <v>44659</v>
      </c>
      <c r="C354" s="64" t="str">
        <f>IFERROR(__xludf.DUMMYFUNCTION("""COMPUTED_VALUE"""),"Stock")</f>
        <v>Stock</v>
      </c>
      <c r="D354" s="85" t="str">
        <f>IFERROR(__xludf.DUMMYFUNCTION("""COMPUTED_VALUE"""),"TSLA")</f>
        <v>TSLA</v>
      </c>
      <c r="E354" s="5" t="str">
        <f>IFERROR(__xludf.DUMMYFUNCTION("""COMPUTED_VALUE"""),"USD")</f>
        <v>USD</v>
      </c>
      <c r="F354" s="69" t="str">
        <f>IFERROR(__xludf.DUMMYFUNCTION("""COMPUTED_VALUE"""),"")</f>
        <v/>
      </c>
      <c r="G354" s="70">
        <f>IFERROR(__xludf.DUMMYFUNCTION("""COMPUTED_VALUE"""),7.83915)</f>
        <v>7.83915</v>
      </c>
      <c r="H354" s="71">
        <f>IFERROR(__xludf.DUMMYFUNCTION("""COMPUTED_VALUE"""),1025.49)</f>
        <v>1025.49</v>
      </c>
      <c r="I354" s="71">
        <f>IFERROR(__xludf.DUMMYFUNCTION("""COMPUTED_VALUE"""),1022.37)</f>
        <v>1022.37</v>
      </c>
      <c r="J354" s="88" t="str">
        <f>IFERROR(__xludf.DUMMYFUNCTION("""COMPUTED_VALUE"""),"Goto link: TSLA")</f>
        <v>Goto link: TSLA</v>
      </c>
      <c r="K354" s="22"/>
      <c r="L354" s="22"/>
      <c r="M354" s="22"/>
      <c r="N354" s="22"/>
      <c r="O354" s="73"/>
      <c r="P354" s="8"/>
      <c r="Q354" s="69"/>
      <c r="R354" s="69"/>
      <c r="S354" s="8"/>
      <c r="T354" s="69"/>
      <c r="U354" s="8"/>
      <c r="V354" s="69"/>
      <c r="W354" s="74"/>
      <c r="X354" s="69"/>
    </row>
    <row r="355">
      <c r="A355" s="30" t="str">
        <f>IFERROR(__xludf.DUMMYFUNCTION("""COMPUTED_VALUE"""),"38369 Total")</f>
        <v>38369 Total</v>
      </c>
      <c r="B355" s="5"/>
      <c r="C355" s="64"/>
      <c r="D355" s="85"/>
      <c r="E355" s="5"/>
      <c r="F355" s="69"/>
      <c r="G355" s="70">
        <f>IFERROR(__xludf.DUMMYFUNCTION("""COMPUTED_VALUE"""),4.419575)</f>
        <v>4.419575</v>
      </c>
      <c r="H355" s="71">
        <f>IFERROR(__xludf.DUMMYFUNCTION("""COMPUTED_VALUE"""),1025.49)</f>
        <v>1025.49</v>
      </c>
      <c r="I355" s="71" t="str">
        <f>IFERROR(__xludf.DUMMYFUNCTION("""COMPUTED_VALUE"""),"")</f>
        <v/>
      </c>
      <c r="J355" s="22" t="str">
        <f>IFERROR(__xludf.DUMMYFUNCTION("""COMPUTED_VALUE"""),"")</f>
        <v/>
      </c>
      <c r="K355" s="22"/>
      <c r="L355" s="22"/>
      <c r="M355" s="22"/>
      <c r="N355" s="22"/>
      <c r="O355" s="73"/>
      <c r="P355" s="8"/>
      <c r="Q355" s="69"/>
      <c r="R355" s="69"/>
      <c r="S355" s="8"/>
      <c r="T355" s="69"/>
      <c r="U355" s="8"/>
      <c r="V355" s="69"/>
      <c r="W355" s="74"/>
      <c r="X355" s="69"/>
    </row>
    <row r="356">
      <c r="A356" s="30" t="str">
        <f>IFERROR(__xludf.DUMMYFUNCTION("""COMPUTED_VALUE"""),"38381")</f>
        <v>38381</v>
      </c>
      <c r="B356" s="86">
        <f>IFERROR(__xludf.DUMMYFUNCTION("""COMPUTED_VALUE"""),44597.0)</f>
        <v>44597</v>
      </c>
      <c r="C356" s="64" t="str">
        <f>IFERROR(__xludf.DUMMYFUNCTION("""COMPUTED_VALUE"""),"Cash")</f>
        <v>Cash</v>
      </c>
      <c r="D356" s="85" t="str">
        <f>IFERROR(__xludf.DUMMYFUNCTION("""COMPUTED_VALUE"""),"Cash")</f>
        <v>Cash</v>
      </c>
      <c r="E356" s="5" t="str">
        <f>IFERROR(__xludf.DUMMYFUNCTION("""COMPUTED_VALUE"""),"HKD")</f>
        <v>HKD</v>
      </c>
      <c r="F356" s="69" t="str">
        <f>IFERROR(__xludf.DUMMYFUNCTION("""COMPUTED_VALUE"""),"")</f>
        <v/>
      </c>
      <c r="G356" s="70">
        <f>IFERROR(__xludf.DUMMYFUNCTION("""COMPUTED_VALUE"""),1.0)</f>
        <v>1</v>
      </c>
      <c r="H356" s="71">
        <f>IFERROR(__xludf.DUMMYFUNCTION("""COMPUTED_VALUE"""),1.0)</f>
        <v>1</v>
      </c>
      <c r="I356" s="71">
        <f>IFERROR(__xludf.DUMMYFUNCTION("""COMPUTED_VALUE"""),1.0)</f>
        <v>1</v>
      </c>
      <c r="J356" s="22" t="str">
        <f>IFERROR(__xludf.DUMMYFUNCTION("""COMPUTED_VALUE"""),"")</f>
        <v/>
      </c>
      <c r="K356" s="22"/>
      <c r="L356" s="22"/>
      <c r="M356" s="22"/>
      <c r="N356" s="22"/>
      <c r="O356" s="73"/>
      <c r="P356" s="8"/>
      <c r="Q356" s="69"/>
      <c r="R356" s="69"/>
      <c r="S356" s="8"/>
      <c r="T356" s="69"/>
      <c r="U356" s="8"/>
      <c r="V356" s="69"/>
      <c r="W356" s="74"/>
      <c r="X356" s="69"/>
    </row>
    <row r="357">
      <c r="A357" s="30" t="str">
        <f>IFERROR(__xludf.DUMMYFUNCTION("""COMPUTED_VALUE"""),"38381")</f>
        <v>38381</v>
      </c>
      <c r="B357" s="86">
        <f>IFERROR(__xludf.DUMMYFUNCTION("""COMPUTED_VALUE"""),44636.0)</f>
        <v>44636</v>
      </c>
      <c r="C357" s="64" t="str">
        <f>IFERROR(__xludf.DUMMYFUNCTION("""COMPUTED_VALUE"""),"Stock")</f>
        <v>Stock</v>
      </c>
      <c r="D357" s="87" t="str">
        <f>IFERROR(__xludf.DUMMYFUNCTION("""COMPUTED_VALUE"""),"AAPL")</f>
        <v>AAPL</v>
      </c>
      <c r="E357" s="5" t="str">
        <f>IFERROR(__xludf.DUMMYFUNCTION("""COMPUTED_VALUE"""),"USD")</f>
        <v>USD</v>
      </c>
      <c r="F357" s="69">
        <f>IFERROR(__xludf.DUMMYFUNCTION("""COMPUTED_VALUE"""),300.0)</f>
        <v>300</v>
      </c>
      <c r="G357" s="70">
        <f>IFERROR(__xludf.DUMMYFUNCTION("""COMPUTED_VALUE"""),7.83915)</f>
        <v>7.83915</v>
      </c>
      <c r="H357" s="71">
        <f>IFERROR(__xludf.DUMMYFUNCTION("""COMPUTED_VALUE"""),159.59)</f>
        <v>159.59</v>
      </c>
      <c r="I357" s="71">
        <f>IFERROR(__xludf.DUMMYFUNCTION("""COMPUTED_VALUE"""),170.4)</f>
        <v>170.4</v>
      </c>
      <c r="J357" s="88" t="str">
        <f>IFERROR(__xludf.DUMMYFUNCTION("""COMPUTED_VALUE"""),"Goto link: AAPL")</f>
        <v>Goto link: AAPL</v>
      </c>
      <c r="K357" s="22"/>
      <c r="L357" s="22"/>
      <c r="M357" s="22"/>
      <c r="N357" s="22"/>
      <c r="O357" s="73"/>
      <c r="P357" s="8"/>
      <c r="Q357" s="69"/>
      <c r="R357" s="69"/>
      <c r="S357" s="8"/>
      <c r="T357" s="69"/>
      <c r="U357" s="8"/>
      <c r="V357" s="69"/>
      <c r="W357" s="74"/>
      <c r="X357" s="69"/>
    </row>
    <row r="358">
      <c r="A358" s="30" t="str">
        <f>IFERROR(__xludf.DUMMYFUNCTION("""COMPUTED_VALUE"""),"38381")</f>
        <v>38381</v>
      </c>
      <c r="B358" s="86">
        <f>IFERROR(__xludf.DUMMYFUNCTION("""COMPUTED_VALUE"""),44636.0)</f>
        <v>44636</v>
      </c>
      <c r="C358" s="64" t="str">
        <f>IFERROR(__xludf.DUMMYFUNCTION("""COMPUTED_VALUE"""),"Stock")</f>
        <v>Stock</v>
      </c>
      <c r="D358" s="87" t="str">
        <f>IFERROR(__xludf.DUMMYFUNCTION("""COMPUTED_VALUE"""),"BZ=F")</f>
        <v>BZ=F</v>
      </c>
      <c r="E358" s="5" t="str">
        <f>IFERROR(__xludf.DUMMYFUNCTION("""COMPUTED_VALUE"""),"USD")</f>
        <v>USD</v>
      </c>
      <c r="F358" s="69">
        <f>IFERROR(__xludf.DUMMYFUNCTION("""COMPUTED_VALUE"""),200.0)</f>
        <v>200</v>
      </c>
      <c r="G358" s="70">
        <f>IFERROR(__xludf.DUMMYFUNCTION("""COMPUTED_VALUE"""),7.83915)</f>
        <v>7.83915</v>
      </c>
      <c r="H358" s="71">
        <f>IFERROR(__xludf.DUMMYFUNCTION("""COMPUTED_VALUE"""),98.51)</f>
        <v>98.51</v>
      </c>
      <c r="I358" s="71">
        <f>IFERROR(__xludf.DUMMYFUNCTION("""COMPUTED_VALUE"""),108.88)</f>
        <v>108.88</v>
      </c>
      <c r="J358" s="88" t="str">
        <f>IFERROR(__xludf.DUMMYFUNCTION("""COMPUTED_VALUE"""),"Goto link: BZ=F")</f>
        <v>Goto link: BZ=F</v>
      </c>
      <c r="K358" s="22"/>
      <c r="L358" s="22"/>
      <c r="M358" s="22"/>
      <c r="N358" s="22"/>
      <c r="O358" s="73"/>
      <c r="P358" s="8"/>
      <c r="Q358" s="69"/>
      <c r="R358" s="69"/>
      <c r="S358" s="8"/>
      <c r="T358" s="69"/>
      <c r="U358" s="8"/>
      <c r="V358" s="69"/>
      <c r="W358" s="74"/>
      <c r="X358" s="69"/>
    </row>
    <row r="359">
      <c r="A359" s="30" t="str">
        <f>IFERROR(__xludf.DUMMYFUNCTION("""COMPUTED_VALUE"""),"38381")</f>
        <v>38381</v>
      </c>
      <c r="B359" s="86">
        <f>IFERROR(__xludf.DUMMYFUNCTION("""COMPUTED_VALUE"""),44637.0)</f>
        <v>44637</v>
      </c>
      <c r="C359" s="64" t="str">
        <f>IFERROR(__xludf.DUMMYFUNCTION("""COMPUTED_VALUE"""),"Stock")</f>
        <v>Stock</v>
      </c>
      <c r="D359" s="90" t="str">
        <f>IFERROR(__xludf.DUMMYFUNCTION("""COMPUTED_VALUE"""),"3988.HK")</f>
        <v>3988.HK</v>
      </c>
      <c r="E359" s="5" t="str">
        <f>IFERROR(__xludf.DUMMYFUNCTION("""COMPUTED_VALUE"""),"HKD")</f>
        <v>HKD</v>
      </c>
      <c r="F359" s="69">
        <f>IFERROR(__xludf.DUMMYFUNCTION("""COMPUTED_VALUE"""),300.0)</f>
        <v>300</v>
      </c>
      <c r="G359" s="70">
        <f>IFERROR(__xludf.DUMMYFUNCTION("""COMPUTED_VALUE"""),1.0)</f>
        <v>1</v>
      </c>
      <c r="H359" s="71">
        <f>IFERROR(__xludf.DUMMYFUNCTION("""COMPUTED_VALUE"""),2.98)</f>
        <v>2.98</v>
      </c>
      <c r="I359" s="71">
        <f>IFERROR(__xludf.DUMMYFUNCTION("""COMPUTED_VALUE"""),3.13)</f>
        <v>3.13</v>
      </c>
      <c r="J359" s="88" t="str">
        <f>IFERROR(__xludf.DUMMYFUNCTION("""COMPUTED_VALUE"""),"Goto link: 3988.HK")</f>
        <v>Goto link: 3988.HK</v>
      </c>
      <c r="K359" s="22"/>
      <c r="L359" s="22"/>
      <c r="M359" s="22"/>
      <c r="N359" s="22"/>
      <c r="O359" s="73"/>
      <c r="P359" s="8"/>
      <c r="Q359" s="69"/>
      <c r="R359" s="69"/>
      <c r="S359" s="8"/>
      <c r="T359" s="69"/>
      <c r="U359" s="8"/>
      <c r="V359" s="69"/>
      <c r="W359" s="74"/>
      <c r="X359" s="69"/>
    </row>
    <row r="360">
      <c r="A360" s="30" t="str">
        <f>IFERROR(__xludf.DUMMYFUNCTION("""COMPUTED_VALUE"""),"38381")</f>
        <v>38381</v>
      </c>
      <c r="B360" s="86">
        <f>IFERROR(__xludf.DUMMYFUNCTION("""COMPUTED_VALUE"""),44637.0)</f>
        <v>44637</v>
      </c>
      <c r="C360" s="64" t="str">
        <f>IFERROR(__xludf.DUMMYFUNCTION("""COMPUTED_VALUE"""),"Stock")</f>
        <v>Stock</v>
      </c>
      <c r="D360" s="87" t="str">
        <f>IFERROR(__xludf.DUMMYFUNCTION("""COMPUTED_VALUE"""),"JPM")</f>
        <v>JPM</v>
      </c>
      <c r="E360" s="5" t="str">
        <f>IFERROR(__xludf.DUMMYFUNCTION("""COMPUTED_VALUE"""),"USD")</f>
        <v>USD</v>
      </c>
      <c r="F360" s="69" t="str">
        <f>IFERROR(__xludf.DUMMYFUNCTION("""COMPUTED_VALUE"""),"")</f>
        <v/>
      </c>
      <c r="G360" s="70">
        <f>IFERROR(__xludf.DUMMYFUNCTION("""COMPUTED_VALUE"""),7.83915)</f>
        <v>7.83915</v>
      </c>
      <c r="H360" s="71">
        <f>IFERROR(__xludf.DUMMYFUNCTION("""COMPUTED_VALUE"""),140.15)</f>
        <v>140.15</v>
      </c>
      <c r="I360" s="71">
        <f>IFERROR(__xludf.DUMMYFUNCTION("""COMPUTED_VALUE"""),127.28)</f>
        <v>127.28</v>
      </c>
      <c r="J360" s="88" t="str">
        <f>IFERROR(__xludf.DUMMYFUNCTION("""COMPUTED_VALUE"""),"Goto link: JPM")</f>
        <v>Goto link: JPM</v>
      </c>
      <c r="K360" s="22"/>
      <c r="L360" s="22"/>
      <c r="M360" s="22"/>
      <c r="N360" s="22"/>
      <c r="O360" s="73"/>
      <c r="P360" s="8"/>
      <c r="Q360" s="69"/>
      <c r="R360" s="69"/>
      <c r="S360" s="8"/>
      <c r="T360" s="69"/>
      <c r="U360" s="8"/>
      <c r="V360" s="69"/>
      <c r="W360" s="74"/>
      <c r="X360" s="69"/>
    </row>
    <row r="361">
      <c r="A361" s="30" t="str">
        <f>IFERROR(__xludf.DUMMYFUNCTION("""COMPUTED_VALUE"""),"38381")</f>
        <v>38381</v>
      </c>
      <c r="B361" s="86">
        <f>IFERROR(__xludf.DUMMYFUNCTION("""COMPUTED_VALUE"""),44645.0)</f>
        <v>44645</v>
      </c>
      <c r="C361" s="64" t="str">
        <f>IFERROR(__xludf.DUMMYFUNCTION("""COMPUTED_VALUE"""),"Stock")</f>
        <v>Stock</v>
      </c>
      <c r="D361" s="90" t="str">
        <f>IFERROR(__xludf.DUMMYFUNCTION("""COMPUTED_VALUE"""),"1398.HK")</f>
        <v>1398.HK</v>
      </c>
      <c r="E361" s="5" t="str">
        <f>IFERROR(__xludf.DUMMYFUNCTION("""COMPUTED_VALUE"""),"HKD")</f>
        <v>HKD</v>
      </c>
      <c r="F361" s="69">
        <f>IFERROR(__xludf.DUMMYFUNCTION("""COMPUTED_VALUE"""),300.0)</f>
        <v>300</v>
      </c>
      <c r="G361" s="70">
        <f>IFERROR(__xludf.DUMMYFUNCTION("""COMPUTED_VALUE"""),1.0)</f>
        <v>1</v>
      </c>
      <c r="H361" s="71">
        <f>IFERROR(__xludf.DUMMYFUNCTION("""COMPUTED_VALUE"""),4.69)</f>
        <v>4.69</v>
      </c>
      <c r="I361" s="71">
        <f>IFERROR(__xludf.DUMMYFUNCTION("""COMPUTED_VALUE"""),4.75)</f>
        <v>4.75</v>
      </c>
      <c r="J361" s="88" t="str">
        <f>IFERROR(__xludf.DUMMYFUNCTION("""COMPUTED_VALUE"""),"Goto link: 1398.HK")</f>
        <v>Goto link: 1398.HK</v>
      </c>
      <c r="K361" s="22"/>
      <c r="L361" s="22"/>
      <c r="M361" s="22"/>
      <c r="N361" s="22"/>
      <c r="O361" s="73"/>
      <c r="P361" s="8"/>
      <c r="Q361" s="69"/>
      <c r="R361" s="69"/>
      <c r="S361" s="8"/>
      <c r="T361" s="69"/>
      <c r="U361" s="8"/>
      <c r="V361" s="69"/>
      <c r="W361" s="74"/>
      <c r="X361" s="69"/>
    </row>
    <row r="362">
      <c r="A362" s="30" t="str">
        <f>IFERROR(__xludf.DUMMYFUNCTION("""COMPUTED_VALUE"""),"38381")</f>
        <v>38381</v>
      </c>
      <c r="B362" s="86">
        <f>IFERROR(__xludf.DUMMYFUNCTION("""COMPUTED_VALUE"""),44645.0)</f>
        <v>44645</v>
      </c>
      <c r="C362" s="64" t="str">
        <f>IFERROR(__xludf.DUMMYFUNCTION("""COMPUTED_VALUE"""),"Stock")</f>
        <v>Stock</v>
      </c>
      <c r="D362" s="87" t="str">
        <f>IFERROR(__xludf.DUMMYFUNCTION("""COMPUTED_VALUE"""),"BZ=F")</f>
        <v>BZ=F</v>
      </c>
      <c r="E362" s="5" t="str">
        <f>IFERROR(__xludf.DUMMYFUNCTION("""COMPUTED_VALUE"""),"USD")</f>
        <v>USD</v>
      </c>
      <c r="F362" s="69" t="str">
        <f>IFERROR(__xludf.DUMMYFUNCTION("""COMPUTED_VALUE"""),"")</f>
        <v/>
      </c>
      <c r="G362" s="70">
        <f>IFERROR(__xludf.DUMMYFUNCTION("""COMPUTED_VALUE"""),7.83915)</f>
        <v>7.83915</v>
      </c>
      <c r="H362" s="71">
        <f>IFERROR(__xludf.DUMMYFUNCTION("""COMPUTED_VALUE"""),119.28)</f>
        <v>119.28</v>
      </c>
      <c r="I362" s="71">
        <f>IFERROR(__xludf.DUMMYFUNCTION("""COMPUTED_VALUE"""),108.88)</f>
        <v>108.88</v>
      </c>
      <c r="J362" s="88" t="str">
        <f>IFERROR(__xludf.DUMMYFUNCTION("""COMPUTED_VALUE"""),"Goto link: BZ=F")</f>
        <v>Goto link: BZ=F</v>
      </c>
      <c r="K362" s="22"/>
      <c r="L362" s="22"/>
      <c r="M362" s="22"/>
      <c r="N362" s="22"/>
      <c r="O362" s="73"/>
      <c r="P362" s="8"/>
      <c r="Q362" s="69"/>
      <c r="R362" s="69"/>
      <c r="S362" s="8"/>
      <c r="T362" s="69"/>
      <c r="U362" s="8"/>
      <c r="V362" s="69"/>
      <c r="W362" s="74"/>
      <c r="X362" s="69"/>
    </row>
    <row r="363">
      <c r="A363" s="30" t="str">
        <f>IFERROR(__xludf.DUMMYFUNCTION("""COMPUTED_VALUE"""),"38381")</f>
        <v>38381</v>
      </c>
      <c r="B363" s="86">
        <f>IFERROR(__xludf.DUMMYFUNCTION("""COMPUTED_VALUE"""),44649.0)</f>
        <v>44649</v>
      </c>
      <c r="C363" s="64" t="str">
        <f>IFERROR(__xludf.DUMMYFUNCTION("""COMPUTED_VALUE"""),"Stock")</f>
        <v>Stock</v>
      </c>
      <c r="D363" s="87" t="str">
        <f>IFERROR(__xludf.DUMMYFUNCTION("""COMPUTED_VALUE"""),"BZ=F")</f>
        <v>BZ=F</v>
      </c>
      <c r="E363" s="5" t="str">
        <f>IFERROR(__xludf.DUMMYFUNCTION("""COMPUTED_VALUE"""),"USD")</f>
        <v>USD</v>
      </c>
      <c r="F363" s="69">
        <f>IFERROR(__xludf.DUMMYFUNCTION("""COMPUTED_VALUE"""),-300.0)</f>
        <v>-300</v>
      </c>
      <c r="G363" s="70">
        <f>IFERROR(__xludf.DUMMYFUNCTION("""COMPUTED_VALUE"""),7.83915)</f>
        <v>7.83915</v>
      </c>
      <c r="H363" s="71">
        <f>IFERROR(__xludf.DUMMYFUNCTION("""COMPUTED_VALUE"""),111.45)</f>
        <v>111.45</v>
      </c>
      <c r="I363" s="71">
        <f>IFERROR(__xludf.DUMMYFUNCTION("""COMPUTED_VALUE"""),108.88)</f>
        <v>108.88</v>
      </c>
      <c r="J363" s="88" t="str">
        <f>IFERROR(__xludf.DUMMYFUNCTION("""COMPUTED_VALUE"""),"Goto link: BZ=F")</f>
        <v>Goto link: BZ=F</v>
      </c>
      <c r="K363" s="22"/>
      <c r="L363" s="22"/>
      <c r="M363" s="22"/>
      <c r="N363" s="22"/>
      <c r="O363" s="73"/>
      <c r="P363" s="8"/>
      <c r="Q363" s="69"/>
      <c r="R363" s="69"/>
      <c r="S363" s="8"/>
      <c r="T363" s="69"/>
      <c r="U363" s="8"/>
      <c r="V363" s="69"/>
      <c r="W363" s="74"/>
      <c r="X363" s="69"/>
    </row>
    <row r="364">
      <c r="A364" s="30" t="str">
        <f>IFERROR(__xludf.DUMMYFUNCTION("""COMPUTED_VALUE"""),"38381 Total")</f>
        <v>38381 Total</v>
      </c>
      <c r="B364" s="5"/>
      <c r="C364" s="64"/>
      <c r="D364" s="85"/>
      <c r="E364" s="5"/>
      <c r="F364" s="69"/>
      <c r="G364" s="70">
        <f>IFERROR(__xludf.DUMMYFUNCTION("""COMPUTED_VALUE"""),5.2744687500000005)</f>
        <v>5.27446875</v>
      </c>
      <c r="H364" s="71">
        <f>IFERROR(__xludf.DUMMYFUNCTION("""COMPUTED_VALUE"""),159.59)</f>
        <v>159.59</v>
      </c>
      <c r="I364" s="71" t="str">
        <f>IFERROR(__xludf.DUMMYFUNCTION("""COMPUTED_VALUE"""),"")</f>
        <v/>
      </c>
      <c r="J364" s="22" t="str">
        <f>IFERROR(__xludf.DUMMYFUNCTION("""COMPUTED_VALUE"""),"")</f>
        <v/>
      </c>
      <c r="K364" s="22"/>
      <c r="L364" s="22"/>
      <c r="M364" s="22"/>
      <c r="N364" s="22"/>
      <c r="O364" s="73"/>
      <c r="P364" s="8"/>
      <c r="Q364" s="69"/>
      <c r="R364" s="69"/>
      <c r="S364" s="8"/>
      <c r="T364" s="69"/>
      <c r="U364" s="8"/>
      <c r="V364" s="69"/>
      <c r="W364" s="74"/>
      <c r="X364" s="69"/>
    </row>
    <row r="365">
      <c r="A365" s="30" t="str">
        <f>IFERROR(__xludf.DUMMYFUNCTION("""COMPUTED_VALUE"""),"38705")</f>
        <v>38705</v>
      </c>
      <c r="B365" s="86">
        <f>IFERROR(__xludf.DUMMYFUNCTION("""COMPUTED_VALUE"""),44597.0)</f>
        <v>44597</v>
      </c>
      <c r="C365" s="64" t="str">
        <f>IFERROR(__xludf.DUMMYFUNCTION("""COMPUTED_VALUE"""),"Cash")</f>
        <v>Cash</v>
      </c>
      <c r="D365" s="85" t="str">
        <f>IFERROR(__xludf.DUMMYFUNCTION("""COMPUTED_VALUE"""),"Cash")</f>
        <v>Cash</v>
      </c>
      <c r="E365" s="5" t="str">
        <f>IFERROR(__xludf.DUMMYFUNCTION("""COMPUTED_VALUE"""),"HKD")</f>
        <v>HKD</v>
      </c>
      <c r="F365" s="69" t="str">
        <f>IFERROR(__xludf.DUMMYFUNCTION("""COMPUTED_VALUE"""),"")</f>
        <v/>
      </c>
      <c r="G365" s="70">
        <f>IFERROR(__xludf.DUMMYFUNCTION("""COMPUTED_VALUE"""),1.0)</f>
        <v>1</v>
      </c>
      <c r="H365" s="71">
        <f>IFERROR(__xludf.DUMMYFUNCTION("""COMPUTED_VALUE"""),1.0)</f>
        <v>1</v>
      </c>
      <c r="I365" s="71">
        <f>IFERROR(__xludf.DUMMYFUNCTION("""COMPUTED_VALUE"""),1.0)</f>
        <v>1</v>
      </c>
      <c r="J365" s="22" t="str">
        <f>IFERROR(__xludf.DUMMYFUNCTION("""COMPUTED_VALUE"""),"")</f>
        <v/>
      </c>
      <c r="K365" s="22"/>
      <c r="L365" s="22"/>
      <c r="M365" s="22"/>
      <c r="N365" s="22"/>
      <c r="O365" s="73"/>
      <c r="P365" s="8"/>
      <c r="Q365" s="69"/>
      <c r="R365" s="69"/>
      <c r="S365" s="8"/>
      <c r="T365" s="69"/>
      <c r="U365" s="8"/>
      <c r="V365" s="69"/>
      <c r="W365" s="74"/>
      <c r="X365" s="69"/>
    </row>
    <row r="366">
      <c r="A366" s="30" t="str">
        <f>IFERROR(__xludf.DUMMYFUNCTION("""COMPUTED_VALUE"""),"38705")</f>
        <v>38705</v>
      </c>
      <c r="B366" s="86">
        <f>IFERROR(__xludf.DUMMYFUNCTION("""COMPUTED_VALUE"""),44641.0)</f>
        <v>44641</v>
      </c>
      <c r="C366" s="64" t="str">
        <f>IFERROR(__xludf.DUMMYFUNCTION("""COMPUTED_VALUE"""),"Stock")</f>
        <v>Stock</v>
      </c>
      <c r="D366" s="87" t="str">
        <f>IFERROR(__xludf.DUMMYFUNCTION("""COMPUTED_VALUE"""),"ANTM")</f>
        <v>ANTM</v>
      </c>
      <c r="E366" s="5" t="str">
        <f>IFERROR(__xludf.DUMMYFUNCTION("""COMPUTED_VALUE"""),"USD")</f>
        <v>USD</v>
      </c>
      <c r="F366" s="69">
        <f>IFERROR(__xludf.DUMMYFUNCTION("""COMPUTED_VALUE"""),100.0)</f>
        <v>100</v>
      </c>
      <c r="G366" s="70">
        <f>IFERROR(__xludf.DUMMYFUNCTION("""COMPUTED_VALUE"""),7.83915)</f>
        <v>7.83915</v>
      </c>
      <c r="H366" s="71">
        <f>IFERROR(__xludf.DUMMYFUNCTION("""COMPUTED_VALUE"""),476.0)</f>
        <v>476</v>
      </c>
      <c r="I366" s="71">
        <f>IFERROR(__xludf.DUMMYFUNCTION("""COMPUTED_VALUE"""),512.46)</f>
        <v>512.46</v>
      </c>
      <c r="J366" s="88" t="str">
        <f>IFERROR(__xludf.DUMMYFUNCTION("""COMPUTED_VALUE"""),"Goto link: ANTM")</f>
        <v>Goto link: ANTM</v>
      </c>
      <c r="K366" s="22"/>
      <c r="L366" s="22"/>
      <c r="M366" s="22"/>
      <c r="N366" s="22"/>
      <c r="O366" s="73"/>
      <c r="P366" s="8"/>
      <c r="Q366" s="69"/>
      <c r="R366" s="69"/>
      <c r="S366" s="8"/>
      <c r="T366" s="69"/>
      <c r="U366" s="8"/>
      <c r="V366" s="69"/>
      <c r="W366" s="74"/>
      <c r="X366" s="69"/>
    </row>
    <row r="367">
      <c r="A367" s="30" t="str">
        <f>IFERROR(__xludf.DUMMYFUNCTION("""COMPUTED_VALUE"""),"38705")</f>
        <v>38705</v>
      </c>
      <c r="B367" s="86">
        <f>IFERROR(__xludf.DUMMYFUNCTION("""COMPUTED_VALUE"""),44641.0)</f>
        <v>44641</v>
      </c>
      <c r="C367" s="64" t="str">
        <f>IFERROR(__xludf.DUMMYFUNCTION("""COMPUTED_VALUE"""),"Stock")</f>
        <v>Stock</v>
      </c>
      <c r="D367" s="87" t="str">
        <f>IFERROR(__xludf.DUMMYFUNCTION("""COMPUTED_VALUE"""),"NKE")</f>
        <v>NKE</v>
      </c>
      <c r="E367" s="5" t="str">
        <f>IFERROR(__xludf.DUMMYFUNCTION("""COMPUTED_VALUE"""),"USD")</f>
        <v>USD</v>
      </c>
      <c r="F367" s="69">
        <f>IFERROR(__xludf.DUMMYFUNCTION("""COMPUTED_VALUE"""),50.0)</f>
        <v>50</v>
      </c>
      <c r="G367" s="70">
        <f>IFERROR(__xludf.DUMMYFUNCTION("""COMPUTED_VALUE"""),7.83915)</f>
        <v>7.83915</v>
      </c>
      <c r="H367" s="71">
        <f>IFERROR(__xludf.DUMMYFUNCTION("""COMPUTED_VALUE"""),130.19)</f>
        <v>130.19</v>
      </c>
      <c r="I367" s="71">
        <f>IFERROR(__xludf.DUMMYFUNCTION("""COMPUTED_VALUE"""),127.48)</f>
        <v>127.48</v>
      </c>
      <c r="J367" s="88" t="str">
        <f>IFERROR(__xludf.DUMMYFUNCTION("""COMPUTED_VALUE"""),"Goto link: NKE")</f>
        <v>Goto link: NKE</v>
      </c>
      <c r="K367" s="22"/>
      <c r="L367" s="22"/>
      <c r="M367" s="22"/>
      <c r="N367" s="22"/>
      <c r="O367" s="73"/>
      <c r="P367" s="8"/>
      <c r="Q367" s="69"/>
      <c r="R367" s="69"/>
      <c r="S367" s="8"/>
      <c r="T367" s="69"/>
      <c r="U367" s="8"/>
      <c r="V367" s="69"/>
      <c r="W367" s="74"/>
      <c r="X367" s="69"/>
    </row>
    <row r="368">
      <c r="A368" s="30" t="str">
        <f>IFERROR(__xludf.DUMMYFUNCTION("""COMPUTED_VALUE"""),"38705")</f>
        <v>38705</v>
      </c>
      <c r="B368" s="86">
        <f>IFERROR(__xludf.DUMMYFUNCTION("""COMPUTED_VALUE"""),44642.0)</f>
        <v>44642</v>
      </c>
      <c r="C368" s="64" t="str">
        <f>IFERROR(__xludf.DUMMYFUNCTION("""COMPUTED_VALUE"""),"Stock")</f>
        <v>Stock</v>
      </c>
      <c r="D368" s="87" t="str">
        <f>IFERROR(__xludf.DUMMYFUNCTION("""COMPUTED_VALUE"""),"NKE")</f>
        <v>NKE</v>
      </c>
      <c r="E368" s="5" t="str">
        <f>IFERROR(__xludf.DUMMYFUNCTION("""COMPUTED_VALUE"""),"USD")</f>
        <v>USD</v>
      </c>
      <c r="F368" s="69">
        <f>IFERROR(__xludf.DUMMYFUNCTION("""COMPUTED_VALUE"""),-50.0)</f>
        <v>-50</v>
      </c>
      <c r="G368" s="70">
        <f>IFERROR(__xludf.DUMMYFUNCTION("""COMPUTED_VALUE"""),7.83915)</f>
        <v>7.83915</v>
      </c>
      <c r="H368" s="71">
        <f>IFERROR(__xludf.DUMMYFUNCTION("""COMPUTED_VALUE"""),133.09)</f>
        <v>133.09</v>
      </c>
      <c r="I368" s="71">
        <f>IFERROR(__xludf.DUMMYFUNCTION("""COMPUTED_VALUE"""),127.48)</f>
        <v>127.48</v>
      </c>
      <c r="J368" s="88" t="str">
        <f>IFERROR(__xludf.DUMMYFUNCTION("""COMPUTED_VALUE"""),"Goto link: NKE")</f>
        <v>Goto link: NKE</v>
      </c>
      <c r="K368" s="22"/>
      <c r="L368" s="22"/>
      <c r="M368" s="22"/>
      <c r="N368" s="22"/>
      <c r="O368" s="73"/>
      <c r="P368" s="8"/>
      <c r="Q368" s="69"/>
      <c r="R368" s="69"/>
      <c r="S368" s="8"/>
      <c r="T368" s="69"/>
      <c r="U368" s="8"/>
      <c r="V368" s="69"/>
      <c r="W368" s="74"/>
      <c r="X368" s="69"/>
    </row>
    <row r="369">
      <c r="A369" s="30" t="str">
        <f>IFERROR(__xludf.DUMMYFUNCTION("""COMPUTED_VALUE"""),"38705")</f>
        <v>38705</v>
      </c>
      <c r="B369" s="86">
        <f>IFERROR(__xludf.DUMMYFUNCTION("""COMPUTED_VALUE"""),44643.0)</f>
        <v>44643</v>
      </c>
      <c r="C369" s="64" t="str">
        <f>IFERROR(__xludf.DUMMYFUNCTION("""COMPUTED_VALUE"""),"Stock")</f>
        <v>Stock</v>
      </c>
      <c r="D369" s="87" t="str">
        <f>IFERROR(__xludf.DUMMYFUNCTION("""COMPUTED_VALUE"""),"UNH")</f>
        <v>UNH</v>
      </c>
      <c r="E369" s="5" t="str">
        <f>IFERROR(__xludf.DUMMYFUNCTION("""COMPUTED_VALUE"""),"USD")</f>
        <v>USD</v>
      </c>
      <c r="F369" s="69" t="str">
        <f>IFERROR(__xludf.DUMMYFUNCTION("""COMPUTED_VALUE"""),"")</f>
        <v/>
      </c>
      <c r="G369" s="70">
        <f>IFERROR(__xludf.DUMMYFUNCTION("""COMPUTED_VALUE"""),7.83915)</f>
        <v>7.83915</v>
      </c>
      <c r="H369" s="71">
        <f>IFERROR(__xludf.DUMMYFUNCTION("""COMPUTED_VALUE"""),503.23)</f>
        <v>503.23</v>
      </c>
      <c r="I369" s="71">
        <f>IFERROR(__xludf.DUMMYFUNCTION("""COMPUTED_VALUE"""),537.95)</f>
        <v>537.95</v>
      </c>
      <c r="J369" s="88" t="str">
        <f>IFERROR(__xludf.DUMMYFUNCTION("""COMPUTED_VALUE"""),"Goto link: UNH")</f>
        <v>Goto link: UNH</v>
      </c>
      <c r="K369" s="22"/>
      <c r="L369" s="22"/>
      <c r="M369" s="22"/>
      <c r="N369" s="22"/>
      <c r="O369" s="73"/>
      <c r="P369" s="8"/>
      <c r="Q369" s="69"/>
      <c r="R369" s="69"/>
      <c r="S369" s="8"/>
      <c r="T369" s="69"/>
      <c r="U369" s="8"/>
      <c r="V369" s="69"/>
      <c r="W369" s="74"/>
      <c r="X369" s="69"/>
    </row>
    <row r="370">
      <c r="A370" s="30" t="str">
        <f>IFERROR(__xludf.DUMMYFUNCTION("""COMPUTED_VALUE"""),"38705")</f>
        <v>38705</v>
      </c>
      <c r="B370" s="86">
        <f>IFERROR(__xludf.DUMMYFUNCTION("""COMPUTED_VALUE"""),44643.0)</f>
        <v>44643</v>
      </c>
      <c r="C370" s="64" t="str">
        <f>IFERROR(__xludf.DUMMYFUNCTION("""COMPUTED_VALUE"""),"Stock")</f>
        <v>Stock</v>
      </c>
      <c r="D370" s="87" t="str">
        <f>IFERROR(__xludf.DUMMYFUNCTION("""COMPUTED_VALUE"""),"UNP")</f>
        <v>UNP</v>
      </c>
      <c r="E370" s="5" t="str">
        <f>IFERROR(__xludf.DUMMYFUNCTION("""COMPUTED_VALUE"""),"USD")</f>
        <v>USD</v>
      </c>
      <c r="F370" s="69">
        <f>IFERROR(__xludf.DUMMYFUNCTION("""COMPUTED_VALUE"""),100.0)</f>
        <v>100</v>
      </c>
      <c r="G370" s="70">
        <f>IFERROR(__xludf.DUMMYFUNCTION("""COMPUTED_VALUE"""),7.83915)</f>
        <v>7.83915</v>
      </c>
      <c r="H370" s="71">
        <f>IFERROR(__xludf.DUMMYFUNCTION("""COMPUTED_VALUE"""),267.68)</f>
        <v>267.68</v>
      </c>
      <c r="I370" s="71">
        <f>IFERROR(__xludf.DUMMYFUNCTION("""COMPUTED_VALUE"""),244.65)</f>
        <v>244.65</v>
      </c>
      <c r="J370" s="88" t="str">
        <f>IFERROR(__xludf.DUMMYFUNCTION("""COMPUTED_VALUE"""),"Goto link: UNP")</f>
        <v>Goto link: UNP</v>
      </c>
      <c r="K370" s="22"/>
      <c r="L370" s="22"/>
      <c r="M370" s="22"/>
      <c r="N370" s="22"/>
      <c r="O370" s="73"/>
      <c r="P370" s="8"/>
      <c r="Q370" s="69"/>
      <c r="R370" s="69"/>
      <c r="S370" s="8"/>
      <c r="T370" s="69"/>
      <c r="U370" s="8"/>
      <c r="V370" s="69"/>
      <c r="W370" s="74"/>
      <c r="X370" s="69"/>
    </row>
    <row r="371">
      <c r="A371" s="30" t="str">
        <f>IFERROR(__xludf.DUMMYFUNCTION("""COMPUTED_VALUE"""),"38705")</f>
        <v>38705</v>
      </c>
      <c r="B371" s="86">
        <f>IFERROR(__xludf.DUMMYFUNCTION("""COMPUTED_VALUE"""),44644.0)</f>
        <v>44644</v>
      </c>
      <c r="C371" s="64" t="str">
        <f>IFERROR(__xludf.DUMMYFUNCTION("""COMPUTED_VALUE"""),"Stock")</f>
        <v>Stock</v>
      </c>
      <c r="D371" s="87" t="str">
        <f>IFERROR(__xludf.DUMMYFUNCTION("""COMPUTED_VALUE"""),"UNH")</f>
        <v>UNH</v>
      </c>
      <c r="E371" s="5" t="str">
        <f>IFERROR(__xludf.DUMMYFUNCTION("""COMPUTED_VALUE"""),"USD")</f>
        <v>USD</v>
      </c>
      <c r="F371" s="69">
        <f>IFERROR(__xludf.DUMMYFUNCTION("""COMPUTED_VALUE"""),10.0)</f>
        <v>10</v>
      </c>
      <c r="G371" s="70">
        <f>IFERROR(__xludf.DUMMYFUNCTION("""COMPUTED_VALUE"""),7.83915)</f>
        <v>7.83915</v>
      </c>
      <c r="H371" s="71">
        <f>IFERROR(__xludf.DUMMYFUNCTION("""COMPUTED_VALUE"""),513.46)</f>
        <v>513.46</v>
      </c>
      <c r="I371" s="71">
        <f>IFERROR(__xludf.DUMMYFUNCTION("""COMPUTED_VALUE"""),537.95)</f>
        <v>537.95</v>
      </c>
      <c r="J371" s="88" t="str">
        <f>IFERROR(__xludf.DUMMYFUNCTION("""COMPUTED_VALUE"""),"Goto link: UNH")</f>
        <v>Goto link: UNH</v>
      </c>
      <c r="K371" s="22"/>
      <c r="L371" s="22"/>
      <c r="M371" s="22"/>
      <c r="N371" s="22"/>
      <c r="O371" s="73"/>
      <c r="P371" s="8"/>
      <c r="Q371" s="69"/>
      <c r="R371" s="69"/>
      <c r="S371" s="8"/>
      <c r="T371" s="69"/>
      <c r="U371" s="8"/>
      <c r="V371" s="69"/>
      <c r="W371" s="74"/>
      <c r="X371" s="69"/>
    </row>
    <row r="372">
      <c r="A372" s="30" t="str">
        <f>IFERROR(__xludf.DUMMYFUNCTION("""COMPUTED_VALUE"""),"38705")</f>
        <v>38705</v>
      </c>
      <c r="B372" s="86">
        <f>IFERROR(__xludf.DUMMYFUNCTION("""COMPUTED_VALUE"""),44644.0)</f>
        <v>44644</v>
      </c>
      <c r="C372" s="64" t="str">
        <f>IFERROR(__xludf.DUMMYFUNCTION("""COMPUTED_VALUE"""),"Stock")</f>
        <v>Stock</v>
      </c>
      <c r="D372" s="87" t="str">
        <f>IFERROR(__xludf.DUMMYFUNCTION("""COMPUTED_VALUE"""),"UNP")</f>
        <v>UNP</v>
      </c>
      <c r="E372" s="5" t="str">
        <f>IFERROR(__xludf.DUMMYFUNCTION("""COMPUTED_VALUE"""),"USD")</f>
        <v>USD</v>
      </c>
      <c r="F372" s="69">
        <f>IFERROR(__xludf.DUMMYFUNCTION("""COMPUTED_VALUE"""),20.0)</f>
        <v>20</v>
      </c>
      <c r="G372" s="70">
        <f>IFERROR(__xludf.DUMMYFUNCTION("""COMPUTED_VALUE"""),7.83915)</f>
        <v>7.83915</v>
      </c>
      <c r="H372" s="71">
        <f>IFERROR(__xludf.DUMMYFUNCTION("""COMPUTED_VALUE"""),270.21)</f>
        <v>270.21</v>
      </c>
      <c r="I372" s="71">
        <f>IFERROR(__xludf.DUMMYFUNCTION("""COMPUTED_VALUE"""),244.65)</f>
        <v>244.65</v>
      </c>
      <c r="J372" s="88" t="str">
        <f>IFERROR(__xludf.DUMMYFUNCTION("""COMPUTED_VALUE"""),"Goto link: UNP")</f>
        <v>Goto link: UNP</v>
      </c>
      <c r="K372" s="22"/>
      <c r="L372" s="22"/>
      <c r="M372" s="22"/>
      <c r="N372" s="22"/>
      <c r="O372" s="73"/>
      <c r="P372" s="8"/>
      <c r="Q372" s="69"/>
      <c r="R372" s="69"/>
      <c r="S372" s="8"/>
      <c r="T372" s="69"/>
      <c r="U372" s="8"/>
      <c r="V372" s="69"/>
      <c r="W372" s="74"/>
      <c r="X372" s="69"/>
    </row>
    <row r="373">
      <c r="A373" s="30" t="str">
        <f>IFERROR(__xludf.DUMMYFUNCTION("""COMPUTED_VALUE"""),"38705")</f>
        <v>38705</v>
      </c>
      <c r="B373" s="86">
        <f>IFERROR(__xludf.DUMMYFUNCTION("""COMPUTED_VALUE"""),44648.0)</f>
        <v>44648</v>
      </c>
      <c r="C373" s="64" t="str">
        <f>IFERROR(__xludf.DUMMYFUNCTION("""COMPUTED_VALUE"""),"Stock")</f>
        <v>Stock</v>
      </c>
      <c r="D373" s="87" t="str">
        <f>IFERROR(__xludf.DUMMYFUNCTION("""COMPUTED_VALUE"""),"ANTM")</f>
        <v>ANTM</v>
      </c>
      <c r="E373" s="5" t="str">
        <f>IFERROR(__xludf.DUMMYFUNCTION("""COMPUTED_VALUE"""),"USD")</f>
        <v>USD</v>
      </c>
      <c r="F373" s="69">
        <f>IFERROR(__xludf.DUMMYFUNCTION("""COMPUTED_VALUE"""),-20.0)</f>
        <v>-20</v>
      </c>
      <c r="G373" s="70">
        <f>IFERROR(__xludf.DUMMYFUNCTION("""COMPUTED_VALUE"""),7.83915)</f>
        <v>7.83915</v>
      </c>
      <c r="H373" s="71">
        <f>IFERROR(__xludf.DUMMYFUNCTION("""COMPUTED_VALUE"""),484.79)</f>
        <v>484.79</v>
      </c>
      <c r="I373" s="71">
        <f>IFERROR(__xludf.DUMMYFUNCTION("""COMPUTED_VALUE"""),512.46)</f>
        <v>512.46</v>
      </c>
      <c r="J373" s="88" t="str">
        <f>IFERROR(__xludf.DUMMYFUNCTION("""COMPUTED_VALUE"""),"Goto link: ANTM")</f>
        <v>Goto link: ANTM</v>
      </c>
      <c r="K373" s="22"/>
      <c r="L373" s="22"/>
      <c r="M373" s="22"/>
      <c r="N373" s="22"/>
      <c r="O373" s="73"/>
      <c r="P373" s="8"/>
      <c r="Q373" s="69"/>
      <c r="R373" s="69"/>
      <c r="S373" s="8"/>
      <c r="T373" s="69"/>
      <c r="U373" s="8"/>
      <c r="V373" s="69"/>
      <c r="W373" s="74"/>
      <c r="X373" s="69"/>
    </row>
    <row r="374">
      <c r="A374" s="30" t="str">
        <f>IFERROR(__xludf.DUMMYFUNCTION("""COMPUTED_VALUE"""),"38705")</f>
        <v>38705</v>
      </c>
      <c r="B374" s="86">
        <f>IFERROR(__xludf.DUMMYFUNCTION("""COMPUTED_VALUE"""),44651.0)</f>
        <v>44651</v>
      </c>
      <c r="C374" s="64" t="str">
        <f>IFERROR(__xludf.DUMMYFUNCTION("""COMPUTED_VALUE"""),"Stock")</f>
        <v>Stock</v>
      </c>
      <c r="D374" s="87" t="str">
        <f>IFERROR(__xludf.DUMMYFUNCTION("""COMPUTED_VALUE"""),"ANTM")</f>
        <v>ANTM</v>
      </c>
      <c r="E374" s="5" t="str">
        <f>IFERROR(__xludf.DUMMYFUNCTION("""COMPUTED_VALUE"""),"USD")</f>
        <v>USD</v>
      </c>
      <c r="F374" s="69">
        <f>IFERROR(__xludf.DUMMYFUNCTION("""COMPUTED_VALUE"""),-80.0)</f>
        <v>-80</v>
      </c>
      <c r="G374" s="70">
        <f>IFERROR(__xludf.DUMMYFUNCTION("""COMPUTED_VALUE"""),7.83915)</f>
        <v>7.83915</v>
      </c>
      <c r="H374" s="71">
        <f>IFERROR(__xludf.DUMMYFUNCTION("""COMPUTED_VALUE"""),491.22)</f>
        <v>491.22</v>
      </c>
      <c r="I374" s="71">
        <f>IFERROR(__xludf.DUMMYFUNCTION("""COMPUTED_VALUE"""),512.46)</f>
        <v>512.46</v>
      </c>
      <c r="J374" s="88" t="str">
        <f>IFERROR(__xludf.DUMMYFUNCTION("""COMPUTED_VALUE"""),"Goto link: ANTM")</f>
        <v>Goto link: ANTM</v>
      </c>
      <c r="K374" s="22"/>
      <c r="L374" s="22"/>
      <c r="M374" s="22"/>
      <c r="N374" s="22"/>
      <c r="O374" s="73"/>
      <c r="P374" s="8"/>
      <c r="Q374" s="69"/>
      <c r="R374" s="69"/>
      <c r="S374" s="8"/>
      <c r="T374" s="69"/>
      <c r="U374" s="8"/>
      <c r="V374" s="69"/>
      <c r="W374" s="74"/>
      <c r="X374" s="69"/>
    </row>
    <row r="375">
      <c r="A375" s="30" t="str">
        <f>IFERROR(__xludf.DUMMYFUNCTION("""COMPUTED_VALUE"""),"38705")</f>
        <v>38705</v>
      </c>
      <c r="B375" s="86">
        <f>IFERROR(__xludf.DUMMYFUNCTION("""COMPUTED_VALUE"""),44657.0)</f>
        <v>44657</v>
      </c>
      <c r="C375" s="64" t="str">
        <f>IFERROR(__xludf.DUMMYFUNCTION("""COMPUTED_VALUE"""),"Stock")</f>
        <v>Stock</v>
      </c>
      <c r="D375" s="87" t="str">
        <f>IFERROR(__xludf.DUMMYFUNCTION("""COMPUTED_VALUE"""),"SHEL")</f>
        <v>SHEL</v>
      </c>
      <c r="E375" s="5" t="str">
        <f>IFERROR(__xludf.DUMMYFUNCTION("""COMPUTED_VALUE"""),"USD")</f>
        <v>USD</v>
      </c>
      <c r="F375" s="69">
        <f>IFERROR(__xludf.DUMMYFUNCTION("""COMPUTED_VALUE"""),100.0)</f>
        <v>100</v>
      </c>
      <c r="G375" s="70">
        <f>IFERROR(__xludf.DUMMYFUNCTION("""COMPUTED_VALUE"""),7.83915)</f>
        <v>7.83915</v>
      </c>
      <c r="H375" s="71">
        <f>IFERROR(__xludf.DUMMYFUNCTION("""COMPUTED_VALUE"""),55.3)</f>
        <v>55.3</v>
      </c>
      <c r="I375" s="71">
        <f>IFERROR(__xludf.DUMMYFUNCTION("""COMPUTED_VALUE"""),57.03)</f>
        <v>57.03</v>
      </c>
      <c r="J375" s="88" t="str">
        <f>IFERROR(__xludf.DUMMYFUNCTION("""COMPUTED_VALUE"""),"Goto link: SHEL")</f>
        <v>Goto link: SHEL</v>
      </c>
      <c r="K375" s="22"/>
      <c r="L375" s="22"/>
      <c r="M375" s="22"/>
      <c r="N375" s="22"/>
      <c r="O375" s="73"/>
      <c r="P375" s="8"/>
      <c r="Q375" s="69"/>
      <c r="R375" s="69"/>
      <c r="S375" s="8"/>
      <c r="T375" s="69"/>
      <c r="U375" s="8"/>
      <c r="V375" s="69"/>
      <c r="W375" s="74"/>
      <c r="X375" s="69"/>
    </row>
    <row r="376">
      <c r="A376" s="30" t="str">
        <f>IFERROR(__xludf.DUMMYFUNCTION("""COMPUTED_VALUE"""),"38705")</f>
        <v>38705</v>
      </c>
      <c r="B376" s="86">
        <f>IFERROR(__xludf.DUMMYFUNCTION("""COMPUTED_VALUE"""),44657.0)</f>
        <v>44657</v>
      </c>
      <c r="C376" s="64" t="str">
        <f>IFERROR(__xludf.DUMMYFUNCTION("""COMPUTED_VALUE"""),"Stock")</f>
        <v>Stock</v>
      </c>
      <c r="D376" s="87" t="str">
        <f>IFERROR(__xludf.DUMMYFUNCTION("""COMPUTED_VALUE"""),"UNH")</f>
        <v>UNH</v>
      </c>
      <c r="E376" s="5" t="str">
        <f>IFERROR(__xludf.DUMMYFUNCTION("""COMPUTED_VALUE"""),"USD")</f>
        <v>USD</v>
      </c>
      <c r="F376" s="69">
        <f>IFERROR(__xludf.DUMMYFUNCTION("""COMPUTED_VALUE"""),10.0)</f>
        <v>10</v>
      </c>
      <c r="G376" s="70">
        <f>IFERROR(__xludf.DUMMYFUNCTION("""COMPUTED_VALUE"""),7.83915)</f>
        <v>7.83915</v>
      </c>
      <c r="H376" s="71">
        <f>IFERROR(__xludf.DUMMYFUNCTION("""COMPUTED_VALUE"""),531.75)</f>
        <v>531.75</v>
      </c>
      <c r="I376" s="71">
        <f>IFERROR(__xludf.DUMMYFUNCTION("""COMPUTED_VALUE"""),537.95)</f>
        <v>537.95</v>
      </c>
      <c r="J376" s="88" t="str">
        <f>IFERROR(__xludf.DUMMYFUNCTION("""COMPUTED_VALUE"""),"Goto link: UNH")</f>
        <v>Goto link: UNH</v>
      </c>
      <c r="K376" s="22"/>
      <c r="L376" s="22"/>
      <c r="M376" s="22"/>
      <c r="N376" s="22"/>
      <c r="O376" s="73"/>
      <c r="P376" s="8"/>
      <c r="Q376" s="69"/>
      <c r="R376" s="69"/>
      <c r="S376" s="8"/>
      <c r="T376" s="69"/>
      <c r="U376" s="8"/>
      <c r="V376" s="69"/>
      <c r="W376" s="74"/>
      <c r="X376" s="69"/>
    </row>
    <row r="377">
      <c r="A377" s="30" t="str">
        <f>IFERROR(__xludf.DUMMYFUNCTION("""COMPUTED_VALUE"""),"38705")</f>
        <v>38705</v>
      </c>
      <c r="B377" s="86">
        <f>IFERROR(__xludf.DUMMYFUNCTION("""COMPUTED_VALUE"""),44664.0)</f>
        <v>44664</v>
      </c>
      <c r="C377" s="64" t="str">
        <f>IFERROR(__xludf.DUMMYFUNCTION("""COMPUTED_VALUE"""),"Stock")</f>
        <v>Stock</v>
      </c>
      <c r="D377" s="85" t="str">
        <f>IFERROR(__xludf.DUMMYFUNCTION("""COMPUTED_VALUE"""),"AAPL")</f>
        <v>AAPL</v>
      </c>
      <c r="E377" s="5" t="str">
        <f>IFERROR(__xludf.DUMMYFUNCTION("""COMPUTED_VALUE"""),"USD")</f>
        <v>USD</v>
      </c>
      <c r="F377" s="69">
        <f>IFERROR(__xludf.DUMMYFUNCTION("""COMPUTED_VALUE"""),100.0)</f>
        <v>100</v>
      </c>
      <c r="G377" s="70">
        <f>IFERROR(__xludf.DUMMYFUNCTION("""COMPUTED_VALUE"""),7.83915)</f>
        <v>7.83915</v>
      </c>
      <c r="H377" s="71">
        <f>IFERROR(__xludf.DUMMYFUNCTION("""COMPUTED_VALUE"""),170.4)</f>
        <v>170.4</v>
      </c>
      <c r="I377" s="71">
        <f>IFERROR(__xludf.DUMMYFUNCTION("""COMPUTED_VALUE"""),170.4)</f>
        <v>170.4</v>
      </c>
      <c r="J377" s="88" t="str">
        <f>IFERROR(__xludf.DUMMYFUNCTION("""COMPUTED_VALUE"""),"Goto link: AAPL")</f>
        <v>Goto link: AAPL</v>
      </c>
      <c r="K377" s="22"/>
      <c r="L377" s="22"/>
      <c r="M377" s="22"/>
      <c r="N377" s="22"/>
      <c r="O377" s="73"/>
      <c r="P377" s="8"/>
      <c r="Q377" s="69"/>
      <c r="R377" s="69"/>
      <c r="S377" s="8"/>
      <c r="T377" s="69"/>
      <c r="U377" s="8"/>
      <c r="V377" s="69"/>
      <c r="W377" s="74"/>
      <c r="X377" s="69"/>
    </row>
    <row r="378">
      <c r="A378" s="30" t="str">
        <f>IFERROR(__xludf.DUMMYFUNCTION("""COMPUTED_VALUE"""),"38705")</f>
        <v>38705</v>
      </c>
      <c r="B378" s="86">
        <f>IFERROR(__xludf.DUMMYFUNCTION("""COMPUTED_VALUE"""),44664.0)</f>
        <v>44664</v>
      </c>
      <c r="C378" s="64" t="str">
        <f>IFERROR(__xludf.DUMMYFUNCTION("""COMPUTED_VALUE"""),"Stock")</f>
        <v>Stock</v>
      </c>
      <c r="D378" s="85" t="str">
        <f>IFERROR(__xludf.DUMMYFUNCTION("""COMPUTED_VALUE"""),"HPK")</f>
        <v>HPK</v>
      </c>
      <c r="E378" s="5" t="str">
        <f>IFERROR(__xludf.DUMMYFUNCTION("""COMPUTED_VALUE"""),"USD")</f>
        <v>USD</v>
      </c>
      <c r="F378" s="69">
        <f>IFERROR(__xludf.DUMMYFUNCTION("""COMPUTED_VALUE"""),300.0)</f>
        <v>300</v>
      </c>
      <c r="G378" s="70">
        <f>IFERROR(__xludf.DUMMYFUNCTION("""COMPUTED_VALUE"""),7.83915)</f>
        <v>7.83915</v>
      </c>
      <c r="H378" s="71">
        <f>IFERROR(__xludf.DUMMYFUNCTION("""COMPUTED_VALUE"""),28.83)</f>
        <v>28.83</v>
      </c>
      <c r="I378" s="71">
        <f>IFERROR(__xludf.DUMMYFUNCTION("""COMPUTED_VALUE"""),28.83)</f>
        <v>28.83</v>
      </c>
      <c r="J378" s="88" t="str">
        <f>IFERROR(__xludf.DUMMYFUNCTION("""COMPUTED_VALUE"""),"Goto link: HPK")</f>
        <v>Goto link: HPK</v>
      </c>
      <c r="K378" s="22"/>
      <c r="L378" s="22"/>
      <c r="M378" s="22"/>
      <c r="N378" s="22"/>
      <c r="O378" s="73"/>
      <c r="P378" s="8"/>
      <c r="Q378" s="69"/>
      <c r="R378" s="69"/>
      <c r="S378" s="8"/>
      <c r="T378" s="69"/>
      <c r="U378" s="8"/>
      <c r="V378" s="69"/>
      <c r="W378" s="74"/>
      <c r="X378" s="69"/>
    </row>
    <row r="379">
      <c r="A379" s="30" t="str">
        <f>IFERROR(__xludf.DUMMYFUNCTION("""COMPUTED_VALUE"""),"38705 Total")</f>
        <v>38705 Total</v>
      </c>
      <c r="B379" s="5"/>
      <c r="C379" s="64"/>
      <c r="D379" s="85"/>
      <c r="E379" s="5"/>
      <c r="F379" s="69"/>
      <c r="G379" s="70">
        <f>IFERROR(__xludf.DUMMYFUNCTION("""COMPUTED_VALUE"""),7.350639285714288)</f>
        <v>7.350639286</v>
      </c>
      <c r="H379" s="71">
        <f>IFERROR(__xludf.DUMMYFUNCTION("""COMPUTED_VALUE"""),531.75)</f>
        <v>531.75</v>
      </c>
      <c r="I379" s="71" t="str">
        <f>IFERROR(__xludf.DUMMYFUNCTION("""COMPUTED_VALUE"""),"")</f>
        <v/>
      </c>
      <c r="J379" s="22" t="str">
        <f>IFERROR(__xludf.DUMMYFUNCTION("""COMPUTED_VALUE"""),"")</f>
        <v/>
      </c>
      <c r="K379" s="22"/>
      <c r="L379" s="22"/>
      <c r="M379" s="22"/>
      <c r="N379" s="22"/>
      <c r="O379" s="73"/>
      <c r="P379" s="8"/>
      <c r="Q379" s="69"/>
      <c r="R379" s="69"/>
      <c r="S379" s="8"/>
      <c r="T379" s="69"/>
      <c r="U379" s="8"/>
      <c r="V379" s="69"/>
      <c r="W379" s="74"/>
      <c r="X379" s="69"/>
    </row>
    <row r="380">
      <c r="A380" s="30" t="str">
        <f>IFERROR(__xludf.DUMMYFUNCTION("""COMPUTED_VALUE"""),"38758")</f>
        <v>38758</v>
      </c>
      <c r="B380" s="86">
        <f>IFERROR(__xludf.DUMMYFUNCTION("""COMPUTED_VALUE"""),44597.0)</f>
        <v>44597</v>
      </c>
      <c r="C380" s="64" t="str">
        <f>IFERROR(__xludf.DUMMYFUNCTION("""COMPUTED_VALUE"""),"Cash")</f>
        <v>Cash</v>
      </c>
      <c r="D380" s="85" t="str">
        <f>IFERROR(__xludf.DUMMYFUNCTION("""COMPUTED_VALUE"""),"Cash")</f>
        <v>Cash</v>
      </c>
      <c r="E380" s="5" t="str">
        <f>IFERROR(__xludf.DUMMYFUNCTION("""COMPUTED_VALUE"""),"HKD")</f>
        <v>HKD</v>
      </c>
      <c r="F380" s="69" t="str">
        <f>IFERROR(__xludf.DUMMYFUNCTION("""COMPUTED_VALUE"""),"")</f>
        <v/>
      </c>
      <c r="G380" s="70">
        <f>IFERROR(__xludf.DUMMYFUNCTION("""COMPUTED_VALUE"""),1.0)</f>
        <v>1</v>
      </c>
      <c r="H380" s="71">
        <f>IFERROR(__xludf.DUMMYFUNCTION("""COMPUTED_VALUE"""),1.0)</f>
        <v>1</v>
      </c>
      <c r="I380" s="71">
        <f>IFERROR(__xludf.DUMMYFUNCTION("""COMPUTED_VALUE"""),1.0)</f>
        <v>1</v>
      </c>
      <c r="J380" s="22" t="str">
        <f>IFERROR(__xludf.DUMMYFUNCTION("""COMPUTED_VALUE"""),"")</f>
        <v/>
      </c>
      <c r="K380" s="22"/>
      <c r="L380" s="22"/>
      <c r="M380" s="22"/>
      <c r="N380" s="22"/>
      <c r="O380" s="73"/>
      <c r="P380" s="8"/>
      <c r="Q380" s="69"/>
      <c r="R380" s="69"/>
      <c r="S380" s="8"/>
      <c r="T380" s="69"/>
      <c r="U380" s="8"/>
      <c r="V380" s="69"/>
      <c r="W380" s="74"/>
      <c r="X380" s="69"/>
    </row>
    <row r="381">
      <c r="A381" s="30" t="str">
        <f>IFERROR(__xludf.DUMMYFUNCTION("""COMPUTED_VALUE"""),"38758")</f>
        <v>38758</v>
      </c>
      <c r="B381" s="86">
        <f>IFERROR(__xludf.DUMMYFUNCTION("""COMPUTED_VALUE"""),44642.0)</f>
        <v>44642</v>
      </c>
      <c r="C381" s="64" t="str">
        <f>IFERROR(__xludf.DUMMYFUNCTION("""COMPUTED_VALUE"""),"Stock")</f>
        <v>Stock</v>
      </c>
      <c r="D381" s="90" t="str">
        <f>IFERROR(__xludf.DUMMYFUNCTION("""COMPUTED_VALUE"""),"0700.HK")</f>
        <v>0700.HK</v>
      </c>
      <c r="E381" s="5" t="str">
        <f>IFERROR(__xludf.DUMMYFUNCTION("""COMPUTED_VALUE"""),"HKD")</f>
        <v>HKD</v>
      </c>
      <c r="F381" s="69">
        <f>IFERROR(__xludf.DUMMYFUNCTION("""COMPUTED_VALUE"""),-20.0)</f>
        <v>-20</v>
      </c>
      <c r="G381" s="70">
        <f>IFERROR(__xludf.DUMMYFUNCTION("""COMPUTED_VALUE"""),1.0)</f>
        <v>1</v>
      </c>
      <c r="H381" s="71">
        <f>IFERROR(__xludf.DUMMYFUNCTION("""COMPUTED_VALUE"""),388.0)</f>
        <v>388</v>
      </c>
      <c r="I381" s="71">
        <f>IFERROR(__xludf.DUMMYFUNCTION("""COMPUTED_VALUE"""),373.6)</f>
        <v>373.6</v>
      </c>
      <c r="J381" s="88" t="str">
        <f>IFERROR(__xludf.DUMMYFUNCTION("""COMPUTED_VALUE"""),"Goto link: 0700.HK")</f>
        <v>Goto link: 0700.HK</v>
      </c>
      <c r="K381" s="22"/>
      <c r="L381" s="22"/>
      <c r="M381" s="22"/>
      <c r="N381" s="22"/>
      <c r="O381" s="73"/>
      <c r="P381" s="8"/>
      <c r="Q381" s="69"/>
      <c r="R381" s="69"/>
      <c r="S381" s="8"/>
      <c r="T381" s="69"/>
      <c r="U381" s="8"/>
      <c r="V381" s="69"/>
      <c r="W381" s="74"/>
      <c r="X381" s="69"/>
    </row>
    <row r="382">
      <c r="A382" s="30" t="str">
        <f>IFERROR(__xludf.DUMMYFUNCTION("""COMPUTED_VALUE"""),"38758")</f>
        <v>38758</v>
      </c>
      <c r="B382" s="86">
        <f>IFERROR(__xludf.DUMMYFUNCTION("""COMPUTED_VALUE"""),44642.0)</f>
        <v>44642</v>
      </c>
      <c r="C382" s="64" t="str">
        <f>IFERROR(__xludf.DUMMYFUNCTION("""COMPUTED_VALUE"""),"Stock")</f>
        <v>Stock</v>
      </c>
      <c r="D382" s="90" t="str">
        <f>IFERROR(__xludf.DUMMYFUNCTION("""COMPUTED_VALUE"""),"600519.SS")</f>
        <v>600519.SS</v>
      </c>
      <c r="E382" s="5" t="str">
        <f>IFERROR(__xludf.DUMMYFUNCTION("""COMPUTED_VALUE"""),"CNY")</f>
        <v>CNY</v>
      </c>
      <c r="F382" s="69">
        <f>IFERROR(__xludf.DUMMYFUNCTION("""COMPUTED_VALUE"""),-15.0)</f>
        <v>-15</v>
      </c>
      <c r="G382" s="70">
        <f>IFERROR(__xludf.DUMMYFUNCTION("""COMPUTED_VALUE"""),1.231169)</f>
        <v>1.231169</v>
      </c>
      <c r="H382" s="71">
        <f>IFERROR(__xludf.DUMMYFUNCTION("""COMPUTED_VALUE"""),1695.0)</f>
        <v>1695</v>
      </c>
      <c r="I382" s="71">
        <f>IFERROR(__xludf.DUMMYFUNCTION("""COMPUTED_VALUE"""),1769.0)</f>
        <v>1769</v>
      </c>
      <c r="J382" s="88" t="str">
        <f>IFERROR(__xludf.DUMMYFUNCTION("""COMPUTED_VALUE"""),"Goto link: 600519.SS")</f>
        <v>Goto link: 600519.SS</v>
      </c>
      <c r="K382" s="22"/>
      <c r="L382" s="22"/>
      <c r="M382" s="22"/>
      <c r="N382" s="22"/>
      <c r="O382" s="73"/>
      <c r="P382" s="8"/>
      <c r="Q382" s="69"/>
      <c r="R382" s="69"/>
      <c r="S382" s="8"/>
      <c r="T382" s="69"/>
      <c r="U382" s="8"/>
      <c r="V382" s="69"/>
      <c r="W382" s="74"/>
      <c r="X382" s="69"/>
    </row>
    <row r="383">
      <c r="A383" s="30" t="str">
        <f>IFERROR(__xludf.DUMMYFUNCTION("""COMPUTED_VALUE"""),"38758")</f>
        <v>38758</v>
      </c>
      <c r="B383" s="86">
        <f>IFERROR(__xludf.DUMMYFUNCTION("""COMPUTED_VALUE"""),44643.0)</f>
        <v>44643</v>
      </c>
      <c r="C383" s="64" t="str">
        <f>IFERROR(__xludf.DUMMYFUNCTION("""COMPUTED_VALUE"""),"Time Deposit")</f>
        <v>Time Deposit</v>
      </c>
      <c r="D383" s="87" t="str">
        <f>IFERROR(__xludf.DUMMYFUNCTION("""COMPUTED_VALUE"""),"1M")</f>
        <v>1M</v>
      </c>
      <c r="E383" s="5" t="str">
        <f>IFERROR(__xludf.DUMMYFUNCTION("""COMPUTED_VALUE"""),"HKD")</f>
        <v>HKD</v>
      </c>
      <c r="F383" s="69">
        <f>IFERROR(__xludf.DUMMYFUNCTION("""COMPUTED_VALUE"""),-20000.0)</f>
        <v>-20000</v>
      </c>
      <c r="G383" s="70">
        <f>IFERROR(__xludf.DUMMYFUNCTION("""COMPUTED_VALUE"""),1.0)</f>
        <v>1</v>
      </c>
      <c r="H383" s="71">
        <f>IFERROR(__xludf.DUMMYFUNCTION("""COMPUTED_VALUE"""),1.0)</f>
        <v>1</v>
      </c>
      <c r="I383" s="71" t="str">
        <f>IFERROR(__xludf.DUMMYFUNCTION("""COMPUTED_VALUE"""),"#N/A")</f>
        <v>#N/A</v>
      </c>
      <c r="J383" s="22" t="str">
        <f>IFERROR(__xludf.DUMMYFUNCTION("""COMPUTED_VALUE"""),"")</f>
        <v/>
      </c>
      <c r="K383" s="22"/>
      <c r="L383" s="22"/>
      <c r="M383" s="22"/>
      <c r="N383" s="22"/>
      <c r="O383" s="73"/>
      <c r="P383" s="8"/>
      <c r="Q383" s="69"/>
      <c r="R383" s="69"/>
      <c r="S383" s="8"/>
      <c r="T383" s="69"/>
      <c r="U383" s="8"/>
      <c r="V383" s="69"/>
      <c r="W383" s="74"/>
      <c r="X383" s="69"/>
    </row>
    <row r="384">
      <c r="A384" s="30" t="str">
        <f>IFERROR(__xludf.DUMMYFUNCTION("""COMPUTED_VALUE"""),"38758")</f>
        <v>38758</v>
      </c>
      <c r="B384" s="86">
        <f>IFERROR(__xludf.DUMMYFUNCTION("""COMPUTED_VALUE"""),44644.0)</f>
        <v>44644</v>
      </c>
      <c r="C384" s="64" t="str">
        <f>IFERROR(__xludf.DUMMYFUNCTION("""COMPUTED_VALUE"""),"Stock")</f>
        <v>Stock</v>
      </c>
      <c r="D384" s="90" t="str">
        <f>IFERROR(__xludf.DUMMYFUNCTION("""COMPUTED_VALUE"""),"0700.HK")</f>
        <v>0700.HK</v>
      </c>
      <c r="E384" s="5" t="str">
        <f>IFERROR(__xludf.DUMMYFUNCTION("""COMPUTED_VALUE"""),"HKD")</f>
        <v>HKD</v>
      </c>
      <c r="F384" s="69">
        <f>IFERROR(__xludf.DUMMYFUNCTION("""COMPUTED_VALUE"""),0.0)</f>
        <v>0</v>
      </c>
      <c r="G384" s="70">
        <f>IFERROR(__xludf.DUMMYFUNCTION("""COMPUTED_VALUE"""),1.0)</f>
        <v>1</v>
      </c>
      <c r="H384" s="71">
        <f>IFERROR(__xludf.DUMMYFUNCTION("""COMPUTED_VALUE"""),0.0)</f>
        <v>0</v>
      </c>
      <c r="I384" s="71">
        <f>IFERROR(__xludf.DUMMYFUNCTION("""COMPUTED_VALUE"""),373.6)</f>
        <v>373.6</v>
      </c>
      <c r="J384" s="88" t="str">
        <f>IFERROR(__xludf.DUMMYFUNCTION("""COMPUTED_VALUE"""),"Goto link: 0700.HK")</f>
        <v>Goto link: 0700.HK</v>
      </c>
      <c r="K384" s="22"/>
      <c r="L384" s="22"/>
      <c r="M384" s="22"/>
      <c r="N384" s="22"/>
      <c r="O384" s="73"/>
      <c r="P384" s="8"/>
      <c r="Q384" s="69"/>
      <c r="R384" s="69"/>
      <c r="S384" s="8"/>
      <c r="T384" s="69"/>
      <c r="U384" s="8"/>
      <c r="V384" s="69"/>
      <c r="W384" s="74"/>
      <c r="X384" s="69"/>
    </row>
    <row r="385">
      <c r="A385" s="30" t="str">
        <f>IFERROR(__xludf.DUMMYFUNCTION("""COMPUTED_VALUE"""),"38758")</f>
        <v>38758</v>
      </c>
      <c r="B385" s="86">
        <f>IFERROR(__xludf.DUMMYFUNCTION("""COMPUTED_VALUE"""),44645.0)</f>
        <v>44645</v>
      </c>
      <c r="C385" s="64" t="str">
        <f>IFERROR(__xludf.DUMMYFUNCTION("""COMPUTED_VALUE"""),"Stock")</f>
        <v>Stock</v>
      </c>
      <c r="D385" s="90" t="str">
        <f>IFERROR(__xludf.DUMMYFUNCTION("""COMPUTED_VALUE"""),"0700.HK")</f>
        <v>0700.HK</v>
      </c>
      <c r="E385" s="5" t="str">
        <f>IFERROR(__xludf.DUMMYFUNCTION("""COMPUTED_VALUE"""),"HKD")</f>
        <v>HKD</v>
      </c>
      <c r="F385" s="69">
        <f>IFERROR(__xludf.DUMMYFUNCTION("""COMPUTED_VALUE"""),-50.0)</f>
        <v>-50</v>
      </c>
      <c r="G385" s="70">
        <f>IFERROR(__xludf.DUMMYFUNCTION("""COMPUTED_VALUE"""),1.0)</f>
        <v>1</v>
      </c>
      <c r="H385" s="71">
        <f>IFERROR(__xludf.DUMMYFUNCTION("""COMPUTED_VALUE"""),356.4)</f>
        <v>356.4</v>
      </c>
      <c r="I385" s="71">
        <f>IFERROR(__xludf.DUMMYFUNCTION("""COMPUTED_VALUE"""),373.6)</f>
        <v>373.6</v>
      </c>
      <c r="J385" s="88" t="str">
        <f>IFERROR(__xludf.DUMMYFUNCTION("""COMPUTED_VALUE"""),"Goto link: 0700.HK")</f>
        <v>Goto link: 0700.HK</v>
      </c>
      <c r="K385" s="22"/>
      <c r="L385" s="22"/>
      <c r="M385" s="22"/>
      <c r="N385" s="22"/>
      <c r="O385" s="73"/>
      <c r="P385" s="8"/>
      <c r="Q385" s="69"/>
      <c r="R385" s="69"/>
      <c r="S385" s="8"/>
      <c r="T385" s="69"/>
      <c r="U385" s="8"/>
      <c r="V385" s="69"/>
      <c r="W385" s="74"/>
      <c r="X385" s="69"/>
    </row>
    <row r="386">
      <c r="A386" s="30" t="str">
        <f>IFERROR(__xludf.DUMMYFUNCTION("""COMPUTED_VALUE"""),"38758")</f>
        <v>38758</v>
      </c>
      <c r="B386" s="86">
        <f>IFERROR(__xludf.DUMMYFUNCTION("""COMPUTED_VALUE"""),44645.0)</f>
        <v>44645</v>
      </c>
      <c r="C386" s="64" t="str">
        <f>IFERROR(__xludf.DUMMYFUNCTION("""COMPUTED_VALUE"""),"Stock")</f>
        <v>Stock</v>
      </c>
      <c r="D386" s="90" t="str">
        <f>IFERROR(__xludf.DUMMYFUNCTION("""COMPUTED_VALUE"""),"0700.HK")</f>
        <v>0700.HK</v>
      </c>
      <c r="E386" s="5" t="str">
        <f>IFERROR(__xludf.DUMMYFUNCTION("""COMPUTED_VALUE"""),"HKD")</f>
        <v>HKD</v>
      </c>
      <c r="F386" s="69">
        <f>IFERROR(__xludf.DUMMYFUNCTION("""COMPUTED_VALUE"""),0.0)</f>
        <v>0</v>
      </c>
      <c r="G386" s="70">
        <f>IFERROR(__xludf.DUMMYFUNCTION("""COMPUTED_VALUE"""),1.0)</f>
        <v>1</v>
      </c>
      <c r="H386" s="71">
        <f>IFERROR(__xludf.DUMMYFUNCTION("""COMPUTED_VALUE"""),0.0)</f>
        <v>0</v>
      </c>
      <c r="I386" s="71">
        <f>IFERROR(__xludf.DUMMYFUNCTION("""COMPUTED_VALUE"""),373.6)</f>
        <v>373.6</v>
      </c>
      <c r="J386" s="88" t="str">
        <f>IFERROR(__xludf.DUMMYFUNCTION("""COMPUTED_VALUE"""),"Goto link: 0700.HK")</f>
        <v>Goto link: 0700.HK</v>
      </c>
      <c r="K386" s="22"/>
      <c r="L386" s="22"/>
      <c r="M386" s="22"/>
      <c r="N386" s="22"/>
      <c r="O386" s="73"/>
      <c r="P386" s="8"/>
      <c r="Q386" s="69"/>
      <c r="R386" s="69"/>
      <c r="S386" s="8"/>
      <c r="T386" s="69"/>
      <c r="U386" s="8"/>
      <c r="V386" s="69"/>
      <c r="W386" s="74"/>
      <c r="X386" s="69"/>
    </row>
    <row r="387">
      <c r="A387" s="30" t="str">
        <f>IFERROR(__xludf.DUMMYFUNCTION("""COMPUTED_VALUE"""),"38758")</f>
        <v>38758</v>
      </c>
      <c r="B387" s="86">
        <f>IFERROR(__xludf.DUMMYFUNCTION("""COMPUTED_VALUE"""),44648.0)</f>
        <v>44648</v>
      </c>
      <c r="C387" s="64" t="str">
        <f>IFERROR(__xludf.DUMMYFUNCTION("""COMPUTED_VALUE"""),"Time Deposit")</f>
        <v>Time Deposit</v>
      </c>
      <c r="D387" s="87" t="str">
        <f>IFERROR(__xludf.DUMMYFUNCTION("""COMPUTED_VALUE"""),"1M")</f>
        <v>1M</v>
      </c>
      <c r="E387" s="5" t="str">
        <f>IFERROR(__xludf.DUMMYFUNCTION("""COMPUTED_VALUE"""),"HKD")</f>
        <v>HKD</v>
      </c>
      <c r="F387" s="69">
        <f>IFERROR(__xludf.DUMMYFUNCTION("""COMPUTED_VALUE"""),-15000.0)</f>
        <v>-15000</v>
      </c>
      <c r="G387" s="70">
        <f>IFERROR(__xludf.DUMMYFUNCTION("""COMPUTED_VALUE"""),1.0)</f>
        <v>1</v>
      </c>
      <c r="H387" s="71">
        <f>IFERROR(__xludf.DUMMYFUNCTION("""COMPUTED_VALUE"""),1.0)</f>
        <v>1</v>
      </c>
      <c r="I387" s="71" t="str">
        <f>IFERROR(__xludf.DUMMYFUNCTION("""COMPUTED_VALUE"""),"#N/A")</f>
        <v>#N/A</v>
      </c>
      <c r="J387" s="22" t="str">
        <f>IFERROR(__xludf.DUMMYFUNCTION("""COMPUTED_VALUE"""),"")</f>
        <v/>
      </c>
      <c r="K387" s="22"/>
      <c r="L387" s="22"/>
      <c r="M387" s="22"/>
      <c r="N387" s="22"/>
      <c r="O387" s="73"/>
      <c r="P387" s="8"/>
      <c r="Q387" s="69"/>
      <c r="R387" s="69"/>
      <c r="S387" s="8"/>
      <c r="T387" s="69"/>
      <c r="U387" s="8"/>
      <c r="V387" s="69"/>
      <c r="W387" s="74"/>
      <c r="X387" s="69"/>
    </row>
    <row r="388">
      <c r="A388" s="30" t="str">
        <f>IFERROR(__xludf.DUMMYFUNCTION("""COMPUTED_VALUE"""),"38758")</f>
        <v>38758</v>
      </c>
      <c r="B388" s="86">
        <f>IFERROR(__xludf.DUMMYFUNCTION("""COMPUTED_VALUE"""),44649.0)</f>
        <v>44649</v>
      </c>
      <c r="C388" s="64" t="str">
        <f>IFERROR(__xludf.DUMMYFUNCTION("""COMPUTED_VALUE"""),"Stock")</f>
        <v>Stock</v>
      </c>
      <c r="D388" s="90" t="str">
        <f>IFERROR(__xludf.DUMMYFUNCTION("""COMPUTED_VALUE"""),"600519.SS")</f>
        <v>600519.SS</v>
      </c>
      <c r="E388" s="5" t="str">
        <f>IFERROR(__xludf.DUMMYFUNCTION("""COMPUTED_VALUE"""),"CNY")</f>
        <v>CNY</v>
      </c>
      <c r="F388" s="69">
        <f>IFERROR(__xludf.DUMMYFUNCTION("""COMPUTED_VALUE"""),-25.0)</f>
        <v>-25</v>
      </c>
      <c r="G388" s="70">
        <f>IFERROR(__xludf.DUMMYFUNCTION("""COMPUTED_VALUE"""),1.231169)</f>
        <v>1.231169</v>
      </c>
      <c r="H388" s="71">
        <f>IFERROR(__xludf.DUMMYFUNCTION("""COMPUTED_VALUE"""),1660.8)</f>
        <v>1660.8</v>
      </c>
      <c r="I388" s="71">
        <f>IFERROR(__xludf.DUMMYFUNCTION("""COMPUTED_VALUE"""),1769.0)</f>
        <v>1769</v>
      </c>
      <c r="J388" s="88" t="str">
        <f>IFERROR(__xludf.DUMMYFUNCTION("""COMPUTED_VALUE"""),"Goto link: 600519.SS")</f>
        <v>Goto link: 600519.SS</v>
      </c>
      <c r="K388" s="22"/>
      <c r="L388" s="22"/>
      <c r="M388" s="22"/>
      <c r="N388" s="22"/>
      <c r="O388" s="73"/>
      <c r="P388" s="8"/>
      <c r="Q388" s="69"/>
      <c r="R388" s="69"/>
      <c r="S388" s="8"/>
      <c r="T388" s="69"/>
      <c r="U388" s="8"/>
      <c r="V388" s="69"/>
      <c r="W388" s="74"/>
      <c r="X388" s="69"/>
    </row>
    <row r="389">
      <c r="A389" s="30" t="str">
        <f>IFERROR(__xludf.DUMMYFUNCTION("""COMPUTED_VALUE"""),"38758")</f>
        <v>38758</v>
      </c>
      <c r="B389" s="86">
        <f>IFERROR(__xludf.DUMMYFUNCTION("""COMPUTED_VALUE"""),44653.0)</f>
        <v>44653</v>
      </c>
      <c r="C389" s="64" t="str">
        <f>IFERROR(__xludf.DUMMYFUNCTION("""COMPUTED_VALUE"""),"Time Deposit")</f>
        <v>Time Deposit</v>
      </c>
      <c r="D389" s="87" t="str">
        <f>IFERROR(__xludf.DUMMYFUNCTION("""COMPUTED_VALUE"""),"3M")</f>
        <v>3M</v>
      </c>
      <c r="E389" s="5" t="str">
        <f>IFERROR(__xludf.DUMMYFUNCTION("""COMPUTED_VALUE"""),"HKD")</f>
        <v>HKD</v>
      </c>
      <c r="F389" s="69">
        <f>IFERROR(__xludf.DUMMYFUNCTION("""COMPUTED_VALUE"""),-20000.0)</f>
        <v>-20000</v>
      </c>
      <c r="G389" s="70">
        <f>IFERROR(__xludf.DUMMYFUNCTION("""COMPUTED_VALUE"""),1.0)</f>
        <v>1</v>
      </c>
      <c r="H389" s="71">
        <f>IFERROR(__xludf.DUMMYFUNCTION("""COMPUTED_VALUE"""),1.0)</f>
        <v>1</v>
      </c>
      <c r="I389" s="71" t="str">
        <f>IFERROR(__xludf.DUMMYFUNCTION("""COMPUTED_VALUE"""),"#N/A")</f>
        <v>#N/A</v>
      </c>
      <c r="J389" s="22" t="str">
        <f>IFERROR(__xludf.DUMMYFUNCTION("""COMPUTED_VALUE"""),"")</f>
        <v/>
      </c>
      <c r="K389" s="22"/>
      <c r="L389" s="22"/>
      <c r="M389" s="22"/>
      <c r="N389" s="22"/>
      <c r="O389" s="73"/>
      <c r="P389" s="8"/>
      <c r="Q389" s="69"/>
      <c r="R389" s="69"/>
      <c r="S389" s="8"/>
      <c r="T389" s="69"/>
      <c r="U389" s="8"/>
      <c r="V389" s="69"/>
      <c r="W389" s="74"/>
      <c r="X389" s="69"/>
    </row>
    <row r="390">
      <c r="A390" s="30" t="str">
        <f>IFERROR(__xludf.DUMMYFUNCTION("""COMPUTED_VALUE"""),"38758")</f>
        <v>38758</v>
      </c>
      <c r="B390" s="86">
        <f>IFERROR(__xludf.DUMMYFUNCTION("""COMPUTED_VALUE"""),44664.0)</f>
        <v>44664</v>
      </c>
      <c r="C390" s="64" t="str">
        <f>IFERROR(__xludf.DUMMYFUNCTION("""COMPUTED_VALUE"""),"Time Deposit")</f>
        <v>Time Deposit</v>
      </c>
      <c r="D390" s="85" t="str">
        <f>IFERROR(__xludf.DUMMYFUNCTION("""COMPUTED_VALUE"""),"1M")</f>
        <v>1M</v>
      </c>
      <c r="E390" s="5" t="str">
        <f>IFERROR(__xludf.DUMMYFUNCTION("""COMPUTED_VALUE"""),"HKD")</f>
        <v>HKD</v>
      </c>
      <c r="F390" s="69">
        <f>IFERROR(__xludf.DUMMYFUNCTION("""COMPUTED_VALUE"""),-20000.0)</f>
        <v>-20000</v>
      </c>
      <c r="G390" s="70">
        <f>IFERROR(__xludf.DUMMYFUNCTION("""COMPUTED_VALUE"""),1.0)</f>
        <v>1</v>
      </c>
      <c r="H390" s="71">
        <f>IFERROR(__xludf.DUMMYFUNCTION("""COMPUTED_VALUE"""),1.0)</f>
        <v>1</v>
      </c>
      <c r="I390" s="71" t="str">
        <f>IFERROR(__xludf.DUMMYFUNCTION("""COMPUTED_VALUE"""),"#N/A")</f>
        <v>#N/A</v>
      </c>
      <c r="J390" s="22" t="str">
        <f>IFERROR(__xludf.DUMMYFUNCTION("""COMPUTED_VALUE"""),"")</f>
        <v/>
      </c>
      <c r="K390" s="22"/>
      <c r="L390" s="22"/>
      <c r="M390" s="22"/>
      <c r="N390" s="22"/>
      <c r="O390" s="73"/>
      <c r="P390" s="8"/>
      <c r="Q390" s="69"/>
      <c r="R390" s="69"/>
      <c r="S390" s="8"/>
      <c r="T390" s="69"/>
      <c r="U390" s="8"/>
      <c r="V390" s="69"/>
      <c r="W390" s="74"/>
      <c r="X390" s="69"/>
    </row>
    <row r="391">
      <c r="A391" s="30" t="str">
        <f>IFERROR(__xludf.DUMMYFUNCTION("""COMPUTED_VALUE"""),"38758 Total")</f>
        <v>38758 Total</v>
      </c>
      <c r="B391" s="5"/>
      <c r="C391" s="64"/>
      <c r="D391" s="85"/>
      <c r="E391" s="5"/>
      <c r="F391" s="69"/>
      <c r="G391" s="70">
        <f>IFERROR(__xludf.DUMMYFUNCTION("""COMPUTED_VALUE"""),1.0420307272727272)</f>
        <v>1.042030727</v>
      </c>
      <c r="H391" s="71">
        <f>IFERROR(__xludf.DUMMYFUNCTION("""COMPUTED_VALUE"""),1695.0)</f>
        <v>1695</v>
      </c>
      <c r="I391" s="71" t="str">
        <f>IFERROR(__xludf.DUMMYFUNCTION("""COMPUTED_VALUE"""),"")</f>
        <v/>
      </c>
      <c r="J391" s="22" t="str">
        <f>IFERROR(__xludf.DUMMYFUNCTION("""COMPUTED_VALUE"""),"")</f>
        <v/>
      </c>
      <c r="K391" s="22"/>
      <c r="L391" s="22"/>
      <c r="M391" s="22"/>
      <c r="N391" s="22"/>
      <c r="O391" s="73"/>
      <c r="P391" s="8"/>
      <c r="Q391" s="69"/>
      <c r="R391" s="69"/>
      <c r="S391" s="8"/>
      <c r="T391" s="69"/>
      <c r="U391" s="8"/>
      <c r="V391" s="69"/>
      <c r="W391" s="74"/>
      <c r="X391" s="69"/>
    </row>
    <row r="392">
      <c r="A392" s="30" t="str">
        <f>IFERROR(__xludf.DUMMYFUNCTION("""COMPUTED_VALUE"""),"39011")</f>
        <v>39011</v>
      </c>
      <c r="B392" s="86">
        <f>IFERROR(__xludf.DUMMYFUNCTION("""COMPUTED_VALUE"""),44597.0)</f>
        <v>44597</v>
      </c>
      <c r="C392" s="64" t="str">
        <f>IFERROR(__xludf.DUMMYFUNCTION("""COMPUTED_VALUE"""),"Cash")</f>
        <v>Cash</v>
      </c>
      <c r="D392" s="85" t="str">
        <f>IFERROR(__xludf.DUMMYFUNCTION("""COMPUTED_VALUE"""),"Cash")</f>
        <v>Cash</v>
      </c>
      <c r="E392" s="5" t="str">
        <f>IFERROR(__xludf.DUMMYFUNCTION("""COMPUTED_VALUE"""),"HKD")</f>
        <v>HKD</v>
      </c>
      <c r="F392" s="69" t="str">
        <f>IFERROR(__xludf.DUMMYFUNCTION("""COMPUTED_VALUE"""),"")</f>
        <v/>
      </c>
      <c r="G392" s="70">
        <f>IFERROR(__xludf.DUMMYFUNCTION("""COMPUTED_VALUE"""),1.0)</f>
        <v>1</v>
      </c>
      <c r="H392" s="71">
        <f>IFERROR(__xludf.DUMMYFUNCTION("""COMPUTED_VALUE"""),1.0)</f>
        <v>1</v>
      </c>
      <c r="I392" s="71">
        <f>IFERROR(__xludf.DUMMYFUNCTION("""COMPUTED_VALUE"""),1.0)</f>
        <v>1</v>
      </c>
      <c r="J392" s="22" t="str">
        <f>IFERROR(__xludf.DUMMYFUNCTION("""COMPUTED_VALUE"""),"")</f>
        <v/>
      </c>
      <c r="K392" s="22"/>
      <c r="L392" s="22"/>
      <c r="M392" s="22"/>
      <c r="N392" s="22"/>
      <c r="O392" s="73"/>
      <c r="P392" s="8"/>
      <c r="Q392" s="69"/>
      <c r="R392" s="69"/>
      <c r="S392" s="8"/>
      <c r="T392" s="69"/>
      <c r="U392" s="8"/>
      <c r="V392" s="69"/>
      <c r="W392" s="74"/>
      <c r="X392" s="69"/>
    </row>
    <row r="393">
      <c r="A393" s="30" t="str">
        <f>IFERROR(__xludf.DUMMYFUNCTION("""COMPUTED_VALUE"""),"39011")</f>
        <v>39011</v>
      </c>
      <c r="B393" s="86">
        <f>IFERROR(__xludf.DUMMYFUNCTION("""COMPUTED_VALUE"""),44660.0)</f>
        <v>44660</v>
      </c>
      <c r="C393" s="64" t="str">
        <f>IFERROR(__xludf.DUMMYFUNCTION("""COMPUTED_VALUE"""),"Stock")</f>
        <v>Stock</v>
      </c>
      <c r="D393" s="85" t="str">
        <f>IFERROR(__xludf.DUMMYFUNCTION("""COMPUTED_VALUE"""),"GM")</f>
        <v>GM</v>
      </c>
      <c r="E393" s="5" t="str">
        <f>IFERROR(__xludf.DUMMYFUNCTION("""COMPUTED_VALUE"""),"USD")</f>
        <v>USD</v>
      </c>
      <c r="F393" s="69" t="str">
        <f>IFERROR(__xludf.DUMMYFUNCTION("""COMPUTED_VALUE"""),"")</f>
        <v/>
      </c>
      <c r="G393" s="70">
        <f>IFERROR(__xludf.DUMMYFUNCTION("""COMPUTED_VALUE"""),7.83915)</f>
        <v>7.83915</v>
      </c>
      <c r="H393" s="71">
        <f>IFERROR(__xludf.DUMMYFUNCTION("""COMPUTED_VALUE"""),40.33)</f>
        <v>40.33</v>
      </c>
      <c r="I393" s="71">
        <f>IFERROR(__xludf.DUMMYFUNCTION("""COMPUTED_VALUE"""),40.22)</f>
        <v>40.22</v>
      </c>
      <c r="J393" s="88" t="str">
        <f>IFERROR(__xludf.DUMMYFUNCTION("""COMPUTED_VALUE"""),"Goto link: GM")</f>
        <v>Goto link: GM</v>
      </c>
      <c r="K393" s="22"/>
      <c r="L393" s="22"/>
      <c r="M393" s="22"/>
      <c r="N393" s="22"/>
      <c r="O393" s="73"/>
      <c r="P393" s="8"/>
      <c r="Q393" s="69"/>
      <c r="R393" s="69"/>
      <c r="S393" s="8"/>
      <c r="T393" s="69"/>
      <c r="U393" s="8"/>
      <c r="V393" s="69"/>
      <c r="W393" s="74"/>
      <c r="X393" s="69"/>
    </row>
    <row r="394">
      <c r="A394" s="30" t="str">
        <f>IFERROR(__xludf.DUMMYFUNCTION("""COMPUTED_VALUE"""),"39011")</f>
        <v>39011</v>
      </c>
      <c r="B394" s="86">
        <f>IFERROR(__xludf.DUMMYFUNCTION("""COMPUTED_VALUE"""),44662.0)</f>
        <v>44662</v>
      </c>
      <c r="C394" s="64" t="str">
        <f>IFERROR(__xludf.DUMMYFUNCTION("""COMPUTED_VALUE"""),"Stock")</f>
        <v>Stock</v>
      </c>
      <c r="D394" s="85" t="str">
        <f>IFERROR(__xludf.DUMMYFUNCTION("""COMPUTED_VALUE"""),"DUK")</f>
        <v>DUK</v>
      </c>
      <c r="E394" s="5" t="str">
        <f>IFERROR(__xludf.DUMMYFUNCTION("""COMPUTED_VALUE"""),"USD")</f>
        <v>USD</v>
      </c>
      <c r="F394" s="69" t="str">
        <f>IFERROR(__xludf.DUMMYFUNCTION("""COMPUTED_VALUE"""),"")</f>
        <v/>
      </c>
      <c r="G394" s="70">
        <f>IFERROR(__xludf.DUMMYFUNCTION("""COMPUTED_VALUE"""),7.83915)</f>
        <v>7.83915</v>
      </c>
      <c r="H394" s="71">
        <f>IFERROR(__xludf.DUMMYFUNCTION("""COMPUTED_VALUE"""),114.23)</f>
        <v>114.23</v>
      </c>
      <c r="I394" s="71">
        <f>IFERROR(__xludf.DUMMYFUNCTION("""COMPUTED_VALUE"""),115.13)</f>
        <v>115.13</v>
      </c>
      <c r="J394" s="88" t="str">
        <f>IFERROR(__xludf.DUMMYFUNCTION("""COMPUTED_VALUE"""),"Goto link: DUK")</f>
        <v>Goto link: DUK</v>
      </c>
      <c r="K394" s="22"/>
      <c r="L394" s="22"/>
      <c r="M394" s="22"/>
      <c r="N394" s="22"/>
      <c r="O394" s="73"/>
      <c r="P394" s="8"/>
      <c r="Q394" s="69"/>
      <c r="R394" s="69"/>
      <c r="S394" s="8"/>
      <c r="T394" s="69"/>
      <c r="U394" s="8"/>
      <c r="V394" s="69"/>
      <c r="W394" s="74"/>
      <c r="X394" s="69"/>
    </row>
    <row r="395">
      <c r="A395" s="30" t="str">
        <f>IFERROR(__xludf.DUMMYFUNCTION("""COMPUTED_VALUE"""),"39011")</f>
        <v>39011</v>
      </c>
      <c r="B395" s="86">
        <f>IFERROR(__xludf.DUMMYFUNCTION("""COMPUTED_VALUE"""),44662.0)</f>
        <v>44662</v>
      </c>
      <c r="C395" s="64" t="str">
        <f>IFERROR(__xludf.DUMMYFUNCTION("""COMPUTED_VALUE"""),"Stock")</f>
        <v>Stock</v>
      </c>
      <c r="D395" s="85" t="str">
        <f>IFERROR(__xludf.DUMMYFUNCTION("""COMPUTED_VALUE"""),"XPEV")</f>
        <v>XPEV</v>
      </c>
      <c r="E395" s="5" t="str">
        <f>IFERROR(__xludf.DUMMYFUNCTION("""COMPUTED_VALUE"""),"USD")</f>
        <v>USD</v>
      </c>
      <c r="F395" s="69">
        <f>IFERROR(__xludf.DUMMYFUNCTION("""COMPUTED_VALUE"""),0.0)</f>
        <v>0</v>
      </c>
      <c r="G395" s="70">
        <f>IFERROR(__xludf.DUMMYFUNCTION("""COMPUTED_VALUE"""),7.83915)</f>
        <v>7.83915</v>
      </c>
      <c r="H395" s="71">
        <f>IFERROR(__xludf.DUMMYFUNCTION("""COMPUTED_VALUE"""),0.0)</f>
        <v>0</v>
      </c>
      <c r="I395" s="71">
        <f>IFERROR(__xludf.DUMMYFUNCTION("""COMPUTED_VALUE"""),27.65)</f>
        <v>27.65</v>
      </c>
      <c r="J395" s="88" t="str">
        <f>IFERROR(__xludf.DUMMYFUNCTION("""COMPUTED_VALUE"""),"Goto link: XPEV")</f>
        <v>Goto link: XPEV</v>
      </c>
      <c r="K395" s="22"/>
      <c r="L395" s="22"/>
      <c r="M395" s="22"/>
      <c r="N395" s="22"/>
      <c r="O395" s="73"/>
      <c r="P395" s="8"/>
      <c r="Q395" s="69"/>
      <c r="R395" s="69"/>
      <c r="S395" s="8"/>
      <c r="T395" s="69"/>
      <c r="U395" s="8"/>
      <c r="V395" s="69"/>
      <c r="W395" s="74"/>
      <c r="X395" s="69"/>
    </row>
    <row r="396">
      <c r="A396" s="30" t="str">
        <f>IFERROR(__xludf.DUMMYFUNCTION("""COMPUTED_VALUE"""),"39011")</f>
        <v>39011</v>
      </c>
      <c r="B396" s="86">
        <f>IFERROR(__xludf.DUMMYFUNCTION("""COMPUTED_VALUE"""),44662.0)</f>
        <v>44662</v>
      </c>
      <c r="C396" s="64" t="str">
        <f>IFERROR(__xludf.DUMMYFUNCTION("""COMPUTED_VALUE"""),"Stock")</f>
        <v>Stock</v>
      </c>
      <c r="D396" s="85" t="str">
        <f>IFERROR(__xludf.DUMMYFUNCTION("""COMPUTED_VALUE"""),"YANG")</f>
        <v>YANG</v>
      </c>
      <c r="E396" s="5" t="str">
        <f>IFERROR(__xludf.DUMMYFUNCTION("""COMPUTED_VALUE"""),"USD")</f>
        <v>USD</v>
      </c>
      <c r="F396" s="69">
        <f>IFERROR(__xludf.DUMMYFUNCTION("""COMPUTED_VALUE"""),0.0)</f>
        <v>0</v>
      </c>
      <c r="G396" s="70">
        <f>IFERROR(__xludf.DUMMYFUNCTION("""COMPUTED_VALUE"""),7.83915)</f>
        <v>7.83915</v>
      </c>
      <c r="H396" s="71">
        <f>IFERROR(__xludf.DUMMYFUNCTION("""COMPUTED_VALUE"""),0.0)</f>
        <v>0</v>
      </c>
      <c r="I396" s="71">
        <f>IFERROR(__xludf.DUMMYFUNCTION("""COMPUTED_VALUE"""),15.81)</f>
        <v>15.81</v>
      </c>
      <c r="J396" s="88" t="str">
        <f>IFERROR(__xludf.DUMMYFUNCTION("""COMPUTED_VALUE"""),"Goto link: YANG")</f>
        <v>Goto link: YANG</v>
      </c>
      <c r="K396" s="22"/>
      <c r="L396" s="22"/>
      <c r="M396" s="22"/>
      <c r="N396" s="22"/>
      <c r="O396" s="73"/>
      <c r="P396" s="8"/>
      <c r="Q396" s="69"/>
      <c r="R396" s="69"/>
      <c r="S396" s="8"/>
      <c r="T396" s="69"/>
      <c r="U396" s="8"/>
      <c r="V396" s="69"/>
      <c r="W396" s="74"/>
      <c r="X396" s="69"/>
    </row>
    <row r="397">
      <c r="A397" s="30" t="str">
        <f>IFERROR(__xludf.DUMMYFUNCTION("""COMPUTED_VALUE"""),"39011")</f>
        <v>39011</v>
      </c>
      <c r="B397" s="86">
        <f>IFERROR(__xludf.DUMMYFUNCTION("""COMPUTED_VALUE"""),44662.0)</f>
        <v>44662</v>
      </c>
      <c r="C397" s="64" t="str">
        <f>IFERROR(__xludf.DUMMYFUNCTION("""COMPUTED_VALUE"""),"Stock")</f>
        <v>Stock</v>
      </c>
      <c r="D397" s="85" t="str">
        <f>IFERROR(__xludf.DUMMYFUNCTION("""COMPUTED_VALUE"""),"YANG")</f>
        <v>YANG</v>
      </c>
      <c r="E397" s="5" t="str">
        <f>IFERROR(__xludf.DUMMYFUNCTION("""COMPUTED_VALUE"""),"USD")</f>
        <v>USD</v>
      </c>
      <c r="F397" s="69">
        <f>IFERROR(__xludf.DUMMYFUNCTION("""COMPUTED_VALUE"""),2000.0)</f>
        <v>2000</v>
      </c>
      <c r="G397" s="70">
        <f>IFERROR(__xludf.DUMMYFUNCTION("""COMPUTED_VALUE"""),7.83915)</f>
        <v>7.83915</v>
      </c>
      <c r="H397" s="71">
        <f>IFERROR(__xludf.DUMMYFUNCTION("""COMPUTED_VALUE"""),16.57)</f>
        <v>16.57</v>
      </c>
      <c r="I397" s="71">
        <f>IFERROR(__xludf.DUMMYFUNCTION("""COMPUTED_VALUE"""),15.81)</f>
        <v>15.81</v>
      </c>
      <c r="J397" s="88" t="str">
        <f>IFERROR(__xludf.DUMMYFUNCTION("""COMPUTED_VALUE"""),"Goto link: YANG")</f>
        <v>Goto link: YANG</v>
      </c>
      <c r="K397" s="22"/>
      <c r="L397" s="22"/>
      <c r="M397" s="22"/>
      <c r="N397" s="22"/>
      <c r="O397" s="73"/>
      <c r="P397" s="8"/>
      <c r="Q397" s="69"/>
      <c r="R397" s="69"/>
      <c r="S397" s="8"/>
      <c r="T397" s="69"/>
      <c r="U397" s="8"/>
      <c r="V397" s="69"/>
      <c r="W397" s="74"/>
      <c r="X397" s="69"/>
    </row>
    <row r="398">
      <c r="A398" s="30" t="str">
        <f>IFERROR(__xludf.DUMMYFUNCTION("""COMPUTED_VALUE"""),"39011")</f>
        <v>39011</v>
      </c>
      <c r="B398" s="86">
        <f>IFERROR(__xludf.DUMMYFUNCTION("""COMPUTED_VALUE"""),44663.0)</f>
        <v>44663</v>
      </c>
      <c r="C398" s="64" t="str">
        <f>IFERROR(__xludf.DUMMYFUNCTION("""COMPUTED_VALUE"""),"Bond")</f>
        <v>Bond</v>
      </c>
      <c r="D398" s="85" t="str">
        <f>IFERROR(__xludf.DUMMYFUNCTION("""COMPUTED_VALUE"""),"HK0000061041")</f>
        <v>HK0000061041</v>
      </c>
      <c r="E398" s="5" t="str">
        <f>IFERROR(__xludf.DUMMYFUNCTION("""COMPUTED_VALUE"""),"HKD")</f>
        <v>HKD</v>
      </c>
      <c r="F398" s="69" t="str">
        <f>IFERROR(__xludf.DUMMYFUNCTION("""COMPUTED_VALUE"""),"")</f>
        <v/>
      </c>
      <c r="G398" s="70">
        <f>IFERROR(__xludf.DUMMYFUNCTION("""COMPUTED_VALUE"""),1.0)</f>
        <v>1</v>
      </c>
      <c r="H398" s="71">
        <f>IFERROR(__xludf.DUMMYFUNCTION("""COMPUTED_VALUE"""),101.976)</f>
        <v>101.976</v>
      </c>
      <c r="I398" s="71" t="str">
        <f>IFERROR(__xludf.DUMMYFUNCTION("""COMPUTED_VALUE"""),"nil")</f>
        <v>nil</v>
      </c>
      <c r="J398" s="88" t="str">
        <f>IFERROR(__xludf.DUMMYFUNCTION("""COMPUTED_VALUE"""),"Bond Fact Sheet")</f>
        <v>Bond Fact Sheet</v>
      </c>
      <c r="K398" s="22"/>
      <c r="L398" s="22"/>
      <c r="M398" s="22"/>
      <c r="N398" s="22"/>
      <c r="O398" s="73"/>
      <c r="P398" s="8"/>
      <c r="Q398" s="69"/>
      <c r="R398" s="69"/>
      <c r="S398" s="8"/>
      <c r="T398" s="69"/>
      <c r="U398" s="8"/>
      <c r="V398" s="69"/>
      <c r="W398" s="74"/>
      <c r="X398" s="69"/>
    </row>
    <row r="399">
      <c r="A399" s="30" t="str">
        <f>IFERROR(__xludf.DUMMYFUNCTION("""COMPUTED_VALUE"""),"39011 Total")</f>
        <v>39011 Total</v>
      </c>
      <c r="B399" s="5"/>
      <c r="C399" s="64"/>
      <c r="D399" s="85"/>
      <c r="E399" s="5"/>
      <c r="F399" s="69"/>
      <c r="G399" s="70">
        <f>IFERROR(__xludf.DUMMYFUNCTION("""COMPUTED_VALUE"""),5.8851071428571435)</f>
        <v>5.885107143</v>
      </c>
      <c r="H399" s="71">
        <f>IFERROR(__xludf.DUMMYFUNCTION("""COMPUTED_VALUE"""),114.23)</f>
        <v>114.23</v>
      </c>
      <c r="I399" s="71" t="str">
        <f>IFERROR(__xludf.DUMMYFUNCTION("""COMPUTED_VALUE"""),"")</f>
        <v/>
      </c>
      <c r="J399" s="22" t="str">
        <f>IFERROR(__xludf.DUMMYFUNCTION("""COMPUTED_VALUE"""),"")</f>
        <v/>
      </c>
      <c r="K399" s="22"/>
      <c r="L399" s="22"/>
      <c r="M399" s="22"/>
      <c r="N399" s="22"/>
      <c r="O399" s="73"/>
      <c r="P399" s="8"/>
      <c r="Q399" s="69"/>
      <c r="R399" s="69"/>
      <c r="S399" s="8"/>
      <c r="T399" s="69"/>
      <c r="U399" s="8"/>
      <c r="V399" s="69"/>
      <c r="W399" s="74"/>
      <c r="X399" s="69"/>
    </row>
    <row r="400">
      <c r="A400" s="30" t="str">
        <f>IFERROR(__xludf.DUMMYFUNCTION("""COMPUTED_VALUE"""),"39296")</f>
        <v>39296</v>
      </c>
      <c r="B400" s="86">
        <f>IFERROR(__xludf.DUMMYFUNCTION("""COMPUTED_VALUE"""),44597.0)</f>
        <v>44597</v>
      </c>
      <c r="C400" s="64" t="str">
        <f>IFERROR(__xludf.DUMMYFUNCTION("""COMPUTED_VALUE"""),"Cash")</f>
        <v>Cash</v>
      </c>
      <c r="D400" s="85" t="str">
        <f>IFERROR(__xludf.DUMMYFUNCTION("""COMPUTED_VALUE"""),"Cash")</f>
        <v>Cash</v>
      </c>
      <c r="E400" s="5" t="str">
        <f>IFERROR(__xludf.DUMMYFUNCTION("""COMPUTED_VALUE"""),"HKD")</f>
        <v>HKD</v>
      </c>
      <c r="F400" s="69" t="str">
        <f>IFERROR(__xludf.DUMMYFUNCTION("""COMPUTED_VALUE"""),"")</f>
        <v/>
      </c>
      <c r="G400" s="70">
        <f>IFERROR(__xludf.DUMMYFUNCTION("""COMPUTED_VALUE"""),1.0)</f>
        <v>1</v>
      </c>
      <c r="H400" s="71">
        <f>IFERROR(__xludf.DUMMYFUNCTION("""COMPUTED_VALUE"""),1.0)</f>
        <v>1</v>
      </c>
      <c r="I400" s="71">
        <f>IFERROR(__xludf.DUMMYFUNCTION("""COMPUTED_VALUE"""),1.0)</f>
        <v>1</v>
      </c>
      <c r="J400" s="22" t="str">
        <f>IFERROR(__xludf.DUMMYFUNCTION("""COMPUTED_VALUE"""),"")</f>
        <v/>
      </c>
      <c r="K400" s="22"/>
      <c r="L400" s="22"/>
      <c r="M400" s="22"/>
      <c r="N400" s="22"/>
      <c r="O400" s="73"/>
      <c r="P400" s="8"/>
      <c r="Q400" s="69"/>
      <c r="R400" s="69"/>
      <c r="S400" s="8"/>
      <c r="T400" s="69"/>
      <c r="U400" s="8"/>
      <c r="V400" s="69"/>
      <c r="W400" s="74"/>
      <c r="X400" s="69"/>
    </row>
    <row r="401">
      <c r="A401" s="30" t="str">
        <f>IFERROR(__xludf.DUMMYFUNCTION("""COMPUTED_VALUE"""),"39296")</f>
        <v>39296</v>
      </c>
      <c r="B401" s="86">
        <f>IFERROR(__xludf.DUMMYFUNCTION("""COMPUTED_VALUE"""),44600.0)</f>
        <v>44600</v>
      </c>
      <c r="C401" s="64" t="str">
        <f>IFERROR(__xludf.DUMMYFUNCTION("""COMPUTED_VALUE"""),"Stock")</f>
        <v>Stock</v>
      </c>
      <c r="D401" s="90" t="str">
        <f>IFERROR(__xludf.DUMMYFUNCTION("""COMPUTED_VALUE"""),"0700.HK")</f>
        <v>0700.HK</v>
      </c>
      <c r="E401" s="5" t="str">
        <f>IFERROR(__xludf.DUMMYFUNCTION("""COMPUTED_VALUE"""),"HKD")</f>
        <v>HKD</v>
      </c>
      <c r="F401" s="69">
        <f>IFERROR(__xludf.DUMMYFUNCTION("""COMPUTED_VALUE"""),1000.0)</f>
        <v>1000</v>
      </c>
      <c r="G401" s="70">
        <f>IFERROR(__xludf.DUMMYFUNCTION("""COMPUTED_VALUE"""),1.0)</f>
        <v>1</v>
      </c>
      <c r="H401" s="71">
        <f>IFERROR(__xludf.DUMMYFUNCTION("""COMPUTED_VALUE"""),470.0)</f>
        <v>470</v>
      </c>
      <c r="I401" s="71">
        <f>IFERROR(__xludf.DUMMYFUNCTION("""COMPUTED_VALUE"""),373.6)</f>
        <v>373.6</v>
      </c>
      <c r="J401" s="88" t="str">
        <f>IFERROR(__xludf.DUMMYFUNCTION("""COMPUTED_VALUE"""),"Goto link: 0700.HK")</f>
        <v>Goto link: 0700.HK</v>
      </c>
      <c r="K401" s="22"/>
      <c r="L401" s="22"/>
      <c r="M401" s="22"/>
      <c r="N401" s="22"/>
      <c r="O401" s="73"/>
      <c r="P401" s="8"/>
      <c r="Q401" s="69"/>
      <c r="R401" s="69"/>
      <c r="S401" s="8"/>
      <c r="T401" s="69"/>
      <c r="U401" s="8"/>
      <c r="V401" s="69"/>
      <c r="W401" s="74"/>
      <c r="X401" s="69"/>
    </row>
    <row r="402">
      <c r="A402" s="30" t="str">
        <f>IFERROR(__xludf.DUMMYFUNCTION("""COMPUTED_VALUE"""),"39296")</f>
        <v>39296</v>
      </c>
      <c r="B402" s="86">
        <f>IFERROR(__xludf.DUMMYFUNCTION("""COMPUTED_VALUE"""),44648.0)</f>
        <v>44648</v>
      </c>
      <c r="C402" s="64" t="str">
        <f>IFERROR(__xludf.DUMMYFUNCTION("""COMPUTED_VALUE"""),"Stock")</f>
        <v>Stock</v>
      </c>
      <c r="D402" s="90" t="str">
        <f>IFERROR(__xludf.DUMMYFUNCTION("""COMPUTED_VALUE"""),"0700.HK")</f>
        <v>0700.HK</v>
      </c>
      <c r="E402" s="5" t="str">
        <f>IFERROR(__xludf.DUMMYFUNCTION("""COMPUTED_VALUE"""),"HKD")</f>
        <v>HKD</v>
      </c>
      <c r="F402" s="69">
        <f>IFERROR(__xludf.DUMMYFUNCTION("""COMPUTED_VALUE"""),-50.0)</f>
        <v>-50</v>
      </c>
      <c r="G402" s="70">
        <f>IFERROR(__xludf.DUMMYFUNCTION("""COMPUTED_VALUE"""),1.0)</f>
        <v>1</v>
      </c>
      <c r="H402" s="71">
        <f>IFERROR(__xludf.DUMMYFUNCTION("""COMPUTED_VALUE"""),366.4)</f>
        <v>366.4</v>
      </c>
      <c r="I402" s="71">
        <f>IFERROR(__xludf.DUMMYFUNCTION("""COMPUTED_VALUE"""),373.6)</f>
        <v>373.6</v>
      </c>
      <c r="J402" s="88" t="str">
        <f>IFERROR(__xludf.DUMMYFUNCTION("""COMPUTED_VALUE"""),"Goto link: 0700.HK")</f>
        <v>Goto link: 0700.HK</v>
      </c>
      <c r="K402" s="22"/>
      <c r="L402" s="22"/>
      <c r="M402" s="22"/>
      <c r="N402" s="22"/>
      <c r="O402" s="73"/>
      <c r="P402" s="8"/>
      <c r="Q402" s="69"/>
      <c r="R402" s="69"/>
      <c r="S402" s="8"/>
      <c r="T402" s="69"/>
      <c r="U402" s="8"/>
      <c r="V402" s="69"/>
      <c r="W402" s="74"/>
      <c r="X402" s="69"/>
    </row>
    <row r="403">
      <c r="A403" s="30" t="str">
        <f>IFERROR(__xludf.DUMMYFUNCTION("""COMPUTED_VALUE"""),"39296")</f>
        <v>39296</v>
      </c>
      <c r="B403" s="86">
        <f>IFERROR(__xludf.DUMMYFUNCTION("""COMPUTED_VALUE"""),44649.0)</f>
        <v>44649</v>
      </c>
      <c r="C403" s="64" t="str">
        <f>IFERROR(__xludf.DUMMYFUNCTION("""COMPUTED_VALUE"""),"Option")</f>
        <v>Option</v>
      </c>
      <c r="D403" s="87" t="str">
        <f>IFERROR(__xludf.DUMMYFUNCTION("""COMPUTED_VALUE"""),"TQQQ220408P00056000")</f>
        <v>TQQQ220408P00056000</v>
      </c>
      <c r="E403" s="5" t="str">
        <f>IFERROR(__xludf.DUMMYFUNCTION("""COMPUTED_VALUE"""),"USD")</f>
        <v>USD</v>
      </c>
      <c r="F403" s="69" t="str">
        <f>IFERROR(__xludf.DUMMYFUNCTION("""COMPUTED_VALUE"""),"")</f>
        <v/>
      </c>
      <c r="G403" s="70">
        <f>IFERROR(__xludf.DUMMYFUNCTION("""COMPUTED_VALUE"""),7.83915)</f>
        <v>7.83915</v>
      </c>
      <c r="H403" s="71">
        <f>IFERROR(__xludf.DUMMYFUNCTION("""COMPUTED_VALUE"""),0.89)</f>
        <v>0.89</v>
      </c>
      <c r="I403" s="71">
        <f>IFERROR(__xludf.DUMMYFUNCTION("""COMPUTED_VALUE"""),4.4)</f>
        <v>4.4</v>
      </c>
      <c r="J403" s="22" t="str">
        <f>IFERROR(__xludf.DUMMYFUNCTION("""COMPUTED_VALUE"""),"")</f>
        <v/>
      </c>
      <c r="K403" s="22"/>
      <c r="L403" s="22"/>
      <c r="M403" s="22"/>
      <c r="N403" s="22"/>
      <c r="O403" s="73"/>
      <c r="P403" s="8"/>
      <c r="Q403" s="69"/>
      <c r="R403" s="69"/>
      <c r="S403" s="8"/>
      <c r="T403" s="69"/>
      <c r="U403" s="8"/>
      <c r="V403" s="69"/>
      <c r="W403" s="74"/>
      <c r="X403" s="69"/>
    </row>
    <row r="404">
      <c r="A404" s="30" t="str">
        <f>IFERROR(__xludf.DUMMYFUNCTION("""COMPUTED_VALUE"""),"39296 Total")</f>
        <v>39296 Total</v>
      </c>
      <c r="B404" s="5"/>
      <c r="C404" s="64"/>
      <c r="D404" s="85"/>
      <c r="E404" s="5"/>
      <c r="F404" s="69"/>
      <c r="G404" s="70">
        <f>IFERROR(__xludf.DUMMYFUNCTION("""COMPUTED_VALUE"""),2.7097875)</f>
        <v>2.7097875</v>
      </c>
      <c r="H404" s="71">
        <f>IFERROR(__xludf.DUMMYFUNCTION("""COMPUTED_VALUE"""),470.0)</f>
        <v>470</v>
      </c>
      <c r="I404" s="71" t="str">
        <f>IFERROR(__xludf.DUMMYFUNCTION("""COMPUTED_VALUE"""),"")</f>
        <v/>
      </c>
      <c r="J404" s="22" t="str">
        <f>IFERROR(__xludf.DUMMYFUNCTION("""COMPUTED_VALUE"""),"")</f>
        <v/>
      </c>
      <c r="K404" s="22"/>
      <c r="L404" s="22"/>
      <c r="M404" s="22"/>
      <c r="N404" s="22"/>
      <c r="O404" s="73"/>
      <c r="P404" s="8"/>
      <c r="Q404" s="69"/>
      <c r="R404" s="69"/>
      <c r="S404" s="8"/>
      <c r="T404" s="69"/>
      <c r="U404" s="8"/>
      <c r="V404" s="69"/>
      <c r="W404" s="74"/>
      <c r="X404" s="69"/>
    </row>
    <row r="405">
      <c r="A405" s="30" t="str">
        <f>IFERROR(__xludf.DUMMYFUNCTION("""COMPUTED_VALUE"""),"39302")</f>
        <v>39302</v>
      </c>
      <c r="B405" s="86">
        <f>IFERROR(__xludf.DUMMYFUNCTION("""COMPUTED_VALUE"""),44597.0)</f>
        <v>44597</v>
      </c>
      <c r="C405" s="64" t="str">
        <f>IFERROR(__xludf.DUMMYFUNCTION("""COMPUTED_VALUE"""),"Cash")</f>
        <v>Cash</v>
      </c>
      <c r="D405" s="85" t="str">
        <f>IFERROR(__xludf.DUMMYFUNCTION("""COMPUTED_VALUE"""),"Cash")</f>
        <v>Cash</v>
      </c>
      <c r="E405" s="5" t="str">
        <f>IFERROR(__xludf.DUMMYFUNCTION("""COMPUTED_VALUE"""),"HKD")</f>
        <v>HKD</v>
      </c>
      <c r="F405" s="69" t="str">
        <f>IFERROR(__xludf.DUMMYFUNCTION("""COMPUTED_VALUE"""),"")</f>
        <v/>
      </c>
      <c r="G405" s="70">
        <f>IFERROR(__xludf.DUMMYFUNCTION("""COMPUTED_VALUE"""),1.0)</f>
        <v>1</v>
      </c>
      <c r="H405" s="71">
        <f>IFERROR(__xludf.DUMMYFUNCTION("""COMPUTED_VALUE"""),1.0)</f>
        <v>1</v>
      </c>
      <c r="I405" s="71">
        <f>IFERROR(__xludf.DUMMYFUNCTION("""COMPUTED_VALUE"""),1.0)</f>
        <v>1</v>
      </c>
      <c r="J405" s="22" t="str">
        <f>IFERROR(__xludf.DUMMYFUNCTION("""COMPUTED_VALUE"""),"")</f>
        <v/>
      </c>
      <c r="K405" s="22"/>
      <c r="L405" s="22"/>
      <c r="M405" s="22"/>
      <c r="N405" s="22"/>
      <c r="O405" s="73"/>
      <c r="P405" s="8"/>
      <c r="Q405" s="69"/>
      <c r="R405" s="69"/>
      <c r="S405" s="8"/>
      <c r="T405" s="69"/>
      <c r="U405" s="8"/>
      <c r="V405" s="69"/>
      <c r="W405" s="74"/>
      <c r="X405" s="69"/>
    </row>
    <row r="406">
      <c r="A406" s="30" t="str">
        <f>IFERROR(__xludf.DUMMYFUNCTION("""COMPUTED_VALUE"""),"39302")</f>
        <v>39302</v>
      </c>
      <c r="B406" s="86">
        <f>IFERROR(__xludf.DUMMYFUNCTION("""COMPUTED_VALUE"""),44651.0)</f>
        <v>44651</v>
      </c>
      <c r="C406" s="64" t="str">
        <f>IFERROR(__xludf.DUMMYFUNCTION("""COMPUTED_VALUE"""),"Stock")</f>
        <v>Stock</v>
      </c>
      <c r="D406" s="90" t="str">
        <f>IFERROR(__xludf.DUMMYFUNCTION("""COMPUTED_VALUE"""),"000788.SZ")</f>
        <v>000788.SZ</v>
      </c>
      <c r="E406" s="5" t="str">
        <f>IFERROR(__xludf.DUMMYFUNCTION("""COMPUTED_VALUE"""),"CNY")</f>
        <v>CNY</v>
      </c>
      <c r="F406" s="69">
        <f>IFERROR(__xludf.DUMMYFUNCTION("""COMPUTED_VALUE"""),500.0)</f>
        <v>500</v>
      </c>
      <c r="G406" s="70">
        <f>IFERROR(__xludf.DUMMYFUNCTION("""COMPUTED_VALUE"""),1.231169)</f>
        <v>1.231169</v>
      </c>
      <c r="H406" s="71">
        <f>IFERROR(__xludf.DUMMYFUNCTION("""COMPUTED_VALUE"""),12.33)</f>
        <v>12.33</v>
      </c>
      <c r="I406" s="71">
        <f>IFERROR(__xludf.DUMMYFUNCTION("""COMPUTED_VALUE"""),9.11)</f>
        <v>9.11</v>
      </c>
      <c r="J406" s="88" t="str">
        <f>IFERROR(__xludf.DUMMYFUNCTION("""COMPUTED_VALUE"""),"Goto link: 000788.SZ")</f>
        <v>Goto link: 000788.SZ</v>
      </c>
      <c r="K406" s="22"/>
      <c r="L406" s="22"/>
      <c r="M406" s="22"/>
      <c r="N406" s="22"/>
      <c r="O406" s="73"/>
      <c r="P406" s="8"/>
      <c r="Q406" s="69"/>
      <c r="R406" s="69"/>
      <c r="S406" s="8"/>
      <c r="T406" s="69"/>
      <c r="U406" s="8"/>
      <c r="V406" s="69"/>
      <c r="W406" s="74"/>
      <c r="X406" s="69"/>
    </row>
    <row r="407">
      <c r="A407" s="30" t="str">
        <f>IFERROR(__xludf.DUMMYFUNCTION("""COMPUTED_VALUE"""),"39302")</f>
        <v>39302</v>
      </c>
      <c r="B407" s="86">
        <f>IFERROR(__xludf.DUMMYFUNCTION("""COMPUTED_VALUE"""),44651.0)</f>
        <v>44651</v>
      </c>
      <c r="C407" s="64" t="str">
        <f>IFERROR(__xludf.DUMMYFUNCTION("""COMPUTED_VALUE"""),"Stock")</f>
        <v>Stock</v>
      </c>
      <c r="D407" s="90" t="str">
        <f>IFERROR(__xludf.DUMMYFUNCTION("""COMPUTED_VALUE"""),"002657.SZ")</f>
        <v>002657.SZ</v>
      </c>
      <c r="E407" s="5" t="str">
        <f>IFERROR(__xludf.DUMMYFUNCTION("""COMPUTED_VALUE"""),"CNY")</f>
        <v>CNY</v>
      </c>
      <c r="F407" s="69">
        <f>IFERROR(__xludf.DUMMYFUNCTION("""COMPUTED_VALUE"""),500.0)</f>
        <v>500</v>
      </c>
      <c r="G407" s="70">
        <f>IFERROR(__xludf.DUMMYFUNCTION("""COMPUTED_VALUE"""),1.231169)</f>
        <v>1.231169</v>
      </c>
      <c r="H407" s="71">
        <f>IFERROR(__xludf.DUMMYFUNCTION("""COMPUTED_VALUE"""),20.47)</f>
        <v>20.47</v>
      </c>
      <c r="I407" s="71">
        <f>IFERROR(__xludf.DUMMYFUNCTION("""COMPUTED_VALUE"""),15.91)</f>
        <v>15.91</v>
      </c>
      <c r="J407" s="88" t="str">
        <f>IFERROR(__xludf.DUMMYFUNCTION("""COMPUTED_VALUE"""),"Goto link: 002657.SZ")</f>
        <v>Goto link: 002657.SZ</v>
      </c>
      <c r="K407" s="22"/>
      <c r="L407" s="22"/>
      <c r="M407" s="22"/>
      <c r="N407" s="22"/>
      <c r="O407" s="73"/>
      <c r="P407" s="8"/>
      <c r="Q407" s="69"/>
      <c r="R407" s="69"/>
      <c r="S407" s="8"/>
      <c r="T407" s="69"/>
      <c r="U407" s="8"/>
      <c r="V407" s="69"/>
      <c r="W407" s="74"/>
      <c r="X407" s="69"/>
    </row>
    <row r="408">
      <c r="A408" s="30" t="str">
        <f>IFERROR(__xludf.DUMMYFUNCTION("""COMPUTED_VALUE"""),"39302")</f>
        <v>39302</v>
      </c>
      <c r="B408" s="86">
        <f>IFERROR(__xludf.DUMMYFUNCTION("""COMPUTED_VALUE"""),44651.0)</f>
        <v>44651</v>
      </c>
      <c r="C408" s="64" t="str">
        <f>IFERROR(__xludf.DUMMYFUNCTION("""COMPUTED_VALUE"""),"Stock")</f>
        <v>Stock</v>
      </c>
      <c r="D408" s="90" t="str">
        <f>IFERROR(__xludf.DUMMYFUNCTION("""COMPUTED_VALUE"""),"002864.SZ")</f>
        <v>002864.SZ</v>
      </c>
      <c r="E408" s="5" t="str">
        <f>IFERROR(__xludf.DUMMYFUNCTION("""COMPUTED_VALUE"""),"CNY")</f>
        <v>CNY</v>
      </c>
      <c r="F408" s="69">
        <f>IFERROR(__xludf.DUMMYFUNCTION("""COMPUTED_VALUE"""),100.0)</f>
        <v>100</v>
      </c>
      <c r="G408" s="70">
        <f>IFERROR(__xludf.DUMMYFUNCTION("""COMPUTED_VALUE"""),1.231169)</f>
        <v>1.231169</v>
      </c>
      <c r="H408" s="71">
        <f>IFERROR(__xludf.DUMMYFUNCTION("""COMPUTED_VALUE"""),62.04)</f>
        <v>62.04</v>
      </c>
      <c r="I408" s="71">
        <f>IFERROR(__xludf.DUMMYFUNCTION("""COMPUTED_VALUE"""),45.95)</f>
        <v>45.95</v>
      </c>
      <c r="J408" s="88" t="str">
        <f>IFERROR(__xludf.DUMMYFUNCTION("""COMPUTED_VALUE"""),"Goto link: 002864.SZ")</f>
        <v>Goto link: 002864.SZ</v>
      </c>
      <c r="K408" s="22"/>
      <c r="L408" s="22"/>
      <c r="M408" s="22"/>
      <c r="N408" s="22"/>
      <c r="O408" s="73"/>
      <c r="P408" s="8"/>
      <c r="Q408" s="69"/>
      <c r="R408" s="69"/>
      <c r="S408" s="8"/>
      <c r="T408" s="69"/>
      <c r="U408" s="8"/>
      <c r="V408" s="69"/>
      <c r="W408" s="74"/>
      <c r="X408" s="69"/>
    </row>
    <row r="409">
      <c r="A409" s="30" t="str">
        <f>IFERROR(__xludf.DUMMYFUNCTION("""COMPUTED_VALUE"""),"39302")</f>
        <v>39302</v>
      </c>
      <c r="B409" s="86">
        <f>IFERROR(__xludf.DUMMYFUNCTION("""COMPUTED_VALUE"""),44652.0)</f>
        <v>44652</v>
      </c>
      <c r="C409" s="64" t="str">
        <f>IFERROR(__xludf.DUMMYFUNCTION("""COMPUTED_VALUE"""),"Stock")</f>
        <v>Stock</v>
      </c>
      <c r="D409" s="90" t="str">
        <f>IFERROR(__xludf.DUMMYFUNCTION("""COMPUTED_VALUE"""),"000788.SZ")</f>
        <v>000788.SZ</v>
      </c>
      <c r="E409" s="5" t="str">
        <f>IFERROR(__xludf.DUMMYFUNCTION("""COMPUTED_VALUE"""),"CNY")</f>
        <v>CNY</v>
      </c>
      <c r="F409" s="69">
        <f>IFERROR(__xludf.DUMMYFUNCTION("""COMPUTED_VALUE"""),-500.0)</f>
        <v>-500</v>
      </c>
      <c r="G409" s="70">
        <f>IFERROR(__xludf.DUMMYFUNCTION("""COMPUTED_VALUE"""),1.231169)</f>
        <v>1.231169</v>
      </c>
      <c r="H409" s="71">
        <f>IFERROR(__xludf.DUMMYFUNCTION("""COMPUTED_VALUE"""),11.1)</f>
        <v>11.1</v>
      </c>
      <c r="I409" s="71">
        <f>IFERROR(__xludf.DUMMYFUNCTION("""COMPUTED_VALUE"""),9.11)</f>
        <v>9.11</v>
      </c>
      <c r="J409" s="88" t="str">
        <f>IFERROR(__xludf.DUMMYFUNCTION("""COMPUTED_VALUE"""),"Goto link: 000788.SZ")</f>
        <v>Goto link: 000788.SZ</v>
      </c>
      <c r="K409" s="22"/>
      <c r="L409" s="22"/>
      <c r="M409" s="22"/>
      <c r="N409" s="22"/>
      <c r="O409" s="73"/>
      <c r="P409" s="8"/>
      <c r="Q409" s="69"/>
      <c r="R409" s="69"/>
      <c r="S409" s="8"/>
      <c r="T409" s="69"/>
      <c r="U409" s="8"/>
      <c r="V409" s="69"/>
      <c r="W409" s="74"/>
      <c r="X409" s="69"/>
    </row>
    <row r="410">
      <c r="A410" s="30" t="str">
        <f>IFERROR(__xludf.DUMMYFUNCTION("""COMPUTED_VALUE"""),"39302")</f>
        <v>39302</v>
      </c>
      <c r="B410" s="86">
        <f>IFERROR(__xludf.DUMMYFUNCTION("""COMPUTED_VALUE"""),44652.0)</f>
        <v>44652</v>
      </c>
      <c r="C410" s="64" t="str">
        <f>IFERROR(__xludf.DUMMYFUNCTION("""COMPUTED_VALUE"""),"Stock")</f>
        <v>Stock</v>
      </c>
      <c r="D410" s="90" t="str">
        <f>IFERROR(__xludf.DUMMYFUNCTION("""COMPUTED_VALUE"""),"000950.SZ")</f>
        <v>000950.SZ</v>
      </c>
      <c r="E410" s="5" t="str">
        <f>IFERROR(__xludf.DUMMYFUNCTION("""COMPUTED_VALUE"""),"CNY")</f>
        <v>CNY</v>
      </c>
      <c r="F410" s="69">
        <f>IFERROR(__xludf.DUMMYFUNCTION("""COMPUTED_VALUE"""),1000.0)</f>
        <v>1000</v>
      </c>
      <c r="G410" s="70">
        <f>IFERROR(__xludf.DUMMYFUNCTION("""COMPUTED_VALUE"""),1.231169)</f>
        <v>1.231169</v>
      </c>
      <c r="H410" s="71">
        <f>IFERROR(__xludf.DUMMYFUNCTION("""COMPUTED_VALUE"""),5.79)</f>
        <v>5.79</v>
      </c>
      <c r="I410" s="71">
        <f>IFERROR(__xludf.DUMMYFUNCTION("""COMPUTED_VALUE"""),5.34)</f>
        <v>5.34</v>
      </c>
      <c r="J410" s="88" t="str">
        <f>IFERROR(__xludf.DUMMYFUNCTION("""COMPUTED_VALUE"""),"Goto link: 000950.SZ")</f>
        <v>Goto link: 000950.SZ</v>
      </c>
      <c r="K410" s="22"/>
      <c r="L410" s="22"/>
      <c r="M410" s="22"/>
      <c r="N410" s="22"/>
      <c r="O410" s="73"/>
      <c r="P410" s="8"/>
      <c r="Q410" s="69"/>
      <c r="R410" s="69"/>
      <c r="S410" s="8"/>
      <c r="T410" s="69"/>
      <c r="U410" s="8"/>
      <c r="V410" s="69"/>
      <c r="W410" s="74"/>
      <c r="X410" s="69"/>
    </row>
    <row r="411">
      <c r="A411" s="30" t="str">
        <f>IFERROR(__xludf.DUMMYFUNCTION("""COMPUTED_VALUE"""),"39302")</f>
        <v>39302</v>
      </c>
      <c r="B411" s="86">
        <f>IFERROR(__xludf.DUMMYFUNCTION("""COMPUTED_VALUE"""),44652.0)</f>
        <v>44652</v>
      </c>
      <c r="C411" s="64" t="str">
        <f>IFERROR(__xludf.DUMMYFUNCTION("""COMPUTED_VALUE"""),"Stock")</f>
        <v>Stock</v>
      </c>
      <c r="D411" s="90" t="str">
        <f>IFERROR(__xludf.DUMMYFUNCTION("""COMPUTED_VALUE"""),"002657.SZ")</f>
        <v>002657.SZ</v>
      </c>
      <c r="E411" s="5" t="str">
        <f>IFERROR(__xludf.DUMMYFUNCTION("""COMPUTED_VALUE"""),"CNY")</f>
        <v>CNY</v>
      </c>
      <c r="F411" s="69">
        <f>IFERROR(__xludf.DUMMYFUNCTION("""COMPUTED_VALUE"""),500.0)</f>
        <v>500</v>
      </c>
      <c r="G411" s="70">
        <f>IFERROR(__xludf.DUMMYFUNCTION("""COMPUTED_VALUE"""),1.231169)</f>
        <v>1.231169</v>
      </c>
      <c r="H411" s="71">
        <f>IFERROR(__xludf.DUMMYFUNCTION("""COMPUTED_VALUE"""),22.52)</f>
        <v>22.52</v>
      </c>
      <c r="I411" s="71">
        <f>IFERROR(__xludf.DUMMYFUNCTION("""COMPUTED_VALUE"""),15.91)</f>
        <v>15.91</v>
      </c>
      <c r="J411" s="88" t="str">
        <f>IFERROR(__xludf.DUMMYFUNCTION("""COMPUTED_VALUE"""),"Goto link: 002657.SZ")</f>
        <v>Goto link: 002657.SZ</v>
      </c>
      <c r="K411" s="22"/>
      <c r="L411" s="22"/>
      <c r="M411" s="22"/>
      <c r="N411" s="22"/>
      <c r="O411" s="73"/>
      <c r="P411" s="8"/>
      <c r="Q411" s="69"/>
      <c r="R411" s="69"/>
      <c r="S411" s="8"/>
      <c r="T411" s="69"/>
      <c r="U411" s="8"/>
      <c r="V411" s="69"/>
      <c r="W411" s="74"/>
      <c r="X411" s="69"/>
    </row>
    <row r="412">
      <c r="A412" s="30" t="str">
        <f>IFERROR(__xludf.DUMMYFUNCTION("""COMPUTED_VALUE"""),"39302")</f>
        <v>39302</v>
      </c>
      <c r="B412" s="86">
        <f>IFERROR(__xludf.DUMMYFUNCTION("""COMPUTED_VALUE"""),44652.0)</f>
        <v>44652</v>
      </c>
      <c r="C412" s="64" t="str">
        <f>IFERROR(__xludf.DUMMYFUNCTION("""COMPUTED_VALUE"""),"Stock")</f>
        <v>Stock</v>
      </c>
      <c r="D412" s="90" t="str">
        <f>IFERROR(__xludf.DUMMYFUNCTION("""COMPUTED_VALUE"""),"002864.SZ")</f>
        <v>002864.SZ</v>
      </c>
      <c r="E412" s="5" t="str">
        <f>IFERROR(__xludf.DUMMYFUNCTION("""COMPUTED_VALUE"""),"CNY")</f>
        <v>CNY</v>
      </c>
      <c r="F412" s="69">
        <f>IFERROR(__xludf.DUMMYFUNCTION("""COMPUTED_VALUE"""),200.0)</f>
        <v>200</v>
      </c>
      <c r="G412" s="70">
        <f>IFERROR(__xludf.DUMMYFUNCTION("""COMPUTED_VALUE"""),1.231169)</f>
        <v>1.231169</v>
      </c>
      <c r="H412" s="71">
        <f>IFERROR(__xludf.DUMMYFUNCTION("""COMPUTED_VALUE"""),68.24)</f>
        <v>68.24</v>
      </c>
      <c r="I412" s="71">
        <f>IFERROR(__xludf.DUMMYFUNCTION("""COMPUTED_VALUE"""),45.95)</f>
        <v>45.95</v>
      </c>
      <c r="J412" s="88" t="str">
        <f>IFERROR(__xludf.DUMMYFUNCTION("""COMPUTED_VALUE"""),"Goto link: 002864.SZ")</f>
        <v>Goto link: 002864.SZ</v>
      </c>
      <c r="K412" s="22"/>
      <c r="L412" s="22"/>
      <c r="M412" s="22"/>
      <c r="N412" s="22"/>
      <c r="O412" s="73"/>
      <c r="P412" s="8"/>
      <c r="Q412" s="69"/>
      <c r="R412" s="69"/>
      <c r="S412" s="8"/>
      <c r="T412" s="69"/>
      <c r="U412" s="8"/>
      <c r="V412" s="69"/>
      <c r="W412" s="74"/>
      <c r="X412" s="69"/>
    </row>
    <row r="413">
      <c r="A413" s="30" t="str">
        <f>IFERROR(__xludf.DUMMYFUNCTION("""COMPUTED_VALUE"""),"39302")</f>
        <v>39302</v>
      </c>
      <c r="B413" s="86">
        <f>IFERROR(__xludf.DUMMYFUNCTION("""COMPUTED_VALUE"""),44652.0)</f>
        <v>44652</v>
      </c>
      <c r="C413" s="64" t="str">
        <f>IFERROR(__xludf.DUMMYFUNCTION("""COMPUTED_VALUE"""),"Stock")</f>
        <v>Stock</v>
      </c>
      <c r="D413" s="90" t="str">
        <f>IFERROR(__xludf.DUMMYFUNCTION("""COMPUTED_VALUE"""),"003040.SZ")</f>
        <v>003040.SZ</v>
      </c>
      <c r="E413" s="5" t="str">
        <f>IFERROR(__xludf.DUMMYFUNCTION("""COMPUTED_VALUE"""),"CNY")</f>
        <v>CNY</v>
      </c>
      <c r="F413" s="69">
        <f>IFERROR(__xludf.DUMMYFUNCTION("""COMPUTED_VALUE"""),300.0)</f>
        <v>300</v>
      </c>
      <c r="G413" s="70">
        <f>IFERROR(__xludf.DUMMYFUNCTION("""COMPUTED_VALUE"""),1.231169)</f>
        <v>1.231169</v>
      </c>
      <c r="H413" s="71">
        <f>IFERROR(__xludf.DUMMYFUNCTION("""COMPUTED_VALUE"""),24.49)</f>
        <v>24.49</v>
      </c>
      <c r="I413" s="71">
        <f>IFERROR(__xludf.DUMMYFUNCTION("""COMPUTED_VALUE"""),23.86)</f>
        <v>23.86</v>
      </c>
      <c r="J413" s="88" t="str">
        <f>IFERROR(__xludf.DUMMYFUNCTION("""COMPUTED_VALUE"""),"Goto link: 003040.SZ")</f>
        <v>Goto link: 003040.SZ</v>
      </c>
      <c r="K413" s="22"/>
      <c r="L413" s="22"/>
      <c r="M413" s="22"/>
      <c r="N413" s="22"/>
      <c r="O413" s="73"/>
      <c r="P413" s="8"/>
      <c r="Q413" s="69"/>
      <c r="R413" s="69"/>
      <c r="S413" s="8"/>
      <c r="T413" s="69"/>
      <c r="U413" s="8"/>
      <c r="V413" s="69"/>
      <c r="W413" s="74"/>
      <c r="X413" s="69"/>
    </row>
    <row r="414">
      <c r="A414" s="30" t="str">
        <f>IFERROR(__xludf.DUMMYFUNCTION("""COMPUTED_VALUE"""),"39302")</f>
        <v>39302</v>
      </c>
      <c r="B414" s="86">
        <f>IFERROR(__xludf.DUMMYFUNCTION("""COMPUTED_VALUE"""),44653.0)</f>
        <v>44653</v>
      </c>
      <c r="C414" s="64" t="str">
        <f>IFERROR(__xludf.DUMMYFUNCTION("""COMPUTED_VALUE"""),"Stock")</f>
        <v>Stock</v>
      </c>
      <c r="D414" s="90" t="str">
        <f>IFERROR(__xludf.DUMMYFUNCTION("""COMPUTED_VALUE"""),"002307.SZ")</f>
        <v>002307.SZ</v>
      </c>
      <c r="E414" s="5" t="str">
        <f>IFERROR(__xludf.DUMMYFUNCTION("""COMPUTED_VALUE"""),"CNY")</f>
        <v>CNY</v>
      </c>
      <c r="F414" s="69">
        <f>IFERROR(__xludf.DUMMYFUNCTION("""COMPUTED_VALUE"""),4000.0)</f>
        <v>4000</v>
      </c>
      <c r="G414" s="70">
        <f>IFERROR(__xludf.DUMMYFUNCTION("""COMPUTED_VALUE"""),1.231169)</f>
        <v>1.231169</v>
      </c>
      <c r="H414" s="71">
        <f>IFERROR(__xludf.DUMMYFUNCTION("""COMPUTED_VALUE"""),5.29)</f>
        <v>5.29</v>
      </c>
      <c r="I414" s="71">
        <f>IFERROR(__xludf.DUMMYFUNCTION("""COMPUTED_VALUE"""),6.41)</f>
        <v>6.41</v>
      </c>
      <c r="J414" s="88" t="str">
        <f>IFERROR(__xludf.DUMMYFUNCTION("""COMPUTED_VALUE"""),"Goto link: 002307.SZ")</f>
        <v>Goto link: 002307.SZ</v>
      </c>
      <c r="K414" s="22"/>
      <c r="L414" s="22"/>
      <c r="M414" s="22"/>
      <c r="N414" s="22"/>
      <c r="O414" s="73"/>
      <c r="P414" s="8"/>
      <c r="Q414" s="69"/>
      <c r="R414" s="69"/>
      <c r="S414" s="8"/>
      <c r="T414" s="69"/>
      <c r="U414" s="8"/>
      <c r="V414" s="69"/>
      <c r="W414" s="74"/>
      <c r="X414" s="69"/>
    </row>
    <row r="415">
      <c r="A415" s="30" t="str">
        <f>IFERROR(__xludf.DUMMYFUNCTION("""COMPUTED_VALUE"""),"39302")</f>
        <v>39302</v>
      </c>
      <c r="B415" s="86">
        <f>IFERROR(__xludf.DUMMYFUNCTION("""COMPUTED_VALUE"""),44657.0)</f>
        <v>44657</v>
      </c>
      <c r="C415" s="64" t="str">
        <f>IFERROR(__xludf.DUMMYFUNCTION("""COMPUTED_VALUE"""),"Stock")</f>
        <v>Stock</v>
      </c>
      <c r="D415" s="90" t="str">
        <f>IFERROR(__xludf.DUMMYFUNCTION("""COMPUTED_VALUE"""),"002657.SZ")</f>
        <v>002657.SZ</v>
      </c>
      <c r="E415" s="5" t="str">
        <f>IFERROR(__xludf.DUMMYFUNCTION("""COMPUTED_VALUE"""),"CNY")</f>
        <v>CNY</v>
      </c>
      <c r="F415" s="69">
        <f>IFERROR(__xludf.DUMMYFUNCTION("""COMPUTED_VALUE"""),-1000.0)</f>
        <v>-1000</v>
      </c>
      <c r="G415" s="70">
        <f>IFERROR(__xludf.DUMMYFUNCTION("""COMPUTED_VALUE"""),1.231169)</f>
        <v>1.231169</v>
      </c>
      <c r="H415" s="71">
        <f>IFERROR(__xludf.DUMMYFUNCTION("""COMPUTED_VALUE"""),21.14)</f>
        <v>21.14</v>
      </c>
      <c r="I415" s="71">
        <f>IFERROR(__xludf.DUMMYFUNCTION("""COMPUTED_VALUE"""),15.91)</f>
        <v>15.91</v>
      </c>
      <c r="J415" s="88" t="str">
        <f>IFERROR(__xludf.DUMMYFUNCTION("""COMPUTED_VALUE"""),"Goto link: 002657.SZ")</f>
        <v>Goto link: 002657.SZ</v>
      </c>
      <c r="K415" s="22"/>
      <c r="L415" s="22"/>
      <c r="M415" s="22"/>
      <c r="N415" s="22"/>
      <c r="O415" s="73"/>
      <c r="P415" s="8"/>
      <c r="Q415" s="69"/>
      <c r="R415" s="69"/>
      <c r="S415" s="8"/>
      <c r="T415" s="69"/>
      <c r="U415" s="8"/>
      <c r="V415" s="69"/>
      <c r="W415" s="74"/>
      <c r="X415" s="69"/>
    </row>
    <row r="416">
      <c r="A416" s="30" t="str">
        <f>IFERROR(__xludf.DUMMYFUNCTION("""COMPUTED_VALUE"""),"39302")</f>
        <v>39302</v>
      </c>
      <c r="B416" s="86">
        <f>IFERROR(__xludf.DUMMYFUNCTION("""COMPUTED_VALUE"""),44657.0)</f>
        <v>44657</v>
      </c>
      <c r="C416" s="64" t="str">
        <f>IFERROR(__xludf.DUMMYFUNCTION("""COMPUTED_VALUE"""),"Stock")</f>
        <v>Stock</v>
      </c>
      <c r="D416" s="90" t="str">
        <f>IFERROR(__xludf.DUMMYFUNCTION("""COMPUTED_VALUE"""),"002657.SZ")</f>
        <v>002657.SZ</v>
      </c>
      <c r="E416" s="5" t="str">
        <f>IFERROR(__xludf.DUMMYFUNCTION("""COMPUTED_VALUE"""),"CNY")</f>
        <v>CNY</v>
      </c>
      <c r="F416" s="69">
        <f>IFERROR(__xludf.DUMMYFUNCTION("""COMPUTED_VALUE"""),1000.0)</f>
        <v>1000</v>
      </c>
      <c r="G416" s="70">
        <f>IFERROR(__xludf.DUMMYFUNCTION("""COMPUTED_VALUE"""),1.231169)</f>
        <v>1.231169</v>
      </c>
      <c r="H416" s="71">
        <f>IFERROR(__xludf.DUMMYFUNCTION("""COMPUTED_VALUE"""),21.14)</f>
        <v>21.14</v>
      </c>
      <c r="I416" s="71">
        <f>IFERROR(__xludf.DUMMYFUNCTION("""COMPUTED_VALUE"""),15.91)</f>
        <v>15.91</v>
      </c>
      <c r="J416" s="88" t="str">
        <f>IFERROR(__xludf.DUMMYFUNCTION("""COMPUTED_VALUE"""),"Goto link: 002657.SZ")</f>
        <v>Goto link: 002657.SZ</v>
      </c>
      <c r="K416" s="22"/>
      <c r="L416" s="22"/>
      <c r="M416" s="22"/>
      <c r="N416" s="22"/>
      <c r="O416" s="73"/>
      <c r="P416" s="8"/>
      <c r="Q416" s="69"/>
      <c r="R416" s="69"/>
      <c r="S416" s="8"/>
      <c r="T416" s="69"/>
      <c r="U416" s="8"/>
      <c r="V416" s="69"/>
      <c r="W416" s="74"/>
      <c r="X416" s="69"/>
    </row>
    <row r="417">
      <c r="A417" s="30" t="str">
        <f>IFERROR(__xludf.DUMMYFUNCTION("""COMPUTED_VALUE"""),"39302")</f>
        <v>39302</v>
      </c>
      <c r="B417" s="86">
        <f>IFERROR(__xludf.DUMMYFUNCTION("""COMPUTED_VALUE"""),44657.0)</f>
        <v>44657</v>
      </c>
      <c r="C417" s="64" t="str">
        <f>IFERROR(__xludf.DUMMYFUNCTION("""COMPUTED_VALUE"""),"Stock")</f>
        <v>Stock</v>
      </c>
      <c r="D417" s="90" t="str">
        <f>IFERROR(__xludf.DUMMYFUNCTION("""COMPUTED_VALUE"""),"002657.SZ")</f>
        <v>002657.SZ</v>
      </c>
      <c r="E417" s="5" t="str">
        <f>IFERROR(__xludf.DUMMYFUNCTION("""COMPUTED_VALUE"""),"CNY")</f>
        <v>CNY</v>
      </c>
      <c r="F417" s="69">
        <f>IFERROR(__xludf.DUMMYFUNCTION("""COMPUTED_VALUE"""),2000.0)</f>
        <v>2000</v>
      </c>
      <c r="G417" s="70">
        <f>IFERROR(__xludf.DUMMYFUNCTION("""COMPUTED_VALUE"""),1.231169)</f>
        <v>1.231169</v>
      </c>
      <c r="H417" s="71">
        <f>IFERROR(__xludf.DUMMYFUNCTION("""COMPUTED_VALUE"""),21.14)</f>
        <v>21.14</v>
      </c>
      <c r="I417" s="71">
        <f>IFERROR(__xludf.DUMMYFUNCTION("""COMPUTED_VALUE"""),15.91)</f>
        <v>15.91</v>
      </c>
      <c r="J417" s="88" t="str">
        <f>IFERROR(__xludf.DUMMYFUNCTION("""COMPUTED_VALUE"""),"Goto link: 002657.SZ")</f>
        <v>Goto link: 002657.SZ</v>
      </c>
      <c r="K417" s="22"/>
      <c r="L417" s="22"/>
      <c r="M417" s="22"/>
      <c r="N417" s="22"/>
      <c r="O417" s="73"/>
      <c r="P417" s="8"/>
      <c r="Q417" s="69"/>
      <c r="R417" s="69"/>
      <c r="S417" s="8"/>
      <c r="T417" s="69"/>
      <c r="U417" s="8"/>
      <c r="V417" s="69"/>
      <c r="W417" s="74"/>
      <c r="X417" s="69"/>
    </row>
    <row r="418">
      <c r="A418" s="30" t="str">
        <f>IFERROR(__xludf.DUMMYFUNCTION("""COMPUTED_VALUE"""),"39302")</f>
        <v>39302</v>
      </c>
      <c r="B418" s="86">
        <f>IFERROR(__xludf.DUMMYFUNCTION("""COMPUTED_VALUE"""),44658.0)</f>
        <v>44658</v>
      </c>
      <c r="C418" s="64" t="str">
        <f>IFERROR(__xludf.DUMMYFUNCTION("""COMPUTED_VALUE"""),"Stock")</f>
        <v>Stock</v>
      </c>
      <c r="D418" s="90" t="str">
        <f>IFERROR(__xludf.DUMMYFUNCTION("""COMPUTED_VALUE"""),"002307.SZ")</f>
        <v>002307.SZ</v>
      </c>
      <c r="E418" s="5" t="str">
        <f>IFERROR(__xludf.DUMMYFUNCTION("""COMPUTED_VALUE"""),"CNY")</f>
        <v>CNY</v>
      </c>
      <c r="F418" s="69">
        <f>IFERROR(__xludf.DUMMYFUNCTION("""COMPUTED_VALUE"""),40000.0)</f>
        <v>40000</v>
      </c>
      <c r="G418" s="70">
        <f>IFERROR(__xludf.DUMMYFUNCTION("""COMPUTED_VALUE"""),1.231169)</f>
        <v>1.231169</v>
      </c>
      <c r="H418" s="71">
        <f>IFERROR(__xludf.DUMMYFUNCTION("""COMPUTED_VALUE"""),6.4)</f>
        <v>6.4</v>
      </c>
      <c r="I418" s="71">
        <f>IFERROR(__xludf.DUMMYFUNCTION("""COMPUTED_VALUE"""),6.41)</f>
        <v>6.41</v>
      </c>
      <c r="J418" s="88" t="str">
        <f>IFERROR(__xludf.DUMMYFUNCTION("""COMPUTED_VALUE"""),"Goto link: 002307.SZ")</f>
        <v>Goto link: 002307.SZ</v>
      </c>
      <c r="K418" s="22"/>
      <c r="L418" s="22"/>
      <c r="M418" s="22"/>
      <c r="N418" s="22"/>
      <c r="O418" s="73"/>
      <c r="P418" s="8"/>
      <c r="Q418" s="69"/>
      <c r="R418" s="69"/>
      <c r="S418" s="8"/>
      <c r="T418" s="69"/>
      <c r="U418" s="8"/>
      <c r="V418" s="69"/>
      <c r="W418" s="74"/>
      <c r="X418" s="69"/>
    </row>
    <row r="419">
      <c r="A419" s="30" t="str">
        <f>IFERROR(__xludf.DUMMYFUNCTION("""COMPUTED_VALUE"""),"39302")</f>
        <v>39302</v>
      </c>
      <c r="B419" s="86">
        <f>IFERROR(__xludf.DUMMYFUNCTION("""COMPUTED_VALUE"""),44658.0)</f>
        <v>44658</v>
      </c>
      <c r="C419" s="64" t="str">
        <f>IFERROR(__xludf.DUMMYFUNCTION("""COMPUTED_VALUE"""),"Stock")</f>
        <v>Stock</v>
      </c>
      <c r="D419" s="90" t="str">
        <f>IFERROR(__xludf.DUMMYFUNCTION("""COMPUTED_VALUE"""),"002657.SZ")</f>
        <v>002657.SZ</v>
      </c>
      <c r="E419" s="5" t="str">
        <f>IFERROR(__xludf.DUMMYFUNCTION("""COMPUTED_VALUE"""),"CNY")</f>
        <v>CNY</v>
      </c>
      <c r="F419" s="69">
        <f>IFERROR(__xludf.DUMMYFUNCTION("""COMPUTED_VALUE"""),-3000.0)</f>
        <v>-3000</v>
      </c>
      <c r="G419" s="70">
        <f>IFERROR(__xludf.DUMMYFUNCTION("""COMPUTED_VALUE"""),1.231169)</f>
        <v>1.231169</v>
      </c>
      <c r="H419" s="71">
        <f>IFERROR(__xludf.DUMMYFUNCTION("""COMPUTED_VALUE"""),19.03)</f>
        <v>19.03</v>
      </c>
      <c r="I419" s="71">
        <f>IFERROR(__xludf.DUMMYFUNCTION("""COMPUTED_VALUE"""),15.91)</f>
        <v>15.91</v>
      </c>
      <c r="J419" s="88" t="str">
        <f>IFERROR(__xludf.DUMMYFUNCTION("""COMPUTED_VALUE"""),"Goto link: 002657.SZ")</f>
        <v>Goto link: 002657.SZ</v>
      </c>
      <c r="K419" s="22"/>
      <c r="L419" s="22"/>
      <c r="M419" s="22"/>
      <c r="N419" s="22"/>
      <c r="O419" s="73"/>
      <c r="P419" s="8"/>
      <c r="Q419" s="69"/>
      <c r="R419" s="69"/>
      <c r="S419" s="8"/>
      <c r="T419" s="69"/>
      <c r="U419" s="8"/>
      <c r="V419" s="69"/>
      <c r="W419" s="74"/>
      <c r="X419" s="69"/>
    </row>
    <row r="420">
      <c r="A420" s="30" t="str">
        <f>IFERROR(__xludf.DUMMYFUNCTION("""COMPUTED_VALUE"""),"39302")</f>
        <v>39302</v>
      </c>
      <c r="B420" s="86">
        <f>IFERROR(__xludf.DUMMYFUNCTION("""COMPUTED_VALUE"""),44658.0)</f>
        <v>44658</v>
      </c>
      <c r="C420" s="64" t="str">
        <f>IFERROR(__xludf.DUMMYFUNCTION("""COMPUTED_VALUE"""),"Stock")</f>
        <v>Stock</v>
      </c>
      <c r="D420" s="90" t="str">
        <f>IFERROR(__xludf.DUMMYFUNCTION("""COMPUTED_VALUE"""),"002864.SZ")</f>
        <v>002864.SZ</v>
      </c>
      <c r="E420" s="5" t="str">
        <f>IFERROR(__xludf.DUMMYFUNCTION("""COMPUTED_VALUE"""),"CNY")</f>
        <v>CNY</v>
      </c>
      <c r="F420" s="69">
        <f>IFERROR(__xludf.DUMMYFUNCTION("""COMPUTED_VALUE"""),-300.0)</f>
        <v>-300</v>
      </c>
      <c r="G420" s="70">
        <f>IFERROR(__xludf.DUMMYFUNCTION("""COMPUTED_VALUE"""),1.231169)</f>
        <v>1.231169</v>
      </c>
      <c r="H420" s="71">
        <f>IFERROR(__xludf.DUMMYFUNCTION("""COMPUTED_VALUE"""),67.55)</f>
        <v>67.55</v>
      </c>
      <c r="I420" s="71">
        <f>IFERROR(__xludf.DUMMYFUNCTION("""COMPUTED_VALUE"""),45.95)</f>
        <v>45.95</v>
      </c>
      <c r="J420" s="88" t="str">
        <f>IFERROR(__xludf.DUMMYFUNCTION("""COMPUTED_VALUE"""),"Goto link: 002864.SZ")</f>
        <v>Goto link: 002864.SZ</v>
      </c>
      <c r="K420" s="22"/>
      <c r="L420" s="22"/>
      <c r="M420" s="22"/>
      <c r="N420" s="22"/>
      <c r="O420" s="73"/>
      <c r="P420" s="8"/>
      <c r="Q420" s="69"/>
      <c r="R420" s="69"/>
      <c r="S420" s="8"/>
      <c r="T420" s="69"/>
      <c r="U420" s="8"/>
      <c r="V420" s="69"/>
      <c r="W420" s="74"/>
      <c r="X420" s="69"/>
    </row>
    <row r="421">
      <c r="A421" s="30" t="str">
        <f>IFERROR(__xludf.DUMMYFUNCTION("""COMPUTED_VALUE"""),"39302")</f>
        <v>39302</v>
      </c>
      <c r="B421" s="86">
        <f>IFERROR(__xludf.DUMMYFUNCTION("""COMPUTED_VALUE"""),44658.0)</f>
        <v>44658</v>
      </c>
      <c r="C421" s="64" t="str">
        <f>IFERROR(__xludf.DUMMYFUNCTION("""COMPUTED_VALUE"""),"Stock")</f>
        <v>Stock</v>
      </c>
      <c r="D421" s="90" t="str">
        <f>IFERROR(__xludf.DUMMYFUNCTION("""COMPUTED_VALUE"""),"600724.SS")</f>
        <v>600724.SS</v>
      </c>
      <c r="E421" s="5" t="str">
        <f>IFERROR(__xludf.DUMMYFUNCTION("""COMPUTED_VALUE"""),"CNY")</f>
        <v>CNY</v>
      </c>
      <c r="F421" s="69">
        <f>IFERROR(__xludf.DUMMYFUNCTION("""COMPUTED_VALUE"""),20000.0)</f>
        <v>20000</v>
      </c>
      <c r="G421" s="70">
        <f>IFERROR(__xludf.DUMMYFUNCTION("""COMPUTED_VALUE"""),1.231169)</f>
        <v>1.231169</v>
      </c>
      <c r="H421" s="71">
        <f>IFERROR(__xludf.DUMMYFUNCTION("""COMPUTED_VALUE"""),5.25)</f>
        <v>5.25</v>
      </c>
      <c r="I421" s="71">
        <f>IFERROR(__xludf.DUMMYFUNCTION("""COMPUTED_VALUE"""),5.84)</f>
        <v>5.84</v>
      </c>
      <c r="J421" s="88" t="str">
        <f>IFERROR(__xludf.DUMMYFUNCTION("""COMPUTED_VALUE"""),"Goto link: 600724.SS")</f>
        <v>Goto link: 600724.SS</v>
      </c>
      <c r="K421" s="22"/>
      <c r="L421" s="22"/>
      <c r="M421" s="22"/>
      <c r="N421" s="22"/>
      <c r="O421" s="73"/>
      <c r="P421" s="8"/>
      <c r="Q421" s="69"/>
      <c r="R421" s="69"/>
      <c r="S421" s="8"/>
      <c r="T421" s="69"/>
      <c r="U421" s="8"/>
      <c r="V421" s="69"/>
      <c r="W421" s="74"/>
      <c r="X421" s="69"/>
    </row>
    <row r="422">
      <c r="A422" s="30" t="str">
        <f>IFERROR(__xludf.DUMMYFUNCTION("""COMPUTED_VALUE"""),"39302")</f>
        <v>39302</v>
      </c>
      <c r="B422" s="86">
        <f>IFERROR(__xludf.DUMMYFUNCTION("""COMPUTED_VALUE"""),44662.0)</f>
        <v>44662</v>
      </c>
      <c r="C422" s="64" t="str">
        <f>IFERROR(__xludf.DUMMYFUNCTION("""COMPUTED_VALUE"""),"Stock")</f>
        <v>Stock</v>
      </c>
      <c r="D422" s="91" t="str">
        <f>IFERROR(__xludf.DUMMYFUNCTION("""COMPUTED_VALUE"""),"000950.SZ")</f>
        <v>000950.SZ</v>
      </c>
      <c r="E422" s="5" t="str">
        <f>IFERROR(__xludf.DUMMYFUNCTION("""COMPUTED_VALUE"""),"CNY")</f>
        <v>CNY</v>
      </c>
      <c r="F422" s="69">
        <f>IFERROR(__xludf.DUMMYFUNCTION("""COMPUTED_VALUE"""),-1000.0)</f>
        <v>-1000</v>
      </c>
      <c r="G422" s="70">
        <f>IFERROR(__xludf.DUMMYFUNCTION("""COMPUTED_VALUE"""),1.231169)</f>
        <v>1.231169</v>
      </c>
      <c r="H422" s="71">
        <f>IFERROR(__xludf.DUMMYFUNCTION("""COMPUTED_VALUE"""),5.38)</f>
        <v>5.38</v>
      </c>
      <c r="I422" s="71">
        <f>IFERROR(__xludf.DUMMYFUNCTION("""COMPUTED_VALUE"""),5.34)</f>
        <v>5.34</v>
      </c>
      <c r="J422" s="88" t="str">
        <f>IFERROR(__xludf.DUMMYFUNCTION("""COMPUTED_VALUE"""),"Goto link: 000950.SZ")</f>
        <v>Goto link: 000950.SZ</v>
      </c>
      <c r="K422" s="22"/>
      <c r="L422" s="22"/>
      <c r="M422" s="22"/>
      <c r="N422" s="22"/>
      <c r="O422" s="73"/>
      <c r="P422" s="8"/>
      <c r="Q422" s="69"/>
      <c r="R422" s="69"/>
      <c r="S422" s="8"/>
      <c r="T422" s="69"/>
      <c r="U422" s="8"/>
      <c r="V422" s="69"/>
      <c r="W422" s="74"/>
      <c r="X422" s="69"/>
    </row>
    <row r="423">
      <c r="A423" s="30" t="str">
        <f>IFERROR(__xludf.DUMMYFUNCTION("""COMPUTED_VALUE"""),"39302")</f>
        <v>39302</v>
      </c>
      <c r="B423" s="86">
        <f>IFERROR(__xludf.DUMMYFUNCTION("""COMPUTED_VALUE"""),44662.0)</f>
        <v>44662</v>
      </c>
      <c r="C423" s="64" t="str">
        <f>IFERROR(__xludf.DUMMYFUNCTION("""COMPUTED_VALUE"""),"Stock")</f>
        <v>Stock</v>
      </c>
      <c r="D423" s="91" t="str">
        <f>IFERROR(__xludf.DUMMYFUNCTION("""COMPUTED_VALUE"""),"002307.SZ")</f>
        <v>002307.SZ</v>
      </c>
      <c r="E423" s="5" t="str">
        <f>IFERROR(__xludf.DUMMYFUNCTION("""COMPUTED_VALUE"""),"CNY")</f>
        <v>CNY</v>
      </c>
      <c r="F423" s="69">
        <f>IFERROR(__xludf.DUMMYFUNCTION("""COMPUTED_VALUE"""),-40000.0)</f>
        <v>-40000</v>
      </c>
      <c r="G423" s="70">
        <f>IFERROR(__xludf.DUMMYFUNCTION("""COMPUTED_VALUE"""),1.231169)</f>
        <v>1.231169</v>
      </c>
      <c r="H423" s="71">
        <f>IFERROR(__xludf.DUMMYFUNCTION("""COMPUTED_VALUE"""),7.74)</f>
        <v>7.74</v>
      </c>
      <c r="I423" s="71">
        <f>IFERROR(__xludf.DUMMYFUNCTION("""COMPUTED_VALUE"""),6.41)</f>
        <v>6.41</v>
      </c>
      <c r="J423" s="88" t="str">
        <f>IFERROR(__xludf.DUMMYFUNCTION("""COMPUTED_VALUE"""),"Goto link: 002307.SZ")</f>
        <v>Goto link: 002307.SZ</v>
      </c>
      <c r="K423" s="22"/>
      <c r="L423" s="22"/>
      <c r="M423" s="22"/>
      <c r="N423" s="22"/>
      <c r="O423" s="73"/>
      <c r="P423" s="8"/>
      <c r="Q423" s="69"/>
      <c r="R423" s="69"/>
      <c r="S423" s="8"/>
      <c r="T423" s="69"/>
      <c r="U423" s="8"/>
      <c r="V423" s="69"/>
      <c r="W423" s="74"/>
      <c r="X423" s="69"/>
    </row>
    <row r="424">
      <c r="A424" s="30" t="str">
        <f>IFERROR(__xludf.DUMMYFUNCTION("""COMPUTED_VALUE"""),"39302")</f>
        <v>39302</v>
      </c>
      <c r="B424" s="86">
        <f>IFERROR(__xludf.DUMMYFUNCTION("""COMPUTED_VALUE"""),44662.0)</f>
        <v>44662</v>
      </c>
      <c r="C424" s="64" t="str">
        <f>IFERROR(__xludf.DUMMYFUNCTION("""COMPUTED_VALUE"""),"Stock")</f>
        <v>Stock</v>
      </c>
      <c r="D424" s="91" t="str">
        <f>IFERROR(__xludf.DUMMYFUNCTION("""COMPUTED_VALUE"""),"002307.SZ")</f>
        <v>002307.SZ</v>
      </c>
      <c r="E424" s="5" t="str">
        <f>IFERROR(__xludf.DUMMYFUNCTION("""COMPUTED_VALUE"""),"CNY")</f>
        <v>CNY</v>
      </c>
      <c r="F424" s="69">
        <f>IFERROR(__xludf.DUMMYFUNCTION("""COMPUTED_VALUE"""),-4000.0)</f>
        <v>-4000</v>
      </c>
      <c r="G424" s="70">
        <f>IFERROR(__xludf.DUMMYFUNCTION("""COMPUTED_VALUE"""),1.231169)</f>
        <v>1.231169</v>
      </c>
      <c r="H424" s="71">
        <f>IFERROR(__xludf.DUMMYFUNCTION("""COMPUTED_VALUE"""),7.74)</f>
        <v>7.74</v>
      </c>
      <c r="I424" s="71">
        <f>IFERROR(__xludf.DUMMYFUNCTION("""COMPUTED_VALUE"""),6.41)</f>
        <v>6.41</v>
      </c>
      <c r="J424" s="88" t="str">
        <f>IFERROR(__xludf.DUMMYFUNCTION("""COMPUTED_VALUE"""),"Goto link: 002307.SZ")</f>
        <v>Goto link: 002307.SZ</v>
      </c>
      <c r="K424" s="22"/>
      <c r="L424" s="22"/>
      <c r="M424" s="22"/>
      <c r="N424" s="22"/>
      <c r="O424" s="73"/>
      <c r="P424" s="8"/>
      <c r="Q424" s="69"/>
      <c r="R424" s="69"/>
      <c r="S424" s="8"/>
      <c r="T424" s="69"/>
      <c r="U424" s="8"/>
      <c r="V424" s="69"/>
      <c r="W424" s="74"/>
      <c r="X424" s="69"/>
    </row>
    <row r="425">
      <c r="A425" s="30" t="str">
        <f>IFERROR(__xludf.DUMMYFUNCTION("""COMPUTED_VALUE"""),"39302")</f>
        <v>39302</v>
      </c>
      <c r="B425" s="86">
        <f>IFERROR(__xludf.DUMMYFUNCTION("""COMPUTED_VALUE"""),44662.0)</f>
        <v>44662</v>
      </c>
      <c r="C425" s="64" t="str">
        <f>IFERROR(__xludf.DUMMYFUNCTION("""COMPUTED_VALUE"""),"Stock")</f>
        <v>Stock</v>
      </c>
      <c r="D425" s="91" t="str">
        <f>IFERROR(__xludf.DUMMYFUNCTION("""COMPUTED_VALUE"""),"003040.SZ")</f>
        <v>003040.SZ</v>
      </c>
      <c r="E425" s="5" t="str">
        <f>IFERROR(__xludf.DUMMYFUNCTION("""COMPUTED_VALUE"""),"CNY")</f>
        <v>CNY</v>
      </c>
      <c r="F425" s="69">
        <f>IFERROR(__xludf.DUMMYFUNCTION("""COMPUTED_VALUE"""),-300.0)</f>
        <v>-300</v>
      </c>
      <c r="G425" s="70">
        <f>IFERROR(__xludf.DUMMYFUNCTION("""COMPUTED_VALUE"""),1.231169)</f>
        <v>1.231169</v>
      </c>
      <c r="H425" s="71">
        <f>IFERROR(__xludf.DUMMYFUNCTION("""COMPUTED_VALUE"""),24.01)</f>
        <v>24.01</v>
      </c>
      <c r="I425" s="71">
        <f>IFERROR(__xludf.DUMMYFUNCTION("""COMPUTED_VALUE"""),23.86)</f>
        <v>23.86</v>
      </c>
      <c r="J425" s="88" t="str">
        <f>IFERROR(__xludf.DUMMYFUNCTION("""COMPUTED_VALUE"""),"Goto link: 003040.SZ")</f>
        <v>Goto link: 003040.SZ</v>
      </c>
      <c r="K425" s="22"/>
      <c r="L425" s="22"/>
      <c r="M425" s="22"/>
      <c r="N425" s="22"/>
      <c r="O425" s="73"/>
      <c r="P425" s="8"/>
      <c r="Q425" s="69"/>
      <c r="R425" s="69"/>
      <c r="S425" s="8"/>
      <c r="T425" s="69"/>
      <c r="U425" s="8"/>
      <c r="V425" s="69"/>
      <c r="W425" s="74"/>
      <c r="X425" s="69"/>
    </row>
    <row r="426">
      <c r="A426" s="30" t="str">
        <f>IFERROR(__xludf.DUMMYFUNCTION("""COMPUTED_VALUE"""),"39302")</f>
        <v>39302</v>
      </c>
      <c r="B426" s="86">
        <f>IFERROR(__xludf.DUMMYFUNCTION("""COMPUTED_VALUE"""),44662.0)</f>
        <v>44662</v>
      </c>
      <c r="C426" s="64" t="str">
        <f>IFERROR(__xludf.DUMMYFUNCTION("""COMPUTED_VALUE"""),"Stock")</f>
        <v>Stock</v>
      </c>
      <c r="D426" s="91" t="str">
        <f>IFERROR(__xludf.DUMMYFUNCTION("""COMPUTED_VALUE"""),"600724.SS")</f>
        <v>600724.SS</v>
      </c>
      <c r="E426" s="5" t="str">
        <f>IFERROR(__xludf.DUMMYFUNCTION("""COMPUTED_VALUE"""),"CNY")</f>
        <v>CNY</v>
      </c>
      <c r="F426" s="69">
        <f>IFERROR(__xludf.DUMMYFUNCTION("""COMPUTED_VALUE"""),-20000.0)</f>
        <v>-20000</v>
      </c>
      <c r="G426" s="70">
        <f>IFERROR(__xludf.DUMMYFUNCTION("""COMPUTED_VALUE"""),1.231169)</f>
        <v>1.231169</v>
      </c>
      <c r="H426" s="71">
        <f>IFERROR(__xludf.DUMMYFUNCTION("""COMPUTED_VALUE"""),6.36)</f>
        <v>6.36</v>
      </c>
      <c r="I426" s="71">
        <f>IFERROR(__xludf.DUMMYFUNCTION("""COMPUTED_VALUE"""),5.84)</f>
        <v>5.84</v>
      </c>
      <c r="J426" s="88" t="str">
        <f>IFERROR(__xludf.DUMMYFUNCTION("""COMPUTED_VALUE"""),"Goto link: 600724.SS")</f>
        <v>Goto link: 600724.SS</v>
      </c>
      <c r="K426" s="22"/>
      <c r="L426" s="22"/>
      <c r="M426" s="22"/>
      <c r="N426" s="22"/>
      <c r="O426" s="73"/>
      <c r="P426" s="8"/>
      <c r="Q426" s="69"/>
      <c r="R426" s="69"/>
      <c r="S426" s="8"/>
      <c r="T426" s="69"/>
      <c r="U426" s="8"/>
      <c r="V426" s="69"/>
      <c r="W426" s="74"/>
      <c r="X426" s="69"/>
    </row>
    <row r="427">
      <c r="A427" s="30" t="str">
        <f>IFERROR(__xludf.DUMMYFUNCTION("""COMPUTED_VALUE"""),"39302 Total")</f>
        <v>39302 Total</v>
      </c>
      <c r="B427" s="5"/>
      <c r="C427" s="64"/>
      <c r="D427" s="85"/>
      <c r="E427" s="5"/>
      <c r="F427" s="69"/>
      <c r="G427" s="70">
        <f>IFERROR(__xludf.DUMMYFUNCTION("""COMPUTED_VALUE"""),1.2206613181818184)</f>
        <v>1.220661318</v>
      </c>
      <c r="H427" s="71">
        <f>IFERROR(__xludf.DUMMYFUNCTION("""COMPUTED_VALUE"""),68.24)</f>
        <v>68.24</v>
      </c>
      <c r="I427" s="71" t="str">
        <f>IFERROR(__xludf.DUMMYFUNCTION("""COMPUTED_VALUE"""),"")</f>
        <v/>
      </c>
      <c r="J427" s="22" t="str">
        <f>IFERROR(__xludf.DUMMYFUNCTION("""COMPUTED_VALUE"""),"")</f>
        <v/>
      </c>
      <c r="K427" s="22"/>
      <c r="L427" s="22"/>
      <c r="M427" s="22"/>
      <c r="N427" s="22"/>
      <c r="O427" s="73"/>
      <c r="P427" s="8"/>
      <c r="Q427" s="69"/>
      <c r="R427" s="69"/>
      <c r="S427" s="8"/>
      <c r="T427" s="69"/>
      <c r="U427" s="8"/>
      <c r="V427" s="69"/>
      <c r="W427" s="74"/>
      <c r="X427" s="69"/>
    </row>
    <row r="428">
      <c r="A428" s="30" t="str">
        <f>IFERROR(__xludf.DUMMYFUNCTION("""COMPUTED_VALUE"""),"39441")</f>
        <v>39441</v>
      </c>
      <c r="B428" s="86">
        <f>IFERROR(__xludf.DUMMYFUNCTION("""COMPUTED_VALUE"""),44597.0)</f>
        <v>44597</v>
      </c>
      <c r="C428" s="64" t="str">
        <f>IFERROR(__xludf.DUMMYFUNCTION("""COMPUTED_VALUE"""),"Cash")</f>
        <v>Cash</v>
      </c>
      <c r="D428" s="85" t="str">
        <f>IFERROR(__xludf.DUMMYFUNCTION("""COMPUTED_VALUE"""),"Cash")</f>
        <v>Cash</v>
      </c>
      <c r="E428" s="5" t="str">
        <f>IFERROR(__xludf.DUMMYFUNCTION("""COMPUTED_VALUE"""),"HKD")</f>
        <v>HKD</v>
      </c>
      <c r="F428" s="69" t="str">
        <f>IFERROR(__xludf.DUMMYFUNCTION("""COMPUTED_VALUE"""),"")</f>
        <v/>
      </c>
      <c r="G428" s="70">
        <f>IFERROR(__xludf.DUMMYFUNCTION("""COMPUTED_VALUE"""),1.0)</f>
        <v>1</v>
      </c>
      <c r="H428" s="71">
        <f>IFERROR(__xludf.DUMMYFUNCTION("""COMPUTED_VALUE"""),1.0)</f>
        <v>1</v>
      </c>
      <c r="I428" s="71">
        <f>IFERROR(__xludf.DUMMYFUNCTION("""COMPUTED_VALUE"""),1.0)</f>
        <v>1</v>
      </c>
      <c r="J428" s="22" t="str">
        <f>IFERROR(__xludf.DUMMYFUNCTION("""COMPUTED_VALUE"""),"")</f>
        <v/>
      </c>
      <c r="K428" s="22"/>
      <c r="L428" s="22"/>
      <c r="M428" s="22"/>
      <c r="N428" s="22"/>
      <c r="O428" s="73"/>
      <c r="P428" s="8"/>
      <c r="Q428" s="69"/>
      <c r="R428" s="69"/>
      <c r="S428" s="8"/>
      <c r="T428" s="69"/>
      <c r="U428" s="8"/>
      <c r="V428" s="69"/>
      <c r="W428" s="74"/>
      <c r="X428" s="69"/>
    </row>
    <row r="429">
      <c r="A429" s="30" t="str">
        <f>IFERROR(__xludf.DUMMYFUNCTION("""COMPUTED_VALUE"""),"39441")</f>
        <v>39441</v>
      </c>
      <c r="B429" s="86">
        <f>IFERROR(__xludf.DUMMYFUNCTION("""COMPUTED_VALUE"""),44602.0)</f>
        <v>44602</v>
      </c>
      <c r="C429" s="64" t="str">
        <f>IFERROR(__xludf.DUMMYFUNCTION("""COMPUTED_VALUE"""),"Stock")</f>
        <v>Stock</v>
      </c>
      <c r="D429" s="87" t="str">
        <f>IFERROR(__xludf.DUMMYFUNCTION("""COMPUTED_VALUE"""),"AMZN")</f>
        <v>AMZN</v>
      </c>
      <c r="E429" s="5" t="str">
        <f>IFERROR(__xludf.DUMMYFUNCTION("""COMPUTED_VALUE"""),"USD")</f>
        <v>USD</v>
      </c>
      <c r="F429" s="69">
        <f>IFERROR(__xludf.DUMMYFUNCTION("""COMPUTED_VALUE"""),6.0)</f>
        <v>6</v>
      </c>
      <c r="G429" s="70">
        <f>IFERROR(__xludf.DUMMYFUNCTION("""COMPUTED_VALUE"""),7.83915)</f>
        <v>7.83915</v>
      </c>
      <c r="H429" s="71">
        <f>IFERROR(__xludf.DUMMYFUNCTION("""COMPUTED_VALUE"""),3180.07)</f>
        <v>3180.07</v>
      </c>
      <c r="I429" s="71">
        <f>IFERROR(__xludf.DUMMYFUNCTION("""COMPUTED_VALUE"""),3110.82)</f>
        <v>3110.82</v>
      </c>
      <c r="J429" s="88" t="str">
        <f>IFERROR(__xludf.DUMMYFUNCTION("""COMPUTED_VALUE"""),"Goto link: AMZN")</f>
        <v>Goto link: AMZN</v>
      </c>
      <c r="K429" s="22"/>
      <c r="L429" s="22"/>
      <c r="M429" s="22"/>
      <c r="N429" s="22"/>
      <c r="O429" s="73"/>
      <c r="P429" s="8"/>
      <c r="Q429" s="69"/>
      <c r="R429" s="69"/>
      <c r="S429" s="8"/>
      <c r="T429" s="69"/>
      <c r="U429" s="8"/>
      <c r="V429" s="69"/>
      <c r="W429" s="74"/>
      <c r="X429" s="69"/>
    </row>
    <row r="430">
      <c r="A430" s="30" t="str">
        <f>IFERROR(__xludf.DUMMYFUNCTION("""COMPUTED_VALUE"""),"39441")</f>
        <v>39441</v>
      </c>
      <c r="B430" s="86">
        <f>IFERROR(__xludf.DUMMYFUNCTION("""COMPUTED_VALUE"""),44602.0)</f>
        <v>44602</v>
      </c>
      <c r="C430" s="64" t="str">
        <f>IFERROR(__xludf.DUMMYFUNCTION("""COMPUTED_VALUE"""),"Stock")</f>
        <v>Stock</v>
      </c>
      <c r="D430" s="87" t="str">
        <f>IFERROR(__xludf.DUMMYFUNCTION("""COMPUTED_VALUE"""),"GOOG")</f>
        <v>GOOG</v>
      </c>
      <c r="E430" s="5" t="str">
        <f>IFERROR(__xludf.DUMMYFUNCTION("""COMPUTED_VALUE"""),"USD")</f>
        <v>USD</v>
      </c>
      <c r="F430" s="69">
        <f>IFERROR(__xludf.DUMMYFUNCTION("""COMPUTED_VALUE"""),-5.0)</f>
        <v>-5</v>
      </c>
      <c r="G430" s="70">
        <f>IFERROR(__xludf.DUMMYFUNCTION("""COMPUTED_VALUE"""),7.83915)</f>
        <v>7.83915</v>
      </c>
      <c r="H430" s="71">
        <f>IFERROR(__xludf.DUMMYFUNCTION("""COMPUTED_VALUE"""),2772.05)</f>
        <v>2772.05</v>
      </c>
      <c r="I430" s="71">
        <f>IFERROR(__xludf.DUMMYFUNCTION("""COMPUTED_VALUE"""),2605.72)</f>
        <v>2605.72</v>
      </c>
      <c r="J430" s="88" t="str">
        <f>IFERROR(__xludf.DUMMYFUNCTION("""COMPUTED_VALUE"""),"Goto link: GOOG")</f>
        <v>Goto link: GOOG</v>
      </c>
      <c r="K430" s="22"/>
      <c r="L430" s="22"/>
      <c r="M430" s="22"/>
      <c r="N430" s="22"/>
      <c r="O430" s="73"/>
      <c r="P430" s="8"/>
      <c r="Q430" s="69"/>
      <c r="R430" s="69"/>
      <c r="S430" s="8"/>
      <c r="T430" s="69"/>
      <c r="U430" s="8"/>
      <c r="V430" s="69"/>
      <c r="W430" s="74"/>
      <c r="X430" s="69"/>
    </row>
    <row r="431">
      <c r="A431" s="30" t="str">
        <f>IFERROR(__xludf.DUMMYFUNCTION("""COMPUTED_VALUE"""),"39441")</f>
        <v>39441</v>
      </c>
      <c r="B431" s="86">
        <f>IFERROR(__xludf.DUMMYFUNCTION("""COMPUTED_VALUE"""),44603.0)</f>
        <v>44603</v>
      </c>
      <c r="C431" s="64" t="str">
        <f>IFERROR(__xludf.DUMMYFUNCTION("""COMPUTED_VALUE"""),"Time Deposit")</f>
        <v>Time Deposit</v>
      </c>
      <c r="D431" s="87" t="str">
        <f>IFERROR(__xludf.DUMMYFUNCTION("""COMPUTED_VALUE"""),"3m")</f>
        <v>3m</v>
      </c>
      <c r="E431" s="5" t="str">
        <f>IFERROR(__xludf.DUMMYFUNCTION("""COMPUTED_VALUE"""),"HKD")</f>
        <v>HKD</v>
      </c>
      <c r="F431" s="69">
        <f>IFERROR(__xludf.DUMMYFUNCTION("""COMPUTED_VALUE"""),100000.0)</f>
        <v>100000</v>
      </c>
      <c r="G431" s="70">
        <f>IFERROR(__xludf.DUMMYFUNCTION("""COMPUTED_VALUE"""),1.0)</f>
        <v>1</v>
      </c>
      <c r="H431" s="71">
        <f>IFERROR(__xludf.DUMMYFUNCTION("""COMPUTED_VALUE"""),1.0)</f>
        <v>1</v>
      </c>
      <c r="I431" s="71" t="str">
        <f>IFERROR(__xludf.DUMMYFUNCTION("""COMPUTED_VALUE"""),"#N/A")</f>
        <v>#N/A</v>
      </c>
      <c r="J431" s="22" t="str">
        <f>IFERROR(__xludf.DUMMYFUNCTION("""COMPUTED_VALUE"""),"")</f>
        <v/>
      </c>
      <c r="K431" s="22"/>
      <c r="L431" s="22"/>
      <c r="M431" s="22"/>
      <c r="N431" s="22"/>
      <c r="O431" s="73"/>
      <c r="P431" s="8"/>
      <c r="Q431" s="69"/>
      <c r="R431" s="69"/>
      <c r="S431" s="8"/>
      <c r="T431" s="69"/>
      <c r="U431" s="8"/>
      <c r="V431" s="69"/>
      <c r="W431" s="74"/>
      <c r="X431" s="69"/>
    </row>
    <row r="432">
      <c r="A432" s="30" t="str">
        <f>IFERROR(__xludf.DUMMYFUNCTION("""COMPUTED_VALUE"""),"39441")</f>
        <v>39441</v>
      </c>
      <c r="B432" s="86">
        <f>IFERROR(__xludf.DUMMYFUNCTION("""COMPUTED_VALUE"""),44631.0)</f>
        <v>44631</v>
      </c>
      <c r="C432" s="64" t="str">
        <f>IFERROR(__xludf.DUMMYFUNCTION("""COMPUTED_VALUE"""),"Stock")</f>
        <v>Stock</v>
      </c>
      <c r="D432" s="87" t="str">
        <f>IFERROR(__xludf.DUMMYFUNCTION("""COMPUTED_VALUE"""),"BABA")</f>
        <v>BABA</v>
      </c>
      <c r="E432" s="5" t="str">
        <f>IFERROR(__xludf.DUMMYFUNCTION("""COMPUTED_VALUE"""),"USD")</f>
        <v>USD</v>
      </c>
      <c r="F432" s="69">
        <f>IFERROR(__xludf.DUMMYFUNCTION("""COMPUTED_VALUE"""),100.0)</f>
        <v>100</v>
      </c>
      <c r="G432" s="70">
        <f>IFERROR(__xludf.DUMMYFUNCTION("""COMPUTED_VALUE"""),7.83915)</f>
        <v>7.83915</v>
      </c>
      <c r="H432" s="71">
        <f>IFERROR(__xludf.DUMMYFUNCTION("""COMPUTED_VALUE"""),86.71)</f>
        <v>86.71</v>
      </c>
      <c r="I432" s="71">
        <f>IFERROR(__xludf.DUMMYFUNCTION("""COMPUTED_VALUE"""),100.09)</f>
        <v>100.09</v>
      </c>
      <c r="J432" s="88" t="str">
        <f>IFERROR(__xludf.DUMMYFUNCTION("""COMPUTED_VALUE"""),"Goto link: BABA")</f>
        <v>Goto link: BABA</v>
      </c>
      <c r="K432" s="22"/>
      <c r="L432" s="22"/>
      <c r="M432" s="22"/>
      <c r="N432" s="22"/>
      <c r="O432" s="73"/>
      <c r="P432" s="8"/>
      <c r="Q432" s="69"/>
      <c r="R432" s="69"/>
      <c r="S432" s="8"/>
      <c r="T432" s="69"/>
      <c r="U432" s="8"/>
      <c r="V432" s="69"/>
      <c r="W432" s="74"/>
      <c r="X432" s="69"/>
    </row>
    <row r="433">
      <c r="A433" s="30" t="str">
        <f>IFERROR(__xludf.DUMMYFUNCTION("""COMPUTED_VALUE"""),"39441")</f>
        <v>39441</v>
      </c>
      <c r="B433" s="86">
        <f>IFERROR(__xludf.DUMMYFUNCTION("""COMPUTED_VALUE"""),44631.0)</f>
        <v>44631</v>
      </c>
      <c r="C433" s="64" t="str">
        <f>IFERROR(__xludf.DUMMYFUNCTION("""COMPUTED_VALUE"""),"Stock")</f>
        <v>Stock</v>
      </c>
      <c r="D433" s="87" t="str">
        <f>IFERROR(__xludf.DUMMYFUNCTION("""COMPUTED_VALUE"""),"CL=F")</f>
        <v>CL=F</v>
      </c>
      <c r="E433" s="5" t="str">
        <f>IFERROR(__xludf.DUMMYFUNCTION("""COMPUTED_VALUE"""),"USD")</f>
        <v>USD</v>
      </c>
      <c r="F433" s="69">
        <f>IFERROR(__xludf.DUMMYFUNCTION("""COMPUTED_VALUE"""),-20.0)</f>
        <v>-20</v>
      </c>
      <c r="G433" s="70">
        <f>IFERROR(__xludf.DUMMYFUNCTION("""COMPUTED_VALUE"""),7.83915)</f>
        <v>7.83915</v>
      </c>
      <c r="H433" s="71">
        <f>IFERROR(__xludf.DUMMYFUNCTION("""COMPUTED_VALUE"""),109.09)</f>
        <v>109.09</v>
      </c>
      <c r="I433" s="71">
        <f>IFERROR(__xludf.DUMMYFUNCTION("""COMPUTED_VALUE"""),104.31)</f>
        <v>104.31</v>
      </c>
      <c r="J433" s="88" t="str">
        <f>IFERROR(__xludf.DUMMYFUNCTION("""COMPUTED_VALUE"""),"Goto link: CL=F")</f>
        <v>Goto link: CL=F</v>
      </c>
      <c r="K433" s="22"/>
      <c r="L433" s="22"/>
      <c r="M433" s="22"/>
      <c r="N433" s="22"/>
      <c r="O433" s="73"/>
      <c r="P433" s="8"/>
      <c r="Q433" s="69"/>
      <c r="R433" s="69"/>
      <c r="S433" s="8"/>
      <c r="T433" s="69"/>
      <c r="U433" s="8"/>
      <c r="V433" s="69"/>
      <c r="W433" s="74"/>
      <c r="X433" s="69"/>
    </row>
    <row r="434">
      <c r="A434" s="30" t="str">
        <f>IFERROR(__xludf.DUMMYFUNCTION("""COMPUTED_VALUE"""),"39441")</f>
        <v>39441</v>
      </c>
      <c r="B434" s="86">
        <f>IFERROR(__xludf.DUMMYFUNCTION("""COMPUTED_VALUE"""),44631.0)</f>
        <v>44631</v>
      </c>
      <c r="C434" s="64" t="str">
        <f>IFERROR(__xludf.DUMMYFUNCTION("""COMPUTED_VALUE"""),"Stock")</f>
        <v>Stock</v>
      </c>
      <c r="D434" s="87" t="str">
        <f>IFERROR(__xludf.DUMMYFUNCTION("""COMPUTED_VALUE"""),"GOOG")</f>
        <v>GOOG</v>
      </c>
      <c r="E434" s="5" t="str">
        <f>IFERROR(__xludf.DUMMYFUNCTION("""COMPUTED_VALUE"""),"USD")</f>
        <v>USD</v>
      </c>
      <c r="F434" s="69">
        <f>IFERROR(__xludf.DUMMYFUNCTION("""COMPUTED_VALUE"""),5.0)</f>
        <v>5</v>
      </c>
      <c r="G434" s="70">
        <f>IFERROR(__xludf.DUMMYFUNCTION("""COMPUTED_VALUE"""),7.83915)</f>
        <v>7.83915</v>
      </c>
      <c r="H434" s="71">
        <f>IFERROR(__xludf.DUMMYFUNCTION("""COMPUTED_VALUE"""),2609.51)</f>
        <v>2609.51</v>
      </c>
      <c r="I434" s="71">
        <f>IFERROR(__xludf.DUMMYFUNCTION("""COMPUTED_VALUE"""),2605.72)</f>
        <v>2605.72</v>
      </c>
      <c r="J434" s="88" t="str">
        <f>IFERROR(__xludf.DUMMYFUNCTION("""COMPUTED_VALUE"""),"Goto link: GOOG")</f>
        <v>Goto link: GOOG</v>
      </c>
      <c r="K434" s="22"/>
      <c r="L434" s="22"/>
      <c r="M434" s="22"/>
      <c r="N434" s="22"/>
      <c r="O434" s="73"/>
      <c r="P434" s="8"/>
      <c r="Q434" s="69"/>
      <c r="R434" s="69"/>
      <c r="S434" s="8"/>
      <c r="T434" s="69"/>
      <c r="U434" s="8"/>
      <c r="V434" s="69"/>
      <c r="W434" s="74"/>
      <c r="X434" s="69"/>
    </row>
    <row r="435">
      <c r="A435" s="30" t="str">
        <f>IFERROR(__xludf.DUMMYFUNCTION("""COMPUTED_VALUE"""),"39441")</f>
        <v>39441</v>
      </c>
      <c r="B435" s="86">
        <f>IFERROR(__xludf.DUMMYFUNCTION("""COMPUTED_VALUE"""),44634.0)</f>
        <v>44634</v>
      </c>
      <c r="C435" s="64" t="str">
        <f>IFERROR(__xludf.DUMMYFUNCTION("""COMPUTED_VALUE"""),"Stock")</f>
        <v>Stock</v>
      </c>
      <c r="D435" s="87" t="str">
        <f>IFERROR(__xludf.DUMMYFUNCTION("""COMPUTED_VALUE"""),"AMZN")</f>
        <v>AMZN</v>
      </c>
      <c r="E435" s="5" t="str">
        <f>IFERROR(__xludf.DUMMYFUNCTION("""COMPUTED_VALUE"""),"USD")</f>
        <v>USD</v>
      </c>
      <c r="F435" s="69">
        <f>IFERROR(__xludf.DUMMYFUNCTION("""COMPUTED_VALUE"""),5.0)</f>
        <v>5</v>
      </c>
      <c r="G435" s="70">
        <f>IFERROR(__xludf.DUMMYFUNCTION("""COMPUTED_VALUE"""),7.83915)</f>
        <v>7.83915</v>
      </c>
      <c r="H435" s="71">
        <f>IFERROR(__xludf.DUMMYFUNCTION("""COMPUTED_VALUE"""),2837.06)</f>
        <v>2837.06</v>
      </c>
      <c r="I435" s="71">
        <f>IFERROR(__xludf.DUMMYFUNCTION("""COMPUTED_VALUE"""),3110.82)</f>
        <v>3110.82</v>
      </c>
      <c r="J435" s="88" t="str">
        <f>IFERROR(__xludf.DUMMYFUNCTION("""COMPUTED_VALUE"""),"Goto link: AMZN")</f>
        <v>Goto link: AMZN</v>
      </c>
      <c r="K435" s="22"/>
      <c r="L435" s="22"/>
      <c r="M435" s="22"/>
      <c r="N435" s="22"/>
      <c r="O435" s="73"/>
      <c r="P435" s="8"/>
      <c r="Q435" s="69"/>
      <c r="R435" s="69"/>
      <c r="S435" s="8"/>
      <c r="T435" s="69"/>
      <c r="U435" s="8"/>
      <c r="V435" s="69"/>
      <c r="W435" s="74"/>
      <c r="X435" s="69"/>
    </row>
    <row r="436">
      <c r="A436" s="30" t="str">
        <f>IFERROR(__xludf.DUMMYFUNCTION("""COMPUTED_VALUE"""),"39441")</f>
        <v>39441</v>
      </c>
      <c r="B436" s="86">
        <f>IFERROR(__xludf.DUMMYFUNCTION("""COMPUTED_VALUE"""),44634.0)</f>
        <v>44634</v>
      </c>
      <c r="C436" s="64" t="str">
        <f>IFERROR(__xludf.DUMMYFUNCTION("""COMPUTED_VALUE"""),"Stock")</f>
        <v>Stock</v>
      </c>
      <c r="D436" s="87" t="str">
        <f>IFERROR(__xludf.DUMMYFUNCTION("""COMPUTED_VALUE"""),"BABA")</f>
        <v>BABA</v>
      </c>
      <c r="E436" s="5" t="str">
        <f>IFERROR(__xludf.DUMMYFUNCTION("""COMPUTED_VALUE"""),"USD")</f>
        <v>USD</v>
      </c>
      <c r="F436" s="69">
        <f>IFERROR(__xludf.DUMMYFUNCTION("""COMPUTED_VALUE"""),20.0)</f>
        <v>20</v>
      </c>
      <c r="G436" s="70">
        <f>IFERROR(__xludf.DUMMYFUNCTION("""COMPUTED_VALUE"""),7.83915)</f>
        <v>7.83915</v>
      </c>
      <c r="H436" s="71">
        <f>IFERROR(__xludf.DUMMYFUNCTION("""COMPUTED_VALUE"""),77.76)</f>
        <v>77.76</v>
      </c>
      <c r="I436" s="71">
        <f>IFERROR(__xludf.DUMMYFUNCTION("""COMPUTED_VALUE"""),100.09)</f>
        <v>100.09</v>
      </c>
      <c r="J436" s="88" t="str">
        <f>IFERROR(__xludf.DUMMYFUNCTION("""COMPUTED_VALUE"""),"Goto link: BABA")</f>
        <v>Goto link: BABA</v>
      </c>
      <c r="K436" s="22"/>
      <c r="L436" s="22"/>
      <c r="M436" s="22"/>
      <c r="N436" s="22"/>
      <c r="O436" s="73"/>
      <c r="P436" s="8"/>
      <c r="Q436" s="69"/>
      <c r="R436" s="69"/>
      <c r="S436" s="8"/>
      <c r="T436" s="69"/>
      <c r="U436" s="8"/>
      <c r="V436" s="69"/>
      <c r="W436" s="74"/>
      <c r="X436" s="69"/>
    </row>
    <row r="437">
      <c r="A437" s="30" t="str">
        <f>IFERROR(__xludf.DUMMYFUNCTION("""COMPUTED_VALUE"""),"39441")</f>
        <v>39441</v>
      </c>
      <c r="B437" s="86">
        <f>IFERROR(__xludf.DUMMYFUNCTION("""COMPUTED_VALUE"""),44635.0)</f>
        <v>44635</v>
      </c>
      <c r="C437" s="64" t="str">
        <f>IFERROR(__xludf.DUMMYFUNCTION("""COMPUTED_VALUE"""),"Stock")</f>
        <v>Stock</v>
      </c>
      <c r="D437" s="90" t="str">
        <f>IFERROR(__xludf.DUMMYFUNCTION("""COMPUTED_VALUE"""),"0070.HK")</f>
        <v>0070.HK</v>
      </c>
      <c r="E437" s="5" t="str">
        <f>IFERROR(__xludf.DUMMYFUNCTION("""COMPUTED_VALUE"""),"HKD")</f>
        <v>HKD</v>
      </c>
      <c r="F437" s="69">
        <f>IFERROR(__xludf.DUMMYFUNCTION("""COMPUTED_VALUE"""),-100.0)</f>
        <v>-100</v>
      </c>
      <c r="G437" s="70">
        <f>IFERROR(__xludf.DUMMYFUNCTION("""COMPUTED_VALUE"""),1.0)</f>
        <v>1</v>
      </c>
      <c r="H437" s="71">
        <f>IFERROR(__xludf.DUMMYFUNCTION("""COMPUTED_VALUE"""),0.058)</f>
        <v>0.058</v>
      </c>
      <c r="I437" s="71">
        <f>IFERROR(__xludf.DUMMYFUNCTION("""COMPUTED_VALUE"""),0.07)</f>
        <v>0.07</v>
      </c>
      <c r="J437" s="88" t="str">
        <f>IFERROR(__xludf.DUMMYFUNCTION("""COMPUTED_VALUE"""),"Goto link: 0070.HK")</f>
        <v>Goto link: 0070.HK</v>
      </c>
      <c r="K437" s="22"/>
      <c r="L437" s="22"/>
      <c r="M437" s="22"/>
      <c r="N437" s="22"/>
      <c r="O437" s="73"/>
      <c r="P437" s="8"/>
      <c r="Q437" s="69"/>
      <c r="R437" s="69"/>
      <c r="S437" s="8"/>
      <c r="T437" s="69"/>
      <c r="U437" s="8"/>
      <c r="V437" s="69"/>
      <c r="W437" s="74"/>
      <c r="X437" s="69"/>
    </row>
    <row r="438">
      <c r="A438" s="30" t="str">
        <f>IFERROR(__xludf.DUMMYFUNCTION("""COMPUTED_VALUE"""),"39441")</f>
        <v>39441</v>
      </c>
      <c r="B438" s="86">
        <f>IFERROR(__xludf.DUMMYFUNCTION("""COMPUTED_VALUE"""),44635.0)</f>
        <v>44635</v>
      </c>
      <c r="C438" s="64" t="str">
        <f>IFERROR(__xludf.DUMMYFUNCTION("""COMPUTED_VALUE"""),"Stock")</f>
        <v>Stock</v>
      </c>
      <c r="D438" s="87" t="str">
        <f>IFERROR(__xludf.DUMMYFUNCTION("""COMPUTED_VALUE"""),"BABA")</f>
        <v>BABA</v>
      </c>
      <c r="E438" s="5" t="str">
        <f>IFERROR(__xludf.DUMMYFUNCTION("""COMPUTED_VALUE"""),"USD")</f>
        <v>USD</v>
      </c>
      <c r="F438" s="69">
        <f>IFERROR(__xludf.DUMMYFUNCTION("""COMPUTED_VALUE"""),-200.0)</f>
        <v>-200</v>
      </c>
      <c r="G438" s="70">
        <f>IFERROR(__xludf.DUMMYFUNCTION("""COMPUTED_VALUE"""),7.83915)</f>
        <v>7.83915</v>
      </c>
      <c r="H438" s="71">
        <f>IFERROR(__xludf.DUMMYFUNCTION("""COMPUTED_VALUE"""),76.76)</f>
        <v>76.76</v>
      </c>
      <c r="I438" s="71">
        <f>IFERROR(__xludf.DUMMYFUNCTION("""COMPUTED_VALUE"""),100.09)</f>
        <v>100.09</v>
      </c>
      <c r="J438" s="88" t="str">
        <f>IFERROR(__xludf.DUMMYFUNCTION("""COMPUTED_VALUE"""),"Goto link: BABA")</f>
        <v>Goto link: BABA</v>
      </c>
      <c r="K438" s="22"/>
      <c r="L438" s="22"/>
      <c r="M438" s="22"/>
      <c r="N438" s="22"/>
      <c r="O438" s="73"/>
      <c r="P438" s="8"/>
      <c r="Q438" s="69"/>
      <c r="R438" s="69"/>
      <c r="S438" s="8"/>
      <c r="T438" s="69"/>
      <c r="U438" s="8"/>
      <c r="V438" s="69"/>
      <c r="W438" s="74"/>
      <c r="X438" s="69"/>
    </row>
    <row r="439">
      <c r="A439" s="30" t="str">
        <f>IFERROR(__xludf.DUMMYFUNCTION("""COMPUTED_VALUE"""),"39441")</f>
        <v>39441</v>
      </c>
      <c r="B439" s="86">
        <f>IFERROR(__xludf.DUMMYFUNCTION("""COMPUTED_VALUE"""),44636.0)</f>
        <v>44636</v>
      </c>
      <c r="C439" s="64" t="str">
        <f>IFERROR(__xludf.DUMMYFUNCTION("""COMPUTED_VALUE"""),"Stock")</f>
        <v>Stock</v>
      </c>
      <c r="D439" s="90" t="str">
        <f>IFERROR(__xludf.DUMMYFUNCTION("""COMPUTED_VALUE"""),"0700.HK")</f>
        <v>0700.HK</v>
      </c>
      <c r="E439" s="5" t="str">
        <f>IFERROR(__xludf.DUMMYFUNCTION("""COMPUTED_VALUE"""),"HKD")</f>
        <v>HKD</v>
      </c>
      <c r="F439" s="69">
        <f>IFERROR(__xludf.DUMMYFUNCTION("""COMPUTED_VALUE"""),-20.0)</f>
        <v>-20</v>
      </c>
      <c r="G439" s="70">
        <f>IFERROR(__xludf.DUMMYFUNCTION("""COMPUTED_VALUE"""),1.0)</f>
        <v>1</v>
      </c>
      <c r="H439" s="71">
        <f>IFERROR(__xludf.DUMMYFUNCTION("""COMPUTED_VALUE"""),367.0)</f>
        <v>367</v>
      </c>
      <c r="I439" s="71">
        <f>IFERROR(__xludf.DUMMYFUNCTION("""COMPUTED_VALUE"""),373.6)</f>
        <v>373.6</v>
      </c>
      <c r="J439" s="88" t="str">
        <f>IFERROR(__xludf.DUMMYFUNCTION("""COMPUTED_VALUE"""),"Goto link: 0700.HK")</f>
        <v>Goto link: 0700.HK</v>
      </c>
      <c r="K439" s="22"/>
      <c r="L439" s="22"/>
      <c r="M439" s="22"/>
      <c r="N439" s="22"/>
      <c r="O439" s="73"/>
      <c r="P439" s="8"/>
      <c r="Q439" s="69"/>
      <c r="R439" s="69"/>
      <c r="S439" s="8"/>
      <c r="T439" s="69"/>
      <c r="U439" s="8"/>
      <c r="V439" s="69"/>
      <c r="W439" s="74"/>
      <c r="X439" s="69"/>
    </row>
    <row r="440">
      <c r="A440" s="30" t="str">
        <f>IFERROR(__xludf.DUMMYFUNCTION("""COMPUTED_VALUE"""),"39441")</f>
        <v>39441</v>
      </c>
      <c r="B440" s="86">
        <f>IFERROR(__xludf.DUMMYFUNCTION("""COMPUTED_VALUE"""),44636.0)</f>
        <v>44636</v>
      </c>
      <c r="C440" s="64" t="str">
        <f>IFERROR(__xludf.DUMMYFUNCTION("""COMPUTED_VALUE"""),"Stock")</f>
        <v>Stock</v>
      </c>
      <c r="D440" s="90" t="str">
        <f>IFERROR(__xludf.DUMMYFUNCTION("""COMPUTED_VALUE"""),"0700.HK")</f>
        <v>0700.HK</v>
      </c>
      <c r="E440" s="5" t="str">
        <f>IFERROR(__xludf.DUMMYFUNCTION("""COMPUTED_VALUE"""),"HKD")</f>
        <v>HKD</v>
      </c>
      <c r="F440" s="69">
        <f>IFERROR(__xludf.DUMMYFUNCTION("""COMPUTED_VALUE"""),10.0)</f>
        <v>10</v>
      </c>
      <c r="G440" s="70">
        <f>IFERROR(__xludf.DUMMYFUNCTION("""COMPUTED_VALUE"""),1.0)</f>
        <v>1</v>
      </c>
      <c r="H440" s="71">
        <f>IFERROR(__xludf.DUMMYFUNCTION("""COMPUTED_VALUE"""),298.0)</f>
        <v>298</v>
      </c>
      <c r="I440" s="71">
        <f>IFERROR(__xludf.DUMMYFUNCTION("""COMPUTED_VALUE"""),373.6)</f>
        <v>373.6</v>
      </c>
      <c r="J440" s="88" t="str">
        <f>IFERROR(__xludf.DUMMYFUNCTION("""COMPUTED_VALUE"""),"Goto link: 0700.HK")</f>
        <v>Goto link: 0700.HK</v>
      </c>
      <c r="K440" s="22"/>
      <c r="L440" s="22"/>
      <c r="M440" s="22"/>
      <c r="N440" s="22"/>
      <c r="O440" s="73"/>
      <c r="P440" s="8"/>
      <c r="Q440" s="69"/>
      <c r="R440" s="69"/>
      <c r="S440" s="8"/>
      <c r="T440" s="69"/>
      <c r="U440" s="8"/>
      <c r="V440" s="69"/>
      <c r="W440" s="74"/>
      <c r="X440" s="69"/>
    </row>
    <row r="441">
      <c r="A441" s="30" t="str">
        <f>IFERROR(__xludf.DUMMYFUNCTION("""COMPUTED_VALUE"""),"39441")</f>
        <v>39441</v>
      </c>
      <c r="B441" s="86">
        <f>IFERROR(__xludf.DUMMYFUNCTION("""COMPUTED_VALUE"""),44636.0)</f>
        <v>44636</v>
      </c>
      <c r="C441" s="64" t="str">
        <f>IFERROR(__xludf.DUMMYFUNCTION("""COMPUTED_VALUE"""),"Stock")</f>
        <v>Stock</v>
      </c>
      <c r="D441" s="87" t="str">
        <f>IFERROR(__xludf.DUMMYFUNCTION("""COMPUTED_VALUE"""),"BABA")</f>
        <v>BABA</v>
      </c>
      <c r="E441" s="5" t="str">
        <f>IFERROR(__xludf.DUMMYFUNCTION("""COMPUTED_VALUE"""),"USD")</f>
        <v>USD</v>
      </c>
      <c r="F441" s="69">
        <f>IFERROR(__xludf.DUMMYFUNCTION("""COMPUTED_VALUE"""),-200.0)</f>
        <v>-200</v>
      </c>
      <c r="G441" s="70">
        <f>IFERROR(__xludf.DUMMYFUNCTION("""COMPUTED_VALUE"""),7.83915)</f>
        <v>7.83915</v>
      </c>
      <c r="H441" s="71">
        <f>IFERROR(__xludf.DUMMYFUNCTION("""COMPUTED_VALUE"""),104.98)</f>
        <v>104.98</v>
      </c>
      <c r="I441" s="71">
        <f>IFERROR(__xludf.DUMMYFUNCTION("""COMPUTED_VALUE"""),100.09)</f>
        <v>100.09</v>
      </c>
      <c r="J441" s="88" t="str">
        <f>IFERROR(__xludf.DUMMYFUNCTION("""COMPUTED_VALUE"""),"Goto link: BABA")</f>
        <v>Goto link: BABA</v>
      </c>
      <c r="K441" s="22"/>
      <c r="L441" s="22"/>
      <c r="M441" s="22"/>
      <c r="N441" s="22"/>
      <c r="O441" s="73"/>
      <c r="P441" s="8"/>
      <c r="Q441" s="69"/>
      <c r="R441" s="69"/>
      <c r="S441" s="8"/>
      <c r="T441" s="69"/>
      <c r="U441" s="8"/>
      <c r="V441" s="69"/>
      <c r="W441" s="74"/>
      <c r="X441" s="69"/>
    </row>
    <row r="442">
      <c r="A442" s="30" t="str">
        <f>IFERROR(__xludf.DUMMYFUNCTION("""COMPUTED_VALUE"""),"39441")</f>
        <v>39441</v>
      </c>
      <c r="B442" s="86">
        <f>IFERROR(__xludf.DUMMYFUNCTION("""COMPUTED_VALUE"""),44637.0)</f>
        <v>44637</v>
      </c>
      <c r="C442" s="64" t="str">
        <f>IFERROR(__xludf.DUMMYFUNCTION("""COMPUTED_VALUE"""),"Stock")</f>
        <v>Stock</v>
      </c>
      <c r="D442" s="87" t="str">
        <f>IFERROR(__xludf.DUMMYFUNCTION("""COMPUTED_VALUE"""),"BABA")</f>
        <v>BABA</v>
      </c>
      <c r="E442" s="5" t="str">
        <f>IFERROR(__xludf.DUMMYFUNCTION("""COMPUTED_VALUE"""),"USD")</f>
        <v>USD</v>
      </c>
      <c r="F442" s="69">
        <f>IFERROR(__xludf.DUMMYFUNCTION("""COMPUTED_VALUE"""),0.0)</f>
        <v>0</v>
      </c>
      <c r="G442" s="70">
        <f>IFERROR(__xludf.DUMMYFUNCTION("""COMPUTED_VALUE"""),7.83915)</f>
        <v>7.83915</v>
      </c>
      <c r="H442" s="71">
        <f>IFERROR(__xludf.DUMMYFUNCTION("""COMPUTED_VALUE"""),0.0)</f>
        <v>0</v>
      </c>
      <c r="I442" s="71">
        <f>IFERROR(__xludf.DUMMYFUNCTION("""COMPUTED_VALUE"""),100.09)</f>
        <v>100.09</v>
      </c>
      <c r="J442" s="88" t="str">
        <f>IFERROR(__xludf.DUMMYFUNCTION("""COMPUTED_VALUE"""),"Goto link: BABA")</f>
        <v>Goto link: BABA</v>
      </c>
      <c r="K442" s="22"/>
      <c r="L442" s="22"/>
      <c r="M442" s="22"/>
      <c r="N442" s="22"/>
      <c r="O442" s="73"/>
      <c r="P442" s="8"/>
      <c r="Q442" s="69"/>
      <c r="R442" s="69"/>
      <c r="S442" s="8"/>
      <c r="T442" s="69"/>
      <c r="U442" s="8"/>
      <c r="V442" s="69"/>
      <c r="W442" s="74"/>
      <c r="X442" s="69"/>
    </row>
    <row r="443">
      <c r="A443" s="30" t="str">
        <f>IFERROR(__xludf.DUMMYFUNCTION("""COMPUTED_VALUE"""),"39441")</f>
        <v>39441</v>
      </c>
      <c r="B443" s="86">
        <f>IFERROR(__xludf.DUMMYFUNCTION("""COMPUTED_VALUE"""),44638.0)</f>
        <v>44638</v>
      </c>
      <c r="C443" s="64" t="str">
        <f>IFERROR(__xludf.DUMMYFUNCTION("""COMPUTED_VALUE"""),"Stock")</f>
        <v>Stock</v>
      </c>
      <c r="D443" s="87" t="str">
        <f>IFERROR(__xludf.DUMMYFUNCTION("""COMPUTED_VALUE"""),"AMZN")</f>
        <v>AMZN</v>
      </c>
      <c r="E443" s="5" t="str">
        <f>IFERROR(__xludf.DUMMYFUNCTION("""COMPUTED_VALUE"""),"USD")</f>
        <v>USD</v>
      </c>
      <c r="F443" s="69">
        <f>IFERROR(__xludf.DUMMYFUNCTION("""COMPUTED_VALUE"""),-11.0)</f>
        <v>-11</v>
      </c>
      <c r="G443" s="70">
        <f>IFERROR(__xludf.DUMMYFUNCTION("""COMPUTED_VALUE"""),7.83915)</f>
        <v>7.83915</v>
      </c>
      <c r="H443" s="71">
        <f>IFERROR(__xludf.DUMMYFUNCTION("""COMPUTED_VALUE"""),3225.01)</f>
        <v>3225.01</v>
      </c>
      <c r="I443" s="71">
        <f>IFERROR(__xludf.DUMMYFUNCTION("""COMPUTED_VALUE"""),3110.82)</f>
        <v>3110.82</v>
      </c>
      <c r="J443" s="88" t="str">
        <f>IFERROR(__xludf.DUMMYFUNCTION("""COMPUTED_VALUE"""),"Goto link: AMZN")</f>
        <v>Goto link: AMZN</v>
      </c>
      <c r="K443" s="22"/>
      <c r="L443" s="22"/>
      <c r="M443" s="22"/>
      <c r="N443" s="22"/>
      <c r="O443" s="73"/>
      <c r="P443" s="8"/>
      <c r="Q443" s="69"/>
      <c r="R443" s="69"/>
      <c r="S443" s="8"/>
      <c r="T443" s="69"/>
      <c r="U443" s="8"/>
      <c r="V443" s="69"/>
      <c r="W443" s="74"/>
      <c r="X443" s="69"/>
    </row>
    <row r="444">
      <c r="A444" s="30" t="str">
        <f>IFERROR(__xludf.DUMMYFUNCTION("""COMPUTED_VALUE"""),"39441")</f>
        <v>39441</v>
      </c>
      <c r="B444" s="86">
        <f>IFERROR(__xludf.DUMMYFUNCTION("""COMPUTED_VALUE"""),44638.0)</f>
        <v>44638</v>
      </c>
      <c r="C444" s="64" t="str">
        <f>IFERROR(__xludf.DUMMYFUNCTION("""COMPUTED_VALUE"""),"Stock")</f>
        <v>Stock</v>
      </c>
      <c r="D444" s="87" t="str">
        <f>IFERROR(__xludf.DUMMYFUNCTION("""COMPUTED_VALUE"""),"GC=F")</f>
        <v>GC=F</v>
      </c>
      <c r="E444" s="5" t="str">
        <f>IFERROR(__xludf.DUMMYFUNCTION("""COMPUTED_VALUE"""),"USD")</f>
        <v>USD</v>
      </c>
      <c r="F444" s="69">
        <f>IFERROR(__xludf.DUMMYFUNCTION("""COMPUTED_VALUE"""),0.0)</f>
        <v>0</v>
      </c>
      <c r="G444" s="70">
        <f>IFERROR(__xludf.DUMMYFUNCTION("""COMPUTED_VALUE"""),7.83915)</f>
        <v>7.83915</v>
      </c>
      <c r="H444" s="71">
        <f>IFERROR(__xludf.DUMMYFUNCTION("""COMPUTED_VALUE"""),0.0)</f>
        <v>0</v>
      </c>
      <c r="I444" s="71">
        <f>IFERROR(__xludf.DUMMYFUNCTION("""COMPUTED_VALUE"""),1980.7)</f>
        <v>1980.7</v>
      </c>
      <c r="J444" s="88" t="str">
        <f>IFERROR(__xludf.DUMMYFUNCTION("""COMPUTED_VALUE"""),"Goto link: GC=F")</f>
        <v>Goto link: GC=F</v>
      </c>
      <c r="K444" s="22"/>
      <c r="L444" s="22"/>
      <c r="M444" s="22"/>
      <c r="N444" s="22"/>
      <c r="O444" s="73"/>
      <c r="P444" s="8"/>
      <c r="Q444" s="69"/>
      <c r="R444" s="69"/>
      <c r="S444" s="8"/>
      <c r="T444" s="69"/>
      <c r="U444" s="8"/>
      <c r="V444" s="69"/>
      <c r="W444" s="74"/>
      <c r="X444" s="69"/>
    </row>
    <row r="445">
      <c r="A445" s="30" t="str">
        <f>IFERROR(__xludf.DUMMYFUNCTION("""COMPUTED_VALUE"""),"39441")</f>
        <v>39441</v>
      </c>
      <c r="B445" s="86">
        <f>IFERROR(__xludf.DUMMYFUNCTION("""COMPUTED_VALUE"""),44641.0)</f>
        <v>44641</v>
      </c>
      <c r="C445" s="64" t="str">
        <f>IFERROR(__xludf.DUMMYFUNCTION("""COMPUTED_VALUE"""),"Stock")</f>
        <v>Stock</v>
      </c>
      <c r="D445" s="90" t="str">
        <f>IFERROR(__xludf.DUMMYFUNCTION("""COMPUTED_VALUE"""),"0700.HK")</f>
        <v>0700.HK</v>
      </c>
      <c r="E445" s="5" t="str">
        <f>IFERROR(__xludf.DUMMYFUNCTION("""COMPUTED_VALUE"""),"HKD")</f>
        <v>HKD</v>
      </c>
      <c r="F445" s="69">
        <f>IFERROR(__xludf.DUMMYFUNCTION("""COMPUTED_VALUE"""),10.0)</f>
        <v>10</v>
      </c>
      <c r="G445" s="70">
        <f>IFERROR(__xludf.DUMMYFUNCTION("""COMPUTED_VALUE"""),1.0)</f>
        <v>1</v>
      </c>
      <c r="H445" s="71">
        <f>IFERROR(__xludf.DUMMYFUNCTION("""COMPUTED_VALUE"""),372.4)</f>
        <v>372.4</v>
      </c>
      <c r="I445" s="71">
        <f>IFERROR(__xludf.DUMMYFUNCTION("""COMPUTED_VALUE"""),373.6)</f>
        <v>373.6</v>
      </c>
      <c r="J445" s="88" t="str">
        <f>IFERROR(__xludf.DUMMYFUNCTION("""COMPUTED_VALUE"""),"Goto link: 0700.HK")</f>
        <v>Goto link: 0700.HK</v>
      </c>
      <c r="K445" s="22"/>
      <c r="L445" s="22"/>
      <c r="M445" s="22"/>
      <c r="N445" s="22"/>
      <c r="O445" s="73"/>
      <c r="P445" s="8"/>
      <c r="Q445" s="69"/>
      <c r="R445" s="69"/>
      <c r="S445" s="8"/>
      <c r="T445" s="69"/>
      <c r="U445" s="8"/>
      <c r="V445" s="69"/>
      <c r="W445" s="74"/>
      <c r="X445" s="69"/>
    </row>
    <row r="446">
      <c r="A446" s="30" t="str">
        <f>IFERROR(__xludf.DUMMYFUNCTION("""COMPUTED_VALUE"""),"39441")</f>
        <v>39441</v>
      </c>
      <c r="B446" s="86">
        <f>IFERROR(__xludf.DUMMYFUNCTION("""COMPUTED_VALUE"""),44641.0)</f>
        <v>44641</v>
      </c>
      <c r="C446" s="64" t="str">
        <f>IFERROR(__xludf.DUMMYFUNCTION("""COMPUTED_VALUE"""),"Stock")</f>
        <v>Stock</v>
      </c>
      <c r="D446" s="87" t="str">
        <f>IFERROR(__xludf.DUMMYFUNCTION("""COMPUTED_VALUE"""),"AAPL")</f>
        <v>AAPL</v>
      </c>
      <c r="E446" s="5" t="str">
        <f>IFERROR(__xludf.DUMMYFUNCTION("""COMPUTED_VALUE"""),"USD")</f>
        <v>USD</v>
      </c>
      <c r="F446" s="69">
        <f>IFERROR(__xludf.DUMMYFUNCTION("""COMPUTED_VALUE"""),100.0)</f>
        <v>100</v>
      </c>
      <c r="G446" s="70">
        <f>IFERROR(__xludf.DUMMYFUNCTION("""COMPUTED_VALUE"""),7.83915)</f>
        <v>7.83915</v>
      </c>
      <c r="H446" s="71">
        <f>IFERROR(__xludf.DUMMYFUNCTION("""COMPUTED_VALUE"""),165.38)</f>
        <v>165.38</v>
      </c>
      <c r="I446" s="71">
        <f>IFERROR(__xludf.DUMMYFUNCTION("""COMPUTED_VALUE"""),170.4)</f>
        <v>170.4</v>
      </c>
      <c r="J446" s="88" t="str">
        <f>IFERROR(__xludf.DUMMYFUNCTION("""COMPUTED_VALUE"""),"Goto link: AAPL")</f>
        <v>Goto link: AAPL</v>
      </c>
      <c r="K446" s="22"/>
      <c r="L446" s="22"/>
      <c r="M446" s="22"/>
      <c r="N446" s="22"/>
      <c r="O446" s="73"/>
      <c r="P446" s="8"/>
      <c r="Q446" s="69"/>
      <c r="R446" s="69"/>
      <c r="S446" s="8"/>
      <c r="T446" s="69"/>
      <c r="U446" s="8"/>
      <c r="V446" s="69"/>
      <c r="W446" s="74"/>
      <c r="X446" s="69"/>
    </row>
    <row r="447">
      <c r="A447" s="30" t="str">
        <f>IFERROR(__xludf.DUMMYFUNCTION("""COMPUTED_VALUE"""),"39441")</f>
        <v>39441</v>
      </c>
      <c r="B447" s="86">
        <f>IFERROR(__xludf.DUMMYFUNCTION("""COMPUTED_VALUE"""),44641.0)</f>
        <v>44641</v>
      </c>
      <c r="C447" s="64" t="str">
        <f>IFERROR(__xludf.DUMMYFUNCTION("""COMPUTED_VALUE"""),"Stock")</f>
        <v>Stock</v>
      </c>
      <c r="D447" s="87" t="str">
        <f>IFERROR(__xludf.DUMMYFUNCTION("""COMPUTED_VALUE"""),"AMZN")</f>
        <v>AMZN</v>
      </c>
      <c r="E447" s="5" t="str">
        <f>IFERROR(__xludf.DUMMYFUNCTION("""COMPUTED_VALUE"""),"USD")</f>
        <v>USD</v>
      </c>
      <c r="F447" s="69" t="str">
        <f>IFERROR(__xludf.DUMMYFUNCTION("""COMPUTED_VALUE"""),"")</f>
        <v/>
      </c>
      <c r="G447" s="70">
        <f>IFERROR(__xludf.DUMMYFUNCTION("""COMPUTED_VALUE"""),7.83915)</f>
        <v>7.83915</v>
      </c>
      <c r="H447" s="71">
        <f>IFERROR(__xludf.DUMMYFUNCTION("""COMPUTED_VALUE"""),3229.83)</f>
        <v>3229.83</v>
      </c>
      <c r="I447" s="71">
        <f>IFERROR(__xludf.DUMMYFUNCTION("""COMPUTED_VALUE"""),3110.82)</f>
        <v>3110.82</v>
      </c>
      <c r="J447" s="88" t="str">
        <f>IFERROR(__xludf.DUMMYFUNCTION("""COMPUTED_VALUE"""),"Goto link: AMZN")</f>
        <v>Goto link: AMZN</v>
      </c>
      <c r="K447" s="22"/>
      <c r="L447" s="22"/>
      <c r="M447" s="22"/>
      <c r="N447" s="22"/>
      <c r="O447" s="73"/>
      <c r="P447" s="8"/>
      <c r="Q447" s="69"/>
      <c r="R447" s="69"/>
      <c r="S447" s="8"/>
      <c r="T447" s="69"/>
      <c r="U447" s="8"/>
      <c r="V447" s="69"/>
      <c r="W447" s="74"/>
      <c r="X447" s="69"/>
    </row>
    <row r="448">
      <c r="A448" s="30" t="str">
        <f>IFERROR(__xludf.DUMMYFUNCTION("""COMPUTED_VALUE"""),"39441")</f>
        <v>39441</v>
      </c>
      <c r="B448" s="86">
        <f>IFERROR(__xludf.DUMMYFUNCTION("""COMPUTED_VALUE"""),44641.0)</f>
        <v>44641</v>
      </c>
      <c r="C448" s="64" t="str">
        <f>IFERROR(__xludf.DUMMYFUNCTION("""COMPUTED_VALUE"""),"Stock")</f>
        <v>Stock</v>
      </c>
      <c r="D448" s="87" t="str">
        <f>IFERROR(__xludf.DUMMYFUNCTION("""COMPUTED_VALUE"""),"BABA")</f>
        <v>BABA</v>
      </c>
      <c r="E448" s="5" t="str">
        <f>IFERROR(__xludf.DUMMYFUNCTION("""COMPUTED_VALUE"""),"USD")</f>
        <v>USD</v>
      </c>
      <c r="F448" s="69" t="str">
        <f>IFERROR(__xludf.DUMMYFUNCTION("""COMPUTED_VALUE"""),"")</f>
        <v/>
      </c>
      <c r="G448" s="70">
        <f>IFERROR(__xludf.DUMMYFUNCTION("""COMPUTED_VALUE"""),7.83915)</f>
        <v>7.83915</v>
      </c>
      <c r="H448" s="71">
        <f>IFERROR(__xludf.DUMMYFUNCTION("""COMPUTED_VALUE"""),103.59)</f>
        <v>103.59</v>
      </c>
      <c r="I448" s="71">
        <f>IFERROR(__xludf.DUMMYFUNCTION("""COMPUTED_VALUE"""),100.09)</f>
        <v>100.09</v>
      </c>
      <c r="J448" s="88" t="str">
        <f>IFERROR(__xludf.DUMMYFUNCTION("""COMPUTED_VALUE"""),"Goto link: BABA")</f>
        <v>Goto link: BABA</v>
      </c>
      <c r="K448" s="22"/>
      <c r="L448" s="22"/>
      <c r="M448" s="22"/>
      <c r="N448" s="22"/>
      <c r="O448" s="73"/>
      <c r="P448" s="8"/>
      <c r="Q448" s="69"/>
      <c r="R448" s="69"/>
      <c r="S448" s="8"/>
      <c r="T448" s="69"/>
      <c r="U448" s="8"/>
      <c r="V448" s="69"/>
      <c r="W448" s="74"/>
      <c r="X448" s="69"/>
    </row>
    <row r="449">
      <c r="A449" s="30" t="str">
        <f>IFERROR(__xludf.DUMMYFUNCTION("""COMPUTED_VALUE"""),"39441")</f>
        <v>39441</v>
      </c>
      <c r="B449" s="86">
        <f>IFERROR(__xludf.DUMMYFUNCTION("""COMPUTED_VALUE"""),44642.0)</f>
        <v>44642</v>
      </c>
      <c r="C449" s="64" t="str">
        <f>IFERROR(__xludf.DUMMYFUNCTION("""COMPUTED_VALUE"""),"Stock")</f>
        <v>Stock</v>
      </c>
      <c r="D449" s="90" t="str">
        <f>IFERROR(__xludf.DUMMYFUNCTION("""COMPUTED_VALUE"""),"0700.HK")</f>
        <v>0700.HK</v>
      </c>
      <c r="E449" s="5" t="str">
        <f>IFERROR(__xludf.DUMMYFUNCTION("""COMPUTED_VALUE"""),"HKD")</f>
        <v>HKD</v>
      </c>
      <c r="F449" s="69">
        <f>IFERROR(__xludf.DUMMYFUNCTION("""COMPUTED_VALUE"""),0.0)</f>
        <v>0</v>
      </c>
      <c r="G449" s="70">
        <f>IFERROR(__xludf.DUMMYFUNCTION("""COMPUTED_VALUE"""),1.0)</f>
        <v>1</v>
      </c>
      <c r="H449" s="71">
        <f>IFERROR(__xludf.DUMMYFUNCTION("""COMPUTED_VALUE"""),0.0)</f>
        <v>0</v>
      </c>
      <c r="I449" s="71">
        <f>IFERROR(__xludf.DUMMYFUNCTION("""COMPUTED_VALUE"""),373.6)</f>
        <v>373.6</v>
      </c>
      <c r="J449" s="88" t="str">
        <f>IFERROR(__xludf.DUMMYFUNCTION("""COMPUTED_VALUE"""),"Goto link: 0700.HK")</f>
        <v>Goto link: 0700.HK</v>
      </c>
      <c r="K449" s="22"/>
      <c r="L449" s="22"/>
      <c r="M449" s="22"/>
      <c r="N449" s="22"/>
      <c r="O449" s="73"/>
      <c r="P449" s="8"/>
      <c r="Q449" s="69"/>
      <c r="R449" s="69"/>
      <c r="S449" s="8"/>
      <c r="T449" s="69"/>
      <c r="U449" s="8"/>
      <c r="V449" s="69"/>
      <c r="W449" s="74"/>
      <c r="X449" s="69"/>
    </row>
    <row r="450">
      <c r="A450" s="30" t="str">
        <f>IFERROR(__xludf.DUMMYFUNCTION("""COMPUTED_VALUE"""),"39441")</f>
        <v>39441</v>
      </c>
      <c r="B450" s="86">
        <f>IFERROR(__xludf.DUMMYFUNCTION("""COMPUTED_VALUE"""),44643.0)</f>
        <v>44643</v>
      </c>
      <c r="C450" s="64" t="str">
        <f>IFERROR(__xludf.DUMMYFUNCTION("""COMPUTED_VALUE"""),"Stock")</f>
        <v>Stock</v>
      </c>
      <c r="D450" s="87" t="str">
        <f>IFERROR(__xludf.DUMMYFUNCTION("""COMPUTED_VALUE"""),"AMZN")</f>
        <v>AMZN</v>
      </c>
      <c r="E450" s="5" t="str">
        <f>IFERROR(__xludf.DUMMYFUNCTION("""COMPUTED_VALUE"""),"USD")</f>
        <v>USD</v>
      </c>
      <c r="F450" s="69">
        <f>IFERROR(__xludf.DUMMYFUNCTION("""COMPUTED_VALUE"""),0.0)</f>
        <v>0</v>
      </c>
      <c r="G450" s="70">
        <f>IFERROR(__xludf.DUMMYFUNCTION("""COMPUTED_VALUE"""),7.83915)</f>
        <v>7.83915</v>
      </c>
      <c r="H450" s="71">
        <f>IFERROR(__xludf.DUMMYFUNCTION("""COMPUTED_VALUE"""),0.0)</f>
        <v>0</v>
      </c>
      <c r="I450" s="71">
        <f>IFERROR(__xludf.DUMMYFUNCTION("""COMPUTED_VALUE"""),3110.82)</f>
        <v>3110.82</v>
      </c>
      <c r="J450" s="88" t="str">
        <f>IFERROR(__xludf.DUMMYFUNCTION("""COMPUTED_VALUE"""),"Goto link: AMZN")</f>
        <v>Goto link: AMZN</v>
      </c>
      <c r="K450" s="22"/>
      <c r="L450" s="22"/>
      <c r="M450" s="22"/>
      <c r="N450" s="22"/>
      <c r="O450" s="73"/>
      <c r="P450" s="8"/>
      <c r="Q450" s="69"/>
      <c r="R450" s="69"/>
      <c r="S450" s="8"/>
      <c r="T450" s="69"/>
      <c r="U450" s="8"/>
      <c r="V450" s="69"/>
      <c r="W450" s="74"/>
      <c r="X450" s="69"/>
    </row>
    <row r="451">
      <c r="A451" s="30" t="str">
        <f>IFERROR(__xludf.DUMMYFUNCTION("""COMPUTED_VALUE"""),"39441")</f>
        <v>39441</v>
      </c>
      <c r="B451" s="86">
        <f>IFERROR(__xludf.DUMMYFUNCTION("""COMPUTED_VALUE"""),44644.0)</f>
        <v>44644</v>
      </c>
      <c r="C451" s="64" t="str">
        <f>IFERROR(__xludf.DUMMYFUNCTION("""COMPUTED_VALUE"""),"Stock")</f>
        <v>Stock</v>
      </c>
      <c r="D451" s="87" t="str">
        <f>IFERROR(__xludf.DUMMYFUNCTION("""COMPUTED_VALUE"""),"AAPL")</f>
        <v>AAPL</v>
      </c>
      <c r="E451" s="5" t="str">
        <f>IFERROR(__xludf.DUMMYFUNCTION("""COMPUTED_VALUE"""),"USD")</f>
        <v>USD</v>
      </c>
      <c r="F451" s="69">
        <f>IFERROR(__xludf.DUMMYFUNCTION("""COMPUTED_VALUE"""),-100.0)</f>
        <v>-100</v>
      </c>
      <c r="G451" s="70">
        <f>IFERROR(__xludf.DUMMYFUNCTION("""COMPUTED_VALUE"""),7.83915)</f>
        <v>7.83915</v>
      </c>
      <c r="H451" s="71">
        <f>IFERROR(__xludf.DUMMYFUNCTION("""COMPUTED_VALUE"""),174.07)</f>
        <v>174.07</v>
      </c>
      <c r="I451" s="71">
        <f>IFERROR(__xludf.DUMMYFUNCTION("""COMPUTED_VALUE"""),170.4)</f>
        <v>170.4</v>
      </c>
      <c r="J451" s="88" t="str">
        <f>IFERROR(__xludf.DUMMYFUNCTION("""COMPUTED_VALUE"""),"Goto link: AAPL")</f>
        <v>Goto link: AAPL</v>
      </c>
      <c r="K451" s="22"/>
      <c r="L451" s="22"/>
      <c r="M451" s="22"/>
      <c r="N451" s="22"/>
      <c r="O451" s="73"/>
      <c r="P451" s="8"/>
      <c r="Q451" s="69"/>
      <c r="R451" s="69"/>
      <c r="S451" s="8"/>
      <c r="T451" s="69"/>
      <c r="U451" s="8"/>
      <c r="V451" s="69"/>
      <c r="W451" s="74"/>
      <c r="X451" s="69"/>
    </row>
    <row r="452">
      <c r="A452" s="30" t="str">
        <f>IFERROR(__xludf.DUMMYFUNCTION("""COMPUTED_VALUE"""),"39441")</f>
        <v>39441</v>
      </c>
      <c r="B452" s="86">
        <f>IFERROR(__xludf.DUMMYFUNCTION("""COMPUTED_VALUE"""),44644.0)</f>
        <v>44644</v>
      </c>
      <c r="C452" s="64" t="str">
        <f>IFERROR(__xludf.DUMMYFUNCTION("""COMPUTED_VALUE"""),"Stock")</f>
        <v>Stock</v>
      </c>
      <c r="D452" s="87" t="str">
        <f>IFERROR(__xludf.DUMMYFUNCTION("""COMPUTED_VALUE"""),"BABA")</f>
        <v>BABA</v>
      </c>
      <c r="E452" s="5" t="str">
        <f>IFERROR(__xludf.DUMMYFUNCTION("""COMPUTED_VALUE"""),"USD")</f>
        <v>USD</v>
      </c>
      <c r="F452" s="69">
        <f>IFERROR(__xludf.DUMMYFUNCTION("""COMPUTED_VALUE"""),0.0)</f>
        <v>0</v>
      </c>
      <c r="G452" s="70">
        <f>IFERROR(__xludf.DUMMYFUNCTION("""COMPUTED_VALUE"""),7.83915)</f>
        <v>7.83915</v>
      </c>
      <c r="H452" s="71">
        <f>IFERROR(__xludf.DUMMYFUNCTION("""COMPUTED_VALUE"""),0.0)</f>
        <v>0</v>
      </c>
      <c r="I452" s="71">
        <f>IFERROR(__xludf.DUMMYFUNCTION("""COMPUTED_VALUE"""),100.09)</f>
        <v>100.09</v>
      </c>
      <c r="J452" s="88" t="str">
        <f>IFERROR(__xludf.DUMMYFUNCTION("""COMPUTED_VALUE"""),"Goto link: BABA")</f>
        <v>Goto link: BABA</v>
      </c>
      <c r="K452" s="22"/>
      <c r="L452" s="22"/>
      <c r="M452" s="22"/>
      <c r="N452" s="22"/>
      <c r="O452" s="73"/>
      <c r="P452" s="8"/>
      <c r="Q452" s="69"/>
      <c r="R452" s="69"/>
      <c r="S452" s="8"/>
      <c r="T452" s="69"/>
      <c r="U452" s="8"/>
      <c r="V452" s="69"/>
      <c r="W452" s="74"/>
      <c r="X452" s="69"/>
    </row>
    <row r="453">
      <c r="A453" s="30" t="str">
        <f>IFERROR(__xludf.DUMMYFUNCTION("""COMPUTED_VALUE"""),"39441")</f>
        <v>39441</v>
      </c>
      <c r="B453" s="86">
        <f>IFERROR(__xludf.DUMMYFUNCTION("""COMPUTED_VALUE"""),44660.0)</f>
        <v>44660</v>
      </c>
      <c r="C453" s="64" t="str">
        <f>IFERROR(__xludf.DUMMYFUNCTION("""COMPUTED_VALUE"""),"Stock")</f>
        <v>Stock</v>
      </c>
      <c r="D453" s="85" t="str">
        <f>IFERROR(__xludf.DUMMYFUNCTION("""COMPUTED_VALUE"""),"CL=F")</f>
        <v>CL=F</v>
      </c>
      <c r="E453" s="5" t="str">
        <f>IFERROR(__xludf.DUMMYFUNCTION("""COMPUTED_VALUE"""),"USD")</f>
        <v>USD</v>
      </c>
      <c r="F453" s="69">
        <f>IFERROR(__xludf.DUMMYFUNCTION("""COMPUTED_VALUE"""),20.0)</f>
        <v>20</v>
      </c>
      <c r="G453" s="70">
        <f>IFERROR(__xludf.DUMMYFUNCTION("""COMPUTED_VALUE"""),7.83915)</f>
        <v>7.83915</v>
      </c>
      <c r="H453" s="71">
        <f>IFERROR(__xludf.DUMMYFUNCTION("""COMPUTED_VALUE"""),94.77)</f>
        <v>94.77</v>
      </c>
      <c r="I453" s="71">
        <f>IFERROR(__xludf.DUMMYFUNCTION("""COMPUTED_VALUE"""),104.31)</f>
        <v>104.31</v>
      </c>
      <c r="J453" s="88" t="str">
        <f>IFERROR(__xludf.DUMMYFUNCTION("""COMPUTED_VALUE"""),"Goto link: CL=F")</f>
        <v>Goto link: CL=F</v>
      </c>
      <c r="K453" s="22"/>
      <c r="L453" s="22"/>
      <c r="M453" s="22"/>
      <c r="N453" s="22"/>
      <c r="O453" s="73"/>
      <c r="P453" s="8"/>
      <c r="Q453" s="69"/>
      <c r="R453" s="69"/>
      <c r="S453" s="8"/>
      <c r="T453" s="69"/>
      <c r="U453" s="8"/>
      <c r="V453" s="69"/>
      <c r="W453" s="74"/>
      <c r="X453" s="69"/>
    </row>
    <row r="454">
      <c r="A454" s="30" t="str">
        <f>IFERROR(__xludf.DUMMYFUNCTION("""COMPUTED_VALUE"""),"39441")</f>
        <v>39441</v>
      </c>
      <c r="B454" s="86">
        <f>IFERROR(__xludf.DUMMYFUNCTION("""COMPUTED_VALUE"""),44663.0)</f>
        <v>44663</v>
      </c>
      <c r="C454" s="64" t="str">
        <f>IFERROR(__xludf.DUMMYFUNCTION("""COMPUTED_VALUE"""),"Stock")</f>
        <v>Stock</v>
      </c>
      <c r="D454" s="85" t="str">
        <f>IFERROR(__xludf.DUMMYFUNCTION("""COMPUTED_VALUE"""),"BABA")</f>
        <v>BABA</v>
      </c>
      <c r="E454" s="5" t="str">
        <f>IFERROR(__xludf.DUMMYFUNCTION("""COMPUTED_VALUE"""),"USD")</f>
        <v>USD</v>
      </c>
      <c r="F454" s="69">
        <f>IFERROR(__xludf.DUMMYFUNCTION("""COMPUTED_VALUE"""),280.0)</f>
        <v>280</v>
      </c>
      <c r="G454" s="70">
        <f>IFERROR(__xludf.DUMMYFUNCTION("""COMPUTED_VALUE"""),7.83915)</f>
        <v>7.83915</v>
      </c>
      <c r="H454" s="71">
        <f>IFERROR(__xludf.DUMMYFUNCTION("""COMPUTED_VALUE"""),99.75)</f>
        <v>99.75</v>
      </c>
      <c r="I454" s="71">
        <f>IFERROR(__xludf.DUMMYFUNCTION("""COMPUTED_VALUE"""),100.09)</f>
        <v>100.09</v>
      </c>
      <c r="J454" s="88" t="str">
        <f>IFERROR(__xludf.DUMMYFUNCTION("""COMPUTED_VALUE"""),"Goto link: BABA")</f>
        <v>Goto link: BABA</v>
      </c>
      <c r="K454" s="22"/>
      <c r="L454" s="22"/>
      <c r="M454" s="22"/>
      <c r="N454" s="22"/>
      <c r="O454" s="73"/>
      <c r="P454" s="8"/>
      <c r="Q454" s="69"/>
      <c r="R454" s="69"/>
      <c r="S454" s="8"/>
      <c r="T454" s="69"/>
      <c r="U454" s="8"/>
      <c r="V454" s="69"/>
      <c r="W454" s="74"/>
      <c r="X454" s="69"/>
    </row>
    <row r="455">
      <c r="A455" s="30" t="str">
        <f>IFERROR(__xludf.DUMMYFUNCTION("""COMPUTED_VALUE"""),"39441 Total")</f>
        <v>39441 Total</v>
      </c>
      <c r="B455" s="5"/>
      <c r="C455" s="64"/>
      <c r="D455" s="85"/>
      <c r="E455" s="5"/>
      <c r="F455" s="69"/>
      <c r="G455" s="70">
        <f>IFERROR(__xludf.DUMMYFUNCTION("""COMPUTED_VALUE"""),6.066037037037036)</f>
        <v>6.066037037</v>
      </c>
      <c r="H455" s="71">
        <f>IFERROR(__xludf.DUMMYFUNCTION("""COMPUTED_VALUE"""),3229.83)</f>
        <v>3229.83</v>
      </c>
      <c r="I455" s="71" t="str">
        <f>IFERROR(__xludf.DUMMYFUNCTION("""COMPUTED_VALUE"""),"")</f>
        <v/>
      </c>
      <c r="J455" s="22" t="str">
        <f>IFERROR(__xludf.DUMMYFUNCTION("""COMPUTED_VALUE"""),"")</f>
        <v/>
      </c>
      <c r="K455" s="22"/>
      <c r="L455" s="22"/>
      <c r="M455" s="22"/>
      <c r="N455" s="22"/>
      <c r="O455" s="73"/>
      <c r="P455" s="8"/>
      <c r="Q455" s="69"/>
      <c r="R455" s="69"/>
      <c r="S455" s="8"/>
      <c r="T455" s="69"/>
      <c r="U455" s="8"/>
      <c r="V455" s="69"/>
      <c r="W455" s="74"/>
      <c r="X455" s="69"/>
    </row>
    <row r="456">
      <c r="A456" s="30" t="str">
        <f>IFERROR(__xludf.DUMMYFUNCTION("""COMPUTED_VALUE"""),"39494")</f>
        <v>39494</v>
      </c>
      <c r="B456" s="86">
        <f>IFERROR(__xludf.DUMMYFUNCTION("""COMPUTED_VALUE"""),44597.0)</f>
        <v>44597</v>
      </c>
      <c r="C456" s="64" t="str">
        <f>IFERROR(__xludf.DUMMYFUNCTION("""COMPUTED_VALUE"""),"Cash")</f>
        <v>Cash</v>
      </c>
      <c r="D456" s="85" t="str">
        <f>IFERROR(__xludf.DUMMYFUNCTION("""COMPUTED_VALUE"""),"Cash")</f>
        <v>Cash</v>
      </c>
      <c r="E456" s="5" t="str">
        <f>IFERROR(__xludf.DUMMYFUNCTION("""COMPUTED_VALUE"""),"HKD")</f>
        <v>HKD</v>
      </c>
      <c r="F456" s="69" t="str">
        <f>IFERROR(__xludf.DUMMYFUNCTION("""COMPUTED_VALUE"""),"")</f>
        <v/>
      </c>
      <c r="G456" s="70">
        <f>IFERROR(__xludf.DUMMYFUNCTION("""COMPUTED_VALUE"""),1.0)</f>
        <v>1</v>
      </c>
      <c r="H456" s="71">
        <f>IFERROR(__xludf.DUMMYFUNCTION("""COMPUTED_VALUE"""),1.0)</f>
        <v>1</v>
      </c>
      <c r="I456" s="71">
        <f>IFERROR(__xludf.DUMMYFUNCTION("""COMPUTED_VALUE"""),1.0)</f>
        <v>1</v>
      </c>
      <c r="J456" s="22" t="str">
        <f>IFERROR(__xludf.DUMMYFUNCTION("""COMPUTED_VALUE"""),"")</f>
        <v/>
      </c>
      <c r="K456" s="22"/>
      <c r="L456" s="22"/>
      <c r="M456" s="22"/>
      <c r="N456" s="22"/>
      <c r="O456" s="73"/>
      <c r="P456" s="8"/>
      <c r="Q456" s="69"/>
      <c r="R456" s="69"/>
      <c r="S456" s="8"/>
      <c r="T456" s="69"/>
      <c r="U456" s="8"/>
      <c r="V456" s="69"/>
      <c r="W456" s="74"/>
      <c r="X456" s="69"/>
    </row>
    <row r="457">
      <c r="A457" s="30" t="str">
        <f>IFERROR(__xludf.DUMMYFUNCTION("""COMPUTED_VALUE"""),"39494")</f>
        <v>39494</v>
      </c>
      <c r="B457" s="86">
        <f>IFERROR(__xludf.DUMMYFUNCTION("""COMPUTED_VALUE"""),44606.0)</f>
        <v>44606</v>
      </c>
      <c r="C457" s="64" t="str">
        <f>IFERROR(__xludf.DUMMYFUNCTION("""COMPUTED_VALUE"""),"Stock")</f>
        <v>Stock</v>
      </c>
      <c r="D457" s="87" t="str">
        <f>IFERROR(__xludf.DUMMYFUNCTION("""COMPUTED_VALUE"""),"MSFT")</f>
        <v>MSFT</v>
      </c>
      <c r="E457" s="5" t="str">
        <f>IFERROR(__xludf.DUMMYFUNCTION("""COMPUTED_VALUE"""),"USD")</f>
        <v>USD</v>
      </c>
      <c r="F457" s="69">
        <f>IFERROR(__xludf.DUMMYFUNCTION("""COMPUTED_VALUE"""),3.0)</f>
        <v>3</v>
      </c>
      <c r="G457" s="70">
        <f>IFERROR(__xludf.DUMMYFUNCTION("""COMPUTED_VALUE"""),7.83915)</f>
        <v>7.83915</v>
      </c>
      <c r="H457" s="71">
        <f>IFERROR(__xludf.DUMMYFUNCTION("""COMPUTED_VALUE"""),295.0)</f>
        <v>295</v>
      </c>
      <c r="I457" s="71">
        <f>IFERROR(__xludf.DUMMYFUNCTION("""COMPUTED_VALUE"""),287.62)</f>
        <v>287.62</v>
      </c>
      <c r="J457" s="88" t="str">
        <f>IFERROR(__xludf.DUMMYFUNCTION("""COMPUTED_VALUE"""),"Goto link: MSFT")</f>
        <v>Goto link: MSFT</v>
      </c>
      <c r="K457" s="22"/>
      <c r="L457" s="22"/>
      <c r="M457" s="22"/>
      <c r="N457" s="22"/>
      <c r="O457" s="73"/>
      <c r="P457" s="8"/>
      <c r="Q457" s="69"/>
      <c r="R457" s="69"/>
      <c r="S457" s="8"/>
      <c r="T457" s="69"/>
      <c r="U457" s="8"/>
      <c r="V457" s="69"/>
      <c r="W457" s="74"/>
      <c r="X457" s="69"/>
    </row>
    <row r="458">
      <c r="A458" s="30" t="str">
        <f>IFERROR(__xludf.DUMMYFUNCTION("""COMPUTED_VALUE"""),"39494")</f>
        <v>39494</v>
      </c>
      <c r="B458" s="86">
        <f>IFERROR(__xludf.DUMMYFUNCTION("""COMPUTED_VALUE"""),44606.0)</f>
        <v>44606</v>
      </c>
      <c r="C458" s="64" t="str">
        <f>IFERROR(__xludf.DUMMYFUNCTION("""COMPUTED_VALUE"""),"Stock")</f>
        <v>Stock</v>
      </c>
      <c r="D458" s="90" t="str">
        <f>IFERROR(__xludf.DUMMYFUNCTION("""COMPUTED_VALUE"""),"UBI.PA")</f>
        <v>UBI.PA</v>
      </c>
      <c r="E458" s="5" t="str">
        <f>IFERROR(__xludf.DUMMYFUNCTION("""COMPUTED_VALUE"""),"EUR")</f>
        <v>EUR</v>
      </c>
      <c r="F458" s="69">
        <f>IFERROR(__xludf.DUMMYFUNCTION("""COMPUTED_VALUE"""),5.0)</f>
        <v>5</v>
      </c>
      <c r="G458" s="70">
        <f>IFERROR(__xludf.DUMMYFUNCTION("""COMPUTED_VALUE"""),8.5415)</f>
        <v>8.5415</v>
      </c>
      <c r="H458" s="71">
        <f>IFERROR(__xludf.DUMMYFUNCTION("""COMPUTED_VALUE"""),50.44)</f>
        <v>50.44</v>
      </c>
      <c r="I458" s="71">
        <f>IFERROR(__xludf.DUMMYFUNCTION("""COMPUTED_VALUE"""),37.77)</f>
        <v>37.77</v>
      </c>
      <c r="J458" s="88" t="str">
        <f>IFERROR(__xludf.DUMMYFUNCTION("""COMPUTED_VALUE"""),"Goto link: UBI.PA")</f>
        <v>Goto link: UBI.PA</v>
      </c>
      <c r="K458" s="22"/>
      <c r="L458" s="22"/>
      <c r="M458" s="22"/>
      <c r="N458" s="22"/>
      <c r="O458" s="73"/>
      <c r="P458" s="8"/>
      <c r="Q458" s="69"/>
      <c r="R458" s="69"/>
      <c r="S458" s="8"/>
      <c r="T458" s="69"/>
      <c r="U458" s="8"/>
      <c r="V458" s="69"/>
      <c r="W458" s="74"/>
      <c r="X458" s="69"/>
    </row>
    <row r="459">
      <c r="A459" s="30" t="str">
        <f>IFERROR(__xludf.DUMMYFUNCTION("""COMPUTED_VALUE"""),"39494")</f>
        <v>39494</v>
      </c>
      <c r="B459" s="86">
        <f>IFERROR(__xludf.DUMMYFUNCTION("""COMPUTED_VALUE"""),44608.0)</f>
        <v>44608</v>
      </c>
      <c r="C459" s="64" t="str">
        <f>IFERROR(__xludf.DUMMYFUNCTION("""COMPUTED_VALUE"""),"Stock")</f>
        <v>Stock</v>
      </c>
      <c r="D459" s="87" t="str">
        <f>IFERROR(__xludf.DUMMYFUNCTION("""COMPUTED_VALUE"""),"NTDOY")</f>
        <v>NTDOY</v>
      </c>
      <c r="E459" s="5" t="str">
        <f>IFERROR(__xludf.DUMMYFUNCTION("""COMPUTED_VALUE"""),"USD")</f>
        <v>USD</v>
      </c>
      <c r="F459" s="69">
        <f>IFERROR(__xludf.DUMMYFUNCTION("""COMPUTED_VALUE"""),100.0)</f>
        <v>100</v>
      </c>
      <c r="G459" s="70">
        <f>IFERROR(__xludf.DUMMYFUNCTION("""COMPUTED_VALUE"""),7.83915)</f>
        <v>7.83915</v>
      </c>
      <c r="H459" s="71">
        <f>IFERROR(__xludf.DUMMYFUNCTION("""COMPUTED_VALUE"""),63.55)</f>
        <v>63.55</v>
      </c>
      <c r="I459" s="71">
        <f>IFERROR(__xludf.DUMMYFUNCTION("""COMPUTED_VALUE"""),64.46)</f>
        <v>64.46</v>
      </c>
      <c r="J459" s="88" t="str">
        <f>IFERROR(__xludf.DUMMYFUNCTION("""COMPUTED_VALUE"""),"Goto link: NTDOY")</f>
        <v>Goto link: NTDOY</v>
      </c>
      <c r="K459" s="22"/>
      <c r="L459" s="22"/>
      <c r="M459" s="22"/>
      <c r="N459" s="22"/>
      <c r="O459" s="73"/>
      <c r="P459" s="8"/>
      <c r="Q459" s="69"/>
      <c r="R459" s="69"/>
      <c r="S459" s="8"/>
      <c r="T459" s="69"/>
      <c r="U459" s="8"/>
      <c r="V459" s="69"/>
      <c r="W459" s="74"/>
      <c r="X459" s="69"/>
    </row>
    <row r="460">
      <c r="A460" s="30" t="str">
        <f>IFERROR(__xludf.DUMMYFUNCTION("""COMPUTED_VALUE"""),"39494")</f>
        <v>39494</v>
      </c>
      <c r="B460" s="86">
        <f>IFERROR(__xludf.DUMMYFUNCTION("""COMPUTED_VALUE"""),44608.0)</f>
        <v>44608</v>
      </c>
      <c r="C460" s="64" t="str">
        <f>IFERROR(__xludf.DUMMYFUNCTION("""COMPUTED_VALUE"""),"Stock")</f>
        <v>Stock</v>
      </c>
      <c r="D460" s="87" t="str">
        <f>IFERROR(__xludf.DUMMYFUNCTION("""COMPUTED_VALUE"""),"NVDA")</f>
        <v>NVDA</v>
      </c>
      <c r="E460" s="5" t="str">
        <f>IFERROR(__xludf.DUMMYFUNCTION("""COMPUTED_VALUE"""),"USD")</f>
        <v>USD</v>
      </c>
      <c r="F460" s="69">
        <f>IFERROR(__xludf.DUMMYFUNCTION("""COMPUTED_VALUE"""),100.0)</f>
        <v>100</v>
      </c>
      <c r="G460" s="70">
        <f>IFERROR(__xludf.DUMMYFUNCTION("""COMPUTED_VALUE"""),7.83915)</f>
        <v>7.83915</v>
      </c>
      <c r="H460" s="71">
        <f>IFERROR(__xludf.DUMMYFUNCTION("""COMPUTED_VALUE"""),265.11)</f>
        <v>265.11</v>
      </c>
      <c r="I460" s="71">
        <f>IFERROR(__xludf.DUMMYFUNCTION("""COMPUTED_VALUE"""),222.03)</f>
        <v>222.03</v>
      </c>
      <c r="J460" s="88" t="str">
        <f>IFERROR(__xludf.DUMMYFUNCTION("""COMPUTED_VALUE"""),"Goto link: NVDA")</f>
        <v>Goto link: NVDA</v>
      </c>
      <c r="K460" s="22"/>
      <c r="L460" s="22"/>
      <c r="M460" s="22"/>
      <c r="N460" s="22"/>
      <c r="O460" s="73"/>
      <c r="P460" s="8"/>
      <c r="Q460" s="69"/>
      <c r="R460" s="69"/>
      <c r="S460" s="8"/>
      <c r="T460" s="69"/>
      <c r="U460" s="8"/>
      <c r="V460" s="69"/>
      <c r="W460" s="74"/>
      <c r="X460" s="69"/>
    </row>
    <row r="461">
      <c r="A461" s="30" t="str">
        <f>IFERROR(__xludf.DUMMYFUNCTION("""COMPUTED_VALUE"""),"39494")</f>
        <v>39494</v>
      </c>
      <c r="B461" s="86">
        <f>IFERROR(__xludf.DUMMYFUNCTION("""COMPUTED_VALUE"""),44608.0)</f>
        <v>44608</v>
      </c>
      <c r="C461" s="64" t="str">
        <f>IFERROR(__xludf.DUMMYFUNCTION("""COMPUTED_VALUE"""),"Stock")</f>
        <v>Stock</v>
      </c>
      <c r="D461" s="87" t="str">
        <f>IFERROR(__xludf.DUMMYFUNCTION("""COMPUTED_VALUE"""),"SONY")</f>
        <v>SONY</v>
      </c>
      <c r="E461" s="5" t="str">
        <f>IFERROR(__xludf.DUMMYFUNCTION("""COMPUTED_VALUE"""),"USD")</f>
        <v>USD</v>
      </c>
      <c r="F461" s="69">
        <f>IFERROR(__xludf.DUMMYFUNCTION("""COMPUTED_VALUE"""),100.0)</f>
        <v>100</v>
      </c>
      <c r="G461" s="70">
        <f>IFERROR(__xludf.DUMMYFUNCTION("""COMPUTED_VALUE"""),7.83915)</f>
        <v>7.83915</v>
      </c>
      <c r="H461" s="71">
        <f>IFERROR(__xludf.DUMMYFUNCTION("""COMPUTED_VALUE"""),106.52)</f>
        <v>106.52</v>
      </c>
      <c r="I461" s="71">
        <f>IFERROR(__xludf.DUMMYFUNCTION("""COMPUTED_VALUE"""),91.79)</f>
        <v>91.79</v>
      </c>
      <c r="J461" s="88" t="str">
        <f>IFERROR(__xludf.DUMMYFUNCTION("""COMPUTED_VALUE"""),"Goto link: SONY")</f>
        <v>Goto link: SONY</v>
      </c>
      <c r="K461" s="22"/>
      <c r="L461" s="22"/>
      <c r="M461" s="22"/>
      <c r="N461" s="22"/>
      <c r="O461" s="73"/>
      <c r="P461" s="8"/>
      <c r="Q461" s="69"/>
      <c r="R461" s="69"/>
      <c r="S461" s="8"/>
      <c r="T461" s="69"/>
      <c r="U461" s="8"/>
      <c r="V461" s="69"/>
      <c r="W461" s="74"/>
      <c r="X461" s="69"/>
    </row>
    <row r="462">
      <c r="A462" s="30" t="str">
        <f>IFERROR(__xludf.DUMMYFUNCTION("""COMPUTED_VALUE"""),"39494 Total")</f>
        <v>39494 Total</v>
      </c>
      <c r="B462" s="5"/>
      <c r="C462" s="64"/>
      <c r="D462" s="85"/>
      <c r="E462" s="5"/>
      <c r="F462" s="69"/>
      <c r="G462" s="70">
        <f>IFERROR(__xludf.DUMMYFUNCTION("""COMPUTED_VALUE"""),6.81635)</f>
        <v>6.81635</v>
      </c>
      <c r="H462" s="71">
        <f>IFERROR(__xludf.DUMMYFUNCTION("""COMPUTED_VALUE"""),295.0)</f>
        <v>295</v>
      </c>
      <c r="I462" s="71" t="str">
        <f>IFERROR(__xludf.DUMMYFUNCTION("""COMPUTED_VALUE"""),"")</f>
        <v/>
      </c>
      <c r="J462" s="22" t="str">
        <f>IFERROR(__xludf.DUMMYFUNCTION("""COMPUTED_VALUE"""),"")</f>
        <v/>
      </c>
      <c r="K462" s="22"/>
      <c r="L462" s="22"/>
      <c r="M462" s="22"/>
      <c r="N462" s="22"/>
      <c r="O462" s="73"/>
      <c r="P462" s="8"/>
      <c r="Q462" s="69"/>
      <c r="R462" s="69"/>
      <c r="S462" s="8"/>
      <c r="T462" s="69"/>
      <c r="U462" s="8"/>
      <c r="V462" s="69"/>
      <c r="W462" s="74"/>
      <c r="X462" s="69"/>
    </row>
    <row r="463">
      <c r="A463" s="30" t="str">
        <f>IFERROR(__xludf.DUMMYFUNCTION("""COMPUTED_VALUE"""),"39563")</f>
        <v>39563</v>
      </c>
      <c r="B463" s="86">
        <f>IFERROR(__xludf.DUMMYFUNCTION("""COMPUTED_VALUE"""),44597.0)</f>
        <v>44597</v>
      </c>
      <c r="C463" s="64" t="str">
        <f>IFERROR(__xludf.DUMMYFUNCTION("""COMPUTED_VALUE"""),"Cash")</f>
        <v>Cash</v>
      </c>
      <c r="D463" s="85" t="str">
        <f>IFERROR(__xludf.DUMMYFUNCTION("""COMPUTED_VALUE"""),"Cash")</f>
        <v>Cash</v>
      </c>
      <c r="E463" s="5" t="str">
        <f>IFERROR(__xludf.DUMMYFUNCTION("""COMPUTED_VALUE"""),"HKD")</f>
        <v>HKD</v>
      </c>
      <c r="F463" s="69" t="str">
        <f>IFERROR(__xludf.DUMMYFUNCTION("""COMPUTED_VALUE"""),"")</f>
        <v/>
      </c>
      <c r="G463" s="70">
        <f>IFERROR(__xludf.DUMMYFUNCTION("""COMPUTED_VALUE"""),1.0)</f>
        <v>1</v>
      </c>
      <c r="H463" s="71">
        <f>IFERROR(__xludf.DUMMYFUNCTION("""COMPUTED_VALUE"""),1.0)</f>
        <v>1</v>
      </c>
      <c r="I463" s="71">
        <f>IFERROR(__xludf.DUMMYFUNCTION("""COMPUTED_VALUE"""),1.0)</f>
        <v>1</v>
      </c>
      <c r="J463" s="22" t="str">
        <f>IFERROR(__xludf.DUMMYFUNCTION("""COMPUTED_VALUE"""),"")</f>
        <v/>
      </c>
      <c r="K463" s="22"/>
      <c r="L463" s="22"/>
      <c r="M463" s="22"/>
      <c r="N463" s="22"/>
      <c r="O463" s="73"/>
      <c r="P463" s="8"/>
      <c r="Q463" s="69"/>
      <c r="R463" s="69"/>
      <c r="S463" s="8"/>
      <c r="T463" s="69"/>
      <c r="U463" s="8"/>
      <c r="V463" s="69"/>
      <c r="W463" s="74"/>
      <c r="X463" s="69"/>
    </row>
    <row r="464">
      <c r="A464" s="30" t="str">
        <f>IFERROR(__xludf.DUMMYFUNCTION("""COMPUTED_VALUE"""),"39563")</f>
        <v>39563</v>
      </c>
      <c r="B464" s="86">
        <f>IFERROR(__xludf.DUMMYFUNCTION("""COMPUTED_VALUE"""),44657.0)</f>
        <v>44657</v>
      </c>
      <c r="C464" s="64" t="str">
        <f>IFERROR(__xludf.DUMMYFUNCTION("""COMPUTED_VALUE"""),"Stock")</f>
        <v>Stock</v>
      </c>
      <c r="D464" s="90" t="str">
        <f>IFERROR(__xludf.DUMMYFUNCTION("""COMPUTED_VALUE"""),"2196.HK")</f>
        <v>2196.HK</v>
      </c>
      <c r="E464" s="5" t="str">
        <f>IFERROR(__xludf.DUMMYFUNCTION("""COMPUTED_VALUE"""),"HKD")</f>
        <v>HKD</v>
      </c>
      <c r="F464" s="69">
        <f>IFERROR(__xludf.DUMMYFUNCTION("""COMPUTED_VALUE"""),1000.0)</f>
        <v>1000</v>
      </c>
      <c r="G464" s="70">
        <f>IFERROR(__xludf.DUMMYFUNCTION("""COMPUTED_VALUE"""),1.0)</f>
        <v>1</v>
      </c>
      <c r="H464" s="71">
        <f>IFERROR(__xludf.DUMMYFUNCTION("""COMPUTED_VALUE"""),40.5)</f>
        <v>40.5</v>
      </c>
      <c r="I464" s="71">
        <f>IFERROR(__xludf.DUMMYFUNCTION("""COMPUTED_VALUE"""),32.95)</f>
        <v>32.95</v>
      </c>
      <c r="J464" s="88" t="str">
        <f>IFERROR(__xludf.DUMMYFUNCTION("""COMPUTED_VALUE"""),"Goto link: 2196.HK")</f>
        <v>Goto link: 2196.HK</v>
      </c>
      <c r="K464" s="22"/>
      <c r="L464" s="22"/>
      <c r="M464" s="22"/>
      <c r="N464" s="22"/>
      <c r="O464" s="73"/>
      <c r="P464" s="8"/>
      <c r="Q464" s="69"/>
      <c r="R464" s="69"/>
      <c r="S464" s="8"/>
      <c r="T464" s="69"/>
      <c r="U464" s="8"/>
      <c r="V464" s="69"/>
      <c r="W464" s="74"/>
      <c r="X464" s="69"/>
    </row>
    <row r="465">
      <c r="A465" s="30" t="str">
        <f>IFERROR(__xludf.DUMMYFUNCTION("""COMPUTED_VALUE"""),"39563")</f>
        <v>39563</v>
      </c>
      <c r="B465" s="86">
        <f>IFERROR(__xludf.DUMMYFUNCTION("""COMPUTED_VALUE"""),44657.0)</f>
        <v>44657</v>
      </c>
      <c r="C465" s="64" t="str">
        <f>IFERROR(__xludf.DUMMYFUNCTION("""COMPUTED_VALUE"""),"Stock")</f>
        <v>Stock</v>
      </c>
      <c r="D465" s="90" t="str">
        <f>IFERROR(__xludf.DUMMYFUNCTION("""COMPUTED_VALUE"""),"9868.HK")</f>
        <v>9868.HK</v>
      </c>
      <c r="E465" s="5" t="str">
        <f>IFERROR(__xludf.DUMMYFUNCTION("""COMPUTED_VALUE"""),"HKD")</f>
        <v>HKD</v>
      </c>
      <c r="F465" s="69">
        <f>IFERROR(__xludf.DUMMYFUNCTION("""COMPUTED_VALUE"""),500.0)</f>
        <v>500</v>
      </c>
      <c r="G465" s="70">
        <f>IFERROR(__xludf.DUMMYFUNCTION("""COMPUTED_VALUE"""),1.0)</f>
        <v>1</v>
      </c>
      <c r="H465" s="71">
        <f>IFERROR(__xludf.DUMMYFUNCTION("""COMPUTED_VALUE"""),115.8)</f>
        <v>115.8</v>
      </c>
      <c r="I465" s="71">
        <f>IFERROR(__xludf.DUMMYFUNCTION("""COMPUTED_VALUE"""),103.3)</f>
        <v>103.3</v>
      </c>
      <c r="J465" s="88" t="str">
        <f>IFERROR(__xludf.DUMMYFUNCTION("""COMPUTED_VALUE"""),"Goto link: 9868.HK")</f>
        <v>Goto link: 9868.HK</v>
      </c>
      <c r="K465" s="22"/>
      <c r="L465" s="22"/>
      <c r="M465" s="22"/>
      <c r="N465" s="22"/>
      <c r="O465" s="73"/>
      <c r="P465" s="8"/>
      <c r="Q465" s="69"/>
      <c r="R465" s="69"/>
      <c r="S465" s="8"/>
      <c r="T465" s="69"/>
      <c r="U465" s="8"/>
      <c r="V465" s="69"/>
      <c r="W465" s="74"/>
      <c r="X465" s="69"/>
    </row>
    <row r="466">
      <c r="A466" s="30" t="str">
        <f>IFERROR(__xludf.DUMMYFUNCTION("""COMPUTED_VALUE"""),"39563")</f>
        <v>39563</v>
      </c>
      <c r="B466" s="86">
        <f>IFERROR(__xludf.DUMMYFUNCTION("""COMPUTED_VALUE"""),44657.0)</f>
        <v>44657</v>
      </c>
      <c r="C466" s="64" t="str">
        <f>IFERROR(__xludf.DUMMYFUNCTION("""COMPUTED_VALUE"""),"Stock")</f>
        <v>Stock</v>
      </c>
      <c r="D466" s="87" t="str">
        <f>IFERROR(__xludf.DUMMYFUNCTION("""COMPUTED_VALUE"""),"TSLA")</f>
        <v>TSLA</v>
      </c>
      <c r="E466" s="5" t="str">
        <f>IFERROR(__xludf.DUMMYFUNCTION("""COMPUTED_VALUE"""),"USD")</f>
        <v>USD</v>
      </c>
      <c r="F466" s="69" t="str">
        <f>IFERROR(__xludf.DUMMYFUNCTION("""COMPUTED_VALUE"""),"")</f>
        <v/>
      </c>
      <c r="G466" s="70">
        <f>IFERROR(__xludf.DUMMYFUNCTION("""COMPUTED_VALUE"""),7.83915)</f>
        <v>7.83915</v>
      </c>
      <c r="H466" s="71">
        <f>IFERROR(__xludf.DUMMYFUNCTION("""COMPUTED_VALUE"""),1045.76)</f>
        <v>1045.76</v>
      </c>
      <c r="I466" s="71">
        <f>IFERROR(__xludf.DUMMYFUNCTION("""COMPUTED_VALUE"""),1022.37)</f>
        <v>1022.37</v>
      </c>
      <c r="J466" s="88" t="str">
        <f>IFERROR(__xludf.DUMMYFUNCTION("""COMPUTED_VALUE"""),"Goto link: TSLA")</f>
        <v>Goto link: TSLA</v>
      </c>
      <c r="K466" s="22"/>
      <c r="L466" s="22"/>
      <c r="M466" s="22"/>
      <c r="N466" s="22"/>
      <c r="O466" s="73"/>
      <c r="P466" s="8"/>
      <c r="Q466" s="69"/>
      <c r="R466" s="69"/>
      <c r="S466" s="8"/>
      <c r="T466" s="69"/>
      <c r="U466" s="8"/>
      <c r="V466" s="69"/>
      <c r="W466" s="74"/>
      <c r="X466" s="69"/>
    </row>
    <row r="467">
      <c r="A467" s="30" t="str">
        <f>IFERROR(__xludf.DUMMYFUNCTION("""COMPUTED_VALUE"""),"39563")</f>
        <v>39563</v>
      </c>
      <c r="B467" s="86">
        <f>IFERROR(__xludf.DUMMYFUNCTION("""COMPUTED_VALUE"""),44658.0)</f>
        <v>44658</v>
      </c>
      <c r="C467" s="64" t="str">
        <f>IFERROR(__xludf.DUMMYFUNCTION("""COMPUTED_VALUE"""),"Stock")</f>
        <v>Stock</v>
      </c>
      <c r="D467" s="91" t="str">
        <f>IFERROR(__xludf.DUMMYFUNCTION("""COMPUTED_VALUE"""),"2196.HK")</f>
        <v>2196.HK</v>
      </c>
      <c r="E467" s="5" t="str">
        <f>IFERROR(__xludf.DUMMYFUNCTION("""COMPUTED_VALUE"""),"HKD")</f>
        <v>HKD</v>
      </c>
      <c r="F467" s="69">
        <f>IFERROR(__xludf.DUMMYFUNCTION("""COMPUTED_VALUE"""),1000.0)</f>
        <v>1000</v>
      </c>
      <c r="G467" s="70">
        <f>IFERROR(__xludf.DUMMYFUNCTION("""COMPUTED_VALUE"""),1.0)</f>
        <v>1</v>
      </c>
      <c r="H467" s="71">
        <f>IFERROR(__xludf.DUMMYFUNCTION("""COMPUTED_VALUE"""),38.05)</f>
        <v>38.05</v>
      </c>
      <c r="I467" s="71">
        <f>IFERROR(__xludf.DUMMYFUNCTION("""COMPUTED_VALUE"""),32.95)</f>
        <v>32.95</v>
      </c>
      <c r="J467" s="88" t="str">
        <f>IFERROR(__xludf.DUMMYFUNCTION("""COMPUTED_VALUE"""),"Goto link: 2196.HK")</f>
        <v>Goto link: 2196.HK</v>
      </c>
      <c r="K467" s="22"/>
      <c r="L467" s="22"/>
      <c r="M467" s="22"/>
      <c r="N467" s="22"/>
      <c r="O467" s="73"/>
      <c r="P467" s="8"/>
      <c r="Q467" s="69"/>
      <c r="R467" s="69"/>
      <c r="S467" s="8"/>
      <c r="T467" s="69"/>
      <c r="U467" s="8"/>
      <c r="V467" s="69"/>
      <c r="W467" s="74"/>
      <c r="X467" s="69"/>
    </row>
    <row r="468">
      <c r="A468" s="30" t="str">
        <f>IFERROR(__xludf.DUMMYFUNCTION("""COMPUTED_VALUE"""),"39563")</f>
        <v>39563</v>
      </c>
      <c r="B468" s="86">
        <f>IFERROR(__xludf.DUMMYFUNCTION("""COMPUTED_VALUE"""),44659.0)</f>
        <v>44659</v>
      </c>
      <c r="C468" s="64" t="str">
        <f>IFERROR(__xludf.DUMMYFUNCTION("""COMPUTED_VALUE"""),"Stock")</f>
        <v>Stock</v>
      </c>
      <c r="D468" s="91" t="str">
        <f>IFERROR(__xludf.DUMMYFUNCTION("""COMPUTED_VALUE"""),"2196.HK")</f>
        <v>2196.HK</v>
      </c>
      <c r="E468" s="5" t="str">
        <f>IFERROR(__xludf.DUMMYFUNCTION("""COMPUTED_VALUE"""),"HKD")</f>
        <v>HKD</v>
      </c>
      <c r="F468" s="69">
        <f>IFERROR(__xludf.DUMMYFUNCTION("""COMPUTED_VALUE"""),-2000.0)</f>
        <v>-2000</v>
      </c>
      <c r="G468" s="70">
        <f>IFERROR(__xludf.DUMMYFUNCTION("""COMPUTED_VALUE"""),1.0)</f>
        <v>1</v>
      </c>
      <c r="H468" s="71">
        <f>IFERROR(__xludf.DUMMYFUNCTION("""COMPUTED_VALUE"""),36.5)</f>
        <v>36.5</v>
      </c>
      <c r="I468" s="71">
        <f>IFERROR(__xludf.DUMMYFUNCTION("""COMPUTED_VALUE"""),32.95)</f>
        <v>32.95</v>
      </c>
      <c r="J468" s="88" t="str">
        <f>IFERROR(__xludf.DUMMYFUNCTION("""COMPUTED_VALUE"""),"Goto link: 2196.HK")</f>
        <v>Goto link: 2196.HK</v>
      </c>
      <c r="K468" s="22"/>
      <c r="L468" s="22"/>
      <c r="M468" s="22"/>
      <c r="N468" s="22"/>
      <c r="O468" s="73"/>
      <c r="P468" s="8"/>
      <c r="Q468" s="69"/>
      <c r="R468" s="69"/>
      <c r="S468" s="8"/>
      <c r="T468" s="69"/>
      <c r="U468" s="8"/>
      <c r="V468" s="69"/>
      <c r="W468" s="74"/>
      <c r="X468" s="69"/>
    </row>
    <row r="469">
      <c r="A469" s="30" t="str">
        <f>IFERROR(__xludf.DUMMYFUNCTION("""COMPUTED_VALUE"""),"39563")</f>
        <v>39563</v>
      </c>
      <c r="B469" s="86">
        <f>IFERROR(__xludf.DUMMYFUNCTION("""COMPUTED_VALUE"""),44659.0)</f>
        <v>44659</v>
      </c>
      <c r="C469" s="64" t="str">
        <f>IFERROR(__xludf.DUMMYFUNCTION("""COMPUTED_VALUE"""),"Stock")</f>
        <v>Stock</v>
      </c>
      <c r="D469" s="91" t="str">
        <f>IFERROR(__xludf.DUMMYFUNCTION("""COMPUTED_VALUE"""),"9868.HK")</f>
        <v>9868.HK</v>
      </c>
      <c r="E469" s="5" t="str">
        <f>IFERROR(__xludf.DUMMYFUNCTION("""COMPUTED_VALUE"""),"HKD")</f>
        <v>HKD</v>
      </c>
      <c r="F469" s="69">
        <f>IFERROR(__xludf.DUMMYFUNCTION("""COMPUTED_VALUE"""),-500.0)</f>
        <v>-500</v>
      </c>
      <c r="G469" s="70">
        <f>IFERROR(__xludf.DUMMYFUNCTION("""COMPUTED_VALUE"""),1.0)</f>
        <v>1</v>
      </c>
      <c r="H469" s="71">
        <f>IFERROR(__xludf.DUMMYFUNCTION("""COMPUTED_VALUE"""),111.2)</f>
        <v>111.2</v>
      </c>
      <c r="I469" s="71">
        <f>IFERROR(__xludf.DUMMYFUNCTION("""COMPUTED_VALUE"""),103.3)</f>
        <v>103.3</v>
      </c>
      <c r="J469" s="88" t="str">
        <f>IFERROR(__xludf.DUMMYFUNCTION("""COMPUTED_VALUE"""),"Goto link: 9868.HK")</f>
        <v>Goto link: 9868.HK</v>
      </c>
      <c r="K469" s="22"/>
      <c r="L469" s="22"/>
      <c r="M469" s="22"/>
      <c r="N469" s="22"/>
      <c r="O469" s="73"/>
      <c r="P469" s="8"/>
      <c r="Q469" s="69"/>
      <c r="R469" s="69"/>
      <c r="S469" s="8"/>
      <c r="T469" s="69"/>
      <c r="U469" s="8"/>
      <c r="V469" s="69"/>
      <c r="W469" s="74"/>
      <c r="X469" s="69"/>
    </row>
    <row r="470">
      <c r="A470" s="30" t="str">
        <f>IFERROR(__xludf.DUMMYFUNCTION("""COMPUTED_VALUE"""),"39563 Total")</f>
        <v>39563 Total</v>
      </c>
      <c r="B470" s="5"/>
      <c r="C470" s="64"/>
      <c r="D470" s="85"/>
      <c r="E470" s="5"/>
      <c r="F470" s="69"/>
      <c r="G470" s="70">
        <f>IFERROR(__xludf.DUMMYFUNCTION("""COMPUTED_VALUE"""),1.9770214285714285)</f>
        <v>1.977021429</v>
      </c>
      <c r="H470" s="71">
        <f>IFERROR(__xludf.DUMMYFUNCTION("""COMPUTED_VALUE"""),1045.76)</f>
        <v>1045.76</v>
      </c>
      <c r="I470" s="71" t="str">
        <f>IFERROR(__xludf.DUMMYFUNCTION("""COMPUTED_VALUE"""),"")</f>
        <v/>
      </c>
      <c r="J470" s="22" t="str">
        <f>IFERROR(__xludf.DUMMYFUNCTION("""COMPUTED_VALUE"""),"")</f>
        <v/>
      </c>
      <c r="K470" s="22"/>
      <c r="L470" s="22"/>
      <c r="M470" s="22"/>
      <c r="N470" s="22"/>
      <c r="O470" s="73"/>
      <c r="P470" s="8"/>
      <c r="Q470" s="69"/>
      <c r="R470" s="69"/>
      <c r="S470" s="8"/>
      <c r="T470" s="69"/>
      <c r="U470" s="8"/>
      <c r="V470" s="69"/>
      <c r="W470" s="74"/>
      <c r="X470" s="69"/>
    </row>
    <row r="471">
      <c r="A471" s="30" t="str">
        <f>IFERROR(__xludf.DUMMYFUNCTION("""COMPUTED_VALUE"""),"39608")</f>
        <v>39608</v>
      </c>
      <c r="B471" s="86">
        <f>IFERROR(__xludf.DUMMYFUNCTION("""COMPUTED_VALUE"""),44597.0)</f>
        <v>44597</v>
      </c>
      <c r="C471" s="64" t="str">
        <f>IFERROR(__xludf.DUMMYFUNCTION("""COMPUTED_VALUE"""),"Cash")</f>
        <v>Cash</v>
      </c>
      <c r="D471" s="85" t="str">
        <f>IFERROR(__xludf.DUMMYFUNCTION("""COMPUTED_VALUE"""),"Cash")</f>
        <v>Cash</v>
      </c>
      <c r="E471" s="5" t="str">
        <f>IFERROR(__xludf.DUMMYFUNCTION("""COMPUTED_VALUE"""),"HKD")</f>
        <v>HKD</v>
      </c>
      <c r="F471" s="69" t="str">
        <f>IFERROR(__xludf.DUMMYFUNCTION("""COMPUTED_VALUE"""),"")</f>
        <v/>
      </c>
      <c r="G471" s="70">
        <f>IFERROR(__xludf.DUMMYFUNCTION("""COMPUTED_VALUE"""),1.0)</f>
        <v>1</v>
      </c>
      <c r="H471" s="71">
        <f>IFERROR(__xludf.DUMMYFUNCTION("""COMPUTED_VALUE"""),1.0)</f>
        <v>1</v>
      </c>
      <c r="I471" s="71">
        <f>IFERROR(__xludf.DUMMYFUNCTION("""COMPUTED_VALUE"""),1.0)</f>
        <v>1</v>
      </c>
      <c r="J471" s="22" t="str">
        <f>IFERROR(__xludf.DUMMYFUNCTION("""COMPUTED_VALUE"""),"")</f>
        <v/>
      </c>
      <c r="K471" s="22"/>
      <c r="L471" s="22"/>
      <c r="M471" s="22"/>
      <c r="N471" s="22"/>
      <c r="O471" s="73"/>
      <c r="P471" s="8"/>
      <c r="Q471" s="69"/>
      <c r="R471" s="69"/>
      <c r="S471" s="8"/>
      <c r="T471" s="69"/>
      <c r="U471" s="8"/>
      <c r="V471" s="69"/>
      <c r="W471" s="74"/>
      <c r="X471" s="69"/>
    </row>
    <row r="472">
      <c r="A472" s="30" t="str">
        <f>IFERROR(__xludf.DUMMYFUNCTION("""COMPUTED_VALUE"""),"39608")</f>
        <v>39608</v>
      </c>
      <c r="B472" s="86">
        <f>IFERROR(__xludf.DUMMYFUNCTION("""COMPUTED_VALUE"""),44608.0)</f>
        <v>44608</v>
      </c>
      <c r="C472" s="64" t="str">
        <f>IFERROR(__xludf.DUMMYFUNCTION("""COMPUTED_VALUE"""),"Stock")</f>
        <v>Stock</v>
      </c>
      <c r="D472" s="87" t="str">
        <f>IFERROR(__xludf.DUMMYFUNCTION("""COMPUTED_VALUE"""),"TSLA")</f>
        <v>TSLA</v>
      </c>
      <c r="E472" s="5" t="str">
        <f>IFERROR(__xludf.DUMMYFUNCTION("""COMPUTED_VALUE"""),"USD")</f>
        <v>USD</v>
      </c>
      <c r="F472" s="69">
        <f>IFERROR(__xludf.DUMMYFUNCTION("""COMPUTED_VALUE"""),0.0)</f>
        <v>0</v>
      </c>
      <c r="G472" s="70">
        <f>IFERROR(__xludf.DUMMYFUNCTION("""COMPUTED_VALUE"""),7.83915)</f>
        <v>7.83915</v>
      </c>
      <c r="H472" s="71">
        <f>IFERROR(__xludf.DUMMYFUNCTION("""COMPUTED_VALUE"""),0.0)</f>
        <v>0</v>
      </c>
      <c r="I472" s="71">
        <f>IFERROR(__xludf.DUMMYFUNCTION("""COMPUTED_VALUE"""),1022.37)</f>
        <v>1022.37</v>
      </c>
      <c r="J472" s="88" t="str">
        <f>IFERROR(__xludf.DUMMYFUNCTION("""COMPUTED_VALUE"""),"Goto link: TSLA")</f>
        <v>Goto link: TSLA</v>
      </c>
      <c r="K472" s="22"/>
      <c r="L472" s="22"/>
      <c r="M472" s="22"/>
      <c r="N472" s="22"/>
      <c r="O472" s="73"/>
      <c r="P472" s="8"/>
      <c r="Q472" s="69"/>
      <c r="R472" s="69"/>
      <c r="S472" s="8"/>
      <c r="T472" s="69"/>
      <c r="U472" s="8"/>
      <c r="V472" s="69"/>
      <c r="W472" s="74"/>
      <c r="X472" s="69"/>
    </row>
    <row r="473">
      <c r="A473" s="30" t="str">
        <f>IFERROR(__xludf.DUMMYFUNCTION("""COMPUTED_VALUE"""),"39608")</f>
        <v>39608</v>
      </c>
      <c r="B473" s="86">
        <f>IFERROR(__xludf.DUMMYFUNCTION("""COMPUTED_VALUE"""),44609.0)</f>
        <v>44609</v>
      </c>
      <c r="C473" s="64" t="str">
        <f>IFERROR(__xludf.DUMMYFUNCTION("""COMPUTED_VALUE"""),"Stock")</f>
        <v>Stock</v>
      </c>
      <c r="D473" s="87" t="str">
        <f>IFERROR(__xludf.DUMMYFUNCTION("""COMPUTED_VALUE"""),"TSLA")</f>
        <v>TSLA</v>
      </c>
      <c r="E473" s="5" t="str">
        <f>IFERROR(__xludf.DUMMYFUNCTION("""COMPUTED_VALUE"""),"USD")</f>
        <v>USD</v>
      </c>
      <c r="F473" s="69">
        <f>IFERROR(__xludf.DUMMYFUNCTION("""COMPUTED_VALUE"""),18.0)</f>
        <v>18</v>
      </c>
      <c r="G473" s="70">
        <f>IFERROR(__xludf.DUMMYFUNCTION("""COMPUTED_VALUE"""),7.83915)</f>
        <v>7.83915</v>
      </c>
      <c r="H473" s="71">
        <f>IFERROR(__xludf.DUMMYFUNCTION("""COMPUTED_VALUE"""),876.35)</f>
        <v>876.35</v>
      </c>
      <c r="I473" s="71">
        <f>IFERROR(__xludf.DUMMYFUNCTION("""COMPUTED_VALUE"""),1022.37)</f>
        <v>1022.37</v>
      </c>
      <c r="J473" s="88" t="str">
        <f>IFERROR(__xludf.DUMMYFUNCTION("""COMPUTED_VALUE"""),"Goto link: TSLA")</f>
        <v>Goto link: TSLA</v>
      </c>
      <c r="K473" s="22"/>
      <c r="L473" s="22"/>
      <c r="M473" s="22"/>
      <c r="N473" s="22"/>
      <c r="O473" s="73"/>
      <c r="P473" s="8"/>
      <c r="Q473" s="69"/>
      <c r="R473" s="69"/>
      <c r="S473" s="8"/>
      <c r="T473" s="69"/>
      <c r="U473" s="8"/>
      <c r="V473" s="69"/>
      <c r="W473" s="74"/>
      <c r="X473" s="69"/>
    </row>
    <row r="474">
      <c r="A474" s="30" t="str">
        <f>IFERROR(__xludf.DUMMYFUNCTION("""COMPUTED_VALUE"""),"39608")</f>
        <v>39608</v>
      </c>
      <c r="B474" s="86">
        <f>IFERROR(__xludf.DUMMYFUNCTION("""COMPUTED_VALUE"""),44610.0)</f>
        <v>44610</v>
      </c>
      <c r="C474" s="64" t="str">
        <f>IFERROR(__xludf.DUMMYFUNCTION("""COMPUTED_VALUE"""),"Stock")</f>
        <v>Stock</v>
      </c>
      <c r="D474" s="87" t="str">
        <f>IFERROR(__xludf.DUMMYFUNCTION("""COMPUTED_VALUE"""),"ANPDY")</f>
        <v>ANPDY</v>
      </c>
      <c r="E474" s="5" t="str">
        <f>IFERROR(__xludf.DUMMYFUNCTION("""COMPUTED_VALUE"""),"USD")</f>
        <v>USD</v>
      </c>
      <c r="F474" s="69">
        <f>IFERROR(__xludf.DUMMYFUNCTION("""COMPUTED_VALUE"""),30.0)</f>
        <v>30</v>
      </c>
      <c r="G474" s="70">
        <f>IFERROR(__xludf.DUMMYFUNCTION("""COMPUTED_VALUE"""),7.83915)</f>
        <v>7.83915</v>
      </c>
      <c r="H474" s="71">
        <f>IFERROR(__xludf.DUMMYFUNCTION("""COMPUTED_VALUE"""),397.5)</f>
        <v>397.5</v>
      </c>
      <c r="I474" s="71">
        <f>IFERROR(__xludf.DUMMYFUNCTION("""COMPUTED_VALUE"""),288.61)</f>
        <v>288.61</v>
      </c>
      <c r="J474" s="88" t="str">
        <f>IFERROR(__xludf.DUMMYFUNCTION("""COMPUTED_VALUE"""),"Goto link: ANPDY")</f>
        <v>Goto link: ANPDY</v>
      </c>
      <c r="K474" s="22"/>
      <c r="L474" s="22"/>
      <c r="M474" s="22"/>
      <c r="N474" s="22"/>
      <c r="O474" s="73"/>
      <c r="P474" s="8"/>
      <c r="Q474" s="69"/>
      <c r="R474" s="69"/>
      <c r="S474" s="8"/>
      <c r="T474" s="69"/>
      <c r="U474" s="8"/>
      <c r="V474" s="69"/>
      <c r="W474" s="74"/>
      <c r="X474" s="69"/>
    </row>
    <row r="475">
      <c r="A475" s="30" t="str">
        <f>IFERROR(__xludf.DUMMYFUNCTION("""COMPUTED_VALUE"""),"39608")</f>
        <v>39608</v>
      </c>
      <c r="B475" s="86">
        <f>IFERROR(__xludf.DUMMYFUNCTION("""COMPUTED_VALUE"""),44616.0)</f>
        <v>44616</v>
      </c>
      <c r="C475" s="64" t="str">
        <f>IFERROR(__xludf.DUMMYFUNCTION("""COMPUTED_VALUE"""),"Stock")</f>
        <v>Stock</v>
      </c>
      <c r="D475" s="87" t="str">
        <f>IFERROR(__xludf.DUMMYFUNCTION("""COMPUTED_VALUE"""),"GOLD")</f>
        <v>GOLD</v>
      </c>
      <c r="E475" s="5" t="str">
        <f>IFERROR(__xludf.DUMMYFUNCTION("""COMPUTED_VALUE"""),"USD")</f>
        <v>USD</v>
      </c>
      <c r="F475" s="69">
        <f>IFERROR(__xludf.DUMMYFUNCTION("""COMPUTED_VALUE"""),888.0)</f>
        <v>888</v>
      </c>
      <c r="G475" s="70">
        <f>IFERROR(__xludf.DUMMYFUNCTION("""COMPUTED_VALUE"""),7.83915)</f>
        <v>7.83915</v>
      </c>
      <c r="H475" s="71">
        <f>IFERROR(__xludf.DUMMYFUNCTION("""COMPUTED_VALUE"""),22.54)</f>
        <v>22.54</v>
      </c>
      <c r="I475" s="71">
        <f>IFERROR(__xludf.DUMMYFUNCTION("""COMPUTED_VALUE"""),25.62)</f>
        <v>25.62</v>
      </c>
      <c r="J475" s="88" t="str">
        <f>IFERROR(__xludf.DUMMYFUNCTION("""COMPUTED_VALUE"""),"Goto link: GOLD")</f>
        <v>Goto link: GOLD</v>
      </c>
      <c r="K475" s="22"/>
      <c r="L475" s="22"/>
      <c r="M475" s="22"/>
      <c r="N475" s="22"/>
      <c r="O475" s="73"/>
      <c r="P475" s="8"/>
      <c r="Q475" s="69"/>
      <c r="R475" s="69"/>
      <c r="S475" s="8"/>
      <c r="T475" s="69"/>
      <c r="U475" s="8"/>
      <c r="V475" s="69"/>
      <c r="W475" s="74"/>
      <c r="X475" s="69"/>
    </row>
    <row r="476">
      <c r="A476" s="30" t="str">
        <f>IFERROR(__xludf.DUMMYFUNCTION("""COMPUTED_VALUE"""),"39608")</f>
        <v>39608</v>
      </c>
      <c r="B476" s="86">
        <f>IFERROR(__xludf.DUMMYFUNCTION("""COMPUTED_VALUE"""),44623.0)</f>
        <v>44623</v>
      </c>
      <c r="C476" s="64" t="str">
        <f>IFERROR(__xludf.DUMMYFUNCTION("""COMPUTED_VALUE"""),"Stock")</f>
        <v>Stock</v>
      </c>
      <c r="D476" s="87" t="str">
        <f>IFERROR(__xludf.DUMMYFUNCTION("""COMPUTED_VALUE"""),"GOLD")</f>
        <v>GOLD</v>
      </c>
      <c r="E476" s="5" t="str">
        <f>IFERROR(__xludf.DUMMYFUNCTION("""COMPUTED_VALUE"""),"USD")</f>
        <v>USD</v>
      </c>
      <c r="F476" s="69">
        <f>IFERROR(__xludf.DUMMYFUNCTION("""COMPUTED_VALUE"""),-388.0)</f>
        <v>-388</v>
      </c>
      <c r="G476" s="70">
        <f>IFERROR(__xludf.DUMMYFUNCTION("""COMPUTED_VALUE"""),7.83915)</f>
        <v>7.83915</v>
      </c>
      <c r="H476" s="71">
        <f>IFERROR(__xludf.DUMMYFUNCTION("""COMPUTED_VALUE"""),23.57)</f>
        <v>23.57</v>
      </c>
      <c r="I476" s="71">
        <f>IFERROR(__xludf.DUMMYFUNCTION("""COMPUTED_VALUE"""),25.62)</f>
        <v>25.62</v>
      </c>
      <c r="J476" s="88" t="str">
        <f>IFERROR(__xludf.DUMMYFUNCTION("""COMPUTED_VALUE"""),"Goto link: GOLD")</f>
        <v>Goto link: GOLD</v>
      </c>
      <c r="K476" s="22"/>
      <c r="L476" s="22"/>
      <c r="M476" s="22"/>
      <c r="N476" s="22"/>
      <c r="O476" s="73"/>
      <c r="P476" s="8"/>
      <c r="Q476" s="69"/>
      <c r="R476" s="69"/>
      <c r="S476" s="8"/>
      <c r="T476" s="69"/>
      <c r="U476" s="8"/>
      <c r="V476" s="69"/>
      <c r="W476" s="74"/>
      <c r="X476" s="69"/>
    </row>
    <row r="477">
      <c r="A477" s="30" t="str">
        <f>IFERROR(__xludf.DUMMYFUNCTION("""COMPUTED_VALUE"""),"39608")</f>
        <v>39608</v>
      </c>
      <c r="B477" s="86">
        <f>IFERROR(__xludf.DUMMYFUNCTION("""COMPUTED_VALUE"""),44624.0)</f>
        <v>44624</v>
      </c>
      <c r="C477" s="64" t="str">
        <f>IFERROR(__xludf.DUMMYFUNCTION("""COMPUTED_VALUE"""),"Stock")</f>
        <v>Stock</v>
      </c>
      <c r="D477" s="87" t="str">
        <f>IFERROR(__xludf.DUMMYFUNCTION("""COMPUTED_VALUE"""),"TSLA")</f>
        <v>TSLA</v>
      </c>
      <c r="E477" s="5" t="str">
        <f>IFERROR(__xludf.DUMMYFUNCTION("""COMPUTED_VALUE"""),"USD")</f>
        <v>USD</v>
      </c>
      <c r="F477" s="69">
        <f>IFERROR(__xludf.DUMMYFUNCTION("""COMPUTED_VALUE"""),18.0)</f>
        <v>18</v>
      </c>
      <c r="G477" s="70">
        <f>IFERROR(__xludf.DUMMYFUNCTION("""COMPUTED_VALUE"""),7.83915)</f>
        <v>7.83915</v>
      </c>
      <c r="H477" s="71">
        <f>IFERROR(__xludf.DUMMYFUNCTION("""COMPUTED_VALUE"""),838.29)</f>
        <v>838.29</v>
      </c>
      <c r="I477" s="71">
        <f>IFERROR(__xludf.DUMMYFUNCTION("""COMPUTED_VALUE"""),1022.37)</f>
        <v>1022.37</v>
      </c>
      <c r="J477" s="88" t="str">
        <f>IFERROR(__xludf.DUMMYFUNCTION("""COMPUTED_VALUE"""),"Goto link: TSLA")</f>
        <v>Goto link: TSLA</v>
      </c>
      <c r="K477" s="22"/>
      <c r="L477" s="22"/>
      <c r="M477" s="22"/>
      <c r="N477" s="22"/>
      <c r="O477" s="73"/>
      <c r="P477" s="8"/>
      <c r="Q477" s="69"/>
      <c r="R477" s="69"/>
      <c r="S477" s="8"/>
      <c r="T477" s="69"/>
      <c r="U477" s="8"/>
      <c r="V477" s="69"/>
      <c r="W477" s="74"/>
      <c r="X477" s="69"/>
    </row>
    <row r="478">
      <c r="A478" s="30" t="str">
        <f>IFERROR(__xludf.DUMMYFUNCTION("""COMPUTED_VALUE"""),"39608")</f>
        <v>39608</v>
      </c>
      <c r="B478" s="86">
        <f>IFERROR(__xludf.DUMMYFUNCTION("""COMPUTED_VALUE"""),44629.0)</f>
        <v>44629</v>
      </c>
      <c r="C478" s="64" t="str">
        <f>IFERROR(__xludf.DUMMYFUNCTION("""COMPUTED_VALUE"""),"Stock")</f>
        <v>Stock</v>
      </c>
      <c r="D478" s="87" t="str">
        <f>IFERROR(__xludf.DUMMYFUNCTION("""COMPUTED_VALUE"""),"ANPDY")</f>
        <v>ANPDY</v>
      </c>
      <c r="E478" s="5" t="str">
        <f>IFERROR(__xludf.DUMMYFUNCTION("""COMPUTED_VALUE"""),"USD")</f>
        <v>USD</v>
      </c>
      <c r="F478" s="69">
        <f>IFERROR(__xludf.DUMMYFUNCTION("""COMPUTED_VALUE"""),-30.0)</f>
        <v>-30</v>
      </c>
      <c r="G478" s="70">
        <f>IFERROR(__xludf.DUMMYFUNCTION("""COMPUTED_VALUE"""),7.83915)</f>
        <v>7.83915</v>
      </c>
      <c r="H478" s="71">
        <f>IFERROR(__xludf.DUMMYFUNCTION("""COMPUTED_VALUE"""),314.05)</f>
        <v>314.05</v>
      </c>
      <c r="I478" s="71">
        <f>IFERROR(__xludf.DUMMYFUNCTION("""COMPUTED_VALUE"""),288.61)</f>
        <v>288.61</v>
      </c>
      <c r="J478" s="88" t="str">
        <f>IFERROR(__xludf.DUMMYFUNCTION("""COMPUTED_VALUE"""),"Goto link: ANPDY")</f>
        <v>Goto link: ANPDY</v>
      </c>
      <c r="K478" s="22"/>
      <c r="L478" s="22"/>
      <c r="M478" s="22"/>
      <c r="N478" s="22"/>
      <c r="O478" s="73"/>
      <c r="P478" s="8"/>
      <c r="Q478" s="69"/>
      <c r="R478" s="69"/>
      <c r="S478" s="8"/>
      <c r="T478" s="69"/>
      <c r="U478" s="8"/>
      <c r="V478" s="69"/>
      <c r="W478" s="74"/>
      <c r="X478" s="69"/>
    </row>
    <row r="479">
      <c r="A479" s="30" t="str">
        <f>IFERROR(__xludf.DUMMYFUNCTION("""COMPUTED_VALUE"""),"39608")</f>
        <v>39608</v>
      </c>
      <c r="B479" s="86">
        <f>IFERROR(__xludf.DUMMYFUNCTION("""COMPUTED_VALUE"""),44641.0)</f>
        <v>44641</v>
      </c>
      <c r="C479" s="64" t="str">
        <f>IFERROR(__xludf.DUMMYFUNCTION("""COMPUTED_VALUE"""),"Stock")</f>
        <v>Stock</v>
      </c>
      <c r="D479" s="87" t="str">
        <f>IFERROR(__xludf.DUMMYFUNCTION("""COMPUTED_VALUE"""),"TSLA")</f>
        <v>TSLA</v>
      </c>
      <c r="E479" s="5" t="str">
        <f>IFERROR(__xludf.DUMMYFUNCTION("""COMPUTED_VALUE"""),"USD")</f>
        <v>USD</v>
      </c>
      <c r="F479" s="69">
        <f>IFERROR(__xludf.DUMMYFUNCTION("""COMPUTED_VALUE"""),-36.0)</f>
        <v>-36</v>
      </c>
      <c r="G479" s="70">
        <f>IFERROR(__xludf.DUMMYFUNCTION("""COMPUTED_VALUE"""),7.83915)</f>
        <v>7.83915</v>
      </c>
      <c r="H479" s="71">
        <f>IFERROR(__xludf.DUMMYFUNCTION("""COMPUTED_VALUE"""),921.16)</f>
        <v>921.16</v>
      </c>
      <c r="I479" s="71">
        <f>IFERROR(__xludf.DUMMYFUNCTION("""COMPUTED_VALUE"""),1022.37)</f>
        <v>1022.37</v>
      </c>
      <c r="J479" s="88" t="str">
        <f>IFERROR(__xludf.DUMMYFUNCTION("""COMPUTED_VALUE"""),"Goto link: TSLA")</f>
        <v>Goto link: TSLA</v>
      </c>
      <c r="K479" s="22"/>
      <c r="L479" s="22"/>
      <c r="M479" s="22"/>
      <c r="N479" s="22"/>
      <c r="O479" s="73"/>
      <c r="P479" s="8"/>
      <c r="Q479" s="69"/>
      <c r="R479" s="69"/>
      <c r="S479" s="8"/>
      <c r="T479" s="69"/>
      <c r="U479" s="8"/>
      <c r="V479" s="69"/>
      <c r="W479" s="74"/>
      <c r="X479" s="69"/>
    </row>
    <row r="480">
      <c r="A480" s="30" t="str">
        <f>IFERROR(__xludf.DUMMYFUNCTION("""COMPUTED_VALUE"""),"39608")</f>
        <v>39608</v>
      </c>
      <c r="B480" s="86">
        <f>IFERROR(__xludf.DUMMYFUNCTION("""COMPUTED_VALUE"""),44645.0)</f>
        <v>44645</v>
      </c>
      <c r="C480" s="64" t="str">
        <f>IFERROR(__xludf.DUMMYFUNCTION("""COMPUTED_VALUE"""),"Stock")</f>
        <v>Stock</v>
      </c>
      <c r="D480" s="87" t="str">
        <f>IFERROR(__xludf.DUMMYFUNCTION("""COMPUTED_VALUE"""),"GOLD")</f>
        <v>GOLD</v>
      </c>
      <c r="E480" s="5" t="str">
        <f>IFERROR(__xludf.DUMMYFUNCTION("""COMPUTED_VALUE"""),"USD")</f>
        <v>USD</v>
      </c>
      <c r="F480" s="69">
        <f>IFERROR(__xludf.DUMMYFUNCTION("""COMPUTED_VALUE"""),-500.0)</f>
        <v>-500</v>
      </c>
      <c r="G480" s="70">
        <f>IFERROR(__xludf.DUMMYFUNCTION("""COMPUTED_VALUE"""),7.83915)</f>
        <v>7.83915</v>
      </c>
      <c r="H480" s="71">
        <f>IFERROR(__xludf.DUMMYFUNCTION("""COMPUTED_VALUE"""),24.54)</f>
        <v>24.54</v>
      </c>
      <c r="I480" s="71">
        <f>IFERROR(__xludf.DUMMYFUNCTION("""COMPUTED_VALUE"""),25.62)</f>
        <v>25.62</v>
      </c>
      <c r="J480" s="88" t="str">
        <f>IFERROR(__xludf.DUMMYFUNCTION("""COMPUTED_VALUE"""),"Goto link: GOLD")</f>
        <v>Goto link: GOLD</v>
      </c>
      <c r="K480" s="22"/>
      <c r="L480" s="22"/>
      <c r="M480" s="22"/>
      <c r="N480" s="22"/>
      <c r="O480" s="73"/>
      <c r="P480" s="8"/>
      <c r="Q480" s="69"/>
      <c r="R480" s="69"/>
      <c r="S480" s="8"/>
      <c r="T480" s="69"/>
      <c r="U480" s="8"/>
      <c r="V480" s="69"/>
      <c r="W480" s="74"/>
      <c r="X480" s="69"/>
    </row>
    <row r="481">
      <c r="A481" s="30" t="str">
        <f>IFERROR(__xludf.DUMMYFUNCTION("""COMPUTED_VALUE"""),"39608")</f>
        <v>39608</v>
      </c>
      <c r="B481" s="86">
        <f>IFERROR(__xludf.DUMMYFUNCTION("""COMPUTED_VALUE"""),44651.0)</f>
        <v>44651</v>
      </c>
      <c r="C481" s="64" t="str">
        <f>IFERROR(__xludf.DUMMYFUNCTION("""COMPUTED_VALUE"""),"Stock")</f>
        <v>Stock</v>
      </c>
      <c r="D481" s="87" t="str">
        <f>IFERROR(__xludf.DUMMYFUNCTION("""COMPUTED_VALUE"""),"BG")</f>
        <v>BG</v>
      </c>
      <c r="E481" s="5" t="str">
        <f>IFERROR(__xludf.DUMMYFUNCTION("""COMPUTED_VALUE"""),"USD")</f>
        <v>USD</v>
      </c>
      <c r="F481" s="69">
        <f>IFERROR(__xludf.DUMMYFUNCTION("""COMPUTED_VALUE"""),500.0)</f>
        <v>500</v>
      </c>
      <c r="G481" s="70">
        <f>IFERROR(__xludf.DUMMYFUNCTION("""COMPUTED_VALUE"""),7.83915)</f>
        <v>7.83915</v>
      </c>
      <c r="H481" s="71">
        <f>IFERROR(__xludf.DUMMYFUNCTION("""COMPUTED_VALUE"""),110.81)</f>
        <v>110.81</v>
      </c>
      <c r="I481" s="71">
        <f>IFERROR(__xludf.DUMMYFUNCTION("""COMPUTED_VALUE"""),120.97)</f>
        <v>120.97</v>
      </c>
      <c r="J481" s="88" t="str">
        <f>IFERROR(__xludf.DUMMYFUNCTION("""COMPUTED_VALUE"""),"Goto link: BG")</f>
        <v>Goto link: BG</v>
      </c>
      <c r="K481" s="22"/>
      <c r="L481" s="22"/>
      <c r="M481" s="22"/>
      <c r="N481" s="22"/>
      <c r="O481" s="73"/>
      <c r="P481" s="8"/>
      <c r="Q481" s="69"/>
      <c r="R481" s="69"/>
      <c r="S481" s="8"/>
      <c r="T481" s="69"/>
      <c r="U481" s="8"/>
      <c r="V481" s="69"/>
      <c r="W481" s="74"/>
      <c r="X481" s="69"/>
    </row>
    <row r="482">
      <c r="A482" s="30" t="str">
        <f>IFERROR(__xludf.DUMMYFUNCTION("""COMPUTED_VALUE"""),"39608")</f>
        <v>39608</v>
      </c>
      <c r="B482" s="86">
        <f>IFERROR(__xludf.DUMMYFUNCTION("""COMPUTED_VALUE"""),44655.0)</f>
        <v>44655</v>
      </c>
      <c r="C482" s="64" t="str">
        <f>IFERROR(__xludf.DUMMYFUNCTION("""COMPUTED_VALUE"""),"Stock")</f>
        <v>Stock</v>
      </c>
      <c r="D482" s="87" t="str">
        <f>IFERROR(__xludf.DUMMYFUNCTION("""COMPUTED_VALUE"""),"BG")</f>
        <v>BG</v>
      </c>
      <c r="E482" s="5" t="str">
        <f>IFERROR(__xludf.DUMMYFUNCTION("""COMPUTED_VALUE"""),"USD")</f>
        <v>USD</v>
      </c>
      <c r="F482" s="69">
        <f>IFERROR(__xludf.DUMMYFUNCTION("""COMPUTED_VALUE"""),0.0)</f>
        <v>0</v>
      </c>
      <c r="G482" s="70">
        <f>IFERROR(__xludf.DUMMYFUNCTION("""COMPUTED_VALUE"""),7.83915)</f>
        <v>7.83915</v>
      </c>
      <c r="H482" s="71">
        <f>IFERROR(__xludf.DUMMYFUNCTION("""COMPUTED_VALUE"""),0.0)</f>
        <v>0</v>
      </c>
      <c r="I482" s="71">
        <f>IFERROR(__xludf.DUMMYFUNCTION("""COMPUTED_VALUE"""),120.97)</f>
        <v>120.97</v>
      </c>
      <c r="J482" s="88" t="str">
        <f>IFERROR(__xludf.DUMMYFUNCTION("""COMPUTED_VALUE"""),"Goto link: BG")</f>
        <v>Goto link: BG</v>
      </c>
      <c r="K482" s="22"/>
      <c r="L482" s="22"/>
      <c r="M482" s="22"/>
      <c r="N482" s="22"/>
      <c r="O482" s="73"/>
      <c r="P482" s="8"/>
      <c r="Q482" s="69"/>
      <c r="R482" s="69"/>
      <c r="S482" s="8"/>
      <c r="T482" s="69"/>
      <c r="U482" s="8"/>
      <c r="V482" s="69"/>
      <c r="W482" s="74"/>
      <c r="X482" s="69"/>
    </row>
    <row r="483">
      <c r="A483" s="30" t="str">
        <f>IFERROR(__xludf.DUMMYFUNCTION("""COMPUTED_VALUE"""),"39608")</f>
        <v>39608</v>
      </c>
      <c r="B483" s="86">
        <f>IFERROR(__xludf.DUMMYFUNCTION("""COMPUTED_VALUE"""),44657.0)</f>
        <v>44657</v>
      </c>
      <c r="C483" s="64" t="str">
        <f>IFERROR(__xludf.DUMMYFUNCTION("""COMPUTED_VALUE"""),"Stock")</f>
        <v>Stock</v>
      </c>
      <c r="D483" s="87" t="str">
        <f>IFERROR(__xludf.DUMMYFUNCTION("""COMPUTED_VALUE"""),"BG")</f>
        <v>BG</v>
      </c>
      <c r="E483" s="5" t="str">
        <f>IFERROR(__xludf.DUMMYFUNCTION("""COMPUTED_VALUE"""),"USD")</f>
        <v>USD</v>
      </c>
      <c r="F483" s="69">
        <f>IFERROR(__xludf.DUMMYFUNCTION("""COMPUTED_VALUE"""),0.0)</f>
        <v>0</v>
      </c>
      <c r="G483" s="70">
        <f>IFERROR(__xludf.DUMMYFUNCTION("""COMPUTED_VALUE"""),7.83915)</f>
        <v>7.83915</v>
      </c>
      <c r="H483" s="71">
        <f>IFERROR(__xludf.DUMMYFUNCTION("""COMPUTED_VALUE"""),0.0)</f>
        <v>0</v>
      </c>
      <c r="I483" s="71">
        <f>IFERROR(__xludf.DUMMYFUNCTION("""COMPUTED_VALUE"""),120.97)</f>
        <v>120.97</v>
      </c>
      <c r="J483" s="88" t="str">
        <f>IFERROR(__xludf.DUMMYFUNCTION("""COMPUTED_VALUE"""),"Goto link: BG")</f>
        <v>Goto link: BG</v>
      </c>
      <c r="K483" s="22"/>
      <c r="L483" s="22"/>
      <c r="M483" s="22"/>
      <c r="N483" s="22"/>
      <c r="O483" s="73"/>
      <c r="P483" s="8"/>
      <c r="Q483" s="69"/>
      <c r="R483" s="69"/>
      <c r="S483" s="8"/>
      <c r="T483" s="69"/>
      <c r="U483" s="8"/>
      <c r="V483" s="69"/>
      <c r="W483" s="74"/>
      <c r="X483" s="69"/>
    </row>
    <row r="484">
      <c r="A484" s="30" t="str">
        <f>IFERROR(__xludf.DUMMYFUNCTION("""COMPUTED_VALUE"""),"39608")</f>
        <v>39608</v>
      </c>
      <c r="B484" s="86">
        <f>IFERROR(__xludf.DUMMYFUNCTION("""COMPUTED_VALUE"""),44659.0)</f>
        <v>44659</v>
      </c>
      <c r="C484" s="64" t="str">
        <f>IFERROR(__xludf.DUMMYFUNCTION("""COMPUTED_VALUE"""),"Stock")</f>
        <v>Stock</v>
      </c>
      <c r="D484" s="85" t="str">
        <f>IFERROR(__xludf.DUMMYFUNCTION("""COMPUTED_VALUE"""),"BG")</f>
        <v>BG</v>
      </c>
      <c r="E484" s="5" t="str">
        <f>IFERROR(__xludf.DUMMYFUNCTION("""COMPUTED_VALUE"""),"USD")</f>
        <v>USD</v>
      </c>
      <c r="F484" s="69">
        <f>IFERROR(__xludf.DUMMYFUNCTION("""COMPUTED_VALUE"""),-300.0)</f>
        <v>-300</v>
      </c>
      <c r="G484" s="70">
        <f>IFERROR(__xludf.DUMMYFUNCTION("""COMPUTED_VALUE"""),7.83915)</f>
        <v>7.83915</v>
      </c>
      <c r="H484" s="71">
        <f>IFERROR(__xludf.DUMMYFUNCTION("""COMPUTED_VALUE"""),118.25)</f>
        <v>118.25</v>
      </c>
      <c r="I484" s="71">
        <f>IFERROR(__xludf.DUMMYFUNCTION("""COMPUTED_VALUE"""),120.97)</f>
        <v>120.97</v>
      </c>
      <c r="J484" s="88" t="str">
        <f>IFERROR(__xludf.DUMMYFUNCTION("""COMPUTED_VALUE"""),"Goto link: BG")</f>
        <v>Goto link: BG</v>
      </c>
      <c r="K484" s="22"/>
      <c r="L484" s="22"/>
      <c r="M484" s="22"/>
      <c r="N484" s="22"/>
      <c r="O484" s="73"/>
      <c r="P484" s="8"/>
      <c r="Q484" s="69"/>
      <c r="R484" s="69"/>
      <c r="S484" s="8"/>
      <c r="T484" s="69"/>
      <c r="U484" s="8"/>
      <c r="V484" s="69"/>
      <c r="W484" s="74"/>
      <c r="X484" s="69"/>
    </row>
    <row r="485">
      <c r="A485" s="30" t="str">
        <f>IFERROR(__xludf.DUMMYFUNCTION("""COMPUTED_VALUE"""),"39608 Total")</f>
        <v>39608 Total</v>
      </c>
      <c r="B485" s="5"/>
      <c r="C485" s="64"/>
      <c r="D485" s="85"/>
      <c r="E485" s="5"/>
      <c r="F485" s="69"/>
      <c r="G485" s="70">
        <f>IFERROR(__xludf.DUMMYFUNCTION("""COMPUTED_VALUE"""),7.350639285714288)</f>
        <v>7.350639286</v>
      </c>
      <c r="H485" s="71">
        <f>IFERROR(__xludf.DUMMYFUNCTION("""COMPUTED_VALUE"""),921.16)</f>
        <v>921.16</v>
      </c>
      <c r="I485" s="71" t="str">
        <f>IFERROR(__xludf.DUMMYFUNCTION("""COMPUTED_VALUE"""),"")</f>
        <v/>
      </c>
      <c r="J485" s="22" t="str">
        <f>IFERROR(__xludf.DUMMYFUNCTION("""COMPUTED_VALUE"""),"")</f>
        <v/>
      </c>
      <c r="K485" s="22"/>
      <c r="L485" s="22"/>
      <c r="M485" s="22"/>
      <c r="N485" s="22"/>
      <c r="O485" s="73"/>
      <c r="P485" s="8"/>
      <c r="Q485" s="69"/>
      <c r="R485" s="69"/>
      <c r="S485" s="8"/>
      <c r="T485" s="69"/>
      <c r="U485" s="8"/>
      <c r="V485" s="69"/>
      <c r="W485" s="74"/>
      <c r="X485" s="69"/>
    </row>
    <row r="486">
      <c r="A486" s="30" t="str">
        <f>IFERROR(__xludf.DUMMYFUNCTION("""COMPUTED_VALUE"""),"39670")</f>
        <v>39670</v>
      </c>
      <c r="B486" s="86">
        <f>IFERROR(__xludf.DUMMYFUNCTION("""COMPUTED_VALUE"""),44597.0)</f>
        <v>44597</v>
      </c>
      <c r="C486" s="64" t="str">
        <f>IFERROR(__xludf.DUMMYFUNCTION("""COMPUTED_VALUE"""),"Cash")</f>
        <v>Cash</v>
      </c>
      <c r="D486" s="85" t="str">
        <f>IFERROR(__xludf.DUMMYFUNCTION("""COMPUTED_VALUE"""),"Cash")</f>
        <v>Cash</v>
      </c>
      <c r="E486" s="5" t="str">
        <f>IFERROR(__xludf.DUMMYFUNCTION("""COMPUTED_VALUE"""),"HKD")</f>
        <v>HKD</v>
      </c>
      <c r="F486" s="69" t="str">
        <f>IFERROR(__xludf.DUMMYFUNCTION("""COMPUTED_VALUE"""),"")</f>
        <v/>
      </c>
      <c r="G486" s="70">
        <f>IFERROR(__xludf.DUMMYFUNCTION("""COMPUTED_VALUE"""),1.0)</f>
        <v>1</v>
      </c>
      <c r="H486" s="71">
        <f>IFERROR(__xludf.DUMMYFUNCTION("""COMPUTED_VALUE"""),1.0)</f>
        <v>1</v>
      </c>
      <c r="I486" s="71">
        <f>IFERROR(__xludf.DUMMYFUNCTION("""COMPUTED_VALUE"""),1.0)</f>
        <v>1</v>
      </c>
      <c r="J486" s="22" t="str">
        <f>IFERROR(__xludf.DUMMYFUNCTION("""COMPUTED_VALUE"""),"")</f>
        <v/>
      </c>
      <c r="K486" s="22"/>
      <c r="L486" s="22"/>
      <c r="M486" s="22"/>
      <c r="N486" s="22"/>
      <c r="O486" s="73"/>
      <c r="P486" s="8"/>
      <c r="Q486" s="69"/>
      <c r="R486" s="69"/>
      <c r="S486" s="8"/>
      <c r="T486" s="69"/>
      <c r="U486" s="8"/>
      <c r="V486" s="69"/>
      <c r="W486" s="74"/>
      <c r="X486" s="69"/>
    </row>
    <row r="487">
      <c r="A487" s="30" t="str">
        <f>IFERROR(__xludf.DUMMYFUNCTION("""COMPUTED_VALUE"""),"39670")</f>
        <v>39670</v>
      </c>
      <c r="B487" s="86">
        <f>IFERROR(__xludf.DUMMYFUNCTION("""COMPUTED_VALUE"""),44659.0)</f>
        <v>44659</v>
      </c>
      <c r="C487" s="64" t="str">
        <f>IFERROR(__xludf.DUMMYFUNCTION("""COMPUTED_VALUE"""),"Stock")</f>
        <v>Stock</v>
      </c>
      <c r="D487" s="85" t="str">
        <f>IFERROR(__xludf.DUMMYFUNCTION("""COMPUTED_VALUE"""),"AAPL")</f>
        <v>AAPL</v>
      </c>
      <c r="E487" s="5" t="str">
        <f>IFERROR(__xludf.DUMMYFUNCTION("""COMPUTED_VALUE"""),"USD")</f>
        <v>USD</v>
      </c>
      <c r="F487" s="69">
        <f>IFERROR(__xludf.DUMMYFUNCTION("""COMPUTED_VALUE"""),0.0)</f>
        <v>0</v>
      </c>
      <c r="G487" s="70">
        <f>IFERROR(__xludf.DUMMYFUNCTION("""COMPUTED_VALUE"""),7.83915)</f>
        <v>7.83915</v>
      </c>
      <c r="H487" s="71">
        <f>IFERROR(__xludf.DUMMYFUNCTION("""COMPUTED_VALUE"""),0.0)</f>
        <v>0</v>
      </c>
      <c r="I487" s="71">
        <f>IFERROR(__xludf.DUMMYFUNCTION("""COMPUTED_VALUE"""),170.4)</f>
        <v>170.4</v>
      </c>
      <c r="J487" s="88" t="str">
        <f>IFERROR(__xludf.DUMMYFUNCTION("""COMPUTED_VALUE"""),"Goto link: AAPL")</f>
        <v>Goto link: AAPL</v>
      </c>
      <c r="K487" s="22"/>
      <c r="L487" s="22"/>
      <c r="M487" s="22"/>
      <c r="N487" s="22"/>
      <c r="O487" s="73"/>
      <c r="P487" s="8"/>
      <c r="Q487" s="69"/>
      <c r="R487" s="69"/>
      <c r="S487" s="8"/>
      <c r="T487" s="69"/>
      <c r="U487" s="8"/>
      <c r="V487" s="69"/>
      <c r="W487" s="74"/>
      <c r="X487" s="69"/>
    </row>
    <row r="488">
      <c r="A488" s="30" t="str">
        <f>IFERROR(__xludf.DUMMYFUNCTION("""COMPUTED_VALUE"""),"39670")</f>
        <v>39670</v>
      </c>
      <c r="B488" s="86">
        <f>IFERROR(__xludf.DUMMYFUNCTION("""COMPUTED_VALUE"""),44659.0)</f>
        <v>44659</v>
      </c>
      <c r="C488" s="64" t="str">
        <f>IFERROR(__xludf.DUMMYFUNCTION("""COMPUTED_VALUE"""),"Stock")</f>
        <v>Stock</v>
      </c>
      <c r="D488" s="85" t="str">
        <f>IFERROR(__xludf.DUMMYFUNCTION("""COMPUTED_VALUE"""),"TSLA")</f>
        <v>TSLA</v>
      </c>
      <c r="E488" s="5" t="str">
        <f>IFERROR(__xludf.DUMMYFUNCTION("""COMPUTED_VALUE"""),"USD")</f>
        <v>USD</v>
      </c>
      <c r="F488" s="69">
        <f>IFERROR(__xludf.DUMMYFUNCTION("""COMPUTED_VALUE"""),50.0)</f>
        <v>50</v>
      </c>
      <c r="G488" s="70">
        <f>IFERROR(__xludf.DUMMYFUNCTION("""COMPUTED_VALUE"""),7.83915)</f>
        <v>7.83915</v>
      </c>
      <c r="H488" s="71">
        <f>IFERROR(__xludf.DUMMYFUNCTION("""COMPUTED_VALUE"""),1025.49)</f>
        <v>1025.49</v>
      </c>
      <c r="I488" s="71">
        <f>IFERROR(__xludf.DUMMYFUNCTION("""COMPUTED_VALUE"""),1022.37)</f>
        <v>1022.37</v>
      </c>
      <c r="J488" s="88" t="str">
        <f>IFERROR(__xludf.DUMMYFUNCTION("""COMPUTED_VALUE"""),"Goto link: TSLA")</f>
        <v>Goto link: TSLA</v>
      </c>
      <c r="K488" s="22"/>
      <c r="L488" s="22"/>
      <c r="M488" s="22"/>
      <c r="N488" s="22"/>
      <c r="O488" s="73"/>
      <c r="P488" s="8"/>
      <c r="Q488" s="69"/>
      <c r="R488" s="69"/>
      <c r="S488" s="8"/>
      <c r="T488" s="69"/>
      <c r="U488" s="8"/>
      <c r="V488" s="69"/>
      <c r="W488" s="74"/>
      <c r="X488" s="69"/>
    </row>
    <row r="489">
      <c r="A489" s="30" t="str">
        <f>IFERROR(__xludf.DUMMYFUNCTION("""COMPUTED_VALUE"""),"39670")</f>
        <v>39670</v>
      </c>
      <c r="B489" s="86">
        <f>IFERROR(__xludf.DUMMYFUNCTION("""COMPUTED_VALUE"""),44664.0)</f>
        <v>44664</v>
      </c>
      <c r="C489" s="64" t="str">
        <f>IFERROR(__xludf.DUMMYFUNCTION("""COMPUTED_VALUE"""),"Stock")</f>
        <v>Stock</v>
      </c>
      <c r="D489" s="91" t="str">
        <f>IFERROR(__xludf.DUMMYFUNCTION("""COMPUTED_VALUE"""),"9626.HK")</f>
        <v>9626.HK</v>
      </c>
      <c r="E489" s="5" t="str">
        <f>IFERROR(__xludf.DUMMYFUNCTION("""COMPUTED_VALUE"""),"HKD")</f>
        <v>HKD</v>
      </c>
      <c r="F489" s="69">
        <f>IFERROR(__xludf.DUMMYFUNCTION("""COMPUTED_VALUE"""),0.0)</f>
        <v>0</v>
      </c>
      <c r="G489" s="70">
        <f>IFERROR(__xludf.DUMMYFUNCTION("""COMPUTED_VALUE"""),1.0)</f>
        <v>1</v>
      </c>
      <c r="H489" s="71">
        <f>IFERROR(__xludf.DUMMYFUNCTION("""COMPUTED_VALUE"""),0.0)</f>
        <v>0</v>
      </c>
      <c r="I489" s="71">
        <f>IFERROR(__xludf.DUMMYFUNCTION("""COMPUTED_VALUE"""),202.6)</f>
        <v>202.6</v>
      </c>
      <c r="J489" s="88" t="str">
        <f>IFERROR(__xludf.DUMMYFUNCTION("""COMPUTED_VALUE"""),"Goto link: 9626.HK")</f>
        <v>Goto link: 9626.HK</v>
      </c>
      <c r="K489" s="22"/>
      <c r="L489" s="22"/>
      <c r="M489" s="22"/>
      <c r="N489" s="22"/>
      <c r="O489" s="73"/>
      <c r="P489" s="8"/>
      <c r="Q489" s="69"/>
      <c r="R489" s="69"/>
      <c r="S489" s="8"/>
      <c r="T489" s="69"/>
      <c r="U489" s="8"/>
      <c r="V489" s="69"/>
      <c r="W489" s="74"/>
      <c r="X489" s="69"/>
    </row>
    <row r="490">
      <c r="A490" s="30" t="str">
        <f>IFERROR(__xludf.DUMMYFUNCTION("""COMPUTED_VALUE"""),"39670")</f>
        <v>39670</v>
      </c>
      <c r="B490" s="86">
        <f>IFERROR(__xludf.DUMMYFUNCTION("""COMPUTED_VALUE"""),44664.0)</f>
        <v>44664</v>
      </c>
      <c r="C490" s="64" t="str">
        <f>IFERROR(__xludf.DUMMYFUNCTION("""COMPUTED_VALUE"""),"Stock")</f>
        <v>Stock</v>
      </c>
      <c r="D490" s="91" t="str">
        <f>IFERROR(__xludf.DUMMYFUNCTION("""COMPUTED_VALUE"""),"9988.HK")</f>
        <v>9988.HK</v>
      </c>
      <c r="E490" s="5" t="str">
        <f>IFERROR(__xludf.DUMMYFUNCTION("""COMPUTED_VALUE"""),"HKD")</f>
        <v>HKD</v>
      </c>
      <c r="F490" s="69">
        <f>IFERROR(__xludf.DUMMYFUNCTION("""COMPUTED_VALUE"""),0.0)</f>
        <v>0</v>
      </c>
      <c r="G490" s="70">
        <f>IFERROR(__xludf.DUMMYFUNCTION("""COMPUTED_VALUE"""),1.0)</f>
        <v>1</v>
      </c>
      <c r="H490" s="71">
        <f>IFERROR(__xludf.DUMMYFUNCTION("""COMPUTED_VALUE"""),0.0)</f>
        <v>0</v>
      </c>
      <c r="I490" s="71">
        <f>IFERROR(__xludf.DUMMYFUNCTION("""COMPUTED_VALUE"""),98.5)</f>
        <v>98.5</v>
      </c>
      <c r="J490" s="88" t="str">
        <f>IFERROR(__xludf.DUMMYFUNCTION("""COMPUTED_VALUE"""),"Goto link: 9988.HK")</f>
        <v>Goto link: 9988.HK</v>
      </c>
      <c r="K490" s="22"/>
      <c r="L490" s="22"/>
      <c r="M490" s="22"/>
      <c r="N490" s="22"/>
      <c r="O490" s="73"/>
      <c r="P490" s="8"/>
      <c r="Q490" s="69"/>
      <c r="R490" s="69"/>
      <c r="S490" s="8"/>
      <c r="T490" s="69"/>
      <c r="U490" s="8"/>
      <c r="V490" s="69"/>
      <c r="W490" s="74"/>
      <c r="X490" s="69"/>
    </row>
    <row r="491">
      <c r="A491" s="30" t="str">
        <f>IFERROR(__xludf.DUMMYFUNCTION("""COMPUTED_VALUE"""),"39670")</f>
        <v>39670</v>
      </c>
      <c r="B491" s="86">
        <f>IFERROR(__xludf.DUMMYFUNCTION("""COMPUTED_VALUE"""),44664.0)</f>
        <v>44664</v>
      </c>
      <c r="C491" s="64" t="str">
        <f>IFERROR(__xludf.DUMMYFUNCTION("""COMPUTED_VALUE"""),"Stock")</f>
        <v>Stock</v>
      </c>
      <c r="D491" s="85" t="str">
        <f>IFERROR(__xludf.DUMMYFUNCTION("""COMPUTED_VALUE"""),"AAPL")</f>
        <v>AAPL</v>
      </c>
      <c r="E491" s="5" t="str">
        <f>IFERROR(__xludf.DUMMYFUNCTION("""COMPUTED_VALUE"""),"USD")</f>
        <v>USD</v>
      </c>
      <c r="F491" s="69">
        <f>IFERROR(__xludf.DUMMYFUNCTION("""COMPUTED_VALUE"""),0.0)</f>
        <v>0</v>
      </c>
      <c r="G491" s="70">
        <f>IFERROR(__xludf.DUMMYFUNCTION("""COMPUTED_VALUE"""),7.83915)</f>
        <v>7.83915</v>
      </c>
      <c r="H491" s="71">
        <f>IFERROR(__xludf.DUMMYFUNCTION("""COMPUTED_VALUE"""),0.0)</f>
        <v>0</v>
      </c>
      <c r="I491" s="71">
        <f>IFERROR(__xludf.DUMMYFUNCTION("""COMPUTED_VALUE"""),170.4)</f>
        <v>170.4</v>
      </c>
      <c r="J491" s="88" t="str">
        <f>IFERROR(__xludf.DUMMYFUNCTION("""COMPUTED_VALUE"""),"Goto link: AAPL")</f>
        <v>Goto link: AAPL</v>
      </c>
      <c r="K491" s="22"/>
      <c r="L491" s="22"/>
      <c r="M491" s="22"/>
      <c r="N491" s="22"/>
      <c r="O491" s="73"/>
      <c r="P491" s="8"/>
      <c r="Q491" s="69"/>
      <c r="R491" s="69"/>
      <c r="S491" s="8"/>
      <c r="T491" s="69"/>
      <c r="U491" s="8"/>
      <c r="V491" s="69"/>
      <c r="W491" s="74"/>
      <c r="X491" s="69"/>
    </row>
    <row r="492">
      <c r="A492" s="30" t="str">
        <f>IFERROR(__xludf.DUMMYFUNCTION("""COMPUTED_VALUE"""),"39670")</f>
        <v>39670</v>
      </c>
      <c r="B492" s="86">
        <f>IFERROR(__xludf.DUMMYFUNCTION("""COMPUTED_VALUE"""),44664.0)</f>
        <v>44664</v>
      </c>
      <c r="C492" s="64" t="str">
        <f>IFERROR(__xludf.DUMMYFUNCTION("""COMPUTED_VALUE"""),"Stock")</f>
        <v>Stock</v>
      </c>
      <c r="D492" s="85" t="str">
        <f>IFERROR(__xludf.DUMMYFUNCTION("""COMPUTED_VALUE"""),"BABA")</f>
        <v>BABA</v>
      </c>
      <c r="E492" s="5" t="str">
        <f>IFERROR(__xludf.DUMMYFUNCTION("""COMPUTED_VALUE"""),"USD")</f>
        <v>USD</v>
      </c>
      <c r="F492" s="69">
        <f>IFERROR(__xludf.DUMMYFUNCTION("""COMPUTED_VALUE"""),30.0)</f>
        <v>30</v>
      </c>
      <c r="G492" s="70">
        <f>IFERROR(__xludf.DUMMYFUNCTION("""COMPUTED_VALUE"""),7.83915)</f>
        <v>7.83915</v>
      </c>
      <c r="H492" s="71">
        <f>IFERROR(__xludf.DUMMYFUNCTION("""COMPUTED_VALUE"""),100.09)</f>
        <v>100.09</v>
      </c>
      <c r="I492" s="71">
        <f>IFERROR(__xludf.DUMMYFUNCTION("""COMPUTED_VALUE"""),100.09)</f>
        <v>100.09</v>
      </c>
      <c r="J492" s="88" t="str">
        <f>IFERROR(__xludf.DUMMYFUNCTION("""COMPUTED_VALUE"""),"Goto link: BABA")</f>
        <v>Goto link: BABA</v>
      </c>
      <c r="K492" s="22"/>
      <c r="L492" s="22"/>
      <c r="M492" s="22"/>
      <c r="N492" s="22"/>
      <c r="O492" s="73"/>
      <c r="P492" s="8"/>
      <c r="Q492" s="69"/>
      <c r="R492" s="69"/>
      <c r="S492" s="8"/>
      <c r="T492" s="69"/>
      <c r="U492" s="8"/>
      <c r="V492" s="69"/>
      <c r="W492" s="74"/>
      <c r="X492" s="69"/>
    </row>
    <row r="493">
      <c r="A493" s="30" t="str">
        <f>IFERROR(__xludf.DUMMYFUNCTION("""COMPUTED_VALUE"""),"39670")</f>
        <v>39670</v>
      </c>
      <c r="B493" s="86">
        <f>IFERROR(__xludf.DUMMYFUNCTION("""COMPUTED_VALUE"""),44664.0)</f>
        <v>44664</v>
      </c>
      <c r="C493" s="64" t="str">
        <f>IFERROR(__xludf.DUMMYFUNCTION("""COMPUTED_VALUE"""),"Stock")</f>
        <v>Stock</v>
      </c>
      <c r="D493" s="85" t="str">
        <f>IFERROR(__xludf.DUMMYFUNCTION("""COMPUTED_VALUE"""),"BILI")</f>
        <v>BILI</v>
      </c>
      <c r="E493" s="5" t="str">
        <f>IFERROR(__xludf.DUMMYFUNCTION("""COMPUTED_VALUE"""),"USD")</f>
        <v>USD</v>
      </c>
      <c r="F493" s="69">
        <f>IFERROR(__xludf.DUMMYFUNCTION("""COMPUTED_VALUE"""),20.0)</f>
        <v>20</v>
      </c>
      <c r="G493" s="70">
        <f>IFERROR(__xludf.DUMMYFUNCTION("""COMPUTED_VALUE"""),7.83915)</f>
        <v>7.83915</v>
      </c>
      <c r="H493" s="71">
        <f>IFERROR(__xludf.DUMMYFUNCTION("""COMPUTED_VALUE"""),26.24)</f>
        <v>26.24</v>
      </c>
      <c r="I493" s="71">
        <f>IFERROR(__xludf.DUMMYFUNCTION("""COMPUTED_VALUE"""),26.24)</f>
        <v>26.24</v>
      </c>
      <c r="J493" s="88" t="str">
        <f>IFERROR(__xludf.DUMMYFUNCTION("""COMPUTED_VALUE"""),"Goto link: BILI")</f>
        <v>Goto link: BILI</v>
      </c>
      <c r="K493" s="22"/>
      <c r="L493" s="22"/>
      <c r="M493" s="22"/>
      <c r="N493" s="22"/>
      <c r="O493" s="73"/>
      <c r="P493" s="8"/>
      <c r="Q493" s="69"/>
      <c r="R493" s="69"/>
      <c r="S493" s="8"/>
      <c r="T493" s="69"/>
      <c r="U493" s="8"/>
      <c r="V493" s="69"/>
      <c r="W493" s="74"/>
      <c r="X493" s="69"/>
    </row>
    <row r="494">
      <c r="A494" s="30" t="str">
        <f>IFERROR(__xludf.DUMMYFUNCTION("""COMPUTED_VALUE"""),"39670 Total")</f>
        <v>39670 Total</v>
      </c>
      <c r="B494" s="5"/>
      <c r="C494" s="64"/>
      <c r="D494" s="85"/>
      <c r="E494" s="5"/>
      <c r="F494" s="69"/>
      <c r="G494" s="70">
        <f>IFERROR(__xludf.DUMMYFUNCTION("""COMPUTED_VALUE"""),5.2744687500000005)</f>
        <v>5.27446875</v>
      </c>
      <c r="H494" s="71">
        <f>IFERROR(__xludf.DUMMYFUNCTION("""COMPUTED_VALUE"""),1025.49)</f>
        <v>1025.49</v>
      </c>
      <c r="I494" s="71" t="str">
        <f>IFERROR(__xludf.DUMMYFUNCTION("""COMPUTED_VALUE"""),"")</f>
        <v/>
      </c>
      <c r="J494" s="22" t="str">
        <f>IFERROR(__xludf.DUMMYFUNCTION("""COMPUTED_VALUE"""),"")</f>
        <v/>
      </c>
      <c r="K494" s="22"/>
      <c r="L494" s="22"/>
      <c r="M494" s="22"/>
      <c r="N494" s="22"/>
      <c r="O494" s="73"/>
      <c r="P494" s="8"/>
      <c r="Q494" s="69"/>
      <c r="R494" s="69"/>
      <c r="S494" s="8"/>
      <c r="T494" s="69"/>
      <c r="U494" s="8"/>
      <c r="V494" s="69"/>
      <c r="W494" s="74"/>
      <c r="X494" s="69"/>
    </row>
    <row r="495">
      <c r="A495" s="30" t="str">
        <f>IFERROR(__xludf.DUMMYFUNCTION("""COMPUTED_VALUE"""),"39704")</f>
        <v>39704</v>
      </c>
      <c r="B495" s="86">
        <f>IFERROR(__xludf.DUMMYFUNCTION("""COMPUTED_VALUE"""),44597.0)</f>
        <v>44597</v>
      </c>
      <c r="C495" s="64" t="str">
        <f>IFERROR(__xludf.DUMMYFUNCTION("""COMPUTED_VALUE"""),"Cash")</f>
        <v>Cash</v>
      </c>
      <c r="D495" s="85" t="str">
        <f>IFERROR(__xludf.DUMMYFUNCTION("""COMPUTED_VALUE"""),"Cash")</f>
        <v>Cash</v>
      </c>
      <c r="E495" s="5" t="str">
        <f>IFERROR(__xludf.DUMMYFUNCTION("""COMPUTED_VALUE"""),"HKD")</f>
        <v>HKD</v>
      </c>
      <c r="F495" s="69" t="str">
        <f>IFERROR(__xludf.DUMMYFUNCTION("""COMPUTED_VALUE"""),"")</f>
        <v/>
      </c>
      <c r="G495" s="70">
        <f>IFERROR(__xludf.DUMMYFUNCTION("""COMPUTED_VALUE"""),1.0)</f>
        <v>1</v>
      </c>
      <c r="H495" s="71">
        <f>IFERROR(__xludf.DUMMYFUNCTION("""COMPUTED_VALUE"""),1.0)</f>
        <v>1</v>
      </c>
      <c r="I495" s="71">
        <f>IFERROR(__xludf.DUMMYFUNCTION("""COMPUTED_VALUE"""),1.0)</f>
        <v>1</v>
      </c>
      <c r="J495" s="22" t="str">
        <f>IFERROR(__xludf.DUMMYFUNCTION("""COMPUTED_VALUE"""),"")</f>
        <v/>
      </c>
      <c r="K495" s="22"/>
      <c r="L495" s="22"/>
      <c r="M495" s="22"/>
      <c r="N495" s="22"/>
      <c r="O495" s="73"/>
      <c r="P495" s="8"/>
      <c r="Q495" s="69"/>
      <c r="R495" s="69"/>
      <c r="S495" s="8"/>
      <c r="T495" s="69"/>
      <c r="U495" s="8"/>
      <c r="V495" s="69"/>
      <c r="W495" s="74"/>
      <c r="X495" s="69"/>
    </row>
    <row r="496">
      <c r="A496" s="30" t="str">
        <f>IFERROR(__xludf.DUMMYFUNCTION("""COMPUTED_VALUE"""),"39704")</f>
        <v>39704</v>
      </c>
      <c r="B496" s="86">
        <f>IFERROR(__xludf.DUMMYFUNCTION("""COMPUTED_VALUE"""),44636.0)</f>
        <v>44636</v>
      </c>
      <c r="C496" s="64" t="str">
        <f>IFERROR(__xludf.DUMMYFUNCTION("""COMPUTED_VALUE"""),"Stock")</f>
        <v>Stock</v>
      </c>
      <c r="D496" s="87" t="str">
        <f>IFERROR(__xludf.DUMMYFUNCTION("""COMPUTED_VALUE"""),"AEP")</f>
        <v>AEP</v>
      </c>
      <c r="E496" s="5" t="str">
        <f>IFERROR(__xludf.DUMMYFUNCTION("""COMPUTED_VALUE"""),"USD")</f>
        <v>USD</v>
      </c>
      <c r="F496" s="69">
        <f>IFERROR(__xludf.DUMMYFUNCTION("""COMPUTED_VALUE"""),100.0)</f>
        <v>100</v>
      </c>
      <c r="G496" s="70">
        <f>IFERROR(__xludf.DUMMYFUNCTION("""COMPUTED_VALUE"""),7.83915)</f>
        <v>7.83915</v>
      </c>
      <c r="H496" s="71">
        <f>IFERROR(__xludf.DUMMYFUNCTION("""COMPUTED_VALUE"""),95.07)</f>
        <v>95.07</v>
      </c>
      <c r="I496" s="71">
        <f>IFERROR(__xludf.DUMMYFUNCTION("""COMPUTED_VALUE"""),102.25)</f>
        <v>102.25</v>
      </c>
      <c r="J496" s="88" t="str">
        <f>IFERROR(__xludf.DUMMYFUNCTION("""COMPUTED_VALUE"""),"Goto link: AEP")</f>
        <v>Goto link: AEP</v>
      </c>
      <c r="K496" s="22"/>
      <c r="L496" s="22"/>
      <c r="M496" s="22"/>
      <c r="N496" s="22"/>
      <c r="O496" s="73"/>
      <c r="P496" s="8"/>
      <c r="Q496" s="69"/>
      <c r="R496" s="69"/>
      <c r="S496" s="8"/>
      <c r="T496" s="69"/>
      <c r="U496" s="8"/>
      <c r="V496" s="69"/>
      <c r="W496" s="74"/>
      <c r="X496" s="69"/>
    </row>
    <row r="497">
      <c r="A497" s="30" t="str">
        <f>IFERROR(__xludf.DUMMYFUNCTION("""COMPUTED_VALUE"""),"39704")</f>
        <v>39704</v>
      </c>
      <c r="B497" s="86">
        <f>IFERROR(__xludf.DUMMYFUNCTION("""COMPUTED_VALUE"""),44655.0)</f>
        <v>44655</v>
      </c>
      <c r="C497" s="64" t="str">
        <f>IFERROR(__xludf.DUMMYFUNCTION("""COMPUTED_VALUE"""),"Stock")</f>
        <v>Stock</v>
      </c>
      <c r="D497" s="90" t="str">
        <f>IFERROR(__xludf.DUMMYFUNCTION("""COMPUTED_VALUE"""),"9939.HK")</f>
        <v>9939.HK</v>
      </c>
      <c r="E497" s="5" t="str">
        <f>IFERROR(__xludf.DUMMYFUNCTION("""COMPUTED_VALUE"""),"HKD")</f>
        <v>HKD</v>
      </c>
      <c r="F497" s="69">
        <f>IFERROR(__xludf.DUMMYFUNCTION("""COMPUTED_VALUE"""),5000.0)</f>
        <v>5000</v>
      </c>
      <c r="G497" s="70">
        <f>IFERROR(__xludf.DUMMYFUNCTION("""COMPUTED_VALUE"""),1.0)</f>
        <v>1</v>
      </c>
      <c r="H497" s="71">
        <f>IFERROR(__xludf.DUMMYFUNCTION("""COMPUTED_VALUE"""),13.98)</f>
        <v>13.98</v>
      </c>
      <c r="I497" s="71">
        <f>IFERROR(__xludf.DUMMYFUNCTION("""COMPUTED_VALUE"""),28.15)</f>
        <v>28.15</v>
      </c>
      <c r="J497" s="88" t="str">
        <f>IFERROR(__xludf.DUMMYFUNCTION("""COMPUTED_VALUE"""),"Goto link: 9939.HK")</f>
        <v>Goto link: 9939.HK</v>
      </c>
      <c r="K497" s="22"/>
      <c r="L497" s="22"/>
      <c r="M497" s="22"/>
      <c r="N497" s="22"/>
      <c r="O497" s="73"/>
      <c r="P497" s="8"/>
      <c r="Q497" s="69"/>
      <c r="R497" s="69"/>
      <c r="S497" s="8"/>
      <c r="T497" s="69"/>
      <c r="U497" s="8"/>
      <c r="V497" s="69"/>
      <c r="W497" s="74"/>
      <c r="X497" s="69"/>
    </row>
    <row r="498">
      <c r="A498" s="30" t="str">
        <f>IFERROR(__xludf.DUMMYFUNCTION("""COMPUTED_VALUE"""),"39704")</f>
        <v>39704</v>
      </c>
      <c r="B498" s="86">
        <f>IFERROR(__xludf.DUMMYFUNCTION("""COMPUTED_VALUE"""),44656.0)</f>
        <v>44656</v>
      </c>
      <c r="C498" s="64" t="str">
        <f>IFERROR(__xludf.DUMMYFUNCTION("""COMPUTED_VALUE"""),"Stock")</f>
        <v>Stock</v>
      </c>
      <c r="D498" s="87" t="str">
        <f>IFERROR(__xludf.DUMMYFUNCTION("""COMPUTED_VALUE"""),"TSLA")</f>
        <v>TSLA</v>
      </c>
      <c r="E498" s="5" t="str">
        <f>IFERROR(__xludf.DUMMYFUNCTION("""COMPUTED_VALUE"""),"USD")</f>
        <v>USD</v>
      </c>
      <c r="F498" s="69">
        <f>IFERROR(__xludf.DUMMYFUNCTION("""COMPUTED_VALUE"""),-10.0)</f>
        <v>-10</v>
      </c>
      <c r="G498" s="70">
        <f>IFERROR(__xludf.DUMMYFUNCTION("""COMPUTED_VALUE"""),7.83915)</f>
        <v>7.83915</v>
      </c>
      <c r="H498" s="71">
        <f>IFERROR(__xludf.DUMMYFUNCTION("""COMPUTED_VALUE"""),1091.26)</f>
        <v>1091.26</v>
      </c>
      <c r="I498" s="71">
        <f>IFERROR(__xludf.DUMMYFUNCTION("""COMPUTED_VALUE"""),1022.37)</f>
        <v>1022.37</v>
      </c>
      <c r="J498" s="88" t="str">
        <f>IFERROR(__xludf.DUMMYFUNCTION("""COMPUTED_VALUE"""),"Goto link: TSLA")</f>
        <v>Goto link: TSLA</v>
      </c>
      <c r="K498" s="22"/>
      <c r="L498" s="22"/>
      <c r="M498" s="22"/>
      <c r="N498" s="22"/>
      <c r="O498" s="73"/>
      <c r="P498" s="8"/>
      <c r="Q498" s="69"/>
      <c r="R498" s="69"/>
      <c r="S498" s="8"/>
      <c r="T498" s="69"/>
      <c r="U498" s="8"/>
      <c r="V498" s="69"/>
      <c r="W498" s="74"/>
      <c r="X498" s="69"/>
    </row>
    <row r="499">
      <c r="A499" s="30" t="str">
        <f>IFERROR(__xludf.DUMMYFUNCTION("""COMPUTED_VALUE"""),"39704")</f>
        <v>39704</v>
      </c>
      <c r="B499" s="86">
        <f>IFERROR(__xludf.DUMMYFUNCTION("""COMPUTED_VALUE"""),44657.0)</f>
        <v>44657</v>
      </c>
      <c r="C499" s="64" t="str">
        <f>IFERROR(__xludf.DUMMYFUNCTION("""COMPUTED_VALUE"""),"Stock")</f>
        <v>Stock</v>
      </c>
      <c r="D499" s="87" t="str">
        <f>IFERROR(__xludf.DUMMYFUNCTION("""COMPUTED_VALUE"""),"TSLA")</f>
        <v>TSLA</v>
      </c>
      <c r="E499" s="5" t="str">
        <f>IFERROR(__xludf.DUMMYFUNCTION("""COMPUTED_VALUE"""),"USD")</f>
        <v>USD</v>
      </c>
      <c r="F499" s="69">
        <f>IFERROR(__xludf.DUMMYFUNCTION("""COMPUTED_VALUE"""),10.0)</f>
        <v>10</v>
      </c>
      <c r="G499" s="70">
        <f>IFERROR(__xludf.DUMMYFUNCTION("""COMPUTED_VALUE"""),7.83915)</f>
        <v>7.83915</v>
      </c>
      <c r="H499" s="71">
        <f>IFERROR(__xludf.DUMMYFUNCTION("""COMPUTED_VALUE"""),1045.76)</f>
        <v>1045.76</v>
      </c>
      <c r="I499" s="71">
        <f>IFERROR(__xludf.DUMMYFUNCTION("""COMPUTED_VALUE"""),1022.37)</f>
        <v>1022.37</v>
      </c>
      <c r="J499" s="88" t="str">
        <f>IFERROR(__xludf.DUMMYFUNCTION("""COMPUTED_VALUE"""),"Goto link: TSLA")</f>
        <v>Goto link: TSLA</v>
      </c>
      <c r="K499" s="22"/>
      <c r="L499" s="22"/>
      <c r="M499" s="22"/>
      <c r="N499" s="22"/>
      <c r="O499" s="73"/>
      <c r="P499" s="8"/>
      <c r="Q499" s="69"/>
      <c r="R499" s="69"/>
      <c r="S499" s="8"/>
      <c r="T499" s="69"/>
      <c r="U499" s="8"/>
      <c r="V499" s="69"/>
      <c r="W499" s="74"/>
      <c r="X499" s="69"/>
    </row>
    <row r="500">
      <c r="A500" s="30" t="str">
        <f>IFERROR(__xludf.DUMMYFUNCTION("""COMPUTED_VALUE"""),"39704")</f>
        <v>39704</v>
      </c>
      <c r="B500" s="86">
        <f>IFERROR(__xludf.DUMMYFUNCTION("""COMPUTED_VALUE"""),44658.0)</f>
        <v>44658</v>
      </c>
      <c r="C500" s="64" t="str">
        <f>IFERROR(__xludf.DUMMYFUNCTION("""COMPUTED_VALUE"""),"Stock")</f>
        <v>Stock</v>
      </c>
      <c r="D500" s="91" t="str">
        <f>IFERROR(__xludf.DUMMYFUNCTION("""COMPUTED_VALUE"""),"9939.HK")</f>
        <v>9939.HK</v>
      </c>
      <c r="E500" s="5" t="str">
        <f>IFERROR(__xludf.DUMMYFUNCTION("""COMPUTED_VALUE"""),"HKD")</f>
        <v>HKD</v>
      </c>
      <c r="F500" s="69">
        <f>IFERROR(__xludf.DUMMYFUNCTION("""COMPUTED_VALUE"""),-5000.0)</f>
        <v>-5000</v>
      </c>
      <c r="G500" s="70">
        <f>IFERROR(__xludf.DUMMYFUNCTION("""COMPUTED_VALUE"""),1.0)</f>
        <v>1</v>
      </c>
      <c r="H500" s="71">
        <f>IFERROR(__xludf.DUMMYFUNCTION("""COMPUTED_VALUE"""),21.7)</f>
        <v>21.7</v>
      </c>
      <c r="I500" s="71">
        <f>IFERROR(__xludf.DUMMYFUNCTION("""COMPUTED_VALUE"""),28.15)</f>
        <v>28.15</v>
      </c>
      <c r="J500" s="88" t="str">
        <f>IFERROR(__xludf.DUMMYFUNCTION("""COMPUTED_VALUE"""),"Goto link: 9939.HK")</f>
        <v>Goto link: 9939.HK</v>
      </c>
      <c r="K500" s="22"/>
      <c r="L500" s="22"/>
      <c r="M500" s="22"/>
      <c r="N500" s="22"/>
      <c r="O500" s="73"/>
      <c r="P500" s="8"/>
      <c r="Q500" s="69"/>
      <c r="R500" s="69"/>
      <c r="S500" s="8"/>
      <c r="T500" s="69"/>
      <c r="U500" s="8"/>
      <c r="V500" s="69"/>
      <c r="W500" s="74"/>
      <c r="X500" s="69"/>
    </row>
    <row r="501">
      <c r="A501" s="30" t="str">
        <f>IFERROR(__xludf.DUMMYFUNCTION("""COMPUTED_VALUE"""),"39704")</f>
        <v>39704</v>
      </c>
      <c r="B501" s="86">
        <f>IFERROR(__xludf.DUMMYFUNCTION("""COMPUTED_VALUE"""),44659.0)</f>
        <v>44659</v>
      </c>
      <c r="C501" s="64" t="str">
        <f>IFERROR(__xludf.DUMMYFUNCTION("""COMPUTED_VALUE"""),"Stock")</f>
        <v>Stock</v>
      </c>
      <c r="D501" s="91" t="str">
        <f>IFERROR(__xludf.DUMMYFUNCTION("""COMPUTED_VALUE"""),"9939.HK")</f>
        <v>9939.HK</v>
      </c>
      <c r="E501" s="5" t="str">
        <f>IFERROR(__xludf.DUMMYFUNCTION("""COMPUTED_VALUE"""),"HKD")</f>
        <v>HKD</v>
      </c>
      <c r="F501" s="69">
        <f>IFERROR(__xludf.DUMMYFUNCTION("""COMPUTED_VALUE"""),5000.0)</f>
        <v>5000</v>
      </c>
      <c r="G501" s="70">
        <f>IFERROR(__xludf.DUMMYFUNCTION("""COMPUTED_VALUE"""),1.0)</f>
        <v>1</v>
      </c>
      <c r="H501" s="71">
        <f>IFERROR(__xludf.DUMMYFUNCTION("""COMPUTED_VALUE"""),25.65)</f>
        <v>25.65</v>
      </c>
      <c r="I501" s="71">
        <f>IFERROR(__xludf.DUMMYFUNCTION("""COMPUTED_VALUE"""),28.15)</f>
        <v>28.15</v>
      </c>
      <c r="J501" s="88" t="str">
        <f>IFERROR(__xludf.DUMMYFUNCTION("""COMPUTED_VALUE"""),"Goto link: 9939.HK")</f>
        <v>Goto link: 9939.HK</v>
      </c>
      <c r="K501" s="22"/>
      <c r="L501" s="22"/>
      <c r="M501" s="22"/>
      <c r="N501" s="22"/>
      <c r="O501" s="73"/>
      <c r="P501" s="8"/>
      <c r="Q501" s="69"/>
      <c r="R501" s="69"/>
      <c r="S501" s="8"/>
      <c r="T501" s="69"/>
      <c r="U501" s="8"/>
      <c r="V501" s="69"/>
      <c r="W501" s="74"/>
      <c r="X501" s="69"/>
    </row>
    <row r="502">
      <c r="A502" s="30" t="str">
        <f>IFERROR(__xludf.DUMMYFUNCTION("""COMPUTED_VALUE"""),"39704")</f>
        <v>39704</v>
      </c>
      <c r="B502" s="86">
        <f>IFERROR(__xludf.DUMMYFUNCTION("""COMPUTED_VALUE"""),44662.0)</f>
        <v>44662</v>
      </c>
      <c r="C502" s="64" t="str">
        <f>IFERROR(__xludf.DUMMYFUNCTION("""COMPUTED_VALUE"""),"Stock")</f>
        <v>Stock</v>
      </c>
      <c r="D502" s="91" t="str">
        <f>IFERROR(__xludf.DUMMYFUNCTION("""COMPUTED_VALUE"""),"9939.HK")</f>
        <v>9939.HK</v>
      </c>
      <c r="E502" s="5" t="str">
        <f>IFERROR(__xludf.DUMMYFUNCTION("""COMPUTED_VALUE"""),"HKD")</f>
        <v>HKD</v>
      </c>
      <c r="F502" s="69">
        <f>IFERROR(__xludf.DUMMYFUNCTION("""COMPUTED_VALUE"""),-5000.0)</f>
        <v>-5000</v>
      </c>
      <c r="G502" s="70">
        <f>IFERROR(__xludf.DUMMYFUNCTION("""COMPUTED_VALUE"""),1.0)</f>
        <v>1</v>
      </c>
      <c r="H502" s="71">
        <f>IFERROR(__xludf.DUMMYFUNCTION("""COMPUTED_VALUE"""),27.3)</f>
        <v>27.3</v>
      </c>
      <c r="I502" s="71">
        <f>IFERROR(__xludf.DUMMYFUNCTION("""COMPUTED_VALUE"""),28.15)</f>
        <v>28.15</v>
      </c>
      <c r="J502" s="88" t="str">
        <f>IFERROR(__xludf.DUMMYFUNCTION("""COMPUTED_VALUE"""),"Goto link: 9939.HK")</f>
        <v>Goto link: 9939.HK</v>
      </c>
      <c r="K502" s="22"/>
      <c r="L502" s="22"/>
      <c r="M502" s="22"/>
      <c r="N502" s="22"/>
      <c r="O502" s="73"/>
      <c r="P502" s="8"/>
      <c r="Q502" s="69"/>
      <c r="R502" s="69"/>
      <c r="S502" s="8"/>
      <c r="T502" s="69"/>
      <c r="U502" s="8"/>
      <c r="V502" s="69"/>
      <c r="W502" s="74"/>
      <c r="X502" s="69"/>
    </row>
    <row r="503">
      <c r="A503" s="30" t="str">
        <f>IFERROR(__xludf.DUMMYFUNCTION("""COMPUTED_VALUE"""),"39704")</f>
        <v>39704</v>
      </c>
      <c r="B503" s="86">
        <f>IFERROR(__xludf.DUMMYFUNCTION("""COMPUTED_VALUE"""),44662.0)</f>
        <v>44662</v>
      </c>
      <c r="C503" s="64" t="str">
        <f>IFERROR(__xludf.DUMMYFUNCTION("""COMPUTED_VALUE"""),"Stock")</f>
        <v>Stock</v>
      </c>
      <c r="D503" s="85" t="str">
        <f>IFERROR(__xludf.DUMMYFUNCTION("""COMPUTED_VALUE"""),"TWTR")</f>
        <v>TWTR</v>
      </c>
      <c r="E503" s="5" t="str">
        <f>IFERROR(__xludf.DUMMYFUNCTION("""COMPUTED_VALUE"""),"USD")</f>
        <v>USD</v>
      </c>
      <c r="F503" s="69">
        <f>IFERROR(__xludf.DUMMYFUNCTION("""COMPUTED_VALUE"""),-400.0)</f>
        <v>-400</v>
      </c>
      <c r="G503" s="70">
        <f>IFERROR(__xludf.DUMMYFUNCTION("""COMPUTED_VALUE"""),7.83915)</f>
        <v>7.83915</v>
      </c>
      <c r="H503" s="71">
        <f>IFERROR(__xludf.DUMMYFUNCTION("""COMPUTED_VALUE"""),47.01)</f>
        <v>47.01</v>
      </c>
      <c r="I503" s="71">
        <f>IFERROR(__xludf.DUMMYFUNCTION("""COMPUTED_VALUE"""),45.85)</f>
        <v>45.85</v>
      </c>
      <c r="J503" s="88" t="str">
        <f>IFERROR(__xludf.DUMMYFUNCTION("""COMPUTED_VALUE"""),"Goto link: TWTR")</f>
        <v>Goto link: TWTR</v>
      </c>
      <c r="K503" s="22"/>
      <c r="L503" s="22"/>
      <c r="M503" s="22"/>
      <c r="N503" s="22"/>
      <c r="O503" s="73"/>
      <c r="P503" s="8"/>
      <c r="Q503" s="69"/>
      <c r="R503" s="69"/>
      <c r="S503" s="8"/>
      <c r="T503" s="69"/>
      <c r="U503" s="8"/>
      <c r="V503" s="69"/>
      <c r="W503" s="74"/>
      <c r="X503" s="69"/>
    </row>
    <row r="504">
      <c r="A504" s="30" t="str">
        <f>IFERROR(__xludf.DUMMYFUNCTION("""COMPUTED_VALUE"""),"39704")</f>
        <v>39704</v>
      </c>
      <c r="B504" s="86">
        <f>IFERROR(__xludf.DUMMYFUNCTION("""COMPUTED_VALUE"""),44663.0)</f>
        <v>44663</v>
      </c>
      <c r="C504" s="64" t="str">
        <f>IFERROR(__xludf.DUMMYFUNCTION("""COMPUTED_VALUE"""),"Stock")</f>
        <v>Stock</v>
      </c>
      <c r="D504" s="85" t="str">
        <f>IFERROR(__xludf.DUMMYFUNCTION("""COMPUTED_VALUE"""),"TWTR")</f>
        <v>TWTR</v>
      </c>
      <c r="E504" s="5" t="str">
        <f>IFERROR(__xludf.DUMMYFUNCTION("""COMPUTED_VALUE"""),"USD")</f>
        <v>USD</v>
      </c>
      <c r="F504" s="69">
        <f>IFERROR(__xludf.DUMMYFUNCTION("""COMPUTED_VALUE"""),400.0)</f>
        <v>400</v>
      </c>
      <c r="G504" s="70">
        <f>IFERROR(__xludf.DUMMYFUNCTION("""COMPUTED_VALUE"""),7.83915)</f>
        <v>7.83915</v>
      </c>
      <c r="H504" s="71">
        <f>IFERROR(__xludf.DUMMYFUNCTION("""COMPUTED_VALUE"""),44.48)</f>
        <v>44.48</v>
      </c>
      <c r="I504" s="71">
        <f>IFERROR(__xludf.DUMMYFUNCTION("""COMPUTED_VALUE"""),45.85)</f>
        <v>45.85</v>
      </c>
      <c r="J504" s="88" t="str">
        <f>IFERROR(__xludf.DUMMYFUNCTION("""COMPUTED_VALUE"""),"Goto link: TWTR")</f>
        <v>Goto link: TWTR</v>
      </c>
      <c r="K504" s="22"/>
      <c r="L504" s="22"/>
      <c r="M504" s="22"/>
      <c r="N504" s="22"/>
      <c r="O504" s="73"/>
      <c r="P504" s="8"/>
      <c r="Q504" s="69"/>
      <c r="R504" s="69"/>
      <c r="S504" s="8"/>
      <c r="T504" s="69"/>
      <c r="U504" s="8"/>
      <c r="V504" s="69"/>
      <c r="W504" s="74"/>
      <c r="X504" s="69"/>
    </row>
    <row r="505">
      <c r="A505" s="30" t="str">
        <f>IFERROR(__xludf.DUMMYFUNCTION("""COMPUTED_VALUE"""),"39704")</f>
        <v>39704</v>
      </c>
      <c r="B505" s="86">
        <f>IFERROR(__xludf.DUMMYFUNCTION("""COMPUTED_VALUE"""),44664.0)</f>
        <v>44664</v>
      </c>
      <c r="C505" s="64" t="str">
        <f>IFERROR(__xludf.DUMMYFUNCTION("""COMPUTED_VALUE"""),"Stock")</f>
        <v>Stock</v>
      </c>
      <c r="D505" s="85" t="str">
        <f>IFERROR(__xludf.DUMMYFUNCTION("""COMPUTED_VALUE"""),"AEP")</f>
        <v>AEP</v>
      </c>
      <c r="E505" s="5" t="str">
        <f>IFERROR(__xludf.DUMMYFUNCTION("""COMPUTED_VALUE"""),"USD")</f>
        <v>USD</v>
      </c>
      <c r="F505" s="69">
        <f>IFERROR(__xludf.DUMMYFUNCTION("""COMPUTED_VALUE"""),-100.0)</f>
        <v>-100</v>
      </c>
      <c r="G505" s="70">
        <f>IFERROR(__xludf.DUMMYFUNCTION("""COMPUTED_VALUE"""),7.83915)</f>
        <v>7.83915</v>
      </c>
      <c r="H505" s="71">
        <f>IFERROR(__xludf.DUMMYFUNCTION("""COMPUTED_VALUE"""),102.25)</f>
        <v>102.25</v>
      </c>
      <c r="I505" s="71">
        <f>IFERROR(__xludf.DUMMYFUNCTION("""COMPUTED_VALUE"""),102.25)</f>
        <v>102.25</v>
      </c>
      <c r="J505" s="88" t="str">
        <f>IFERROR(__xludf.DUMMYFUNCTION("""COMPUTED_VALUE"""),"Goto link: AEP")</f>
        <v>Goto link: AEP</v>
      </c>
      <c r="K505" s="22"/>
      <c r="L505" s="22"/>
      <c r="M505" s="22"/>
      <c r="N505" s="22"/>
      <c r="O505" s="73"/>
      <c r="P505" s="8"/>
      <c r="Q505" s="69"/>
      <c r="R505" s="69"/>
      <c r="S505" s="8"/>
      <c r="T505" s="69"/>
      <c r="U505" s="8"/>
      <c r="V505" s="69"/>
      <c r="W505" s="74"/>
      <c r="X505" s="69"/>
    </row>
    <row r="506">
      <c r="A506" s="30" t="str">
        <f>IFERROR(__xludf.DUMMYFUNCTION("""COMPUTED_VALUE"""),"39704 Total")</f>
        <v>39704 Total</v>
      </c>
      <c r="B506" s="5"/>
      <c r="C506" s="64"/>
      <c r="D506" s="85"/>
      <c r="E506" s="5"/>
      <c r="F506" s="69"/>
      <c r="G506" s="70">
        <f>IFERROR(__xludf.DUMMYFUNCTION("""COMPUTED_VALUE"""),4.730445454545455)</f>
        <v>4.730445455</v>
      </c>
      <c r="H506" s="71">
        <f>IFERROR(__xludf.DUMMYFUNCTION("""COMPUTED_VALUE"""),1091.26)</f>
        <v>1091.26</v>
      </c>
      <c r="I506" s="71" t="str">
        <f>IFERROR(__xludf.DUMMYFUNCTION("""COMPUTED_VALUE"""),"")</f>
        <v/>
      </c>
      <c r="J506" s="22" t="str">
        <f>IFERROR(__xludf.DUMMYFUNCTION("""COMPUTED_VALUE"""),"")</f>
        <v/>
      </c>
      <c r="K506" s="22"/>
      <c r="L506" s="22"/>
      <c r="M506" s="22"/>
      <c r="N506" s="22"/>
      <c r="O506" s="73"/>
      <c r="P506" s="8"/>
      <c r="Q506" s="69"/>
      <c r="R506" s="69"/>
      <c r="S506" s="8"/>
      <c r="T506" s="69"/>
      <c r="U506" s="8"/>
      <c r="V506" s="69"/>
      <c r="W506" s="74"/>
      <c r="X506" s="69"/>
    </row>
    <row r="507">
      <c r="A507" s="30" t="str">
        <f>IFERROR(__xludf.DUMMYFUNCTION("""COMPUTED_VALUE"""),"39776")</f>
        <v>39776</v>
      </c>
      <c r="B507" s="86">
        <f>IFERROR(__xludf.DUMMYFUNCTION("""COMPUTED_VALUE"""),44597.0)</f>
        <v>44597</v>
      </c>
      <c r="C507" s="64" t="str">
        <f>IFERROR(__xludf.DUMMYFUNCTION("""COMPUTED_VALUE"""),"Cash")</f>
        <v>Cash</v>
      </c>
      <c r="D507" s="85" t="str">
        <f>IFERROR(__xludf.DUMMYFUNCTION("""COMPUTED_VALUE"""),"Cash")</f>
        <v>Cash</v>
      </c>
      <c r="E507" s="5" t="str">
        <f>IFERROR(__xludf.DUMMYFUNCTION("""COMPUTED_VALUE"""),"HKD")</f>
        <v>HKD</v>
      </c>
      <c r="F507" s="69" t="str">
        <f>IFERROR(__xludf.DUMMYFUNCTION("""COMPUTED_VALUE"""),"")</f>
        <v/>
      </c>
      <c r="G507" s="70">
        <f>IFERROR(__xludf.DUMMYFUNCTION("""COMPUTED_VALUE"""),1.0)</f>
        <v>1</v>
      </c>
      <c r="H507" s="71">
        <f>IFERROR(__xludf.DUMMYFUNCTION("""COMPUTED_VALUE"""),1.0)</f>
        <v>1</v>
      </c>
      <c r="I507" s="71">
        <f>IFERROR(__xludf.DUMMYFUNCTION("""COMPUTED_VALUE"""),1.0)</f>
        <v>1</v>
      </c>
      <c r="J507" s="22" t="str">
        <f>IFERROR(__xludf.DUMMYFUNCTION("""COMPUTED_VALUE"""),"")</f>
        <v/>
      </c>
      <c r="K507" s="22"/>
      <c r="L507" s="22"/>
      <c r="M507" s="22"/>
      <c r="N507" s="22"/>
      <c r="O507" s="73"/>
      <c r="P507" s="8"/>
      <c r="Q507" s="69"/>
      <c r="R507" s="69"/>
      <c r="S507" s="8"/>
      <c r="T507" s="69"/>
      <c r="U507" s="8"/>
      <c r="V507" s="69"/>
      <c r="W507" s="74"/>
      <c r="X507" s="69"/>
    </row>
    <row r="508">
      <c r="A508" s="30" t="str">
        <f>IFERROR(__xludf.DUMMYFUNCTION("""COMPUTED_VALUE"""),"39776")</f>
        <v>39776</v>
      </c>
      <c r="B508" s="86">
        <f>IFERROR(__xludf.DUMMYFUNCTION("""COMPUTED_VALUE"""),44623.0)</f>
        <v>44623</v>
      </c>
      <c r="C508" s="64" t="str">
        <f>IFERROR(__xludf.DUMMYFUNCTION("""COMPUTED_VALUE"""),"Stock")</f>
        <v>Stock</v>
      </c>
      <c r="D508" s="90" t="str">
        <f>IFERROR(__xludf.DUMMYFUNCTION("""COMPUTED_VALUE"""),"1208.HK")</f>
        <v>1208.HK</v>
      </c>
      <c r="E508" s="5" t="str">
        <f>IFERROR(__xludf.DUMMYFUNCTION("""COMPUTED_VALUE"""),"HKD")</f>
        <v>HKD</v>
      </c>
      <c r="F508" s="69">
        <f>IFERROR(__xludf.DUMMYFUNCTION("""COMPUTED_VALUE"""),0.0)</f>
        <v>0</v>
      </c>
      <c r="G508" s="70">
        <f>IFERROR(__xludf.DUMMYFUNCTION("""COMPUTED_VALUE"""),1.0)</f>
        <v>1</v>
      </c>
      <c r="H508" s="71">
        <f>IFERROR(__xludf.DUMMYFUNCTION("""COMPUTED_VALUE"""),0.0)</f>
        <v>0</v>
      </c>
      <c r="I508" s="71">
        <f>IFERROR(__xludf.DUMMYFUNCTION("""COMPUTED_VALUE"""),3.75)</f>
        <v>3.75</v>
      </c>
      <c r="J508" s="88" t="str">
        <f>IFERROR(__xludf.DUMMYFUNCTION("""COMPUTED_VALUE"""),"Goto link: 1208.HK")</f>
        <v>Goto link: 1208.HK</v>
      </c>
      <c r="K508" s="22"/>
      <c r="L508" s="22"/>
      <c r="M508" s="22"/>
      <c r="N508" s="22"/>
      <c r="O508" s="73"/>
      <c r="P508" s="8"/>
      <c r="Q508" s="69"/>
      <c r="R508" s="69"/>
      <c r="S508" s="8"/>
      <c r="T508" s="69"/>
      <c r="U508" s="8"/>
      <c r="V508" s="69"/>
      <c r="W508" s="74"/>
      <c r="X508" s="69"/>
    </row>
    <row r="509">
      <c r="A509" s="30" t="str">
        <f>IFERROR(__xludf.DUMMYFUNCTION("""COMPUTED_VALUE"""),"39776")</f>
        <v>39776</v>
      </c>
      <c r="B509" s="86">
        <f>IFERROR(__xludf.DUMMYFUNCTION("""COMPUTED_VALUE"""),44623.0)</f>
        <v>44623</v>
      </c>
      <c r="C509" s="64" t="str">
        <f>IFERROR(__xludf.DUMMYFUNCTION("""COMPUTED_VALUE"""),"Stock")</f>
        <v>Stock</v>
      </c>
      <c r="D509" s="90" t="str">
        <f>IFERROR(__xludf.DUMMYFUNCTION("""COMPUTED_VALUE"""),"3800.hk")</f>
        <v>3800.hk</v>
      </c>
      <c r="E509" s="5" t="str">
        <f>IFERROR(__xludf.DUMMYFUNCTION("""COMPUTED_VALUE"""),"HKD")</f>
        <v>HKD</v>
      </c>
      <c r="F509" s="69">
        <f>IFERROR(__xludf.DUMMYFUNCTION("""COMPUTED_VALUE"""),0.0)</f>
        <v>0</v>
      </c>
      <c r="G509" s="70">
        <f>IFERROR(__xludf.DUMMYFUNCTION("""COMPUTED_VALUE"""),1.0)</f>
        <v>1</v>
      </c>
      <c r="H509" s="71">
        <f>IFERROR(__xludf.DUMMYFUNCTION("""COMPUTED_VALUE"""),0.0)</f>
        <v>0</v>
      </c>
      <c r="I509" s="71">
        <f>IFERROR(__xludf.DUMMYFUNCTION("""COMPUTED_VALUE"""),2.51)</f>
        <v>2.51</v>
      </c>
      <c r="J509" s="88" t="str">
        <f>IFERROR(__xludf.DUMMYFUNCTION("""COMPUTED_VALUE"""),"Goto link: 3800.hk")</f>
        <v>Goto link: 3800.hk</v>
      </c>
      <c r="K509" s="22"/>
      <c r="L509" s="22"/>
      <c r="M509" s="22"/>
      <c r="N509" s="22"/>
      <c r="O509" s="73"/>
      <c r="P509" s="8"/>
      <c r="Q509" s="69"/>
      <c r="R509" s="69"/>
      <c r="S509" s="8"/>
      <c r="T509" s="69"/>
      <c r="U509" s="8"/>
      <c r="V509" s="69"/>
      <c r="W509" s="74"/>
      <c r="X509" s="69"/>
    </row>
    <row r="510">
      <c r="A510" s="30" t="str">
        <f>IFERROR(__xludf.DUMMYFUNCTION("""COMPUTED_VALUE"""),"39776")</f>
        <v>39776</v>
      </c>
      <c r="B510" s="86">
        <f>IFERROR(__xludf.DUMMYFUNCTION("""COMPUTED_VALUE"""),44623.0)</f>
        <v>44623</v>
      </c>
      <c r="C510" s="64" t="str">
        <f>IFERROR(__xludf.DUMMYFUNCTION("""COMPUTED_VALUE"""),"Stock")</f>
        <v>Stock</v>
      </c>
      <c r="D510" s="90" t="str">
        <f>IFERROR(__xludf.DUMMYFUNCTION("""COMPUTED_VALUE"""),"3800.hk")</f>
        <v>3800.hk</v>
      </c>
      <c r="E510" s="5" t="str">
        <f>IFERROR(__xludf.DUMMYFUNCTION("""COMPUTED_VALUE"""),"HKD")</f>
        <v>HKD</v>
      </c>
      <c r="F510" s="69">
        <f>IFERROR(__xludf.DUMMYFUNCTION("""COMPUTED_VALUE"""),5000.0)</f>
        <v>5000</v>
      </c>
      <c r="G510" s="70">
        <f>IFERROR(__xludf.DUMMYFUNCTION("""COMPUTED_VALUE"""),1.0)</f>
        <v>1</v>
      </c>
      <c r="H510" s="71">
        <f>IFERROR(__xludf.DUMMYFUNCTION("""COMPUTED_VALUE"""),2.97)</f>
        <v>2.97</v>
      </c>
      <c r="I510" s="71">
        <f>IFERROR(__xludf.DUMMYFUNCTION("""COMPUTED_VALUE"""),2.51)</f>
        <v>2.51</v>
      </c>
      <c r="J510" s="88" t="str">
        <f>IFERROR(__xludf.DUMMYFUNCTION("""COMPUTED_VALUE"""),"Goto link: 3800.hk")</f>
        <v>Goto link: 3800.hk</v>
      </c>
      <c r="K510" s="22"/>
      <c r="L510" s="22"/>
      <c r="M510" s="22"/>
      <c r="N510" s="22"/>
      <c r="O510" s="73"/>
      <c r="P510" s="8"/>
      <c r="Q510" s="69"/>
      <c r="R510" s="69"/>
      <c r="S510" s="8"/>
      <c r="T510" s="69"/>
      <c r="U510" s="8"/>
      <c r="V510" s="69"/>
      <c r="W510" s="74"/>
      <c r="X510" s="69"/>
    </row>
    <row r="511">
      <c r="A511" s="30" t="str">
        <f>IFERROR(__xludf.DUMMYFUNCTION("""COMPUTED_VALUE"""),"39776")</f>
        <v>39776</v>
      </c>
      <c r="B511" s="86">
        <f>IFERROR(__xludf.DUMMYFUNCTION("""COMPUTED_VALUE"""),44638.0)</f>
        <v>44638</v>
      </c>
      <c r="C511" s="64" t="str">
        <f>IFERROR(__xludf.DUMMYFUNCTION("""COMPUTED_VALUE"""),"Stock")</f>
        <v>Stock</v>
      </c>
      <c r="D511" s="90" t="str">
        <f>IFERROR(__xludf.DUMMYFUNCTION("""COMPUTED_VALUE"""),"3800.HK")</f>
        <v>3800.HK</v>
      </c>
      <c r="E511" s="5" t="str">
        <f>IFERROR(__xludf.DUMMYFUNCTION("""COMPUTED_VALUE"""),"HKD")</f>
        <v>HKD</v>
      </c>
      <c r="F511" s="69">
        <f>IFERROR(__xludf.DUMMYFUNCTION("""COMPUTED_VALUE"""),0.0)</f>
        <v>0</v>
      </c>
      <c r="G511" s="70">
        <f>IFERROR(__xludf.DUMMYFUNCTION("""COMPUTED_VALUE"""),1.0)</f>
        <v>1</v>
      </c>
      <c r="H511" s="71">
        <f>IFERROR(__xludf.DUMMYFUNCTION("""COMPUTED_VALUE"""),0.0)</f>
        <v>0</v>
      </c>
      <c r="I511" s="71">
        <f>IFERROR(__xludf.DUMMYFUNCTION("""COMPUTED_VALUE"""),2.51)</f>
        <v>2.51</v>
      </c>
      <c r="J511" s="88" t="str">
        <f>IFERROR(__xludf.DUMMYFUNCTION("""COMPUTED_VALUE"""),"Goto link: 3800.HK")</f>
        <v>Goto link: 3800.HK</v>
      </c>
      <c r="K511" s="22"/>
      <c r="L511" s="22"/>
      <c r="M511" s="22"/>
      <c r="N511" s="22"/>
      <c r="O511" s="73"/>
      <c r="P511" s="8"/>
      <c r="Q511" s="69"/>
      <c r="R511" s="69"/>
      <c r="S511" s="8"/>
      <c r="T511" s="69"/>
      <c r="U511" s="8"/>
      <c r="V511" s="69"/>
      <c r="W511" s="74"/>
      <c r="X511" s="69"/>
    </row>
    <row r="512">
      <c r="A512" s="30" t="str">
        <f>IFERROR(__xludf.DUMMYFUNCTION("""COMPUTED_VALUE"""),"39776")</f>
        <v>39776</v>
      </c>
      <c r="B512" s="86">
        <f>IFERROR(__xludf.DUMMYFUNCTION("""COMPUTED_VALUE"""),44643.0)</f>
        <v>44643</v>
      </c>
      <c r="C512" s="64" t="str">
        <f>IFERROR(__xludf.DUMMYFUNCTION("""COMPUTED_VALUE"""),"Stock")</f>
        <v>Stock</v>
      </c>
      <c r="D512" s="90" t="str">
        <f>IFERROR(__xludf.DUMMYFUNCTION("""COMPUTED_VALUE"""),"3315.HK")</f>
        <v>3315.HK</v>
      </c>
      <c r="E512" s="5" t="str">
        <f>IFERROR(__xludf.DUMMYFUNCTION("""COMPUTED_VALUE"""),"HKD")</f>
        <v>HKD</v>
      </c>
      <c r="F512" s="69">
        <f>IFERROR(__xludf.DUMMYFUNCTION("""COMPUTED_VALUE"""),0.0)</f>
        <v>0</v>
      </c>
      <c r="G512" s="70">
        <f>IFERROR(__xludf.DUMMYFUNCTION("""COMPUTED_VALUE"""),1.0)</f>
        <v>1</v>
      </c>
      <c r="H512" s="71">
        <f>IFERROR(__xludf.DUMMYFUNCTION("""COMPUTED_VALUE"""),0.0)</f>
        <v>0</v>
      </c>
      <c r="I512" s="71">
        <f>IFERROR(__xludf.DUMMYFUNCTION("""COMPUTED_VALUE"""),2.08)</f>
        <v>2.08</v>
      </c>
      <c r="J512" s="88" t="str">
        <f>IFERROR(__xludf.DUMMYFUNCTION("""COMPUTED_VALUE"""),"Goto link: 3315.HK")</f>
        <v>Goto link: 3315.HK</v>
      </c>
      <c r="K512" s="22"/>
      <c r="L512" s="22"/>
      <c r="M512" s="22"/>
      <c r="N512" s="22"/>
      <c r="O512" s="73"/>
      <c r="P512" s="8"/>
      <c r="Q512" s="69"/>
      <c r="R512" s="69"/>
      <c r="S512" s="8"/>
      <c r="T512" s="69"/>
      <c r="U512" s="8"/>
      <c r="V512" s="69"/>
      <c r="W512" s="74"/>
      <c r="X512" s="69"/>
    </row>
    <row r="513">
      <c r="A513" s="30" t="str">
        <f>IFERROR(__xludf.DUMMYFUNCTION("""COMPUTED_VALUE"""),"39776")</f>
        <v>39776</v>
      </c>
      <c r="B513" s="86">
        <f>IFERROR(__xludf.DUMMYFUNCTION("""COMPUTED_VALUE"""),44645.0)</f>
        <v>44645</v>
      </c>
      <c r="C513" s="64" t="str">
        <f>IFERROR(__xludf.DUMMYFUNCTION("""COMPUTED_VALUE"""),"Stock")</f>
        <v>Stock</v>
      </c>
      <c r="D513" s="90" t="str">
        <f>IFERROR(__xludf.DUMMYFUNCTION("""COMPUTED_VALUE"""),"0288.HK")</f>
        <v>0288.HK</v>
      </c>
      <c r="E513" s="5" t="str">
        <f>IFERROR(__xludf.DUMMYFUNCTION("""COMPUTED_VALUE"""),"HKD")</f>
        <v>HKD</v>
      </c>
      <c r="F513" s="69">
        <f>IFERROR(__xludf.DUMMYFUNCTION("""COMPUTED_VALUE"""),10000.0)</f>
        <v>10000</v>
      </c>
      <c r="G513" s="70">
        <f>IFERROR(__xludf.DUMMYFUNCTION("""COMPUTED_VALUE"""),1.0)</f>
        <v>1</v>
      </c>
      <c r="H513" s="71">
        <f>IFERROR(__xludf.DUMMYFUNCTION("""COMPUTED_VALUE"""),4.69)</f>
        <v>4.69</v>
      </c>
      <c r="I513" s="71">
        <f>IFERROR(__xludf.DUMMYFUNCTION("""COMPUTED_VALUE"""),5.05)</f>
        <v>5.05</v>
      </c>
      <c r="J513" s="88" t="str">
        <f>IFERROR(__xludf.DUMMYFUNCTION("""COMPUTED_VALUE"""),"Goto link: 0288.HK")</f>
        <v>Goto link: 0288.HK</v>
      </c>
      <c r="K513" s="22"/>
      <c r="L513" s="22"/>
      <c r="M513" s="22"/>
      <c r="N513" s="22"/>
      <c r="O513" s="73"/>
      <c r="P513" s="8"/>
      <c r="Q513" s="69"/>
      <c r="R513" s="69"/>
      <c r="S513" s="8"/>
      <c r="T513" s="69"/>
      <c r="U513" s="8"/>
      <c r="V513" s="69"/>
      <c r="W513" s="74"/>
      <c r="X513" s="69"/>
    </row>
    <row r="514">
      <c r="A514" s="30" t="str">
        <f>IFERROR(__xludf.DUMMYFUNCTION("""COMPUTED_VALUE"""),"39776")</f>
        <v>39776</v>
      </c>
      <c r="B514" s="86">
        <f>IFERROR(__xludf.DUMMYFUNCTION("""COMPUTED_VALUE"""),44645.0)</f>
        <v>44645</v>
      </c>
      <c r="C514" s="64" t="str">
        <f>IFERROR(__xludf.DUMMYFUNCTION("""COMPUTED_VALUE"""),"Stock")</f>
        <v>Stock</v>
      </c>
      <c r="D514" s="90" t="str">
        <f>IFERROR(__xludf.DUMMYFUNCTION("""COMPUTED_VALUE"""),"0700.HK")</f>
        <v>0700.HK</v>
      </c>
      <c r="E514" s="5" t="str">
        <f>IFERROR(__xludf.DUMMYFUNCTION("""COMPUTED_VALUE"""),"HKD")</f>
        <v>HKD</v>
      </c>
      <c r="F514" s="69">
        <f>IFERROR(__xludf.DUMMYFUNCTION("""COMPUTED_VALUE"""),0.0)</f>
        <v>0</v>
      </c>
      <c r="G514" s="70">
        <f>IFERROR(__xludf.DUMMYFUNCTION("""COMPUTED_VALUE"""),1.0)</f>
        <v>1</v>
      </c>
      <c r="H514" s="71">
        <f>IFERROR(__xludf.DUMMYFUNCTION("""COMPUTED_VALUE"""),0.0)</f>
        <v>0</v>
      </c>
      <c r="I514" s="71">
        <f>IFERROR(__xludf.DUMMYFUNCTION("""COMPUTED_VALUE"""),373.6)</f>
        <v>373.6</v>
      </c>
      <c r="J514" s="88" t="str">
        <f>IFERROR(__xludf.DUMMYFUNCTION("""COMPUTED_VALUE"""),"Goto link: 0700.HK")</f>
        <v>Goto link: 0700.HK</v>
      </c>
      <c r="K514" s="22"/>
      <c r="L514" s="22"/>
      <c r="M514" s="22"/>
      <c r="N514" s="22"/>
      <c r="O514" s="73"/>
      <c r="P514" s="8"/>
      <c r="Q514" s="69"/>
      <c r="R514" s="69"/>
      <c r="S514" s="8"/>
      <c r="T514" s="69"/>
      <c r="U514" s="8"/>
      <c r="V514" s="69"/>
      <c r="W514" s="74"/>
      <c r="X514" s="69"/>
    </row>
    <row r="515">
      <c r="A515" s="30" t="str">
        <f>IFERROR(__xludf.DUMMYFUNCTION("""COMPUTED_VALUE"""),"39776")</f>
        <v>39776</v>
      </c>
      <c r="B515" s="86">
        <f>IFERROR(__xludf.DUMMYFUNCTION("""COMPUTED_VALUE"""),44657.0)</f>
        <v>44657</v>
      </c>
      <c r="C515" s="64" t="str">
        <f>IFERROR(__xludf.DUMMYFUNCTION("""COMPUTED_VALUE"""),"Stock")</f>
        <v>Stock</v>
      </c>
      <c r="D515" s="90" t="str">
        <f>IFERROR(__xludf.DUMMYFUNCTION("""COMPUTED_VALUE"""),"2319.HK")</f>
        <v>2319.HK</v>
      </c>
      <c r="E515" s="5" t="str">
        <f>IFERROR(__xludf.DUMMYFUNCTION("""COMPUTED_VALUE"""),"HKD")</f>
        <v>HKD</v>
      </c>
      <c r="F515" s="69">
        <f>IFERROR(__xludf.DUMMYFUNCTION("""COMPUTED_VALUE"""),1000.0)</f>
        <v>1000</v>
      </c>
      <c r="G515" s="70">
        <f>IFERROR(__xludf.DUMMYFUNCTION("""COMPUTED_VALUE"""),1.0)</f>
        <v>1</v>
      </c>
      <c r="H515" s="71">
        <f>IFERROR(__xludf.DUMMYFUNCTION("""COMPUTED_VALUE"""),42.55)</f>
        <v>42.55</v>
      </c>
      <c r="I515" s="71">
        <f>IFERROR(__xludf.DUMMYFUNCTION("""COMPUTED_VALUE"""),42.6)</f>
        <v>42.6</v>
      </c>
      <c r="J515" s="88" t="str">
        <f>IFERROR(__xludf.DUMMYFUNCTION("""COMPUTED_VALUE"""),"Goto link: 2319.HK")</f>
        <v>Goto link: 2319.HK</v>
      </c>
      <c r="K515" s="22"/>
      <c r="L515" s="22"/>
      <c r="M515" s="22"/>
      <c r="N515" s="22"/>
      <c r="O515" s="73"/>
      <c r="P515" s="8"/>
      <c r="Q515" s="69"/>
      <c r="R515" s="69"/>
      <c r="S515" s="8"/>
      <c r="T515" s="69"/>
      <c r="U515" s="8"/>
      <c r="V515" s="69"/>
      <c r="W515" s="74"/>
      <c r="X515" s="69"/>
    </row>
    <row r="516">
      <c r="A516" s="30" t="str">
        <f>IFERROR(__xludf.DUMMYFUNCTION("""COMPUTED_VALUE"""),"39776")</f>
        <v>39776</v>
      </c>
      <c r="B516" s="86">
        <f>IFERROR(__xludf.DUMMYFUNCTION("""COMPUTED_VALUE"""),44659.0)</f>
        <v>44659</v>
      </c>
      <c r="C516" s="64" t="str">
        <f>IFERROR(__xludf.DUMMYFUNCTION("""COMPUTED_VALUE"""),"Stock")</f>
        <v>Stock</v>
      </c>
      <c r="D516" s="91" t="str">
        <f>IFERROR(__xludf.DUMMYFUNCTION("""COMPUTED_VALUE"""),"3800.HK")</f>
        <v>3800.HK</v>
      </c>
      <c r="E516" s="5" t="str">
        <f>IFERROR(__xludf.DUMMYFUNCTION("""COMPUTED_VALUE"""),"HKD")</f>
        <v>HKD</v>
      </c>
      <c r="F516" s="69">
        <f>IFERROR(__xludf.DUMMYFUNCTION("""COMPUTED_VALUE"""),0.0)</f>
        <v>0</v>
      </c>
      <c r="G516" s="70">
        <f>IFERROR(__xludf.DUMMYFUNCTION("""COMPUTED_VALUE"""),1.0)</f>
        <v>1</v>
      </c>
      <c r="H516" s="71">
        <f>IFERROR(__xludf.DUMMYFUNCTION("""COMPUTED_VALUE"""),0.0)</f>
        <v>0</v>
      </c>
      <c r="I516" s="71">
        <f>IFERROR(__xludf.DUMMYFUNCTION("""COMPUTED_VALUE"""),2.51)</f>
        <v>2.51</v>
      </c>
      <c r="J516" s="88" t="str">
        <f>IFERROR(__xludf.DUMMYFUNCTION("""COMPUTED_VALUE"""),"Goto link: 3800.HK")</f>
        <v>Goto link: 3800.HK</v>
      </c>
      <c r="K516" s="22"/>
      <c r="L516" s="22"/>
      <c r="M516" s="22"/>
      <c r="N516" s="22"/>
      <c r="O516" s="73"/>
      <c r="P516" s="8"/>
      <c r="Q516" s="69"/>
      <c r="R516" s="69"/>
      <c r="S516" s="8"/>
      <c r="T516" s="69"/>
      <c r="U516" s="8"/>
      <c r="V516" s="69"/>
      <c r="W516" s="74"/>
      <c r="X516" s="69"/>
    </row>
    <row r="517">
      <c r="A517" s="30" t="str">
        <f>IFERROR(__xludf.DUMMYFUNCTION("""COMPUTED_VALUE"""),"39776")</f>
        <v>39776</v>
      </c>
      <c r="B517" s="86">
        <f>IFERROR(__xludf.DUMMYFUNCTION("""COMPUTED_VALUE"""),44659.0)</f>
        <v>44659</v>
      </c>
      <c r="C517" s="64" t="str">
        <f>IFERROR(__xludf.DUMMYFUNCTION("""COMPUTED_VALUE"""),"Stock")</f>
        <v>Stock</v>
      </c>
      <c r="D517" s="91" t="str">
        <f>IFERROR(__xludf.DUMMYFUNCTION("""COMPUTED_VALUE"""),"3800.HK")</f>
        <v>3800.HK</v>
      </c>
      <c r="E517" s="5" t="str">
        <f>IFERROR(__xludf.DUMMYFUNCTION("""COMPUTED_VALUE"""),"HKD")</f>
        <v>HKD</v>
      </c>
      <c r="F517" s="69">
        <f>IFERROR(__xludf.DUMMYFUNCTION("""COMPUTED_VALUE"""),10000.0)</f>
        <v>10000</v>
      </c>
      <c r="G517" s="70">
        <f>IFERROR(__xludf.DUMMYFUNCTION("""COMPUTED_VALUE"""),1.0)</f>
        <v>1</v>
      </c>
      <c r="H517" s="71">
        <f>IFERROR(__xludf.DUMMYFUNCTION("""COMPUTED_VALUE"""),2.51)</f>
        <v>2.51</v>
      </c>
      <c r="I517" s="71">
        <f>IFERROR(__xludf.DUMMYFUNCTION("""COMPUTED_VALUE"""),2.51)</f>
        <v>2.51</v>
      </c>
      <c r="J517" s="88" t="str">
        <f>IFERROR(__xludf.DUMMYFUNCTION("""COMPUTED_VALUE"""),"Goto link: 3800.HK")</f>
        <v>Goto link: 3800.HK</v>
      </c>
      <c r="K517" s="22"/>
      <c r="L517" s="22"/>
      <c r="M517" s="22"/>
      <c r="N517" s="22"/>
      <c r="O517" s="73"/>
      <c r="P517" s="8"/>
      <c r="Q517" s="69"/>
      <c r="R517" s="69"/>
      <c r="S517" s="8"/>
      <c r="T517" s="69"/>
      <c r="U517" s="8"/>
      <c r="V517" s="69"/>
      <c r="W517" s="74"/>
      <c r="X517" s="69"/>
    </row>
    <row r="518">
      <c r="A518" s="30" t="str">
        <f>IFERROR(__xludf.DUMMYFUNCTION("""COMPUTED_VALUE"""),"39776")</f>
        <v>39776</v>
      </c>
      <c r="B518" s="86">
        <f>IFERROR(__xludf.DUMMYFUNCTION("""COMPUTED_VALUE"""),44659.0)</f>
        <v>44659</v>
      </c>
      <c r="C518" s="64" t="str">
        <f>IFERROR(__xludf.DUMMYFUNCTION("""COMPUTED_VALUE"""),"Stock")</f>
        <v>Stock</v>
      </c>
      <c r="D518" s="91" t="str">
        <f>IFERROR(__xludf.DUMMYFUNCTION("""COMPUTED_VALUE"""),"9858.HK")</f>
        <v>9858.HK</v>
      </c>
      <c r="E518" s="5" t="str">
        <f>IFERROR(__xludf.DUMMYFUNCTION("""COMPUTED_VALUE"""),"HKD")</f>
        <v>HKD</v>
      </c>
      <c r="F518" s="69">
        <f>IFERROR(__xludf.DUMMYFUNCTION("""COMPUTED_VALUE"""),0.0)</f>
        <v>0</v>
      </c>
      <c r="G518" s="70">
        <f>IFERROR(__xludf.DUMMYFUNCTION("""COMPUTED_VALUE"""),1.0)</f>
        <v>1</v>
      </c>
      <c r="H518" s="71">
        <f>IFERROR(__xludf.DUMMYFUNCTION("""COMPUTED_VALUE"""),0.0)</f>
        <v>0</v>
      </c>
      <c r="I518" s="71">
        <f>IFERROR(__xludf.DUMMYFUNCTION("""COMPUTED_VALUE"""),3.42)</f>
        <v>3.42</v>
      </c>
      <c r="J518" s="88" t="str">
        <f>IFERROR(__xludf.DUMMYFUNCTION("""COMPUTED_VALUE"""),"Goto link: 9858.HK")</f>
        <v>Goto link: 9858.HK</v>
      </c>
      <c r="K518" s="22"/>
      <c r="L518" s="22"/>
      <c r="M518" s="22"/>
      <c r="N518" s="22"/>
      <c r="O518" s="73"/>
      <c r="P518" s="8"/>
      <c r="Q518" s="69"/>
      <c r="R518" s="69"/>
      <c r="S518" s="8"/>
      <c r="T518" s="69"/>
      <c r="U518" s="8"/>
      <c r="V518" s="69"/>
      <c r="W518" s="74"/>
      <c r="X518" s="69"/>
    </row>
    <row r="519">
      <c r="A519" s="30" t="str">
        <f>IFERROR(__xludf.DUMMYFUNCTION("""COMPUTED_VALUE"""),"39776")</f>
        <v>39776</v>
      </c>
      <c r="B519" s="86">
        <f>IFERROR(__xludf.DUMMYFUNCTION("""COMPUTED_VALUE"""),44662.0)</f>
        <v>44662</v>
      </c>
      <c r="C519" s="64" t="str">
        <f>IFERROR(__xludf.DUMMYFUNCTION("""COMPUTED_VALUE"""),"Stock")</f>
        <v>Stock</v>
      </c>
      <c r="D519" s="91" t="str">
        <f>IFERROR(__xludf.DUMMYFUNCTION("""COMPUTED_VALUE"""),"0570.HK")</f>
        <v>0570.HK</v>
      </c>
      <c r="E519" s="5" t="str">
        <f>IFERROR(__xludf.DUMMYFUNCTION("""COMPUTED_VALUE"""),"HKD")</f>
        <v>HKD</v>
      </c>
      <c r="F519" s="69">
        <f>IFERROR(__xludf.DUMMYFUNCTION("""COMPUTED_VALUE"""),0.0)</f>
        <v>0</v>
      </c>
      <c r="G519" s="70">
        <f>IFERROR(__xludf.DUMMYFUNCTION("""COMPUTED_VALUE"""),1.0)</f>
        <v>1</v>
      </c>
      <c r="H519" s="71">
        <f>IFERROR(__xludf.DUMMYFUNCTION("""COMPUTED_VALUE"""),0.0)</f>
        <v>0</v>
      </c>
      <c r="I519" s="71">
        <f>IFERROR(__xludf.DUMMYFUNCTION("""COMPUTED_VALUE"""),3.89)</f>
        <v>3.89</v>
      </c>
      <c r="J519" s="88" t="str">
        <f>IFERROR(__xludf.DUMMYFUNCTION("""COMPUTED_VALUE"""),"Goto link: 0570.HK")</f>
        <v>Goto link: 0570.HK</v>
      </c>
      <c r="K519" s="22"/>
      <c r="L519" s="22"/>
      <c r="M519" s="22"/>
      <c r="N519" s="22"/>
      <c r="O519" s="73"/>
      <c r="P519" s="8"/>
      <c r="Q519" s="69"/>
      <c r="R519" s="69"/>
      <c r="S519" s="8"/>
      <c r="T519" s="69"/>
      <c r="U519" s="8"/>
      <c r="V519" s="69"/>
      <c r="W519" s="74"/>
      <c r="X519" s="69"/>
    </row>
    <row r="520">
      <c r="A520" s="30" t="str">
        <f>IFERROR(__xludf.DUMMYFUNCTION("""COMPUTED_VALUE"""),"39776")</f>
        <v>39776</v>
      </c>
      <c r="B520" s="86">
        <f>IFERROR(__xludf.DUMMYFUNCTION("""COMPUTED_VALUE"""),44662.0)</f>
        <v>44662</v>
      </c>
      <c r="C520" s="64" t="str">
        <f>IFERROR(__xludf.DUMMYFUNCTION("""COMPUTED_VALUE"""),"Stock")</f>
        <v>Stock</v>
      </c>
      <c r="D520" s="91" t="str">
        <f>IFERROR(__xludf.DUMMYFUNCTION("""COMPUTED_VALUE"""),"2319.HK")</f>
        <v>2319.HK</v>
      </c>
      <c r="E520" s="5" t="str">
        <f>IFERROR(__xludf.DUMMYFUNCTION("""COMPUTED_VALUE"""),"HKD")</f>
        <v>HKD</v>
      </c>
      <c r="F520" s="69">
        <f>IFERROR(__xludf.DUMMYFUNCTION("""COMPUTED_VALUE"""),0.0)</f>
        <v>0</v>
      </c>
      <c r="G520" s="70">
        <f>IFERROR(__xludf.DUMMYFUNCTION("""COMPUTED_VALUE"""),1.0)</f>
        <v>1</v>
      </c>
      <c r="H520" s="71">
        <f>IFERROR(__xludf.DUMMYFUNCTION("""COMPUTED_VALUE"""),0.0)</f>
        <v>0</v>
      </c>
      <c r="I520" s="71">
        <f>IFERROR(__xludf.DUMMYFUNCTION("""COMPUTED_VALUE"""),42.6)</f>
        <v>42.6</v>
      </c>
      <c r="J520" s="88" t="str">
        <f>IFERROR(__xludf.DUMMYFUNCTION("""COMPUTED_VALUE"""),"Goto link: 2319.HK")</f>
        <v>Goto link: 2319.HK</v>
      </c>
      <c r="K520" s="22"/>
      <c r="L520" s="22"/>
      <c r="M520" s="22"/>
      <c r="N520" s="22"/>
      <c r="O520" s="73"/>
      <c r="P520" s="8"/>
      <c r="Q520" s="69"/>
      <c r="R520" s="69"/>
      <c r="S520" s="8"/>
      <c r="T520" s="69"/>
      <c r="U520" s="8"/>
      <c r="V520" s="69"/>
      <c r="W520" s="74"/>
      <c r="X520" s="69"/>
    </row>
    <row r="521">
      <c r="A521" s="30" t="str">
        <f>IFERROR(__xludf.DUMMYFUNCTION("""COMPUTED_VALUE"""),"39776")</f>
        <v>39776</v>
      </c>
      <c r="B521" s="86">
        <f>IFERROR(__xludf.DUMMYFUNCTION("""COMPUTED_VALUE"""),44662.0)</f>
        <v>44662</v>
      </c>
      <c r="C521" s="64" t="str">
        <f>IFERROR(__xludf.DUMMYFUNCTION("""COMPUTED_VALUE"""),"Stock")</f>
        <v>Stock</v>
      </c>
      <c r="D521" s="91" t="str">
        <f>IFERROR(__xludf.DUMMYFUNCTION("""COMPUTED_VALUE"""),"3800.HK")</f>
        <v>3800.HK</v>
      </c>
      <c r="E521" s="5" t="str">
        <f>IFERROR(__xludf.DUMMYFUNCTION("""COMPUTED_VALUE"""),"HKD")</f>
        <v>HKD</v>
      </c>
      <c r="F521" s="69">
        <f>IFERROR(__xludf.DUMMYFUNCTION("""COMPUTED_VALUE"""),0.0)</f>
        <v>0</v>
      </c>
      <c r="G521" s="70">
        <f>IFERROR(__xludf.DUMMYFUNCTION("""COMPUTED_VALUE"""),1.0)</f>
        <v>1</v>
      </c>
      <c r="H521" s="71">
        <f>IFERROR(__xludf.DUMMYFUNCTION("""COMPUTED_VALUE"""),0.0)</f>
        <v>0</v>
      </c>
      <c r="I521" s="71">
        <f>IFERROR(__xludf.DUMMYFUNCTION("""COMPUTED_VALUE"""),2.51)</f>
        <v>2.51</v>
      </c>
      <c r="J521" s="88" t="str">
        <f>IFERROR(__xludf.DUMMYFUNCTION("""COMPUTED_VALUE"""),"Goto link: 3800.HK")</f>
        <v>Goto link: 3800.HK</v>
      </c>
      <c r="K521" s="22"/>
      <c r="L521" s="22"/>
      <c r="M521" s="22"/>
      <c r="N521" s="22"/>
      <c r="O521" s="73"/>
      <c r="P521" s="8"/>
      <c r="Q521" s="69"/>
      <c r="R521" s="69"/>
      <c r="S521" s="8"/>
      <c r="T521" s="69"/>
      <c r="U521" s="8"/>
      <c r="V521" s="69"/>
      <c r="W521" s="74"/>
      <c r="X521" s="69"/>
    </row>
    <row r="522">
      <c r="A522" s="30" t="str">
        <f>IFERROR(__xludf.DUMMYFUNCTION("""COMPUTED_VALUE"""),"39776 Total")</f>
        <v>39776 Total</v>
      </c>
      <c r="B522" s="5"/>
      <c r="C522" s="64"/>
      <c r="D522" s="85"/>
      <c r="E522" s="5"/>
      <c r="F522" s="69"/>
      <c r="G522" s="70">
        <f>IFERROR(__xludf.DUMMYFUNCTION("""COMPUTED_VALUE"""),1.0)</f>
        <v>1</v>
      </c>
      <c r="H522" s="71">
        <f>IFERROR(__xludf.DUMMYFUNCTION("""COMPUTED_VALUE"""),42.55)</f>
        <v>42.55</v>
      </c>
      <c r="I522" s="71" t="str">
        <f>IFERROR(__xludf.DUMMYFUNCTION("""COMPUTED_VALUE"""),"")</f>
        <v/>
      </c>
      <c r="J522" s="22" t="str">
        <f>IFERROR(__xludf.DUMMYFUNCTION("""COMPUTED_VALUE"""),"")</f>
        <v/>
      </c>
      <c r="K522" s="22"/>
      <c r="L522" s="22"/>
      <c r="M522" s="22"/>
      <c r="N522" s="22"/>
      <c r="O522" s="73"/>
      <c r="P522" s="8"/>
      <c r="Q522" s="69"/>
      <c r="R522" s="69"/>
      <c r="S522" s="8"/>
      <c r="T522" s="69"/>
      <c r="U522" s="8"/>
      <c r="V522" s="69"/>
      <c r="W522" s="74"/>
      <c r="X522" s="69"/>
    </row>
    <row r="523">
      <c r="A523" s="30" t="str">
        <f>IFERROR(__xludf.DUMMYFUNCTION("""COMPUTED_VALUE"""),"39815")</f>
        <v>39815</v>
      </c>
      <c r="B523" s="86">
        <f>IFERROR(__xludf.DUMMYFUNCTION("""COMPUTED_VALUE"""),44597.0)</f>
        <v>44597</v>
      </c>
      <c r="C523" s="64" t="str">
        <f>IFERROR(__xludf.DUMMYFUNCTION("""COMPUTED_VALUE"""),"Cash")</f>
        <v>Cash</v>
      </c>
      <c r="D523" s="85" t="str">
        <f>IFERROR(__xludf.DUMMYFUNCTION("""COMPUTED_VALUE"""),"Cash")</f>
        <v>Cash</v>
      </c>
      <c r="E523" s="5" t="str">
        <f>IFERROR(__xludf.DUMMYFUNCTION("""COMPUTED_VALUE"""),"HKD")</f>
        <v>HKD</v>
      </c>
      <c r="F523" s="69" t="str">
        <f>IFERROR(__xludf.DUMMYFUNCTION("""COMPUTED_VALUE"""),"")</f>
        <v/>
      </c>
      <c r="G523" s="70">
        <f>IFERROR(__xludf.DUMMYFUNCTION("""COMPUTED_VALUE"""),1.0)</f>
        <v>1</v>
      </c>
      <c r="H523" s="71">
        <f>IFERROR(__xludf.DUMMYFUNCTION("""COMPUTED_VALUE"""),1.0)</f>
        <v>1</v>
      </c>
      <c r="I523" s="71">
        <f>IFERROR(__xludf.DUMMYFUNCTION("""COMPUTED_VALUE"""),1.0)</f>
        <v>1</v>
      </c>
      <c r="J523" s="22" t="str">
        <f>IFERROR(__xludf.DUMMYFUNCTION("""COMPUTED_VALUE"""),"")</f>
        <v/>
      </c>
      <c r="K523" s="22"/>
      <c r="L523" s="22"/>
      <c r="M523" s="22"/>
      <c r="N523" s="22"/>
      <c r="O523" s="73"/>
      <c r="P523" s="8"/>
      <c r="Q523" s="69"/>
      <c r="R523" s="69"/>
      <c r="S523" s="8"/>
      <c r="T523" s="69"/>
      <c r="U523" s="8"/>
      <c r="V523" s="69"/>
      <c r="W523" s="74"/>
      <c r="X523" s="69"/>
    </row>
    <row r="524">
      <c r="A524" s="30" t="str">
        <f>IFERROR(__xludf.DUMMYFUNCTION("""COMPUTED_VALUE"""),"39815")</f>
        <v>39815</v>
      </c>
      <c r="B524" s="86">
        <f>IFERROR(__xludf.DUMMYFUNCTION("""COMPUTED_VALUE"""),44658.0)</f>
        <v>44658</v>
      </c>
      <c r="C524" s="64" t="str">
        <f>IFERROR(__xludf.DUMMYFUNCTION("""COMPUTED_VALUE"""),"Stock")</f>
        <v>Stock</v>
      </c>
      <c r="D524" s="85" t="str">
        <f>IFERROR(__xludf.DUMMYFUNCTION("""COMPUTED_VALUE"""),"A")</f>
        <v>A</v>
      </c>
      <c r="E524" s="5" t="str">
        <f>IFERROR(__xludf.DUMMYFUNCTION("""COMPUTED_VALUE"""),"USD")</f>
        <v>USD</v>
      </c>
      <c r="F524" s="69">
        <f>IFERROR(__xludf.DUMMYFUNCTION("""COMPUTED_VALUE"""),0.0)</f>
        <v>0</v>
      </c>
      <c r="G524" s="70">
        <f>IFERROR(__xludf.DUMMYFUNCTION("""COMPUTED_VALUE"""),7.83915)</f>
        <v>7.83915</v>
      </c>
      <c r="H524" s="71">
        <f>IFERROR(__xludf.DUMMYFUNCTION("""COMPUTED_VALUE"""),0.0)</f>
        <v>0</v>
      </c>
      <c r="I524" s="71">
        <f>IFERROR(__xludf.DUMMYFUNCTION("""COMPUTED_VALUE"""),128.31)</f>
        <v>128.31</v>
      </c>
      <c r="J524" s="88" t="str">
        <f>IFERROR(__xludf.DUMMYFUNCTION("""COMPUTED_VALUE"""),"Goto link: A")</f>
        <v>Goto link: A</v>
      </c>
      <c r="K524" s="22"/>
      <c r="L524" s="22"/>
      <c r="M524" s="22"/>
      <c r="N524" s="22"/>
      <c r="O524" s="73"/>
      <c r="P524" s="8"/>
      <c r="Q524" s="69"/>
      <c r="R524" s="69"/>
      <c r="S524" s="8"/>
      <c r="T524" s="69"/>
      <c r="U524" s="8"/>
      <c r="V524" s="69"/>
      <c r="W524" s="74"/>
      <c r="X524" s="69"/>
    </row>
    <row r="525">
      <c r="A525" s="30" t="str">
        <f>IFERROR(__xludf.DUMMYFUNCTION("""COMPUTED_VALUE"""),"39815")</f>
        <v>39815</v>
      </c>
      <c r="B525" s="86">
        <f>IFERROR(__xludf.DUMMYFUNCTION("""COMPUTED_VALUE"""),44658.0)</f>
        <v>44658</v>
      </c>
      <c r="C525" s="64" t="str">
        <f>IFERROR(__xludf.DUMMYFUNCTION("""COMPUTED_VALUE"""),"Stock")</f>
        <v>Stock</v>
      </c>
      <c r="D525" s="85" t="str">
        <f>IFERROR(__xludf.DUMMYFUNCTION("""COMPUTED_VALUE"""),"COST")</f>
        <v>COST</v>
      </c>
      <c r="E525" s="5" t="str">
        <f>IFERROR(__xludf.DUMMYFUNCTION("""COMPUTED_VALUE"""),"USD")</f>
        <v>USD</v>
      </c>
      <c r="F525" s="69">
        <f>IFERROR(__xludf.DUMMYFUNCTION("""COMPUTED_VALUE"""),0.0)</f>
        <v>0</v>
      </c>
      <c r="G525" s="70">
        <f>IFERROR(__xludf.DUMMYFUNCTION("""COMPUTED_VALUE"""),7.83915)</f>
        <v>7.83915</v>
      </c>
      <c r="H525" s="71">
        <f>IFERROR(__xludf.DUMMYFUNCTION("""COMPUTED_VALUE"""),0.0)</f>
        <v>0</v>
      </c>
      <c r="I525" s="71">
        <f>IFERROR(__xludf.DUMMYFUNCTION("""COMPUTED_VALUE"""),591.09)</f>
        <v>591.09</v>
      </c>
      <c r="J525" s="88" t="str">
        <f>IFERROR(__xludf.DUMMYFUNCTION("""COMPUTED_VALUE"""),"Goto link: COST")</f>
        <v>Goto link: COST</v>
      </c>
      <c r="K525" s="22"/>
      <c r="L525" s="22"/>
      <c r="M525" s="22"/>
      <c r="N525" s="22"/>
      <c r="O525" s="73"/>
      <c r="P525" s="8"/>
      <c r="Q525" s="69"/>
      <c r="R525" s="69"/>
      <c r="S525" s="8"/>
      <c r="T525" s="69"/>
      <c r="U525" s="8"/>
      <c r="V525" s="69"/>
      <c r="W525" s="74"/>
      <c r="X525" s="69"/>
    </row>
    <row r="526">
      <c r="A526" s="30" t="str">
        <f>IFERROR(__xludf.DUMMYFUNCTION("""COMPUTED_VALUE"""),"39815")</f>
        <v>39815</v>
      </c>
      <c r="B526" s="86">
        <f>IFERROR(__xludf.DUMMYFUNCTION("""COMPUTED_VALUE"""),44658.0)</f>
        <v>44658</v>
      </c>
      <c r="C526" s="64" t="str">
        <f>IFERROR(__xludf.DUMMYFUNCTION("""COMPUTED_VALUE"""),"Stock")</f>
        <v>Stock</v>
      </c>
      <c r="D526" s="85" t="str">
        <f>IFERROR(__xludf.DUMMYFUNCTION("""COMPUTED_VALUE"""),"HPQ")</f>
        <v>HPQ</v>
      </c>
      <c r="E526" s="5" t="str">
        <f>IFERROR(__xludf.DUMMYFUNCTION("""COMPUTED_VALUE"""),"USD")</f>
        <v>USD</v>
      </c>
      <c r="F526" s="69">
        <f>IFERROR(__xludf.DUMMYFUNCTION("""COMPUTED_VALUE"""),100.0)</f>
        <v>100</v>
      </c>
      <c r="G526" s="70">
        <f>IFERROR(__xludf.DUMMYFUNCTION("""COMPUTED_VALUE"""),7.83915)</f>
        <v>7.83915</v>
      </c>
      <c r="H526" s="71">
        <f>IFERROR(__xludf.DUMMYFUNCTION("""COMPUTED_VALUE"""),40.06)</f>
        <v>40.06</v>
      </c>
      <c r="I526" s="71">
        <f>IFERROR(__xludf.DUMMYFUNCTION("""COMPUTED_VALUE"""),37.95)</f>
        <v>37.95</v>
      </c>
      <c r="J526" s="88" t="str">
        <f>IFERROR(__xludf.DUMMYFUNCTION("""COMPUTED_VALUE"""),"Goto link: HPQ")</f>
        <v>Goto link: HPQ</v>
      </c>
      <c r="K526" s="22"/>
      <c r="L526" s="22"/>
      <c r="M526" s="22"/>
      <c r="N526" s="22"/>
      <c r="O526" s="73"/>
      <c r="P526" s="8"/>
      <c r="Q526" s="69"/>
      <c r="R526" s="69"/>
      <c r="S526" s="8"/>
      <c r="T526" s="69"/>
      <c r="U526" s="8"/>
      <c r="V526" s="69"/>
      <c r="W526" s="74"/>
      <c r="X526" s="69"/>
    </row>
    <row r="527">
      <c r="A527" s="30" t="str">
        <f>IFERROR(__xludf.DUMMYFUNCTION("""COMPUTED_VALUE"""),"39815")</f>
        <v>39815</v>
      </c>
      <c r="B527" s="86">
        <f>IFERROR(__xludf.DUMMYFUNCTION("""COMPUTED_VALUE"""),44658.0)</f>
        <v>44658</v>
      </c>
      <c r="C527" s="64" t="str">
        <f>IFERROR(__xludf.DUMMYFUNCTION("""COMPUTED_VALUE"""),"Stock")</f>
        <v>Stock</v>
      </c>
      <c r="D527" s="85" t="str">
        <f>IFERROR(__xludf.DUMMYFUNCTION("""COMPUTED_VALUE"""),"MNTS")</f>
        <v>MNTS</v>
      </c>
      <c r="E527" s="5" t="str">
        <f>IFERROR(__xludf.DUMMYFUNCTION("""COMPUTED_VALUE"""),"USD")</f>
        <v>USD</v>
      </c>
      <c r="F527" s="69">
        <f>IFERROR(__xludf.DUMMYFUNCTION("""COMPUTED_VALUE"""),100.0)</f>
        <v>100</v>
      </c>
      <c r="G527" s="70">
        <f>IFERROR(__xludf.DUMMYFUNCTION("""COMPUTED_VALUE"""),7.83915)</f>
        <v>7.83915</v>
      </c>
      <c r="H527" s="71">
        <f>IFERROR(__xludf.DUMMYFUNCTION("""COMPUTED_VALUE"""),4.39)</f>
        <v>4.39</v>
      </c>
      <c r="I527" s="71">
        <f>IFERROR(__xludf.DUMMYFUNCTION("""COMPUTED_VALUE"""),3.77)</f>
        <v>3.77</v>
      </c>
      <c r="J527" s="88" t="str">
        <f>IFERROR(__xludf.DUMMYFUNCTION("""COMPUTED_VALUE"""),"Goto link: MNTS")</f>
        <v>Goto link: MNTS</v>
      </c>
      <c r="K527" s="22"/>
      <c r="L527" s="22"/>
      <c r="M527" s="22"/>
      <c r="N527" s="22"/>
      <c r="O527" s="73"/>
      <c r="P527" s="8"/>
      <c r="Q527" s="69"/>
      <c r="R527" s="69"/>
      <c r="S527" s="8"/>
      <c r="T527" s="69"/>
      <c r="U527" s="8"/>
      <c r="V527" s="69"/>
      <c r="W527" s="74"/>
      <c r="X527" s="69"/>
    </row>
    <row r="528">
      <c r="A528" s="30" t="str">
        <f>IFERROR(__xludf.DUMMYFUNCTION("""COMPUTED_VALUE"""),"39815")</f>
        <v>39815</v>
      </c>
      <c r="B528" s="86">
        <f>IFERROR(__xludf.DUMMYFUNCTION("""COMPUTED_VALUE"""),44659.0)</f>
        <v>44659</v>
      </c>
      <c r="C528" s="64" t="str">
        <f>IFERROR(__xludf.DUMMYFUNCTION("""COMPUTED_VALUE"""),"Stock")</f>
        <v>Stock</v>
      </c>
      <c r="D528" s="91" t="str">
        <f>IFERROR(__xludf.DUMMYFUNCTION("""COMPUTED_VALUE"""),"600519.SS")</f>
        <v>600519.SS</v>
      </c>
      <c r="E528" s="5" t="str">
        <f>IFERROR(__xludf.DUMMYFUNCTION("""COMPUTED_VALUE"""),"CNY")</f>
        <v>CNY</v>
      </c>
      <c r="F528" s="69">
        <f>IFERROR(__xludf.DUMMYFUNCTION("""COMPUTED_VALUE"""),0.0)</f>
        <v>0</v>
      </c>
      <c r="G528" s="70">
        <f>IFERROR(__xludf.DUMMYFUNCTION("""COMPUTED_VALUE"""),1.231169)</f>
        <v>1.231169</v>
      </c>
      <c r="H528" s="71">
        <f>IFERROR(__xludf.DUMMYFUNCTION("""COMPUTED_VALUE"""),0.0)</f>
        <v>0</v>
      </c>
      <c r="I528" s="71">
        <f>IFERROR(__xludf.DUMMYFUNCTION("""COMPUTED_VALUE"""),1769.0)</f>
        <v>1769</v>
      </c>
      <c r="J528" s="88" t="str">
        <f>IFERROR(__xludf.DUMMYFUNCTION("""COMPUTED_VALUE"""),"Goto link: 600519.SS")</f>
        <v>Goto link: 600519.SS</v>
      </c>
      <c r="K528" s="22"/>
      <c r="L528" s="22"/>
      <c r="M528" s="22"/>
      <c r="N528" s="22"/>
      <c r="O528" s="73"/>
      <c r="P528" s="8"/>
      <c r="Q528" s="69"/>
      <c r="R528" s="69"/>
      <c r="S528" s="8"/>
      <c r="T528" s="69"/>
      <c r="U528" s="8"/>
      <c r="V528" s="69"/>
      <c r="W528" s="74"/>
      <c r="X528" s="69"/>
    </row>
    <row r="529">
      <c r="A529" s="30" t="str">
        <f>IFERROR(__xludf.DUMMYFUNCTION("""COMPUTED_VALUE"""),"39815 Total")</f>
        <v>39815 Total</v>
      </c>
      <c r="B529" s="5"/>
      <c r="C529" s="64"/>
      <c r="D529" s="85"/>
      <c r="E529" s="5"/>
      <c r="F529" s="69"/>
      <c r="G529" s="70">
        <f>IFERROR(__xludf.DUMMYFUNCTION("""COMPUTED_VALUE"""),5.918131285714287)</f>
        <v>5.918131286</v>
      </c>
      <c r="H529" s="71">
        <f>IFERROR(__xludf.DUMMYFUNCTION("""COMPUTED_VALUE"""),40.06)</f>
        <v>40.06</v>
      </c>
      <c r="I529" s="71" t="str">
        <f>IFERROR(__xludf.DUMMYFUNCTION("""COMPUTED_VALUE"""),"")</f>
        <v/>
      </c>
      <c r="J529" s="22" t="str">
        <f>IFERROR(__xludf.DUMMYFUNCTION("""COMPUTED_VALUE"""),"")</f>
        <v/>
      </c>
      <c r="K529" s="22"/>
      <c r="L529" s="22"/>
      <c r="M529" s="22"/>
      <c r="N529" s="22"/>
      <c r="O529" s="73"/>
      <c r="P529" s="8"/>
      <c r="Q529" s="69"/>
      <c r="R529" s="69"/>
      <c r="S529" s="8"/>
      <c r="T529" s="69"/>
      <c r="U529" s="8"/>
      <c r="V529" s="69"/>
      <c r="W529" s="74"/>
      <c r="X529" s="69"/>
    </row>
    <row r="530">
      <c r="A530" s="30" t="str">
        <f>IFERROR(__xludf.DUMMYFUNCTION("""COMPUTED_VALUE"""),"39857")</f>
        <v>39857</v>
      </c>
      <c r="B530" s="86">
        <f>IFERROR(__xludf.DUMMYFUNCTION("""COMPUTED_VALUE"""),44597.0)</f>
        <v>44597</v>
      </c>
      <c r="C530" s="64" t="str">
        <f>IFERROR(__xludf.DUMMYFUNCTION("""COMPUTED_VALUE"""),"Cash")</f>
        <v>Cash</v>
      </c>
      <c r="D530" s="85" t="str">
        <f>IFERROR(__xludf.DUMMYFUNCTION("""COMPUTED_VALUE"""),"Cash")</f>
        <v>Cash</v>
      </c>
      <c r="E530" s="5" t="str">
        <f>IFERROR(__xludf.DUMMYFUNCTION("""COMPUTED_VALUE"""),"HKD")</f>
        <v>HKD</v>
      </c>
      <c r="F530" s="69" t="str">
        <f>IFERROR(__xludf.DUMMYFUNCTION("""COMPUTED_VALUE"""),"")</f>
        <v/>
      </c>
      <c r="G530" s="70">
        <f>IFERROR(__xludf.DUMMYFUNCTION("""COMPUTED_VALUE"""),1.0)</f>
        <v>1</v>
      </c>
      <c r="H530" s="71">
        <f>IFERROR(__xludf.DUMMYFUNCTION("""COMPUTED_VALUE"""),1.0)</f>
        <v>1</v>
      </c>
      <c r="I530" s="71">
        <f>IFERROR(__xludf.DUMMYFUNCTION("""COMPUTED_VALUE"""),1.0)</f>
        <v>1</v>
      </c>
      <c r="J530" s="22" t="str">
        <f>IFERROR(__xludf.DUMMYFUNCTION("""COMPUTED_VALUE"""),"")</f>
        <v/>
      </c>
      <c r="K530" s="22"/>
      <c r="L530" s="22"/>
      <c r="M530" s="22"/>
      <c r="N530" s="22"/>
      <c r="O530" s="73"/>
      <c r="P530" s="8"/>
      <c r="Q530" s="69"/>
      <c r="R530" s="69"/>
      <c r="S530" s="8"/>
      <c r="T530" s="69"/>
      <c r="U530" s="8"/>
      <c r="V530" s="69"/>
      <c r="W530" s="74"/>
      <c r="X530" s="69"/>
    </row>
    <row r="531">
      <c r="A531" s="30" t="str">
        <f>IFERROR(__xludf.DUMMYFUNCTION("""COMPUTED_VALUE"""),"39857")</f>
        <v>39857</v>
      </c>
      <c r="B531" s="86">
        <f>IFERROR(__xludf.DUMMYFUNCTION("""COMPUTED_VALUE"""),44607.0)</f>
        <v>44607</v>
      </c>
      <c r="C531" s="64" t="str">
        <f>IFERROR(__xludf.DUMMYFUNCTION("""COMPUTED_VALUE"""),"Stock")</f>
        <v>Stock</v>
      </c>
      <c r="D531" s="87" t="str">
        <f>IFERROR(__xludf.DUMMYFUNCTION("""COMPUTED_VALUE"""),"TSLA")</f>
        <v>TSLA</v>
      </c>
      <c r="E531" s="5" t="str">
        <f>IFERROR(__xludf.DUMMYFUNCTION("""COMPUTED_VALUE"""),"USD")</f>
        <v>USD</v>
      </c>
      <c r="F531" s="69">
        <f>IFERROR(__xludf.DUMMYFUNCTION("""COMPUTED_VALUE"""),-2.0)</f>
        <v>-2</v>
      </c>
      <c r="G531" s="70">
        <f>IFERROR(__xludf.DUMMYFUNCTION("""COMPUTED_VALUE"""),7.83915)</f>
        <v>7.83915</v>
      </c>
      <c r="H531" s="71">
        <f>IFERROR(__xludf.DUMMYFUNCTION("""COMPUTED_VALUE"""),922.43)</f>
        <v>922.43</v>
      </c>
      <c r="I531" s="71">
        <f>IFERROR(__xludf.DUMMYFUNCTION("""COMPUTED_VALUE"""),1022.37)</f>
        <v>1022.37</v>
      </c>
      <c r="J531" s="88" t="str">
        <f>IFERROR(__xludf.DUMMYFUNCTION("""COMPUTED_VALUE"""),"Goto link: TSLA")</f>
        <v>Goto link: TSLA</v>
      </c>
      <c r="K531" s="22"/>
      <c r="L531" s="22"/>
      <c r="M531" s="22"/>
      <c r="N531" s="22"/>
      <c r="O531" s="73"/>
      <c r="P531" s="8"/>
      <c r="Q531" s="69"/>
      <c r="R531" s="69"/>
      <c r="S531" s="8"/>
      <c r="T531" s="69"/>
      <c r="U531" s="8"/>
      <c r="V531" s="69"/>
      <c r="W531" s="74"/>
      <c r="X531" s="69"/>
    </row>
    <row r="532">
      <c r="A532" s="30" t="str">
        <f>IFERROR(__xludf.DUMMYFUNCTION("""COMPUTED_VALUE"""),"39857")</f>
        <v>39857</v>
      </c>
      <c r="B532" s="86">
        <f>IFERROR(__xludf.DUMMYFUNCTION("""COMPUTED_VALUE"""),44608.0)</f>
        <v>44608</v>
      </c>
      <c r="C532" s="64" t="str">
        <f>IFERROR(__xludf.DUMMYFUNCTION("""COMPUTED_VALUE"""),"Stock")</f>
        <v>Stock</v>
      </c>
      <c r="D532" s="87" t="str">
        <f>IFERROR(__xludf.DUMMYFUNCTION("""COMPUTED_VALUE"""),"DIS")</f>
        <v>DIS</v>
      </c>
      <c r="E532" s="5" t="str">
        <f>IFERROR(__xludf.DUMMYFUNCTION("""COMPUTED_VALUE"""),"USD")</f>
        <v>USD</v>
      </c>
      <c r="F532" s="69">
        <f>IFERROR(__xludf.DUMMYFUNCTION("""COMPUTED_VALUE"""),200.0)</f>
        <v>200</v>
      </c>
      <c r="G532" s="70">
        <f>IFERROR(__xludf.DUMMYFUNCTION("""COMPUTED_VALUE"""),7.83915)</f>
        <v>7.83915</v>
      </c>
      <c r="H532" s="71">
        <f>IFERROR(__xludf.DUMMYFUNCTION("""COMPUTED_VALUE"""),156.35)</f>
        <v>156.35</v>
      </c>
      <c r="I532" s="71">
        <f>IFERROR(__xludf.DUMMYFUNCTION("""COMPUTED_VALUE"""),132.38)</f>
        <v>132.38</v>
      </c>
      <c r="J532" s="88" t="str">
        <f>IFERROR(__xludf.DUMMYFUNCTION("""COMPUTED_VALUE"""),"Goto link: DIS")</f>
        <v>Goto link: DIS</v>
      </c>
      <c r="K532" s="22"/>
      <c r="L532" s="22"/>
      <c r="M532" s="22"/>
      <c r="N532" s="22"/>
      <c r="O532" s="73"/>
      <c r="P532" s="8"/>
      <c r="Q532" s="69"/>
      <c r="R532" s="69"/>
      <c r="S532" s="8"/>
      <c r="T532" s="69"/>
      <c r="U532" s="8"/>
      <c r="V532" s="69"/>
      <c r="W532" s="74"/>
      <c r="X532" s="69"/>
    </row>
    <row r="533">
      <c r="A533" s="30" t="str">
        <f>IFERROR(__xludf.DUMMYFUNCTION("""COMPUTED_VALUE"""),"39857")</f>
        <v>39857</v>
      </c>
      <c r="B533" s="86">
        <f>IFERROR(__xludf.DUMMYFUNCTION("""COMPUTED_VALUE"""),44609.0)</f>
        <v>44609</v>
      </c>
      <c r="C533" s="64" t="str">
        <f>IFERROR(__xludf.DUMMYFUNCTION("""COMPUTED_VALUE"""),"Stock")</f>
        <v>Stock</v>
      </c>
      <c r="D533" s="87" t="str">
        <f>IFERROR(__xludf.DUMMYFUNCTION("""COMPUTED_VALUE"""),"DIS")</f>
        <v>DIS</v>
      </c>
      <c r="E533" s="5" t="str">
        <f>IFERROR(__xludf.DUMMYFUNCTION("""COMPUTED_VALUE"""),"USD")</f>
        <v>USD</v>
      </c>
      <c r="F533" s="69">
        <f>IFERROR(__xludf.DUMMYFUNCTION("""COMPUTED_VALUE"""),300.0)</f>
        <v>300</v>
      </c>
      <c r="G533" s="70">
        <f>IFERROR(__xludf.DUMMYFUNCTION("""COMPUTED_VALUE"""),7.83915)</f>
        <v>7.83915</v>
      </c>
      <c r="H533" s="71">
        <f>IFERROR(__xludf.DUMMYFUNCTION("""COMPUTED_VALUE"""),152.95)</f>
        <v>152.95</v>
      </c>
      <c r="I533" s="71">
        <f>IFERROR(__xludf.DUMMYFUNCTION("""COMPUTED_VALUE"""),132.38)</f>
        <v>132.38</v>
      </c>
      <c r="J533" s="88" t="str">
        <f>IFERROR(__xludf.DUMMYFUNCTION("""COMPUTED_VALUE"""),"Goto link: DIS")</f>
        <v>Goto link: DIS</v>
      </c>
      <c r="K533" s="22"/>
      <c r="L533" s="22"/>
      <c r="M533" s="22"/>
      <c r="N533" s="22"/>
      <c r="O533" s="73"/>
      <c r="P533" s="8"/>
      <c r="Q533" s="69"/>
      <c r="R533" s="69"/>
      <c r="S533" s="8"/>
      <c r="T533" s="69"/>
      <c r="U533" s="8"/>
      <c r="V533" s="69"/>
      <c r="W533" s="74"/>
      <c r="X533" s="69"/>
    </row>
    <row r="534">
      <c r="A534" s="30" t="str">
        <f>IFERROR(__xludf.DUMMYFUNCTION("""COMPUTED_VALUE"""),"39857")</f>
        <v>39857</v>
      </c>
      <c r="B534" s="86">
        <f>IFERROR(__xludf.DUMMYFUNCTION("""COMPUTED_VALUE"""),44610.0)</f>
        <v>44610</v>
      </c>
      <c r="C534" s="64" t="str">
        <f>IFERROR(__xludf.DUMMYFUNCTION("""COMPUTED_VALUE"""),"Stock")</f>
        <v>Stock</v>
      </c>
      <c r="D534" s="87" t="str">
        <f>IFERROR(__xludf.DUMMYFUNCTION("""COMPUTED_VALUE"""),"RIVN")</f>
        <v>RIVN</v>
      </c>
      <c r="E534" s="5" t="str">
        <f>IFERROR(__xludf.DUMMYFUNCTION("""COMPUTED_VALUE"""),"USD")</f>
        <v>USD</v>
      </c>
      <c r="F534" s="69">
        <f>IFERROR(__xludf.DUMMYFUNCTION("""COMPUTED_VALUE"""),0.0)</f>
        <v>0</v>
      </c>
      <c r="G534" s="70">
        <f>IFERROR(__xludf.DUMMYFUNCTION("""COMPUTED_VALUE"""),7.83915)</f>
        <v>7.83915</v>
      </c>
      <c r="H534" s="71">
        <f>IFERROR(__xludf.DUMMYFUNCTION("""COMPUTED_VALUE"""),0.0)</f>
        <v>0</v>
      </c>
      <c r="I534" s="71">
        <f>IFERROR(__xludf.DUMMYFUNCTION("""COMPUTED_VALUE"""),41.15)</f>
        <v>41.15</v>
      </c>
      <c r="J534" s="88" t="str">
        <f>IFERROR(__xludf.DUMMYFUNCTION("""COMPUTED_VALUE"""),"Goto link: RIVN")</f>
        <v>Goto link: RIVN</v>
      </c>
      <c r="K534" s="22"/>
      <c r="L534" s="22"/>
      <c r="M534" s="22"/>
      <c r="N534" s="22"/>
      <c r="O534" s="73"/>
      <c r="P534" s="8"/>
      <c r="Q534" s="69"/>
      <c r="R534" s="69"/>
      <c r="S534" s="8"/>
      <c r="T534" s="69"/>
      <c r="U534" s="8"/>
      <c r="V534" s="69"/>
      <c r="W534" s="74"/>
      <c r="X534" s="69"/>
    </row>
    <row r="535">
      <c r="A535" s="30" t="str">
        <f>IFERROR(__xludf.DUMMYFUNCTION("""COMPUTED_VALUE"""),"39857")</f>
        <v>39857</v>
      </c>
      <c r="B535" s="86">
        <f>IFERROR(__xludf.DUMMYFUNCTION("""COMPUTED_VALUE"""),44610.0)</f>
        <v>44610</v>
      </c>
      <c r="C535" s="64" t="str">
        <f>IFERROR(__xludf.DUMMYFUNCTION("""COMPUTED_VALUE"""),"Stock")</f>
        <v>Stock</v>
      </c>
      <c r="D535" s="87" t="str">
        <f>IFERROR(__xludf.DUMMYFUNCTION("""COMPUTED_VALUE"""),"TSLA")</f>
        <v>TSLA</v>
      </c>
      <c r="E535" s="5" t="str">
        <f>IFERROR(__xludf.DUMMYFUNCTION("""COMPUTED_VALUE"""),"USD")</f>
        <v>USD</v>
      </c>
      <c r="F535" s="69">
        <f>IFERROR(__xludf.DUMMYFUNCTION("""COMPUTED_VALUE"""),2.0)</f>
        <v>2</v>
      </c>
      <c r="G535" s="70">
        <f>IFERROR(__xludf.DUMMYFUNCTION("""COMPUTED_VALUE"""),7.83915)</f>
        <v>7.83915</v>
      </c>
      <c r="H535" s="71">
        <f>IFERROR(__xludf.DUMMYFUNCTION("""COMPUTED_VALUE"""),856.98)</f>
        <v>856.98</v>
      </c>
      <c r="I535" s="71">
        <f>IFERROR(__xludf.DUMMYFUNCTION("""COMPUTED_VALUE"""),1022.37)</f>
        <v>1022.37</v>
      </c>
      <c r="J535" s="88" t="str">
        <f>IFERROR(__xludf.DUMMYFUNCTION("""COMPUTED_VALUE"""),"Goto link: TSLA")</f>
        <v>Goto link: TSLA</v>
      </c>
      <c r="K535" s="22"/>
      <c r="L535" s="22"/>
      <c r="M535" s="22"/>
      <c r="N535" s="22"/>
      <c r="O535" s="73"/>
      <c r="P535" s="8"/>
      <c r="Q535" s="69"/>
      <c r="R535" s="69"/>
      <c r="S535" s="8"/>
      <c r="T535" s="69"/>
      <c r="U535" s="8"/>
      <c r="V535" s="69"/>
      <c r="W535" s="74"/>
      <c r="X535" s="69"/>
    </row>
    <row r="536">
      <c r="A536" s="30" t="str">
        <f>IFERROR(__xludf.DUMMYFUNCTION("""COMPUTED_VALUE"""),"39857")</f>
        <v>39857</v>
      </c>
      <c r="B536" s="86">
        <f>IFERROR(__xludf.DUMMYFUNCTION("""COMPUTED_VALUE"""),44615.0)</f>
        <v>44615</v>
      </c>
      <c r="C536" s="64" t="str">
        <f>IFERROR(__xludf.DUMMYFUNCTION("""COMPUTED_VALUE"""),"Stock")</f>
        <v>Stock</v>
      </c>
      <c r="D536" s="87" t="str">
        <f>IFERROR(__xludf.DUMMYFUNCTION("""COMPUTED_VALUE"""),"TSLA")</f>
        <v>TSLA</v>
      </c>
      <c r="E536" s="5" t="str">
        <f>IFERROR(__xludf.DUMMYFUNCTION("""COMPUTED_VALUE"""),"USD")</f>
        <v>USD</v>
      </c>
      <c r="F536" s="69" t="str">
        <f>IFERROR(__xludf.DUMMYFUNCTION("""COMPUTED_VALUE"""),"")</f>
        <v/>
      </c>
      <c r="G536" s="70">
        <f>IFERROR(__xludf.DUMMYFUNCTION("""COMPUTED_VALUE"""),7.83915)</f>
        <v>7.83915</v>
      </c>
      <c r="H536" s="71">
        <f>IFERROR(__xludf.DUMMYFUNCTION("""COMPUTED_VALUE"""),764.04)</f>
        <v>764.04</v>
      </c>
      <c r="I536" s="71">
        <f>IFERROR(__xludf.DUMMYFUNCTION("""COMPUTED_VALUE"""),1022.37)</f>
        <v>1022.37</v>
      </c>
      <c r="J536" s="88" t="str">
        <f>IFERROR(__xludf.DUMMYFUNCTION("""COMPUTED_VALUE"""),"Goto link: TSLA")</f>
        <v>Goto link: TSLA</v>
      </c>
      <c r="K536" s="22"/>
      <c r="L536" s="22"/>
      <c r="M536" s="22"/>
      <c r="N536" s="22"/>
      <c r="O536" s="73"/>
      <c r="P536" s="8"/>
      <c r="Q536" s="69"/>
      <c r="R536" s="69"/>
      <c r="S536" s="8"/>
      <c r="T536" s="69"/>
      <c r="U536" s="8"/>
      <c r="V536" s="69"/>
      <c r="W536" s="74"/>
      <c r="X536" s="69"/>
    </row>
    <row r="537">
      <c r="A537" s="30" t="str">
        <f>IFERROR(__xludf.DUMMYFUNCTION("""COMPUTED_VALUE"""),"39857")</f>
        <v>39857</v>
      </c>
      <c r="B537" s="86">
        <f>IFERROR(__xludf.DUMMYFUNCTION("""COMPUTED_VALUE"""),44617.0)</f>
        <v>44617</v>
      </c>
      <c r="C537" s="64" t="str">
        <f>IFERROR(__xludf.DUMMYFUNCTION("""COMPUTED_VALUE"""),"Stock")</f>
        <v>Stock</v>
      </c>
      <c r="D537" s="87" t="str">
        <f>IFERROR(__xludf.DUMMYFUNCTION("""COMPUTED_VALUE"""),"DIS")</f>
        <v>DIS</v>
      </c>
      <c r="E537" s="5" t="str">
        <f>IFERROR(__xludf.DUMMYFUNCTION("""COMPUTED_VALUE"""),"USD")</f>
        <v>USD</v>
      </c>
      <c r="F537" s="69">
        <f>IFERROR(__xludf.DUMMYFUNCTION("""COMPUTED_VALUE"""),-500.0)</f>
        <v>-500</v>
      </c>
      <c r="G537" s="70">
        <f>IFERROR(__xludf.DUMMYFUNCTION("""COMPUTED_VALUE"""),7.83915)</f>
        <v>7.83915</v>
      </c>
      <c r="H537" s="71">
        <f>IFERROR(__xludf.DUMMYFUNCTION("""COMPUTED_VALUE"""),149.53)</f>
        <v>149.53</v>
      </c>
      <c r="I537" s="71">
        <f>IFERROR(__xludf.DUMMYFUNCTION("""COMPUTED_VALUE"""),132.38)</f>
        <v>132.38</v>
      </c>
      <c r="J537" s="88" t="str">
        <f>IFERROR(__xludf.DUMMYFUNCTION("""COMPUTED_VALUE"""),"Goto link: DIS")</f>
        <v>Goto link: DIS</v>
      </c>
      <c r="K537" s="22"/>
      <c r="L537" s="22"/>
      <c r="M537" s="22"/>
      <c r="N537" s="22"/>
      <c r="O537" s="73"/>
      <c r="P537" s="8"/>
      <c r="Q537" s="69"/>
      <c r="R537" s="69"/>
      <c r="S537" s="8"/>
      <c r="T537" s="69"/>
      <c r="U537" s="8"/>
      <c r="V537" s="69"/>
      <c r="W537" s="74"/>
      <c r="X537" s="69"/>
    </row>
    <row r="538">
      <c r="A538" s="30" t="str">
        <f>IFERROR(__xludf.DUMMYFUNCTION("""COMPUTED_VALUE"""),"39857")</f>
        <v>39857</v>
      </c>
      <c r="B538" s="86">
        <f>IFERROR(__xludf.DUMMYFUNCTION("""COMPUTED_VALUE"""),44617.0)</f>
        <v>44617</v>
      </c>
      <c r="C538" s="64" t="str">
        <f>IFERROR(__xludf.DUMMYFUNCTION("""COMPUTED_VALUE"""),"Stock")</f>
        <v>Stock</v>
      </c>
      <c r="D538" s="87" t="str">
        <f>IFERROR(__xludf.DUMMYFUNCTION("""COMPUTED_VALUE"""),"TSLA")</f>
        <v>TSLA</v>
      </c>
      <c r="E538" s="5" t="str">
        <f>IFERROR(__xludf.DUMMYFUNCTION("""COMPUTED_VALUE"""),"USD")</f>
        <v>USD</v>
      </c>
      <c r="F538" s="69">
        <f>IFERROR(__xludf.DUMMYFUNCTION("""COMPUTED_VALUE"""),-50.0)</f>
        <v>-50</v>
      </c>
      <c r="G538" s="70">
        <f>IFERROR(__xludf.DUMMYFUNCTION("""COMPUTED_VALUE"""),7.83915)</f>
        <v>7.83915</v>
      </c>
      <c r="H538" s="71">
        <f>IFERROR(__xludf.DUMMYFUNCTION("""COMPUTED_VALUE"""),809.87)</f>
        <v>809.87</v>
      </c>
      <c r="I538" s="71">
        <f>IFERROR(__xludf.DUMMYFUNCTION("""COMPUTED_VALUE"""),1022.37)</f>
        <v>1022.37</v>
      </c>
      <c r="J538" s="88" t="str">
        <f>IFERROR(__xludf.DUMMYFUNCTION("""COMPUTED_VALUE"""),"Goto link: TSLA")</f>
        <v>Goto link: TSLA</v>
      </c>
      <c r="K538" s="22"/>
      <c r="L538" s="22"/>
      <c r="M538" s="22"/>
      <c r="N538" s="22"/>
      <c r="O538" s="73"/>
      <c r="P538" s="8"/>
      <c r="Q538" s="69"/>
      <c r="R538" s="69"/>
      <c r="S538" s="8"/>
      <c r="T538" s="69"/>
      <c r="U538" s="8"/>
      <c r="V538" s="69"/>
      <c r="W538" s="74"/>
      <c r="X538" s="69"/>
    </row>
    <row r="539">
      <c r="A539" s="30" t="str">
        <f>IFERROR(__xludf.DUMMYFUNCTION("""COMPUTED_VALUE"""),"39857")</f>
        <v>39857</v>
      </c>
      <c r="B539" s="86">
        <f>IFERROR(__xludf.DUMMYFUNCTION("""COMPUTED_VALUE"""),44620.0)</f>
        <v>44620</v>
      </c>
      <c r="C539" s="64" t="str">
        <f>IFERROR(__xludf.DUMMYFUNCTION("""COMPUTED_VALUE"""),"Stock")</f>
        <v>Stock</v>
      </c>
      <c r="D539" s="87" t="str">
        <f>IFERROR(__xludf.DUMMYFUNCTION("""COMPUTED_VALUE"""),"TSLA")</f>
        <v>TSLA</v>
      </c>
      <c r="E539" s="5" t="str">
        <f>IFERROR(__xludf.DUMMYFUNCTION("""COMPUTED_VALUE"""),"USD")</f>
        <v>USD</v>
      </c>
      <c r="F539" s="69">
        <f>IFERROR(__xludf.DUMMYFUNCTION("""COMPUTED_VALUE"""),60.0)</f>
        <v>60</v>
      </c>
      <c r="G539" s="70">
        <f>IFERROR(__xludf.DUMMYFUNCTION("""COMPUTED_VALUE"""),7.83915)</f>
        <v>7.83915</v>
      </c>
      <c r="H539" s="71">
        <f>IFERROR(__xludf.DUMMYFUNCTION("""COMPUTED_VALUE"""),870.43)</f>
        <v>870.43</v>
      </c>
      <c r="I539" s="71">
        <f>IFERROR(__xludf.DUMMYFUNCTION("""COMPUTED_VALUE"""),1022.37)</f>
        <v>1022.37</v>
      </c>
      <c r="J539" s="88" t="str">
        <f>IFERROR(__xludf.DUMMYFUNCTION("""COMPUTED_VALUE"""),"Goto link: TSLA")</f>
        <v>Goto link: TSLA</v>
      </c>
      <c r="K539" s="22"/>
      <c r="L539" s="22"/>
      <c r="M539" s="22"/>
      <c r="N539" s="22"/>
      <c r="O539" s="73"/>
      <c r="P539" s="8"/>
      <c r="Q539" s="69"/>
      <c r="R539" s="69"/>
      <c r="S539" s="8"/>
      <c r="T539" s="69"/>
      <c r="U539" s="8"/>
      <c r="V539" s="69"/>
      <c r="W539" s="74"/>
      <c r="X539" s="69"/>
    </row>
    <row r="540">
      <c r="A540" s="30" t="str">
        <f>IFERROR(__xludf.DUMMYFUNCTION("""COMPUTED_VALUE"""),"39857")</f>
        <v>39857</v>
      </c>
      <c r="B540" s="86">
        <f>IFERROR(__xludf.DUMMYFUNCTION("""COMPUTED_VALUE"""),44643.0)</f>
        <v>44643</v>
      </c>
      <c r="C540" s="64" t="str">
        <f>IFERROR(__xludf.DUMMYFUNCTION("""COMPUTED_VALUE"""),"Stock")</f>
        <v>Stock</v>
      </c>
      <c r="D540" s="90" t="str">
        <f>IFERROR(__xludf.DUMMYFUNCTION("""COMPUTED_VALUE"""),"9988.HK")</f>
        <v>9988.HK</v>
      </c>
      <c r="E540" s="5" t="str">
        <f>IFERROR(__xludf.DUMMYFUNCTION("""COMPUTED_VALUE"""),"HKD")</f>
        <v>HKD</v>
      </c>
      <c r="F540" s="69">
        <f>IFERROR(__xludf.DUMMYFUNCTION("""COMPUTED_VALUE"""),800.0)</f>
        <v>800</v>
      </c>
      <c r="G540" s="70">
        <f>IFERROR(__xludf.DUMMYFUNCTION("""COMPUTED_VALUE"""),1.0)</f>
        <v>1</v>
      </c>
      <c r="H540" s="71">
        <f>IFERROR(__xludf.DUMMYFUNCTION("""COMPUTED_VALUE"""),117.6)</f>
        <v>117.6</v>
      </c>
      <c r="I540" s="71">
        <f>IFERROR(__xludf.DUMMYFUNCTION("""COMPUTED_VALUE"""),98.5)</f>
        <v>98.5</v>
      </c>
      <c r="J540" s="88" t="str">
        <f>IFERROR(__xludf.DUMMYFUNCTION("""COMPUTED_VALUE"""),"Goto link: 9988.HK")</f>
        <v>Goto link: 9988.HK</v>
      </c>
      <c r="K540" s="22"/>
      <c r="L540" s="22"/>
      <c r="M540" s="22"/>
      <c r="N540" s="22"/>
      <c r="O540" s="73"/>
      <c r="P540" s="8"/>
      <c r="Q540" s="69"/>
      <c r="R540" s="69"/>
      <c r="S540" s="8"/>
      <c r="T540" s="69"/>
      <c r="U540" s="8"/>
      <c r="V540" s="69"/>
      <c r="W540" s="74"/>
      <c r="X540" s="69"/>
    </row>
    <row r="541">
      <c r="A541" s="30" t="str">
        <f>IFERROR(__xludf.DUMMYFUNCTION("""COMPUTED_VALUE"""),"39857")</f>
        <v>39857</v>
      </c>
      <c r="B541" s="86">
        <f>IFERROR(__xludf.DUMMYFUNCTION("""COMPUTED_VALUE"""),44650.0)</f>
        <v>44650</v>
      </c>
      <c r="C541" s="64" t="str">
        <f>IFERROR(__xludf.DUMMYFUNCTION("""COMPUTED_VALUE"""),"Stock")</f>
        <v>Stock</v>
      </c>
      <c r="D541" s="87" t="str">
        <f>IFERROR(__xludf.DUMMYFUNCTION("""COMPUTED_VALUE"""),"TSLA")</f>
        <v>TSLA</v>
      </c>
      <c r="E541" s="5" t="str">
        <f>IFERROR(__xludf.DUMMYFUNCTION("""COMPUTED_VALUE"""),"USD")</f>
        <v>USD</v>
      </c>
      <c r="F541" s="69">
        <f>IFERROR(__xludf.DUMMYFUNCTION("""COMPUTED_VALUE"""),-10.0)</f>
        <v>-10</v>
      </c>
      <c r="G541" s="70">
        <f>IFERROR(__xludf.DUMMYFUNCTION("""COMPUTED_VALUE"""),7.83915)</f>
        <v>7.83915</v>
      </c>
      <c r="H541" s="71">
        <f>IFERROR(__xludf.DUMMYFUNCTION("""COMPUTED_VALUE"""),1093.99)</f>
        <v>1093.99</v>
      </c>
      <c r="I541" s="71">
        <f>IFERROR(__xludf.DUMMYFUNCTION("""COMPUTED_VALUE"""),1022.37)</f>
        <v>1022.37</v>
      </c>
      <c r="J541" s="88" t="str">
        <f>IFERROR(__xludf.DUMMYFUNCTION("""COMPUTED_VALUE"""),"Goto link: TSLA")</f>
        <v>Goto link: TSLA</v>
      </c>
      <c r="K541" s="22"/>
      <c r="L541" s="22"/>
      <c r="M541" s="22"/>
      <c r="N541" s="22"/>
      <c r="O541" s="73"/>
      <c r="P541" s="8"/>
      <c r="Q541" s="69"/>
      <c r="R541" s="69"/>
      <c r="S541" s="8"/>
      <c r="T541" s="69"/>
      <c r="U541" s="8"/>
      <c r="V541" s="69"/>
      <c r="W541" s="74"/>
      <c r="X541" s="69"/>
    </row>
    <row r="542">
      <c r="A542" s="30" t="str">
        <f>IFERROR(__xludf.DUMMYFUNCTION("""COMPUTED_VALUE"""),"39857")</f>
        <v>39857</v>
      </c>
      <c r="B542" s="86">
        <f>IFERROR(__xludf.DUMMYFUNCTION("""COMPUTED_VALUE"""),44651.0)</f>
        <v>44651</v>
      </c>
      <c r="C542" s="64" t="str">
        <f>IFERROR(__xludf.DUMMYFUNCTION("""COMPUTED_VALUE"""),"Stock")</f>
        <v>Stock</v>
      </c>
      <c r="D542" s="90" t="str">
        <f>IFERROR(__xludf.DUMMYFUNCTION("""COMPUTED_VALUE"""),"9988.HK")</f>
        <v>9988.HK</v>
      </c>
      <c r="E542" s="5" t="str">
        <f>IFERROR(__xludf.DUMMYFUNCTION("""COMPUTED_VALUE"""),"HKD")</f>
        <v>HKD</v>
      </c>
      <c r="F542" s="69">
        <f>IFERROR(__xludf.DUMMYFUNCTION("""COMPUTED_VALUE"""),-800.0)</f>
        <v>-800</v>
      </c>
      <c r="G542" s="70">
        <f>IFERROR(__xludf.DUMMYFUNCTION("""COMPUTED_VALUE"""),1.0)</f>
        <v>1</v>
      </c>
      <c r="H542" s="71">
        <f>IFERROR(__xludf.DUMMYFUNCTION("""COMPUTED_VALUE"""),112.1)</f>
        <v>112.1</v>
      </c>
      <c r="I542" s="71">
        <f>IFERROR(__xludf.DUMMYFUNCTION("""COMPUTED_VALUE"""),98.5)</f>
        <v>98.5</v>
      </c>
      <c r="J542" s="88" t="str">
        <f>IFERROR(__xludf.DUMMYFUNCTION("""COMPUTED_VALUE"""),"Goto link: 9988.HK")</f>
        <v>Goto link: 9988.HK</v>
      </c>
      <c r="K542" s="22"/>
      <c r="L542" s="22"/>
      <c r="M542" s="22"/>
      <c r="N542" s="22"/>
      <c r="O542" s="73"/>
      <c r="P542" s="8"/>
      <c r="Q542" s="69"/>
      <c r="R542" s="69"/>
      <c r="S542" s="8"/>
      <c r="T542" s="69"/>
      <c r="U542" s="8"/>
      <c r="V542" s="69"/>
      <c r="W542" s="74"/>
      <c r="X542" s="69"/>
    </row>
    <row r="543">
      <c r="A543" s="30" t="str">
        <f>IFERROR(__xludf.DUMMYFUNCTION("""COMPUTED_VALUE"""),"39857")</f>
        <v>39857</v>
      </c>
      <c r="B543" s="86">
        <f>IFERROR(__xludf.DUMMYFUNCTION("""COMPUTED_VALUE"""),44655.0)</f>
        <v>44655</v>
      </c>
      <c r="C543" s="64" t="str">
        <f>IFERROR(__xludf.DUMMYFUNCTION("""COMPUTED_VALUE"""),"Stock")</f>
        <v>Stock</v>
      </c>
      <c r="D543" s="90" t="str">
        <f>IFERROR(__xludf.DUMMYFUNCTION("""COMPUTED_VALUE"""),"9939.HK")</f>
        <v>9939.HK</v>
      </c>
      <c r="E543" s="5" t="str">
        <f>IFERROR(__xludf.DUMMYFUNCTION("""COMPUTED_VALUE"""),"HKD")</f>
        <v>HKD</v>
      </c>
      <c r="F543" s="69">
        <f>IFERROR(__xludf.DUMMYFUNCTION("""COMPUTED_VALUE"""),20000.0)</f>
        <v>20000</v>
      </c>
      <c r="G543" s="70">
        <f>IFERROR(__xludf.DUMMYFUNCTION("""COMPUTED_VALUE"""),1.0)</f>
        <v>1</v>
      </c>
      <c r="H543" s="71">
        <f>IFERROR(__xludf.DUMMYFUNCTION("""COMPUTED_VALUE"""),13.98)</f>
        <v>13.98</v>
      </c>
      <c r="I543" s="71">
        <f>IFERROR(__xludf.DUMMYFUNCTION("""COMPUTED_VALUE"""),28.15)</f>
        <v>28.15</v>
      </c>
      <c r="J543" s="88" t="str">
        <f>IFERROR(__xludf.DUMMYFUNCTION("""COMPUTED_VALUE"""),"Goto link: 9939.HK")</f>
        <v>Goto link: 9939.HK</v>
      </c>
      <c r="K543" s="22"/>
      <c r="L543" s="22"/>
      <c r="M543" s="22"/>
      <c r="N543" s="22"/>
      <c r="O543" s="73"/>
      <c r="P543" s="8"/>
      <c r="Q543" s="69"/>
      <c r="R543" s="69"/>
      <c r="S543" s="8"/>
      <c r="T543" s="69"/>
      <c r="U543" s="8"/>
      <c r="V543" s="69"/>
      <c r="W543" s="74"/>
      <c r="X543" s="69"/>
    </row>
    <row r="544">
      <c r="A544" s="30" t="str">
        <f>IFERROR(__xludf.DUMMYFUNCTION("""COMPUTED_VALUE"""),"39857")</f>
        <v>39857</v>
      </c>
      <c r="B544" s="86">
        <f>IFERROR(__xludf.DUMMYFUNCTION("""COMPUTED_VALUE"""),44658.0)</f>
        <v>44658</v>
      </c>
      <c r="C544" s="64" t="str">
        <f>IFERROR(__xludf.DUMMYFUNCTION("""COMPUTED_VALUE"""),"Stock")</f>
        <v>Stock</v>
      </c>
      <c r="D544" s="91" t="str">
        <f>IFERROR(__xludf.DUMMYFUNCTION("""COMPUTED_VALUE"""),"9939.HK")</f>
        <v>9939.HK</v>
      </c>
      <c r="E544" s="5" t="str">
        <f>IFERROR(__xludf.DUMMYFUNCTION("""COMPUTED_VALUE"""),"HKD")</f>
        <v>HKD</v>
      </c>
      <c r="F544" s="69">
        <f>IFERROR(__xludf.DUMMYFUNCTION("""COMPUTED_VALUE"""),-20000.0)</f>
        <v>-20000</v>
      </c>
      <c r="G544" s="70">
        <f>IFERROR(__xludf.DUMMYFUNCTION("""COMPUTED_VALUE"""),1.0)</f>
        <v>1</v>
      </c>
      <c r="H544" s="71">
        <f>IFERROR(__xludf.DUMMYFUNCTION("""COMPUTED_VALUE"""),21.7)</f>
        <v>21.7</v>
      </c>
      <c r="I544" s="71">
        <f>IFERROR(__xludf.DUMMYFUNCTION("""COMPUTED_VALUE"""),28.15)</f>
        <v>28.15</v>
      </c>
      <c r="J544" s="88" t="str">
        <f>IFERROR(__xludf.DUMMYFUNCTION("""COMPUTED_VALUE"""),"Goto link: 9939.HK")</f>
        <v>Goto link: 9939.HK</v>
      </c>
      <c r="K544" s="22"/>
      <c r="L544" s="22"/>
      <c r="M544" s="22"/>
      <c r="N544" s="22"/>
      <c r="O544" s="73"/>
      <c r="P544" s="8"/>
      <c r="Q544" s="69"/>
      <c r="R544" s="69"/>
      <c r="S544" s="8"/>
      <c r="T544" s="69"/>
      <c r="U544" s="8"/>
      <c r="V544" s="69"/>
      <c r="W544" s="74"/>
      <c r="X544" s="69"/>
    </row>
    <row r="545">
      <c r="A545" s="30" t="str">
        <f>IFERROR(__xludf.DUMMYFUNCTION("""COMPUTED_VALUE"""),"39857")</f>
        <v>39857</v>
      </c>
      <c r="B545" s="86">
        <f>IFERROR(__xludf.DUMMYFUNCTION("""COMPUTED_VALUE"""),44659.0)</f>
        <v>44659</v>
      </c>
      <c r="C545" s="64" t="str">
        <f>IFERROR(__xludf.DUMMYFUNCTION("""COMPUTED_VALUE"""),"Stock")</f>
        <v>Stock</v>
      </c>
      <c r="D545" s="91" t="str">
        <f>IFERROR(__xludf.DUMMYFUNCTION("""COMPUTED_VALUE"""),"9939.HK")</f>
        <v>9939.HK</v>
      </c>
      <c r="E545" s="5" t="str">
        <f>IFERROR(__xludf.DUMMYFUNCTION("""COMPUTED_VALUE"""),"HKD")</f>
        <v>HKD</v>
      </c>
      <c r="F545" s="69">
        <f>IFERROR(__xludf.DUMMYFUNCTION("""COMPUTED_VALUE"""),5000.0)</f>
        <v>5000</v>
      </c>
      <c r="G545" s="70">
        <f>IFERROR(__xludf.DUMMYFUNCTION("""COMPUTED_VALUE"""),1.0)</f>
        <v>1</v>
      </c>
      <c r="H545" s="71">
        <f>IFERROR(__xludf.DUMMYFUNCTION("""COMPUTED_VALUE"""),25.65)</f>
        <v>25.65</v>
      </c>
      <c r="I545" s="71">
        <f>IFERROR(__xludf.DUMMYFUNCTION("""COMPUTED_VALUE"""),28.15)</f>
        <v>28.15</v>
      </c>
      <c r="J545" s="88" t="str">
        <f>IFERROR(__xludf.DUMMYFUNCTION("""COMPUTED_VALUE"""),"Goto link: 9939.HK")</f>
        <v>Goto link: 9939.HK</v>
      </c>
      <c r="K545" s="22"/>
      <c r="L545" s="22"/>
      <c r="M545" s="22"/>
      <c r="N545" s="22"/>
      <c r="O545" s="73"/>
      <c r="P545" s="8"/>
      <c r="Q545" s="69"/>
      <c r="R545" s="69"/>
      <c r="S545" s="8"/>
      <c r="T545" s="69"/>
      <c r="U545" s="8"/>
      <c r="V545" s="69"/>
      <c r="W545" s="74"/>
      <c r="X545" s="69"/>
    </row>
    <row r="546">
      <c r="A546" s="30" t="str">
        <f>IFERROR(__xludf.DUMMYFUNCTION("""COMPUTED_VALUE"""),"39857")</f>
        <v>39857</v>
      </c>
      <c r="B546" s="86">
        <f>IFERROR(__xludf.DUMMYFUNCTION("""COMPUTED_VALUE"""),44662.0)</f>
        <v>44662</v>
      </c>
      <c r="C546" s="64" t="str">
        <f>IFERROR(__xludf.DUMMYFUNCTION("""COMPUTED_VALUE"""),"Stock")</f>
        <v>Stock</v>
      </c>
      <c r="D546" s="91" t="str">
        <f>IFERROR(__xludf.DUMMYFUNCTION("""COMPUTED_VALUE"""),"9939.HK")</f>
        <v>9939.HK</v>
      </c>
      <c r="E546" s="5" t="str">
        <f>IFERROR(__xludf.DUMMYFUNCTION("""COMPUTED_VALUE"""),"HKD")</f>
        <v>HKD</v>
      </c>
      <c r="F546" s="69">
        <f>IFERROR(__xludf.DUMMYFUNCTION("""COMPUTED_VALUE"""),-5000.0)</f>
        <v>-5000</v>
      </c>
      <c r="G546" s="70">
        <f>IFERROR(__xludf.DUMMYFUNCTION("""COMPUTED_VALUE"""),1.0)</f>
        <v>1</v>
      </c>
      <c r="H546" s="71">
        <f>IFERROR(__xludf.DUMMYFUNCTION("""COMPUTED_VALUE"""),27.3)</f>
        <v>27.3</v>
      </c>
      <c r="I546" s="71">
        <f>IFERROR(__xludf.DUMMYFUNCTION("""COMPUTED_VALUE"""),28.15)</f>
        <v>28.15</v>
      </c>
      <c r="J546" s="88" t="str">
        <f>IFERROR(__xludf.DUMMYFUNCTION("""COMPUTED_VALUE"""),"Goto link: 9939.HK")</f>
        <v>Goto link: 9939.HK</v>
      </c>
      <c r="K546" s="22"/>
      <c r="L546" s="22"/>
      <c r="M546" s="22"/>
      <c r="N546" s="22"/>
      <c r="O546" s="73"/>
      <c r="P546" s="8"/>
      <c r="Q546" s="69"/>
      <c r="R546" s="69"/>
      <c r="S546" s="8"/>
      <c r="T546" s="69"/>
      <c r="U546" s="8"/>
      <c r="V546" s="69"/>
      <c r="W546" s="74"/>
      <c r="X546" s="69"/>
    </row>
    <row r="547">
      <c r="A547" s="30" t="str">
        <f>IFERROR(__xludf.DUMMYFUNCTION("""COMPUTED_VALUE"""),"39857")</f>
        <v>39857</v>
      </c>
      <c r="B547" s="86">
        <f>IFERROR(__xludf.DUMMYFUNCTION("""COMPUTED_VALUE"""),44662.0)</f>
        <v>44662</v>
      </c>
      <c r="C547" s="64" t="str">
        <f>IFERROR(__xludf.DUMMYFUNCTION("""COMPUTED_VALUE"""),"Stock")</f>
        <v>Stock</v>
      </c>
      <c r="D547" s="85" t="str">
        <f>IFERROR(__xludf.DUMMYFUNCTION("""COMPUTED_VALUE"""),"TWTR")</f>
        <v>TWTR</v>
      </c>
      <c r="E547" s="5" t="str">
        <f>IFERROR(__xludf.DUMMYFUNCTION("""COMPUTED_VALUE"""),"USD")</f>
        <v>USD</v>
      </c>
      <c r="F547" s="69">
        <f>IFERROR(__xludf.DUMMYFUNCTION("""COMPUTED_VALUE"""),-400.0)</f>
        <v>-400</v>
      </c>
      <c r="G547" s="70">
        <f>IFERROR(__xludf.DUMMYFUNCTION("""COMPUTED_VALUE"""),7.83915)</f>
        <v>7.83915</v>
      </c>
      <c r="H547" s="71">
        <f>IFERROR(__xludf.DUMMYFUNCTION("""COMPUTED_VALUE"""),47.01)</f>
        <v>47.01</v>
      </c>
      <c r="I547" s="71">
        <f>IFERROR(__xludf.DUMMYFUNCTION("""COMPUTED_VALUE"""),45.85)</f>
        <v>45.85</v>
      </c>
      <c r="J547" s="88" t="str">
        <f>IFERROR(__xludf.DUMMYFUNCTION("""COMPUTED_VALUE"""),"Goto link: TWTR")</f>
        <v>Goto link: TWTR</v>
      </c>
      <c r="K547" s="22"/>
      <c r="L547" s="22"/>
      <c r="M547" s="22"/>
      <c r="N547" s="22"/>
      <c r="O547" s="73"/>
      <c r="P547" s="8"/>
      <c r="Q547" s="69"/>
      <c r="R547" s="69"/>
      <c r="S547" s="8"/>
      <c r="T547" s="69"/>
      <c r="U547" s="8"/>
      <c r="V547" s="69"/>
      <c r="W547" s="74"/>
      <c r="X547" s="69"/>
    </row>
    <row r="548">
      <c r="A548" s="30" t="str">
        <f>IFERROR(__xludf.DUMMYFUNCTION("""COMPUTED_VALUE"""),"39857")</f>
        <v>39857</v>
      </c>
      <c r="B548" s="86">
        <f>IFERROR(__xludf.DUMMYFUNCTION("""COMPUTED_VALUE"""),44663.0)</f>
        <v>44663</v>
      </c>
      <c r="C548" s="64" t="str">
        <f>IFERROR(__xludf.DUMMYFUNCTION("""COMPUTED_VALUE"""),"Stock")</f>
        <v>Stock</v>
      </c>
      <c r="D548" s="85" t="str">
        <f>IFERROR(__xludf.DUMMYFUNCTION("""COMPUTED_VALUE"""),"TWTR")</f>
        <v>TWTR</v>
      </c>
      <c r="E548" s="5" t="str">
        <f>IFERROR(__xludf.DUMMYFUNCTION("""COMPUTED_VALUE"""),"USD")</f>
        <v>USD</v>
      </c>
      <c r="F548" s="69">
        <f>IFERROR(__xludf.DUMMYFUNCTION("""COMPUTED_VALUE"""),400.0)</f>
        <v>400</v>
      </c>
      <c r="G548" s="70">
        <f>IFERROR(__xludf.DUMMYFUNCTION("""COMPUTED_VALUE"""),7.83915)</f>
        <v>7.83915</v>
      </c>
      <c r="H548" s="71">
        <f>IFERROR(__xludf.DUMMYFUNCTION("""COMPUTED_VALUE"""),44.48)</f>
        <v>44.48</v>
      </c>
      <c r="I548" s="71">
        <f>IFERROR(__xludf.DUMMYFUNCTION("""COMPUTED_VALUE"""),45.85)</f>
        <v>45.85</v>
      </c>
      <c r="J548" s="88" t="str">
        <f>IFERROR(__xludf.DUMMYFUNCTION("""COMPUTED_VALUE"""),"Goto link: TWTR")</f>
        <v>Goto link: TWTR</v>
      </c>
      <c r="K548" s="22"/>
      <c r="L548" s="22"/>
      <c r="M548" s="22"/>
      <c r="N548" s="22"/>
      <c r="O548" s="73"/>
      <c r="P548" s="8"/>
      <c r="Q548" s="69"/>
      <c r="R548" s="69"/>
      <c r="S548" s="8"/>
      <c r="T548" s="69"/>
      <c r="U548" s="8"/>
      <c r="V548" s="69"/>
      <c r="W548" s="74"/>
      <c r="X548" s="69"/>
    </row>
    <row r="549">
      <c r="A549" s="30" t="str">
        <f>IFERROR(__xludf.DUMMYFUNCTION("""COMPUTED_VALUE"""),"39857 Total")</f>
        <v>39857 Total</v>
      </c>
      <c r="B549" s="5"/>
      <c r="C549" s="64"/>
      <c r="D549" s="85"/>
      <c r="E549" s="5"/>
      <c r="F549" s="69"/>
      <c r="G549" s="70">
        <f>IFERROR(__xludf.DUMMYFUNCTION("""COMPUTED_VALUE"""),5.445447500000002)</f>
        <v>5.4454475</v>
      </c>
      <c r="H549" s="71">
        <f>IFERROR(__xludf.DUMMYFUNCTION("""COMPUTED_VALUE"""),1093.99)</f>
        <v>1093.99</v>
      </c>
      <c r="I549" s="71" t="str">
        <f>IFERROR(__xludf.DUMMYFUNCTION("""COMPUTED_VALUE"""),"")</f>
        <v/>
      </c>
      <c r="J549" s="22" t="str">
        <f>IFERROR(__xludf.DUMMYFUNCTION("""COMPUTED_VALUE"""),"")</f>
        <v/>
      </c>
      <c r="K549" s="22"/>
      <c r="L549" s="22"/>
      <c r="M549" s="22"/>
      <c r="N549" s="22"/>
      <c r="O549" s="73"/>
      <c r="P549" s="8"/>
      <c r="Q549" s="69"/>
      <c r="R549" s="69"/>
      <c r="S549" s="8"/>
      <c r="T549" s="69"/>
      <c r="U549" s="8"/>
      <c r="V549" s="69"/>
      <c r="W549" s="74"/>
      <c r="X549" s="69"/>
    </row>
    <row r="550">
      <c r="A550" s="30" t="str">
        <f>IFERROR(__xludf.DUMMYFUNCTION("""COMPUTED_VALUE"""),"40105")</f>
        <v>40105</v>
      </c>
      <c r="B550" s="86">
        <f>IFERROR(__xludf.DUMMYFUNCTION("""COMPUTED_VALUE"""),44597.0)</f>
        <v>44597</v>
      </c>
      <c r="C550" s="64" t="str">
        <f>IFERROR(__xludf.DUMMYFUNCTION("""COMPUTED_VALUE"""),"Cash")</f>
        <v>Cash</v>
      </c>
      <c r="D550" s="85" t="str">
        <f>IFERROR(__xludf.DUMMYFUNCTION("""COMPUTED_VALUE"""),"Cash")</f>
        <v>Cash</v>
      </c>
      <c r="E550" s="5" t="str">
        <f>IFERROR(__xludf.DUMMYFUNCTION("""COMPUTED_VALUE"""),"HKD")</f>
        <v>HKD</v>
      </c>
      <c r="F550" s="69" t="str">
        <f>IFERROR(__xludf.DUMMYFUNCTION("""COMPUTED_VALUE"""),"")</f>
        <v/>
      </c>
      <c r="G550" s="70">
        <f>IFERROR(__xludf.DUMMYFUNCTION("""COMPUTED_VALUE"""),1.0)</f>
        <v>1</v>
      </c>
      <c r="H550" s="71">
        <f>IFERROR(__xludf.DUMMYFUNCTION("""COMPUTED_VALUE"""),1.0)</f>
        <v>1</v>
      </c>
      <c r="I550" s="71">
        <f>IFERROR(__xludf.DUMMYFUNCTION("""COMPUTED_VALUE"""),1.0)</f>
        <v>1</v>
      </c>
      <c r="J550" s="22" t="str">
        <f>IFERROR(__xludf.DUMMYFUNCTION("""COMPUTED_VALUE"""),"")</f>
        <v/>
      </c>
      <c r="K550" s="22"/>
      <c r="L550" s="22"/>
      <c r="M550" s="22"/>
      <c r="N550" s="22"/>
      <c r="O550" s="73"/>
      <c r="P550" s="8"/>
      <c r="Q550" s="69"/>
      <c r="R550" s="69"/>
      <c r="S550" s="8"/>
      <c r="T550" s="69"/>
      <c r="U550" s="8"/>
      <c r="V550" s="69"/>
      <c r="W550" s="74"/>
      <c r="X550" s="69"/>
    </row>
    <row r="551">
      <c r="A551" s="30" t="str">
        <f>IFERROR(__xludf.DUMMYFUNCTION("""COMPUTED_VALUE"""),"40105")</f>
        <v>40105</v>
      </c>
      <c r="B551" s="86">
        <f>IFERROR(__xludf.DUMMYFUNCTION("""COMPUTED_VALUE"""),44605.0)</f>
        <v>44605</v>
      </c>
      <c r="C551" s="64" t="str">
        <f>IFERROR(__xludf.DUMMYFUNCTION("""COMPUTED_VALUE"""),"Time Deposit")</f>
        <v>Time Deposit</v>
      </c>
      <c r="D551" s="87" t="str">
        <f>IFERROR(__xludf.DUMMYFUNCTION("""COMPUTED_VALUE"""),"3m")</f>
        <v>3m</v>
      </c>
      <c r="E551" s="5" t="str">
        <f>IFERROR(__xludf.DUMMYFUNCTION("""COMPUTED_VALUE"""),"HKD")</f>
        <v>HKD</v>
      </c>
      <c r="F551" s="69">
        <f>IFERROR(__xludf.DUMMYFUNCTION("""COMPUTED_VALUE"""),100000.0)</f>
        <v>100000</v>
      </c>
      <c r="G551" s="70">
        <f>IFERROR(__xludf.DUMMYFUNCTION("""COMPUTED_VALUE"""),1.0)</f>
        <v>1</v>
      </c>
      <c r="H551" s="71">
        <f>IFERROR(__xludf.DUMMYFUNCTION("""COMPUTED_VALUE"""),1.0)</f>
        <v>1</v>
      </c>
      <c r="I551" s="71" t="str">
        <f>IFERROR(__xludf.DUMMYFUNCTION("""COMPUTED_VALUE"""),"#N/A")</f>
        <v>#N/A</v>
      </c>
      <c r="J551" s="22" t="str">
        <f>IFERROR(__xludf.DUMMYFUNCTION("""COMPUTED_VALUE"""),"")</f>
        <v/>
      </c>
      <c r="K551" s="22"/>
      <c r="L551" s="22"/>
      <c r="M551" s="22"/>
      <c r="N551" s="22"/>
      <c r="O551" s="73"/>
      <c r="P551" s="8"/>
      <c r="Q551" s="69"/>
      <c r="R551" s="69"/>
      <c r="S551" s="8"/>
      <c r="T551" s="69"/>
      <c r="U551" s="8"/>
      <c r="V551" s="69"/>
      <c r="W551" s="74"/>
      <c r="X551" s="69"/>
    </row>
    <row r="552">
      <c r="A552" s="30" t="str">
        <f>IFERROR(__xludf.DUMMYFUNCTION("""COMPUTED_VALUE"""),"40105")</f>
        <v>40105</v>
      </c>
      <c r="B552" s="86">
        <f>IFERROR(__xludf.DUMMYFUNCTION("""COMPUTED_VALUE"""),44608.0)</f>
        <v>44608</v>
      </c>
      <c r="C552" s="64" t="str">
        <f>IFERROR(__xludf.DUMMYFUNCTION("""COMPUTED_VALUE"""),"Stock")</f>
        <v>Stock</v>
      </c>
      <c r="D552" s="87" t="str">
        <f>IFERROR(__xludf.DUMMYFUNCTION("""COMPUTED_VALUE"""),"DIS")</f>
        <v>DIS</v>
      </c>
      <c r="E552" s="5" t="str">
        <f>IFERROR(__xludf.DUMMYFUNCTION("""COMPUTED_VALUE"""),"USD")</f>
        <v>USD</v>
      </c>
      <c r="F552" s="69">
        <f>IFERROR(__xludf.DUMMYFUNCTION("""COMPUTED_VALUE"""),0.0)</f>
        <v>0</v>
      </c>
      <c r="G552" s="70">
        <f>IFERROR(__xludf.DUMMYFUNCTION("""COMPUTED_VALUE"""),7.83915)</f>
        <v>7.83915</v>
      </c>
      <c r="H552" s="71">
        <f>IFERROR(__xludf.DUMMYFUNCTION("""COMPUTED_VALUE"""),0.0)</f>
        <v>0</v>
      </c>
      <c r="I552" s="71">
        <f>IFERROR(__xludf.DUMMYFUNCTION("""COMPUTED_VALUE"""),132.38)</f>
        <v>132.38</v>
      </c>
      <c r="J552" s="88" t="str">
        <f>IFERROR(__xludf.DUMMYFUNCTION("""COMPUTED_VALUE"""),"Goto link: DIS")</f>
        <v>Goto link: DIS</v>
      </c>
      <c r="K552" s="22"/>
      <c r="L552" s="22"/>
      <c r="M552" s="22"/>
      <c r="N552" s="22"/>
      <c r="O552" s="73"/>
      <c r="P552" s="8"/>
      <c r="Q552" s="69"/>
      <c r="R552" s="69"/>
      <c r="S552" s="8"/>
      <c r="T552" s="69"/>
      <c r="U552" s="8"/>
      <c r="V552" s="69"/>
      <c r="W552" s="74"/>
      <c r="X552" s="69"/>
    </row>
    <row r="553">
      <c r="A553" s="30" t="str">
        <f>IFERROR(__xludf.DUMMYFUNCTION("""COMPUTED_VALUE"""),"40105")</f>
        <v>40105</v>
      </c>
      <c r="B553" s="86">
        <f>IFERROR(__xludf.DUMMYFUNCTION("""COMPUTED_VALUE"""),44609.0)</f>
        <v>44609</v>
      </c>
      <c r="C553" s="64" t="str">
        <f>IFERROR(__xludf.DUMMYFUNCTION("""COMPUTED_VALUE"""),"Stock")</f>
        <v>Stock</v>
      </c>
      <c r="D553" s="87" t="str">
        <f>IFERROR(__xludf.DUMMYFUNCTION("""COMPUTED_VALUE"""),"DIS")</f>
        <v>DIS</v>
      </c>
      <c r="E553" s="5" t="str">
        <f>IFERROR(__xludf.DUMMYFUNCTION("""COMPUTED_VALUE"""),"USD")</f>
        <v>USD</v>
      </c>
      <c r="F553" s="69">
        <f>IFERROR(__xludf.DUMMYFUNCTION("""COMPUTED_VALUE"""),300.0)</f>
        <v>300</v>
      </c>
      <c r="G553" s="70">
        <f>IFERROR(__xludf.DUMMYFUNCTION("""COMPUTED_VALUE"""),7.83915)</f>
        <v>7.83915</v>
      </c>
      <c r="H553" s="71">
        <f>IFERROR(__xludf.DUMMYFUNCTION("""COMPUTED_VALUE"""),152.95)</f>
        <v>152.95</v>
      </c>
      <c r="I553" s="71">
        <f>IFERROR(__xludf.DUMMYFUNCTION("""COMPUTED_VALUE"""),132.38)</f>
        <v>132.38</v>
      </c>
      <c r="J553" s="88" t="str">
        <f>IFERROR(__xludf.DUMMYFUNCTION("""COMPUTED_VALUE"""),"Goto link: DIS")</f>
        <v>Goto link: DIS</v>
      </c>
      <c r="K553" s="22"/>
      <c r="L553" s="22"/>
      <c r="M553" s="22"/>
      <c r="N553" s="22"/>
      <c r="O553" s="73"/>
      <c r="P553" s="8"/>
      <c r="Q553" s="69"/>
      <c r="R553" s="69"/>
      <c r="S553" s="8"/>
      <c r="T553" s="69"/>
      <c r="U553" s="8"/>
      <c r="V553" s="69"/>
      <c r="W553" s="74"/>
      <c r="X553" s="69"/>
    </row>
    <row r="554">
      <c r="A554" s="30" t="str">
        <f>IFERROR(__xludf.DUMMYFUNCTION("""COMPUTED_VALUE"""),"40105")</f>
        <v>40105</v>
      </c>
      <c r="B554" s="86">
        <f>IFERROR(__xludf.DUMMYFUNCTION("""COMPUTED_VALUE"""),44641.0)</f>
        <v>44641</v>
      </c>
      <c r="C554" s="64" t="str">
        <f>IFERROR(__xludf.DUMMYFUNCTION("""COMPUTED_VALUE"""),"Bond")</f>
        <v>Bond</v>
      </c>
      <c r="D554" s="87" t="str">
        <f>IFERROR(__xludf.DUMMYFUNCTION("""COMPUTED_VALUE"""),"US88032XAE40")</f>
        <v>US88032XAE40</v>
      </c>
      <c r="E554" s="5" t="str">
        <f>IFERROR(__xludf.DUMMYFUNCTION("""COMPUTED_VALUE"""),"USD")</f>
        <v>USD</v>
      </c>
      <c r="F554" s="69" t="str">
        <f>IFERROR(__xludf.DUMMYFUNCTION("""COMPUTED_VALUE"""),"")</f>
        <v/>
      </c>
      <c r="G554" s="70">
        <f>IFERROR(__xludf.DUMMYFUNCTION("""COMPUTED_VALUE"""),7.83915)</f>
        <v>7.83915</v>
      </c>
      <c r="H554" s="71">
        <f>IFERROR(__xludf.DUMMYFUNCTION("""COMPUTED_VALUE"""),100.294)</f>
        <v>100.294</v>
      </c>
      <c r="I554" s="71" t="str">
        <f>IFERROR(__xludf.DUMMYFUNCTION("""COMPUTED_VALUE"""),"nil")</f>
        <v>nil</v>
      </c>
      <c r="J554" s="88" t="str">
        <f>IFERROR(__xludf.DUMMYFUNCTION("""COMPUTED_VALUE"""),"Bond Fact Sheet")</f>
        <v>Bond Fact Sheet</v>
      </c>
      <c r="K554" s="22"/>
      <c r="L554" s="22"/>
      <c r="M554" s="22"/>
      <c r="N554" s="22"/>
      <c r="O554" s="73"/>
      <c r="P554" s="8"/>
      <c r="Q554" s="69"/>
      <c r="R554" s="69"/>
      <c r="S554" s="8"/>
      <c r="T554" s="69"/>
      <c r="U554" s="8"/>
      <c r="V554" s="69"/>
      <c r="W554" s="74"/>
      <c r="X554" s="69"/>
    </row>
    <row r="555">
      <c r="A555" s="30" t="str">
        <f>IFERROR(__xludf.DUMMYFUNCTION("""COMPUTED_VALUE"""),"40105")</f>
        <v>40105</v>
      </c>
      <c r="B555" s="86">
        <f>IFERROR(__xludf.DUMMYFUNCTION("""COMPUTED_VALUE"""),44648.0)</f>
        <v>44648</v>
      </c>
      <c r="C555" s="64" t="str">
        <f>IFERROR(__xludf.DUMMYFUNCTION("""COMPUTED_VALUE"""),"Stock")</f>
        <v>Stock</v>
      </c>
      <c r="D555" s="87" t="str">
        <f>IFERROR(__xludf.DUMMYFUNCTION("""COMPUTED_VALUE"""),"DIS")</f>
        <v>DIS</v>
      </c>
      <c r="E555" s="5" t="str">
        <f>IFERROR(__xludf.DUMMYFUNCTION("""COMPUTED_VALUE"""),"USD")</f>
        <v>USD</v>
      </c>
      <c r="F555" s="69">
        <f>IFERROR(__xludf.DUMMYFUNCTION("""COMPUTED_VALUE"""),-150.0)</f>
        <v>-150</v>
      </c>
      <c r="G555" s="70">
        <f>IFERROR(__xludf.DUMMYFUNCTION("""COMPUTED_VALUE"""),7.83915)</f>
        <v>7.83915</v>
      </c>
      <c r="H555" s="71">
        <f>IFERROR(__xludf.DUMMYFUNCTION("""COMPUTED_VALUE"""),138.71)</f>
        <v>138.71</v>
      </c>
      <c r="I555" s="71">
        <f>IFERROR(__xludf.DUMMYFUNCTION("""COMPUTED_VALUE"""),132.38)</f>
        <v>132.38</v>
      </c>
      <c r="J555" s="88" t="str">
        <f>IFERROR(__xludf.DUMMYFUNCTION("""COMPUTED_VALUE"""),"Goto link: DIS")</f>
        <v>Goto link: DIS</v>
      </c>
      <c r="K555" s="22"/>
      <c r="L555" s="22"/>
      <c r="M555" s="22"/>
      <c r="N555" s="22"/>
      <c r="O555" s="73"/>
      <c r="P555" s="8"/>
      <c r="Q555" s="69"/>
      <c r="R555" s="69"/>
      <c r="S555" s="8"/>
      <c r="T555" s="69"/>
      <c r="U555" s="8"/>
      <c r="V555" s="69"/>
      <c r="W555" s="74"/>
      <c r="X555" s="69"/>
    </row>
    <row r="556">
      <c r="A556" s="30" t="str">
        <f>IFERROR(__xludf.DUMMYFUNCTION("""COMPUTED_VALUE"""),"40105")</f>
        <v>40105</v>
      </c>
      <c r="B556" s="86">
        <f>IFERROR(__xludf.DUMMYFUNCTION("""COMPUTED_VALUE"""),44660.0)</f>
        <v>44660</v>
      </c>
      <c r="C556" s="64" t="str">
        <f>IFERROR(__xludf.DUMMYFUNCTION("""COMPUTED_VALUE"""),"Stock")</f>
        <v>Stock</v>
      </c>
      <c r="D556" s="91" t="str">
        <f>IFERROR(__xludf.DUMMYFUNCTION("""COMPUTED_VALUE"""),"9939.HK")</f>
        <v>9939.HK</v>
      </c>
      <c r="E556" s="5" t="str">
        <f>IFERROR(__xludf.DUMMYFUNCTION("""COMPUTED_VALUE"""),"HKD")</f>
        <v>HKD</v>
      </c>
      <c r="F556" s="69">
        <f>IFERROR(__xludf.DUMMYFUNCTION("""COMPUTED_VALUE"""),5000.0)</f>
        <v>5000</v>
      </c>
      <c r="G556" s="70">
        <f>IFERROR(__xludf.DUMMYFUNCTION("""COMPUTED_VALUE"""),1.0)</f>
        <v>1</v>
      </c>
      <c r="H556" s="71">
        <f>IFERROR(__xludf.DUMMYFUNCTION("""COMPUTED_VALUE"""),27.3)</f>
        <v>27.3</v>
      </c>
      <c r="I556" s="71">
        <f>IFERROR(__xludf.DUMMYFUNCTION("""COMPUTED_VALUE"""),28.15)</f>
        <v>28.15</v>
      </c>
      <c r="J556" s="88" t="str">
        <f>IFERROR(__xludf.DUMMYFUNCTION("""COMPUTED_VALUE"""),"Goto link: 9939.HK")</f>
        <v>Goto link: 9939.HK</v>
      </c>
      <c r="K556" s="22"/>
      <c r="L556" s="22"/>
      <c r="M556" s="22"/>
      <c r="N556" s="22"/>
      <c r="O556" s="73"/>
      <c r="P556" s="8"/>
      <c r="Q556" s="69"/>
      <c r="R556" s="69"/>
      <c r="S556" s="8"/>
      <c r="T556" s="69"/>
      <c r="U556" s="8"/>
      <c r="V556" s="69"/>
      <c r="W556" s="74"/>
      <c r="X556" s="69"/>
    </row>
    <row r="557">
      <c r="A557" s="30" t="str">
        <f>IFERROR(__xludf.DUMMYFUNCTION("""COMPUTED_VALUE"""),"40105")</f>
        <v>40105</v>
      </c>
      <c r="B557" s="86">
        <f>IFERROR(__xludf.DUMMYFUNCTION("""COMPUTED_VALUE"""),44662.0)</f>
        <v>44662</v>
      </c>
      <c r="C557" s="64" t="str">
        <f>IFERROR(__xludf.DUMMYFUNCTION("""COMPUTED_VALUE"""),"Stock")</f>
        <v>Stock</v>
      </c>
      <c r="D557" s="91" t="str">
        <f>IFERROR(__xludf.DUMMYFUNCTION("""COMPUTED_VALUE"""),"9866.HK")</f>
        <v>9866.HK</v>
      </c>
      <c r="E557" s="5" t="str">
        <f>IFERROR(__xludf.DUMMYFUNCTION("""COMPUTED_VALUE"""),"HKD")</f>
        <v>HKD</v>
      </c>
      <c r="F557" s="69">
        <f>IFERROR(__xludf.DUMMYFUNCTION("""COMPUTED_VALUE"""),-400.0)</f>
        <v>-400</v>
      </c>
      <c r="G557" s="70">
        <f>IFERROR(__xludf.DUMMYFUNCTION("""COMPUTED_VALUE"""),1.0)</f>
        <v>1</v>
      </c>
      <c r="H557" s="71">
        <f>IFERROR(__xludf.DUMMYFUNCTION("""COMPUTED_VALUE"""),144.8)</f>
        <v>144.8</v>
      </c>
      <c r="I557" s="71">
        <f>IFERROR(__xludf.DUMMYFUNCTION("""COMPUTED_VALUE"""),154.2)</f>
        <v>154.2</v>
      </c>
      <c r="J557" s="88" t="str">
        <f>IFERROR(__xludf.DUMMYFUNCTION("""COMPUTED_VALUE"""),"Goto link: 9866.HK")</f>
        <v>Goto link: 9866.HK</v>
      </c>
      <c r="K557" s="22"/>
      <c r="L557" s="22"/>
      <c r="M557" s="22"/>
      <c r="N557" s="22"/>
      <c r="O557" s="73"/>
      <c r="P557" s="8"/>
      <c r="Q557" s="69"/>
      <c r="R557" s="69"/>
      <c r="S557" s="8"/>
      <c r="T557" s="69"/>
      <c r="U557" s="8"/>
      <c r="V557" s="69"/>
      <c r="W557" s="74"/>
      <c r="X557" s="69"/>
    </row>
    <row r="558">
      <c r="A558" s="30" t="str">
        <f>IFERROR(__xludf.DUMMYFUNCTION("""COMPUTED_VALUE"""),"40105")</f>
        <v>40105</v>
      </c>
      <c r="B558" s="86">
        <f>IFERROR(__xludf.DUMMYFUNCTION("""COMPUTED_VALUE"""),44662.0)</f>
        <v>44662</v>
      </c>
      <c r="C558" s="64" t="str">
        <f>IFERROR(__xludf.DUMMYFUNCTION("""COMPUTED_VALUE"""),"Stock")</f>
        <v>Stock</v>
      </c>
      <c r="D558" s="85" t="str">
        <f>IFERROR(__xludf.DUMMYFUNCTION("""COMPUTED_VALUE"""),"DIS")</f>
        <v>DIS</v>
      </c>
      <c r="E558" s="5" t="str">
        <f>IFERROR(__xludf.DUMMYFUNCTION("""COMPUTED_VALUE"""),"USD")</f>
        <v>USD</v>
      </c>
      <c r="F558" s="69">
        <f>IFERROR(__xludf.DUMMYFUNCTION("""COMPUTED_VALUE"""),-150.0)</f>
        <v>-150</v>
      </c>
      <c r="G558" s="70">
        <f>IFERROR(__xludf.DUMMYFUNCTION("""COMPUTED_VALUE"""),7.83915)</f>
        <v>7.83915</v>
      </c>
      <c r="H558" s="71">
        <f>IFERROR(__xludf.DUMMYFUNCTION("""COMPUTED_VALUE"""),130.65)</f>
        <v>130.65</v>
      </c>
      <c r="I558" s="71">
        <f>IFERROR(__xludf.DUMMYFUNCTION("""COMPUTED_VALUE"""),132.38)</f>
        <v>132.38</v>
      </c>
      <c r="J558" s="88" t="str">
        <f>IFERROR(__xludf.DUMMYFUNCTION("""COMPUTED_VALUE"""),"Goto link: DIS")</f>
        <v>Goto link: DIS</v>
      </c>
      <c r="K558" s="22"/>
      <c r="L558" s="22"/>
      <c r="M558" s="22"/>
      <c r="N558" s="22"/>
      <c r="O558" s="73"/>
      <c r="P558" s="8"/>
      <c r="Q558" s="69"/>
      <c r="R558" s="69"/>
      <c r="S558" s="8"/>
      <c r="T558" s="69"/>
      <c r="U558" s="8"/>
      <c r="V558" s="69"/>
      <c r="W558" s="74"/>
      <c r="X558" s="69"/>
    </row>
    <row r="559">
      <c r="A559" s="30" t="str">
        <f>IFERROR(__xludf.DUMMYFUNCTION("""COMPUTED_VALUE"""),"40105")</f>
        <v>40105</v>
      </c>
      <c r="B559" s="86">
        <f>IFERROR(__xludf.DUMMYFUNCTION("""COMPUTED_VALUE"""),44662.0)</f>
        <v>44662</v>
      </c>
      <c r="C559" s="64" t="str">
        <f>IFERROR(__xludf.DUMMYFUNCTION("""COMPUTED_VALUE"""),"Stock")</f>
        <v>Stock</v>
      </c>
      <c r="D559" s="85" t="str">
        <f>IFERROR(__xludf.DUMMYFUNCTION("""COMPUTED_VALUE"""),"TSLA")</f>
        <v>TSLA</v>
      </c>
      <c r="E559" s="5" t="str">
        <f>IFERROR(__xludf.DUMMYFUNCTION("""COMPUTED_VALUE"""),"USD")</f>
        <v>USD</v>
      </c>
      <c r="F559" s="69" t="str">
        <f>IFERROR(__xludf.DUMMYFUNCTION("""COMPUTED_VALUE"""),"")</f>
        <v/>
      </c>
      <c r="G559" s="70">
        <f>IFERROR(__xludf.DUMMYFUNCTION("""COMPUTED_VALUE"""),7.83915)</f>
        <v>7.83915</v>
      </c>
      <c r="H559" s="71">
        <f>IFERROR(__xludf.DUMMYFUNCTION("""COMPUTED_VALUE"""),975.93)</f>
        <v>975.93</v>
      </c>
      <c r="I559" s="71">
        <f>IFERROR(__xludf.DUMMYFUNCTION("""COMPUTED_VALUE"""),1022.37)</f>
        <v>1022.37</v>
      </c>
      <c r="J559" s="88" t="str">
        <f>IFERROR(__xludf.DUMMYFUNCTION("""COMPUTED_VALUE"""),"Goto link: TSLA")</f>
        <v>Goto link: TSLA</v>
      </c>
      <c r="K559" s="22"/>
      <c r="L559" s="22"/>
      <c r="M559" s="22"/>
      <c r="N559" s="22"/>
      <c r="O559" s="73"/>
      <c r="P559" s="8"/>
      <c r="Q559" s="69"/>
      <c r="R559" s="69"/>
      <c r="S559" s="8"/>
      <c r="T559" s="69"/>
      <c r="U559" s="8"/>
      <c r="V559" s="69"/>
      <c r="W559" s="74"/>
      <c r="X559" s="69"/>
    </row>
    <row r="560">
      <c r="A560" s="30" t="str">
        <f>IFERROR(__xludf.DUMMYFUNCTION("""COMPUTED_VALUE"""),"40105")</f>
        <v>40105</v>
      </c>
      <c r="B560" s="86">
        <f>IFERROR(__xludf.DUMMYFUNCTION("""COMPUTED_VALUE"""),44662.0)</f>
        <v>44662</v>
      </c>
      <c r="C560" s="64" t="str">
        <f>IFERROR(__xludf.DUMMYFUNCTION("""COMPUTED_VALUE"""),"Stock")</f>
        <v>Stock</v>
      </c>
      <c r="D560" s="85" t="str">
        <f>IFERROR(__xludf.DUMMYFUNCTION("""COMPUTED_VALUE"""),"TWTR")</f>
        <v>TWTR</v>
      </c>
      <c r="E560" s="5" t="str">
        <f>IFERROR(__xludf.DUMMYFUNCTION("""COMPUTED_VALUE"""),"USD")</f>
        <v>USD</v>
      </c>
      <c r="F560" s="69">
        <f>IFERROR(__xludf.DUMMYFUNCTION("""COMPUTED_VALUE"""),-600.0)</f>
        <v>-600</v>
      </c>
      <c r="G560" s="70">
        <f>IFERROR(__xludf.DUMMYFUNCTION("""COMPUTED_VALUE"""),7.83915)</f>
        <v>7.83915</v>
      </c>
      <c r="H560" s="71">
        <f>IFERROR(__xludf.DUMMYFUNCTION("""COMPUTED_VALUE"""),47.01)</f>
        <v>47.01</v>
      </c>
      <c r="I560" s="71">
        <f>IFERROR(__xludf.DUMMYFUNCTION("""COMPUTED_VALUE"""),45.85)</f>
        <v>45.85</v>
      </c>
      <c r="J560" s="88" t="str">
        <f>IFERROR(__xludf.DUMMYFUNCTION("""COMPUTED_VALUE"""),"Goto link: TWTR")</f>
        <v>Goto link: TWTR</v>
      </c>
      <c r="K560" s="22"/>
      <c r="L560" s="22"/>
      <c r="M560" s="22"/>
      <c r="N560" s="22"/>
      <c r="O560" s="73"/>
      <c r="P560" s="8"/>
      <c r="Q560" s="69"/>
      <c r="R560" s="69"/>
      <c r="S560" s="8"/>
      <c r="T560" s="69"/>
      <c r="U560" s="8"/>
      <c r="V560" s="69"/>
      <c r="W560" s="74"/>
      <c r="X560" s="69"/>
    </row>
    <row r="561">
      <c r="A561" s="30" t="str">
        <f>IFERROR(__xludf.DUMMYFUNCTION("""COMPUTED_VALUE"""),"40105")</f>
        <v>40105</v>
      </c>
      <c r="B561" s="86">
        <f>IFERROR(__xludf.DUMMYFUNCTION("""COMPUTED_VALUE"""),44662.0)</f>
        <v>44662</v>
      </c>
      <c r="C561" s="64" t="str">
        <f>IFERROR(__xludf.DUMMYFUNCTION("""COMPUTED_VALUE"""),"Stock")</f>
        <v>Stock</v>
      </c>
      <c r="D561" s="85" t="str">
        <f>IFERROR(__xludf.DUMMYFUNCTION("""COMPUTED_VALUE"""),"TWTR")</f>
        <v>TWTR</v>
      </c>
      <c r="E561" s="5" t="str">
        <f>IFERROR(__xludf.DUMMYFUNCTION("""COMPUTED_VALUE"""),"USD")</f>
        <v>USD</v>
      </c>
      <c r="F561" s="69">
        <f>IFERROR(__xludf.DUMMYFUNCTION("""COMPUTED_VALUE"""),300.0)</f>
        <v>300</v>
      </c>
      <c r="G561" s="70">
        <f>IFERROR(__xludf.DUMMYFUNCTION("""COMPUTED_VALUE"""),7.83915)</f>
        <v>7.83915</v>
      </c>
      <c r="H561" s="71">
        <f>IFERROR(__xludf.DUMMYFUNCTION("""COMPUTED_VALUE"""),47.01)</f>
        <v>47.01</v>
      </c>
      <c r="I561" s="71">
        <f>IFERROR(__xludf.DUMMYFUNCTION("""COMPUTED_VALUE"""),45.85)</f>
        <v>45.85</v>
      </c>
      <c r="J561" s="88" t="str">
        <f>IFERROR(__xludf.DUMMYFUNCTION("""COMPUTED_VALUE"""),"Goto link: TWTR")</f>
        <v>Goto link: TWTR</v>
      </c>
      <c r="K561" s="22"/>
      <c r="L561" s="22"/>
      <c r="M561" s="22"/>
      <c r="N561" s="22"/>
      <c r="O561" s="73"/>
      <c r="P561" s="8"/>
      <c r="Q561" s="69"/>
      <c r="R561" s="69"/>
      <c r="S561" s="8"/>
      <c r="T561" s="69"/>
      <c r="U561" s="8"/>
      <c r="V561" s="69"/>
      <c r="W561" s="74"/>
      <c r="X561" s="69"/>
    </row>
    <row r="562">
      <c r="A562" s="30" t="str">
        <f>IFERROR(__xludf.DUMMYFUNCTION("""COMPUTED_VALUE"""),"40105")</f>
        <v>40105</v>
      </c>
      <c r="B562" s="86">
        <f>IFERROR(__xludf.DUMMYFUNCTION("""COMPUTED_VALUE"""),44663.0)</f>
        <v>44663</v>
      </c>
      <c r="C562" s="64" t="str">
        <f>IFERROR(__xludf.DUMMYFUNCTION("""COMPUTED_VALUE"""),"Stock")</f>
        <v>Stock</v>
      </c>
      <c r="D562" s="85" t="str">
        <f>IFERROR(__xludf.DUMMYFUNCTION("""COMPUTED_VALUE"""),"TWTR")</f>
        <v>TWTR</v>
      </c>
      <c r="E562" s="5" t="str">
        <f>IFERROR(__xludf.DUMMYFUNCTION("""COMPUTED_VALUE"""),"USD")</f>
        <v>USD</v>
      </c>
      <c r="F562" s="69">
        <f>IFERROR(__xludf.DUMMYFUNCTION("""COMPUTED_VALUE"""),300.0)</f>
        <v>300</v>
      </c>
      <c r="G562" s="70">
        <f>IFERROR(__xludf.DUMMYFUNCTION("""COMPUTED_VALUE"""),7.83915)</f>
        <v>7.83915</v>
      </c>
      <c r="H562" s="71">
        <f>IFERROR(__xludf.DUMMYFUNCTION("""COMPUTED_VALUE"""),44.48)</f>
        <v>44.48</v>
      </c>
      <c r="I562" s="71">
        <f>IFERROR(__xludf.DUMMYFUNCTION("""COMPUTED_VALUE"""),45.85)</f>
        <v>45.85</v>
      </c>
      <c r="J562" s="88" t="str">
        <f>IFERROR(__xludf.DUMMYFUNCTION("""COMPUTED_VALUE"""),"Goto link: TWTR")</f>
        <v>Goto link: TWTR</v>
      </c>
      <c r="K562" s="22"/>
      <c r="L562" s="22"/>
      <c r="M562" s="22"/>
      <c r="N562" s="22"/>
      <c r="O562" s="73"/>
      <c r="P562" s="8"/>
      <c r="Q562" s="69"/>
      <c r="R562" s="69"/>
      <c r="S562" s="8"/>
      <c r="T562" s="69"/>
      <c r="U562" s="8"/>
      <c r="V562" s="69"/>
      <c r="W562" s="74"/>
      <c r="X562" s="69"/>
    </row>
    <row r="563">
      <c r="A563" s="30" t="str">
        <f>IFERROR(__xludf.DUMMYFUNCTION("""COMPUTED_VALUE"""),"40105 Total")</f>
        <v>40105 Total</v>
      </c>
      <c r="B563" s="5"/>
      <c r="C563" s="64"/>
      <c r="D563" s="85"/>
      <c r="E563" s="5"/>
      <c r="F563" s="69"/>
      <c r="G563" s="70">
        <f>IFERROR(__xludf.DUMMYFUNCTION("""COMPUTED_VALUE"""),6.015376666666668)</f>
        <v>6.015376667</v>
      </c>
      <c r="H563" s="71">
        <f>IFERROR(__xludf.DUMMYFUNCTION("""COMPUTED_VALUE"""),975.93)</f>
        <v>975.93</v>
      </c>
      <c r="I563" s="71" t="str">
        <f>IFERROR(__xludf.DUMMYFUNCTION("""COMPUTED_VALUE"""),"")</f>
        <v/>
      </c>
      <c r="J563" s="22" t="str">
        <f>IFERROR(__xludf.DUMMYFUNCTION("""COMPUTED_VALUE"""),"")</f>
        <v/>
      </c>
      <c r="K563" s="22"/>
      <c r="L563" s="22"/>
      <c r="M563" s="22"/>
      <c r="N563" s="22"/>
      <c r="O563" s="73"/>
      <c r="P563" s="8"/>
      <c r="Q563" s="69"/>
      <c r="R563" s="69"/>
      <c r="S563" s="8"/>
      <c r="T563" s="69"/>
      <c r="U563" s="8"/>
      <c r="V563" s="69"/>
      <c r="W563" s="74"/>
      <c r="X563" s="69"/>
    </row>
    <row r="564">
      <c r="A564" s="30" t="str">
        <f>IFERROR(__xludf.DUMMYFUNCTION("""COMPUTED_VALUE"""),"40158")</f>
        <v>40158</v>
      </c>
      <c r="B564" s="86">
        <f>IFERROR(__xludf.DUMMYFUNCTION("""COMPUTED_VALUE"""),44597.0)</f>
        <v>44597</v>
      </c>
      <c r="C564" s="64" t="str">
        <f>IFERROR(__xludf.DUMMYFUNCTION("""COMPUTED_VALUE"""),"Cash")</f>
        <v>Cash</v>
      </c>
      <c r="D564" s="85" t="str">
        <f>IFERROR(__xludf.DUMMYFUNCTION("""COMPUTED_VALUE"""),"Cash")</f>
        <v>Cash</v>
      </c>
      <c r="E564" s="5" t="str">
        <f>IFERROR(__xludf.DUMMYFUNCTION("""COMPUTED_VALUE"""),"HKD")</f>
        <v>HKD</v>
      </c>
      <c r="F564" s="69" t="str">
        <f>IFERROR(__xludf.DUMMYFUNCTION("""COMPUTED_VALUE"""),"")</f>
        <v/>
      </c>
      <c r="G564" s="70">
        <f>IFERROR(__xludf.DUMMYFUNCTION("""COMPUTED_VALUE"""),1.0)</f>
        <v>1</v>
      </c>
      <c r="H564" s="71">
        <f>IFERROR(__xludf.DUMMYFUNCTION("""COMPUTED_VALUE"""),1.0)</f>
        <v>1</v>
      </c>
      <c r="I564" s="71">
        <f>IFERROR(__xludf.DUMMYFUNCTION("""COMPUTED_VALUE"""),1.0)</f>
        <v>1</v>
      </c>
      <c r="J564" s="22" t="str">
        <f>IFERROR(__xludf.DUMMYFUNCTION("""COMPUTED_VALUE"""),"")</f>
        <v/>
      </c>
      <c r="K564" s="22"/>
      <c r="L564" s="22"/>
      <c r="M564" s="22"/>
      <c r="N564" s="22"/>
      <c r="O564" s="73"/>
      <c r="P564" s="8"/>
      <c r="Q564" s="69"/>
      <c r="R564" s="69"/>
      <c r="S564" s="8"/>
      <c r="T564" s="69"/>
      <c r="U564" s="8"/>
      <c r="V564" s="69"/>
      <c r="W564" s="74"/>
      <c r="X564" s="69"/>
    </row>
    <row r="565">
      <c r="A565" s="30" t="str">
        <f>IFERROR(__xludf.DUMMYFUNCTION("""COMPUTED_VALUE"""),"40158")</f>
        <v>40158</v>
      </c>
      <c r="B565" s="86">
        <f>IFERROR(__xludf.DUMMYFUNCTION("""COMPUTED_VALUE"""),44607.0)</f>
        <v>44607</v>
      </c>
      <c r="C565" s="64" t="str">
        <f>IFERROR(__xludf.DUMMYFUNCTION("""COMPUTED_VALUE"""),"Stock")</f>
        <v>Stock</v>
      </c>
      <c r="D565" s="90" t="str">
        <f>IFERROR(__xludf.DUMMYFUNCTION("""COMPUTED_VALUE"""),"2020.HK")</f>
        <v>2020.HK</v>
      </c>
      <c r="E565" s="5" t="str">
        <f>IFERROR(__xludf.DUMMYFUNCTION("""COMPUTED_VALUE"""),"HKD")</f>
        <v>HKD</v>
      </c>
      <c r="F565" s="69">
        <f>IFERROR(__xludf.DUMMYFUNCTION("""COMPUTED_VALUE"""),700.0)</f>
        <v>700</v>
      </c>
      <c r="G565" s="70">
        <f>IFERROR(__xludf.DUMMYFUNCTION("""COMPUTED_VALUE"""),1.0)</f>
        <v>1</v>
      </c>
      <c r="H565" s="71">
        <f>IFERROR(__xludf.DUMMYFUNCTION("""COMPUTED_VALUE"""),127.2)</f>
        <v>127.2</v>
      </c>
      <c r="I565" s="71">
        <f>IFERROR(__xludf.DUMMYFUNCTION("""COMPUTED_VALUE"""),89.3)</f>
        <v>89.3</v>
      </c>
      <c r="J565" s="88" t="str">
        <f>IFERROR(__xludf.DUMMYFUNCTION("""COMPUTED_VALUE"""),"Goto link: 2020.HK")</f>
        <v>Goto link: 2020.HK</v>
      </c>
      <c r="K565" s="22"/>
      <c r="L565" s="22"/>
      <c r="M565" s="22"/>
      <c r="N565" s="22"/>
      <c r="O565" s="73"/>
      <c r="P565" s="8"/>
      <c r="Q565" s="69"/>
      <c r="R565" s="69"/>
      <c r="S565" s="8"/>
      <c r="T565" s="69"/>
      <c r="U565" s="8"/>
      <c r="V565" s="69"/>
      <c r="W565" s="74"/>
      <c r="X565" s="69"/>
    </row>
    <row r="566">
      <c r="A566" s="30" t="str">
        <f>IFERROR(__xludf.DUMMYFUNCTION("""COMPUTED_VALUE"""),"40158")</f>
        <v>40158</v>
      </c>
      <c r="B566" s="86">
        <f>IFERROR(__xludf.DUMMYFUNCTION("""COMPUTED_VALUE"""),44608.0)</f>
        <v>44608</v>
      </c>
      <c r="C566" s="64" t="str">
        <f>IFERROR(__xludf.DUMMYFUNCTION("""COMPUTED_VALUE"""),"Stock")</f>
        <v>Stock</v>
      </c>
      <c r="D566" s="90" t="str">
        <f>IFERROR(__xludf.DUMMYFUNCTION("""COMPUTED_VALUE"""),"2020.HK")</f>
        <v>2020.HK</v>
      </c>
      <c r="E566" s="5" t="str">
        <f>IFERROR(__xludf.DUMMYFUNCTION("""COMPUTED_VALUE"""),"HKD")</f>
        <v>HKD</v>
      </c>
      <c r="F566" s="69">
        <f>IFERROR(__xludf.DUMMYFUNCTION("""COMPUTED_VALUE"""),7.0)</f>
        <v>7</v>
      </c>
      <c r="G566" s="70">
        <f>IFERROR(__xludf.DUMMYFUNCTION("""COMPUTED_VALUE"""),1.0)</f>
        <v>1</v>
      </c>
      <c r="H566" s="71">
        <f>IFERROR(__xludf.DUMMYFUNCTION("""COMPUTED_VALUE"""),129.8)</f>
        <v>129.8</v>
      </c>
      <c r="I566" s="71">
        <f>IFERROR(__xludf.DUMMYFUNCTION("""COMPUTED_VALUE"""),89.3)</f>
        <v>89.3</v>
      </c>
      <c r="J566" s="88" t="str">
        <f>IFERROR(__xludf.DUMMYFUNCTION("""COMPUTED_VALUE"""),"Goto link: 2020.HK")</f>
        <v>Goto link: 2020.HK</v>
      </c>
      <c r="K566" s="22"/>
      <c r="L566" s="22"/>
      <c r="M566" s="22"/>
      <c r="N566" s="22"/>
      <c r="O566" s="73"/>
      <c r="P566" s="8"/>
      <c r="Q566" s="69"/>
      <c r="R566" s="69"/>
      <c r="S566" s="8"/>
      <c r="T566" s="69"/>
      <c r="U566" s="8"/>
      <c r="V566" s="69"/>
      <c r="W566" s="74"/>
      <c r="X566" s="69"/>
    </row>
    <row r="567">
      <c r="A567" s="30" t="str">
        <f>IFERROR(__xludf.DUMMYFUNCTION("""COMPUTED_VALUE"""),"40158")</f>
        <v>40158</v>
      </c>
      <c r="B567" s="86">
        <f>IFERROR(__xludf.DUMMYFUNCTION("""COMPUTED_VALUE"""),44609.0)</f>
        <v>44609</v>
      </c>
      <c r="C567" s="64" t="str">
        <f>IFERROR(__xludf.DUMMYFUNCTION("""COMPUTED_VALUE"""),"Stock")</f>
        <v>Stock</v>
      </c>
      <c r="D567" s="87" t="str">
        <f>IFERROR(__xludf.DUMMYFUNCTION("""COMPUTED_VALUE"""),"TSLA")</f>
        <v>TSLA</v>
      </c>
      <c r="E567" s="5" t="str">
        <f>IFERROR(__xludf.DUMMYFUNCTION("""COMPUTED_VALUE"""),"USD")</f>
        <v>USD</v>
      </c>
      <c r="F567" s="69">
        <f>IFERROR(__xludf.DUMMYFUNCTION("""COMPUTED_VALUE"""),6.0)</f>
        <v>6</v>
      </c>
      <c r="G567" s="70">
        <f>IFERROR(__xludf.DUMMYFUNCTION("""COMPUTED_VALUE"""),7.83915)</f>
        <v>7.83915</v>
      </c>
      <c r="H567" s="71">
        <f>IFERROR(__xludf.DUMMYFUNCTION("""COMPUTED_VALUE"""),876.35)</f>
        <v>876.35</v>
      </c>
      <c r="I567" s="71">
        <f>IFERROR(__xludf.DUMMYFUNCTION("""COMPUTED_VALUE"""),1022.37)</f>
        <v>1022.37</v>
      </c>
      <c r="J567" s="88" t="str">
        <f>IFERROR(__xludf.DUMMYFUNCTION("""COMPUTED_VALUE"""),"Goto link: TSLA")</f>
        <v>Goto link: TSLA</v>
      </c>
      <c r="K567" s="22"/>
      <c r="L567" s="22"/>
      <c r="M567" s="22"/>
      <c r="N567" s="22"/>
      <c r="O567" s="73"/>
      <c r="P567" s="8"/>
      <c r="Q567" s="69"/>
      <c r="R567" s="69"/>
      <c r="S567" s="8"/>
      <c r="T567" s="69"/>
      <c r="U567" s="8"/>
      <c r="V567" s="69"/>
      <c r="W567" s="74"/>
      <c r="X567" s="69"/>
    </row>
    <row r="568">
      <c r="A568" s="30" t="str">
        <f>IFERROR(__xludf.DUMMYFUNCTION("""COMPUTED_VALUE"""),"40158")</f>
        <v>40158</v>
      </c>
      <c r="B568" s="86">
        <f>IFERROR(__xludf.DUMMYFUNCTION("""COMPUTED_VALUE"""),44643.0)</f>
        <v>44643</v>
      </c>
      <c r="C568" s="64" t="str">
        <f>IFERROR(__xludf.DUMMYFUNCTION("""COMPUTED_VALUE"""),"Stock")</f>
        <v>Stock</v>
      </c>
      <c r="D568" s="90" t="str">
        <f>IFERROR(__xludf.DUMMYFUNCTION("""COMPUTED_VALUE"""),"6049.HK")</f>
        <v>6049.HK</v>
      </c>
      <c r="E568" s="5" t="str">
        <f>IFERROR(__xludf.DUMMYFUNCTION("""COMPUTED_VALUE"""),"HKD")</f>
        <v>HKD</v>
      </c>
      <c r="F568" s="69">
        <f>IFERROR(__xludf.DUMMYFUNCTION("""COMPUTED_VALUE"""),400.0)</f>
        <v>400</v>
      </c>
      <c r="G568" s="70">
        <f>IFERROR(__xludf.DUMMYFUNCTION("""COMPUTED_VALUE"""),1.0)</f>
        <v>1</v>
      </c>
      <c r="H568" s="71">
        <f>IFERROR(__xludf.DUMMYFUNCTION("""COMPUTED_VALUE"""),57.0)</f>
        <v>57</v>
      </c>
      <c r="I568" s="71">
        <f>IFERROR(__xludf.DUMMYFUNCTION("""COMPUTED_VALUE"""),52.7)</f>
        <v>52.7</v>
      </c>
      <c r="J568" s="88" t="str">
        <f>IFERROR(__xludf.DUMMYFUNCTION("""COMPUTED_VALUE"""),"Goto link: 6049.HK")</f>
        <v>Goto link: 6049.HK</v>
      </c>
      <c r="K568" s="22"/>
      <c r="L568" s="22"/>
      <c r="M568" s="22"/>
      <c r="N568" s="22"/>
      <c r="O568" s="73"/>
      <c r="P568" s="8"/>
      <c r="Q568" s="69"/>
      <c r="R568" s="69"/>
      <c r="S568" s="8"/>
      <c r="T568" s="69"/>
      <c r="U568" s="8"/>
      <c r="V568" s="69"/>
      <c r="W568" s="74"/>
      <c r="X568" s="69"/>
    </row>
    <row r="569">
      <c r="A569" s="30" t="str">
        <f>IFERROR(__xludf.DUMMYFUNCTION("""COMPUTED_VALUE"""),"40158 Total")</f>
        <v>40158 Total</v>
      </c>
      <c r="B569" s="5"/>
      <c r="C569" s="64"/>
      <c r="D569" s="85"/>
      <c r="E569" s="5"/>
      <c r="F569" s="69"/>
      <c r="G569" s="70">
        <f>IFERROR(__xludf.DUMMYFUNCTION("""COMPUTED_VALUE"""),2.36783)</f>
        <v>2.36783</v>
      </c>
      <c r="H569" s="71">
        <f>IFERROR(__xludf.DUMMYFUNCTION("""COMPUTED_VALUE"""),876.35)</f>
        <v>876.35</v>
      </c>
      <c r="I569" s="71" t="str">
        <f>IFERROR(__xludf.DUMMYFUNCTION("""COMPUTED_VALUE"""),"")</f>
        <v/>
      </c>
      <c r="J569" s="22" t="str">
        <f>IFERROR(__xludf.DUMMYFUNCTION("""COMPUTED_VALUE"""),"")</f>
        <v/>
      </c>
      <c r="K569" s="22"/>
      <c r="L569" s="22"/>
      <c r="M569" s="22"/>
      <c r="N569" s="22"/>
      <c r="O569" s="73"/>
      <c r="P569" s="8"/>
      <c r="Q569" s="69"/>
      <c r="R569" s="69"/>
      <c r="S569" s="8"/>
      <c r="T569" s="69"/>
      <c r="U569" s="8"/>
      <c r="V569" s="69"/>
      <c r="W569" s="74"/>
      <c r="X569" s="69"/>
    </row>
    <row r="570">
      <c r="A570" s="30" t="str">
        <f>IFERROR(__xludf.DUMMYFUNCTION("""COMPUTED_VALUE"""),"40318")</f>
        <v>40318</v>
      </c>
      <c r="B570" s="86">
        <f>IFERROR(__xludf.DUMMYFUNCTION("""COMPUTED_VALUE"""),44597.0)</f>
        <v>44597</v>
      </c>
      <c r="C570" s="64" t="str">
        <f>IFERROR(__xludf.DUMMYFUNCTION("""COMPUTED_VALUE"""),"Cash")</f>
        <v>Cash</v>
      </c>
      <c r="D570" s="85" t="str">
        <f>IFERROR(__xludf.DUMMYFUNCTION("""COMPUTED_VALUE"""),"Cash")</f>
        <v>Cash</v>
      </c>
      <c r="E570" s="5" t="str">
        <f>IFERROR(__xludf.DUMMYFUNCTION("""COMPUTED_VALUE"""),"HKD")</f>
        <v>HKD</v>
      </c>
      <c r="F570" s="69" t="str">
        <f>IFERROR(__xludf.DUMMYFUNCTION("""COMPUTED_VALUE"""),"")</f>
        <v/>
      </c>
      <c r="G570" s="70">
        <f>IFERROR(__xludf.DUMMYFUNCTION("""COMPUTED_VALUE"""),1.0)</f>
        <v>1</v>
      </c>
      <c r="H570" s="71">
        <f>IFERROR(__xludf.DUMMYFUNCTION("""COMPUTED_VALUE"""),1.0)</f>
        <v>1</v>
      </c>
      <c r="I570" s="71">
        <f>IFERROR(__xludf.DUMMYFUNCTION("""COMPUTED_VALUE"""),1.0)</f>
        <v>1</v>
      </c>
      <c r="J570" s="22" t="str">
        <f>IFERROR(__xludf.DUMMYFUNCTION("""COMPUTED_VALUE"""),"")</f>
        <v/>
      </c>
      <c r="K570" s="22"/>
      <c r="L570" s="22"/>
      <c r="M570" s="22"/>
      <c r="N570" s="22"/>
      <c r="O570" s="73"/>
      <c r="P570" s="8"/>
      <c r="Q570" s="69"/>
      <c r="R570" s="69"/>
      <c r="S570" s="8"/>
      <c r="T570" s="69"/>
      <c r="U570" s="8"/>
      <c r="V570" s="69"/>
      <c r="W570" s="74"/>
      <c r="X570" s="69"/>
    </row>
    <row r="571">
      <c r="A571" s="30" t="str">
        <f>IFERROR(__xludf.DUMMYFUNCTION("""COMPUTED_VALUE"""),"40318")</f>
        <v>40318</v>
      </c>
      <c r="B571" s="86">
        <f>IFERROR(__xludf.DUMMYFUNCTION("""COMPUTED_VALUE"""),44629.0)</f>
        <v>44629</v>
      </c>
      <c r="C571" s="64" t="str">
        <f>IFERROR(__xludf.DUMMYFUNCTION("""COMPUTED_VALUE"""),"Stock")</f>
        <v>Stock</v>
      </c>
      <c r="D571" s="87" t="str">
        <f>IFERROR(__xludf.DUMMYFUNCTION("""COMPUTED_VALUE"""),"AAPL")</f>
        <v>AAPL</v>
      </c>
      <c r="E571" s="5" t="str">
        <f>IFERROR(__xludf.DUMMYFUNCTION("""COMPUTED_VALUE"""),"USD")</f>
        <v>USD</v>
      </c>
      <c r="F571" s="69">
        <f>IFERROR(__xludf.DUMMYFUNCTION("""COMPUTED_VALUE"""),80.0)</f>
        <v>80</v>
      </c>
      <c r="G571" s="70">
        <f>IFERROR(__xludf.DUMMYFUNCTION("""COMPUTED_VALUE"""),7.83915)</f>
        <v>7.83915</v>
      </c>
      <c r="H571" s="71">
        <f>IFERROR(__xludf.DUMMYFUNCTION("""COMPUTED_VALUE"""),162.95)</f>
        <v>162.95</v>
      </c>
      <c r="I571" s="71">
        <f>IFERROR(__xludf.DUMMYFUNCTION("""COMPUTED_VALUE"""),170.4)</f>
        <v>170.4</v>
      </c>
      <c r="J571" s="88" t="str">
        <f>IFERROR(__xludf.DUMMYFUNCTION("""COMPUTED_VALUE"""),"Goto link: AAPL")</f>
        <v>Goto link: AAPL</v>
      </c>
      <c r="K571" s="22"/>
      <c r="L571" s="22"/>
      <c r="M571" s="22"/>
      <c r="N571" s="22"/>
      <c r="O571" s="73"/>
      <c r="P571" s="8"/>
      <c r="Q571" s="69"/>
      <c r="R571" s="69"/>
      <c r="S571" s="8"/>
      <c r="T571" s="69"/>
      <c r="U571" s="8"/>
      <c r="V571" s="69"/>
      <c r="W571" s="74"/>
      <c r="X571" s="69"/>
    </row>
    <row r="572">
      <c r="A572" s="30" t="str">
        <f>IFERROR(__xludf.DUMMYFUNCTION("""COMPUTED_VALUE"""),"40318")</f>
        <v>40318</v>
      </c>
      <c r="B572" s="86">
        <f>IFERROR(__xludf.DUMMYFUNCTION("""COMPUTED_VALUE"""),44629.0)</f>
        <v>44629</v>
      </c>
      <c r="C572" s="64" t="str">
        <f>IFERROR(__xludf.DUMMYFUNCTION("""COMPUTED_VALUE"""),"Stock")</f>
        <v>Stock</v>
      </c>
      <c r="D572" s="87" t="str">
        <f>IFERROR(__xludf.DUMMYFUNCTION("""COMPUTED_VALUE"""),"ABNB")</f>
        <v>ABNB</v>
      </c>
      <c r="E572" s="5" t="str">
        <f>IFERROR(__xludf.DUMMYFUNCTION("""COMPUTED_VALUE"""),"USD")</f>
        <v>USD</v>
      </c>
      <c r="F572" s="69">
        <f>IFERROR(__xludf.DUMMYFUNCTION("""COMPUTED_VALUE"""),60.0)</f>
        <v>60</v>
      </c>
      <c r="G572" s="70">
        <f>IFERROR(__xludf.DUMMYFUNCTION("""COMPUTED_VALUE"""),7.83915)</f>
        <v>7.83915</v>
      </c>
      <c r="H572" s="71">
        <f>IFERROR(__xludf.DUMMYFUNCTION("""COMPUTED_VALUE"""),148.31)</f>
        <v>148.31</v>
      </c>
      <c r="I572" s="71">
        <f>IFERROR(__xludf.DUMMYFUNCTION("""COMPUTED_VALUE"""),171.85)</f>
        <v>171.85</v>
      </c>
      <c r="J572" s="88" t="str">
        <f>IFERROR(__xludf.DUMMYFUNCTION("""COMPUTED_VALUE"""),"Goto link: ABNB")</f>
        <v>Goto link: ABNB</v>
      </c>
      <c r="K572" s="22"/>
      <c r="L572" s="22"/>
      <c r="M572" s="22"/>
      <c r="N572" s="22"/>
      <c r="O572" s="73"/>
      <c r="P572" s="8"/>
      <c r="Q572" s="69"/>
      <c r="R572" s="69"/>
      <c r="S572" s="8"/>
      <c r="T572" s="69"/>
      <c r="U572" s="8"/>
      <c r="V572" s="69"/>
      <c r="W572" s="74"/>
      <c r="X572" s="69"/>
    </row>
    <row r="573">
      <c r="A573" s="30" t="str">
        <f>IFERROR(__xludf.DUMMYFUNCTION("""COMPUTED_VALUE"""),"40318")</f>
        <v>40318</v>
      </c>
      <c r="B573" s="86">
        <f>IFERROR(__xludf.DUMMYFUNCTION("""COMPUTED_VALUE"""),44629.0)</f>
        <v>44629</v>
      </c>
      <c r="C573" s="64" t="str">
        <f>IFERROR(__xludf.DUMMYFUNCTION("""COMPUTED_VALUE"""),"Stock")</f>
        <v>Stock</v>
      </c>
      <c r="D573" s="87" t="str">
        <f>IFERROR(__xludf.DUMMYFUNCTION("""COMPUTED_VALUE"""),"LMT")</f>
        <v>LMT</v>
      </c>
      <c r="E573" s="5" t="str">
        <f>IFERROR(__xludf.DUMMYFUNCTION("""COMPUTED_VALUE"""),"USD")</f>
        <v>USD</v>
      </c>
      <c r="F573" s="69">
        <f>IFERROR(__xludf.DUMMYFUNCTION("""COMPUTED_VALUE"""),20.0)</f>
        <v>20</v>
      </c>
      <c r="G573" s="70">
        <f>IFERROR(__xludf.DUMMYFUNCTION("""COMPUTED_VALUE"""),7.83915)</f>
        <v>7.83915</v>
      </c>
      <c r="H573" s="71">
        <f>IFERROR(__xludf.DUMMYFUNCTION("""COMPUTED_VALUE"""),448.72)</f>
        <v>448.72</v>
      </c>
      <c r="I573" s="71">
        <f>IFERROR(__xludf.DUMMYFUNCTION("""COMPUTED_VALUE"""),469.2)</f>
        <v>469.2</v>
      </c>
      <c r="J573" s="88" t="str">
        <f>IFERROR(__xludf.DUMMYFUNCTION("""COMPUTED_VALUE"""),"Goto link: LMT")</f>
        <v>Goto link: LMT</v>
      </c>
      <c r="K573" s="22"/>
      <c r="L573" s="22"/>
      <c r="M573" s="22"/>
      <c r="N573" s="22"/>
      <c r="O573" s="73"/>
      <c r="P573" s="8"/>
      <c r="Q573" s="69"/>
      <c r="R573" s="69"/>
      <c r="S573" s="8"/>
      <c r="T573" s="69"/>
      <c r="U573" s="8"/>
      <c r="V573" s="69"/>
      <c r="W573" s="74"/>
      <c r="X573" s="69"/>
    </row>
    <row r="574">
      <c r="A574" s="30" t="str">
        <f>IFERROR(__xludf.DUMMYFUNCTION("""COMPUTED_VALUE"""),"40318")</f>
        <v>40318</v>
      </c>
      <c r="B574" s="86">
        <f>IFERROR(__xludf.DUMMYFUNCTION("""COMPUTED_VALUE"""),44637.0)</f>
        <v>44637</v>
      </c>
      <c r="C574" s="64" t="str">
        <f>IFERROR(__xludf.DUMMYFUNCTION("""COMPUTED_VALUE"""),"Stock")</f>
        <v>Stock</v>
      </c>
      <c r="D574" s="87" t="str">
        <f>IFERROR(__xludf.DUMMYFUNCTION("""COMPUTED_VALUE"""),"AAPL")</f>
        <v>AAPL</v>
      </c>
      <c r="E574" s="5" t="str">
        <f>IFERROR(__xludf.DUMMYFUNCTION("""COMPUTED_VALUE"""),"USD")</f>
        <v>USD</v>
      </c>
      <c r="F574" s="69">
        <f>IFERROR(__xludf.DUMMYFUNCTION("""COMPUTED_VALUE"""),-80.0)</f>
        <v>-80</v>
      </c>
      <c r="G574" s="70">
        <f>IFERROR(__xludf.DUMMYFUNCTION("""COMPUTED_VALUE"""),7.83915)</f>
        <v>7.83915</v>
      </c>
      <c r="H574" s="71">
        <f>IFERROR(__xludf.DUMMYFUNCTION("""COMPUTED_VALUE"""),160.62)</f>
        <v>160.62</v>
      </c>
      <c r="I574" s="71">
        <f>IFERROR(__xludf.DUMMYFUNCTION("""COMPUTED_VALUE"""),170.4)</f>
        <v>170.4</v>
      </c>
      <c r="J574" s="88" t="str">
        <f>IFERROR(__xludf.DUMMYFUNCTION("""COMPUTED_VALUE"""),"Goto link: AAPL")</f>
        <v>Goto link: AAPL</v>
      </c>
      <c r="K574" s="22"/>
      <c r="L574" s="22"/>
      <c r="M574" s="22"/>
      <c r="N574" s="22"/>
      <c r="O574" s="73"/>
      <c r="P574" s="8"/>
      <c r="Q574" s="69"/>
      <c r="R574" s="69"/>
      <c r="S574" s="8"/>
      <c r="T574" s="69"/>
      <c r="U574" s="8"/>
      <c r="V574" s="69"/>
      <c r="W574" s="74"/>
      <c r="X574" s="69"/>
    </row>
    <row r="575">
      <c r="A575" s="30" t="str">
        <f>IFERROR(__xludf.DUMMYFUNCTION("""COMPUTED_VALUE"""),"40318")</f>
        <v>40318</v>
      </c>
      <c r="B575" s="86">
        <f>IFERROR(__xludf.DUMMYFUNCTION("""COMPUTED_VALUE"""),44641.0)</f>
        <v>44641</v>
      </c>
      <c r="C575" s="64" t="str">
        <f>IFERROR(__xludf.DUMMYFUNCTION("""COMPUTED_VALUE"""),"Stock")</f>
        <v>Stock</v>
      </c>
      <c r="D575" s="87" t="str">
        <f>IFERROR(__xludf.DUMMYFUNCTION("""COMPUTED_VALUE"""),"BA")</f>
        <v>BA</v>
      </c>
      <c r="E575" s="5" t="str">
        <f>IFERROR(__xludf.DUMMYFUNCTION("""COMPUTED_VALUE"""),"USD")</f>
        <v>USD</v>
      </c>
      <c r="F575" s="69">
        <f>IFERROR(__xludf.DUMMYFUNCTION("""COMPUTED_VALUE"""),0.0)</f>
        <v>0</v>
      </c>
      <c r="G575" s="70">
        <f>IFERROR(__xludf.DUMMYFUNCTION("""COMPUTED_VALUE"""),7.83915)</f>
        <v>7.83915</v>
      </c>
      <c r="H575" s="71">
        <f>IFERROR(__xludf.DUMMYFUNCTION("""COMPUTED_VALUE"""),0.0)</f>
        <v>0</v>
      </c>
      <c r="I575" s="71">
        <f>IFERROR(__xludf.DUMMYFUNCTION("""COMPUTED_VALUE"""),182.96)</f>
        <v>182.96</v>
      </c>
      <c r="J575" s="88" t="str">
        <f>IFERROR(__xludf.DUMMYFUNCTION("""COMPUTED_VALUE"""),"Goto link: BA")</f>
        <v>Goto link: BA</v>
      </c>
      <c r="K575" s="22"/>
      <c r="L575" s="22"/>
      <c r="M575" s="22"/>
      <c r="N575" s="22"/>
      <c r="O575" s="73"/>
      <c r="P575" s="8"/>
      <c r="Q575" s="69"/>
      <c r="R575" s="69"/>
      <c r="S575" s="8"/>
      <c r="T575" s="69"/>
      <c r="U575" s="8"/>
      <c r="V575" s="69"/>
      <c r="W575" s="74"/>
      <c r="X575" s="69"/>
    </row>
    <row r="576">
      <c r="A576" s="30" t="str">
        <f>IFERROR(__xludf.DUMMYFUNCTION("""COMPUTED_VALUE"""),"40318")</f>
        <v>40318</v>
      </c>
      <c r="B576" s="86">
        <f>IFERROR(__xludf.DUMMYFUNCTION("""COMPUTED_VALUE"""),44658.0)</f>
        <v>44658</v>
      </c>
      <c r="C576" s="64" t="str">
        <f>IFERROR(__xludf.DUMMYFUNCTION("""COMPUTED_VALUE"""),"Stock")</f>
        <v>Stock</v>
      </c>
      <c r="D576" s="85" t="str">
        <f>IFERROR(__xludf.DUMMYFUNCTION("""COMPUTED_VALUE"""),"ABNB")</f>
        <v>ABNB</v>
      </c>
      <c r="E576" s="5" t="str">
        <f>IFERROR(__xludf.DUMMYFUNCTION("""COMPUTED_VALUE"""),"USD")</f>
        <v>USD</v>
      </c>
      <c r="F576" s="69">
        <f>IFERROR(__xludf.DUMMYFUNCTION("""COMPUTED_VALUE"""),-60.0)</f>
        <v>-60</v>
      </c>
      <c r="G576" s="70">
        <f>IFERROR(__xludf.DUMMYFUNCTION("""COMPUTED_VALUE"""),7.83915)</f>
        <v>7.83915</v>
      </c>
      <c r="H576" s="71">
        <f>IFERROR(__xludf.DUMMYFUNCTION("""COMPUTED_VALUE"""),165.91)</f>
        <v>165.91</v>
      </c>
      <c r="I576" s="71">
        <f>IFERROR(__xludf.DUMMYFUNCTION("""COMPUTED_VALUE"""),171.85)</f>
        <v>171.85</v>
      </c>
      <c r="J576" s="88" t="str">
        <f>IFERROR(__xludf.DUMMYFUNCTION("""COMPUTED_VALUE"""),"Goto link: ABNB")</f>
        <v>Goto link: ABNB</v>
      </c>
      <c r="K576" s="22"/>
      <c r="L576" s="22"/>
      <c r="M576" s="22"/>
      <c r="N576" s="22"/>
      <c r="O576" s="73"/>
      <c r="P576" s="8"/>
      <c r="Q576" s="69"/>
      <c r="R576" s="69"/>
      <c r="S576" s="8"/>
      <c r="T576" s="69"/>
      <c r="U576" s="8"/>
      <c r="V576" s="69"/>
      <c r="W576" s="74"/>
      <c r="X576" s="69"/>
    </row>
    <row r="577">
      <c r="A577" s="30" t="str">
        <f>IFERROR(__xludf.DUMMYFUNCTION("""COMPUTED_VALUE"""),"40318")</f>
        <v>40318</v>
      </c>
      <c r="B577" s="86">
        <f>IFERROR(__xludf.DUMMYFUNCTION("""COMPUTED_VALUE"""),44658.0)</f>
        <v>44658</v>
      </c>
      <c r="C577" s="64" t="str">
        <f>IFERROR(__xludf.DUMMYFUNCTION("""COMPUTED_VALUE"""),"Stock")</f>
        <v>Stock</v>
      </c>
      <c r="D577" s="85" t="str">
        <f>IFERROR(__xludf.DUMMYFUNCTION("""COMPUTED_VALUE"""),"ABNB")</f>
        <v>ABNB</v>
      </c>
      <c r="E577" s="5" t="str">
        <f>IFERROR(__xludf.DUMMYFUNCTION("""COMPUTED_VALUE"""),"USD")</f>
        <v>USD</v>
      </c>
      <c r="F577" s="69">
        <f>IFERROR(__xludf.DUMMYFUNCTION("""COMPUTED_VALUE"""),0.0)</f>
        <v>0</v>
      </c>
      <c r="G577" s="70">
        <f>IFERROR(__xludf.DUMMYFUNCTION("""COMPUTED_VALUE"""),7.83915)</f>
        <v>7.83915</v>
      </c>
      <c r="H577" s="71">
        <f>IFERROR(__xludf.DUMMYFUNCTION("""COMPUTED_VALUE"""),0.0)</f>
        <v>0</v>
      </c>
      <c r="I577" s="71">
        <f>IFERROR(__xludf.DUMMYFUNCTION("""COMPUTED_VALUE"""),171.85)</f>
        <v>171.85</v>
      </c>
      <c r="J577" s="88" t="str">
        <f>IFERROR(__xludf.DUMMYFUNCTION("""COMPUTED_VALUE"""),"Goto link: ABNB")</f>
        <v>Goto link: ABNB</v>
      </c>
      <c r="K577" s="22"/>
      <c r="L577" s="22"/>
      <c r="M577" s="22"/>
      <c r="N577" s="22"/>
      <c r="O577" s="73"/>
      <c r="P577" s="8"/>
      <c r="Q577" s="69"/>
      <c r="R577" s="69"/>
      <c r="S577" s="8"/>
      <c r="T577" s="69"/>
      <c r="U577" s="8"/>
      <c r="V577" s="69"/>
      <c r="W577" s="74"/>
      <c r="X577" s="69"/>
    </row>
    <row r="578">
      <c r="A578" s="30" t="str">
        <f>IFERROR(__xludf.DUMMYFUNCTION("""COMPUTED_VALUE"""),"40318")</f>
        <v>40318</v>
      </c>
      <c r="B578" s="86">
        <f>IFERROR(__xludf.DUMMYFUNCTION("""COMPUTED_VALUE"""),44662.0)</f>
        <v>44662</v>
      </c>
      <c r="C578" s="64" t="str">
        <f>IFERROR(__xludf.DUMMYFUNCTION("""COMPUTED_VALUE"""),"Stock")</f>
        <v>Stock</v>
      </c>
      <c r="D578" s="91" t="str">
        <f>IFERROR(__xludf.DUMMYFUNCTION("""COMPUTED_VALUE"""),"605089.SS")</f>
        <v>605089.SS</v>
      </c>
      <c r="E578" s="5" t="str">
        <f>IFERROR(__xludf.DUMMYFUNCTION("""COMPUTED_VALUE"""),"CNY")</f>
        <v>CNY</v>
      </c>
      <c r="F578" s="69">
        <f>IFERROR(__xludf.DUMMYFUNCTION("""COMPUTED_VALUE"""),5500.0)</f>
        <v>5500</v>
      </c>
      <c r="G578" s="70">
        <f>IFERROR(__xludf.DUMMYFUNCTION("""COMPUTED_VALUE"""),1.231169)</f>
        <v>1.231169</v>
      </c>
      <c r="H578" s="71">
        <f>IFERROR(__xludf.DUMMYFUNCTION("""COMPUTED_VALUE"""),61.66)</f>
        <v>61.66</v>
      </c>
      <c r="I578" s="71">
        <f>IFERROR(__xludf.DUMMYFUNCTION("""COMPUTED_VALUE"""),63.85)</f>
        <v>63.85</v>
      </c>
      <c r="J578" s="88" t="str">
        <f>IFERROR(__xludf.DUMMYFUNCTION("""COMPUTED_VALUE"""),"Goto link: 605089.SS")</f>
        <v>Goto link: 605089.SS</v>
      </c>
      <c r="K578" s="22"/>
      <c r="L578" s="22"/>
      <c r="M578" s="22"/>
      <c r="N578" s="22"/>
      <c r="O578" s="73"/>
      <c r="P578" s="8"/>
      <c r="Q578" s="69"/>
      <c r="R578" s="69"/>
      <c r="S578" s="8"/>
      <c r="T578" s="69"/>
      <c r="U578" s="8"/>
      <c r="V578" s="69"/>
      <c r="W578" s="74"/>
      <c r="X578" s="69"/>
    </row>
    <row r="579">
      <c r="A579" s="30" t="str">
        <f>IFERROR(__xludf.DUMMYFUNCTION("""COMPUTED_VALUE"""),"40318")</f>
        <v>40318</v>
      </c>
      <c r="B579" s="86">
        <f>IFERROR(__xludf.DUMMYFUNCTION("""COMPUTED_VALUE"""),44663.0)</f>
        <v>44663</v>
      </c>
      <c r="C579" s="64" t="str">
        <f>IFERROR(__xludf.DUMMYFUNCTION("""COMPUTED_VALUE"""),"Stock")</f>
        <v>Stock</v>
      </c>
      <c r="D579" s="91" t="str">
        <f>IFERROR(__xludf.DUMMYFUNCTION("""COMPUTED_VALUE"""),"605089.SS")</f>
        <v>605089.SS</v>
      </c>
      <c r="E579" s="5" t="str">
        <f>IFERROR(__xludf.DUMMYFUNCTION("""COMPUTED_VALUE"""),"CNY")</f>
        <v>CNY</v>
      </c>
      <c r="F579" s="69">
        <f>IFERROR(__xludf.DUMMYFUNCTION("""COMPUTED_VALUE"""),-5500.0)</f>
        <v>-5500</v>
      </c>
      <c r="G579" s="70">
        <f>IFERROR(__xludf.DUMMYFUNCTION("""COMPUTED_VALUE"""),1.231169)</f>
        <v>1.231169</v>
      </c>
      <c r="H579" s="71">
        <f>IFERROR(__xludf.DUMMYFUNCTION("""COMPUTED_VALUE"""),63.3)</f>
        <v>63.3</v>
      </c>
      <c r="I579" s="71">
        <f>IFERROR(__xludf.DUMMYFUNCTION("""COMPUTED_VALUE"""),63.85)</f>
        <v>63.85</v>
      </c>
      <c r="J579" s="88" t="str">
        <f>IFERROR(__xludf.DUMMYFUNCTION("""COMPUTED_VALUE"""),"Goto link: 605089.SS")</f>
        <v>Goto link: 605089.SS</v>
      </c>
      <c r="K579" s="22"/>
      <c r="L579" s="22"/>
      <c r="M579" s="22"/>
      <c r="N579" s="22"/>
      <c r="O579" s="73"/>
      <c r="P579" s="8"/>
      <c r="Q579" s="69"/>
      <c r="R579" s="69"/>
      <c r="S579" s="8"/>
      <c r="T579" s="69"/>
      <c r="U579" s="8"/>
      <c r="V579" s="69"/>
      <c r="W579" s="74"/>
      <c r="X579" s="69"/>
    </row>
    <row r="580">
      <c r="A580" s="30" t="str">
        <f>IFERROR(__xludf.DUMMYFUNCTION("""COMPUTED_VALUE"""),"40318 Total")</f>
        <v>40318 Total</v>
      </c>
      <c r="B580" s="5"/>
      <c r="C580" s="64"/>
      <c r="D580" s="85"/>
      <c r="E580" s="5"/>
      <c r="F580" s="69"/>
      <c r="G580" s="70">
        <f>IFERROR(__xludf.DUMMYFUNCTION("""COMPUTED_VALUE"""),5.833638800000001)</f>
        <v>5.8336388</v>
      </c>
      <c r="H580" s="71">
        <f>IFERROR(__xludf.DUMMYFUNCTION("""COMPUTED_VALUE"""),448.72)</f>
        <v>448.72</v>
      </c>
      <c r="I580" s="71" t="str">
        <f>IFERROR(__xludf.DUMMYFUNCTION("""COMPUTED_VALUE"""),"")</f>
        <v/>
      </c>
      <c r="J580" s="22" t="str">
        <f>IFERROR(__xludf.DUMMYFUNCTION("""COMPUTED_VALUE"""),"")</f>
        <v/>
      </c>
      <c r="K580" s="22"/>
      <c r="L580" s="22"/>
      <c r="M580" s="22"/>
      <c r="N580" s="22"/>
      <c r="O580" s="73"/>
      <c r="P580" s="8"/>
      <c r="Q580" s="69"/>
      <c r="R580" s="69"/>
      <c r="S580" s="8"/>
      <c r="T580" s="69"/>
      <c r="U580" s="8"/>
      <c r="V580" s="69"/>
      <c r="W580" s="74"/>
      <c r="X580" s="69"/>
    </row>
    <row r="581">
      <c r="A581" s="30" t="str">
        <f>IFERROR(__xludf.DUMMYFUNCTION("""COMPUTED_VALUE"""),"40433")</f>
        <v>40433</v>
      </c>
      <c r="B581" s="86">
        <f>IFERROR(__xludf.DUMMYFUNCTION("""COMPUTED_VALUE"""),44597.0)</f>
        <v>44597</v>
      </c>
      <c r="C581" s="64" t="str">
        <f>IFERROR(__xludf.DUMMYFUNCTION("""COMPUTED_VALUE"""),"Cash")</f>
        <v>Cash</v>
      </c>
      <c r="D581" s="85" t="str">
        <f>IFERROR(__xludf.DUMMYFUNCTION("""COMPUTED_VALUE"""),"Cash")</f>
        <v>Cash</v>
      </c>
      <c r="E581" s="5" t="str">
        <f>IFERROR(__xludf.DUMMYFUNCTION("""COMPUTED_VALUE"""),"HKD")</f>
        <v>HKD</v>
      </c>
      <c r="F581" s="69" t="str">
        <f>IFERROR(__xludf.DUMMYFUNCTION("""COMPUTED_VALUE"""),"")</f>
        <v/>
      </c>
      <c r="G581" s="70">
        <f>IFERROR(__xludf.DUMMYFUNCTION("""COMPUTED_VALUE"""),1.0)</f>
        <v>1</v>
      </c>
      <c r="H581" s="71">
        <f>IFERROR(__xludf.DUMMYFUNCTION("""COMPUTED_VALUE"""),1.0)</f>
        <v>1</v>
      </c>
      <c r="I581" s="71">
        <f>IFERROR(__xludf.DUMMYFUNCTION("""COMPUTED_VALUE"""),1.0)</f>
        <v>1</v>
      </c>
      <c r="J581" s="22" t="str">
        <f>IFERROR(__xludf.DUMMYFUNCTION("""COMPUTED_VALUE"""),"")</f>
        <v/>
      </c>
      <c r="K581" s="22"/>
      <c r="L581" s="22"/>
      <c r="M581" s="22"/>
      <c r="N581" s="22"/>
      <c r="O581" s="73"/>
      <c r="P581" s="8"/>
      <c r="Q581" s="69"/>
      <c r="R581" s="69"/>
      <c r="S581" s="8"/>
      <c r="T581" s="69"/>
      <c r="U581" s="8"/>
      <c r="V581" s="69"/>
      <c r="W581" s="74"/>
      <c r="X581" s="69"/>
    </row>
    <row r="582">
      <c r="A582" s="30" t="str">
        <f>IFERROR(__xludf.DUMMYFUNCTION("""COMPUTED_VALUE"""),"40433")</f>
        <v>40433</v>
      </c>
      <c r="B582" s="86">
        <f>IFERROR(__xludf.DUMMYFUNCTION("""COMPUTED_VALUE"""),44607.0)</f>
        <v>44607</v>
      </c>
      <c r="C582" s="64" t="str">
        <f>IFERROR(__xludf.DUMMYFUNCTION("""COMPUTED_VALUE"""),"Stock")</f>
        <v>Stock</v>
      </c>
      <c r="D582" s="87" t="str">
        <f>IFERROR(__xludf.DUMMYFUNCTION("""COMPUTED_VALUE"""),"TSLA")</f>
        <v>TSLA</v>
      </c>
      <c r="E582" s="5" t="str">
        <f>IFERROR(__xludf.DUMMYFUNCTION("""COMPUTED_VALUE"""),"USD")</f>
        <v>USD</v>
      </c>
      <c r="F582" s="69">
        <f>IFERROR(__xludf.DUMMYFUNCTION("""COMPUTED_VALUE"""),0.0)</f>
        <v>0</v>
      </c>
      <c r="G582" s="70">
        <f>IFERROR(__xludf.DUMMYFUNCTION("""COMPUTED_VALUE"""),7.83915)</f>
        <v>7.83915</v>
      </c>
      <c r="H582" s="71">
        <f>IFERROR(__xludf.DUMMYFUNCTION("""COMPUTED_VALUE"""),0.0)</f>
        <v>0</v>
      </c>
      <c r="I582" s="71">
        <f>IFERROR(__xludf.DUMMYFUNCTION("""COMPUTED_VALUE"""),1022.37)</f>
        <v>1022.37</v>
      </c>
      <c r="J582" s="88" t="str">
        <f>IFERROR(__xludf.DUMMYFUNCTION("""COMPUTED_VALUE"""),"Goto link: TSLA")</f>
        <v>Goto link: TSLA</v>
      </c>
      <c r="K582" s="22"/>
      <c r="L582" s="22"/>
      <c r="M582" s="22"/>
      <c r="N582" s="22"/>
      <c r="O582" s="73"/>
      <c r="P582" s="8"/>
      <c r="Q582" s="69"/>
      <c r="R582" s="69"/>
      <c r="S582" s="8"/>
      <c r="T582" s="69"/>
      <c r="U582" s="8"/>
      <c r="V582" s="69"/>
      <c r="W582" s="74"/>
      <c r="X582" s="69"/>
    </row>
    <row r="583">
      <c r="A583" s="30" t="str">
        <f>IFERROR(__xludf.DUMMYFUNCTION("""COMPUTED_VALUE"""),"40433")</f>
        <v>40433</v>
      </c>
      <c r="B583" s="86">
        <f>IFERROR(__xludf.DUMMYFUNCTION("""COMPUTED_VALUE"""),44608.0)</f>
        <v>44608</v>
      </c>
      <c r="C583" s="64" t="str">
        <f>IFERROR(__xludf.DUMMYFUNCTION("""COMPUTED_VALUE"""),"Stock")</f>
        <v>Stock</v>
      </c>
      <c r="D583" s="87" t="str">
        <f>IFERROR(__xludf.DUMMYFUNCTION("""COMPUTED_VALUE"""),"TSLA")</f>
        <v>TSLA</v>
      </c>
      <c r="E583" s="5" t="str">
        <f>IFERROR(__xludf.DUMMYFUNCTION("""COMPUTED_VALUE"""),"USD")</f>
        <v>USD</v>
      </c>
      <c r="F583" s="69" t="str">
        <f>IFERROR(__xludf.DUMMYFUNCTION("""COMPUTED_VALUE"""),"")</f>
        <v/>
      </c>
      <c r="G583" s="70">
        <f>IFERROR(__xludf.DUMMYFUNCTION("""COMPUTED_VALUE"""),7.83915)</f>
        <v>7.83915</v>
      </c>
      <c r="H583" s="71">
        <f>IFERROR(__xludf.DUMMYFUNCTION("""COMPUTED_VALUE"""),923.39)</f>
        <v>923.39</v>
      </c>
      <c r="I583" s="71">
        <f>IFERROR(__xludf.DUMMYFUNCTION("""COMPUTED_VALUE"""),1022.37)</f>
        <v>1022.37</v>
      </c>
      <c r="J583" s="88" t="str">
        <f>IFERROR(__xludf.DUMMYFUNCTION("""COMPUTED_VALUE"""),"Goto link: TSLA")</f>
        <v>Goto link: TSLA</v>
      </c>
      <c r="K583" s="22"/>
      <c r="L583" s="22"/>
      <c r="M583" s="22"/>
      <c r="N583" s="22"/>
      <c r="O583" s="73"/>
      <c r="P583" s="8"/>
      <c r="Q583" s="69"/>
      <c r="R583" s="69"/>
      <c r="S583" s="8"/>
      <c r="T583" s="69"/>
      <c r="U583" s="8"/>
      <c r="V583" s="69"/>
      <c r="W583" s="74"/>
      <c r="X583" s="69"/>
    </row>
    <row r="584">
      <c r="A584" s="30" t="str">
        <f>IFERROR(__xludf.DUMMYFUNCTION("""COMPUTED_VALUE"""),"40433")</f>
        <v>40433</v>
      </c>
      <c r="B584" s="86">
        <f>IFERROR(__xludf.DUMMYFUNCTION("""COMPUTED_VALUE"""),44610.0)</f>
        <v>44610</v>
      </c>
      <c r="C584" s="64" t="str">
        <f>IFERROR(__xludf.DUMMYFUNCTION("""COMPUTED_VALUE"""),"Stock")</f>
        <v>Stock</v>
      </c>
      <c r="D584" s="87" t="str">
        <f>IFERROR(__xludf.DUMMYFUNCTION("""COMPUTED_VALUE"""),"DIS")</f>
        <v>DIS</v>
      </c>
      <c r="E584" s="5" t="str">
        <f>IFERROR(__xludf.DUMMYFUNCTION("""COMPUTED_VALUE"""),"USD")</f>
        <v>USD</v>
      </c>
      <c r="F584" s="69">
        <f>IFERROR(__xludf.DUMMYFUNCTION("""COMPUTED_VALUE"""),6.0)</f>
        <v>6</v>
      </c>
      <c r="G584" s="70">
        <f>IFERROR(__xludf.DUMMYFUNCTION("""COMPUTED_VALUE"""),7.83915)</f>
        <v>7.83915</v>
      </c>
      <c r="H584" s="71">
        <f>IFERROR(__xludf.DUMMYFUNCTION("""COMPUTED_VALUE"""),151.36)</f>
        <v>151.36</v>
      </c>
      <c r="I584" s="71">
        <f>IFERROR(__xludf.DUMMYFUNCTION("""COMPUTED_VALUE"""),132.38)</f>
        <v>132.38</v>
      </c>
      <c r="J584" s="88" t="str">
        <f>IFERROR(__xludf.DUMMYFUNCTION("""COMPUTED_VALUE"""),"Goto link: DIS")</f>
        <v>Goto link: DIS</v>
      </c>
      <c r="K584" s="22"/>
      <c r="L584" s="22"/>
      <c r="M584" s="22"/>
      <c r="N584" s="22"/>
      <c r="O584" s="73"/>
      <c r="P584" s="8"/>
      <c r="Q584" s="69"/>
      <c r="R584" s="69"/>
      <c r="S584" s="8"/>
      <c r="T584" s="69"/>
      <c r="U584" s="8"/>
      <c r="V584" s="69"/>
      <c r="W584" s="74"/>
      <c r="X584" s="69"/>
    </row>
    <row r="585">
      <c r="A585" s="30" t="str">
        <f>IFERROR(__xludf.DUMMYFUNCTION("""COMPUTED_VALUE"""),"40433")</f>
        <v>40433</v>
      </c>
      <c r="B585" s="86">
        <f>IFERROR(__xludf.DUMMYFUNCTION("""COMPUTED_VALUE"""),44610.0)</f>
        <v>44610</v>
      </c>
      <c r="C585" s="64" t="str">
        <f>IFERROR(__xludf.DUMMYFUNCTION("""COMPUTED_VALUE"""),"Stock")</f>
        <v>Stock</v>
      </c>
      <c r="D585" s="87" t="str">
        <f>IFERROR(__xludf.DUMMYFUNCTION("""COMPUTED_VALUE"""),"LVMHF")</f>
        <v>LVMHF</v>
      </c>
      <c r="E585" s="5" t="str">
        <f>IFERROR(__xludf.DUMMYFUNCTION("""COMPUTED_VALUE"""),"USD")</f>
        <v>USD</v>
      </c>
      <c r="F585" s="69">
        <f>IFERROR(__xludf.DUMMYFUNCTION("""COMPUTED_VALUE"""),4.0)</f>
        <v>4</v>
      </c>
      <c r="G585" s="70">
        <f>IFERROR(__xludf.DUMMYFUNCTION("""COMPUTED_VALUE"""),7.83915)</f>
        <v>7.83915</v>
      </c>
      <c r="H585" s="71">
        <f>IFERROR(__xludf.DUMMYFUNCTION("""COMPUTED_VALUE"""),780.0)</f>
        <v>780</v>
      </c>
      <c r="I585" s="71">
        <f>IFERROR(__xludf.DUMMYFUNCTION("""COMPUTED_VALUE"""),693.54)</f>
        <v>693.54</v>
      </c>
      <c r="J585" s="88" t="str">
        <f>IFERROR(__xludf.DUMMYFUNCTION("""COMPUTED_VALUE"""),"Goto link: LVMHF")</f>
        <v>Goto link: LVMHF</v>
      </c>
      <c r="K585" s="22"/>
      <c r="L585" s="22"/>
      <c r="M585" s="22"/>
      <c r="N585" s="22"/>
      <c r="O585" s="73"/>
      <c r="P585" s="8"/>
      <c r="Q585" s="69"/>
      <c r="R585" s="69"/>
      <c r="S585" s="8"/>
      <c r="T585" s="69"/>
      <c r="U585" s="8"/>
      <c r="V585" s="69"/>
      <c r="W585" s="74"/>
      <c r="X585" s="69"/>
    </row>
    <row r="586">
      <c r="A586" s="30" t="str">
        <f>IFERROR(__xludf.DUMMYFUNCTION("""COMPUTED_VALUE"""),"40433")</f>
        <v>40433</v>
      </c>
      <c r="B586" s="86">
        <f>IFERROR(__xludf.DUMMYFUNCTION("""COMPUTED_VALUE"""),44641.0)</f>
        <v>44641</v>
      </c>
      <c r="C586" s="64" t="str">
        <f>IFERROR(__xludf.DUMMYFUNCTION("""COMPUTED_VALUE"""),"Stock")</f>
        <v>Stock</v>
      </c>
      <c r="D586" s="90" t="str">
        <f>IFERROR(__xludf.DUMMYFUNCTION("""COMPUTED_VALUE"""),"2222.SR")</f>
        <v>2222.SR</v>
      </c>
      <c r="E586" s="5" t="str">
        <f>IFERROR(__xludf.DUMMYFUNCTION("""COMPUTED_VALUE"""),"SAR")</f>
        <v>SAR</v>
      </c>
      <c r="F586" s="69">
        <f>IFERROR(__xludf.DUMMYFUNCTION("""COMPUTED_VALUE"""),10.0)</f>
        <v>10</v>
      </c>
      <c r="G586" s="70">
        <f>IFERROR(__xludf.DUMMYFUNCTION("""COMPUTED_VALUE"""),2.090372531)</f>
        <v>2.090372531</v>
      </c>
      <c r="H586" s="71">
        <f>IFERROR(__xludf.DUMMYFUNCTION("""COMPUTED_VALUE"""),42.95)</f>
        <v>42.95</v>
      </c>
      <c r="I586" s="71">
        <f>IFERROR(__xludf.DUMMYFUNCTION("""COMPUTED_VALUE"""),42.65)</f>
        <v>42.65</v>
      </c>
      <c r="J586" s="88" t="str">
        <f>IFERROR(__xludf.DUMMYFUNCTION("""COMPUTED_VALUE"""),"Goto link: 2222.SR")</f>
        <v>Goto link: 2222.SR</v>
      </c>
      <c r="K586" s="22"/>
      <c r="L586" s="22"/>
      <c r="M586" s="22"/>
      <c r="N586" s="22"/>
      <c r="O586" s="73"/>
      <c r="P586" s="8"/>
      <c r="Q586" s="69"/>
      <c r="R586" s="69"/>
      <c r="S586" s="8"/>
      <c r="T586" s="69"/>
      <c r="U586" s="8"/>
      <c r="V586" s="69"/>
      <c r="W586" s="74"/>
      <c r="X586" s="69"/>
    </row>
    <row r="587">
      <c r="A587" s="30" t="str">
        <f>IFERROR(__xludf.DUMMYFUNCTION("""COMPUTED_VALUE"""),"40433")</f>
        <v>40433</v>
      </c>
      <c r="B587" s="86">
        <f>IFERROR(__xludf.DUMMYFUNCTION("""COMPUTED_VALUE"""),44641.0)</f>
        <v>44641</v>
      </c>
      <c r="C587" s="64" t="str">
        <f>IFERROR(__xludf.DUMMYFUNCTION("""COMPUTED_VALUE"""),"Stock")</f>
        <v>Stock</v>
      </c>
      <c r="D587" s="90" t="str">
        <f>IFERROR(__xludf.DUMMYFUNCTION("""COMPUTED_VALUE"""),"2222.SR")</f>
        <v>2222.SR</v>
      </c>
      <c r="E587" s="5" t="str">
        <f>IFERROR(__xludf.DUMMYFUNCTION("""COMPUTED_VALUE"""),"SAR")</f>
        <v>SAR</v>
      </c>
      <c r="F587" s="69">
        <f>IFERROR(__xludf.DUMMYFUNCTION("""COMPUTED_VALUE"""),20.0)</f>
        <v>20</v>
      </c>
      <c r="G587" s="70">
        <f>IFERROR(__xludf.DUMMYFUNCTION("""COMPUTED_VALUE"""),2.090372531)</f>
        <v>2.090372531</v>
      </c>
      <c r="H587" s="71">
        <f>IFERROR(__xludf.DUMMYFUNCTION("""COMPUTED_VALUE"""),42.95)</f>
        <v>42.95</v>
      </c>
      <c r="I587" s="71">
        <f>IFERROR(__xludf.DUMMYFUNCTION("""COMPUTED_VALUE"""),42.65)</f>
        <v>42.65</v>
      </c>
      <c r="J587" s="88" t="str">
        <f>IFERROR(__xludf.DUMMYFUNCTION("""COMPUTED_VALUE"""),"Goto link: 2222.SR")</f>
        <v>Goto link: 2222.SR</v>
      </c>
      <c r="K587" s="22"/>
      <c r="L587" s="22"/>
      <c r="M587" s="22"/>
      <c r="N587" s="22"/>
      <c r="O587" s="73"/>
      <c r="P587" s="8"/>
      <c r="Q587" s="69"/>
      <c r="R587" s="69"/>
      <c r="S587" s="8"/>
      <c r="T587" s="69"/>
      <c r="U587" s="8"/>
      <c r="V587" s="69"/>
      <c r="W587" s="74"/>
      <c r="X587" s="69"/>
    </row>
    <row r="588">
      <c r="A588" s="30" t="str">
        <f>IFERROR(__xludf.DUMMYFUNCTION("""COMPUTED_VALUE"""),"40433")</f>
        <v>40433</v>
      </c>
      <c r="B588" s="86">
        <f>IFERROR(__xludf.DUMMYFUNCTION("""COMPUTED_VALUE"""),44641.0)</f>
        <v>44641</v>
      </c>
      <c r="C588" s="64" t="str">
        <f>IFERROR(__xludf.DUMMYFUNCTION("""COMPUTED_VALUE"""),"Stock")</f>
        <v>Stock</v>
      </c>
      <c r="D588" s="87" t="str">
        <f>IFERROR(__xludf.DUMMYFUNCTION("""COMPUTED_VALUE"""),"GOLD")</f>
        <v>GOLD</v>
      </c>
      <c r="E588" s="5" t="str">
        <f>IFERROR(__xludf.DUMMYFUNCTION("""COMPUTED_VALUE"""),"USD")</f>
        <v>USD</v>
      </c>
      <c r="F588" s="69">
        <f>IFERROR(__xludf.DUMMYFUNCTION("""COMPUTED_VALUE"""),5.0)</f>
        <v>5</v>
      </c>
      <c r="G588" s="70">
        <f>IFERROR(__xludf.DUMMYFUNCTION("""COMPUTED_VALUE"""),7.83915)</f>
        <v>7.83915</v>
      </c>
      <c r="H588" s="71">
        <f>IFERROR(__xludf.DUMMYFUNCTION("""COMPUTED_VALUE"""),24.3)</f>
        <v>24.3</v>
      </c>
      <c r="I588" s="71">
        <f>IFERROR(__xludf.DUMMYFUNCTION("""COMPUTED_VALUE"""),25.62)</f>
        <v>25.62</v>
      </c>
      <c r="J588" s="88" t="str">
        <f>IFERROR(__xludf.DUMMYFUNCTION("""COMPUTED_VALUE"""),"Goto link: GOLD")</f>
        <v>Goto link: GOLD</v>
      </c>
      <c r="K588" s="22"/>
      <c r="L588" s="22"/>
      <c r="M588" s="22"/>
      <c r="N588" s="22"/>
      <c r="O588" s="73"/>
      <c r="P588" s="8"/>
      <c r="Q588" s="69"/>
      <c r="R588" s="69"/>
      <c r="S588" s="8"/>
      <c r="T588" s="69"/>
      <c r="U588" s="8"/>
      <c r="V588" s="69"/>
      <c r="W588" s="74"/>
      <c r="X588" s="69"/>
    </row>
    <row r="589">
      <c r="A589" s="30" t="str">
        <f>IFERROR(__xludf.DUMMYFUNCTION("""COMPUTED_VALUE"""),"40433 Total")</f>
        <v>40433 Total</v>
      </c>
      <c r="B589" s="5"/>
      <c r="C589" s="64"/>
      <c r="D589" s="85"/>
      <c r="E589" s="5"/>
      <c r="F589" s="69"/>
      <c r="G589" s="70">
        <f>IFERROR(__xludf.DUMMYFUNCTION("""COMPUTED_VALUE"""),5.5470618827500004)</f>
        <v>5.547061883</v>
      </c>
      <c r="H589" s="71">
        <f>IFERROR(__xludf.DUMMYFUNCTION("""COMPUTED_VALUE"""),923.39)</f>
        <v>923.39</v>
      </c>
      <c r="I589" s="71" t="str">
        <f>IFERROR(__xludf.DUMMYFUNCTION("""COMPUTED_VALUE"""),"")</f>
        <v/>
      </c>
      <c r="J589" s="22" t="str">
        <f>IFERROR(__xludf.DUMMYFUNCTION("""COMPUTED_VALUE"""),"")</f>
        <v/>
      </c>
      <c r="K589" s="22"/>
      <c r="L589" s="22"/>
      <c r="M589" s="22"/>
      <c r="N589" s="22"/>
      <c r="O589" s="73"/>
      <c r="P589" s="8"/>
      <c r="Q589" s="69"/>
      <c r="R589" s="69"/>
      <c r="S589" s="8"/>
      <c r="T589" s="69"/>
      <c r="U589" s="8"/>
      <c r="V589" s="69"/>
      <c r="W589" s="74"/>
      <c r="X589" s="69"/>
    </row>
    <row r="590">
      <c r="A590" s="30" t="str">
        <f>IFERROR(__xludf.DUMMYFUNCTION("""COMPUTED_VALUE"""),"40658")</f>
        <v>40658</v>
      </c>
      <c r="B590" s="86">
        <f>IFERROR(__xludf.DUMMYFUNCTION("""COMPUTED_VALUE"""),44597.0)</f>
        <v>44597</v>
      </c>
      <c r="C590" s="64" t="str">
        <f>IFERROR(__xludf.DUMMYFUNCTION("""COMPUTED_VALUE"""),"Cash")</f>
        <v>Cash</v>
      </c>
      <c r="D590" s="85" t="str">
        <f>IFERROR(__xludf.DUMMYFUNCTION("""COMPUTED_VALUE"""),"Cash")</f>
        <v>Cash</v>
      </c>
      <c r="E590" s="5" t="str">
        <f>IFERROR(__xludf.DUMMYFUNCTION("""COMPUTED_VALUE"""),"HKD")</f>
        <v>HKD</v>
      </c>
      <c r="F590" s="69" t="str">
        <f>IFERROR(__xludf.DUMMYFUNCTION("""COMPUTED_VALUE"""),"")</f>
        <v/>
      </c>
      <c r="G590" s="70">
        <f>IFERROR(__xludf.DUMMYFUNCTION("""COMPUTED_VALUE"""),1.0)</f>
        <v>1</v>
      </c>
      <c r="H590" s="71">
        <f>IFERROR(__xludf.DUMMYFUNCTION("""COMPUTED_VALUE"""),1.0)</f>
        <v>1</v>
      </c>
      <c r="I590" s="71">
        <f>IFERROR(__xludf.DUMMYFUNCTION("""COMPUTED_VALUE"""),1.0)</f>
        <v>1</v>
      </c>
      <c r="J590" s="22" t="str">
        <f>IFERROR(__xludf.DUMMYFUNCTION("""COMPUTED_VALUE"""),"")</f>
        <v/>
      </c>
      <c r="K590" s="22"/>
      <c r="L590" s="22"/>
      <c r="M590" s="22"/>
      <c r="N590" s="22"/>
      <c r="O590" s="73"/>
      <c r="P590" s="8"/>
      <c r="Q590" s="69"/>
      <c r="R590" s="69"/>
      <c r="S590" s="8"/>
      <c r="T590" s="69"/>
      <c r="U590" s="8"/>
      <c r="V590" s="69"/>
      <c r="W590" s="74"/>
      <c r="X590" s="69"/>
    </row>
    <row r="591">
      <c r="A591" s="30" t="str">
        <f>IFERROR(__xludf.DUMMYFUNCTION("""COMPUTED_VALUE"""),"40658")</f>
        <v>40658</v>
      </c>
      <c r="B591" s="86">
        <f>IFERROR(__xludf.DUMMYFUNCTION("""COMPUTED_VALUE"""),44663.0)</f>
        <v>44663</v>
      </c>
      <c r="C591" s="64" t="str">
        <f>IFERROR(__xludf.DUMMYFUNCTION("""COMPUTED_VALUE"""),"Stock")</f>
        <v>Stock</v>
      </c>
      <c r="D591" s="85" t="str">
        <f>IFERROR(__xludf.DUMMYFUNCTION("""COMPUTED_VALUE"""),"AAPL")</f>
        <v>AAPL</v>
      </c>
      <c r="E591" s="5" t="str">
        <f>IFERROR(__xludf.DUMMYFUNCTION("""COMPUTED_VALUE"""),"USD")</f>
        <v>USD</v>
      </c>
      <c r="F591" s="69" t="str">
        <f>IFERROR(__xludf.DUMMYFUNCTION("""COMPUTED_VALUE"""),"")</f>
        <v/>
      </c>
      <c r="G591" s="70">
        <f>IFERROR(__xludf.DUMMYFUNCTION("""COMPUTED_VALUE"""),7.83915)</f>
        <v>7.83915</v>
      </c>
      <c r="H591" s="71">
        <f>IFERROR(__xludf.DUMMYFUNCTION("""COMPUTED_VALUE"""),167.66)</f>
        <v>167.66</v>
      </c>
      <c r="I591" s="71">
        <f>IFERROR(__xludf.DUMMYFUNCTION("""COMPUTED_VALUE"""),170.4)</f>
        <v>170.4</v>
      </c>
      <c r="J591" s="88" t="str">
        <f>IFERROR(__xludf.DUMMYFUNCTION("""COMPUTED_VALUE"""),"Goto link: AAPL")</f>
        <v>Goto link: AAPL</v>
      </c>
      <c r="K591" s="22"/>
      <c r="L591" s="22"/>
      <c r="M591" s="22"/>
      <c r="N591" s="22"/>
      <c r="O591" s="73"/>
      <c r="P591" s="8"/>
      <c r="Q591" s="69"/>
      <c r="R591" s="69"/>
      <c r="S591" s="8"/>
      <c r="T591" s="69"/>
      <c r="U591" s="8"/>
      <c r="V591" s="69"/>
      <c r="W591" s="74"/>
      <c r="X591" s="69"/>
    </row>
    <row r="592">
      <c r="A592" s="30" t="str">
        <f>IFERROR(__xludf.DUMMYFUNCTION("""COMPUTED_VALUE"""),"40658")</f>
        <v>40658</v>
      </c>
      <c r="B592" s="86">
        <f>IFERROR(__xludf.DUMMYFUNCTION("""COMPUTED_VALUE"""),44664.0)</f>
        <v>44664</v>
      </c>
      <c r="C592" s="64" t="str">
        <f>IFERROR(__xludf.DUMMYFUNCTION("""COMPUTED_VALUE"""),"Stock")</f>
        <v>Stock</v>
      </c>
      <c r="D592" s="91" t="str">
        <f>IFERROR(__xludf.DUMMYFUNCTION("""COMPUTED_VALUE"""),"300750.SZ")</f>
        <v>300750.SZ</v>
      </c>
      <c r="E592" s="5" t="str">
        <f>IFERROR(__xludf.DUMMYFUNCTION("""COMPUTED_VALUE"""),"CNY")</f>
        <v>CNY</v>
      </c>
      <c r="F592" s="69" t="str">
        <f>IFERROR(__xludf.DUMMYFUNCTION("""COMPUTED_VALUE"""),"")</f>
        <v/>
      </c>
      <c r="G592" s="70">
        <f>IFERROR(__xludf.DUMMYFUNCTION("""COMPUTED_VALUE"""),1.231169)</f>
        <v>1.231169</v>
      </c>
      <c r="H592" s="71">
        <f>IFERROR(__xludf.DUMMYFUNCTION("""COMPUTED_VALUE"""),466.0)</f>
        <v>466</v>
      </c>
      <c r="I592" s="71">
        <f>IFERROR(__xludf.DUMMYFUNCTION("""COMPUTED_VALUE"""),466.0)</f>
        <v>466</v>
      </c>
      <c r="J592" s="88" t="str">
        <f>IFERROR(__xludf.DUMMYFUNCTION("""COMPUTED_VALUE"""),"Goto link: 300750.SZ")</f>
        <v>Goto link: 300750.SZ</v>
      </c>
      <c r="K592" s="22"/>
      <c r="L592" s="22"/>
      <c r="M592" s="22"/>
      <c r="N592" s="22"/>
      <c r="O592" s="73"/>
      <c r="P592" s="8"/>
      <c r="Q592" s="69"/>
      <c r="R592" s="69"/>
      <c r="S592" s="8"/>
      <c r="T592" s="69"/>
      <c r="U592" s="8"/>
      <c r="V592" s="69"/>
      <c r="W592" s="74"/>
      <c r="X592" s="69"/>
    </row>
    <row r="593">
      <c r="A593" s="30" t="str">
        <f>IFERROR(__xludf.DUMMYFUNCTION("""COMPUTED_VALUE"""),"40658")</f>
        <v>40658</v>
      </c>
      <c r="B593" s="86">
        <f>IFERROR(__xludf.DUMMYFUNCTION("""COMPUTED_VALUE"""),44664.0)</f>
        <v>44664</v>
      </c>
      <c r="C593" s="64" t="str">
        <f>IFERROR(__xludf.DUMMYFUNCTION("""COMPUTED_VALUE"""),"Stock")</f>
        <v>Stock</v>
      </c>
      <c r="D593" s="85" t="str">
        <f>IFERROR(__xludf.DUMMYFUNCTION("""COMPUTED_VALUE"""),"AAPL")</f>
        <v>AAPL</v>
      </c>
      <c r="E593" s="5" t="str">
        <f>IFERROR(__xludf.DUMMYFUNCTION("""COMPUTED_VALUE"""),"USD")</f>
        <v>USD</v>
      </c>
      <c r="F593" s="69" t="str">
        <f>IFERROR(__xludf.DUMMYFUNCTION("""COMPUTED_VALUE"""),"")</f>
        <v/>
      </c>
      <c r="G593" s="70">
        <f>IFERROR(__xludf.DUMMYFUNCTION("""COMPUTED_VALUE"""),7.83915)</f>
        <v>7.83915</v>
      </c>
      <c r="H593" s="71">
        <f>IFERROR(__xludf.DUMMYFUNCTION("""COMPUTED_VALUE"""),170.4)</f>
        <v>170.4</v>
      </c>
      <c r="I593" s="71">
        <f>IFERROR(__xludf.DUMMYFUNCTION("""COMPUTED_VALUE"""),170.4)</f>
        <v>170.4</v>
      </c>
      <c r="J593" s="88" t="str">
        <f>IFERROR(__xludf.DUMMYFUNCTION("""COMPUTED_VALUE"""),"Goto link: AAPL")</f>
        <v>Goto link: AAPL</v>
      </c>
      <c r="K593" s="22"/>
      <c r="L593" s="22"/>
      <c r="M593" s="22"/>
      <c r="N593" s="22"/>
      <c r="O593" s="73"/>
      <c r="P593" s="8"/>
      <c r="Q593" s="69"/>
      <c r="R593" s="69"/>
      <c r="S593" s="8"/>
      <c r="T593" s="69"/>
      <c r="U593" s="8"/>
      <c r="V593" s="69"/>
      <c r="W593" s="74"/>
      <c r="X593" s="69"/>
    </row>
    <row r="594">
      <c r="A594" s="30" t="str">
        <f>IFERROR(__xludf.DUMMYFUNCTION("""COMPUTED_VALUE"""),"40658 Total")</f>
        <v>40658 Total</v>
      </c>
      <c r="B594" s="5"/>
      <c r="C594" s="64"/>
      <c r="D594" s="85"/>
      <c r="E594" s="5"/>
      <c r="F594" s="69"/>
      <c r="G594" s="70">
        <f>IFERROR(__xludf.DUMMYFUNCTION("""COMPUTED_VALUE"""),4.47736725)</f>
        <v>4.47736725</v>
      </c>
      <c r="H594" s="71">
        <f>IFERROR(__xludf.DUMMYFUNCTION("""COMPUTED_VALUE"""),466.0)</f>
        <v>466</v>
      </c>
      <c r="I594" s="71" t="str">
        <f>IFERROR(__xludf.DUMMYFUNCTION("""COMPUTED_VALUE"""),"")</f>
        <v/>
      </c>
      <c r="J594" s="22" t="str">
        <f>IFERROR(__xludf.DUMMYFUNCTION("""COMPUTED_VALUE"""),"")</f>
        <v/>
      </c>
      <c r="K594" s="22"/>
      <c r="L594" s="22"/>
      <c r="M594" s="22"/>
      <c r="N594" s="22"/>
      <c r="O594" s="73"/>
      <c r="P594" s="8"/>
      <c r="Q594" s="69"/>
      <c r="R594" s="69"/>
      <c r="S594" s="8"/>
      <c r="T594" s="69"/>
      <c r="U594" s="8"/>
      <c r="V594" s="69"/>
      <c r="W594" s="74"/>
      <c r="X594" s="69"/>
    </row>
    <row r="595">
      <c r="A595" s="30" t="str">
        <f>IFERROR(__xludf.DUMMYFUNCTION("""COMPUTED_VALUE"""),"40776")</f>
        <v>40776</v>
      </c>
      <c r="B595" s="86">
        <f>IFERROR(__xludf.DUMMYFUNCTION("""COMPUTED_VALUE"""),44597.0)</f>
        <v>44597</v>
      </c>
      <c r="C595" s="64" t="str">
        <f>IFERROR(__xludf.DUMMYFUNCTION("""COMPUTED_VALUE"""),"Cash")</f>
        <v>Cash</v>
      </c>
      <c r="D595" s="85" t="str">
        <f>IFERROR(__xludf.DUMMYFUNCTION("""COMPUTED_VALUE"""),"Cash")</f>
        <v>Cash</v>
      </c>
      <c r="E595" s="5" t="str">
        <f>IFERROR(__xludf.DUMMYFUNCTION("""COMPUTED_VALUE"""),"HKD")</f>
        <v>HKD</v>
      </c>
      <c r="F595" s="69" t="str">
        <f>IFERROR(__xludf.DUMMYFUNCTION("""COMPUTED_VALUE"""),"")</f>
        <v/>
      </c>
      <c r="G595" s="70">
        <f>IFERROR(__xludf.DUMMYFUNCTION("""COMPUTED_VALUE"""),1.0)</f>
        <v>1</v>
      </c>
      <c r="H595" s="71">
        <f>IFERROR(__xludf.DUMMYFUNCTION("""COMPUTED_VALUE"""),1.0)</f>
        <v>1</v>
      </c>
      <c r="I595" s="71">
        <f>IFERROR(__xludf.DUMMYFUNCTION("""COMPUTED_VALUE"""),1.0)</f>
        <v>1</v>
      </c>
      <c r="J595" s="22" t="str">
        <f>IFERROR(__xludf.DUMMYFUNCTION("""COMPUTED_VALUE"""),"")</f>
        <v/>
      </c>
      <c r="K595" s="22"/>
      <c r="L595" s="22"/>
      <c r="M595" s="22"/>
      <c r="N595" s="22"/>
      <c r="O595" s="73"/>
      <c r="P595" s="8"/>
      <c r="Q595" s="69"/>
      <c r="R595" s="69"/>
      <c r="S595" s="8"/>
      <c r="T595" s="69"/>
      <c r="U595" s="8"/>
      <c r="V595" s="69"/>
      <c r="W595" s="74"/>
      <c r="X595" s="69"/>
    </row>
    <row r="596">
      <c r="A596" s="30" t="str">
        <f>IFERROR(__xludf.DUMMYFUNCTION("""COMPUTED_VALUE"""),"40776")</f>
        <v>40776</v>
      </c>
      <c r="B596" s="86">
        <f>IFERROR(__xludf.DUMMYFUNCTION("""COMPUTED_VALUE"""),44659.0)</f>
        <v>44659</v>
      </c>
      <c r="C596" s="64" t="str">
        <f>IFERROR(__xludf.DUMMYFUNCTION("""COMPUTED_VALUE"""),"Stock")</f>
        <v>Stock</v>
      </c>
      <c r="D596" s="85" t="str">
        <f>IFERROR(__xludf.DUMMYFUNCTION("""COMPUTED_VALUE"""),"AAPL")</f>
        <v>AAPL</v>
      </c>
      <c r="E596" s="5" t="str">
        <f>IFERROR(__xludf.DUMMYFUNCTION("""COMPUTED_VALUE"""),"USD")</f>
        <v>USD</v>
      </c>
      <c r="F596" s="69">
        <f>IFERROR(__xludf.DUMMYFUNCTION("""COMPUTED_VALUE"""),0.0)</f>
        <v>0</v>
      </c>
      <c r="G596" s="70">
        <f>IFERROR(__xludf.DUMMYFUNCTION("""COMPUTED_VALUE"""),7.83915)</f>
        <v>7.83915</v>
      </c>
      <c r="H596" s="71">
        <f>IFERROR(__xludf.DUMMYFUNCTION("""COMPUTED_VALUE"""),0.0)</f>
        <v>0</v>
      </c>
      <c r="I596" s="71">
        <f>IFERROR(__xludf.DUMMYFUNCTION("""COMPUTED_VALUE"""),170.4)</f>
        <v>170.4</v>
      </c>
      <c r="J596" s="88" t="str">
        <f>IFERROR(__xludf.DUMMYFUNCTION("""COMPUTED_VALUE"""),"Goto link: AAPL")</f>
        <v>Goto link: AAPL</v>
      </c>
      <c r="K596" s="22"/>
      <c r="L596" s="22"/>
      <c r="M596" s="22"/>
      <c r="N596" s="22"/>
      <c r="O596" s="73"/>
      <c r="P596" s="8"/>
      <c r="Q596" s="69"/>
      <c r="R596" s="69"/>
      <c r="S596" s="8"/>
      <c r="T596" s="69"/>
      <c r="U596" s="8"/>
      <c r="V596" s="69"/>
      <c r="W596" s="74"/>
      <c r="X596" s="69"/>
    </row>
    <row r="597">
      <c r="A597" s="30" t="str">
        <f>IFERROR(__xludf.DUMMYFUNCTION("""COMPUTED_VALUE"""),"40776")</f>
        <v>40776</v>
      </c>
      <c r="B597" s="86">
        <f>IFERROR(__xludf.DUMMYFUNCTION("""COMPUTED_VALUE"""),44659.0)</f>
        <v>44659</v>
      </c>
      <c r="C597" s="64" t="str">
        <f>IFERROR(__xludf.DUMMYFUNCTION("""COMPUTED_VALUE"""),"Stock")</f>
        <v>Stock</v>
      </c>
      <c r="D597" s="85" t="str">
        <f>IFERROR(__xludf.DUMMYFUNCTION("""COMPUTED_VALUE"""),"TSLA")</f>
        <v>TSLA</v>
      </c>
      <c r="E597" s="5" t="str">
        <f>IFERROR(__xludf.DUMMYFUNCTION("""COMPUTED_VALUE"""),"USD")</f>
        <v>USD</v>
      </c>
      <c r="F597" s="69">
        <f>IFERROR(__xludf.DUMMYFUNCTION("""COMPUTED_VALUE"""),50.0)</f>
        <v>50</v>
      </c>
      <c r="G597" s="70">
        <f>IFERROR(__xludf.DUMMYFUNCTION("""COMPUTED_VALUE"""),7.83915)</f>
        <v>7.83915</v>
      </c>
      <c r="H597" s="71">
        <f>IFERROR(__xludf.DUMMYFUNCTION("""COMPUTED_VALUE"""),1025.49)</f>
        <v>1025.49</v>
      </c>
      <c r="I597" s="71">
        <f>IFERROR(__xludf.DUMMYFUNCTION("""COMPUTED_VALUE"""),1022.37)</f>
        <v>1022.37</v>
      </c>
      <c r="J597" s="88" t="str">
        <f>IFERROR(__xludf.DUMMYFUNCTION("""COMPUTED_VALUE"""),"Goto link: TSLA")</f>
        <v>Goto link: TSLA</v>
      </c>
      <c r="K597" s="22"/>
      <c r="L597" s="22"/>
      <c r="M597" s="22"/>
      <c r="N597" s="22"/>
      <c r="O597" s="73"/>
      <c r="P597" s="8"/>
      <c r="Q597" s="69"/>
      <c r="R597" s="69"/>
      <c r="S597" s="8"/>
      <c r="T597" s="69"/>
      <c r="U597" s="8"/>
      <c r="V597" s="69"/>
      <c r="W597" s="74"/>
      <c r="X597" s="69"/>
    </row>
    <row r="598">
      <c r="A598" s="30" t="str">
        <f>IFERROR(__xludf.DUMMYFUNCTION("""COMPUTED_VALUE"""),"40776")</f>
        <v>40776</v>
      </c>
      <c r="B598" s="86">
        <f>IFERROR(__xludf.DUMMYFUNCTION("""COMPUTED_VALUE"""),44659.0)</f>
        <v>44659</v>
      </c>
      <c r="C598" s="64" t="str">
        <f>IFERROR(__xludf.DUMMYFUNCTION("""COMPUTED_VALUE"""),"Stock")</f>
        <v>Stock</v>
      </c>
      <c r="D598" s="85" t="str">
        <f>IFERROR(__xludf.DUMMYFUNCTION("""COMPUTED_VALUE"""),"TSLA")</f>
        <v>TSLA</v>
      </c>
      <c r="E598" s="5" t="str">
        <f>IFERROR(__xludf.DUMMYFUNCTION("""COMPUTED_VALUE"""),"USD")</f>
        <v>USD</v>
      </c>
      <c r="F598" s="69" t="str">
        <f>IFERROR(__xludf.DUMMYFUNCTION("""COMPUTED_VALUE"""),"")</f>
        <v/>
      </c>
      <c r="G598" s="70">
        <f>IFERROR(__xludf.DUMMYFUNCTION("""COMPUTED_VALUE"""),7.83915)</f>
        <v>7.83915</v>
      </c>
      <c r="H598" s="71">
        <f>IFERROR(__xludf.DUMMYFUNCTION("""COMPUTED_VALUE"""),1025.49)</f>
        <v>1025.49</v>
      </c>
      <c r="I598" s="71">
        <f>IFERROR(__xludf.DUMMYFUNCTION("""COMPUTED_VALUE"""),1022.37)</f>
        <v>1022.37</v>
      </c>
      <c r="J598" s="88" t="str">
        <f>IFERROR(__xludf.DUMMYFUNCTION("""COMPUTED_VALUE"""),"Goto link: TSLA")</f>
        <v>Goto link: TSLA</v>
      </c>
      <c r="K598" s="22"/>
      <c r="L598" s="22"/>
      <c r="M598" s="22"/>
      <c r="N598" s="22"/>
      <c r="O598" s="73"/>
      <c r="P598" s="8"/>
      <c r="Q598" s="69"/>
      <c r="R598" s="69"/>
      <c r="S598" s="8"/>
      <c r="T598" s="69"/>
      <c r="U598" s="8"/>
      <c r="V598" s="69"/>
      <c r="W598" s="74"/>
      <c r="X598" s="69"/>
    </row>
    <row r="599">
      <c r="A599" s="30" t="str">
        <f>IFERROR(__xludf.DUMMYFUNCTION("""COMPUTED_VALUE"""),"40776")</f>
        <v>40776</v>
      </c>
      <c r="B599" s="86">
        <f>IFERROR(__xludf.DUMMYFUNCTION("""COMPUTED_VALUE"""),44662.0)</f>
        <v>44662</v>
      </c>
      <c r="C599" s="64" t="str">
        <f>IFERROR(__xludf.DUMMYFUNCTION("""COMPUTED_VALUE"""),"Stock")</f>
        <v>Stock</v>
      </c>
      <c r="D599" s="85" t="str">
        <f>IFERROR(__xludf.DUMMYFUNCTION("""COMPUTED_VALUE"""),"SOFI")</f>
        <v>SOFI</v>
      </c>
      <c r="E599" s="5" t="str">
        <f>IFERROR(__xludf.DUMMYFUNCTION("""COMPUTED_VALUE"""),"USD")</f>
        <v>USD</v>
      </c>
      <c r="F599" s="69">
        <f>IFERROR(__xludf.DUMMYFUNCTION("""COMPUTED_VALUE"""),0.0)</f>
        <v>0</v>
      </c>
      <c r="G599" s="70">
        <f>IFERROR(__xludf.DUMMYFUNCTION("""COMPUTED_VALUE"""),7.83915)</f>
        <v>7.83915</v>
      </c>
      <c r="H599" s="71">
        <f>IFERROR(__xludf.DUMMYFUNCTION("""COMPUTED_VALUE"""),0.0)</f>
        <v>0</v>
      </c>
      <c r="I599" s="71">
        <f>IFERROR(__xludf.DUMMYFUNCTION("""COMPUTED_VALUE"""),7.61)</f>
        <v>7.61</v>
      </c>
      <c r="J599" s="88" t="str">
        <f>IFERROR(__xludf.DUMMYFUNCTION("""COMPUTED_VALUE"""),"Goto link: SOFI")</f>
        <v>Goto link: SOFI</v>
      </c>
      <c r="K599" s="22"/>
      <c r="L599" s="22"/>
      <c r="M599" s="22"/>
      <c r="N599" s="22"/>
      <c r="O599" s="73"/>
      <c r="P599" s="8"/>
      <c r="Q599" s="69"/>
      <c r="R599" s="69"/>
      <c r="S599" s="8"/>
      <c r="T599" s="69"/>
      <c r="U599" s="8"/>
      <c r="V599" s="69"/>
      <c r="W599" s="74"/>
      <c r="X599" s="69"/>
    </row>
    <row r="600">
      <c r="A600" s="30" t="str">
        <f>IFERROR(__xludf.DUMMYFUNCTION("""COMPUTED_VALUE"""),"40776")</f>
        <v>40776</v>
      </c>
      <c r="B600" s="86">
        <f>IFERROR(__xludf.DUMMYFUNCTION("""COMPUTED_VALUE"""),44662.0)</f>
        <v>44662</v>
      </c>
      <c r="C600" s="64" t="str">
        <f>IFERROR(__xludf.DUMMYFUNCTION("""COMPUTED_VALUE"""),"Stock")</f>
        <v>Stock</v>
      </c>
      <c r="D600" s="85" t="str">
        <f>IFERROR(__xludf.DUMMYFUNCTION("""COMPUTED_VALUE"""),"TSLA")</f>
        <v>TSLA</v>
      </c>
      <c r="E600" s="5" t="str">
        <f>IFERROR(__xludf.DUMMYFUNCTION("""COMPUTED_VALUE"""),"USD")</f>
        <v>USD</v>
      </c>
      <c r="F600" s="69">
        <f>IFERROR(__xludf.DUMMYFUNCTION("""COMPUTED_VALUE"""),20.0)</f>
        <v>20</v>
      </c>
      <c r="G600" s="70">
        <f>IFERROR(__xludf.DUMMYFUNCTION("""COMPUTED_VALUE"""),7.83915)</f>
        <v>7.83915</v>
      </c>
      <c r="H600" s="71">
        <f>IFERROR(__xludf.DUMMYFUNCTION("""COMPUTED_VALUE"""),975.93)</f>
        <v>975.93</v>
      </c>
      <c r="I600" s="71">
        <f>IFERROR(__xludf.DUMMYFUNCTION("""COMPUTED_VALUE"""),1022.37)</f>
        <v>1022.37</v>
      </c>
      <c r="J600" s="88" t="str">
        <f>IFERROR(__xludf.DUMMYFUNCTION("""COMPUTED_VALUE"""),"Goto link: TSLA")</f>
        <v>Goto link: TSLA</v>
      </c>
      <c r="K600" s="22"/>
      <c r="L600" s="22"/>
      <c r="M600" s="22"/>
      <c r="N600" s="22"/>
      <c r="O600" s="73"/>
      <c r="P600" s="8"/>
      <c r="Q600" s="69"/>
      <c r="R600" s="69"/>
      <c r="S600" s="8"/>
      <c r="T600" s="69"/>
      <c r="U600" s="8"/>
      <c r="V600" s="69"/>
      <c r="W600" s="74"/>
      <c r="X600" s="69"/>
    </row>
    <row r="601">
      <c r="A601" s="30" t="str">
        <f>IFERROR(__xludf.DUMMYFUNCTION("""COMPUTED_VALUE"""),"40776")</f>
        <v>40776</v>
      </c>
      <c r="B601" s="86">
        <f>IFERROR(__xludf.DUMMYFUNCTION("""COMPUTED_VALUE"""),44663.0)</f>
        <v>44663</v>
      </c>
      <c r="C601" s="64" t="str">
        <f>IFERROR(__xludf.DUMMYFUNCTION("""COMPUTED_VALUE"""),"Stock")</f>
        <v>Stock</v>
      </c>
      <c r="D601" s="91" t="str">
        <f>IFERROR(__xludf.DUMMYFUNCTION("""COMPUTED_VALUE"""),"9626.hk")</f>
        <v>9626.hk</v>
      </c>
      <c r="E601" s="5" t="str">
        <f>IFERROR(__xludf.DUMMYFUNCTION("""COMPUTED_VALUE"""),"HKD")</f>
        <v>HKD</v>
      </c>
      <c r="F601" s="69">
        <f>IFERROR(__xludf.DUMMYFUNCTION("""COMPUTED_VALUE"""),0.0)</f>
        <v>0</v>
      </c>
      <c r="G601" s="70">
        <f>IFERROR(__xludf.DUMMYFUNCTION("""COMPUTED_VALUE"""),1.0)</f>
        <v>1</v>
      </c>
      <c r="H601" s="71">
        <f>IFERROR(__xludf.DUMMYFUNCTION("""COMPUTED_VALUE"""),0.0)</f>
        <v>0</v>
      </c>
      <c r="I601" s="71">
        <f>IFERROR(__xludf.DUMMYFUNCTION("""COMPUTED_VALUE"""),202.6)</f>
        <v>202.6</v>
      </c>
      <c r="J601" s="88" t="str">
        <f>IFERROR(__xludf.DUMMYFUNCTION("""COMPUTED_VALUE"""),"Goto link: 9626.hk")</f>
        <v>Goto link: 9626.hk</v>
      </c>
      <c r="K601" s="22"/>
      <c r="L601" s="22"/>
      <c r="M601" s="22"/>
      <c r="N601" s="22"/>
      <c r="O601" s="73"/>
      <c r="P601" s="8"/>
      <c r="Q601" s="69"/>
      <c r="R601" s="69"/>
      <c r="S601" s="8"/>
      <c r="T601" s="69"/>
      <c r="U601" s="8"/>
      <c r="V601" s="69"/>
      <c r="W601" s="74"/>
      <c r="X601" s="69"/>
    </row>
    <row r="602">
      <c r="A602" s="30" t="str">
        <f>IFERROR(__xludf.DUMMYFUNCTION("""COMPUTED_VALUE"""),"40776")</f>
        <v>40776</v>
      </c>
      <c r="B602" s="86">
        <f>IFERROR(__xludf.DUMMYFUNCTION("""COMPUTED_VALUE"""),44663.0)</f>
        <v>44663</v>
      </c>
      <c r="C602" s="64" t="str">
        <f>IFERROR(__xludf.DUMMYFUNCTION("""COMPUTED_VALUE"""),"Stock")</f>
        <v>Stock</v>
      </c>
      <c r="D602" s="91" t="str">
        <f>IFERROR(__xludf.DUMMYFUNCTION("""COMPUTED_VALUE"""),"9988.hk")</f>
        <v>9988.hk</v>
      </c>
      <c r="E602" s="5" t="str">
        <f>IFERROR(__xludf.DUMMYFUNCTION("""COMPUTED_VALUE"""),"HKD")</f>
        <v>HKD</v>
      </c>
      <c r="F602" s="69">
        <f>IFERROR(__xludf.DUMMYFUNCTION("""COMPUTED_VALUE"""),0.0)</f>
        <v>0</v>
      </c>
      <c r="G602" s="70">
        <f>IFERROR(__xludf.DUMMYFUNCTION("""COMPUTED_VALUE"""),1.0)</f>
        <v>1</v>
      </c>
      <c r="H602" s="71">
        <f>IFERROR(__xludf.DUMMYFUNCTION("""COMPUTED_VALUE"""),0.0)</f>
        <v>0</v>
      </c>
      <c r="I602" s="71">
        <f>IFERROR(__xludf.DUMMYFUNCTION("""COMPUTED_VALUE"""),98.5)</f>
        <v>98.5</v>
      </c>
      <c r="J602" s="88" t="str">
        <f>IFERROR(__xludf.DUMMYFUNCTION("""COMPUTED_VALUE"""),"Goto link: 9988.hk")</f>
        <v>Goto link: 9988.hk</v>
      </c>
      <c r="K602" s="22"/>
      <c r="L602" s="22"/>
      <c r="M602" s="22"/>
      <c r="N602" s="22"/>
      <c r="O602" s="73"/>
      <c r="P602" s="8"/>
      <c r="Q602" s="69"/>
      <c r="R602" s="69"/>
      <c r="S602" s="8"/>
      <c r="T602" s="69"/>
      <c r="U602" s="8"/>
      <c r="V602" s="69"/>
      <c r="W602" s="74"/>
      <c r="X602" s="69"/>
    </row>
    <row r="603">
      <c r="A603" s="30" t="str">
        <f>IFERROR(__xludf.DUMMYFUNCTION("""COMPUTED_VALUE"""),"40776")</f>
        <v>40776</v>
      </c>
      <c r="B603" s="86">
        <f>IFERROR(__xludf.DUMMYFUNCTION("""COMPUTED_VALUE"""),44663.0)</f>
        <v>44663</v>
      </c>
      <c r="C603" s="64" t="str">
        <f>IFERROR(__xludf.DUMMYFUNCTION("""COMPUTED_VALUE"""),"Stock")</f>
        <v>Stock</v>
      </c>
      <c r="D603" s="85" t="str">
        <f>IFERROR(__xludf.DUMMYFUNCTION("""COMPUTED_VALUE"""),"TSLA")</f>
        <v>TSLA</v>
      </c>
      <c r="E603" s="5" t="str">
        <f>IFERROR(__xludf.DUMMYFUNCTION("""COMPUTED_VALUE"""),"USD")</f>
        <v>USD</v>
      </c>
      <c r="F603" s="69">
        <f>IFERROR(__xludf.DUMMYFUNCTION("""COMPUTED_VALUE"""),-20.0)</f>
        <v>-20</v>
      </c>
      <c r="G603" s="70">
        <f>IFERROR(__xludf.DUMMYFUNCTION("""COMPUTED_VALUE"""),7.83915)</f>
        <v>7.83915</v>
      </c>
      <c r="H603" s="71">
        <f>IFERROR(__xludf.DUMMYFUNCTION("""COMPUTED_VALUE"""),986.95)</f>
        <v>986.95</v>
      </c>
      <c r="I603" s="71">
        <f>IFERROR(__xludf.DUMMYFUNCTION("""COMPUTED_VALUE"""),1022.37)</f>
        <v>1022.37</v>
      </c>
      <c r="J603" s="88" t="str">
        <f>IFERROR(__xludf.DUMMYFUNCTION("""COMPUTED_VALUE"""),"Goto link: TSLA")</f>
        <v>Goto link: TSLA</v>
      </c>
      <c r="K603" s="22"/>
      <c r="L603" s="22"/>
      <c r="M603" s="22"/>
      <c r="N603" s="22"/>
      <c r="O603" s="73"/>
      <c r="P603" s="8"/>
      <c r="Q603" s="69"/>
      <c r="R603" s="69"/>
      <c r="S603" s="8"/>
      <c r="T603" s="69"/>
      <c r="U603" s="8"/>
      <c r="V603" s="69"/>
      <c r="W603" s="74"/>
      <c r="X603" s="69"/>
    </row>
    <row r="604">
      <c r="A604" s="30" t="str">
        <f>IFERROR(__xludf.DUMMYFUNCTION("""COMPUTED_VALUE"""),"40776 Total")</f>
        <v>40776 Total</v>
      </c>
      <c r="B604" s="5"/>
      <c r="C604" s="64"/>
      <c r="D604" s="85"/>
      <c r="E604" s="5"/>
      <c r="F604" s="69"/>
      <c r="G604" s="70">
        <f>IFERROR(__xludf.DUMMYFUNCTION("""COMPUTED_VALUE"""),5.7874050000000015)</f>
        <v>5.787405</v>
      </c>
      <c r="H604" s="71">
        <f>IFERROR(__xludf.DUMMYFUNCTION("""COMPUTED_VALUE"""),1025.49)</f>
        <v>1025.49</v>
      </c>
      <c r="I604" s="71" t="str">
        <f>IFERROR(__xludf.DUMMYFUNCTION("""COMPUTED_VALUE"""),"")</f>
        <v/>
      </c>
      <c r="J604" s="22" t="str">
        <f>IFERROR(__xludf.DUMMYFUNCTION("""COMPUTED_VALUE"""),"")</f>
        <v/>
      </c>
      <c r="K604" s="22"/>
      <c r="L604" s="22"/>
      <c r="M604" s="22"/>
      <c r="N604" s="22"/>
      <c r="O604" s="73"/>
      <c r="P604" s="8"/>
      <c r="Q604" s="69"/>
      <c r="R604" s="69"/>
      <c r="S604" s="8"/>
      <c r="T604" s="69"/>
      <c r="U604" s="8"/>
      <c r="V604" s="69"/>
      <c r="W604" s="74"/>
      <c r="X604" s="69"/>
    </row>
    <row r="605">
      <c r="A605" s="30" t="str">
        <f>IFERROR(__xludf.DUMMYFUNCTION("""COMPUTED_VALUE"""),"45962")</f>
        <v>45962</v>
      </c>
      <c r="B605" s="86">
        <f>IFERROR(__xludf.DUMMYFUNCTION("""COMPUTED_VALUE"""),44597.0)</f>
        <v>44597</v>
      </c>
      <c r="C605" s="64" t="str">
        <f>IFERROR(__xludf.DUMMYFUNCTION("""COMPUTED_VALUE"""),"Cash")</f>
        <v>Cash</v>
      </c>
      <c r="D605" s="85" t="str">
        <f>IFERROR(__xludf.DUMMYFUNCTION("""COMPUTED_VALUE"""),"Cash")</f>
        <v>Cash</v>
      </c>
      <c r="E605" s="5" t="str">
        <f>IFERROR(__xludf.DUMMYFUNCTION("""COMPUTED_VALUE"""),"HKD")</f>
        <v>HKD</v>
      </c>
      <c r="F605" s="69" t="str">
        <f>IFERROR(__xludf.DUMMYFUNCTION("""COMPUTED_VALUE"""),"")</f>
        <v/>
      </c>
      <c r="G605" s="70">
        <f>IFERROR(__xludf.DUMMYFUNCTION("""COMPUTED_VALUE"""),1.0)</f>
        <v>1</v>
      </c>
      <c r="H605" s="71">
        <f>IFERROR(__xludf.DUMMYFUNCTION("""COMPUTED_VALUE"""),1.0)</f>
        <v>1</v>
      </c>
      <c r="I605" s="71">
        <f>IFERROR(__xludf.DUMMYFUNCTION("""COMPUTED_VALUE"""),1.0)</f>
        <v>1</v>
      </c>
      <c r="J605" s="22" t="str">
        <f>IFERROR(__xludf.DUMMYFUNCTION("""COMPUTED_VALUE"""),"")</f>
        <v/>
      </c>
      <c r="K605" s="22"/>
      <c r="L605" s="22"/>
      <c r="M605" s="22"/>
      <c r="N605" s="22"/>
      <c r="O605" s="73"/>
      <c r="P605" s="8"/>
      <c r="Q605" s="69"/>
      <c r="R605" s="69"/>
      <c r="S605" s="8"/>
      <c r="T605" s="69"/>
      <c r="U605" s="8"/>
      <c r="V605" s="69"/>
      <c r="W605" s="74"/>
      <c r="X605" s="69"/>
    </row>
    <row r="606">
      <c r="A606" s="30" t="str">
        <f>IFERROR(__xludf.DUMMYFUNCTION("""COMPUTED_VALUE"""),"45962")</f>
        <v>45962</v>
      </c>
      <c r="B606" s="86">
        <f>IFERROR(__xludf.DUMMYFUNCTION("""COMPUTED_VALUE"""),44621.0)</f>
        <v>44621</v>
      </c>
      <c r="C606" s="64" t="str">
        <f>IFERROR(__xludf.DUMMYFUNCTION("""COMPUTED_VALUE"""),"Stock")</f>
        <v>Stock</v>
      </c>
      <c r="D606" s="90" t="str">
        <f>IFERROR(__xludf.DUMMYFUNCTION("""COMPUTED_VALUE"""),"0700.HK")</f>
        <v>0700.HK</v>
      </c>
      <c r="E606" s="5" t="str">
        <f>IFERROR(__xludf.DUMMYFUNCTION("""COMPUTED_VALUE"""),"HKD")</f>
        <v>HKD</v>
      </c>
      <c r="F606" s="69">
        <f>IFERROR(__xludf.DUMMYFUNCTION("""COMPUTED_VALUE"""),1000.0)</f>
        <v>1000</v>
      </c>
      <c r="G606" s="70">
        <f>IFERROR(__xludf.DUMMYFUNCTION("""COMPUTED_VALUE"""),1.0)</f>
        <v>1</v>
      </c>
      <c r="H606" s="71">
        <f>IFERROR(__xludf.DUMMYFUNCTION("""COMPUTED_VALUE"""),421.2)</f>
        <v>421.2</v>
      </c>
      <c r="I606" s="71">
        <f>IFERROR(__xludf.DUMMYFUNCTION("""COMPUTED_VALUE"""),373.6)</f>
        <v>373.6</v>
      </c>
      <c r="J606" s="88" t="str">
        <f>IFERROR(__xludf.DUMMYFUNCTION("""COMPUTED_VALUE"""),"Goto link: 0700.HK")</f>
        <v>Goto link: 0700.HK</v>
      </c>
      <c r="K606" s="22"/>
      <c r="L606" s="22"/>
      <c r="M606" s="22"/>
      <c r="N606" s="22"/>
      <c r="O606" s="73"/>
      <c r="P606" s="8"/>
      <c r="Q606" s="69"/>
      <c r="R606" s="69"/>
      <c r="S606" s="8"/>
      <c r="T606" s="69"/>
      <c r="U606" s="8"/>
      <c r="V606" s="69"/>
      <c r="W606" s="74"/>
      <c r="X606" s="69"/>
    </row>
    <row r="607">
      <c r="A607" s="30" t="str">
        <f>IFERROR(__xludf.DUMMYFUNCTION("""COMPUTED_VALUE"""),"45962")</f>
        <v>45962</v>
      </c>
      <c r="B607" s="86">
        <f>IFERROR(__xludf.DUMMYFUNCTION("""COMPUTED_VALUE"""),44636.0)</f>
        <v>44636</v>
      </c>
      <c r="C607" s="64" t="str">
        <f>IFERROR(__xludf.DUMMYFUNCTION("""COMPUTED_VALUE"""),"Stock")</f>
        <v>Stock</v>
      </c>
      <c r="D607" s="90" t="str">
        <f>IFERROR(__xludf.DUMMYFUNCTION("""COMPUTED_VALUE"""),"0700.hk")</f>
        <v>0700.hk</v>
      </c>
      <c r="E607" s="5" t="str">
        <f>IFERROR(__xludf.DUMMYFUNCTION("""COMPUTED_VALUE"""),"HKD")</f>
        <v>HKD</v>
      </c>
      <c r="F607" s="69">
        <f>IFERROR(__xludf.DUMMYFUNCTION("""COMPUTED_VALUE"""),200.0)</f>
        <v>200</v>
      </c>
      <c r="G607" s="70">
        <f>IFERROR(__xludf.DUMMYFUNCTION("""COMPUTED_VALUE"""),1.0)</f>
        <v>1</v>
      </c>
      <c r="H607" s="71">
        <f>IFERROR(__xludf.DUMMYFUNCTION("""COMPUTED_VALUE"""),367.0)</f>
        <v>367</v>
      </c>
      <c r="I607" s="71">
        <f>IFERROR(__xludf.DUMMYFUNCTION("""COMPUTED_VALUE"""),373.6)</f>
        <v>373.6</v>
      </c>
      <c r="J607" s="88" t="str">
        <f>IFERROR(__xludf.DUMMYFUNCTION("""COMPUTED_VALUE"""),"Goto link: 0700.hk")</f>
        <v>Goto link: 0700.hk</v>
      </c>
      <c r="K607" s="22"/>
      <c r="L607" s="22"/>
      <c r="M607" s="22"/>
      <c r="N607" s="22"/>
      <c r="O607" s="73"/>
      <c r="P607" s="8"/>
      <c r="Q607" s="69"/>
      <c r="R607" s="69"/>
      <c r="S607" s="8"/>
      <c r="T607" s="69"/>
      <c r="U607" s="8"/>
      <c r="V607" s="69"/>
      <c r="W607" s="74"/>
      <c r="X607" s="69"/>
    </row>
    <row r="608">
      <c r="A608" s="30" t="str">
        <f>IFERROR(__xludf.DUMMYFUNCTION("""COMPUTED_VALUE"""),"45962 Total")</f>
        <v>45962 Total</v>
      </c>
      <c r="B608" s="5"/>
      <c r="C608" s="64"/>
      <c r="D608" s="85"/>
      <c r="E608" s="5"/>
      <c r="F608" s="69"/>
      <c r="G608" s="70">
        <f>IFERROR(__xludf.DUMMYFUNCTION("""COMPUTED_VALUE"""),1.0)</f>
        <v>1</v>
      </c>
      <c r="H608" s="71">
        <f>IFERROR(__xludf.DUMMYFUNCTION("""COMPUTED_VALUE"""),421.2)</f>
        <v>421.2</v>
      </c>
      <c r="I608" s="71" t="str">
        <f>IFERROR(__xludf.DUMMYFUNCTION("""COMPUTED_VALUE"""),"")</f>
        <v/>
      </c>
      <c r="J608" s="22" t="str">
        <f>IFERROR(__xludf.DUMMYFUNCTION("""COMPUTED_VALUE"""),"")</f>
        <v/>
      </c>
      <c r="K608" s="22"/>
      <c r="L608" s="22"/>
      <c r="M608" s="22"/>
      <c r="N608" s="22"/>
      <c r="O608" s="73"/>
      <c r="P608" s="8"/>
      <c r="Q608" s="69"/>
      <c r="R608" s="69"/>
      <c r="S608" s="8"/>
      <c r="T608" s="69"/>
      <c r="U608" s="8"/>
      <c r="V608" s="69"/>
      <c r="W608" s="74"/>
      <c r="X608" s="69"/>
    </row>
    <row r="609">
      <c r="A609" s="30" t="str">
        <f>IFERROR(__xludf.DUMMYFUNCTION("""COMPUTED_VALUE"""),"45969")</f>
        <v>45969</v>
      </c>
      <c r="B609" s="86">
        <f>IFERROR(__xludf.DUMMYFUNCTION("""COMPUTED_VALUE"""),44597.0)</f>
        <v>44597</v>
      </c>
      <c r="C609" s="64" t="str">
        <f>IFERROR(__xludf.DUMMYFUNCTION("""COMPUTED_VALUE"""),"Cash")</f>
        <v>Cash</v>
      </c>
      <c r="D609" s="85" t="str">
        <f>IFERROR(__xludf.DUMMYFUNCTION("""COMPUTED_VALUE"""),"Cash")</f>
        <v>Cash</v>
      </c>
      <c r="E609" s="5" t="str">
        <f>IFERROR(__xludf.DUMMYFUNCTION("""COMPUTED_VALUE"""),"HKD")</f>
        <v>HKD</v>
      </c>
      <c r="F609" s="69" t="str">
        <f>IFERROR(__xludf.DUMMYFUNCTION("""COMPUTED_VALUE"""),"")</f>
        <v/>
      </c>
      <c r="G609" s="70">
        <f>IFERROR(__xludf.DUMMYFUNCTION("""COMPUTED_VALUE"""),1.0)</f>
        <v>1</v>
      </c>
      <c r="H609" s="71">
        <f>IFERROR(__xludf.DUMMYFUNCTION("""COMPUTED_VALUE"""),1.0)</f>
        <v>1</v>
      </c>
      <c r="I609" s="71">
        <f>IFERROR(__xludf.DUMMYFUNCTION("""COMPUTED_VALUE"""),1.0)</f>
        <v>1</v>
      </c>
      <c r="J609" s="22" t="str">
        <f>IFERROR(__xludf.DUMMYFUNCTION("""COMPUTED_VALUE"""),"")</f>
        <v/>
      </c>
      <c r="K609" s="22"/>
      <c r="L609" s="22"/>
      <c r="M609" s="22"/>
      <c r="N609" s="22"/>
      <c r="O609" s="73"/>
      <c r="P609" s="8"/>
      <c r="Q609" s="69"/>
      <c r="R609" s="69"/>
      <c r="S609" s="8"/>
      <c r="T609" s="69"/>
      <c r="U609" s="8"/>
      <c r="V609" s="69"/>
      <c r="W609" s="74"/>
      <c r="X609" s="69"/>
    </row>
    <row r="610">
      <c r="A610" s="30" t="str">
        <f>IFERROR(__xludf.DUMMYFUNCTION("""COMPUTED_VALUE"""),"45969")</f>
        <v>45969</v>
      </c>
      <c r="B610" s="86">
        <f>IFERROR(__xludf.DUMMYFUNCTION("""COMPUTED_VALUE"""),44600.0)</f>
        <v>44600</v>
      </c>
      <c r="C610" s="64" t="str">
        <f>IFERROR(__xludf.DUMMYFUNCTION("""COMPUTED_VALUE"""),"Option")</f>
        <v>Option</v>
      </c>
      <c r="D610" s="87" t="str">
        <f>IFERROR(__xludf.DUMMYFUNCTION("""COMPUTED_VALUE"""),"BAC220325C00045000")</f>
        <v>BAC220325C00045000</v>
      </c>
      <c r="E610" s="5" t="str">
        <f>IFERROR(__xludf.DUMMYFUNCTION("""COMPUTED_VALUE"""),"USD")</f>
        <v>USD</v>
      </c>
      <c r="F610" s="69">
        <f>IFERROR(__xludf.DUMMYFUNCTION("""COMPUTED_VALUE"""),30.0)</f>
        <v>30</v>
      </c>
      <c r="G610" s="70">
        <f>IFERROR(__xludf.DUMMYFUNCTION("""COMPUTED_VALUE"""),7.83915)</f>
        <v>7.83915</v>
      </c>
      <c r="H610" s="71">
        <f>IFERROR(__xludf.DUMMYFUNCTION("""COMPUTED_VALUE"""),5.0)</f>
        <v>5</v>
      </c>
      <c r="I610" s="71">
        <f>IFERROR(__xludf.DUMMYFUNCTION("""COMPUTED_VALUE"""),0.0)</f>
        <v>0</v>
      </c>
      <c r="J610" s="22" t="str">
        <f>IFERROR(__xludf.DUMMYFUNCTION("""COMPUTED_VALUE"""),"")</f>
        <v/>
      </c>
      <c r="K610" s="22"/>
      <c r="L610" s="22"/>
      <c r="M610" s="22"/>
      <c r="N610" s="22"/>
      <c r="O610" s="73"/>
      <c r="P610" s="8"/>
      <c r="Q610" s="69"/>
      <c r="R610" s="69"/>
      <c r="S610" s="8"/>
      <c r="T610" s="69"/>
      <c r="U610" s="8"/>
      <c r="V610" s="69"/>
      <c r="W610" s="74"/>
      <c r="X610" s="69"/>
    </row>
    <row r="611">
      <c r="A611" s="30" t="str">
        <f>IFERROR(__xludf.DUMMYFUNCTION("""COMPUTED_VALUE"""),"45969")</f>
        <v>45969</v>
      </c>
      <c r="B611" s="86">
        <f>IFERROR(__xludf.DUMMYFUNCTION("""COMPUTED_VALUE"""),44600.0)</f>
        <v>44600</v>
      </c>
      <c r="C611" s="64" t="str">
        <f>IFERROR(__xludf.DUMMYFUNCTION("""COMPUTED_VALUE"""),"Option")</f>
        <v>Option</v>
      </c>
      <c r="D611" s="87" t="str">
        <f>IFERROR(__xludf.DUMMYFUNCTION("""COMPUTED_VALUE"""),"BILI220318P00040000")</f>
        <v>BILI220318P00040000</v>
      </c>
      <c r="E611" s="5" t="str">
        <f>IFERROR(__xludf.DUMMYFUNCTION("""COMPUTED_VALUE"""),"USD")</f>
        <v>USD</v>
      </c>
      <c r="F611" s="69">
        <f>IFERROR(__xludf.DUMMYFUNCTION("""COMPUTED_VALUE"""),7.0)</f>
        <v>7</v>
      </c>
      <c r="G611" s="70">
        <f>IFERROR(__xludf.DUMMYFUNCTION("""COMPUTED_VALUE"""),7.83915)</f>
        <v>7.83915</v>
      </c>
      <c r="H611" s="71">
        <f>IFERROR(__xludf.DUMMYFUNCTION("""COMPUTED_VALUE"""),8.5)</f>
        <v>8.5</v>
      </c>
      <c r="I611" s="71">
        <f>IFERROR(__xludf.DUMMYFUNCTION("""COMPUTED_VALUE"""),0.0)</f>
        <v>0</v>
      </c>
      <c r="J611" s="22" t="str">
        <f>IFERROR(__xludf.DUMMYFUNCTION("""COMPUTED_VALUE"""),"")</f>
        <v/>
      </c>
      <c r="K611" s="22"/>
      <c r="L611" s="22"/>
      <c r="M611" s="22"/>
      <c r="N611" s="22"/>
      <c r="O611" s="73"/>
      <c r="P611" s="8"/>
      <c r="Q611" s="69"/>
      <c r="R611" s="69"/>
      <c r="S611" s="8"/>
      <c r="T611" s="69"/>
      <c r="U611" s="8"/>
      <c r="V611" s="69"/>
      <c r="W611" s="74"/>
      <c r="X611" s="69"/>
    </row>
    <row r="612">
      <c r="A612" s="30" t="str">
        <f>IFERROR(__xludf.DUMMYFUNCTION("""COMPUTED_VALUE"""),"45969")</f>
        <v>45969</v>
      </c>
      <c r="B612" s="86">
        <f>IFERROR(__xludf.DUMMYFUNCTION("""COMPUTED_VALUE"""),44600.0)</f>
        <v>44600</v>
      </c>
      <c r="C612" s="64" t="str">
        <f>IFERROR(__xludf.DUMMYFUNCTION("""COMPUTED_VALUE"""),"Option")</f>
        <v>Option</v>
      </c>
      <c r="D612" s="87" t="str">
        <f>IFERROR(__xludf.DUMMYFUNCTION("""COMPUTED_VALUE"""),"FB220325P00210000")</f>
        <v>FB220325P00210000</v>
      </c>
      <c r="E612" s="5" t="str">
        <f>IFERROR(__xludf.DUMMYFUNCTION("""COMPUTED_VALUE"""),"USD")</f>
        <v>USD</v>
      </c>
      <c r="F612" s="69">
        <f>IFERROR(__xludf.DUMMYFUNCTION("""COMPUTED_VALUE"""),16.0)</f>
        <v>16</v>
      </c>
      <c r="G612" s="70">
        <f>IFERROR(__xludf.DUMMYFUNCTION("""COMPUTED_VALUE"""),7.83915)</f>
        <v>7.83915</v>
      </c>
      <c r="H612" s="71">
        <f>IFERROR(__xludf.DUMMYFUNCTION("""COMPUTED_VALUE"""),8.95)</f>
        <v>8.95</v>
      </c>
      <c r="I612" s="71">
        <f>IFERROR(__xludf.DUMMYFUNCTION("""COMPUTED_VALUE"""),0.0)</f>
        <v>0</v>
      </c>
      <c r="J612" s="22" t="str">
        <f>IFERROR(__xludf.DUMMYFUNCTION("""COMPUTED_VALUE"""),"")</f>
        <v/>
      </c>
      <c r="K612" s="22"/>
      <c r="L612" s="22"/>
      <c r="M612" s="22"/>
      <c r="N612" s="22"/>
      <c r="O612" s="73"/>
      <c r="P612" s="8"/>
      <c r="Q612" s="69"/>
      <c r="R612" s="69"/>
      <c r="S612" s="8"/>
      <c r="T612" s="69"/>
      <c r="U612" s="8"/>
      <c r="V612" s="69"/>
      <c r="W612" s="74"/>
      <c r="X612" s="69"/>
    </row>
    <row r="613">
      <c r="A613" s="30" t="str">
        <f>IFERROR(__xludf.DUMMYFUNCTION("""COMPUTED_VALUE"""),"45969")</f>
        <v>45969</v>
      </c>
      <c r="B613" s="86">
        <f>IFERROR(__xludf.DUMMYFUNCTION("""COMPUTED_VALUE"""),44628.0)</f>
        <v>44628</v>
      </c>
      <c r="C613" s="64" t="str">
        <f>IFERROR(__xludf.DUMMYFUNCTION("""COMPUTED_VALUE"""),"Option")</f>
        <v>Option</v>
      </c>
      <c r="D613" s="87" t="str">
        <f>IFERROR(__xludf.DUMMYFUNCTION("""COMPUTED_VALUE"""),"BILI220318P00040000")</f>
        <v>BILI220318P00040000</v>
      </c>
      <c r="E613" s="5" t="str">
        <f>IFERROR(__xludf.DUMMYFUNCTION("""COMPUTED_VALUE"""),"USD")</f>
        <v>USD</v>
      </c>
      <c r="F613" s="69">
        <f>IFERROR(__xludf.DUMMYFUNCTION("""COMPUTED_VALUE"""),-7.0)</f>
        <v>-7</v>
      </c>
      <c r="G613" s="70">
        <f>IFERROR(__xludf.DUMMYFUNCTION("""COMPUTED_VALUE"""),7.83915)</f>
        <v>7.83915</v>
      </c>
      <c r="H613" s="71">
        <f>IFERROR(__xludf.DUMMYFUNCTION("""COMPUTED_VALUE"""),18.15)</f>
        <v>18.15</v>
      </c>
      <c r="I613" s="71">
        <f>IFERROR(__xludf.DUMMYFUNCTION("""COMPUTED_VALUE"""),0.0)</f>
        <v>0</v>
      </c>
      <c r="J613" s="22" t="str">
        <f>IFERROR(__xludf.DUMMYFUNCTION("""COMPUTED_VALUE"""),"")</f>
        <v/>
      </c>
      <c r="K613" s="22"/>
      <c r="L613" s="22"/>
      <c r="M613" s="22"/>
      <c r="N613" s="22"/>
      <c r="O613" s="73"/>
      <c r="P613" s="8"/>
      <c r="Q613" s="69"/>
      <c r="R613" s="69"/>
      <c r="S613" s="8"/>
      <c r="T613" s="69"/>
      <c r="U613" s="8"/>
      <c r="V613" s="69"/>
      <c r="W613" s="74"/>
      <c r="X613" s="69"/>
    </row>
    <row r="614">
      <c r="A614" s="30" t="str">
        <f>IFERROR(__xludf.DUMMYFUNCTION("""COMPUTED_VALUE"""),"45969")</f>
        <v>45969</v>
      </c>
      <c r="B614" s="86">
        <f>IFERROR(__xludf.DUMMYFUNCTION("""COMPUTED_VALUE"""),44628.0)</f>
        <v>44628</v>
      </c>
      <c r="C614" s="64" t="str">
        <f>IFERROR(__xludf.DUMMYFUNCTION("""COMPUTED_VALUE"""),"Option")</f>
        <v>Option</v>
      </c>
      <c r="D614" s="87" t="str">
        <f>IFERROR(__xludf.DUMMYFUNCTION("""COMPUTED_VALUE"""),"FB220325P00210000")</f>
        <v>FB220325P00210000</v>
      </c>
      <c r="E614" s="5" t="str">
        <f>IFERROR(__xludf.DUMMYFUNCTION("""COMPUTED_VALUE"""),"USD")</f>
        <v>USD</v>
      </c>
      <c r="F614" s="69">
        <f>IFERROR(__xludf.DUMMYFUNCTION("""COMPUTED_VALUE"""),-16.0)</f>
        <v>-16</v>
      </c>
      <c r="G614" s="70">
        <f>IFERROR(__xludf.DUMMYFUNCTION("""COMPUTED_VALUE"""),7.83915)</f>
        <v>7.83915</v>
      </c>
      <c r="H614" s="71">
        <f>IFERROR(__xludf.DUMMYFUNCTION("""COMPUTED_VALUE"""),19.36)</f>
        <v>19.36</v>
      </c>
      <c r="I614" s="71">
        <f>IFERROR(__xludf.DUMMYFUNCTION("""COMPUTED_VALUE"""),0.0)</f>
        <v>0</v>
      </c>
      <c r="J614" s="22" t="str">
        <f>IFERROR(__xludf.DUMMYFUNCTION("""COMPUTED_VALUE"""),"")</f>
        <v/>
      </c>
      <c r="K614" s="22"/>
      <c r="L614" s="22"/>
      <c r="M614" s="22"/>
      <c r="N614" s="22"/>
      <c r="O614" s="73"/>
      <c r="P614" s="8"/>
      <c r="Q614" s="69"/>
      <c r="R614" s="69"/>
      <c r="S614" s="8"/>
      <c r="T614" s="69"/>
      <c r="U614" s="8"/>
      <c r="V614" s="69"/>
      <c r="W614" s="74"/>
      <c r="X614" s="69"/>
    </row>
    <row r="615">
      <c r="A615" s="30" t="str">
        <f>IFERROR(__xludf.DUMMYFUNCTION("""COMPUTED_VALUE"""),"45969")</f>
        <v>45969</v>
      </c>
      <c r="B615" s="86">
        <f>IFERROR(__xludf.DUMMYFUNCTION("""COMPUTED_VALUE"""),44631.0)</f>
        <v>44631</v>
      </c>
      <c r="C615" s="64" t="str">
        <f>IFERROR(__xludf.DUMMYFUNCTION("""COMPUTED_VALUE"""),"Option")</f>
        <v>Option</v>
      </c>
      <c r="D615" s="87" t="str">
        <f>IFERROR(__xludf.DUMMYFUNCTION("""COMPUTED_VALUE"""),"BILI220401P00020000")</f>
        <v>BILI220401P00020000</v>
      </c>
      <c r="E615" s="5" t="str">
        <f>IFERROR(__xludf.DUMMYFUNCTION("""COMPUTED_VALUE"""),"USD")</f>
        <v>USD</v>
      </c>
      <c r="F615" s="69">
        <f>IFERROR(__xludf.DUMMYFUNCTION("""COMPUTED_VALUE"""),30.0)</f>
        <v>30</v>
      </c>
      <c r="G615" s="70">
        <f>IFERROR(__xludf.DUMMYFUNCTION("""COMPUTED_VALUE"""),7.83915)</f>
        <v>7.83915</v>
      </c>
      <c r="H615" s="71">
        <f>IFERROR(__xludf.DUMMYFUNCTION("""COMPUTED_VALUE"""),2.82)</f>
        <v>2.82</v>
      </c>
      <c r="I615" s="71">
        <f>IFERROR(__xludf.DUMMYFUNCTION("""COMPUTED_VALUE"""),0.0)</f>
        <v>0</v>
      </c>
      <c r="J615" s="22" t="str">
        <f>IFERROR(__xludf.DUMMYFUNCTION("""COMPUTED_VALUE"""),"")</f>
        <v/>
      </c>
      <c r="K615" s="22"/>
      <c r="L615" s="22"/>
      <c r="M615" s="22"/>
      <c r="N615" s="22"/>
      <c r="O615" s="73"/>
      <c r="P615" s="8"/>
      <c r="Q615" s="69"/>
      <c r="R615" s="69"/>
      <c r="S615" s="8"/>
      <c r="T615" s="69"/>
      <c r="U615" s="8"/>
      <c r="V615" s="69"/>
      <c r="W615" s="74"/>
      <c r="X615" s="69"/>
    </row>
    <row r="616">
      <c r="A616" s="30" t="str">
        <f>IFERROR(__xludf.DUMMYFUNCTION("""COMPUTED_VALUE"""),"45969")</f>
        <v>45969</v>
      </c>
      <c r="B616" s="86">
        <f>IFERROR(__xludf.DUMMYFUNCTION("""COMPUTED_VALUE"""),44650.0)</f>
        <v>44650</v>
      </c>
      <c r="C616" s="64" t="str">
        <f>IFERROR(__xludf.DUMMYFUNCTION("""COMPUTED_VALUE"""),"Option")</f>
        <v>Option</v>
      </c>
      <c r="D616" s="87" t="str">
        <f>IFERROR(__xludf.DUMMYFUNCTION("""COMPUTED_VALUE"""),"TQQQ220414P00064000")</f>
        <v>TQQQ220414P00064000</v>
      </c>
      <c r="E616" s="5" t="str">
        <f>IFERROR(__xludf.DUMMYFUNCTION("""COMPUTED_VALUE"""),"USD")</f>
        <v>USD</v>
      </c>
      <c r="F616" s="69">
        <f>IFERROR(__xludf.DUMMYFUNCTION("""COMPUTED_VALUE"""),70.0)</f>
        <v>70</v>
      </c>
      <c r="G616" s="70">
        <f>IFERROR(__xludf.DUMMYFUNCTION("""COMPUTED_VALUE"""),7.83915)</f>
        <v>7.83915</v>
      </c>
      <c r="H616" s="71">
        <f>IFERROR(__xludf.DUMMYFUNCTION("""COMPUTED_VALUE"""),5.25)</f>
        <v>5.25</v>
      </c>
      <c r="I616" s="71">
        <f>IFERROR(__xludf.DUMMYFUNCTION("""COMPUTED_VALUE"""),13.62)</f>
        <v>13.62</v>
      </c>
      <c r="J616" s="22" t="str">
        <f>IFERROR(__xludf.DUMMYFUNCTION("""COMPUTED_VALUE"""),"")</f>
        <v/>
      </c>
      <c r="K616" s="22"/>
      <c r="L616" s="22"/>
      <c r="M616" s="22"/>
      <c r="N616" s="22"/>
      <c r="O616" s="73"/>
      <c r="P616" s="8"/>
      <c r="Q616" s="69"/>
      <c r="R616" s="69"/>
      <c r="S616" s="8"/>
      <c r="T616" s="69"/>
      <c r="U616" s="8"/>
      <c r="V616" s="69"/>
      <c r="W616" s="74"/>
      <c r="X616" s="69"/>
    </row>
    <row r="617">
      <c r="A617" s="30" t="str">
        <f>IFERROR(__xludf.DUMMYFUNCTION("""COMPUTED_VALUE"""),"45969")</f>
        <v>45969</v>
      </c>
      <c r="B617" s="86">
        <f>IFERROR(__xludf.DUMMYFUNCTION("""COMPUTED_VALUE"""),44658.0)</f>
        <v>44658</v>
      </c>
      <c r="C617" s="64" t="str">
        <f>IFERROR(__xludf.DUMMYFUNCTION("""COMPUTED_VALUE"""),"Option")</f>
        <v>Option</v>
      </c>
      <c r="D617" s="85" t="str">
        <f>IFERROR(__xludf.DUMMYFUNCTION("""COMPUTED_VALUE"""),"TQQQ220414P00064000")</f>
        <v>TQQQ220414P00064000</v>
      </c>
      <c r="E617" s="5" t="str">
        <f>IFERROR(__xludf.DUMMYFUNCTION("""COMPUTED_VALUE"""),"USD")</f>
        <v>USD</v>
      </c>
      <c r="F617" s="69">
        <f>IFERROR(__xludf.DUMMYFUNCTION("""COMPUTED_VALUE"""),-70.0)</f>
        <v>-70</v>
      </c>
      <c r="G617" s="70">
        <f>IFERROR(__xludf.DUMMYFUNCTION("""COMPUTED_VALUE"""),7.83915)</f>
        <v>7.83915</v>
      </c>
      <c r="H617" s="71">
        <f>IFERROR(__xludf.DUMMYFUNCTION("""COMPUTED_VALUE"""),11.08)</f>
        <v>11.08</v>
      </c>
      <c r="I617" s="71">
        <f>IFERROR(__xludf.DUMMYFUNCTION("""COMPUTED_VALUE"""),13.62)</f>
        <v>13.62</v>
      </c>
      <c r="J617" s="22" t="str">
        <f>IFERROR(__xludf.DUMMYFUNCTION("""COMPUTED_VALUE"""),"")</f>
        <v/>
      </c>
      <c r="K617" s="22"/>
      <c r="L617" s="22"/>
      <c r="M617" s="22"/>
      <c r="N617" s="22"/>
      <c r="O617" s="73"/>
      <c r="P617" s="8"/>
      <c r="Q617" s="69"/>
      <c r="R617" s="69"/>
      <c r="S617" s="8"/>
      <c r="T617" s="69"/>
      <c r="U617" s="8"/>
      <c r="V617" s="69"/>
      <c r="W617" s="74"/>
      <c r="X617" s="69"/>
    </row>
    <row r="618">
      <c r="A618" s="30" t="str">
        <f>IFERROR(__xludf.DUMMYFUNCTION("""COMPUTED_VALUE"""),"45969 Total")</f>
        <v>45969 Total</v>
      </c>
      <c r="B618" s="5"/>
      <c r="C618" s="64"/>
      <c r="D618" s="85"/>
      <c r="E618" s="5"/>
      <c r="F618" s="69"/>
      <c r="G618" s="70">
        <f>IFERROR(__xludf.DUMMYFUNCTION("""COMPUTED_VALUE"""),7.079244444444446)</f>
        <v>7.079244444</v>
      </c>
      <c r="H618" s="71">
        <f>IFERROR(__xludf.DUMMYFUNCTION("""COMPUTED_VALUE"""),19.36)</f>
        <v>19.36</v>
      </c>
      <c r="I618" s="71" t="str">
        <f>IFERROR(__xludf.DUMMYFUNCTION("""COMPUTED_VALUE"""),"")</f>
        <v/>
      </c>
      <c r="J618" s="22" t="str">
        <f>IFERROR(__xludf.DUMMYFUNCTION("""COMPUTED_VALUE"""),"")</f>
        <v/>
      </c>
      <c r="K618" s="22"/>
      <c r="L618" s="22"/>
      <c r="M618" s="22"/>
      <c r="N618" s="22"/>
      <c r="O618" s="73"/>
      <c r="P618" s="8"/>
      <c r="Q618" s="69"/>
      <c r="R618" s="69"/>
      <c r="S618" s="8"/>
      <c r="T618" s="69"/>
      <c r="U618" s="8"/>
      <c r="V618" s="69"/>
      <c r="W618" s="74"/>
      <c r="X618" s="69"/>
    </row>
    <row r="619">
      <c r="A619" s="30" t="str">
        <f>IFERROR(__xludf.DUMMYFUNCTION("""COMPUTED_VALUE"""),"46104")</f>
        <v>46104</v>
      </c>
      <c r="B619" s="86">
        <f>IFERROR(__xludf.DUMMYFUNCTION("""COMPUTED_VALUE"""),44597.0)</f>
        <v>44597</v>
      </c>
      <c r="C619" s="64" t="str">
        <f>IFERROR(__xludf.DUMMYFUNCTION("""COMPUTED_VALUE"""),"Cash")</f>
        <v>Cash</v>
      </c>
      <c r="D619" s="85" t="str">
        <f>IFERROR(__xludf.DUMMYFUNCTION("""COMPUTED_VALUE"""),"Cash")</f>
        <v>Cash</v>
      </c>
      <c r="E619" s="5" t="str">
        <f>IFERROR(__xludf.DUMMYFUNCTION("""COMPUTED_VALUE"""),"HKD")</f>
        <v>HKD</v>
      </c>
      <c r="F619" s="69" t="str">
        <f>IFERROR(__xludf.DUMMYFUNCTION("""COMPUTED_VALUE"""),"")</f>
        <v/>
      </c>
      <c r="G619" s="70">
        <f>IFERROR(__xludf.DUMMYFUNCTION("""COMPUTED_VALUE"""),1.0)</f>
        <v>1</v>
      </c>
      <c r="H619" s="71">
        <f>IFERROR(__xludf.DUMMYFUNCTION("""COMPUTED_VALUE"""),1.0)</f>
        <v>1</v>
      </c>
      <c r="I619" s="71">
        <f>IFERROR(__xludf.DUMMYFUNCTION("""COMPUTED_VALUE"""),1.0)</f>
        <v>1</v>
      </c>
      <c r="J619" s="22" t="str">
        <f>IFERROR(__xludf.DUMMYFUNCTION("""COMPUTED_VALUE"""),"")</f>
        <v/>
      </c>
      <c r="K619" s="22"/>
      <c r="L619" s="22"/>
      <c r="M619" s="22"/>
      <c r="N619" s="22"/>
      <c r="O619" s="73"/>
      <c r="P619" s="8"/>
      <c r="Q619" s="69"/>
      <c r="R619" s="69"/>
      <c r="S619" s="8"/>
      <c r="T619" s="69"/>
      <c r="U619" s="8"/>
      <c r="V619" s="69"/>
      <c r="W619" s="74"/>
      <c r="X619" s="69"/>
    </row>
    <row r="620">
      <c r="A620" s="30" t="str">
        <f>IFERROR(__xludf.DUMMYFUNCTION("""COMPUTED_VALUE"""),"46104 Total")</f>
        <v>46104 Total</v>
      </c>
      <c r="B620" s="5"/>
      <c r="C620" s="64"/>
      <c r="D620" s="85"/>
      <c r="E620" s="5"/>
      <c r="F620" s="69"/>
      <c r="G620" s="70">
        <f>IFERROR(__xludf.DUMMYFUNCTION("""COMPUTED_VALUE"""),1.0)</f>
        <v>1</v>
      </c>
      <c r="H620" s="71">
        <f>IFERROR(__xludf.DUMMYFUNCTION("""COMPUTED_VALUE"""),1.0)</f>
        <v>1</v>
      </c>
      <c r="I620" s="71" t="str">
        <f>IFERROR(__xludf.DUMMYFUNCTION("""COMPUTED_VALUE"""),"")</f>
        <v/>
      </c>
      <c r="J620" s="22" t="str">
        <f>IFERROR(__xludf.DUMMYFUNCTION("""COMPUTED_VALUE"""),"")</f>
        <v/>
      </c>
      <c r="K620" s="22"/>
      <c r="L620" s="22"/>
      <c r="M620" s="22"/>
      <c r="N620" s="22"/>
      <c r="O620" s="73"/>
      <c r="P620" s="8"/>
      <c r="Q620" s="69"/>
      <c r="R620" s="69"/>
      <c r="S620" s="8"/>
      <c r="T620" s="69"/>
      <c r="U620" s="8"/>
      <c r="V620" s="69"/>
      <c r="W620" s="74"/>
      <c r="X620" s="69"/>
    </row>
    <row r="621">
      <c r="A621" s="30" t="str">
        <f>IFERROR(__xludf.DUMMYFUNCTION("""COMPUTED_VALUE"""),"46220")</f>
        <v>46220</v>
      </c>
      <c r="B621" s="86">
        <f>IFERROR(__xludf.DUMMYFUNCTION("""COMPUTED_VALUE"""),44597.0)</f>
        <v>44597</v>
      </c>
      <c r="C621" s="64" t="str">
        <f>IFERROR(__xludf.DUMMYFUNCTION("""COMPUTED_VALUE"""),"Cash")</f>
        <v>Cash</v>
      </c>
      <c r="D621" s="85" t="str">
        <f>IFERROR(__xludf.DUMMYFUNCTION("""COMPUTED_VALUE"""),"Cash")</f>
        <v>Cash</v>
      </c>
      <c r="E621" s="5" t="str">
        <f>IFERROR(__xludf.DUMMYFUNCTION("""COMPUTED_VALUE"""),"HKD")</f>
        <v>HKD</v>
      </c>
      <c r="F621" s="69" t="str">
        <f>IFERROR(__xludf.DUMMYFUNCTION("""COMPUTED_VALUE"""),"")</f>
        <v/>
      </c>
      <c r="G621" s="70">
        <f>IFERROR(__xludf.DUMMYFUNCTION("""COMPUTED_VALUE"""),1.0)</f>
        <v>1</v>
      </c>
      <c r="H621" s="71">
        <f>IFERROR(__xludf.DUMMYFUNCTION("""COMPUTED_VALUE"""),1.0)</f>
        <v>1</v>
      </c>
      <c r="I621" s="71">
        <f>IFERROR(__xludf.DUMMYFUNCTION("""COMPUTED_VALUE"""),1.0)</f>
        <v>1</v>
      </c>
      <c r="J621" s="22" t="str">
        <f>IFERROR(__xludf.DUMMYFUNCTION("""COMPUTED_VALUE"""),"")</f>
        <v/>
      </c>
      <c r="K621" s="22"/>
      <c r="L621" s="22"/>
      <c r="M621" s="22"/>
      <c r="N621" s="22"/>
      <c r="O621" s="73"/>
      <c r="P621" s="8"/>
      <c r="Q621" s="69"/>
      <c r="R621" s="69"/>
      <c r="S621" s="8"/>
      <c r="T621" s="69"/>
      <c r="U621" s="8"/>
      <c r="V621" s="69"/>
      <c r="W621" s="74"/>
      <c r="X621" s="69"/>
    </row>
    <row r="622">
      <c r="A622" s="30" t="str">
        <f>IFERROR(__xludf.DUMMYFUNCTION("""COMPUTED_VALUE"""),"46220")</f>
        <v>46220</v>
      </c>
      <c r="B622" s="86">
        <f>IFERROR(__xludf.DUMMYFUNCTION("""COMPUTED_VALUE"""),44599.0)</f>
        <v>44599</v>
      </c>
      <c r="C622" s="64" t="str">
        <f>IFERROR(__xludf.DUMMYFUNCTION("""COMPUTED_VALUE"""),"Stock")</f>
        <v>Stock</v>
      </c>
      <c r="D622" s="87" t="str">
        <f>IFERROR(__xludf.DUMMYFUNCTION("""COMPUTED_VALUE"""),"FB")</f>
        <v>FB</v>
      </c>
      <c r="E622" s="5" t="str">
        <f>IFERROR(__xludf.DUMMYFUNCTION("""COMPUTED_VALUE"""),"USD")</f>
        <v>USD</v>
      </c>
      <c r="F622" s="69">
        <f>IFERROR(__xludf.DUMMYFUNCTION("""COMPUTED_VALUE"""),25.0)</f>
        <v>25</v>
      </c>
      <c r="G622" s="70">
        <f>IFERROR(__xludf.DUMMYFUNCTION("""COMPUTED_VALUE"""),7.83915)</f>
        <v>7.83915</v>
      </c>
      <c r="H622" s="71">
        <f>IFERROR(__xludf.DUMMYFUNCTION("""COMPUTED_VALUE"""),224.91)</f>
        <v>224.91</v>
      </c>
      <c r="I622" s="71">
        <f>IFERROR(__xludf.DUMMYFUNCTION("""COMPUTED_VALUE"""),214.99)</f>
        <v>214.99</v>
      </c>
      <c r="J622" s="88" t="str">
        <f>IFERROR(__xludf.DUMMYFUNCTION("""COMPUTED_VALUE"""),"Goto link: FB")</f>
        <v>Goto link: FB</v>
      </c>
      <c r="K622" s="22"/>
      <c r="L622" s="22"/>
      <c r="M622" s="22"/>
      <c r="N622" s="22"/>
      <c r="O622" s="73"/>
      <c r="P622" s="8"/>
      <c r="Q622" s="69"/>
      <c r="R622" s="69"/>
      <c r="S622" s="8"/>
      <c r="T622" s="69"/>
      <c r="U622" s="8"/>
      <c r="V622" s="69"/>
      <c r="W622" s="74"/>
      <c r="X622" s="69"/>
    </row>
    <row r="623">
      <c r="A623" s="30" t="str">
        <f>IFERROR(__xludf.DUMMYFUNCTION("""COMPUTED_VALUE"""),"46220")</f>
        <v>46220</v>
      </c>
      <c r="B623" s="86">
        <f>IFERROR(__xludf.DUMMYFUNCTION("""COMPUTED_VALUE"""),44600.0)</f>
        <v>44600</v>
      </c>
      <c r="C623" s="64" t="str">
        <f>IFERROR(__xludf.DUMMYFUNCTION("""COMPUTED_VALUE"""),"Stock")</f>
        <v>Stock</v>
      </c>
      <c r="D623" s="90" t="str">
        <f>IFERROR(__xludf.DUMMYFUNCTION("""COMPUTED_VALUE"""),"0883.HK")</f>
        <v>0883.HK</v>
      </c>
      <c r="E623" s="5" t="str">
        <f>IFERROR(__xludf.DUMMYFUNCTION("""COMPUTED_VALUE"""),"HKD")</f>
        <v>HKD</v>
      </c>
      <c r="F623" s="69">
        <f>IFERROR(__xludf.DUMMYFUNCTION("""COMPUTED_VALUE"""),20.0)</f>
        <v>20</v>
      </c>
      <c r="G623" s="70">
        <f>IFERROR(__xludf.DUMMYFUNCTION("""COMPUTED_VALUE"""),1.0)</f>
        <v>1</v>
      </c>
      <c r="H623" s="71">
        <f>IFERROR(__xludf.DUMMYFUNCTION("""COMPUTED_VALUE"""),9.79)</f>
        <v>9.79</v>
      </c>
      <c r="I623" s="71">
        <f>IFERROR(__xludf.DUMMYFUNCTION("""COMPUTED_VALUE"""),11.46)</f>
        <v>11.46</v>
      </c>
      <c r="J623" s="88" t="str">
        <f>IFERROR(__xludf.DUMMYFUNCTION("""COMPUTED_VALUE"""),"Goto link: 0883.HK")</f>
        <v>Goto link: 0883.HK</v>
      </c>
      <c r="K623" s="22"/>
      <c r="L623" s="22"/>
      <c r="M623" s="22"/>
      <c r="N623" s="22"/>
      <c r="O623" s="73"/>
      <c r="P623" s="8"/>
      <c r="Q623" s="69"/>
      <c r="R623" s="69"/>
      <c r="S623" s="8"/>
      <c r="T623" s="69"/>
      <c r="U623" s="8"/>
      <c r="V623" s="69"/>
      <c r="W623" s="74"/>
      <c r="X623" s="69"/>
    </row>
    <row r="624">
      <c r="A624" s="30" t="str">
        <f>IFERROR(__xludf.DUMMYFUNCTION("""COMPUTED_VALUE"""),"46220")</f>
        <v>46220</v>
      </c>
      <c r="B624" s="86">
        <f>IFERROR(__xludf.DUMMYFUNCTION("""COMPUTED_VALUE"""),44600.0)</f>
        <v>44600</v>
      </c>
      <c r="C624" s="64" t="str">
        <f>IFERROR(__xludf.DUMMYFUNCTION("""COMPUTED_VALUE"""),"Stock")</f>
        <v>Stock</v>
      </c>
      <c r="D624" s="87" t="str">
        <f>IFERROR(__xludf.DUMMYFUNCTION("""COMPUTED_VALUE"""),"FB")</f>
        <v>FB</v>
      </c>
      <c r="E624" s="5" t="str">
        <f>IFERROR(__xludf.DUMMYFUNCTION("""COMPUTED_VALUE"""),"USD")</f>
        <v>USD</v>
      </c>
      <c r="F624" s="69">
        <f>IFERROR(__xludf.DUMMYFUNCTION("""COMPUTED_VALUE"""),20.0)</f>
        <v>20</v>
      </c>
      <c r="G624" s="70">
        <f>IFERROR(__xludf.DUMMYFUNCTION("""COMPUTED_VALUE"""),7.83915)</f>
        <v>7.83915</v>
      </c>
      <c r="H624" s="71">
        <f>IFERROR(__xludf.DUMMYFUNCTION("""COMPUTED_VALUE"""),220.18)</f>
        <v>220.18</v>
      </c>
      <c r="I624" s="71">
        <f>IFERROR(__xludf.DUMMYFUNCTION("""COMPUTED_VALUE"""),214.99)</f>
        <v>214.99</v>
      </c>
      <c r="J624" s="88" t="str">
        <f>IFERROR(__xludf.DUMMYFUNCTION("""COMPUTED_VALUE"""),"Goto link: FB")</f>
        <v>Goto link: FB</v>
      </c>
      <c r="K624" s="22"/>
      <c r="L624" s="22"/>
      <c r="M624" s="22"/>
      <c r="N624" s="22"/>
      <c r="O624" s="73"/>
      <c r="P624" s="8"/>
      <c r="Q624" s="69"/>
      <c r="R624" s="69"/>
      <c r="S624" s="8"/>
      <c r="T624" s="69"/>
      <c r="U624" s="8"/>
      <c r="V624" s="69"/>
      <c r="W624" s="74"/>
      <c r="X624" s="69"/>
    </row>
    <row r="625">
      <c r="A625" s="30" t="str">
        <f>IFERROR(__xludf.DUMMYFUNCTION("""COMPUTED_VALUE"""),"46220")</f>
        <v>46220</v>
      </c>
      <c r="B625" s="86">
        <f>IFERROR(__xludf.DUMMYFUNCTION("""COMPUTED_VALUE"""),44601.0)</f>
        <v>44601</v>
      </c>
      <c r="C625" s="64" t="str">
        <f>IFERROR(__xludf.DUMMYFUNCTION("""COMPUTED_VALUE"""),"Stock")</f>
        <v>Stock</v>
      </c>
      <c r="D625" s="87" t="str">
        <f>IFERROR(__xludf.DUMMYFUNCTION("""COMPUTED_VALUE"""),"BTC-USD")</f>
        <v>BTC-USD</v>
      </c>
      <c r="E625" s="5" t="str">
        <f>IFERROR(__xludf.DUMMYFUNCTION("""COMPUTED_VALUE"""),"USD")</f>
        <v>USD</v>
      </c>
      <c r="F625" s="69" t="str">
        <f>IFERROR(__xludf.DUMMYFUNCTION("""COMPUTED_VALUE"""),"")</f>
        <v/>
      </c>
      <c r="G625" s="70">
        <f>IFERROR(__xludf.DUMMYFUNCTION("""COMPUTED_VALUE"""),7.83915)</f>
        <v>7.83915</v>
      </c>
      <c r="H625" s="71">
        <f>IFERROR(__xludf.DUMMYFUNCTION("""COMPUTED_VALUE"""),44162.117)</f>
        <v>44162.117</v>
      </c>
      <c r="I625" s="71" t="str">
        <f>IFERROR(__xludf.DUMMYFUNCTION("""COMPUTED_VALUE"""),"#N/A")</f>
        <v>#N/A</v>
      </c>
      <c r="J625" s="88" t="str">
        <f>IFERROR(__xludf.DUMMYFUNCTION("""COMPUTED_VALUE"""),"Goto link: BTC-USD")</f>
        <v>Goto link: BTC-USD</v>
      </c>
      <c r="K625" s="22"/>
      <c r="L625" s="22"/>
      <c r="M625" s="22"/>
      <c r="N625" s="22"/>
      <c r="O625" s="73"/>
      <c r="P625" s="8"/>
      <c r="Q625" s="69"/>
      <c r="R625" s="69"/>
      <c r="S625" s="8"/>
      <c r="T625" s="69"/>
      <c r="U625" s="8"/>
      <c r="V625" s="69"/>
      <c r="W625" s="74"/>
      <c r="X625" s="69"/>
    </row>
    <row r="626">
      <c r="A626" s="30" t="str">
        <f>IFERROR(__xludf.DUMMYFUNCTION("""COMPUTED_VALUE"""),"46220")</f>
        <v>46220</v>
      </c>
      <c r="B626" s="86">
        <f>IFERROR(__xludf.DUMMYFUNCTION("""COMPUTED_VALUE"""),44601.0)</f>
        <v>44601</v>
      </c>
      <c r="C626" s="64" t="str">
        <f>IFERROR(__xludf.DUMMYFUNCTION("""COMPUTED_VALUE"""),"Stock")</f>
        <v>Stock</v>
      </c>
      <c r="D626" s="87" t="str">
        <f>IFERROR(__xludf.DUMMYFUNCTION("""COMPUTED_VALUE"""),"NFLX")</f>
        <v>NFLX</v>
      </c>
      <c r="E626" s="5" t="str">
        <f>IFERROR(__xludf.DUMMYFUNCTION("""COMPUTED_VALUE"""),"USD")</f>
        <v>USD</v>
      </c>
      <c r="F626" s="69">
        <f>IFERROR(__xludf.DUMMYFUNCTION("""COMPUTED_VALUE"""),15.0)</f>
        <v>15</v>
      </c>
      <c r="G626" s="70">
        <f>IFERROR(__xludf.DUMMYFUNCTION("""COMPUTED_VALUE"""),7.83915)</f>
        <v>7.83915</v>
      </c>
      <c r="H626" s="71">
        <f>IFERROR(__xludf.DUMMYFUNCTION("""COMPUTED_VALUE"""),412.89)</f>
        <v>412.89</v>
      </c>
      <c r="I626" s="71">
        <f>IFERROR(__xludf.DUMMYFUNCTION("""COMPUTED_VALUE"""),350.43)</f>
        <v>350.43</v>
      </c>
      <c r="J626" s="88" t="str">
        <f>IFERROR(__xludf.DUMMYFUNCTION("""COMPUTED_VALUE"""),"Goto link: NFLX")</f>
        <v>Goto link: NFLX</v>
      </c>
      <c r="K626" s="22"/>
      <c r="L626" s="22"/>
      <c r="M626" s="22"/>
      <c r="N626" s="22"/>
      <c r="O626" s="73"/>
      <c r="P626" s="8"/>
      <c r="Q626" s="69"/>
      <c r="R626" s="69"/>
      <c r="S626" s="8"/>
      <c r="T626" s="69"/>
      <c r="U626" s="8"/>
      <c r="V626" s="69"/>
      <c r="W626" s="74"/>
      <c r="X626" s="69"/>
    </row>
    <row r="627">
      <c r="A627" s="30" t="str">
        <f>IFERROR(__xludf.DUMMYFUNCTION("""COMPUTED_VALUE"""),"46220")</f>
        <v>46220</v>
      </c>
      <c r="B627" s="86">
        <f>IFERROR(__xludf.DUMMYFUNCTION("""COMPUTED_VALUE"""),44602.0)</f>
        <v>44602</v>
      </c>
      <c r="C627" s="64" t="str">
        <f>IFERROR(__xludf.DUMMYFUNCTION("""COMPUTED_VALUE"""),"Stock")</f>
        <v>Stock</v>
      </c>
      <c r="D627" s="87" t="str">
        <f>IFERROR(__xludf.DUMMYFUNCTION("""COMPUTED_VALUE"""),"MCD")</f>
        <v>MCD</v>
      </c>
      <c r="E627" s="5" t="str">
        <f>IFERROR(__xludf.DUMMYFUNCTION("""COMPUTED_VALUE"""),"USD")</f>
        <v>USD</v>
      </c>
      <c r="F627" s="69">
        <f>IFERROR(__xludf.DUMMYFUNCTION("""COMPUTED_VALUE"""),10.0)</f>
        <v>10</v>
      </c>
      <c r="G627" s="70">
        <f>IFERROR(__xludf.DUMMYFUNCTION("""COMPUTED_VALUE"""),7.83915)</f>
        <v>7.83915</v>
      </c>
      <c r="H627" s="71">
        <f>IFERROR(__xludf.DUMMYFUNCTION("""COMPUTED_VALUE"""),256.87)</f>
        <v>256.87</v>
      </c>
      <c r="I627" s="71">
        <f>IFERROR(__xludf.DUMMYFUNCTION("""COMPUTED_VALUE"""),251.45)</f>
        <v>251.45</v>
      </c>
      <c r="J627" s="88" t="str">
        <f>IFERROR(__xludf.DUMMYFUNCTION("""COMPUTED_VALUE"""),"Goto link: MCD")</f>
        <v>Goto link: MCD</v>
      </c>
      <c r="K627" s="22"/>
      <c r="L627" s="22"/>
      <c r="M627" s="22"/>
      <c r="N627" s="22"/>
      <c r="O627" s="73"/>
      <c r="P627" s="8"/>
      <c r="Q627" s="69"/>
      <c r="R627" s="69"/>
      <c r="S627" s="8"/>
      <c r="T627" s="69"/>
      <c r="U627" s="8"/>
      <c r="V627" s="69"/>
      <c r="W627" s="74"/>
      <c r="X627" s="69"/>
    </row>
    <row r="628">
      <c r="A628" s="30" t="str">
        <f>IFERROR(__xludf.DUMMYFUNCTION("""COMPUTED_VALUE"""),"46220")</f>
        <v>46220</v>
      </c>
      <c r="B628" s="86">
        <f>IFERROR(__xludf.DUMMYFUNCTION("""COMPUTED_VALUE"""),44603.0)</f>
        <v>44603</v>
      </c>
      <c r="C628" s="64" t="str">
        <f>IFERROR(__xludf.DUMMYFUNCTION("""COMPUTED_VALUE"""),"Stock")</f>
        <v>Stock</v>
      </c>
      <c r="D628" s="87" t="str">
        <f>IFERROR(__xludf.DUMMYFUNCTION("""COMPUTED_VALUE"""),"TSLA")</f>
        <v>TSLA</v>
      </c>
      <c r="E628" s="5" t="str">
        <f>IFERROR(__xludf.DUMMYFUNCTION("""COMPUTED_VALUE"""),"USD")</f>
        <v>USD</v>
      </c>
      <c r="F628" s="69">
        <f>IFERROR(__xludf.DUMMYFUNCTION("""COMPUTED_VALUE"""),15.0)</f>
        <v>15</v>
      </c>
      <c r="G628" s="70">
        <f>IFERROR(__xludf.DUMMYFUNCTION("""COMPUTED_VALUE"""),7.83915)</f>
        <v>7.83915</v>
      </c>
      <c r="H628" s="71">
        <f>IFERROR(__xludf.DUMMYFUNCTION("""COMPUTED_VALUE"""),860.0)</f>
        <v>860</v>
      </c>
      <c r="I628" s="71">
        <f>IFERROR(__xludf.DUMMYFUNCTION("""COMPUTED_VALUE"""),1022.37)</f>
        <v>1022.37</v>
      </c>
      <c r="J628" s="88" t="str">
        <f>IFERROR(__xludf.DUMMYFUNCTION("""COMPUTED_VALUE"""),"Goto link: TSLA")</f>
        <v>Goto link: TSLA</v>
      </c>
      <c r="K628" s="22"/>
      <c r="L628" s="22"/>
      <c r="M628" s="22"/>
      <c r="N628" s="22"/>
      <c r="O628" s="73"/>
      <c r="P628" s="8"/>
      <c r="Q628" s="69"/>
      <c r="R628" s="69"/>
      <c r="S628" s="8"/>
      <c r="T628" s="69"/>
      <c r="U628" s="8"/>
      <c r="V628" s="69"/>
      <c r="W628" s="74"/>
      <c r="X628" s="69"/>
    </row>
    <row r="629">
      <c r="A629" s="30" t="str">
        <f>IFERROR(__xludf.DUMMYFUNCTION("""COMPUTED_VALUE"""),"46220")</f>
        <v>46220</v>
      </c>
      <c r="B629" s="86">
        <f>IFERROR(__xludf.DUMMYFUNCTION("""COMPUTED_VALUE"""),44608.0)</f>
        <v>44608</v>
      </c>
      <c r="C629" s="64" t="str">
        <f>IFERROR(__xludf.DUMMYFUNCTION("""COMPUTED_VALUE"""),"Stock")</f>
        <v>Stock</v>
      </c>
      <c r="D629" s="90" t="str">
        <f>IFERROR(__xludf.DUMMYFUNCTION("""COMPUTED_VALUE"""),"0883.hk")</f>
        <v>0883.hk</v>
      </c>
      <c r="E629" s="5" t="str">
        <f>IFERROR(__xludf.DUMMYFUNCTION("""COMPUTED_VALUE"""),"HKD")</f>
        <v>HKD</v>
      </c>
      <c r="F629" s="69">
        <f>IFERROR(__xludf.DUMMYFUNCTION("""COMPUTED_VALUE"""),-20.0)</f>
        <v>-20</v>
      </c>
      <c r="G629" s="70">
        <f>IFERROR(__xludf.DUMMYFUNCTION("""COMPUTED_VALUE"""),1.0)</f>
        <v>1</v>
      </c>
      <c r="H629" s="71">
        <f>IFERROR(__xludf.DUMMYFUNCTION("""COMPUTED_VALUE"""),9.82)</f>
        <v>9.82</v>
      </c>
      <c r="I629" s="71">
        <f>IFERROR(__xludf.DUMMYFUNCTION("""COMPUTED_VALUE"""),11.46)</f>
        <v>11.46</v>
      </c>
      <c r="J629" s="88" t="str">
        <f>IFERROR(__xludf.DUMMYFUNCTION("""COMPUTED_VALUE"""),"Goto link: 0883.hk")</f>
        <v>Goto link: 0883.hk</v>
      </c>
      <c r="K629" s="22"/>
      <c r="L629" s="22"/>
      <c r="M629" s="22"/>
      <c r="N629" s="22"/>
      <c r="O629" s="73"/>
      <c r="P629" s="8"/>
      <c r="Q629" s="69"/>
      <c r="R629" s="69"/>
      <c r="S629" s="8"/>
      <c r="T629" s="69"/>
      <c r="U629" s="8"/>
      <c r="V629" s="69"/>
      <c r="W629" s="74"/>
      <c r="X629" s="69"/>
    </row>
    <row r="630">
      <c r="A630" s="30" t="str">
        <f>IFERROR(__xludf.DUMMYFUNCTION("""COMPUTED_VALUE"""),"46220")</f>
        <v>46220</v>
      </c>
      <c r="B630" s="86">
        <f>IFERROR(__xludf.DUMMYFUNCTION("""COMPUTED_VALUE"""),44608.0)</f>
        <v>44608</v>
      </c>
      <c r="C630" s="64" t="str">
        <f>IFERROR(__xludf.DUMMYFUNCTION("""COMPUTED_VALUE"""),"Stock")</f>
        <v>Stock</v>
      </c>
      <c r="D630" s="87" t="str">
        <f>IFERROR(__xludf.DUMMYFUNCTION("""COMPUTED_VALUE"""),"BTC-USD")</f>
        <v>BTC-USD</v>
      </c>
      <c r="E630" s="5" t="str">
        <f>IFERROR(__xludf.DUMMYFUNCTION("""COMPUTED_VALUE"""),"USD")</f>
        <v>USD</v>
      </c>
      <c r="F630" s="69" t="str">
        <f>IFERROR(__xludf.DUMMYFUNCTION("""COMPUTED_VALUE"""),"")</f>
        <v/>
      </c>
      <c r="G630" s="70">
        <f>IFERROR(__xludf.DUMMYFUNCTION("""COMPUTED_VALUE"""),7.83915)</f>
        <v>7.83915</v>
      </c>
      <c r="H630" s="71">
        <f>IFERROR(__xludf.DUMMYFUNCTION("""COMPUTED_VALUE"""),43926.6)</f>
        <v>43926.6</v>
      </c>
      <c r="I630" s="71" t="str">
        <f>IFERROR(__xludf.DUMMYFUNCTION("""COMPUTED_VALUE"""),"#N/A")</f>
        <v>#N/A</v>
      </c>
      <c r="J630" s="88" t="str">
        <f>IFERROR(__xludf.DUMMYFUNCTION("""COMPUTED_VALUE"""),"Goto link: BTC-USD")</f>
        <v>Goto link: BTC-USD</v>
      </c>
      <c r="K630" s="22"/>
      <c r="L630" s="22"/>
      <c r="M630" s="22"/>
      <c r="N630" s="22"/>
      <c r="O630" s="73"/>
      <c r="P630" s="8"/>
      <c r="Q630" s="69"/>
      <c r="R630" s="69"/>
      <c r="S630" s="8"/>
      <c r="T630" s="69"/>
      <c r="U630" s="8"/>
      <c r="V630" s="69"/>
      <c r="W630" s="74"/>
      <c r="X630" s="69"/>
    </row>
    <row r="631">
      <c r="A631" s="30" t="str">
        <f>IFERROR(__xludf.DUMMYFUNCTION("""COMPUTED_VALUE"""),"46220")</f>
        <v>46220</v>
      </c>
      <c r="B631" s="86">
        <f>IFERROR(__xludf.DUMMYFUNCTION("""COMPUTED_VALUE"""),44608.0)</f>
        <v>44608</v>
      </c>
      <c r="C631" s="64" t="str">
        <f>IFERROR(__xludf.DUMMYFUNCTION("""COMPUTED_VALUE"""),"Stock")</f>
        <v>Stock</v>
      </c>
      <c r="D631" s="87" t="str">
        <f>IFERROR(__xludf.DUMMYFUNCTION("""COMPUTED_VALUE"""),"GOOG")</f>
        <v>GOOG</v>
      </c>
      <c r="E631" s="5" t="str">
        <f>IFERROR(__xludf.DUMMYFUNCTION("""COMPUTED_VALUE"""),"USD")</f>
        <v>USD</v>
      </c>
      <c r="F631" s="69">
        <f>IFERROR(__xludf.DUMMYFUNCTION("""COMPUTED_VALUE"""),20.0)</f>
        <v>20</v>
      </c>
      <c r="G631" s="70">
        <f>IFERROR(__xludf.DUMMYFUNCTION("""COMPUTED_VALUE"""),7.83915)</f>
        <v>7.83915</v>
      </c>
      <c r="H631" s="71">
        <f>IFERROR(__xludf.DUMMYFUNCTION("""COMPUTED_VALUE"""),2749.75)</f>
        <v>2749.75</v>
      </c>
      <c r="I631" s="71">
        <f>IFERROR(__xludf.DUMMYFUNCTION("""COMPUTED_VALUE"""),2605.72)</f>
        <v>2605.72</v>
      </c>
      <c r="J631" s="88" t="str">
        <f>IFERROR(__xludf.DUMMYFUNCTION("""COMPUTED_VALUE"""),"Goto link: GOOG")</f>
        <v>Goto link: GOOG</v>
      </c>
      <c r="K631" s="22"/>
      <c r="L631" s="22"/>
      <c r="M631" s="22"/>
      <c r="N631" s="22"/>
      <c r="O631" s="73"/>
      <c r="P631" s="8"/>
      <c r="Q631" s="69"/>
      <c r="R631" s="69"/>
      <c r="S631" s="8"/>
      <c r="T631" s="69"/>
      <c r="U631" s="8"/>
      <c r="V631" s="69"/>
      <c r="W631" s="74"/>
      <c r="X631" s="69"/>
    </row>
    <row r="632">
      <c r="A632" s="30" t="str">
        <f>IFERROR(__xludf.DUMMYFUNCTION("""COMPUTED_VALUE"""),"46220")</f>
        <v>46220</v>
      </c>
      <c r="B632" s="86">
        <f>IFERROR(__xludf.DUMMYFUNCTION("""COMPUTED_VALUE"""),44609.0)</f>
        <v>44609</v>
      </c>
      <c r="C632" s="64" t="str">
        <f>IFERROR(__xludf.DUMMYFUNCTION("""COMPUTED_VALUE"""),"Stock")</f>
        <v>Stock</v>
      </c>
      <c r="D632" s="87" t="str">
        <f>IFERROR(__xludf.DUMMYFUNCTION("""COMPUTED_VALUE"""),"RBLX")</f>
        <v>RBLX</v>
      </c>
      <c r="E632" s="5" t="str">
        <f>IFERROR(__xludf.DUMMYFUNCTION("""COMPUTED_VALUE"""),"USD")</f>
        <v>USD</v>
      </c>
      <c r="F632" s="69">
        <f>IFERROR(__xludf.DUMMYFUNCTION("""COMPUTED_VALUE"""),50.0)</f>
        <v>50</v>
      </c>
      <c r="G632" s="70">
        <f>IFERROR(__xludf.DUMMYFUNCTION("""COMPUTED_VALUE"""),7.83915)</f>
        <v>7.83915</v>
      </c>
      <c r="H632" s="71">
        <f>IFERROR(__xludf.DUMMYFUNCTION("""COMPUTED_VALUE"""),54.49)</f>
        <v>54.49</v>
      </c>
      <c r="I632" s="71">
        <f>IFERROR(__xludf.DUMMYFUNCTION("""COMPUTED_VALUE"""),45.01)</f>
        <v>45.01</v>
      </c>
      <c r="J632" s="88" t="str">
        <f>IFERROR(__xludf.DUMMYFUNCTION("""COMPUTED_VALUE"""),"Goto link: RBLX")</f>
        <v>Goto link: RBLX</v>
      </c>
      <c r="K632" s="22"/>
      <c r="L632" s="22"/>
      <c r="M632" s="22"/>
      <c r="N632" s="22"/>
      <c r="O632" s="73"/>
      <c r="P632" s="8"/>
      <c r="Q632" s="69"/>
      <c r="R632" s="69"/>
      <c r="S632" s="8"/>
      <c r="T632" s="69"/>
      <c r="U632" s="8"/>
      <c r="V632" s="69"/>
      <c r="W632" s="74"/>
      <c r="X632" s="69"/>
    </row>
    <row r="633">
      <c r="A633" s="30" t="str">
        <f>IFERROR(__xludf.DUMMYFUNCTION("""COMPUTED_VALUE"""),"46220")</f>
        <v>46220</v>
      </c>
      <c r="B633" s="86">
        <f>IFERROR(__xludf.DUMMYFUNCTION("""COMPUTED_VALUE"""),44610.0)</f>
        <v>44610</v>
      </c>
      <c r="C633" s="64" t="str">
        <f>IFERROR(__xludf.DUMMYFUNCTION("""COMPUTED_VALUE"""),"Stock")</f>
        <v>Stock</v>
      </c>
      <c r="D633" s="87" t="str">
        <f>IFERROR(__xludf.DUMMYFUNCTION("""COMPUTED_VALUE"""),"BTC-USD")</f>
        <v>BTC-USD</v>
      </c>
      <c r="E633" s="5" t="str">
        <f>IFERROR(__xludf.DUMMYFUNCTION("""COMPUTED_VALUE"""),"USD")</f>
        <v>USD</v>
      </c>
      <c r="F633" s="69" t="str">
        <f>IFERROR(__xludf.DUMMYFUNCTION("""COMPUTED_VALUE"""),"")</f>
        <v/>
      </c>
      <c r="G633" s="70">
        <f>IFERROR(__xludf.DUMMYFUNCTION("""COMPUTED_VALUE"""),7.83915)</f>
        <v>7.83915</v>
      </c>
      <c r="H633" s="71">
        <f>IFERROR(__xludf.DUMMYFUNCTION("""COMPUTED_VALUE"""),40132.258)</f>
        <v>40132.258</v>
      </c>
      <c r="I633" s="71" t="str">
        <f>IFERROR(__xludf.DUMMYFUNCTION("""COMPUTED_VALUE"""),"#N/A")</f>
        <v>#N/A</v>
      </c>
      <c r="J633" s="88" t="str">
        <f>IFERROR(__xludf.DUMMYFUNCTION("""COMPUTED_VALUE"""),"Goto link: BTC-USD")</f>
        <v>Goto link: BTC-USD</v>
      </c>
      <c r="K633" s="22"/>
      <c r="L633" s="22"/>
      <c r="M633" s="22"/>
      <c r="N633" s="22"/>
      <c r="O633" s="73"/>
      <c r="P633" s="8"/>
      <c r="Q633" s="69"/>
      <c r="R633" s="69"/>
      <c r="S633" s="8"/>
      <c r="T633" s="69"/>
      <c r="U633" s="8"/>
      <c r="V633" s="69"/>
      <c r="W633" s="74"/>
      <c r="X633" s="69"/>
    </row>
    <row r="634">
      <c r="A634" s="30" t="str">
        <f>IFERROR(__xludf.DUMMYFUNCTION("""COMPUTED_VALUE"""),"46220")</f>
        <v>46220</v>
      </c>
      <c r="B634" s="86">
        <f>IFERROR(__xludf.DUMMYFUNCTION("""COMPUTED_VALUE"""),44613.0)</f>
        <v>44613</v>
      </c>
      <c r="C634" s="64" t="str">
        <f>IFERROR(__xludf.DUMMYFUNCTION("""COMPUTED_VALUE"""),"Stock")</f>
        <v>Stock</v>
      </c>
      <c r="D634" s="90" t="str">
        <f>IFERROR(__xludf.DUMMYFUNCTION("""COMPUTED_VALUE"""),"6969.HK")</f>
        <v>6969.HK</v>
      </c>
      <c r="E634" s="5" t="str">
        <f>IFERROR(__xludf.DUMMYFUNCTION("""COMPUTED_VALUE"""),"HKD")</f>
        <v>HKD</v>
      </c>
      <c r="F634" s="69" t="str">
        <f>IFERROR(__xludf.DUMMYFUNCTION("""COMPUTED_VALUE"""),"")</f>
        <v/>
      </c>
      <c r="G634" s="70">
        <f>IFERROR(__xludf.DUMMYFUNCTION("""COMPUTED_VALUE"""),1.0)</f>
        <v>1</v>
      </c>
      <c r="H634" s="71">
        <f>IFERROR(__xludf.DUMMYFUNCTION("""COMPUTED_VALUE"""),35.5)</f>
        <v>35.5</v>
      </c>
      <c r="I634" s="71">
        <f>IFERROR(__xludf.DUMMYFUNCTION("""COMPUTED_VALUE"""),16.64)</f>
        <v>16.64</v>
      </c>
      <c r="J634" s="88" t="str">
        <f>IFERROR(__xludf.DUMMYFUNCTION("""COMPUTED_VALUE"""),"Goto link: 6969.HK")</f>
        <v>Goto link: 6969.HK</v>
      </c>
      <c r="K634" s="22"/>
      <c r="L634" s="22"/>
      <c r="M634" s="22"/>
      <c r="N634" s="22"/>
      <c r="O634" s="73"/>
      <c r="P634" s="8"/>
      <c r="Q634" s="69"/>
      <c r="R634" s="69"/>
      <c r="S634" s="8"/>
      <c r="T634" s="69"/>
      <c r="U634" s="8"/>
      <c r="V634" s="69"/>
      <c r="W634" s="74"/>
      <c r="X634" s="69"/>
    </row>
    <row r="635">
      <c r="A635" s="30" t="str">
        <f>IFERROR(__xludf.DUMMYFUNCTION("""COMPUTED_VALUE"""),"46220")</f>
        <v>46220</v>
      </c>
      <c r="B635" s="86">
        <f>IFERROR(__xludf.DUMMYFUNCTION("""COMPUTED_VALUE"""),44615.0)</f>
        <v>44615</v>
      </c>
      <c r="C635" s="64" t="str">
        <f>IFERROR(__xludf.DUMMYFUNCTION("""COMPUTED_VALUE"""),"Stock")</f>
        <v>Stock</v>
      </c>
      <c r="D635" s="87" t="str">
        <f>IFERROR(__xludf.DUMMYFUNCTION("""COMPUTED_VALUE"""),"TSLA")</f>
        <v>TSLA</v>
      </c>
      <c r="E635" s="5" t="str">
        <f>IFERROR(__xludf.DUMMYFUNCTION("""COMPUTED_VALUE"""),"USD")</f>
        <v>USD</v>
      </c>
      <c r="F635" s="69" t="str">
        <f>IFERROR(__xludf.DUMMYFUNCTION("""COMPUTED_VALUE"""),"")</f>
        <v/>
      </c>
      <c r="G635" s="70">
        <f>IFERROR(__xludf.DUMMYFUNCTION("""COMPUTED_VALUE"""),7.83915)</f>
        <v>7.83915</v>
      </c>
      <c r="H635" s="71">
        <f>IFERROR(__xludf.DUMMYFUNCTION("""COMPUTED_VALUE"""),764.04)</f>
        <v>764.04</v>
      </c>
      <c r="I635" s="71">
        <f>IFERROR(__xludf.DUMMYFUNCTION("""COMPUTED_VALUE"""),1022.37)</f>
        <v>1022.37</v>
      </c>
      <c r="J635" s="88" t="str">
        <f>IFERROR(__xludf.DUMMYFUNCTION("""COMPUTED_VALUE"""),"Goto link: TSLA")</f>
        <v>Goto link: TSLA</v>
      </c>
      <c r="K635" s="22"/>
      <c r="L635" s="22"/>
      <c r="M635" s="22"/>
      <c r="N635" s="22"/>
      <c r="O635" s="73"/>
      <c r="P635" s="8"/>
      <c r="Q635" s="69"/>
      <c r="R635" s="69"/>
      <c r="S635" s="8"/>
      <c r="T635" s="69"/>
      <c r="U635" s="8"/>
      <c r="V635" s="69"/>
      <c r="W635" s="74"/>
      <c r="X635" s="69"/>
    </row>
    <row r="636">
      <c r="A636" s="30" t="str">
        <f>IFERROR(__xludf.DUMMYFUNCTION("""COMPUTED_VALUE"""),"46220")</f>
        <v>46220</v>
      </c>
      <c r="B636" s="86">
        <f>IFERROR(__xludf.DUMMYFUNCTION("""COMPUTED_VALUE"""),44615.0)</f>
        <v>44615</v>
      </c>
      <c r="C636" s="64" t="str">
        <f>IFERROR(__xludf.DUMMYFUNCTION("""COMPUTED_VALUE"""),"Stock")</f>
        <v>Stock</v>
      </c>
      <c r="D636" s="87" t="str">
        <f>IFERROR(__xludf.DUMMYFUNCTION("""COMPUTED_VALUE"""),"YINN")</f>
        <v>YINN</v>
      </c>
      <c r="E636" s="5" t="str">
        <f>IFERROR(__xludf.DUMMYFUNCTION("""COMPUTED_VALUE"""),"USD")</f>
        <v>USD</v>
      </c>
      <c r="F636" s="69">
        <f>IFERROR(__xludf.DUMMYFUNCTION("""COMPUTED_VALUE"""),50.0)</f>
        <v>50</v>
      </c>
      <c r="G636" s="70">
        <f>IFERROR(__xludf.DUMMYFUNCTION("""COMPUTED_VALUE"""),7.83915)</f>
        <v>7.83915</v>
      </c>
      <c r="H636" s="71">
        <f>IFERROR(__xludf.DUMMYFUNCTION("""COMPUTED_VALUE"""),7.24)</f>
        <v>7.24</v>
      </c>
      <c r="I636" s="71">
        <f>IFERROR(__xludf.DUMMYFUNCTION("""COMPUTED_VALUE"""),4.54)</f>
        <v>4.54</v>
      </c>
      <c r="J636" s="88" t="str">
        <f>IFERROR(__xludf.DUMMYFUNCTION("""COMPUTED_VALUE"""),"Goto link: YINN")</f>
        <v>Goto link: YINN</v>
      </c>
      <c r="K636" s="22"/>
      <c r="L636" s="22"/>
      <c r="M636" s="22"/>
      <c r="N636" s="22"/>
      <c r="O636" s="73"/>
      <c r="P636" s="8"/>
      <c r="Q636" s="69"/>
      <c r="R636" s="69"/>
      <c r="S636" s="8"/>
      <c r="T636" s="69"/>
      <c r="U636" s="8"/>
      <c r="V636" s="69"/>
      <c r="W636" s="74"/>
      <c r="X636" s="69"/>
    </row>
    <row r="637">
      <c r="A637" s="30" t="str">
        <f>IFERROR(__xludf.DUMMYFUNCTION("""COMPUTED_VALUE"""),"46220")</f>
        <v>46220</v>
      </c>
      <c r="B637" s="86">
        <f>IFERROR(__xludf.DUMMYFUNCTION("""COMPUTED_VALUE"""),44616.0)</f>
        <v>44616</v>
      </c>
      <c r="C637" s="64" t="str">
        <f>IFERROR(__xludf.DUMMYFUNCTION("""COMPUTED_VALUE"""),"Stock")</f>
        <v>Stock</v>
      </c>
      <c r="D637" s="87" t="str">
        <f>IFERROR(__xludf.DUMMYFUNCTION("""COMPUTED_VALUE"""),"AMZN")</f>
        <v>AMZN</v>
      </c>
      <c r="E637" s="5" t="str">
        <f>IFERROR(__xludf.DUMMYFUNCTION("""COMPUTED_VALUE"""),"USD")</f>
        <v>USD</v>
      </c>
      <c r="F637" s="69" t="str">
        <f>IFERROR(__xludf.DUMMYFUNCTION("""COMPUTED_VALUE"""),"")</f>
        <v/>
      </c>
      <c r="G637" s="70">
        <f>IFERROR(__xludf.DUMMYFUNCTION("""COMPUTED_VALUE"""),7.83915)</f>
        <v>7.83915</v>
      </c>
      <c r="H637" s="71">
        <f>IFERROR(__xludf.DUMMYFUNCTION("""COMPUTED_VALUE"""),3027.16)</f>
        <v>3027.16</v>
      </c>
      <c r="I637" s="71">
        <f>IFERROR(__xludf.DUMMYFUNCTION("""COMPUTED_VALUE"""),3110.82)</f>
        <v>3110.82</v>
      </c>
      <c r="J637" s="88" t="str">
        <f>IFERROR(__xludf.DUMMYFUNCTION("""COMPUTED_VALUE"""),"Goto link: AMZN")</f>
        <v>Goto link: AMZN</v>
      </c>
      <c r="K637" s="22"/>
      <c r="L637" s="22"/>
      <c r="M637" s="22"/>
      <c r="N637" s="22"/>
      <c r="O637" s="73"/>
      <c r="P637" s="8"/>
      <c r="Q637" s="69"/>
      <c r="R637" s="69"/>
      <c r="S637" s="8"/>
      <c r="T637" s="69"/>
      <c r="U637" s="8"/>
      <c r="V637" s="69"/>
      <c r="W637" s="74"/>
      <c r="X637" s="69"/>
    </row>
    <row r="638">
      <c r="A638" s="30" t="str">
        <f>IFERROR(__xludf.DUMMYFUNCTION("""COMPUTED_VALUE"""),"46220")</f>
        <v>46220</v>
      </c>
      <c r="B638" s="86">
        <f>IFERROR(__xludf.DUMMYFUNCTION("""COMPUTED_VALUE"""),44617.0)</f>
        <v>44617</v>
      </c>
      <c r="C638" s="64" t="str">
        <f>IFERROR(__xludf.DUMMYFUNCTION("""COMPUTED_VALUE"""),"Stock")</f>
        <v>Stock</v>
      </c>
      <c r="D638" s="87" t="str">
        <f>IFERROR(__xludf.DUMMYFUNCTION("""COMPUTED_VALUE"""),"NFLX")</f>
        <v>NFLX</v>
      </c>
      <c r="E638" s="5" t="str">
        <f>IFERROR(__xludf.DUMMYFUNCTION("""COMPUTED_VALUE"""),"USD")</f>
        <v>USD</v>
      </c>
      <c r="F638" s="69" t="str">
        <f>IFERROR(__xludf.DUMMYFUNCTION("""COMPUTED_VALUE"""),"")</f>
        <v/>
      </c>
      <c r="G638" s="70">
        <f>IFERROR(__xludf.DUMMYFUNCTION("""COMPUTED_VALUE"""),7.83915)</f>
        <v>7.83915</v>
      </c>
      <c r="H638" s="71">
        <f>IFERROR(__xludf.DUMMYFUNCTION("""COMPUTED_VALUE"""),390.8)</f>
        <v>390.8</v>
      </c>
      <c r="I638" s="71">
        <f>IFERROR(__xludf.DUMMYFUNCTION("""COMPUTED_VALUE"""),350.43)</f>
        <v>350.43</v>
      </c>
      <c r="J638" s="88" t="str">
        <f>IFERROR(__xludf.DUMMYFUNCTION("""COMPUTED_VALUE"""),"Goto link: NFLX")</f>
        <v>Goto link: NFLX</v>
      </c>
      <c r="K638" s="22"/>
      <c r="L638" s="22"/>
      <c r="M638" s="22"/>
      <c r="N638" s="22"/>
      <c r="O638" s="73"/>
      <c r="P638" s="8"/>
      <c r="Q638" s="69"/>
      <c r="R638" s="69"/>
      <c r="S638" s="8"/>
      <c r="T638" s="69"/>
      <c r="U638" s="8"/>
      <c r="V638" s="69"/>
      <c r="W638" s="74"/>
      <c r="X638" s="69"/>
    </row>
    <row r="639">
      <c r="A639" s="30" t="str">
        <f>IFERROR(__xludf.DUMMYFUNCTION("""COMPUTED_VALUE"""),"46220")</f>
        <v>46220</v>
      </c>
      <c r="B639" s="86">
        <f>IFERROR(__xludf.DUMMYFUNCTION("""COMPUTED_VALUE"""),44624.0)</f>
        <v>44624</v>
      </c>
      <c r="C639" s="64" t="str">
        <f>IFERROR(__xludf.DUMMYFUNCTION("""COMPUTED_VALUE"""),"Stock")</f>
        <v>Stock</v>
      </c>
      <c r="D639" s="90" t="str">
        <f>IFERROR(__xludf.DUMMYFUNCTION("""COMPUTED_VALUE"""),"9988.HK")</f>
        <v>9988.HK</v>
      </c>
      <c r="E639" s="5" t="str">
        <f>IFERROR(__xludf.DUMMYFUNCTION("""COMPUTED_VALUE"""),"HKD")</f>
        <v>HKD</v>
      </c>
      <c r="F639" s="69" t="str">
        <f>IFERROR(__xludf.DUMMYFUNCTION("""COMPUTED_VALUE"""),"")</f>
        <v/>
      </c>
      <c r="G639" s="70">
        <f>IFERROR(__xludf.DUMMYFUNCTION("""COMPUTED_VALUE"""),1.0)</f>
        <v>1</v>
      </c>
      <c r="H639" s="71">
        <f>IFERROR(__xludf.DUMMYFUNCTION("""COMPUTED_VALUE"""),99.0)</f>
        <v>99</v>
      </c>
      <c r="I639" s="71">
        <f>IFERROR(__xludf.DUMMYFUNCTION("""COMPUTED_VALUE"""),98.5)</f>
        <v>98.5</v>
      </c>
      <c r="J639" s="88" t="str">
        <f>IFERROR(__xludf.DUMMYFUNCTION("""COMPUTED_VALUE"""),"Goto link: 9988.HK")</f>
        <v>Goto link: 9988.HK</v>
      </c>
      <c r="K639" s="22"/>
      <c r="L639" s="22"/>
      <c r="M639" s="22"/>
      <c r="N639" s="22"/>
      <c r="O639" s="73"/>
      <c r="P639" s="8"/>
      <c r="Q639" s="69"/>
      <c r="R639" s="69"/>
      <c r="S639" s="8"/>
      <c r="T639" s="69"/>
      <c r="U639" s="8"/>
      <c r="V639" s="69"/>
      <c r="W639" s="74"/>
      <c r="X639" s="69"/>
    </row>
    <row r="640">
      <c r="A640" s="30" t="str">
        <f>IFERROR(__xludf.DUMMYFUNCTION("""COMPUTED_VALUE"""),"46220")</f>
        <v>46220</v>
      </c>
      <c r="B640" s="86">
        <f>IFERROR(__xludf.DUMMYFUNCTION("""COMPUTED_VALUE"""),44634.0)</f>
        <v>44634</v>
      </c>
      <c r="C640" s="64" t="str">
        <f>IFERROR(__xludf.DUMMYFUNCTION("""COMPUTED_VALUE"""),"Stock")</f>
        <v>Stock</v>
      </c>
      <c r="D640" s="87" t="str">
        <f>IFERROR(__xludf.DUMMYFUNCTION("""COMPUTED_VALUE"""),"GC=F")</f>
        <v>GC=F</v>
      </c>
      <c r="E640" s="5" t="str">
        <f>IFERROR(__xludf.DUMMYFUNCTION("""COMPUTED_VALUE"""),"USD")</f>
        <v>USD</v>
      </c>
      <c r="F640" s="69" t="str">
        <f>IFERROR(__xludf.DUMMYFUNCTION("""COMPUTED_VALUE"""),"")</f>
        <v/>
      </c>
      <c r="G640" s="70">
        <f>IFERROR(__xludf.DUMMYFUNCTION("""COMPUTED_VALUE"""),7.83915)</f>
        <v>7.83915</v>
      </c>
      <c r="H640" s="71">
        <f>IFERROR(__xludf.DUMMYFUNCTION("""COMPUTED_VALUE"""),1954.6)</f>
        <v>1954.6</v>
      </c>
      <c r="I640" s="71">
        <f>IFERROR(__xludf.DUMMYFUNCTION("""COMPUTED_VALUE"""),1980.7)</f>
        <v>1980.7</v>
      </c>
      <c r="J640" s="88" t="str">
        <f>IFERROR(__xludf.DUMMYFUNCTION("""COMPUTED_VALUE"""),"Goto link: GC=F")</f>
        <v>Goto link: GC=F</v>
      </c>
      <c r="K640" s="22"/>
      <c r="L640" s="22"/>
      <c r="M640" s="22"/>
      <c r="N640" s="22"/>
      <c r="O640" s="73"/>
      <c r="P640" s="8"/>
      <c r="Q640" s="69"/>
      <c r="R640" s="69"/>
      <c r="S640" s="8"/>
      <c r="T640" s="69"/>
      <c r="U640" s="8"/>
      <c r="V640" s="69"/>
      <c r="W640" s="74"/>
      <c r="X640" s="69"/>
    </row>
    <row r="641">
      <c r="A641" s="30" t="str">
        <f>IFERROR(__xludf.DUMMYFUNCTION("""COMPUTED_VALUE"""),"46220")</f>
        <v>46220</v>
      </c>
      <c r="B641" s="86">
        <f>IFERROR(__xludf.DUMMYFUNCTION("""COMPUTED_VALUE"""),44644.0)</f>
        <v>44644</v>
      </c>
      <c r="C641" s="64" t="str">
        <f>IFERROR(__xludf.DUMMYFUNCTION("""COMPUTED_VALUE"""),"Stock")</f>
        <v>Stock</v>
      </c>
      <c r="D641" s="90" t="str">
        <f>IFERROR(__xludf.DUMMYFUNCTION("""COMPUTED_VALUE"""),"9988.HK")</f>
        <v>9988.HK</v>
      </c>
      <c r="E641" s="5" t="str">
        <f>IFERROR(__xludf.DUMMYFUNCTION("""COMPUTED_VALUE"""),"HKD")</f>
        <v>HKD</v>
      </c>
      <c r="F641" s="69">
        <f>IFERROR(__xludf.DUMMYFUNCTION("""COMPUTED_VALUE"""),-1.0)</f>
        <v>-1</v>
      </c>
      <c r="G641" s="70">
        <f>IFERROR(__xludf.DUMMYFUNCTION("""COMPUTED_VALUE"""),1.0)</f>
        <v>1</v>
      </c>
      <c r="H641" s="71">
        <f>IFERROR(__xludf.DUMMYFUNCTION("""COMPUTED_VALUE"""),113.8)</f>
        <v>113.8</v>
      </c>
      <c r="I641" s="71">
        <f>IFERROR(__xludf.DUMMYFUNCTION("""COMPUTED_VALUE"""),98.5)</f>
        <v>98.5</v>
      </c>
      <c r="J641" s="88" t="str">
        <f>IFERROR(__xludf.DUMMYFUNCTION("""COMPUTED_VALUE"""),"Goto link: 9988.HK")</f>
        <v>Goto link: 9988.HK</v>
      </c>
      <c r="K641" s="22"/>
      <c r="L641" s="22"/>
      <c r="M641" s="22"/>
      <c r="N641" s="22"/>
      <c r="O641" s="73"/>
      <c r="P641" s="8"/>
      <c r="Q641" s="69"/>
      <c r="R641" s="69"/>
      <c r="S641" s="8"/>
      <c r="T641" s="69"/>
      <c r="U641" s="8"/>
      <c r="V641" s="69"/>
      <c r="W641" s="74"/>
      <c r="X641" s="69"/>
    </row>
    <row r="642">
      <c r="A642" s="30" t="str">
        <f>IFERROR(__xludf.DUMMYFUNCTION("""COMPUTED_VALUE"""),"46220 Total")</f>
        <v>46220 Total</v>
      </c>
      <c r="B642" s="5"/>
      <c r="C642" s="64"/>
      <c r="D642" s="85"/>
      <c r="E642" s="5"/>
      <c r="F642" s="69"/>
      <c r="G642" s="70">
        <f>IFERROR(__xludf.DUMMYFUNCTION("""COMPUTED_VALUE"""),5.885107142857144)</f>
        <v>5.885107143</v>
      </c>
      <c r="H642" s="71">
        <f>IFERROR(__xludf.DUMMYFUNCTION("""COMPUTED_VALUE"""),44162.117)</f>
        <v>44162.117</v>
      </c>
      <c r="I642" s="71" t="str">
        <f>IFERROR(__xludf.DUMMYFUNCTION("""COMPUTED_VALUE"""),"")</f>
        <v/>
      </c>
      <c r="J642" s="22" t="str">
        <f>IFERROR(__xludf.DUMMYFUNCTION("""COMPUTED_VALUE"""),"")</f>
        <v/>
      </c>
      <c r="K642" s="22"/>
      <c r="L642" s="22"/>
      <c r="M642" s="22"/>
      <c r="N642" s="22"/>
      <c r="O642" s="73"/>
      <c r="P642" s="8"/>
      <c r="Q642" s="69"/>
      <c r="R642" s="69"/>
      <c r="S642" s="8"/>
      <c r="T642" s="69"/>
      <c r="U642" s="8"/>
      <c r="V642" s="69"/>
      <c r="W642" s="74"/>
      <c r="X642" s="69"/>
    </row>
    <row r="643">
      <c r="A643" s="30" t="str">
        <f>IFERROR(__xludf.DUMMYFUNCTION("""COMPUTED_VALUE"""),"46225")</f>
        <v>46225</v>
      </c>
      <c r="B643" s="86">
        <f>IFERROR(__xludf.DUMMYFUNCTION("""COMPUTED_VALUE"""),44597.0)</f>
        <v>44597</v>
      </c>
      <c r="C643" s="64" t="str">
        <f>IFERROR(__xludf.DUMMYFUNCTION("""COMPUTED_VALUE"""),"Cash")</f>
        <v>Cash</v>
      </c>
      <c r="D643" s="85" t="str">
        <f>IFERROR(__xludf.DUMMYFUNCTION("""COMPUTED_VALUE"""),"Cash")</f>
        <v>Cash</v>
      </c>
      <c r="E643" s="5" t="str">
        <f>IFERROR(__xludf.DUMMYFUNCTION("""COMPUTED_VALUE"""),"HKD")</f>
        <v>HKD</v>
      </c>
      <c r="F643" s="69" t="str">
        <f>IFERROR(__xludf.DUMMYFUNCTION("""COMPUTED_VALUE"""),"")</f>
        <v/>
      </c>
      <c r="G643" s="70">
        <f>IFERROR(__xludf.DUMMYFUNCTION("""COMPUTED_VALUE"""),1.0)</f>
        <v>1</v>
      </c>
      <c r="H643" s="71">
        <f>IFERROR(__xludf.DUMMYFUNCTION("""COMPUTED_VALUE"""),1.0)</f>
        <v>1</v>
      </c>
      <c r="I643" s="71">
        <f>IFERROR(__xludf.DUMMYFUNCTION("""COMPUTED_VALUE"""),1.0)</f>
        <v>1</v>
      </c>
      <c r="J643" s="22" t="str">
        <f>IFERROR(__xludf.DUMMYFUNCTION("""COMPUTED_VALUE"""),"")</f>
        <v/>
      </c>
      <c r="K643" s="22"/>
      <c r="L643" s="22"/>
      <c r="M643" s="22"/>
      <c r="N643" s="22"/>
      <c r="O643" s="73"/>
      <c r="P643" s="8"/>
      <c r="Q643" s="69"/>
      <c r="R643" s="69"/>
      <c r="S643" s="8"/>
      <c r="T643" s="69"/>
      <c r="U643" s="8"/>
      <c r="V643" s="69"/>
      <c r="W643" s="74"/>
      <c r="X643" s="69"/>
    </row>
    <row r="644">
      <c r="A644" s="30" t="str">
        <f>IFERROR(__xludf.DUMMYFUNCTION("""COMPUTED_VALUE"""),"46225")</f>
        <v>46225</v>
      </c>
      <c r="B644" s="86">
        <f>IFERROR(__xludf.DUMMYFUNCTION("""COMPUTED_VALUE"""),44658.0)</f>
        <v>44658</v>
      </c>
      <c r="C644" s="64" t="str">
        <f>IFERROR(__xludf.DUMMYFUNCTION("""COMPUTED_VALUE"""),"Stock")</f>
        <v>Stock</v>
      </c>
      <c r="D644" s="85" t="str">
        <f>IFERROR(__xludf.DUMMYFUNCTION("""COMPUTED_VALUE"""),"BABA")</f>
        <v>BABA</v>
      </c>
      <c r="E644" s="5" t="str">
        <f>IFERROR(__xludf.DUMMYFUNCTION("""COMPUTED_VALUE"""),"USD")</f>
        <v>USD</v>
      </c>
      <c r="F644" s="69">
        <f>IFERROR(__xludf.DUMMYFUNCTION("""COMPUTED_VALUE"""),912.0)</f>
        <v>912</v>
      </c>
      <c r="G644" s="70">
        <f>IFERROR(__xludf.DUMMYFUNCTION("""COMPUTED_VALUE"""),7.83915)</f>
        <v>7.83915</v>
      </c>
      <c r="H644" s="71">
        <f>IFERROR(__xludf.DUMMYFUNCTION("""COMPUTED_VALUE"""),104.3)</f>
        <v>104.3</v>
      </c>
      <c r="I644" s="71">
        <f>IFERROR(__xludf.DUMMYFUNCTION("""COMPUTED_VALUE"""),100.09)</f>
        <v>100.09</v>
      </c>
      <c r="J644" s="88" t="str">
        <f>IFERROR(__xludf.DUMMYFUNCTION("""COMPUTED_VALUE"""),"Goto link: BABA")</f>
        <v>Goto link: BABA</v>
      </c>
      <c r="K644" s="22"/>
      <c r="L644" s="22"/>
      <c r="M644" s="22"/>
      <c r="N644" s="22"/>
      <c r="O644" s="73"/>
      <c r="P644" s="8"/>
      <c r="Q644" s="69"/>
      <c r="R644" s="69"/>
      <c r="S644" s="8"/>
      <c r="T644" s="69"/>
      <c r="U644" s="8"/>
      <c r="V644" s="69"/>
      <c r="W644" s="74"/>
      <c r="X644" s="69"/>
    </row>
    <row r="645">
      <c r="A645" s="30" t="str">
        <f>IFERROR(__xludf.DUMMYFUNCTION("""COMPUTED_VALUE"""),"46225")</f>
        <v>46225</v>
      </c>
      <c r="B645" s="86">
        <f>IFERROR(__xludf.DUMMYFUNCTION("""COMPUTED_VALUE"""),44658.0)</f>
        <v>44658</v>
      </c>
      <c r="C645" s="64" t="str">
        <f>IFERROR(__xludf.DUMMYFUNCTION("""COMPUTED_VALUE"""),"Stock")</f>
        <v>Stock</v>
      </c>
      <c r="D645" s="85" t="str">
        <f>IFERROR(__xludf.DUMMYFUNCTION("""COMPUTED_VALUE"""),"SNOW")</f>
        <v>SNOW</v>
      </c>
      <c r="E645" s="5" t="str">
        <f>IFERROR(__xludf.DUMMYFUNCTION("""COMPUTED_VALUE"""),"USD")</f>
        <v>USD</v>
      </c>
      <c r="F645" s="69" t="str">
        <f>IFERROR(__xludf.DUMMYFUNCTION("""COMPUTED_VALUE"""),"")</f>
        <v/>
      </c>
      <c r="G645" s="70">
        <f>IFERROR(__xludf.DUMMYFUNCTION("""COMPUTED_VALUE"""),7.83915)</f>
        <v>7.83915</v>
      </c>
      <c r="H645" s="71">
        <f>IFERROR(__xludf.DUMMYFUNCTION("""COMPUTED_VALUE"""),213.88)</f>
        <v>213.88</v>
      </c>
      <c r="I645" s="71">
        <f>IFERROR(__xludf.DUMMYFUNCTION("""COMPUTED_VALUE"""),214.38)</f>
        <v>214.38</v>
      </c>
      <c r="J645" s="88" t="str">
        <f>IFERROR(__xludf.DUMMYFUNCTION("""COMPUTED_VALUE"""),"Goto link: SNOW")</f>
        <v>Goto link: SNOW</v>
      </c>
      <c r="K645" s="22"/>
      <c r="L645" s="22"/>
      <c r="M645" s="22"/>
      <c r="N645" s="22"/>
      <c r="O645" s="73"/>
      <c r="P645" s="8"/>
      <c r="Q645" s="69"/>
      <c r="R645" s="69"/>
      <c r="S645" s="8"/>
      <c r="T645" s="69"/>
      <c r="U645" s="8"/>
      <c r="V645" s="69"/>
      <c r="W645" s="74"/>
      <c r="X645" s="69"/>
    </row>
    <row r="646">
      <c r="A646" s="30" t="str">
        <f>IFERROR(__xludf.DUMMYFUNCTION("""COMPUTED_VALUE"""),"46225")</f>
        <v>46225</v>
      </c>
      <c r="B646" s="86">
        <f>IFERROR(__xludf.DUMMYFUNCTION("""COMPUTED_VALUE"""),44658.0)</f>
        <v>44658</v>
      </c>
      <c r="C646" s="64" t="str">
        <f>IFERROR(__xludf.DUMMYFUNCTION("""COMPUTED_VALUE"""),"Stock")</f>
        <v>Stock</v>
      </c>
      <c r="D646" s="85" t="str">
        <f>IFERROR(__xludf.DUMMYFUNCTION("""COMPUTED_VALUE"""),"SOL-USD")</f>
        <v>SOL-USD</v>
      </c>
      <c r="E646" s="5" t="str">
        <f>IFERROR(__xludf.DUMMYFUNCTION("""COMPUTED_VALUE"""),"USD")</f>
        <v>USD</v>
      </c>
      <c r="F646" s="69" t="str">
        <f>IFERROR(__xludf.DUMMYFUNCTION("""COMPUTED_VALUE"""),"")</f>
        <v/>
      </c>
      <c r="G646" s="70">
        <f>IFERROR(__xludf.DUMMYFUNCTION("""COMPUTED_VALUE"""),7.83915)</f>
        <v>7.83915</v>
      </c>
      <c r="H646" s="71">
        <f>IFERROR(__xludf.DUMMYFUNCTION("""COMPUTED_VALUE"""),118.8)</f>
        <v>118.8</v>
      </c>
      <c r="I646" s="71" t="str">
        <f>IFERROR(__xludf.DUMMYFUNCTION("""COMPUTED_VALUE"""),"#N/A")</f>
        <v>#N/A</v>
      </c>
      <c r="J646" s="88" t="str">
        <f>IFERROR(__xludf.DUMMYFUNCTION("""COMPUTED_VALUE"""),"Goto link: SOL-USD")</f>
        <v>Goto link: SOL-USD</v>
      </c>
      <c r="K646" s="22"/>
      <c r="L646" s="22"/>
      <c r="M646" s="22"/>
      <c r="N646" s="22"/>
      <c r="O646" s="73"/>
      <c r="P646" s="8"/>
      <c r="Q646" s="69"/>
      <c r="R646" s="69"/>
      <c r="S646" s="8"/>
      <c r="T646" s="69"/>
      <c r="U646" s="8"/>
      <c r="V646" s="69"/>
      <c r="W646" s="74"/>
      <c r="X646" s="69"/>
    </row>
    <row r="647">
      <c r="A647" s="30" t="str">
        <f>IFERROR(__xludf.DUMMYFUNCTION("""COMPUTED_VALUE"""),"46225")</f>
        <v>46225</v>
      </c>
      <c r="B647" s="86">
        <f>IFERROR(__xludf.DUMMYFUNCTION("""COMPUTED_VALUE"""),44658.0)</f>
        <v>44658</v>
      </c>
      <c r="C647" s="64" t="str">
        <f>IFERROR(__xludf.DUMMYFUNCTION("""COMPUTED_VALUE"""),"Stock")</f>
        <v>Stock</v>
      </c>
      <c r="D647" s="85" t="str">
        <f>IFERROR(__xludf.DUMMYFUNCTION("""COMPUTED_VALUE"""),"TSLA")</f>
        <v>TSLA</v>
      </c>
      <c r="E647" s="5" t="str">
        <f>IFERROR(__xludf.DUMMYFUNCTION("""COMPUTED_VALUE"""),"USD")</f>
        <v>USD</v>
      </c>
      <c r="F647" s="69" t="str">
        <f>IFERROR(__xludf.DUMMYFUNCTION("""COMPUTED_VALUE"""),"")</f>
        <v/>
      </c>
      <c r="G647" s="70">
        <f>IFERROR(__xludf.DUMMYFUNCTION("""COMPUTED_VALUE"""),7.83915)</f>
        <v>7.83915</v>
      </c>
      <c r="H647" s="71">
        <f>IFERROR(__xludf.DUMMYFUNCTION("""COMPUTED_VALUE"""),1057.26)</f>
        <v>1057.26</v>
      </c>
      <c r="I647" s="71">
        <f>IFERROR(__xludf.DUMMYFUNCTION("""COMPUTED_VALUE"""),1022.37)</f>
        <v>1022.37</v>
      </c>
      <c r="J647" s="88" t="str">
        <f>IFERROR(__xludf.DUMMYFUNCTION("""COMPUTED_VALUE"""),"Goto link: TSLA")</f>
        <v>Goto link: TSLA</v>
      </c>
      <c r="K647" s="22"/>
      <c r="L647" s="22"/>
      <c r="M647" s="22"/>
      <c r="N647" s="22"/>
      <c r="O647" s="73"/>
      <c r="P647" s="8"/>
      <c r="Q647" s="69"/>
      <c r="R647" s="69"/>
      <c r="S647" s="8"/>
      <c r="T647" s="69"/>
      <c r="U647" s="8"/>
      <c r="V647" s="69"/>
      <c r="W647" s="74"/>
      <c r="X647" s="69"/>
    </row>
    <row r="648">
      <c r="A648" s="30" t="str">
        <f>IFERROR(__xludf.DUMMYFUNCTION("""COMPUTED_VALUE"""),"46225")</f>
        <v>46225</v>
      </c>
      <c r="B648" s="86">
        <f>IFERROR(__xludf.DUMMYFUNCTION("""COMPUTED_VALUE"""),44659.0)</f>
        <v>44659</v>
      </c>
      <c r="C648" s="64" t="str">
        <f>IFERROR(__xludf.DUMMYFUNCTION("""COMPUTED_VALUE"""),"Stock")</f>
        <v>Stock</v>
      </c>
      <c r="D648" s="85" t="str">
        <f>IFERROR(__xludf.DUMMYFUNCTION("""COMPUTED_VALUE"""),"BABA")</f>
        <v>BABA</v>
      </c>
      <c r="E648" s="5" t="str">
        <f>IFERROR(__xludf.DUMMYFUNCTION("""COMPUTED_VALUE"""),"USD")</f>
        <v>USD</v>
      </c>
      <c r="F648" s="69">
        <f>IFERROR(__xludf.DUMMYFUNCTION("""COMPUTED_VALUE"""),-822.0)</f>
        <v>-822</v>
      </c>
      <c r="G648" s="70">
        <f>IFERROR(__xludf.DUMMYFUNCTION("""COMPUTED_VALUE"""),7.83915)</f>
        <v>7.83915</v>
      </c>
      <c r="H648" s="71">
        <f>IFERROR(__xludf.DUMMYFUNCTION("""COMPUTED_VALUE"""),103.53)</f>
        <v>103.53</v>
      </c>
      <c r="I648" s="71">
        <f>IFERROR(__xludf.DUMMYFUNCTION("""COMPUTED_VALUE"""),100.09)</f>
        <v>100.09</v>
      </c>
      <c r="J648" s="88" t="str">
        <f>IFERROR(__xludf.DUMMYFUNCTION("""COMPUTED_VALUE"""),"Goto link: BABA")</f>
        <v>Goto link: BABA</v>
      </c>
      <c r="K648" s="22"/>
      <c r="L648" s="22"/>
      <c r="M648" s="22"/>
      <c r="N648" s="22"/>
      <c r="O648" s="73"/>
      <c r="P648" s="8"/>
      <c r="Q648" s="69"/>
      <c r="R648" s="69"/>
      <c r="S648" s="8"/>
      <c r="T648" s="69"/>
      <c r="U648" s="8"/>
      <c r="V648" s="69"/>
      <c r="W648" s="74"/>
      <c r="X648" s="69"/>
    </row>
    <row r="649">
      <c r="A649" s="30" t="str">
        <f>IFERROR(__xludf.DUMMYFUNCTION("""COMPUTED_VALUE"""),"46225")</f>
        <v>46225</v>
      </c>
      <c r="B649" s="86">
        <f>IFERROR(__xludf.DUMMYFUNCTION("""COMPUTED_VALUE"""),44659.0)</f>
        <v>44659</v>
      </c>
      <c r="C649" s="64" t="str">
        <f>IFERROR(__xludf.DUMMYFUNCTION("""COMPUTED_VALUE"""),"Stock")</f>
        <v>Stock</v>
      </c>
      <c r="D649" s="85" t="str">
        <f>IFERROR(__xludf.DUMMYFUNCTION("""COMPUTED_VALUE"""),"NVDA")</f>
        <v>NVDA</v>
      </c>
      <c r="E649" s="5" t="str">
        <f>IFERROR(__xludf.DUMMYFUNCTION("""COMPUTED_VALUE"""),"USD")</f>
        <v>USD</v>
      </c>
      <c r="F649" s="69">
        <f>IFERROR(__xludf.DUMMYFUNCTION("""COMPUTED_VALUE"""),39.0)</f>
        <v>39</v>
      </c>
      <c r="G649" s="70">
        <f>IFERROR(__xludf.DUMMYFUNCTION("""COMPUTED_VALUE"""),7.83915)</f>
        <v>7.83915</v>
      </c>
      <c r="H649" s="71">
        <f>IFERROR(__xludf.DUMMYFUNCTION("""COMPUTED_VALUE"""),231.19)</f>
        <v>231.19</v>
      </c>
      <c r="I649" s="71">
        <f>IFERROR(__xludf.DUMMYFUNCTION("""COMPUTED_VALUE"""),222.03)</f>
        <v>222.03</v>
      </c>
      <c r="J649" s="88" t="str">
        <f>IFERROR(__xludf.DUMMYFUNCTION("""COMPUTED_VALUE"""),"Goto link: NVDA")</f>
        <v>Goto link: NVDA</v>
      </c>
      <c r="K649" s="22"/>
      <c r="L649" s="22"/>
      <c r="M649" s="22"/>
      <c r="N649" s="22"/>
      <c r="O649" s="73"/>
      <c r="P649" s="8"/>
      <c r="Q649" s="69"/>
      <c r="R649" s="69"/>
      <c r="S649" s="8"/>
      <c r="T649" s="69"/>
      <c r="U649" s="8"/>
      <c r="V649" s="69"/>
      <c r="W649" s="74"/>
      <c r="X649" s="69"/>
    </row>
    <row r="650">
      <c r="A650" s="30" t="str">
        <f>IFERROR(__xludf.DUMMYFUNCTION("""COMPUTED_VALUE"""),"46225")</f>
        <v>46225</v>
      </c>
      <c r="B650" s="86">
        <f>IFERROR(__xludf.DUMMYFUNCTION("""COMPUTED_VALUE"""),44659.0)</f>
        <v>44659</v>
      </c>
      <c r="C650" s="64" t="str">
        <f>IFERROR(__xludf.DUMMYFUNCTION("""COMPUTED_VALUE"""),"Stock")</f>
        <v>Stock</v>
      </c>
      <c r="D650" s="85" t="str">
        <f>IFERROR(__xludf.DUMMYFUNCTION("""COMPUTED_VALUE"""),"SNOW")</f>
        <v>SNOW</v>
      </c>
      <c r="E650" s="5" t="str">
        <f>IFERROR(__xludf.DUMMYFUNCTION("""COMPUTED_VALUE"""),"USD")</f>
        <v>USD</v>
      </c>
      <c r="F650" s="69">
        <f>IFERROR(__xludf.DUMMYFUNCTION("""COMPUTED_VALUE"""),45.0)</f>
        <v>45</v>
      </c>
      <c r="G650" s="70">
        <f>IFERROR(__xludf.DUMMYFUNCTION("""COMPUTED_VALUE"""),7.83915)</f>
        <v>7.83915</v>
      </c>
      <c r="H650" s="71">
        <f>IFERROR(__xludf.DUMMYFUNCTION("""COMPUTED_VALUE"""),208.34)</f>
        <v>208.34</v>
      </c>
      <c r="I650" s="71">
        <f>IFERROR(__xludf.DUMMYFUNCTION("""COMPUTED_VALUE"""),214.38)</f>
        <v>214.38</v>
      </c>
      <c r="J650" s="88" t="str">
        <f>IFERROR(__xludf.DUMMYFUNCTION("""COMPUTED_VALUE"""),"Goto link: SNOW")</f>
        <v>Goto link: SNOW</v>
      </c>
      <c r="K650" s="22"/>
      <c r="L650" s="22"/>
      <c r="M650" s="22"/>
      <c r="N650" s="22"/>
      <c r="O650" s="73"/>
      <c r="P650" s="8"/>
      <c r="Q650" s="69"/>
      <c r="R650" s="69"/>
      <c r="S650" s="8"/>
      <c r="T650" s="69"/>
      <c r="U650" s="8"/>
      <c r="V650" s="69"/>
      <c r="W650" s="74"/>
      <c r="X650" s="69"/>
    </row>
    <row r="651">
      <c r="A651" s="30" t="str">
        <f>IFERROR(__xludf.DUMMYFUNCTION("""COMPUTED_VALUE"""),"46225")</f>
        <v>46225</v>
      </c>
      <c r="B651" s="86">
        <f>IFERROR(__xludf.DUMMYFUNCTION("""COMPUTED_VALUE"""),44659.0)</f>
        <v>44659</v>
      </c>
      <c r="C651" s="64" t="str">
        <f>IFERROR(__xludf.DUMMYFUNCTION("""COMPUTED_VALUE"""),"Stock")</f>
        <v>Stock</v>
      </c>
      <c r="D651" s="85" t="str">
        <f>IFERROR(__xludf.DUMMYFUNCTION("""COMPUTED_VALUE"""),"SOL-USD")</f>
        <v>SOL-USD</v>
      </c>
      <c r="E651" s="5" t="str">
        <f>IFERROR(__xludf.DUMMYFUNCTION("""COMPUTED_VALUE"""),"USD")</f>
        <v>USD</v>
      </c>
      <c r="F651" s="69">
        <f>IFERROR(__xludf.DUMMYFUNCTION("""COMPUTED_VALUE"""),84.0)</f>
        <v>84</v>
      </c>
      <c r="G651" s="70">
        <f>IFERROR(__xludf.DUMMYFUNCTION("""COMPUTED_VALUE"""),7.83915)</f>
        <v>7.83915</v>
      </c>
      <c r="H651" s="71">
        <f>IFERROR(__xludf.DUMMYFUNCTION("""COMPUTED_VALUE"""),113.1)</f>
        <v>113.1</v>
      </c>
      <c r="I651" s="71" t="str">
        <f>IFERROR(__xludf.DUMMYFUNCTION("""COMPUTED_VALUE"""),"#N/A")</f>
        <v>#N/A</v>
      </c>
      <c r="J651" s="88" t="str">
        <f>IFERROR(__xludf.DUMMYFUNCTION("""COMPUTED_VALUE"""),"Goto link: SOL-USD")</f>
        <v>Goto link: SOL-USD</v>
      </c>
      <c r="K651" s="22"/>
      <c r="L651" s="22"/>
      <c r="M651" s="22"/>
      <c r="N651" s="22"/>
      <c r="O651" s="73"/>
      <c r="P651" s="8"/>
      <c r="Q651" s="69"/>
      <c r="R651" s="69"/>
      <c r="S651" s="8"/>
      <c r="T651" s="69"/>
      <c r="U651" s="8"/>
      <c r="V651" s="69"/>
      <c r="W651" s="74"/>
      <c r="X651" s="69"/>
    </row>
    <row r="652">
      <c r="A652" s="30" t="str">
        <f>IFERROR(__xludf.DUMMYFUNCTION("""COMPUTED_VALUE"""),"46225")</f>
        <v>46225</v>
      </c>
      <c r="B652" s="86">
        <f>IFERROR(__xludf.DUMMYFUNCTION("""COMPUTED_VALUE"""),44659.0)</f>
        <v>44659</v>
      </c>
      <c r="C652" s="64" t="str">
        <f>IFERROR(__xludf.DUMMYFUNCTION("""COMPUTED_VALUE"""),"Stock")</f>
        <v>Stock</v>
      </c>
      <c r="D652" s="85" t="str">
        <f>IFERROR(__xludf.DUMMYFUNCTION("""COMPUTED_VALUE"""),"TSLA")</f>
        <v>TSLA</v>
      </c>
      <c r="E652" s="5" t="str">
        <f>IFERROR(__xludf.DUMMYFUNCTION("""COMPUTED_VALUE"""),"USD")</f>
        <v>USD</v>
      </c>
      <c r="F652" s="69">
        <f>IFERROR(__xludf.DUMMYFUNCTION("""COMPUTED_VALUE"""),18.0)</f>
        <v>18</v>
      </c>
      <c r="G652" s="70">
        <f>IFERROR(__xludf.DUMMYFUNCTION("""COMPUTED_VALUE"""),7.83915)</f>
        <v>7.83915</v>
      </c>
      <c r="H652" s="71">
        <f>IFERROR(__xludf.DUMMYFUNCTION("""COMPUTED_VALUE"""),1025.49)</f>
        <v>1025.49</v>
      </c>
      <c r="I652" s="71">
        <f>IFERROR(__xludf.DUMMYFUNCTION("""COMPUTED_VALUE"""),1022.37)</f>
        <v>1022.37</v>
      </c>
      <c r="J652" s="88" t="str">
        <f>IFERROR(__xludf.DUMMYFUNCTION("""COMPUTED_VALUE"""),"Goto link: TSLA")</f>
        <v>Goto link: TSLA</v>
      </c>
      <c r="K652" s="22"/>
      <c r="L652" s="22"/>
      <c r="M652" s="22"/>
      <c r="N652" s="22"/>
      <c r="O652" s="73"/>
      <c r="P652" s="8"/>
      <c r="Q652" s="69"/>
      <c r="R652" s="69"/>
      <c r="S652" s="8"/>
      <c r="T652" s="69"/>
      <c r="U652" s="8"/>
      <c r="V652" s="69"/>
      <c r="W652" s="74"/>
      <c r="X652" s="69"/>
    </row>
    <row r="653">
      <c r="A653" s="30" t="str">
        <f>IFERROR(__xludf.DUMMYFUNCTION("""COMPUTED_VALUE"""),"46225 Total")</f>
        <v>46225 Total</v>
      </c>
      <c r="B653" s="5"/>
      <c r="C653" s="64"/>
      <c r="D653" s="85"/>
      <c r="E653" s="5"/>
      <c r="F653" s="69"/>
      <c r="G653" s="70">
        <f>IFERROR(__xludf.DUMMYFUNCTION("""COMPUTED_VALUE"""),7.217409090909093)</f>
        <v>7.217409091</v>
      </c>
      <c r="H653" s="71">
        <f>IFERROR(__xludf.DUMMYFUNCTION("""COMPUTED_VALUE"""),1057.26)</f>
        <v>1057.26</v>
      </c>
      <c r="I653" s="71" t="str">
        <f>IFERROR(__xludf.DUMMYFUNCTION("""COMPUTED_VALUE"""),"")</f>
        <v/>
      </c>
      <c r="J653" s="22" t="str">
        <f>IFERROR(__xludf.DUMMYFUNCTION("""COMPUTED_VALUE"""),"")</f>
        <v/>
      </c>
      <c r="K653" s="22"/>
      <c r="L653" s="22"/>
      <c r="M653" s="22"/>
      <c r="N653" s="22"/>
      <c r="O653" s="73"/>
      <c r="P653" s="8"/>
      <c r="Q653" s="69"/>
      <c r="R653" s="69"/>
      <c r="S653" s="8"/>
      <c r="T653" s="69"/>
      <c r="U653" s="8"/>
      <c r="V653" s="69"/>
      <c r="W653" s="74"/>
      <c r="X653" s="69"/>
    </row>
    <row r="654">
      <c r="A654" s="30" t="str">
        <f>IFERROR(__xludf.DUMMYFUNCTION("""COMPUTED_VALUE"""),"46276")</f>
        <v>46276</v>
      </c>
      <c r="B654" s="86">
        <f>IFERROR(__xludf.DUMMYFUNCTION("""COMPUTED_VALUE"""),44597.0)</f>
        <v>44597</v>
      </c>
      <c r="C654" s="64" t="str">
        <f>IFERROR(__xludf.DUMMYFUNCTION("""COMPUTED_VALUE"""),"Cash")</f>
        <v>Cash</v>
      </c>
      <c r="D654" s="85" t="str">
        <f>IFERROR(__xludf.DUMMYFUNCTION("""COMPUTED_VALUE"""),"Cash")</f>
        <v>Cash</v>
      </c>
      <c r="E654" s="5" t="str">
        <f>IFERROR(__xludf.DUMMYFUNCTION("""COMPUTED_VALUE"""),"HKD")</f>
        <v>HKD</v>
      </c>
      <c r="F654" s="69" t="str">
        <f>IFERROR(__xludf.DUMMYFUNCTION("""COMPUTED_VALUE"""),"")</f>
        <v/>
      </c>
      <c r="G654" s="70">
        <f>IFERROR(__xludf.DUMMYFUNCTION("""COMPUTED_VALUE"""),1.0)</f>
        <v>1</v>
      </c>
      <c r="H654" s="71">
        <f>IFERROR(__xludf.DUMMYFUNCTION("""COMPUTED_VALUE"""),1.0)</f>
        <v>1</v>
      </c>
      <c r="I654" s="71">
        <f>IFERROR(__xludf.DUMMYFUNCTION("""COMPUTED_VALUE"""),1.0)</f>
        <v>1</v>
      </c>
      <c r="J654" s="22" t="str">
        <f>IFERROR(__xludf.DUMMYFUNCTION("""COMPUTED_VALUE"""),"")</f>
        <v/>
      </c>
      <c r="K654" s="22"/>
      <c r="L654" s="22"/>
      <c r="M654" s="22"/>
      <c r="N654" s="22"/>
      <c r="O654" s="73"/>
      <c r="P654" s="8"/>
      <c r="Q654" s="69"/>
      <c r="R654" s="69"/>
      <c r="S654" s="8"/>
      <c r="T654" s="69"/>
      <c r="U654" s="8"/>
      <c r="V654" s="69"/>
      <c r="W654" s="74"/>
      <c r="X654" s="69"/>
    </row>
    <row r="655">
      <c r="A655" s="30" t="str">
        <f>IFERROR(__xludf.DUMMYFUNCTION("""COMPUTED_VALUE"""),"46276")</f>
        <v>46276</v>
      </c>
      <c r="B655" s="86">
        <f>IFERROR(__xludf.DUMMYFUNCTION("""COMPUTED_VALUE"""),44607.0)</f>
        <v>44607</v>
      </c>
      <c r="C655" s="64" t="str">
        <f>IFERROR(__xludf.DUMMYFUNCTION("""COMPUTED_VALUE"""),"Stock")</f>
        <v>Stock</v>
      </c>
      <c r="D655" s="87" t="str">
        <f>IFERROR(__xludf.DUMMYFUNCTION("""COMPUTED_VALUE"""),"BAC")</f>
        <v>BAC</v>
      </c>
      <c r="E655" s="5" t="str">
        <f>IFERROR(__xludf.DUMMYFUNCTION("""COMPUTED_VALUE"""),"USD")</f>
        <v>USD</v>
      </c>
      <c r="F655" s="69">
        <f>IFERROR(__xludf.DUMMYFUNCTION("""COMPUTED_VALUE"""),400.0)</f>
        <v>400</v>
      </c>
      <c r="G655" s="70">
        <f>IFERROR(__xludf.DUMMYFUNCTION("""COMPUTED_VALUE"""),7.83915)</f>
        <v>7.83915</v>
      </c>
      <c r="H655" s="71">
        <f>IFERROR(__xludf.DUMMYFUNCTION("""COMPUTED_VALUE"""),47.79)</f>
        <v>47.79</v>
      </c>
      <c r="I655" s="71">
        <f>IFERROR(__xludf.DUMMYFUNCTION("""COMPUTED_VALUE"""),38.85)</f>
        <v>38.85</v>
      </c>
      <c r="J655" s="88" t="str">
        <f>IFERROR(__xludf.DUMMYFUNCTION("""COMPUTED_VALUE"""),"Goto link: BAC")</f>
        <v>Goto link: BAC</v>
      </c>
      <c r="K655" s="22"/>
      <c r="L655" s="22"/>
      <c r="M655" s="22"/>
      <c r="N655" s="22"/>
      <c r="O655" s="73"/>
      <c r="P655" s="8"/>
      <c r="Q655" s="69"/>
      <c r="R655" s="69"/>
      <c r="S655" s="8"/>
      <c r="T655" s="69"/>
      <c r="U655" s="8"/>
      <c r="V655" s="69"/>
      <c r="W655" s="74"/>
      <c r="X655" s="69"/>
    </row>
    <row r="656">
      <c r="A656" s="30" t="str">
        <f>IFERROR(__xludf.DUMMYFUNCTION("""COMPUTED_VALUE"""),"46276")</f>
        <v>46276</v>
      </c>
      <c r="B656" s="86">
        <f>IFERROR(__xludf.DUMMYFUNCTION("""COMPUTED_VALUE"""),44607.0)</f>
        <v>44607</v>
      </c>
      <c r="C656" s="64" t="str">
        <f>IFERROR(__xludf.DUMMYFUNCTION("""COMPUTED_VALUE"""),"Stock")</f>
        <v>Stock</v>
      </c>
      <c r="D656" s="87" t="str">
        <f>IFERROR(__xludf.DUMMYFUNCTION("""COMPUTED_VALUE"""),"BRK-B")</f>
        <v>BRK-B</v>
      </c>
      <c r="E656" s="5" t="str">
        <f>IFERROR(__xludf.DUMMYFUNCTION("""COMPUTED_VALUE"""),"USD")</f>
        <v>USD</v>
      </c>
      <c r="F656" s="69">
        <f>IFERROR(__xludf.DUMMYFUNCTION("""COMPUTED_VALUE"""),65.0)</f>
        <v>65</v>
      </c>
      <c r="G656" s="70">
        <f>IFERROR(__xludf.DUMMYFUNCTION("""COMPUTED_VALUE"""),7.83915)</f>
        <v>7.83915</v>
      </c>
      <c r="H656" s="71">
        <f>IFERROR(__xludf.DUMMYFUNCTION("""COMPUTED_VALUE"""),316.2)</f>
        <v>316.2</v>
      </c>
      <c r="I656" s="71">
        <f>IFERROR(__xludf.DUMMYFUNCTION("""COMPUTED_VALUE"""),346.07)</f>
        <v>346.07</v>
      </c>
      <c r="J656" s="88" t="str">
        <f>IFERROR(__xludf.DUMMYFUNCTION("""COMPUTED_VALUE"""),"Goto link: BRK-B")</f>
        <v>Goto link: BRK-B</v>
      </c>
      <c r="K656" s="22"/>
      <c r="L656" s="22"/>
      <c r="M656" s="22"/>
      <c r="N656" s="22"/>
      <c r="O656" s="73"/>
      <c r="P656" s="8"/>
      <c r="Q656" s="69"/>
      <c r="R656" s="69"/>
      <c r="S656" s="8"/>
      <c r="T656" s="69"/>
      <c r="U656" s="8"/>
      <c r="V656" s="69"/>
      <c r="W656" s="74"/>
      <c r="X656" s="69"/>
    </row>
    <row r="657">
      <c r="A657" s="30" t="str">
        <f>IFERROR(__xludf.DUMMYFUNCTION("""COMPUTED_VALUE"""),"46276")</f>
        <v>46276</v>
      </c>
      <c r="B657" s="86">
        <f>IFERROR(__xludf.DUMMYFUNCTION("""COMPUTED_VALUE"""),44610.0)</f>
        <v>44610</v>
      </c>
      <c r="C657" s="64" t="str">
        <f>IFERROR(__xludf.DUMMYFUNCTION("""COMPUTED_VALUE"""),"Stock")</f>
        <v>Stock</v>
      </c>
      <c r="D657" s="87" t="str">
        <f>IFERROR(__xludf.DUMMYFUNCTION("""COMPUTED_VALUE"""),"BRK-B")</f>
        <v>BRK-B</v>
      </c>
      <c r="E657" s="5" t="str">
        <f>IFERROR(__xludf.DUMMYFUNCTION("""COMPUTED_VALUE"""),"USD")</f>
        <v>USD</v>
      </c>
      <c r="F657" s="69">
        <f>IFERROR(__xludf.DUMMYFUNCTION("""COMPUTED_VALUE"""),10.0)</f>
        <v>10</v>
      </c>
      <c r="G657" s="70">
        <f>IFERROR(__xludf.DUMMYFUNCTION("""COMPUTED_VALUE"""),7.83915)</f>
        <v>7.83915</v>
      </c>
      <c r="H657" s="71">
        <f>IFERROR(__xludf.DUMMYFUNCTION("""COMPUTED_VALUE"""),314.8)</f>
        <v>314.8</v>
      </c>
      <c r="I657" s="71">
        <f>IFERROR(__xludf.DUMMYFUNCTION("""COMPUTED_VALUE"""),346.07)</f>
        <v>346.07</v>
      </c>
      <c r="J657" s="88" t="str">
        <f>IFERROR(__xludf.DUMMYFUNCTION("""COMPUTED_VALUE"""),"Goto link: BRK-B")</f>
        <v>Goto link: BRK-B</v>
      </c>
      <c r="K657" s="22"/>
      <c r="L657" s="22"/>
      <c r="M657" s="22"/>
      <c r="N657" s="22"/>
      <c r="O657" s="73"/>
      <c r="P657" s="8"/>
      <c r="Q657" s="69"/>
      <c r="R657" s="69"/>
      <c r="S657" s="8"/>
      <c r="T657" s="69"/>
      <c r="U657" s="8"/>
      <c r="V657" s="69"/>
      <c r="W657" s="74"/>
      <c r="X657" s="69"/>
    </row>
    <row r="658">
      <c r="A658" s="30" t="str">
        <f>IFERROR(__xludf.DUMMYFUNCTION("""COMPUTED_VALUE"""),"46276 Total")</f>
        <v>46276 Total</v>
      </c>
      <c r="B658" s="5"/>
      <c r="C658" s="64"/>
      <c r="D658" s="85"/>
      <c r="E658" s="5"/>
      <c r="F658" s="69"/>
      <c r="G658" s="70">
        <f>IFERROR(__xludf.DUMMYFUNCTION("""COMPUTED_VALUE"""),6.1293625)</f>
        <v>6.1293625</v>
      </c>
      <c r="H658" s="71">
        <f>IFERROR(__xludf.DUMMYFUNCTION("""COMPUTED_VALUE"""),316.2)</f>
        <v>316.2</v>
      </c>
      <c r="I658" s="71" t="str">
        <f>IFERROR(__xludf.DUMMYFUNCTION("""COMPUTED_VALUE"""),"")</f>
        <v/>
      </c>
      <c r="J658" s="22" t="str">
        <f>IFERROR(__xludf.DUMMYFUNCTION("""COMPUTED_VALUE"""),"")</f>
        <v/>
      </c>
      <c r="K658" s="22"/>
      <c r="L658" s="22"/>
      <c r="M658" s="22"/>
      <c r="N658" s="22"/>
      <c r="O658" s="73"/>
      <c r="P658" s="8"/>
      <c r="Q658" s="69"/>
      <c r="R658" s="69"/>
      <c r="S658" s="8"/>
      <c r="T658" s="69"/>
      <c r="U658" s="8"/>
      <c r="V658" s="69"/>
      <c r="W658" s="74"/>
      <c r="X658" s="69"/>
    </row>
    <row r="659">
      <c r="A659" s="30" t="str">
        <f>IFERROR(__xludf.DUMMYFUNCTION("""COMPUTED_VALUE"""),"46322")</f>
        <v>46322</v>
      </c>
      <c r="B659" s="86">
        <f>IFERROR(__xludf.DUMMYFUNCTION("""COMPUTED_VALUE"""),44597.0)</f>
        <v>44597</v>
      </c>
      <c r="C659" s="64" t="str">
        <f>IFERROR(__xludf.DUMMYFUNCTION("""COMPUTED_VALUE"""),"Cash")</f>
        <v>Cash</v>
      </c>
      <c r="D659" s="85" t="str">
        <f>IFERROR(__xludf.DUMMYFUNCTION("""COMPUTED_VALUE"""),"Cash")</f>
        <v>Cash</v>
      </c>
      <c r="E659" s="5" t="str">
        <f>IFERROR(__xludf.DUMMYFUNCTION("""COMPUTED_VALUE"""),"HKD")</f>
        <v>HKD</v>
      </c>
      <c r="F659" s="69" t="str">
        <f>IFERROR(__xludf.DUMMYFUNCTION("""COMPUTED_VALUE"""),"")</f>
        <v/>
      </c>
      <c r="G659" s="70">
        <f>IFERROR(__xludf.DUMMYFUNCTION("""COMPUTED_VALUE"""),1.0)</f>
        <v>1</v>
      </c>
      <c r="H659" s="71">
        <f>IFERROR(__xludf.DUMMYFUNCTION("""COMPUTED_VALUE"""),1.0)</f>
        <v>1</v>
      </c>
      <c r="I659" s="71">
        <f>IFERROR(__xludf.DUMMYFUNCTION("""COMPUTED_VALUE"""),1.0)</f>
        <v>1</v>
      </c>
      <c r="J659" s="22" t="str">
        <f>IFERROR(__xludf.DUMMYFUNCTION("""COMPUTED_VALUE"""),"")</f>
        <v/>
      </c>
      <c r="K659" s="22"/>
      <c r="L659" s="22"/>
      <c r="M659" s="22"/>
      <c r="N659" s="22"/>
      <c r="O659" s="73"/>
      <c r="P659" s="8"/>
      <c r="Q659" s="69"/>
      <c r="R659" s="69"/>
      <c r="S659" s="8"/>
      <c r="T659" s="69"/>
      <c r="U659" s="8"/>
      <c r="V659" s="69"/>
      <c r="W659" s="74"/>
      <c r="X659" s="69"/>
    </row>
    <row r="660">
      <c r="A660" s="30" t="str">
        <f>IFERROR(__xludf.DUMMYFUNCTION("""COMPUTED_VALUE"""),"46322")</f>
        <v>46322</v>
      </c>
      <c r="B660" s="86">
        <f>IFERROR(__xludf.DUMMYFUNCTION("""COMPUTED_VALUE"""),44616.0)</f>
        <v>44616</v>
      </c>
      <c r="C660" s="64" t="str">
        <f>IFERROR(__xludf.DUMMYFUNCTION("""COMPUTED_VALUE"""),"Stock")</f>
        <v>Stock</v>
      </c>
      <c r="D660" s="90" t="str">
        <f>IFERROR(__xludf.DUMMYFUNCTION("""COMPUTED_VALUE"""),"0941.HK")</f>
        <v>0941.HK</v>
      </c>
      <c r="E660" s="5" t="str">
        <f>IFERROR(__xludf.DUMMYFUNCTION("""COMPUTED_VALUE"""),"HKD")</f>
        <v>HKD</v>
      </c>
      <c r="F660" s="69">
        <f>IFERROR(__xludf.DUMMYFUNCTION("""COMPUTED_VALUE"""),2.0)</f>
        <v>2</v>
      </c>
      <c r="G660" s="70">
        <f>IFERROR(__xludf.DUMMYFUNCTION("""COMPUTED_VALUE"""),1.0)</f>
        <v>1</v>
      </c>
      <c r="H660" s="71">
        <f>IFERROR(__xludf.DUMMYFUNCTION("""COMPUTED_VALUE"""),54.0)</f>
        <v>54</v>
      </c>
      <c r="I660" s="71">
        <f>IFERROR(__xludf.DUMMYFUNCTION("""COMPUTED_VALUE"""),55.5)</f>
        <v>55.5</v>
      </c>
      <c r="J660" s="88" t="str">
        <f>IFERROR(__xludf.DUMMYFUNCTION("""COMPUTED_VALUE"""),"Goto link: 0941.HK")</f>
        <v>Goto link: 0941.HK</v>
      </c>
      <c r="K660" s="22"/>
      <c r="L660" s="22"/>
      <c r="M660" s="22"/>
      <c r="N660" s="22"/>
      <c r="O660" s="73"/>
      <c r="P660" s="8"/>
      <c r="Q660" s="69"/>
      <c r="R660" s="69"/>
      <c r="S660" s="8"/>
      <c r="T660" s="69"/>
      <c r="U660" s="8"/>
      <c r="V660" s="69"/>
      <c r="W660" s="74"/>
      <c r="X660" s="69"/>
    </row>
    <row r="661">
      <c r="A661" s="30" t="str">
        <f>IFERROR(__xludf.DUMMYFUNCTION("""COMPUTED_VALUE"""),"46322")</f>
        <v>46322</v>
      </c>
      <c r="B661" s="86">
        <f>IFERROR(__xludf.DUMMYFUNCTION("""COMPUTED_VALUE"""),44616.0)</f>
        <v>44616</v>
      </c>
      <c r="C661" s="64" t="str">
        <f>IFERROR(__xludf.DUMMYFUNCTION("""COMPUTED_VALUE"""),"Stock")</f>
        <v>Stock</v>
      </c>
      <c r="D661" s="90" t="str">
        <f>IFERROR(__xludf.DUMMYFUNCTION("""COMPUTED_VALUE"""),"3047.HK")</f>
        <v>3047.HK</v>
      </c>
      <c r="E661" s="5" t="str">
        <f>IFERROR(__xludf.DUMMYFUNCTION("""COMPUTED_VALUE"""),"HKD")</f>
        <v>HKD</v>
      </c>
      <c r="F661" s="69">
        <f>IFERROR(__xludf.DUMMYFUNCTION("""COMPUTED_VALUE"""),5.0)</f>
        <v>5</v>
      </c>
      <c r="G661" s="70">
        <f>IFERROR(__xludf.DUMMYFUNCTION("""COMPUTED_VALUE"""),1.0)</f>
        <v>1</v>
      </c>
      <c r="H661" s="71">
        <f>IFERROR(__xludf.DUMMYFUNCTION("""COMPUTED_VALUE"""),13.0)</f>
        <v>13</v>
      </c>
      <c r="I661" s="71">
        <f>IFERROR(__xludf.DUMMYFUNCTION("""COMPUTED_VALUE"""),16.66)</f>
        <v>16.66</v>
      </c>
      <c r="J661" s="88" t="str">
        <f>IFERROR(__xludf.DUMMYFUNCTION("""COMPUTED_VALUE"""),"Goto link: 3047.HK")</f>
        <v>Goto link: 3047.HK</v>
      </c>
      <c r="K661" s="22"/>
      <c r="L661" s="22"/>
      <c r="M661" s="22"/>
      <c r="N661" s="22"/>
      <c r="O661" s="73"/>
      <c r="P661" s="8"/>
      <c r="Q661" s="69"/>
      <c r="R661" s="69"/>
      <c r="S661" s="8"/>
      <c r="T661" s="69"/>
      <c r="U661" s="8"/>
      <c r="V661" s="69"/>
      <c r="W661" s="74"/>
      <c r="X661" s="69"/>
    </row>
    <row r="662">
      <c r="A662" s="30" t="str">
        <f>IFERROR(__xludf.DUMMYFUNCTION("""COMPUTED_VALUE"""),"46322")</f>
        <v>46322</v>
      </c>
      <c r="B662" s="86">
        <f>IFERROR(__xludf.DUMMYFUNCTION("""COMPUTED_VALUE"""),44616.0)</f>
        <v>44616</v>
      </c>
      <c r="C662" s="64" t="str">
        <f>IFERROR(__xludf.DUMMYFUNCTION("""COMPUTED_VALUE"""),"Stock")</f>
        <v>Stock</v>
      </c>
      <c r="D662" s="90" t="str">
        <f>IFERROR(__xludf.DUMMYFUNCTION("""COMPUTED_VALUE"""),"9988.HK")</f>
        <v>9988.HK</v>
      </c>
      <c r="E662" s="5" t="str">
        <f>IFERROR(__xludf.DUMMYFUNCTION("""COMPUTED_VALUE"""),"HKD")</f>
        <v>HKD</v>
      </c>
      <c r="F662" s="69">
        <f>IFERROR(__xludf.DUMMYFUNCTION("""COMPUTED_VALUE"""),2.0)</f>
        <v>2</v>
      </c>
      <c r="G662" s="70">
        <f>IFERROR(__xludf.DUMMYFUNCTION("""COMPUTED_VALUE"""),1.0)</f>
        <v>1</v>
      </c>
      <c r="H662" s="71">
        <f>IFERROR(__xludf.DUMMYFUNCTION("""COMPUTED_VALUE"""),104.9)</f>
        <v>104.9</v>
      </c>
      <c r="I662" s="71">
        <f>IFERROR(__xludf.DUMMYFUNCTION("""COMPUTED_VALUE"""),98.5)</f>
        <v>98.5</v>
      </c>
      <c r="J662" s="88" t="str">
        <f>IFERROR(__xludf.DUMMYFUNCTION("""COMPUTED_VALUE"""),"Goto link: 9988.HK")</f>
        <v>Goto link: 9988.HK</v>
      </c>
      <c r="K662" s="22"/>
      <c r="L662" s="22"/>
      <c r="M662" s="22"/>
      <c r="N662" s="22"/>
      <c r="O662" s="73"/>
      <c r="P662" s="8"/>
      <c r="Q662" s="69"/>
      <c r="R662" s="69"/>
      <c r="S662" s="8"/>
      <c r="T662" s="69"/>
      <c r="U662" s="8"/>
      <c r="V662" s="69"/>
      <c r="W662" s="74"/>
      <c r="X662" s="69"/>
    </row>
    <row r="663">
      <c r="A663" s="30" t="str">
        <f>IFERROR(__xludf.DUMMYFUNCTION("""COMPUTED_VALUE"""),"46322")</f>
        <v>46322</v>
      </c>
      <c r="B663" s="86">
        <f>IFERROR(__xludf.DUMMYFUNCTION("""COMPUTED_VALUE"""),44617.0)</f>
        <v>44617</v>
      </c>
      <c r="C663" s="64" t="str">
        <f>IFERROR(__xludf.DUMMYFUNCTION("""COMPUTED_VALUE"""),"Stock")</f>
        <v>Stock</v>
      </c>
      <c r="D663" s="87" t="str">
        <f>IFERROR(__xludf.DUMMYFUNCTION("""COMPUTED_VALUE"""),"SARK")</f>
        <v>SARK</v>
      </c>
      <c r="E663" s="5" t="str">
        <f>IFERROR(__xludf.DUMMYFUNCTION("""COMPUTED_VALUE"""),"USD")</f>
        <v>USD</v>
      </c>
      <c r="F663" s="69">
        <f>IFERROR(__xludf.DUMMYFUNCTION("""COMPUTED_VALUE"""),200.0)</f>
        <v>200</v>
      </c>
      <c r="G663" s="70">
        <f>IFERROR(__xludf.DUMMYFUNCTION("""COMPUTED_VALUE"""),7.83915)</f>
        <v>7.83915</v>
      </c>
      <c r="H663" s="71">
        <f>IFERROR(__xludf.DUMMYFUNCTION("""COMPUTED_VALUE"""),48.0)</f>
        <v>48</v>
      </c>
      <c r="I663" s="71">
        <f>IFERROR(__xludf.DUMMYFUNCTION("""COMPUTED_VALUE"""),49.14)</f>
        <v>49.14</v>
      </c>
      <c r="J663" s="88" t="str">
        <f>IFERROR(__xludf.DUMMYFUNCTION("""COMPUTED_VALUE"""),"Goto link: SARK")</f>
        <v>Goto link: SARK</v>
      </c>
      <c r="K663" s="22"/>
      <c r="L663" s="22"/>
      <c r="M663" s="22"/>
      <c r="N663" s="22"/>
      <c r="O663" s="73"/>
      <c r="P663" s="8"/>
      <c r="Q663" s="69"/>
      <c r="R663" s="69"/>
      <c r="S663" s="8"/>
      <c r="T663" s="69"/>
      <c r="U663" s="8"/>
      <c r="V663" s="69"/>
      <c r="W663" s="74"/>
      <c r="X663" s="69"/>
    </row>
    <row r="664">
      <c r="A664" s="30" t="str">
        <f>IFERROR(__xludf.DUMMYFUNCTION("""COMPUTED_VALUE"""),"46322")</f>
        <v>46322</v>
      </c>
      <c r="B664" s="86">
        <f>IFERROR(__xludf.DUMMYFUNCTION("""COMPUTED_VALUE"""),44619.0)</f>
        <v>44619</v>
      </c>
      <c r="C664" s="64" t="str">
        <f>IFERROR(__xludf.DUMMYFUNCTION("""COMPUTED_VALUE"""),"Stock")</f>
        <v>Stock</v>
      </c>
      <c r="D664" s="87" t="str">
        <f>IFERROR(__xludf.DUMMYFUNCTION("""COMPUTED_VALUE"""),"ARKK")</f>
        <v>ARKK</v>
      </c>
      <c r="E664" s="5" t="str">
        <f>IFERROR(__xludf.DUMMYFUNCTION("""COMPUTED_VALUE"""),"USD")</f>
        <v>USD</v>
      </c>
      <c r="F664" s="69">
        <f>IFERROR(__xludf.DUMMYFUNCTION("""COMPUTED_VALUE"""),200.0)</f>
        <v>200</v>
      </c>
      <c r="G664" s="70">
        <f>IFERROR(__xludf.DUMMYFUNCTION("""COMPUTED_VALUE"""),7.83915)</f>
        <v>7.83915</v>
      </c>
      <c r="H664" s="71">
        <f>IFERROR(__xludf.DUMMYFUNCTION("""COMPUTED_VALUE"""),70.47)</f>
        <v>70.47</v>
      </c>
      <c r="I664" s="71">
        <f>IFERROR(__xludf.DUMMYFUNCTION("""COMPUTED_VALUE"""),61.71)</f>
        <v>61.71</v>
      </c>
      <c r="J664" s="88" t="str">
        <f>IFERROR(__xludf.DUMMYFUNCTION("""COMPUTED_VALUE"""),"Goto link: ARKK")</f>
        <v>Goto link: ARKK</v>
      </c>
      <c r="K664" s="22"/>
      <c r="L664" s="22"/>
      <c r="M664" s="22"/>
      <c r="N664" s="22"/>
      <c r="O664" s="73"/>
      <c r="P664" s="8"/>
      <c r="Q664" s="69"/>
      <c r="R664" s="69"/>
      <c r="S664" s="8"/>
      <c r="T664" s="69"/>
      <c r="U664" s="8"/>
      <c r="V664" s="69"/>
      <c r="W664" s="74"/>
      <c r="X664" s="69"/>
    </row>
    <row r="665">
      <c r="A665" s="30" t="str">
        <f>IFERROR(__xludf.DUMMYFUNCTION("""COMPUTED_VALUE"""),"46322")</f>
        <v>46322</v>
      </c>
      <c r="B665" s="86">
        <f>IFERROR(__xludf.DUMMYFUNCTION("""COMPUTED_VALUE"""),44622.0)</f>
        <v>44622</v>
      </c>
      <c r="C665" s="64" t="str">
        <f>IFERROR(__xludf.DUMMYFUNCTION("""COMPUTED_VALUE"""),"Stock")</f>
        <v>Stock</v>
      </c>
      <c r="D665" s="87" t="str">
        <f>IFERROR(__xludf.DUMMYFUNCTION("""COMPUTED_VALUE"""),"ARKK")</f>
        <v>ARKK</v>
      </c>
      <c r="E665" s="5" t="str">
        <f>IFERROR(__xludf.DUMMYFUNCTION("""COMPUTED_VALUE"""),"USD")</f>
        <v>USD</v>
      </c>
      <c r="F665" s="69">
        <f>IFERROR(__xludf.DUMMYFUNCTION("""COMPUTED_VALUE"""),-200.0)</f>
        <v>-200</v>
      </c>
      <c r="G665" s="70">
        <f>IFERROR(__xludf.DUMMYFUNCTION("""COMPUTED_VALUE"""),7.83915)</f>
        <v>7.83915</v>
      </c>
      <c r="H665" s="71">
        <f>IFERROR(__xludf.DUMMYFUNCTION("""COMPUTED_VALUE"""),67.56)</f>
        <v>67.56</v>
      </c>
      <c r="I665" s="71">
        <f>IFERROR(__xludf.DUMMYFUNCTION("""COMPUTED_VALUE"""),61.71)</f>
        <v>61.71</v>
      </c>
      <c r="J665" s="88" t="str">
        <f>IFERROR(__xludf.DUMMYFUNCTION("""COMPUTED_VALUE"""),"Goto link: ARKK")</f>
        <v>Goto link: ARKK</v>
      </c>
      <c r="K665" s="22"/>
      <c r="L665" s="22"/>
      <c r="M665" s="22"/>
      <c r="N665" s="22"/>
      <c r="O665" s="73"/>
      <c r="P665" s="8"/>
      <c r="Q665" s="69"/>
      <c r="R665" s="69"/>
      <c r="S665" s="8"/>
      <c r="T665" s="69"/>
      <c r="U665" s="8"/>
      <c r="V665" s="69"/>
      <c r="W665" s="74"/>
      <c r="X665" s="69"/>
    </row>
    <row r="666">
      <c r="A666" s="30" t="str">
        <f>IFERROR(__xludf.DUMMYFUNCTION("""COMPUTED_VALUE"""),"46322")</f>
        <v>46322</v>
      </c>
      <c r="B666" s="86">
        <f>IFERROR(__xludf.DUMMYFUNCTION("""COMPUTED_VALUE"""),44627.0)</f>
        <v>44627</v>
      </c>
      <c r="C666" s="64" t="str">
        <f>IFERROR(__xludf.DUMMYFUNCTION("""COMPUTED_VALUE"""),"Stock")</f>
        <v>Stock</v>
      </c>
      <c r="D666" s="87" t="str">
        <f>IFERROR(__xludf.DUMMYFUNCTION("""COMPUTED_VALUE"""),"SARK")</f>
        <v>SARK</v>
      </c>
      <c r="E666" s="5" t="str">
        <f>IFERROR(__xludf.DUMMYFUNCTION("""COMPUTED_VALUE"""),"USD")</f>
        <v>USD</v>
      </c>
      <c r="F666" s="69">
        <f>IFERROR(__xludf.DUMMYFUNCTION("""COMPUTED_VALUE"""),300.0)</f>
        <v>300</v>
      </c>
      <c r="G666" s="70">
        <f>IFERROR(__xludf.DUMMYFUNCTION("""COMPUTED_VALUE"""),7.83915)</f>
        <v>7.83915</v>
      </c>
      <c r="H666" s="71">
        <f>IFERROR(__xludf.DUMMYFUNCTION("""COMPUTED_VALUE"""),55.25)</f>
        <v>55.25</v>
      </c>
      <c r="I666" s="71">
        <f>IFERROR(__xludf.DUMMYFUNCTION("""COMPUTED_VALUE"""),49.14)</f>
        <v>49.14</v>
      </c>
      <c r="J666" s="88" t="str">
        <f>IFERROR(__xludf.DUMMYFUNCTION("""COMPUTED_VALUE"""),"Goto link: SARK")</f>
        <v>Goto link: SARK</v>
      </c>
      <c r="K666" s="22"/>
      <c r="L666" s="22"/>
      <c r="M666" s="22"/>
      <c r="N666" s="22"/>
      <c r="O666" s="73"/>
      <c r="P666" s="8"/>
      <c r="Q666" s="69"/>
      <c r="R666" s="69"/>
      <c r="S666" s="8"/>
      <c r="T666" s="69"/>
      <c r="U666" s="8"/>
      <c r="V666" s="69"/>
      <c r="W666" s="74"/>
      <c r="X666" s="69"/>
    </row>
    <row r="667">
      <c r="A667" s="30" t="str">
        <f>IFERROR(__xludf.DUMMYFUNCTION("""COMPUTED_VALUE"""),"46322")</f>
        <v>46322</v>
      </c>
      <c r="B667" s="86">
        <f>IFERROR(__xludf.DUMMYFUNCTION("""COMPUTED_VALUE"""),44628.0)</f>
        <v>44628</v>
      </c>
      <c r="C667" s="64" t="str">
        <f>IFERROR(__xludf.DUMMYFUNCTION("""COMPUTED_VALUE"""),"Stock")</f>
        <v>Stock</v>
      </c>
      <c r="D667" s="90" t="str">
        <f>IFERROR(__xludf.DUMMYFUNCTION("""COMPUTED_VALUE"""),"3047.HK")</f>
        <v>3047.HK</v>
      </c>
      <c r="E667" s="5" t="str">
        <f>IFERROR(__xludf.DUMMYFUNCTION("""COMPUTED_VALUE"""),"HKD")</f>
        <v>HKD</v>
      </c>
      <c r="F667" s="69">
        <f>IFERROR(__xludf.DUMMYFUNCTION("""COMPUTED_VALUE"""),5.0)</f>
        <v>5</v>
      </c>
      <c r="G667" s="70">
        <f>IFERROR(__xludf.DUMMYFUNCTION("""COMPUTED_VALUE"""),1.0)</f>
        <v>1</v>
      </c>
      <c r="H667" s="71">
        <f>IFERROR(__xludf.DUMMYFUNCTION("""COMPUTED_VALUE"""),15.6)</f>
        <v>15.6</v>
      </c>
      <c r="I667" s="71">
        <f>IFERROR(__xludf.DUMMYFUNCTION("""COMPUTED_VALUE"""),16.66)</f>
        <v>16.66</v>
      </c>
      <c r="J667" s="88" t="str">
        <f>IFERROR(__xludf.DUMMYFUNCTION("""COMPUTED_VALUE"""),"Goto link: 3047.HK")</f>
        <v>Goto link: 3047.HK</v>
      </c>
      <c r="K667" s="22"/>
      <c r="L667" s="22"/>
      <c r="M667" s="22"/>
      <c r="N667" s="22"/>
      <c r="O667" s="73"/>
      <c r="P667" s="8"/>
      <c r="Q667" s="69"/>
      <c r="R667" s="69"/>
      <c r="S667" s="8"/>
      <c r="T667" s="69"/>
      <c r="U667" s="8"/>
      <c r="V667" s="69"/>
      <c r="W667" s="74"/>
      <c r="X667" s="69"/>
    </row>
    <row r="668">
      <c r="A668" s="30" t="str">
        <f>IFERROR(__xludf.DUMMYFUNCTION("""COMPUTED_VALUE"""),"46322")</f>
        <v>46322</v>
      </c>
      <c r="B668" s="86">
        <f>IFERROR(__xludf.DUMMYFUNCTION("""COMPUTED_VALUE"""),44628.0)</f>
        <v>44628</v>
      </c>
      <c r="C668" s="64" t="str">
        <f>IFERROR(__xludf.DUMMYFUNCTION("""COMPUTED_VALUE"""),"Stock")</f>
        <v>Stock</v>
      </c>
      <c r="D668" s="90" t="str">
        <f>IFERROR(__xludf.DUMMYFUNCTION("""COMPUTED_VALUE"""),"9988.HK")</f>
        <v>9988.HK</v>
      </c>
      <c r="E668" s="5" t="str">
        <f>IFERROR(__xludf.DUMMYFUNCTION("""COMPUTED_VALUE"""),"HKD")</f>
        <v>HKD</v>
      </c>
      <c r="F668" s="69">
        <f>IFERROR(__xludf.DUMMYFUNCTION("""COMPUTED_VALUE"""),300.0)</f>
        <v>300</v>
      </c>
      <c r="G668" s="70">
        <f>IFERROR(__xludf.DUMMYFUNCTION("""COMPUTED_VALUE"""),1.0)</f>
        <v>1</v>
      </c>
      <c r="H668" s="71">
        <f>IFERROR(__xludf.DUMMYFUNCTION("""COMPUTED_VALUE"""),92.15)</f>
        <v>92.15</v>
      </c>
      <c r="I668" s="71">
        <f>IFERROR(__xludf.DUMMYFUNCTION("""COMPUTED_VALUE"""),98.5)</f>
        <v>98.5</v>
      </c>
      <c r="J668" s="88" t="str">
        <f>IFERROR(__xludf.DUMMYFUNCTION("""COMPUTED_VALUE"""),"Goto link: 9988.HK")</f>
        <v>Goto link: 9988.HK</v>
      </c>
      <c r="K668" s="22"/>
      <c r="L668" s="22"/>
      <c r="M668" s="22"/>
      <c r="N668" s="22"/>
      <c r="O668" s="73"/>
      <c r="P668" s="8"/>
      <c r="Q668" s="69"/>
      <c r="R668" s="69"/>
      <c r="S668" s="8"/>
      <c r="T668" s="69"/>
      <c r="U668" s="8"/>
      <c r="V668" s="69"/>
      <c r="W668" s="74"/>
      <c r="X668" s="69"/>
    </row>
    <row r="669">
      <c r="A669" s="30" t="str">
        <f>IFERROR(__xludf.DUMMYFUNCTION("""COMPUTED_VALUE"""),"46322")</f>
        <v>46322</v>
      </c>
      <c r="B669" s="86">
        <f>IFERROR(__xludf.DUMMYFUNCTION("""COMPUTED_VALUE"""),44628.0)</f>
        <v>44628</v>
      </c>
      <c r="C669" s="64" t="str">
        <f>IFERROR(__xludf.DUMMYFUNCTION("""COMPUTED_VALUE"""),"Stock")</f>
        <v>Stock</v>
      </c>
      <c r="D669" s="90" t="str">
        <f>IFERROR(__xludf.DUMMYFUNCTION("""COMPUTED_VALUE"""),"9988.HK")</f>
        <v>9988.HK</v>
      </c>
      <c r="E669" s="5" t="str">
        <f>IFERROR(__xludf.DUMMYFUNCTION("""COMPUTED_VALUE"""),"HKD")</f>
        <v>HKD</v>
      </c>
      <c r="F669" s="69" t="str">
        <f>IFERROR(__xludf.DUMMYFUNCTION("""COMPUTED_VALUE"""),"")</f>
        <v/>
      </c>
      <c r="G669" s="70">
        <f>IFERROR(__xludf.DUMMYFUNCTION("""COMPUTED_VALUE"""),1.0)</f>
        <v>1</v>
      </c>
      <c r="H669" s="71">
        <f>IFERROR(__xludf.DUMMYFUNCTION("""COMPUTED_VALUE"""),96.0)</f>
        <v>96</v>
      </c>
      <c r="I669" s="71">
        <f>IFERROR(__xludf.DUMMYFUNCTION("""COMPUTED_VALUE"""),98.5)</f>
        <v>98.5</v>
      </c>
      <c r="J669" s="88" t="str">
        <f>IFERROR(__xludf.DUMMYFUNCTION("""COMPUTED_VALUE"""),"Goto link: 9988.HK")</f>
        <v>Goto link: 9988.HK</v>
      </c>
      <c r="K669" s="22"/>
      <c r="L669" s="22"/>
      <c r="M669" s="22"/>
      <c r="N669" s="22"/>
      <c r="O669" s="73"/>
      <c r="P669" s="8"/>
      <c r="Q669" s="69"/>
      <c r="R669" s="69"/>
      <c r="S669" s="8"/>
      <c r="T669" s="69"/>
      <c r="U669" s="8"/>
      <c r="V669" s="69"/>
      <c r="W669" s="74"/>
      <c r="X669" s="69"/>
    </row>
    <row r="670">
      <c r="A670" s="30" t="str">
        <f>IFERROR(__xludf.DUMMYFUNCTION("""COMPUTED_VALUE"""),"46322")</f>
        <v>46322</v>
      </c>
      <c r="B670" s="86">
        <f>IFERROR(__xludf.DUMMYFUNCTION("""COMPUTED_VALUE"""),44628.0)</f>
        <v>44628</v>
      </c>
      <c r="C670" s="64" t="str">
        <f>IFERROR(__xludf.DUMMYFUNCTION("""COMPUTED_VALUE"""),"Stock")</f>
        <v>Stock</v>
      </c>
      <c r="D670" s="87" t="str">
        <f>IFERROR(__xludf.DUMMYFUNCTION("""COMPUTED_VALUE"""),"NET")</f>
        <v>NET</v>
      </c>
      <c r="E670" s="5" t="str">
        <f>IFERROR(__xludf.DUMMYFUNCTION("""COMPUTED_VALUE"""),"USD")</f>
        <v>USD</v>
      </c>
      <c r="F670" s="69">
        <f>IFERROR(__xludf.DUMMYFUNCTION("""COMPUTED_VALUE"""),0.0)</f>
        <v>0</v>
      </c>
      <c r="G670" s="70">
        <f>IFERROR(__xludf.DUMMYFUNCTION("""COMPUTED_VALUE"""),7.83915)</f>
        <v>7.83915</v>
      </c>
      <c r="H670" s="71">
        <f>IFERROR(__xludf.DUMMYFUNCTION("""COMPUTED_VALUE"""),0.0)</f>
        <v>0</v>
      </c>
      <c r="I670" s="71">
        <f>IFERROR(__xludf.DUMMYFUNCTION("""COMPUTED_VALUE"""),121.55)</f>
        <v>121.55</v>
      </c>
      <c r="J670" s="88" t="str">
        <f>IFERROR(__xludf.DUMMYFUNCTION("""COMPUTED_VALUE"""),"Goto link: NET")</f>
        <v>Goto link: NET</v>
      </c>
      <c r="K670" s="22"/>
      <c r="L670" s="22"/>
      <c r="M670" s="22"/>
      <c r="N670" s="22"/>
      <c r="O670" s="73"/>
      <c r="P670" s="8"/>
      <c r="Q670" s="69"/>
      <c r="R670" s="69"/>
      <c r="S670" s="8"/>
      <c r="T670" s="69"/>
      <c r="U670" s="8"/>
      <c r="V670" s="69"/>
      <c r="W670" s="74"/>
      <c r="X670" s="69"/>
    </row>
    <row r="671">
      <c r="A671" s="30" t="str">
        <f>IFERROR(__xludf.DUMMYFUNCTION("""COMPUTED_VALUE"""),"46322")</f>
        <v>46322</v>
      </c>
      <c r="B671" s="86">
        <f>IFERROR(__xludf.DUMMYFUNCTION("""COMPUTED_VALUE"""),44634.0)</f>
        <v>44634</v>
      </c>
      <c r="C671" s="64" t="str">
        <f>IFERROR(__xludf.DUMMYFUNCTION("""COMPUTED_VALUE"""),"Stock")</f>
        <v>Stock</v>
      </c>
      <c r="D671" s="87" t="str">
        <f>IFERROR(__xludf.DUMMYFUNCTION("""COMPUTED_VALUE"""),"SARK")</f>
        <v>SARK</v>
      </c>
      <c r="E671" s="5" t="str">
        <f>IFERROR(__xludf.DUMMYFUNCTION("""COMPUTED_VALUE"""),"USD")</f>
        <v>USD</v>
      </c>
      <c r="F671" s="69">
        <f>IFERROR(__xludf.DUMMYFUNCTION("""COMPUTED_VALUE"""),-800.0)</f>
        <v>-800</v>
      </c>
      <c r="G671" s="70">
        <f>IFERROR(__xludf.DUMMYFUNCTION("""COMPUTED_VALUE"""),7.83915)</f>
        <v>7.83915</v>
      </c>
      <c r="H671" s="71">
        <f>IFERROR(__xludf.DUMMYFUNCTION("""COMPUTED_VALUE"""),60.61)</f>
        <v>60.61</v>
      </c>
      <c r="I671" s="71">
        <f>IFERROR(__xludf.DUMMYFUNCTION("""COMPUTED_VALUE"""),49.14)</f>
        <v>49.14</v>
      </c>
      <c r="J671" s="88" t="str">
        <f>IFERROR(__xludf.DUMMYFUNCTION("""COMPUTED_VALUE"""),"Goto link: SARK")</f>
        <v>Goto link: SARK</v>
      </c>
      <c r="K671" s="22"/>
      <c r="L671" s="22"/>
      <c r="M671" s="22"/>
      <c r="N671" s="22"/>
      <c r="O671" s="73"/>
      <c r="P671" s="8"/>
      <c r="Q671" s="69"/>
      <c r="R671" s="69"/>
      <c r="S671" s="8"/>
      <c r="T671" s="69"/>
      <c r="U671" s="8"/>
      <c r="V671" s="69"/>
      <c r="W671" s="74"/>
      <c r="X671" s="69"/>
    </row>
    <row r="672">
      <c r="A672" s="30" t="str">
        <f>IFERROR(__xludf.DUMMYFUNCTION("""COMPUTED_VALUE"""),"46322")</f>
        <v>46322</v>
      </c>
      <c r="B672" s="86">
        <f>IFERROR(__xludf.DUMMYFUNCTION("""COMPUTED_VALUE"""),44634.0)</f>
        <v>44634</v>
      </c>
      <c r="C672" s="64" t="str">
        <f>IFERROR(__xludf.DUMMYFUNCTION("""COMPUTED_VALUE"""),"Stock")</f>
        <v>Stock</v>
      </c>
      <c r="D672" s="87" t="str">
        <f>IFERROR(__xludf.DUMMYFUNCTION("""COMPUTED_VALUE"""),"SARK")</f>
        <v>SARK</v>
      </c>
      <c r="E672" s="5" t="str">
        <f>IFERROR(__xludf.DUMMYFUNCTION("""COMPUTED_VALUE"""),"USD")</f>
        <v>USD</v>
      </c>
      <c r="F672" s="69">
        <f>IFERROR(__xludf.DUMMYFUNCTION("""COMPUTED_VALUE"""),1000.0)</f>
        <v>1000</v>
      </c>
      <c r="G672" s="70">
        <f>IFERROR(__xludf.DUMMYFUNCTION("""COMPUTED_VALUE"""),7.83915)</f>
        <v>7.83915</v>
      </c>
      <c r="H672" s="71">
        <f>IFERROR(__xludf.DUMMYFUNCTION("""COMPUTED_VALUE"""),60.61)</f>
        <v>60.61</v>
      </c>
      <c r="I672" s="71">
        <f>IFERROR(__xludf.DUMMYFUNCTION("""COMPUTED_VALUE"""),49.14)</f>
        <v>49.14</v>
      </c>
      <c r="J672" s="88" t="str">
        <f>IFERROR(__xludf.DUMMYFUNCTION("""COMPUTED_VALUE"""),"Goto link: SARK")</f>
        <v>Goto link: SARK</v>
      </c>
      <c r="K672" s="22"/>
      <c r="L672" s="22"/>
      <c r="M672" s="22"/>
      <c r="N672" s="22"/>
      <c r="O672" s="73"/>
      <c r="P672" s="8"/>
      <c r="Q672" s="69"/>
      <c r="R672" s="69"/>
      <c r="S672" s="8"/>
      <c r="T672" s="69"/>
      <c r="U672" s="8"/>
      <c r="V672" s="69"/>
      <c r="W672" s="74"/>
      <c r="X672" s="69"/>
    </row>
    <row r="673">
      <c r="A673" s="30" t="str">
        <f>IFERROR(__xludf.DUMMYFUNCTION("""COMPUTED_VALUE"""),"46322")</f>
        <v>46322</v>
      </c>
      <c r="B673" s="86">
        <f>IFERROR(__xludf.DUMMYFUNCTION("""COMPUTED_VALUE"""),44638.0)</f>
        <v>44638</v>
      </c>
      <c r="C673" s="64" t="str">
        <f>IFERROR(__xludf.DUMMYFUNCTION("""COMPUTED_VALUE"""),"Stock")</f>
        <v>Stock</v>
      </c>
      <c r="D673" s="87" t="str">
        <f>IFERROR(__xludf.DUMMYFUNCTION("""COMPUTED_VALUE"""),"SARK")</f>
        <v>SARK</v>
      </c>
      <c r="E673" s="5" t="str">
        <f>IFERROR(__xludf.DUMMYFUNCTION("""COMPUTED_VALUE"""),"USD")</f>
        <v>USD</v>
      </c>
      <c r="F673" s="69">
        <f>IFERROR(__xludf.DUMMYFUNCTION("""COMPUTED_VALUE"""),800.0)</f>
        <v>800</v>
      </c>
      <c r="G673" s="70">
        <f>IFERROR(__xludf.DUMMYFUNCTION("""COMPUTED_VALUE"""),7.83915)</f>
        <v>7.83915</v>
      </c>
      <c r="H673" s="71">
        <f>IFERROR(__xludf.DUMMYFUNCTION("""COMPUTED_VALUE"""),47.37)</f>
        <v>47.37</v>
      </c>
      <c r="I673" s="71">
        <f>IFERROR(__xludf.DUMMYFUNCTION("""COMPUTED_VALUE"""),49.14)</f>
        <v>49.14</v>
      </c>
      <c r="J673" s="88" t="str">
        <f>IFERROR(__xludf.DUMMYFUNCTION("""COMPUTED_VALUE"""),"Goto link: SARK")</f>
        <v>Goto link: SARK</v>
      </c>
      <c r="K673" s="22"/>
      <c r="L673" s="22"/>
      <c r="M673" s="22"/>
      <c r="N673" s="22"/>
      <c r="O673" s="73"/>
      <c r="P673" s="8"/>
      <c r="Q673" s="69"/>
      <c r="R673" s="69"/>
      <c r="S673" s="8"/>
      <c r="T673" s="69"/>
      <c r="U673" s="8"/>
      <c r="V673" s="69"/>
      <c r="W673" s="74"/>
      <c r="X673" s="69"/>
    </row>
    <row r="674">
      <c r="A674" s="30" t="str">
        <f>IFERROR(__xludf.DUMMYFUNCTION("""COMPUTED_VALUE"""),"46322")</f>
        <v>46322</v>
      </c>
      <c r="B674" s="86">
        <f>IFERROR(__xludf.DUMMYFUNCTION("""COMPUTED_VALUE"""),44643.0)</f>
        <v>44643</v>
      </c>
      <c r="C674" s="64" t="str">
        <f>IFERROR(__xludf.DUMMYFUNCTION("""COMPUTED_VALUE"""),"Stock")</f>
        <v>Stock</v>
      </c>
      <c r="D674" s="90" t="str">
        <f>IFERROR(__xludf.DUMMYFUNCTION("""COMPUTED_VALUE"""),"3047.HK")</f>
        <v>3047.HK</v>
      </c>
      <c r="E674" s="5" t="str">
        <f>IFERROR(__xludf.DUMMYFUNCTION("""COMPUTED_VALUE"""),"HKD")</f>
        <v>HKD</v>
      </c>
      <c r="F674" s="69">
        <f>IFERROR(__xludf.DUMMYFUNCTION("""COMPUTED_VALUE"""),-5.0)</f>
        <v>-5</v>
      </c>
      <c r="G674" s="70">
        <f>IFERROR(__xludf.DUMMYFUNCTION("""COMPUTED_VALUE"""),1.0)</f>
        <v>1</v>
      </c>
      <c r="H674" s="71">
        <f>IFERROR(__xludf.DUMMYFUNCTION("""COMPUTED_VALUE"""),14.9)</f>
        <v>14.9</v>
      </c>
      <c r="I674" s="71">
        <f>IFERROR(__xludf.DUMMYFUNCTION("""COMPUTED_VALUE"""),16.66)</f>
        <v>16.66</v>
      </c>
      <c r="J674" s="88" t="str">
        <f>IFERROR(__xludf.DUMMYFUNCTION("""COMPUTED_VALUE"""),"Goto link: 3047.HK")</f>
        <v>Goto link: 3047.HK</v>
      </c>
      <c r="K674" s="22"/>
      <c r="L674" s="22"/>
      <c r="M674" s="22"/>
      <c r="N674" s="22"/>
      <c r="O674" s="73"/>
      <c r="P674" s="8"/>
      <c r="Q674" s="69"/>
      <c r="R674" s="69"/>
      <c r="S674" s="8"/>
      <c r="T674" s="69"/>
      <c r="U674" s="8"/>
      <c r="V674" s="69"/>
      <c r="W674" s="74"/>
      <c r="X674" s="69"/>
    </row>
    <row r="675">
      <c r="A675" s="30" t="str">
        <f>IFERROR(__xludf.DUMMYFUNCTION("""COMPUTED_VALUE"""),"46322")</f>
        <v>46322</v>
      </c>
      <c r="B675" s="86">
        <f>IFERROR(__xludf.DUMMYFUNCTION("""COMPUTED_VALUE"""),44643.0)</f>
        <v>44643</v>
      </c>
      <c r="C675" s="64" t="str">
        <f>IFERROR(__xludf.DUMMYFUNCTION("""COMPUTED_VALUE"""),"Stock")</f>
        <v>Stock</v>
      </c>
      <c r="D675" s="90" t="str">
        <f>IFERROR(__xludf.DUMMYFUNCTION("""COMPUTED_VALUE"""),"9988.HK")</f>
        <v>9988.HK</v>
      </c>
      <c r="E675" s="5" t="str">
        <f>IFERROR(__xludf.DUMMYFUNCTION("""COMPUTED_VALUE"""),"HKD")</f>
        <v>HKD</v>
      </c>
      <c r="F675" s="69">
        <f>IFERROR(__xludf.DUMMYFUNCTION("""COMPUTED_VALUE"""),-200.0)</f>
        <v>-200</v>
      </c>
      <c r="G675" s="70">
        <f>IFERROR(__xludf.DUMMYFUNCTION("""COMPUTED_VALUE"""),1.0)</f>
        <v>1</v>
      </c>
      <c r="H675" s="71">
        <f>IFERROR(__xludf.DUMMYFUNCTION("""COMPUTED_VALUE"""),117.6)</f>
        <v>117.6</v>
      </c>
      <c r="I675" s="71">
        <f>IFERROR(__xludf.DUMMYFUNCTION("""COMPUTED_VALUE"""),98.5)</f>
        <v>98.5</v>
      </c>
      <c r="J675" s="88" t="str">
        <f>IFERROR(__xludf.DUMMYFUNCTION("""COMPUTED_VALUE"""),"Goto link: 9988.HK")</f>
        <v>Goto link: 9988.HK</v>
      </c>
      <c r="K675" s="22"/>
      <c r="L675" s="22"/>
      <c r="M675" s="22"/>
      <c r="N675" s="22"/>
      <c r="O675" s="73"/>
      <c r="P675" s="8"/>
      <c r="Q675" s="69"/>
      <c r="R675" s="69"/>
      <c r="S675" s="8"/>
      <c r="T675" s="69"/>
      <c r="U675" s="8"/>
      <c r="V675" s="69"/>
      <c r="W675" s="74"/>
      <c r="X675" s="69"/>
    </row>
    <row r="676">
      <c r="A676" s="30" t="str">
        <f>IFERROR(__xludf.DUMMYFUNCTION("""COMPUTED_VALUE"""),"46322")</f>
        <v>46322</v>
      </c>
      <c r="B676" s="86">
        <f>IFERROR(__xludf.DUMMYFUNCTION("""COMPUTED_VALUE"""),44661.0)</f>
        <v>44661</v>
      </c>
      <c r="C676" s="64" t="str">
        <f>IFERROR(__xludf.DUMMYFUNCTION("""COMPUTED_VALUE"""),"Stock")</f>
        <v>Stock</v>
      </c>
      <c r="D676" s="85" t="str">
        <f>IFERROR(__xludf.DUMMYFUNCTION("""COMPUTED_VALUE"""),"SARK")</f>
        <v>SARK</v>
      </c>
      <c r="E676" s="5" t="str">
        <f>IFERROR(__xludf.DUMMYFUNCTION("""COMPUTED_VALUE"""),"USD")</f>
        <v>USD</v>
      </c>
      <c r="F676" s="69" t="str">
        <f>IFERROR(__xludf.DUMMYFUNCTION("""COMPUTED_VALUE"""),"")</f>
        <v/>
      </c>
      <c r="G676" s="70">
        <f>IFERROR(__xludf.DUMMYFUNCTION("""COMPUTED_VALUE"""),7.83915)</f>
        <v>7.83915</v>
      </c>
      <c r="H676" s="71">
        <f>IFERROR(__xludf.DUMMYFUNCTION("""COMPUTED_VALUE"""),50.6)</f>
        <v>50.6</v>
      </c>
      <c r="I676" s="71">
        <f>IFERROR(__xludf.DUMMYFUNCTION("""COMPUTED_VALUE"""),49.14)</f>
        <v>49.14</v>
      </c>
      <c r="J676" s="88" t="str">
        <f>IFERROR(__xludf.DUMMYFUNCTION("""COMPUTED_VALUE"""),"Goto link: SARK")</f>
        <v>Goto link: SARK</v>
      </c>
      <c r="K676" s="22"/>
      <c r="L676" s="22"/>
      <c r="M676" s="22"/>
      <c r="N676" s="22"/>
      <c r="O676" s="73"/>
      <c r="P676" s="8"/>
      <c r="Q676" s="69"/>
      <c r="R676" s="69"/>
      <c r="S676" s="8"/>
      <c r="T676" s="69"/>
      <c r="U676" s="8"/>
      <c r="V676" s="69"/>
      <c r="W676" s="74"/>
      <c r="X676" s="69"/>
    </row>
    <row r="677">
      <c r="A677" s="30" t="str">
        <f>IFERROR(__xludf.DUMMYFUNCTION("""COMPUTED_VALUE"""),"46322")</f>
        <v>46322</v>
      </c>
      <c r="B677" s="86">
        <f>IFERROR(__xludf.DUMMYFUNCTION("""COMPUTED_VALUE"""),44662.0)</f>
        <v>44662</v>
      </c>
      <c r="C677" s="64" t="str">
        <f>IFERROR(__xludf.DUMMYFUNCTION("""COMPUTED_VALUE"""),"Stock")</f>
        <v>Stock</v>
      </c>
      <c r="D677" s="85" t="str">
        <f>IFERROR(__xludf.DUMMYFUNCTION("""COMPUTED_VALUE"""),"SARK")</f>
        <v>SARK</v>
      </c>
      <c r="E677" s="5" t="str">
        <f>IFERROR(__xludf.DUMMYFUNCTION("""COMPUTED_VALUE"""),"USD")</f>
        <v>USD</v>
      </c>
      <c r="F677" s="69" t="str">
        <f>IFERROR(__xludf.DUMMYFUNCTION("""COMPUTED_VALUE"""),"")</f>
        <v/>
      </c>
      <c r="G677" s="70">
        <f>IFERROR(__xludf.DUMMYFUNCTION("""COMPUTED_VALUE"""),7.83915)</f>
        <v>7.83915</v>
      </c>
      <c r="H677" s="71">
        <f>IFERROR(__xludf.DUMMYFUNCTION("""COMPUTED_VALUE"""),50.6)</f>
        <v>50.6</v>
      </c>
      <c r="I677" s="71">
        <f>IFERROR(__xludf.DUMMYFUNCTION("""COMPUTED_VALUE"""),49.14)</f>
        <v>49.14</v>
      </c>
      <c r="J677" s="88" t="str">
        <f>IFERROR(__xludf.DUMMYFUNCTION("""COMPUTED_VALUE"""),"Goto link: SARK")</f>
        <v>Goto link: SARK</v>
      </c>
      <c r="K677" s="22"/>
      <c r="L677" s="22"/>
      <c r="M677" s="22"/>
      <c r="N677" s="22"/>
      <c r="O677" s="73"/>
      <c r="P677" s="8"/>
      <c r="Q677" s="69"/>
      <c r="R677" s="69"/>
      <c r="S677" s="8"/>
      <c r="T677" s="69"/>
      <c r="U677" s="8"/>
      <c r="V677" s="69"/>
      <c r="W677" s="74"/>
      <c r="X677" s="69"/>
    </row>
    <row r="678">
      <c r="A678" s="30" t="str">
        <f>IFERROR(__xludf.DUMMYFUNCTION("""COMPUTED_VALUE"""),"46322")</f>
        <v>46322</v>
      </c>
      <c r="B678" s="86">
        <f>IFERROR(__xludf.DUMMYFUNCTION("""COMPUTED_VALUE"""),44663.0)</f>
        <v>44663</v>
      </c>
      <c r="C678" s="64" t="str">
        <f>IFERROR(__xludf.DUMMYFUNCTION("""COMPUTED_VALUE"""),"Stock")</f>
        <v>Stock</v>
      </c>
      <c r="D678" s="85" t="str">
        <f>IFERROR(__xludf.DUMMYFUNCTION("""COMPUTED_VALUE"""),"SARK")</f>
        <v>SARK</v>
      </c>
      <c r="E678" s="5" t="str">
        <f>IFERROR(__xludf.DUMMYFUNCTION("""COMPUTED_VALUE"""),"USD")</f>
        <v>USD</v>
      </c>
      <c r="F678" s="69" t="str">
        <f>IFERROR(__xludf.DUMMYFUNCTION("""COMPUTED_VALUE"""),"")</f>
        <v/>
      </c>
      <c r="G678" s="70">
        <f>IFERROR(__xludf.DUMMYFUNCTION("""COMPUTED_VALUE"""),7.83915)</f>
        <v>7.83915</v>
      </c>
      <c r="H678" s="71">
        <f>IFERROR(__xludf.DUMMYFUNCTION("""COMPUTED_VALUE"""),50.67)</f>
        <v>50.67</v>
      </c>
      <c r="I678" s="71">
        <f>IFERROR(__xludf.DUMMYFUNCTION("""COMPUTED_VALUE"""),49.14)</f>
        <v>49.14</v>
      </c>
      <c r="J678" s="88" t="str">
        <f>IFERROR(__xludf.DUMMYFUNCTION("""COMPUTED_VALUE"""),"Goto link: SARK")</f>
        <v>Goto link: SARK</v>
      </c>
      <c r="K678" s="22"/>
      <c r="L678" s="22"/>
      <c r="M678" s="22"/>
      <c r="N678" s="22"/>
      <c r="O678" s="73"/>
      <c r="P678" s="8"/>
      <c r="Q678" s="69"/>
      <c r="R678" s="69"/>
      <c r="S678" s="8"/>
      <c r="T678" s="69"/>
      <c r="U678" s="8"/>
      <c r="V678" s="69"/>
      <c r="W678" s="74"/>
      <c r="X678" s="69"/>
    </row>
    <row r="679">
      <c r="A679" s="30" t="str">
        <f>IFERROR(__xludf.DUMMYFUNCTION("""COMPUTED_VALUE"""),"46322 Total")</f>
        <v>46322 Total</v>
      </c>
      <c r="B679" s="5"/>
      <c r="C679" s="64"/>
      <c r="D679" s="85"/>
      <c r="E679" s="5"/>
      <c r="F679" s="69"/>
      <c r="G679" s="70">
        <f>IFERROR(__xludf.DUMMYFUNCTION("""COMPUTED_VALUE"""),4.761532500000001)</f>
        <v>4.7615325</v>
      </c>
      <c r="H679" s="71">
        <f>IFERROR(__xludf.DUMMYFUNCTION("""COMPUTED_VALUE"""),117.6)</f>
        <v>117.6</v>
      </c>
      <c r="I679" s="71" t="str">
        <f>IFERROR(__xludf.DUMMYFUNCTION("""COMPUTED_VALUE"""),"")</f>
        <v/>
      </c>
      <c r="J679" s="22" t="str">
        <f>IFERROR(__xludf.DUMMYFUNCTION("""COMPUTED_VALUE"""),"")</f>
        <v/>
      </c>
      <c r="K679" s="22"/>
      <c r="L679" s="22"/>
      <c r="M679" s="22"/>
      <c r="N679" s="22"/>
      <c r="O679" s="73"/>
      <c r="P679" s="8"/>
      <c r="Q679" s="69"/>
      <c r="R679" s="69"/>
      <c r="S679" s="8"/>
      <c r="T679" s="69"/>
      <c r="U679" s="8"/>
      <c r="V679" s="69"/>
      <c r="W679" s="74"/>
      <c r="X679" s="69"/>
    </row>
    <row r="680">
      <c r="A680" s="30" t="str">
        <f>IFERROR(__xludf.DUMMYFUNCTION("""COMPUTED_VALUE"""),"46446")</f>
        <v>46446</v>
      </c>
      <c r="B680" s="86">
        <f>IFERROR(__xludf.DUMMYFUNCTION("""COMPUTED_VALUE"""),44597.0)</f>
        <v>44597</v>
      </c>
      <c r="C680" s="64" t="str">
        <f>IFERROR(__xludf.DUMMYFUNCTION("""COMPUTED_VALUE"""),"Cash")</f>
        <v>Cash</v>
      </c>
      <c r="D680" s="85" t="str">
        <f>IFERROR(__xludf.DUMMYFUNCTION("""COMPUTED_VALUE"""),"Cash")</f>
        <v>Cash</v>
      </c>
      <c r="E680" s="5" t="str">
        <f>IFERROR(__xludf.DUMMYFUNCTION("""COMPUTED_VALUE"""),"HKD")</f>
        <v>HKD</v>
      </c>
      <c r="F680" s="69" t="str">
        <f>IFERROR(__xludf.DUMMYFUNCTION("""COMPUTED_VALUE"""),"")</f>
        <v/>
      </c>
      <c r="G680" s="70">
        <f>IFERROR(__xludf.DUMMYFUNCTION("""COMPUTED_VALUE"""),1.0)</f>
        <v>1</v>
      </c>
      <c r="H680" s="71">
        <f>IFERROR(__xludf.DUMMYFUNCTION("""COMPUTED_VALUE"""),1.0)</f>
        <v>1</v>
      </c>
      <c r="I680" s="71">
        <f>IFERROR(__xludf.DUMMYFUNCTION("""COMPUTED_VALUE"""),1.0)</f>
        <v>1</v>
      </c>
      <c r="J680" s="22" t="str">
        <f>IFERROR(__xludf.DUMMYFUNCTION("""COMPUTED_VALUE"""),"")</f>
        <v/>
      </c>
      <c r="K680" s="22"/>
      <c r="L680" s="22"/>
      <c r="M680" s="22"/>
      <c r="N680" s="22"/>
      <c r="O680" s="73"/>
      <c r="P680" s="8"/>
      <c r="Q680" s="69"/>
      <c r="R680" s="69"/>
      <c r="S680" s="8"/>
      <c r="T680" s="69"/>
      <c r="U680" s="8"/>
      <c r="V680" s="69"/>
      <c r="W680" s="74"/>
      <c r="X680" s="69"/>
    </row>
    <row r="681">
      <c r="A681" s="30" t="str">
        <f>IFERROR(__xludf.DUMMYFUNCTION("""COMPUTED_VALUE"""),"46446 Total")</f>
        <v>46446 Total</v>
      </c>
      <c r="B681" s="5"/>
      <c r="C681" s="64"/>
      <c r="D681" s="85"/>
      <c r="E681" s="5"/>
      <c r="F681" s="69"/>
      <c r="G681" s="70">
        <f>IFERROR(__xludf.DUMMYFUNCTION("""COMPUTED_VALUE"""),1.0)</f>
        <v>1</v>
      </c>
      <c r="H681" s="71">
        <f>IFERROR(__xludf.DUMMYFUNCTION("""COMPUTED_VALUE"""),1.0)</f>
        <v>1</v>
      </c>
      <c r="I681" s="71" t="str">
        <f>IFERROR(__xludf.DUMMYFUNCTION("""COMPUTED_VALUE"""),"")</f>
        <v/>
      </c>
      <c r="J681" s="22" t="str">
        <f>IFERROR(__xludf.DUMMYFUNCTION("""COMPUTED_VALUE"""),"")</f>
        <v/>
      </c>
      <c r="K681" s="22"/>
      <c r="L681" s="22"/>
      <c r="M681" s="22"/>
      <c r="N681" s="22"/>
      <c r="O681" s="73"/>
      <c r="P681" s="8"/>
      <c r="Q681" s="69"/>
      <c r="R681" s="69"/>
      <c r="S681" s="8"/>
      <c r="T681" s="69"/>
      <c r="U681" s="8"/>
      <c r="V681" s="69"/>
      <c r="W681" s="74"/>
      <c r="X681" s="69"/>
    </row>
    <row r="682">
      <c r="A682" s="30" t="str">
        <f>IFERROR(__xludf.DUMMYFUNCTION("""COMPUTED_VALUE"""),"46600")</f>
        <v>46600</v>
      </c>
      <c r="B682" s="86">
        <f>IFERROR(__xludf.DUMMYFUNCTION("""COMPUTED_VALUE"""),44597.0)</f>
        <v>44597</v>
      </c>
      <c r="C682" s="64" t="str">
        <f>IFERROR(__xludf.DUMMYFUNCTION("""COMPUTED_VALUE"""),"Cash")</f>
        <v>Cash</v>
      </c>
      <c r="D682" s="85" t="str">
        <f>IFERROR(__xludf.DUMMYFUNCTION("""COMPUTED_VALUE"""),"Cash")</f>
        <v>Cash</v>
      </c>
      <c r="E682" s="5" t="str">
        <f>IFERROR(__xludf.DUMMYFUNCTION("""COMPUTED_VALUE"""),"HKD")</f>
        <v>HKD</v>
      </c>
      <c r="F682" s="69" t="str">
        <f>IFERROR(__xludf.DUMMYFUNCTION("""COMPUTED_VALUE"""),"")</f>
        <v/>
      </c>
      <c r="G682" s="70">
        <f>IFERROR(__xludf.DUMMYFUNCTION("""COMPUTED_VALUE"""),1.0)</f>
        <v>1</v>
      </c>
      <c r="H682" s="71">
        <f>IFERROR(__xludf.DUMMYFUNCTION("""COMPUTED_VALUE"""),1.0)</f>
        <v>1</v>
      </c>
      <c r="I682" s="71">
        <f>IFERROR(__xludf.DUMMYFUNCTION("""COMPUTED_VALUE"""),1.0)</f>
        <v>1</v>
      </c>
      <c r="J682" s="22" t="str">
        <f>IFERROR(__xludf.DUMMYFUNCTION("""COMPUTED_VALUE"""),"")</f>
        <v/>
      </c>
      <c r="K682" s="22"/>
      <c r="L682" s="22"/>
      <c r="M682" s="22"/>
      <c r="N682" s="22"/>
      <c r="O682" s="73"/>
      <c r="P682" s="8"/>
      <c r="Q682" s="69"/>
      <c r="R682" s="69"/>
      <c r="S682" s="8"/>
      <c r="T682" s="69"/>
      <c r="U682" s="8"/>
      <c r="V682" s="69"/>
      <c r="W682" s="74"/>
      <c r="X682" s="69"/>
    </row>
    <row r="683">
      <c r="A683" s="30" t="str">
        <f>IFERROR(__xludf.DUMMYFUNCTION("""COMPUTED_VALUE"""),"46600")</f>
        <v>46600</v>
      </c>
      <c r="B683" s="86">
        <f>IFERROR(__xludf.DUMMYFUNCTION("""COMPUTED_VALUE"""),44635.0)</f>
        <v>44635</v>
      </c>
      <c r="C683" s="64" t="str">
        <f>IFERROR(__xludf.DUMMYFUNCTION("""COMPUTED_VALUE"""),"Stock")</f>
        <v>Stock</v>
      </c>
      <c r="D683" s="90" t="str">
        <f>IFERROR(__xludf.DUMMYFUNCTION("""COMPUTED_VALUE"""),"0700.HK")</f>
        <v>0700.HK</v>
      </c>
      <c r="E683" s="5" t="str">
        <f>IFERROR(__xludf.DUMMYFUNCTION("""COMPUTED_VALUE"""),"HKD")</f>
        <v>HKD</v>
      </c>
      <c r="F683" s="69">
        <f>IFERROR(__xludf.DUMMYFUNCTION("""COMPUTED_VALUE"""),200.0)</f>
        <v>200</v>
      </c>
      <c r="G683" s="70">
        <f>IFERROR(__xludf.DUMMYFUNCTION("""COMPUTED_VALUE"""),1.0)</f>
        <v>1</v>
      </c>
      <c r="H683" s="71">
        <f>IFERROR(__xludf.DUMMYFUNCTION("""COMPUTED_VALUE"""),298.0)</f>
        <v>298</v>
      </c>
      <c r="I683" s="71">
        <f>IFERROR(__xludf.DUMMYFUNCTION("""COMPUTED_VALUE"""),373.6)</f>
        <v>373.6</v>
      </c>
      <c r="J683" s="88" t="str">
        <f>IFERROR(__xludf.DUMMYFUNCTION("""COMPUTED_VALUE"""),"Goto link: 0700.HK")</f>
        <v>Goto link: 0700.HK</v>
      </c>
      <c r="K683" s="22"/>
      <c r="L683" s="22"/>
      <c r="M683" s="22"/>
      <c r="N683" s="22"/>
      <c r="O683" s="73"/>
      <c r="P683" s="8"/>
      <c r="Q683" s="69"/>
      <c r="R683" s="69"/>
      <c r="S683" s="8"/>
      <c r="T683" s="69"/>
      <c r="U683" s="8"/>
      <c r="V683" s="69"/>
      <c r="W683" s="74"/>
      <c r="X683" s="69"/>
    </row>
    <row r="684">
      <c r="A684" s="30" t="str">
        <f>IFERROR(__xludf.DUMMYFUNCTION("""COMPUTED_VALUE"""),"46600")</f>
        <v>46600</v>
      </c>
      <c r="B684" s="86">
        <f>IFERROR(__xludf.DUMMYFUNCTION("""COMPUTED_VALUE"""),44637.0)</f>
        <v>44637</v>
      </c>
      <c r="C684" s="64" t="str">
        <f>IFERROR(__xludf.DUMMYFUNCTION("""COMPUTED_VALUE"""),"Stock")</f>
        <v>Stock</v>
      </c>
      <c r="D684" s="90" t="str">
        <f>IFERROR(__xludf.DUMMYFUNCTION("""COMPUTED_VALUE"""),"0700.HK")</f>
        <v>0700.HK</v>
      </c>
      <c r="E684" s="5" t="str">
        <f>IFERROR(__xludf.DUMMYFUNCTION("""COMPUTED_VALUE"""),"HKD")</f>
        <v>HKD</v>
      </c>
      <c r="F684" s="69">
        <f>IFERROR(__xludf.DUMMYFUNCTION("""COMPUTED_VALUE"""),0.0)</f>
        <v>0</v>
      </c>
      <c r="G684" s="70">
        <f>IFERROR(__xludf.DUMMYFUNCTION("""COMPUTED_VALUE"""),1.0)</f>
        <v>1</v>
      </c>
      <c r="H684" s="71">
        <f>IFERROR(__xludf.DUMMYFUNCTION("""COMPUTED_VALUE"""),0.0)</f>
        <v>0</v>
      </c>
      <c r="I684" s="71">
        <f>IFERROR(__xludf.DUMMYFUNCTION("""COMPUTED_VALUE"""),373.6)</f>
        <v>373.6</v>
      </c>
      <c r="J684" s="88" t="str">
        <f>IFERROR(__xludf.DUMMYFUNCTION("""COMPUTED_VALUE"""),"Goto link: 0700.HK")</f>
        <v>Goto link: 0700.HK</v>
      </c>
      <c r="K684" s="22"/>
      <c r="L684" s="22"/>
      <c r="M684" s="22"/>
      <c r="N684" s="22"/>
      <c r="O684" s="73"/>
      <c r="P684" s="8"/>
      <c r="Q684" s="69"/>
      <c r="R684" s="69"/>
      <c r="S684" s="8"/>
      <c r="T684" s="69"/>
      <c r="U684" s="8"/>
      <c r="V684" s="69"/>
      <c r="W684" s="74"/>
      <c r="X684" s="69"/>
    </row>
    <row r="685">
      <c r="A685" s="30" t="str">
        <f>IFERROR(__xludf.DUMMYFUNCTION("""COMPUTED_VALUE"""),"46600")</f>
        <v>46600</v>
      </c>
      <c r="B685" s="86">
        <f>IFERROR(__xludf.DUMMYFUNCTION("""COMPUTED_VALUE"""),44638.0)</f>
        <v>44638</v>
      </c>
      <c r="C685" s="64" t="str">
        <f>IFERROR(__xludf.DUMMYFUNCTION("""COMPUTED_VALUE"""),"Stock")</f>
        <v>Stock</v>
      </c>
      <c r="D685" s="90" t="str">
        <f>IFERROR(__xludf.DUMMYFUNCTION("""COMPUTED_VALUE"""),"0700.HK")</f>
        <v>0700.HK</v>
      </c>
      <c r="E685" s="5" t="str">
        <f>IFERROR(__xludf.DUMMYFUNCTION("""COMPUTED_VALUE"""),"HKD")</f>
        <v>HKD</v>
      </c>
      <c r="F685" s="69">
        <f>IFERROR(__xludf.DUMMYFUNCTION("""COMPUTED_VALUE"""),50.0)</f>
        <v>50</v>
      </c>
      <c r="G685" s="70">
        <f>IFERROR(__xludf.DUMMYFUNCTION("""COMPUTED_VALUE"""),1.0)</f>
        <v>1</v>
      </c>
      <c r="H685" s="71">
        <f>IFERROR(__xludf.DUMMYFUNCTION("""COMPUTED_VALUE"""),381.0)</f>
        <v>381</v>
      </c>
      <c r="I685" s="71">
        <f>IFERROR(__xludf.DUMMYFUNCTION("""COMPUTED_VALUE"""),373.6)</f>
        <v>373.6</v>
      </c>
      <c r="J685" s="88" t="str">
        <f>IFERROR(__xludf.DUMMYFUNCTION("""COMPUTED_VALUE"""),"Goto link: 0700.HK")</f>
        <v>Goto link: 0700.HK</v>
      </c>
      <c r="K685" s="22"/>
      <c r="L685" s="22"/>
      <c r="M685" s="22"/>
      <c r="N685" s="22"/>
      <c r="O685" s="73"/>
      <c r="P685" s="8"/>
      <c r="Q685" s="69"/>
      <c r="R685" s="69"/>
      <c r="S685" s="8"/>
      <c r="T685" s="69"/>
      <c r="U685" s="8"/>
      <c r="V685" s="69"/>
      <c r="W685" s="74"/>
      <c r="X685" s="69"/>
    </row>
    <row r="686">
      <c r="A686" s="30" t="str">
        <f>IFERROR(__xludf.DUMMYFUNCTION("""COMPUTED_VALUE"""),"46600")</f>
        <v>46600</v>
      </c>
      <c r="B686" s="86">
        <f>IFERROR(__xludf.DUMMYFUNCTION("""COMPUTED_VALUE"""),44638.0)</f>
        <v>44638</v>
      </c>
      <c r="C686" s="64" t="str">
        <f>IFERROR(__xludf.DUMMYFUNCTION("""COMPUTED_VALUE"""),"Stock")</f>
        <v>Stock</v>
      </c>
      <c r="D686" s="90" t="str">
        <f>IFERROR(__xludf.DUMMYFUNCTION("""COMPUTED_VALUE"""),"9988.HK")</f>
        <v>9988.HK</v>
      </c>
      <c r="E686" s="5" t="str">
        <f>IFERROR(__xludf.DUMMYFUNCTION("""COMPUTED_VALUE"""),"HKD")</f>
        <v>HKD</v>
      </c>
      <c r="F686" s="69">
        <f>IFERROR(__xludf.DUMMYFUNCTION("""COMPUTED_VALUE"""),30.0)</f>
        <v>30</v>
      </c>
      <c r="G686" s="70">
        <f>IFERROR(__xludf.DUMMYFUNCTION("""COMPUTED_VALUE"""),1.0)</f>
        <v>1</v>
      </c>
      <c r="H686" s="71">
        <f>IFERROR(__xludf.DUMMYFUNCTION("""COMPUTED_VALUE"""),98.35)</f>
        <v>98.35</v>
      </c>
      <c r="I686" s="71">
        <f>IFERROR(__xludf.DUMMYFUNCTION("""COMPUTED_VALUE"""),98.5)</f>
        <v>98.5</v>
      </c>
      <c r="J686" s="88" t="str">
        <f>IFERROR(__xludf.DUMMYFUNCTION("""COMPUTED_VALUE"""),"Goto link: 9988.HK")</f>
        <v>Goto link: 9988.HK</v>
      </c>
      <c r="K686" s="22"/>
      <c r="L686" s="22"/>
      <c r="M686" s="22"/>
      <c r="N686" s="22"/>
      <c r="O686" s="73"/>
      <c r="P686" s="8"/>
      <c r="Q686" s="69"/>
      <c r="R686" s="69"/>
      <c r="S686" s="8"/>
      <c r="T686" s="69"/>
      <c r="U686" s="8"/>
      <c r="V686" s="69"/>
      <c r="W686" s="74"/>
      <c r="X686" s="69"/>
    </row>
    <row r="687">
      <c r="A687" s="30" t="str">
        <f>IFERROR(__xludf.DUMMYFUNCTION("""COMPUTED_VALUE"""),"46600")</f>
        <v>46600</v>
      </c>
      <c r="B687" s="86">
        <f>IFERROR(__xludf.DUMMYFUNCTION("""COMPUTED_VALUE"""),44641.0)</f>
        <v>44641</v>
      </c>
      <c r="C687" s="64" t="str">
        <f>IFERROR(__xludf.DUMMYFUNCTION("""COMPUTED_VALUE"""),"Stock")</f>
        <v>Stock</v>
      </c>
      <c r="D687" s="90" t="str">
        <f>IFERROR(__xludf.DUMMYFUNCTION("""COMPUTED_VALUE"""),"9988.HK")</f>
        <v>9988.HK</v>
      </c>
      <c r="E687" s="5" t="str">
        <f>IFERROR(__xludf.DUMMYFUNCTION("""COMPUTED_VALUE"""),"HKD")</f>
        <v>HKD</v>
      </c>
      <c r="F687" s="69">
        <f>IFERROR(__xludf.DUMMYFUNCTION("""COMPUTED_VALUE"""),100.0)</f>
        <v>100</v>
      </c>
      <c r="G687" s="70">
        <f>IFERROR(__xludf.DUMMYFUNCTION("""COMPUTED_VALUE"""),1.0)</f>
        <v>1</v>
      </c>
      <c r="H687" s="71">
        <f>IFERROR(__xludf.DUMMYFUNCTION("""COMPUTED_VALUE"""),99.1)</f>
        <v>99.1</v>
      </c>
      <c r="I687" s="71">
        <f>IFERROR(__xludf.DUMMYFUNCTION("""COMPUTED_VALUE"""),98.5)</f>
        <v>98.5</v>
      </c>
      <c r="J687" s="88" t="str">
        <f>IFERROR(__xludf.DUMMYFUNCTION("""COMPUTED_VALUE"""),"Goto link: 9988.HK")</f>
        <v>Goto link: 9988.HK</v>
      </c>
      <c r="K687" s="22"/>
      <c r="L687" s="22"/>
      <c r="M687" s="22"/>
      <c r="N687" s="22"/>
      <c r="O687" s="73"/>
      <c r="P687" s="8"/>
      <c r="Q687" s="69"/>
      <c r="R687" s="69"/>
      <c r="S687" s="8"/>
      <c r="T687" s="69"/>
      <c r="U687" s="8"/>
      <c r="V687" s="69"/>
      <c r="W687" s="74"/>
      <c r="X687" s="69"/>
    </row>
    <row r="688">
      <c r="A688" s="30" t="str">
        <f>IFERROR(__xludf.DUMMYFUNCTION("""COMPUTED_VALUE"""),"46600")</f>
        <v>46600</v>
      </c>
      <c r="B688" s="86">
        <f>IFERROR(__xludf.DUMMYFUNCTION("""COMPUTED_VALUE"""),44643.0)</f>
        <v>44643</v>
      </c>
      <c r="C688" s="64" t="str">
        <f>IFERROR(__xludf.DUMMYFUNCTION("""COMPUTED_VALUE"""),"Stock")</f>
        <v>Stock</v>
      </c>
      <c r="D688" s="90" t="str">
        <f>IFERROR(__xludf.DUMMYFUNCTION("""COMPUTED_VALUE"""),"0700.HK")</f>
        <v>0700.HK</v>
      </c>
      <c r="E688" s="5" t="str">
        <f>IFERROR(__xludf.DUMMYFUNCTION("""COMPUTED_VALUE"""),"HKD")</f>
        <v>HKD</v>
      </c>
      <c r="F688" s="69">
        <f>IFERROR(__xludf.DUMMYFUNCTION("""COMPUTED_VALUE"""),-250.0)</f>
        <v>-250</v>
      </c>
      <c r="G688" s="70">
        <f>IFERROR(__xludf.DUMMYFUNCTION("""COMPUTED_VALUE"""),1.0)</f>
        <v>1</v>
      </c>
      <c r="H688" s="71">
        <f>IFERROR(__xludf.DUMMYFUNCTION("""COMPUTED_VALUE"""),389.0)</f>
        <v>389</v>
      </c>
      <c r="I688" s="71">
        <f>IFERROR(__xludf.DUMMYFUNCTION("""COMPUTED_VALUE"""),373.6)</f>
        <v>373.6</v>
      </c>
      <c r="J688" s="88" t="str">
        <f>IFERROR(__xludf.DUMMYFUNCTION("""COMPUTED_VALUE"""),"Goto link: 0700.HK")</f>
        <v>Goto link: 0700.HK</v>
      </c>
      <c r="K688" s="22"/>
      <c r="L688" s="22"/>
      <c r="M688" s="22"/>
      <c r="N688" s="22"/>
      <c r="O688" s="73"/>
      <c r="P688" s="8"/>
      <c r="Q688" s="69"/>
      <c r="R688" s="69"/>
      <c r="S688" s="8"/>
      <c r="T688" s="69"/>
      <c r="U688" s="8"/>
      <c r="V688" s="69"/>
      <c r="W688" s="74"/>
      <c r="X688" s="69"/>
    </row>
    <row r="689">
      <c r="A689" s="30" t="str">
        <f>IFERROR(__xludf.DUMMYFUNCTION("""COMPUTED_VALUE"""),"46600")</f>
        <v>46600</v>
      </c>
      <c r="B689" s="86">
        <f>IFERROR(__xludf.DUMMYFUNCTION("""COMPUTED_VALUE"""),44643.0)</f>
        <v>44643</v>
      </c>
      <c r="C689" s="64" t="str">
        <f>IFERROR(__xludf.DUMMYFUNCTION("""COMPUTED_VALUE"""),"Stock")</f>
        <v>Stock</v>
      </c>
      <c r="D689" s="90" t="str">
        <f>IFERROR(__xludf.DUMMYFUNCTION("""COMPUTED_VALUE"""),"1299.HK")</f>
        <v>1299.HK</v>
      </c>
      <c r="E689" s="5" t="str">
        <f>IFERROR(__xludf.DUMMYFUNCTION("""COMPUTED_VALUE"""),"HKD")</f>
        <v>HKD</v>
      </c>
      <c r="F689" s="69">
        <f>IFERROR(__xludf.DUMMYFUNCTION("""COMPUTED_VALUE"""),200.0)</f>
        <v>200</v>
      </c>
      <c r="G689" s="70">
        <f>IFERROR(__xludf.DUMMYFUNCTION("""COMPUTED_VALUE"""),1.0)</f>
        <v>1</v>
      </c>
      <c r="H689" s="71">
        <f>IFERROR(__xludf.DUMMYFUNCTION("""COMPUTED_VALUE"""),83.25)</f>
        <v>83.25</v>
      </c>
      <c r="I689" s="71">
        <f>IFERROR(__xludf.DUMMYFUNCTION("""COMPUTED_VALUE"""),80.15)</f>
        <v>80.15</v>
      </c>
      <c r="J689" s="88" t="str">
        <f>IFERROR(__xludf.DUMMYFUNCTION("""COMPUTED_VALUE"""),"Goto link: 1299.HK")</f>
        <v>Goto link: 1299.HK</v>
      </c>
      <c r="K689" s="22"/>
      <c r="L689" s="22"/>
      <c r="M689" s="22"/>
      <c r="N689" s="22"/>
      <c r="O689" s="73"/>
      <c r="P689" s="8"/>
      <c r="Q689" s="69"/>
      <c r="R689" s="69"/>
      <c r="S689" s="8"/>
      <c r="T689" s="69"/>
      <c r="U689" s="8"/>
      <c r="V689" s="69"/>
      <c r="W689" s="74"/>
      <c r="X689" s="69"/>
    </row>
    <row r="690">
      <c r="A690" s="30" t="str">
        <f>IFERROR(__xludf.DUMMYFUNCTION("""COMPUTED_VALUE"""),"46600")</f>
        <v>46600</v>
      </c>
      <c r="B690" s="86">
        <f>IFERROR(__xludf.DUMMYFUNCTION("""COMPUTED_VALUE"""),44643.0)</f>
        <v>44643</v>
      </c>
      <c r="C690" s="64" t="str">
        <f>IFERROR(__xludf.DUMMYFUNCTION("""COMPUTED_VALUE"""),"Stock")</f>
        <v>Stock</v>
      </c>
      <c r="D690" s="90" t="str">
        <f>IFERROR(__xludf.DUMMYFUNCTION("""COMPUTED_VALUE"""),"1810.HK")</f>
        <v>1810.HK</v>
      </c>
      <c r="E690" s="5" t="str">
        <f>IFERROR(__xludf.DUMMYFUNCTION("""COMPUTED_VALUE"""),"HKD")</f>
        <v>HKD</v>
      </c>
      <c r="F690" s="69">
        <f>IFERROR(__xludf.DUMMYFUNCTION("""COMPUTED_VALUE"""),300.0)</f>
        <v>300</v>
      </c>
      <c r="G690" s="70">
        <f>IFERROR(__xludf.DUMMYFUNCTION("""COMPUTED_VALUE"""),1.0)</f>
        <v>1</v>
      </c>
      <c r="H690" s="71">
        <f>IFERROR(__xludf.DUMMYFUNCTION("""COMPUTED_VALUE"""),14.78)</f>
        <v>14.78</v>
      </c>
      <c r="I690" s="71">
        <f>IFERROR(__xludf.DUMMYFUNCTION("""COMPUTED_VALUE"""),12.36)</f>
        <v>12.36</v>
      </c>
      <c r="J690" s="88" t="str">
        <f>IFERROR(__xludf.DUMMYFUNCTION("""COMPUTED_VALUE"""),"Goto link: 1810.HK")</f>
        <v>Goto link: 1810.HK</v>
      </c>
      <c r="K690" s="22"/>
      <c r="L690" s="22"/>
      <c r="M690" s="22"/>
      <c r="N690" s="22"/>
      <c r="O690" s="73"/>
      <c r="P690" s="8"/>
      <c r="Q690" s="69"/>
      <c r="R690" s="69"/>
      <c r="S690" s="8"/>
      <c r="T690" s="69"/>
      <c r="U690" s="8"/>
      <c r="V690" s="69"/>
      <c r="W690" s="74"/>
      <c r="X690" s="69"/>
    </row>
    <row r="691">
      <c r="A691" s="30" t="str">
        <f>IFERROR(__xludf.DUMMYFUNCTION("""COMPUTED_VALUE"""),"46600")</f>
        <v>46600</v>
      </c>
      <c r="B691" s="86">
        <f>IFERROR(__xludf.DUMMYFUNCTION("""COMPUTED_VALUE"""),44643.0)</f>
        <v>44643</v>
      </c>
      <c r="C691" s="64" t="str">
        <f>IFERROR(__xludf.DUMMYFUNCTION("""COMPUTED_VALUE"""),"Stock")</f>
        <v>Stock</v>
      </c>
      <c r="D691" s="90" t="str">
        <f>IFERROR(__xludf.DUMMYFUNCTION("""COMPUTED_VALUE"""),"9988.HK")</f>
        <v>9988.HK</v>
      </c>
      <c r="E691" s="5" t="str">
        <f>IFERROR(__xludf.DUMMYFUNCTION("""COMPUTED_VALUE"""),"HKD")</f>
        <v>HKD</v>
      </c>
      <c r="F691" s="69">
        <f>IFERROR(__xludf.DUMMYFUNCTION("""COMPUTED_VALUE"""),-130.0)</f>
        <v>-130</v>
      </c>
      <c r="G691" s="70">
        <f>IFERROR(__xludf.DUMMYFUNCTION("""COMPUTED_VALUE"""),1.0)</f>
        <v>1</v>
      </c>
      <c r="H691" s="71">
        <f>IFERROR(__xludf.DUMMYFUNCTION("""COMPUTED_VALUE"""),117.6)</f>
        <v>117.6</v>
      </c>
      <c r="I691" s="71">
        <f>IFERROR(__xludf.DUMMYFUNCTION("""COMPUTED_VALUE"""),98.5)</f>
        <v>98.5</v>
      </c>
      <c r="J691" s="88" t="str">
        <f>IFERROR(__xludf.DUMMYFUNCTION("""COMPUTED_VALUE"""),"Goto link: 9988.HK")</f>
        <v>Goto link: 9988.HK</v>
      </c>
      <c r="K691" s="22"/>
      <c r="L691" s="22"/>
      <c r="M691" s="22"/>
      <c r="N691" s="22"/>
      <c r="O691" s="73"/>
      <c r="P691" s="8"/>
      <c r="Q691" s="69"/>
      <c r="R691" s="69"/>
      <c r="S691" s="8"/>
      <c r="T691" s="69"/>
      <c r="U691" s="8"/>
      <c r="V691" s="69"/>
      <c r="W691" s="74"/>
      <c r="X691" s="69"/>
    </row>
    <row r="692">
      <c r="A692" s="30" t="str">
        <f>IFERROR(__xludf.DUMMYFUNCTION("""COMPUTED_VALUE"""),"46600")</f>
        <v>46600</v>
      </c>
      <c r="B692" s="86">
        <f>IFERROR(__xludf.DUMMYFUNCTION("""COMPUTED_VALUE"""),44644.0)</f>
        <v>44644</v>
      </c>
      <c r="C692" s="64" t="str">
        <f>IFERROR(__xludf.DUMMYFUNCTION("""COMPUTED_VALUE"""),"Stock")</f>
        <v>Stock</v>
      </c>
      <c r="D692" s="90" t="str">
        <f>IFERROR(__xludf.DUMMYFUNCTION("""COMPUTED_VALUE"""),"0700.HK")</f>
        <v>0700.HK</v>
      </c>
      <c r="E692" s="5" t="str">
        <f>IFERROR(__xludf.DUMMYFUNCTION("""COMPUTED_VALUE"""),"HKD")</f>
        <v>HKD</v>
      </c>
      <c r="F692" s="69">
        <f>IFERROR(__xludf.DUMMYFUNCTION("""COMPUTED_VALUE"""),300.0)</f>
        <v>300</v>
      </c>
      <c r="G692" s="70">
        <f>IFERROR(__xludf.DUMMYFUNCTION("""COMPUTED_VALUE"""),1.0)</f>
        <v>1</v>
      </c>
      <c r="H692" s="71">
        <f>IFERROR(__xludf.DUMMYFUNCTION("""COMPUTED_VALUE"""),366.0)</f>
        <v>366</v>
      </c>
      <c r="I692" s="71">
        <f>IFERROR(__xludf.DUMMYFUNCTION("""COMPUTED_VALUE"""),373.6)</f>
        <v>373.6</v>
      </c>
      <c r="J692" s="88" t="str">
        <f>IFERROR(__xludf.DUMMYFUNCTION("""COMPUTED_VALUE"""),"Goto link: 0700.HK")</f>
        <v>Goto link: 0700.HK</v>
      </c>
      <c r="K692" s="22"/>
      <c r="L692" s="22"/>
      <c r="M692" s="22"/>
      <c r="N692" s="22"/>
      <c r="O692" s="73"/>
      <c r="P692" s="8"/>
      <c r="Q692" s="69"/>
      <c r="R692" s="69"/>
      <c r="S692" s="8"/>
      <c r="T692" s="69"/>
      <c r="U692" s="8"/>
      <c r="V692" s="69"/>
      <c r="W692" s="74"/>
      <c r="X692" s="69"/>
    </row>
    <row r="693">
      <c r="A693" s="30" t="str">
        <f>IFERROR(__xludf.DUMMYFUNCTION("""COMPUTED_VALUE"""),"46600")</f>
        <v>46600</v>
      </c>
      <c r="B693" s="86">
        <f>IFERROR(__xludf.DUMMYFUNCTION("""COMPUTED_VALUE"""),44644.0)</f>
        <v>44644</v>
      </c>
      <c r="C693" s="64" t="str">
        <f>IFERROR(__xludf.DUMMYFUNCTION("""COMPUTED_VALUE"""),"Stock")</f>
        <v>Stock</v>
      </c>
      <c r="D693" s="90" t="str">
        <f>IFERROR(__xludf.DUMMYFUNCTION("""COMPUTED_VALUE"""),"9988.HK")</f>
        <v>9988.HK</v>
      </c>
      <c r="E693" s="5" t="str">
        <f>IFERROR(__xludf.DUMMYFUNCTION("""COMPUTED_VALUE"""),"HKD")</f>
        <v>HKD</v>
      </c>
      <c r="F693" s="69">
        <f>IFERROR(__xludf.DUMMYFUNCTION("""COMPUTED_VALUE"""),150.0)</f>
        <v>150</v>
      </c>
      <c r="G693" s="70">
        <f>IFERROR(__xludf.DUMMYFUNCTION("""COMPUTED_VALUE"""),1.0)</f>
        <v>1</v>
      </c>
      <c r="H693" s="71">
        <f>IFERROR(__xludf.DUMMYFUNCTION("""COMPUTED_VALUE"""),113.8)</f>
        <v>113.8</v>
      </c>
      <c r="I693" s="71">
        <f>IFERROR(__xludf.DUMMYFUNCTION("""COMPUTED_VALUE"""),98.5)</f>
        <v>98.5</v>
      </c>
      <c r="J693" s="88" t="str">
        <f>IFERROR(__xludf.DUMMYFUNCTION("""COMPUTED_VALUE"""),"Goto link: 9988.HK")</f>
        <v>Goto link: 9988.HK</v>
      </c>
      <c r="K693" s="22"/>
      <c r="L693" s="22"/>
      <c r="M693" s="22"/>
      <c r="N693" s="22"/>
      <c r="O693" s="73"/>
      <c r="P693" s="8"/>
      <c r="Q693" s="69"/>
      <c r="R693" s="69"/>
      <c r="S693" s="8"/>
      <c r="T693" s="69"/>
      <c r="U693" s="8"/>
      <c r="V693" s="69"/>
      <c r="W693" s="74"/>
      <c r="X693" s="69"/>
    </row>
    <row r="694">
      <c r="A694" s="30" t="str">
        <f>IFERROR(__xludf.DUMMYFUNCTION("""COMPUTED_VALUE"""),"46600")</f>
        <v>46600</v>
      </c>
      <c r="B694" s="86">
        <f>IFERROR(__xludf.DUMMYFUNCTION("""COMPUTED_VALUE"""),44648.0)</f>
        <v>44648</v>
      </c>
      <c r="C694" s="64" t="str">
        <f>IFERROR(__xludf.DUMMYFUNCTION("""COMPUTED_VALUE"""),"Stock")</f>
        <v>Stock</v>
      </c>
      <c r="D694" s="90" t="str">
        <f>IFERROR(__xludf.DUMMYFUNCTION("""COMPUTED_VALUE"""),"0700.HK")</f>
        <v>0700.HK</v>
      </c>
      <c r="E694" s="5" t="str">
        <f>IFERROR(__xludf.DUMMYFUNCTION("""COMPUTED_VALUE"""),"HKD")</f>
        <v>HKD</v>
      </c>
      <c r="F694" s="69">
        <f>IFERROR(__xludf.DUMMYFUNCTION("""COMPUTED_VALUE"""),-300.0)</f>
        <v>-300</v>
      </c>
      <c r="G694" s="70">
        <f>IFERROR(__xludf.DUMMYFUNCTION("""COMPUTED_VALUE"""),1.0)</f>
        <v>1</v>
      </c>
      <c r="H694" s="71">
        <f>IFERROR(__xludf.DUMMYFUNCTION("""COMPUTED_VALUE"""),366.4)</f>
        <v>366.4</v>
      </c>
      <c r="I694" s="71">
        <f>IFERROR(__xludf.DUMMYFUNCTION("""COMPUTED_VALUE"""),373.6)</f>
        <v>373.6</v>
      </c>
      <c r="J694" s="88" t="str">
        <f>IFERROR(__xludf.DUMMYFUNCTION("""COMPUTED_VALUE"""),"Goto link: 0700.HK")</f>
        <v>Goto link: 0700.HK</v>
      </c>
      <c r="K694" s="22"/>
      <c r="L694" s="22"/>
      <c r="M694" s="22"/>
      <c r="N694" s="22"/>
      <c r="O694" s="73"/>
      <c r="P694" s="8"/>
      <c r="Q694" s="69"/>
      <c r="R694" s="69"/>
      <c r="S694" s="8"/>
      <c r="T694" s="69"/>
      <c r="U694" s="8"/>
      <c r="V694" s="69"/>
      <c r="W694" s="74"/>
      <c r="X694" s="69"/>
    </row>
    <row r="695">
      <c r="A695" s="30" t="str">
        <f>IFERROR(__xludf.DUMMYFUNCTION("""COMPUTED_VALUE"""),"46600")</f>
        <v>46600</v>
      </c>
      <c r="B695" s="86">
        <f>IFERROR(__xludf.DUMMYFUNCTION("""COMPUTED_VALUE"""),44648.0)</f>
        <v>44648</v>
      </c>
      <c r="C695" s="64" t="str">
        <f>IFERROR(__xludf.DUMMYFUNCTION("""COMPUTED_VALUE"""),"Stock")</f>
        <v>Stock</v>
      </c>
      <c r="D695" s="90" t="str">
        <f>IFERROR(__xludf.DUMMYFUNCTION("""COMPUTED_VALUE"""),"0700.HK")</f>
        <v>0700.HK</v>
      </c>
      <c r="E695" s="5" t="str">
        <f>IFERROR(__xludf.DUMMYFUNCTION("""COMPUTED_VALUE"""),"HKD")</f>
        <v>HKD</v>
      </c>
      <c r="F695" s="69">
        <f>IFERROR(__xludf.DUMMYFUNCTION("""COMPUTED_VALUE"""),300.0)</f>
        <v>300</v>
      </c>
      <c r="G695" s="70">
        <f>IFERROR(__xludf.DUMMYFUNCTION("""COMPUTED_VALUE"""),1.0)</f>
        <v>1</v>
      </c>
      <c r="H695" s="71">
        <f>IFERROR(__xludf.DUMMYFUNCTION("""COMPUTED_VALUE"""),366.4)</f>
        <v>366.4</v>
      </c>
      <c r="I695" s="71">
        <f>IFERROR(__xludf.DUMMYFUNCTION("""COMPUTED_VALUE"""),373.6)</f>
        <v>373.6</v>
      </c>
      <c r="J695" s="88" t="str">
        <f>IFERROR(__xludf.DUMMYFUNCTION("""COMPUTED_VALUE"""),"Goto link: 0700.HK")</f>
        <v>Goto link: 0700.HK</v>
      </c>
      <c r="K695" s="22"/>
      <c r="L695" s="22"/>
      <c r="M695" s="22"/>
      <c r="N695" s="22"/>
      <c r="O695" s="73"/>
      <c r="P695" s="8"/>
      <c r="Q695" s="69"/>
      <c r="R695" s="69"/>
      <c r="S695" s="8"/>
      <c r="T695" s="69"/>
      <c r="U695" s="8"/>
      <c r="V695" s="69"/>
      <c r="W695" s="74"/>
      <c r="X695" s="69"/>
    </row>
    <row r="696">
      <c r="A696" s="30" t="str">
        <f>IFERROR(__xludf.DUMMYFUNCTION("""COMPUTED_VALUE"""),"46600")</f>
        <v>46600</v>
      </c>
      <c r="B696" s="86">
        <f>IFERROR(__xludf.DUMMYFUNCTION("""COMPUTED_VALUE"""),44648.0)</f>
        <v>44648</v>
      </c>
      <c r="C696" s="64" t="str">
        <f>IFERROR(__xludf.DUMMYFUNCTION("""COMPUTED_VALUE"""),"Stock")</f>
        <v>Stock</v>
      </c>
      <c r="D696" s="87" t="str">
        <f>IFERROR(__xludf.DUMMYFUNCTION("""COMPUTED_VALUE"""),"AAPL")</f>
        <v>AAPL</v>
      </c>
      <c r="E696" s="5" t="str">
        <f>IFERROR(__xludf.DUMMYFUNCTION("""COMPUTED_VALUE"""),"USD")</f>
        <v>USD</v>
      </c>
      <c r="F696" s="69">
        <f>IFERROR(__xludf.DUMMYFUNCTION("""COMPUTED_VALUE"""),200.0)</f>
        <v>200</v>
      </c>
      <c r="G696" s="70">
        <f>IFERROR(__xludf.DUMMYFUNCTION("""COMPUTED_VALUE"""),7.83915)</f>
        <v>7.83915</v>
      </c>
      <c r="H696" s="71">
        <f>IFERROR(__xludf.DUMMYFUNCTION("""COMPUTED_VALUE"""),175.6)</f>
        <v>175.6</v>
      </c>
      <c r="I696" s="71">
        <f>IFERROR(__xludf.DUMMYFUNCTION("""COMPUTED_VALUE"""),170.4)</f>
        <v>170.4</v>
      </c>
      <c r="J696" s="88" t="str">
        <f>IFERROR(__xludf.DUMMYFUNCTION("""COMPUTED_VALUE"""),"Goto link: AAPL")</f>
        <v>Goto link: AAPL</v>
      </c>
      <c r="K696" s="22"/>
      <c r="L696" s="22"/>
      <c r="M696" s="22"/>
      <c r="N696" s="22"/>
      <c r="O696" s="73"/>
      <c r="P696" s="8"/>
      <c r="Q696" s="69"/>
      <c r="R696" s="69"/>
      <c r="S696" s="8"/>
      <c r="T696" s="69"/>
      <c r="U696" s="8"/>
      <c r="V696" s="69"/>
      <c r="W696" s="74"/>
      <c r="X696" s="69"/>
    </row>
    <row r="697">
      <c r="A697" s="30" t="str">
        <f>IFERROR(__xludf.DUMMYFUNCTION("""COMPUTED_VALUE"""),"46600")</f>
        <v>46600</v>
      </c>
      <c r="B697" s="86">
        <f>IFERROR(__xludf.DUMMYFUNCTION("""COMPUTED_VALUE"""),44648.0)</f>
        <v>44648</v>
      </c>
      <c r="C697" s="64" t="str">
        <f>IFERROR(__xludf.DUMMYFUNCTION("""COMPUTED_VALUE"""),"Stock")</f>
        <v>Stock</v>
      </c>
      <c r="D697" s="87" t="str">
        <f>IFERROR(__xludf.DUMMYFUNCTION("""COMPUTED_VALUE"""),"TSLA")</f>
        <v>TSLA</v>
      </c>
      <c r="E697" s="5" t="str">
        <f>IFERROR(__xludf.DUMMYFUNCTION("""COMPUTED_VALUE"""),"USD")</f>
        <v>USD</v>
      </c>
      <c r="F697" s="69" t="str">
        <f>IFERROR(__xludf.DUMMYFUNCTION("""COMPUTED_VALUE"""),"")</f>
        <v/>
      </c>
      <c r="G697" s="70">
        <f>IFERROR(__xludf.DUMMYFUNCTION("""COMPUTED_VALUE"""),7.83915)</f>
        <v>7.83915</v>
      </c>
      <c r="H697" s="71">
        <f>IFERROR(__xludf.DUMMYFUNCTION("""COMPUTED_VALUE"""),1091.84)</f>
        <v>1091.84</v>
      </c>
      <c r="I697" s="71">
        <f>IFERROR(__xludf.DUMMYFUNCTION("""COMPUTED_VALUE"""),1022.37)</f>
        <v>1022.37</v>
      </c>
      <c r="J697" s="88" t="str">
        <f>IFERROR(__xludf.DUMMYFUNCTION("""COMPUTED_VALUE"""),"Goto link: TSLA")</f>
        <v>Goto link: TSLA</v>
      </c>
      <c r="K697" s="22"/>
      <c r="L697" s="22"/>
      <c r="M697" s="22"/>
      <c r="N697" s="22"/>
      <c r="O697" s="73"/>
      <c r="P697" s="8"/>
      <c r="Q697" s="69"/>
      <c r="R697" s="69"/>
      <c r="S697" s="8"/>
      <c r="T697" s="69"/>
      <c r="U697" s="8"/>
      <c r="V697" s="69"/>
      <c r="W697" s="74"/>
      <c r="X697" s="69"/>
    </row>
    <row r="698">
      <c r="A698" s="30" t="str">
        <f>IFERROR(__xludf.DUMMYFUNCTION("""COMPUTED_VALUE"""),"46600")</f>
        <v>46600</v>
      </c>
      <c r="B698" s="86">
        <f>IFERROR(__xludf.DUMMYFUNCTION("""COMPUTED_VALUE"""),44649.0)</f>
        <v>44649</v>
      </c>
      <c r="C698" s="64" t="str">
        <f>IFERROR(__xludf.DUMMYFUNCTION("""COMPUTED_VALUE"""),"Stock")</f>
        <v>Stock</v>
      </c>
      <c r="D698" s="90" t="str">
        <f>IFERROR(__xludf.DUMMYFUNCTION("""COMPUTED_VALUE"""),"0700.HK")</f>
        <v>0700.HK</v>
      </c>
      <c r="E698" s="5" t="str">
        <f>IFERROR(__xludf.DUMMYFUNCTION("""COMPUTED_VALUE"""),"HKD")</f>
        <v>HKD</v>
      </c>
      <c r="F698" s="69">
        <f>IFERROR(__xludf.DUMMYFUNCTION("""COMPUTED_VALUE"""),-300.0)</f>
        <v>-300</v>
      </c>
      <c r="G698" s="70">
        <f>IFERROR(__xludf.DUMMYFUNCTION("""COMPUTED_VALUE"""),1.0)</f>
        <v>1</v>
      </c>
      <c r="H698" s="71">
        <f>IFERROR(__xludf.DUMMYFUNCTION("""COMPUTED_VALUE"""),377.2)</f>
        <v>377.2</v>
      </c>
      <c r="I698" s="71">
        <f>IFERROR(__xludf.DUMMYFUNCTION("""COMPUTED_VALUE"""),373.6)</f>
        <v>373.6</v>
      </c>
      <c r="J698" s="88" t="str">
        <f>IFERROR(__xludf.DUMMYFUNCTION("""COMPUTED_VALUE"""),"Goto link: 0700.HK")</f>
        <v>Goto link: 0700.HK</v>
      </c>
      <c r="K698" s="22"/>
      <c r="L698" s="22"/>
      <c r="M698" s="22"/>
      <c r="N698" s="22"/>
      <c r="O698" s="73"/>
      <c r="P698" s="8"/>
      <c r="Q698" s="69"/>
      <c r="R698" s="69"/>
      <c r="S698" s="8"/>
      <c r="T698" s="69"/>
      <c r="U698" s="8"/>
      <c r="V698" s="69"/>
      <c r="W698" s="74"/>
      <c r="X698" s="69"/>
    </row>
    <row r="699">
      <c r="A699" s="30" t="str">
        <f>IFERROR(__xludf.DUMMYFUNCTION("""COMPUTED_VALUE"""),"46600")</f>
        <v>46600</v>
      </c>
      <c r="B699" s="86">
        <f>IFERROR(__xludf.DUMMYFUNCTION("""COMPUTED_VALUE"""),44657.0)</f>
        <v>44657</v>
      </c>
      <c r="C699" s="64" t="str">
        <f>IFERROR(__xludf.DUMMYFUNCTION("""COMPUTED_VALUE"""),"Stock")</f>
        <v>Stock</v>
      </c>
      <c r="D699" s="90" t="str">
        <f>IFERROR(__xludf.DUMMYFUNCTION("""COMPUTED_VALUE"""),"0700.HK")</f>
        <v>0700.HK</v>
      </c>
      <c r="E699" s="5" t="str">
        <f>IFERROR(__xludf.DUMMYFUNCTION("""COMPUTED_VALUE"""),"HKD")</f>
        <v>HKD</v>
      </c>
      <c r="F699" s="69">
        <f>IFERROR(__xludf.DUMMYFUNCTION("""COMPUTED_VALUE"""),-600.0)</f>
        <v>-600</v>
      </c>
      <c r="G699" s="70">
        <f>IFERROR(__xludf.DUMMYFUNCTION("""COMPUTED_VALUE"""),1.0)</f>
        <v>1</v>
      </c>
      <c r="H699" s="71">
        <f>IFERROR(__xludf.DUMMYFUNCTION("""COMPUTED_VALUE"""),381.0)</f>
        <v>381</v>
      </c>
      <c r="I699" s="71">
        <f>IFERROR(__xludf.DUMMYFUNCTION("""COMPUTED_VALUE"""),373.6)</f>
        <v>373.6</v>
      </c>
      <c r="J699" s="88" t="str">
        <f>IFERROR(__xludf.DUMMYFUNCTION("""COMPUTED_VALUE"""),"Goto link: 0700.HK")</f>
        <v>Goto link: 0700.HK</v>
      </c>
      <c r="K699" s="22"/>
      <c r="L699" s="22"/>
      <c r="M699" s="22"/>
      <c r="N699" s="22"/>
      <c r="O699" s="73"/>
      <c r="P699" s="8"/>
      <c r="Q699" s="69"/>
      <c r="R699" s="69"/>
      <c r="S699" s="8"/>
      <c r="T699" s="69"/>
      <c r="U699" s="8"/>
      <c r="V699" s="69"/>
      <c r="W699" s="74"/>
      <c r="X699" s="69"/>
    </row>
    <row r="700">
      <c r="A700" s="30" t="str">
        <f>IFERROR(__xludf.DUMMYFUNCTION("""COMPUTED_VALUE"""),"46600")</f>
        <v>46600</v>
      </c>
      <c r="B700" s="86">
        <f>IFERROR(__xludf.DUMMYFUNCTION("""COMPUTED_VALUE"""),44658.0)</f>
        <v>44658</v>
      </c>
      <c r="C700" s="64" t="str">
        <f>IFERROR(__xludf.DUMMYFUNCTION("""COMPUTED_VALUE"""),"Stock")</f>
        <v>Stock</v>
      </c>
      <c r="D700" s="91" t="str">
        <f>IFERROR(__xludf.DUMMYFUNCTION("""COMPUTED_VALUE"""),"0700.HK")</f>
        <v>0700.HK</v>
      </c>
      <c r="E700" s="5" t="str">
        <f>IFERROR(__xludf.DUMMYFUNCTION("""COMPUTED_VALUE"""),"HKD")</f>
        <v>HKD</v>
      </c>
      <c r="F700" s="69">
        <f>IFERROR(__xludf.DUMMYFUNCTION("""COMPUTED_VALUE"""),600.0)</f>
        <v>600</v>
      </c>
      <c r="G700" s="70">
        <f>IFERROR(__xludf.DUMMYFUNCTION("""COMPUTED_VALUE"""),1.0)</f>
        <v>1</v>
      </c>
      <c r="H700" s="71">
        <f>IFERROR(__xludf.DUMMYFUNCTION("""COMPUTED_VALUE"""),374.4)</f>
        <v>374.4</v>
      </c>
      <c r="I700" s="71">
        <f>IFERROR(__xludf.DUMMYFUNCTION("""COMPUTED_VALUE"""),373.6)</f>
        <v>373.6</v>
      </c>
      <c r="J700" s="88" t="str">
        <f>IFERROR(__xludf.DUMMYFUNCTION("""COMPUTED_VALUE"""),"Goto link: 0700.HK")</f>
        <v>Goto link: 0700.HK</v>
      </c>
      <c r="K700" s="22"/>
      <c r="L700" s="22"/>
      <c r="M700" s="22"/>
      <c r="N700" s="22"/>
      <c r="O700" s="73"/>
      <c r="P700" s="8"/>
      <c r="Q700" s="69"/>
      <c r="R700" s="69"/>
      <c r="S700" s="8"/>
      <c r="T700" s="69"/>
      <c r="U700" s="8"/>
      <c r="V700" s="69"/>
      <c r="W700" s="74"/>
      <c r="X700" s="69"/>
    </row>
    <row r="701">
      <c r="A701" s="30" t="str">
        <f>IFERROR(__xludf.DUMMYFUNCTION("""COMPUTED_VALUE"""),"46600")</f>
        <v>46600</v>
      </c>
      <c r="B701" s="86">
        <f>IFERROR(__xludf.DUMMYFUNCTION("""COMPUTED_VALUE"""),44662.0)</f>
        <v>44662</v>
      </c>
      <c r="C701" s="64" t="str">
        <f>IFERROR(__xludf.DUMMYFUNCTION("""COMPUTED_VALUE"""),"Stock")</f>
        <v>Stock</v>
      </c>
      <c r="D701" s="91" t="str">
        <f>IFERROR(__xludf.DUMMYFUNCTION("""COMPUTED_VALUE"""),"0700.HK")</f>
        <v>0700.HK</v>
      </c>
      <c r="E701" s="5" t="str">
        <f>IFERROR(__xludf.DUMMYFUNCTION("""COMPUTED_VALUE"""),"HKD")</f>
        <v>HKD</v>
      </c>
      <c r="F701" s="69">
        <f>IFERROR(__xludf.DUMMYFUNCTION("""COMPUTED_VALUE"""),200.0)</f>
        <v>200</v>
      </c>
      <c r="G701" s="70">
        <f>IFERROR(__xludf.DUMMYFUNCTION("""COMPUTED_VALUE"""),1.0)</f>
        <v>1</v>
      </c>
      <c r="H701" s="71">
        <f>IFERROR(__xludf.DUMMYFUNCTION("""COMPUTED_VALUE"""),353.6)</f>
        <v>353.6</v>
      </c>
      <c r="I701" s="71">
        <f>IFERROR(__xludf.DUMMYFUNCTION("""COMPUTED_VALUE"""),373.6)</f>
        <v>373.6</v>
      </c>
      <c r="J701" s="88" t="str">
        <f>IFERROR(__xludf.DUMMYFUNCTION("""COMPUTED_VALUE"""),"Goto link: 0700.HK")</f>
        <v>Goto link: 0700.HK</v>
      </c>
      <c r="K701" s="22"/>
      <c r="L701" s="22"/>
      <c r="M701" s="22"/>
      <c r="N701" s="22"/>
      <c r="O701" s="73"/>
      <c r="P701" s="8"/>
      <c r="Q701" s="69"/>
      <c r="R701" s="69"/>
      <c r="S701" s="8"/>
      <c r="T701" s="69"/>
      <c r="U701" s="8"/>
      <c r="V701" s="69"/>
      <c r="W701" s="74"/>
      <c r="X701" s="69"/>
    </row>
    <row r="702">
      <c r="A702" s="30" t="str">
        <f>IFERROR(__xludf.DUMMYFUNCTION("""COMPUTED_VALUE"""),"46600")</f>
        <v>46600</v>
      </c>
      <c r="B702" s="86">
        <f>IFERROR(__xludf.DUMMYFUNCTION("""COMPUTED_VALUE"""),44662.0)</f>
        <v>44662</v>
      </c>
      <c r="C702" s="64" t="str">
        <f>IFERROR(__xludf.DUMMYFUNCTION("""COMPUTED_VALUE"""),"Stock")</f>
        <v>Stock</v>
      </c>
      <c r="D702" s="91" t="str">
        <f>IFERROR(__xludf.DUMMYFUNCTION("""COMPUTED_VALUE"""),"9988.HK")</f>
        <v>9988.HK</v>
      </c>
      <c r="E702" s="5" t="str">
        <f>IFERROR(__xludf.DUMMYFUNCTION("""COMPUTED_VALUE"""),"HKD")</f>
        <v>HKD</v>
      </c>
      <c r="F702" s="69">
        <f>IFERROR(__xludf.DUMMYFUNCTION("""COMPUTED_VALUE"""),200.0)</f>
        <v>200</v>
      </c>
      <c r="G702" s="70">
        <f>IFERROR(__xludf.DUMMYFUNCTION("""COMPUTED_VALUE"""),1.0)</f>
        <v>1</v>
      </c>
      <c r="H702" s="71">
        <f>IFERROR(__xludf.DUMMYFUNCTION("""COMPUTED_VALUE"""),98.5)</f>
        <v>98.5</v>
      </c>
      <c r="I702" s="71">
        <f>IFERROR(__xludf.DUMMYFUNCTION("""COMPUTED_VALUE"""),98.5)</f>
        <v>98.5</v>
      </c>
      <c r="J702" s="88" t="str">
        <f>IFERROR(__xludf.DUMMYFUNCTION("""COMPUTED_VALUE"""),"Goto link: 9988.HK")</f>
        <v>Goto link: 9988.HK</v>
      </c>
      <c r="K702" s="22"/>
      <c r="L702" s="22"/>
      <c r="M702" s="22"/>
      <c r="N702" s="22"/>
      <c r="O702" s="73"/>
      <c r="P702" s="8"/>
      <c r="Q702" s="69"/>
      <c r="R702" s="69"/>
      <c r="S702" s="8"/>
      <c r="T702" s="69"/>
      <c r="U702" s="8"/>
      <c r="V702" s="69"/>
      <c r="W702" s="74"/>
      <c r="X702" s="69"/>
    </row>
    <row r="703">
      <c r="A703" s="30" t="str">
        <f>IFERROR(__xludf.DUMMYFUNCTION("""COMPUTED_VALUE"""),"46600")</f>
        <v>46600</v>
      </c>
      <c r="B703" s="86">
        <f>IFERROR(__xludf.DUMMYFUNCTION("""COMPUTED_VALUE"""),44662.0)</f>
        <v>44662</v>
      </c>
      <c r="C703" s="64" t="str">
        <f>IFERROR(__xludf.DUMMYFUNCTION("""COMPUTED_VALUE"""),"Stock")</f>
        <v>Stock</v>
      </c>
      <c r="D703" s="85" t="str">
        <f>IFERROR(__xludf.DUMMYFUNCTION("""COMPUTED_VALUE"""),"TSLA")</f>
        <v>TSLA</v>
      </c>
      <c r="E703" s="5" t="str">
        <f>IFERROR(__xludf.DUMMYFUNCTION("""COMPUTED_VALUE"""),"USD")</f>
        <v>USD</v>
      </c>
      <c r="F703" s="69" t="str">
        <f>IFERROR(__xludf.DUMMYFUNCTION("""COMPUTED_VALUE"""),"")</f>
        <v/>
      </c>
      <c r="G703" s="70">
        <f>IFERROR(__xludf.DUMMYFUNCTION("""COMPUTED_VALUE"""),7.83915)</f>
        <v>7.83915</v>
      </c>
      <c r="H703" s="71">
        <f>IFERROR(__xludf.DUMMYFUNCTION("""COMPUTED_VALUE"""),975.93)</f>
        <v>975.93</v>
      </c>
      <c r="I703" s="71">
        <f>IFERROR(__xludf.DUMMYFUNCTION("""COMPUTED_VALUE"""),1022.37)</f>
        <v>1022.37</v>
      </c>
      <c r="J703" s="88" t="str">
        <f>IFERROR(__xludf.DUMMYFUNCTION("""COMPUTED_VALUE"""),"Goto link: TSLA")</f>
        <v>Goto link: TSLA</v>
      </c>
      <c r="K703" s="22"/>
      <c r="L703" s="22"/>
      <c r="M703" s="22"/>
      <c r="N703" s="22"/>
      <c r="O703" s="73"/>
      <c r="P703" s="8"/>
      <c r="Q703" s="69"/>
      <c r="R703" s="69"/>
      <c r="S703" s="8"/>
      <c r="T703" s="69"/>
      <c r="U703" s="8"/>
      <c r="V703" s="69"/>
      <c r="W703" s="74"/>
      <c r="X703" s="69"/>
    </row>
    <row r="704">
      <c r="A704" s="30" t="str">
        <f>IFERROR(__xludf.DUMMYFUNCTION("""COMPUTED_VALUE"""),"46600")</f>
        <v>46600</v>
      </c>
      <c r="B704" s="86">
        <f>IFERROR(__xludf.DUMMYFUNCTION("""COMPUTED_VALUE"""),44663.0)</f>
        <v>44663</v>
      </c>
      <c r="C704" s="64" t="str">
        <f>IFERROR(__xludf.DUMMYFUNCTION("""COMPUTED_VALUE"""),"Stock")</f>
        <v>Stock</v>
      </c>
      <c r="D704" s="91" t="str">
        <f>IFERROR(__xludf.DUMMYFUNCTION("""COMPUTED_VALUE"""),"0700.HK")</f>
        <v>0700.HK</v>
      </c>
      <c r="E704" s="5" t="str">
        <f>IFERROR(__xludf.DUMMYFUNCTION("""COMPUTED_VALUE"""),"HKD")</f>
        <v>HKD</v>
      </c>
      <c r="F704" s="69">
        <f>IFERROR(__xludf.DUMMYFUNCTION("""COMPUTED_VALUE"""),-200.0)</f>
        <v>-200</v>
      </c>
      <c r="G704" s="70">
        <f>IFERROR(__xludf.DUMMYFUNCTION("""COMPUTED_VALUE"""),1.0)</f>
        <v>1</v>
      </c>
      <c r="H704" s="71">
        <f>IFERROR(__xludf.DUMMYFUNCTION("""COMPUTED_VALUE"""),366.4)</f>
        <v>366.4</v>
      </c>
      <c r="I704" s="71">
        <f>IFERROR(__xludf.DUMMYFUNCTION("""COMPUTED_VALUE"""),373.6)</f>
        <v>373.6</v>
      </c>
      <c r="J704" s="88" t="str">
        <f>IFERROR(__xludf.DUMMYFUNCTION("""COMPUTED_VALUE"""),"Goto link: 0700.HK")</f>
        <v>Goto link: 0700.HK</v>
      </c>
      <c r="K704" s="22"/>
      <c r="L704" s="22"/>
      <c r="M704" s="22"/>
      <c r="N704" s="22"/>
      <c r="O704" s="73"/>
      <c r="P704" s="8"/>
      <c r="Q704" s="69"/>
      <c r="R704" s="69"/>
      <c r="S704" s="8"/>
      <c r="T704" s="69"/>
      <c r="U704" s="8"/>
      <c r="V704" s="69"/>
      <c r="W704" s="74"/>
      <c r="X704" s="69"/>
    </row>
    <row r="705">
      <c r="A705" s="30" t="str">
        <f>IFERROR(__xludf.DUMMYFUNCTION("""COMPUTED_VALUE"""),"46600")</f>
        <v>46600</v>
      </c>
      <c r="B705" s="86">
        <f>IFERROR(__xludf.DUMMYFUNCTION("""COMPUTED_VALUE"""),44663.0)</f>
        <v>44663</v>
      </c>
      <c r="C705" s="64" t="str">
        <f>IFERROR(__xludf.DUMMYFUNCTION("""COMPUTED_VALUE"""),"Stock")</f>
        <v>Stock</v>
      </c>
      <c r="D705" s="85" t="str">
        <f>IFERROR(__xludf.DUMMYFUNCTION("""COMPUTED_VALUE"""),"AAPL")</f>
        <v>AAPL</v>
      </c>
      <c r="E705" s="5" t="str">
        <f>IFERROR(__xludf.DUMMYFUNCTION("""COMPUTED_VALUE"""),"USD")</f>
        <v>USD</v>
      </c>
      <c r="F705" s="69">
        <f>IFERROR(__xludf.DUMMYFUNCTION("""COMPUTED_VALUE"""),100.0)</f>
        <v>100</v>
      </c>
      <c r="G705" s="70">
        <f>IFERROR(__xludf.DUMMYFUNCTION("""COMPUTED_VALUE"""),7.83915)</f>
        <v>7.83915</v>
      </c>
      <c r="H705" s="71">
        <f>IFERROR(__xludf.DUMMYFUNCTION("""COMPUTED_VALUE"""),167.66)</f>
        <v>167.66</v>
      </c>
      <c r="I705" s="71">
        <f>IFERROR(__xludf.DUMMYFUNCTION("""COMPUTED_VALUE"""),170.4)</f>
        <v>170.4</v>
      </c>
      <c r="J705" s="88" t="str">
        <f>IFERROR(__xludf.DUMMYFUNCTION("""COMPUTED_VALUE"""),"Goto link: AAPL")</f>
        <v>Goto link: AAPL</v>
      </c>
      <c r="K705" s="22"/>
      <c r="L705" s="22"/>
      <c r="M705" s="22"/>
      <c r="N705" s="22"/>
      <c r="O705" s="73"/>
      <c r="P705" s="8"/>
      <c r="Q705" s="69"/>
      <c r="R705" s="69"/>
      <c r="S705" s="8"/>
      <c r="T705" s="69"/>
      <c r="U705" s="8"/>
      <c r="V705" s="69"/>
      <c r="W705" s="74"/>
      <c r="X705" s="69"/>
    </row>
    <row r="706">
      <c r="A706" s="30" t="str">
        <f>IFERROR(__xludf.DUMMYFUNCTION("""COMPUTED_VALUE"""),"46600")</f>
        <v>46600</v>
      </c>
      <c r="B706" s="86">
        <f>IFERROR(__xludf.DUMMYFUNCTION("""COMPUTED_VALUE"""),44664.0)</f>
        <v>44664</v>
      </c>
      <c r="C706" s="64" t="str">
        <f>IFERROR(__xludf.DUMMYFUNCTION("""COMPUTED_VALUE"""),"Stock")</f>
        <v>Stock</v>
      </c>
      <c r="D706" s="85" t="str">
        <f>IFERROR(__xludf.DUMMYFUNCTION("""COMPUTED_VALUE"""),"TSLA")</f>
        <v>TSLA</v>
      </c>
      <c r="E706" s="5" t="str">
        <f>IFERROR(__xludf.DUMMYFUNCTION("""COMPUTED_VALUE"""),"USD")</f>
        <v>USD</v>
      </c>
      <c r="F706" s="69">
        <f>IFERROR(__xludf.DUMMYFUNCTION("""COMPUTED_VALUE"""),-10.0)</f>
        <v>-10</v>
      </c>
      <c r="G706" s="70">
        <f>IFERROR(__xludf.DUMMYFUNCTION("""COMPUTED_VALUE"""),7.83915)</f>
        <v>7.83915</v>
      </c>
      <c r="H706" s="71">
        <f>IFERROR(__xludf.DUMMYFUNCTION("""COMPUTED_VALUE"""),1022.37)</f>
        <v>1022.37</v>
      </c>
      <c r="I706" s="71">
        <f>IFERROR(__xludf.DUMMYFUNCTION("""COMPUTED_VALUE"""),1022.37)</f>
        <v>1022.37</v>
      </c>
      <c r="J706" s="88" t="str">
        <f>IFERROR(__xludf.DUMMYFUNCTION("""COMPUTED_VALUE"""),"Goto link: TSLA")</f>
        <v>Goto link: TSLA</v>
      </c>
      <c r="K706" s="22"/>
      <c r="L706" s="22"/>
      <c r="M706" s="22"/>
      <c r="N706" s="22"/>
      <c r="O706" s="73"/>
      <c r="P706" s="8"/>
      <c r="Q706" s="69"/>
      <c r="R706" s="69"/>
      <c r="S706" s="8"/>
      <c r="T706" s="69"/>
      <c r="U706" s="8"/>
      <c r="V706" s="69"/>
      <c r="W706" s="74"/>
      <c r="X706" s="69"/>
    </row>
    <row r="707">
      <c r="A707" s="30" t="str">
        <f>IFERROR(__xludf.DUMMYFUNCTION("""COMPUTED_VALUE"""),"46600 Total")</f>
        <v>46600 Total</v>
      </c>
      <c r="B707" s="5"/>
      <c r="C707" s="64"/>
      <c r="D707" s="85"/>
      <c r="E707" s="5"/>
      <c r="F707" s="69"/>
      <c r="G707" s="70">
        <f>IFERROR(__xludf.DUMMYFUNCTION("""COMPUTED_VALUE"""),2.36783)</f>
        <v>2.36783</v>
      </c>
      <c r="H707" s="71">
        <f>IFERROR(__xludf.DUMMYFUNCTION("""COMPUTED_VALUE"""),1091.84)</f>
        <v>1091.84</v>
      </c>
      <c r="I707" s="71" t="str">
        <f>IFERROR(__xludf.DUMMYFUNCTION("""COMPUTED_VALUE"""),"")</f>
        <v/>
      </c>
      <c r="J707" s="22" t="str">
        <f>IFERROR(__xludf.DUMMYFUNCTION("""COMPUTED_VALUE"""),"")</f>
        <v/>
      </c>
      <c r="K707" s="22"/>
      <c r="L707" s="22"/>
      <c r="M707" s="22"/>
      <c r="N707" s="22"/>
      <c r="O707" s="73"/>
      <c r="P707" s="8"/>
      <c r="Q707" s="69"/>
      <c r="R707" s="69"/>
      <c r="S707" s="8"/>
      <c r="T707" s="69"/>
      <c r="U707" s="8"/>
      <c r="V707" s="69"/>
      <c r="W707" s="74"/>
      <c r="X707" s="69"/>
    </row>
    <row r="708">
      <c r="A708" s="30" t="str">
        <f>IFERROR(__xludf.DUMMYFUNCTION("""COMPUTED_VALUE"""),"46699")</f>
        <v>46699</v>
      </c>
      <c r="B708" s="86">
        <f>IFERROR(__xludf.DUMMYFUNCTION("""COMPUTED_VALUE"""),44597.0)</f>
        <v>44597</v>
      </c>
      <c r="C708" s="64" t="str">
        <f>IFERROR(__xludf.DUMMYFUNCTION("""COMPUTED_VALUE"""),"Cash")</f>
        <v>Cash</v>
      </c>
      <c r="D708" s="85" t="str">
        <f>IFERROR(__xludf.DUMMYFUNCTION("""COMPUTED_VALUE"""),"Cash")</f>
        <v>Cash</v>
      </c>
      <c r="E708" s="5" t="str">
        <f>IFERROR(__xludf.DUMMYFUNCTION("""COMPUTED_VALUE"""),"HKD")</f>
        <v>HKD</v>
      </c>
      <c r="F708" s="69" t="str">
        <f>IFERROR(__xludf.DUMMYFUNCTION("""COMPUTED_VALUE"""),"")</f>
        <v/>
      </c>
      <c r="G708" s="70">
        <f>IFERROR(__xludf.DUMMYFUNCTION("""COMPUTED_VALUE"""),1.0)</f>
        <v>1</v>
      </c>
      <c r="H708" s="71">
        <f>IFERROR(__xludf.DUMMYFUNCTION("""COMPUTED_VALUE"""),1.0)</f>
        <v>1</v>
      </c>
      <c r="I708" s="71">
        <f>IFERROR(__xludf.DUMMYFUNCTION("""COMPUTED_VALUE"""),1.0)</f>
        <v>1</v>
      </c>
      <c r="J708" s="22" t="str">
        <f>IFERROR(__xludf.DUMMYFUNCTION("""COMPUTED_VALUE"""),"")</f>
        <v/>
      </c>
      <c r="K708" s="22"/>
      <c r="L708" s="22"/>
      <c r="M708" s="22"/>
      <c r="N708" s="22"/>
      <c r="O708" s="73"/>
      <c r="P708" s="8"/>
      <c r="Q708" s="69"/>
      <c r="R708" s="69"/>
      <c r="S708" s="8"/>
      <c r="T708" s="69"/>
      <c r="U708" s="8"/>
      <c r="V708" s="69"/>
      <c r="W708" s="74"/>
      <c r="X708" s="69"/>
    </row>
    <row r="709">
      <c r="A709" s="30" t="str">
        <f>IFERROR(__xludf.DUMMYFUNCTION("""COMPUTED_VALUE"""),"46699")</f>
        <v>46699</v>
      </c>
      <c r="B709" s="86">
        <f>IFERROR(__xludf.DUMMYFUNCTION("""COMPUTED_VALUE"""),44600.0)</f>
        <v>44600</v>
      </c>
      <c r="C709" s="64" t="str">
        <f>IFERROR(__xludf.DUMMYFUNCTION("""COMPUTED_VALUE"""),"Stock")</f>
        <v>Stock</v>
      </c>
      <c r="D709" s="87" t="str">
        <f>IFERROR(__xludf.DUMMYFUNCTION("""COMPUTED_VALUE"""),"AAPL")</f>
        <v>AAPL</v>
      </c>
      <c r="E709" s="5" t="str">
        <f>IFERROR(__xludf.DUMMYFUNCTION("""COMPUTED_VALUE"""),"USD")</f>
        <v>USD</v>
      </c>
      <c r="F709" s="69">
        <f>IFERROR(__xludf.DUMMYFUNCTION("""COMPUTED_VALUE"""),20.0)</f>
        <v>20</v>
      </c>
      <c r="G709" s="70">
        <f>IFERROR(__xludf.DUMMYFUNCTION("""COMPUTED_VALUE"""),7.83915)</f>
        <v>7.83915</v>
      </c>
      <c r="H709" s="71">
        <f>IFERROR(__xludf.DUMMYFUNCTION("""COMPUTED_VALUE"""),174.83)</f>
        <v>174.83</v>
      </c>
      <c r="I709" s="71">
        <f>IFERROR(__xludf.DUMMYFUNCTION("""COMPUTED_VALUE"""),170.4)</f>
        <v>170.4</v>
      </c>
      <c r="J709" s="88" t="str">
        <f>IFERROR(__xludf.DUMMYFUNCTION("""COMPUTED_VALUE"""),"Goto link: AAPL")</f>
        <v>Goto link: AAPL</v>
      </c>
      <c r="K709" s="22"/>
      <c r="L709" s="22"/>
      <c r="M709" s="22"/>
      <c r="N709" s="22"/>
      <c r="O709" s="73"/>
      <c r="P709" s="8"/>
      <c r="Q709" s="69"/>
      <c r="R709" s="69"/>
      <c r="S709" s="8"/>
      <c r="T709" s="69"/>
      <c r="U709" s="8"/>
      <c r="V709" s="69"/>
      <c r="W709" s="74"/>
      <c r="X709" s="69"/>
    </row>
    <row r="710">
      <c r="A710" s="30" t="str">
        <f>IFERROR(__xludf.DUMMYFUNCTION("""COMPUTED_VALUE"""),"46699")</f>
        <v>46699</v>
      </c>
      <c r="B710" s="86">
        <f>IFERROR(__xludf.DUMMYFUNCTION("""COMPUTED_VALUE"""),44603.0)</f>
        <v>44603</v>
      </c>
      <c r="C710" s="64" t="str">
        <f>IFERROR(__xludf.DUMMYFUNCTION("""COMPUTED_VALUE"""),"Stock")</f>
        <v>Stock</v>
      </c>
      <c r="D710" s="87" t="str">
        <f>IFERROR(__xludf.DUMMYFUNCTION("""COMPUTED_VALUE"""),"NFLX")</f>
        <v>NFLX</v>
      </c>
      <c r="E710" s="5" t="str">
        <f>IFERROR(__xludf.DUMMYFUNCTION("""COMPUTED_VALUE"""),"USD")</f>
        <v>USD</v>
      </c>
      <c r="F710" s="69">
        <f>IFERROR(__xludf.DUMMYFUNCTION("""COMPUTED_VALUE"""),20.0)</f>
        <v>20</v>
      </c>
      <c r="G710" s="70">
        <f>IFERROR(__xludf.DUMMYFUNCTION("""COMPUTED_VALUE"""),7.83915)</f>
        <v>7.83915</v>
      </c>
      <c r="H710" s="71">
        <f>IFERROR(__xludf.DUMMYFUNCTION("""COMPUTED_VALUE"""),391.31)</f>
        <v>391.31</v>
      </c>
      <c r="I710" s="71">
        <f>IFERROR(__xludf.DUMMYFUNCTION("""COMPUTED_VALUE"""),350.43)</f>
        <v>350.43</v>
      </c>
      <c r="J710" s="88" t="str">
        <f>IFERROR(__xludf.DUMMYFUNCTION("""COMPUTED_VALUE"""),"Goto link: NFLX")</f>
        <v>Goto link: NFLX</v>
      </c>
      <c r="K710" s="22"/>
      <c r="L710" s="22"/>
      <c r="M710" s="22"/>
      <c r="N710" s="22"/>
      <c r="O710" s="73"/>
      <c r="P710" s="8"/>
      <c r="Q710" s="69"/>
      <c r="R710" s="69"/>
      <c r="S710" s="8"/>
      <c r="T710" s="69"/>
      <c r="U710" s="8"/>
      <c r="V710" s="69"/>
      <c r="W710" s="74"/>
      <c r="X710" s="69"/>
    </row>
    <row r="711">
      <c r="A711" s="30" t="str">
        <f>IFERROR(__xludf.DUMMYFUNCTION("""COMPUTED_VALUE"""),"46699")</f>
        <v>46699</v>
      </c>
      <c r="B711" s="86">
        <f>IFERROR(__xludf.DUMMYFUNCTION("""COMPUTED_VALUE"""),44652.0)</f>
        <v>44652</v>
      </c>
      <c r="C711" s="64" t="str">
        <f>IFERROR(__xludf.DUMMYFUNCTION("""COMPUTED_VALUE"""),"Stock")</f>
        <v>Stock</v>
      </c>
      <c r="D711" s="87" t="str">
        <f>IFERROR(__xludf.DUMMYFUNCTION("""COMPUTED_VALUE"""),"AAPL")</f>
        <v>AAPL</v>
      </c>
      <c r="E711" s="5" t="str">
        <f>IFERROR(__xludf.DUMMYFUNCTION("""COMPUTED_VALUE"""),"USD")</f>
        <v>USD</v>
      </c>
      <c r="F711" s="69">
        <f>IFERROR(__xludf.DUMMYFUNCTION("""COMPUTED_VALUE"""),30.0)</f>
        <v>30</v>
      </c>
      <c r="G711" s="70">
        <f>IFERROR(__xludf.DUMMYFUNCTION("""COMPUTED_VALUE"""),7.83915)</f>
        <v>7.83915</v>
      </c>
      <c r="H711" s="71">
        <f>IFERROR(__xludf.DUMMYFUNCTION("""COMPUTED_VALUE"""),174.31)</f>
        <v>174.31</v>
      </c>
      <c r="I711" s="71">
        <f>IFERROR(__xludf.DUMMYFUNCTION("""COMPUTED_VALUE"""),170.4)</f>
        <v>170.4</v>
      </c>
      <c r="J711" s="88" t="str">
        <f>IFERROR(__xludf.DUMMYFUNCTION("""COMPUTED_VALUE"""),"Goto link: AAPL")</f>
        <v>Goto link: AAPL</v>
      </c>
      <c r="K711" s="22"/>
      <c r="L711" s="22"/>
      <c r="M711" s="22"/>
      <c r="N711" s="22"/>
      <c r="O711" s="73"/>
      <c r="P711" s="8"/>
      <c r="Q711" s="69"/>
      <c r="R711" s="69"/>
      <c r="S711" s="8"/>
      <c r="T711" s="69"/>
      <c r="U711" s="8"/>
      <c r="V711" s="69"/>
      <c r="W711" s="74"/>
      <c r="X711" s="69"/>
    </row>
    <row r="712">
      <c r="A712" s="30" t="str">
        <f>IFERROR(__xludf.DUMMYFUNCTION("""COMPUTED_VALUE"""),"46699")</f>
        <v>46699</v>
      </c>
      <c r="B712" s="86">
        <f>IFERROR(__xludf.DUMMYFUNCTION("""COMPUTED_VALUE"""),44652.0)</f>
        <v>44652</v>
      </c>
      <c r="C712" s="64" t="str">
        <f>IFERROR(__xludf.DUMMYFUNCTION("""COMPUTED_VALUE"""),"Stock")</f>
        <v>Stock</v>
      </c>
      <c r="D712" s="87" t="str">
        <f>IFERROR(__xludf.DUMMYFUNCTION("""COMPUTED_VALUE"""),"PATH")</f>
        <v>PATH</v>
      </c>
      <c r="E712" s="5" t="str">
        <f>IFERROR(__xludf.DUMMYFUNCTION("""COMPUTED_VALUE"""),"USD")</f>
        <v>USD</v>
      </c>
      <c r="F712" s="69">
        <f>IFERROR(__xludf.DUMMYFUNCTION("""COMPUTED_VALUE"""),30.0)</f>
        <v>30</v>
      </c>
      <c r="G712" s="70">
        <f>IFERROR(__xludf.DUMMYFUNCTION("""COMPUTED_VALUE"""),7.83915)</f>
        <v>7.83915</v>
      </c>
      <c r="H712" s="71">
        <f>IFERROR(__xludf.DUMMYFUNCTION("""COMPUTED_VALUE"""),22.18)</f>
        <v>22.18</v>
      </c>
      <c r="I712" s="71">
        <f>IFERROR(__xludf.DUMMYFUNCTION("""COMPUTED_VALUE"""),20.22)</f>
        <v>20.22</v>
      </c>
      <c r="J712" s="88" t="str">
        <f>IFERROR(__xludf.DUMMYFUNCTION("""COMPUTED_VALUE"""),"Goto link: PATH")</f>
        <v>Goto link: PATH</v>
      </c>
      <c r="K712" s="22"/>
      <c r="L712" s="22"/>
      <c r="M712" s="22"/>
      <c r="N712" s="22"/>
      <c r="O712" s="73"/>
      <c r="P712" s="8"/>
      <c r="Q712" s="69"/>
      <c r="R712" s="69"/>
      <c r="S712" s="8"/>
      <c r="T712" s="69"/>
      <c r="U712" s="8"/>
      <c r="V712" s="69"/>
      <c r="W712" s="74"/>
      <c r="X712" s="69"/>
    </row>
    <row r="713">
      <c r="A713" s="30" t="str">
        <f>IFERROR(__xludf.DUMMYFUNCTION("""COMPUTED_VALUE"""),"46699")</f>
        <v>46699</v>
      </c>
      <c r="B713" s="86">
        <f>IFERROR(__xludf.DUMMYFUNCTION("""COMPUTED_VALUE"""),44653.0)</f>
        <v>44653</v>
      </c>
      <c r="C713" s="64" t="str">
        <f>IFERROR(__xludf.DUMMYFUNCTION("""COMPUTED_VALUE"""),"Stock")</f>
        <v>Stock</v>
      </c>
      <c r="D713" s="87" t="str">
        <f>IFERROR(__xludf.DUMMYFUNCTION("""COMPUTED_VALUE"""),"005930.KS")</f>
        <v>005930.KS</v>
      </c>
      <c r="E713" s="5" t="str">
        <f>IFERROR(__xludf.DUMMYFUNCTION("""COMPUTED_VALUE"""),"KRW")</f>
        <v>KRW</v>
      </c>
      <c r="F713" s="69">
        <f>IFERROR(__xludf.DUMMYFUNCTION("""COMPUTED_VALUE"""),30.0)</f>
        <v>30</v>
      </c>
      <c r="G713" s="70">
        <f>IFERROR(__xludf.DUMMYFUNCTION("""COMPUTED_VALUE"""),0.006406054)</f>
        <v>0.006406054</v>
      </c>
      <c r="H713" s="71">
        <f>IFERROR(__xludf.DUMMYFUNCTION("""COMPUTED_VALUE"""),69200.0)</f>
        <v>69200</v>
      </c>
      <c r="I713" s="71">
        <f>IFERROR(__xludf.DUMMYFUNCTION("""COMPUTED_VALUE"""),68700.0)</f>
        <v>68700</v>
      </c>
      <c r="J713" s="88" t="str">
        <f>IFERROR(__xludf.DUMMYFUNCTION("""COMPUTED_VALUE"""),"Goto link: 005930.KS")</f>
        <v>Goto link: 005930.KS</v>
      </c>
      <c r="K713" s="22"/>
      <c r="L713" s="22"/>
      <c r="M713" s="22"/>
      <c r="N713" s="22"/>
      <c r="O713" s="73"/>
      <c r="P713" s="8"/>
      <c r="Q713" s="69"/>
      <c r="R713" s="69"/>
      <c r="S713" s="8"/>
      <c r="T713" s="69"/>
      <c r="U713" s="8"/>
      <c r="V713" s="69"/>
      <c r="W713" s="74"/>
      <c r="X713" s="69"/>
    </row>
    <row r="714">
      <c r="A714" s="30" t="str">
        <f>IFERROR(__xludf.DUMMYFUNCTION("""COMPUTED_VALUE"""),"46699 Total")</f>
        <v>46699 Total</v>
      </c>
      <c r="B714" s="5"/>
      <c r="C714" s="64"/>
      <c r="D714" s="85"/>
      <c r="E714" s="5"/>
      <c r="F714" s="69"/>
      <c r="G714" s="70">
        <f>IFERROR(__xludf.DUMMYFUNCTION("""COMPUTED_VALUE"""),5.393834342333334)</f>
        <v>5.393834342</v>
      </c>
      <c r="H714" s="71">
        <f>IFERROR(__xludf.DUMMYFUNCTION("""COMPUTED_VALUE"""),69200.0)</f>
        <v>69200</v>
      </c>
      <c r="I714" s="71" t="str">
        <f>IFERROR(__xludf.DUMMYFUNCTION("""COMPUTED_VALUE"""),"")</f>
        <v/>
      </c>
      <c r="J714" s="22" t="str">
        <f>IFERROR(__xludf.DUMMYFUNCTION("""COMPUTED_VALUE"""),"")</f>
        <v/>
      </c>
      <c r="K714" s="22"/>
      <c r="L714" s="22"/>
      <c r="M714" s="22"/>
      <c r="N714" s="22"/>
      <c r="O714" s="73"/>
      <c r="P714" s="8"/>
      <c r="Q714" s="69"/>
      <c r="R714" s="69"/>
      <c r="S714" s="8"/>
      <c r="T714" s="69"/>
      <c r="U714" s="8"/>
      <c r="V714" s="69"/>
      <c r="W714" s="74"/>
      <c r="X714" s="69"/>
    </row>
    <row r="715">
      <c r="A715" s="30" t="str">
        <f>IFERROR(__xludf.DUMMYFUNCTION("""COMPUTED_VALUE"""),"46763")</f>
        <v>46763</v>
      </c>
      <c r="B715" s="86">
        <f>IFERROR(__xludf.DUMMYFUNCTION("""COMPUTED_VALUE"""),44597.0)</f>
        <v>44597</v>
      </c>
      <c r="C715" s="64" t="str">
        <f>IFERROR(__xludf.DUMMYFUNCTION("""COMPUTED_VALUE"""),"Cash")</f>
        <v>Cash</v>
      </c>
      <c r="D715" s="85" t="str">
        <f>IFERROR(__xludf.DUMMYFUNCTION("""COMPUTED_VALUE"""),"Cash")</f>
        <v>Cash</v>
      </c>
      <c r="E715" s="5" t="str">
        <f>IFERROR(__xludf.DUMMYFUNCTION("""COMPUTED_VALUE"""),"HKD")</f>
        <v>HKD</v>
      </c>
      <c r="F715" s="69" t="str">
        <f>IFERROR(__xludf.DUMMYFUNCTION("""COMPUTED_VALUE"""),"")</f>
        <v/>
      </c>
      <c r="G715" s="70">
        <f>IFERROR(__xludf.DUMMYFUNCTION("""COMPUTED_VALUE"""),1.0)</f>
        <v>1</v>
      </c>
      <c r="H715" s="71">
        <f>IFERROR(__xludf.DUMMYFUNCTION("""COMPUTED_VALUE"""),1.0)</f>
        <v>1</v>
      </c>
      <c r="I715" s="71">
        <f>IFERROR(__xludf.DUMMYFUNCTION("""COMPUTED_VALUE"""),1.0)</f>
        <v>1</v>
      </c>
      <c r="J715" s="22" t="str">
        <f>IFERROR(__xludf.DUMMYFUNCTION("""COMPUTED_VALUE"""),"")</f>
        <v/>
      </c>
      <c r="K715" s="22"/>
      <c r="L715" s="22"/>
      <c r="M715" s="22"/>
      <c r="N715" s="22"/>
      <c r="O715" s="73"/>
      <c r="P715" s="8"/>
      <c r="Q715" s="69"/>
      <c r="R715" s="69"/>
      <c r="S715" s="8"/>
      <c r="T715" s="69"/>
      <c r="U715" s="8"/>
      <c r="V715" s="69"/>
      <c r="W715" s="74"/>
      <c r="X715" s="69"/>
    </row>
    <row r="716">
      <c r="A716" s="30" t="str">
        <f>IFERROR(__xludf.DUMMYFUNCTION("""COMPUTED_VALUE"""),"46763")</f>
        <v>46763</v>
      </c>
      <c r="B716" s="86">
        <f>IFERROR(__xludf.DUMMYFUNCTION("""COMPUTED_VALUE"""),44627.0)</f>
        <v>44627</v>
      </c>
      <c r="C716" s="64" t="str">
        <f>IFERROR(__xludf.DUMMYFUNCTION("""COMPUTED_VALUE"""),"Stock")</f>
        <v>Stock</v>
      </c>
      <c r="D716" s="90" t="str">
        <f>IFERROR(__xludf.DUMMYFUNCTION("""COMPUTED_VALUE"""),"0001.HK")</f>
        <v>0001.HK</v>
      </c>
      <c r="E716" s="5" t="str">
        <f>IFERROR(__xludf.DUMMYFUNCTION("""COMPUTED_VALUE"""),"HKD")</f>
        <v>HKD</v>
      </c>
      <c r="F716" s="69">
        <f>IFERROR(__xludf.DUMMYFUNCTION("""COMPUTED_VALUE"""),1500.0)</f>
        <v>1500</v>
      </c>
      <c r="G716" s="70">
        <f>IFERROR(__xludf.DUMMYFUNCTION("""COMPUTED_VALUE"""),1.0)</f>
        <v>1</v>
      </c>
      <c r="H716" s="71">
        <f>IFERROR(__xludf.DUMMYFUNCTION("""COMPUTED_VALUE"""),52.5)</f>
        <v>52.5</v>
      </c>
      <c r="I716" s="71">
        <f>IFERROR(__xludf.DUMMYFUNCTION("""COMPUTED_VALUE"""),56.7)</f>
        <v>56.7</v>
      </c>
      <c r="J716" s="88" t="str">
        <f>IFERROR(__xludf.DUMMYFUNCTION("""COMPUTED_VALUE"""),"Goto link: 0001.HK")</f>
        <v>Goto link: 0001.HK</v>
      </c>
      <c r="K716" s="22"/>
      <c r="L716" s="22"/>
      <c r="M716" s="22"/>
      <c r="N716" s="22"/>
      <c r="O716" s="73"/>
      <c r="P716" s="8"/>
      <c r="Q716" s="69"/>
      <c r="R716" s="69"/>
      <c r="S716" s="8"/>
      <c r="T716" s="69"/>
      <c r="U716" s="8"/>
      <c r="V716" s="69"/>
      <c r="W716" s="74"/>
      <c r="X716" s="69"/>
    </row>
    <row r="717">
      <c r="A717" s="30" t="str">
        <f>IFERROR(__xludf.DUMMYFUNCTION("""COMPUTED_VALUE"""),"46763")</f>
        <v>46763</v>
      </c>
      <c r="B717" s="86">
        <f>IFERROR(__xludf.DUMMYFUNCTION("""COMPUTED_VALUE"""),44627.0)</f>
        <v>44627</v>
      </c>
      <c r="C717" s="64" t="str">
        <f>IFERROR(__xludf.DUMMYFUNCTION("""COMPUTED_VALUE"""),"Stock")</f>
        <v>Stock</v>
      </c>
      <c r="D717" s="90" t="str">
        <f>IFERROR(__xludf.DUMMYFUNCTION("""COMPUTED_VALUE"""),"0151.HK")</f>
        <v>0151.HK</v>
      </c>
      <c r="E717" s="5" t="str">
        <f>IFERROR(__xludf.DUMMYFUNCTION("""COMPUTED_VALUE"""),"HKD")</f>
        <v>HKD</v>
      </c>
      <c r="F717" s="69">
        <f>IFERROR(__xludf.DUMMYFUNCTION("""COMPUTED_VALUE"""),10000.0)</f>
        <v>10000</v>
      </c>
      <c r="G717" s="70">
        <f>IFERROR(__xludf.DUMMYFUNCTION("""COMPUTED_VALUE"""),1.0)</f>
        <v>1</v>
      </c>
      <c r="H717" s="71">
        <f>IFERROR(__xludf.DUMMYFUNCTION("""COMPUTED_VALUE"""),7.95)</f>
        <v>7.95</v>
      </c>
      <c r="I717" s="71">
        <f>IFERROR(__xludf.DUMMYFUNCTION("""COMPUTED_VALUE"""),6.71)</f>
        <v>6.71</v>
      </c>
      <c r="J717" s="88" t="str">
        <f>IFERROR(__xludf.DUMMYFUNCTION("""COMPUTED_VALUE"""),"Goto link: 0151.HK")</f>
        <v>Goto link: 0151.HK</v>
      </c>
      <c r="K717" s="22"/>
      <c r="L717" s="22"/>
      <c r="M717" s="22"/>
      <c r="N717" s="22"/>
      <c r="O717" s="73"/>
      <c r="P717" s="8"/>
      <c r="Q717" s="69"/>
      <c r="R717" s="69"/>
      <c r="S717" s="8"/>
      <c r="T717" s="69"/>
      <c r="U717" s="8"/>
      <c r="V717" s="69"/>
      <c r="W717" s="74"/>
      <c r="X717" s="69"/>
    </row>
    <row r="718">
      <c r="A718" s="30" t="str">
        <f>IFERROR(__xludf.DUMMYFUNCTION("""COMPUTED_VALUE"""),"46763")</f>
        <v>46763</v>
      </c>
      <c r="B718" s="86">
        <f>IFERROR(__xludf.DUMMYFUNCTION("""COMPUTED_VALUE"""),44628.0)</f>
        <v>44628</v>
      </c>
      <c r="C718" s="64" t="str">
        <f>IFERROR(__xludf.DUMMYFUNCTION("""COMPUTED_VALUE"""),"Stock")</f>
        <v>Stock</v>
      </c>
      <c r="D718" s="90" t="str">
        <f>IFERROR(__xludf.DUMMYFUNCTION("""COMPUTED_VALUE"""),"0151.HK")</f>
        <v>0151.HK</v>
      </c>
      <c r="E718" s="5" t="str">
        <f>IFERROR(__xludf.DUMMYFUNCTION("""COMPUTED_VALUE"""),"HKD")</f>
        <v>HKD</v>
      </c>
      <c r="F718" s="69">
        <f>IFERROR(__xludf.DUMMYFUNCTION("""COMPUTED_VALUE"""),-10000.0)</f>
        <v>-10000</v>
      </c>
      <c r="G718" s="70">
        <f>IFERROR(__xludf.DUMMYFUNCTION("""COMPUTED_VALUE"""),1.0)</f>
        <v>1</v>
      </c>
      <c r="H718" s="71">
        <f>IFERROR(__xludf.DUMMYFUNCTION("""COMPUTED_VALUE"""),7.95)</f>
        <v>7.95</v>
      </c>
      <c r="I718" s="71">
        <f>IFERROR(__xludf.DUMMYFUNCTION("""COMPUTED_VALUE"""),6.71)</f>
        <v>6.71</v>
      </c>
      <c r="J718" s="88" t="str">
        <f>IFERROR(__xludf.DUMMYFUNCTION("""COMPUTED_VALUE"""),"Goto link: 0151.HK")</f>
        <v>Goto link: 0151.HK</v>
      </c>
      <c r="K718" s="22"/>
      <c r="L718" s="22"/>
      <c r="M718" s="22"/>
      <c r="N718" s="22"/>
      <c r="O718" s="73"/>
      <c r="P718" s="8"/>
      <c r="Q718" s="69"/>
      <c r="R718" s="69"/>
      <c r="S718" s="8"/>
      <c r="T718" s="69"/>
      <c r="U718" s="8"/>
      <c r="V718" s="69"/>
      <c r="W718" s="74"/>
      <c r="X718" s="69"/>
    </row>
    <row r="719">
      <c r="A719" s="30" t="str">
        <f>IFERROR(__xludf.DUMMYFUNCTION("""COMPUTED_VALUE"""),"46763")</f>
        <v>46763</v>
      </c>
      <c r="B719" s="86">
        <f>IFERROR(__xludf.DUMMYFUNCTION("""COMPUTED_VALUE"""),44634.0)</f>
        <v>44634</v>
      </c>
      <c r="C719" s="64" t="str">
        <f>IFERROR(__xludf.DUMMYFUNCTION("""COMPUTED_VALUE"""),"Stock")</f>
        <v>Stock</v>
      </c>
      <c r="D719" s="90" t="str">
        <f>IFERROR(__xludf.DUMMYFUNCTION("""COMPUTED_VALUE"""),"0151.HK")</f>
        <v>0151.HK</v>
      </c>
      <c r="E719" s="5" t="str">
        <f>IFERROR(__xludf.DUMMYFUNCTION("""COMPUTED_VALUE"""),"HKD")</f>
        <v>HKD</v>
      </c>
      <c r="F719" s="69">
        <f>IFERROR(__xludf.DUMMYFUNCTION("""COMPUTED_VALUE"""),10000.0)</f>
        <v>10000</v>
      </c>
      <c r="G719" s="70">
        <f>IFERROR(__xludf.DUMMYFUNCTION("""COMPUTED_VALUE"""),1.0)</f>
        <v>1</v>
      </c>
      <c r="H719" s="71">
        <f>IFERROR(__xludf.DUMMYFUNCTION("""COMPUTED_VALUE"""),7.78)</f>
        <v>7.78</v>
      </c>
      <c r="I719" s="71">
        <f>IFERROR(__xludf.DUMMYFUNCTION("""COMPUTED_VALUE"""),6.71)</f>
        <v>6.71</v>
      </c>
      <c r="J719" s="88" t="str">
        <f>IFERROR(__xludf.DUMMYFUNCTION("""COMPUTED_VALUE"""),"Goto link: 0151.HK")</f>
        <v>Goto link: 0151.HK</v>
      </c>
      <c r="K719" s="22"/>
      <c r="L719" s="22"/>
      <c r="M719" s="22"/>
      <c r="N719" s="22"/>
      <c r="O719" s="73"/>
      <c r="P719" s="8"/>
      <c r="Q719" s="69"/>
      <c r="R719" s="69"/>
      <c r="S719" s="8"/>
      <c r="T719" s="69"/>
      <c r="U719" s="8"/>
      <c r="V719" s="69"/>
      <c r="W719" s="74"/>
      <c r="X719" s="69"/>
    </row>
    <row r="720">
      <c r="A720" s="30" t="str">
        <f>IFERROR(__xludf.DUMMYFUNCTION("""COMPUTED_VALUE"""),"46763")</f>
        <v>46763</v>
      </c>
      <c r="B720" s="86">
        <f>IFERROR(__xludf.DUMMYFUNCTION("""COMPUTED_VALUE"""),44651.0)</f>
        <v>44651</v>
      </c>
      <c r="C720" s="64" t="str">
        <f>IFERROR(__xludf.DUMMYFUNCTION("""COMPUTED_VALUE"""),"Stock")</f>
        <v>Stock</v>
      </c>
      <c r="D720" s="90" t="str">
        <f>IFERROR(__xludf.DUMMYFUNCTION("""COMPUTED_VALUE"""),"0241.HK")</f>
        <v>0241.HK</v>
      </c>
      <c r="E720" s="5" t="str">
        <f>IFERROR(__xludf.DUMMYFUNCTION("""COMPUTED_VALUE"""),"HKD")</f>
        <v>HKD</v>
      </c>
      <c r="F720" s="69">
        <f>IFERROR(__xludf.DUMMYFUNCTION("""COMPUTED_VALUE"""),10000.0)</f>
        <v>10000</v>
      </c>
      <c r="G720" s="70">
        <f>IFERROR(__xludf.DUMMYFUNCTION("""COMPUTED_VALUE"""),1.0)</f>
        <v>1</v>
      </c>
      <c r="H720" s="71">
        <f>IFERROR(__xludf.DUMMYFUNCTION("""COMPUTED_VALUE"""),5.08)</f>
        <v>5.08</v>
      </c>
      <c r="I720" s="71">
        <f>IFERROR(__xludf.DUMMYFUNCTION("""COMPUTED_VALUE"""),4.66)</f>
        <v>4.66</v>
      </c>
      <c r="J720" s="88" t="str">
        <f>IFERROR(__xludf.DUMMYFUNCTION("""COMPUTED_VALUE"""),"Goto link: 0241.HK")</f>
        <v>Goto link: 0241.HK</v>
      </c>
      <c r="K720" s="22"/>
      <c r="L720" s="22"/>
      <c r="M720" s="22"/>
      <c r="N720" s="22"/>
      <c r="O720" s="73"/>
      <c r="P720" s="8"/>
      <c r="Q720" s="69"/>
      <c r="R720" s="69"/>
      <c r="S720" s="8"/>
      <c r="T720" s="69"/>
      <c r="U720" s="8"/>
      <c r="V720" s="69"/>
      <c r="W720" s="74"/>
      <c r="X720" s="69"/>
    </row>
    <row r="721">
      <c r="A721" s="30" t="str">
        <f>IFERROR(__xludf.DUMMYFUNCTION("""COMPUTED_VALUE"""),"46763")</f>
        <v>46763</v>
      </c>
      <c r="B721" s="86">
        <f>IFERROR(__xludf.DUMMYFUNCTION("""COMPUTED_VALUE"""),44651.0)</f>
        <v>44651</v>
      </c>
      <c r="C721" s="64" t="str">
        <f>IFERROR(__xludf.DUMMYFUNCTION("""COMPUTED_VALUE"""),"Stock")</f>
        <v>Stock</v>
      </c>
      <c r="D721" s="90" t="str">
        <f>IFERROR(__xludf.DUMMYFUNCTION("""COMPUTED_VALUE"""),"0386.HK")</f>
        <v>0386.HK</v>
      </c>
      <c r="E721" s="5" t="str">
        <f>IFERROR(__xludf.DUMMYFUNCTION("""COMPUTED_VALUE"""),"HKD")</f>
        <v>HKD</v>
      </c>
      <c r="F721" s="69">
        <f>IFERROR(__xludf.DUMMYFUNCTION("""COMPUTED_VALUE"""),20000.0)</f>
        <v>20000</v>
      </c>
      <c r="G721" s="70">
        <f>IFERROR(__xludf.DUMMYFUNCTION("""COMPUTED_VALUE"""),1.0)</f>
        <v>1</v>
      </c>
      <c r="H721" s="71">
        <f>IFERROR(__xludf.DUMMYFUNCTION("""COMPUTED_VALUE"""),3.93)</f>
        <v>3.93</v>
      </c>
      <c r="I721" s="71">
        <f>IFERROR(__xludf.DUMMYFUNCTION("""COMPUTED_VALUE"""),4.0)</f>
        <v>4</v>
      </c>
      <c r="J721" s="88" t="str">
        <f>IFERROR(__xludf.DUMMYFUNCTION("""COMPUTED_VALUE"""),"Goto link: 0386.HK")</f>
        <v>Goto link: 0386.HK</v>
      </c>
      <c r="K721" s="22"/>
      <c r="L721" s="22"/>
      <c r="M721" s="22"/>
      <c r="N721" s="22"/>
      <c r="O721" s="73"/>
      <c r="P721" s="8"/>
      <c r="Q721" s="69"/>
      <c r="R721" s="69"/>
      <c r="S721" s="8"/>
      <c r="T721" s="69"/>
      <c r="U721" s="8"/>
      <c r="V721" s="69"/>
      <c r="W721" s="74"/>
      <c r="X721" s="69"/>
    </row>
    <row r="722">
      <c r="A722" s="30" t="str">
        <f>IFERROR(__xludf.DUMMYFUNCTION("""COMPUTED_VALUE"""),"46763")</f>
        <v>46763</v>
      </c>
      <c r="B722" s="86">
        <f>IFERROR(__xludf.DUMMYFUNCTION("""COMPUTED_VALUE"""),44651.0)</f>
        <v>44651</v>
      </c>
      <c r="C722" s="64" t="str">
        <f>IFERROR(__xludf.DUMMYFUNCTION("""COMPUTED_VALUE"""),"Stock")</f>
        <v>Stock</v>
      </c>
      <c r="D722" s="90" t="str">
        <f>IFERROR(__xludf.DUMMYFUNCTION("""COMPUTED_VALUE"""),"0460.HK")</f>
        <v>0460.HK</v>
      </c>
      <c r="E722" s="5" t="str">
        <f>IFERROR(__xludf.DUMMYFUNCTION("""COMPUTED_VALUE"""),"HKD")</f>
        <v>HKD</v>
      </c>
      <c r="F722" s="69">
        <f>IFERROR(__xludf.DUMMYFUNCTION("""COMPUTED_VALUE"""),70000.0)</f>
        <v>70000</v>
      </c>
      <c r="G722" s="70">
        <f>IFERROR(__xludf.DUMMYFUNCTION("""COMPUTED_VALUE"""),1.0)</f>
        <v>1</v>
      </c>
      <c r="H722" s="71">
        <f>IFERROR(__xludf.DUMMYFUNCTION("""COMPUTED_VALUE"""),1.57)</f>
        <v>1.57</v>
      </c>
      <c r="I722" s="71">
        <f>IFERROR(__xludf.DUMMYFUNCTION("""COMPUTED_VALUE"""),1.41)</f>
        <v>1.41</v>
      </c>
      <c r="J722" s="88" t="str">
        <f>IFERROR(__xludf.DUMMYFUNCTION("""COMPUTED_VALUE"""),"Goto link: 0460.HK")</f>
        <v>Goto link: 0460.HK</v>
      </c>
      <c r="K722" s="22"/>
      <c r="L722" s="22"/>
      <c r="M722" s="22"/>
      <c r="N722" s="22"/>
      <c r="O722" s="73"/>
      <c r="P722" s="8"/>
      <c r="Q722" s="69"/>
      <c r="R722" s="69"/>
      <c r="S722" s="8"/>
      <c r="T722" s="69"/>
      <c r="U722" s="8"/>
      <c r="V722" s="69"/>
      <c r="W722" s="74"/>
      <c r="X722" s="69"/>
    </row>
    <row r="723">
      <c r="A723" s="30" t="str">
        <f>IFERROR(__xludf.DUMMYFUNCTION("""COMPUTED_VALUE"""),"46763 Total")</f>
        <v>46763 Total</v>
      </c>
      <c r="B723" s="5"/>
      <c r="C723" s="64"/>
      <c r="D723" s="85"/>
      <c r="E723" s="5"/>
      <c r="F723" s="69"/>
      <c r="G723" s="70">
        <f>IFERROR(__xludf.DUMMYFUNCTION("""COMPUTED_VALUE"""),1.0)</f>
        <v>1</v>
      </c>
      <c r="H723" s="71">
        <f>IFERROR(__xludf.DUMMYFUNCTION("""COMPUTED_VALUE"""),52.5)</f>
        <v>52.5</v>
      </c>
      <c r="I723" s="71" t="str">
        <f>IFERROR(__xludf.DUMMYFUNCTION("""COMPUTED_VALUE"""),"")</f>
        <v/>
      </c>
      <c r="J723" s="22" t="str">
        <f>IFERROR(__xludf.DUMMYFUNCTION("""COMPUTED_VALUE"""),"")</f>
        <v/>
      </c>
      <c r="K723" s="22"/>
      <c r="L723" s="22"/>
      <c r="M723" s="22"/>
      <c r="N723" s="22"/>
      <c r="O723" s="73"/>
      <c r="P723" s="8"/>
      <c r="Q723" s="69"/>
      <c r="R723" s="69"/>
      <c r="S723" s="8"/>
      <c r="T723" s="69"/>
      <c r="U723" s="8"/>
      <c r="V723" s="69"/>
      <c r="W723" s="74"/>
      <c r="X723" s="69"/>
    </row>
    <row r="724">
      <c r="A724" s="30" t="str">
        <f>IFERROR(__xludf.DUMMYFUNCTION("""COMPUTED_VALUE"""),"46876")</f>
        <v>46876</v>
      </c>
      <c r="B724" s="86">
        <f>IFERROR(__xludf.DUMMYFUNCTION("""COMPUTED_VALUE"""),44597.0)</f>
        <v>44597</v>
      </c>
      <c r="C724" s="64" t="str">
        <f>IFERROR(__xludf.DUMMYFUNCTION("""COMPUTED_VALUE"""),"Cash")</f>
        <v>Cash</v>
      </c>
      <c r="D724" s="85" t="str">
        <f>IFERROR(__xludf.DUMMYFUNCTION("""COMPUTED_VALUE"""),"Cash")</f>
        <v>Cash</v>
      </c>
      <c r="E724" s="5" t="str">
        <f>IFERROR(__xludf.DUMMYFUNCTION("""COMPUTED_VALUE"""),"HKD")</f>
        <v>HKD</v>
      </c>
      <c r="F724" s="69" t="str">
        <f>IFERROR(__xludf.DUMMYFUNCTION("""COMPUTED_VALUE"""),"")</f>
        <v/>
      </c>
      <c r="G724" s="70">
        <f>IFERROR(__xludf.DUMMYFUNCTION("""COMPUTED_VALUE"""),1.0)</f>
        <v>1</v>
      </c>
      <c r="H724" s="71">
        <f>IFERROR(__xludf.DUMMYFUNCTION("""COMPUTED_VALUE"""),1.0)</f>
        <v>1</v>
      </c>
      <c r="I724" s="71">
        <f>IFERROR(__xludf.DUMMYFUNCTION("""COMPUTED_VALUE"""),1.0)</f>
        <v>1</v>
      </c>
      <c r="J724" s="22" t="str">
        <f>IFERROR(__xludf.DUMMYFUNCTION("""COMPUTED_VALUE"""),"")</f>
        <v/>
      </c>
      <c r="K724" s="22"/>
      <c r="L724" s="22"/>
      <c r="M724" s="22"/>
      <c r="N724" s="22"/>
      <c r="O724" s="73"/>
      <c r="P724" s="8"/>
      <c r="Q724" s="69"/>
      <c r="R724" s="69"/>
      <c r="S724" s="8"/>
      <c r="T724" s="69"/>
      <c r="U724" s="8"/>
      <c r="V724" s="69"/>
      <c r="W724" s="74"/>
      <c r="X724" s="69"/>
    </row>
    <row r="725">
      <c r="A725" s="30" t="str">
        <f>IFERROR(__xludf.DUMMYFUNCTION("""COMPUTED_VALUE"""),"46876")</f>
        <v>46876</v>
      </c>
      <c r="B725" s="86">
        <f>IFERROR(__xludf.DUMMYFUNCTION("""COMPUTED_VALUE"""),44628.0)</f>
        <v>44628</v>
      </c>
      <c r="C725" s="64" t="str">
        <f>IFERROR(__xludf.DUMMYFUNCTION("""COMPUTED_VALUE"""),"Stock")</f>
        <v>Stock</v>
      </c>
      <c r="D725" s="87" t="str">
        <f>IFERROR(__xludf.DUMMYFUNCTION("""COMPUTED_VALUE"""),"FSR")</f>
        <v>FSR</v>
      </c>
      <c r="E725" s="5" t="str">
        <f>IFERROR(__xludf.DUMMYFUNCTION("""COMPUTED_VALUE"""),"USD")</f>
        <v>USD</v>
      </c>
      <c r="F725" s="69">
        <f>IFERROR(__xludf.DUMMYFUNCTION("""COMPUTED_VALUE"""),0.0)</f>
        <v>0</v>
      </c>
      <c r="G725" s="70">
        <f>IFERROR(__xludf.DUMMYFUNCTION("""COMPUTED_VALUE"""),7.83915)</f>
        <v>7.83915</v>
      </c>
      <c r="H725" s="71">
        <f>IFERROR(__xludf.DUMMYFUNCTION("""COMPUTED_VALUE"""),0.0)</f>
        <v>0</v>
      </c>
      <c r="I725" s="71">
        <f>IFERROR(__xludf.DUMMYFUNCTION("""COMPUTED_VALUE"""),12.69)</f>
        <v>12.69</v>
      </c>
      <c r="J725" s="88" t="str">
        <f>IFERROR(__xludf.DUMMYFUNCTION("""COMPUTED_VALUE"""),"Goto link: FSR")</f>
        <v>Goto link: FSR</v>
      </c>
      <c r="K725" s="22"/>
      <c r="L725" s="22"/>
      <c r="M725" s="22"/>
      <c r="N725" s="22"/>
      <c r="O725" s="73"/>
      <c r="P725" s="8"/>
      <c r="Q725" s="69"/>
      <c r="R725" s="69"/>
      <c r="S725" s="8"/>
      <c r="T725" s="69"/>
      <c r="U725" s="8"/>
      <c r="V725" s="69"/>
      <c r="W725" s="74"/>
      <c r="X725" s="69"/>
    </row>
    <row r="726">
      <c r="A726" s="30" t="str">
        <f>IFERROR(__xludf.DUMMYFUNCTION("""COMPUTED_VALUE"""),"46876")</f>
        <v>46876</v>
      </c>
      <c r="B726" s="86">
        <f>IFERROR(__xludf.DUMMYFUNCTION("""COMPUTED_VALUE"""),44634.0)</f>
        <v>44634</v>
      </c>
      <c r="C726" s="64" t="str">
        <f>IFERROR(__xludf.DUMMYFUNCTION("""COMPUTED_VALUE"""),"Stock")</f>
        <v>Stock</v>
      </c>
      <c r="D726" s="90" t="str">
        <f>IFERROR(__xludf.DUMMYFUNCTION("""COMPUTED_VALUE"""),"1898.HK")</f>
        <v>1898.HK</v>
      </c>
      <c r="E726" s="5" t="str">
        <f>IFERROR(__xludf.DUMMYFUNCTION("""COMPUTED_VALUE"""),"HKD")</f>
        <v>HKD</v>
      </c>
      <c r="F726" s="69">
        <f>IFERROR(__xludf.DUMMYFUNCTION("""COMPUTED_VALUE"""),55000.0)</f>
        <v>55000</v>
      </c>
      <c r="G726" s="70">
        <f>IFERROR(__xludf.DUMMYFUNCTION("""COMPUTED_VALUE"""),1.0)</f>
        <v>1</v>
      </c>
      <c r="H726" s="71">
        <f>IFERROR(__xludf.DUMMYFUNCTION("""COMPUTED_VALUE"""),4.59)</f>
        <v>4.59</v>
      </c>
      <c r="I726" s="71">
        <f>IFERROR(__xludf.DUMMYFUNCTION("""COMPUTED_VALUE"""),7.14)</f>
        <v>7.14</v>
      </c>
      <c r="J726" s="88" t="str">
        <f>IFERROR(__xludf.DUMMYFUNCTION("""COMPUTED_VALUE"""),"Goto link: 1898.HK")</f>
        <v>Goto link: 1898.HK</v>
      </c>
      <c r="K726" s="22"/>
      <c r="L726" s="22"/>
      <c r="M726" s="22"/>
      <c r="N726" s="22"/>
      <c r="O726" s="73"/>
      <c r="P726" s="8"/>
      <c r="Q726" s="69"/>
      <c r="R726" s="69"/>
      <c r="S726" s="8"/>
      <c r="T726" s="69"/>
      <c r="U726" s="8"/>
      <c r="V726" s="69"/>
      <c r="W726" s="74"/>
      <c r="X726" s="69"/>
    </row>
    <row r="727">
      <c r="A727" s="30" t="str">
        <f>IFERROR(__xludf.DUMMYFUNCTION("""COMPUTED_VALUE"""),"46876")</f>
        <v>46876</v>
      </c>
      <c r="B727" s="86">
        <f>IFERROR(__xludf.DUMMYFUNCTION("""COMPUTED_VALUE"""),44638.0)</f>
        <v>44638</v>
      </c>
      <c r="C727" s="64" t="str">
        <f>IFERROR(__xludf.DUMMYFUNCTION("""COMPUTED_VALUE"""),"Stock")</f>
        <v>Stock</v>
      </c>
      <c r="D727" s="90" t="str">
        <f>IFERROR(__xludf.DUMMYFUNCTION("""COMPUTED_VALUE"""),"9988.HK")</f>
        <v>9988.HK</v>
      </c>
      <c r="E727" s="5" t="str">
        <f>IFERROR(__xludf.DUMMYFUNCTION("""COMPUTED_VALUE"""),"HKD")</f>
        <v>HKD</v>
      </c>
      <c r="F727" s="69">
        <f>IFERROR(__xludf.DUMMYFUNCTION("""COMPUTED_VALUE"""),-1000.0)</f>
        <v>-1000</v>
      </c>
      <c r="G727" s="70">
        <f>IFERROR(__xludf.DUMMYFUNCTION("""COMPUTED_VALUE"""),1.0)</f>
        <v>1</v>
      </c>
      <c r="H727" s="71">
        <f>IFERROR(__xludf.DUMMYFUNCTION("""COMPUTED_VALUE"""),98.35)</f>
        <v>98.35</v>
      </c>
      <c r="I727" s="71">
        <f>IFERROR(__xludf.DUMMYFUNCTION("""COMPUTED_VALUE"""),98.5)</f>
        <v>98.5</v>
      </c>
      <c r="J727" s="88" t="str">
        <f>IFERROR(__xludf.DUMMYFUNCTION("""COMPUTED_VALUE"""),"Goto link: 9988.HK")</f>
        <v>Goto link: 9988.HK</v>
      </c>
      <c r="K727" s="22"/>
      <c r="L727" s="22"/>
      <c r="M727" s="22"/>
      <c r="N727" s="22"/>
      <c r="O727" s="73"/>
      <c r="P727" s="8"/>
      <c r="Q727" s="69"/>
      <c r="R727" s="69"/>
      <c r="S727" s="8"/>
      <c r="T727" s="69"/>
      <c r="U727" s="8"/>
      <c r="V727" s="69"/>
      <c r="W727" s="74"/>
      <c r="X727" s="69"/>
    </row>
    <row r="728">
      <c r="A728" s="30" t="str">
        <f>IFERROR(__xludf.DUMMYFUNCTION("""COMPUTED_VALUE"""),"46876 Total")</f>
        <v>46876 Total</v>
      </c>
      <c r="B728" s="5"/>
      <c r="C728" s="64"/>
      <c r="D728" s="85"/>
      <c r="E728" s="5"/>
      <c r="F728" s="69"/>
      <c r="G728" s="70">
        <f>IFERROR(__xludf.DUMMYFUNCTION("""COMPUTED_VALUE"""),2.7097875)</f>
        <v>2.7097875</v>
      </c>
      <c r="H728" s="71">
        <f>IFERROR(__xludf.DUMMYFUNCTION("""COMPUTED_VALUE"""),98.35)</f>
        <v>98.35</v>
      </c>
      <c r="I728" s="71" t="str">
        <f>IFERROR(__xludf.DUMMYFUNCTION("""COMPUTED_VALUE"""),"")</f>
        <v/>
      </c>
      <c r="J728" s="22" t="str">
        <f>IFERROR(__xludf.DUMMYFUNCTION("""COMPUTED_VALUE"""),"")</f>
        <v/>
      </c>
      <c r="K728" s="22"/>
      <c r="L728" s="22"/>
      <c r="M728" s="22"/>
      <c r="N728" s="22"/>
      <c r="O728" s="73"/>
      <c r="P728" s="8"/>
      <c r="Q728" s="69"/>
      <c r="R728" s="69"/>
      <c r="S728" s="8"/>
      <c r="T728" s="69"/>
      <c r="U728" s="8"/>
      <c r="V728" s="69"/>
      <c r="W728" s="74"/>
      <c r="X728" s="69"/>
    </row>
    <row r="729">
      <c r="A729" s="30" t="str">
        <f>IFERROR(__xludf.DUMMYFUNCTION("""COMPUTED_VALUE"""),"46975")</f>
        <v>46975</v>
      </c>
      <c r="B729" s="86">
        <f>IFERROR(__xludf.DUMMYFUNCTION("""COMPUTED_VALUE"""),44597.0)</f>
        <v>44597</v>
      </c>
      <c r="C729" s="64" t="str">
        <f>IFERROR(__xludf.DUMMYFUNCTION("""COMPUTED_VALUE"""),"Cash")</f>
        <v>Cash</v>
      </c>
      <c r="D729" s="85" t="str">
        <f>IFERROR(__xludf.DUMMYFUNCTION("""COMPUTED_VALUE"""),"Cash")</f>
        <v>Cash</v>
      </c>
      <c r="E729" s="5" t="str">
        <f>IFERROR(__xludf.DUMMYFUNCTION("""COMPUTED_VALUE"""),"HKD")</f>
        <v>HKD</v>
      </c>
      <c r="F729" s="69" t="str">
        <f>IFERROR(__xludf.DUMMYFUNCTION("""COMPUTED_VALUE"""),"")</f>
        <v/>
      </c>
      <c r="G729" s="70">
        <f>IFERROR(__xludf.DUMMYFUNCTION("""COMPUTED_VALUE"""),1.0)</f>
        <v>1</v>
      </c>
      <c r="H729" s="71">
        <f>IFERROR(__xludf.DUMMYFUNCTION("""COMPUTED_VALUE"""),1.0)</f>
        <v>1</v>
      </c>
      <c r="I729" s="71">
        <f>IFERROR(__xludf.DUMMYFUNCTION("""COMPUTED_VALUE"""),1.0)</f>
        <v>1</v>
      </c>
      <c r="J729" s="22" t="str">
        <f>IFERROR(__xludf.DUMMYFUNCTION("""COMPUTED_VALUE"""),"")</f>
        <v/>
      </c>
      <c r="K729" s="22"/>
      <c r="L729" s="22"/>
      <c r="M729" s="22"/>
      <c r="N729" s="22"/>
      <c r="O729" s="73"/>
      <c r="P729" s="8"/>
      <c r="Q729" s="69"/>
      <c r="R729" s="69"/>
      <c r="S729" s="8"/>
      <c r="T729" s="69"/>
      <c r="U729" s="8"/>
      <c r="V729" s="69"/>
      <c r="W729" s="74"/>
      <c r="X729" s="69"/>
    </row>
    <row r="730">
      <c r="A730" s="30" t="str">
        <f>IFERROR(__xludf.DUMMYFUNCTION("""COMPUTED_VALUE"""),"46975")</f>
        <v>46975</v>
      </c>
      <c r="B730" s="86">
        <f>IFERROR(__xludf.DUMMYFUNCTION("""COMPUTED_VALUE"""),44621.0)</f>
        <v>44621</v>
      </c>
      <c r="C730" s="64" t="str">
        <f>IFERROR(__xludf.DUMMYFUNCTION("""COMPUTED_VALUE"""),"Stock")</f>
        <v>Stock</v>
      </c>
      <c r="D730" s="87" t="str">
        <f>IFERROR(__xludf.DUMMYFUNCTION("""COMPUTED_VALUE"""),"AAPL")</f>
        <v>AAPL</v>
      </c>
      <c r="E730" s="5" t="str">
        <f>IFERROR(__xludf.DUMMYFUNCTION("""COMPUTED_VALUE"""),"USD")</f>
        <v>USD</v>
      </c>
      <c r="F730" s="69">
        <f>IFERROR(__xludf.DUMMYFUNCTION("""COMPUTED_VALUE"""),100.0)</f>
        <v>100</v>
      </c>
      <c r="G730" s="70">
        <f>IFERROR(__xludf.DUMMYFUNCTION("""COMPUTED_VALUE"""),7.83915)</f>
        <v>7.83915</v>
      </c>
      <c r="H730" s="71">
        <f>IFERROR(__xludf.DUMMYFUNCTION("""COMPUTED_VALUE"""),163.2)</f>
        <v>163.2</v>
      </c>
      <c r="I730" s="71">
        <f>IFERROR(__xludf.DUMMYFUNCTION("""COMPUTED_VALUE"""),170.4)</f>
        <v>170.4</v>
      </c>
      <c r="J730" s="88" t="str">
        <f>IFERROR(__xludf.DUMMYFUNCTION("""COMPUTED_VALUE"""),"Goto link: AAPL")</f>
        <v>Goto link: AAPL</v>
      </c>
      <c r="K730" s="22"/>
      <c r="L730" s="22"/>
      <c r="M730" s="22"/>
      <c r="N730" s="22"/>
      <c r="O730" s="73"/>
      <c r="P730" s="8"/>
      <c r="Q730" s="69"/>
      <c r="R730" s="69"/>
      <c r="S730" s="8"/>
      <c r="T730" s="69"/>
      <c r="U730" s="8"/>
      <c r="V730" s="69"/>
      <c r="W730" s="74"/>
      <c r="X730" s="69"/>
    </row>
    <row r="731">
      <c r="A731" s="30" t="str">
        <f>IFERROR(__xludf.DUMMYFUNCTION("""COMPUTED_VALUE"""),"46975")</f>
        <v>46975</v>
      </c>
      <c r="B731" s="86">
        <f>IFERROR(__xludf.DUMMYFUNCTION("""COMPUTED_VALUE"""),44634.0)</f>
        <v>44634</v>
      </c>
      <c r="C731" s="64" t="str">
        <f>IFERROR(__xludf.DUMMYFUNCTION("""COMPUTED_VALUE"""),"Stock")</f>
        <v>Stock</v>
      </c>
      <c r="D731" s="90" t="str">
        <f>IFERROR(__xludf.DUMMYFUNCTION("""COMPUTED_VALUE"""),"6862.HK")</f>
        <v>6862.HK</v>
      </c>
      <c r="E731" s="5" t="str">
        <f>IFERROR(__xludf.DUMMYFUNCTION("""COMPUTED_VALUE"""),"HKD")</f>
        <v>HKD</v>
      </c>
      <c r="F731" s="69">
        <f>IFERROR(__xludf.DUMMYFUNCTION("""COMPUTED_VALUE"""),-100.0)</f>
        <v>-100</v>
      </c>
      <c r="G731" s="70">
        <f>IFERROR(__xludf.DUMMYFUNCTION("""COMPUTED_VALUE"""),1.0)</f>
        <v>1</v>
      </c>
      <c r="H731" s="71">
        <f>IFERROR(__xludf.DUMMYFUNCTION("""COMPUTED_VALUE"""),11.22)</f>
        <v>11.22</v>
      </c>
      <c r="I731" s="71">
        <f>IFERROR(__xludf.DUMMYFUNCTION("""COMPUTED_VALUE"""),14.68)</f>
        <v>14.68</v>
      </c>
      <c r="J731" s="88" t="str">
        <f>IFERROR(__xludf.DUMMYFUNCTION("""COMPUTED_VALUE"""),"Goto link: 6862.HK")</f>
        <v>Goto link: 6862.HK</v>
      </c>
      <c r="K731" s="22"/>
      <c r="L731" s="22"/>
      <c r="M731" s="22"/>
      <c r="N731" s="22"/>
      <c r="O731" s="73"/>
      <c r="P731" s="8"/>
      <c r="Q731" s="69"/>
      <c r="R731" s="69"/>
      <c r="S731" s="8"/>
      <c r="T731" s="69"/>
      <c r="U731" s="8"/>
      <c r="V731" s="69"/>
      <c r="W731" s="74"/>
      <c r="X731" s="69"/>
    </row>
    <row r="732">
      <c r="A732" s="30" t="str">
        <f>IFERROR(__xludf.DUMMYFUNCTION("""COMPUTED_VALUE"""),"46975")</f>
        <v>46975</v>
      </c>
      <c r="B732" s="86">
        <f>IFERROR(__xludf.DUMMYFUNCTION("""COMPUTED_VALUE"""),44635.0)</f>
        <v>44635</v>
      </c>
      <c r="C732" s="64" t="str">
        <f>IFERROR(__xludf.DUMMYFUNCTION("""COMPUTED_VALUE"""),"Stock")</f>
        <v>Stock</v>
      </c>
      <c r="D732" s="90" t="str">
        <f>IFERROR(__xludf.DUMMYFUNCTION("""COMPUTED_VALUE"""),"0700.HK")</f>
        <v>0700.HK</v>
      </c>
      <c r="E732" s="5" t="str">
        <f>IFERROR(__xludf.DUMMYFUNCTION("""COMPUTED_VALUE"""),"HKD")</f>
        <v>HKD</v>
      </c>
      <c r="F732" s="69">
        <f>IFERROR(__xludf.DUMMYFUNCTION("""COMPUTED_VALUE"""),-100.0)</f>
        <v>-100</v>
      </c>
      <c r="G732" s="70">
        <f>IFERROR(__xludf.DUMMYFUNCTION("""COMPUTED_VALUE"""),1.0)</f>
        <v>1</v>
      </c>
      <c r="H732" s="71">
        <f>IFERROR(__xludf.DUMMYFUNCTION("""COMPUTED_VALUE"""),298.0)</f>
        <v>298</v>
      </c>
      <c r="I732" s="71">
        <f>IFERROR(__xludf.DUMMYFUNCTION("""COMPUTED_VALUE"""),373.6)</f>
        <v>373.6</v>
      </c>
      <c r="J732" s="88" t="str">
        <f>IFERROR(__xludf.DUMMYFUNCTION("""COMPUTED_VALUE"""),"Goto link: 0700.HK")</f>
        <v>Goto link: 0700.HK</v>
      </c>
      <c r="K732" s="22"/>
      <c r="L732" s="22"/>
      <c r="M732" s="22"/>
      <c r="N732" s="22"/>
      <c r="O732" s="73"/>
      <c r="P732" s="8"/>
      <c r="Q732" s="69"/>
      <c r="R732" s="69"/>
      <c r="S732" s="8"/>
      <c r="T732" s="69"/>
      <c r="U732" s="8"/>
      <c r="V732" s="69"/>
      <c r="W732" s="74"/>
      <c r="X732" s="69"/>
    </row>
    <row r="733">
      <c r="A733" s="30" t="str">
        <f>IFERROR(__xludf.DUMMYFUNCTION("""COMPUTED_VALUE"""),"46975")</f>
        <v>46975</v>
      </c>
      <c r="B733" s="86">
        <f>IFERROR(__xludf.DUMMYFUNCTION("""COMPUTED_VALUE"""),44636.0)</f>
        <v>44636</v>
      </c>
      <c r="C733" s="64" t="str">
        <f>IFERROR(__xludf.DUMMYFUNCTION("""COMPUTED_VALUE"""),"Stock")</f>
        <v>Stock</v>
      </c>
      <c r="D733" s="90" t="str">
        <f>IFERROR(__xludf.DUMMYFUNCTION("""COMPUTED_VALUE"""),"0700.HK")</f>
        <v>0700.HK</v>
      </c>
      <c r="E733" s="5" t="str">
        <f>IFERROR(__xludf.DUMMYFUNCTION("""COMPUTED_VALUE"""),"HKD")</f>
        <v>HKD</v>
      </c>
      <c r="F733" s="69">
        <f>IFERROR(__xludf.DUMMYFUNCTION("""COMPUTED_VALUE"""),200.0)</f>
        <v>200</v>
      </c>
      <c r="G733" s="70">
        <f>IFERROR(__xludf.DUMMYFUNCTION("""COMPUTED_VALUE"""),1.0)</f>
        <v>1</v>
      </c>
      <c r="H733" s="71">
        <f>IFERROR(__xludf.DUMMYFUNCTION("""COMPUTED_VALUE"""),367.0)</f>
        <v>367</v>
      </c>
      <c r="I733" s="71">
        <f>IFERROR(__xludf.DUMMYFUNCTION("""COMPUTED_VALUE"""),373.6)</f>
        <v>373.6</v>
      </c>
      <c r="J733" s="88" t="str">
        <f>IFERROR(__xludf.DUMMYFUNCTION("""COMPUTED_VALUE"""),"Goto link: 0700.HK")</f>
        <v>Goto link: 0700.HK</v>
      </c>
      <c r="K733" s="22"/>
      <c r="L733" s="22"/>
      <c r="M733" s="22"/>
      <c r="N733" s="22"/>
      <c r="O733" s="73"/>
      <c r="P733" s="8"/>
      <c r="Q733" s="69"/>
      <c r="R733" s="69"/>
      <c r="S733" s="8"/>
      <c r="T733" s="69"/>
      <c r="U733" s="8"/>
      <c r="V733" s="69"/>
      <c r="W733" s="74"/>
      <c r="X733" s="69"/>
    </row>
    <row r="734">
      <c r="A734" s="30" t="str">
        <f>IFERROR(__xludf.DUMMYFUNCTION("""COMPUTED_VALUE"""),"46975")</f>
        <v>46975</v>
      </c>
      <c r="B734" s="86">
        <f>IFERROR(__xludf.DUMMYFUNCTION("""COMPUTED_VALUE"""),44636.0)</f>
        <v>44636</v>
      </c>
      <c r="C734" s="64" t="str">
        <f>IFERROR(__xludf.DUMMYFUNCTION("""COMPUTED_VALUE"""),"Stock")</f>
        <v>Stock</v>
      </c>
      <c r="D734" s="90" t="str">
        <f>IFERROR(__xludf.DUMMYFUNCTION("""COMPUTED_VALUE"""),"6862.HK")</f>
        <v>6862.HK</v>
      </c>
      <c r="E734" s="5" t="str">
        <f>IFERROR(__xludf.DUMMYFUNCTION("""COMPUTED_VALUE"""),"HKD")</f>
        <v>HKD</v>
      </c>
      <c r="F734" s="69">
        <f>IFERROR(__xludf.DUMMYFUNCTION("""COMPUTED_VALUE"""),200.0)</f>
        <v>200</v>
      </c>
      <c r="G734" s="70">
        <f>IFERROR(__xludf.DUMMYFUNCTION("""COMPUTED_VALUE"""),1.0)</f>
        <v>1</v>
      </c>
      <c r="H734" s="71">
        <f>IFERROR(__xludf.DUMMYFUNCTION("""COMPUTED_VALUE"""),12.22)</f>
        <v>12.22</v>
      </c>
      <c r="I734" s="71">
        <f>IFERROR(__xludf.DUMMYFUNCTION("""COMPUTED_VALUE"""),14.68)</f>
        <v>14.68</v>
      </c>
      <c r="J734" s="88" t="str">
        <f>IFERROR(__xludf.DUMMYFUNCTION("""COMPUTED_VALUE"""),"Goto link: 6862.HK")</f>
        <v>Goto link: 6862.HK</v>
      </c>
      <c r="K734" s="22"/>
      <c r="L734" s="22"/>
      <c r="M734" s="22"/>
      <c r="N734" s="22"/>
      <c r="O734" s="73"/>
      <c r="P734" s="8"/>
      <c r="Q734" s="69"/>
      <c r="R734" s="69"/>
      <c r="S734" s="8"/>
      <c r="T734" s="69"/>
      <c r="U734" s="8"/>
      <c r="V734" s="69"/>
      <c r="W734" s="74"/>
      <c r="X734" s="69"/>
    </row>
    <row r="735">
      <c r="A735" s="30" t="str">
        <f>IFERROR(__xludf.DUMMYFUNCTION("""COMPUTED_VALUE"""),"46975")</f>
        <v>46975</v>
      </c>
      <c r="B735" s="86">
        <f>IFERROR(__xludf.DUMMYFUNCTION("""COMPUTED_VALUE"""),44644.0)</f>
        <v>44644</v>
      </c>
      <c r="C735" s="64" t="str">
        <f>IFERROR(__xludf.DUMMYFUNCTION("""COMPUTED_VALUE"""),"Stock")</f>
        <v>Stock</v>
      </c>
      <c r="D735" s="90" t="str">
        <f>IFERROR(__xludf.DUMMYFUNCTION("""COMPUTED_VALUE"""),"6862.HK")</f>
        <v>6862.HK</v>
      </c>
      <c r="E735" s="5" t="str">
        <f>IFERROR(__xludf.DUMMYFUNCTION("""COMPUTED_VALUE"""),"HKD")</f>
        <v>HKD</v>
      </c>
      <c r="F735" s="69">
        <f>IFERROR(__xludf.DUMMYFUNCTION("""COMPUTED_VALUE"""),-100.0)</f>
        <v>-100</v>
      </c>
      <c r="G735" s="70">
        <f>IFERROR(__xludf.DUMMYFUNCTION("""COMPUTED_VALUE"""),1.0)</f>
        <v>1</v>
      </c>
      <c r="H735" s="71">
        <f>IFERROR(__xludf.DUMMYFUNCTION("""COMPUTED_VALUE"""),14.48)</f>
        <v>14.48</v>
      </c>
      <c r="I735" s="71">
        <f>IFERROR(__xludf.DUMMYFUNCTION("""COMPUTED_VALUE"""),14.68)</f>
        <v>14.68</v>
      </c>
      <c r="J735" s="88" t="str">
        <f>IFERROR(__xludf.DUMMYFUNCTION("""COMPUTED_VALUE"""),"Goto link: 6862.HK")</f>
        <v>Goto link: 6862.HK</v>
      </c>
      <c r="K735" s="22"/>
      <c r="L735" s="22"/>
      <c r="M735" s="22"/>
      <c r="N735" s="22"/>
      <c r="O735" s="73"/>
      <c r="P735" s="8"/>
      <c r="Q735" s="69"/>
      <c r="R735" s="69"/>
      <c r="S735" s="8"/>
      <c r="T735" s="69"/>
      <c r="U735" s="8"/>
      <c r="V735" s="69"/>
      <c r="W735" s="74"/>
      <c r="X735" s="69"/>
    </row>
    <row r="736">
      <c r="A736" s="30" t="str">
        <f>IFERROR(__xludf.DUMMYFUNCTION("""COMPUTED_VALUE"""),"46975")</f>
        <v>46975</v>
      </c>
      <c r="B736" s="86">
        <f>IFERROR(__xludf.DUMMYFUNCTION("""COMPUTED_VALUE"""),44644.0)</f>
        <v>44644</v>
      </c>
      <c r="C736" s="64" t="str">
        <f>IFERROR(__xludf.DUMMYFUNCTION("""COMPUTED_VALUE"""),"Stock")</f>
        <v>Stock</v>
      </c>
      <c r="D736" s="87" t="str">
        <f>IFERROR(__xludf.DUMMYFUNCTION("""COMPUTED_VALUE"""),"AAPL")</f>
        <v>AAPL</v>
      </c>
      <c r="E736" s="5" t="str">
        <f>IFERROR(__xludf.DUMMYFUNCTION("""COMPUTED_VALUE"""),"USD")</f>
        <v>USD</v>
      </c>
      <c r="F736" s="69">
        <f>IFERROR(__xludf.DUMMYFUNCTION("""COMPUTED_VALUE"""),-50.0)</f>
        <v>-50</v>
      </c>
      <c r="G736" s="70">
        <f>IFERROR(__xludf.DUMMYFUNCTION("""COMPUTED_VALUE"""),7.83915)</f>
        <v>7.83915</v>
      </c>
      <c r="H736" s="71">
        <f>IFERROR(__xludf.DUMMYFUNCTION("""COMPUTED_VALUE"""),174.07)</f>
        <v>174.07</v>
      </c>
      <c r="I736" s="71">
        <f>IFERROR(__xludf.DUMMYFUNCTION("""COMPUTED_VALUE"""),170.4)</f>
        <v>170.4</v>
      </c>
      <c r="J736" s="88" t="str">
        <f>IFERROR(__xludf.DUMMYFUNCTION("""COMPUTED_VALUE"""),"Goto link: AAPL")</f>
        <v>Goto link: AAPL</v>
      </c>
      <c r="K736" s="22"/>
      <c r="L736" s="22"/>
      <c r="M736" s="22"/>
      <c r="N736" s="22"/>
      <c r="O736" s="73"/>
      <c r="P736" s="8"/>
      <c r="Q736" s="69"/>
      <c r="R736" s="69"/>
      <c r="S736" s="8"/>
      <c r="T736" s="69"/>
      <c r="U736" s="8"/>
      <c r="V736" s="69"/>
      <c r="W736" s="74"/>
      <c r="X736" s="69"/>
    </row>
    <row r="737">
      <c r="A737" s="30" t="str">
        <f>IFERROR(__xludf.DUMMYFUNCTION("""COMPUTED_VALUE"""),"46975")</f>
        <v>46975</v>
      </c>
      <c r="B737" s="86">
        <f>IFERROR(__xludf.DUMMYFUNCTION("""COMPUTED_VALUE"""),44651.0)</f>
        <v>44651</v>
      </c>
      <c r="C737" s="64" t="str">
        <f>IFERROR(__xludf.DUMMYFUNCTION("""COMPUTED_VALUE"""),"Stock")</f>
        <v>Stock</v>
      </c>
      <c r="D737" s="87" t="str">
        <f>IFERROR(__xludf.DUMMYFUNCTION("""COMPUTED_VALUE"""),"aapl")</f>
        <v>aapl</v>
      </c>
      <c r="E737" s="5" t="str">
        <f>IFERROR(__xludf.DUMMYFUNCTION("""COMPUTED_VALUE"""),"USD")</f>
        <v>USD</v>
      </c>
      <c r="F737" s="69">
        <f>IFERROR(__xludf.DUMMYFUNCTION("""COMPUTED_VALUE"""),0.0)</f>
        <v>0</v>
      </c>
      <c r="G737" s="70">
        <f>IFERROR(__xludf.DUMMYFUNCTION("""COMPUTED_VALUE"""),7.83915)</f>
        <v>7.83915</v>
      </c>
      <c r="H737" s="71">
        <f>IFERROR(__xludf.DUMMYFUNCTION("""COMPUTED_VALUE"""),0.0)</f>
        <v>0</v>
      </c>
      <c r="I737" s="71">
        <f>IFERROR(__xludf.DUMMYFUNCTION("""COMPUTED_VALUE"""),170.4)</f>
        <v>170.4</v>
      </c>
      <c r="J737" s="88" t="str">
        <f>IFERROR(__xludf.DUMMYFUNCTION("""COMPUTED_VALUE"""),"Goto link: aapl")</f>
        <v>Goto link: aapl</v>
      </c>
      <c r="K737" s="22"/>
      <c r="L737" s="22"/>
      <c r="M737" s="22"/>
      <c r="N737" s="22"/>
      <c r="O737" s="73"/>
      <c r="P737" s="8"/>
      <c r="Q737" s="69"/>
      <c r="R737" s="69"/>
      <c r="S737" s="8"/>
      <c r="T737" s="69"/>
      <c r="U737" s="8"/>
      <c r="V737" s="69"/>
      <c r="W737" s="74"/>
      <c r="X737" s="69"/>
    </row>
    <row r="738">
      <c r="A738" s="30" t="str">
        <f>IFERROR(__xludf.DUMMYFUNCTION("""COMPUTED_VALUE"""),"46975")</f>
        <v>46975</v>
      </c>
      <c r="B738" s="86">
        <f>IFERROR(__xludf.DUMMYFUNCTION("""COMPUTED_VALUE"""),44652.0)</f>
        <v>44652</v>
      </c>
      <c r="C738" s="64" t="str">
        <f>IFERROR(__xludf.DUMMYFUNCTION("""COMPUTED_VALUE"""),"Stock")</f>
        <v>Stock</v>
      </c>
      <c r="D738" s="87" t="str">
        <f>IFERROR(__xludf.DUMMYFUNCTION("""COMPUTED_VALUE"""),"AAPL")</f>
        <v>AAPL</v>
      </c>
      <c r="E738" s="5" t="str">
        <f>IFERROR(__xludf.DUMMYFUNCTION("""COMPUTED_VALUE"""),"USD")</f>
        <v>USD</v>
      </c>
      <c r="F738" s="69">
        <f>IFERROR(__xludf.DUMMYFUNCTION("""COMPUTED_VALUE"""),-50.0)</f>
        <v>-50</v>
      </c>
      <c r="G738" s="70">
        <f>IFERROR(__xludf.DUMMYFUNCTION("""COMPUTED_VALUE"""),7.83915)</f>
        <v>7.83915</v>
      </c>
      <c r="H738" s="71">
        <f>IFERROR(__xludf.DUMMYFUNCTION("""COMPUTED_VALUE"""),174.31)</f>
        <v>174.31</v>
      </c>
      <c r="I738" s="71">
        <f>IFERROR(__xludf.DUMMYFUNCTION("""COMPUTED_VALUE"""),170.4)</f>
        <v>170.4</v>
      </c>
      <c r="J738" s="88" t="str">
        <f>IFERROR(__xludf.DUMMYFUNCTION("""COMPUTED_VALUE"""),"Goto link: AAPL")</f>
        <v>Goto link: AAPL</v>
      </c>
      <c r="K738" s="22"/>
      <c r="L738" s="22"/>
      <c r="M738" s="22"/>
      <c r="N738" s="22"/>
      <c r="O738" s="73"/>
      <c r="P738" s="8"/>
      <c r="Q738" s="69"/>
      <c r="R738" s="69"/>
      <c r="S738" s="8"/>
      <c r="T738" s="69"/>
      <c r="U738" s="8"/>
      <c r="V738" s="69"/>
      <c r="W738" s="74"/>
      <c r="X738" s="69"/>
    </row>
    <row r="739">
      <c r="A739" s="30" t="str">
        <f>IFERROR(__xludf.DUMMYFUNCTION("""COMPUTED_VALUE"""),"46975 Total")</f>
        <v>46975 Total</v>
      </c>
      <c r="B739" s="5"/>
      <c r="C739" s="64"/>
      <c r="D739" s="85"/>
      <c r="E739" s="5"/>
      <c r="F739" s="69"/>
      <c r="G739" s="70">
        <f>IFERROR(__xludf.DUMMYFUNCTION("""COMPUTED_VALUE"""),3.73566)</f>
        <v>3.73566</v>
      </c>
      <c r="H739" s="71">
        <f>IFERROR(__xludf.DUMMYFUNCTION("""COMPUTED_VALUE"""),367.0)</f>
        <v>367</v>
      </c>
      <c r="I739" s="71" t="str">
        <f>IFERROR(__xludf.DUMMYFUNCTION("""COMPUTED_VALUE"""),"")</f>
        <v/>
      </c>
      <c r="J739" s="22" t="str">
        <f>IFERROR(__xludf.DUMMYFUNCTION("""COMPUTED_VALUE"""),"")</f>
        <v/>
      </c>
      <c r="K739" s="22"/>
      <c r="L739" s="22"/>
      <c r="M739" s="22"/>
      <c r="N739" s="22"/>
      <c r="O739" s="73"/>
      <c r="P739" s="8"/>
      <c r="Q739" s="69"/>
      <c r="R739" s="69"/>
      <c r="S739" s="8"/>
      <c r="T739" s="69"/>
      <c r="U739" s="8"/>
      <c r="V739" s="69"/>
      <c r="W739" s="74"/>
      <c r="X739" s="69"/>
    </row>
    <row r="740">
      <c r="A740" s="30" t="str">
        <f>IFERROR(__xludf.DUMMYFUNCTION("""COMPUTED_VALUE"""),"52981")</f>
        <v>52981</v>
      </c>
      <c r="B740" s="86">
        <f>IFERROR(__xludf.DUMMYFUNCTION("""COMPUTED_VALUE"""),44597.0)</f>
        <v>44597</v>
      </c>
      <c r="C740" s="64" t="str">
        <f>IFERROR(__xludf.DUMMYFUNCTION("""COMPUTED_VALUE"""),"Cash")</f>
        <v>Cash</v>
      </c>
      <c r="D740" s="85" t="str">
        <f>IFERROR(__xludf.DUMMYFUNCTION("""COMPUTED_VALUE"""),"Cash")</f>
        <v>Cash</v>
      </c>
      <c r="E740" s="5" t="str">
        <f>IFERROR(__xludf.DUMMYFUNCTION("""COMPUTED_VALUE"""),"HKD")</f>
        <v>HKD</v>
      </c>
      <c r="F740" s="69" t="str">
        <f>IFERROR(__xludf.DUMMYFUNCTION("""COMPUTED_VALUE"""),"")</f>
        <v/>
      </c>
      <c r="G740" s="70">
        <f>IFERROR(__xludf.DUMMYFUNCTION("""COMPUTED_VALUE"""),1.0)</f>
        <v>1</v>
      </c>
      <c r="H740" s="71">
        <f>IFERROR(__xludf.DUMMYFUNCTION("""COMPUTED_VALUE"""),1.0)</f>
        <v>1</v>
      </c>
      <c r="I740" s="71">
        <f>IFERROR(__xludf.DUMMYFUNCTION("""COMPUTED_VALUE"""),1.0)</f>
        <v>1</v>
      </c>
      <c r="J740" s="22" t="str">
        <f>IFERROR(__xludf.DUMMYFUNCTION("""COMPUTED_VALUE"""),"")</f>
        <v/>
      </c>
      <c r="K740" s="22"/>
      <c r="L740" s="22"/>
      <c r="M740" s="22"/>
      <c r="N740" s="22"/>
      <c r="O740" s="73"/>
      <c r="P740" s="8"/>
      <c r="Q740" s="69"/>
      <c r="R740" s="69"/>
      <c r="S740" s="8"/>
      <c r="T740" s="69"/>
      <c r="U740" s="8"/>
      <c r="V740" s="69"/>
      <c r="W740" s="74"/>
      <c r="X740" s="69"/>
    </row>
    <row r="741">
      <c r="A741" s="30" t="str">
        <f>IFERROR(__xludf.DUMMYFUNCTION("""COMPUTED_VALUE"""),"52981 Total")</f>
        <v>52981 Total</v>
      </c>
      <c r="B741" s="5"/>
      <c r="C741" s="64"/>
      <c r="D741" s="85"/>
      <c r="E741" s="5"/>
      <c r="F741" s="69"/>
      <c r="G741" s="70">
        <f>IFERROR(__xludf.DUMMYFUNCTION("""COMPUTED_VALUE"""),1.0)</f>
        <v>1</v>
      </c>
      <c r="H741" s="71">
        <f>IFERROR(__xludf.DUMMYFUNCTION("""COMPUTED_VALUE"""),1.0)</f>
        <v>1</v>
      </c>
      <c r="I741" s="71" t="str">
        <f>IFERROR(__xludf.DUMMYFUNCTION("""COMPUTED_VALUE"""),"")</f>
        <v/>
      </c>
      <c r="J741" s="22" t="str">
        <f>IFERROR(__xludf.DUMMYFUNCTION("""COMPUTED_VALUE"""),"")</f>
        <v/>
      </c>
      <c r="K741" s="22"/>
      <c r="L741" s="22"/>
      <c r="M741" s="22"/>
      <c r="N741" s="22"/>
      <c r="O741" s="73"/>
      <c r="P741" s="8"/>
      <c r="Q741" s="69"/>
      <c r="R741" s="69"/>
      <c r="S741" s="8"/>
      <c r="T741" s="69"/>
      <c r="U741" s="8"/>
      <c r="V741" s="69"/>
      <c r="W741" s="74"/>
      <c r="X741" s="69"/>
    </row>
    <row r="742">
      <c r="A742" s="30" t="str">
        <f>IFERROR(__xludf.DUMMYFUNCTION("""COMPUTED_VALUE"""),"56118")</f>
        <v>56118</v>
      </c>
      <c r="B742" s="86">
        <f>IFERROR(__xludf.DUMMYFUNCTION("""COMPUTED_VALUE"""),44597.0)</f>
        <v>44597</v>
      </c>
      <c r="C742" s="64" t="str">
        <f>IFERROR(__xludf.DUMMYFUNCTION("""COMPUTED_VALUE"""),"Cash")</f>
        <v>Cash</v>
      </c>
      <c r="D742" s="85" t="str">
        <f>IFERROR(__xludf.DUMMYFUNCTION("""COMPUTED_VALUE"""),"Cash")</f>
        <v>Cash</v>
      </c>
      <c r="E742" s="5" t="str">
        <f>IFERROR(__xludf.DUMMYFUNCTION("""COMPUTED_VALUE"""),"HKD")</f>
        <v>HKD</v>
      </c>
      <c r="F742" s="69" t="str">
        <f>IFERROR(__xludf.DUMMYFUNCTION("""COMPUTED_VALUE"""),"")</f>
        <v/>
      </c>
      <c r="G742" s="70">
        <f>IFERROR(__xludf.DUMMYFUNCTION("""COMPUTED_VALUE"""),1.0)</f>
        <v>1</v>
      </c>
      <c r="H742" s="71">
        <f>IFERROR(__xludf.DUMMYFUNCTION("""COMPUTED_VALUE"""),1.0)</f>
        <v>1</v>
      </c>
      <c r="I742" s="71">
        <f>IFERROR(__xludf.DUMMYFUNCTION("""COMPUTED_VALUE"""),1.0)</f>
        <v>1</v>
      </c>
      <c r="J742" s="22" t="str">
        <f>IFERROR(__xludf.DUMMYFUNCTION("""COMPUTED_VALUE"""),"")</f>
        <v/>
      </c>
      <c r="K742" s="22"/>
      <c r="L742" s="22"/>
      <c r="M742" s="22"/>
      <c r="N742" s="22"/>
      <c r="O742" s="73"/>
      <c r="P742" s="8"/>
      <c r="Q742" s="69"/>
      <c r="R742" s="69"/>
      <c r="S742" s="8"/>
      <c r="T742" s="69"/>
      <c r="U742" s="8"/>
      <c r="V742" s="69"/>
      <c r="W742" s="74"/>
      <c r="X742" s="69"/>
    </row>
    <row r="743">
      <c r="A743" s="30" t="str">
        <f>IFERROR(__xludf.DUMMYFUNCTION("""COMPUTED_VALUE"""),"56118")</f>
        <v>56118</v>
      </c>
      <c r="B743" s="86">
        <f>IFERROR(__xludf.DUMMYFUNCTION("""COMPUTED_VALUE"""),44635.0)</f>
        <v>44635</v>
      </c>
      <c r="C743" s="64" t="str">
        <f>IFERROR(__xludf.DUMMYFUNCTION("""COMPUTED_VALUE"""),"Stock")</f>
        <v>Stock</v>
      </c>
      <c r="D743" s="90" t="str">
        <f>IFERROR(__xludf.DUMMYFUNCTION("""COMPUTED_VALUE"""),"3339.HK")</f>
        <v>3339.HK</v>
      </c>
      <c r="E743" s="5" t="str">
        <f>IFERROR(__xludf.DUMMYFUNCTION("""COMPUTED_VALUE"""),"HKD")</f>
        <v>HKD</v>
      </c>
      <c r="F743" s="69">
        <f>IFERROR(__xludf.DUMMYFUNCTION("""COMPUTED_VALUE"""),100000.0)</f>
        <v>100000</v>
      </c>
      <c r="G743" s="70">
        <f>IFERROR(__xludf.DUMMYFUNCTION("""COMPUTED_VALUE"""),1.0)</f>
        <v>1</v>
      </c>
      <c r="H743" s="71">
        <f>IFERROR(__xludf.DUMMYFUNCTION("""COMPUTED_VALUE"""),1.98)</f>
        <v>1.98</v>
      </c>
      <c r="I743" s="71">
        <f>IFERROR(__xludf.DUMMYFUNCTION("""COMPUTED_VALUE"""),2.15)</f>
        <v>2.15</v>
      </c>
      <c r="J743" s="88" t="str">
        <f>IFERROR(__xludf.DUMMYFUNCTION("""COMPUTED_VALUE"""),"Goto link: 3339.HK")</f>
        <v>Goto link: 3339.HK</v>
      </c>
      <c r="K743" s="22"/>
      <c r="L743" s="22"/>
      <c r="M743" s="22"/>
      <c r="N743" s="22"/>
      <c r="O743" s="73"/>
      <c r="P743" s="8"/>
      <c r="Q743" s="69"/>
      <c r="R743" s="69"/>
      <c r="S743" s="8"/>
      <c r="T743" s="69"/>
      <c r="U743" s="8"/>
      <c r="V743" s="69"/>
      <c r="W743" s="74"/>
      <c r="X743" s="69"/>
    </row>
    <row r="744">
      <c r="A744" s="30" t="str">
        <f>IFERROR(__xludf.DUMMYFUNCTION("""COMPUTED_VALUE"""),"56118")</f>
        <v>56118</v>
      </c>
      <c r="B744" s="86">
        <f>IFERROR(__xludf.DUMMYFUNCTION("""COMPUTED_VALUE"""),44635.0)</f>
        <v>44635</v>
      </c>
      <c r="C744" s="64" t="str">
        <f>IFERROR(__xludf.DUMMYFUNCTION("""COMPUTED_VALUE"""),"Stock")</f>
        <v>Stock</v>
      </c>
      <c r="D744" s="87" t="str">
        <f>IFERROR(__xludf.DUMMYFUNCTION("""COMPUTED_VALUE"""),"LMT")</f>
        <v>LMT</v>
      </c>
      <c r="E744" s="5" t="str">
        <f>IFERROR(__xludf.DUMMYFUNCTION("""COMPUTED_VALUE"""),"USD")</f>
        <v>USD</v>
      </c>
      <c r="F744" s="69">
        <f>IFERROR(__xludf.DUMMYFUNCTION("""COMPUTED_VALUE"""),20.0)</f>
        <v>20</v>
      </c>
      <c r="G744" s="70">
        <f>IFERROR(__xludf.DUMMYFUNCTION("""COMPUTED_VALUE"""),7.83915)</f>
        <v>7.83915</v>
      </c>
      <c r="H744" s="71">
        <f>IFERROR(__xludf.DUMMYFUNCTION("""COMPUTED_VALUE"""),448.67)</f>
        <v>448.67</v>
      </c>
      <c r="I744" s="71">
        <f>IFERROR(__xludf.DUMMYFUNCTION("""COMPUTED_VALUE"""),469.2)</f>
        <v>469.2</v>
      </c>
      <c r="J744" s="88" t="str">
        <f>IFERROR(__xludf.DUMMYFUNCTION("""COMPUTED_VALUE"""),"Goto link: LMT")</f>
        <v>Goto link: LMT</v>
      </c>
      <c r="K744" s="22"/>
      <c r="L744" s="22"/>
      <c r="M744" s="22"/>
      <c r="N744" s="22"/>
      <c r="O744" s="73"/>
      <c r="P744" s="8"/>
      <c r="Q744" s="69"/>
      <c r="R744" s="69"/>
      <c r="S744" s="8"/>
      <c r="T744" s="69"/>
      <c r="U744" s="8"/>
      <c r="V744" s="69"/>
      <c r="W744" s="74"/>
      <c r="X744" s="69"/>
    </row>
    <row r="745">
      <c r="A745" s="30" t="str">
        <f>IFERROR(__xludf.DUMMYFUNCTION("""COMPUTED_VALUE"""),"56118")</f>
        <v>56118</v>
      </c>
      <c r="B745" s="86">
        <f>IFERROR(__xludf.DUMMYFUNCTION("""COMPUTED_VALUE"""),44635.0)</f>
        <v>44635</v>
      </c>
      <c r="C745" s="64" t="str">
        <f>IFERROR(__xludf.DUMMYFUNCTION("""COMPUTED_VALUE"""),"Stock")</f>
        <v>Stock</v>
      </c>
      <c r="D745" s="87" t="str">
        <f>IFERROR(__xludf.DUMMYFUNCTION("""COMPUTED_VALUE"""),"PFE")</f>
        <v>PFE</v>
      </c>
      <c r="E745" s="5" t="str">
        <f>IFERROR(__xludf.DUMMYFUNCTION("""COMPUTED_VALUE"""),"USD")</f>
        <v>USD</v>
      </c>
      <c r="F745" s="69">
        <f>IFERROR(__xludf.DUMMYFUNCTION("""COMPUTED_VALUE"""),500.0)</f>
        <v>500</v>
      </c>
      <c r="G745" s="70">
        <f>IFERROR(__xludf.DUMMYFUNCTION("""COMPUTED_VALUE"""),7.83915)</f>
        <v>7.83915</v>
      </c>
      <c r="H745" s="71">
        <f>IFERROR(__xludf.DUMMYFUNCTION("""COMPUTED_VALUE"""),52.21)</f>
        <v>52.21</v>
      </c>
      <c r="I745" s="71">
        <f>IFERROR(__xludf.DUMMYFUNCTION("""COMPUTED_VALUE"""),53.11)</f>
        <v>53.11</v>
      </c>
      <c r="J745" s="88" t="str">
        <f>IFERROR(__xludf.DUMMYFUNCTION("""COMPUTED_VALUE"""),"Goto link: PFE")</f>
        <v>Goto link: PFE</v>
      </c>
      <c r="K745" s="22"/>
      <c r="L745" s="22"/>
      <c r="M745" s="22"/>
      <c r="N745" s="22"/>
      <c r="O745" s="73"/>
      <c r="P745" s="8"/>
      <c r="Q745" s="69"/>
      <c r="R745" s="69"/>
      <c r="S745" s="8"/>
      <c r="T745" s="69"/>
      <c r="U745" s="8"/>
      <c r="V745" s="69"/>
      <c r="W745" s="74"/>
      <c r="X745" s="69"/>
    </row>
    <row r="746">
      <c r="A746" s="30" t="str">
        <f>IFERROR(__xludf.DUMMYFUNCTION("""COMPUTED_VALUE"""),"56118")</f>
        <v>56118</v>
      </c>
      <c r="B746" s="86">
        <f>IFERROR(__xludf.DUMMYFUNCTION("""COMPUTED_VALUE"""),44636.0)</f>
        <v>44636</v>
      </c>
      <c r="C746" s="64" t="str">
        <f>IFERROR(__xludf.DUMMYFUNCTION("""COMPUTED_VALUE"""),"Stock")</f>
        <v>Stock</v>
      </c>
      <c r="D746" s="87" t="str">
        <f>IFERROR(__xludf.DUMMYFUNCTION("""COMPUTED_VALUE"""),"PFE")</f>
        <v>PFE</v>
      </c>
      <c r="E746" s="5" t="str">
        <f>IFERROR(__xludf.DUMMYFUNCTION("""COMPUTED_VALUE"""),"USD")</f>
        <v>USD</v>
      </c>
      <c r="F746" s="69">
        <f>IFERROR(__xludf.DUMMYFUNCTION("""COMPUTED_VALUE"""),500.0)</f>
        <v>500</v>
      </c>
      <c r="G746" s="70">
        <f>IFERROR(__xludf.DUMMYFUNCTION("""COMPUTED_VALUE"""),7.83915)</f>
        <v>7.83915</v>
      </c>
      <c r="H746" s="71">
        <f>IFERROR(__xludf.DUMMYFUNCTION("""COMPUTED_VALUE"""),52.92)</f>
        <v>52.92</v>
      </c>
      <c r="I746" s="71">
        <f>IFERROR(__xludf.DUMMYFUNCTION("""COMPUTED_VALUE"""),53.11)</f>
        <v>53.11</v>
      </c>
      <c r="J746" s="88" t="str">
        <f>IFERROR(__xludf.DUMMYFUNCTION("""COMPUTED_VALUE"""),"Goto link: PFE")</f>
        <v>Goto link: PFE</v>
      </c>
      <c r="K746" s="22"/>
      <c r="L746" s="22"/>
      <c r="M746" s="22"/>
      <c r="N746" s="22"/>
      <c r="O746" s="73"/>
      <c r="P746" s="8"/>
      <c r="Q746" s="69"/>
      <c r="R746" s="69"/>
      <c r="S746" s="8"/>
      <c r="T746" s="69"/>
      <c r="U746" s="8"/>
      <c r="V746" s="69"/>
      <c r="W746" s="74"/>
      <c r="X746" s="69"/>
    </row>
    <row r="747">
      <c r="A747" s="30" t="str">
        <f>IFERROR(__xludf.DUMMYFUNCTION("""COMPUTED_VALUE"""),"56118")</f>
        <v>56118</v>
      </c>
      <c r="B747" s="86">
        <f>IFERROR(__xludf.DUMMYFUNCTION("""COMPUTED_VALUE"""),44637.0)</f>
        <v>44637</v>
      </c>
      <c r="C747" s="64" t="str">
        <f>IFERROR(__xludf.DUMMYFUNCTION("""COMPUTED_VALUE"""),"Stock")</f>
        <v>Stock</v>
      </c>
      <c r="D747" s="87" t="str">
        <f>IFERROR(__xludf.DUMMYFUNCTION("""COMPUTED_VALUE"""),"SOFI")</f>
        <v>SOFI</v>
      </c>
      <c r="E747" s="5" t="str">
        <f>IFERROR(__xludf.DUMMYFUNCTION("""COMPUTED_VALUE"""),"USD")</f>
        <v>USD</v>
      </c>
      <c r="F747" s="69">
        <f>IFERROR(__xludf.DUMMYFUNCTION("""COMPUTED_VALUE"""),200.0)</f>
        <v>200</v>
      </c>
      <c r="G747" s="70">
        <f>IFERROR(__xludf.DUMMYFUNCTION("""COMPUTED_VALUE"""),7.83915)</f>
        <v>7.83915</v>
      </c>
      <c r="H747" s="71">
        <f>IFERROR(__xludf.DUMMYFUNCTION("""COMPUTED_VALUE"""),8.91)</f>
        <v>8.91</v>
      </c>
      <c r="I747" s="71">
        <f>IFERROR(__xludf.DUMMYFUNCTION("""COMPUTED_VALUE"""),7.61)</f>
        <v>7.61</v>
      </c>
      <c r="J747" s="88" t="str">
        <f>IFERROR(__xludf.DUMMYFUNCTION("""COMPUTED_VALUE"""),"Goto link: SOFI")</f>
        <v>Goto link: SOFI</v>
      </c>
      <c r="K747" s="22"/>
      <c r="L747" s="22"/>
      <c r="M747" s="22"/>
      <c r="N747" s="22"/>
      <c r="O747" s="73"/>
      <c r="P747" s="8"/>
      <c r="Q747" s="69"/>
      <c r="R747" s="69"/>
      <c r="S747" s="8"/>
      <c r="T747" s="69"/>
      <c r="U747" s="8"/>
      <c r="V747" s="69"/>
      <c r="W747" s="74"/>
      <c r="X747" s="69"/>
    </row>
    <row r="748">
      <c r="A748" s="30" t="str">
        <f>IFERROR(__xludf.DUMMYFUNCTION("""COMPUTED_VALUE"""),"56118")</f>
        <v>56118</v>
      </c>
      <c r="B748" s="86">
        <f>IFERROR(__xludf.DUMMYFUNCTION("""COMPUTED_VALUE"""),44641.0)</f>
        <v>44641</v>
      </c>
      <c r="C748" s="64" t="str">
        <f>IFERROR(__xludf.DUMMYFUNCTION("""COMPUTED_VALUE"""),"Stock")</f>
        <v>Stock</v>
      </c>
      <c r="D748" s="87" t="str">
        <f>IFERROR(__xludf.DUMMYFUNCTION("""COMPUTED_VALUE"""),"LMT")</f>
        <v>LMT</v>
      </c>
      <c r="E748" s="5" t="str">
        <f>IFERROR(__xludf.DUMMYFUNCTION("""COMPUTED_VALUE"""),"USD")</f>
        <v>USD</v>
      </c>
      <c r="F748" s="69">
        <f>IFERROR(__xludf.DUMMYFUNCTION("""COMPUTED_VALUE"""),-20.0)</f>
        <v>-20</v>
      </c>
      <c r="G748" s="70">
        <f>IFERROR(__xludf.DUMMYFUNCTION("""COMPUTED_VALUE"""),7.83915)</f>
        <v>7.83915</v>
      </c>
      <c r="H748" s="71">
        <f>IFERROR(__xludf.DUMMYFUNCTION("""COMPUTED_VALUE"""),440.0)</f>
        <v>440</v>
      </c>
      <c r="I748" s="71">
        <f>IFERROR(__xludf.DUMMYFUNCTION("""COMPUTED_VALUE"""),469.2)</f>
        <v>469.2</v>
      </c>
      <c r="J748" s="88" t="str">
        <f>IFERROR(__xludf.DUMMYFUNCTION("""COMPUTED_VALUE"""),"Goto link: LMT")</f>
        <v>Goto link: LMT</v>
      </c>
      <c r="K748" s="22"/>
      <c r="L748" s="22"/>
      <c r="M748" s="22"/>
      <c r="N748" s="22"/>
      <c r="O748" s="73"/>
      <c r="P748" s="8"/>
      <c r="Q748" s="69"/>
      <c r="R748" s="69"/>
      <c r="S748" s="8"/>
      <c r="T748" s="69"/>
      <c r="U748" s="8"/>
      <c r="V748" s="69"/>
      <c r="W748" s="74"/>
      <c r="X748" s="69"/>
    </row>
    <row r="749">
      <c r="A749" s="30" t="str">
        <f>IFERROR(__xludf.DUMMYFUNCTION("""COMPUTED_VALUE"""),"56118")</f>
        <v>56118</v>
      </c>
      <c r="B749" s="86">
        <f>IFERROR(__xludf.DUMMYFUNCTION("""COMPUTED_VALUE"""),44641.0)</f>
        <v>44641</v>
      </c>
      <c r="C749" s="64" t="str">
        <f>IFERROR(__xludf.DUMMYFUNCTION("""COMPUTED_VALUE"""),"Stock")</f>
        <v>Stock</v>
      </c>
      <c r="D749" s="87" t="str">
        <f>IFERROR(__xludf.DUMMYFUNCTION("""COMPUTED_VALUE"""),"NFLX")</f>
        <v>NFLX</v>
      </c>
      <c r="E749" s="5" t="str">
        <f>IFERROR(__xludf.DUMMYFUNCTION("""COMPUTED_VALUE"""),"USD")</f>
        <v>USD</v>
      </c>
      <c r="F749" s="69">
        <f>IFERROR(__xludf.DUMMYFUNCTION("""COMPUTED_VALUE"""),10.0)</f>
        <v>10</v>
      </c>
      <c r="G749" s="70">
        <f>IFERROR(__xludf.DUMMYFUNCTION("""COMPUTED_VALUE"""),7.83915)</f>
        <v>7.83915</v>
      </c>
      <c r="H749" s="71">
        <f>IFERROR(__xludf.DUMMYFUNCTION("""COMPUTED_VALUE"""),374.59)</f>
        <v>374.59</v>
      </c>
      <c r="I749" s="71">
        <f>IFERROR(__xludf.DUMMYFUNCTION("""COMPUTED_VALUE"""),350.43)</f>
        <v>350.43</v>
      </c>
      <c r="J749" s="88" t="str">
        <f>IFERROR(__xludf.DUMMYFUNCTION("""COMPUTED_VALUE"""),"Goto link: NFLX")</f>
        <v>Goto link: NFLX</v>
      </c>
      <c r="K749" s="22"/>
      <c r="L749" s="22"/>
      <c r="M749" s="22"/>
      <c r="N749" s="22"/>
      <c r="O749" s="73"/>
      <c r="P749" s="8"/>
      <c r="Q749" s="69"/>
      <c r="R749" s="69"/>
      <c r="S749" s="8"/>
      <c r="T749" s="69"/>
      <c r="U749" s="8"/>
      <c r="V749" s="69"/>
      <c r="W749" s="74"/>
      <c r="X749" s="69"/>
    </row>
    <row r="750">
      <c r="A750" s="30" t="str">
        <f>IFERROR(__xludf.DUMMYFUNCTION("""COMPUTED_VALUE"""),"56118")</f>
        <v>56118</v>
      </c>
      <c r="B750" s="86">
        <f>IFERROR(__xludf.DUMMYFUNCTION("""COMPUTED_VALUE"""),44641.0)</f>
        <v>44641</v>
      </c>
      <c r="C750" s="64" t="str">
        <f>IFERROR(__xludf.DUMMYFUNCTION("""COMPUTED_VALUE"""),"Stock")</f>
        <v>Stock</v>
      </c>
      <c r="D750" s="87" t="str">
        <f>IFERROR(__xludf.DUMMYFUNCTION("""COMPUTED_VALUE"""),"SOFI")</f>
        <v>SOFI</v>
      </c>
      <c r="E750" s="5" t="str">
        <f>IFERROR(__xludf.DUMMYFUNCTION("""COMPUTED_VALUE"""),"USD")</f>
        <v>USD</v>
      </c>
      <c r="F750" s="69">
        <f>IFERROR(__xludf.DUMMYFUNCTION("""COMPUTED_VALUE"""),0.0)</f>
        <v>0</v>
      </c>
      <c r="G750" s="70">
        <f>IFERROR(__xludf.DUMMYFUNCTION("""COMPUTED_VALUE"""),7.83915)</f>
        <v>7.83915</v>
      </c>
      <c r="H750" s="71">
        <f>IFERROR(__xludf.DUMMYFUNCTION("""COMPUTED_VALUE"""),0.0)</f>
        <v>0</v>
      </c>
      <c r="I750" s="71">
        <f>IFERROR(__xludf.DUMMYFUNCTION("""COMPUTED_VALUE"""),7.61)</f>
        <v>7.61</v>
      </c>
      <c r="J750" s="88" t="str">
        <f>IFERROR(__xludf.DUMMYFUNCTION("""COMPUTED_VALUE"""),"Goto link: SOFI")</f>
        <v>Goto link: SOFI</v>
      </c>
      <c r="K750" s="22"/>
      <c r="L750" s="22"/>
      <c r="M750" s="22"/>
      <c r="N750" s="22"/>
      <c r="O750" s="73"/>
      <c r="P750" s="8"/>
      <c r="Q750" s="69"/>
      <c r="R750" s="69"/>
      <c r="S750" s="8"/>
      <c r="T750" s="69"/>
      <c r="U750" s="8"/>
      <c r="V750" s="69"/>
      <c r="W750" s="74"/>
      <c r="X750" s="69"/>
    </row>
    <row r="751">
      <c r="A751" s="30" t="str">
        <f>IFERROR(__xludf.DUMMYFUNCTION("""COMPUTED_VALUE"""),"56118 Total")</f>
        <v>56118 Total</v>
      </c>
      <c r="B751" s="5"/>
      <c r="C751" s="64"/>
      <c r="D751" s="85"/>
      <c r="E751" s="5"/>
      <c r="F751" s="69"/>
      <c r="G751" s="70">
        <f>IFERROR(__xludf.DUMMYFUNCTION("""COMPUTED_VALUE"""),6.31933888888889)</f>
        <v>6.319338889</v>
      </c>
      <c r="H751" s="71">
        <f>IFERROR(__xludf.DUMMYFUNCTION("""COMPUTED_VALUE"""),448.67)</f>
        <v>448.67</v>
      </c>
      <c r="I751" s="71" t="str">
        <f>IFERROR(__xludf.DUMMYFUNCTION("""COMPUTED_VALUE"""),"")</f>
        <v/>
      </c>
      <c r="J751" s="22" t="str">
        <f>IFERROR(__xludf.DUMMYFUNCTION("""COMPUTED_VALUE"""),"")</f>
        <v/>
      </c>
      <c r="K751" s="22"/>
      <c r="L751" s="22"/>
      <c r="M751" s="22"/>
      <c r="N751" s="22"/>
      <c r="O751" s="73"/>
      <c r="P751" s="8"/>
      <c r="Q751" s="69"/>
      <c r="R751" s="69"/>
      <c r="S751" s="8"/>
      <c r="T751" s="69"/>
      <c r="U751" s="8"/>
      <c r="V751" s="69"/>
      <c r="W751" s="74"/>
      <c r="X751" s="69"/>
    </row>
    <row r="752">
      <c r="A752" s="30" t="str">
        <f>IFERROR(__xludf.DUMMYFUNCTION("""COMPUTED_VALUE"""),"69930")</f>
        <v>69930</v>
      </c>
      <c r="B752" s="86">
        <f>IFERROR(__xludf.DUMMYFUNCTION("""COMPUTED_VALUE"""),44597.0)</f>
        <v>44597</v>
      </c>
      <c r="C752" s="64" t="str">
        <f>IFERROR(__xludf.DUMMYFUNCTION("""COMPUTED_VALUE"""),"Cash")</f>
        <v>Cash</v>
      </c>
      <c r="D752" s="85" t="str">
        <f>IFERROR(__xludf.DUMMYFUNCTION("""COMPUTED_VALUE"""),"Cash")</f>
        <v>Cash</v>
      </c>
      <c r="E752" s="5" t="str">
        <f>IFERROR(__xludf.DUMMYFUNCTION("""COMPUTED_VALUE"""),"HKD")</f>
        <v>HKD</v>
      </c>
      <c r="F752" s="69" t="str">
        <f>IFERROR(__xludf.DUMMYFUNCTION("""COMPUTED_VALUE"""),"")</f>
        <v/>
      </c>
      <c r="G752" s="70">
        <f>IFERROR(__xludf.DUMMYFUNCTION("""COMPUTED_VALUE"""),1.0)</f>
        <v>1</v>
      </c>
      <c r="H752" s="71">
        <f>IFERROR(__xludf.DUMMYFUNCTION("""COMPUTED_VALUE"""),1.0)</f>
        <v>1</v>
      </c>
      <c r="I752" s="71">
        <f>IFERROR(__xludf.DUMMYFUNCTION("""COMPUTED_VALUE"""),1.0)</f>
        <v>1</v>
      </c>
      <c r="J752" s="22" t="str">
        <f>IFERROR(__xludf.DUMMYFUNCTION("""COMPUTED_VALUE"""),"")</f>
        <v/>
      </c>
      <c r="K752" s="22"/>
      <c r="L752" s="22"/>
      <c r="M752" s="22"/>
      <c r="N752" s="22"/>
      <c r="O752" s="73"/>
      <c r="P752" s="8"/>
      <c r="Q752" s="69"/>
      <c r="R752" s="69"/>
      <c r="S752" s="8"/>
      <c r="T752" s="69"/>
      <c r="U752" s="8"/>
      <c r="V752" s="69"/>
      <c r="W752" s="74"/>
      <c r="X752" s="69"/>
    </row>
    <row r="753">
      <c r="A753" s="30" t="str">
        <f>IFERROR(__xludf.DUMMYFUNCTION("""COMPUTED_VALUE"""),"69930")</f>
        <v>69930</v>
      </c>
      <c r="B753" s="86">
        <f>IFERROR(__xludf.DUMMYFUNCTION("""COMPUTED_VALUE"""),44603.0)</f>
        <v>44603</v>
      </c>
      <c r="C753" s="64" t="str">
        <f>IFERROR(__xludf.DUMMYFUNCTION("""COMPUTED_VALUE"""),"Stock")</f>
        <v>Stock</v>
      </c>
      <c r="D753" s="90" t="str">
        <f>IFERROR(__xludf.DUMMYFUNCTION("""COMPUTED_VALUE"""),"2318.HK")</f>
        <v>2318.HK</v>
      </c>
      <c r="E753" s="5" t="str">
        <f>IFERROR(__xludf.DUMMYFUNCTION("""COMPUTED_VALUE"""),"HKD")</f>
        <v>HKD</v>
      </c>
      <c r="F753" s="69">
        <f>IFERROR(__xludf.DUMMYFUNCTION("""COMPUTED_VALUE"""),100.0)</f>
        <v>100</v>
      </c>
      <c r="G753" s="70">
        <f>IFERROR(__xludf.DUMMYFUNCTION("""COMPUTED_VALUE"""),1.0)</f>
        <v>1</v>
      </c>
      <c r="H753" s="71">
        <f>IFERROR(__xludf.DUMMYFUNCTION("""COMPUTED_VALUE"""),69.3)</f>
        <v>69.3</v>
      </c>
      <c r="I753" s="71">
        <f>IFERROR(__xludf.DUMMYFUNCTION("""COMPUTED_VALUE"""),55.3)</f>
        <v>55.3</v>
      </c>
      <c r="J753" s="88" t="str">
        <f>IFERROR(__xludf.DUMMYFUNCTION("""COMPUTED_VALUE"""),"Goto link: 2318.HK")</f>
        <v>Goto link: 2318.HK</v>
      </c>
      <c r="K753" s="22"/>
      <c r="L753" s="22"/>
      <c r="M753" s="22"/>
      <c r="N753" s="22"/>
      <c r="O753" s="73"/>
      <c r="P753" s="8"/>
      <c r="Q753" s="69"/>
      <c r="R753" s="69"/>
      <c r="S753" s="8"/>
      <c r="T753" s="69"/>
      <c r="U753" s="8"/>
      <c r="V753" s="69"/>
      <c r="W753" s="74"/>
      <c r="X753" s="69"/>
    </row>
    <row r="754">
      <c r="A754" s="30" t="str">
        <f>IFERROR(__xludf.DUMMYFUNCTION("""COMPUTED_VALUE"""),"69930")</f>
        <v>69930</v>
      </c>
      <c r="B754" s="86">
        <f>IFERROR(__xludf.DUMMYFUNCTION("""COMPUTED_VALUE"""),44629.0)</f>
        <v>44629</v>
      </c>
      <c r="C754" s="64" t="str">
        <f>IFERROR(__xludf.DUMMYFUNCTION("""COMPUTED_VALUE"""),"Stock")</f>
        <v>Stock</v>
      </c>
      <c r="D754" s="90" t="str">
        <f>IFERROR(__xludf.DUMMYFUNCTION("""COMPUTED_VALUE"""),"2318.HK")</f>
        <v>2318.HK</v>
      </c>
      <c r="E754" s="5" t="str">
        <f>IFERROR(__xludf.DUMMYFUNCTION("""COMPUTED_VALUE"""),"HKD")</f>
        <v>HKD</v>
      </c>
      <c r="F754" s="69">
        <f>IFERROR(__xludf.DUMMYFUNCTION("""COMPUTED_VALUE"""),-50.0)</f>
        <v>-50</v>
      </c>
      <c r="G754" s="70">
        <f>IFERROR(__xludf.DUMMYFUNCTION("""COMPUTED_VALUE"""),1.0)</f>
        <v>1</v>
      </c>
      <c r="H754" s="71">
        <f>IFERROR(__xludf.DUMMYFUNCTION("""COMPUTED_VALUE"""),53.35)</f>
        <v>53.35</v>
      </c>
      <c r="I754" s="71">
        <f>IFERROR(__xludf.DUMMYFUNCTION("""COMPUTED_VALUE"""),55.3)</f>
        <v>55.3</v>
      </c>
      <c r="J754" s="88" t="str">
        <f>IFERROR(__xludf.DUMMYFUNCTION("""COMPUTED_VALUE"""),"Goto link: 2318.HK")</f>
        <v>Goto link: 2318.HK</v>
      </c>
      <c r="K754" s="22"/>
      <c r="L754" s="22"/>
      <c r="M754" s="22"/>
      <c r="N754" s="22"/>
      <c r="O754" s="73"/>
      <c r="P754" s="8"/>
      <c r="Q754" s="69"/>
      <c r="R754" s="69"/>
      <c r="S754" s="8"/>
      <c r="T754" s="69"/>
      <c r="U754" s="8"/>
      <c r="V754" s="69"/>
      <c r="W754" s="74"/>
      <c r="X754" s="69"/>
    </row>
    <row r="755">
      <c r="A755" s="30" t="str">
        <f>IFERROR(__xludf.DUMMYFUNCTION("""COMPUTED_VALUE"""),"69930 Total")</f>
        <v>69930 Total</v>
      </c>
      <c r="B755" s="5"/>
      <c r="C755" s="64"/>
      <c r="D755" s="85"/>
      <c r="E755" s="5"/>
      <c r="F755" s="69"/>
      <c r="G755" s="70">
        <f>IFERROR(__xludf.DUMMYFUNCTION("""COMPUTED_VALUE"""),1.0)</f>
        <v>1</v>
      </c>
      <c r="H755" s="71">
        <f>IFERROR(__xludf.DUMMYFUNCTION("""COMPUTED_VALUE"""),69.3)</f>
        <v>69.3</v>
      </c>
      <c r="I755" s="71" t="str">
        <f>IFERROR(__xludf.DUMMYFUNCTION("""COMPUTED_VALUE"""),"")</f>
        <v/>
      </c>
      <c r="J755" s="22" t="str">
        <f>IFERROR(__xludf.DUMMYFUNCTION("""COMPUTED_VALUE"""),"")</f>
        <v/>
      </c>
      <c r="K755" s="22"/>
      <c r="L755" s="22"/>
      <c r="M755" s="22"/>
      <c r="N755" s="22"/>
      <c r="O755" s="73"/>
      <c r="P755" s="8"/>
      <c r="Q755" s="69"/>
      <c r="R755" s="69"/>
      <c r="S755" s="8"/>
      <c r="T755" s="69"/>
      <c r="U755" s="8"/>
      <c r="V755" s="69"/>
      <c r="W755" s="74"/>
      <c r="X755" s="69"/>
    </row>
    <row r="756">
      <c r="A756" s="30" t="str">
        <f>IFERROR(__xludf.DUMMYFUNCTION("""COMPUTED_VALUE"""),"70227")</f>
        <v>70227</v>
      </c>
      <c r="B756" s="86">
        <f>IFERROR(__xludf.DUMMYFUNCTION("""COMPUTED_VALUE"""),44597.0)</f>
        <v>44597</v>
      </c>
      <c r="C756" s="64" t="str">
        <f>IFERROR(__xludf.DUMMYFUNCTION("""COMPUTED_VALUE"""),"Cash")</f>
        <v>Cash</v>
      </c>
      <c r="D756" s="85" t="str">
        <f>IFERROR(__xludf.DUMMYFUNCTION("""COMPUTED_VALUE"""),"Cash")</f>
        <v>Cash</v>
      </c>
      <c r="E756" s="5" t="str">
        <f>IFERROR(__xludf.DUMMYFUNCTION("""COMPUTED_VALUE"""),"HKD")</f>
        <v>HKD</v>
      </c>
      <c r="F756" s="69" t="str">
        <f>IFERROR(__xludf.DUMMYFUNCTION("""COMPUTED_VALUE"""),"")</f>
        <v/>
      </c>
      <c r="G756" s="70">
        <f>IFERROR(__xludf.DUMMYFUNCTION("""COMPUTED_VALUE"""),1.0)</f>
        <v>1</v>
      </c>
      <c r="H756" s="71">
        <f>IFERROR(__xludf.DUMMYFUNCTION("""COMPUTED_VALUE"""),1.0)</f>
        <v>1</v>
      </c>
      <c r="I756" s="71">
        <f>IFERROR(__xludf.DUMMYFUNCTION("""COMPUTED_VALUE"""),1.0)</f>
        <v>1</v>
      </c>
      <c r="J756" s="22" t="str">
        <f>IFERROR(__xludf.DUMMYFUNCTION("""COMPUTED_VALUE"""),"")</f>
        <v/>
      </c>
      <c r="K756" s="22"/>
      <c r="L756" s="22"/>
      <c r="M756" s="22"/>
      <c r="N756" s="22"/>
      <c r="O756" s="73"/>
      <c r="P756" s="8"/>
      <c r="Q756" s="69"/>
      <c r="R756" s="69"/>
      <c r="S756" s="8"/>
      <c r="T756" s="69"/>
      <c r="U756" s="8"/>
      <c r="V756" s="69"/>
      <c r="W756" s="74"/>
      <c r="X756" s="69"/>
    </row>
    <row r="757">
      <c r="A757" s="30" t="str">
        <f>IFERROR(__xludf.DUMMYFUNCTION("""COMPUTED_VALUE"""),"70227 Total")</f>
        <v>70227 Total</v>
      </c>
      <c r="B757" s="5"/>
      <c r="C757" s="64"/>
      <c r="D757" s="85"/>
      <c r="E757" s="5"/>
      <c r="F757" s="69"/>
      <c r="G757" s="70">
        <f>IFERROR(__xludf.DUMMYFUNCTION("""COMPUTED_VALUE"""),1.0)</f>
        <v>1</v>
      </c>
      <c r="H757" s="71">
        <f>IFERROR(__xludf.DUMMYFUNCTION("""COMPUTED_VALUE"""),1.0)</f>
        <v>1</v>
      </c>
      <c r="I757" s="71" t="str">
        <f>IFERROR(__xludf.DUMMYFUNCTION("""COMPUTED_VALUE"""),"")</f>
        <v/>
      </c>
      <c r="J757" s="22" t="str">
        <f>IFERROR(__xludf.DUMMYFUNCTION("""COMPUTED_VALUE"""),"")</f>
        <v/>
      </c>
      <c r="K757" s="22"/>
      <c r="L757" s="22"/>
      <c r="M757" s="22"/>
      <c r="N757" s="22"/>
      <c r="O757" s="73"/>
      <c r="P757" s="8"/>
      <c r="Q757" s="69"/>
      <c r="R757" s="69"/>
      <c r="S757" s="8"/>
      <c r="T757" s="69"/>
      <c r="U757" s="8"/>
      <c r="V757" s="69"/>
      <c r="W757" s="74"/>
      <c r="X757" s="69"/>
    </row>
    <row r="758">
      <c r="A758" s="30" t="str">
        <f>IFERROR(__xludf.DUMMYFUNCTION("""COMPUTED_VALUE"""),"70236")</f>
        <v>70236</v>
      </c>
      <c r="B758" s="86">
        <f>IFERROR(__xludf.DUMMYFUNCTION("""COMPUTED_VALUE"""),44597.0)</f>
        <v>44597</v>
      </c>
      <c r="C758" s="64" t="str">
        <f>IFERROR(__xludf.DUMMYFUNCTION("""COMPUTED_VALUE"""),"Cash")</f>
        <v>Cash</v>
      </c>
      <c r="D758" s="85" t="str">
        <f>IFERROR(__xludf.DUMMYFUNCTION("""COMPUTED_VALUE"""),"Cash")</f>
        <v>Cash</v>
      </c>
      <c r="E758" s="5" t="str">
        <f>IFERROR(__xludf.DUMMYFUNCTION("""COMPUTED_VALUE"""),"HKD")</f>
        <v>HKD</v>
      </c>
      <c r="F758" s="69" t="str">
        <f>IFERROR(__xludf.DUMMYFUNCTION("""COMPUTED_VALUE"""),"")</f>
        <v/>
      </c>
      <c r="G758" s="70">
        <f>IFERROR(__xludf.DUMMYFUNCTION("""COMPUTED_VALUE"""),1.0)</f>
        <v>1</v>
      </c>
      <c r="H758" s="71">
        <f>IFERROR(__xludf.DUMMYFUNCTION("""COMPUTED_VALUE"""),1.0)</f>
        <v>1</v>
      </c>
      <c r="I758" s="71">
        <f>IFERROR(__xludf.DUMMYFUNCTION("""COMPUTED_VALUE"""),1.0)</f>
        <v>1</v>
      </c>
      <c r="J758" s="22" t="str">
        <f>IFERROR(__xludf.DUMMYFUNCTION("""COMPUTED_VALUE"""),"")</f>
        <v/>
      </c>
      <c r="K758" s="22"/>
      <c r="L758" s="22"/>
      <c r="M758" s="22"/>
      <c r="N758" s="22"/>
      <c r="O758" s="73"/>
      <c r="P758" s="8"/>
      <c r="Q758" s="69"/>
      <c r="R758" s="69"/>
      <c r="S758" s="8"/>
      <c r="T758" s="69"/>
      <c r="U758" s="8"/>
      <c r="V758" s="69"/>
      <c r="W758" s="74"/>
      <c r="X758" s="69"/>
    </row>
    <row r="759">
      <c r="A759" s="30" t="str">
        <f>IFERROR(__xludf.DUMMYFUNCTION("""COMPUTED_VALUE"""),"70236")</f>
        <v>70236</v>
      </c>
      <c r="B759" s="86">
        <f>IFERROR(__xludf.DUMMYFUNCTION("""COMPUTED_VALUE"""),44644.0)</f>
        <v>44644</v>
      </c>
      <c r="C759" s="64" t="str">
        <f>IFERROR(__xludf.DUMMYFUNCTION("""COMPUTED_VALUE"""),"Stock")</f>
        <v>Stock</v>
      </c>
      <c r="D759" s="90" t="str">
        <f>IFERROR(__xludf.DUMMYFUNCTION("""COMPUTED_VALUE"""),"0708.hk")</f>
        <v>0708.hk</v>
      </c>
      <c r="E759" s="5" t="str">
        <f>IFERROR(__xludf.DUMMYFUNCTION("""COMPUTED_VALUE"""),"HKD")</f>
        <v>HKD</v>
      </c>
      <c r="F759" s="69">
        <f>IFERROR(__xludf.DUMMYFUNCTION("""COMPUTED_VALUE"""),100.0)</f>
        <v>100</v>
      </c>
      <c r="G759" s="70">
        <f>IFERROR(__xludf.DUMMYFUNCTION("""COMPUTED_VALUE"""),1.0)</f>
        <v>1</v>
      </c>
      <c r="H759" s="71">
        <f>IFERROR(__xludf.DUMMYFUNCTION("""COMPUTED_VALUE"""),3.52)</f>
        <v>3.52</v>
      </c>
      <c r="I759" s="71">
        <f>IFERROR(__xludf.DUMMYFUNCTION("""COMPUTED_VALUE"""),3.2)</f>
        <v>3.2</v>
      </c>
      <c r="J759" s="88" t="str">
        <f>IFERROR(__xludf.DUMMYFUNCTION("""COMPUTED_VALUE"""),"Goto link: 0708.hk")</f>
        <v>Goto link: 0708.hk</v>
      </c>
      <c r="K759" s="22"/>
      <c r="L759" s="22"/>
      <c r="M759" s="22"/>
      <c r="N759" s="22"/>
      <c r="O759" s="73"/>
      <c r="P759" s="8"/>
      <c r="Q759" s="69"/>
      <c r="R759" s="69"/>
      <c r="S759" s="8"/>
      <c r="T759" s="69"/>
      <c r="U759" s="8"/>
      <c r="V759" s="69"/>
      <c r="W759" s="74"/>
      <c r="X759" s="69"/>
    </row>
    <row r="760">
      <c r="A760" s="30" t="str">
        <f>IFERROR(__xludf.DUMMYFUNCTION("""COMPUTED_VALUE"""),"70236")</f>
        <v>70236</v>
      </c>
      <c r="B760" s="86">
        <f>IFERROR(__xludf.DUMMYFUNCTION("""COMPUTED_VALUE"""),44644.0)</f>
        <v>44644</v>
      </c>
      <c r="C760" s="64" t="str">
        <f>IFERROR(__xludf.DUMMYFUNCTION("""COMPUTED_VALUE"""),"Stock")</f>
        <v>Stock</v>
      </c>
      <c r="D760" s="87" t="str">
        <f>IFERROR(__xludf.DUMMYFUNCTION("""COMPUTED_VALUE"""),"CLOV")</f>
        <v>CLOV</v>
      </c>
      <c r="E760" s="5" t="str">
        <f>IFERROR(__xludf.DUMMYFUNCTION("""COMPUTED_VALUE"""),"USD")</f>
        <v>USD</v>
      </c>
      <c r="F760" s="69">
        <f>IFERROR(__xludf.DUMMYFUNCTION("""COMPUTED_VALUE"""),100.0)</f>
        <v>100</v>
      </c>
      <c r="G760" s="70">
        <f>IFERROR(__xludf.DUMMYFUNCTION("""COMPUTED_VALUE"""),7.83915)</f>
        <v>7.83915</v>
      </c>
      <c r="H760" s="71">
        <f>IFERROR(__xludf.DUMMYFUNCTION("""COMPUTED_VALUE"""),3.61)</f>
        <v>3.61</v>
      </c>
      <c r="I760" s="71">
        <f>IFERROR(__xludf.DUMMYFUNCTION("""COMPUTED_VALUE"""),3.15)</f>
        <v>3.15</v>
      </c>
      <c r="J760" s="88" t="str">
        <f>IFERROR(__xludf.DUMMYFUNCTION("""COMPUTED_VALUE"""),"Goto link: CLOV")</f>
        <v>Goto link: CLOV</v>
      </c>
      <c r="K760" s="22"/>
      <c r="L760" s="22"/>
      <c r="M760" s="22"/>
      <c r="N760" s="22"/>
      <c r="O760" s="73"/>
      <c r="P760" s="8"/>
      <c r="Q760" s="69"/>
      <c r="R760" s="69"/>
      <c r="S760" s="8"/>
      <c r="T760" s="69"/>
      <c r="U760" s="8"/>
      <c r="V760" s="69"/>
      <c r="W760" s="74"/>
      <c r="X760" s="69"/>
    </row>
    <row r="761">
      <c r="A761" s="30" t="str">
        <f>IFERROR(__xludf.DUMMYFUNCTION("""COMPUTED_VALUE"""),"70236")</f>
        <v>70236</v>
      </c>
      <c r="B761" s="86">
        <f>IFERROR(__xludf.DUMMYFUNCTION("""COMPUTED_VALUE"""),44655.0)</f>
        <v>44655</v>
      </c>
      <c r="C761" s="64" t="str">
        <f>IFERROR(__xludf.DUMMYFUNCTION("""COMPUTED_VALUE"""),"Stock")</f>
        <v>Stock</v>
      </c>
      <c r="D761" s="90" t="str">
        <f>IFERROR(__xludf.DUMMYFUNCTION("""COMPUTED_VALUE"""),"2333.HK")</f>
        <v>2333.HK</v>
      </c>
      <c r="E761" s="5" t="str">
        <f>IFERROR(__xludf.DUMMYFUNCTION("""COMPUTED_VALUE"""),"HKD")</f>
        <v>HKD</v>
      </c>
      <c r="F761" s="69">
        <f>IFERROR(__xludf.DUMMYFUNCTION("""COMPUTED_VALUE"""),-100.0)</f>
        <v>-100</v>
      </c>
      <c r="G761" s="70">
        <f>IFERROR(__xludf.DUMMYFUNCTION("""COMPUTED_VALUE"""),1.0)</f>
        <v>1</v>
      </c>
      <c r="H761" s="71">
        <f>IFERROR(__xludf.DUMMYFUNCTION("""COMPUTED_VALUE"""),12.9)</f>
        <v>12.9</v>
      </c>
      <c r="I761" s="71">
        <f>IFERROR(__xludf.DUMMYFUNCTION("""COMPUTED_VALUE"""),11.24)</f>
        <v>11.24</v>
      </c>
      <c r="J761" s="88" t="str">
        <f>IFERROR(__xludf.DUMMYFUNCTION("""COMPUTED_VALUE"""),"Goto link: 2333.HK")</f>
        <v>Goto link: 2333.HK</v>
      </c>
      <c r="K761" s="22"/>
      <c r="L761" s="22"/>
      <c r="M761" s="22"/>
      <c r="N761" s="22"/>
      <c r="O761" s="73"/>
      <c r="P761" s="8"/>
      <c r="Q761" s="69"/>
      <c r="R761" s="69"/>
      <c r="S761" s="8"/>
      <c r="T761" s="69"/>
      <c r="U761" s="8"/>
      <c r="V761" s="69"/>
      <c r="W761" s="74"/>
      <c r="X761" s="69"/>
    </row>
    <row r="762">
      <c r="A762" s="30" t="str">
        <f>IFERROR(__xludf.DUMMYFUNCTION("""COMPUTED_VALUE"""),"70236")</f>
        <v>70236</v>
      </c>
      <c r="B762" s="86">
        <f>IFERROR(__xludf.DUMMYFUNCTION("""COMPUTED_VALUE"""),44657.0)</f>
        <v>44657</v>
      </c>
      <c r="C762" s="64" t="str">
        <f>IFERROR(__xludf.DUMMYFUNCTION("""COMPUTED_VALUE"""),"Stock")</f>
        <v>Stock</v>
      </c>
      <c r="D762" s="90" t="str">
        <f>IFERROR(__xludf.DUMMYFUNCTION("""COMPUTED_VALUE"""),"2333.HK")</f>
        <v>2333.HK</v>
      </c>
      <c r="E762" s="5" t="str">
        <f>IFERROR(__xludf.DUMMYFUNCTION("""COMPUTED_VALUE"""),"HKD")</f>
        <v>HKD</v>
      </c>
      <c r="F762" s="69">
        <f>IFERROR(__xludf.DUMMYFUNCTION("""COMPUTED_VALUE"""),100.0)</f>
        <v>100</v>
      </c>
      <c r="G762" s="70">
        <f>IFERROR(__xludf.DUMMYFUNCTION("""COMPUTED_VALUE"""),1.0)</f>
        <v>1</v>
      </c>
      <c r="H762" s="71">
        <f>IFERROR(__xludf.DUMMYFUNCTION("""COMPUTED_VALUE"""),12.08)</f>
        <v>12.08</v>
      </c>
      <c r="I762" s="71">
        <f>IFERROR(__xludf.DUMMYFUNCTION("""COMPUTED_VALUE"""),11.24)</f>
        <v>11.24</v>
      </c>
      <c r="J762" s="88" t="str">
        <f>IFERROR(__xludf.DUMMYFUNCTION("""COMPUTED_VALUE"""),"Goto link: 2333.HK")</f>
        <v>Goto link: 2333.HK</v>
      </c>
      <c r="K762" s="22"/>
      <c r="L762" s="22"/>
      <c r="M762" s="22"/>
      <c r="N762" s="22"/>
      <c r="O762" s="73"/>
      <c r="P762" s="8"/>
      <c r="Q762" s="69"/>
      <c r="R762" s="69"/>
      <c r="S762" s="8"/>
      <c r="T762" s="69"/>
      <c r="U762" s="8"/>
      <c r="V762" s="69"/>
      <c r="W762" s="74"/>
      <c r="X762" s="69"/>
    </row>
    <row r="763">
      <c r="A763" s="30" t="str">
        <f>IFERROR(__xludf.DUMMYFUNCTION("""COMPUTED_VALUE"""),"70236")</f>
        <v>70236</v>
      </c>
      <c r="B763" s="86">
        <f>IFERROR(__xludf.DUMMYFUNCTION("""COMPUTED_VALUE"""),44659.0)</f>
        <v>44659</v>
      </c>
      <c r="C763" s="64" t="str">
        <f>IFERROR(__xludf.DUMMYFUNCTION("""COMPUTED_VALUE"""),"Stock")</f>
        <v>Stock</v>
      </c>
      <c r="D763" s="91" t="str">
        <f>IFERROR(__xludf.DUMMYFUNCTION("""COMPUTED_VALUE"""),"0708.HK")</f>
        <v>0708.HK</v>
      </c>
      <c r="E763" s="5" t="str">
        <f>IFERROR(__xludf.DUMMYFUNCTION("""COMPUTED_VALUE"""),"HKD")</f>
        <v>HKD</v>
      </c>
      <c r="F763" s="69">
        <f>IFERROR(__xludf.DUMMYFUNCTION("""COMPUTED_VALUE"""),500.0)</f>
        <v>500</v>
      </c>
      <c r="G763" s="70">
        <f>IFERROR(__xludf.DUMMYFUNCTION("""COMPUTED_VALUE"""),1.0)</f>
        <v>1</v>
      </c>
      <c r="H763" s="71">
        <f>IFERROR(__xludf.DUMMYFUNCTION("""COMPUTED_VALUE"""),3.2)</f>
        <v>3.2</v>
      </c>
      <c r="I763" s="71">
        <f>IFERROR(__xludf.DUMMYFUNCTION("""COMPUTED_VALUE"""),3.2)</f>
        <v>3.2</v>
      </c>
      <c r="J763" s="88" t="str">
        <f>IFERROR(__xludf.DUMMYFUNCTION("""COMPUTED_VALUE"""),"Goto link: 0708.HK")</f>
        <v>Goto link: 0708.HK</v>
      </c>
      <c r="K763" s="22"/>
      <c r="L763" s="22"/>
      <c r="M763" s="22"/>
      <c r="N763" s="22"/>
      <c r="O763" s="73"/>
      <c r="P763" s="8"/>
      <c r="Q763" s="69"/>
      <c r="R763" s="69"/>
      <c r="S763" s="8"/>
      <c r="T763" s="69"/>
      <c r="U763" s="8"/>
      <c r="V763" s="69"/>
      <c r="W763" s="74"/>
      <c r="X763" s="69"/>
    </row>
    <row r="764">
      <c r="A764" s="30" t="str">
        <f>IFERROR(__xludf.DUMMYFUNCTION("""COMPUTED_VALUE"""),"70236 Total")</f>
        <v>70236 Total</v>
      </c>
      <c r="B764" s="5"/>
      <c r="C764" s="64"/>
      <c r="D764" s="85"/>
      <c r="E764" s="5"/>
      <c r="F764" s="69"/>
      <c r="G764" s="70">
        <f>IFERROR(__xludf.DUMMYFUNCTION("""COMPUTED_VALUE"""),1.9770214285714285)</f>
        <v>1.977021429</v>
      </c>
      <c r="H764" s="71">
        <f>IFERROR(__xludf.DUMMYFUNCTION("""COMPUTED_VALUE"""),12.9)</f>
        <v>12.9</v>
      </c>
      <c r="I764" s="71" t="str">
        <f>IFERROR(__xludf.DUMMYFUNCTION("""COMPUTED_VALUE"""),"")</f>
        <v/>
      </c>
      <c r="J764" s="22" t="str">
        <f>IFERROR(__xludf.DUMMYFUNCTION("""COMPUTED_VALUE"""),"")</f>
        <v/>
      </c>
      <c r="K764" s="22"/>
      <c r="L764" s="22"/>
      <c r="M764" s="22"/>
      <c r="N764" s="22"/>
      <c r="O764" s="73"/>
      <c r="P764" s="8"/>
      <c r="Q764" s="69"/>
      <c r="R764" s="69"/>
      <c r="S764" s="8"/>
      <c r="T764" s="69"/>
      <c r="U764" s="8"/>
      <c r="V764" s="69"/>
      <c r="W764" s="74"/>
      <c r="X764" s="69"/>
    </row>
    <row r="765">
      <c r="A765" s="30" t="str">
        <f>IFERROR(__xludf.DUMMYFUNCTION("""COMPUTED_VALUE"""),"70628")</f>
        <v>70628</v>
      </c>
      <c r="B765" s="86">
        <f>IFERROR(__xludf.DUMMYFUNCTION("""COMPUTED_VALUE"""),44597.0)</f>
        <v>44597</v>
      </c>
      <c r="C765" s="64" t="str">
        <f>IFERROR(__xludf.DUMMYFUNCTION("""COMPUTED_VALUE"""),"Cash")</f>
        <v>Cash</v>
      </c>
      <c r="D765" s="85" t="str">
        <f>IFERROR(__xludf.DUMMYFUNCTION("""COMPUTED_VALUE"""),"Cash")</f>
        <v>Cash</v>
      </c>
      <c r="E765" s="5" t="str">
        <f>IFERROR(__xludf.DUMMYFUNCTION("""COMPUTED_VALUE"""),"HKD")</f>
        <v>HKD</v>
      </c>
      <c r="F765" s="69" t="str">
        <f>IFERROR(__xludf.DUMMYFUNCTION("""COMPUTED_VALUE"""),"")</f>
        <v/>
      </c>
      <c r="G765" s="70">
        <f>IFERROR(__xludf.DUMMYFUNCTION("""COMPUTED_VALUE"""),1.0)</f>
        <v>1</v>
      </c>
      <c r="H765" s="71">
        <f>IFERROR(__xludf.DUMMYFUNCTION("""COMPUTED_VALUE"""),1.0)</f>
        <v>1</v>
      </c>
      <c r="I765" s="71">
        <f>IFERROR(__xludf.DUMMYFUNCTION("""COMPUTED_VALUE"""),1.0)</f>
        <v>1</v>
      </c>
      <c r="J765" s="22" t="str">
        <f>IFERROR(__xludf.DUMMYFUNCTION("""COMPUTED_VALUE"""),"")</f>
        <v/>
      </c>
      <c r="K765" s="22"/>
      <c r="L765" s="22"/>
      <c r="M765" s="22"/>
      <c r="N765" s="22"/>
      <c r="O765" s="73"/>
      <c r="P765" s="8"/>
      <c r="Q765" s="69"/>
      <c r="R765" s="69"/>
      <c r="S765" s="8"/>
      <c r="T765" s="69"/>
      <c r="U765" s="8"/>
      <c r="V765" s="69"/>
      <c r="W765" s="74"/>
      <c r="X765" s="69"/>
    </row>
    <row r="766">
      <c r="A766" s="30" t="str">
        <f>IFERROR(__xludf.DUMMYFUNCTION("""COMPUTED_VALUE"""),"70628")</f>
        <v>70628</v>
      </c>
      <c r="B766" s="86">
        <f>IFERROR(__xludf.DUMMYFUNCTION("""COMPUTED_VALUE"""),44607.0)</f>
        <v>44607</v>
      </c>
      <c r="C766" s="64" t="str">
        <f>IFERROR(__xludf.DUMMYFUNCTION("""COMPUTED_VALUE"""),"Stock")</f>
        <v>Stock</v>
      </c>
      <c r="D766" s="90" t="str">
        <f>IFERROR(__xludf.DUMMYFUNCTION("""COMPUTED_VALUE"""),"1610.HK")</f>
        <v>1610.HK</v>
      </c>
      <c r="E766" s="5" t="str">
        <f>IFERROR(__xludf.DUMMYFUNCTION("""COMPUTED_VALUE"""),"HKD")</f>
        <v>HKD</v>
      </c>
      <c r="F766" s="69">
        <f>IFERROR(__xludf.DUMMYFUNCTION("""COMPUTED_VALUE"""),0.0)</f>
        <v>0</v>
      </c>
      <c r="G766" s="70">
        <f>IFERROR(__xludf.DUMMYFUNCTION("""COMPUTED_VALUE"""),1.0)</f>
        <v>1</v>
      </c>
      <c r="H766" s="71">
        <f>IFERROR(__xludf.DUMMYFUNCTION("""COMPUTED_VALUE"""),0.0)</f>
        <v>0</v>
      </c>
      <c r="I766" s="71">
        <f>IFERROR(__xludf.DUMMYFUNCTION("""COMPUTED_VALUE"""),3.39)</f>
        <v>3.39</v>
      </c>
      <c r="J766" s="88" t="str">
        <f>IFERROR(__xludf.DUMMYFUNCTION("""COMPUTED_VALUE"""),"Goto link: 1610.HK")</f>
        <v>Goto link: 1610.HK</v>
      </c>
      <c r="K766" s="22"/>
      <c r="L766" s="22"/>
      <c r="M766" s="22"/>
      <c r="N766" s="22"/>
      <c r="O766" s="73"/>
      <c r="P766" s="8"/>
      <c r="Q766" s="69"/>
      <c r="R766" s="69"/>
      <c r="S766" s="8"/>
      <c r="T766" s="69"/>
      <c r="U766" s="8"/>
      <c r="V766" s="69"/>
      <c r="W766" s="74"/>
      <c r="X766" s="69"/>
    </row>
    <row r="767">
      <c r="A767" s="30" t="str">
        <f>IFERROR(__xludf.DUMMYFUNCTION("""COMPUTED_VALUE"""),"70628")</f>
        <v>70628</v>
      </c>
      <c r="B767" s="86">
        <f>IFERROR(__xludf.DUMMYFUNCTION("""COMPUTED_VALUE"""),44607.0)</f>
        <v>44607</v>
      </c>
      <c r="C767" s="64" t="str">
        <f>IFERROR(__xludf.DUMMYFUNCTION("""COMPUTED_VALUE"""),"Stock")</f>
        <v>Stock</v>
      </c>
      <c r="D767" s="90" t="str">
        <f>IFERROR(__xludf.DUMMYFUNCTION("""COMPUTED_VALUE"""),"1810.HK")</f>
        <v>1810.HK</v>
      </c>
      <c r="E767" s="5" t="str">
        <f>IFERROR(__xludf.DUMMYFUNCTION("""COMPUTED_VALUE"""),"HKD")</f>
        <v>HKD</v>
      </c>
      <c r="F767" s="69">
        <f>IFERROR(__xludf.DUMMYFUNCTION("""COMPUTED_VALUE"""),0.0)</f>
        <v>0</v>
      </c>
      <c r="G767" s="70">
        <f>IFERROR(__xludf.DUMMYFUNCTION("""COMPUTED_VALUE"""),1.0)</f>
        <v>1</v>
      </c>
      <c r="H767" s="71">
        <f>IFERROR(__xludf.DUMMYFUNCTION("""COMPUTED_VALUE"""),0.0)</f>
        <v>0</v>
      </c>
      <c r="I767" s="71">
        <f>IFERROR(__xludf.DUMMYFUNCTION("""COMPUTED_VALUE"""),12.36)</f>
        <v>12.36</v>
      </c>
      <c r="J767" s="88" t="str">
        <f>IFERROR(__xludf.DUMMYFUNCTION("""COMPUTED_VALUE"""),"Goto link: 1810.HK")</f>
        <v>Goto link: 1810.HK</v>
      </c>
      <c r="K767" s="22"/>
      <c r="L767" s="22"/>
      <c r="M767" s="22"/>
      <c r="N767" s="22"/>
      <c r="O767" s="73"/>
      <c r="P767" s="8"/>
      <c r="Q767" s="69"/>
      <c r="R767" s="69"/>
      <c r="S767" s="8"/>
      <c r="T767" s="69"/>
      <c r="U767" s="8"/>
      <c r="V767" s="69"/>
      <c r="W767" s="74"/>
      <c r="X767" s="69"/>
    </row>
    <row r="768">
      <c r="A768" s="30" t="str">
        <f>IFERROR(__xludf.DUMMYFUNCTION("""COMPUTED_VALUE"""),"70628")</f>
        <v>70628</v>
      </c>
      <c r="B768" s="86">
        <f>IFERROR(__xludf.DUMMYFUNCTION("""COMPUTED_VALUE"""),44607.0)</f>
        <v>44607</v>
      </c>
      <c r="C768" s="64" t="str">
        <f>IFERROR(__xludf.DUMMYFUNCTION("""COMPUTED_VALUE"""),"Stock")</f>
        <v>Stock</v>
      </c>
      <c r="D768" s="90" t="str">
        <f>IFERROR(__xludf.DUMMYFUNCTION("""COMPUTED_VALUE"""),"2333.HK")</f>
        <v>2333.HK</v>
      </c>
      <c r="E768" s="5" t="str">
        <f>IFERROR(__xludf.DUMMYFUNCTION("""COMPUTED_VALUE"""),"HKD")</f>
        <v>HKD</v>
      </c>
      <c r="F768" s="69">
        <f>IFERROR(__xludf.DUMMYFUNCTION("""COMPUTED_VALUE"""),0.0)</f>
        <v>0</v>
      </c>
      <c r="G768" s="70">
        <f>IFERROR(__xludf.DUMMYFUNCTION("""COMPUTED_VALUE"""),1.0)</f>
        <v>1</v>
      </c>
      <c r="H768" s="71">
        <f>IFERROR(__xludf.DUMMYFUNCTION("""COMPUTED_VALUE"""),0.0)</f>
        <v>0</v>
      </c>
      <c r="I768" s="71">
        <f>IFERROR(__xludf.DUMMYFUNCTION("""COMPUTED_VALUE"""),11.24)</f>
        <v>11.24</v>
      </c>
      <c r="J768" s="88" t="str">
        <f>IFERROR(__xludf.DUMMYFUNCTION("""COMPUTED_VALUE"""),"Goto link: 2333.HK")</f>
        <v>Goto link: 2333.HK</v>
      </c>
      <c r="K768" s="22"/>
      <c r="L768" s="22"/>
      <c r="M768" s="22"/>
      <c r="N768" s="22"/>
      <c r="O768" s="73"/>
      <c r="P768" s="8"/>
      <c r="Q768" s="69"/>
      <c r="R768" s="69"/>
      <c r="S768" s="8"/>
      <c r="T768" s="69"/>
      <c r="U768" s="8"/>
      <c r="V768" s="69"/>
      <c r="W768" s="74"/>
      <c r="X768" s="69"/>
    </row>
    <row r="769">
      <c r="A769" s="30" t="str">
        <f>IFERROR(__xludf.DUMMYFUNCTION("""COMPUTED_VALUE"""),"70628")</f>
        <v>70628</v>
      </c>
      <c r="B769" s="86">
        <f>IFERROR(__xludf.DUMMYFUNCTION("""COMPUTED_VALUE"""),44607.0)</f>
        <v>44607</v>
      </c>
      <c r="C769" s="64" t="str">
        <f>IFERROR(__xludf.DUMMYFUNCTION("""COMPUTED_VALUE"""),"Stock")</f>
        <v>Stock</v>
      </c>
      <c r="D769" s="90" t="str">
        <f>IFERROR(__xludf.DUMMYFUNCTION("""COMPUTED_VALUE"""),"3339.HK")</f>
        <v>3339.HK</v>
      </c>
      <c r="E769" s="5" t="str">
        <f>IFERROR(__xludf.DUMMYFUNCTION("""COMPUTED_VALUE"""),"HKD")</f>
        <v>HKD</v>
      </c>
      <c r="F769" s="69">
        <f>IFERROR(__xludf.DUMMYFUNCTION("""COMPUTED_VALUE"""),0.0)</f>
        <v>0</v>
      </c>
      <c r="G769" s="70">
        <f>IFERROR(__xludf.DUMMYFUNCTION("""COMPUTED_VALUE"""),1.0)</f>
        <v>1</v>
      </c>
      <c r="H769" s="71">
        <f>IFERROR(__xludf.DUMMYFUNCTION("""COMPUTED_VALUE"""),0.0)</f>
        <v>0</v>
      </c>
      <c r="I769" s="71">
        <f>IFERROR(__xludf.DUMMYFUNCTION("""COMPUTED_VALUE"""),2.15)</f>
        <v>2.15</v>
      </c>
      <c r="J769" s="88" t="str">
        <f>IFERROR(__xludf.DUMMYFUNCTION("""COMPUTED_VALUE"""),"Goto link: 3339.HK")</f>
        <v>Goto link: 3339.HK</v>
      </c>
      <c r="K769" s="22"/>
      <c r="L769" s="22"/>
      <c r="M769" s="22"/>
      <c r="N769" s="22"/>
      <c r="O769" s="73"/>
      <c r="P769" s="8"/>
      <c r="Q769" s="69"/>
      <c r="R769" s="69"/>
      <c r="S769" s="8"/>
      <c r="T769" s="69"/>
      <c r="U769" s="8"/>
      <c r="V769" s="69"/>
      <c r="W769" s="74"/>
      <c r="X769" s="69"/>
    </row>
    <row r="770">
      <c r="A770" s="30" t="str">
        <f>IFERROR(__xludf.DUMMYFUNCTION("""COMPUTED_VALUE"""),"70628")</f>
        <v>70628</v>
      </c>
      <c r="B770" s="86">
        <f>IFERROR(__xludf.DUMMYFUNCTION("""COMPUTED_VALUE"""),44608.0)</f>
        <v>44608</v>
      </c>
      <c r="C770" s="64" t="str">
        <f>IFERROR(__xludf.DUMMYFUNCTION("""COMPUTED_VALUE"""),"Stock")</f>
        <v>Stock</v>
      </c>
      <c r="D770" s="90" t="str">
        <f>IFERROR(__xludf.DUMMYFUNCTION("""COMPUTED_VALUE"""),"1810.HK")</f>
        <v>1810.HK</v>
      </c>
      <c r="E770" s="5" t="str">
        <f>IFERROR(__xludf.DUMMYFUNCTION("""COMPUTED_VALUE"""),"HKD")</f>
        <v>HKD</v>
      </c>
      <c r="F770" s="69">
        <f>IFERROR(__xludf.DUMMYFUNCTION("""COMPUTED_VALUE"""),9000.0)</f>
        <v>9000</v>
      </c>
      <c r="G770" s="70">
        <f>IFERROR(__xludf.DUMMYFUNCTION("""COMPUTED_VALUE"""),1.0)</f>
        <v>1</v>
      </c>
      <c r="H770" s="71">
        <f>IFERROR(__xludf.DUMMYFUNCTION("""COMPUTED_VALUE"""),16.6)</f>
        <v>16.6</v>
      </c>
      <c r="I770" s="71">
        <f>IFERROR(__xludf.DUMMYFUNCTION("""COMPUTED_VALUE"""),12.36)</f>
        <v>12.36</v>
      </c>
      <c r="J770" s="88" t="str">
        <f>IFERROR(__xludf.DUMMYFUNCTION("""COMPUTED_VALUE"""),"Goto link: 1810.HK")</f>
        <v>Goto link: 1810.HK</v>
      </c>
      <c r="K770" s="22"/>
      <c r="L770" s="22"/>
      <c r="M770" s="22"/>
      <c r="N770" s="22"/>
      <c r="O770" s="73"/>
      <c r="P770" s="8"/>
      <c r="Q770" s="69"/>
      <c r="R770" s="69"/>
      <c r="S770" s="8"/>
      <c r="T770" s="69"/>
      <c r="U770" s="8"/>
      <c r="V770" s="69"/>
      <c r="W770" s="74"/>
      <c r="X770" s="69"/>
    </row>
    <row r="771">
      <c r="A771" s="30" t="str">
        <f>IFERROR(__xludf.DUMMYFUNCTION("""COMPUTED_VALUE"""),"70628")</f>
        <v>70628</v>
      </c>
      <c r="B771" s="86">
        <f>IFERROR(__xludf.DUMMYFUNCTION("""COMPUTED_VALUE"""),44608.0)</f>
        <v>44608</v>
      </c>
      <c r="C771" s="64" t="str">
        <f>IFERROR(__xludf.DUMMYFUNCTION("""COMPUTED_VALUE"""),"Stock")</f>
        <v>Stock</v>
      </c>
      <c r="D771" s="90" t="str">
        <f>IFERROR(__xludf.DUMMYFUNCTION("""COMPUTED_VALUE"""),"2333.HK")</f>
        <v>2333.HK</v>
      </c>
      <c r="E771" s="5" t="str">
        <f>IFERROR(__xludf.DUMMYFUNCTION("""COMPUTED_VALUE"""),"HKD")</f>
        <v>HKD</v>
      </c>
      <c r="F771" s="69">
        <f>IFERROR(__xludf.DUMMYFUNCTION("""COMPUTED_VALUE"""),0.0)</f>
        <v>0</v>
      </c>
      <c r="G771" s="70">
        <f>IFERROR(__xludf.DUMMYFUNCTION("""COMPUTED_VALUE"""),1.0)</f>
        <v>1</v>
      </c>
      <c r="H771" s="71">
        <f>IFERROR(__xludf.DUMMYFUNCTION("""COMPUTED_VALUE"""),0.0)</f>
        <v>0</v>
      </c>
      <c r="I771" s="71">
        <f>IFERROR(__xludf.DUMMYFUNCTION("""COMPUTED_VALUE"""),11.24)</f>
        <v>11.24</v>
      </c>
      <c r="J771" s="88" t="str">
        <f>IFERROR(__xludf.DUMMYFUNCTION("""COMPUTED_VALUE"""),"Goto link: 2333.HK")</f>
        <v>Goto link: 2333.HK</v>
      </c>
      <c r="K771" s="22"/>
      <c r="L771" s="22"/>
      <c r="M771" s="22"/>
      <c r="N771" s="22"/>
      <c r="O771" s="73"/>
      <c r="P771" s="8"/>
      <c r="Q771" s="69"/>
      <c r="R771" s="69"/>
      <c r="S771" s="8"/>
      <c r="T771" s="69"/>
      <c r="U771" s="8"/>
      <c r="V771" s="69"/>
      <c r="W771" s="74"/>
      <c r="X771" s="69"/>
    </row>
    <row r="772">
      <c r="A772" s="30" t="str">
        <f>IFERROR(__xludf.DUMMYFUNCTION("""COMPUTED_VALUE"""),"70628")</f>
        <v>70628</v>
      </c>
      <c r="B772" s="86">
        <f>IFERROR(__xludf.DUMMYFUNCTION("""COMPUTED_VALUE"""),44608.0)</f>
        <v>44608</v>
      </c>
      <c r="C772" s="64" t="str">
        <f>IFERROR(__xludf.DUMMYFUNCTION("""COMPUTED_VALUE"""),"Stock")</f>
        <v>Stock</v>
      </c>
      <c r="D772" s="90" t="str">
        <f>IFERROR(__xludf.DUMMYFUNCTION("""COMPUTED_VALUE"""),"3339.HK")</f>
        <v>3339.HK</v>
      </c>
      <c r="E772" s="5" t="str">
        <f>IFERROR(__xludf.DUMMYFUNCTION("""COMPUTED_VALUE"""),"HKD")</f>
        <v>HKD</v>
      </c>
      <c r="F772" s="69">
        <f>IFERROR(__xludf.DUMMYFUNCTION("""COMPUTED_VALUE"""),30000.0)</f>
        <v>30000</v>
      </c>
      <c r="G772" s="70">
        <f>IFERROR(__xludf.DUMMYFUNCTION("""COMPUTED_VALUE"""),1.0)</f>
        <v>1</v>
      </c>
      <c r="H772" s="71">
        <f>IFERROR(__xludf.DUMMYFUNCTION("""COMPUTED_VALUE"""),2.1)</f>
        <v>2.1</v>
      </c>
      <c r="I772" s="71">
        <f>IFERROR(__xludf.DUMMYFUNCTION("""COMPUTED_VALUE"""),2.15)</f>
        <v>2.15</v>
      </c>
      <c r="J772" s="88" t="str">
        <f>IFERROR(__xludf.DUMMYFUNCTION("""COMPUTED_VALUE"""),"Goto link: 3339.HK")</f>
        <v>Goto link: 3339.HK</v>
      </c>
      <c r="K772" s="22"/>
      <c r="L772" s="22"/>
      <c r="M772" s="22"/>
      <c r="N772" s="22"/>
      <c r="O772" s="73"/>
      <c r="P772" s="8"/>
      <c r="Q772" s="69"/>
      <c r="R772" s="69"/>
      <c r="S772" s="8"/>
      <c r="T772" s="69"/>
      <c r="U772" s="8"/>
      <c r="V772" s="69"/>
      <c r="W772" s="74"/>
      <c r="X772" s="69"/>
    </row>
    <row r="773">
      <c r="A773" s="30" t="str">
        <f>IFERROR(__xludf.DUMMYFUNCTION("""COMPUTED_VALUE"""),"70628")</f>
        <v>70628</v>
      </c>
      <c r="B773" s="86">
        <f>IFERROR(__xludf.DUMMYFUNCTION("""COMPUTED_VALUE"""),44608.0)</f>
        <v>44608</v>
      </c>
      <c r="C773" s="64" t="str">
        <f>IFERROR(__xludf.DUMMYFUNCTION("""COMPUTED_VALUE"""),"Stock")</f>
        <v>Stock</v>
      </c>
      <c r="D773" s="90" t="str">
        <f>IFERROR(__xludf.DUMMYFUNCTION("""COMPUTED_VALUE"""),"3339.HK")</f>
        <v>3339.HK</v>
      </c>
      <c r="E773" s="5" t="str">
        <f>IFERROR(__xludf.DUMMYFUNCTION("""COMPUTED_VALUE"""),"HKD")</f>
        <v>HKD</v>
      </c>
      <c r="F773" s="69">
        <f>IFERROR(__xludf.DUMMYFUNCTION("""COMPUTED_VALUE"""),50000.0)</f>
        <v>50000</v>
      </c>
      <c r="G773" s="70">
        <f>IFERROR(__xludf.DUMMYFUNCTION("""COMPUTED_VALUE"""),1.0)</f>
        <v>1</v>
      </c>
      <c r="H773" s="71">
        <f>IFERROR(__xludf.DUMMYFUNCTION("""COMPUTED_VALUE"""),2.1)</f>
        <v>2.1</v>
      </c>
      <c r="I773" s="71">
        <f>IFERROR(__xludf.DUMMYFUNCTION("""COMPUTED_VALUE"""),2.15)</f>
        <v>2.15</v>
      </c>
      <c r="J773" s="88" t="str">
        <f>IFERROR(__xludf.DUMMYFUNCTION("""COMPUTED_VALUE"""),"Goto link: 3339.HK")</f>
        <v>Goto link: 3339.HK</v>
      </c>
      <c r="K773" s="22"/>
      <c r="L773" s="22"/>
      <c r="M773" s="22"/>
      <c r="N773" s="22"/>
      <c r="O773" s="73"/>
      <c r="P773" s="8"/>
      <c r="Q773" s="69"/>
      <c r="R773" s="69"/>
      <c r="S773" s="8"/>
      <c r="T773" s="69"/>
      <c r="U773" s="8"/>
      <c r="V773" s="69"/>
      <c r="W773" s="74"/>
      <c r="X773" s="69"/>
    </row>
    <row r="774">
      <c r="A774" s="30" t="str">
        <f>IFERROR(__xludf.DUMMYFUNCTION("""COMPUTED_VALUE"""),"70628")</f>
        <v>70628</v>
      </c>
      <c r="B774" s="86">
        <f>IFERROR(__xludf.DUMMYFUNCTION("""COMPUTED_VALUE"""),44610.0)</f>
        <v>44610</v>
      </c>
      <c r="C774" s="64" t="str">
        <f>IFERROR(__xludf.DUMMYFUNCTION("""COMPUTED_VALUE"""),"Stock")</f>
        <v>Stock</v>
      </c>
      <c r="D774" s="90" t="str">
        <f>IFERROR(__xludf.DUMMYFUNCTION("""COMPUTED_VALUE"""),"0175.HK")</f>
        <v>0175.HK</v>
      </c>
      <c r="E774" s="5" t="str">
        <f>IFERROR(__xludf.DUMMYFUNCTION("""COMPUTED_VALUE"""),"HKD")</f>
        <v>HKD</v>
      </c>
      <c r="F774" s="69">
        <f>IFERROR(__xludf.DUMMYFUNCTION("""COMPUTED_VALUE"""),16.85)</f>
        <v>16.85</v>
      </c>
      <c r="G774" s="70">
        <f>IFERROR(__xludf.DUMMYFUNCTION("""COMPUTED_VALUE"""),1.0)</f>
        <v>1</v>
      </c>
      <c r="H774" s="71">
        <f>IFERROR(__xludf.DUMMYFUNCTION("""COMPUTED_VALUE"""),16.66)</f>
        <v>16.66</v>
      </c>
      <c r="I774" s="71">
        <f>IFERROR(__xludf.DUMMYFUNCTION("""COMPUTED_VALUE"""),11.22)</f>
        <v>11.22</v>
      </c>
      <c r="J774" s="88" t="str">
        <f>IFERROR(__xludf.DUMMYFUNCTION("""COMPUTED_VALUE"""),"Goto link: 0175.HK")</f>
        <v>Goto link: 0175.HK</v>
      </c>
      <c r="K774" s="22"/>
      <c r="L774" s="22"/>
      <c r="M774" s="22"/>
      <c r="N774" s="22"/>
      <c r="O774" s="73"/>
      <c r="P774" s="8"/>
      <c r="Q774" s="69"/>
      <c r="R774" s="69"/>
      <c r="S774" s="8"/>
      <c r="T774" s="69"/>
      <c r="U774" s="8"/>
      <c r="V774" s="69"/>
      <c r="W774" s="74"/>
      <c r="X774" s="69"/>
    </row>
    <row r="775">
      <c r="A775" s="30" t="str">
        <f>IFERROR(__xludf.DUMMYFUNCTION("""COMPUTED_VALUE"""),"70628")</f>
        <v>70628</v>
      </c>
      <c r="B775" s="86">
        <f>IFERROR(__xludf.DUMMYFUNCTION("""COMPUTED_VALUE"""),44610.0)</f>
        <v>44610</v>
      </c>
      <c r="C775" s="64" t="str">
        <f>IFERROR(__xludf.DUMMYFUNCTION("""COMPUTED_VALUE"""),"Stock")</f>
        <v>Stock</v>
      </c>
      <c r="D775" s="90" t="str">
        <f>IFERROR(__xludf.DUMMYFUNCTION("""COMPUTED_VALUE"""),"2333.HK")</f>
        <v>2333.HK</v>
      </c>
      <c r="E775" s="5" t="str">
        <f>IFERROR(__xludf.DUMMYFUNCTION("""COMPUTED_VALUE"""),"HKD")</f>
        <v>HKD</v>
      </c>
      <c r="F775" s="69">
        <f>IFERROR(__xludf.DUMMYFUNCTION("""COMPUTED_VALUE"""),4000.0)</f>
        <v>4000</v>
      </c>
      <c r="G775" s="70">
        <f>IFERROR(__xludf.DUMMYFUNCTION("""COMPUTED_VALUE"""),1.0)</f>
        <v>1</v>
      </c>
      <c r="H775" s="71">
        <f>IFERROR(__xludf.DUMMYFUNCTION("""COMPUTED_VALUE"""),19.2)</f>
        <v>19.2</v>
      </c>
      <c r="I775" s="71">
        <f>IFERROR(__xludf.DUMMYFUNCTION("""COMPUTED_VALUE"""),11.24)</f>
        <v>11.24</v>
      </c>
      <c r="J775" s="88" t="str">
        <f>IFERROR(__xludf.DUMMYFUNCTION("""COMPUTED_VALUE"""),"Goto link: 2333.HK")</f>
        <v>Goto link: 2333.HK</v>
      </c>
      <c r="K775" s="22"/>
      <c r="L775" s="22"/>
      <c r="M775" s="22"/>
      <c r="N775" s="22"/>
      <c r="O775" s="73"/>
      <c r="P775" s="8"/>
      <c r="Q775" s="69"/>
      <c r="R775" s="69"/>
      <c r="S775" s="8"/>
      <c r="T775" s="69"/>
      <c r="U775" s="8"/>
      <c r="V775" s="69"/>
      <c r="W775" s="74"/>
      <c r="X775" s="69"/>
    </row>
    <row r="776">
      <c r="A776" s="30" t="str">
        <f>IFERROR(__xludf.DUMMYFUNCTION("""COMPUTED_VALUE"""),"70628")</f>
        <v>70628</v>
      </c>
      <c r="B776" s="86">
        <f>IFERROR(__xludf.DUMMYFUNCTION("""COMPUTED_VALUE"""),44655.0)</f>
        <v>44655</v>
      </c>
      <c r="C776" s="64" t="str">
        <f>IFERROR(__xludf.DUMMYFUNCTION("""COMPUTED_VALUE"""),"Stock")</f>
        <v>Stock</v>
      </c>
      <c r="D776" s="90" t="str">
        <f>IFERROR(__xludf.DUMMYFUNCTION("""COMPUTED_VALUE"""),"1610.HK")</f>
        <v>1610.HK</v>
      </c>
      <c r="E776" s="5" t="str">
        <f>IFERROR(__xludf.DUMMYFUNCTION("""COMPUTED_VALUE"""),"HKD")</f>
        <v>HKD</v>
      </c>
      <c r="F776" s="69">
        <f>IFERROR(__xludf.DUMMYFUNCTION("""COMPUTED_VALUE"""),26000.0)</f>
        <v>26000</v>
      </c>
      <c r="G776" s="70">
        <f>IFERROR(__xludf.DUMMYFUNCTION("""COMPUTED_VALUE"""),1.0)</f>
        <v>1</v>
      </c>
      <c r="H776" s="71">
        <f>IFERROR(__xludf.DUMMYFUNCTION("""COMPUTED_VALUE"""),3.75)</f>
        <v>3.75</v>
      </c>
      <c r="I776" s="71">
        <f>IFERROR(__xludf.DUMMYFUNCTION("""COMPUTED_VALUE"""),3.39)</f>
        <v>3.39</v>
      </c>
      <c r="J776" s="88" t="str">
        <f>IFERROR(__xludf.DUMMYFUNCTION("""COMPUTED_VALUE"""),"Goto link: 1610.HK")</f>
        <v>Goto link: 1610.HK</v>
      </c>
      <c r="K776" s="22"/>
      <c r="L776" s="22"/>
      <c r="M776" s="22"/>
      <c r="N776" s="22"/>
      <c r="O776" s="73"/>
      <c r="P776" s="8"/>
      <c r="Q776" s="69"/>
      <c r="R776" s="69"/>
      <c r="S776" s="8"/>
      <c r="T776" s="69"/>
      <c r="U776" s="8"/>
      <c r="V776" s="69"/>
      <c r="W776" s="74"/>
      <c r="X776" s="69"/>
    </row>
    <row r="777">
      <c r="A777" s="30" t="str">
        <f>IFERROR(__xludf.DUMMYFUNCTION("""COMPUTED_VALUE"""),"70628 Total")</f>
        <v>70628 Total</v>
      </c>
      <c r="B777" s="5"/>
      <c r="C777" s="64"/>
      <c r="D777" s="85"/>
      <c r="E777" s="5"/>
      <c r="F777" s="69"/>
      <c r="G777" s="70">
        <f>IFERROR(__xludf.DUMMYFUNCTION("""COMPUTED_VALUE"""),1.0)</f>
        <v>1</v>
      </c>
      <c r="H777" s="71">
        <f>IFERROR(__xludf.DUMMYFUNCTION("""COMPUTED_VALUE"""),19.2)</f>
        <v>19.2</v>
      </c>
      <c r="I777" s="71" t="str">
        <f>IFERROR(__xludf.DUMMYFUNCTION("""COMPUTED_VALUE"""),"")</f>
        <v/>
      </c>
      <c r="J777" s="22" t="str">
        <f>IFERROR(__xludf.DUMMYFUNCTION("""COMPUTED_VALUE"""),"")</f>
        <v/>
      </c>
      <c r="K777" s="22"/>
      <c r="L777" s="22"/>
      <c r="M777" s="22"/>
      <c r="N777" s="22"/>
      <c r="O777" s="73"/>
      <c r="P777" s="8"/>
      <c r="Q777" s="69"/>
      <c r="R777" s="69"/>
      <c r="S777" s="8"/>
      <c r="T777" s="69"/>
      <c r="U777" s="8"/>
      <c r="V777" s="69"/>
      <c r="W777" s="74"/>
      <c r="X777" s="69"/>
    </row>
    <row r="778">
      <c r="A778" s="30" t="str">
        <f>IFERROR(__xludf.DUMMYFUNCTION("""COMPUTED_VALUE"""),"71502")</f>
        <v>71502</v>
      </c>
      <c r="B778" s="86">
        <f>IFERROR(__xludf.DUMMYFUNCTION("""COMPUTED_VALUE"""),44597.0)</f>
        <v>44597</v>
      </c>
      <c r="C778" s="64" t="str">
        <f>IFERROR(__xludf.DUMMYFUNCTION("""COMPUTED_VALUE"""),"Cash")</f>
        <v>Cash</v>
      </c>
      <c r="D778" s="85" t="str">
        <f>IFERROR(__xludf.DUMMYFUNCTION("""COMPUTED_VALUE"""),"Cash")</f>
        <v>Cash</v>
      </c>
      <c r="E778" s="5" t="str">
        <f>IFERROR(__xludf.DUMMYFUNCTION("""COMPUTED_VALUE"""),"HKD")</f>
        <v>HKD</v>
      </c>
      <c r="F778" s="69" t="str">
        <f>IFERROR(__xludf.DUMMYFUNCTION("""COMPUTED_VALUE"""),"")</f>
        <v/>
      </c>
      <c r="G778" s="70">
        <f>IFERROR(__xludf.DUMMYFUNCTION("""COMPUTED_VALUE"""),1.0)</f>
        <v>1</v>
      </c>
      <c r="H778" s="71">
        <f>IFERROR(__xludf.DUMMYFUNCTION("""COMPUTED_VALUE"""),1.0)</f>
        <v>1</v>
      </c>
      <c r="I778" s="71">
        <f>IFERROR(__xludf.DUMMYFUNCTION("""COMPUTED_VALUE"""),1.0)</f>
        <v>1</v>
      </c>
      <c r="J778" s="22" t="str">
        <f>IFERROR(__xludf.DUMMYFUNCTION("""COMPUTED_VALUE"""),"")</f>
        <v/>
      </c>
      <c r="K778" s="22"/>
      <c r="L778" s="22"/>
      <c r="M778" s="22"/>
      <c r="N778" s="22"/>
      <c r="O778" s="73"/>
      <c r="P778" s="8"/>
      <c r="Q778" s="69"/>
      <c r="R778" s="69"/>
      <c r="S778" s="8"/>
      <c r="T778" s="69"/>
      <c r="U778" s="8"/>
      <c r="V778" s="69"/>
      <c r="W778" s="74"/>
      <c r="X778" s="69"/>
    </row>
    <row r="779">
      <c r="A779" s="30" t="str">
        <f>IFERROR(__xludf.DUMMYFUNCTION("""COMPUTED_VALUE"""),"71502")</f>
        <v>71502</v>
      </c>
      <c r="B779" s="86">
        <f>IFERROR(__xludf.DUMMYFUNCTION("""COMPUTED_VALUE"""),44650.0)</f>
        <v>44650</v>
      </c>
      <c r="C779" s="64" t="str">
        <f>IFERROR(__xludf.DUMMYFUNCTION("""COMPUTED_VALUE"""),"Stock")</f>
        <v>Stock</v>
      </c>
      <c r="D779" s="87" t="str">
        <f>IFERROR(__xludf.DUMMYFUNCTION("""COMPUTED_VALUE"""),"AAPL")</f>
        <v>AAPL</v>
      </c>
      <c r="E779" s="5" t="str">
        <f>IFERROR(__xludf.DUMMYFUNCTION("""COMPUTED_VALUE"""),"USD")</f>
        <v>USD</v>
      </c>
      <c r="F779" s="69">
        <f>IFERROR(__xludf.DUMMYFUNCTION("""COMPUTED_VALUE"""),200.0)</f>
        <v>200</v>
      </c>
      <c r="G779" s="70">
        <f>IFERROR(__xludf.DUMMYFUNCTION("""COMPUTED_VALUE"""),7.83915)</f>
        <v>7.83915</v>
      </c>
      <c r="H779" s="71">
        <f>IFERROR(__xludf.DUMMYFUNCTION("""COMPUTED_VALUE"""),177.77)</f>
        <v>177.77</v>
      </c>
      <c r="I779" s="71">
        <f>IFERROR(__xludf.DUMMYFUNCTION("""COMPUTED_VALUE"""),170.4)</f>
        <v>170.4</v>
      </c>
      <c r="J779" s="88" t="str">
        <f>IFERROR(__xludf.DUMMYFUNCTION("""COMPUTED_VALUE"""),"Goto link: AAPL")</f>
        <v>Goto link: AAPL</v>
      </c>
      <c r="K779" s="22"/>
      <c r="L779" s="22"/>
      <c r="M779" s="22"/>
      <c r="N779" s="22"/>
      <c r="O779" s="73"/>
      <c r="P779" s="8"/>
      <c r="Q779" s="69"/>
      <c r="R779" s="69"/>
      <c r="S779" s="8"/>
      <c r="T779" s="69"/>
      <c r="U779" s="8"/>
      <c r="V779" s="69"/>
      <c r="W779" s="74"/>
      <c r="X779" s="69"/>
    </row>
    <row r="780">
      <c r="A780" s="30" t="str">
        <f>IFERROR(__xludf.DUMMYFUNCTION("""COMPUTED_VALUE"""),"71502 Total")</f>
        <v>71502 Total</v>
      </c>
      <c r="B780" s="5"/>
      <c r="C780" s="64"/>
      <c r="D780" s="85"/>
      <c r="E780" s="5"/>
      <c r="F780" s="69"/>
      <c r="G780" s="70">
        <f>IFERROR(__xludf.DUMMYFUNCTION("""COMPUTED_VALUE"""),4.419575)</f>
        <v>4.419575</v>
      </c>
      <c r="H780" s="71">
        <f>IFERROR(__xludf.DUMMYFUNCTION("""COMPUTED_VALUE"""),177.77)</f>
        <v>177.77</v>
      </c>
      <c r="I780" s="71" t="str">
        <f>IFERROR(__xludf.DUMMYFUNCTION("""COMPUTED_VALUE"""),"")</f>
        <v/>
      </c>
      <c r="J780" s="22" t="str">
        <f>IFERROR(__xludf.DUMMYFUNCTION("""COMPUTED_VALUE"""),"")</f>
        <v/>
      </c>
      <c r="K780" s="22"/>
      <c r="L780" s="22"/>
      <c r="M780" s="22"/>
      <c r="N780" s="22"/>
      <c r="O780" s="73"/>
      <c r="P780" s="8"/>
      <c r="Q780" s="69"/>
      <c r="R780" s="69"/>
      <c r="S780" s="8"/>
      <c r="T780" s="69"/>
      <c r="U780" s="8"/>
      <c r="V780" s="69"/>
      <c r="W780" s="74"/>
      <c r="X780" s="69"/>
    </row>
    <row r="781">
      <c r="A781" s="30" t="str">
        <f>IFERROR(__xludf.DUMMYFUNCTION("""COMPUTED_VALUE"""),"73341")</f>
        <v>73341</v>
      </c>
      <c r="B781" s="86">
        <f>IFERROR(__xludf.DUMMYFUNCTION("""COMPUTED_VALUE"""),44597.0)</f>
        <v>44597</v>
      </c>
      <c r="C781" s="64" t="str">
        <f>IFERROR(__xludf.DUMMYFUNCTION("""COMPUTED_VALUE"""),"Cash")</f>
        <v>Cash</v>
      </c>
      <c r="D781" s="85" t="str">
        <f>IFERROR(__xludf.DUMMYFUNCTION("""COMPUTED_VALUE"""),"Cash")</f>
        <v>Cash</v>
      </c>
      <c r="E781" s="5" t="str">
        <f>IFERROR(__xludf.DUMMYFUNCTION("""COMPUTED_VALUE"""),"HKD")</f>
        <v>HKD</v>
      </c>
      <c r="F781" s="69" t="str">
        <f>IFERROR(__xludf.DUMMYFUNCTION("""COMPUTED_VALUE"""),"")</f>
        <v/>
      </c>
      <c r="G781" s="70">
        <f>IFERROR(__xludf.DUMMYFUNCTION("""COMPUTED_VALUE"""),1.0)</f>
        <v>1</v>
      </c>
      <c r="H781" s="71">
        <f>IFERROR(__xludf.DUMMYFUNCTION("""COMPUTED_VALUE"""),1.0)</f>
        <v>1</v>
      </c>
      <c r="I781" s="71">
        <f>IFERROR(__xludf.DUMMYFUNCTION("""COMPUTED_VALUE"""),1.0)</f>
        <v>1</v>
      </c>
      <c r="J781" s="22" t="str">
        <f>IFERROR(__xludf.DUMMYFUNCTION("""COMPUTED_VALUE"""),"")</f>
        <v/>
      </c>
      <c r="K781" s="22"/>
      <c r="L781" s="22"/>
      <c r="M781" s="22"/>
      <c r="N781" s="22"/>
      <c r="O781" s="73"/>
      <c r="P781" s="8"/>
      <c r="Q781" s="69"/>
      <c r="R781" s="69"/>
      <c r="S781" s="8"/>
      <c r="T781" s="69"/>
      <c r="U781" s="8"/>
      <c r="V781" s="69"/>
      <c r="W781" s="74"/>
      <c r="X781" s="69"/>
    </row>
    <row r="782">
      <c r="A782" s="30" t="str">
        <f>IFERROR(__xludf.DUMMYFUNCTION("""COMPUTED_VALUE"""),"73341")</f>
        <v>73341</v>
      </c>
      <c r="B782" s="86">
        <f>IFERROR(__xludf.DUMMYFUNCTION("""COMPUTED_VALUE"""),44652.0)</f>
        <v>44652</v>
      </c>
      <c r="C782" s="64" t="str">
        <f>IFERROR(__xludf.DUMMYFUNCTION("""COMPUTED_VALUE"""),"Bond")</f>
        <v>Bond</v>
      </c>
      <c r="D782" s="87" t="str">
        <f>IFERROR(__xludf.DUMMYFUNCTION("""COMPUTED_VALUE"""),"HK0000317724")</f>
        <v>HK0000317724</v>
      </c>
      <c r="E782" s="5" t="str">
        <f>IFERROR(__xludf.DUMMYFUNCTION("""COMPUTED_VALUE"""),"CNY")</f>
        <v>CNY</v>
      </c>
      <c r="F782" s="69">
        <f>IFERROR(__xludf.DUMMYFUNCTION("""COMPUTED_VALUE"""),30.0)</f>
        <v>30</v>
      </c>
      <c r="G782" s="70">
        <f>IFERROR(__xludf.DUMMYFUNCTION("""COMPUTED_VALUE"""),1.231169)</f>
        <v>1.231169</v>
      </c>
      <c r="H782" s="71">
        <f>IFERROR(__xludf.DUMMYFUNCTION("""COMPUTED_VALUE"""),105.547)</f>
        <v>105.547</v>
      </c>
      <c r="I782" s="71" t="str">
        <f>IFERROR(__xludf.DUMMYFUNCTION("""COMPUTED_VALUE"""),"nil")</f>
        <v>nil</v>
      </c>
      <c r="J782" s="88" t="str">
        <f>IFERROR(__xludf.DUMMYFUNCTION("""COMPUTED_VALUE"""),"Bond Fact Sheet")</f>
        <v>Bond Fact Sheet</v>
      </c>
      <c r="K782" s="22"/>
      <c r="L782" s="22"/>
      <c r="M782" s="22"/>
      <c r="N782" s="22"/>
      <c r="O782" s="73"/>
      <c r="P782" s="8"/>
      <c r="Q782" s="69"/>
      <c r="R782" s="69"/>
      <c r="S782" s="8"/>
      <c r="T782" s="69"/>
      <c r="U782" s="8"/>
      <c r="V782" s="69"/>
      <c r="W782" s="74"/>
      <c r="X782" s="69"/>
    </row>
    <row r="783">
      <c r="A783" s="30" t="str">
        <f>IFERROR(__xludf.DUMMYFUNCTION("""COMPUTED_VALUE"""),"73341")</f>
        <v>73341</v>
      </c>
      <c r="B783" s="86">
        <f>IFERROR(__xludf.DUMMYFUNCTION("""COMPUTED_VALUE"""),44652.0)</f>
        <v>44652</v>
      </c>
      <c r="C783" s="64" t="str">
        <f>IFERROR(__xludf.DUMMYFUNCTION("""COMPUTED_VALUE"""),"Option")</f>
        <v>Option</v>
      </c>
      <c r="D783" s="87" t="str">
        <f>IFERROR(__xludf.DUMMYFUNCTION("""COMPUTED_VALUE"""),"NDX220414C16500000")</f>
        <v>NDX220414C16500000</v>
      </c>
      <c r="E783" s="5" t="str">
        <f>IFERROR(__xludf.DUMMYFUNCTION("""COMPUTED_VALUE"""),"USD")</f>
        <v>USD</v>
      </c>
      <c r="F783" s="69" t="str">
        <f>IFERROR(__xludf.DUMMYFUNCTION("""COMPUTED_VALUE"""),"")</f>
        <v/>
      </c>
      <c r="G783" s="70">
        <f>IFERROR(__xludf.DUMMYFUNCTION("""COMPUTED_VALUE"""),7.83915)</f>
        <v>7.83915</v>
      </c>
      <c r="H783" s="71">
        <f>IFERROR(__xludf.DUMMYFUNCTION("""COMPUTED_VALUE"""),2.62)</f>
        <v>2.62</v>
      </c>
      <c r="I783" s="71">
        <f>IFERROR(__xludf.DUMMYFUNCTION("""COMPUTED_VALUE"""),0.61)</f>
        <v>0.61</v>
      </c>
      <c r="J783" s="22" t="str">
        <f>IFERROR(__xludf.DUMMYFUNCTION("""COMPUTED_VALUE"""),"")</f>
        <v/>
      </c>
      <c r="K783" s="22"/>
      <c r="L783" s="22"/>
      <c r="M783" s="22"/>
      <c r="N783" s="22"/>
      <c r="O783" s="73"/>
      <c r="P783" s="8"/>
      <c r="Q783" s="69"/>
      <c r="R783" s="69"/>
      <c r="S783" s="8"/>
      <c r="T783" s="69"/>
      <c r="U783" s="8"/>
      <c r="V783" s="69"/>
      <c r="W783" s="74"/>
      <c r="X783" s="69"/>
    </row>
    <row r="784">
      <c r="A784" s="30" t="str">
        <f>IFERROR(__xludf.DUMMYFUNCTION("""COMPUTED_VALUE"""),"73341")</f>
        <v>73341</v>
      </c>
      <c r="B784" s="86">
        <f>IFERROR(__xludf.DUMMYFUNCTION("""COMPUTED_VALUE"""),44652.0)</f>
        <v>44652</v>
      </c>
      <c r="C784" s="64" t="str">
        <f>IFERROR(__xludf.DUMMYFUNCTION("""COMPUTED_VALUE"""),"Stock")</f>
        <v>Stock</v>
      </c>
      <c r="D784" s="90" t="str">
        <f>IFERROR(__xludf.DUMMYFUNCTION("""COMPUTED_VALUE"""),"0700.HK")</f>
        <v>0700.HK</v>
      </c>
      <c r="E784" s="5" t="str">
        <f>IFERROR(__xludf.DUMMYFUNCTION("""COMPUTED_VALUE"""),"HKD")</f>
        <v>HKD</v>
      </c>
      <c r="F784" s="69">
        <f>IFERROR(__xludf.DUMMYFUNCTION("""COMPUTED_VALUE"""),30.0)</f>
        <v>30</v>
      </c>
      <c r="G784" s="70">
        <f>IFERROR(__xludf.DUMMYFUNCTION("""COMPUTED_VALUE"""),1.0)</f>
        <v>1</v>
      </c>
      <c r="H784" s="71">
        <f>IFERROR(__xludf.DUMMYFUNCTION("""COMPUTED_VALUE"""),378.8)</f>
        <v>378.8</v>
      </c>
      <c r="I784" s="71">
        <f>IFERROR(__xludf.DUMMYFUNCTION("""COMPUTED_VALUE"""),373.6)</f>
        <v>373.6</v>
      </c>
      <c r="J784" s="88" t="str">
        <f>IFERROR(__xludf.DUMMYFUNCTION("""COMPUTED_VALUE"""),"Goto link: 0700.HK")</f>
        <v>Goto link: 0700.HK</v>
      </c>
      <c r="K784" s="22"/>
      <c r="L784" s="22"/>
      <c r="M784" s="22"/>
      <c r="N784" s="22"/>
      <c r="O784" s="73"/>
      <c r="P784" s="8"/>
      <c r="Q784" s="69"/>
      <c r="R784" s="69"/>
      <c r="S784" s="8"/>
      <c r="T784" s="69"/>
      <c r="U784" s="8"/>
      <c r="V784" s="69"/>
      <c r="W784" s="74"/>
      <c r="X784" s="69"/>
    </row>
    <row r="785">
      <c r="A785" s="30" t="str">
        <f>IFERROR(__xludf.DUMMYFUNCTION("""COMPUTED_VALUE"""),"73341")</f>
        <v>73341</v>
      </c>
      <c r="B785" s="86">
        <f>IFERROR(__xludf.DUMMYFUNCTION("""COMPUTED_VALUE"""),44662.0)</f>
        <v>44662</v>
      </c>
      <c r="C785" s="64" t="str">
        <f>IFERROR(__xludf.DUMMYFUNCTION("""COMPUTED_VALUE"""),"Option")</f>
        <v>Option</v>
      </c>
      <c r="D785" s="85" t="str">
        <f>IFERROR(__xludf.DUMMYFUNCTION("""COMPUTED_VALUE"""),"ASML220422P00680000")</f>
        <v>ASML220422P00680000</v>
      </c>
      <c r="E785" s="5" t="str">
        <f>IFERROR(__xludf.DUMMYFUNCTION("""COMPUTED_VALUE"""),"USD")</f>
        <v>USD</v>
      </c>
      <c r="F785" s="69" t="str">
        <f>IFERROR(__xludf.DUMMYFUNCTION("""COMPUTED_VALUE"""),"")</f>
        <v/>
      </c>
      <c r="G785" s="70">
        <f>IFERROR(__xludf.DUMMYFUNCTION("""COMPUTED_VALUE"""),7.83915)</f>
        <v>7.83915</v>
      </c>
      <c r="H785" s="71">
        <f>IFERROR(__xludf.DUMMYFUNCTION("""COMPUTED_VALUE"""),65.84)</f>
        <v>65.84</v>
      </c>
      <c r="I785" s="71">
        <f>IFERROR(__xludf.DUMMYFUNCTION("""COMPUTED_VALUE"""),65.84)</f>
        <v>65.84</v>
      </c>
      <c r="J785" s="22" t="str">
        <f>IFERROR(__xludf.DUMMYFUNCTION("""COMPUTED_VALUE"""),"")</f>
        <v/>
      </c>
      <c r="K785" s="22"/>
      <c r="L785" s="22"/>
      <c r="M785" s="22"/>
      <c r="N785" s="22"/>
      <c r="O785" s="73"/>
      <c r="P785" s="8"/>
      <c r="Q785" s="69"/>
      <c r="R785" s="69"/>
      <c r="S785" s="8"/>
      <c r="T785" s="69"/>
      <c r="U785" s="8"/>
      <c r="V785" s="69"/>
      <c r="W785" s="74"/>
      <c r="X785" s="69"/>
    </row>
    <row r="786">
      <c r="A786" s="30" t="str">
        <f>IFERROR(__xludf.DUMMYFUNCTION("""COMPUTED_VALUE"""),"73341")</f>
        <v>73341</v>
      </c>
      <c r="B786" s="86">
        <f>IFERROR(__xludf.DUMMYFUNCTION("""COMPUTED_VALUE"""),44662.0)</f>
        <v>44662</v>
      </c>
      <c r="C786" s="64" t="str">
        <f>IFERROR(__xludf.DUMMYFUNCTION("""COMPUTED_VALUE"""),"Option")</f>
        <v>Option</v>
      </c>
      <c r="D786" s="85" t="str">
        <f>IFERROR(__xludf.DUMMYFUNCTION("""COMPUTED_VALUE"""),"TQQQ220414P00064000")</f>
        <v>TQQQ220414P00064000</v>
      </c>
      <c r="E786" s="5" t="str">
        <f>IFERROR(__xludf.DUMMYFUNCTION("""COMPUTED_VALUE"""),"USD")</f>
        <v>USD</v>
      </c>
      <c r="F786" s="69" t="str">
        <f>IFERROR(__xludf.DUMMYFUNCTION("""COMPUTED_VALUE"""),"")</f>
        <v/>
      </c>
      <c r="G786" s="70">
        <f>IFERROR(__xludf.DUMMYFUNCTION("""COMPUTED_VALUE"""),7.83915)</f>
        <v>7.83915</v>
      </c>
      <c r="H786" s="71">
        <f>IFERROR(__xludf.DUMMYFUNCTION("""COMPUTED_VALUE"""),15.21)</f>
        <v>15.21</v>
      </c>
      <c r="I786" s="71">
        <f>IFERROR(__xludf.DUMMYFUNCTION("""COMPUTED_VALUE"""),13.62)</f>
        <v>13.62</v>
      </c>
      <c r="J786" s="22" t="str">
        <f>IFERROR(__xludf.DUMMYFUNCTION("""COMPUTED_VALUE"""),"")</f>
        <v/>
      </c>
      <c r="K786" s="22"/>
      <c r="L786" s="22"/>
      <c r="M786" s="22"/>
      <c r="N786" s="22"/>
      <c r="O786" s="73"/>
      <c r="P786" s="8"/>
      <c r="Q786" s="69"/>
      <c r="R786" s="69"/>
      <c r="S786" s="8"/>
      <c r="T786" s="69"/>
      <c r="U786" s="8"/>
      <c r="V786" s="69"/>
      <c r="W786" s="74"/>
      <c r="X786" s="69"/>
    </row>
    <row r="787">
      <c r="A787" s="30" t="str">
        <f>IFERROR(__xludf.DUMMYFUNCTION("""COMPUTED_VALUE"""),"73341 Total")</f>
        <v>73341 Total</v>
      </c>
      <c r="B787" s="5"/>
      <c r="C787" s="64"/>
      <c r="D787" s="85"/>
      <c r="E787" s="5"/>
      <c r="F787" s="69"/>
      <c r="G787" s="70">
        <f>IFERROR(__xludf.DUMMYFUNCTION("""COMPUTED_VALUE"""),4.941109857142857)</f>
        <v>4.941109857</v>
      </c>
      <c r="H787" s="71">
        <f>IFERROR(__xludf.DUMMYFUNCTION("""COMPUTED_VALUE"""),378.8)</f>
        <v>378.8</v>
      </c>
      <c r="I787" s="71" t="str">
        <f>IFERROR(__xludf.DUMMYFUNCTION("""COMPUTED_VALUE"""),"")</f>
        <v/>
      </c>
      <c r="J787" s="22" t="str">
        <f>IFERROR(__xludf.DUMMYFUNCTION("""COMPUTED_VALUE"""),"")</f>
        <v/>
      </c>
      <c r="K787" s="22"/>
      <c r="L787" s="22"/>
      <c r="M787" s="22"/>
      <c r="N787" s="22"/>
      <c r="O787" s="73"/>
      <c r="P787" s="8"/>
      <c r="Q787" s="69"/>
      <c r="R787" s="69"/>
      <c r="S787" s="8"/>
      <c r="T787" s="69"/>
      <c r="U787" s="8"/>
      <c r="V787" s="69"/>
      <c r="W787" s="74"/>
      <c r="X787" s="69"/>
    </row>
    <row r="788">
      <c r="A788" s="30" t="str">
        <f>IFERROR(__xludf.DUMMYFUNCTION("""COMPUTED_VALUE"""),"73542")</f>
        <v>73542</v>
      </c>
      <c r="B788" s="86">
        <f>IFERROR(__xludf.DUMMYFUNCTION("""COMPUTED_VALUE"""),44597.0)</f>
        <v>44597</v>
      </c>
      <c r="C788" s="64" t="str">
        <f>IFERROR(__xludf.DUMMYFUNCTION("""COMPUTED_VALUE"""),"Cash")</f>
        <v>Cash</v>
      </c>
      <c r="D788" s="85" t="str">
        <f>IFERROR(__xludf.DUMMYFUNCTION("""COMPUTED_VALUE"""),"Cash")</f>
        <v>Cash</v>
      </c>
      <c r="E788" s="5" t="str">
        <f>IFERROR(__xludf.DUMMYFUNCTION("""COMPUTED_VALUE"""),"HKD")</f>
        <v>HKD</v>
      </c>
      <c r="F788" s="69" t="str">
        <f>IFERROR(__xludf.DUMMYFUNCTION("""COMPUTED_VALUE"""),"")</f>
        <v/>
      </c>
      <c r="G788" s="70">
        <f>IFERROR(__xludf.DUMMYFUNCTION("""COMPUTED_VALUE"""),1.0)</f>
        <v>1</v>
      </c>
      <c r="H788" s="71">
        <f>IFERROR(__xludf.DUMMYFUNCTION("""COMPUTED_VALUE"""),1.0)</f>
        <v>1</v>
      </c>
      <c r="I788" s="71">
        <f>IFERROR(__xludf.DUMMYFUNCTION("""COMPUTED_VALUE"""),1.0)</f>
        <v>1</v>
      </c>
      <c r="J788" s="22" t="str">
        <f>IFERROR(__xludf.DUMMYFUNCTION("""COMPUTED_VALUE"""),"")</f>
        <v/>
      </c>
      <c r="K788" s="22"/>
      <c r="L788" s="22"/>
      <c r="M788" s="22"/>
      <c r="N788" s="22"/>
      <c r="O788" s="73"/>
      <c r="P788" s="8"/>
      <c r="Q788" s="69"/>
      <c r="R788" s="69"/>
      <c r="S788" s="8"/>
      <c r="T788" s="69"/>
      <c r="U788" s="8"/>
      <c r="V788" s="69"/>
      <c r="W788" s="74"/>
      <c r="X788" s="69"/>
    </row>
    <row r="789">
      <c r="A789" s="30" t="str">
        <f>IFERROR(__xludf.DUMMYFUNCTION("""COMPUTED_VALUE"""),"73542")</f>
        <v>73542</v>
      </c>
      <c r="B789" s="86">
        <f>IFERROR(__xludf.DUMMYFUNCTION("""COMPUTED_VALUE"""),44643.0)</f>
        <v>44643</v>
      </c>
      <c r="C789" s="64" t="str">
        <f>IFERROR(__xludf.DUMMYFUNCTION("""COMPUTED_VALUE"""),"Stock")</f>
        <v>Stock</v>
      </c>
      <c r="D789" s="87" t="str">
        <f>IFERROR(__xludf.DUMMYFUNCTION("""COMPUTED_VALUE"""),"TSLA")</f>
        <v>TSLA</v>
      </c>
      <c r="E789" s="5" t="str">
        <f>IFERROR(__xludf.DUMMYFUNCTION("""COMPUTED_VALUE"""),"USD")</f>
        <v>USD</v>
      </c>
      <c r="F789" s="69">
        <f>IFERROR(__xludf.DUMMYFUNCTION("""COMPUTED_VALUE"""),12.0)</f>
        <v>12</v>
      </c>
      <c r="G789" s="70">
        <f>IFERROR(__xludf.DUMMYFUNCTION("""COMPUTED_VALUE"""),7.83915)</f>
        <v>7.83915</v>
      </c>
      <c r="H789" s="71">
        <f>IFERROR(__xludf.DUMMYFUNCTION("""COMPUTED_VALUE"""),999.11)</f>
        <v>999.11</v>
      </c>
      <c r="I789" s="71">
        <f>IFERROR(__xludf.DUMMYFUNCTION("""COMPUTED_VALUE"""),1022.37)</f>
        <v>1022.37</v>
      </c>
      <c r="J789" s="88" t="str">
        <f>IFERROR(__xludf.DUMMYFUNCTION("""COMPUTED_VALUE"""),"Goto link: TSLA")</f>
        <v>Goto link: TSLA</v>
      </c>
      <c r="K789" s="22"/>
      <c r="L789" s="22"/>
      <c r="M789" s="22"/>
      <c r="N789" s="22"/>
      <c r="O789" s="73"/>
      <c r="P789" s="8"/>
      <c r="Q789" s="69"/>
      <c r="R789" s="69"/>
      <c r="S789" s="8"/>
      <c r="T789" s="69"/>
      <c r="U789" s="8"/>
      <c r="V789" s="69"/>
      <c r="W789" s="74"/>
      <c r="X789" s="69"/>
    </row>
    <row r="790">
      <c r="A790" s="30" t="str">
        <f>IFERROR(__xludf.DUMMYFUNCTION("""COMPUTED_VALUE"""),"73542 Total")</f>
        <v>73542 Total</v>
      </c>
      <c r="B790" s="5"/>
      <c r="C790" s="64"/>
      <c r="D790" s="85"/>
      <c r="E790" s="5"/>
      <c r="F790" s="69"/>
      <c r="G790" s="70">
        <f>IFERROR(__xludf.DUMMYFUNCTION("""COMPUTED_VALUE"""),4.419575)</f>
        <v>4.419575</v>
      </c>
      <c r="H790" s="71">
        <f>IFERROR(__xludf.DUMMYFUNCTION("""COMPUTED_VALUE"""),999.11)</f>
        <v>999.11</v>
      </c>
      <c r="I790" s="71" t="str">
        <f>IFERROR(__xludf.DUMMYFUNCTION("""COMPUTED_VALUE"""),"")</f>
        <v/>
      </c>
      <c r="J790" s="22" t="str">
        <f>IFERROR(__xludf.DUMMYFUNCTION("""COMPUTED_VALUE"""),"")</f>
        <v/>
      </c>
      <c r="K790" s="22"/>
      <c r="L790" s="22"/>
      <c r="M790" s="22"/>
      <c r="N790" s="22"/>
      <c r="O790" s="73"/>
      <c r="P790" s="8"/>
      <c r="Q790" s="69"/>
      <c r="R790" s="69"/>
      <c r="S790" s="8"/>
      <c r="T790" s="69"/>
      <c r="U790" s="8"/>
      <c r="V790" s="69"/>
      <c r="W790" s="74"/>
      <c r="X790" s="69"/>
    </row>
    <row r="791">
      <c r="A791" s="30" t="str">
        <f>IFERROR(__xludf.DUMMYFUNCTION("""COMPUTED_VALUE"""),"73879")</f>
        <v>73879</v>
      </c>
      <c r="B791" s="86">
        <f>IFERROR(__xludf.DUMMYFUNCTION("""COMPUTED_VALUE"""),44597.0)</f>
        <v>44597</v>
      </c>
      <c r="C791" s="64" t="str">
        <f>IFERROR(__xludf.DUMMYFUNCTION("""COMPUTED_VALUE"""),"Cash")</f>
        <v>Cash</v>
      </c>
      <c r="D791" s="85" t="str">
        <f>IFERROR(__xludf.DUMMYFUNCTION("""COMPUTED_VALUE"""),"Cash")</f>
        <v>Cash</v>
      </c>
      <c r="E791" s="5" t="str">
        <f>IFERROR(__xludf.DUMMYFUNCTION("""COMPUTED_VALUE"""),"HKD")</f>
        <v>HKD</v>
      </c>
      <c r="F791" s="69" t="str">
        <f>IFERROR(__xludf.DUMMYFUNCTION("""COMPUTED_VALUE"""),"")</f>
        <v/>
      </c>
      <c r="G791" s="70">
        <f>IFERROR(__xludf.DUMMYFUNCTION("""COMPUTED_VALUE"""),1.0)</f>
        <v>1</v>
      </c>
      <c r="H791" s="71">
        <f>IFERROR(__xludf.DUMMYFUNCTION("""COMPUTED_VALUE"""),1.0)</f>
        <v>1</v>
      </c>
      <c r="I791" s="71">
        <f>IFERROR(__xludf.DUMMYFUNCTION("""COMPUTED_VALUE"""),1.0)</f>
        <v>1</v>
      </c>
      <c r="J791" s="22" t="str">
        <f>IFERROR(__xludf.DUMMYFUNCTION("""COMPUTED_VALUE"""),"")</f>
        <v/>
      </c>
      <c r="K791" s="22"/>
      <c r="L791" s="22"/>
      <c r="M791" s="22"/>
      <c r="N791" s="22"/>
      <c r="O791" s="73"/>
      <c r="P791" s="8"/>
      <c r="Q791" s="69"/>
      <c r="R791" s="69"/>
      <c r="S791" s="8"/>
      <c r="T791" s="69"/>
      <c r="U791" s="8"/>
      <c r="V791" s="69"/>
      <c r="W791" s="74"/>
      <c r="X791" s="69"/>
    </row>
    <row r="792">
      <c r="A792" s="30" t="str">
        <f>IFERROR(__xludf.DUMMYFUNCTION("""COMPUTED_VALUE"""),"73879")</f>
        <v>73879</v>
      </c>
      <c r="B792" s="86">
        <f>IFERROR(__xludf.DUMMYFUNCTION("""COMPUTED_VALUE"""),44627.0)</f>
        <v>44627</v>
      </c>
      <c r="C792" s="64" t="str">
        <f>IFERROR(__xludf.DUMMYFUNCTION("""COMPUTED_VALUE"""),"Stock")</f>
        <v>Stock</v>
      </c>
      <c r="D792" s="90" t="str">
        <f>IFERROR(__xludf.DUMMYFUNCTION("""COMPUTED_VALUE"""),"0700.HK")</f>
        <v>0700.HK</v>
      </c>
      <c r="E792" s="5" t="str">
        <f>IFERROR(__xludf.DUMMYFUNCTION("""COMPUTED_VALUE"""),"HKD")</f>
        <v>HKD</v>
      </c>
      <c r="F792" s="69">
        <f>IFERROR(__xludf.DUMMYFUNCTION("""COMPUTED_VALUE"""),248.0)</f>
        <v>248</v>
      </c>
      <c r="G792" s="70">
        <f>IFERROR(__xludf.DUMMYFUNCTION("""COMPUTED_VALUE"""),1.0)</f>
        <v>1</v>
      </c>
      <c r="H792" s="71">
        <f>IFERROR(__xludf.DUMMYFUNCTION("""COMPUTED_VALUE"""),388.0)</f>
        <v>388</v>
      </c>
      <c r="I792" s="71">
        <f>IFERROR(__xludf.DUMMYFUNCTION("""COMPUTED_VALUE"""),373.6)</f>
        <v>373.6</v>
      </c>
      <c r="J792" s="88" t="str">
        <f>IFERROR(__xludf.DUMMYFUNCTION("""COMPUTED_VALUE"""),"Goto link: 0700.HK")</f>
        <v>Goto link: 0700.HK</v>
      </c>
      <c r="K792" s="22"/>
      <c r="L792" s="22"/>
      <c r="M792" s="22"/>
      <c r="N792" s="22"/>
      <c r="O792" s="73"/>
      <c r="P792" s="8"/>
      <c r="Q792" s="69"/>
      <c r="R792" s="69"/>
      <c r="S792" s="8"/>
      <c r="T792" s="69"/>
      <c r="U792" s="8"/>
      <c r="V792" s="69"/>
      <c r="W792" s="74"/>
      <c r="X792" s="69"/>
    </row>
    <row r="793">
      <c r="A793" s="30" t="str">
        <f>IFERROR(__xludf.DUMMYFUNCTION("""COMPUTED_VALUE"""),"73879")</f>
        <v>73879</v>
      </c>
      <c r="B793" s="86">
        <f>IFERROR(__xludf.DUMMYFUNCTION("""COMPUTED_VALUE"""),44627.0)</f>
        <v>44627</v>
      </c>
      <c r="C793" s="64" t="str">
        <f>IFERROR(__xludf.DUMMYFUNCTION("""COMPUTED_VALUE"""),"Stock")</f>
        <v>Stock</v>
      </c>
      <c r="D793" s="90" t="str">
        <f>IFERROR(__xludf.DUMMYFUNCTION("""COMPUTED_VALUE"""),"3690.HK")</f>
        <v>3690.HK</v>
      </c>
      <c r="E793" s="5" t="str">
        <f>IFERROR(__xludf.DUMMYFUNCTION("""COMPUTED_VALUE"""),"HKD")</f>
        <v>HKD</v>
      </c>
      <c r="F793" s="69">
        <f>IFERROR(__xludf.DUMMYFUNCTION("""COMPUTED_VALUE"""),666.0)</f>
        <v>666</v>
      </c>
      <c r="G793" s="70">
        <f>IFERROR(__xludf.DUMMYFUNCTION("""COMPUTED_VALUE"""),1.0)</f>
        <v>1</v>
      </c>
      <c r="H793" s="71">
        <f>IFERROR(__xludf.DUMMYFUNCTION("""COMPUTED_VALUE"""),146.2)</f>
        <v>146.2</v>
      </c>
      <c r="I793" s="71">
        <f>IFERROR(__xludf.DUMMYFUNCTION("""COMPUTED_VALUE"""),154.1)</f>
        <v>154.1</v>
      </c>
      <c r="J793" s="88" t="str">
        <f>IFERROR(__xludf.DUMMYFUNCTION("""COMPUTED_VALUE"""),"Goto link: 3690.HK")</f>
        <v>Goto link: 3690.HK</v>
      </c>
      <c r="K793" s="22"/>
      <c r="L793" s="22"/>
      <c r="M793" s="22"/>
      <c r="N793" s="22"/>
      <c r="O793" s="73"/>
      <c r="P793" s="8"/>
      <c r="Q793" s="69"/>
      <c r="R793" s="69"/>
      <c r="S793" s="8"/>
      <c r="T793" s="69"/>
      <c r="U793" s="8"/>
      <c r="V793" s="69"/>
      <c r="W793" s="74"/>
      <c r="X793" s="69"/>
    </row>
    <row r="794">
      <c r="A794" s="30" t="str">
        <f>IFERROR(__xludf.DUMMYFUNCTION("""COMPUTED_VALUE"""),"73879 Total")</f>
        <v>73879 Total</v>
      </c>
      <c r="B794" s="5"/>
      <c r="C794" s="64"/>
      <c r="D794" s="85"/>
      <c r="E794" s="5"/>
      <c r="F794" s="69"/>
      <c r="G794" s="70">
        <f>IFERROR(__xludf.DUMMYFUNCTION("""COMPUTED_VALUE"""),1.0)</f>
        <v>1</v>
      </c>
      <c r="H794" s="71">
        <f>IFERROR(__xludf.DUMMYFUNCTION("""COMPUTED_VALUE"""),388.0)</f>
        <v>388</v>
      </c>
      <c r="I794" s="71" t="str">
        <f>IFERROR(__xludf.DUMMYFUNCTION("""COMPUTED_VALUE"""),"")</f>
        <v/>
      </c>
      <c r="J794" s="22" t="str">
        <f>IFERROR(__xludf.DUMMYFUNCTION("""COMPUTED_VALUE"""),"")</f>
        <v/>
      </c>
      <c r="K794" s="22"/>
      <c r="L794" s="22"/>
      <c r="M794" s="22"/>
      <c r="N794" s="22"/>
      <c r="O794" s="73"/>
      <c r="P794" s="8"/>
      <c r="Q794" s="69"/>
      <c r="R794" s="69"/>
      <c r="S794" s="8"/>
      <c r="T794" s="69"/>
      <c r="U794" s="8"/>
      <c r="V794" s="69"/>
      <c r="W794" s="74"/>
      <c r="X794" s="69"/>
    </row>
    <row r="795">
      <c r="A795" s="30" t="str">
        <f>IFERROR(__xludf.DUMMYFUNCTION("""COMPUTED_VALUE"""),"74356")</f>
        <v>74356</v>
      </c>
      <c r="B795" s="86">
        <f>IFERROR(__xludf.DUMMYFUNCTION("""COMPUTED_VALUE"""),44597.0)</f>
        <v>44597</v>
      </c>
      <c r="C795" s="64" t="str">
        <f>IFERROR(__xludf.DUMMYFUNCTION("""COMPUTED_VALUE"""),"Cash")</f>
        <v>Cash</v>
      </c>
      <c r="D795" s="85" t="str">
        <f>IFERROR(__xludf.DUMMYFUNCTION("""COMPUTED_VALUE"""),"Cash")</f>
        <v>Cash</v>
      </c>
      <c r="E795" s="5" t="str">
        <f>IFERROR(__xludf.DUMMYFUNCTION("""COMPUTED_VALUE"""),"HKD")</f>
        <v>HKD</v>
      </c>
      <c r="F795" s="69" t="str">
        <f>IFERROR(__xludf.DUMMYFUNCTION("""COMPUTED_VALUE"""),"")</f>
        <v/>
      </c>
      <c r="G795" s="70">
        <f>IFERROR(__xludf.DUMMYFUNCTION("""COMPUTED_VALUE"""),1.0)</f>
        <v>1</v>
      </c>
      <c r="H795" s="71">
        <f>IFERROR(__xludf.DUMMYFUNCTION("""COMPUTED_VALUE"""),1.0)</f>
        <v>1</v>
      </c>
      <c r="I795" s="71">
        <f>IFERROR(__xludf.DUMMYFUNCTION("""COMPUTED_VALUE"""),1.0)</f>
        <v>1</v>
      </c>
      <c r="J795" s="22" t="str">
        <f>IFERROR(__xludf.DUMMYFUNCTION("""COMPUTED_VALUE"""),"")</f>
        <v/>
      </c>
      <c r="K795" s="22"/>
      <c r="L795" s="22"/>
      <c r="M795" s="22"/>
      <c r="N795" s="22"/>
      <c r="O795" s="73"/>
      <c r="P795" s="8"/>
      <c r="Q795" s="69"/>
      <c r="R795" s="69"/>
      <c r="S795" s="8"/>
      <c r="T795" s="69"/>
      <c r="U795" s="8"/>
      <c r="V795" s="69"/>
      <c r="W795" s="74"/>
      <c r="X795" s="69"/>
    </row>
    <row r="796">
      <c r="A796" s="30" t="str">
        <f>IFERROR(__xludf.DUMMYFUNCTION("""COMPUTED_VALUE"""),"74356")</f>
        <v>74356</v>
      </c>
      <c r="B796" s="86">
        <f>IFERROR(__xludf.DUMMYFUNCTION("""COMPUTED_VALUE"""),44603.0)</f>
        <v>44603</v>
      </c>
      <c r="C796" s="64" t="str">
        <f>IFERROR(__xludf.DUMMYFUNCTION("""COMPUTED_VALUE"""),"Stock")</f>
        <v>Stock</v>
      </c>
      <c r="D796" s="90" t="str">
        <f>IFERROR(__xludf.DUMMYFUNCTION("""COMPUTED_VALUE"""),"1398.HK")</f>
        <v>1398.HK</v>
      </c>
      <c r="E796" s="5" t="str">
        <f>IFERROR(__xludf.DUMMYFUNCTION("""COMPUTED_VALUE"""),"HKD")</f>
        <v>HKD</v>
      </c>
      <c r="F796" s="69">
        <f>IFERROR(__xludf.DUMMYFUNCTION("""COMPUTED_VALUE"""),500.0)</f>
        <v>500</v>
      </c>
      <c r="G796" s="70">
        <f>IFERROR(__xludf.DUMMYFUNCTION("""COMPUTED_VALUE"""),1.0)</f>
        <v>1</v>
      </c>
      <c r="H796" s="71">
        <f>IFERROR(__xludf.DUMMYFUNCTION("""COMPUTED_VALUE"""),4.93)</f>
        <v>4.93</v>
      </c>
      <c r="I796" s="71">
        <f>IFERROR(__xludf.DUMMYFUNCTION("""COMPUTED_VALUE"""),4.75)</f>
        <v>4.75</v>
      </c>
      <c r="J796" s="88" t="str">
        <f>IFERROR(__xludf.DUMMYFUNCTION("""COMPUTED_VALUE"""),"Goto link: 1398.HK")</f>
        <v>Goto link: 1398.HK</v>
      </c>
      <c r="K796" s="22"/>
      <c r="L796" s="22"/>
      <c r="M796" s="22"/>
      <c r="N796" s="22"/>
      <c r="O796" s="73"/>
      <c r="P796" s="8"/>
      <c r="Q796" s="69"/>
      <c r="R796" s="69"/>
      <c r="S796" s="8"/>
      <c r="T796" s="69"/>
      <c r="U796" s="8"/>
      <c r="V796" s="69"/>
      <c r="W796" s="74"/>
      <c r="X796" s="69"/>
    </row>
    <row r="797">
      <c r="A797" s="30" t="str">
        <f>IFERROR(__xludf.DUMMYFUNCTION("""COMPUTED_VALUE"""),"74356")</f>
        <v>74356</v>
      </c>
      <c r="B797" s="86">
        <f>IFERROR(__xludf.DUMMYFUNCTION("""COMPUTED_VALUE"""),44603.0)</f>
        <v>44603</v>
      </c>
      <c r="C797" s="64" t="str">
        <f>IFERROR(__xludf.DUMMYFUNCTION("""COMPUTED_VALUE"""),"Stock")</f>
        <v>Stock</v>
      </c>
      <c r="D797" s="87" t="str">
        <f>IFERROR(__xludf.DUMMYFUNCTION("""COMPUTED_VALUE"""),"NET")</f>
        <v>NET</v>
      </c>
      <c r="E797" s="5" t="str">
        <f>IFERROR(__xludf.DUMMYFUNCTION("""COMPUTED_VALUE"""),"USD")</f>
        <v>USD</v>
      </c>
      <c r="F797" s="69">
        <f>IFERROR(__xludf.DUMMYFUNCTION("""COMPUTED_VALUE"""),10.0)</f>
        <v>10</v>
      </c>
      <c r="G797" s="70">
        <f>IFERROR(__xludf.DUMMYFUNCTION("""COMPUTED_VALUE"""),7.83915)</f>
        <v>7.83915</v>
      </c>
      <c r="H797" s="71">
        <f>IFERROR(__xludf.DUMMYFUNCTION("""COMPUTED_VALUE"""),104.92)</f>
        <v>104.92</v>
      </c>
      <c r="I797" s="71">
        <f>IFERROR(__xludf.DUMMYFUNCTION("""COMPUTED_VALUE"""),121.55)</f>
        <v>121.55</v>
      </c>
      <c r="J797" s="88" t="str">
        <f>IFERROR(__xludf.DUMMYFUNCTION("""COMPUTED_VALUE"""),"Goto link: NET")</f>
        <v>Goto link: NET</v>
      </c>
      <c r="K797" s="22"/>
      <c r="L797" s="22"/>
      <c r="M797" s="22"/>
      <c r="N797" s="22"/>
      <c r="O797" s="73"/>
      <c r="P797" s="8"/>
      <c r="Q797" s="69"/>
      <c r="R797" s="69"/>
      <c r="S797" s="8"/>
      <c r="T797" s="69"/>
      <c r="U797" s="8"/>
      <c r="V797" s="69"/>
      <c r="W797" s="74"/>
      <c r="X797" s="69"/>
    </row>
    <row r="798">
      <c r="A798" s="30" t="str">
        <f>IFERROR(__xludf.DUMMYFUNCTION("""COMPUTED_VALUE"""),"74356")</f>
        <v>74356</v>
      </c>
      <c r="B798" s="86">
        <f>IFERROR(__xludf.DUMMYFUNCTION("""COMPUTED_VALUE"""),44609.0)</f>
        <v>44609</v>
      </c>
      <c r="C798" s="64" t="str">
        <f>IFERROR(__xludf.DUMMYFUNCTION("""COMPUTED_VALUE"""),"Stock")</f>
        <v>Stock</v>
      </c>
      <c r="D798" s="87" t="str">
        <f>IFERROR(__xludf.DUMMYFUNCTION("""COMPUTED_VALUE"""),"AMAT")</f>
        <v>AMAT</v>
      </c>
      <c r="E798" s="5" t="str">
        <f>IFERROR(__xludf.DUMMYFUNCTION("""COMPUTED_VALUE"""),"USD")</f>
        <v>USD</v>
      </c>
      <c r="F798" s="69">
        <f>IFERROR(__xludf.DUMMYFUNCTION("""COMPUTED_VALUE"""),50.0)</f>
        <v>50</v>
      </c>
      <c r="G798" s="70">
        <f>IFERROR(__xludf.DUMMYFUNCTION("""COMPUTED_VALUE"""),7.83915)</f>
        <v>7.83915</v>
      </c>
      <c r="H798" s="71">
        <f>IFERROR(__xludf.DUMMYFUNCTION("""COMPUTED_VALUE"""),136.47)</f>
        <v>136.47</v>
      </c>
      <c r="I798" s="71">
        <f>IFERROR(__xludf.DUMMYFUNCTION("""COMPUTED_VALUE"""),116.86)</f>
        <v>116.86</v>
      </c>
      <c r="J798" s="88" t="str">
        <f>IFERROR(__xludf.DUMMYFUNCTION("""COMPUTED_VALUE"""),"Goto link: AMAT")</f>
        <v>Goto link: AMAT</v>
      </c>
      <c r="K798" s="22"/>
      <c r="L798" s="22"/>
      <c r="M798" s="22"/>
      <c r="N798" s="22"/>
      <c r="O798" s="73"/>
      <c r="P798" s="8"/>
      <c r="Q798" s="69"/>
      <c r="R798" s="69"/>
      <c r="S798" s="8"/>
      <c r="T798" s="69"/>
      <c r="U798" s="8"/>
      <c r="V798" s="69"/>
      <c r="W798" s="74"/>
      <c r="X798" s="69"/>
    </row>
    <row r="799">
      <c r="A799" s="30" t="str">
        <f>IFERROR(__xludf.DUMMYFUNCTION("""COMPUTED_VALUE"""),"74356")</f>
        <v>74356</v>
      </c>
      <c r="B799" s="86">
        <f>IFERROR(__xludf.DUMMYFUNCTION("""COMPUTED_VALUE"""),44616.0)</f>
        <v>44616</v>
      </c>
      <c r="C799" s="64" t="str">
        <f>IFERROR(__xludf.DUMMYFUNCTION("""COMPUTED_VALUE"""),"Stock")</f>
        <v>Stock</v>
      </c>
      <c r="D799" s="87" t="str">
        <f>IFERROR(__xludf.DUMMYFUNCTION("""COMPUTED_VALUE"""),"CL=F")</f>
        <v>CL=F</v>
      </c>
      <c r="E799" s="5" t="str">
        <f>IFERROR(__xludf.DUMMYFUNCTION("""COMPUTED_VALUE"""),"USD")</f>
        <v>USD</v>
      </c>
      <c r="F799" s="69">
        <f>IFERROR(__xludf.DUMMYFUNCTION("""COMPUTED_VALUE"""),100.0)</f>
        <v>100</v>
      </c>
      <c r="G799" s="70">
        <f>IFERROR(__xludf.DUMMYFUNCTION("""COMPUTED_VALUE"""),7.83915)</f>
        <v>7.83915</v>
      </c>
      <c r="H799" s="71">
        <f>IFERROR(__xludf.DUMMYFUNCTION("""COMPUTED_VALUE"""),92.81)</f>
        <v>92.81</v>
      </c>
      <c r="I799" s="71">
        <f>IFERROR(__xludf.DUMMYFUNCTION("""COMPUTED_VALUE"""),104.31)</f>
        <v>104.31</v>
      </c>
      <c r="J799" s="88" t="str">
        <f>IFERROR(__xludf.DUMMYFUNCTION("""COMPUTED_VALUE"""),"Goto link: CL=F")</f>
        <v>Goto link: CL=F</v>
      </c>
      <c r="K799" s="22"/>
      <c r="L799" s="22"/>
      <c r="M799" s="22"/>
      <c r="N799" s="22"/>
      <c r="O799" s="73"/>
      <c r="P799" s="8"/>
      <c r="Q799" s="69"/>
      <c r="R799" s="69"/>
      <c r="S799" s="8"/>
      <c r="T799" s="69"/>
      <c r="U799" s="8"/>
      <c r="V799" s="69"/>
      <c r="W799" s="74"/>
      <c r="X799" s="69"/>
    </row>
    <row r="800">
      <c r="A800" s="30" t="str">
        <f>IFERROR(__xludf.DUMMYFUNCTION("""COMPUTED_VALUE"""),"74356")</f>
        <v>74356</v>
      </c>
      <c r="B800" s="86">
        <f>IFERROR(__xludf.DUMMYFUNCTION("""COMPUTED_VALUE"""),44616.0)</f>
        <v>44616</v>
      </c>
      <c r="C800" s="64" t="str">
        <f>IFERROR(__xludf.DUMMYFUNCTION("""COMPUTED_VALUE"""),"Stock")</f>
        <v>Stock</v>
      </c>
      <c r="D800" s="87" t="str">
        <f>IFERROR(__xludf.DUMMYFUNCTION("""COMPUTED_VALUE"""),"NET")</f>
        <v>NET</v>
      </c>
      <c r="E800" s="5" t="str">
        <f>IFERROR(__xludf.DUMMYFUNCTION("""COMPUTED_VALUE"""),"USD")</f>
        <v>USD</v>
      </c>
      <c r="F800" s="69">
        <f>IFERROR(__xludf.DUMMYFUNCTION("""COMPUTED_VALUE"""),-10.0)</f>
        <v>-10</v>
      </c>
      <c r="G800" s="70">
        <f>IFERROR(__xludf.DUMMYFUNCTION("""COMPUTED_VALUE"""),7.83915)</f>
        <v>7.83915</v>
      </c>
      <c r="H800" s="71">
        <f>IFERROR(__xludf.DUMMYFUNCTION("""COMPUTED_VALUE"""),108.38)</f>
        <v>108.38</v>
      </c>
      <c r="I800" s="71">
        <f>IFERROR(__xludf.DUMMYFUNCTION("""COMPUTED_VALUE"""),121.55)</f>
        <v>121.55</v>
      </c>
      <c r="J800" s="88" t="str">
        <f>IFERROR(__xludf.DUMMYFUNCTION("""COMPUTED_VALUE"""),"Goto link: NET")</f>
        <v>Goto link: NET</v>
      </c>
      <c r="K800" s="22"/>
      <c r="L800" s="22"/>
      <c r="M800" s="22"/>
      <c r="N800" s="22"/>
      <c r="O800" s="73"/>
      <c r="P800" s="8"/>
      <c r="Q800" s="69"/>
      <c r="R800" s="69"/>
      <c r="S800" s="8"/>
      <c r="T800" s="69"/>
      <c r="U800" s="8"/>
      <c r="V800" s="69"/>
      <c r="W800" s="74"/>
      <c r="X800" s="69"/>
    </row>
    <row r="801">
      <c r="A801" s="30" t="str">
        <f>IFERROR(__xludf.DUMMYFUNCTION("""COMPUTED_VALUE"""),"74356")</f>
        <v>74356</v>
      </c>
      <c r="B801" s="86">
        <f>IFERROR(__xludf.DUMMYFUNCTION("""COMPUTED_VALUE"""),44617.0)</f>
        <v>44617</v>
      </c>
      <c r="C801" s="64" t="str">
        <f>IFERROR(__xludf.DUMMYFUNCTION("""COMPUTED_VALUE"""),"Stock")</f>
        <v>Stock</v>
      </c>
      <c r="D801" s="90" t="str">
        <f>IFERROR(__xludf.DUMMYFUNCTION("""COMPUTED_VALUE"""),"1398.HK")</f>
        <v>1398.HK</v>
      </c>
      <c r="E801" s="5" t="str">
        <f>IFERROR(__xludf.DUMMYFUNCTION("""COMPUTED_VALUE"""),"HKD")</f>
        <v>HKD</v>
      </c>
      <c r="F801" s="69">
        <f>IFERROR(__xludf.DUMMYFUNCTION("""COMPUTED_VALUE"""),1000.0)</f>
        <v>1000</v>
      </c>
      <c r="G801" s="70">
        <f>IFERROR(__xludf.DUMMYFUNCTION("""COMPUTED_VALUE"""),1.0)</f>
        <v>1</v>
      </c>
      <c r="H801" s="71">
        <f>IFERROR(__xludf.DUMMYFUNCTION("""COMPUTED_VALUE"""),4.58)</f>
        <v>4.58</v>
      </c>
      <c r="I801" s="71">
        <f>IFERROR(__xludf.DUMMYFUNCTION("""COMPUTED_VALUE"""),4.75)</f>
        <v>4.75</v>
      </c>
      <c r="J801" s="88" t="str">
        <f>IFERROR(__xludf.DUMMYFUNCTION("""COMPUTED_VALUE"""),"Goto link: 1398.HK")</f>
        <v>Goto link: 1398.HK</v>
      </c>
      <c r="K801" s="22"/>
      <c r="L801" s="22"/>
      <c r="M801" s="22"/>
      <c r="N801" s="22"/>
      <c r="O801" s="73"/>
      <c r="P801" s="8"/>
      <c r="Q801" s="69"/>
      <c r="R801" s="69"/>
      <c r="S801" s="8"/>
      <c r="T801" s="69"/>
      <c r="U801" s="8"/>
      <c r="V801" s="69"/>
      <c r="W801" s="74"/>
      <c r="X801" s="69"/>
    </row>
    <row r="802">
      <c r="A802" s="30" t="str">
        <f>IFERROR(__xludf.DUMMYFUNCTION("""COMPUTED_VALUE"""),"74356")</f>
        <v>74356</v>
      </c>
      <c r="B802" s="86">
        <f>IFERROR(__xludf.DUMMYFUNCTION("""COMPUTED_VALUE"""),44617.0)</f>
        <v>44617</v>
      </c>
      <c r="C802" s="64" t="str">
        <f>IFERROR(__xludf.DUMMYFUNCTION("""COMPUTED_VALUE"""),"Stock")</f>
        <v>Stock</v>
      </c>
      <c r="D802" s="90" t="str">
        <f>IFERROR(__xludf.DUMMYFUNCTION("""COMPUTED_VALUE"""),"300157.SZ")</f>
        <v>300157.SZ</v>
      </c>
      <c r="E802" s="5" t="str">
        <f>IFERROR(__xludf.DUMMYFUNCTION("""COMPUTED_VALUE"""),"CNY")</f>
        <v>CNY</v>
      </c>
      <c r="F802" s="69">
        <f>IFERROR(__xludf.DUMMYFUNCTION("""COMPUTED_VALUE"""),0.0)</f>
        <v>0</v>
      </c>
      <c r="G802" s="70">
        <f>IFERROR(__xludf.DUMMYFUNCTION("""COMPUTED_VALUE"""),1.231169)</f>
        <v>1.231169</v>
      </c>
      <c r="H802" s="71">
        <f>IFERROR(__xludf.DUMMYFUNCTION("""COMPUTED_VALUE"""),0.0)</f>
        <v>0</v>
      </c>
      <c r="I802" s="71">
        <f>IFERROR(__xludf.DUMMYFUNCTION("""COMPUTED_VALUE"""),4.35)</f>
        <v>4.35</v>
      </c>
      <c r="J802" s="88" t="str">
        <f>IFERROR(__xludf.DUMMYFUNCTION("""COMPUTED_VALUE"""),"Goto link: 300157.SZ")</f>
        <v>Goto link: 300157.SZ</v>
      </c>
      <c r="K802" s="22"/>
      <c r="L802" s="22"/>
      <c r="M802" s="22"/>
      <c r="N802" s="22"/>
      <c r="O802" s="73"/>
      <c r="P802" s="8"/>
      <c r="Q802" s="69"/>
      <c r="R802" s="69"/>
      <c r="S802" s="8"/>
      <c r="T802" s="69"/>
      <c r="U802" s="8"/>
      <c r="V802" s="69"/>
      <c r="W802" s="74"/>
      <c r="X802" s="69"/>
    </row>
    <row r="803">
      <c r="A803" s="30" t="str">
        <f>IFERROR(__xludf.DUMMYFUNCTION("""COMPUTED_VALUE"""),"74356")</f>
        <v>74356</v>
      </c>
      <c r="B803" s="86">
        <f>IFERROR(__xludf.DUMMYFUNCTION("""COMPUTED_VALUE"""),44624.0)</f>
        <v>44624</v>
      </c>
      <c r="C803" s="64" t="str">
        <f>IFERROR(__xludf.DUMMYFUNCTION("""COMPUTED_VALUE"""),"Stock")</f>
        <v>Stock</v>
      </c>
      <c r="D803" s="87" t="str">
        <f>IFERROR(__xludf.DUMMYFUNCTION("""COMPUTED_VALUE"""),"AMAT")</f>
        <v>AMAT</v>
      </c>
      <c r="E803" s="5" t="str">
        <f>IFERROR(__xludf.DUMMYFUNCTION("""COMPUTED_VALUE"""),"USD")</f>
        <v>USD</v>
      </c>
      <c r="F803" s="69">
        <f>IFERROR(__xludf.DUMMYFUNCTION("""COMPUTED_VALUE"""),0.0)</f>
        <v>0</v>
      </c>
      <c r="G803" s="70">
        <f>IFERROR(__xludf.DUMMYFUNCTION("""COMPUTED_VALUE"""),7.83915)</f>
        <v>7.83915</v>
      </c>
      <c r="H803" s="71">
        <f>IFERROR(__xludf.DUMMYFUNCTION("""COMPUTED_VALUE"""),0.0)</f>
        <v>0</v>
      </c>
      <c r="I803" s="71">
        <f>IFERROR(__xludf.DUMMYFUNCTION("""COMPUTED_VALUE"""),116.86)</f>
        <v>116.86</v>
      </c>
      <c r="J803" s="88" t="str">
        <f>IFERROR(__xludf.DUMMYFUNCTION("""COMPUTED_VALUE"""),"Goto link: AMAT")</f>
        <v>Goto link: AMAT</v>
      </c>
      <c r="K803" s="22"/>
      <c r="L803" s="22"/>
      <c r="M803" s="22"/>
      <c r="N803" s="22"/>
      <c r="O803" s="73"/>
      <c r="P803" s="8"/>
      <c r="Q803" s="69"/>
      <c r="R803" s="69"/>
      <c r="S803" s="8"/>
      <c r="T803" s="69"/>
      <c r="U803" s="8"/>
      <c r="V803" s="69"/>
      <c r="W803" s="74"/>
      <c r="X803" s="69"/>
    </row>
    <row r="804">
      <c r="A804" s="30" t="str">
        <f>IFERROR(__xludf.DUMMYFUNCTION("""COMPUTED_VALUE"""),"74356")</f>
        <v>74356</v>
      </c>
      <c r="B804" s="86">
        <f>IFERROR(__xludf.DUMMYFUNCTION("""COMPUTED_VALUE"""),44624.0)</f>
        <v>44624</v>
      </c>
      <c r="C804" s="64" t="str">
        <f>IFERROR(__xludf.DUMMYFUNCTION("""COMPUTED_VALUE"""),"Stock")</f>
        <v>Stock</v>
      </c>
      <c r="D804" s="87" t="str">
        <f>IFERROR(__xludf.DUMMYFUNCTION("""COMPUTED_VALUE"""),"BRK-B")</f>
        <v>BRK-B</v>
      </c>
      <c r="E804" s="5" t="str">
        <f>IFERROR(__xludf.DUMMYFUNCTION("""COMPUTED_VALUE"""),"USD")</f>
        <v>USD</v>
      </c>
      <c r="F804" s="69">
        <f>IFERROR(__xludf.DUMMYFUNCTION("""COMPUTED_VALUE"""),0.0)</f>
        <v>0</v>
      </c>
      <c r="G804" s="70">
        <f>IFERROR(__xludf.DUMMYFUNCTION("""COMPUTED_VALUE"""),7.83915)</f>
        <v>7.83915</v>
      </c>
      <c r="H804" s="71">
        <f>IFERROR(__xludf.DUMMYFUNCTION("""COMPUTED_VALUE"""),0.0)</f>
        <v>0</v>
      </c>
      <c r="I804" s="71">
        <f>IFERROR(__xludf.DUMMYFUNCTION("""COMPUTED_VALUE"""),346.07)</f>
        <v>346.07</v>
      </c>
      <c r="J804" s="88" t="str">
        <f>IFERROR(__xludf.DUMMYFUNCTION("""COMPUTED_VALUE"""),"Goto link: BRK-B")</f>
        <v>Goto link: BRK-B</v>
      </c>
      <c r="K804" s="22"/>
      <c r="L804" s="22"/>
      <c r="M804" s="22"/>
      <c r="N804" s="22"/>
      <c r="O804" s="73"/>
      <c r="P804" s="8"/>
      <c r="Q804" s="69"/>
      <c r="R804" s="69"/>
      <c r="S804" s="8"/>
      <c r="T804" s="69"/>
      <c r="U804" s="8"/>
      <c r="V804" s="69"/>
      <c r="W804" s="74"/>
      <c r="X804" s="69"/>
    </row>
    <row r="805">
      <c r="A805" s="30" t="str">
        <f>IFERROR(__xludf.DUMMYFUNCTION("""COMPUTED_VALUE"""),"74356")</f>
        <v>74356</v>
      </c>
      <c r="B805" s="86">
        <f>IFERROR(__xludf.DUMMYFUNCTION("""COMPUTED_VALUE"""),44624.0)</f>
        <v>44624</v>
      </c>
      <c r="C805" s="64" t="str">
        <f>IFERROR(__xludf.DUMMYFUNCTION("""COMPUTED_VALUE"""),"Stock")</f>
        <v>Stock</v>
      </c>
      <c r="D805" s="87" t="str">
        <f>IFERROR(__xludf.DUMMYFUNCTION("""COMPUTED_VALUE"""),"NET")</f>
        <v>NET</v>
      </c>
      <c r="E805" s="5" t="str">
        <f>IFERROR(__xludf.DUMMYFUNCTION("""COMPUTED_VALUE"""),"USD")</f>
        <v>USD</v>
      </c>
      <c r="F805" s="69">
        <f>IFERROR(__xludf.DUMMYFUNCTION("""COMPUTED_VALUE"""),10.0)</f>
        <v>10</v>
      </c>
      <c r="G805" s="70">
        <f>IFERROR(__xludf.DUMMYFUNCTION("""COMPUTED_VALUE"""),7.83915)</f>
        <v>7.83915</v>
      </c>
      <c r="H805" s="71">
        <f>IFERROR(__xludf.DUMMYFUNCTION("""COMPUTED_VALUE"""),100.91)</f>
        <v>100.91</v>
      </c>
      <c r="I805" s="71">
        <f>IFERROR(__xludf.DUMMYFUNCTION("""COMPUTED_VALUE"""),121.55)</f>
        <v>121.55</v>
      </c>
      <c r="J805" s="88" t="str">
        <f>IFERROR(__xludf.DUMMYFUNCTION("""COMPUTED_VALUE"""),"Goto link: NET")</f>
        <v>Goto link: NET</v>
      </c>
      <c r="K805" s="22"/>
      <c r="L805" s="22"/>
      <c r="M805" s="22"/>
      <c r="N805" s="22"/>
      <c r="O805" s="73"/>
      <c r="P805" s="8"/>
      <c r="Q805" s="69"/>
      <c r="R805" s="69"/>
      <c r="S805" s="8"/>
      <c r="T805" s="69"/>
      <c r="U805" s="8"/>
      <c r="V805" s="69"/>
      <c r="W805" s="74"/>
      <c r="X805" s="69"/>
    </row>
    <row r="806">
      <c r="A806" s="30" t="str">
        <f>IFERROR(__xludf.DUMMYFUNCTION("""COMPUTED_VALUE"""),"74356")</f>
        <v>74356</v>
      </c>
      <c r="B806" s="86">
        <f>IFERROR(__xludf.DUMMYFUNCTION("""COMPUTED_VALUE"""),44630.0)</f>
        <v>44630</v>
      </c>
      <c r="C806" s="64" t="str">
        <f>IFERROR(__xludf.DUMMYFUNCTION("""COMPUTED_VALUE"""),"Stock")</f>
        <v>Stock</v>
      </c>
      <c r="D806" s="87" t="str">
        <f>IFERROR(__xludf.DUMMYFUNCTION("""COMPUTED_VALUE"""),"AAPL")</f>
        <v>AAPL</v>
      </c>
      <c r="E806" s="5" t="str">
        <f>IFERROR(__xludf.DUMMYFUNCTION("""COMPUTED_VALUE"""),"USD")</f>
        <v>USD</v>
      </c>
      <c r="F806" s="69">
        <f>IFERROR(__xludf.DUMMYFUNCTION("""COMPUTED_VALUE"""),20.0)</f>
        <v>20</v>
      </c>
      <c r="G806" s="70">
        <f>IFERROR(__xludf.DUMMYFUNCTION("""COMPUTED_VALUE"""),7.83915)</f>
        <v>7.83915</v>
      </c>
      <c r="H806" s="71">
        <f>IFERROR(__xludf.DUMMYFUNCTION("""COMPUTED_VALUE"""),162.95)</f>
        <v>162.95</v>
      </c>
      <c r="I806" s="71">
        <f>IFERROR(__xludf.DUMMYFUNCTION("""COMPUTED_VALUE"""),170.4)</f>
        <v>170.4</v>
      </c>
      <c r="J806" s="88" t="str">
        <f>IFERROR(__xludf.DUMMYFUNCTION("""COMPUTED_VALUE"""),"Goto link: AAPL")</f>
        <v>Goto link: AAPL</v>
      </c>
      <c r="K806" s="22"/>
      <c r="L806" s="22"/>
      <c r="M806" s="22"/>
      <c r="N806" s="22"/>
      <c r="O806" s="73"/>
      <c r="P806" s="8"/>
      <c r="Q806" s="69"/>
      <c r="R806" s="69"/>
      <c r="S806" s="8"/>
      <c r="T806" s="69"/>
      <c r="U806" s="8"/>
      <c r="V806" s="69"/>
      <c r="W806" s="74"/>
      <c r="X806" s="69"/>
    </row>
    <row r="807">
      <c r="A807" s="30" t="str">
        <f>IFERROR(__xludf.DUMMYFUNCTION("""COMPUTED_VALUE"""),"74356")</f>
        <v>74356</v>
      </c>
      <c r="B807" s="86">
        <f>IFERROR(__xludf.DUMMYFUNCTION("""COMPUTED_VALUE"""),44630.0)</f>
        <v>44630</v>
      </c>
      <c r="C807" s="64" t="str">
        <f>IFERROR(__xludf.DUMMYFUNCTION("""COMPUTED_VALUE"""),"Stock")</f>
        <v>Stock</v>
      </c>
      <c r="D807" s="87" t="str">
        <f>IFERROR(__xludf.DUMMYFUNCTION("""COMPUTED_VALUE"""),"BRK-B")</f>
        <v>BRK-B</v>
      </c>
      <c r="E807" s="5" t="str">
        <f>IFERROR(__xludf.DUMMYFUNCTION("""COMPUTED_VALUE"""),"USD")</f>
        <v>USD</v>
      </c>
      <c r="F807" s="69">
        <f>IFERROR(__xludf.DUMMYFUNCTION("""COMPUTED_VALUE"""),40.0)</f>
        <v>40</v>
      </c>
      <c r="G807" s="70">
        <f>IFERROR(__xludf.DUMMYFUNCTION("""COMPUTED_VALUE"""),7.83915)</f>
        <v>7.83915</v>
      </c>
      <c r="H807" s="71">
        <f>IFERROR(__xludf.DUMMYFUNCTION("""COMPUTED_VALUE"""),325.4)</f>
        <v>325.4</v>
      </c>
      <c r="I807" s="71">
        <f>IFERROR(__xludf.DUMMYFUNCTION("""COMPUTED_VALUE"""),346.07)</f>
        <v>346.07</v>
      </c>
      <c r="J807" s="88" t="str">
        <f>IFERROR(__xludf.DUMMYFUNCTION("""COMPUTED_VALUE"""),"Goto link: BRK-B")</f>
        <v>Goto link: BRK-B</v>
      </c>
      <c r="K807" s="22"/>
      <c r="L807" s="22"/>
      <c r="M807" s="22"/>
      <c r="N807" s="22"/>
      <c r="O807" s="73"/>
      <c r="P807" s="8"/>
      <c r="Q807" s="69"/>
      <c r="R807" s="69"/>
      <c r="S807" s="8"/>
      <c r="T807" s="69"/>
      <c r="U807" s="8"/>
      <c r="V807" s="69"/>
      <c r="W807" s="74"/>
      <c r="X807" s="69"/>
    </row>
    <row r="808">
      <c r="A808" s="30" t="str">
        <f>IFERROR(__xludf.DUMMYFUNCTION("""COMPUTED_VALUE"""),"74356")</f>
        <v>74356</v>
      </c>
      <c r="B808" s="86">
        <f>IFERROR(__xludf.DUMMYFUNCTION("""COMPUTED_VALUE"""),44630.0)</f>
        <v>44630</v>
      </c>
      <c r="C808" s="64" t="str">
        <f>IFERROR(__xludf.DUMMYFUNCTION("""COMPUTED_VALUE"""),"Stock")</f>
        <v>Stock</v>
      </c>
      <c r="D808" s="87" t="str">
        <f>IFERROR(__xludf.DUMMYFUNCTION("""COMPUTED_VALUE"""),"CL=F")</f>
        <v>CL=F</v>
      </c>
      <c r="E808" s="5" t="str">
        <f>IFERROR(__xludf.DUMMYFUNCTION("""COMPUTED_VALUE"""),"USD")</f>
        <v>USD</v>
      </c>
      <c r="F808" s="69">
        <f>IFERROR(__xludf.DUMMYFUNCTION("""COMPUTED_VALUE"""),100.0)</f>
        <v>100</v>
      </c>
      <c r="G808" s="70">
        <f>IFERROR(__xludf.DUMMYFUNCTION("""COMPUTED_VALUE"""),7.83915)</f>
        <v>7.83915</v>
      </c>
      <c r="H808" s="71">
        <f>IFERROR(__xludf.DUMMYFUNCTION("""COMPUTED_VALUE"""),106.04)</f>
        <v>106.04</v>
      </c>
      <c r="I808" s="71">
        <f>IFERROR(__xludf.DUMMYFUNCTION("""COMPUTED_VALUE"""),104.31)</f>
        <v>104.31</v>
      </c>
      <c r="J808" s="88" t="str">
        <f>IFERROR(__xludf.DUMMYFUNCTION("""COMPUTED_VALUE"""),"Goto link: CL=F")</f>
        <v>Goto link: CL=F</v>
      </c>
      <c r="K808" s="22"/>
      <c r="L808" s="22"/>
      <c r="M808" s="22"/>
      <c r="N808" s="22"/>
      <c r="O808" s="73"/>
      <c r="P808" s="8"/>
      <c r="Q808" s="69"/>
      <c r="R808" s="69"/>
      <c r="S808" s="8"/>
      <c r="T808" s="69"/>
      <c r="U808" s="8"/>
      <c r="V808" s="69"/>
      <c r="W808" s="74"/>
      <c r="X808" s="69"/>
    </row>
    <row r="809">
      <c r="A809" s="30" t="str">
        <f>IFERROR(__xludf.DUMMYFUNCTION("""COMPUTED_VALUE"""),"74356")</f>
        <v>74356</v>
      </c>
      <c r="B809" s="86">
        <f>IFERROR(__xludf.DUMMYFUNCTION("""COMPUTED_VALUE"""),44635.0)</f>
        <v>44635</v>
      </c>
      <c r="C809" s="64" t="str">
        <f>IFERROR(__xludf.DUMMYFUNCTION("""COMPUTED_VALUE"""),"Stock")</f>
        <v>Stock</v>
      </c>
      <c r="D809" s="87" t="str">
        <f>IFERROR(__xludf.DUMMYFUNCTION("""COMPUTED_VALUE"""),"AAPL")</f>
        <v>AAPL</v>
      </c>
      <c r="E809" s="5" t="str">
        <f>IFERROR(__xludf.DUMMYFUNCTION("""COMPUTED_VALUE"""),"USD")</f>
        <v>USD</v>
      </c>
      <c r="F809" s="69">
        <f>IFERROR(__xludf.DUMMYFUNCTION("""COMPUTED_VALUE"""),-20.0)</f>
        <v>-20</v>
      </c>
      <c r="G809" s="70">
        <f>IFERROR(__xludf.DUMMYFUNCTION("""COMPUTED_VALUE"""),7.83915)</f>
        <v>7.83915</v>
      </c>
      <c r="H809" s="71">
        <f>IFERROR(__xludf.DUMMYFUNCTION("""COMPUTED_VALUE"""),155.09)</f>
        <v>155.09</v>
      </c>
      <c r="I809" s="71">
        <f>IFERROR(__xludf.DUMMYFUNCTION("""COMPUTED_VALUE"""),170.4)</f>
        <v>170.4</v>
      </c>
      <c r="J809" s="88" t="str">
        <f>IFERROR(__xludf.DUMMYFUNCTION("""COMPUTED_VALUE"""),"Goto link: AAPL")</f>
        <v>Goto link: AAPL</v>
      </c>
      <c r="K809" s="22"/>
      <c r="L809" s="22"/>
      <c r="M809" s="22"/>
      <c r="N809" s="22"/>
      <c r="O809" s="73"/>
      <c r="P809" s="8"/>
      <c r="Q809" s="69"/>
      <c r="R809" s="69"/>
      <c r="S809" s="8"/>
      <c r="T809" s="69"/>
      <c r="U809" s="8"/>
      <c r="V809" s="69"/>
      <c r="W809" s="74"/>
      <c r="X809" s="69"/>
    </row>
    <row r="810">
      <c r="A810" s="30" t="str">
        <f>IFERROR(__xludf.DUMMYFUNCTION("""COMPUTED_VALUE"""),"74356")</f>
        <v>74356</v>
      </c>
      <c r="B810" s="86">
        <f>IFERROR(__xludf.DUMMYFUNCTION("""COMPUTED_VALUE"""),44635.0)</f>
        <v>44635</v>
      </c>
      <c r="C810" s="64" t="str">
        <f>IFERROR(__xludf.DUMMYFUNCTION("""COMPUTED_VALUE"""),"Stock")</f>
        <v>Stock</v>
      </c>
      <c r="D810" s="87" t="str">
        <f>IFERROR(__xludf.DUMMYFUNCTION("""COMPUTED_VALUE"""),"AMAT")</f>
        <v>AMAT</v>
      </c>
      <c r="E810" s="5" t="str">
        <f>IFERROR(__xludf.DUMMYFUNCTION("""COMPUTED_VALUE"""),"USD")</f>
        <v>USD</v>
      </c>
      <c r="F810" s="69">
        <f>IFERROR(__xludf.DUMMYFUNCTION("""COMPUTED_VALUE"""),-50.0)</f>
        <v>-50</v>
      </c>
      <c r="G810" s="70">
        <f>IFERROR(__xludf.DUMMYFUNCTION("""COMPUTED_VALUE"""),7.83915)</f>
        <v>7.83915</v>
      </c>
      <c r="H810" s="71">
        <f>IFERROR(__xludf.DUMMYFUNCTION("""COMPUTED_VALUE"""),124.41)</f>
        <v>124.41</v>
      </c>
      <c r="I810" s="71">
        <f>IFERROR(__xludf.DUMMYFUNCTION("""COMPUTED_VALUE"""),116.86)</f>
        <v>116.86</v>
      </c>
      <c r="J810" s="88" t="str">
        <f>IFERROR(__xludf.DUMMYFUNCTION("""COMPUTED_VALUE"""),"Goto link: AMAT")</f>
        <v>Goto link: AMAT</v>
      </c>
      <c r="K810" s="22"/>
      <c r="L810" s="22"/>
      <c r="M810" s="22"/>
      <c r="N810" s="22"/>
      <c r="O810" s="73"/>
      <c r="P810" s="8"/>
      <c r="Q810" s="69"/>
      <c r="R810" s="69"/>
      <c r="S810" s="8"/>
      <c r="T810" s="69"/>
      <c r="U810" s="8"/>
      <c r="V810" s="69"/>
      <c r="W810" s="74"/>
      <c r="X810" s="69"/>
    </row>
    <row r="811">
      <c r="A811" s="30" t="str">
        <f>IFERROR(__xludf.DUMMYFUNCTION("""COMPUTED_VALUE"""),"74356")</f>
        <v>74356</v>
      </c>
      <c r="B811" s="86">
        <f>IFERROR(__xludf.DUMMYFUNCTION("""COMPUTED_VALUE"""),44635.0)</f>
        <v>44635</v>
      </c>
      <c r="C811" s="64" t="str">
        <f>IFERROR(__xludf.DUMMYFUNCTION("""COMPUTED_VALUE"""),"Stock")</f>
        <v>Stock</v>
      </c>
      <c r="D811" s="87" t="str">
        <f>IFERROR(__xludf.DUMMYFUNCTION("""COMPUTED_VALUE"""),"BRK-B")</f>
        <v>BRK-B</v>
      </c>
      <c r="E811" s="5" t="str">
        <f>IFERROR(__xludf.DUMMYFUNCTION("""COMPUTED_VALUE"""),"USD")</f>
        <v>USD</v>
      </c>
      <c r="F811" s="69">
        <f>IFERROR(__xludf.DUMMYFUNCTION("""COMPUTED_VALUE"""),100.0)</f>
        <v>100</v>
      </c>
      <c r="G811" s="70">
        <f>IFERROR(__xludf.DUMMYFUNCTION("""COMPUTED_VALUE"""),7.83915)</f>
        <v>7.83915</v>
      </c>
      <c r="H811" s="71">
        <f>IFERROR(__xludf.DUMMYFUNCTION("""COMPUTED_VALUE"""),332.55)</f>
        <v>332.55</v>
      </c>
      <c r="I811" s="71">
        <f>IFERROR(__xludf.DUMMYFUNCTION("""COMPUTED_VALUE"""),346.07)</f>
        <v>346.07</v>
      </c>
      <c r="J811" s="88" t="str">
        <f>IFERROR(__xludf.DUMMYFUNCTION("""COMPUTED_VALUE"""),"Goto link: BRK-B")</f>
        <v>Goto link: BRK-B</v>
      </c>
      <c r="K811" s="22"/>
      <c r="L811" s="22"/>
      <c r="M811" s="22"/>
      <c r="N811" s="22"/>
      <c r="O811" s="73"/>
      <c r="P811" s="8"/>
      <c r="Q811" s="69"/>
      <c r="R811" s="69"/>
      <c r="S811" s="8"/>
      <c r="T811" s="69"/>
      <c r="U811" s="8"/>
      <c r="V811" s="69"/>
      <c r="W811" s="74"/>
      <c r="X811" s="69"/>
    </row>
    <row r="812">
      <c r="A812" s="30" t="str">
        <f>IFERROR(__xludf.DUMMYFUNCTION("""COMPUTED_VALUE"""),"74356")</f>
        <v>74356</v>
      </c>
      <c r="B812" s="86">
        <f>IFERROR(__xludf.DUMMYFUNCTION("""COMPUTED_VALUE"""),44635.0)</f>
        <v>44635</v>
      </c>
      <c r="C812" s="64" t="str">
        <f>IFERROR(__xludf.DUMMYFUNCTION("""COMPUTED_VALUE"""),"Stock")</f>
        <v>Stock</v>
      </c>
      <c r="D812" s="87" t="str">
        <f>IFERROR(__xludf.DUMMYFUNCTION("""COMPUTED_VALUE"""),"CL=F")</f>
        <v>CL=F</v>
      </c>
      <c r="E812" s="5" t="str">
        <f>IFERROR(__xludf.DUMMYFUNCTION("""COMPUTED_VALUE"""),"USD")</f>
        <v>USD</v>
      </c>
      <c r="F812" s="69">
        <f>IFERROR(__xludf.DUMMYFUNCTION("""COMPUTED_VALUE"""),-200.0)</f>
        <v>-200</v>
      </c>
      <c r="G812" s="70">
        <f>IFERROR(__xludf.DUMMYFUNCTION("""COMPUTED_VALUE"""),7.83915)</f>
        <v>7.83915</v>
      </c>
      <c r="H812" s="71">
        <f>IFERROR(__xludf.DUMMYFUNCTION("""COMPUTED_VALUE"""),96.13)</f>
        <v>96.13</v>
      </c>
      <c r="I812" s="71">
        <f>IFERROR(__xludf.DUMMYFUNCTION("""COMPUTED_VALUE"""),104.31)</f>
        <v>104.31</v>
      </c>
      <c r="J812" s="88" t="str">
        <f>IFERROR(__xludf.DUMMYFUNCTION("""COMPUTED_VALUE"""),"Goto link: CL=F")</f>
        <v>Goto link: CL=F</v>
      </c>
      <c r="K812" s="22"/>
      <c r="L812" s="22"/>
      <c r="M812" s="22"/>
      <c r="N812" s="22"/>
      <c r="O812" s="73"/>
      <c r="P812" s="8"/>
      <c r="Q812" s="69"/>
      <c r="R812" s="69"/>
      <c r="S812" s="8"/>
      <c r="T812" s="69"/>
      <c r="U812" s="8"/>
      <c r="V812" s="69"/>
      <c r="W812" s="74"/>
      <c r="X812" s="69"/>
    </row>
    <row r="813">
      <c r="A813" s="30" t="str">
        <f>IFERROR(__xludf.DUMMYFUNCTION("""COMPUTED_VALUE"""),"74356")</f>
        <v>74356</v>
      </c>
      <c r="B813" s="86">
        <f>IFERROR(__xludf.DUMMYFUNCTION("""COMPUTED_VALUE"""),44635.0)</f>
        <v>44635</v>
      </c>
      <c r="C813" s="64" t="str">
        <f>IFERROR(__xludf.DUMMYFUNCTION("""COMPUTED_VALUE"""),"Stock")</f>
        <v>Stock</v>
      </c>
      <c r="D813" s="87" t="str">
        <f>IFERROR(__xludf.DUMMYFUNCTION("""COMPUTED_VALUE"""),"IXHL")</f>
        <v>IXHL</v>
      </c>
      <c r="E813" s="5" t="str">
        <f>IFERROR(__xludf.DUMMYFUNCTION("""COMPUTED_VALUE"""),"USD")</f>
        <v>USD</v>
      </c>
      <c r="F813" s="69">
        <f>IFERROR(__xludf.DUMMYFUNCTION("""COMPUTED_VALUE"""),0.0)</f>
        <v>0</v>
      </c>
      <c r="G813" s="70">
        <f>IFERROR(__xludf.DUMMYFUNCTION("""COMPUTED_VALUE"""),7.83915)</f>
        <v>7.83915</v>
      </c>
      <c r="H813" s="71">
        <f>IFERROR(__xludf.DUMMYFUNCTION("""COMPUTED_VALUE"""),0.0)</f>
        <v>0</v>
      </c>
      <c r="I813" s="71">
        <f>IFERROR(__xludf.DUMMYFUNCTION("""COMPUTED_VALUE"""),8.27)</f>
        <v>8.27</v>
      </c>
      <c r="J813" s="88" t="str">
        <f>IFERROR(__xludf.DUMMYFUNCTION("""COMPUTED_VALUE"""),"Goto link: IXHL")</f>
        <v>Goto link: IXHL</v>
      </c>
      <c r="K813" s="22"/>
      <c r="L813" s="22"/>
      <c r="M813" s="22"/>
      <c r="N813" s="22"/>
      <c r="O813" s="73"/>
      <c r="P813" s="8"/>
      <c r="Q813" s="69"/>
      <c r="R813" s="69"/>
      <c r="S813" s="8"/>
      <c r="T813" s="69"/>
      <c r="U813" s="8"/>
      <c r="V813" s="69"/>
      <c r="W813" s="74"/>
      <c r="X813" s="69"/>
    </row>
    <row r="814">
      <c r="A814" s="30" t="str">
        <f>IFERROR(__xludf.DUMMYFUNCTION("""COMPUTED_VALUE"""),"74356")</f>
        <v>74356</v>
      </c>
      <c r="B814" s="86">
        <f>IFERROR(__xludf.DUMMYFUNCTION("""COMPUTED_VALUE"""),44635.0)</f>
        <v>44635</v>
      </c>
      <c r="C814" s="64" t="str">
        <f>IFERROR(__xludf.DUMMYFUNCTION("""COMPUTED_VALUE"""),"Stock")</f>
        <v>Stock</v>
      </c>
      <c r="D814" s="87" t="str">
        <f>IFERROR(__xludf.DUMMYFUNCTION("""COMPUTED_VALUE"""),"NET")</f>
        <v>NET</v>
      </c>
      <c r="E814" s="5" t="str">
        <f>IFERROR(__xludf.DUMMYFUNCTION("""COMPUTED_VALUE"""),"USD")</f>
        <v>USD</v>
      </c>
      <c r="F814" s="69">
        <f>IFERROR(__xludf.DUMMYFUNCTION("""COMPUTED_VALUE"""),-10.0)</f>
        <v>-10</v>
      </c>
      <c r="G814" s="70">
        <f>IFERROR(__xludf.DUMMYFUNCTION("""COMPUTED_VALUE"""),7.83915)</f>
        <v>7.83915</v>
      </c>
      <c r="H814" s="71">
        <f>IFERROR(__xludf.DUMMYFUNCTION("""COMPUTED_VALUE"""),85.94)</f>
        <v>85.94</v>
      </c>
      <c r="I814" s="71">
        <f>IFERROR(__xludf.DUMMYFUNCTION("""COMPUTED_VALUE"""),121.55)</f>
        <v>121.55</v>
      </c>
      <c r="J814" s="88" t="str">
        <f>IFERROR(__xludf.DUMMYFUNCTION("""COMPUTED_VALUE"""),"Goto link: NET")</f>
        <v>Goto link: NET</v>
      </c>
      <c r="K814" s="22"/>
      <c r="L814" s="22"/>
      <c r="M814" s="22"/>
      <c r="N814" s="22"/>
      <c r="O814" s="73"/>
      <c r="P814" s="8"/>
      <c r="Q814" s="69"/>
      <c r="R814" s="69"/>
      <c r="S814" s="8"/>
      <c r="T814" s="69"/>
      <c r="U814" s="8"/>
      <c r="V814" s="69"/>
      <c r="W814" s="74"/>
      <c r="X814" s="69"/>
    </row>
    <row r="815">
      <c r="A815" s="30" t="str">
        <f>IFERROR(__xludf.DUMMYFUNCTION("""COMPUTED_VALUE"""),"74356")</f>
        <v>74356</v>
      </c>
      <c r="B815" s="86">
        <f>IFERROR(__xludf.DUMMYFUNCTION("""COMPUTED_VALUE"""),44636.0)</f>
        <v>44636</v>
      </c>
      <c r="C815" s="64" t="str">
        <f>IFERROR(__xludf.DUMMYFUNCTION("""COMPUTED_VALUE"""),"Stock")</f>
        <v>Stock</v>
      </c>
      <c r="D815" s="90" t="str">
        <f>IFERROR(__xludf.DUMMYFUNCTION("""COMPUTED_VALUE"""),"1398.HK")</f>
        <v>1398.HK</v>
      </c>
      <c r="E815" s="5" t="str">
        <f>IFERROR(__xludf.DUMMYFUNCTION("""COMPUTED_VALUE"""),"HKD")</f>
        <v>HKD</v>
      </c>
      <c r="F815" s="69">
        <f>IFERROR(__xludf.DUMMYFUNCTION("""COMPUTED_VALUE"""),-750.0)</f>
        <v>-750</v>
      </c>
      <c r="G815" s="70">
        <f>IFERROR(__xludf.DUMMYFUNCTION("""COMPUTED_VALUE"""),1.0)</f>
        <v>1</v>
      </c>
      <c r="H815" s="71">
        <f>IFERROR(__xludf.DUMMYFUNCTION("""COMPUTED_VALUE"""),4.43)</f>
        <v>4.43</v>
      </c>
      <c r="I815" s="71">
        <f>IFERROR(__xludf.DUMMYFUNCTION("""COMPUTED_VALUE"""),4.75)</f>
        <v>4.75</v>
      </c>
      <c r="J815" s="88" t="str">
        <f>IFERROR(__xludf.DUMMYFUNCTION("""COMPUTED_VALUE"""),"Goto link: 1398.HK")</f>
        <v>Goto link: 1398.HK</v>
      </c>
      <c r="K815" s="22"/>
      <c r="L815" s="22"/>
      <c r="M815" s="22"/>
      <c r="N815" s="22"/>
      <c r="O815" s="73"/>
      <c r="P815" s="8"/>
      <c r="Q815" s="69"/>
      <c r="R815" s="69"/>
      <c r="S815" s="8"/>
      <c r="T815" s="69"/>
      <c r="U815" s="8"/>
      <c r="V815" s="69"/>
      <c r="W815" s="74"/>
      <c r="X815" s="69"/>
    </row>
    <row r="816">
      <c r="A816" s="30" t="str">
        <f>IFERROR(__xludf.DUMMYFUNCTION("""COMPUTED_VALUE"""),"74356")</f>
        <v>74356</v>
      </c>
      <c r="B816" s="86">
        <f>IFERROR(__xludf.DUMMYFUNCTION("""COMPUTED_VALUE"""),44656.0)</f>
        <v>44656</v>
      </c>
      <c r="C816" s="64" t="str">
        <f>IFERROR(__xludf.DUMMYFUNCTION("""COMPUTED_VALUE"""),"Stock")</f>
        <v>Stock</v>
      </c>
      <c r="D816" s="87" t="str">
        <f>IFERROR(__xludf.DUMMYFUNCTION("""COMPUTED_VALUE"""),"AMAT")</f>
        <v>AMAT</v>
      </c>
      <c r="E816" s="5" t="str">
        <f>IFERROR(__xludf.DUMMYFUNCTION("""COMPUTED_VALUE"""),"USD")</f>
        <v>USD</v>
      </c>
      <c r="F816" s="69">
        <f>IFERROR(__xludf.DUMMYFUNCTION("""COMPUTED_VALUE"""),100.0)</f>
        <v>100</v>
      </c>
      <c r="G816" s="70">
        <f>IFERROR(__xludf.DUMMYFUNCTION("""COMPUTED_VALUE"""),7.83915)</f>
        <v>7.83915</v>
      </c>
      <c r="H816" s="71">
        <f>IFERROR(__xludf.DUMMYFUNCTION("""COMPUTED_VALUE"""),121.71)</f>
        <v>121.71</v>
      </c>
      <c r="I816" s="71">
        <f>IFERROR(__xludf.DUMMYFUNCTION("""COMPUTED_VALUE"""),116.86)</f>
        <v>116.86</v>
      </c>
      <c r="J816" s="88" t="str">
        <f>IFERROR(__xludf.DUMMYFUNCTION("""COMPUTED_VALUE"""),"Goto link: AMAT")</f>
        <v>Goto link: AMAT</v>
      </c>
      <c r="K816" s="22"/>
      <c r="L816" s="22"/>
      <c r="M816" s="22"/>
      <c r="N816" s="22"/>
      <c r="O816" s="73"/>
      <c r="P816" s="8"/>
      <c r="Q816" s="69"/>
      <c r="R816" s="69"/>
      <c r="S816" s="8"/>
      <c r="T816" s="69"/>
      <c r="U816" s="8"/>
      <c r="V816" s="69"/>
      <c r="W816" s="74"/>
      <c r="X816" s="69"/>
    </row>
    <row r="817">
      <c r="A817" s="30" t="str">
        <f>IFERROR(__xludf.DUMMYFUNCTION("""COMPUTED_VALUE"""),"74356")</f>
        <v>74356</v>
      </c>
      <c r="B817" s="86">
        <f>IFERROR(__xludf.DUMMYFUNCTION("""COMPUTED_VALUE"""),44656.0)</f>
        <v>44656</v>
      </c>
      <c r="C817" s="64" t="str">
        <f>IFERROR(__xludf.DUMMYFUNCTION("""COMPUTED_VALUE"""),"Stock")</f>
        <v>Stock</v>
      </c>
      <c r="D817" s="87" t="str">
        <f>IFERROR(__xludf.DUMMYFUNCTION("""COMPUTED_VALUE"""),"BRK-B")</f>
        <v>BRK-B</v>
      </c>
      <c r="E817" s="5" t="str">
        <f>IFERROR(__xludf.DUMMYFUNCTION("""COMPUTED_VALUE"""),"USD")</f>
        <v>USD</v>
      </c>
      <c r="F817" s="69">
        <f>IFERROR(__xludf.DUMMYFUNCTION("""COMPUTED_VALUE"""),-140.0)</f>
        <v>-140</v>
      </c>
      <c r="G817" s="70">
        <f>IFERROR(__xludf.DUMMYFUNCTION("""COMPUTED_VALUE"""),7.83915)</f>
        <v>7.83915</v>
      </c>
      <c r="H817" s="71">
        <f>IFERROR(__xludf.DUMMYFUNCTION("""COMPUTED_VALUE"""),344.8)</f>
        <v>344.8</v>
      </c>
      <c r="I817" s="71">
        <f>IFERROR(__xludf.DUMMYFUNCTION("""COMPUTED_VALUE"""),346.07)</f>
        <v>346.07</v>
      </c>
      <c r="J817" s="88" t="str">
        <f>IFERROR(__xludf.DUMMYFUNCTION("""COMPUTED_VALUE"""),"Goto link: BRK-B")</f>
        <v>Goto link: BRK-B</v>
      </c>
      <c r="K817" s="22"/>
      <c r="L817" s="22"/>
      <c r="M817" s="22"/>
      <c r="N817" s="22"/>
      <c r="O817" s="73"/>
      <c r="P817" s="8"/>
      <c r="Q817" s="69"/>
      <c r="R817" s="69"/>
      <c r="S817" s="8"/>
      <c r="T817" s="69"/>
      <c r="U817" s="8"/>
      <c r="V817" s="69"/>
      <c r="W817" s="74"/>
      <c r="X817" s="69"/>
    </row>
    <row r="818">
      <c r="A818" s="30" t="str">
        <f>IFERROR(__xludf.DUMMYFUNCTION("""COMPUTED_VALUE"""),"74356 Total")</f>
        <v>74356 Total</v>
      </c>
      <c r="B818" s="5"/>
      <c r="C818" s="64"/>
      <c r="D818" s="85"/>
      <c r="E818" s="5"/>
      <c r="F818" s="69"/>
      <c r="G818" s="70">
        <f>IFERROR(__xludf.DUMMYFUNCTION("""COMPUTED_VALUE"""),6.362429086956522)</f>
        <v>6.362429087</v>
      </c>
      <c r="H818" s="71">
        <f>IFERROR(__xludf.DUMMYFUNCTION("""COMPUTED_VALUE"""),344.8)</f>
        <v>344.8</v>
      </c>
      <c r="I818" s="71" t="str">
        <f>IFERROR(__xludf.DUMMYFUNCTION("""COMPUTED_VALUE"""),"")</f>
        <v/>
      </c>
      <c r="J818" s="22" t="str">
        <f>IFERROR(__xludf.DUMMYFUNCTION("""COMPUTED_VALUE"""),"")</f>
        <v/>
      </c>
      <c r="K818" s="22"/>
      <c r="L818" s="22"/>
      <c r="M818" s="22"/>
      <c r="N818" s="22"/>
      <c r="O818" s="73"/>
      <c r="P818" s="8"/>
      <c r="Q818" s="69"/>
      <c r="R818" s="69"/>
      <c r="S818" s="8"/>
      <c r="T818" s="69"/>
      <c r="U818" s="8"/>
      <c r="V818" s="69"/>
      <c r="W818" s="74"/>
      <c r="X818" s="69"/>
    </row>
    <row r="819">
      <c r="A819" s="30" t="str">
        <f>IFERROR(__xludf.DUMMYFUNCTION("""COMPUTED_VALUE"""),"74641")</f>
        <v>74641</v>
      </c>
      <c r="B819" s="86">
        <f>IFERROR(__xludf.DUMMYFUNCTION("""COMPUTED_VALUE"""),44597.0)</f>
        <v>44597</v>
      </c>
      <c r="C819" s="64" t="str">
        <f>IFERROR(__xludf.DUMMYFUNCTION("""COMPUTED_VALUE"""),"Cash")</f>
        <v>Cash</v>
      </c>
      <c r="D819" s="85" t="str">
        <f>IFERROR(__xludf.DUMMYFUNCTION("""COMPUTED_VALUE"""),"Cash")</f>
        <v>Cash</v>
      </c>
      <c r="E819" s="5" t="str">
        <f>IFERROR(__xludf.DUMMYFUNCTION("""COMPUTED_VALUE"""),"HKD")</f>
        <v>HKD</v>
      </c>
      <c r="F819" s="69" t="str">
        <f>IFERROR(__xludf.DUMMYFUNCTION("""COMPUTED_VALUE"""),"")</f>
        <v/>
      </c>
      <c r="G819" s="70">
        <f>IFERROR(__xludf.DUMMYFUNCTION("""COMPUTED_VALUE"""),1.0)</f>
        <v>1</v>
      </c>
      <c r="H819" s="71">
        <f>IFERROR(__xludf.DUMMYFUNCTION("""COMPUTED_VALUE"""),1.0)</f>
        <v>1</v>
      </c>
      <c r="I819" s="71">
        <f>IFERROR(__xludf.DUMMYFUNCTION("""COMPUTED_VALUE"""),1.0)</f>
        <v>1</v>
      </c>
      <c r="J819" s="22" t="str">
        <f>IFERROR(__xludf.DUMMYFUNCTION("""COMPUTED_VALUE"""),"")</f>
        <v/>
      </c>
      <c r="K819" s="22"/>
      <c r="L819" s="22"/>
      <c r="M819" s="22"/>
      <c r="N819" s="22"/>
      <c r="O819" s="73"/>
      <c r="P819" s="8"/>
      <c r="Q819" s="69"/>
      <c r="R819" s="69"/>
      <c r="S819" s="8"/>
      <c r="T819" s="69"/>
      <c r="U819" s="8"/>
      <c r="V819" s="69"/>
      <c r="W819" s="74"/>
      <c r="X819" s="69"/>
    </row>
    <row r="820">
      <c r="A820" s="30" t="str">
        <f>IFERROR(__xludf.DUMMYFUNCTION("""COMPUTED_VALUE"""),"74641")</f>
        <v>74641</v>
      </c>
      <c r="B820" s="86">
        <f>IFERROR(__xludf.DUMMYFUNCTION("""COMPUTED_VALUE"""),44602.0)</f>
        <v>44602</v>
      </c>
      <c r="C820" s="64" t="str">
        <f>IFERROR(__xludf.DUMMYFUNCTION("""COMPUTED_VALUE"""),"Stock")</f>
        <v>Stock</v>
      </c>
      <c r="D820" s="90" t="str">
        <f>IFERROR(__xludf.DUMMYFUNCTION("""COMPUTED_VALUE"""),"601168.ss")</f>
        <v>601168.ss</v>
      </c>
      <c r="E820" s="5" t="str">
        <f>IFERROR(__xludf.DUMMYFUNCTION("""COMPUTED_VALUE"""),"CNY")</f>
        <v>CNY</v>
      </c>
      <c r="F820" s="69">
        <f>IFERROR(__xludf.DUMMYFUNCTION("""COMPUTED_VALUE"""),0.0)</f>
        <v>0</v>
      </c>
      <c r="G820" s="70">
        <f>IFERROR(__xludf.DUMMYFUNCTION("""COMPUTED_VALUE"""),1.231169)</f>
        <v>1.231169</v>
      </c>
      <c r="H820" s="71">
        <f>IFERROR(__xludf.DUMMYFUNCTION("""COMPUTED_VALUE"""),0.0)</f>
        <v>0</v>
      </c>
      <c r="I820" s="71">
        <f>IFERROR(__xludf.DUMMYFUNCTION("""COMPUTED_VALUE"""),14.18)</f>
        <v>14.18</v>
      </c>
      <c r="J820" s="88" t="str">
        <f>IFERROR(__xludf.DUMMYFUNCTION("""COMPUTED_VALUE"""),"Goto link: 601168.ss")</f>
        <v>Goto link: 601168.ss</v>
      </c>
      <c r="K820" s="22"/>
      <c r="L820" s="22"/>
      <c r="M820" s="22"/>
      <c r="N820" s="22"/>
      <c r="O820" s="73"/>
      <c r="P820" s="8"/>
      <c r="Q820" s="69"/>
      <c r="R820" s="69"/>
      <c r="S820" s="8"/>
      <c r="T820" s="69"/>
      <c r="U820" s="8"/>
      <c r="V820" s="69"/>
      <c r="W820" s="74"/>
      <c r="X820" s="69"/>
    </row>
    <row r="821">
      <c r="A821" s="30" t="str">
        <f>IFERROR(__xludf.DUMMYFUNCTION("""COMPUTED_VALUE"""),"74641")</f>
        <v>74641</v>
      </c>
      <c r="B821" s="86">
        <f>IFERROR(__xludf.DUMMYFUNCTION("""COMPUTED_VALUE"""),44606.0)</f>
        <v>44606</v>
      </c>
      <c r="C821" s="64" t="str">
        <f>IFERROR(__xludf.DUMMYFUNCTION("""COMPUTED_VALUE"""),"Stock")</f>
        <v>Stock</v>
      </c>
      <c r="D821" s="90" t="str">
        <f>IFERROR(__xludf.DUMMYFUNCTION("""COMPUTED_VALUE"""),"600986.ss")</f>
        <v>600986.ss</v>
      </c>
      <c r="E821" s="5" t="str">
        <f>IFERROR(__xludf.DUMMYFUNCTION("""COMPUTED_VALUE"""),"CNY")</f>
        <v>CNY</v>
      </c>
      <c r="F821" s="69">
        <f>IFERROR(__xludf.DUMMYFUNCTION("""COMPUTED_VALUE"""),1000.0)</f>
        <v>1000</v>
      </c>
      <c r="G821" s="70">
        <f>IFERROR(__xludf.DUMMYFUNCTION("""COMPUTED_VALUE"""),1.231169)</f>
        <v>1.231169</v>
      </c>
      <c r="H821" s="71">
        <f>IFERROR(__xludf.DUMMYFUNCTION("""COMPUTED_VALUE"""),6.63)</f>
        <v>6.63</v>
      </c>
      <c r="I821" s="71">
        <f>IFERROR(__xludf.DUMMYFUNCTION("""COMPUTED_VALUE"""),5.79)</f>
        <v>5.79</v>
      </c>
      <c r="J821" s="88" t="str">
        <f>IFERROR(__xludf.DUMMYFUNCTION("""COMPUTED_VALUE"""),"Goto link: 600986.ss")</f>
        <v>Goto link: 600986.ss</v>
      </c>
      <c r="K821" s="22"/>
      <c r="L821" s="22"/>
      <c r="M821" s="22"/>
      <c r="N821" s="22"/>
      <c r="O821" s="73"/>
      <c r="P821" s="8"/>
      <c r="Q821" s="69"/>
      <c r="R821" s="69"/>
      <c r="S821" s="8"/>
      <c r="T821" s="69"/>
      <c r="U821" s="8"/>
      <c r="V821" s="69"/>
      <c r="W821" s="74"/>
      <c r="X821" s="69"/>
    </row>
    <row r="822">
      <c r="A822" s="30" t="str">
        <f>IFERROR(__xludf.DUMMYFUNCTION("""COMPUTED_VALUE"""),"74641")</f>
        <v>74641</v>
      </c>
      <c r="B822" s="86">
        <f>IFERROR(__xludf.DUMMYFUNCTION("""COMPUTED_VALUE"""),44613.0)</f>
        <v>44613</v>
      </c>
      <c r="C822" s="64" t="str">
        <f>IFERROR(__xludf.DUMMYFUNCTION("""COMPUTED_VALUE"""),"Stock")</f>
        <v>Stock</v>
      </c>
      <c r="D822" s="90" t="str">
        <f>IFERROR(__xludf.DUMMYFUNCTION("""COMPUTED_VALUE"""),"002230.SZ")</f>
        <v>002230.SZ</v>
      </c>
      <c r="E822" s="5" t="str">
        <f>IFERROR(__xludf.DUMMYFUNCTION("""COMPUTED_VALUE"""),"CNY")</f>
        <v>CNY</v>
      </c>
      <c r="F822" s="69">
        <f>IFERROR(__xludf.DUMMYFUNCTION("""COMPUTED_VALUE"""),0.0)</f>
        <v>0</v>
      </c>
      <c r="G822" s="70">
        <f>IFERROR(__xludf.DUMMYFUNCTION("""COMPUTED_VALUE"""),1.231169)</f>
        <v>1.231169</v>
      </c>
      <c r="H822" s="71">
        <f>IFERROR(__xludf.DUMMYFUNCTION("""COMPUTED_VALUE"""),0.0)</f>
        <v>0</v>
      </c>
      <c r="I822" s="71">
        <f>IFERROR(__xludf.DUMMYFUNCTION("""COMPUTED_VALUE"""),41.71)</f>
        <v>41.71</v>
      </c>
      <c r="J822" s="88" t="str">
        <f>IFERROR(__xludf.DUMMYFUNCTION("""COMPUTED_VALUE"""),"Goto link: 002230.SZ")</f>
        <v>Goto link: 002230.SZ</v>
      </c>
      <c r="K822" s="22"/>
      <c r="L822" s="22"/>
      <c r="M822" s="22"/>
      <c r="N822" s="22"/>
      <c r="O822" s="73"/>
      <c r="P822" s="8"/>
      <c r="Q822" s="69"/>
      <c r="R822" s="69"/>
      <c r="S822" s="8"/>
      <c r="T822" s="69"/>
      <c r="U822" s="8"/>
      <c r="V822" s="69"/>
      <c r="W822" s="74"/>
      <c r="X822" s="69"/>
    </row>
    <row r="823">
      <c r="A823" s="30" t="str">
        <f>IFERROR(__xludf.DUMMYFUNCTION("""COMPUTED_VALUE"""),"74641")</f>
        <v>74641</v>
      </c>
      <c r="B823" s="86">
        <f>IFERROR(__xludf.DUMMYFUNCTION("""COMPUTED_VALUE"""),44621.0)</f>
        <v>44621</v>
      </c>
      <c r="C823" s="64" t="str">
        <f>IFERROR(__xludf.DUMMYFUNCTION("""COMPUTED_VALUE"""),"Stock")</f>
        <v>Stock</v>
      </c>
      <c r="D823" s="90" t="str">
        <f>IFERROR(__xludf.DUMMYFUNCTION("""COMPUTED_VALUE"""),"002475.SZ")</f>
        <v>002475.SZ</v>
      </c>
      <c r="E823" s="5" t="str">
        <f>IFERROR(__xludf.DUMMYFUNCTION("""COMPUTED_VALUE"""),"CNY")</f>
        <v>CNY</v>
      </c>
      <c r="F823" s="69">
        <f>IFERROR(__xludf.DUMMYFUNCTION("""COMPUTED_VALUE"""),500.0)</f>
        <v>500</v>
      </c>
      <c r="G823" s="70">
        <f>IFERROR(__xludf.DUMMYFUNCTION("""COMPUTED_VALUE"""),1.231169)</f>
        <v>1.231169</v>
      </c>
      <c r="H823" s="71">
        <f>IFERROR(__xludf.DUMMYFUNCTION("""COMPUTED_VALUE"""),43.0)</f>
        <v>43</v>
      </c>
      <c r="I823" s="71">
        <f>IFERROR(__xludf.DUMMYFUNCTION("""COMPUTED_VALUE"""),28.23)</f>
        <v>28.23</v>
      </c>
      <c r="J823" s="88" t="str">
        <f>IFERROR(__xludf.DUMMYFUNCTION("""COMPUTED_VALUE"""),"Goto link: 002475.SZ")</f>
        <v>Goto link: 002475.SZ</v>
      </c>
      <c r="K823" s="22"/>
      <c r="L823" s="22"/>
      <c r="M823" s="22"/>
      <c r="N823" s="22"/>
      <c r="O823" s="73"/>
      <c r="P823" s="8"/>
      <c r="Q823" s="69"/>
      <c r="R823" s="69"/>
      <c r="S823" s="8"/>
      <c r="T823" s="69"/>
      <c r="U823" s="8"/>
      <c r="V823" s="69"/>
      <c r="W823" s="74"/>
      <c r="X823" s="69"/>
    </row>
    <row r="824">
      <c r="A824" s="30" t="str">
        <f>IFERROR(__xludf.DUMMYFUNCTION("""COMPUTED_VALUE"""),"74641")</f>
        <v>74641</v>
      </c>
      <c r="B824" s="86">
        <f>IFERROR(__xludf.DUMMYFUNCTION("""COMPUTED_VALUE"""),44649.0)</f>
        <v>44649</v>
      </c>
      <c r="C824" s="64" t="str">
        <f>IFERROR(__xludf.DUMMYFUNCTION("""COMPUTED_VALUE"""),"Stock")</f>
        <v>Stock</v>
      </c>
      <c r="D824" s="90" t="str">
        <f>IFERROR(__xludf.DUMMYFUNCTION("""COMPUTED_VALUE"""),"000568.sz")</f>
        <v>000568.sz</v>
      </c>
      <c r="E824" s="5" t="str">
        <f>IFERROR(__xludf.DUMMYFUNCTION("""COMPUTED_VALUE"""),"CNY")</f>
        <v>CNY</v>
      </c>
      <c r="F824" s="69">
        <f>IFERROR(__xludf.DUMMYFUNCTION("""COMPUTED_VALUE"""),1000.0)</f>
        <v>1000</v>
      </c>
      <c r="G824" s="70">
        <f>IFERROR(__xludf.DUMMYFUNCTION("""COMPUTED_VALUE"""),1.231169)</f>
        <v>1.231169</v>
      </c>
      <c r="H824" s="71">
        <f>IFERROR(__xludf.DUMMYFUNCTION("""COMPUTED_VALUE"""),178.77)</f>
        <v>178.77</v>
      </c>
      <c r="I824" s="71">
        <f>IFERROR(__xludf.DUMMYFUNCTION("""COMPUTED_VALUE"""),192.7)</f>
        <v>192.7</v>
      </c>
      <c r="J824" s="88" t="str">
        <f>IFERROR(__xludf.DUMMYFUNCTION("""COMPUTED_VALUE"""),"Goto link: 000568.sz")</f>
        <v>Goto link: 000568.sz</v>
      </c>
      <c r="K824" s="22"/>
      <c r="L824" s="22"/>
      <c r="M824" s="22"/>
      <c r="N824" s="22"/>
      <c r="O824" s="73"/>
      <c r="P824" s="8"/>
      <c r="Q824" s="69"/>
      <c r="R824" s="69"/>
      <c r="S824" s="8"/>
      <c r="T824" s="69"/>
      <c r="U824" s="8"/>
      <c r="V824" s="69"/>
      <c r="W824" s="74"/>
      <c r="X824" s="69"/>
    </row>
    <row r="825">
      <c r="A825" s="30" t="str">
        <f>IFERROR(__xludf.DUMMYFUNCTION("""COMPUTED_VALUE"""),"74641")</f>
        <v>74641</v>
      </c>
      <c r="B825" s="86">
        <f>IFERROR(__xludf.DUMMYFUNCTION("""COMPUTED_VALUE"""),44649.0)</f>
        <v>44649</v>
      </c>
      <c r="C825" s="64" t="str">
        <f>IFERROR(__xludf.DUMMYFUNCTION("""COMPUTED_VALUE"""),"Stock")</f>
        <v>Stock</v>
      </c>
      <c r="D825" s="90" t="str">
        <f>IFERROR(__xludf.DUMMYFUNCTION("""COMPUTED_VALUE"""),"000568.sz")</f>
        <v>000568.sz</v>
      </c>
      <c r="E825" s="5" t="str">
        <f>IFERROR(__xludf.DUMMYFUNCTION("""COMPUTED_VALUE"""),"CNY")</f>
        <v>CNY</v>
      </c>
      <c r="F825" s="69">
        <f>IFERROR(__xludf.DUMMYFUNCTION("""COMPUTED_VALUE"""),1500.0)</f>
        <v>1500</v>
      </c>
      <c r="G825" s="70">
        <f>IFERROR(__xludf.DUMMYFUNCTION("""COMPUTED_VALUE"""),1.231169)</f>
        <v>1.231169</v>
      </c>
      <c r="H825" s="71">
        <f>IFERROR(__xludf.DUMMYFUNCTION("""COMPUTED_VALUE"""),181.9)</f>
        <v>181.9</v>
      </c>
      <c r="I825" s="71">
        <f>IFERROR(__xludf.DUMMYFUNCTION("""COMPUTED_VALUE"""),192.7)</f>
        <v>192.7</v>
      </c>
      <c r="J825" s="88" t="str">
        <f>IFERROR(__xludf.DUMMYFUNCTION("""COMPUTED_VALUE"""),"Goto link: 000568.sz")</f>
        <v>Goto link: 000568.sz</v>
      </c>
      <c r="K825" s="22"/>
      <c r="L825" s="22"/>
      <c r="M825" s="22"/>
      <c r="N825" s="22"/>
      <c r="O825" s="73"/>
      <c r="P825" s="8"/>
      <c r="Q825" s="69"/>
      <c r="R825" s="69"/>
      <c r="S825" s="8"/>
      <c r="T825" s="69"/>
      <c r="U825" s="8"/>
      <c r="V825" s="69"/>
      <c r="W825" s="74"/>
      <c r="X825" s="69"/>
    </row>
    <row r="826">
      <c r="A826" s="30" t="str">
        <f>IFERROR(__xludf.DUMMYFUNCTION("""COMPUTED_VALUE"""),"74641")</f>
        <v>74641</v>
      </c>
      <c r="B826" s="86">
        <f>IFERROR(__xludf.DUMMYFUNCTION("""COMPUTED_VALUE"""),44650.0)</f>
        <v>44650</v>
      </c>
      <c r="C826" s="64" t="str">
        <f>IFERROR(__xludf.DUMMYFUNCTION("""COMPUTED_VALUE"""),"Stock")</f>
        <v>Stock</v>
      </c>
      <c r="D826" s="90" t="str">
        <f>IFERROR(__xludf.DUMMYFUNCTION("""COMPUTED_VALUE"""),"000568.sz")</f>
        <v>000568.sz</v>
      </c>
      <c r="E826" s="5" t="str">
        <f>IFERROR(__xludf.DUMMYFUNCTION("""COMPUTED_VALUE"""),"CNY")</f>
        <v>CNY</v>
      </c>
      <c r="F826" s="69">
        <f>IFERROR(__xludf.DUMMYFUNCTION("""COMPUTED_VALUE"""),0.0)</f>
        <v>0</v>
      </c>
      <c r="G826" s="70">
        <f>IFERROR(__xludf.DUMMYFUNCTION("""COMPUTED_VALUE"""),1.231169)</f>
        <v>1.231169</v>
      </c>
      <c r="H826" s="71">
        <f>IFERROR(__xludf.DUMMYFUNCTION("""COMPUTED_VALUE"""),0.0)</f>
        <v>0</v>
      </c>
      <c r="I826" s="71">
        <f>IFERROR(__xludf.DUMMYFUNCTION("""COMPUTED_VALUE"""),192.7)</f>
        <v>192.7</v>
      </c>
      <c r="J826" s="88" t="str">
        <f>IFERROR(__xludf.DUMMYFUNCTION("""COMPUTED_VALUE"""),"Goto link: 000568.sz")</f>
        <v>Goto link: 000568.sz</v>
      </c>
      <c r="K826" s="22"/>
      <c r="L826" s="22"/>
      <c r="M826" s="22"/>
      <c r="N826" s="22"/>
      <c r="O826" s="73"/>
      <c r="P826" s="8"/>
      <c r="Q826" s="69"/>
      <c r="R826" s="69"/>
      <c r="S826" s="8"/>
      <c r="T826" s="69"/>
      <c r="U826" s="8"/>
      <c r="V826" s="69"/>
      <c r="W826" s="74"/>
      <c r="X826" s="69"/>
    </row>
    <row r="827">
      <c r="A827" s="30" t="str">
        <f>IFERROR(__xludf.DUMMYFUNCTION("""COMPUTED_VALUE"""),"74641 Total")</f>
        <v>74641 Total</v>
      </c>
      <c r="B827" s="5"/>
      <c r="C827" s="64"/>
      <c r="D827" s="85"/>
      <c r="E827" s="5"/>
      <c r="F827" s="69"/>
      <c r="G827" s="70">
        <f>IFERROR(__xludf.DUMMYFUNCTION("""COMPUTED_VALUE"""),1.2022728749999998)</f>
        <v>1.202272875</v>
      </c>
      <c r="H827" s="71">
        <f>IFERROR(__xludf.DUMMYFUNCTION("""COMPUTED_VALUE"""),181.9)</f>
        <v>181.9</v>
      </c>
      <c r="I827" s="71" t="str">
        <f>IFERROR(__xludf.DUMMYFUNCTION("""COMPUTED_VALUE"""),"")</f>
        <v/>
      </c>
      <c r="J827" s="22" t="str">
        <f>IFERROR(__xludf.DUMMYFUNCTION("""COMPUTED_VALUE"""),"")</f>
        <v/>
      </c>
      <c r="K827" s="22"/>
      <c r="L827" s="22"/>
      <c r="M827" s="22"/>
      <c r="N827" s="22"/>
      <c r="O827" s="73"/>
      <c r="P827" s="8"/>
      <c r="Q827" s="69"/>
      <c r="R827" s="69"/>
      <c r="S827" s="8"/>
      <c r="T827" s="69"/>
      <c r="U827" s="8"/>
      <c r="V827" s="69"/>
      <c r="W827" s="74"/>
      <c r="X827" s="69"/>
    </row>
    <row r="828">
      <c r="A828" s="30" t="str">
        <f>IFERROR(__xludf.DUMMYFUNCTION("""COMPUTED_VALUE"""),"74972")</f>
        <v>74972</v>
      </c>
      <c r="B828" s="86">
        <f>IFERROR(__xludf.DUMMYFUNCTION("""COMPUTED_VALUE"""),44597.0)</f>
        <v>44597</v>
      </c>
      <c r="C828" s="64" t="str">
        <f>IFERROR(__xludf.DUMMYFUNCTION("""COMPUTED_VALUE"""),"Cash")</f>
        <v>Cash</v>
      </c>
      <c r="D828" s="85" t="str">
        <f>IFERROR(__xludf.DUMMYFUNCTION("""COMPUTED_VALUE"""),"Cash")</f>
        <v>Cash</v>
      </c>
      <c r="E828" s="5" t="str">
        <f>IFERROR(__xludf.DUMMYFUNCTION("""COMPUTED_VALUE"""),"HKD")</f>
        <v>HKD</v>
      </c>
      <c r="F828" s="69" t="str">
        <f>IFERROR(__xludf.DUMMYFUNCTION("""COMPUTED_VALUE"""),"")</f>
        <v/>
      </c>
      <c r="G828" s="70">
        <f>IFERROR(__xludf.DUMMYFUNCTION("""COMPUTED_VALUE"""),1.0)</f>
        <v>1</v>
      </c>
      <c r="H828" s="71">
        <f>IFERROR(__xludf.DUMMYFUNCTION("""COMPUTED_VALUE"""),1.0)</f>
        <v>1</v>
      </c>
      <c r="I828" s="71">
        <f>IFERROR(__xludf.DUMMYFUNCTION("""COMPUTED_VALUE"""),1.0)</f>
        <v>1</v>
      </c>
      <c r="J828" s="22" t="str">
        <f>IFERROR(__xludf.DUMMYFUNCTION("""COMPUTED_VALUE"""),"")</f>
        <v/>
      </c>
      <c r="K828" s="22"/>
      <c r="L828" s="22"/>
      <c r="M828" s="22"/>
      <c r="N828" s="22"/>
      <c r="O828" s="73"/>
      <c r="P828" s="8"/>
      <c r="Q828" s="69"/>
      <c r="R828" s="69"/>
      <c r="S828" s="8"/>
      <c r="T828" s="69"/>
      <c r="U828" s="8"/>
      <c r="V828" s="69"/>
      <c r="W828" s="74"/>
      <c r="X828" s="69"/>
    </row>
    <row r="829">
      <c r="A829" s="30" t="str">
        <f>IFERROR(__xludf.DUMMYFUNCTION("""COMPUTED_VALUE"""),"74972")</f>
        <v>74972</v>
      </c>
      <c r="B829" s="86">
        <f>IFERROR(__xludf.DUMMYFUNCTION("""COMPUTED_VALUE"""),44664.0)</f>
        <v>44664</v>
      </c>
      <c r="C829" s="64" t="str">
        <f>IFERROR(__xludf.DUMMYFUNCTION("""COMPUTED_VALUE"""),"Stock")</f>
        <v>Stock</v>
      </c>
      <c r="D829" s="85" t="str">
        <f>IFERROR(__xludf.DUMMYFUNCTION("""COMPUTED_VALUE"""),"TSLA")</f>
        <v>TSLA</v>
      </c>
      <c r="E829" s="5" t="str">
        <f>IFERROR(__xludf.DUMMYFUNCTION("""COMPUTED_VALUE"""),"USD")</f>
        <v>USD</v>
      </c>
      <c r="F829" s="69">
        <f>IFERROR(__xludf.DUMMYFUNCTION("""COMPUTED_VALUE"""),0.0)</f>
        <v>0</v>
      </c>
      <c r="G829" s="70">
        <f>IFERROR(__xludf.DUMMYFUNCTION("""COMPUTED_VALUE"""),7.83915)</f>
        <v>7.83915</v>
      </c>
      <c r="H829" s="71">
        <f>IFERROR(__xludf.DUMMYFUNCTION("""COMPUTED_VALUE"""),0.0)</f>
        <v>0</v>
      </c>
      <c r="I829" s="71">
        <f>IFERROR(__xludf.DUMMYFUNCTION("""COMPUTED_VALUE"""),1022.37)</f>
        <v>1022.37</v>
      </c>
      <c r="J829" s="88" t="str">
        <f>IFERROR(__xludf.DUMMYFUNCTION("""COMPUTED_VALUE"""),"Goto link: TSLA")</f>
        <v>Goto link: TSLA</v>
      </c>
      <c r="K829" s="22"/>
      <c r="L829" s="22"/>
      <c r="M829" s="22"/>
      <c r="N829" s="22"/>
      <c r="O829" s="73"/>
      <c r="P829" s="8"/>
      <c r="Q829" s="69"/>
      <c r="R829" s="69"/>
      <c r="S829" s="8"/>
      <c r="T829" s="69"/>
      <c r="U829" s="8"/>
      <c r="V829" s="69"/>
      <c r="W829" s="74"/>
      <c r="X829" s="69"/>
    </row>
    <row r="830">
      <c r="A830" s="30" t="str">
        <f>IFERROR(__xludf.DUMMYFUNCTION("""COMPUTED_VALUE"""),"74972 Total")</f>
        <v>74972 Total</v>
      </c>
      <c r="B830" s="5"/>
      <c r="C830" s="64"/>
      <c r="D830" s="85"/>
      <c r="E830" s="5"/>
      <c r="F830" s="69"/>
      <c r="G830" s="70">
        <f>IFERROR(__xludf.DUMMYFUNCTION("""COMPUTED_VALUE"""),4.419575)</f>
        <v>4.419575</v>
      </c>
      <c r="H830" s="71">
        <f>IFERROR(__xludf.DUMMYFUNCTION("""COMPUTED_VALUE"""),1.0)</f>
        <v>1</v>
      </c>
      <c r="I830" s="71" t="str">
        <f>IFERROR(__xludf.DUMMYFUNCTION("""COMPUTED_VALUE"""),"")</f>
        <v/>
      </c>
      <c r="J830" s="22" t="str">
        <f>IFERROR(__xludf.DUMMYFUNCTION("""COMPUTED_VALUE"""),"")</f>
        <v/>
      </c>
      <c r="K830" s="22"/>
      <c r="L830" s="22"/>
      <c r="M830" s="22"/>
      <c r="N830" s="22"/>
      <c r="O830" s="73"/>
      <c r="P830" s="8"/>
      <c r="Q830" s="69"/>
      <c r="R830" s="69"/>
      <c r="S830" s="8"/>
      <c r="T830" s="69"/>
      <c r="U830" s="8"/>
      <c r="V830" s="69"/>
      <c r="W830" s="74"/>
      <c r="X830" s="69"/>
    </row>
    <row r="831">
      <c r="A831" s="30" t="str">
        <f>IFERROR(__xludf.DUMMYFUNCTION("""COMPUTED_VALUE"""),"75005")</f>
        <v>75005</v>
      </c>
      <c r="B831" s="86">
        <f>IFERROR(__xludf.DUMMYFUNCTION("""COMPUTED_VALUE"""),44597.0)</f>
        <v>44597</v>
      </c>
      <c r="C831" s="64" t="str">
        <f>IFERROR(__xludf.DUMMYFUNCTION("""COMPUTED_VALUE"""),"Cash")</f>
        <v>Cash</v>
      </c>
      <c r="D831" s="85" t="str">
        <f>IFERROR(__xludf.DUMMYFUNCTION("""COMPUTED_VALUE"""),"Cash")</f>
        <v>Cash</v>
      </c>
      <c r="E831" s="5" t="str">
        <f>IFERROR(__xludf.DUMMYFUNCTION("""COMPUTED_VALUE"""),"HKD")</f>
        <v>HKD</v>
      </c>
      <c r="F831" s="69" t="str">
        <f>IFERROR(__xludf.DUMMYFUNCTION("""COMPUTED_VALUE"""),"")</f>
        <v/>
      </c>
      <c r="G831" s="70">
        <f>IFERROR(__xludf.DUMMYFUNCTION("""COMPUTED_VALUE"""),1.0)</f>
        <v>1</v>
      </c>
      <c r="H831" s="71">
        <f>IFERROR(__xludf.DUMMYFUNCTION("""COMPUTED_VALUE"""),1.0)</f>
        <v>1</v>
      </c>
      <c r="I831" s="71">
        <f>IFERROR(__xludf.DUMMYFUNCTION("""COMPUTED_VALUE"""),1.0)</f>
        <v>1</v>
      </c>
      <c r="J831" s="22" t="str">
        <f>IFERROR(__xludf.DUMMYFUNCTION("""COMPUTED_VALUE"""),"")</f>
        <v/>
      </c>
      <c r="K831" s="22"/>
      <c r="L831" s="22"/>
      <c r="M831" s="22"/>
      <c r="N831" s="22"/>
      <c r="O831" s="73"/>
      <c r="P831" s="8"/>
      <c r="Q831" s="69"/>
      <c r="R831" s="69"/>
      <c r="S831" s="8"/>
      <c r="T831" s="69"/>
      <c r="U831" s="8"/>
      <c r="V831" s="69"/>
      <c r="W831" s="74"/>
      <c r="X831" s="69"/>
    </row>
    <row r="832">
      <c r="A832" s="30" t="str">
        <f>IFERROR(__xludf.DUMMYFUNCTION("""COMPUTED_VALUE"""),"75005 Total")</f>
        <v>75005 Total</v>
      </c>
      <c r="B832" s="5"/>
      <c r="C832" s="64"/>
      <c r="D832" s="85"/>
      <c r="E832" s="5"/>
      <c r="F832" s="69"/>
      <c r="G832" s="70">
        <f>IFERROR(__xludf.DUMMYFUNCTION("""COMPUTED_VALUE"""),1.0)</f>
        <v>1</v>
      </c>
      <c r="H832" s="71">
        <f>IFERROR(__xludf.DUMMYFUNCTION("""COMPUTED_VALUE"""),1.0)</f>
        <v>1</v>
      </c>
      <c r="I832" s="71" t="str">
        <f>IFERROR(__xludf.DUMMYFUNCTION("""COMPUTED_VALUE"""),"")</f>
        <v/>
      </c>
      <c r="J832" s="22" t="str">
        <f>IFERROR(__xludf.DUMMYFUNCTION("""COMPUTED_VALUE"""),"")</f>
        <v/>
      </c>
      <c r="K832" s="22"/>
      <c r="L832" s="22"/>
      <c r="M832" s="22"/>
      <c r="N832" s="22"/>
      <c r="O832" s="73"/>
      <c r="P832" s="8"/>
      <c r="Q832" s="69"/>
      <c r="R832" s="69"/>
      <c r="S832" s="8"/>
      <c r="T832" s="69"/>
      <c r="U832" s="8"/>
      <c r="V832" s="69"/>
      <c r="W832" s="74"/>
      <c r="X832" s="69"/>
    </row>
    <row r="833">
      <c r="A833" s="30" t="str">
        <f>IFERROR(__xludf.DUMMYFUNCTION("""COMPUTED_VALUE"""),"75076")</f>
        <v>75076</v>
      </c>
      <c r="B833" s="86">
        <f>IFERROR(__xludf.DUMMYFUNCTION("""COMPUTED_VALUE"""),44597.0)</f>
        <v>44597</v>
      </c>
      <c r="C833" s="64" t="str">
        <f>IFERROR(__xludf.DUMMYFUNCTION("""COMPUTED_VALUE"""),"Cash")</f>
        <v>Cash</v>
      </c>
      <c r="D833" s="85" t="str">
        <f>IFERROR(__xludf.DUMMYFUNCTION("""COMPUTED_VALUE"""),"Cash")</f>
        <v>Cash</v>
      </c>
      <c r="E833" s="5" t="str">
        <f>IFERROR(__xludf.DUMMYFUNCTION("""COMPUTED_VALUE"""),"HKD")</f>
        <v>HKD</v>
      </c>
      <c r="F833" s="69" t="str">
        <f>IFERROR(__xludf.DUMMYFUNCTION("""COMPUTED_VALUE"""),"")</f>
        <v/>
      </c>
      <c r="G833" s="70">
        <f>IFERROR(__xludf.DUMMYFUNCTION("""COMPUTED_VALUE"""),1.0)</f>
        <v>1</v>
      </c>
      <c r="H833" s="71">
        <f>IFERROR(__xludf.DUMMYFUNCTION("""COMPUTED_VALUE"""),1.0)</f>
        <v>1</v>
      </c>
      <c r="I833" s="71">
        <f>IFERROR(__xludf.DUMMYFUNCTION("""COMPUTED_VALUE"""),1.0)</f>
        <v>1</v>
      </c>
      <c r="J833" s="22" t="str">
        <f>IFERROR(__xludf.DUMMYFUNCTION("""COMPUTED_VALUE"""),"")</f>
        <v/>
      </c>
      <c r="K833" s="22"/>
      <c r="L833" s="22"/>
      <c r="M833" s="22"/>
      <c r="N833" s="22"/>
      <c r="O833" s="73"/>
      <c r="P833" s="8"/>
      <c r="Q833" s="69"/>
      <c r="R833" s="69"/>
      <c r="S833" s="8"/>
      <c r="T833" s="69"/>
      <c r="U833" s="8"/>
      <c r="V833" s="69"/>
      <c r="W833" s="74"/>
      <c r="X833" s="69"/>
    </row>
    <row r="834">
      <c r="A834" s="30" t="str">
        <f>IFERROR(__xludf.DUMMYFUNCTION("""COMPUTED_VALUE"""),"75076")</f>
        <v>75076</v>
      </c>
      <c r="B834" s="86">
        <f>IFERROR(__xludf.DUMMYFUNCTION("""COMPUTED_VALUE"""),44603.0)</f>
        <v>44603</v>
      </c>
      <c r="C834" s="64" t="str">
        <f>IFERROR(__xludf.DUMMYFUNCTION("""COMPUTED_VALUE"""),"Stock")</f>
        <v>Stock</v>
      </c>
      <c r="D834" s="87" t="str">
        <f>IFERROR(__xludf.DUMMYFUNCTION("""COMPUTED_VALUE"""),"XLE")</f>
        <v>XLE</v>
      </c>
      <c r="E834" s="5" t="str">
        <f>IFERROR(__xludf.DUMMYFUNCTION("""COMPUTED_VALUE"""),"USD")</f>
        <v>USD</v>
      </c>
      <c r="F834" s="69">
        <f>IFERROR(__xludf.DUMMYFUNCTION("""COMPUTED_VALUE"""),800.0)</f>
        <v>800</v>
      </c>
      <c r="G834" s="70">
        <f>IFERROR(__xludf.DUMMYFUNCTION("""COMPUTED_VALUE"""),7.83915)</f>
        <v>7.83915</v>
      </c>
      <c r="H834" s="71">
        <f>IFERROR(__xludf.DUMMYFUNCTION("""COMPUTED_VALUE"""),70.41)</f>
        <v>70.41</v>
      </c>
      <c r="I834" s="71">
        <f>IFERROR(__xludf.DUMMYFUNCTION("""COMPUTED_VALUE"""),79.6)</f>
        <v>79.6</v>
      </c>
      <c r="J834" s="88" t="str">
        <f>IFERROR(__xludf.DUMMYFUNCTION("""COMPUTED_VALUE"""),"Goto link: XLE")</f>
        <v>Goto link: XLE</v>
      </c>
      <c r="K834" s="22"/>
      <c r="L834" s="22"/>
      <c r="M834" s="22"/>
      <c r="N834" s="22"/>
      <c r="O834" s="73"/>
      <c r="P834" s="8"/>
      <c r="Q834" s="69"/>
      <c r="R834" s="69"/>
      <c r="S834" s="8"/>
      <c r="T834" s="69"/>
      <c r="U834" s="8"/>
      <c r="V834" s="69"/>
      <c r="W834" s="74"/>
      <c r="X834" s="69"/>
    </row>
    <row r="835">
      <c r="A835" s="30" t="str">
        <f>IFERROR(__xludf.DUMMYFUNCTION("""COMPUTED_VALUE"""),"75076")</f>
        <v>75076</v>
      </c>
      <c r="B835" s="86">
        <f>IFERROR(__xludf.DUMMYFUNCTION("""COMPUTED_VALUE"""),44650.0)</f>
        <v>44650</v>
      </c>
      <c r="C835" s="64" t="str">
        <f>IFERROR(__xludf.DUMMYFUNCTION("""COMPUTED_VALUE"""),"Stock")</f>
        <v>Stock</v>
      </c>
      <c r="D835" s="87" t="str">
        <f>IFERROR(__xludf.DUMMYFUNCTION("""COMPUTED_VALUE"""),"XLE")</f>
        <v>XLE</v>
      </c>
      <c r="E835" s="5" t="str">
        <f>IFERROR(__xludf.DUMMYFUNCTION("""COMPUTED_VALUE"""),"USD")</f>
        <v>USD</v>
      </c>
      <c r="F835" s="69">
        <f>IFERROR(__xludf.DUMMYFUNCTION("""COMPUTED_VALUE"""),0.0)</f>
        <v>0</v>
      </c>
      <c r="G835" s="70">
        <f>IFERROR(__xludf.DUMMYFUNCTION("""COMPUTED_VALUE"""),7.83915)</f>
        <v>7.83915</v>
      </c>
      <c r="H835" s="71">
        <f>IFERROR(__xludf.DUMMYFUNCTION("""COMPUTED_VALUE"""),0.0)</f>
        <v>0</v>
      </c>
      <c r="I835" s="71">
        <f>IFERROR(__xludf.DUMMYFUNCTION("""COMPUTED_VALUE"""),79.6)</f>
        <v>79.6</v>
      </c>
      <c r="J835" s="88" t="str">
        <f>IFERROR(__xludf.DUMMYFUNCTION("""COMPUTED_VALUE"""),"Goto link: XLE")</f>
        <v>Goto link: XLE</v>
      </c>
      <c r="K835" s="22"/>
      <c r="L835" s="22"/>
      <c r="M835" s="22"/>
      <c r="N835" s="22"/>
      <c r="O835" s="73"/>
      <c r="P835" s="8"/>
      <c r="Q835" s="69"/>
      <c r="R835" s="69"/>
      <c r="S835" s="8"/>
      <c r="T835" s="69"/>
      <c r="U835" s="8"/>
      <c r="V835" s="69"/>
      <c r="W835" s="74"/>
      <c r="X835" s="69"/>
    </row>
    <row r="836">
      <c r="A836" s="30" t="str">
        <f>IFERROR(__xludf.DUMMYFUNCTION("""COMPUTED_VALUE"""),"75076 Total")</f>
        <v>75076 Total</v>
      </c>
      <c r="B836" s="5"/>
      <c r="C836" s="64"/>
      <c r="D836" s="85"/>
      <c r="E836" s="5"/>
      <c r="F836" s="69"/>
      <c r="G836" s="70">
        <f>IFERROR(__xludf.DUMMYFUNCTION("""COMPUTED_VALUE"""),5.559433333333334)</f>
        <v>5.559433333</v>
      </c>
      <c r="H836" s="71">
        <f>IFERROR(__xludf.DUMMYFUNCTION("""COMPUTED_VALUE"""),70.41)</f>
        <v>70.41</v>
      </c>
      <c r="I836" s="71" t="str">
        <f>IFERROR(__xludf.DUMMYFUNCTION("""COMPUTED_VALUE"""),"")</f>
        <v/>
      </c>
      <c r="J836" s="22" t="str">
        <f>IFERROR(__xludf.DUMMYFUNCTION("""COMPUTED_VALUE"""),"")</f>
        <v/>
      </c>
      <c r="K836" s="22"/>
      <c r="L836" s="22"/>
      <c r="M836" s="22"/>
      <c r="N836" s="22"/>
      <c r="O836" s="73"/>
      <c r="P836" s="8"/>
      <c r="Q836" s="69"/>
      <c r="R836" s="69"/>
      <c r="S836" s="8"/>
      <c r="T836" s="69"/>
      <c r="U836" s="8"/>
      <c r="V836" s="69"/>
      <c r="W836" s="74"/>
      <c r="X836" s="69"/>
    </row>
    <row r="837">
      <c r="A837" s="30" t="str">
        <f>IFERROR(__xludf.DUMMYFUNCTION("""COMPUTED_VALUE"""),"75288")</f>
        <v>75288</v>
      </c>
      <c r="B837" s="86">
        <f>IFERROR(__xludf.DUMMYFUNCTION("""COMPUTED_VALUE"""),44597.0)</f>
        <v>44597</v>
      </c>
      <c r="C837" s="64" t="str">
        <f>IFERROR(__xludf.DUMMYFUNCTION("""COMPUTED_VALUE"""),"Cash")</f>
        <v>Cash</v>
      </c>
      <c r="D837" s="85" t="str">
        <f>IFERROR(__xludf.DUMMYFUNCTION("""COMPUTED_VALUE"""),"Cash")</f>
        <v>Cash</v>
      </c>
      <c r="E837" s="5" t="str">
        <f>IFERROR(__xludf.DUMMYFUNCTION("""COMPUTED_VALUE"""),"HKD")</f>
        <v>HKD</v>
      </c>
      <c r="F837" s="69" t="str">
        <f>IFERROR(__xludf.DUMMYFUNCTION("""COMPUTED_VALUE"""),"")</f>
        <v/>
      </c>
      <c r="G837" s="70">
        <f>IFERROR(__xludf.DUMMYFUNCTION("""COMPUTED_VALUE"""),1.0)</f>
        <v>1</v>
      </c>
      <c r="H837" s="71">
        <f>IFERROR(__xludf.DUMMYFUNCTION("""COMPUTED_VALUE"""),1.0)</f>
        <v>1</v>
      </c>
      <c r="I837" s="71">
        <f>IFERROR(__xludf.DUMMYFUNCTION("""COMPUTED_VALUE"""),1.0)</f>
        <v>1</v>
      </c>
      <c r="J837" s="22" t="str">
        <f>IFERROR(__xludf.DUMMYFUNCTION("""COMPUTED_VALUE"""),"")</f>
        <v/>
      </c>
      <c r="K837" s="22"/>
      <c r="L837" s="22"/>
      <c r="M837" s="22"/>
      <c r="N837" s="22"/>
      <c r="O837" s="73"/>
      <c r="P837" s="8"/>
      <c r="Q837" s="69"/>
      <c r="R837" s="69"/>
      <c r="S837" s="8"/>
      <c r="T837" s="69"/>
      <c r="U837" s="8"/>
      <c r="V837" s="69"/>
      <c r="W837" s="74"/>
      <c r="X837" s="69"/>
    </row>
    <row r="838">
      <c r="A838" s="30" t="str">
        <f>IFERROR(__xludf.DUMMYFUNCTION("""COMPUTED_VALUE"""),"75288")</f>
        <v>75288</v>
      </c>
      <c r="B838" s="86">
        <f>IFERROR(__xludf.DUMMYFUNCTION("""COMPUTED_VALUE"""),44610.0)</f>
        <v>44610</v>
      </c>
      <c r="C838" s="64" t="str">
        <f>IFERROR(__xludf.DUMMYFUNCTION("""COMPUTED_VALUE"""),"Stock")</f>
        <v>Stock</v>
      </c>
      <c r="D838" s="90" t="str">
        <f>IFERROR(__xludf.DUMMYFUNCTION("""COMPUTED_VALUE"""),"0700.HK")</f>
        <v>0700.HK</v>
      </c>
      <c r="E838" s="5" t="str">
        <f>IFERROR(__xludf.DUMMYFUNCTION("""COMPUTED_VALUE"""),"HKD")</f>
        <v>HKD</v>
      </c>
      <c r="F838" s="69">
        <f>IFERROR(__xludf.DUMMYFUNCTION("""COMPUTED_VALUE"""),210.0)</f>
        <v>210</v>
      </c>
      <c r="G838" s="70">
        <f>IFERROR(__xludf.DUMMYFUNCTION("""COMPUTED_VALUE"""),1.0)</f>
        <v>1</v>
      </c>
      <c r="H838" s="71">
        <f>IFERROR(__xludf.DUMMYFUNCTION("""COMPUTED_VALUE"""),479.0)</f>
        <v>479</v>
      </c>
      <c r="I838" s="71">
        <f>IFERROR(__xludf.DUMMYFUNCTION("""COMPUTED_VALUE"""),373.6)</f>
        <v>373.6</v>
      </c>
      <c r="J838" s="88" t="str">
        <f>IFERROR(__xludf.DUMMYFUNCTION("""COMPUTED_VALUE"""),"Goto link: 0700.HK")</f>
        <v>Goto link: 0700.HK</v>
      </c>
      <c r="K838" s="22"/>
      <c r="L838" s="22"/>
      <c r="M838" s="22"/>
      <c r="N838" s="22"/>
      <c r="O838" s="73"/>
      <c r="P838" s="8"/>
      <c r="Q838" s="69"/>
      <c r="R838" s="69"/>
      <c r="S838" s="8"/>
      <c r="T838" s="69"/>
      <c r="U838" s="8"/>
      <c r="V838" s="69"/>
      <c r="W838" s="74"/>
      <c r="X838" s="69"/>
    </row>
    <row r="839">
      <c r="A839" s="30" t="str">
        <f>IFERROR(__xludf.DUMMYFUNCTION("""COMPUTED_VALUE"""),"75288")</f>
        <v>75288</v>
      </c>
      <c r="B839" s="86">
        <f>IFERROR(__xludf.DUMMYFUNCTION("""COMPUTED_VALUE"""),44630.0)</f>
        <v>44630</v>
      </c>
      <c r="C839" s="64" t="str">
        <f>IFERROR(__xludf.DUMMYFUNCTION("""COMPUTED_VALUE"""),"Stock")</f>
        <v>Stock</v>
      </c>
      <c r="D839" s="90" t="str">
        <f>IFERROR(__xludf.DUMMYFUNCTION("""COMPUTED_VALUE"""),"3800.HK")</f>
        <v>3800.HK</v>
      </c>
      <c r="E839" s="5" t="str">
        <f>IFERROR(__xludf.DUMMYFUNCTION("""COMPUTED_VALUE"""),"HKD")</f>
        <v>HKD</v>
      </c>
      <c r="F839" s="69">
        <f>IFERROR(__xludf.DUMMYFUNCTION("""COMPUTED_VALUE"""),3473.0)</f>
        <v>3473</v>
      </c>
      <c r="G839" s="70">
        <f>IFERROR(__xludf.DUMMYFUNCTION("""COMPUTED_VALUE"""),1.0)</f>
        <v>1</v>
      </c>
      <c r="H839" s="71">
        <f>IFERROR(__xludf.DUMMYFUNCTION("""COMPUTED_VALUE"""),2.86)</f>
        <v>2.86</v>
      </c>
      <c r="I839" s="71">
        <f>IFERROR(__xludf.DUMMYFUNCTION("""COMPUTED_VALUE"""),2.51)</f>
        <v>2.51</v>
      </c>
      <c r="J839" s="88" t="str">
        <f>IFERROR(__xludf.DUMMYFUNCTION("""COMPUTED_VALUE"""),"Goto link: 3800.HK")</f>
        <v>Goto link: 3800.HK</v>
      </c>
      <c r="K839" s="22"/>
      <c r="L839" s="22"/>
      <c r="M839" s="22"/>
      <c r="N839" s="22"/>
      <c r="O839" s="73"/>
      <c r="P839" s="8"/>
      <c r="Q839" s="69"/>
      <c r="R839" s="69"/>
      <c r="S839" s="8"/>
      <c r="T839" s="69"/>
      <c r="U839" s="8"/>
      <c r="V839" s="69"/>
      <c r="W839" s="74"/>
      <c r="X839" s="69"/>
    </row>
    <row r="840">
      <c r="A840" s="30" t="str">
        <f>IFERROR(__xludf.DUMMYFUNCTION("""COMPUTED_VALUE"""),"75288")</f>
        <v>75288</v>
      </c>
      <c r="B840" s="86">
        <f>IFERROR(__xludf.DUMMYFUNCTION("""COMPUTED_VALUE"""),44637.0)</f>
        <v>44637</v>
      </c>
      <c r="C840" s="64" t="str">
        <f>IFERROR(__xludf.DUMMYFUNCTION("""COMPUTED_VALUE"""),"Stock")</f>
        <v>Stock</v>
      </c>
      <c r="D840" s="90" t="str">
        <f>IFERROR(__xludf.DUMMYFUNCTION("""COMPUTED_VALUE"""),"0700.HK")</f>
        <v>0700.HK</v>
      </c>
      <c r="E840" s="5" t="str">
        <f>IFERROR(__xludf.DUMMYFUNCTION("""COMPUTED_VALUE"""),"HKD")</f>
        <v>HKD</v>
      </c>
      <c r="F840" s="69">
        <f>IFERROR(__xludf.DUMMYFUNCTION("""COMPUTED_VALUE"""),-210.0)</f>
        <v>-210</v>
      </c>
      <c r="G840" s="70">
        <f>IFERROR(__xludf.DUMMYFUNCTION("""COMPUTED_VALUE"""),1.0)</f>
        <v>1</v>
      </c>
      <c r="H840" s="71">
        <f>IFERROR(__xludf.DUMMYFUNCTION("""COMPUTED_VALUE"""),390.0)</f>
        <v>390</v>
      </c>
      <c r="I840" s="71">
        <f>IFERROR(__xludf.DUMMYFUNCTION("""COMPUTED_VALUE"""),373.6)</f>
        <v>373.6</v>
      </c>
      <c r="J840" s="88" t="str">
        <f>IFERROR(__xludf.DUMMYFUNCTION("""COMPUTED_VALUE"""),"Goto link: 0700.HK")</f>
        <v>Goto link: 0700.HK</v>
      </c>
      <c r="K840" s="22"/>
      <c r="L840" s="22"/>
      <c r="M840" s="22"/>
      <c r="N840" s="22"/>
      <c r="O840" s="73"/>
      <c r="P840" s="8"/>
      <c r="Q840" s="69"/>
      <c r="R840" s="69"/>
      <c r="S840" s="8"/>
      <c r="T840" s="69"/>
      <c r="U840" s="8"/>
      <c r="V840" s="69"/>
      <c r="W840" s="74"/>
      <c r="X840" s="69"/>
    </row>
    <row r="841">
      <c r="A841" s="30" t="str">
        <f>IFERROR(__xludf.DUMMYFUNCTION("""COMPUTED_VALUE"""),"75288")</f>
        <v>75288</v>
      </c>
      <c r="B841" s="86">
        <f>IFERROR(__xludf.DUMMYFUNCTION("""COMPUTED_VALUE"""),44641.0)</f>
        <v>44641</v>
      </c>
      <c r="C841" s="64" t="str">
        <f>IFERROR(__xludf.DUMMYFUNCTION("""COMPUTED_VALUE"""),"Stock")</f>
        <v>Stock</v>
      </c>
      <c r="D841" s="90" t="str">
        <f>IFERROR(__xludf.DUMMYFUNCTION("""COMPUTED_VALUE"""),"0700.HK")</f>
        <v>0700.HK</v>
      </c>
      <c r="E841" s="5" t="str">
        <f>IFERROR(__xludf.DUMMYFUNCTION("""COMPUTED_VALUE"""),"HKD")</f>
        <v>HKD</v>
      </c>
      <c r="F841" s="69">
        <f>IFERROR(__xludf.DUMMYFUNCTION("""COMPUTED_VALUE"""),150.0)</f>
        <v>150</v>
      </c>
      <c r="G841" s="70">
        <f>IFERROR(__xludf.DUMMYFUNCTION("""COMPUTED_VALUE"""),1.0)</f>
        <v>1</v>
      </c>
      <c r="H841" s="71">
        <f>IFERROR(__xludf.DUMMYFUNCTION("""COMPUTED_VALUE"""),372.4)</f>
        <v>372.4</v>
      </c>
      <c r="I841" s="71">
        <f>IFERROR(__xludf.DUMMYFUNCTION("""COMPUTED_VALUE"""),373.6)</f>
        <v>373.6</v>
      </c>
      <c r="J841" s="88" t="str">
        <f>IFERROR(__xludf.DUMMYFUNCTION("""COMPUTED_VALUE"""),"Goto link: 0700.HK")</f>
        <v>Goto link: 0700.HK</v>
      </c>
      <c r="K841" s="22"/>
      <c r="L841" s="22"/>
      <c r="M841" s="22"/>
      <c r="N841" s="22"/>
      <c r="O841" s="73"/>
      <c r="P841" s="8"/>
      <c r="Q841" s="69"/>
      <c r="R841" s="69"/>
      <c r="S841" s="8"/>
      <c r="T841" s="69"/>
      <c r="U841" s="8"/>
      <c r="V841" s="69"/>
      <c r="W841" s="74"/>
      <c r="X841" s="69"/>
    </row>
    <row r="842">
      <c r="A842" s="30" t="str">
        <f>IFERROR(__xludf.DUMMYFUNCTION("""COMPUTED_VALUE"""),"75288")</f>
        <v>75288</v>
      </c>
      <c r="B842" s="86">
        <f>IFERROR(__xludf.DUMMYFUNCTION("""COMPUTED_VALUE"""),44641.0)</f>
        <v>44641</v>
      </c>
      <c r="C842" s="64" t="str">
        <f>IFERROR(__xludf.DUMMYFUNCTION("""COMPUTED_VALUE"""),"Stock")</f>
        <v>Stock</v>
      </c>
      <c r="D842" s="90" t="str">
        <f>IFERROR(__xludf.DUMMYFUNCTION("""COMPUTED_VALUE"""),"9868.HK")</f>
        <v>9868.HK</v>
      </c>
      <c r="E842" s="5" t="str">
        <f>IFERROR(__xludf.DUMMYFUNCTION("""COMPUTED_VALUE"""),"HKD")</f>
        <v>HKD</v>
      </c>
      <c r="F842" s="69">
        <f>IFERROR(__xludf.DUMMYFUNCTION("""COMPUTED_VALUE"""),450.0)</f>
        <v>450</v>
      </c>
      <c r="G842" s="70">
        <f>IFERROR(__xludf.DUMMYFUNCTION("""COMPUTED_VALUE"""),1.0)</f>
        <v>1</v>
      </c>
      <c r="H842" s="71">
        <f>IFERROR(__xludf.DUMMYFUNCTION("""COMPUTED_VALUE"""),105.4)</f>
        <v>105.4</v>
      </c>
      <c r="I842" s="71">
        <f>IFERROR(__xludf.DUMMYFUNCTION("""COMPUTED_VALUE"""),103.3)</f>
        <v>103.3</v>
      </c>
      <c r="J842" s="88" t="str">
        <f>IFERROR(__xludf.DUMMYFUNCTION("""COMPUTED_VALUE"""),"Goto link: 9868.HK")</f>
        <v>Goto link: 9868.HK</v>
      </c>
      <c r="K842" s="22"/>
      <c r="L842" s="22"/>
      <c r="M842" s="22"/>
      <c r="N842" s="22"/>
      <c r="O842" s="73"/>
      <c r="P842" s="8"/>
      <c r="Q842" s="69"/>
      <c r="R842" s="69"/>
      <c r="S842" s="8"/>
      <c r="T842" s="69"/>
      <c r="U842" s="8"/>
      <c r="V842" s="69"/>
      <c r="W842" s="74"/>
      <c r="X842" s="69"/>
    </row>
    <row r="843">
      <c r="A843" s="30" t="str">
        <f>IFERROR(__xludf.DUMMYFUNCTION("""COMPUTED_VALUE"""),"75288")</f>
        <v>75288</v>
      </c>
      <c r="B843" s="86">
        <f>IFERROR(__xludf.DUMMYFUNCTION("""COMPUTED_VALUE"""),44644.0)</f>
        <v>44644</v>
      </c>
      <c r="C843" s="64" t="str">
        <f>IFERROR(__xludf.DUMMYFUNCTION("""COMPUTED_VALUE"""),"Stock")</f>
        <v>Stock</v>
      </c>
      <c r="D843" s="90" t="str">
        <f>IFERROR(__xludf.DUMMYFUNCTION("""COMPUTED_VALUE"""),"9868.HK")</f>
        <v>9868.HK</v>
      </c>
      <c r="E843" s="5" t="str">
        <f>IFERROR(__xludf.DUMMYFUNCTION("""COMPUTED_VALUE"""),"HKD")</f>
        <v>HKD</v>
      </c>
      <c r="F843" s="69">
        <f>IFERROR(__xludf.DUMMYFUNCTION("""COMPUTED_VALUE"""),-300.0)</f>
        <v>-300</v>
      </c>
      <c r="G843" s="70">
        <f>IFERROR(__xludf.DUMMYFUNCTION("""COMPUTED_VALUE"""),1.0)</f>
        <v>1</v>
      </c>
      <c r="H843" s="71">
        <f>IFERROR(__xludf.DUMMYFUNCTION("""COMPUTED_VALUE"""),111.3)</f>
        <v>111.3</v>
      </c>
      <c r="I843" s="71">
        <f>IFERROR(__xludf.DUMMYFUNCTION("""COMPUTED_VALUE"""),103.3)</f>
        <v>103.3</v>
      </c>
      <c r="J843" s="88" t="str">
        <f>IFERROR(__xludf.DUMMYFUNCTION("""COMPUTED_VALUE"""),"Goto link: 9868.HK")</f>
        <v>Goto link: 9868.HK</v>
      </c>
      <c r="K843" s="22"/>
      <c r="L843" s="22"/>
      <c r="M843" s="22"/>
      <c r="N843" s="22"/>
      <c r="O843" s="73"/>
      <c r="P843" s="8"/>
      <c r="Q843" s="69"/>
      <c r="R843" s="69"/>
      <c r="S843" s="8"/>
      <c r="T843" s="69"/>
      <c r="U843" s="8"/>
      <c r="V843" s="69"/>
      <c r="W843" s="74"/>
      <c r="X843" s="69"/>
    </row>
    <row r="844">
      <c r="A844" s="30" t="str">
        <f>IFERROR(__xludf.DUMMYFUNCTION("""COMPUTED_VALUE"""),"75288")</f>
        <v>75288</v>
      </c>
      <c r="B844" s="86">
        <f>IFERROR(__xludf.DUMMYFUNCTION("""COMPUTED_VALUE"""),44657.0)</f>
        <v>44657</v>
      </c>
      <c r="C844" s="64" t="str">
        <f>IFERROR(__xludf.DUMMYFUNCTION("""COMPUTED_VALUE"""),"Stock")</f>
        <v>Stock</v>
      </c>
      <c r="D844" s="90" t="str">
        <f>IFERROR(__xludf.DUMMYFUNCTION("""COMPUTED_VALUE"""),"0241.HK")</f>
        <v>0241.HK</v>
      </c>
      <c r="E844" s="5" t="str">
        <f>IFERROR(__xludf.DUMMYFUNCTION("""COMPUTED_VALUE"""),"HKD")</f>
        <v>HKD</v>
      </c>
      <c r="F844" s="69">
        <f>IFERROR(__xludf.DUMMYFUNCTION("""COMPUTED_VALUE"""),9210.0)</f>
        <v>9210</v>
      </c>
      <c r="G844" s="70">
        <f>IFERROR(__xludf.DUMMYFUNCTION("""COMPUTED_VALUE"""),1.0)</f>
        <v>1</v>
      </c>
      <c r="H844" s="71">
        <f>IFERROR(__xludf.DUMMYFUNCTION("""COMPUTED_VALUE"""),5.2)</f>
        <v>5.2</v>
      </c>
      <c r="I844" s="71">
        <f>IFERROR(__xludf.DUMMYFUNCTION("""COMPUTED_VALUE"""),4.66)</f>
        <v>4.66</v>
      </c>
      <c r="J844" s="88" t="str">
        <f>IFERROR(__xludf.DUMMYFUNCTION("""COMPUTED_VALUE"""),"Goto link: 0241.HK")</f>
        <v>Goto link: 0241.HK</v>
      </c>
      <c r="K844" s="22"/>
      <c r="L844" s="22"/>
      <c r="M844" s="22"/>
      <c r="N844" s="22"/>
      <c r="O844" s="73"/>
      <c r="P844" s="8"/>
      <c r="Q844" s="69"/>
      <c r="R844" s="69"/>
      <c r="S844" s="8"/>
      <c r="T844" s="69"/>
      <c r="U844" s="8"/>
      <c r="V844" s="69"/>
      <c r="W844" s="74"/>
      <c r="X844" s="69"/>
    </row>
    <row r="845">
      <c r="A845" s="30" t="str">
        <f>IFERROR(__xludf.DUMMYFUNCTION("""COMPUTED_VALUE"""),"75288")</f>
        <v>75288</v>
      </c>
      <c r="B845" s="86">
        <f>IFERROR(__xludf.DUMMYFUNCTION("""COMPUTED_VALUE"""),44663.0)</f>
        <v>44663</v>
      </c>
      <c r="C845" s="64" t="str">
        <f>IFERROR(__xludf.DUMMYFUNCTION("""COMPUTED_VALUE"""),"Stock")</f>
        <v>Stock</v>
      </c>
      <c r="D845" s="85" t="str">
        <f>IFERROR(__xludf.DUMMYFUNCTION("""COMPUTED_VALUE"""),"ABNB")</f>
        <v>ABNB</v>
      </c>
      <c r="E845" s="5" t="str">
        <f>IFERROR(__xludf.DUMMYFUNCTION("""COMPUTED_VALUE"""),"USD")</f>
        <v>USD</v>
      </c>
      <c r="F845" s="69">
        <f>IFERROR(__xludf.DUMMYFUNCTION("""COMPUTED_VALUE"""),40.0)</f>
        <v>40</v>
      </c>
      <c r="G845" s="70">
        <f>IFERROR(__xludf.DUMMYFUNCTION("""COMPUTED_VALUE"""),7.83915)</f>
        <v>7.83915</v>
      </c>
      <c r="H845" s="71">
        <f>IFERROR(__xludf.DUMMYFUNCTION("""COMPUTED_VALUE"""),160.11)</f>
        <v>160.11</v>
      </c>
      <c r="I845" s="71">
        <f>IFERROR(__xludf.DUMMYFUNCTION("""COMPUTED_VALUE"""),171.85)</f>
        <v>171.85</v>
      </c>
      <c r="J845" s="88" t="str">
        <f>IFERROR(__xludf.DUMMYFUNCTION("""COMPUTED_VALUE"""),"Goto link: ABNB")</f>
        <v>Goto link: ABNB</v>
      </c>
      <c r="K845" s="22"/>
      <c r="L845" s="22"/>
      <c r="M845" s="22"/>
      <c r="N845" s="22"/>
      <c r="O845" s="73"/>
      <c r="P845" s="8"/>
      <c r="Q845" s="69"/>
      <c r="R845" s="69"/>
      <c r="S845" s="8"/>
      <c r="T845" s="69"/>
      <c r="U845" s="8"/>
      <c r="V845" s="69"/>
      <c r="W845" s="74"/>
      <c r="X845" s="69"/>
    </row>
    <row r="846">
      <c r="A846" s="30" t="str">
        <f>IFERROR(__xludf.DUMMYFUNCTION("""COMPUTED_VALUE"""),"75288")</f>
        <v>75288</v>
      </c>
      <c r="B846" s="86">
        <f>IFERROR(__xludf.DUMMYFUNCTION("""COMPUTED_VALUE"""),44664.0)</f>
        <v>44664</v>
      </c>
      <c r="C846" s="64" t="str">
        <f>IFERROR(__xludf.DUMMYFUNCTION("""COMPUTED_VALUE"""),"Stock")</f>
        <v>Stock</v>
      </c>
      <c r="D846" s="85" t="str">
        <f>IFERROR(__xludf.DUMMYFUNCTION("""COMPUTED_VALUE"""),"ABNB")</f>
        <v>ABNB</v>
      </c>
      <c r="E846" s="5" t="str">
        <f>IFERROR(__xludf.DUMMYFUNCTION("""COMPUTED_VALUE"""),"USD")</f>
        <v>USD</v>
      </c>
      <c r="F846" s="69">
        <f>IFERROR(__xludf.DUMMYFUNCTION("""COMPUTED_VALUE"""),-30.0)</f>
        <v>-30</v>
      </c>
      <c r="G846" s="70">
        <f>IFERROR(__xludf.DUMMYFUNCTION("""COMPUTED_VALUE"""),7.83915)</f>
        <v>7.83915</v>
      </c>
      <c r="H846" s="71">
        <f>IFERROR(__xludf.DUMMYFUNCTION("""COMPUTED_VALUE"""),171.85)</f>
        <v>171.85</v>
      </c>
      <c r="I846" s="71">
        <f>IFERROR(__xludf.DUMMYFUNCTION("""COMPUTED_VALUE"""),171.85)</f>
        <v>171.85</v>
      </c>
      <c r="J846" s="88" t="str">
        <f>IFERROR(__xludf.DUMMYFUNCTION("""COMPUTED_VALUE"""),"Goto link: ABNB")</f>
        <v>Goto link: ABNB</v>
      </c>
      <c r="K846" s="22"/>
      <c r="L846" s="22"/>
      <c r="M846" s="22"/>
      <c r="N846" s="22"/>
      <c r="O846" s="73"/>
      <c r="P846" s="8"/>
      <c r="Q846" s="69"/>
      <c r="R846" s="69"/>
      <c r="S846" s="8"/>
      <c r="T846" s="69"/>
      <c r="U846" s="8"/>
      <c r="V846" s="69"/>
      <c r="W846" s="74"/>
      <c r="X846" s="69"/>
    </row>
    <row r="847">
      <c r="A847" s="30" t="str">
        <f>IFERROR(__xludf.DUMMYFUNCTION("""COMPUTED_VALUE"""),"75288")</f>
        <v>75288</v>
      </c>
      <c r="B847" s="86">
        <f>IFERROR(__xludf.DUMMYFUNCTION("""COMPUTED_VALUE"""),44664.0)</f>
        <v>44664</v>
      </c>
      <c r="C847" s="64" t="str">
        <f>IFERROR(__xludf.DUMMYFUNCTION("""COMPUTED_VALUE"""),"Stock")</f>
        <v>Stock</v>
      </c>
      <c r="D847" s="85" t="str">
        <f>IFERROR(__xludf.DUMMYFUNCTION("""COMPUTED_VALUE"""),"V")</f>
        <v>V</v>
      </c>
      <c r="E847" s="5" t="str">
        <f>IFERROR(__xludf.DUMMYFUNCTION("""COMPUTED_VALUE"""),"USD")</f>
        <v>USD</v>
      </c>
      <c r="F847" s="69">
        <f>IFERROR(__xludf.DUMMYFUNCTION("""COMPUTED_VALUE"""),30.0)</f>
        <v>30</v>
      </c>
      <c r="G847" s="70">
        <f>IFERROR(__xludf.DUMMYFUNCTION("""COMPUTED_VALUE"""),7.83915)</f>
        <v>7.83915</v>
      </c>
      <c r="H847" s="71">
        <f>IFERROR(__xludf.DUMMYFUNCTION("""COMPUTED_VALUE"""),213.34)</f>
        <v>213.34</v>
      </c>
      <c r="I847" s="71">
        <f>IFERROR(__xludf.DUMMYFUNCTION("""COMPUTED_VALUE"""),213.32)</f>
        <v>213.32</v>
      </c>
      <c r="J847" s="88" t="str">
        <f>IFERROR(__xludf.DUMMYFUNCTION("""COMPUTED_VALUE"""),"Goto link: V")</f>
        <v>Goto link: V</v>
      </c>
      <c r="K847" s="22"/>
      <c r="L847" s="22"/>
      <c r="M847" s="22"/>
      <c r="N847" s="22"/>
      <c r="O847" s="73"/>
      <c r="P847" s="8"/>
      <c r="Q847" s="69"/>
      <c r="R847" s="69"/>
      <c r="S847" s="8"/>
      <c r="T847" s="69"/>
      <c r="U847" s="8"/>
      <c r="V847" s="69"/>
      <c r="W847" s="74"/>
      <c r="X847" s="69"/>
    </row>
    <row r="848">
      <c r="A848" s="30" t="str">
        <f>IFERROR(__xludf.DUMMYFUNCTION("""COMPUTED_VALUE"""),"75288 Total")</f>
        <v>75288 Total</v>
      </c>
      <c r="B848" s="5"/>
      <c r="C848" s="64"/>
      <c r="D848" s="85"/>
      <c r="E848" s="5"/>
      <c r="F848" s="69"/>
      <c r="G848" s="70">
        <f>IFERROR(__xludf.DUMMYFUNCTION("""COMPUTED_VALUE"""),2.865222727272727)</f>
        <v>2.865222727</v>
      </c>
      <c r="H848" s="71">
        <f>IFERROR(__xludf.DUMMYFUNCTION("""COMPUTED_VALUE"""),479.0)</f>
        <v>479</v>
      </c>
      <c r="I848" s="71" t="str">
        <f>IFERROR(__xludf.DUMMYFUNCTION("""COMPUTED_VALUE"""),"")</f>
        <v/>
      </c>
      <c r="J848" s="22" t="str">
        <f>IFERROR(__xludf.DUMMYFUNCTION("""COMPUTED_VALUE"""),"")</f>
        <v/>
      </c>
      <c r="K848" s="22"/>
      <c r="L848" s="22"/>
      <c r="M848" s="22"/>
      <c r="N848" s="22"/>
      <c r="O848" s="73"/>
      <c r="P848" s="8"/>
      <c r="Q848" s="69"/>
      <c r="R848" s="69"/>
      <c r="S848" s="8"/>
      <c r="T848" s="69"/>
      <c r="U848" s="8"/>
      <c r="V848" s="69"/>
      <c r="W848" s="74"/>
      <c r="X848" s="69"/>
    </row>
    <row r="849">
      <c r="A849" s="30" t="str">
        <f>IFERROR(__xludf.DUMMYFUNCTION("""COMPUTED_VALUE"""),"75369")</f>
        <v>75369</v>
      </c>
      <c r="B849" s="86">
        <f>IFERROR(__xludf.DUMMYFUNCTION("""COMPUTED_VALUE"""),44597.0)</f>
        <v>44597</v>
      </c>
      <c r="C849" s="64" t="str">
        <f>IFERROR(__xludf.DUMMYFUNCTION("""COMPUTED_VALUE"""),"Cash")</f>
        <v>Cash</v>
      </c>
      <c r="D849" s="85" t="str">
        <f>IFERROR(__xludf.DUMMYFUNCTION("""COMPUTED_VALUE"""),"Cash")</f>
        <v>Cash</v>
      </c>
      <c r="E849" s="5" t="str">
        <f>IFERROR(__xludf.DUMMYFUNCTION("""COMPUTED_VALUE"""),"HKD")</f>
        <v>HKD</v>
      </c>
      <c r="F849" s="69" t="str">
        <f>IFERROR(__xludf.DUMMYFUNCTION("""COMPUTED_VALUE"""),"")</f>
        <v/>
      </c>
      <c r="G849" s="70">
        <f>IFERROR(__xludf.DUMMYFUNCTION("""COMPUTED_VALUE"""),1.0)</f>
        <v>1</v>
      </c>
      <c r="H849" s="71">
        <f>IFERROR(__xludf.DUMMYFUNCTION("""COMPUTED_VALUE"""),1.0)</f>
        <v>1</v>
      </c>
      <c r="I849" s="71">
        <f>IFERROR(__xludf.DUMMYFUNCTION("""COMPUTED_VALUE"""),1.0)</f>
        <v>1</v>
      </c>
      <c r="J849" s="22" t="str">
        <f>IFERROR(__xludf.DUMMYFUNCTION("""COMPUTED_VALUE"""),"")</f>
        <v/>
      </c>
      <c r="K849" s="22"/>
      <c r="L849" s="22"/>
      <c r="M849" s="22"/>
      <c r="N849" s="22"/>
      <c r="O849" s="73"/>
      <c r="P849" s="8"/>
      <c r="Q849" s="69"/>
      <c r="R849" s="69"/>
      <c r="S849" s="8"/>
      <c r="T849" s="69"/>
      <c r="U849" s="8"/>
      <c r="V849" s="69"/>
      <c r="W849" s="74"/>
      <c r="X849" s="69"/>
    </row>
    <row r="850">
      <c r="A850" s="30" t="str">
        <f>IFERROR(__xludf.DUMMYFUNCTION("""COMPUTED_VALUE"""),"75369")</f>
        <v>75369</v>
      </c>
      <c r="B850" s="86">
        <f>IFERROR(__xludf.DUMMYFUNCTION("""COMPUTED_VALUE"""),44642.0)</f>
        <v>44642</v>
      </c>
      <c r="C850" s="64" t="str">
        <f>IFERROR(__xludf.DUMMYFUNCTION("""COMPUTED_VALUE"""),"Stock")</f>
        <v>Stock</v>
      </c>
      <c r="D850" s="90" t="str">
        <f>IFERROR(__xludf.DUMMYFUNCTION("""COMPUTED_VALUE"""),"1810.hk")</f>
        <v>1810.hk</v>
      </c>
      <c r="E850" s="5" t="str">
        <f>IFERROR(__xludf.DUMMYFUNCTION("""COMPUTED_VALUE"""),"HKD")</f>
        <v>HKD</v>
      </c>
      <c r="F850" s="69">
        <f>IFERROR(__xludf.DUMMYFUNCTION("""COMPUTED_VALUE"""),0.0)</f>
        <v>0</v>
      </c>
      <c r="G850" s="70">
        <f>IFERROR(__xludf.DUMMYFUNCTION("""COMPUTED_VALUE"""),1.0)</f>
        <v>1</v>
      </c>
      <c r="H850" s="71">
        <f>IFERROR(__xludf.DUMMYFUNCTION("""COMPUTED_VALUE"""),14.2)</f>
        <v>14.2</v>
      </c>
      <c r="I850" s="71">
        <f>IFERROR(__xludf.DUMMYFUNCTION("""COMPUTED_VALUE"""),12.36)</f>
        <v>12.36</v>
      </c>
      <c r="J850" s="88" t="str">
        <f>IFERROR(__xludf.DUMMYFUNCTION("""COMPUTED_VALUE"""),"Goto link: 1810.hk")</f>
        <v>Goto link: 1810.hk</v>
      </c>
      <c r="K850" s="22"/>
      <c r="L850" s="22"/>
      <c r="M850" s="22"/>
      <c r="N850" s="22"/>
      <c r="O850" s="73"/>
      <c r="P850" s="8"/>
      <c r="Q850" s="69"/>
      <c r="R850" s="69"/>
      <c r="S850" s="8"/>
      <c r="T850" s="69"/>
      <c r="U850" s="8"/>
      <c r="V850" s="69"/>
      <c r="W850" s="74"/>
      <c r="X850" s="69"/>
    </row>
    <row r="851">
      <c r="A851" s="30" t="str">
        <f>IFERROR(__xludf.DUMMYFUNCTION("""COMPUTED_VALUE"""),"75369")</f>
        <v>75369</v>
      </c>
      <c r="B851" s="86">
        <f>IFERROR(__xludf.DUMMYFUNCTION("""COMPUTED_VALUE"""),44644.0)</f>
        <v>44644</v>
      </c>
      <c r="C851" s="64" t="str">
        <f>IFERROR(__xludf.DUMMYFUNCTION("""COMPUTED_VALUE"""),"Stock")</f>
        <v>Stock</v>
      </c>
      <c r="D851" s="90" t="str">
        <f>IFERROR(__xludf.DUMMYFUNCTION("""COMPUTED_VALUE"""),"0700.hk")</f>
        <v>0700.hk</v>
      </c>
      <c r="E851" s="5" t="str">
        <f>IFERROR(__xludf.DUMMYFUNCTION("""COMPUTED_VALUE"""),"HKD")</f>
        <v>HKD</v>
      </c>
      <c r="F851" s="69">
        <f>IFERROR(__xludf.DUMMYFUNCTION("""COMPUTED_VALUE"""),100.0)</f>
        <v>100</v>
      </c>
      <c r="G851" s="70">
        <f>IFERROR(__xludf.DUMMYFUNCTION("""COMPUTED_VALUE"""),1.0)</f>
        <v>1</v>
      </c>
      <c r="H851" s="71">
        <f>IFERROR(__xludf.DUMMYFUNCTION("""COMPUTED_VALUE"""),366.0)</f>
        <v>366</v>
      </c>
      <c r="I851" s="71">
        <f>IFERROR(__xludf.DUMMYFUNCTION("""COMPUTED_VALUE"""),373.6)</f>
        <v>373.6</v>
      </c>
      <c r="J851" s="88" t="str">
        <f>IFERROR(__xludf.DUMMYFUNCTION("""COMPUTED_VALUE"""),"Goto link: 0700.hk")</f>
        <v>Goto link: 0700.hk</v>
      </c>
      <c r="K851" s="22"/>
      <c r="L851" s="22"/>
      <c r="M851" s="22"/>
      <c r="N851" s="22"/>
      <c r="O851" s="73"/>
      <c r="P851" s="8"/>
      <c r="Q851" s="69"/>
      <c r="R851" s="69"/>
      <c r="S851" s="8"/>
      <c r="T851" s="69"/>
      <c r="U851" s="8"/>
      <c r="V851" s="69"/>
      <c r="W851" s="74"/>
      <c r="X851" s="69"/>
    </row>
    <row r="852">
      <c r="A852" s="30" t="str">
        <f>IFERROR(__xludf.DUMMYFUNCTION("""COMPUTED_VALUE"""),"75369")</f>
        <v>75369</v>
      </c>
      <c r="B852" s="86">
        <f>IFERROR(__xludf.DUMMYFUNCTION("""COMPUTED_VALUE"""),44644.0)</f>
        <v>44644</v>
      </c>
      <c r="C852" s="64" t="str">
        <f>IFERROR(__xludf.DUMMYFUNCTION("""COMPUTED_VALUE"""),"Stock")</f>
        <v>Stock</v>
      </c>
      <c r="D852" s="90" t="str">
        <f>IFERROR(__xludf.DUMMYFUNCTION("""COMPUTED_VALUE"""),"3690.hk")</f>
        <v>3690.hk</v>
      </c>
      <c r="E852" s="5" t="str">
        <f>IFERROR(__xludf.DUMMYFUNCTION("""COMPUTED_VALUE"""),"HKD")</f>
        <v>HKD</v>
      </c>
      <c r="F852" s="69">
        <f>IFERROR(__xludf.DUMMYFUNCTION("""COMPUTED_VALUE"""),200.0)</f>
        <v>200</v>
      </c>
      <c r="G852" s="70">
        <f>IFERROR(__xludf.DUMMYFUNCTION("""COMPUTED_VALUE"""),1.0)</f>
        <v>1</v>
      </c>
      <c r="H852" s="71">
        <f>IFERROR(__xludf.DUMMYFUNCTION("""COMPUTED_VALUE"""),147.0)</f>
        <v>147</v>
      </c>
      <c r="I852" s="71">
        <f>IFERROR(__xludf.DUMMYFUNCTION("""COMPUTED_VALUE"""),154.1)</f>
        <v>154.1</v>
      </c>
      <c r="J852" s="88" t="str">
        <f>IFERROR(__xludf.DUMMYFUNCTION("""COMPUTED_VALUE"""),"Goto link: 3690.hk")</f>
        <v>Goto link: 3690.hk</v>
      </c>
      <c r="K852" s="22"/>
      <c r="L852" s="22"/>
      <c r="M852" s="22"/>
      <c r="N852" s="22"/>
      <c r="O852" s="73"/>
      <c r="P852" s="8"/>
      <c r="Q852" s="69"/>
      <c r="R852" s="69"/>
      <c r="S852" s="8"/>
      <c r="T852" s="69"/>
      <c r="U852" s="8"/>
      <c r="V852" s="69"/>
      <c r="W852" s="74"/>
      <c r="X852" s="69"/>
    </row>
    <row r="853">
      <c r="A853" s="30" t="str">
        <f>IFERROR(__xludf.DUMMYFUNCTION("""COMPUTED_VALUE"""),"75369")</f>
        <v>75369</v>
      </c>
      <c r="B853" s="86">
        <f>IFERROR(__xludf.DUMMYFUNCTION("""COMPUTED_VALUE"""),44644.0)</f>
        <v>44644</v>
      </c>
      <c r="C853" s="64" t="str">
        <f>IFERROR(__xludf.DUMMYFUNCTION("""COMPUTED_VALUE"""),"Stock")</f>
        <v>Stock</v>
      </c>
      <c r="D853" s="87" t="str">
        <f>IFERROR(__xludf.DUMMYFUNCTION("""COMPUTED_VALUE"""),"TSLA")</f>
        <v>TSLA</v>
      </c>
      <c r="E853" s="5" t="str">
        <f>IFERROR(__xludf.DUMMYFUNCTION("""COMPUTED_VALUE"""),"USD")</f>
        <v>USD</v>
      </c>
      <c r="F853" s="69" t="str">
        <f>IFERROR(__xludf.DUMMYFUNCTION("""COMPUTED_VALUE"""),"")</f>
        <v/>
      </c>
      <c r="G853" s="70">
        <f>IFERROR(__xludf.DUMMYFUNCTION("""COMPUTED_VALUE"""),7.83915)</f>
        <v>7.83915</v>
      </c>
      <c r="H853" s="71">
        <f>IFERROR(__xludf.DUMMYFUNCTION("""COMPUTED_VALUE"""),1013.92)</f>
        <v>1013.92</v>
      </c>
      <c r="I853" s="71">
        <f>IFERROR(__xludf.DUMMYFUNCTION("""COMPUTED_VALUE"""),1022.37)</f>
        <v>1022.37</v>
      </c>
      <c r="J853" s="88" t="str">
        <f>IFERROR(__xludf.DUMMYFUNCTION("""COMPUTED_VALUE"""),"Goto link: TSLA")</f>
        <v>Goto link: TSLA</v>
      </c>
      <c r="K853" s="22"/>
      <c r="L853" s="22"/>
      <c r="M853" s="22"/>
      <c r="N853" s="22"/>
      <c r="O853" s="73"/>
      <c r="P853" s="8"/>
      <c r="Q853" s="69"/>
      <c r="R853" s="69"/>
      <c r="S853" s="8"/>
      <c r="T853" s="69"/>
      <c r="U853" s="8"/>
      <c r="V853" s="69"/>
      <c r="W853" s="74"/>
      <c r="X853" s="69"/>
    </row>
    <row r="854">
      <c r="A854" s="30" t="str">
        <f>IFERROR(__xludf.DUMMYFUNCTION("""COMPUTED_VALUE"""),"75369")</f>
        <v>75369</v>
      </c>
      <c r="B854" s="86">
        <f>IFERROR(__xludf.DUMMYFUNCTION("""COMPUTED_VALUE"""),44645.0)</f>
        <v>44645</v>
      </c>
      <c r="C854" s="64" t="str">
        <f>IFERROR(__xludf.DUMMYFUNCTION("""COMPUTED_VALUE"""),"Stock")</f>
        <v>Stock</v>
      </c>
      <c r="D854" s="87" t="str">
        <f>IFERROR(__xludf.DUMMYFUNCTION("""COMPUTED_VALUE"""),"TSLA")</f>
        <v>TSLA</v>
      </c>
      <c r="E854" s="5" t="str">
        <f>IFERROR(__xludf.DUMMYFUNCTION("""COMPUTED_VALUE"""),"USD")</f>
        <v>USD</v>
      </c>
      <c r="F854" s="69" t="str">
        <f>IFERROR(__xludf.DUMMYFUNCTION("""COMPUTED_VALUE"""),"")</f>
        <v/>
      </c>
      <c r="G854" s="70">
        <f>IFERROR(__xludf.DUMMYFUNCTION("""COMPUTED_VALUE"""),7.83915)</f>
        <v>7.83915</v>
      </c>
      <c r="H854" s="71">
        <f>IFERROR(__xludf.DUMMYFUNCTION("""COMPUTED_VALUE"""),1010.64)</f>
        <v>1010.64</v>
      </c>
      <c r="I854" s="71">
        <f>IFERROR(__xludf.DUMMYFUNCTION("""COMPUTED_VALUE"""),1022.37)</f>
        <v>1022.37</v>
      </c>
      <c r="J854" s="88" t="str">
        <f>IFERROR(__xludf.DUMMYFUNCTION("""COMPUTED_VALUE"""),"Goto link: TSLA")</f>
        <v>Goto link: TSLA</v>
      </c>
      <c r="K854" s="22"/>
      <c r="L854" s="22"/>
      <c r="M854" s="22"/>
      <c r="N854" s="22"/>
      <c r="O854" s="73"/>
      <c r="P854" s="8"/>
      <c r="Q854" s="69"/>
      <c r="R854" s="69"/>
      <c r="S854" s="8"/>
      <c r="T854" s="69"/>
      <c r="U854" s="8"/>
      <c r="V854" s="69"/>
      <c r="W854" s="74"/>
      <c r="X854" s="69"/>
    </row>
    <row r="855">
      <c r="A855" s="30" t="str">
        <f>IFERROR(__xludf.DUMMYFUNCTION("""COMPUTED_VALUE"""),"75369")</f>
        <v>75369</v>
      </c>
      <c r="B855" s="86">
        <f>IFERROR(__xludf.DUMMYFUNCTION("""COMPUTED_VALUE"""),44648.0)</f>
        <v>44648</v>
      </c>
      <c r="C855" s="64" t="str">
        <f>IFERROR(__xludf.DUMMYFUNCTION("""COMPUTED_VALUE"""),"Stock")</f>
        <v>Stock</v>
      </c>
      <c r="D855" s="90" t="str">
        <f>IFERROR(__xludf.DUMMYFUNCTION("""COMPUTED_VALUE"""),"3690.hk")</f>
        <v>3690.hk</v>
      </c>
      <c r="E855" s="5" t="str">
        <f>IFERROR(__xludf.DUMMYFUNCTION("""COMPUTED_VALUE"""),"HKD")</f>
        <v>HKD</v>
      </c>
      <c r="F855" s="69">
        <f>IFERROR(__xludf.DUMMYFUNCTION("""COMPUTED_VALUE"""),-200.0)</f>
        <v>-200</v>
      </c>
      <c r="G855" s="70">
        <f>IFERROR(__xludf.DUMMYFUNCTION("""COMPUTED_VALUE"""),1.0)</f>
        <v>1</v>
      </c>
      <c r="H855" s="71">
        <f>IFERROR(__xludf.DUMMYFUNCTION("""COMPUTED_VALUE"""),150.6)</f>
        <v>150.6</v>
      </c>
      <c r="I855" s="71">
        <f>IFERROR(__xludf.DUMMYFUNCTION("""COMPUTED_VALUE"""),154.1)</f>
        <v>154.1</v>
      </c>
      <c r="J855" s="88" t="str">
        <f>IFERROR(__xludf.DUMMYFUNCTION("""COMPUTED_VALUE"""),"Goto link: 3690.hk")</f>
        <v>Goto link: 3690.hk</v>
      </c>
      <c r="K855" s="22"/>
      <c r="L855" s="22"/>
      <c r="M855" s="22"/>
      <c r="N855" s="22"/>
      <c r="O855" s="73"/>
      <c r="P855" s="8"/>
      <c r="Q855" s="69"/>
      <c r="R855" s="69"/>
      <c r="S855" s="8"/>
      <c r="T855" s="69"/>
      <c r="U855" s="8"/>
      <c r="V855" s="69"/>
      <c r="W855" s="74"/>
      <c r="X855" s="69"/>
    </row>
    <row r="856">
      <c r="A856" s="30" t="str">
        <f>IFERROR(__xludf.DUMMYFUNCTION("""COMPUTED_VALUE"""),"75369")</f>
        <v>75369</v>
      </c>
      <c r="B856" s="86">
        <f>IFERROR(__xludf.DUMMYFUNCTION("""COMPUTED_VALUE"""),44648.0)</f>
        <v>44648</v>
      </c>
      <c r="C856" s="64" t="str">
        <f>IFERROR(__xludf.DUMMYFUNCTION("""COMPUTED_VALUE"""),"Stock")</f>
        <v>Stock</v>
      </c>
      <c r="D856" s="87" t="str">
        <f>IFERROR(__xludf.DUMMYFUNCTION("""COMPUTED_VALUE"""),"FB")</f>
        <v>FB</v>
      </c>
      <c r="E856" s="5" t="str">
        <f>IFERROR(__xludf.DUMMYFUNCTION("""COMPUTED_VALUE"""),"USD")</f>
        <v>USD</v>
      </c>
      <c r="F856" s="69">
        <f>IFERROR(__xludf.DUMMYFUNCTION("""COMPUTED_VALUE"""),250.0)</f>
        <v>250</v>
      </c>
      <c r="G856" s="70">
        <f>IFERROR(__xludf.DUMMYFUNCTION("""COMPUTED_VALUE"""),7.83915)</f>
        <v>7.83915</v>
      </c>
      <c r="H856" s="71">
        <f>IFERROR(__xludf.DUMMYFUNCTION("""COMPUTED_VALUE"""),223.59)</f>
        <v>223.59</v>
      </c>
      <c r="I856" s="71">
        <f>IFERROR(__xludf.DUMMYFUNCTION("""COMPUTED_VALUE"""),214.99)</f>
        <v>214.99</v>
      </c>
      <c r="J856" s="88" t="str">
        <f>IFERROR(__xludf.DUMMYFUNCTION("""COMPUTED_VALUE"""),"Goto link: FB")</f>
        <v>Goto link: FB</v>
      </c>
      <c r="K856" s="22"/>
      <c r="L856" s="22"/>
      <c r="M856" s="22"/>
      <c r="N856" s="22"/>
      <c r="O856" s="73"/>
      <c r="P856" s="8"/>
      <c r="Q856" s="69"/>
      <c r="R856" s="69"/>
      <c r="S856" s="8"/>
      <c r="T856" s="69"/>
      <c r="U856" s="8"/>
      <c r="V856" s="69"/>
      <c r="W856" s="74"/>
      <c r="X856" s="69"/>
    </row>
    <row r="857">
      <c r="A857" s="30" t="str">
        <f>IFERROR(__xludf.DUMMYFUNCTION("""COMPUTED_VALUE"""),"75369")</f>
        <v>75369</v>
      </c>
      <c r="B857" s="86">
        <f>IFERROR(__xludf.DUMMYFUNCTION("""COMPUTED_VALUE"""),44649.0)</f>
        <v>44649</v>
      </c>
      <c r="C857" s="64" t="str">
        <f>IFERROR(__xludf.DUMMYFUNCTION("""COMPUTED_VALUE"""),"Stock")</f>
        <v>Stock</v>
      </c>
      <c r="D857" s="87" t="str">
        <f>IFERROR(__xludf.DUMMYFUNCTION("""COMPUTED_VALUE"""),"AAPL")</f>
        <v>AAPL</v>
      </c>
      <c r="E857" s="5" t="str">
        <f>IFERROR(__xludf.DUMMYFUNCTION("""COMPUTED_VALUE"""),"USD")</f>
        <v>USD</v>
      </c>
      <c r="F857" s="69" t="str">
        <f>IFERROR(__xludf.DUMMYFUNCTION("""COMPUTED_VALUE"""),"")</f>
        <v/>
      </c>
      <c r="G857" s="70">
        <f>IFERROR(__xludf.DUMMYFUNCTION("""COMPUTED_VALUE"""),7.83915)</f>
        <v>7.83915</v>
      </c>
      <c r="H857" s="71">
        <f>IFERROR(__xludf.DUMMYFUNCTION("""COMPUTED_VALUE"""),178.96)</f>
        <v>178.96</v>
      </c>
      <c r="I857" s="71">
        <f>IFERROR(__xludf.DUMMYFUNCTION("""COMPUTED_VALUE"""),170.4)</f>
        <v>170.4</v>
      </c>
      <c r="J857" s="88" t="str">
        <f>IFERROR(__xludf.DUMMYFUNCTION("""COMPUTED_VALUE"""),"Goto link: AAPL")</f>
        <v>Goto link: AAPL</v>
      </c>
      <c r="K857" s="22"/>
      <c r="L857" s="22"/>
      <c r="M857" s="22"/>
      <c r="N857" s="22"/>
      <c r="O857" s="73"/>
      <c r="P857" s="8"/>
      <c r="Q857" s="69"/>
      <c r="R857" s="69"/>
      <c r="S857" s="8"/>
      <c r="T857" s="69"/>
      <c r="U857" s="8"/>
      <c r="V857" s="69"/>
      <c r="W857" s="74"/>
      <c r="X857" s="69"/>
    </row>
    <row r="858">
      <c r="A858" s="30" t="str">
        <f>IFERROR(__xludf.DUMMYFUNCTION("""COMPUTED_VALUE"""),"75369")</f>
        <v>75369</v>
      </c>
      <c r="B858" s="86">
        <f>IFERROR(__xludf.DUMMYFUNCTION("""COMPUTED_VALUE"""),44649.0)</f>
        <v>44649</v>
      </c>
      <c r="C858" s="64" t="str">
        <f>IFERROR(__xludf.DUMMYFUNCTION("""COMPUTED_VALUE"""),"Stock")</f>
        <v>Stock</v>
      </c>
      <c r="D858" s="87" t="str">
        <f>IFERROR(__xludf.DUMMYFUNCTION("""COMPUTED_VALUE"""),"BABA")</f>
        <v>BABA</v>
      </c>
      <c r="E858" s="5" t="str">
        <f>IFERROR(__xludf.DUMMYFUNCTION("""COMPUTED_VALUE"""),"USD")</f>
        <v>USD</v>
      </c>
      <c r="F858" s="69" t="str">
        <f>IFERROR(__xludf.DUMMYFUNCTION("""COMPUTED_VALUE"""),"")</f>
        <v/>
      </c>
      <c r="G858" s="70">
        <f>IFERROR(__xludf.DUMMYFUNCTION("""COMPUTED_VALUE"""),7.83915)</f>
        <v>7.83915</v>
      </c>
      <c r="H858" s="71">
        <f>IFERROR(__xludf.DUMMYFUNCTION("""COMPUTED_VALUE"""),116.71)</f>
        <v>116.71</v>
      </c>
      <c r="I858" s="71">
        <f>IFERROR(__xludf.DUMMYFUNCTION("""COMPUTED_VALUE"""),100.09)</f>
        <v>100.09</v>
      </c>
      <c r="J858" s="88" t="str">
        <f>IFERROR(__xludf.DUMMYFUNCTION("""COMPUTED_VALUE"""),"Goto link: BABA")</f>
        <v>Goto link: BABA</v>
      </c>
      <c r="K858" s="22"/>
      <c r="L858" s="22"/>
      <c r="M858" s="22"/>
      <c r="N858" s="22"/>
      <c r="O858" s="73"/>
      <c r="P858" s="8"/>
      <c r="Q858" s="69"/>
      <c r="R858" s="69"/>
      <c r="S858" s="8"/>
      <c r="T858" s="69"/>
      <c r="U858" s="8"/>
      <c r="V858" s="69"/>
      <c r="W858" s="74"/>
      <c r="X858" s="69"/>
    </row>
    <row r="859">
      <c r="A859" s="30" t="str">
        <f>IFERROR(__xludf.DUMMYFUNCTION("""COMPUTED_VALUE"""),"75369")</f>
        <v>75369</v>
      </c>
      <c r="B859" s="86">
        <f>IFERROR(__xludf.DUMMYFUNCTION("""COMPUTED_VALUE"""),44649.0)</f>
        <v>44649</v>
      </c>
      <c r="C859" s="64" t="str">
        <f>IFERROR(__xludf.DUMMYFUNCTION("""COMPUTED_VALUE"""),"Stock")</f>
        <v>Stock</v>
      </c>
      <c r="D859" s="87" t="str">
        <f>IFERROR(__xludf.DUMMYFUNCTION("""COMPUTED_VALUE"""),"LCID")</f>
        <v>LCID</v>
      </c>
      <c r="E859" s="5" t="str">
        <f>IFERROR(__xludf.DUMMYFUNCTION("""COMPUTED_VALUE"""),"USD")</f>
        <v>USD</v>
      </c>
      <c r="F859" s="69" t="str">
        <f>IFERROR(__xludf.DUMMYFUNCTION("""COMPUTED_VALUE"""),"")</f>
        <v/>
      </c>
      <c r="G859" s="70">
        <f>IFERROR(__xludf.DUMMYFUNCTION("""COMPUTED_VALUE"""),7.83915)</f>
        <v>7.83915</v>
      </c>
      <c r="H859" s="71">
        <f>IFERROR(__xludf.DUMMYFUNCTION("""COMPUTED_VALUE"""),27.36)</f>
        <v>27.36</v>
      </c>
      <c r="I859" s="71">
        <f>IFERROR(__xludf.DUMMYFUNCTION("""COMPUTED_VALUE"""),22.05)</f>
        <v>22.05</v>
      </c>
      <c r="J859" s="88" t="str">
        <f>IFERROR(__xludf.DUMMYFUNCTION("""COMPUTED_VALUE"""),"Goto link: LCID")</f>
        <v>Goto link: LCID</v>
      </c>
      <c r="K859" s="22"/>
      <c r="L859" s="22"/>
      <c r="M859" s="22"/>
      <c r="N859" s="22"/>
      <c r="O859" s="73"/>
      <c r="P859" s="8"/>
      <c r="Q859" s="69"/>
      <c r="R859" s="69"/>
      <c r="S859" s="8"/>
      <c r="T859" s="69"/>
      <c r="U859" s="8"/>
      <c r="V859" s="69"/>
      <c r="W859" s="74"/>
      <c r="X859" s="69"/>
    </row>
    <row r="860">
      <c r="A860" s="30" t="str">
        <f>IFERROR(__xludf.DUMMYFUNCTION("""COMPUTED_VALUE"""),"75369")</f>
        <v>75369</v>
      </c>
      <c r="B860" s="86">
        <f>IFERROR(__xludf.DUMMYFUNCTION("""COMPUTED_VALUE"""),44649.0)</f>
        <v>44649</v>
      </c>
      <c r="C860" s="64" t="str">
        <f>IFERROR(__xludf.DUMMYFUNCTION("""COMPUTED_VALUE"""),"Stock")</f>
        <v>Stock</v>
      </c>
      <c r="D860" s="87" t="str">
        <f>IFERROR(__xludf.DUMMYFUNCTION("""COMPUTED_VALUE"""),"LMT")</f>
        <v>LMT</v>
      </c>
      <c r="E860" s="5" t="str">
        <f>IFERROR(__xludf.DUMMYFUNCTION("""COMPUTED_VALUE"""),"USD")</f>
        <v>USD</v>
      </c>
      <c r="F860" s="69" t="str">
        <f>IFERROR(__xludf.DUMMYFUNCTION("""COMPUTED_VALUE"""),"")</f>
        <v/>
      </c>
      <c r="G860" s="70">
        <f>IFERROR(__xludf.DUMMYFUNCTION("""COMPUTED_VALUE"""),7.83915)</f>
        <v>7.83915</v>
      </c>
      <c r="H860" s="71">
        <f>IFERROR(__xludf.DUMMYFUNCTION("""COMPUTED_VALUE"""),437.15)</f>
        <v>437.15</v>
      </c>
      <c r="I860" s="71">
        <f>IFERROR(__xludf.DUMMYFUNCTION("""COMPUTED_VALUE"""),469.2)</f>
        <v>469.2</v>
      </c>
      <c r="J860" s="88" t="str">
        <f>IFERROR(__xludf.DUMMYFUNCTION("""COMPUTED_VALUE"""),"Goto link: LMT")</f>
        <v>Goto link: LMT</v>
      </c>
      <c r="K860" s="22"/>
      <c r="L860" s="22"/>
      <c r="M860" s="22"/>
      <c r="N860" s="22"/>
      <c r="O860" s="73"/>
      <c r="P860" s="8"/>
      <c r="Q860" s="69"/>
      <c r="R860" s="69"/>
      <c r="S860" s="8"/>
      <c r="T860" s="69"/>
      <c r="U860" s="8"/>
      <c r="V860" s="69"/>
      <c r="W860" s="74"/>
      <c r="X860" s="69"/>
    </row>
    <row r="861">
      <c r="A861" s="30" t="str">
        <f>IFERROR(__xludf.DUMMYFUNCTION("""COMPUTED_VALUE"""),"75369")</f>
        <v>75369</v>
      </c>
      <c r="B861" s="86">
        <f>IFERROR(__xludf.DUMMYFUNCTION("""COMPUTED_VALUE"""),44649.0)</f>
        <v>44649</v>
      </c>
      <c r="C861" s="64" t="str">
        <f>IFERROR(__xludf.DUMMYFUNCTION("""COMPUTED_VALUE"""),"Stock")</f>
        <v>Stock</v>
      </c>
      <c r="D861" s="87" t="str">
        <f>IFERROR(__xludf.DUMMYFUNCTION("""COMPUTED_VALUE"""),"RBLX")</f>
        <v>RBLX</v>
      </c>
      <c r="E861" s="5" t="str">
        <f>IFERROR(__xludf.DUMMYFUNCTION("""COMPUTED_VALUE"""),"USD")</f>
        <v>USD</v>
      </c>
      <c r="F861" s="69" t="str">
        <f>IFERROR(__xludf.DUMMYFUNCTION("""COMPUTED_VALUE"""),"")</f>
        <v/>
      </c>
      <c r="G861" s="70">
        <f>IFERROR(__xludf.DUMMYFUNCTION("""COMPUTED_VALUE"""),7.83915)</f>
        <v>7.83915</v>
      </c>
      <c r="H861" s="71">
        <f>IFERROR(__xludf.DUMMYFUNCTION("""COMPUTED_VALUE"""),50.92)</f>
        <v>50.92</v>
      </c>
      <c r="I861" s="71">
        <f>IFERROR(__xludf.DUMMYFUNCTION("""COMPUTED_VALUE"""),45.01)</f>
        <v>45.01</v>
      </c>
      <c r="J861" s="88" t="str">
        <f>IFERROR(__xludf.DUMMYFUNCTION("""COMPUTED_VALUE"""),"Goto link: RBLX")</f>
        <v>Goto link: RBLX</v>
      </c>
      <c r="K861" s="22"/>
      <c r="L861" s="22"/>
      <c r="M861" s="22"/>
      <c r="N861" s="22"/>
      <c r="O861" s="73"/>
      <c r="P861" s="8"/>
      <c r="Q861" s="69"/>
      <c r="R861" s="69"/>
      <c r="S861" s="8"/>
      <c r="T861" s="69"/>
      <c r="U861" s="8"/>
      <c r="V861" s="69"/>
      <c r="W861" s="74"/>
      <c r="X861" s="69"/>
    </row>
    <row r="862">
      <c r="A862" s="30" t="str">
        <f>IFERROR(__xludf.DUMMYFUNCTION("""COMPUTED_VALUE"""),"75369")</f>
        <v>75369</v>
      </c>
      <c r="B862" s="86">
        <f>IFERROR(__xludf.DUMMYFUNCTION("""COMPUTED_VALUE"""),44649.0)</f>
        <v>44649</v>
      </c>
      <c r="C862" s="64" t="str">
        <f>IFERROR(__xludf.DUMMYFUNCTION("""COMPUTED_VALUE"""),"Stock")</f>
        <v>Stock</v>
      </c>
      <c r="D862" s="87" t="str">
        <f>IFERROR(__xludf.DUMMYFUNCTION("""COMPUTED_VALUE"""),"YINN")</f>
        <v>YINN</v>
      </c>
      <c r="E862" s="5" t="str">
        <f>IFERROR(__xludf.DUMMYFUNCTION("""COMPUTED_VALUE"""),"USD")</f>
        <v>USD</v>
      </c>
      <c r="F862" s="69">
        <f>IFERROR(__xludf.DUMMYFUNCTION("""COMPUTED_VALUE"""),5000.0)</f>
        <v>5000</v>
      </c>
      <c r="G862" s="70">
        <f>IFERROR(__xludf.DUMMYFUNCTION("""COMPUTED_VALUE"""),7.83915)</f>
        <v>7.83915</v>
      </c>
      <c r="H862" s="71">
        <f>IFERROR(__xludf.DUMMYFUNCTION("""COMPUTED_VALUE"""),5.23)</f>
        <v>5.23</v>
      </c>
      <c r="I862" s="71">
        <f>IFERROR(__xludf.DUMMYFUNCTION("""COMPUTED_VALUE"""),4.54)</f>
        <v>4.54</v>
      </c>
      <c r="J862" s="88" t="str">
        <f>IFERROR(__xludf.DUMMYFUNCTION("""COMPUTED_VALUE"""),"Goto link: YINN")</f>
        <v>Goto link: YINN</v>
      </c>
      <c r="K862" s="22"/>
      <c r="L862" s="22"/>
      <c r="M862" s="22"/>
      <c r="N862" s="22"/>
      <c r="O862" s="73"/>
      <c r="P862" s="8"/>
      <c r="Q862" s="69"/>
      <c r="R862" s="69"/>
      <c r="S862" s="8"/>
      <c r="T862" s="69"/>
      <c r="U862" s="8"/>
      <c r="V862" s="69"/>
      <c r="W862" s="74"/>
      <c r="X862" s="69"/>
    </row>
    <row r="863">
      <c r="A863" s="30" t="str">
        <f>IFERROR(__xludf.DUMMYFUNCTION("""COMPUTED_VALUE"""),"75369")</f>
        <v>75369</v>
      </c>
      <c r="B863" s="86">
        <f>IFERROR(__xludf.DUMMYFUNCTION("""COMPUTED_VALUE"""),44650.0)</f>
        <v>44650</v>
      </c>
      <c r="C863" s="64" t="str">
        <f>IFERROR(__xludf.DUMMYFUNCTION("""COMPUTED_VALUE"""),"Stock")</f>
        <v>Stock</v>
      </c>
      <c r="D863" s="90" t="str">
        <f>IFERROR(__xludf.DUMMYFUNCTION("""COMPUTED_VALUE"""),"9988.hk")</f>
        <v>9988.hk</v>
      </c>
      <c r="E863" s="5" t="str">
        <f>IFERROR(__xludf.DUMMYFUNCTION("""COMPUTED_VALUE"""),"HKD")</f>
        <v>HKD</v>
      </c>
      <c r="F863" s="69" t="str">
        <f>IFERROR(__xludf.DUMMYFUNCTION("""COMPUTED_VALUE"""),"")</f>
        <v/>
      </c>
      <c r="G863" s="70">
        <f>IFERROR(__xludf.DUMMYFUNCTION("""COMPUTED_VALUE"""),1.0)</f>
        <v>1</v>
      </c>
      <c r="H863" s="71">
        <f>IFERROR(__xludf.DUMMYFUNCTION("""COMPUTED_VALUE"""),113.9)</f>
        <v>113.9</v>
      </c>
      <c r="I863" s="71">
        <f>IFERROR(__xludf.DUMMYFUNCTION("""COMPUTED_VALUE"""),98.5)</f>
        <v>98.5</v>
      </c>
      <c r="J863" s="88" t="str">
        <f>IFERROR(__xludf.DUMMYFUNCTION("""COMPUTED_VALUE"""),"Goto link: 9988.hk")</f>
        <v>Goto link: 9988.hk</v>
      </c>
      <c r="K863" s="22"/>
      <c r="L863" s="22"/>
      <c r="M863" s="22"/>
      <c r="N863" s="22"/>
      <c r="O863" s="73"/>
      <c r="P863" s="8"/>
      <c r="Q863" s="69"/>
      <c r="R863" s="69"/>
      <c r="S863" s="8"/>
      <c r="T863" s="69"/>
      <c r="U863" s="8"/>
      <c r="V863" s="69"/>
      <c r="W863" s="74"/>
      <c r="X863" s="69"/>
    </row>
    <row r="864">
      <c r="A864" s="30" t="str">
        <f>IFERROR(__xludf.DUMMYFUNCTION("""COMPUTED_VALUE"""),"75369")</f>
        <v>75369</v>
      </c>
      <c r="B864" s="86">
        <f>IFERROR(__xludf.DUMMYFUNCTION("""COMPUTED_VALUE"""),44650.0)</f>
        <v>44650</v>
      </c>
      <c r="C864" s="64" t="str">
        <f>IFERROR(__xludf.DUMMYFUNCTION("""COMPUTED_VALUE"""),"Stock")</f>
        <v>Stock</v>
      </c>
      <c r="D864" s="90" t="str">
        <f>IFERROR(__xludf.DUMMYFUNCTION("""COMPUTED_VALUE"""),"9999.hk")</f>
        <v>9999.hk</v>
      </c>
      <c r="E864" s="5" t="str">
        <f>IFERROR(__xludf.DUMMYFUNCTION("""COMPUTED_VALUE"""),"HKD")</f>
        <v>HKD</v>
      </c>
      <c r="F864" s="69" t="str">
        <f>IFERROR(__xludf.DUMMYFUNCTION("""COMPUTED_VALUE"""),"")</f>
        <v/>
      </c>
      <c r="G864" s="70">
        <f>IFERROR(__xludf.DUMMYFUNCTION("""COMPUTED_VALUE"""),1.0)</f>
        <v>1</v>
      </c>
      <c r="H864" s="71">
        <f>IFERROR(__xludf.DUMMYFUNCTION("""COMPUTED_VALUE"""),145.6)</f>
        <v>145.6</v>
      </c>
      <c r="I864" s="71">
        <f>IFERROR(__xludf.DUMMYFUNCTION("""COMPUTED_VALUE"""),149.2)</f>
        <v>149.2</v>
      </c>
      <c r="J864" s="88" t="str">
        <f>IFERROR(__xludf.DUMMYFUNCTION("""COMPUTED_VALUE"""),"Goto link: 9999.hk")</f>
        <v>Goto link: 9999.hk</v>
      </c>
      <c r="K864" s="22"/>
      <c r="L864" s="22"/>
      <c r="M864" s="22"/>
      <c r="N864" s="22"/>
      <c r="O864" s="73"/>
      <c r="P864" s="8"/>
      <c r="Q864" s="69"/>
      <c r="R864" s="69"/>
      <c r="S864" s="8"/>
      <c r="T864" s="69"/>
      <c r="U864" s="8"/>
      <c r="V864" s="69"/>
      <c r="W864" s="74"/>
      <c r="X864" s="69"/>
    </row>
    <row r="865">
      <c r="A865" s="30" t="str">
        <f>IFERROR(__xludf.DUMMYFUNCTION("""COMPUTED_VALUE"""),"75369")</f>
        <v>75369</v>
      </c>
      <c r="B865" s="86">
        <f>IFERROR(__xludf.DUMMYFUNCTION("""COMPUTED_VALUE"""),44652.0)</f>
        <v>44652</v>
      </c>
      <c r="C865" s="64" t="str">
        <f>IFERROR(__xludf.DUMMYFUNCTION("""COMPUTED_VALUE"""),"Stock")</f>
        <v>Stock</v>
      </c>
      <c r="D865" s="90" t="str">
        <f>IFERROR(__xludf.DUMMYFUNCTION("""COMPUTED_VALUE"""),"0700.hk")</f>
        <v>0700.hk</v>
      </c>
      <c r="E865" s="5" t="str">
        <f>IFERROR(__xludf.DUMMYFUNCTION("""COMPUTED_VALUE"""),"HKD")</f>
        <v>HKD</v>
      </c>
      <c r="F865" s="69">
        <f>IFERROR(__xludf.DUMMYFUNCTION("""COMPUTED_VALUE"""),-100.0)</f>
        <v>-100</v>
      </c>
      <c r="G865" s="70">
        <f>IFERROR(__xludf.DUMMYFUNCTION("""COMPUTED_VALUE"""),1.0)</f>
        <v>1</v>
      </c>
      <c r="H865" s="71">
        <f>IFERROR(__xludf.DUMMYFUNCTION("""COMPUTED_VALUE"""),378.8)</f>
        <v>378.8</v>
      </c>
      <c r="I865" s="71">
        <f>IFERROR(__xludf.DUMMYFUNCTION("""COMPUTED_VALUE"""),373.6)</f>
        <v>373.6</v>
      </c>
      <c r="J865" s="88" t="str">
        <f>IFERROR(__xludf.DUMMYFUNCTION("""COMPUTED_VALUE"""),"Goto link: 0700.hk")</f>
        <v>Goto link: 0700.hk</v>
      </c>
      <c r="K865" s="22"/>
      <c r="L865" s="22"/>
      <c r="M865" s="22"/>
      <c r="N865" s="22"/>
      <c r="O865" s="73"/>
      <c r="P865" s="8"/>
      <c r="Q865" s="69"/>
      <c r="R865" s="69"/>
      <c r="S865" s="8"/>
      <c r="T865" s="69"/>
      <c r="U865" s="8"/>
      <c r="V865" s="69"/>
      <c r="W865" s="74"/>
      <c r="X865" s="69"/>
    </row>
    <row r="866">
      <c r="A866" s="30" t="str">
        <f>IFERROR(__xludf.DUMMYFUNCTION("""COMPUTED_VALUE"""),"75369")</f>
        <v>75369</v>
      </c>
      <c r="B866" s="86">
        <f>IFERROR(__xludf.DUMMYFUNCTION("""COMPUTED_VALUE"""),44655.0)</f>
        <v>44655</v>
      </c>
      <c r="C866" s="64" t="str">
        <f>IFERROR(__xludf.DUMMYFUNCTION("""COMPUTED_VALUE"""),"Stock")</f>
        <v>Stock</v>
      </c>
      <c r="D866" s="90" t="str">
        <f>IFERROR(__xludf.DUMMYFUNCTION("""COMPUTED_VALUE"""),"9999.hk")</f>
        <v>9999.hk</v>
      </c>
      <c r="E866" s="5" t="str">
        <f>IFERROR(__xludf.DUMMYFUNCTION("""COMPUTED_VALUE"""),"HKD")</f>
        <v>HKD</v>
      </c>
      <c r="F866" s="69">
        <f>IFERROR(__xludf.DUMMYFUNCTION("""COMPUTED_VALUE"""),-500.0)</f>
        <v>-500</v>
      </c>
      <c r="G866" s="70">
        <f>IFERROR(__xludf.DUMMYFUNCTION("""COMPUTED_VALUE"""),1.0)</f>
        <v>1</v>
      </c>
      <c r="H866" s="71">
        <f>IFERROR(__xludf.DUMMYFUNCTION("""COMPUTED_VALUE"""),156.3)</f>
        <v>156.3</v>
      </c>
      <c r="I866" s="71">
        <f>IFERROR(__xludf.DUMMYFUNCTION("""COMPUTED_VALUE"""),149.2)</f>
        <v>149.2</v>
      </c>
      <c r="J866" s="88" t="str">
        <f>IFERROR(__xludf.DUMMYFUNCTION("""COMPUTED_VALUE"""),"Goto link: 9999.hk")</f>
        <v>Goto link: 9999.hk</v>
      </c>
      <c r="K866" s="22"/>
      <c r="L866" s="22"/>
      <c r="M866" s="22"/>
      <c r="N866" s="22"/>
      <c r="O866" s="73"/>
      <c r="P866" s="8"/>
      <c r="Q866" s="69"/>
      <c r="R866" s="69"/>
      <c r="S866" s="8"/>
      <c r="T866" s="69"/>
      <c r="U866" s="8"/>
      <c r="V866" s="69"/>
      <c r="W866" s="74"/>
      <c r="X866" s="69"/>
    </row>
    <row r="867">
      <c r="A867" s="30" t="str">
        <f>IFERROR(__xludf.DUMMYFUNCTION("""COMPUTED_VALUE"""),"75369")</f>
        <v>75369</v>
      </c>
      <c r="B867" s="86">
        <f>IFERROR(__xludf.DUMMYFUNCTION("""COMPUTED_VALUE"""),44655.0)</f>
        <v>44655</v>
      </c>
      <c r="C867" s="64" t="str">
        <f>IFERROR(__xludf.DUMMYFUNCTION("""COMPUTED_VALUE"""),"Stock")</f>
        <v>Stock</v>
      </c>
      <c r="D867" s="87" t="str">
        <f>IFERROR(__xludf.DUMMYFUNCTION("""COMPUTED_VALUE"""),"LMT")</f>
        <v>LMT</v>
      </c>
      <c r="E867" s="5" t="str">
        <f>IFERROR(__xludf.DUMMYFUNCTION("""COMPUTED_VALUE"""),"USD")</f>
        <v>USD</v>
      </c>
      <c r="F867" s="69" t="str">
        <f>IFERROR(__xludf.DUMMYFUNCTION("""COMPUTED_VALUE"""),"")</f>
        <v/>
      </c>
      <c r="G867" s="70">
        <f>IFERROR(__xludf.DUMMYFUNCTION("""COMPUTED_VALUE"""),7.83915)</f>
        <v>7.83915</v>
      </c>
      <c r="H867" s="71">
        <f>IFERROR(__xludf.DUMMYFUNCTION("""COMPUTED_VALUE"""),444.01)</f>
        <v>444.01</v>
      </c>
      <c r="I867" s="71">
        <f>IFERROR(__xludf.DUMMYFUNCTION("""COMPUTED_VALUE"""),469.2)</f>
        <v>469.2</v>
      </c>
      <c r="J867" s="88" t="str">
        <f>IFERROR(__xludf.DUMMYFUNCTION("""COMPUTED_VALUE"""),"Goto link: LMT")</f>
        <v>Goto link: LMT</v>
      </c>
      <c r="K867" s="22"/>
      <c r="L867" s="22"/>
      <c r="M867" s="22"/>
      <c r="N867" s="22"/>
      <c r="O867" s="73"/>
      <c r="P867" s="8"/>
      <c r="Q867" s="69"/>
      <c r="R867" s="69"/>
      <c r="S867" s="8"/>
      <c r="T867" s="69"/>
      <c r="U867" s="8"/>
      <c r="V867" s="69"/>
      <c r="W867" s="74"/>
      <c r="X867" s="69"/>
    </row>
    <row r="868">
      <c r="A868" s="30" t="str">
        <f>IFERROR(__xludf.DUMMYFUNCTION("""COMPUTED_VALUE"""),"75369")</f>
        <v>75369</v>
      </c>
      <c r="B868" s="86">
        <f>IFERROR(__xludf.DUMMYFUNCTION("""COMPUTED_VALUE"""),44662.0)</f>
        <v>44662</v>
      </c>
      <c r="C868" s="64" t="str">
        <f>IFERROR(__xludf.DUMMYFUNCTION("""COMPUTED_VALUE"""),"Stock")</f>
        <v>Stock</v>
      </c>
      <c r="D868" s="91" t="str">
        <f>IFERROR(__xludf.DUMMYFUNCTION("""COMPUTED_VALUE"""),"9988.hk")</f>
        <v>9988.hk</v>
      </c>
      <c r="E868" s="5" t="str">
        <f>IFERROR(__xludf.DUMMYFUNCTION("""COMPUTED_VALUE"""),"HKD")</f>
        <v>HKD</v>
      </c>
      <c r="F868" s="69" t="str">
        <f>IFERROR(__xludf.DUMMYFUNCTION("""COMPUTED_VALUE"""),"")</f>
        <v/>
      </c>
      <c r="G868" s="70">
        <f>IFERROR(__xludf.DUMMYFUNCTION("""COMPUTED_VALUE"""),1.0)</f>
        <v>1</v>
      </c>
      <c r="H868" s="71">
        <f>IFERROR(__xludf.DUMMYFUNCTION("""COMPUTED_VALUE"""),98.5)</f>
        <v>98.5</v>
      </c>
      <c r="I868" s="71">
        <f>IFERROR(__xludf.DUMMYFUNCTION("""COMPUTED_VALUE"""),98.5)</f>
        <v>98.5</v>
      </c>
      <c r="J868" s="88" t="str">
        <f>IFERROR(__xludf.DUMMYFUNCTION("""COMPUTED_VALUE"""),"Goto link: 9988.hk")</f>
        <v>Goto link: 9988.hk</v>
      </c>
      <c r="K868" s="22"/>
      <c r="L868" s="22"/>
      <c r="M868" s="22"/>
      <c r="N868" s="22"/>
      <c r="O868" s="73"/>
      <c r="P868" s="8"/>
      <c r="Q868" s="69"/>
      <c r="R868" s="69"/>
      <c r="S868" s="8"/>
      <c r="T868" s="69"/>
      <c r="U868" s="8"/>
      <c r="V868" s="69"/>
      <c r="W868" s="74"/>
      <c r="X868" s="69"/>
    </row>
    <row r="869">
      <c r="A869" s="30" t="str">
        <f>IFERROR(__xludf.DUMMYFUNCTION("""COMPUTED_VALUE"""),"75369")</f>
        <v>75369</v>
      </c>
      <c r="B869" s="86">
        <f>IFERROR(__xludf.DUMMYFUNCTION("""COMPUTED_VALUE"""),44664.0)</f>
        <v>44664</v>
      </c>
      <c r="C869" s="64" t="str">
        <f>IFERROR(__xludf.DUMMYFUNCTION("""COMPUTED_VALUE"""),"Stock")</f>
        <v>Stock</v>
      </c>
      <c r="D869" s="85" t="str">
        <f>IFERROR(__xludf.DUMMYFUNCTION("""COMPUTED_VALUE"""),"NET")</f>
        <v>NET</v>
      </c>
      <c r="E869" s="5" t="str">
        <f>IFERROR(__xludf.DUMMYFUNCTION("""COMPUTED_VALUE"""),"USD")</f>
        <v>USD</v>
      </c>
      <c r="F869" s="69" t="str">
        <f>IFERROR(__xludf.DUMMYFUNCTION("""COMPUTED_VALUE"""),"")</f>
        <v/>
      </c>
      <c r="G869" s="70">
        <f>IFERROR(__xludf.DUMMYFUNCTION("""COMPUTED_VALUE"""),7.83915)</f>
        <v>7.83915</v>
      </c>
      <c r="H869" s="71">
        <f>IFERROR(__xludf.DUMMYFUNCTION("""COMPUTED_VALUE"""),121.55)</f>
        <v>121.55</v>
      </c>
      <c r="I869" s="71">
        <f>IFERROR(__xludf.DUMMYFUNCTION("""COMPUTED_VALUE"""),121.55)</f>
        <v>121.55</v>
      </c>
      <c r="J869" s="88" t="str">
        <f>IFERROR(__xludf.DUMMYFUNCTION("""COMPUTED_VALUE"""),"Goto link: NET")</f>
        <v>Goto link: NET</v>
      </c>
      <c r="K869" s="22"/>
      <c r="L869" s="22"/>
      <c r="M869" s="22"/>
      <c r="N869" s="22"/>
      <c r="O869" s="73"/>
      <c r="P869" s="8"/>
      <c r="Q869" s="69"/>
      <c r="R869" s="69"/>
      <c r="S869" s="8"/>
      <c r="T869" s="69"/>
      <c r="U869" s="8"/>
      <c r="V869" s="69"/>
      <c r="W869" s="74"/>
      <c r="X869" s="69"/>
    </row>
    <row r="870">
      <c r="A870" s="30" t="str">
        <f>IFERROR(__xludf.DUMMYFUNCTION("""COMPUTED_VALUE"""),"75369")</f>
        <v>75369</v>
      </c>
      <c r="B870" s="86">
        <f>IFERROR(__xludf.DUMMYFUNCTION("""COMPUTED_VALUE"""),44664.0)</f>
        <v>44664</v>
      </c>
      <c r="C870" s="64" t="str">
        <f>IFERROR(__xludf.DUMMYFUNCTION("""COMPUTED_VALUE"""),"Stock")</f>
        <v>Stock</v>
      </c>
      <c r="D870" s="85" t="str">
        <f>IFERROR(__xludf.DUMMYFUNCTION("""COMPUTED_VALUE"""),"PANW")</f>
        <v>PANW</v>
      </c>
      <c r="E870" s="5" t="str">
        <f>IFERROR(__xludf.DUMMYFUNCTION("""COMPUTED_VALUE"""),"USD")</f>
        <v>USD</v>
      </c>
      <c r="F870" s="69" t="str">
        <f>IFERROR(__xludf.DUMMYFUNCTION("""COMPUTED_VALUE"""),"")</f>
        <v/>
      </c>
      <c r="G870" s="70">
        <f>IFERROR(__xludf.DUMMYFUNCTION("""COMPUTED_VALUE"""),7.83915)</f>
        <v>7.83915</v>
      </c>
      <c r="H870" s="71">
        <f>IFERROR(__xludf.DUMMYFUNCTION("""COMPUTED_VALUE"""),629.01)</f>
        <v>629.01</v>
      </c>
      <c r="I870" s="71">
        <f>IFERROR(__xludf.DUMMYFUNCTION("""COMPUTED_VALUE"""),629.01)</f>
        <v>629.01</v>
      </c>
      <c r="J870" s="88" t="str">
        <f>IFERROR(__xludf.DUMMYFUNCTION("""COMPUTED_VALUE"""),"Goto link: PANW")</f>
        <v>Goto link: PANW</v>
      </c>
      <c r="K870" s="22"/>
      <c r="L870" s="22"/>
      <c r="M870" s="22"/>
      <c r="N870" s="22"/>
      <c r="O870" s="73"/>
      <c r="P870" s="8"/>
      <c r="Q870" s="69"/>
      <c r="R870" s="69"/>
      <c r="S870" s="8"/>
      <c r="T870" s="69"/>
      <c r="U870" s="8"/>
      <c r="V870" s="69"/>
      <c r="W870" s="74"/>
      <c r="X870" s="69"/>
    </row>
    <row r="871">
      <c r="A871" s="30" t="str">
        <f>IFERROR(__xludf.DUMMYFUNCTION("""COMPUTED_VALUE"""),"75369")</f>
        <v>75369</v>
      </c>
      <c r="B871" s="86">
        <f>IFERROR(__xludf.DUMMYFUNCTION("""COMPUTED_VALUE"""),44664.0)</f>
        <v>44664</v>
      </c>
      <c r="C871" s="64" t="str">
        <f>IFERROR(__xludf.DUMMYFUNCTION("""COMPUTED_VALUE"""),"Stock")</f>
        <v>Stock</v>
      </c>
      <c r="D871" s="85" t="str">
        <f>IFERROR(__xludf.DUMMYFUNCTION("""COMPUTED_VALUE"""),"SNPS")</f>
        <v>SNPS</v>
      </c>
      <c r="E871" s="5" t="str">
        <f>IFERROR(__xludf.DUMMYFUNCTION("""COMPUTED_VALUE"""),"USD")</f>
        <v>USD</v>
      </c>
      <c r="F871" s="69" t="str">
        <f>IFERROR(__xludf.DUMMYFUNCTION("""COMPUTED_VALUE"""),"")</f>
        <v/>
      </c>
      <c r="G871" s="70">
        <f>IFERROR(__xludf.DUMMYFUNCTION("""COMPUTED_VALUE"""),7.83915)</f>
        <v>7.83915</v>
      </c>
      <c r="H871" s="71">
        <f>IFERROR(__xludf.DUMMYFUNCTION("""COMPUTED_VALUE"""),306.72)</f>
        <v>306.72</v>
      </c>
      <c r="I871" s="71">
        <f>IFERROR(__xludf.DUMMYFUNCTION("""COMPUTED_VALUE"""),306.72)</f>
        <v>306.72</v>
      </c>
      <c r="J871" s="88" t="str">
        <f>IFERROR(__xludf.DUMMYFUNCTION("""COMPUTED_VALUE"""),"Goto link: SNPS")</f>
        <v>Goto link: SNPS</v>
      </c>
      <c r="K871" s="22"/>
      <c r="L871" s="22"/>
      <c r="M871" s="22"/>
      <c r="N871" s="22"/>
      <c r="O871" s="73"/>
      <c r="P871" s="8"/>
      <c r="Q871" s="69"/>
      <c r="R871" s="69"/>
      <c r="S871" s="8"/>
      <c r="T871" s="69"/>
      <c r="U871" s="8"/>
      <c r="V871" s="69"/>
      <c r="W871" s="74"/>
      <c r="X871" s="69"/>
    </row>
    <row r="872">
      <c r="A872" s="30" t="str">
        <f>IFERROR(__xludf.DUMMYFUNCTION("""COMPUTED_VALUE"""),"75369 Total")</f>
        <v>75369 Total</v>
      </c>
      <c r="B872" s="5"/>
      <c r="C872" s="64"/>
      <c r="D872" s="85"/>
      <c r="E872" s="5"/>
      <c r="F872" s="69"/>
      <c r="G872" s="70">
        <f>IFERROR(__xludf.DUMMYFUNCTION("""COMPUTED_VALUE"""),4.8656065217391316)</f>
        <v>4.865606522</v>
      </c>
      <c r="H872" s="71">
        <f>IFERROR(__xludf.DUMMYFUNCTION("""COMPUTED_VALUE"""),1013.92)</f>
        <v>1013.92</v>
      </c>
      <c r="I872" s="71" t="str">
        <f>IFERROR(__xludf.DUMMYFUNCTION("""COMPUTED_VALUE"""),"")</f>
        <v/>
      </c>
      <c r="J872" s="22" t="str">
        <f>IFERROR(__xludf.DUMMYFUNCTION("""COMPUTED_VALUE"""),"")</f>
        <v/>
      </c>
      <c r="K872" s="22"/>
      <c r="L872" s="22"/>
      <c r="M872" s="22"/>
      <c r="N872" s="22"/>
      <c r="O872" s="73"/>
      <c r="P872" s="8"/>
      <c r="Q872" s="69"/>
      <c r="R872" s="69"/>
      <c r="S872" s="8"/>
      <c r="T872" s="69"/>
      <c r="U872" s="8"/>
      <c r="V872" s="69"/>
      <c r="W872" s="74"/>
      <c r="X872" s="69"/>
    </row>
    <row r="873">
      <c r="A873" s="30" t="str">
        <f>IFERROR(__xludf.DUMMYFUNCTION("""COMPUTED_VALUE"""),"75415")</f>
        <v>75415</v>
      </c>
      <c r="B873" s="86">
        <f>IFERROR(__xludf.DUMMYFUNCTION("""COMPUTED_VALUE"""),44597.0)</f>
        <v>44597</v>
      </c>
      <c r="C873" s="64" t="str">
        <f>IFERROR(__xludf.DUMMYFUNCTION("""COMPUTED_VALUE"""),"Cash")</f>
        <v>Cash</v>
      </c>
      <c r="D873" s="85" t="str">
        <f>IFERROR(__xludf.DUMMYFUNCTION("""COMPUTED_VALUE"""),"Cash")</f>
        <v>Cash</v>
      </c>
      <c r="E873" s="5" t="str">
        <f>IFERROR(__xludf.DUMMYFUNCTION("""COMPUTED_VALUE"""),"HKD")</f>
        <v>HKD</v>
      </c>
      <c r="F873" s="69" t="str">
        <f>IFERROR(__xludf.DUMMYFUNCTION("""COMPUTED_VALUE"""),"")</f>
        <v/>
      </c>
      <c r="G873" s="70">
        <f>IFERROR(__xludf.DUMMYFUNCTION("""COMPUTED_VALUE"""),1.0)</f>
        <v>1</v>
      </c>
      <c r="H873" s="71">
        <f>IFERROR(__xludf.DUMMYFUNCTION("""COMPUTED_VALUE"""),1.0)</f>
        <v>1</v>
      </c>
      <c r="I873" s="71">
        <f>IFERROR(__xludf.DUMMYFUNCTION("""COMPUTED_VALUE"""),1.0)</f>
        <v>1</v>
      </c>
      <c r="J873" s="22" t="str">
        <f>IFERROR(__xludf.DUMMYFUNCTION("""COMPUTED_VALUE"""),"")</f>
        <v/>
      </c>
      <c r="K873" s="22"/>
      <c r="L873" s="22"/>
      <c r="M873" s="22"/>
      <c r="N873" s="22"/>
      <c r="O873" s="73"/>
      <c r="P873" s="8"/>
      <c r="Q873" s="69"/>
      <c r="R873" s="69"/>
      <c r="S873" s="8"/>
      <c r="T873" s="69"/>
      <c r="U873" s="8"/>
      <c r="V873" s="69"/>
      <c r="W873" s="74"/>
      <c r="X873" s="69"/>
    </row>
    <row r="874">
      <c r="A874" s="30" t="str">
        <f>IFERROR(__xludf.DUMMYFUNCTION("""COMPUTED_VALUE"""),"75415")</f>
        <v>75415</v>
      </c>
      <c r="B874" s="86">
        <f>IFERROR(__xludf.DUMMYFUNCTION("""COMPUTED_VALUE"""),44601.0)</f>
        <v>44601</v>
      </c>
      <c r="C874" s="64" t="str">
        <f>IFERROR(__xludf.DUMMYFUNCTION("""COMPUTED_VALUE"""),"Stock")</f>
        <v>Stock</v>
      </c>
      <c r="D874" s="87" t="str">
        <f>IFERROR(__xludf.DUMMYFUNCTION("""COMPUTED_VALUE"""),"GBTC")</f>
        <v>GBTC</v>
      </c>
      <c r="E874" s="5" t="str">
        <f>IFERROR(__xludf.DUMMYFUNCTION("""COMPUTED_VALUE"""),"USD")</f>
        <v>USD</v>
      </c>
      <c r="F874" s="69">
        <f>IFERROR(__xludf.DUMMYFUNCTION("""COMPUTED_VALUE"""),415.0)</f>
        <v>415</v>
      </c>
      <c r="G874" s="70">
        <f>IFERROR(__xludf.DUMMYFUNCTION("""COMPUTED_VALUE"""),7.83915)</f>
        <v>7.83915</v>
      </c>
      <c r="H874" s="71">
        <f>IFERROR(__xludf.DUMMYFUNCTION("""COMPUTED_VALUE"""),32.08)</f>
        <v>32.08</v>
      </c>
      <c r="I874" s="71">
        <f>IFERROR(__xludf.DUMMYFUNCTION("""COMPUTED_VALUE"""),29.12)</f>
        <v>29.12</v>
      </c>
      <c r="J874" s="88" t="str">
        <f>IFERROR(__xludf.DUMMYFUNCTION("""COMPUTED_VALUE"""),"Goto link: GBTC")</f>
        <v>Goto link: GBTC</v>
      </c>
      <c r="K874" s="22"/>
      <c r="L874" s="22"/>
      <c r="M874" s="22"/>
      <c r="N874" s="22"/>
      <c r="O874" s="73"/>
      <c r="P874" s="8"/>
      <c r="Q874" s="69"/>
      <c r="R874" s="69"/>
      <c r="S874" s="8"/>
      <c r="T874" s="69"/>
      <c r="U874" s="8"/>
      <c r="V874" s="69"/>
      <c r="W874" s="74"/>
      <c r="X874" s="69"/>
    </row>
    <row r="875">
      <c r="A875" s="30" t="str">
        <f>IFERROR(__xludf.DUMMYFUNCTION("""COMPUTED_VALUE"""),"75415")</f>
        <v>75415</v>
      </c>
      <c r="B875" s="86">
        <f>IFERROR(__xludf.DUMMYFUNCTION("""COMPUTED_VALUE"""),44610.0)</f>
        <v>44610</v>
      </c>
      <c r="C875" s="64" t="str">
        <f>IFERROR(__xludf.DUMMYFUNCTION("""COMPUTED_VALUE"""),"Stock")</f>
        <v>Stock</v>
      </c>
      <c r="D875" s="87" t="str">
        <f>IFERROR(__xludf.DUMMYFUNCTION("""COMPUTED_VALUE"""),"F")</f>
        <v>F</v>
      </c>
      <c r="E875" s="5" t="str">
        <f>IFERROR(__xludf.DUMMYFUNCTION("""COMPUTED_VALUE"""),"USD")</f>
        <v>USD</v>
      </c>
      <c r="F875" s="69">
        <f>IFERROR(__xludf.DUMMYFUNCTION("""COMPUTED_VALUE"""),2850.0)</f>
        <v>2850</v>
      </c>
      <c r="G875" s="70">
        <f>IFERROR(__xludf.DUMMYFUNCTION("""COMPUTED_VALUE"""),7.83915)</f>
        <v>7.83915</v>
      </c>
      <c r="H875" s="71">
        <f>IFERROR(__xludf.DUMMYFUNCTION("""COMPUTED_VALUE"""),18.04)</f>
        <v>18.04</v>
      </c>
      <c r="I875" s="71">
        <f>IFERROR(__xludf.DUMMYFUNCTION("""COMPUTED_VALUE"""),15.52)</f>
        <v>15.52</v>
      </c>
      <c r="J875" s="88" t="str">
        <f>IFERROR(__xludf.DUMMYFUNCTION("""COMPUTED_VALUE"""),"Goto link: F")</f>
        <v>Goto link: F</v>
      </c>
      <c r="K875" s="22"/>
      <c r="L875" s="22"/>
      <c r="M875" s="22"/>
      <c r="N875" s="22"/>
      <c r="O875" s="73"/>
      <c r="P875" s="8"/>
      <c r="Q875" s="69"/>
      <c r="R875" s="69"/>
      <c r="S875" s="8"/>
      <c r="T875" s="69"/>
      <c r="U875" s="8"/>
      <c r="V875" s="69"/>
      <c r="W875" s="74"/>
      <c r="X875" s="69"/>
    </row>
    <row r="876">
      <c r="A876" s="30" t="str">
        <f>IFERROR(__xludf.DUMMYFUNCTION("""COMPUTED_VALUE"""),"75415")</f>
        <v>75415</v>
      </c>
      <c r="B876" s="86">
        <f>IFERROR(__xludf.DUMMYFUNCTION("""COMPUTED_VALUE"""),44634.0)</f>
        <v>44634</v>
      </c>
      <c r="C876" s="64" t="str">
        <f>IFERROR(__xludf.DUMMYFUNCTION("""COMPUTED_VALUE"""),"Stock")</f>
        <v>Stock</v>
      </c>
      <c r="D876" s="87" t="str">
        <f>IFERROR(__xludf.DUMMYFUNCTION("""COMPUTED_VALUE"""),"f")</f>
        <v>f</v>
      </c>
      <c r="E876" s="5" t="str">
        <f>IFERROR(__xludf.DUMMYFUNCTION("""COMPUTED_VALUE"""),"USD")</f>
        <v>USD</v>
      </c>
      <c r="F876" s="69">
        <f>IFERROR(__xludf.DUMMYFUNCTION("""COMPUTED_VALUE"""),-2850.0)</f>
        <v>-2850</v>
      </c>
      <c r="G876" s="70">
        <f>IFERROR(__xludf.DUMMYFUNCTION("""COMPUTED_VALUE"""),7.83915)</f>
        <v>7.83915</v>
      </c>
      <c r="H876" s="71">
        <f>IFERROR(__xludf.DUMMYFUNCTION("""COMPUTED_VALUE"""),15.74)</f>
        <v>15.74</v>
      </c>
      <c r="I876" s="71">
        <f>IFERROR(__xludf.DUMMYFUNCTION("""COMPUTED_VALUE"""),15.52)</f>
        <v>15.52</v>
      </c>
      <c r="J876" s="88" t="str">
        <f>IFERROR(__xludf.DUMMYFUNCTION("""COMPUTED_VALUE"""),"Goto link: f")</f>
        <v>Goto link: f</v>
      </c>
      <c r="K876" s="22"/>
      <c r="L876" s="22"/>
      <c r="M876" s="22"/>
      <c r="N876" s="22"/>
      <c r="O876" s="73"/>
      <c r="P876" s="8"/>
      <c r="Q876" s="69"/>
      <c r="R876" s="69"/>
      <c r="S876" s="8"/>
      <c r="T876" s="69"/>
      <c r="U876" s="8"/>
      <c r="V876" s="69"/>
      <c r="W876" s="74"/>
      <c r="X876" s="69"/>
    </row>
    <row r="877">
      <c r="A877" s="30" t="str">
        <f>IFERROR(__xludf.DUMMYFUNCTION("""COMPUTED_VALUE"""),"75415")</f>
        <v>75415</v>
      </c>
      <c r="B877" s="86">
        <f>IFERROR(__xludf.DUMMYFUNCTION("""COMPUTED_VALUE"""),44634.0)</f>
        <v>44634</v>
      </c>
      <c r="C877" s="64" t="str">
        <f>IFERROR(__xludf.DUMMYFUNCTION("""COMPUTED_VALUE"""),"Stock")</f>
        <v>Stock</v>
      </c>
      <c r="D877" s="87" t="str">
        <f>IFERROR(__xludf.DUMMYFUNCTION("""COMPUTED_VALUE"""),"GBTC")</f>
        <v>GBTC</v>
      </c>
      <c r="E877" s="5" t="str">
        <f>IFERROR(__xludf.DUMMYFUNCTION("""COMPUTED_VALUE"""),"USD")</f>
        <v>USD</v>
      </c>
      <c r="F877" s="69">
        <f>IFERROR(__xludf.DUMMYFUNCTION("""COMPUTED_VALUE"""),-415.0)</f>
        <v>-415</v>
      </c>
      <c r="G877" s="70">
        <f>IFERROR(__xludf.DUMMYFUNCTION("""COMPUTED_VALUE"""),7.83915)</f>
        <v>7.83915</v>
      </c>
      <c r="H877" s="71">
        <f>IFERROR(__xludf.DUMMYFUNCTION("""COMPUTED_VALUE"""),25.4)</f>
        <v>25.4</v>
      </c>
      <c r="I877" s="71">
        <f>IFERROR(__xludf.DUMMYFUNCTION("""COMPUTED_VALUE"""),29.12)</f>
        <v>29.12</v>
      </c>
      <c r="J877" s="88" t="str">
        <f>IFERROR(__xludf.DUMMYFUNCTION("""COMPUTED_VALUE"""),"Goto link: GBTC")</f>
        <v>Goto link: GBTC</v>
      </c>
      <c r="K877" s="22"/>
      <c r="L877" s="22"/>
      <c r="M877" s="22"/>
      <c r="N877" s="22"/>
      <c r="O877" s="73"/>
      <c r="P877" s="8"/>
      <c r="Q877" s="69"/>
      <c r="R877" s="69"/>
      <c r="S877" s="8"/>
      <c r="T877" s="69"/>
      <c r="U877" s="8"/>
      <c r="V877" s="69"/>
      <c r="W877" s="74"/>
      <c r="X877" s="69"/>
    </row>
    <row r="878">
      <c r="A878" s="30" t="str">
        <f>IFERROR(__xludf.DUMMYFUNCTION("""COMPUTED_VALUE"""),"75415")</f>
        <v>75415</v>
      </c>
      <c r="B878" s="86">
        <f>IFERROR(__xludf.DUMMYFUNCTION("""COMPUTED_VALUE"""),44634.0)</f>
        <v>44634</v>
      </c>
      <c r="C878" s="64" t="str">
        <f>IFERROR(__xludf.DUMMYFUNCTION("""COMPUTED_VALUE"""),"Stock")</f>
        <v>Stock</v>
      </c>
      <c r="D878" s="87" t="str">
        <f>IFERROR(__xludf.DUMMYFUNCTION("""COMPUTED_VALUE"""),"MSFT")</f>
        <v>MSFT</v>
      </c>
      <c r="E878" s="5" t="str">
        <f>IFERROR(__xludf.DUMMYFUNCTION("""COMPUTED_VALUE"""),"USD")</f>
        <v>USD</v>
      </c>
      <c r="F878" s="69" t="str">
        <f>IFERROR(__xludf.DUMMYFUNCTION("""COMPUTED_VALUE"""),"")</f>
        <v/>
      </c>
      <c r="G878" s="70">
        <f>IFERROR(__xludf.DUMMYFUNCTION("""COMPUTED_VALUE"""),7.83915)</f>
        <v>7.83915</v>
      </c>
      <c r="H878" s="71">
        <f>IFERROR(__xludf.DUMMYFUNCTION("""COMPUTED_VALUE"""),276.44)</f>
        <v>276.44</v>
      </c>
      <c r="I878" s="71">
        <f>IFERROR(__xludf.DUMMYFUNCTION("""COMPUTED_VALUE"""),287.62)</f>
        <v>287.62</v>
      </c>
      <c r="J878" s="88" t="str">
        <f>IFERROR(__xludf.DUMMYFUNCTION("""COMPUTED_VALUE"""),"Goto link: MSFT")</f>
        <v>Goto link: MSFT</v>
      </c>
      <c r="K878" s="22"/>
      <c r="L878" s="22"/>
      <c r="M878" s="22"/>
      <c r="N878" s="22"/>
      <c r="O878" s="73"/>
      <c r="P878" s="8"/>
      <c r="Q878" s="69"/>
      <c r="R878" s="69"/>
      <c r="S878" s="8"/>
      <c r="T878" s="69"/>
      <c r="U878" s="8"/>
      <c r="V878" s="69"/>
      <c r="W878" s="74"/>
      <c r="X878" s="69"/>
    </row>
    <row r="879">
      <c r="A879" s="30" t="str">
        <f>IFERROR(__xludf.DUMMYFUNCTION("""COMPUTED_VALUE"""),"75415")</f>
        <v>75415</v>
      </c>
      <c r="B879" s="86">
        <f>IFERROR(__xludf.DUMMYFUNCTION("""COMPUTED_VALUE"""),44641.0)</f>
        <v>44641</v>
      </c>
      <c r="C879" s="64" t="str">
        <f>IFERROR(__xludf.DUMMYFUNCTION("""COMPUTED_VALUE"""),"Stock")</f>
        <v>Stock</v>
      </c>
      <c r="D879" s="87" t="str">
        <f>IFERROR(__xludf.DUMMYFUNCTION("""COMPUTED_VALUE"""),"UVXY")</f>
        <v>UVXY</v>
      </c>
      <c r="E879" s="5" t="str">
        <f>IFERROR(__xludf.DUMMYFUNCTION("""COMPUTED_VALUE"""),"USD")</f>
        <v>USD</v>
      </c>
      <c r="F879" s="69">
        <f>IFERROR(__xludf.DUMMYFUNCTION("""COMPUTED_VALUE"""),-1000.0)</f>
        <v>-1000</v>
      </c>
      <c r="G879" s="70">
        <f>IFERROR(__xludf.DUMMYFUNCTION("""COMPUTED_VALUE"""),7.83915)</f>
        <v>7.83915</v>
      </c>
      <c r="H879" s="71">
        <f>IFERROR(__xludf.DUMMYFUNCTION("""COMPUTED_VALUE"""),15.09)</f>
        <v>15.09</v>
      </c>
      <c r="I879" s="71">
        <f>IFERROR(__xludf.DUMMYFUNCTION("""COMPUTED_VALUE"""),12.93)</f>
        <v>12.93</v>
      </c>
      <c r="J879" s="88" t="str">
        <f>IFERROR(__xludf.DUMMYFUNCTION("""COMPUTED_VALUE"""),"Goto link: UVXY")</f>
        <v>Goto link: UVXY</v>
      </c>
      <c r="K879" s="22"/>
      <c r="L879" s="22"/>
      <c r="M879" s="22"/>
      <c r="N879" s="22"/>
      <c r="O879" s="73"/>
      <c r="P879" s="8"/>
      <c r="Q879" s="69"/>
      <c r="R879" s="69"/>
      <c r="S879" s="8"/>
      <c r="T879" s="69"/>
      <c r="U879" s="8"/>
      <c r="V879" s="69"/>
      <c r="W879" s="74"/>
      <c r="X879" s="69"/>
    </row>
    <row r="880">
      <c r="A880" s="30" t="str">
        <f>IFERROR(__xludf.DUMMYFUNCTION("""COMPUTED_VALUE"""),"75415")</f>
        <v>75415</v>
      </c>
      <c r="B880" s="86">
        <f>IFERROR(__xludf.DUMMYFUNCTION("""COMPUTED_VALUE"""),44642.0)</f>
        <v>44642</v>
      </c>
      <c r="C880" s="64" t="str">
        <f>IFERROR(__xludf.DUMMYFUNCTION("""COMPUTED_VALUE"""),"Stock")</f>
        <v>Stock</v>
      </c>
      <c r="D880" s="87" t="str">
        <f>IFERROR(__xludf.DUMMYFUNCTION("""COMPUTED_VALUE"""),"UVXY")</f>
        <v>UVXY</v>
      </c>
      <c r="E880" s="5" t="str">
        <f>IFERROR(__xludf.DUMMYFUNCTION("""COMPUTED_VALUE"""),"USD")</f>
        <v>USD</v>
      </c>
      <c r="F880" s="69" t="str">
        <f>IFERROR(__xludf.DUMMYFUNCTION("""COMPUTED_VALUE"""),"")</f>
        <v/>
      </c>
      <c r="G880" s="70">
        <f>IFERROR(__xludf.DUMMYFUNCTION("""COMPUTED_VALUE"""),7.83915)</f>
        <v>7.83915</v>
      </c>
      <c r="H880" s="71">
        <f>IFERROR(__xludf.DUMMYFUNCTION("""COMPUTED_VALUE"""),14.72)</f>
        <v>14.72</v>
      </c>
      <c r="I880" s="71">
        <f>IFERROR(__xludf.DUMMYFUNCTION("""COMPUTED_VALUE"""),12.93)</f>
        <v>12.93</v>
      </c>
      <c r="J880" s="88" t="str">
        <f>IFERROR(__xludf.DUMMYFUNCTION("""COMPUTED_VALUE"""),"Goto link: UVXY")</f>
        <v>Goto link: UVXY</v>
      </c>
      <c r="K880" s="22"/>
      <c r="L880" s="22"/>
      <c r="M880" s="22"/>
      <c r="N880" s="22"/>
      <c r="O880" s="73"/>
      <c r="P880" s="8"/>
      <c r="Q880" s="69"/>
      <c r="R880" s="69"/>
      <c r="S880" s="8"/>
      <c r="T880" s="69"/>
      <c r="U880" s="8"/>
      <c r="V880" s="69"/>
      <c r="W880" s="74"/>
      <c r="X880" s="69"/>
    </row>
    <row r="881">
      <c r="A881" s="30" t="str">
        <f>IFERROR(__xludf.DUMMYFUNCTION("""COMPUTED_VALUE"""),"75415")</f>
        <v>75415</v>
      </c>
      <c r="B881" s="86">
        <f>IFERROR(__xludf.DUMMYFUNCTION("""COMPUTED_VALUE"""),44642.0)</f>
        <v>44642</v>
      </c>
      <c r="C881" s="64" t="str">
        <f>IFERROR(__xludf.DUMMYFUNCTION("""COMPUTED_VALUE"""),"Stock")</f>
        <v>Stock</v>
      </c>
      <c r="D881" s="87" t="str">
        <f>IFERROR(__xludf.DUMMYFUNCTION("""COMPUTED_VALUE"""),"WEAT")</f>
        <v>WEAT</v>
      </c>
      <c r="E881" s="5" t="str">
        <f>IFERROR(__xludf.DUMMYFUNCTION("""COMPUTED_VALUE"""),"USD")</f>
        <v>USD</v>
      </c>
      <c r="F881" s="69">
        <f>IFERROR(__xludf.DUMMYFUNCTION("""COMPUTED_VALUE"""),1000.0)</f>
        <v>1000</v>
      </c>
      <c r="G881" s="70">
        <f>IFERROR(__xludf.DUMMYFUNCTION("""COMPUTED_VALUE"""),7.83915)</f>
        <v>7.83915</v>
      </c>
      <c r="H881" s="71">
        <f>IFERROR(__xludf.DUMMYFUNCTION("""COMPUTED_VALUE"""),10.69)</f>
        <v>10.69</v>
      </c>
      <c r="I881" s="71">
        <f>IFERROR(__xludf.DUMMYFUNCTION("""COMPUTED_VALUE"""),11.06)</f>
        <v>11.06</v>
      </c>
      <c r="J881" s="88" t="str">
        <f>IFERROR(__xludf.DUMMYFUNCTION("""COMPUTED_VALUE"""),"Goto link: WEAT")</f>
        <v>Goto link: WEAT</v>
      </c>
      <c r="K881" s="22"/>
      <c r="L881" s="22"/>
      <c r="M881" s="22"/>
      <c r="N881" s="22"/>
      <c r="O881" s="73"/>
      <c r="P881" s="8"/>
      <c r="Q881" s="69"/>
      <c r="R881" s="69"/>
      <c r="S881" s="8"/>
      <c r="T881" s="69"/>
      <c r="U881" s="8"/>
      <c r="V881" s="69"/>
      <c r="W881" s="74"/>
      <c r="X881" s="69"/>
    </row>
    <row r="882">
      <c r="A882" s="30" t="str">
        <f>IFERROR(__xludf.DUMMYFUNCTION("""COMPUTED_VALUE"""),"75415 Total")</f>
        <v>75415 Total</v>
      </c>
      <c r="B882" s="5"/>
      <c r="C882" s="64"/>
      <c r="D882" s="85"/>
      <c r="E882" s="5"/>
      <c r="F882" s="69"/>
      <c r="G882" s="70">
        <f>IFERROR(__xludf.DUMMYFUNCTION("""COMPUTED_VALUE"""),7.079244444444446)</f>
        <v>7.079244444</v>
      </c>
      <c r="H882" s="71">
        <f>IFERROR(__xludf.DUMMYFUNCTION("""COMPUTED_VALUE"""),276.44)</f>
        <v>276.44</v>
      </c>
      <c r="I882" s="71" t="str">
        <f>IFERROR(__xludf.DUMMYFUNCTION("""COMPUTED_VALUE"""),"")</f>
        <v/>
      </c>
      <c r="J882" s="22" t="str">
        <f>IFERROR(__xludf.DUMMYFUNCTION("""COMPUTED_VALUE"""),"")</f>
        <v/>
      </c>
      <c r="K882" s="22"/>
      <c r="L882" s="22"/>
      <c r="M882" s="22"/>
      <c r="N882" s="22"/>
      <c r="O882" s="73"/>
      <c r="P882" s="8"/>
      <c r="Q882" s="69"/>
      <c r="R882" s="69"/>
      <c r="S882" s="8"/>
      <c r="T882" s="69"/>
      <c r="U882" s="8"/>
      <c r="V882" s="69"/>
      <c r="W882" s="74"/>
      <c r="X882" s="69"/>
    </row>
    <row r="883">
      <c r="A883" s="30" t="str">
        <f>IFERROR(__xludf.DUMMYFUNCTION("""COMPUTED_VALUE"""),"75597")</f>
        <v>75597</v>
      </c>
      <c r="B883" s="86">
        <f>IFERROR(__xludf.DUMMYFUNCTION("""COMPUTED_VALUE"""),44597.0)</f>
        <v>44597</v>
      </c>
      <c r="C883" s="64" t="str">
        <f>IFERROR(__xludf.DUMMYFUNCTION("""COMPUTED_VALUE"""),"Cash")</f>
        <v>Cash</v>
      </c>
      <c r="D883" s="85" t="str">
        <f>IFERROR(__xludf.DUMMYFUNCTION("""COMPUTED_VALUE"""),"Cash")</f>
        <v>Cash</v>
      </c>
      <c r="E883" s="5" t="str">
        <f>IFERROR(__xludf.DUMMYFUNCTION("""COMPUTED_VALUE"""),"HKD")</f>
        <v>HKD</v>
      </c>
      <c r="F883" s="69" t="str">
        <f>IFERROR(__xludf.DUMMYFUNCTION("""COMPUTED_VALUE"""),"")</f>
        <v/>
      </c>
      <c r="G883" s="70">
        <f>IFERROR(__xludf.DUMMYFUNCTION("""COMPUTED_VALUE"""),1.0)</f>
        <v>1</v>
      </c>
      <c r="H883" s="71">
        <f>IFERROR(__xludf.DUMMYFUNCTION("""COMPUTED_VALUE"""),1.0)</f>
        <v>1</v>
      </c>
      <c r="I883" s="71">
        <f>IFERROR(__xludf.DUMMYFUNCTION("""COMPUTED_VALUE"""),1.0)</f>
        <v>1</v>
      </c>
      <c r="J883" s="22" t="str">
        <f>IFERROR(__xludf.DUMMYFUNCTION("""COMPUTED_VALUE"""),"")</f>
        <v/>
      </c>
      <c r="K883" s="22"/>
      <c r="L883" s="22"/>
      <c r="M883" s="22"/>
      <c r="N883" s="22"/>
      <c r="O883" s="73"/>
      <c r="P883" s="8"/>
      <c r="Q883" s="69"/>
      <c r="R883" s="69"/>
      <c r="S883" s="8"/>
      <c r="T883" s="69"/>
      <c r="U883" s="8"/>
      <c r="V883" s="69"/>
      <c r="W883" s="74"/>
      <c r="X883" s="69"/>
    </row>
    <row r="884">
      <c r="A884" s="30" t="str">
        <f>IFERROR(__xludf.DUMMYFUNCTION("""COMPUTED_VALUE"""),"75597")</f>
        <v>75597</v>
      </c>
      <c r="B884" s="86">
        <f>IFERROR(__xludf.DUMMYFUNCTION("""COMPUTED_VALUE"""),44641.0)</f>
        <v>44641</v>
      </c>
      <c r="C884" s="64" t="str">
        <f>IFERROR(__xludf.DUMMYFUNCTION("""COMPUTED_VALUE"""),"Stock")</f>
        <v>Stock</v>
      </c>
      <c r="D884" s="90" t="str">
        <f>IFERROR(__xludf.DUMMYFUNCTION("""COMPUTED_VALUE"""),"600519.SS")</f>
        <v>600519.SS</v>
      </c>
      <c r="E884" s="5" t="str">
        <f>IFERROR(__xludf.DUMMYFUNCTION("""COMPUTED_VALUE"""),"CNY")</f>
        <v>CNY</v>
      </c>
      <c r="F884" s="69">
        <f>IFERROR(__xludf.DUMMYFUNCTION("""COMPUTED_VALUE"""),50.0)</f>
        <v>50</v>
      </c>
      <c r="G884" s="70">
        <f>IFERROR(__xludf.DUMMYFUNCTION("""COMPUTED_VALUE"""),1.231169)</f>
        <v>1.231169</v>
      </c>
      <c r="H884" s="71">
        <f>IFERROR(__xludf.DUMMYFUNCTION("""COMPUTED_VALUE"""),1704.3)</f>
        <v>1704.3</v>
      </c>
      <c r="I884" s="71">
        <f>IFERROR(__xludf.DUMMYFUNCTION("""COMPUTED_VALUE"""),1769.0)</f>
        <v>1769</v>
      </c>
      <c r="J884" s="88" t="str">
        <f>IFERROR(__xludf.DUMMYFUNCTION("""COMPUTED_VALUE"""),"Goto link: 600519.SS")</f>
        <v>Goto link: 600519.SS</v>
      </c>
      <c r="K884" s="22"/>
      <c r="L884" s="22"/>
      <c r="M884" s="22"/>
      <c r="N884" s="22"/>
      <c r="O884" s="73"/>
      <c r="P884" s="8"/>
      <c r="Q884" s="69"/>
      <c r="R884" s="69"/>
      <c r="S884" s="8"/>
      <c r="T884" s="69"/>
      <c r="U884" s="8"/>
      <c r="V884" s="69"/>
      <c r="W884" s="74"/>
      <c r="X884" s="69"/>
    </row>
    <row r="885">
      <c r="A885" s="30" t="str">
        <f>IFERROR(__xludf.DUMMYFUNCTION("""COMPUTED_VALUE"""),"75597")</f>
        <v>75597</v>
      </c>
      <c r="B885" s="86">
        <f>IFERROR(__xludf.DUMMYFUNCTION("""COMPUTED_VALUE"""),44652.0)</f>
        <v>44652</v>
      </c>
      <c r="C885" s="64" t="str">
        <f>IFERROR(__xludf.DUMMYFUNCTION("""COMPUTED_VALUE"""),"Stock")</f>
        <v>Stock</v>
      </c>
      <c r="D885" s="90" t="str">
        <f>IFERROR(__xludf.DUMMYFUNCTION("""COMPUTED_VALUE"""),"600519.SS")</f>
        <v>600519.SS</v>
      </c>
      <c r="E885" s="5" t="str">
        <f>IFERROR(__xludf.DUMMYFUNCTION("""COMPUTED_VALUE"""),"CNY")</f>
        <v>CNY</v>
      </c>
      <c r="F885" s="69">
        <f>IFERROR(__xludf.DUMMYFUNCTION("""COMPUTED_VALUE"""),200.0)</f>
        <v>200</v>
      </c>
      <c r="G885" s="70">
        <f>IFERROR(__xludf.DUMMYFUNCTION("""COMPUTED_VALUE"""),1.231169)</f>
        <v>1.231169</v>
      </c>
      <c r="H885" s="71">
        <f>IFERROR(__xludf.DUMMYFUNCTION("""COMPUTED_VALUE"""),1780.01)</f>
        <v>1780.01</v>
      </c>
      <c r="I885" s="71">
        <f>IFERROR(__xludf.DUMMYFUNCTION("""COMPUTED_VALUE"""),1769.0)</f>
        <v>1769</v>
      </c>
      <c r="J885" s="88" t="str">
        <f>IFERROR(__xludf.DUMMYFUNCTION("""COMPUTED_VALUE"""),"Goto link: 600519.SS")</f>
        <v>Goto link: 600519.SS</v>
      </c>
      <c r="K885" s="22"/>
      <c r="L885" s="22"/>
      <c r="M885" s="22"/>
      <c r="N885" s="22"/>
      <c r="O885" s="73"/>
      <c r="P885" s="8"/>
      <c r="Q885" s="69"/>
      <c r="R885" s="69"/>
      <c r="S885" s="8"/>
      <c r="T885" s="69"/>
      <c r="U885" s="8"/>
      <c r="V885" s="69"/>
      <c r="W885" s="74"/>
      <c r="X885" s="69"/>
    </row>
    <row r="886">
      <c r="A886" s="30" t="str">
        <f>IFERROR(__xludf.DUMMYFUNCTION("""COMPUTED_VALUE"""),"75597 Total")</f>
        <v>75597 Total</v>
      </c>
      <c r="B886" s="5"/>
      <c r="C886" s="64"/>
      <c r="D886" s="85"/>
      <c r="E886" s="5"/>
      <c r="F886" s="69"/>
      <c r="G886" s="70">
        <f>IFERROR(__xludf.DUMMYFUNCTION("""COMPUTED_VALUE"""),1.1541126666666666)</f>
        <v>1.154112667</v>
      </c>
      <c r="H886" s="71">
        <f>IFERROR(__xludf.DUMMYFUNCTION("""COMPUTED_VALUE"""),1780.01)</f>
        <v>1780.01</v>
      </c>
      <c r="I886" s="71" t="str">
        <f>IFERROR(__xludf.DUMMYFUNCTION("""COMPUTED_VALUE"""),"")</f>
        <v/>
      </c>
      <c r="J886" s="22" t="str">
        <f>IFERROR(__xludf.DUMMYFUNCTION("""COMPUTED_VALUE"""),"")</f>
        <v/>
      </c>
      <c r="K886" s="22"/>
      <c r="L886" s="22"/>
      <c r="M886" s="22"/>
      <c r="N886" s="22"/>
      <c r="O886" s="73"/>
      <c r="P886" s="8"/>
      <c r="Q886" s="69"/>
      <c r="R886" s="69"/>
      <c r="S886" s="8"/>
      <c r="T886" s="69"/>
      <c r="U886" s="8"/>
      <c r="V886" s="69"/>
      <c r="W886" s="74"/>
      <c r="X886" s="69"/>
    </row>
    <row r="887">
      <c r="A887" s="30" t="str">
        <f>IFERROR(__xludf.DUMMYFUNCTION("""COMPUTED_VALUE"""),"75965")</f>
        <v>75965</v>
      </c>
      <c r="B887" s="86">
        <f>IFERROR(__xludf.DUMMYFUNCTION("""COMPUTED_VALUE"""),44597.0)</f>
        <v>44597</v>
      </c>
      <c r="C887" s="64" t="str">
        <f>IFERROR(__xludf.DUMMYFUNCTION("""COMPUTED_VALUE"""),"Cash")</f>
        <v>Cash</v>
      </c>
      <c r="D887" s="85" t="str">
        <f>IFERROR(__xludf.DUMMYFUNCTION("""COMPUTED_VALUE"""),"Cash")</f>
        <v>Cash</v>
      </c>
      <c r="E887" s="5" t="str">
        <f>IFERROR(__xludf.DUMMYFUNCTION("""COMPUTED_VALUE"""),"HKD")</f>
        <v>HKD</v>
      </c>
      <c r="F887" s="69" t="str">
        <f>IFERROR(__xludf.DUMMYFUNCTION("""COMPUTED_VALUE"""),"")</f>
        <v/>
      </c>
      <c r="G887" s="70">
        <f>IFERROR(__xludf.DUMMYFUNCTION("""COMPUTED_VALUE"""),1.0)</f>
        <v>1</v>
      </c>
      <c r="H887" s="71">
        <f>IFERROR(__xludf.DUMMYFUNCTION("""COMPUTED_VALUE"""),1.0)</f>
        <v>1</v>
      </c>
      <c r="I887" s="71">
        <f>IFERROR(__xludf.DUMMYFUNCTION("""COMPUTED_VALUE"""),1.0)</f>
        <v>1</v>
      </c>
      <c r="J887" s="22" t="str">
        <f>IFERROR(__xludf.DUMMYFUNCTION("""COMPUTED_VALUE"""),"")</f>
        <v/>
      </c>
      <c r="K887" s="22"/>
      <c r="L887" s="22"/>
      <c r="M887" s="22"/>
      <c r="N887" s="22"/>
      <c r="O887" s="73"/>
      <c r="P887" s="8"/>
      <c r="Q887" s="69"/>
      <c r="R887" s="69"/>
      <c r="S887" s="8"/>
      <c r="T887" s="69"/>
      <c r="U887" s="8"/>
      <c r="V887" s="69"/>
      <c r="W887" s="74"/>
      <c r="X887" s="69"/>
    </row>
    <row r="888">
      <c r="A888" s="30" t="str">
        <f>IFERROR(__xludf.DUMMYFUNCTION("""COMPUTED_VALUE"""),"75965")</f>
        <v>75965</v>
      </c>
      <c r="B888" s="86">
        <f>IFERROR(__xludf.DUMMYFUNCTION("""COMPUTED_VALUE"""),44636.0)</f>
        <v>44636</v>
      </c>
      <c r="C888" s="64" t="str">
        <f>IFERROR(__xludf.DUMMYFUNCTION("""COMPUTED_VALUE"""),"Stock")</f>
        <v>Stock</v>
      </c>
      <c r="D888" s="87" t="str">
        <f>IFERROR(__xludf.DUMMYFUNCTION("""COMPUTED_VALUE"""),"aapl")</f>
        <v>aapl</v>
      </c>
      <c r="E888" s="5" t="str">
        <f>IFERROR(__xludf.DUMMYFUNCTION("""COMPUTED_VALUE"""),"USD")</f>
        <v>USD</v>
      </c>
      <c r="F888" s="69">
        <f>IFERROR(__xludf.DUMMYFUNCTION("""COMPUTED_VALUE"""),100.0)</f>
        <v>100</v>
      </c>
      <c r="G888" s="70">
        <f>IFERROR(__xludf.DUMMYFUNCTION("""COMPUTED_VALUE"""),7.83915)</f>
        <v>7.83915</v>
      </c>
      <c r="H888" s="71">
        <f>IFERROR(__xludf.DUMMYFUNCTION("""COMPUTED_VALUE"""),159.59)</f>
        <v>159.59</v>
      </c>
      <c r="I888" s="71">
        <f>IFERROR(__xludf.DUMMYFUNCTION("""COMPUTED_VALUE"""),170.4)</f>
        <v>170.4</v>
      </c>
      <c r="J888" s="88" t="str">
        <f>IFERROR(__xludf.DUMMYFUNCTION("""COMPUTED_VALUE"""),"Goto link: aapl")</f>
        <v>Goto link: aapl</v>
      </c>
      <c r="K888" s="22"/>
      <c r="L888" s="22"/>
      <c r="M888" s="22"/>
      <c r="N888" s="22"/>
      <c r="O888" s="73"/>
      <c r="P888" s="8"/>
      <c r="Q888" s="69"/>
      <c r="R888" s="69"/>
      <c r="S888" s="8"/>
      <c r="T888" s="69"/>
      <c r="U888" s="8"/>
      <c r="V888" s="69"/>
      <c r="W888" s="74"/>
      <c r="X888" s="69"/>
    </row>
    <row r="889">
      <c r="A889" s="30" t="str">
        <f>IFERROR(__xludf.DUMMYFUNCTION("""COMPUTED_VALUE"""),"75965")</f>
        <v>75965</v>
      </c>
      <c r="B889" s="86">
        <f>IFERROR(__xludf.DUMMYFUNCTION("""COMPUTED_VALUE"""),44636.0)</f>
        <v>44636</v>
      </c>
      <c r="C889" s="64" t="str">
        <f>IFERROR(__xludf.DUMMYFUNCTION("""COMPUTED_VALUE"""),"Stock")</f>
        <v>Stock</v>
      </c>
      <c r="D889" s="87" t="str">
        <f>IFERROR(__xludf.DUMMYFUNCTION("""COMPUTED_VALUE"""),"ES=F")</f>
        <v>ES=F</v>
      </c>
      <c r="E889" s="5" t="str">
        <f>IFERROR(__xludf.DUMMYFUNCTION("""COMPUTED_VALUE"""),"USD")</f>
        <v>USD</v>
      </c>
      <c r="F889" s="69" t="str">
        <f>IFERROR(__xludf.DUMMYFUNCTION("""COMPUTED_VALUE"""),"")</f>
        <v/>
      </c>
      <c r="G889" s="70">
        <f>IFERROR(__xludf.DUMMYFUNCTION("""COMPUTED_VALUE"""),7.83915)</f>
        <v>7.83915</v>
      </c>
      <c r="H889" s="71">
        <f>IFERROR(__xludf.DUMMYFUNCTION("""COMPUTED_VALUE"""),4358.0)</f>
        <v>4358</v>
      </c>
      <c r="I889" s="71">
        <f>IFERROR(__xludf.DUMMYFUNCTION("""COMPUTED_VALUE"""),4439.25)</f>
        <v>4439.25</v>
      </c>
      <c r="J889" s="88" t="str">
        <f>IFERROR(__xludf.DUMMYFUNCTION("""COMPUTED_VALUE"""),"Goto link: ES=F")</f>
        <v>Goto link: ES=F</v>
      </c>
      <c r="K889" s="22"/>
      <c r="L889" s="22"/>
      <c r="M889" s="22"/>
      <c r="N889" s="22"/>
      <c r="O889" s="73"/>
      <c r="P889" s="8"/>
      <c r="Q889" s="69"/>
      <c r="R889" s="69"/>
      <c r="S889" s="8"/>
      <c r="T889" s="69"/>
      <c r="U889" s="8"/>
      <c r="V889" s="69"/>
      <c r="W889" s="74"/>
      <c r="X889" s="69"/>
    </row>
    <row r="890">
      <c r="A890" s="30" t="str">
        <f>IFERROR(__xludf.DUMMYFUNCTION("""COMPUTED_VALUE"""),"75965")</f>
        <v>75965</v>
      </c>
      <c r="B890" s="86">
        <f>IFERROR(__xludf.DUMMYFUNCTION("""COMPUTED_VALUE"""),44636.0)</f>
        <v>44636</v>
      </c>
      <c r="C890" s="64" t="str">
        <f>IFERROR(__xludf.DUMMYFUNCTION("""COMPUTED_VALUE"""),"Stock")</f>
        <v>Stock</v>
      </c>
      <c r="D890" s="87" t="str">
        <f>IFERROR(__xludf.DUMMYFUNCTION("""COMPUTED_VALUE"""),"TSLA")</f>
        <v>TSLA</v>
      </c>
      <c r="E890" s="5" t="str">
        <f>IFERROR(__xludf.DUMMYFUNCTION("""COMPUTED_VALUE"""),"USD")</f>
        <v>USD</v>
      </c>
      <c r="F890" s="69">
        <f>IFERROR(__xludf.DUMMYFUNCTION("""COMPUTED_VALUE"""),50.0)</f>
        <v>50</v>
      </c>
      <c r="G890" s="70">
        <f>IFERROR(__xludf.DUMMYFUNCTION("""COMPUTED_VALUE"""),7.83915)</f>
        <v>7.83915</v>
      </c>
      <c r="H890" s="71">
        <f>IFERROR(__xludf.DUMMYFUNCTION("""COMPUTED_VALUE"""),840.23)</f>
        <v>840.23</v>
      </c>
      <c r="I890" s="71">
        <f>IFERROR(__xludf.DUMMYFUNCTION("""COMPUTED_VALUE"""),1022.37)</f>
        <v>1022.37</v>
      </c>
      <c r="J890" s="88" t="str">
        <f>IFERROR(__xludf.DUMMYFUNCTION("""COMPUTED_VALUE"""),"Goto link: TSLA")</f>
        <v>Goto link: TSLA</v>
      </c>
      <c r="K890" s="22"/>
      <c r="L890" s="22"/>
      <c r="M890" s="22"/>
      <c r="N890" s="22"/>
      <c r="O890" s="73"/>
      <c r="P890" s="8"/>
      <c r="Q890" s="69"/>
      <c r="R890" s="69"/>
      <c r="S890" s="8"/>
      <c r="T890" s="69"/>
      <c r="U890" s="8"/>
      <c r="V890" s="69"/>
      <c r="W890" s="74"/>
      <c r="X890" s="69"/>
    </row>
    <row r="891">
      <c r="A891" s="30" t="str">
        <f>IFERROR(__xludf.DUMMYFUNCTION("""COMPUTED_VALUE"""),"75965")</f>
        <v>75965</v>
      </c>
      <c r="B891" s="86">
        <f>IFERROR(__xludf.DUMMYFUNCTION("""COMPUTED_VALUE"""),44648.0)</f>
        <v>44648</v>
      </c>
      <c r="C891" s="64" t="str">
        <f>IFERROR(__xludf.DUMMYFUNCTION("""COMPUTED_VALUE"""),"Stock")</f>
        <v>Stock</v>
      </c>
      <c r="D891" s="87" t="str">
        <f>IFERROR(__xludf.DUMMYFUNCTION("""COMPUTED_VALUE"""),"MULN")</f>
        <v>MULN</v>
      </c>
      <c r="E891" s="5" t="str">
        <f>IFERROR(__xludf.DUMMYFUNCTION("""COMPUTED_VALUE"""),"USD")</f>
        <v>USD</v>
      </c>
      <c r="F891" s="69">
        <f>IFERROR(__xludf.DUMMYFUNCTION("""COMPUTED_VALUE"""),9900.0)</f>
        <v>9900</v>
      </c>
      <c r="G891" s="70">
        <f>IFERROR(__xludf.DUMMYFUNCTION("""COMPUTED_VALUE"""),7.83915)</f>
        <v>7.83915</v>
      </c>
      <c r="H891" s="71">
        <f>IFERROR(__xludf.DUMMYFUNCTION("""COMPUTED_VALUE"""),2.45)</f>
        <v>2.45</v>
      </c>
      <c r="I891" s="71">
        <f>IFERROR(__xludf.DUMMYFUNCTION("""COMPUTED_VALUE"""),2.4)</f>
        <v>2.4</v>
      </c>
      <c r="J891" s="88" t="str">
        <f>IFERROR(__xludf.DUMMYFUNCTION("""COMPUTED_VALUE"""),"Goto link: MULN")</f>
        <v>Goto link: MULN</v>
      </c>
      <c r="K891" s="22"/>
      <c r="L891" s="22"/>
      <c r="M891" s="22"/>
      <c r="N891" s="22"/>
      <c r="O891" s="73"/>
      <c r="P891" s="8"/>
      <c r="Q891" s="69"/>
      <c r="R891" s="69"/>
      <c r="S891" s="8"/>
      <c r="T891" s="69"/>
      <c r="U891" s="8"/>
      <c r="V891" s="69"/>
      <c r="W891" s="74"/>
      <c r="X891" s="69"/>
    </row>
    <row r="892">
      <c r="A892" s="30" t="str">
        <f>IFERROR(__xludf.DUMMYFUNCTION("""COMPUTED_VALUE"""),"75965")</f>
        <v>75965</v>
      </c>
      <c r="B892" s="86">
        <f>IFERROR(__xludf.DUMMYFUNCTION("""COMPUTED_VALUE"""),44648.0)</f>
        <v>44648</v>
      </c>
      <c r="C892" s="64" t="str">
        <f>IFERROR(__xludf.DUMMYFUNCTION("""COMPUTED_VALUE"""),"Stock")</f>
        <v>Stock</v>
      </c>
      <c r="D892" s="87" t="str">
        <f>IFERROR(__xludf.DUMMYFUNCTION("""COMPUTED_VALUE"""),"TSLA")</f>
        <v>TSLA</v>
      </c>
      <c r="E892" s="5" t="str">
        <f>IFERROR(__xludf.DUMMYFUNCTION("""COMPUTED_VALUE"""),"USD")</f>
        <v>USD</v>
      </c>
      <c r="F892" s="69">
        <f>IFERROR(__xludf.DUMMYFUNCTION("""COMPUTED_VALUE"""),-50.0)</f>
        <v>-50</v>
      </c>
      <c r="G892" s="70">
        <f>IFERROR(__xludf.DUMMYFUNCTION("""COMPUTED_VALUE"""),7.83915)</f>
        <v>7.83915</v>
      </c>
      <c r="H892" s="71">
        <f>IFERROR(__xludf.DUMMYFUNCTION("""COMPUTED_VALUE"""),1091.84)</f>
        <v>1091.84</v>
      </c>
      <c r="I892" s="71">
        <f>IFERROR(__xludf.DUMMYFUNCTION("""COMPUTED_VALUE"""),1022.37)</f>
        <v>1022.37</v>
      </c>
      <c r="J892" s="88" t="str">
        <f>IFERROR(__xludf.DUMMYFUNCTION("""COMPUTED_VALUE"""),"Goto link: TSLA")</f>
        <v>Goto link: TSLA</v>
      </c>
      <c r="K892" s="22"/>
      <c r="L892" s="22"/>
      <c r="M892" s="22"/>
      <c r="N892" s="22"/>
      <c r="O892" s="73"/>
      <c r="P892" s="8"/>
      <c r="Q892" s="69"/>
      <c r="R892" s="69"/>
      <c r="S892" s="8"/>
      <c r="T892" s="69"/>
      <c r="U892" s="8"/>
      <c r="V892" s="69"/>
      <c r="W892" s="74"/>
      <c r="X892" s="69"/>
    </row>
    <row r="893">
      <c r="A893" s="30" t="str">
        <f>IFERROR(__xludf.DUMMYFUNCTION("""COMPUTED_VALUE"""),"75965")</f>
        <v>75965</v>
      </c>
      <c r="B893" s="86">
        <f>IFERROR(__xludf.DUMMYFUNCTION("""COMPUTED_VALUE"""),44649.0)</f>
        <v>44649</v>
      </c>
      <c r="C893" s="64" t="str">
        <f>IFERROR(__xludf.DUMMYFUNCTION("""COMPUTED_VALUE"""),"Stock")</f>
        <v>Stock</v>
      </c>
      <c r="D893" s="87" t="str">
        <f>IFERROR(__xludf.DUMMYFUNCTION("""COMPUTED_VALUE"""),"HYMC")</f>
        <v>HYMC</v>
      </c>
      <c r="E893" s="5" t="str">
        <f>IFERROR(__xludf.DUMMYFUNCTION("""COMPUTED_VALUE"""),"USD")</f>
        <v>USD</v>
      </c>
      <c r="F893" s="69" t="str">
        <f>IFERROR(__xludf.DUMMYFUNCTION("""COMPUTED_VALUE"""),"")</f>
        <v/>
      </c>
      <c r="G893" s="70">
        <f>IFERROR(__xludf.DUMMYFUNCTION("""COMPUTED_VALUE"""),7.83915)</f>
        <v>7.83915</v>
      </c>
      <c r="H893" s="71">
        <f>IFERROR(__xludf.DUMMYFUNCTION("""COMPUTED_VALUE"""),2.59)</f>
        <v>2.59</v>
      </c>
      <c r="I893" s="71">
        <f>IFERROR(__xludf.DUMMYFUNCTION("""COMPUTED_VALUE"""),2.18)</f>
        <v>2.18</v>
      </c>
      <c r="J893" s="88" t="str">
        <f>IFERROR(__xludf.DUMMYFUNCTION("""COMPUTED_VALUE"""),"Goto link: HYMC")</f>
        <v>Goto link: HYMC</v>
      </c>
      <c r="K893" s="22"/>
      <c r="L893" s="22"/>
      <c r="M893" s="22"/>
      <c r="N893" s="22"/>
      <c r="O893" s="73"/>
      <c r="P893" s="8"/>
      <c r="Q893" s="69"/>
      <c r="R893" s="69"/>
      <c r="S893" s="8"/>
      <c r="T893" s="69"/>
      <c r="U893" s="8"/>
      <c r="V893" s="69"/>
      <c r="W893" s="74"/>
      <c r="X893" s="69"/>
    </row>
    <row r="894">
      <c r="A894" s="30" t="str">
        <f>IFERROR(__xludf.DUMMYFUNCTION("""COMPUTED_VALUE"""),"75965")</f>
        <v>75965</v>
      </c>
      <c r="B894" s="86">
        <f>IFERROR(__xludf.DUMMYFUNCTION("""COMPUTED_VALUE"""),44649.0)</f>
        <v>44649</v>
      </c>
      <c r="C894" s="64" t="str">
        <f>IFERROR(__xludf.DUMMYFUNCTION("""COMPUTED_VALUE"""),"Stock")</f>
        <v>Stock</v>
      </c>
      <c r="D894" s="87" t="str">
        <f>IFERROR(__xludf.DUMMYFUNCTION("""COMPUTED_VALUE"""),"TSLA")</f>
        <v>TSLA</v>
      </c>
      <c r="E894" s="5" t="str">
        <f>IFERROR(__xludf.DUMMYFUNCTION("""COMPUTED_VALUE"""),"USD")</f>
        <v>USD</v>
      </c>
      <c r="F894" s="69">
        <f>IFERROR(__xludf.DUMMYFUNCTION("""COMPUTED_VALUE"""),-50.0)</f>
        <v>-50</v>
      </c>
      <c r="G894" s="70">
        <f>IFERROR(__xludf.DUMMYFUNCTION("""COMPUTED_VALUE"""),7.83915)</f>
        <v>7.83915</v>
      </c>
      <c r="H894" s="71">
        <f>IFERROR(__xludf.DUMMYFUNCTION("""COMPUTED_VALUE"""),1099.57)</f>
        <v>1099.57</v>
      </c>
      <c r="I894" s="71">
        <f>IFERROR(__xludf.DUMMYFUNCTION("""COMPUTED_VALUE"""),1022.37)</f>
        <v>1022.37</v>
      </c>
      <c r="J894" s="88" t="str">
        <f>IFERROR(__xludf.DUMMYFUNCTION("""COMPUTED_VALUE"""),"Goto link: TSLA")</f>
        <v>Goto link: TSLA</v>
      </c>
      <c r="K894" s="22"/>
      <c r="L894" s="22"/>
      <c r="M894" s="22"/>
      <c r="N894" s="22"/>
      <c r="O894" s="73"/>
      <c r="P894" s="8"/>
      <c r="Q894" s="69"/>
      <c r="R894" s="69"/>
      <c r="S894" s="8"/>
      <c r="T894" s="69"/>
      <c r="U894" s="8"/>
      <c r="V894" s="69"/>
      <c r="W894" s="74"/>
      <c r="X894" s="69"/>
    </row>
    <row r="895">
      <c r="A895" s="30" t="str">
        <f>IFERROR(__xludf.DUMMYFUNCTION("""COMPUTED_VALUE"""),"75965")</f>
        <v>75965</v>
      </c>
      <c r="B895" s="86">
        <f>IFERROR(__xludf.DUMMYFUNCTION("""COMPUTED_VALUE"""),44651.0)</f>
        <v>44651</v>
      </c>
      <c r="C895" s="64" t="str">
        <f>IFERROR(__xludf.DUMMYFUNCTION("""COMPUTED_VALUE"""),"Stock")</f>
        <v>Stock</v>
      </c>
      <c r="D895" s="87" t="str">
        <f>IFERROR(__xludf.DUMMYFUNCTION("""COMPUTED_VALUE"""),"MULN")</f>
        <v>MULN</v>
      </c>
      <c r="E895" s="5" t="str">
        <f>IFERROR(__xludf.DUMMYFUNCTION("""COMPUTED_VALUE"""),"USD")</f>
        <v>USD</v>
      </c>
      <c r="F895" s="69">
        <f>IFERROR(__xludf.DUMMYFUNCTION("""COMPUTED_VALUE"""),-9900.0)</f>
        <v>-9900</v>
      </c>
      <c r="G895" s="70">
        <f>IFERROR(__xludf.DUMMYFUNCTION("""COMPUTED_VALUE"""),7.83915)</f>
        <v>7.83915</v>
      </c>
      <c r="H895" s="71">
        <f>IFERROR(__xludf.DUMMYFUNCTION("""COMPUTED_VALUE"""),2.98)</f>
        <v>2.98</v>
      </c>
      <c r="I895" s="71">
        <f>IFERROR(__xludf.DUMMYFUNCTION("""COMPUTED_VALUE"""),2.4)</f>
        <v>2.4</v>
      </c>
      <c r="J895" s="88" t="str">
        <f>IFERROR(__xludf.DUMMYFUNCTION("""COMPUTED_VALUE"""),"Goto link: MULN")</f>
        <v>Goto link: MULN</v>
      </c>
      <c r="K895" s="22"/>
      <c r="L895" s="22"/>
      <c r="M895" s="22"/>
      <c r="N895" s="22"/>
      <c r="O895" s="73"/>
      <c r="P895" s="8"/>
      <c r="Q895" s="69"/>
      <c r="R895" s="69"/>
      <c r="S895" s="8"/>
      <c r="T895" s="69"/>
      <c r="U895" s="8"/>
      <c r="V895" s="69"/>
      <c r="W895" s="74"/>
      <c r="X895" s="69"/>
    </row>
    <row r="896">
      <c r="A896" s="30" t="str">
        <f>IFERROR(__xludf.DUMMYFUNCTION("""COMPUTED_VALUE"""),"75965")</f>
        <v>75965</v>
      </c>
      <c r="B896" s="86">
        <f>IFERROR(__xludf.DUMMYFUNCTION("""COMPUTED_VALUE"""),44652.0)</f>
        <v>44652</v>
      </c>
      <c r="C896" s="64" t="str">
        <f>IFERROR(__xludf.DUMMYFUNCTION("""COMPUTED_VALUE"""),"Stock")</f>
        <v>Stock</v>
      </c>
      <c r="D896" s="87" t="str">
        <f>IFERROR(__xludf.DUMMYFUNCTION("""COMPUTED_VALUE"""),"AMC")</f>
        <v>AMC</v>
      </c>
      <c r="E896" s="5" t="str">
        <f>IFERROR(__xludf.DUMMYFUNCTION("""COMPUTED_VALUE"""),"USD")</f>
        <v>USD</v>
      </c>
      <c r="F896" s="69" t="str">
        <f>IFERROR(__xludf.DUMMYFUNCTION("""COMPUTED_VALUE"""),"")</f>
        <v/>
      </c>
      <c r="G896" s="70">
        <f>IFERROR(__xludf.DUMMYFUNCTION("""COMPUTED_VALUE"""),7.83915)</f>
        <v>7.83915</v>
      </c>
      <c r="H896" s="71">
        <f>IFERROR(__xludf.DUMMYFUNCTION("""COMPUTED_VALUE"""),23.3)</f>
        <v>23.3</v>
      </c>
      <c r="I896" s="71">
        <f>IFERROR(__xludf.DUMMYFUNCTION("""COMPUTED_VALUE"""),18.52)</f>
        <v>18.52</v>
      </c>
      <c r="J896" s="88" t="str">
        <f>IFERROR(__xludf.DUMMYFUNCTION("""COMPUTED_VALUE"""),"Goto link: AMC")</f>
        <v>Goto link: AMC</v>
      </c>
      <c r="K896" s="22"/>
      <c r="L896" s="22"/>
      <c r="M896" s="22"/>
      <c r="N896" s="22"/>
      <c r="O896" s="73"/>
      <c r="P896" s="8"/>
      <c r="Q896" s="69"/>
      <c r="R896" s="69"/>
      <c r="S896" s="8"/>
      <c r="T896" s="69"/>
      <c r="U896" s="8"/>
      <c r="V896" s="69"/>
      <c r="W896" s="74"/>
      <c r="X896" s="69"/>
    </row>
    <row r="897">
      <c r="A897" s="30" t="str">
        <f>IFERROR(__xludf.DUMMYFUNCTION("""COMPUTED_VALUE"""),"75965")</f>
        <v>75965</v>
      </c>
      <c r="B897" s="86">
        <f>IFERROR(__xludf.DUMMYFUNCTION("""COMPUTED_VALUE"""),44655.0)</f>
        <v>44655</v>
      </c>
      <c r="C897" s="64" t="str">
        <f>IFERROR(__xludf.DUMMYFUNCTION("""COMPUTED_VALUE"""),"Stock")</f>
        <v>Stock</v>
      </c>
      <c r="D897" s="87" t="str">
        <f>IFERROR(__xludf.DUMMYFUNCTION("""COMPUTED_VALUE"""),"AMC")</f>
        <v>AMC</v>
      </c>
      <c r="E897" s="5" t="str">
        <f>IFERROR(__xludf.DUMMYFUNCTION("""COMPUTED_VALUE"""),"USD")</f>
        <v>USD</v>
      </c>
      <c r="F897" s="69" t="str">
        <f>IFERROR(__xludf.DUMMYFUNCTION("""COMPUTED_VALUE"""),"")</f>
        <v/>
      </c>
      <c r="G897" s="70">
        <f>IFERROR(__xludf.DUMMYFUNCTION("""COMPUTED_VALUE"""),7.83915)</f>
        <v>7.83915</v>
      </c>
      <c r="H897" s="71">
        <f>IFERROR(__xludf.DUMMYFUNCTION("""COMPUTED_VALUE"""),23.31)</f>
        <v>23.31</v>
      </c>
      <c r="I897" s="71">
        <f>IFERROR(__xludf.DUMMYFUNCTION("""COMPUTED_VALUE"""),18.52)</f>
        <v>18.52</v>
      </c>
      <c r="J897" s="88" t="str">
        <f>IFERROR(__xludf.DUMMYFUNCTION("""COMPUTED_VALUE"""),"Goto link: AMC")</f>
        <v>Goto link: AMC</v>
      </c>
      <c r="K897" s="22"/>
      <c r="L897" s="22"/>
      <c r="M897" s="22"/>
      <c r="N897" s="22"/>
      <c r="O897" s="73"/>
      <c r="P897" s="8"/>
      <c r="Q897" s="69"/>
      <c r="R897" s="69"/>
      <c r="S897" s="8"/>
      <c r="T897" s="69"/>
      <c r="U897" s="8"/>
      <c r="V897" s="69"/>
      <c r="W897" s="74"/>
      <c r="X897" s="69"/>
    </row>
    <row r="898">
      <c r="A898" s="30" t="str">
        <f>IFERROR(__xludf.DUMMYFUNCTION("""COMPUTED_VALUE"""),"75965")</f>
        <v>75965</v>
      </c>
      <c r="B898" s="86">
        <f>IFERROR(__xludf.DUMMYFUNCTION("""COMPUTED_VALUE"""),44655.0)</f>
        <v>44655</v>
      </c>
      <c r="C898" s="64" t="str">
        <f>IFERROR(__xludf.DUMMYFUNCTION("""COMPUTED_VALUE"""),"Stock")</f>
        <v>Stock</v>
      </c>
      <c r="D898" s="87" t="str">
        <f>IFERROR(__xludf.DUMMYFUNCTION("""COMPUTED_VALUE"""),"TSLA")</f>
        <v>TSLA</v>
      </c>
      <c r="E898" s="5" t="str">
        <f>IFERROR(__xludf.DUMMYFUNCTION("""COMPUTED_VALUE"""),"USD")</f>
        <v>USD</v>
      </c>
      <c r="F898" s="69" t="str">
        <f>IFERROR(__xludf.DUMMYFUNCTION("""COMPUTED_VALUE"""),"")</f>
        <v/>
      </c>
      <c r="G898" s="70">
        <f>IFERROR(__xludf.DUMMYFUNCTION("""COMPUTED_VALUE"""),7.83915)</f>
        <v>7.83915</v>
      </c>
      <c r="H898" s="71">
        <f>IFERROR(__xludf.DUMMYFUNCTION("""COMPUTED_VALUE"""),1145.45)</f>
        <v>1145.45</v>
      </c>
      <c r="I898" s="71">
        <f>IFERROR(__xludf.DUMMYFUNCTION("""COMPUTED_VALUE"""),1022.37)</f>
        <v>1022.37</v>
      </c>
      <c r="J898" s="88" t="str">
        <f>IFERROR(__xludf.DUMMYFUNCTION("""COMPUTED_VALUE"""),"Goto link: TSLA")</f>
        <v>Goto link: TSLA</v>
      </c>
      <c r="K898" s="22"/>
      <c r="L898" s="22"/>
      <c r="M898" s="22"/>
      <c r="N898" s="22"/>
      <c r="O898" s="73"/>
      <c r="P898" s="8"/>
      <c r="Q898" s="69"/>
      <c r="R898" s="69"/>
      <c r="S898" s="8"/>
      <c r="T898" s="69"/>
      <c r="U898" s="8"/>
      <c r="V898" s="69"/>
      <c r="W898" s="74"/>
      <c r="X898" s="69"/>
    </row>
    <row r="899">
      <c r="A899" s="30" t="str">
        <f>IFERROR(__xludf.DUMMYFUNCTION("""COMPUTED_VALUE"""),"75965")</f>
        <v>75965</v>
      </c>
      <c r="B899" s="86">
        <f>IFERROR(__xludf.DUMMYFUNCTION("""COMPUTED_VALUE"""),44656.0)</f>
        <v>44656</v>
      </c>
      <c r="C899" s="64" t="str">
        <f>IFERROR(__xludf.DUMMYFUNCTION("""COMPUTED_VALUE"""),"Stock")</f>
        <v>Stock</v>
      </c>
      <c r="D899" s="87" t="str">
        <f>IFERROR(__xludf.DUMMYFUNCTION("""COMPUTED_VALUE"""),"TSLA")</f>
        <v>TSLA</v>
      </c>
      <c r="E899" s="5" t="str">
        <f>IFERROR(__xludf.DUMMYFUNCTION("""COMPUTED_VALUE"""),"USD")</f>
        <v>USD</v>
      </c>
      <c r="F899" s="69" t="str">
        <f>IFERROR(__xludf.DUMMYFUNCTION("""COMPUTED_VALUE"""),"")</f>
        <v/>
      </c>
      <c r="G899" s="70">
        <f>IFERROR(__xludf.DUMMYFUNCTION("""COMPUTED_VALUE"""),7.83915)</f>
        <v>7.83915</v>
      </c>
      <c r="H899" s="71">
        <f>IFERROR(__xludf.DUMMYFUNCTION("""COMPUTED_VALUE"""),1091.26)</f>
        <v>1091.26</v>
      </c>
      <c r="I899" s="71">
        <f>IFERROR(__xludf.DUMMYFUNCTION("""COMPUTED_VALUE"""),1022.37)</f>
        <v>1022.37</v>
      </c>
      <c r="J899" s="88" t="str">
        <f>IFERROR(__xludf.DUMMYFUNCTION("""COMPUTED_VALUE"""),"Goto link: TSLA")</f>
        <v>Goto link: TSLA</v>
      </c>
      <c r="K899" s="22"/>
      <c r="L899" s="22"/>
      <c r="M899" s="22"/>
      <c r="N899" s="22"/>
      <c r="O899" s="73"/>
      <c r="P899" s="8"/>
      <c r="Q899" s="69"/>
      <c r="R899" s="69"/>
      <c r="S899" s="8"/>
      <c r="T899" s="69"/>
      <c r="U899" s="8"/>
      <c r="V899" s="69"/>
      <c r="W899" s="74"/>
      <c r="X899" s="69"/>
    </row>
    <row r="900">
      <c r="A900" s="30" t="str">
        <f>IFERROR(__xludf.DUMMYFUNCTION("""COMPUTED_VALUE"""),"75965")</f>
        <v>75965</v>
      </c>
      <c r="B900" s="86">
        <f>IFERROR(__xludf.DUMMYFUNCTION("""COMPUTED_VALUE"""),44657.0)</f>
        <v>44657</v>
      </c>
      <c r="C900" s="64" t="str">
        <f>IFERROR(__xludf.DUMMYFUNCTION("""COMPUTED_VALUE"""),"Stock")</f>
        <v>Stock</v>
      </c>
      <c r="D900" s="87" t="str">
        <f>IFERROR(__xludf.DUMMYFUNCTION("""COMPUTED_VALUE"""),"Nio")</f>
        <v>Nio</v>
      </c>
      <c r="E900" s="5" t="str">
        <f>IFERROR(__xludf.DUMMYFUNCTION("""COMPUTED_VALUE"""),"USD")</f>
        <v>USD</v>
      </c>
      <c r="F900" s="69">
        <f>IFERROR(__xludf.DUMMYFUNCTION("""COMPUTED_VALUE"""),3000.0)</f>
        <v>3000</v>
      </c>
      <c r="G900" s="70">
        <f>IFERROR(__xludf.DUMMYFUNCTION("""COMPUTED_VALUE"""),7.83915)</f>
        <v>7.83915</v>
      </c>
      <c r="H900" s="71">
        <f>IFERROR(__xludf.DUMMYFUNCTION("""COMPUTED_VALUE"""),21.68)</f>
        <v>21.68</v>
      </c>
      <c r="I900" s="71">
        <f>IFERROR(__xludf.DUMMYFUNCTION("""COMPUTED_VALUE"""),20.41)</f>
        <v>20.41</v>
      </c>
      <c r="J900" s="88" t="str">
        <f>IFERROR(__xludf.DUMMYFUNCTION("""COMPUTED_VALUE"""),"Goto link: Nio")</f>
        <v>Goto link: Nio</v>
      </c>
      <c r="K900" s="22"/>
      <c r="L900" s="22"/>
      <c r="M900" s="22"/>
      <c r="N900" s="22"/>
      <c r="O900" s="73"/>
      <c r="P900" s="8"/>
      <c r="Q900" s="69"/>
      <c r="R900" s="69"/>
      <c r="S900" s="8"/>
      <c r="T900" s="69"/>
      <c r="U900" s="8"/>
      <c r="V900" s="69"/>
      <c r="W900" s="74"/>
      <c r="X900" s="69"/>
    </row>
    <row r="901">
      <c r="A901" s="30" t="str">
        <f>IFERROR(__xludf.DUMMYFUNCTION("""COMPUTED_VALUE"""),"75965")</f>
        <v>75965</v>
      </c>
      <c r="B901" s="86">
        <f>IFERROR(__xludf.DUMMYFUNCTION("""COMPUTED_VALUE"""),44657.0)</f>
        <v>44657</v>
      </c>
      <c r="C901" s="64" t="str">
        <f>IFERROR(__xludf.DUMMYFUNCTION("""COMPUTED_VALUE"""),"Stock")</f>
        <v>Stock</v>
      </c>
      <c r="D901" s="87" t="str">
        <f>IFERROR(__xludf.DUMMYFUNCTION("""COMPUTED_VALUE"""),"TSLA")</f>
        <v>TSLA</v>
      </c>
      <c r="E901" s="5" t="str">
        <f>IFERROR(__xludf.DUMMYFUNCTION("""COMPUTED_VALUE"""),"USD")</f>
        <v>USD</v>
      </c>
      <c r="F901" s="69">
        <f>IFERROR(__xludf.DUMMYFUNCTION("""COMPUTED_VALUE"""),50.0)</f>
        <v>50</v>
      </c>
      <c r="G901" s="70">
        <f>IFERROR(__xludf.DUMMYFUNCTION("""COMPUTED_VALUE"""),7.83915)</f>
        <v>7.83915</v>
      </c>
      <c r="H901" s="71">
        <f>IFERROR(__xludf.DUMMYFUNCTION("""COMPUTED_VALUE"""),1045.76)</f>
        <v>1045.76</v>
      </c>
      <c r="I901" s="71">
        <f>IFERROR(__xludf.DUMMYFUNCTION("""COMPUTED_VALUE"""),1022.37)</f>
        <v>1022.37</v>
      </c>
      <c r="J901" s="88" t="str">
        <f>IFERROR(__xludf.DUMMYFUNCTION("""COMPUTED_VALUE"""),"Goto link: TSLA")</f>
        <v>Goto link: TSLA</v>
      </c>
      <c r="K901" s="22"/>
      <c r="L901" s="22"/>
      <c r="M901" s="22"/>
      <c r="N901" s="22"/>
      <c r="O901" s="73"/>
      <c r="P901" s="8"/>
      <c r="Q901" s="69"/>
      <c r="R901" s="69"/>
      <c r="S901" s="8"/>
      <c r="T901" s="69"/>
      <c r="U901" s="8"/>
      <c r="V901" s="69"/>
      <c r="W901" s="74"/>
      <c r="X901" s="69"/>
    </row>
    <row r="902">
      <c r="A902" s="30" t="str">
        <f>IFERROR(__xludf.DUMMYFUNCTION("""COMPUTED_VALUE"""),"75965")</f>
        <v>75965</v>
      </c>
      <c r="B902" s="86">
        <f>IFERROR(__xludf.DUMMYFUNCTION("""COMPUTED_VALUE"""),44658.0)</f>
        <v>44658</v>
      </c>
      <c r="C902" s="64" t="str">
        <f>IFERROR(__xludf.DUMMYFUNCTION("""COMPUTED_VALUE"""),"Option")</f>
        <v>Option</v>
      </c>
      <c r="D902" s="85" t="str">
        <f>IFERROR(__xludf.DUMMYFUNCTION("""COMPUTED_VALUE"""),"SOXL220414C00028000")</f>
        <v>SOXL220414C00028000</v>
      </c>
      <c r="E902" s="5" t="str">
        <f>IFERROR(__xludf.DUMMYFUNCTION("""COMPUTED_VALUE"""),"USD")</f>
        <v>USD</v>
      </c>
      <c r="F902" s="69" t="str">
        <f>IFERROR(__xludf.DUMMYFUNCTION("""COMPUTED_VALUE"""),"")</f>
        <v/>
      </c>
      <c r="G902" s="70">
        <f>IFERROR(__xludf.DUMMYFUNCTION("""COMPUTED_VALUE"""),7.83915)</f>
        <v>7.83915</v>
      </c>
      <c r="H902" s="71">
        <f>IFERROR(__xludf.DUMMYFUNCTION("""COMPUTED_VALUE"""),0.95)</f>
        <v>0.95</v>
      </c>
      <c r="I902" s="71">
        <f>IFERROR(__xludf.DUMMYFUNCTION("""COMPUTED_VALUE"""),0.82)</f>
        <v>0.82</v>
      </c>
      <c r="J902" s="22" t="str">
        <f>IFERROR(__xludf.DUMMYFUNCTION("""COMPUTED_VALUE"""),"")</f>
        <v/>
      </c>
      <c r="K902" s="22"/>
      <c r="L902" s="22"/>
      <c r="M902" s="22"/>
      <c r="N902" s="22"/>
      <c r="O902" s="73"/>
      <c r="P902" s="8"/>
      <c r="Q902" s="69"/>
      <c r="R902" s="69"/>
      <c r="S902" s="8"/>
      <c r="T902" s="69"/>
      <c r="U902" s="8"/>
      <c r="V902" s="69"/>
      <c r="W902" s="74"/>
      <c r="X902" s="69"/>
    </row>
    <row r="903">
      <c r="A903" s="30" t="str">
        <f>IFERROR(__xludf.DUMMYFUNCTION("""COMPUTED_VALUE"""),"75965")</f>
        <v>75965</v>
      </c>
      <c r="B903" s="86">
        <f>IFERROR(__xludf.DUMMYFUNCTION("""COMPUTED_VALUE"""),44658.0)</f>
        <v>44658</v>
      </c>
      <c r="C903" s="64" t="str">
        <f>IFERROR(__xludf.DUMMYFUNCTION("""COMPUTED_VALUE"""),"Stock")</f>
        <v>Stock</v>
      </c>
      <c r="D903" s="87" t="str">
        <f>IFERROR(__xludf.DUMMYFUNCTION("""COMPUTED_VALUE"""),"Soxl")</f>
        <v>Soxl</v>
      </c>
      <c r="E903" s="5" t="str">
        <f>IFERROR(__xludf.DUMMYFUNCTION("""COMPUTED_VALUE"""),"USD")</f>
        <v>USD</v>
      </c>
      <c r="F903" s="69" t="str">
        <f>IFERROR(__xludf.DUMMYFUNCTION("""COMPUTED_VALUE"""),"")</f>
        <v/>
      </c>
      <c r="G903" s="70">
        <f>IFERROR(__xludf.DUMMYFUNCTION("""COMPUTED_VALUE"""),7.83915)</f>
        <v>7.83915</v>
      </c>
      <c r="H903" s="71">
        <f>IFERROR(__xludf.DUMMYFUNCTION("""COMPUTED_VALUE"""),30.5)</f>
        <v>30.5</v>
      </c>
      <c r="I903" s="71">
        <f>IFERROR(__xludf.DUMMYFUNCTION("""COMPUTED_VALUE"""),28.05)</f>
        <v>28.05</v>
      </c>
      <c r="J903" s="88" t="str">
        <f>IFERROR(__xludf.DUMMYFUNCTION("""COMPUTED_VALUE"""),"Goto link: Soxl")</f>
        <v>Goto link: Soxl</v>
      </c>
      <c r="K903" s="22"/>
      <c r="L903" s="22"/>
      <c r="M903" s="22"/>
      <c r="N903" s="22"/>
      <c r="O903" s="73"/>
      <c r="P903" s="8"/>
      <c r="Q903" s="69"/>
      <c r="R903" s="69"/>
      <c r="S903" s="8"/>
      <c r="T903" s="69"/>
      <c r="U903" s="8"/>
      <c r="V903" s="69"/>
      <c r="W903" s="74"/>
      <c r="X903" s="69"/>
    </row>
    <row r="904">
      <c r="A904" s="30" t="str">
        <f>IFERROR(__xludf.DUMMYFUNCTION("""COMPUTED_VALUE"""),"75965")</f>
        <v>75965</v>
      </c>
      <c r="B904" s="86">
        <f>IFERROR(__xludf.DUMMYFUNCTION("""COMPUTED_VALUE"""),44658.0)</f>
        <v>44658</v>
      </c>
      <c r="C904" s="64" t="str">
        <f>IFERROR(__xludf.DUMMYFUNCTION("""COMPUTED_VALUE"""),"Stock")</f>
        <v>Stock</v>
      </c>
      <c r="D904" s="87" t="str">
        <f>IFERROR(__xludf.DUMMYFUNCTION("""COMPUTED_VALUE"""),"TQqq")</f>
        <v>TQqq</v>
      </c>
      <c r="E904" s="5" t="str">
        <f>IFERROR(__xludf.DUMMYFUNCTION("""COMPUTED_VALUE"""),"USD")</f>
        <v>USD</v>
      </c>
      <c r="F904" s="69" t="str">
        <f>IFERROR(__xludf.DUMMYFUNCTION("""COMPUTED_VALUE"""),"")</f>
        <v/>
      </c>
      <c r="G904" s="70">
        <f>IFERROR(__xludf.DUMMYFUNCTION("""COMPUTED_VALUE"""),7.83915)</f>
        <v>7.83915</v>
      </c>
      <c r="H904" s="71">
        <f>IFERROR(__xludf.DUMMYFUNCTION("""COMPUTED_VALUE"""),54.05)</f>
        <v>54.05</v>
      </c>
      <c r="I904" s="71">
        <f>IFERROR(__xludf.DUMMYFUNCTION("""COMPUTED_VALUE"""),50.39)</f>
        <v>50.39</v>
      </c>
      <c r="J904" s="88" t="str">
        <f>IFERROR(__xludf.DUMMYFUNCTION("""COMPUTED_VALUE"""),"Goto link: TQqq")</f>
        <v>Goto link: TQqq</v>
      </c>
      <c r="K904" s="22"/>
      <c r="L904" s="22"/>
      <c r="M904" s="22"/>
      <c r="N904" s="22"/>
      <c r="O904" s="73"/>
      <c r="P904" s="8"/>
      <c r="Q904" s="69"/>
      <c r="R904" s="69"/>
      <c r="S904" s="8"/>
      <c r="T904" s="69"/>
      <c r="U904" s="8"/>
      <c r="V904" s="69"/>
      <c r="W904" s="74"/>
      <c r="X904" s="69"/>
    </row>
    <row r="905">
      <c r="A905" s="30" t="str">
        <f>IFERROR(__xludf.DUMMYFUNCTION("""COMPUTED_VALUE"""),"75965")</f>
        <v>75965</v>
      </c>
      <c r="B905" s="86">
        <f>IFERROR(__xludf.DUMMYFUNCTION("""COMPUTED_VALUE"""),44659.0)</f>
        <v>44659</v>
      </c>
      <c r="C905" s="64" t="str">
        <f>IFERROR(__xludf.DUMMYFUNCTION("""COMPUTED_VALUE"""),"Stock")</f>
        <v>Stock</v>
      </c>
      <c r="D905" s="91" t="str">
        <f>IFERROR(__xludf.DUMMYFUNCTION("""COMPUTED_VALUE"""),"6185.HK")</f>
        <v>6185.HK</v>
      </c>
      <c r="E905" s="5" t="str">
        <f>IFERROR(__xludf.DUMMYFUNCTION("""COMPUTED_VALUE"""),"HKD")</f>
        <v>HKD</v>
      </c>
      <c r="F905" s="69" t="str">
        <f>IFERROR(__xludf.DUMMYFUNCTION("""COMPUTED_VALUE"""),"")</f>
        <v/>
      </c>
      <c r="G905" s="70">
        <f>IFERROR(__xludf.DUMMYFUNCTION("""COMPUTED_VALUE"""),1.0)</f>
        <v>1</v>
      </c>
      <c r="H905" s="71">
        <f>IFERROR(__xludf.DUMMYFUNCTION("""COMPUTED_VALUE"""),111.6)</f>
        <v>111.6</v>
      </c>
      <c r="I905" s="71">
        <f>IFERROR(__xludf.DUMMYFUNCTION("""COMPUTED_VALUE"""),103.7)</f>
        <v>103.7</v>
      </c>
      <c r="J905" s="88" t="str">
        <f>IFERROR(__xludf.DUMMYFUNCTION("""COMPUTED_VALUE"""),"Goto link: 6185.HK")</f>
        <v>Goto link: 6185.HK</v>
      </c>
      <c r="K905" s="22"/>
      <c r="L905" s="22"/>
      <c r="M905" s="22"/>
      <c r="N905" s="22"/>
      <c r="O905" s="73"/>
      <c r="P905" s="8"/>
      <c r="Q905" s="69"/>
      <c r="R905" s="69"/>
      <c r="S905" s="8"/>
      <c r="T905" s="69"/>
      <c r="U905" s="8"/>
      <c r="V905" s="69"/>
      <c r="W905" s="74"/>
      <c r="X905" s="69"/>
    </row>
    <row r="906">
      <c r="A906" s="30" t="str">
        <f>IFERROR(__xludf.DUMMYFUNCTION("""COMPUTED_VALUE"""),"75965 Total")</f>
        <v>75965 Total</v>
      </c>
      <c r="B906" s="5"/>
      <c r="C906" s="64"/>
      <c r="D906" s="85"/>
      <c r="E906" s="5"/>
      <c r="F906" s="69"/>
      <c r="G906" s="70">
        <f>IFERROR(__xludf.DUMMYFUNCTION("""COMPUTED_VALUE"""),7.155235000000002)</f>
        <v>7.155235</v>
      </c>
      <c r="H906" s="71">
        <f>IFERROR(__xludf.DUMMYFUNCTION("""COMPUTED_VALUE"""),4358.0)</f>
        <v>4358</v>
      </c>
      <c r="I906" s="71" t="str">
        <f>IFERROR(__xludf.DUMMYFUNCTION("""COMPUTED_VALUE"""),"")</f>
        <v/>
      </c>
      <c r="J906" s="22" t="str">
        <f>IFERROR(__xludf.DUMMYFUNCTION("""COMPUTED_VALUE"""),"")</f>
        <v/>
      </c>
      <c r="K906" s="22"/>
      <c r="L906" s="22"/>
      <c r="M906" s="22"/>
      <c r="N906" s="22"/>
      <c r="O906" s="73"/>
      <c r="P906" s="8"/>
      <c r="Q906" s="69"/>
      <c r="R906" s="69"/>
      <c r="S906" s="8"/>
      <c r="T906" s="69"/>
      <c r="U906" s="8"/>
      <c r="V906" s="69"/>
      <c r="W906" s="74"/>
      <c r="X906" s="69"/>
    </row>
    <row r="907">
      <c r="A907" s="30" t="str">
        <f>IFERROR(__xludf.DUMMYFUNCTION("""COMPUTED_VALUE"""),"75973")</f>
        <v>75973</v>
      </c>
      <c r="B907" s="86">
        <f>IFERROR(__xludf.DUMMYFUNCTION("""COMPUTED_VALUE"""),44597.0)</f>
        <v>44597</v>
      </c>
      <c r="C907" s="64" t="str">
        <f>IFERROR(__xludf.DUMMYFUNCTION("""COMPUTED_VALUE"""),"Cash")</f>
        <v>Cash</v>
      </c>
      <c r="D907" s="85" t="str">
        <f>IFERROR(__xludf.DUMMYFUNCTION("""COMPUTED_VALUE"""),"Cash")</f>
        <v>Cash</v>
      </c>
      <c r="E907" s="5" t="str">
        <f>IFERROR(__xludf.DUMMYFUNCTION("""COMPUTED_VALUE"""),"HKD")</f>
        <v>HKD</v>
      </c>
      <c r="F907" s="69" t="str">
        <f>IFERROR(__xludf.DUMMYFUNCTION("""COMPUTED_VALUE"""),"")</f>
        <v/>
      </c>
      <c r="G907" s="70">
        <f>IFERROR(__xludf.DUMMYFUNCTION("""COMPUTED_VALUE"""),1.0)</f>
        <v>1</v>
      </c>
      <c r="H907" s="71">
        <f>IFERROR(__xludf.DUMMYFUNCTION("""COMPUTED_VALUE"""),1.0)</f>
        <v>1</v>
      </c>
      <c r="I907" s="71">
        <f>IFERROR(__xludf.DUMMYFUNCTION("""COMPUTED_VALUE"""),1.0)</f>
        <v>1</v>
      </c>
      <c r="J907" s="22" t="str">
        <f>IFERROR(__xludf.DUMMYFUNCTION("""COMPUTED_VALUE"""),"")</f>
        <v/>
      </c>
      <c r="K907" s="22"/>
      <c r="L907" s="22"/>
      <c r="M907" s="22"/>
      <c r="N907" s="22"/>
      <c r="O907" s="73"/>
      <c r="P907" s="8"/>
      <c r="Q907" s="69"/>
      <c r="R907" s="69"/>
      <c r="S907" s="8"/>
      <c r="T907" s="69"/>
      <c r="U907" s="8"/>
      <c r="V907" s="69"/>
      <c r="W907" s="74"/>
      <c r="X907" s="69"/>
    </row>
    <row r="908">
      <c r="A908" s="30" t="str">
        <f>IFERROR(__xludf.DUMMYFUNCTION("""COMPUTED_VALUE"""),"75973")</f>
        <v>75973</v>
      </c>
      <c r="B908" s="86">
        <f>IFERROR(__xludf.DUMMYFUNCTION("""COMPUTED_VALUE"""),44643.0)</f>
        <v>44643</v>
      </c>
      <c r="C908" s="64" t="str">
        <f>IFERROR(__xludf.DUMMYFUNCTION("""COMPUTED_VALUE"""),"Bond")</f>
        <v>Bond</v>
      </c>
      <c r="D908" s="87" t="str">
        <f>IFERROR(__xludf.DUMMYFUNCTION("""COMPUTED_VALUE"""),"XS1974522853")</f>
        <v>XS1974522853</v>
      </c>
      <c r="E908" s="5" t="str">
        <f>IFERROR(__xludf.DUMMYFUNCTION("""COMPUTED_VALUE"""),"USD")</f>
        <v>USD</v>
      </c>
      <c r="F908" s="69">
        <f>IFERROR(__xludf.DUMMYFUNCTION("""COMPUTED_VALUE"""),17.0)</f>
        <v>17</v>
      </c>
      <c r="G908" s="70">
        <f>IFERROR(__xludf.DUMMYFUNCTION("""COMPUTED_VALUE"""),7.83915)</f>
        <v>7.83915</v>
      </c>
      <c r="H908" s="71">
        <f>IFERROR(__xludf.DUMMYFUNCTION("""COMPUTED_VALUE"""),69.563)</f>
        <v>69.563</v>
      </c>
      <c r="I908" s="71" t="str">
        <f>IFERROR(__xludf.DUMMYFUNCTION("""COMPUTED_VALUE"""),"nil")</f>
        <v>nil</v>
      </c>
      <c r="J908" s="88" t="str">
        <f>IFERROR(__xludf.DUMMYFUNCTION("""COMPUTED_VALUE"""),"Bond Fact Sheet")</f>
        <v>Bond Fact Sheet</v>
      </c>
      <c r="K908" s="22"/>
      <c r="L908" s="22"/>
      <c r="M908" s="22"/>
      <c r="N908" s="22"/>
      <c r="O908" s="73"/>
      <c r="P908" s="8"/>
      <c r="Q908" s="69"/>
      <c r="R908" s="69"/>
      <c r="S908" s="8"/>
      <c r="T908" s="69"/>
      <c r="U908" s="8"/>
      <c r="V908" s="69"/>
      <c r="W908" s="74"/>
      <c r="X908" s="69"/>
    </row>
    <row r="909">
      <c r="A909" s="30" t="str">
        <f>IFERROR(__xludf.DUMMYFUNCTION("""COMPUTED_VALUE"""),"75973")</f>
        <v>75973</v>
      </c>
      <c r="B909" s="86">
        <f>IFERROR(__xludf.DUMMYFUNCTION("""COMPUTED_VALUE"""),44644.0)</f>
        <v>44644</v>
      </c>
      <c r="C909" s="64" t="str">
        <f>IFERROR(__xludf.DUMMYFUNCTION("""COMPUTED_VALUE"""),"Stock")</f>
        <v>Stock</v>
      </c>
      <c r="D909" s="90" t="str">
        <f>IFERROR(__xludf.DUMMYFUNCTION("""COMPUTED_VALUE"""),"1211.HK")</f>
        <v>1211.HK</v>
      </c>
      <c r="E909" s="5" t="str">
        <f>IFERROR(__xludf.DUMMYFUNCTION("""COMPUTED_VALUE"""),"HKD")</f>
        <v>HKD</v>
      </c>
      <c r="F909" s="69">
        <f>IFERROR(__xludf.DUMMYFUNCTION("""COMPUTED_VALUE"""),2000.0)</f>
        <v>2000</v>
      </c>
      <c r="G909" s="70">
        <f>IFERROR(__xludf.DUMMYFUNCTION("""COMPUTED_VALUE"""),1.0)</f>
        <v>1</v>
      </c>
      <c r="H909" s="71">
        <f>IFERROR(__xludf.DUMMYFUNCTION("""COMPUTED_VALUE"""),225.2)</f>
        <v>225.2</v>
      </c>
      <c r="I909" s="71">
        <f>IFERROR(__xludf.DUMMYFUNCTION("""COMPUTED_VALUE"""),229.0)</f>
        <v>229</v>
      </c>
      <c r="J909" s="88" t="str">
        <f>IFERROR(__xludf.DUMMYFUNCTION("""COMPUTED_VALUE"""),"Goto link: 1211.HK")</f>
        <v>Goto link: 1211.HK</v>
      </c>
      <c r="K909" s="22"/>
      <c r="L909" s="22"/>
      <c r="M909" s="22"/>
      <c r="N909" s="22"/>
      <c r="O909" s="73"/>
      <c r="P909" s="8"/>
      <c r="Q909" s="69"/>
      <c r="R909" s="69"/>
      <c r="S909" s="8"/>
      <c r="T909" s="69"/>
      <c r="U909" s="8"/>
      <c r="V909" s="69"/>
      <c r="W909" s="74"/>
      <c r="X909" s="69"/>
    </row>
    <row r="910">
      <c r="A910" s="30" t="str">
        <f>IFERROR(__xludf.DUMMYFUNCTION("""COMPUTED_VALUE"""),"75973")</f>
        <v>75973</v>
      </c>
      <c r="B910" s="86">
        <f>IFERROR(__xludf.DUMMYFUNCTION("""COMPUTED_VALUE"""),44644.0)</f>
        <v>44644</v>
      </c>
      <c r="C910" s="64" t="str">
        <f>IFERROR(__xludf.DUMMYFUNCTION("""COMPUTED_VALUE"""),"Stock")</f>
        <v>Stock</v>
      </c>
      <c r="D910" s="90" t="str">
        <f>IFERROR(__xludf.DUMMYFUNCTION("""COMPUTED_VALUE"""),"600519.SS")</f>
        <v>600519.SS</v>
      </c>
      <c r="E910" s="5" t="str">
        <f>IFERROR(__xludf.DUMMYFUNCTION("""COMPUTED_VALUE"""),"CNY")</f>
        <v>CNY</v>
      </c>
      <c r="F910" s="69">
        <f>IFERROR(__xludf.DUMMYFUNCTION("""COMPUTED_VALUE"""),20.0)</f>
        <v>20</v>
      </c>
      <c r="G910" s="70">
        <f>IFERROR(__xludf.DUMMYFUNCTION("""COMPUTED_VALUE"""),1.231169)</f>
        <v>1.231169</v>
      </c>
      <c r="H910" s="71">
        <f>IFERROR(__xludf.DUMMYFUNCTION("""COMPUTED_VALUE"""),1720.93)</f>
        <v>1720.93</v>
      </c>
      <c r="I910" s="71">
        <f>IFERROR(__xludf.DUMMYFUNCTION("""COMPUTED_VALUE"""),1769.0)</f>
        <v>1769</v>
      </c>
      <c r="J910" s="88" t="str">
        <f>IFERROR(__xludf.DUMMYFUNCTION("""COMPUTED_VALUE"""),"Goto link: 600519.SS")</f>
        <v>Goto link: 600519.SS</v>
      </c>
      <c r="K910" s="22"/>
      <c r="L910" s="22"/>
      <c r="M910" s="22"/>
      <c r="N910" s="22"/>
      <c r="O910" s="73"/>
      <c r="P910" s="8"/>
      <c r="Q910" s="69"/>
      <c r="R910" s="69"/>
      <c r="S910" s="8"/>
      <c r="T910" s="69"/>
      <c r="U910" s="8"/>
      <c r="V910" s="69"/>
      <c r="W910" s="74"/>
      <c r="X910" s="69"/>
    </row>
    <row r="911">
      <c r="A911" s="30" t="str">
        <f>IFERROR(__xludf.DUMMYFUNCTION("""COMPUTED_VALUE"""),"75973")</f>
        <v>75973</v>
      </c>
      <c r="B911" s="86">
        <f>IFERROR(__xludf.DUMMYFUNCTION("""COMPUTED_VALUE"""),44645.0)</f>
        <v>44645</v>
      </c>
      <c r="C911" s="64" t="str">
        <f>IFERROR(__xludf.DUMMYFUNCTION("""COMPUTED_VALUE"""),"Stock")</f>
        <v>Stock</v>
      </c>
      <c r="D911" s="90" t="str">
        <f>IFERROR(__xludf.DUMMYFUNCTION("""COMPUTED_VALUE"""),"600036.SS")</f>
        <v>600036.SS</v>
      </c>
      <c r="E911" s="5" t="str">
        <f>IFERROR(__xludf.DUMMYFUNCTION("""COMPUTED_VALUE"""),"CNY")</f>
        <v>CNY</v>
      </c>
      <c r="F911" s="69">
        <f>IFERROR(__xludf.DUMMYFUNCTION("""COMPUTED_VALUE"""),800.0)</f>
        <v>800</v>
      </c>
      <c r="G911" s="70">
        <f>IFERROR(__xludf.DUMMYFUNCTION("""COMPUTED_VALUE"""),1.231169)</f>
        <v>1.231169</v>
      </c>
      <c r="H911" s="71">
        <f>IFERROR(__xludf.DUMMYFUNCTION("""COMPUTED_VALUE"""),45.18)</f>
        <v>45.18</v>
      </c>
      <c r="I911" s="71">
        <f>IFERROR(__xludf.DUMMYFUNCTION("""COMPUTED_VALUE"""),45.75)</f>
        <v>45.75</v>
      </c>
      <c r="J911" s="88" t="str">
        <f>IFERROR(__xludf.DUMMYFUNCTION("""COMPUTED_VALUE"""),"Goto link: 600036.SS")</f>
        <v>Goto link: 600036.SS</v>
      </c>
      <c r="K911" s="22"/>
      <c r="L911" s="22"/>
      <c r="M911" s="22"/>
      <c r="N911" s="22"/>
      <c r="O911" s="73"/>
      <c r="P911" s="8"/>
      <c r="Q911" s="69"/>
      <c r="R911" s="69"/>
      <c r="S911" s="8"/>
      <c r="T911" s="69"/>
      <c r="U911" s="8"/>
      <c r="V911" s="69"/>
      <c r="W911" s="74"/>
      <c r="X911" s="69"/>
    </row>
    <row r="912">
      <c r="A912" s="30" t="str">
        <f>IFERROR(__xludf.DUMMYFUNCTION("""COMPUTED_VALUE"""),"75973")</f>
        <v>75973</v>
      </c>
      <c r="B912" s="86">
        <f>IFERROR(__xludf.DUMMYFUNCTION("""COMPUTED_VALUE"""),44645.0)</f>
        <v>44645</v>
      </c>
      <c r="C912" s="64" t="str">
        <f>IFERROR(__xludf.DUMMYFUNCTION("""COMPUTED_VALUE"""),"Stock")</f>
        <v>Stock</v>
      </c>
      <c r="D912" s="90" t="str">
        <f>IFERROR(__xludf.DUMMYFUNCTION("""COMPUTED_VALUE"""),"601398.SS")</f>
        <v>601398.SS</v>
      </c>
      <c r="E912" s="5" t="str">
        <f>IFERROR(__xludf.DUMMYFUNCTION("""COMPUTED_VALUE"""),"CNY")</f>
        <v>CNY</v>
      </c>
      <c r="F912" s="69">
        <f>IFERROR(__xludf.DUMMYFUNCTION("""COMPUTED_VALUE"""),10000.0)</f>
        <v>10000</v>
      </c>
      <c r="G912" s="70">
        <f>IFERROR(__xludf.DUMMYFUNCTION("""COMPUTED_VALUE"""),1.231169)</f>
        <v>1.231169</v>
      </c>
      <c r="H912" s="71">
        <f>IFERROR(__xludf.DUMMYFUNCTION("""COMPUTED_VALUE"""),4.62)</f>
        <v>4.62</v>
      </c>
      <c r="I912" s="71">
        <f>IFERROR(__xludf.DUMMYFUNCTION("""COMPUTED_VALUE"""),4.79)</f>
        <v>4.79</v>
      </c>
      <c r="J912" s="88" t="str">
        <f>IFERROR(__xludf.DUMMYFUNCTION("""COMPUTED_VALUE"""),"Goto link: 601398.SS")</f>
        <v>Goto link: 601398.SS</v>
      </c>
      <c r="K912" s="22"/>
      <c r="L912" s="22"/>
      <c r="M912" s="22"/>
      <c r="N912" s="22"/>
      <c r="O912" s="73"/>
      <c r="P912" s="8"/>
      <c r="Q912" s="69"/>
      <c r="R912" s="69"/>
      <c r="S912" s="8"/>
      <c r="T912" s="69"/>
      <c r="U912" s="8"/>
      <c r="V912" s="69"/>
      <c r="W912" s="74"/>
      <c r="X912" s="69"/>
    </row>
    <row r="913">
      <c r="A913" s="30" t="str">
        <f>IFERROR(__xludf.DUMMYFUNCTION("""COMPUTED_VALUE"""),"75973")</f>
        <v>75973</v>
      </c>
      <c r="B913" s="86">
        <f>IFERROR(__xludf.DUMMYFUNCTION("""COMPUTED_VALUE"""),44645.0)</f>
        <v>44645</v>
      </c>
      <c r="C913" s="64" t="str">
        <f>IFERROR(__xludf.DUMMYFUNCTION("""COMPUTED_VALUE"""),"Stock")</f>
        <v>Stock</v>
      </c>
      <c r="D913" s="90" t="str">
        <f>IFERROR(__xludf.DUMMYFUNCTION("""COMPUTED_VALUE"""),"601658.SS")</f>
        <v>601658.SS</v>
      </c>
      <c r="E913" s="5" t="str">
        <f>IFERROR(__xludf.DUMMYFUNCTION("""COMPUTED_VALUE"""),"CNY")</f>
        <v>CNY</v>
      </c>
      <c r="F913" s="69" t="str">
        <f>IFERROR(__xludf.DUMMYFUNCTION("""COMPUTED_VALUE"""),"")</f>
        <v/>
      </c>
      <c r="G913" s="70">
        <f>IFERROR(__xludf.DUMMYFUNCTION("""COMPUTED_VALUE"""),1.231169)</f>
        <v>1.231169</v>
      </c>
      <c r="H913" s="71">
        <f>IFERROR(__xludf.DUMMYFUNCTION("""COMPUTED_VALUE"""),5.2)</f>
        <v>5.2</v>
      </c>
      <c r="I913" s="71">
        <f>IFERROR(__xludf.DUMMYFUNCTION("""COMPUTED_VALUE"""),5.66)</f>
        <v>5.66</v>
      </c>
      <c r="J913" s="88" t="str">
        <f>IFERROR(__xludf.DUMMYFUNCTION("""COMPUTED_VALUE"""),"Goto link: 601658.SS")</f>
        <v>Goto link: 601658.SS</v>
      </c>
      <c r="K913" s="22"/>
      <c r="L913" s="22"/>
      <c r="M913" s="22"/>
      <c r="N913" s="22"/>
      <c r="O913" s="73"/>
      <c r="P913" s="8"/>
      <c r="Q913" s="69"/>
      <c r="R913" s="69"/>
      <c r="S913" s="8"/>
      <c r="T913" s="69"/>
      <c r="U913" s="8"/>
      <c r="V913" s="69"/>
      <c r="W913" s="74"/>
      <c r="X913" s="69"/>
    </row>
    <row r="914">
      <c r="A914" s="30" t="str">
        <f>IFERROR(__xludf.DUMMYFUNCTION("""COMPUTED_VALUE"""),"75973")</f>
        <v>75973</v>
      </c>
      <c r="B914" s="86">
        <f>IFERROR(__xludf.DUMMYFUNCTION("""COMPUTED_VALUE"""),44645.0)</f>
        <v>44645</v>
      </c>
      <c r="C914" s="64" t="str">
        <f>IFERROR(__xludf.DUMMYFUNCTION("""COMPUTED_VALUE"""),"Stock")</f>
        <v>Stock</v>
      </c>
      <c r="D914" s="90" t="str">
        <f>IFERROR(__xludf.DUMMYFUNCTION("""COMPUTED_VALUE"""),"601939.SS")</f>
        <v>601939.SS</v>
      </c>
      <c r="E914" s="5" t="str">
        <f>IFERROR(__xludf.DUMMYFUNCTION("""COMPUTED_VALUE"""),"CNY")</f>
        <v>CNY</v>
      </c>
      <c r="F914" s="69">
        <f>IFERROR(__xludf.DUMMYFUNCTION("""COMPUTED_VALUE"""),6800.0)</f>
        <v>6800</v>
      </c>
      <c r="G914" s="70">
        <f>IFERROR(__xludf.DUMMYFUNCTION("""COMPUTED_VALUE"""),1.231169)</f>
        <v>1.231169</v>
      </c>
      <c r="H914" s="71">
        <f>IFERROR(__xludf.DUMMYFUNCTION("""COMPUTED_VALUE"""),6.09)</f>
        <v>6.09</v>
      </c>
      <c r="I914" s="71">
        <f>IFERROR(__xludf.DUMMYFUNCTION("""COMPUTED_VALUE"""),6.24)</f>
        <v>6.24</v>
      </c>
      <c r="J914" s="88" t="str">
        <f>IFERROR(__xludf.DUMMYFUNCTION("""COMPUTED_VALUE"""),"Goto link: 601939.SS")</f>
        <v>Goto link: 601939.SS</v>
      </c>
      <c r="K914" s="22"/>
      <c r="L914" s="22"/>
      <c r="M914" s="22"/>
      <c r="N914" s="22"/>
      <c r="O914" s="73"/>
      <c r="P914" s="8"/>
      <c r="Q914" s="69"/>
      <c r="R914" s="69"/>
      <c r="S914" s="8"/>
      <c r="T914" s="69"/>
      <c r="U914" s="8"/>
      <c r="V914" s="69"/>
      <c r="W914" s="74"/>
      <c r="X914" s="69"/>
    </row>
    <row r="915">
      <c r="A915" s="30" t="str">
        <f>IFERROR(__xludf.DUMMYFUNCTION("""COMPUTED_VALUE"""),"75973")</f>
        <v>75973</v>
      </c>
      <c r="B915" s="86">
        <f>IFERROR(__xludf.DUMMYFUNCTION("""COMPUTED_VALUE"""),44649.0)</f>
        <v>44649</v>
      </c>
      <c r="C915" s="64" t="str">
        <f>IFERROR(__xludf.DUMMYFUNCTION("""COMPUTED_VALUE"""),"Stock")</f>
        <v>Stock</v>
      </c>
      <c r="D915" s="90" t="str">
        <f>IFERROR(__xludf.DUMMYFUNCTION("""COMPUTED_VALUE"""),"600745.SS")</f>
        <v>600745.SS</v>
      </c>
      <c r="E915" s="5" t="str">
        <f>IFERROR(__xludf.DUMMYFUNCTION("""COMPUTED_VALUE"""),"CNY")</f>
        <v>CNY</v>
      </c>
      <c r="F915" s="69">
        <f>IFERROR(__xludf.DUMMYFUNCTION("""COMPUTED_VALUE"""),0.0)</f>
        <v>0</v>
      </c>
      <c r="G915" s="70">
        <f>IFERROR(__xludf.DUMMYFUNCTION("""COMPUTED_VALUE"""),1.231169)</f>
        <v>1.231169</v>
      </c>
      <c r="H915" s="71">
        <f>IFERROR(__xludf.DUMMYFUNCTION("""COMPUTED_VALUE"""),0.0)</f>
        <v>0</v>
      </c>
      <c r="I915" s="71">
        <f>IFERROR(__xludf.DUMMYFUNCTION("""COMPUTED_VALUE"""),67.34)</f>
        <v>67.34</v>
      </c>
      <c r="J915" s="88" t="str">
        <f>IFERROR(__xludf.DUMMYFUNCTION("""COMPUTED_VALUE"""),"Goto link: 600745.SS")</f>
        <v>Goto link: 600745.SS</v>
      </c>
      <c r="K915" s="22"/>
      <c r="L915" s="22"/>
      <c r="M915" s="22"/>
      <c r="N915" s="22"/>
      <c r="O915" s="73"/>
      <c r="P915" s="8"/>
      <c r="Q915" s="69"/>
      <c r="R915" s="69"/>
      <c r="S915" s="8"/>
      <c r="T915" s="69"/>
      <c r="U915" s="8"/>
      <c r="V915" s="69"/>
      <c r="W915" s="74"/>
      <c r="X915" s="69"/>
    </row>
    <row r="916">
      <c r="A916" s="30" t="str">
        <f>IFERROR(__xludf.DUMMYFUNCTION("""COMPUTED_VALUE"""),"75973")</f>
        <v>75973</v>
      </c>
      <c r="B916" s="86">
        <f>IFERROR(__xludf.DUMMYFUNCTION("""COMPUTED_VALUE"""),44650.0)</f>
        <v>44650</v>
      </c>
      <c r="C916" s="64" t="str">
        <f>IFERROR(__xludf.DUMMYFUNCTION("""COMPUTED_VALUE"""),"Stock")</f>
        <v>Stock</v>
      </c>
      <c r="D916" s="90" t="str">
        <f>IFERROR(__xludf.DUMMYFUNCTION("""COMPUTED_VALUE"""),"600745.SS")</f>
        <v>600745.SS</v>
      </c>
      <c r="E916" s="5" t="str">
        <f>IFERROR(__xludf.DUMMYFUNCTION("""COMPUTED_VALUE"""),"CNY")</f>
        <v>CNY</v>
      </c>
      <c r="F916" s="69">
        <f>IFERROR(__xludf.DUMMYFUNCTION("""COMPUTED_VALUE"""),0.0)</f>
        <v>0</v>
      </c>
      <c r="G916" s="70">
        <f>IFERROR(__xludf.DUMMYFUNCTION("""COMPUTED_VALUE"""),1.231169)</f>
        <v>1.231169</v>
      </c>
      <c r="H916" s="71">
        <f>IFERROR(__xludf.DUMMYFUNCTION("""COMPUTED_VALUE"""),0.0)</f>
        <v>0</v>
      </c>
      <c r="I916" s="71">
        <f>IFERROR(__xludf.DUMMYFUNCTION("""COMPUTED_VALUE"""),67.34)</f>
        <v>67.34</v>
      </c>
      <c r="J916" s="88" t="str">
        <f>IFERROR(__xludf.DUMMYFUNCTION("""COMPUTED_VALUE"""),"Goto link: 600745.SS")</f>
        <v>Goto link: 600745.SS</v>
      </c>
      <c r="K916" s="22"/>
      <c r="L916" s="22"/>
      <c r="M916" s="22"/>
      <c r="N916" s="22"/>
      <c r="O916" s="73"/>
      <c r="P916" s="8"/>
      <c r="Q916" s="69"/>
      <c r="R916" s="69"/>
      <c r="S916" s="8"/>
      <c r="T916" s="69"/>
      <c r="U916" s="8"/>
      <c r="V916" s="69"/>
      <c r="W916" s="74"/>
      <c r="X916" s="69"/>
    </row>
    <row r="917">
      <c r="A917" s="30" t="str">
        <f>IFERROR(__xludf.DUMMYFUNCTION("""COMPUTED_VALUE"""),"75973")</f>
        <v>75973</v>
      </c>
      <c r="B917" s="86">
        <f>IFERROR(__xludf.DUMMYFUNCTION("""COMPUTED_VALUE"""),44650.0)</f>
        <v>44650</v>
      </c>
      <c r="C917" s="64" t="str">
        <f>IFERROR(__xludf.DUMMYFUNCTION("""COMPUTED_VALUE"""),"Stock")</f>
        <v>Stock</v>
      </c>
      <c r="D917" s="90" t="str">
        <f>IFERROR(__xludf.DUMMYFUNCTION("""COMPUTED_VALUE"""),"600745.SS")</f>
        <v>600745.SS</v>
      </c>
      <c r="E917" s="5" t="str">
        <f>IFERROR(__xludf.DUMMYFUNCTION("""COMPUTED_VALUE"""),"CNY")</f>
        <v>CNY</v>
      </c>
      <c r="F917" s="69" t="str">
        <f>IFERROR(__xludf.DUMMYFUNCTION("""COMPUTED_VALUE"""),"")</f>
        <v/>
      </c>
      <c r="G917" s="70">
        <f>IFERROR(__xludf.DUMMYFUNCTION("""COMPUTED_VALUE"""),1.231169)</f>
        <v>1.231169</v>
      </c>
      <c r="H917" s="71">
        <f>IFERROR(__xludf.DUMMYFUNCTION("""COMPUTED_VALUE"""),84.67)</f>
        <v>84.67</v>
      </c>
      <c r="I917" s="71">
        <f>IFERROR(__xludf.DUMMYFUNCTION("""COMPUTED_VALUE"""),67.34)</f>
        <v>67.34</v>
      </c>
      <c r="J917" s="88" t="str">
        <f>IFERROR(__xludf.DUMMYFUNCTION("""COMPUTED_VALUE"""),"Goto link: 600745.SS")</f>
        <v>Goto link: 600745.SS</v>
      </c>
      <c r="K917" s="22"/>
      <c r="L917" s="22"/>
      <c r="M917" s="22"/>
      <c r="N917" s="22"/>
      <c r="O917" s="73"/>
      <c r="P917" s="8"/>
      <c r="Q917" s="69"/>
      <c r="R917" s="69"/>
      <c r="S917" s="8"/>
      <c r="T917" s="69"/>
      <c r="U917" s="8"/>
      <c r="V917" s="69"/>
      <c r="W917" s="74"/>
      <c r="X917" s="69"/>
    </row>
    <row r="918">
      <c r="A918" s="30" t="str">
        <f>IFERROR(__xludf.DUMMYFUNCTION("""COMPUTED_VALUE"""),"75973")</f>
        <v>75973</v>
      </c>
      <c r="B918" s="86">
        <f>IFERROR(__xludf.DUMMYFUNCTION("""COMPUTED_VALUE"""),44653.0)</f>
        <v>44653</v>
      </c>
      <c r="C918" s="64" t="str">
        <f>IFERROR(__xludf.DUMMYFUNCTION("""COMPUTED_VALUE"""),"Stock")</f>
        <v>Stock</v>
      </c>
      <c r="D918" s="90" t="str">
        <f>IFERROR(__xludf.DUMMYFUNCTION("""COMPUTED_VALUE"""),"600519.SS")</f>
        <v>600519.SS</v>
      </c>
      <c r="E918" s="5" t="str">
        <f>IFERROR(__xludf.DUMMYFUNCTION("""COMPUTED_VALUE"""),"CNY")</f>
        <v>CNY</v>
      </c>
      <c r="F918" s="69">
        <f>IFERROR(__xludf.DUMMYFUNCTION("""COMPUTED_VALUE"""),-20.0)</f>
        <v>-20</v>
      </c>
      <c r="G918" s="70">
        <f>IFERROR(__xludf.DUMMYFUNCTION("""COMPUTED_VALUE"""),1.231169)</f>
        <v>1.231169</v>
      </c>
      <c r="H918" s="71">
        <f>IFERROR(__xludf.DUMMYFUNCTION("""COMPUTED_VALUE"""),1780.01)</f>
        <v>1780.01</v>
      </c>
      <c r="I918" s="71">
        <f>IFERROR(__xludf.DUMMYFUNCTION("""COMPUTED_VALUE"""),1769.0)</f>
        <v>1769</v>
      </c>
      <c r="J918" s="88" t="str">
        <f>IFERROR(__xludf.DUMMYFUNCTION("""COMPUTED_VALUE"""),"Goto link: 600519.SS")</f>
        <v>Goto link: 600519.SS</v>
      </c>
      <c r="K918" s="22"/>
      <c r="L918" s="22"/>
      <c r="M918" s="22"/>
      <c r="N918" s="22"/>
      <c r="O918" s="73"/>
      <c r="P918" s="8"/>
      <c r="Q918" s="69"/>
      <c r="R918" s="69"/>
      <c r="S918" s="8"/>
      <c r="T918" s="69"/>
      <c r="U918" s="8"/>
      <c r="V918" s="69"/>
      <c r="W918" s="74"/>
      <c r="X918" s="69"/>
    </row>
    <row r="919">
      <c r="A919" s="30" t="str">
        <f>IFERROR(__xludf.DUMMYFUNCTION("""COMPUTED_VALUE"""),"75973 Total")</f>
        <v>75973 Total</v>
      </c>
      <c r="B919" s="5"/>
      <c r="C919" s="64"/>
      <c r="D919" s="85"/>
      <c r="E919" s="5"/>
      <c r="F919" s="69"/>
      <c r="G919" s="70">
        <f>IFERROR(__xludf.DUMMYFUNCTION("""COMPUTED_VALUE"""),1.7039107692307693)</f>
        <v>1.703910769</v>
      </c>
      <c r="H919" s="71">
        <f>IFERROR(__xludf.DUMMYFUNCTION("""COMPUTED_VALUE"""),1780.01)</f>
        <v>1780.01</v>
      </c>
      <c r="I919" s="71" t="str">
        <f>IFERROR(__xludf.DUMMYFUNCTION("""COMPUTED_VALUE"""),"")</f>
        <v/>
      </c>
      <c r="J919" s="22" t="str">
        <f>IFERROR(__xludf.DUMMYFUNCTION("""COMPUTED_VALUE"""),"")</f>
        <v/>
      </c>
      <c r="K919" s="22"/>
      <c r="L919" s="22"/>
      <c r="M919" s="22"/>
      <c r="N919" s="22"/>
      <c r="O919" s="73"/>
      <c r="P919" s="8"/>
      <c r="Q919" s="69"/>
      <c r="R919" s="69"/>
      <c r="S919" s="8"/>
      <c r="T919" s="69"/>
      <c r="U919" s="8"/>
      <c r="V919" s="69"/>
      <c r="W919" s="74"/>
      <c r="X919" s="69"/>
    </row>
    <row r="920">
      <c r="A920" s="30" t="str">
        <f>IFERROR(__xludf.DUMMYFUNCTION("""COMPUTED_VALUE"""),"76369")</f>
        <v>76369</v>
      </c>
      <c r="B920" s="86">
        <f>IFERROR(__xludf.DUMMYFUNCTION("""COMPUTED_VALUE"""),44597.0)</f>
        <v>44597</v>
      </c>
      <c r="C920" s="64" t="str">
        <f>IFERROR(__xludf.DUMMYFUNCTION("""COMPUTED_VALUE"""),"Cash")</f>
        <v>Cash</v>
      </c>
      <c r="D920" s="85" t="str">
        <f>IFERROR(__xludf.DUMMYFUNCTION("""COMPUTED_VALUE"""),"Cash")</f>
        <v>Cash</v>
      </c>
      <c r="E920" s="5" t="str">
        <f>IFERROR(__xludf.DUMMYFUNCTION("""COMPUTED_VALUE"""),"HKD")</f>
        <v>HKD</v>
      </c>
      <c r="F920" s="69" t="str">
        <f>IFERROR(__xludf.DUMMYFUNCTION("""COMPUTED_VALUE"""),"")</f>
        <v/>
      </c>
      <c r="G920" s="70">
        <f>IFERROR(__xludf.DUMMYFUNCTION("""COMPUTED_VALUE"""),1.0)</f>
        <v>1</v>
      </c>
      <c r="H920" s="71">
        <f>IFERROR(__xludf.DUMMYFUNCTION("""COMPUTED_VALUE"""),1.0)</f>
        <v>1</v>
      </c>
      <c r="I920" s="71">
        <f>IFERROR(__xludf.DUMMYFUNCTION("""COMPUTED_VALUE"""),1.0)</f>
        <v>1</v>
      </c>
      <c r="J920" s="22" t="str">
        <f>IFERROR(__xludf.DUMMYFUNCTION("""COMPUTED_VALUE"""),"")</f>
        <v/>
      </c>
      <c r="K920" s="22"/>
      <c r="L920" s="22"/>
      <c r="M920" s="22"/>
      <c r="N920" s="22"/>
      <c r="O920" s="73"/>
      <c r="P920" s="8"/>
      <c r="Q920" s="69"/>
      <c r="R920" s="69"/>
      <c r="S920" s="8"/>
      <c r="T920" s="69"/>
      <c r="U920" s="8"/>
      <c r="V920" s="69"/>
      <c r="W920" s="74"/>
      <c r="X920" s="69"/>
    </row>
    <row r="921">
      <c r="A921" s="30" t="str">
        <f>IFERROR(__xludf.DUMMYFUNCTION("""COMPUTED_VALUE"""),"76369")</f>
        <v>76369</v>
      </c>
      <c r="B921" s="86">
        <f>IFERROR(__xludf.DUMMYFUNCTION("""COMPUTED_VALUE"""),44602.0)</f>
        <v>44602</v>
      </c>
      <c r="C921" s="64" t="str">
        <f>IFERROR(__xludf.DUMMYFUNCTION("""COMPUTED_VALUE"""),"Stock")</f>
        <v>Stock</v>
      </c>
      <c r="D921" s="87" t="str">
        <f>IFERROR(__xludf.DUMMYFUNCTION("""COMPUTED_VALUE"""),"MGM")</f>
        <v>MGM</v>
      </c>
      <c r="E921" s="5" t="str">
        <f>IFERROR(__xludf.DUMMYFUNCTION("""COMPUTED_VALUE"""),"USD")</f>
        <v>USD</v>
      </c>
      <c r="F921" s="69">
        <f>IFERROR(__xludf.DUMMYFUNCTION("""COMPUTED_VALUE"""),5.0)</f>
        <v>5</v>
      </c>
      <c r="G921" s="70">
        <f>IFERROR(__xludf.DUMMYFUNCTION("""COMPUTED_VALUE"""),7.83915)</f>
        <v>7.83915</v>
      </c>
      <c r="H921" s="71">
        <f>IFERROR(__xludf.DUMMYFUNCTION("""COMPUTED_VALUE"""),47.07)</f>
        <v>47.07</v>
      </c>
      <c r="I921" s="71">
        <f>IFERROR(__xludf.DUMMYFUNCTION("""COMPUTED_VALUE"""),41.31)</f>
        <v>41.31</v>
      </c>
      <c r="J921" s="88" t="str">
        <f>IFERROR(__xludf.DUMMYFUNCTION("""COMPUTED_VALUE"""),"Goto link: MGM")</f>
        <v>Goto link: MGM</v>
      </c>
      <c r="K921" s="22"/>
      <c r="L921" s="22"/>
      <c r="M921" s="22"/>
      <c r="N921" s="22"/>
      <c r="O921" s="73"/>
      <c r="P921" s="8"/>
      <c r="Q921" s="69"/>
      <c r="R921" s="69"/>
      <c r="S921" s="8"/>
      <c r="T921" s="69"/>
      <c r="U921" s="8"/>
      <c r="V921" s="69"/>
      <c r="W921" s="74"/>
      <c r="X921" s="69"/>
    </row>
    <row r="922">
      <c r="A922" s="30" t="str">
        <f>IFERROR(__xludf.DUMMYFUNCTION("""COMPUTED_VALUE"""),"76369")</f>
        <v>76369</v>
      </c>
      <c r="B922" s="86">
        <f>IFERROR(__xludf.DUMMYFUNCTION("""COMPUTED_VALUE"""),44602.0)</f>
        <v>44602</v>
      </c>
      <c r="C922" s="64" t="str">
        <f>IFERROR(__xludf.DUMMYFUNCTION("""COMPUTED_VALUE"""),"Stock")</f>
        <v>Stock</v>
      </c>
      <c r="D922" s="87" t="str">
        <f>IFERROR(__xludf.DUMMYFUNCTION("""COMPUTED_VALUE"""),"XPEV")</f>
        <v>XPEV</v>
      </c>
      <c r="E922" s="5" t="str">
        <f>IFERROR(__xludf.DUMMYFUNCTION("""COMPUTED_VALUE"""),"USD")</f>
        <v>USD</v>
      </c>
      <c r="F922" s="69">
        <f>IFERROR(__xludf.DUMMYFUNCTION("""COMPUTED_VALUE"""),5.0)</f>
        <v>5</v>
      </c>
      <c r="G922" s="70">
        <f>IFERROR(__xludf.DUMMYFUNCTION("""COMPUTED_VALUE"""),7.83915)</f>
        <v>7.83915</v>
      </c>
      <c r="H922" s="71">
        <f>IFERROR(__xludf.DUMMYFUNCTION("""COMPUTED_VALUE"""),38.92)</f>
        <v>38.92</v>
      </c>
      <c r="I922" s="71">
        <f>IFERROR(__xludf.DUMMYFUNCTION("""COMPUTED_VALUE"""),27.65)</f>
        <v>27.65</v>
      </c>
      <c r="J922" s="88" t="str">
        <f>IFERROR(__xludf.DUMMYFUNCTION("""COMPUTED_VALUE"""),"Goto link: XPEV")</f>
        <v>Goto link: XPEV</v>
      </c>
      <c r="K922" s="22"/>
      <c r="L922" s="22"/>
      <c r="M922" s="22"/>
      <c r="N922" s="22"/>
      <c r="O922" s="73"/>
      <c r="P922" s="8"/>
      <c r="Q922" s="69"/>
      <c r="R922" s="69"/>
      <c r="S922" s="8"/>
      <c r="T922" s="69"/>
      <c r="U922" s="8"/>
      <c r="V922" s="69"/>
      <c r="W922" s="74"/>
      <c r="X922" s="69"/>
    </row>
    <row r="923">
      <c r="A923" s="30" t="str">
        <f>IFERROR(__xludf.DUMMYFUNCTION("""COMPUTED_VALUE"""),"76369")</f>
        <v>76369</v>
      </c>
      <c r="B923" s="86">
        <f>IFERROR(__xludf.DUMMYFUNCTION("""COMPUTED_VALUE"""),44613.0)</f>
        <v>44613</v>
      </c>
      <c r="C923" s="64" t="str">
        <f>IFERROR(__xludf.DUMMYFUNCTION("""COMPUTED_VALUE"""),"Stock")</f>
        <v>Stock</v>
      </c>
      <c r="D923" s="90" t="str">
        <f>IFERROR(__xludf.DUMMYFUNCTION("""COMPUTED_VALUE"""),"1498.HK")</f>
        <v>1498.HK</v>
      </c>
      <c r="E923" s="5" t="str">
        <f>IFERROR(__xludf.DUMMYFUNCTION("""COMPUTED_VALUE"""),"HKD")</f>
        <v>HKD</v>
      </c>
      <c r="F923" s="69">
        <f>IFERROR(__xludf.DUMMYFUNCTION("""COMPUTED_VALUE"""),1000.0)</f>
        <v>1000</v>
      </c>
      <c r="G923" s="70">
        <f>IFERROR(__xludf.DUMMYFUNCTION("""COMPUTED_VALUE"""),1.0)</f>
        <v>1</v>
      </c>
      <c r="H923" s="71">
        <f>IFERROR(__xludf.DUMMYFUNCTION("""COMPUTED_VALUE"""),0.98)</f>
        <v>0.98</v>
      </c>
      <c r="I923" s="71">
        <f>IFERROR(__xludf.DUMMYFUNCTION("""COMPUTED_VALUE"""),1.49)</f>
        <v>1.49</v>
      </c>
      <c r="J923" s="88" t="str">
        <f>IFERROR(__xludf.DUMMYFUNCTION("""COMPUTED_VALUE"""),"Goto link: 1498.HK")</f>
        <v>Goto link: 1498.HK</v>
      </c>
      <c r="K923" s="22"/>
      <c r="L923" s="22"/>
      <c r="M923" s="22"/>
      <c r="N923" s="22"/>
      <c r="O923" s="73"/>
      <c r="P923" s="8"/>
      <c r="Q923" s="69"/>
      <c r="R923" s="69"/>
      <c r="S923" s="8"/>
      <c r="T923" s="69"/>
      <c r="U923" s="8"/>
      <c r="V923" s="69"/>
      <c r="W923" s="74"/>
      <c r="X923" s="69"/>
    </row>
    <row r="924">
      <c r="A924" s="30" t="str">
        <f>IFERROR(__xludf.DUMMYFUNCTION("""COMPUTED_VALUE"""),"76369")</f>
        <v>76369</v>
      </c>
      <c r="B924" s="86">
        <f>IFERROR(__xludf.DUMMYFUNCTION("""COMPUTED_VALUE"""),44616.0)</f>
        <v>44616</v>
      </c>
      <c r="C924" s="64" t="str">
        <f>IFERROR(__xludf.DUMMYFUNCTION("""COMPUTED_VALUE"""),"Stock")</f>
        <v>Stock</v>
      </c>
      <c r="D924" s="90" t="str">
        <f>IFERROR(__xludf.DUMMYFUNCTION("""COMPUTED_VALUE"""),"000554.SZ")</f>
        <v>000554.SZ</v>
      </c>
      <c r="E924" s="5" t="str">
        <f>IFERROR(__xludf.DUMMYFUNCTION("""COMPUTED_VALUE"""),"CNY")</f>
        <v>CNY</v>
      </c>
      <c r="F924" s="69">
        <f>IFERROR(__xludf.DUMMYFUNCTION("""COMPUTED_VALUE"""),1000.0)</f>
        <v>1000</v>
      </c>
      <c r="G924" s="70">
        <f>IFERROR(__xludf.DUMMYFUNCTION("""COMPUTED_VALUE"""),1.231169)</f>
        <v>1.231169</v>
      </c>
      <c r="H924" s="71">
        <f>IFERROR(__xludf.DUMMYFUNCTION("""COMPUTED_VALUE"""),6.42)</f>
        <v>6.42</v>
      </c>
      <c r="I924" s="71">
        <f>IFERROR(__xludf.DUMMYFUNCTION("""COMPUTED_VALUE"""),5.19)</f>
        <v>5.19</v>
      </c>
      <c r="J924" s="88" t="str">
        <f>IFERROR(__xludf.DUMMYFUNCTION("""COMPUTED_VALUE"""),"Goto link: 000554.SZ")</f>
        <v>Goto link: 000554.SZ</v>
      </c>
      <c r="K924" s="22"/>
      <c r="L924" s="22"/>
      <c r="M924" s="22"/>
      <c r="N924" s="22"/>
      <c r="O924" s="73"/>
      <c r="P924" s="8"/>
      <c r="Q924" s="69"/>
      <c r="R924" s="69"/>
      <c r="S924" s="8"/>
      <c r="T924" s="69"/>
      <c r="U924" s="8"/>
      <c r="V924" s="69"/>
      <c r="W924" s="74"/>
      <c r="X924" s="69"/>
    </row>
    <row r="925">
      <c r="A925" s="30" t="str">
        <f>IFERROR(__xludf.DUMMYFUNCTION("""COMPUTED_VALUE"""),"76369")</f>
        <v>76369</v>
      </c>
      <c r="B925" s="86">
        <f>IFERROR(__xludf.DUMMYFUNCTION("""COMPUTED_VALUE"""),44616.0)</f>
        <v>44616</v>
      </c>
      <c r="C925" s="64" t="str">
        <f>IFERROR(__xludf.DUMMYFUNCTION("""COMPUTED_VALUE"""),"Stock")</f>
        <v>Stock</v>
      </c>
      <c r="D925" s="90" t="str">
        <f>IFERROR(__xludf.DUMMYFUNCTION("""COMPUTED_VALUE"""),"002665.SZ")</f>
        <v>002665.SZ</v>
      </c>
      <c r="E925" s="5" t="str">
        <f>IFERROR(__xludf.DUMMYFUNCTION("""COMPUTED_VALUE"""),"CNY")</f>
        <v>CNY</v>
      </c>
      <c r="F925" s="69">
        <f>IFERROR(__xludf.DUMMYFUNCTION("""COMPUTED_VALUE"""),1000.0)</f>
        <v>1000</v>
      </c>
      <c r="G925" s="70">
        <f>IFERROR(__xludf.DUMMYFUNCTION("""COMPUTED_VALUE"""),1.231169)</f>
        <v>1.231169</v>
      </c>
      <c r="H925" s="71">
        <f>IFERROR(__xludf.DUMMYFUNCTION("""COMPUTED_VALUE"""),3.98)</f>
        <v>3.98</v>
      </c>
      <c r="I925" s="71">
        <f>IFERROR(__xludf.DUMMYFUNCTION("""COMPUTED_VALUE"""),3.56)</f>
        <v>3.56</v>
      </c>
      <c r="J925" s="88" t="str">
        <f>IFERROR(__xludf.DUMMYFUNCTION("""COMPUTED_VALUE"""),"Goto link: 002665.SZ")</f>
        <v>Goto link: 002665.SZ</v>
      </c>
      <c r="K925" s="22"/>
      <c r="L925" s="22"/>
      <c r="M925" s="22"/>
      <c r="N925" s="22"/>
      <c r="O925" s="73"/>
      <c r="P925" s="8"/>
      <c r="Q925" s="69"/>
      <c r="R925" s="69"/>
      <c r="S925" s="8"/>
      <c r="T925" s="69"/>
      <c r="U925" s="8"/>
      <c r="V925" s="69"/>
      <c r="W925" s="74"/>
      <c r="X925" s="69"/>
    </row>
    <row r="926">
      <c r="A926" s="30" t="str">
        <f>IFERROR(__xludf.DUMMYFUNCTION("""COMPUTED_VALUE"""),"76369")</f>
        <v>76369</v>
      </c>
      <c r="B926" s="86">
        <f>IFERROR(__xludf.DUMMYFUNCTION("""COMPUTED_VALUE"""),44616.0)</f>
        <v>44616</v>
      </c>
      <c r="C926" s="64" t="str">
        <f>IFERROR(__xludf.DUMMYFUNCTION("""COMPUTED_VALUE"""),"Stock")</f>
        <v>Stock</v>
      </c>
      <c r="D926" s="90" t="str">
        <f>IFERROR(__xludf.DUMMYFUNCTION("""COMPUTED_VALUE"""),"300922.SZ")</f>
        <v>300922.SZ</v>
      </c>
      <c r="E926" s="5" t="str">
        <f>IFERROR(__xludf.DUMMYFUNCTION("""COMPUTED_VALUE"""),"CNY")</f>
        <v>CNY</v>
      </c>
      <c r="F926" s="69">
        <f>IFERROR(__xludf.DUMMYFUNCTION("""COMPUTED_VALUE"""),500.0)</f>
        <v>500</v>
      </c>
      <c r="G926" s="70">
        <f>IFERROR(__xludf.DUMMYFUNCTION("""COMPUTED_VALUE"""),1.231169)</f>
        <v>1.231169</v>
      </c>
      <c r="H926" s="71">
        <f>IFERROR(__xludf.DUMMYFUNCTION("""COMPUTED_VALUE"""),38.29)</f>
        <v>38.29</v>
      </c>
      <c r="I926" s="71">
        <f>IFERROR(__xludf.DUMMYFUNCTION("""COMPUTED_VALUE"""),26.08)</f>
        <v>26.08</v>
      </c>
      <c r="J926" s="88" t="str">
        <f>IFERROR(__xludf.DUMMYFUNCTION("""COMPUTED_VALUE"""),"Goto link: 300922.SZ")</f>
        <v>Goto link: 300922.SZ</v>
      </c>
      <c r="K926" s="22"/>
      <c r="L926" s="22"/>
      <c r="M926" s="22"/>
      <c r="N926" s="22"/>
      <c r="O926" s="73"/>
      <c r="P926" s="8"/>
      <c r="Q926" s="69"/>
      <c r="R926" s="69"/>
      <c r="S926" s="8"/>
      <c r="T926" s="69"/>
      <c r="U926" s="8"/>
      <c r="V926" s="69"/>
      <c r="W926" s="74"/>
      <c r="X926" s="69"/>
    </row>
    <row r="927">
      <c r="A927" s="30" t="str">
        <f>IFERROR(__xludf.DUMMYFUNCTION("""COMPUTED_VALUE"""),"76369")</f>
        <v>76369</v>
      </c>
      <c r="B927" s="86">
        <f>IFERROR(__xludf.DUMMYFUNCTION("""COMPUTED_VALUE"""),44616.0)</f>
        <v>44616</v>
      </c>
      <c r="C927" s="64" t="str">
        <f>IFERROR(__xludf.DUMMYFUNCTION("""COMPUTED_VALUE"""),"Stock")</f>
        <v>Stock</v>
      </c>
      <c r="D927" s="90" t="str">
        <f>IFERROR(__xludf.DUMMYFUNCTION("""COMPUTED_VALUE"""),"300922.SZ")</f>
        <v>300922.SZ</v>
      </c>
      <c r="E927" s="5" t="str">
        <f>IFERROR(__xludf.DUMMYFUNCTION("""COMPUTED_VALUE"""),"CNY")</f>
        <v>CNY</v>
      </c>
      <c r="F927" s="69">
        <f>IFERROR(__xludf.DUMMYFUNCTION("""COMPUTED_VALUE"""),1000.0)</f>
        <v>1000</v>
      </c>
      <c r="G927" s="70">
        <f>IFERROR(__xludf.DUMMYFUNCTION("""COMPUTED_VALUE"""),1.231169)</f>
        <v>1.231169</v>
      </c>
      <c r="H927" s="71">
        <f>IFERROR(__xludf.DUMMYFUNCTION("""COMPUTED_VALUE"""),38.29)</f>
        <v>38.29</v>
      </c>
      <c r="I927" s="71">
        <f>IFERROR(__xludf.DUMMYFUNCTION("""COMPUTED_VALUE"""),26.08)</f>
        <v>26.08</v>
      </c>
      <c r="J927" s="88" t="str">
        <f>IFERROR(__xludf.DUMMYFUNCTION("""COMPUTED_VALUE"""),"Goto link: 300922.SZ")</f>
        <v>Goto link: 300922.SZ</v>
      </c>
      <c r="K927" s="22"/>
      <c r="L927" s="22"/>
      <c r="M927" s="22"/>
      <c r="N927" s="22"/>
      <c r="O927" s="73"/>
      <c r="P927" s="8"/>
      <c r="Q927" s="69"/>
      <c r="R927" s="69"/>
      <c r="S927" s="8"/>
      <c r="T927" s="69"/>
      <c r="U927" s="8"/>
      <c r="V927" s="69"/>
      <c r="W927" s="74"/>
      <c r="X927" s="69"/>
    </row>
    <row r="928">
      <c r="A928" s="30" t="str">
        <f>IFERROR(__xludf.DUMMYFUNCTION("""COMPUTED_VALUE"""),"76369")</f>
        <v>76369</v>
      </c>
      <c r="B928" s="86">
        <f>IFERROR(__xludf.DUMMYFUNCTION("""COMPUTED_VALUE"""),44616.0)</f>
        <v>44616</v>
      </c>
      <c r="C928" s="64" t="str">
        <f>IFERROR(__xludf.DUMMYFUNCTION("""COMPUTED_VALUE"""),"Stock")</f>
        <v>Stock</v>
      </c>
      <c r="D928" s="90" t="str">
        <f>IFERROR(__xludf.DUMMYFUNCTION("""COMPUTED_VALUE"""),"300945.SZ")</f>
        <v>300945.SZ</v>
      </c>
      <c r="E928" s="5" t="str">
        <f>IFERROR(__xludf.DUMMYFUNCTION("""COMPUTED_VALUE"""),"CNY")</f>
        <v>CNY</v>
      </c>
      <c r="F928" s="69">
        <f>IFERROR(__xludf.DUMMYFUNCTION("""COMPUTED_VALUE"""),1000.0)</f>
        <v>1000</v>
      </c>
      <c r="G928" s="70">
        <f>IFERROR(__xludf.DUMMYFUNCTION("""COMPUTED_VALUE"""),1.231169)</f>
        <v>1.231169</v>
      </c>
      <c r="H928" s="71">
        <f>IFERROR(__xludf.DUMMYFUNCTION("""COMPUTED_VALUE"""),23.93)</f>
        <v>23.93</v>
      </c>
      <c r="I928" s="71">
        <f>IFERROR(__xludf.DUMMYFUNCTION("""COMPUTED_VALUE"""),17.99)</f>
        <v>17.99</v>
      </c>
      <c r="J928" s="88" t="str">
        <f>IFERROR(__xludf.DUMMYFUNCTION("""COMPUTED_VALUE"""),"Goto link: 300945.SZ")</f>
        <v>Goto link: 300945.SZ</v>
      </c>
      <c r="K928" s="22"/>
      <c r="L928" s="22"/>
      <c r="M928" s="22"/>
      <c r="N928" s="22"/>
      <c r="O928" s="73"/>
      <c r="P928" s="8"/>
      <c r="Q928" s="69"/>
      <c r="R928" s="69"/>
      <c r="S928" s="8"/>
      <c r="T928" s="69"/>
      <c r="U928" s="8"/>
      <c r="V928" s="69"/>
      <c r="W928" s="74"/>
      <c r="X928" s="69"/>
    </row>
    <row r="929">
      <c r="A929" s="30" t="str">
        <f>IFERROR(__xludf.DUMMYFUNCTION("""COMPUTED_VALUE"""),"76369")</f>
        <v>76369</v>
      </c>
      <c r="B929" s="86">
        <f>IFERROR(__xludf.DUMMYFUNCTION("""COMPUTED_VALUE"""),44616.0)</f>
        <v>44616</v>
      </c>
      <c r="C929" s="64" t="str">
        <f>IFERROR(__xludf.DUMMYFUNCTION("""COMPUTED_VALUE"""),"Stock")</f>
        <v>Stock</v>
      </c>
      <c r="D929" s="90" t="str">
        <f>IFERROR(__xludf.DUMMYFUNCTION("""COMPUTED_VALUE"""),"601808.SS")</f>
        <v>601808.SS</v>
      </c>
      <c r="E929" s="5" t="str">
        <f>IFERROR(__xludf.DUMMYFUNCTION("""COMPUTED_VALUE"""),"CNY")</f>
        <v>CNY</v>
      </c>
      <c r="F929" s="69">
        <f>IFERROR(__xludf.DUMMYFUNCTION("""COMPUTED_VALUE"""),1000.0)</f>
        <v>1000</v>
      </c>
      <c r="G929" s="70">
        <f>IFERROR(__xludf.DUMMYFUNCTION("""COMPUTED_VALUE"""),1.231169)</f>
        <v>1.231169</v>
      </c>
      <c r="H929" s="71">
        <f>IFERROR(__xludf.DUMMYFUNCTION("""COMPUTED_VALUE"""),16.71)</f>
        <v>16.71</v>
      </c>
      <c r="I929" s="71">
        <f>IFERROR(__xludf.DUMMYFUNCTION("""COMPUTED_VALUE"""),13.35)</f>
        <v>13.35</v>
      </c>
      <c r="J929" s="88" t="str">
        <f>IFERROR(__xludf.DUMMYFUNCTION("""COMPUTED_VALUE"""),"Goto link: 601808.SS")</f>
        <v>Goto link: 601808.SS</v>
      </c>
      <c r="K929" s="22"/>
      <c r="L929" s="22"/>
      <c r="M929" s="22"/>
      <c r="N929" s="22"/>
      <c r="O929" s="73"/>
      <c r="P929" s="8"/>
      <c r="Q929" s="69"/>
      <c r="R929" s="69"/>
      <c r="S929" s="8"/>
      <c r="T929" s="69"/>
      <c r="U929" s="8"/>
      <c r="V929" s="69"/>
      <c r="W929" s="74"/>
      <c r="X929" s="69"/>
    </row>
    <row r="930">
      <c r="A930" s="30" t="str">
        <f>IFERROR(__xludf.DUMMYFUNCTION("""COMPUTED_VALUE"""),"76369")</f>
        <v>76369</v>
      </c>
      <c r="B930" s="86">
        <f>IFERROR(__xludf.DUMMYFUNCTION("""COMPUTED_VALUE"""),44617.0)</f>
        <v>44617</v>
      </c>
      <c r="C930" s="64" t="str">
        <f>IFERROR(__xludf.DUMMYFUNCTION("""COMPUTED_VALUE"""),"Stock")</f>
        <v>Stock</v>
      </c>
      <c r="D930" s="90" t="str">
        <f>IFERROR(__xludf.DUMMYFUNCTION("""COMPUTED_VALUE"""),"000554.SZ")</f>
        <v>000554.SZ</v>
      </c>
      <c r="E930" s="5" t="str">
        <f>IFERROR(__xludf.DUMMYFUNCTION("""COMPUTED_VALUE"""),"CNY")</f>
        <v>CNY</v>
      </c>
      <c r="F930" s="69">
        <f>IFERROR(__xludf.DUMMYFUNCTION("""COMPUTED_VALUE"""),-1000.0)</f>
        <v>-1000</v>
      </c>
      <c r="G930" s="70">
        <f>IFERROR(__xludf.DUMMYFUNCTION("""COMPUTED_VALUE"""),1.231169)</f>
        <v>1.231169</v>
      </c>
      <c r="H930" s="71">
        <f>IFERROR(__xludf.DUMMYFUNCTION("""COMPUTED_VALUE"""),6.23)</f>
        <v>6.23</v>
      </c>
      <c r="I930" s="71">
        <f>IFERROR(__xludf.DUMMYFUNCTION("""COMPUTED_VALUE"""),5.19)</f>
        <v>5.19</v>
      </c>
      <c r="J930" s="88" t="str">
        <f>IFERROR(__xludf.DUMMYFUNCTION("""COMPUTED_VALUE"""),"Goto link: 000554.SZ")</f>
        <v>Goto link: 000554.SZ</v>
      </c>
      <c r="K930" s="22"/>
      <c r="L930" s="22"/>
      <c r="M930" s="22"/>
      <c r="N930" s="22"/>
      <c r="O930" s="73"/>
      <c r="P930" s="8"/>
      <c r="Q930" s="69"/>
      <c r="R930" s="69"/>
      <c r="S930" s="8"/>
      <c r="T930" s="69"/>
      <c r="U930" s="8"/>
      <c r="V930" s="69"/>
      <c r="W930" s="74"/>
      <c r="X930" s="69"/>
    </row>
    <row r="931">
      <c r="A931" s="30" t="str">
        <f>IFERROR(__xludf.DUMMYFUNCTION("""COMPUTED_VALUE"""),"76369")</f>
        <v>76369</v>
      </c>
      <c r="B931" s="86">
        <f>IFERROR(__xludf.DUMMYFUNCTION("""COMPUTED_VALUE"""),44617.0)</f>
        <v>44617</v>
      </c>
      <c r="C931" s="64" t="str">
        <f>IFERROR(__xludf.DUMMYFUNCTION("""COMPUTED_VALUE"""),"Stock")</f>
        <v>Stock</v>
      </c>
      <c r="D931" s="90" t="str">
        <f>IFERROR(__xludf.DUMMYFUNCTION("""COMPUTED_VALUE"""),"300922.SZ")</f>
        <v>300922.SZ</v>
      </c>
      <c r="E931" s="5" t="str">
        <f>IFERROR(__xludf.DUMMYFUNCTION("""COMPUTED_VALUE"""),"CNY")</f>
        <v>CNY</v>
      </c>
      <c r="F931" s="69">
        <f>IFERROR(__xludf.DUMMYFUNCTION("""COMPUTED_VALUE"""),-1000.0)</f>
        <v>-1000</v>
      </c>
      <c r="G931" s="70">
        <f>IFERROR(__xludf.DUMMYFUNCTION("""COMPUTED_VALUE"""),1.231169)</f>
        <v>1.231169</v>
      </c>
      <c r="H931" s="71">
        <f>IFERROR(__xludf.DUMMYFUNCTION("""COMPUTED_VALUE"""),36.83)</f>
        <v>36.83</v>
      </c>
      <c r="I931" s="71">
        <f>IFERROR(__xludf.DUMMYFUNCTION("""COMPUTED_VALUE"""),26.08)</f>
        <v>26.08</v>
      </c>
      <c r="J931" s="88" t="str">
        <f>IFERROR(__xludf.DUMMYFUNCTION("""COMPUTED_VALUE"""),"Goto link: 300922.SZ")</f>
        <v>Goto link: 300922.SZ</v>
      </c>
      <c r="K931" s="22"/>
      <c r="L931" s="22"/>
      <c r="M931" s="22"/>
      <c r="N931" s="22"/>
      <c r="O931" s="73"/>
      <c r="P931" s="8"/>
      <c r="Q931" s="69"/>
      <c r="R931" s="69"/>
      <c r="S931" s="8"/>
      <c r="T931" s="69"/>
      <c r="U931" s="8"/>
      <c r="V931" s="69"/>
      <c r="W931" s="74"/>
      <c r="X931" s="69"/>
    </row>
    <row r="932">
      <c r="A932" s="30" t="str">
        <f>IFERROR(__xludf.DUMMYFUNCTION("""COMPUTED_VALUE"""),"76369")</f>
        <v>76369</v>
      </c>
      <c r="B932" s="86">
        <f>IFERROR(__xludf.DUMMYFUNCTION("""COMPUTED_VALUE"""),44617.0)</f>
        <v>44617</v>
      </c>
      <c r="C932" s="64" t="str">
        <f>IFERROR(__xludf.DUMMYFUNCTION("""COMPUTED_VALUE"""),"Stock")</f>
        <v>Stock</v>
      </c>
      <c r="D932" s="90" t="str">
        <f>IFERROR(__xludf.DUMMYFUNCTION("""COMPUTED_VALUE"""),"300922.SZ")</f>
        <v>300922.SZ</v>
      </c>
      <c r="E932" s="5" t="str">
        <f>IFERROR(__xludf.DUMMYFUNCTION("""COMPUTED_VALUE"""),"CNY")</f>
        <v>CNY</v>
      </c>
      <c r="F932" s="69">
        <f>IFERROR(__xludf.DUMMYFUNCTION("""COMPUTED_VALUE"""),-500.0)</f>
        <v>-500</v>
      </c>
      <c r="G932" s="70">
        <f>IFERROR(__xludf.DUMMYFUNCTION("""COMPUTED_VALUE"""),1.231169)</f>
        <v>1.231169</v>
      </c>
      <c r="H932" s="71">
        <f>IFERROR(__xludf.DUMMYFUNCTION("""COMPUTED_VALUE"""),36.83)</f>
        <v>36.83</v>
      </c>
      <c r="I932" s="71">
        <f>IFERROR(__xludf.DUMMYFUNCTION("""COMPUTED_VALUE"""),26.08)</f>
        <v>26.08</v>
      </c>
      <c r="J932" s="88" t="str">
        <f>IFERROR(__xludf.DUMMYFUNCTION("""COMPUTED_VALUE"""),"Goto link: 300922.SZ")</f>
        <v>Goto link: 300922.SZ</v>
      </c>
      <c r="K932" s="22"/>
      <c r="L932" s="22"/>
      <c r="M932" s="22"/>
      <c r="N932" s="22"/>
      <c r="O932" s="73"/>
      <c r="P932" s="8"/>
      <c r="Q932" s="69"/>
      <c r="R932" s="69"/>
      <c r="S932" s="8"/>
      <c r="T932" s="69"/>
      <c r="U932" s="8"/>
      <c r="V932" s="69"/>
      <c r="W932" s="74"/>
      <c r="X932" s="69"/>
    </row>
    <row r="933">
      <c r="A933" s="30" t="str">
        <f>IFERROR(__xludf.DUMMYFUNCTION("""COMPUTED_VALUE"""),"76369")</f>
        <v>76369</v>
      </c>
      <c r="B933" s="86">
        <f>IFERROR(__xludf.DUMMYFUNCTION("""COMPUTED_VALUE"""),44617.0)</f>
        <v>44617</v>
      </c>
      <c r="C933" s="64" t="str">
        <f>IFERROR(__xludf.DUMMYFUNCTION("""COMPUTED_VALUE"""),"Stock")</f>
        <v>Stock</v>
      </c>
      <c r="D933" s="90" t="str">
        <f>IFERROR(__xludf.DUMMYFUNCTION("""COMPUTED_VALUE"""),"300945.SZ")</f>
        <v>300945.SZ</v>
      </c>
      <c r="E933" s="5" t="str">
        <f>IFERROR(__xludf.DUMMYFUNCTION("""COMPUTED_VALUE"""),"CNY")</f>
        <v>CNY</v>
      </c>
      <c r="F933" s="69">
        <f>IFERROR(__xludf.DUMMYFUNCTION("""COMPUTED_VALUE"""),-1000.0)</f>
        <v>-1000</v>
      </c>
      <c r="G933" s="70">
        <f>IFERROR(__xludf.DUMMYFUNCTION("""COMPUTED_VALUE"""),1.231169)</f>
        <v>1.231169</v>
      </c>
      <c r="H933" s="71">
        <f>IFERROR(__xludf.DUMMYFUNCTION("""COMPUTED_VALUE"""),22.61)</f>
        <v>22.61</v>
      </c>
      <c r="I933" s="71">
        <f>IFERROR(__xludf.DUMMYFUNCTION("""COMPUTED_VALUE"""),17.99)</f>
        <v>17.99</v>
      </c>
      <c r="J933" s="88" t="str">
        <f>IFERROR(__xludf.DUMMYFUNCTION("""COMPUTED_VALUE"""),"Goto link: 300945.SZ")</f>
        <v>Goto link: 300945.SZ</v>
      </c>
      <c r="K933" s="22"/>
      <c r="L933" s="22"/>
      <c r="M933" s="22"/>
      <c r="N933" s="22"/>
      <c r="O933" s="73"/>
      <c r="P933" s="8"/>
      <c r="Q933" s="69"/>
      <c r="R933" s="69"/>
      <c r="S933" s="8"/>
      <c r="T933" s="69"/>
      <c r="U933" s="8"/>
      <c r="V933" s="69"/>
      <c r="W933" s="74"/>
      <c r="X933" s="69"/>
    </row>
    <row r="934">
      <c r="A934" s="30" t="str">
        <f>IFERROR(__xludf.DUMMYFUNCTION("""COMPUTED_VALUE"""),"76369")</f>
        <v>76369</v>
      </c>
      <c r="B934" s="86">
        <f>IFERROR(__xludf.DUMMYFUNCTION("""COMPUTED_VALUE"""),44617.0)</f>
        <v>44617</v>
      </c>
      <c r="C934" s="64" t="str">
        <f>IFERROR(__xludf.DUMMYFUNCTION("""COMPUTED_VALUE"""),"Stock")</f>
        <v>Stock</v>
      </c>
      <c r="D934" s="90" t="str">
        <f>IFERROR(__xludf.DUMMYFUNCTION("""COMPUTED_VALUE"""),"601808.SS")</f>
        <v>601808.SS</v>
      </c>
      <c r="E934" s="5" t="str">
        <f>IFERROR(__xludf.DUMMYFUNCTION("""COMPUTED_VALUE"""),"CNY")</f>
        <v>CNY</v>
      </c>
      <c r="F934" s="69">
        <f>IFERROR(__xludf.DUMMYFUNCTION("""COMPUTED_VALUE"""),-1000.0)</f>
        <v>-1000</v>
      </c>
      <c r="G934" s="70">
        <f>IFERROR(__xludf.DUMMYFUNCTION("""COMPUTED_VALUE"""),1.231169)</f>
        <v>1.231169</v>
      </c>
      <c r="H934" s="71">
        <f>IFERROR(__xludf.DUMMYFUNCTION("""COMPUTED_VALUE"""),16.49)</f>
        <v>16.49</v>
      </c>
      <c r="I934" s="71">
        <f>IFERROR(__xludf.DUMMYFUNCTION("""COMPUTED_VALUE"""),13.35)</f>
        <v>13.35</v>
      </c>
      <c r="J934" s="88" t="str">
        <f>IFERROR(__xludf.DUMMYFUNCTION("""COMPUTED_VALUE"""),"Goto link: 601808.SS")</f>
        <v>Goto link: 601808.SS</v>
      </c>
      <c r="K934" s="22"/>
      <c r="L934" s="22"/>
      <c r="M934" s="22"/>
      <c r="N934" s="22"/>
      <c r="O934" s="73"/>
      <c r="P934" s="8"/>
      <c r="Q934" s="69"/>
      <c r="R934" s="69"/>
      <c r="S934" s="8"/>
      <c r="T934" s="69"/>
      <c r="U934" s="8"/>
      <c r="V934" s="69"/>
      <c r="W934" s="74"/>
      <c r="X934" s="69"/>
    </row>
    <row r="935">
      <c r="A935" s="30" t="str">
        <f>IFERROR(__xludf.DUMMYFUNCTION("""COMPUTED_VALUE"""),"76369")</f>
        <v>76369</v>
      </c>
      <c r="B935" s="86">
        <f>IFERROR(__xludf.DUMMYFUNCTION("""COMPUTED_VALUE"""),44617.0)</f>
        <v>44617</v>
      </c>
      <c r="C935" s="64" t="str">
        <f>IFERROR(__xludf.DUMMYFUNCTION("""COMPUTED_VALUE"""),"Stock")</f>
        <v>Stock</v>
      </c>
      <c r="D935" s="90" t="str">
        <f>IFERROR(__xludf.DUMMYFUNCTION("""COMPUTED_VALUE"""),"603967.SS")</f>
        <v>603967.SS</v>
      </c>
      <c r="E935" s="5" t="str">
        <f>IFERROR(__xludf.DUMMYFUNCTION("""COMPUTED_VALUE"""),"CNY")</f>
        <v>CNY</v>
      </c>
      <c r="F935" s="69">
        <f>IFERROR(__xludf.DUMMYFUNCTION("""COMPUTED_VALUE"""),500.0)</f>
        <v>500</v>
      </c>
      <c r="G935" s="70">
        <f>IFERROR(__xludf.DUMMYFUNCTION("""COMPUTED_VALUE"""),1.231169)</f>
        <v>1.231169</v>
      </c>
      <c r="H935" s="71">
        <f>IFERROR(__xludf.DUMMYFUNCTION("""COMPUTED_VALUE"""),12.95)</f>
        <v>12.95</v>
      </c>
      <c r="I935" s="71">
        <f>IFERROR(__xludf.DUMMYFUNCTION("""COMPUTED_VALUE"""),14.56)</f>
        <v>14.56</v>
      </c>
      <c r="J935" s="88" t="str">
        <f>IFERROR(__xludf.DUMMYFUNCTION("""COMPUTED_VALUE"""),"Goto link: 603967.SS")</f>
        <v>Goto link: 603967.SS</v>
      </c>
      <c r="K935" s="22"/>
      <c r="L935" s="22"/>
      <c r="M935" s="22"/>
      <c r="N935" s="22"/>
      <c r="O935" s="73"/>
      <c r="P935" s="8"/>
      <c r="Q935" s="69"/>
      <c r="R935" s="69"/>
      <c r="S935" s="8"/>
      <c r="T935" s="69"/>
      <c r="U935" s="8"/>
      <c r="V935" s="69"/>
      <c r="W935" s="74"/>
      <c r="X935" s="69"/>
    </row>
    <row r="936">
      <c r="A936" s="30" t="str">
        <f>IFERROR(__xludf.DUMMYFUNCTION("""COMPUTED_VALUE"""),"76369")</f>
        <v>76369</v>
      </c>
      <c r="B936" s="86">
        <f>IFERROR(__xludf.DUMMYFUNCTION("""COMPUTED_VALUE"""),44620.0)</f>
        <v>44620</v>
      </c>
      <c r="C936" s="64" t="str">
        <f>IFERROR(__xludf.DUMMYFUNCTION("""COMPUTED_VALUE"""),"Stock")</f>
        <v>Stock</v>
      </c>
      <c r="D936" s="90" t="str">
        <f>IFERROR(__xludf.DUMMYFUNCTION("""COMPUTED_VALUE"""),"002665.SZ")</f>
        <v>002665.SZ</v>
      </c>
      <c r="E936" s="5" t="str">
        <f>IFERROR(__xludf.DUMMYFUNCTION("""COMPUTED_VALUE"""),"CNY")</f>
        <v>CNY</v>
      </c>
      <c r="F936" s="69">
        <f>IFERROR(__xludf.DUMMYFUNCTION("""COMPUTED_VALUE"""),-1000.0)</f>
        <v>-1000</v>
      </c>
      <c r="G936" s="70">
        <f>IFERROR(__xludf.DUMMYFUNCTION("""COMPUTED_VALUE"""),1.231169)</f>
        <v>1.231169</v>
      </c>
      <c r="H936" s="71">
        <f>IFERROR(__xludf.DUMMYFUNCTION("""COMPUTED_VALUE"""),3.99)</f>
        <v>3.99</v>
      </c>
      <c r="I936" s="71">
        <f>IFERROR(__xludf.DUMMYFUNCTION("""COMPUTED_VALUE"""),3.56)</f>
        <v>3.56</v>
      </c>
      <c r="J936" s="88" t="str">
        <f>IFERROR(__xludf.DUMMYFUNCTION("""COMPUTED_VALUE"""),"Goto link: 002665.SZ")</f>
        <v>Goto link: 002665.SZ</v>
      </c>
      <c r="K936" s="22"/>
      <c r="L936" s="22"/>
      <c r="M936" s="22"/>
      <c r="N936" s="22"/>
      <c r="O936" s="73"/>
      <c r="P936" s="8"/>
      <c r="Q936" s="69"/>
      <c r="R936" s="69"/>
      <c r="S936" s="8"/>
      <c r="T936" s="69"/>
      <c r="U936" s="8"/>
      <c r="V936" s="69"/>
      <c r="W936" s="74"/>
      <c r="X936" s="69"/>
    </row>
    <row r="937">
      <c r="A937" s="30" t="str">
        <f>IFERROR(__xludf.DUMMYFUNCTION("""COMPUTED_VALUE"""),"76369")</f>
        <v>76369</v>
      </c>
      <c r="B937" s="86">
        <f>IFERROR(__xludf.DUMMYFUNCTION("""COMPUTED_VALUE"""),44620.0)</f>
        <v>44620</v>
      </c>
      <c r="C937" s="64" t="str">
        <f>IFERROR(__xludf.DUMMYFUNCTION("""COMPUTED_VALUE"""),"Stock")</f>
        <v>Stock</v>
      </c>
      <c r="D937" s="90" t="str">
        <f>IFERROR(__xludf.DUMMYFUNCTION("""COMPUTED_VALUE"""),"603967.SS")</f>
        <v>603967.SS</v>
      </c>
      <c r="E937" s="5" t="str">
        <f>IFERROR(__xludf.DUMMYFUNCTION("""COMPUTED_VALUE"""),"CNY")</f>
        <v>CNY</v>
      </c>
      <c r="F937" s="69">
        <f>IFERROR(__xludf.DUMMYFUNCTION("""COMPUTED_VALUE"""),-500.0)</f>
        <v>-500</v>
      </c>
      <c r="G937" s="70">
        <f>IFERROR(__xludf.DUMMYFUNCTION("""COMPUTED_VALUE"""),1.231169)</f>
        <v>1.231169</v>
      </c>
      <c r="H937" s="71">
        <f>IFERROR(__xludf.DUMMYFUNCTION("""COMPUTED_VALUE"""),12.73)</f>
        <v>12.73</v>
      </c>
      <c r="I937" s="71">
        <f>IFERROR(__xludf.DUMMYFUNCTION("""COMPUTED_VALUE"""),14.56)</f>
        <v>14.56</v>
      </c>
      <c r="J937" s="88" t="str">
        <f>IFERROR(__xludf.DUMMYFUNCTION("""COMPUTED_VALUE"""),"Goto link: 603967.SS")</f>
        <v>Goto link: 603967.SS</v>
      </c>
      <c r="K937" s="22"/>
      <c r="L937" s="22"/>
      <c r="M937" s="22"/>
      <c r="N937" s="22"/>
      <c r="O937" s="73"/>
      <c r="P937" s="8"/>
      <c r="Q937" s="69"/>
      <c r="R937" s="69"/>
      <c r="S937" s="8"/>
      <c r="T937" s="69"/>
      <c r="U937" s="8"/>
      <c r="V937" s="69"/>
      <c r="W937" s="74"/>
      <c r="X937" s="69"/>
    </row>
    <row r="938">
      <c r="A938" s="30" t="str">
        <f>IFERROR(__xludf.DUMMYFUNCTION("""COMPUTED_VALUE"""),"76369")</f>
        <v>76369</v>
      </c>
      <c r="B938" s="86">
        <f>IFERROR(__xludf.DUMMYFUNCTION("""COMPUTED_VALUE"""),44627.0)</f>
        <v>44627</v>
      </c>
      <c r="C938" s="64" t="str">
        <f>IFERROR(__xludf.DUMMYFUNCTION("""COMPUTED_VALUE"""),"Stock")</f>
        <v>Stock</v>
      </c>
      <c r="D938" s="90" t="str">
        <f>IFERROR(__xludf.DUMMYFUNCTION("""COMPUTED_VALUE"""),"603963.SS")</f>
        <v>603963.SS</v>
      </c>
      <c r="E938" s="5" t="str">
        <f>IFERROR(__xludf.DUMMYFUNCTION("""COMPUTED_VALUE"""),"CNY")</f>
        <v>CNY</v>
      </c>
      <c r="F938" s="69">
        <f>IFERROR(__xludf.DUMMYFUNCTION("""COMPUTED_VALUE"""),1000.0)</f>
        <v>1000</v>
      </c>
      <c r="G938" s="70">
        <f>IFERROR(__xludf.DUMMYFUNCTION("""COMPUTED_VALUE"""),1.231169)</f>
        <v>1.231169</v>
      </c>
      <c r="H938" s="71">
        <f>IFERROR(__xludf.DUMMYFUNCTION("""COMPUTED_VALUE"""),11.09)</f>
        <v>11.09</v>
      </c>
      <c r="I938" s="71">
        <f>IFERROR(__xludf.DUMMYFUNCTION("""COMPUTED_VALUE"""),17.18)</f>
        <v>17.18</v>
      </c>
      <c r="J938" s="88" t="str">
        <f>IFERROR(__xludf.DUMMYFUNCTION("""COMPUTED_VALUE"""),"Goto link: 603963.SS")</f>
        <v>Goto link: 603963.SS</v>
      </c>
      <c r="K938" s="22"/>
      <c r="L938" s="22"/>
      <c r="M938" s="22"/>
      <c r="N938" s="22"/>
      <c r="O938" s="73"/>
      <c r="P938" s="8"/>
      <c r="Q938" s="69"/>
      <c r="R938" s="69"/>
      <c r="S938" s="8"/>
      <c r="T938" s="69"/>
      <c r="U938" s="8"/>
      <c r="V938" s="69"/>
      <c r="W938" s="74"/>
      <c r="X938" s="69"/>
    </row>
    <row r="939">
      <c r="A939" s="30" t="str">
        <f>IFERROR(__xludf.DUMMYFUNCTION("""COMPUTED_VALUE"""),"76369")</f>
        <v>76369</v>
      </c>
      <c r="B939" s="86">
        <f>IFERROR(__xludf.DUMMYFUNCTION("""COMPUTED_VALUE"""),44628.0)</f>
        <v>44628</v>
      </c>
      <c r="C939" s="64" t="str">
        <f>IFERROR(__xludf.DUMMYFUNCTION("""COMPUTED_VALUE"""),"Stock")</f>
        <v>Stock</v>
      </c>
      <c r="D939" s="90" t="str">
        <f>IFERROR(__xludf.DUMMYFUNCTION("""COMPUTED_VALUE"""),"603963.SS")</f>
        <v>603963.SS</v>
      </c>
      <c r="E939" s="5" t="str">
        <f>IFERROR(__xludf.DUMMYFUNCTION("""COMPUTED_VALUE"""),"CNY")</f>
        <v>CNY</v>
      </c>
      <c r="F939" s="69">
        <f>IFERROR(__xludf.DUMMYFUNCTION("""COMPUTED_VALUE"""),-900.0)</f>
        <v>-900</v>
      </c>
      <c r="G939" s="70">
        <f>IFERROR(__xludf.DUMMYFUNCTION("""COMPUTED_VALUE"""),1.231169)</f>
        <v>1.231169</v>
      </c>
      <c r="H939" s="71">
        <f>IFERROR(__xludf.DUMMYFUNCTION("""COMPUTED_VALUE"""),11.09)</f>
        <v>11.09</v>
      </c>
      <c r="I939" s="71">
        <f>IFERROR(__xludf.DUMMYFUNCTION("""COMPUTED_VALUE"""),17.18)</f>
        <v>17.18</v>
      </c>
      <c r="J939" s="88" t="str">
        <f>IFERROR(__xludf.DUMMYFUNCTION("""COMPUTED_VALUE"""),"Goto link: 603963.SS")</f>
        <v>Goto link: 603963.SS</v>
      </c>
      <c r="K939" s="22"/>
      <c r="L939" s="22"/>
      <c r="M939" s="22"/>
      <c r="N939" s="22"/>
      <c r="O939" s="73"/>
      <c r="P939" s="8"/>
      <c r="Q939" s="69"/>
      <c r="R939" s="69"/>
      <c r="S939" s="8"/>
      <c r="T939" s="69"/>
      <c r="U939" s="8"/>
      <c r="V939" s="69"/>
      <c r="W939" s="74"/>
      <c r="X939" s="69"/>
    </row>
    <row r="940">
      <c r="A940" s="30" t="str">
        <f>IFERROR(__xludf.DUMMYFUNCTION("""COMPUTED_VALUE"""),"76369")</f>
        <v>76369</v>
      </c>
      <c r="B940" s="86">
        <f>IFERROR(__xludf.DUMMYFUNCTION("""COMPUTED_VALUE"""),44630.0)</f>
        <v>44630</v>
      </c>
      <c r="C940" s="64" t="str">
        <f>IFERROR(__xludf.DUMMYFUNCTION("""COMPUTED_VALUE"""),"Stock")</f>
        <v>Stock</v>
      </c>
      <c r="D940" s="90" t="str">
        <f>IFERROR(__xludf.DUMMYFUNCTION("""COMPUTED_VALUE"""),"603963.SS")</f>
        <v>603963.SS</v>
      </c>
      <c r="E940" s="5" t="str">
        <f>IFERROR(__xludf.DUMMYFUNCTION("""COMPUTED_VALUE"""),"HKD")</f>
        <v>HKD</v>
      </c>
      <c r="F940" s="69">
        <f>IFERROR(__xludf.DUMMYFUNCTION("""COMPUTED_VALUE"""),1000.0)</f>
        <v>1000</v>
      </c>
      <c r="G940" s="70">
        <f>IFERROR(__xludf.DUMMYFUNCTION("""COMPUTED_VALUE"""),1.0)</f>
        <v>1</v>
      </c>
      <c r="H940" s="71">
        <f>IFERROR(__xludf.DUMMYFUNCTION("""COMPUTED_VALUE"""),12.08)</f>
        <v>12.08</v>
      </c>
      <c r="I940" s="71">
        <f>IFERROR(__xludf.DUMMYFUNCTION("""COMPUTED_VALUE"""),17.18)</f>
        <v>17.18</v>
      </c>
      <c r="J940" s="88" t="str">
        <f>IFERROR(__xludf.DUMMYFUNCTION("""COMPUTED_VALUE"""),"Goto link: 603963.SS")</f>
        <v>Goto link: 603963.SS</v>
      </c>
      <c r="K940" s="22"/>
      <c r="L940" s="22"/>
      <c r="M940" s="22"/>
      <c r="N940" s="22"/>
      <c r="O940" s="73"/>
      <c r="P940" s="8"/>
      <c r="Q940" s="69"/>
      <c r="R940" s="69"/>
      <c r="S940" s="8"/>
      <c r="T940" s="69"/>
      <c r="U940" s="8"/>
      <c r="V940" s="69"/>
      <c r="W940" s="74"/>
      <c r="X940" s="69"/>
    </row>
    <row r="941">
      <c r="A941" s="30" t="str">
        <f>IFERROR(__xludf.DUMMYFUNCTION("""COMPUTED_VALUE"""),"76369")</f>
        <v>76369</v>
      </c>
      <c r="B941" s="86">
        <f>IFERROR(__xludf.DUMMYFUNCTION("""COMPUTED_VALUE"""),44631.0)</f>
        <v>44631</v>
      </c>
      <c r="C941" s="64" t="str">
        <f>IFERROR(__xludf.DUMMYFUNCTION("""COMPUTED_VALUE"""),"Stock")</f>
        <v>Stock</v>
      </c>
      <c r="D941" s="87" t="str">
        <f>IFERROR(__xludf.DUMMYFUNCTION("""COMPUTED_VALUE"""),"GC=F")</f>
        <v>GC=F</v>
      </c>
      <c r="E941" s="5" t="str">
        <f>IFERROR(__xludf.DUMMYFUNCTION("""COMPUTED_VALUE"""),"USD")</f>
        <v>USD</v>
      </c>
      <c r="F941" s="69">
        <f>IFERROR(__xludf.DUMMYFUNCTION("""COMPUTED_VALUE"""),5.0)</f>
        <v>5</v>
      </c>
      <c r="G941" s="70">
        <f>IFERROR(__xludf.DUMMYFUNCTION("""COMPUTED_VALUE"""),7.83915)</f>
        <v>7.83915</v>
      </c>
      <c r="H941" s="71">
        <f>IFERROR(__xludf.DUMMYFUNCTION("""COMPUTED_VALUE"""),1992.3)</f>
        <v>1992.3</v>
      </c>
      <c r="I941" s="71">
        <f>IFERROR(__xludf.DUMMYFUNCTION("""COMPUTED_VALUE"""),1980.7)</f>
        <v>1980.7</v>
      </c>
      <c r="J941" s="88" t="str">
        <f>IFERROR(__xludf.DUMMYFUNCTION("""COMPUTED_VALUE"""),"Goto link: GC=F")</f>
        <v>Goto link: GC=F</v>
      </c>
      <c r="K941" s="22"/>
      <c r="L941" s="22"/>
      <c r="M941" s="22"/>
      <c r="N941" s="22"/>
      <c r="O941" s="73"/>
      <c r="P941" s="8"/>
      <c r="Q941" s="69"/>
      <c r="R941" s="69"/>
      <c r="S941" s="8"/>
      <c r="T941" s="69"/>
      <c r="U941" s="8"/>
      <c r="V941" s="69"/>
      <c r="W941" s="74"/>
      <c r="X941" s="69"/>
    </row>
    <row r="942">
      <c r="A942" s="30" t="str">
        <f>IFERROR(__xludf.DUMMYFUNCTION("""COMPUTED_VALUE"""),"76369")</f>
        <v>76369</v>
      </c>
      <c r="B942" s="86">
        <f>IFERROR(__xludf.DUMMYFUNCTION("""COMPUTED_VALUE"""),44635.0)</f>
        <v>44635</v>
      </c>
      <c r="C942" s="64" t="str">
        <f>IFERROR(__xludf.DUMMYFUNCTION("""COMPUTED_VALUE"""),"Stock")</f>
        <v>Stock</v>
      </c>
      <c r="D942" s="90" t="str">
        <f>IFERROR(__xludf.DUMMYFUNCTION("""COMPUTED_VALUE"""),"603538.SS")</f>
        <v>603538.SS</v>
      </c>
      <c r="E942" s="5" t="str">
        <f>IFERROR(__xludf.DUMMYFUNCTION("""COMPUTED_VALUE"""),"CNY")</f>
        <v>CNY</v>
      </c>
      <c r="F942" s="69">
        <f>IFERROR(__xludf.DUMMYFUNCTION("""COMPUTED_VALUE"""),500.0)</f>
        <v>500</v>
      </c>
      <c r="G942" s="70">
        <f>IFERROR(__xludf.DUMMYFUNCTION("""COMPUTED_VALUE"""),1.231169)</f>
        <v>1.231169</v>
      </c>
      <c r="H942" s="71">
        <f>IFERROR(__xludf.DUMMYFUNCTION("""COMPUTED_VALUE"""),55.0)</f>
        <v>55</v>
      </c>
      <c r="I942" s="71">
        <f>IFERROR(__xludf.DUMMYFUNCTION("""COMPUTED_VALUE"""),51.21)</f>
        <v>51.21</v>
      </c>
      <c r="J942" s="88" t="str">
        <f>IFERROR(__xludf.DUMMYFUNCTION("""COMPUTED_VALUE"""),"Goto link: 603538.SS")</f>
        <v>Goto link: 603538.SS</v>
      </c>
      <c r="K942" s="22"/>
      <c r="L942" s="22"/>
      <c r="M942" s="22"/>
      <c r="N942" s="22"/>
      <c r="O942" s="73"/>
      <c r="P942" s="8"/>
      <c r="Q942" s="69"/>
      <c r="R942" s="69"/>
      <c r="S942" s="8"/>
      <c r="T942" s="69"/>
      <c r="U942" s="8"/>
      <c r="V942" s="69"/>
      <c r="W942" s="74"/>
      <c r="X942" s="69"/>
    </row>
    <row r="943">
      <c r="A943" s="30" t="str">
        <f>IFERROR(__xludf.DUMMYFUNCTION("""COMPUTED_VALUE"""),"76369")</f>
        <v>76369</v>
      </c>
      <c r="B943" s="86">
        <f>IFERROR(__xludf.DUMMYFUNCTION("""COMPUTED_VALUE"""),44635.0)</f>
        <v>44635</v>
      </c>
      <c r="C943" s="64" t="str">
        <f>IFERROR(__xludf.DUMMYFUNCTION("""COMPUTED_VALUE"""),"Stock")</f>
        <v>Stock</v>
      </c>
      <c r="D943" s="90" t="str">
        <f>IFERROR(__xludf.DUMMYFUNCTION("""COMPUTED_VALUE"""),"688076.SS")</f>
        <v>688076.SS</v>
      </c>
      <c r="E943" s="5" t="str">
        <f>IFERROR(__xludf.DUMMYFUNCTION("""COMPUTED_VALUE"""),"CNY")</f>
        <v>CNY</v>
      </c>
      <c r="F943" s="69">
        <f>IFERROR(__xludf.DUMMYFUNCTION("""COMPUTED_VALUE"""),500.0)</f>
        <v>500</v>
      </c>
      <c r="G943" s="70">
        <f>IFERROR(__xludf.DUMMYFUNCTION("""COMPUTED_VALUE"""),1.231169)</f>
        <v>1.231169</v>
      </c>
      <c r="H943" s="71">
        <f>IFERROR(__xludf.DUMMYFUNCTION("""COMPUTED_VALUE"""),43.15)</f>
        <v>43.15</v>
      </c>
      <c r="I943" s="71">
        <f>IFERROR(__xludf.DUMMYFUNCTION("""COMPUTED_VALUE"""),30.72)</f>
        <v>30.72</v>
      </c>
      <c r="J943" s="88" t="str">
        <f>IFERROR(__xludf.DUMMYFUNCTION("""COMPUTED_VALUE"""),"Goto link: 688076.SS")</f>
        <v>Goto link: 688076.SS</v>
      </c>
      <c r="K943" s="22"/>
      <c r="L943" s="22"/>
      <c r="M943" s="22"/>
      <c r="N943" s="22"/>
      <c r="O943" s="73"/>
      <c r="P943" s="8"/>
      <c r="Q943" s="69"/>
      <c r="R943" s="69"/>
      <c r="S943" s="8"/>
      <c r="T943" s="69"/>
      <c r="U943" s="8"/>
      <c r="V943" s="69"/>
      <c r="W943" s="74"/>
      <c r="X943" s="69"/>
    </row>
    <row r="944">
      <c r="A944" s="30" t="str">
        <f>IFERROR(__xludf.DUMMYFUNCTION("""COMPUTED_VALUE"""),"76369")</f>
        <v>76369</v>
      </c>
      <c r="B944" s="86">
        <f>IFERROR(__xludf.DUMMYFUNCTION("""COMPUTED_VALUE"""),44636.0)</f>
        <v>44636</v>
      </c>
      <c r="C944" s="64" t="str">
        <f>IFERROR(__xludf.DUMMYFUNCTION("""COMPUTED_VALUE"""),"Stock")</f>
        <v>Stock</v>
      </c>
      <c r="D944" s="87" t="str">
        <f>IFERROR(__xludf.DUMMYFUNCTION("""COMPUTED_VALUE"""),"GC=F")</f>
        <v>GC=F</v>
      </c>
      <c r="E944" s="5" t="str">
        <f>IFERROR(__xludf.DUMMYFUNCTION("""COMPUTED_VALUE"""),"USD")</f>
        <v>USD</v>
      </c>
      <c r="F944" s="69">
        <f>IFERROR(__xludf.DUMMYFUNCTION("""COMPUTED_VALUE"""),-5.0)</f>
        <v>-5</v>
      </c>
      <c r="G944" s="70">
        <f>IFERROR(__xludf.DUMMYFUNCTION("""COMPUTED_VALUE"""),7.83915)</f>
        <v>7.83915</v>
      </c>
      <c r="H944" s="71">
        <f>IFERROR(__xludf.DUMMYFUNCTION("""COMPUTED_VALUE"""),1908.0)</f>
        <v>1908</v>
      </c>
      <c r="I944" s="71">
        <f>IFERROR(__xludf.DUMMYFUNCTION("""COMPUTED_VALUE"""),1980.7)</f>
        <v>1980.7</v>
      </c>
      <c r="J944" s="88" t="str">
        <f>IFERROR(__xludf.DUMMYFUNCTION("""COMPUTED_VALUE"""),"Goto link: GC=F")</f>
        <v>Goto link: GC=F</v>
      </c>
      <c r="K944" s="22"/>
      <c r="L944" s="22"/>
      <c r="M944" s="22"/>
      <c r="N944" s="22"/>
      <c r="O944" s="73"/>
      <c r="P944" s="8"/>
      <c r="Q944" s="69"/>
      <c r="R944" s="69"/>
      <c r="S944" s="8"/>
      <c r="T944" s="69"/>
      <c r="U944" s="8"/>
      <c r="V944" s="69"/>
      <c r="W944" s="74"/>
      <c r="X944" s="69"/>
    </row>
    <row r="945">
      <c r="A945" s="30" t="str">
        <f>IFERROR(__xludf.DUMMYFUNCTION("""COMPUTED_VALUE"""),"76369")</f>
        <v>76369</v>
      </c>
      <c r="B945" s="86">
        <f>IFERROR(__xludf.DUMMYFUNCTION("""COMPUTED_VALUE"""),44637.0)</f>
        <v>44637</v>
      </c>
      <c r="C945" s="64" t="str">
        <f>IFERROR(__xludf.DUMMYFUNCTION("""COMPUTED_VALUE"""),"Stock")</f>
        <v>Stock</v>
      </c>
      <c r="D945" s="87" t="str">
        <f>IFERROR(__xludf.DUMMYFUNCTION("""COMPUTED_VALUE"""),"GC=F")</f>
        <v>GC=F</v>
      </c>
      <c r="E945" s="5" t="str">
        <f>IFERROR(__xludf.DUMMYFUNCTION("""COMPUTED_VALUE"""),"USD")</f>
        <v>USD</v>
      </c>
      <c r="F945" s="69">
        <f>IFERROR(__xludf.DUMMYFUNCTION("""COMPUTED_VALUE"""),5.0)</f>
        <v>5</v>
      </c>
      <c r="G945" s="70">
        <f>IFERROR(__xludf.DUMMYFUNCTION("""COMPUTED_VALUE"""),7.83915)</f>
        <v>7.83915</v>
      </c>
      <c r="H945" s="71">
        <f>IFERROR(__xludf.DUMMYFUNCTION("""COMPUTED_VALUE"""),1936.7)</f>
        <v>1936.7</v>
      </c>
      <c r="I945" s="71">
        <f>IFERROR(__xludf.DUMMYFUNCTION("""COMPUTED_VALUE"""),1980.7)</f>
        <v>1980.7</v>
      </c>
      <c r="J945" s="88" t="str">
        <f>IFERROR(__xludf.DUMMYFUNCTION("""COMPUTED_VALUE"""),"Goto link: GC=F")</f>
        <v>Goto link: GC=F</v>
      </c>
      <c r="K945" s="22"/>
      <c r="L945" s="22"/>
      <c r="M945" s="22"/>
      <c r="N945" s="22"/>
      <c r="O945" s="73"/>
      <c r="P945" s="8"/>
      <c r="Q945" s="69"/>
      <c r="R945" s="69"/>
      <c r="S945" s="8"/>
      <c r="T945" s="69"/>
      <c r="U945" s="8"/>
      <c r="V945" s="69"/>
      <c r="W945" s="74"/>
      <c r="X945" s="69"/>
    </row>
    <row r="946">
      <c r="A946" s="30" t="str">
        <f>IFERROR(__xludf.DUMMYFUNCTION("""COMPUTED_VALUE"""),"76369")</f>
        <v>76369</v>
      </c>
      <c r="B946" s="86">
        <f>IFERROR(__xludf.DUMMYFUNCTION("""COMPUTED_VALUE"""),44638.0)</f>
        <v>44638</v>
      </c>
      <c r="C946" s="64" t="str">
        <f>IFERROR(__xludf.DUMMYFUNCTION("""COMPUTED_VALUE"""),"Stock")</f>
        <v>Stock</v>
      </c>
      <c r="D946" s="90" t="str">
        <f>IFERROR(__xludf.DUMMYFUNCTION("""COMPUTED_VALUE"""),"002670.SZ")</f>
        <v>002670.SZ</v>
      </c>
      <c r="E946" s="5" t="str">
        <f>IFERROR(__xludf.DUMMYFUNCTION("""COMPUTED_VALUE"""),"CNY")</f>
        <v>CNY</v>
      </c>
      <c r="F946" s="69">
        <f>IFERROR(__xludf.DUMMYFUNCTION("""COMPUTED_VALUE"""),500.0)</f>
        <v>500</v>
      </c>
      <c r="G946" s="70">
        <f>IFERROR(__xludf.DUMMYFUNCTION("""COMPUTED_VALUE"""),1.231169)</f>
        <v>1.231169</v>
      </c>
      <c r="H946" s="71">
        <f>IFERROR(__xludf.DUMMYFUNCTION("""COMPUTED_VALUE"""),9.9)</f>
        <v>9.9</v>
      </c>
      <c r="I946" s="71">
        <f>IFERROR(__xludf.DUMMYFUNCTION("""COMPUTED_VALUE"""),9.83)</f>
        <v>9.83</v>
      </c>
      <c r="J946" s="88" t="str">
        <f>IFERROR(__xludf.DUMMYFUNCTION("""COMPUTED_VALUE"""),"Goto link: 002670.SZ")</f>
        <v>Goto link: 002670.SZ</v>
      </c>
      <c r="K946" s="22"/>
      <c r="L946" s="22"/>
      <c r="M946" s="22"/>
      <c r="N946" s="22"/>
      <c r="O946" s="73"/>
      <c r="P946" s="8"/>
      <c r="Q946" s="69"/>
      <c r="R946" s="69"/>
      <c r="S946" s="8"/>
      <c r="T946" s="69"/>
      <c r="U946" s="8"/>
      <c r="V946" s="69"/>
      <c r="W946" s="74"/>
      <c r="X946" s="69"/>
    </row>
    <row r="947">
      <c r="A947" s="30" t="str">
        <f>IFERROR(__xludf.DUMMYFUNCTION("""COMPUTED_VALUE"""),"76369")</f>
        <v>76369</v>
      </c>
      <c r="B947" s="86">
        <f>IFERROR(__xludf.DUMMYFUNCTION("""COMPUTED_VALUE"""),44638.0)</f>
        <v>44638</v>
      </c>
      <c r="C947" s="64" t="str">
        <f>IFERROR(__xludf.DUMMYFUNCTION("""COMPUTED_VALUE"""),"Stock")</f>
        <v>Stock</v>
      </c>
      <c r="D947" s="90" t="str">
        <f>IFERROR(__xludf.DUMMYFUNCTION("""COMPUTED_VALUE"""),"0700.HK")</f>
        <v>0700.HK</v>
      </c>
      <c r="E947" s="5" t="str">
        <f>IFERROR(__xludf.DUMMYFUNCTION("""COMPUTED_VALUE"""),"HKD")</f>
        <v>HKD</v>
      </c>
      <c r="F947" s="69">
        <f>IFERROR(__xludf.DUMMYFUNCTION("""COMPUTED_VALUE"""),50.0)</f>
        <v>50</v>
      </c>
      <c r="G947" s="70">
        <f>IFERROR(__xludf.DUMMYFUNCTION("""COMPUTED_VALUE"""),1.0)</f>
        <v>1</v>
      </c>
      <c r="H947" s="71">
        <f>IFERROR(__xludf.DUMMYFUNCTION("""COMPUTED_VALUE"""),381.0)</f>
        <v>381</v>
      </c>
      <c r="I947" s="71">
        <f>IFERROR(__xludf.DUMMYFUNCTION("""COMPUTED_VALUE"""),373.6)</f>
        <v>373.6</v>
      </c>
      <c r="J947" s="88" t="str">
        <f>IFERROR(__xludf.DUMMYFUNCTION("""COMPUTED_VALUE"""),"Goto link: 0700.HK")</f>
        <v>Goto link: 0700.HK</v>
      </c>
      <c r="K947" s="22"/>
      <c r="L947" s="22"/>
      <c r="M947" s="22"/>
      <c r="N947" s="22"/>
      <c r="O947" s="73"/>
      <c r="P947" s="8"/>
      <c r="Q947" s="69"/>
      <c r="R947" s="69"/>
      <c r="S947" s="8"/>
      <c r="T947" s="69"/>
      <c r="U947" s="8"/>
      <c r="V947" s="69"/>
      <c r="W947" s="74"/>
      <c r="X947" s="69"/>
    </row>
    <row r="948">
      <c r="A948" s="30" t="str">
        <f>IFERROR(__xludf.DUMMYFUNCTION("""COMPUTED_VALUE"""),"76369")</f>
        <v>76369</v>
      </c>
      <c r="B948" s="86">
        <f>IFERROR(__xludf.DUMMYFUNCTION("""COMPUTED_VALUE"""),44638.0)</f>
        <v>44638</v>
      </c>
      <c r="C948" s="64" t="str">
        <f>IFERROR(__xludf.DUMMYFUNCTION("""COMPUTED_VALUE"""),"Stock")</f>
        <v>Stock</v>
      </c>
      <c r="D948" s="90" t="str">
        <f>IFERROR(__xludf.DUMMYFUNCTION("""COMPUTED_VALUE"""),"9988.HK")</f>
        <v>9988.HK</v>
      </c>
      <c r="E948" s="5" t="str">
        <f>IFERROR(__xludf.DUMMYFUNCTION("""COMPUTED_VALUE"""),"HKD")</f>
        <v>HKD</v>
      </c>
      <c r="F948" s="69">
        <f>IFERROR(__xludf.DUMMYFUNCTION("""COMPUTED_VALUE"""),50.0)</f>
        <v>50</v>
      </c>
      <c r="G948" s="70">
        <f>IFERROR(__xludf.DUMMYFUNCTION("""COMPUTED_VALUE"""),1.0)</f>
        <v>1</v>
      </c>
      <c r="H948" s="71">
        <f>IFERROR(__xludf.DUMMYFUNCTION("""COMPUTED_VALUE"""),98.35)</f>
        <v>98.35</v>
      </c>
      <c r="I948" s="71">
        <f>IFERROR(__xludf.DUMMYFUNCTION("""COMPUTED_VALUE"""),98.5)</f>
        <v>98.5</v>
      </c>
      <c r="J948" s="88" t="str">
        <f>IFERROR(__xludf.DUMMYFUNCTION("""COMPUTED_VALUE"""),"Goto link: 9988.HK")</f>
        <v>Goto link: 9988.HK</v>
      </c>
      <c r="K948" s="22"/>
      <c r="L948" s="22"/>
      <c r="M948" s="22"/>
      <c r="N948" s="22"/>
      <c r="O948" s="73"/>
      <c r="P948" s="8"/>
      <c r="Q948" s="69"/>
      <c r="R948" s="69"/>
      <c r="S948" s="8"/>
      <c r="T948" s="69"/>
      <c r="U948" s="8"/>
      <c r="V948" s="69"/>
      <c r="W948" s="74"/>
      <c r="X948" s="69"/>
    </row>
    <row r="949">
      <c r="A949" s="30" t="str">
        <f>IFERROR(__xludf.DUMMYFUNCTION("""COMPUTED_VALUE"""),"76369")</f>
        <v>76369</v>
      </c>
      <c r="B949" s="86">
        <f>IFERROR(__xludf.DUMMYFUNCTION("""COMPUTED_VALUE"""),44641.0)</f>
        <v>44641</v>
      </c>
      <c r="C949" s="64" t="str">
        <f>IFERROR(__xludf.DUMMYFUNCTION("""COMPUTED_VALUE"""),"Stock")</f>
        <v>Stock</v>
      </c>
      <c r="D949" s="87" t="str">
        <f>IFERROR(__xludf.DUMMYFUNCTION("""COMPUTED_VALUE"""),"GC=F")</f>
        <v>GC=F</v>
      </c>
      <c r="E949" s="5" t="str">
        <f>IFERROR(__xludf.DUMMYFUNCTION("""COMPUTED_VALUE"""),"USD")</f>
        <v>USD</v>
      </c>
      <c r="F949" s="69">
        <f>IFERROR(__xludf.DUMMYFUNCTION("""COMPUTED_VALUE"""),-5.0)</f>
        <v>-5</v>
      </c>
      <c r="G949" s="70">
        <f>IFERROR(__xludf.DUMMYFUNCTION("""COMPUTED_VALUE"""),7.83915)</f>
        <v>7.83915</v>
      </c>
      <c r="H949" s="71">
        <f>IFERROR(__xludf.DUMMYFUNCTION("""COMPUTED_VALUE"""),1932.4)</f>
        <v>1932.4</v>
      </c>
      <c r="I949" s="71">
        <f>IFERROR(__xludf.DUMMYFUNCTION("""COMPUTED_VALUE"""),1980.7)</f>
        <v>1980.7</v>
      </c>
      <c r="J949" s="88" t="str">
        <f>IFERROR(__xludf.DUMMYFUNCTION("""COMPUTED_VALUE"""),"Goto link: GC=F")</f>
        <v>Goto link: GC=F</v>
      </c>
      <c r="K949" s="22"/>
      <c r="L949" s="22"/>
      <c r="M949" s="22"/>
      <c r="N949" s="22"/>
      <c r="O949" s="73"/>
      <c r="P949" s="8"/>
      <c r="Q949" s="69"/>
      <c r="R949" s="69"/>
      <c r="S949" s="8"/>
      <c r="T949" s="69"/>
      <c r="U949" s="8"/>
      <c r="V949" s="69"/>
      <c r="W949" s="74"/>
      <c r="X949" s="69"/>
    </row>
    <row r="950">
      <c r="A950" s="30" t="str">
        <f>IFERROR(__xludf.DUMMYFUNCTION("""COMPUTED_VALUE"""),"76369")</f>
        <v>76369</v>
      </c>
      <c r="B950" s="86">
        <f>IFERROR(__xludf.DUMMYFUNCTION("""COMPUTED_VALUE"""),44649.0)</f>
        <v>44649</v>
      </c>
      <c r="C950" s="64" t="str">
        <f>IFERROR(__xludf.DUMMYFUNCTION("""COMPUTED_VALUE"""),"Stock")</f>
        <v>Stock</v>
      </c>
      <c r="D950" s="90" t="str">
        <f>IFERROR(__xludf.DUMMYFUNCTION("""COMPUTED_VALUE"""),"000999.SZ")</f>
        <v>000999.SZ</v>
      </c>
      <c r="E950" s="5" t="str">
        <f>IFERROR(__xludf.DUMMYFUNCTION("""COMPUTED_VALUE"""),"CNY")</f>
        <v>CNY</v>
      </c>
      <c r="F950" s="69">
        <f>IFERROR(__xludf.DUMMYFUNCTION("""COMPUTED_VALUE"""),100.0)</f>
        <v>100</v>
      </c>
      <c r="G950" s="70">
        <f>IFERROR(__xludf.DUMMYFUNCTION("""COMPUTED_VALUE"""),1.231169)</f>
        <v>1.231169</v>
      </c>
      <c r="H950" s="71">
        <f>IFERROR(__xludf.DUMMYFUNCTION("""COMPUTED_VALUE"""),43.35)</f>
        <v>43.35</v>
      </c>
      <c r="I950" s="71">
        <f>IFERROR(__xludf.DUMMYFUNCTION("""COMPUTED_VALUE"""),37.41)</f>
        <v>37.41</v>
      </c>
      <c r="J950" s="88" t="str">
        <f>IFERROR(__xludf.DUMMYFUNCTION("""COMPUTED_VALUE"""),"Goto link: 000999.SZ")</f>
        <v>Goto link: 000999.SZ</v>
      </c>
      <c r="K950" s="22"/>
      <c r="L950" s="22"/>
      <c r="M950" s="22"/>
      <c r="N950" s="22"/>
      <c r="O950" s="73"/>
      <c r="P950" s="8"/>
      <c r="Q950" s="69"/>
      <c r="R950" s="69"/>
      <c r="S950" s="8"/>
      <c r="T950" s="69"/>
      <c r="U950" s="8"/>
      <c r="V950" s="69"/>
      <c r="W950" s="74"/>
      <c r="X950" s="69"/>
    </row>
    <row r="951">
      <c r="A951" s="30" t="str">
        <f>IFERROR(__xludf.DUMMYFUNCTION("""COMPUTED_VALUE"""),"76369")</f>
        <v>76369</v>
      </c>
      <c r="B951" s="86">
        <f>IFERROR(__xludf.DUMMYFUNCTION("""COMPUTED_VALUE"""),44649.0)</f>
        <v>44649</v>
      </c>
      <c r="C951" s="64" t="str">
        <f>IFERROR(__xludf.DUMMYFUNCTION("""COMPUTED_VALUE"""),"Stock")</f>
        <v>Stock</v>
      </c>
      <c r="D951" s="90" t="str">
        <f>IFERROR(__xludf.DUMMYFUNCTION("""COMPUTED_VALUE"""),"002670.SZ")</f>
        <v>002670.SZ</v>
      </c>
      <c r="E951" s="5" t="str">
        <f>IFERROR(__xludf.DUMMYFUNCTION("""COMPUTED_VALUE"""),"CNY")</f>
        <v>CNY</v>
      </c>
      <c r="F951" s="69">
        <f>IFERROR(__xludf.DUMMYFUNCTION("""COMPUTED_VALUE"""),-500.0)</f>
        <v>-500</v>
      </c>
      <c r="G951" s="70">
        <f>IFERROR(__xludf.DUMMYFUNCTION("""COMPUTED_VALUE"""),1.231169)</f>
        <v>1.231169</v>
      </c>
      <c r="H951" s="71">
        <f>IFERROR(__xludf.DUMMYFUNCTION("""COMPUTED_VALUE"""),8.57)</f>
        <v>8.57</v>
      </c>
      <c r="I951" s="71">
        <f>IFERROR(__xludf.DUMMYFUNCTION("""COMPUTED_VALUE"""),9.83)</f>
        <v>9.83</v>
      </c>
      <c r="J951" s="88" t="str">
        <f>IFERROR(__xludf.DUMMYFUNCTION("""COMPUTED_VALUE"""),"Goto link: 002670.SZ")</f>
        <v>Goto link: 002670.SZ</v>
      </c>
      <c r="K951" s="22"/>
      <c r="L951" s="22"/>
      <c r="M951" s="22"/>
      <c r="N951" s="22"/>
      <c r="O951" s="73"/>
      <c r="P951" s="8"/>
      <c r="Q951" s="69"/>
      <c r="R951" s="69"/>
      <c r="S951" s="8"/>
      <c r="T951" s="69"/>
      <c r="U951" s="8"/>
      <c r="V951" s="69"/>
      <c r="W951" s="74"/>
      <c r="X951" s="69"/>
    </row>
    <row r="952">
      <c r="A952" s="30" t="str">
        <f>IFERROR(__xludf.DUMMYFUNCTION("""COMPUTED_VALUE"""),"76369")</f>
        <v>76369</v>
      </c>
      <c r="B952" s="86">
        <f>IFERROR(__xludf.DUMMYFUNCTION("""COMPUTED_VALUE"""),44649.0)</f>
        <v>44649</v>
      </c>
      <c r="C952" s="64" t="str">
        <f>IFERROR(__xludf.DUMMYFUNCTION("""COMPUTED_VALUE"""),"Stock")</f>
        <v>Stock</v>
      </c>
      <c r="D952" s="90" t="str">
        <f>IFERROR(__xludf.DUMMYFUNCTION("""COMPUTED_VALUE"""),"600227.SS")</f>
        <v>600227.SS</v>
      </c>
      <c r="E952" s="5" t="str">
        <f>IFERROR(__xludf.DUMMYFUNCTION("""COMPUTED_VALUE"""),"CNY")</f>
        <v>CNY</v>
      </c>
      <c r="F952" s="69">
        <f>IFERROR(__xludf.DUMMYFUNCTION("""COMPUTED_VALUE"""),1000.0)</f>
        <v>1000</v>
      </c>
      <c r="G952" s="70">
        <f>IFERROR(__xludf.DUMMYFUNCTION("""COMPUTED_VALUE"""),1.231169)</f>
        <v>1.231169</v>
      </c>
      <c r="H952" s="71">
        <f>IFERROR(__xludf.DUMMYFUNCTION("""COMPUTED_VALUE"""),3.71)</f>
        <v>3.71</v>
      </c>
      <c r="I952" s="71">
        <f>IFERROR(__xludf.DUMMYFUNCTION("""COMPUTED_VALUE"""),3.66)</f>
        <v>3.66</v>
      </c>
      <c r="J952" s="88" t="str">
        <f>IFERROR(__xludf.DUMMYFUNCTION("""COMPUTED_VALUE"""),"Goto link: 600227.SS")</f>
        <v>Goto link: 600227.SS</v>
      </c>
      <c r="K952" s="22"/>
      <c r="L952" s="22"/>
      <c r="M952" s="22"/>
      <c r="N952" s="22"/>
      <c r="O952" s="73"/>
      <c r="P952" s="8"/>
      <c r="Q952" s="69"/>
      <c r="R952" s="69"/>
      <c r="S952" s="8"/>
      <c r="T952" s="69"/>
      <c r="U952" s="8"/>
      <c r="V952" s="69"/>
      <c r="W952" s="74"/>
      <c r="X952" s="69"/>
    </row>
    <row r="953">
      <c r="A953" s="30" t="str">
        <f>IFERROR(__xludf.DUMMYFUNCTION("""COMPUTED_VALUE"""),"76369")</f>
        <v>76369</v>
      </c>
      <c r="B953" s="86">
        <f>IFERROR(__xludf.DUMMYFUNCTION("""COMPUTED_VALUE"""),44650.0)</f>
        <v>44650</v>
      </c>
      <c r="C953" s="64" t="str">
        <f>IFERROR(__xludf.DUMMYFUNCTION("""COMPUTED_VALUE"""),"Stock")</f>
        <v>Stock</v>
      </c>
      <c r="D953" s="90" t="str">
        <f>IFERROR(__xludf.DUMMYFUNCTION("""COMPUTED_VALUE"""),"002670.SZ")</f>
        <v>002670.SZ</v>
      </c>
      <c r="E953" s="5" t="str">
        <f>IFERROR(__xludf.DUMMYFUNCTION("""COMPUTED_VALUE"""),"CNY")</f>
        <v>CNY</v>
      </c>
      <c r="F953" s="69">
        <f>IFERROR(__xludf.DUMMYFUNCTION("""COMPUTED_VALUE"""),500.0)</f>
        <v>500</v>
      </c>
      <c r="G953" s="70">
        <f>IFERROR(__xludf.DUMMYFUNCTION("""COMPUTED_VALUE"""),1.231169)</f>
        <v>1.231169</v>
      </c>
      <c r="H953" s="71">
        <f>IFERROR(__xludf.DUMMYFUNCTION("""COMPUTED_VALUE"""),9.18)</f>
        <v>9.18</v>
      </c>
      <c r="I953" s="71">
        <f>IFERROR(__xludf.DUMMYFUNCTION("""COMPUTED_VALUE"""),9.83)</f>
        <v>9.83</v>
      </c>
      <c r="J953" s="88" t="str">
        <f>IFERROR(__xludf.DUMMYFUNCTION("""COMPUTED_VALUE"""),"Goto link: 002670.SZ")</f>
        <v>Goto link: 002670.SZ</v>
      </c>
      <c r="K953" s="22"/>
      <c r="L953" s="22"/>
      <c r="M953" s="22"/>
      <c r="N953" s="22"/>
      <c r="O953" s="73"/>
      <c r="P953" s="8"/>
      <c r="Q953" s="69"/>
      <c r="R953" s="69"/>
      <c r="S953" s="8"/>
      <c r="T953" s="69"/>
      <c r="U953" s="8"/>
      <c r="V953" s="69"/>
      <c r="W953" s="74"/>
      <c r="X953" s="69"/>
    </row>
    <row r="954">
      <c r="A954" s="30" t="str">
        <f>IFERROR(__xludf.DUMMYFUNCTION("""COMPUTED_VALUE"""),"76369")</f>
        <v>76369</v>
      </c>
      <c r="B954" s="86">
        <f>IFERROR(__xludf.DUMMYFUNCTION("""COMPUTED_VALUE"""),44652.0)</f>
        <v>44652</v>
      </c>
      <c r="C954" s="64" t="str">
        <f>IFERROR(__xludf.DUMMYFUNCTION("""COMPUTED_VALUE"""),"Stock")</f>
        <v>Stock</v>
      </c>
      <c r="D954" s="90" t="str">
        <f>IFERROR(__xludf.DUMMYFUNCTION("""COMPUTED_VALUE"""),"603538.SS")</f>
        <v>603538.SS</v>
      </c>
      <c r="E954" s="5" t="str">
        <f>IFERROR(__xludf.DUMMYFUNCTION("""COMPUTED_VALUE"""),"CNY")</f>
        <v>CNY</v>
      </c>
      <c r="F954" s="69">
        <f>IFERROR(__xludf.DUMMYFUNCTION("""COMPUTED_VALUE"""),-500.0)</f>
        <v>-500</v>
      </c>
      <c r="G954" s="70">
        <f>IFERROR(__xludf.DUMMYFUNCTION("""COMPUTED_VALUE"""),1.231169)</f>
        <v>1.231169</v>
      </c>
      <c r="H954" s="71">
        <f>IFERROR(__xludf.DUMMYFUNCTION("""COMPUTED_VALUE"""),67.52)</f>
        <v>67.52</v>
      </c>
      <c r="I954" s="71">
        <f>IFERROR(__xludf.DUMMYFUNCTION("""COMPUTED_VALUE"""),51.21)</f>
        <v>51.21</v>
      </c>
      <c r="J954" s="88" t="str">
        <f>IFERROR(__xludf.DUMMYFUNCTION("""COMPUTED_VALUE"""),"Goto link: 603538.SS")</f>
        <v>Goto link: 603538.SS</v>
      </c>
      <c r="K954" s="22"/>
      <c r="L954" s="22"/>
      <c r="M954" s="22"/>
      <c r="N954" s="22"/>
      <c r="O954" s="73"/>
      <c r="P954" s="8"/>
      <c r="Q954" s="69"/>
      <c r="R954" s="69"/>
      <c r="S954" s="8"/>
      <c r="T954" s="69"/>
      <c r="U954" s="8"/>
      <c r="V954" s="69"/>
      <c r="W954" s="74"/>
      <c r="X954" s="69"/>
    </row>
    <row r="955">
      <c r="A955" s="30" t="str">
        <f>IFERROR(__xludf.DUMMYFUNCTION("""COMPUTED_VALUE"""),"76369")</f>
        <v>76369</v>
      </c>
      <c r="B955" s="86">
        <f>IFERROR(__xludf.DUMMYFUNCTION("""COMPUTED_VALUE"""),44658.0)</f>
        <v>44658</v>
      </c>
      <c r="C955" s="64" t="str">
        <f>IFERROR(__xludf.DUMMYFUNCTION("""COMPUTED_VALUE"""),"Stock")</f>
        <v>Stock</v>
      </c>
      <c r="D955" s="91" t="str">
        <f>IFERROR(__xludf.DUMMYFUNCTION("""COMPUTED_VALUE"""),"300147.SZ")</f>
        <v>300147.SZ</v>
      </c>
      <c r="E955" s="5" t="str">
        <f>IFERROR(__xludf.DUMMYFUNCTION("""COMPUTED_VALUE"""),"CNY")</f>
        <v>CNY</v>
      </c>
      <c r="F955" s="69">
        <f>IFERROR(__xludf.DUMMYFUNCTION("""COMPUTED_VALUE"""),1000.0)</f>
        <v>1000</v>
      </c>
      <c r="G955" s="70">
        <f>IFERROR(__xludf.DUMMYFUNCTION("""COMPUTED_VALUE"""),1.231169)</f>
        <v>1.231169</v>
      </c>
      <c r="H955" s="71">
        <f>IFERROR(__xludf.DUMMYFUNCTION("""COMPUTED_VALUE"""),8.94)</f>
        <v>8.94</v>
      </c>
      <c r="I955" s="71">
        <f>IFERROR(__xludf.DUMMYFUNCTION("""COMPUTED_VALUE"""),7.7)</f>
        <v>7.7</v>
      </c>
      <c r="J955" s="88" t="str">
        <f>IFERROR(__xludf.DUMMYFUNCTION("""COMPUTED_VALUE"""),"Goto link: 300147.SZ")</f>
        <v>Goto link: 300147.SZ</v>
      </c>
      <c r="K955" s="22"/>
      <c r="L955" s="22"/>
      <c r="M955" s="22"/>
      <c r="N955" s="22"/>
      <c r="O955" s="73"/>
      <c r="P955" s="8"/>
      <c r="Q955" s="69"/>
      <c r="R955" s="69"/>
      <c r="S955" s="8"/>
      <c r="T955" s="69"/>
      <c r="U955" s="8"/>
      <c r="V955" s="69"/>
      <c r="W955" s="74"/>
      <c r="X955" s="69"/>
    </row>
    <row r="956">
      <c r="A956" s="30" t="str">
        <f>IFERROR(__xludf.DUMMYFUNCTION("""COMPUTED_VALUE"""),"76369")</f>
        <v>76369</v>
      </c>
      <c r="B956" s="86">
        <f>IFERROR(__xludf.DUMMYFUNCTION("""COMPUTED_VALUE"""),44658.0)</f>
        <v>44658</v>
      </c>
      <c r="C956" s="64" t="str">
        <f>IFERROR(__xludf.DUMMYFUNCTION("""COMPUTED_VALUE"""),"Stock")</f>
        <v>Stock</v>
      </c>
      <c r="D956" s="91" t="str">
        <f>IFERROR(__xludf.DUMMYFUNCTION("""COMPUTED_VALUE"""),"688076.SS")</f>
        <v>688076.SS</v>
      </c>
      <c r="E956" s="5" t="str">
        <f>IFERROR(__xludf.DUMMYFUNCTION("""COMPUTED_VALUE"""),"CNY")</f>
        <v>CNY</v>
      </c>
      <c r="F956" s="69">
        <f>IFERROR(__xludf.DUMMYFUNCTION("""COMPUTED_VALUE"""),-500.0)</f>
        <v>-500</v>
      </c>
      <c r="G956" s="70">
        <f>IFERROR(__xludf.DUMMYFUNCTION("""COMPUTED_VALUE"""),1.231169)</f>
        <v>1.231169</v>
      </c>
      <c r="H956" s="71">
        <f>IFERROR(__xludf.DUMMYFUNCTION("""COMPUTED_VALUE"""),34.64)</f>
        <v>34.64</v>
      </c>
      <c r="I956" s="71">
        <f>IFERROR(__xludf.DUMMYFUNCTION("""COMPUTED_VALUE"""),30.72)</f>
        <v>30.72</v>
      </c>
      <c r="J956" s="88" t="str">
        <f>IFERROR(__xludf.DUMMYFUNCTION("""COMPUTED_VALUE"""),"Goto link: 688076.SS")</f>
        <v>Goto link: 688076.SS</v>
      </c>
      <c r="K956" s="22"/>
      <c r="L956" s="22"/>
      <c r="M956" s="22"/>
      <c r="N956" s="22"/>
      <c r="O956" s="73"/>
      <c r="P956" s="8"/>
      <c r="Q956" s="69"/>
      <c r="R956" s="69"/>
      <c r="S956" s="8"/>
      <c r="T956" s="69"/>
      <c r="U956" s="8"/>
      <c r="V956" s="69"/>
      <c r="W956" s="74"/>
      <c r="X956" s="69"/>
    </row>
    <row r="957">
      <c r="A957" s="30" t="str">
        <f>IFERROR(__xludf.DUMMYFUNCTION("""COMPUTED_VALUE"""),"76369")</f>
        <v>76369</v>
      </c>
      <c r="B957" s="86">
        <f>IFERROR(__xludf.DUMMYFUNCTION("""COMPUTED_VALUE"""),44662.0)</f>
        <v>44662</v>
      </c>
      <c r="C957" s="64" t="str">
        <f>IFERROR(__xludf.DUMMYFUNCTION("""COMPUTED_VALUE"""),"Stock")</f>
        <v>Stock</v>
      </c>
      <c r="D957" s="91" t="str">
        <f>IFERROR(__xludf.DUMMYFUNCTION("""COMPUTED_VALUE"""),"0700.HK")</f>
        <v>0700.HK</v>
      </c>
      <c r="E957" s="5" t="str">
        <f>IFERROR(__xludf.DUMMYFUNCTION("""COMPUTED_VALUE"""),"HKD")</f>
        <v>HKD</v>
      </c>
      <c r="F957" s="69">
        <f>IFERROR(__xludf.DUMMYFUNCTION("""COMPUTED_VALUE"""),-50.0)</f>
        <v>-50</v>
      </c>
      <c r="G957" s="70">
        <f>IFERROR(__xludf.DUMMYFUNCTION("""COMPUTED_VALUE"""),1.0)</f>
        <v>1</v>
      </c>
      <c r="H957" s="71">
        <f>IFERROR(__xludf.DUMMYFUNCTION("""COMPUTED_VALUE"""),353.6)</f>
        <v>353.6</v>
      </c>
      <c r="I957" s="71">
        <f>IFERROR(__xludf.DUMMYFUNCTION("""COMPUTED_VALUE"""),373.6)</f>
        <v>373.6</v>
      </c>
      <c r="J957" s="88" t="str">
        <f>IFERROR(__xludf.DUMMYFUNCTION("""COMPUTED_VALUE"""),"Goto link: 0700.HK")</f>
        <v>Goto link: 0700.HK</v>
      </c>
      <c r="K957" s="22"/>
      <c r="L957" s="22"/>
      <c r="M957" s="22"/>
      <c r="N957" s="22"/>
      <c r="O957" s="73"/>
      <c r="P957" s="8"/>
      <c r="Q957" s="69"/>
      <c r="R957" s="69"/>
      <c r="S957" s="8"/>
      <c r="T957" s="69"/>
      <c r="U957" s="8"/>
      <c r="V957" s="69"/>
      <c r="W957" s="74"/>
      <c r="X957" s="69"/>
    </row>
    <row r="958">
      <c r="A958" s="30" t="str">
        <f>IFERROR(__xludf.DUMMYFUNCTION("""COMPUTED_VALUE"""),"76369")</f>
        <v>76369</v>
      </c>
      <c r="B958" s="86">
        <f>IFERROR(__xludf.DUMMYFUNCTION("""COMPUTED_VALUE"""),44662.0)</f>
        <v>44662</v>
      </c>
      <c r="C958" s="64" t="str">
        <f>IFERROR(__xludf.DUMMYFUNCTION("""COMPUTED_VALUE"""),"Stock")</f>
        <v>Stock</v>
      </c>
      <c r="D958" s="91" t="str">
        <f>IFERROR(__xludf.DUMMYFUNCTION("""COMPUTED_VALUE"""),"603963.SS")</f>
        <v>603963.SS</v>
      </c>
      <c r="E958" s="5" t="str">
        <f>IFERROR(__xludf.DUMMYFUNCTION("""COMPUTED_VALUE"""),"CNY")</f>
        <v>CNY</v>
      </c>
      <c r="F958" s="69">
        <f>IFERROR(__xludf.DUMMYFUNCTION("""COMPUTED_VALUE"""),-1000.0)</f>
        <v>-1000</v>
      </c>
      <c r="G958" s="70">
        <f>IFERROR(__xludf.DUMMYFUNCTION("""COMPUTED_VALUE"""),1.231169)</f>
        <v>1.231169</v>
      </c>
      <c r="H958" s="71">
        <f>IFERROR(__xludf.DUMMYFUNCTION("""COMPUTED_VALUE"""),14.2)</f>
        <v>14.2</v>
      </c>
      <c r="I958" s="71">
        <f>IFERROR(__xludf.DUMMYFUNCTION("""COMPUTED_VALUE"""),17.18)</f>
        <v>17.18</v>
      </c>
      <c r="J958" s="88" t="str">
        <f>IFERROR(__xludf.DUMMYFUNCTION("""COMPUTED_VALUE"""),"Goto link: 603963.SS")</f>
        <v>Goto link: 603963.SS</v>
      </c>
      <c r="K958" s="22"/>
      <c r="L958" s="22"/>
      <c r="M958" s="22"/>
      <c r="N958" s="22"/>
      <c r="O958" s="73"/>
      <c r="P958" s="8"/>
      <c r="Q958" s="69"/>
      <c r="R958" s="69"/>
      <c r="S958" s="8"/>
      <c r="T958" s="69"/>
      <c r="U958" s="8"/>
      <c r="V958" s="69"/>
      <c r="W958" s="74"/>
      <c r="X958" s="69"/>
    </row>
    <row r="959">
      <c r="A959" s="30" t="str">
        <f>IFERROR(__xludf.DUMMYFUNCTION("""COMPUTED_VALUE"""),"76369")</f>
        <v>76369</v>
      </c>
      <c r="B959" s="86">
        <f>IFERROR(__xludf.DUMMYFUNCTION("""COMPUTED_VALUE"""),44662.0)</f>
        <v>44662</v>
      </c>
      <c r="C959" s="64" t="str">
        <f>IFERROR(__xludf.DUMMYFUNCTION("""COMPUTED_VALUE"""),"Stock")</f>
        <v>Stock</v>
      </c>
      <c r="D959" s="91" t="str">
        <f>IFERROR(__xludf.DUMMYFUNCTION("""COMPUTED_VALUE"""),"9988.HK")</f>
        <v>9988.HK</v>
      </c>
      <c r="E959" s="5" t="str">
        <f>IFERROR(__xludf.DUMMYFUNCTION("""COMPUTED_VALUE"""),"HKD")</f>
        <v>HKD</v>
      </c>
      <c r="F959" s="69">
        <f>IFERROR(__xludf.DUMMYFUNCTION("""COMPUTED_VALUE"""),-50.0)</f>
        <v>-50</v>
      </c>
      <c r="G959" s="70">
        <f>IFERROR(__xludf.DUMMYFUNCTION("""COMPUTED_VALUE"""),1.0)</f>
        <v>1</v>
      </c>
      <c r="H959" s="71">
        <f>IFERROR(__xludf.DUMMYFUNCTION("""COMPUTED_VALUE"""),98.5)</f>
        <v>98.5</v>
      </c>
      <c r="I959" s="71">
        <f>IFERROR(__xludf.DUMMYFUNCTION("""COMPUTED_VALUE"""),98.5)</f>
        <v>98.5</v>
      </c>
      <c r="J959" s="88" t="str">
        <f>IFERROR(__xludf.DUMMYFUNCTION("""COMPUTED_VALUE"""),"Goto link: 9988.HK")</f>
        <v>Goto link: 9988.HK</v>
      </c>
      <c r="K959" s="22"/>
      <c r="L959" s="22"/>
      <c r="M959" s="22"/>
      <c r="N959" s="22"/>
      <c r="O959" s="73"/>
      <c r="P959" s="8"/>
      <c r="Q959" s="69"/>
      <c r="R959" s="69"/>
      <c r="S959" s="8"/>
      <c r="T959" s="69"/>
      <c r="U959" s="8"/>
      <c r="V959" s="69"/>
      <c r="W959" s="74"/>
      <c r="X959" s="69"/>
    </row>
    <row r="960">
      <c r="A960" s="30" t="str">
        <f>IFERROR(__xludf.DUMMYFUNCTION("""COMPUTED_VALUE"""),"76369 Total")</f>
        <v>76369 Total</v>
      </c>
      <c r="B960" s="5"/>
      <c r="C960" s="64"/>
      <c r="D960" s="85"/>
      <c r="E960" s="5"/>
      <c r="F960" s="69"/>
      <c r="G960" s="70">
        <f>IFERROR(__xludf.DUMMYFUNCTION("""COMPUTED_VALUE"""),2.1587227317073165)</f>
        <v>2.158722732</v>
      </c>
      <c r="H960" s="71">
        <f>IFERROR(__xludf.DUMMYFUNCTION("""COMPUTED_VALUE"""),1992.3)</f>
        <v>1992.3</v>
      </c>
      <c r="I960" s="71" t="str">
        <f>IFERROR(__xludf.DUMMYFUNCTION("""COMPUTED_VALUE"""),"")</f>
        <v/>
      </c>
      <c r="J960" s="22" t="str">
        <f>IFERROR(__xludf.DUMMYFUNCTION("""COMPUTED_VALUE"""),"")</f>
        <v/>
      </c>
      <c r="K960" s="22"/>
      <c r="L960" s="22"/>
      <c r="M960" s="22"/>
      <c r="N960" s="22"/>
      <c r="O960" s="73"/>
      <c r="P960" s="8"/>
      <c r="Q960" s="69"/>
      <c r="R960" s="69"/>
      <c r="S960" s="8"/>
      <c r="T960" s="69"/>
      <c r="U960" s="8"/>
      <c r="V960" s="69"/>
      <c r="W960" s="74"/>
      <c r="X960" s="69"/>
    </row>
    <row r="961">
      <c r="A961" s="30" t="str">
        <f>IFERROR(__xludf.DUMMYFUNCTION("""COMPUTED_VALUE"""),"76796")</f>
        <v>76796</v>
      </c>
      <c r="B961" s="86">
        <f>IFERROR(__xludf.DUMMYFUNCTION("""COMPUTED_VALUE"""),44597.0)</f>
        <v>44597</v>
      </c>
      <c r="C961" s="64" t="str">
        <f>IFERROR(__xludf.DUMMYFUNCTION("""COMPUTED_VALUE"""),"Cash")</f>
        <v>Cash</v>
      </c>
      <c r="D961" s="85" t="str">
        <f>IFERROR(__xludf.DUMMYFUNCTION("""COMPUTED_VALUE"""),"Cash")</f>
        <v>Cash</v>
      </c>
      <c r="E961" s="5" t="str">
        <f>IFERROR(__xludf.DUMMYFUNCTION("""COMPUTED_VALUE"""),"HKD")</f>
        <v>HKD</v>
      </c>
      <c r="F961" s="69" t="str">
        <f>IFERROR(__xludf.DUMMYFUNCTION("""COMPUTED_VALUE"""),"")</f>
        <v/>
      </c>
      <c r="G961" s="70">
        <f>IFERROR(__xludf.DUMMYFUNCTION("""COMPUTED_VALUE"""),1.0)</f>
        <v>1</v>
      </c>
      <c r="H961" s="71">
        <f>IFERROR(__xludf.DUMMYFUNCTION("""COMPUTED_VALUE"""),1.0)</f>
        <v>1</v>
      </c>
      <c r="I961" s="71">
        <f>IFERROR(__xludf.DUMMYFUNCTION("""COMPUTED_VALUE"""),1.0)</f>
        <v>1</v>
      </c>
      <c r="J961" s="22" t="str">
        <f>IFERROR(__xludf.DUMMYFUNCTION("""COMPUTED_VALUE"""),"")</f>
        <v/>
      </c>
      <c r="K961" s="22"/>
      <c r="L961" s="22"/>
      <c r="M961" s="22"/>
      <c r="N961" s="22"/>
      <c r="O961" s="73"/>
      <c r="P961" s="8"/>
      <c r="Q961" s="69"/>
      <c r="R961" s="69"/>
      <c r="S961" s="8"/>
      <c r="T961" s="69"/>
      <c r="U961" s="8"/>
      <c r="V961" s="69"/>
      <c r="W961" s="74"/>
      <c r="X961" s="69"/>
    </row>
    <row r="962">
      <c r="A962" s="30" t="str">
        <f>IFERROR(__xludf.DUMMYFUNCTION("""COMPUTED_VALUE"""),"76796")</f>
        <v>76796</v>
      </c>
      <c r="B962" s="86">
        <f>IFERROR(__xludf.DUMMYFUNCTION("""COMPUTED_VALUE"""),44599.0)</f>
        <v>44599</v>
      </c>
      <c r="C962" s="64" t="str">
        <f>IFERROR(__xludf.DUMMYFUNCTION("""COMPUTED_VALUE"""),"Stock")</f>
        <v>Stock</v>
      </c>
      <c r="D962" s="87" t="str">
        <f>IFERROR(__xludf.DUMMYFUNCTION("""COMPUTED_VALUE"""),"TSLA")</f>
        <v>TSLA</v>
      </c>
      <c r="E962" s="5" t="str">
        <f>IFERROR(__xludf.DUMMYFUNCTION("""COMPUTED_VALUE"""),"USD")</f>
        <v>USD</v>
      </c>
      <c r="F962" s="69" t="str">
        <f>IFERROR(__xludf.DUMMYFUNCTION("""COMPUTED_VALUE"""),"")</f>
        <v/>
      </c>
      <c r="G962" s="70">
        <f>IFERROR(__xludf.DUMMYFUNCTION("""COMPUTED_VALUE"""),7.83915)</f>
        <v>7.83915</v>
      </c>
      <c r="H962" s="71">
        <f>IFERROR(__xludf.DUMMYFUNCTION("""COMPUTED_VALUE"""),907.34)</f>
        <v>907.34</v>
      </c>
      <c r="I962" s="71">
        <f>IFERROR(__xludf.DUMMYFUNCTION("""COMPUTED_VALUE"""),1022.37)</f>
        <v>1022.37</v>
      </c>
      <c r="J962" s="88" t="str">
        <f>IFERROR(__xludf.DUMMYFUNCTION("""COMPUTED_VALUE"""),"Goto link: TSLA")</f>
        <v>Goto link: TSLA</v>
      </c>
      <c r="K962" s="22"/>
      <c r="L962" s="22"/>
      <c r="M962" s="22"/>
      <c r="N962" s="22"/>
      <c r="O962" s="73"/>
      <c r="P962" s="8"/>
      <c r="Q962" s="69"/>
      <c r="R962" s="69"/>
      <c r="S962" s="8"/>
      <c r="T962" s="69"/>
      <c r="U962" s="8"/>
      <c r="V962" s="69"/>
      <c r="W962" s="74"/>
      <c r="X962" s="69"/>
    </row>
    <row r="963">
      <c r="A963" s="30" t="str">
        <f>IFERROR(__xludf.DUMMYFUNCTION("""COMPUTED_VALUE"""),"76796")</f>
        <v>76796</v>
      </c>
      <c r="B963" s="86">
        <f>IFERROR(__xludf.DUMMYFUNCTION("""COMPUTED_VALUE"""),44601.0)</f>
        <v>44601</v>
      </c>
      <c r="C963" s="64" t="str">
        <f>IFERROR(__xludf.DUMMYFUNCTION("""COMPUTED_VALUE"""),"Stock")</f>
        <v>Stock</v>
      </c>
      <c r="D963" s="87" t="str">
        <f>IFERROR(__xludf.DUMMYFUNCTION("""COMPUTED_VALUE"""),"MSFT")</f>
        <v>MSFT</v>
      </c>
      <c r="E963" s="5" t="str">
        <f>IFERROR(__xludf.DUMMYFUNCTION("""COMPUTED_VALUE"""),"USD")</f>
        <v>USD</v>
      </c>
      <c r="F963" s="69">
        <f>IFERROR(__xludf.DUMMYFUNCTION("""COMPUTED_VALUE"""),100.0)</f>
        <v>100</v>
      </c>
      <c r="G963" s="70">
        <f>IFERROR(__xludf.DUMMYFUNCTION("""COMPUTED_VALUE"""),7.83915)</f>
        <v>7.83915</v>
      </c>
      <c r="H963" s="71">
        <f>IFERROR(__xludf.DUMMYFUNCTION("""COMPUTED_VALUE"""),311.21)</f>
        <v>311.21</v>
      </c>
      <c r="I963" s="71">
        <f>IFERROR(__xludf.DUMMYFUNCTION("""COMPUTED_VALUE"""),287.62)</f>
        <v>287.62</v>
      </c>
      <c r="J963" s="88" t="str">
        <f>IFERROR(__xludf.DUMMYFUNCTION("""COMPUTED_VALUE"""),"Goto link: MSFT")</f>
        <v>Goto link: MSFT</v>
      </c>
      <c r="K963" s="22"/>
      <c r="L963" s="22"/>
      <c r="M963" s="22"/>
      <c r="N963" s="22"/>
      <c r="O963" s="73"/>
      <c r="P963" s="8"/>
      <c r="Q963" s="69"/>
      <c r="R963" s="69"/>
      <c r="S963" s="8"/>
      <c r="T963" s="69"/>
      <c r="U963" s="8"/>
      <c r="V963" s="69"/>
      <c r="W963" s="74"/>
      <c r="X963" s="69"/>
    </row>
    <row r="964">
      <c r="A964" s="30" t="str">
        <f>IFERROR(__xludf.DUMMYFUNCTION("""COMPUTED_VALUE"""),"76796")</f>
        <v>76796</v>
      </c>
      <c r="B964" s="86">
        <f>IFERROR(__xludf.DUMMYFUNCTION("""COMPUTED_VALUE"""),44607.0)</f>
        <v>44607</v>
      </c>
      <c r="C964" s="64" t="str">
        <f>IFERROR(__xludf.DUMMYFUNCTION("""COMPUTED_VALUE"""),"Stock")</f>
        <v>Stock</v>
      </c>
      <c r="D964" s="87" t="str">
        <f>IFERROR(__xludf.DUMMYFUNCTION("""COMPUTED_VALUE"""),"NVDA")</f>
        <v>NVDA</v>
      </c>
      <c r="E964" s="5" t="str">
        <f>IFERROR(__xludf.DUMMYFUNCTION("""COMPUTED_VALUE"""),"USD")</f>
        <v>USD</v>
      </c>
      <c r="F964" s="69" t="str">
        <f>IFERROR(__xludf.DUMMYFUNCTION("""COMPUTED_VALUE"""),"")</f>
        <v/>
      </c>
      <c r="G964" s="70">
        <f>IFERROR(__xludf.DUMMYFUNCTION("""COMPUTED_VALUE"""),7.83915)</f>
        <v>7.83915</v>
      </c>
      <c r="H964" s="71">
        <f>IFERROR(__xludf.DUMMYFUNCTION("""COMPUTED_VALUE"""),264.95)</f>
        <v>264.95</v>
      </c>
      <c r="I964" s="71">
        <f>IFERROR(__xludf.DUMMYFUNCTION("""COMPUTED_VALUE"""),222.03)</f>
        <v>222.03</v>
      </c>
      <c r="J964" s="88" t="str">
        <f>IFERROR(__xludf.DUMMYFUNCTION("""COMPUTED_VALUE"""),"Goto link: NVDA")</f>
        <v>Goto link: NVDA</v>
      </c>
      <c r="K964" s="22"/>
      <c r="L964" s="22"/>
      <c r="M964" s="22"/>
      <c r="N964" s="22"/>
      <c r="O964" s="73"/>
      <c r="P964" s="8"/>
      <c r="Q964" s="69"/>
      <c r="R964" s="69"/>
      <c r="S964" s="8"/>
      <c r="T964" s="69"/>
      <c r="U964" s="8"/>
      <c r="V964" s="69"/>
      <c r="W964" s="74"/>
      <c r="X964" s="69"/>
    </row>
    <row r="965">
      <c r="A965" s="30" t="str">
        <f>IFERROR(__xludf.DUMMYFUNCTION("""COMPUTED_VALUE"""),"76796")</f>
        <v>76796</v>
      </c>
      <c r="B965" s="86">
        <f>IFERROR(__xludf.DUMMYFUNCTION("""COMPUTED_VALUE"""),44610.0)</f>
        <v>44610</v>
      </c>
      <c r="C965" s="64" t="str">
        <f>IFERROR(__xludf.DUMMYFUNCTION("""COMPUTED_VALUE"""),"Stock")</f>
        <v>Stock</v>
      </c>
      <c r="D965" s="87" t="str">
        <f>IFERROR(__xludf.DUMMYFUNCTION("""COMPUTED_VALUE"""),"ISPO")</f>
        <v>ISPO</v>
      </c>
      <c r="E965" s="5" t="str">
        <f>IFERROR(__xludf.DUMMYFUNCTION("""COMPUTED_VALUE"""),"USD")</f>
        <v>USD</v>
      </c>
      <c r="F965" s="69" t="str">
        <f>IFERROR(__xludf.DUMMYFUNCTION("""COMPUTED_VALUE"""),"")</f>
        <v/>
      </c>
      <c r="G965" s="70">
        <f>IFERROR(__xludf.DUMMYFUNCTION("""COMPUTED_VALUE"""),7.83915)</f>
        <v>7.83915</v>
      </c>
      <c r="H965" s="71">
        <f>IFERROR(__xludf.DUMMYFUNCTION("""COMPUTED_VALUE"""),46.0)</f>
        <v>46</v>
      </c>
      <c r="I965" s="71">
        <f>IFERROR(__xludf.DUMMYFUNCTION("""COMPUTED_VALUE"""),6.71)</f>
        <v>6.71</v>
      </c>
      <c r="J965" s="88" t="str">
        <f>IFERROR(__xludf.DUMMYFUNCTION("""COMPUTED_VALUE"""),"Goto link: ISPO")</f>
        <v>Goto link: ISPO</v>
      </c>
      <c r="K965" s="22"/>
      <c r="L965" s="22"/>
      <c r="M965" s="22"/>
      <c r="N965" s="22"/>
      <c r="O965" s="73"/>
      <c r="P965" s="8"/>
      <c r="Q965" s="69"/>
      <c r="R965" s="69"/>
      <c r="S965" s="8"/>
      <c r="T965" s="69"/>
      <c r="U965" s="8"/>
      <c r="V965" s="69"/>
      <c r="W965" s="74"/>
      <c r="X965" s="69"/>
    </row>
    <row r="966">
      <c r="A966" s="30" t="str">
        <f>IFERROR(__xludf.DUMMYFUNCTION("""COMPUTED_VALUE"""),"76796")</f>
        <v>76796</v>
      </c>
      <c r="B966" s="86">
        <f>IFERROR(__xludf.DUMMYFUNCTION("""COMPUTED_VALUE"""),44617.0)</f>
        <v>44617</v>
      </c>
      <c r="C966" s="64" t="str">
        <f>IFERROR(__xludf.DUMMYFUNCTION("""COMPUTED_VALUE"""),"Stock")</f>
        <v>Stock</v>
      </c>
      <c r="D966" s="87" t="str">
        <f>IFERROR(__xludf.DUMMYFUNCTION("""COMPUTED_VALUE"""),"GOOGL")</f>
        <v>GOOGL</v>
      </c>
      <c r="E966" s="5" t="str">
        <f>IFERROR(__xludf.DUMMYFUNCTION("""COMPUTED_VALUE"""),"USD")</f>
        <v>USD</v>
      </c>
      <c r="F966" s="69" t="str">
        <f>IFERROR(__xludf.DUMMYFUNCTION("""COMPUTED_VALUE"""),"")</f>
        <v/>
      </c>
      <c r="G966" s="70">
        <f>IFERROR(__xludf.DUMMYFUNCTION("""COMPUTED_VALUE"""),7.83915)</f>
        <v>7.83915</v>
      </c>
      <c r="H966" s="71">
        <f>IFERROR(__xludf.DUMMYFUNCTION("""COMPUTED_VALUE"""),2689.19)</f>
        <v>2689.19</v>
      </c>
      <c r="I966" s="71">
        <f>IFERROR(__xludf.DUMMYFUNCTION("""COMPUTED_VALUE"""),2597.88)</f>
        <v>2597.88</v>
      </c>
      <c r="J966" s="88" t="str">
        <f>IFERROR(__xludf.DUMMYFUNCTION("""COMPUTED_VALUE"""),"Goto link: GOOGL")</f>
        <v>Goto link: GOOGL</v>
      </c>
      <c r="K966" s="22"/>
      <c r="L966" s="22"/>
      <c r="M966" s="22"/>
      <c r="N966" s="22"/>
      <c r="O966" s="73"/>
      <c r="P966" s="8"/>
      <c r="Q966" s="69"/>
      <c r="R966" s="69"/>
      <c r="S966" s="8"/>
      <c r="T966" s="69"/>
      <c r="U966" s="8"/>
      <c r="V966" s="69"/>
      <c r="W966" s="74"/>
      <c r="X966" s="69"/>
    </row>
    <row r="967">
      <c r="A967" s="30" t="str">
        <f>IFERROR(__xludf.DUMMYFUNCTION("""COMPUTED_VALUE"""),"76796")</f>
        <v>76796</v>
      </c>
      <c r="B967" s="86">
        <f>IFERROR(__xludf.DUMMYFUNCTION("""COMPUTED_VALUE"""),44641.0)</f>
        <v>44641</v>
      </c>
      <c r="C967" s="64" t="str">
        <f>IFERROR(__xludf.DUMMYFUNCTION("""COMPUTED_VALUE"""),"Stock")</f>
        <v>Stock</v>
      </c>
      <c r="D967" s="87" t="str">
        <f>IFERROR(__xludf.DUMMYFUNCTION("""COMPUTED_VALUE"""),"MSFT")</f>
        <v>MSFT</v>
      </c>
      <c r="E967" s="5" t="str">
        <f>IFERROR(__xludf.DUMMYFUNCTION("""COMPUTED_VALUE"""),"USD")</f>
        <v>USD</v>
      </c>
      <c r="F967" s="69" t="str">
        <f>IFERROR(__xludf.DUMMYFUNCTION("""COMPUTED_VALUE"""),"")</f>
        <v/>
      </c>
      <c r="G967" s="70">
        <f>IFERROR(__xludf.DUMMYFUNCTION("""COMPUTED_VALUE"""),7.83915)</f>
        <v>7.83915</v>
      </c>
      <c r="H967" s="71">
        <f>IFERROR(__xludf.DUMMYFUNCTION("""COMPUTED_VALUE"""),299.16)</f>
        <v>299.16</v>
      </c>
      <c r="I967" s="71">
        <f>IFERROR(__xludf.DUMMYFUNCTION("""COMPUTED_VALUE"""),287.62)</f>
        <v>287.62</v>
      </c>
      <c r="J967" s="88" t="str">
        <f>IFERROR(__xludf.DUMMYFUNCTION("""COMPUTED_VALUE"""),"Goto link: MSFT")</f>
        <v>Goto link: MSFT</v>
      </c>
      <c r="K967" s="22"/>
      <c r="L967" s="22"/>
      <c r="M967" s="22"/>
      <c r="N967" s="22"/>
      <c r="O967" s="73"/>
      <c r="P967" s="8"/>
      <c r="Q967" s="69"/>
      <c r="R967" s="69"/>
      <c r="S967" s="8"/>
      <c r="T967" s="69"/>
      <c r="U967" s="8"/>
      <c r="V967" s="69"/>
      <c r="W967" s="74"/>
      <c r="X967" s="69"/>
    </row>
    <row r="968">
      <c r="A968" s="30" t="str">
        <f>IFERROR(__xludf.DUMMYFUNCTION("""COMPUTED_VALUE"""),"76796")</f>
        <v>76796</v>
      </c>
      <c r="B968" s="86">
        <f>IFERROR(__xludf.DUMMYFUNCTION("""COMPUTED_VALUE"""),44645.0)</f>
        <v>44645</v>
      </c>
      <c r="C968" s="64" t="str">
        <f>IFERROR(__xludf.DUMMYFUNCTION("""COMPUTED_VALUE"""),"Stock")</f>
        <v>Stock</v>
      </c>
      <c r="D968" s="87" t="str">
        <f>IFERROR(__xludf.DUMMYFUNCTION("""COMPUTED_VALUE"""),"MSFT")</f>
        <v>MSFT</v>
      </c>
      <c r="E968" s="5" t="str">
        <f>IFERROR(__xludf.DUMMYFUNCTION("""COMPUTED_VALUE"""),"USD")</f>
        <v>USD</v>
      </c>
      <c r="F968" s="69" t="str">
        <f>IFERROR(__xludf.DUMMYFUNCTION("""COMPUTED_VALUE"""),"")</f>
        <v/>
      </c>
      <c r="G968" s="70">
        <f>IFERROR(__xludf.DUMMYFUNCTION("""COMPUTED_VALUE"""),7.83915)</f>
        <v>7.83915</v>
      </c>
      <c r="H968" s="71">
        <f>IFERROR(__xludf.DUMMYFUNCTION("""COMPUTED_VALUE"""),303.68)</f>
        <v>303.68</v>
      </c>
      <c r="I968" s="71">
        <f>IFERROR(__xludf.DUMMYFUNCTION("""COMPUTED_VALUE"""),287.62)</f>
        <v>287.62</v>
      </c>
      <c r="J968" s="88" t="str">
        <f>IFERROR(__xludf.DUMMYFUNCTION("""COMPUTED_VALUE"""),"Goto link: MSFT")</f>
        <v>Goto link: MSFT</v>
      </c>
      <c r="K968" s="22"/>
      <c r="L968" s="22"/>
      <c r="M968" s="22"/>
      <c r="N968" s="22"/>
      <c r="O968" s="73"/>
      <c r="P968" s="8"/>
      <c r="Q968" s="69"/>
      <c r="R968" s="69"/>
      <c r="S968" s="8"/>
      <c r="T968" s="69"/>
      <c r="U968" s="8"/>
      <c r="V968" s="69"/>
      <c r="W968" s="74"/>
      <c r="X968" s="69"/>
    </row>
    <row r="969">
      <c r="A969" s="30" t="str">
        <f>IFERROR(__xludf.DUMMYFUNCTION("""COMPUTED_VALUE"""),"76796")</f>
        <v>76796</v>
      </c>
      <c r="B969" s="86">
        <f>IFERROR(__xludf.DUMMYFUNCTION("""COMPUTED_VALUE"""),44663.0)</f>
        <v>44663</v>
      </c>
      <c r="C969" s="64" t="str">
        <f>IFERROR(__xludf.DUMMYFUNCTION("""COMPUTED_VALUE"""),"Stock")</f>
        <v>Stock</v>
      </c>
      <c r="D969" s="85" t="str">
        <f>IFERROR(__xludf.DUMMYFUNCTION("""COMPUTED_VALUE"""),"MSFT")</f>
        <v>MSFT</v>
      </c>
      <c r="E969" s="5" t="str">
        <f>IFERROR(__xludf.DUMMYFUNCTION("""COMPUTED_VALUE"""),"USD")</f>
        <v>USD</v>
      </c>
      <c r="F969" s="69" t="str">
        <f>IFERROR(__xludf.DUMMYFUNCTION("""COMPUTED_VALUE"""),"")</f>
        <v/>
      </c>
      <c r="G969" s="70">
        <f>IFERROR(__xludf.DUMMYFUNCTION("""COMPUTED_VALUE"""),7.83915)</f>
        <v>7.83915</v>
      </c>
      <c r="H969" s="71">
        <f>IFERROR(__xludf.DUMMYFUNCTION("""COMPUTED_VALUE"""),282.06)</f>
        <v>282.06</v>
      </c>
      <c r="I969" s="71">
        <f>IFERROR(__xludf.DUMMYFUNCTION("""COMPUTED_VALUE"""),287.62)</f>
        <v>287.62</v>
      </c>
      <c r="J969" s="88" t="str">
        <f>IFERROR(__xludf.DUMMYFUNCTION("""COMPUTED_VALUE"""),"Goto link: MSFT")</f>
        <v>Goto link: MSFT</v>
      </c>
      <c r="K969" s="22"/>
      <c r="L969" s="22"/>
      <c r="M969" s="22"/>
      <c r="N969" s="22"/>
      <c r="O969" s="73"/>
      <c r="P969" s="8"/>
      <c r="Q969" s="69"/>
      <c r="R969" s="69"/>
      <c r="S969" s="8"/>
      <c r="T969" s="69"/>
      <c r="U969" s="8"/>
      <c r="V969" s="69"/>
      <c r="W969" s="74"/>
      <c r="X969" s="69"/>
    </row>
    <row r="970">
      <c r="A970" s="30" t="str">
        <f>IFERROR(__xludf.DUMMYFUNCTION("""COMPUTED_VALUE"""),"76796 Total")</f>
        <v>76796 Total</v>
      </c>
      <c r="B970" s="5"/>
      <c r="C970" s="64"/>
      <c r="D970" s="85"/>
      <c r="E970" s="5"/>
      <c r="F970" s="69"/>
      <c r="G970" s="70">
        <f>IFERROR(__xludf.DUMMYFUNCTION("""COMPUTED_VALUE"""),7.217409090909093)</f>
        <v>7.217409091</v>
      </c>
      <c r="H970" s="71">
        <f>IFERROR(__xludf.DUMMYFUNCTION("""COMPUTED_VALUE"""),2689.19)</f>
        <v>2689.19</v>
      </c>
      <c r="I970" s="71" t="str">
        <f>IFERROR(__xludf.DUMMYFUNCTION("""COMPUTED_VALUE"""),"")</f>
        <v/>
      </c>
      <c r="J970" s="22" t="str">
        <f>IFERROR(__xludf.DUMMYFUNCTION("""COMPUTED_VALUE"""),"")</f>
        <v/>
      </c>
      <c r="K970" s="22"/>
      <c r="L970" s="22"/>
      <c r="M970" s="22"/>
      <c r="N970" s="22"/>
      <c r="O970" s="73"/>
      <c r="P970" s="8"/>
      <c r="Q970" s="69"/>
      <c r="R970" s="69"/>
      <c r="S970" s="8"/>
      <c r="T970" s="69"/>
      <c r="U970" s="8"/>
      <c r="V970" s="69"/>
      <c r="W970" s="74"/>
      <c r="X970" s="69"/>
    </row>
    <row r="971">
      <c r="A971" s="30" t="str">
        <f>IFERROR(__xludf.DUMMYFUNCTION("""COMPUTED_VALUE"""),"76848")</f>
        <v>76848</v>
      </c>
      <c r="B971" s="86">
        <f>IFERROR(__xludf.DUMMYFUNCTION("""COMPUTED_VALUE"""),44597.0)</f>
        <v>44597</v>
      </c>
      <c r="C971" s="64" t="str">
        <f>IFERROR(__xludf.DUMMYFUNCTION("""COMPUTED_VALUE"""),"Cash")</f>
        <v>Cash</v>
      </c>
      <c r="D971" s="85" t="str">
        <f>IFERROR(__xludf.DUMMYFUNCTION("""COMPUTED_VALUE"""),"Cash")</f>
        <v>Cash</v>
      </c>
      <c r="E971" s="5" t="str">
        <f>IFERROR(__xludf.DUMMYFUNCTION("""COMPUTED_VALUE"""),"HKD")</f>
        <v>HKD</v>
      </c>
      <c r="F971" s="69" t="str">
        <f>IFERROR(__xludf.DUMMYFUNCTION("""COMPUTED_VALUE"""),"")</f>
        <v/>
      </c>
      <c r="G971" s="70">
        <f>IFERROR(__xludf.DUMMYFUNCTION("""COMPUTED_VALUE"""),1.0)</f>
        <v>1</v>
      </c>
      <c r="H971" s="71">
        <f>IFERROR(__xludf.DUMMYFUNCTION("""COMPUTED_VALUE"""),1.0)</f>
        <v>1</v>
      </c>
      <c r="I971" s="71">
        <f>IFERROR(__xludf.DUMMYFUNCTION("""COMPUTED_VALUE"""),1.0)</f>
        <v>1</v>
      </c>
      <c r="J971" s="22" t="str">
        <f>IFERROR(__xludf.DUMMYFUNCTION("""COMPUTED_VALUE"""),"")</f>
        <v/>
      </c>
      <c r="K971" s="22"/>
      <c r="L971" s="22"/>
      <c r="M971" s="22"/>
      <c r="N971" s="22"/>
      <c r="O971" s="73"/>
      <c r="P971" s="8"/>
      <c r="Q971" s="69"/>
      <c r="R971" s="69"/>
      <c r="S971" s="8"/>
      <c r="T971" s="69"/>
      <c r="U971" s="8"/>
      <c r="V971" s="69"/>
      <c r="W971" s="74"/>
      <c r="X971" s="69"/>
    </row>
    <row r="972">
      <c r="A972" s="30" t="str">
        <f>IFERROR(__xludf.DUMMYFUNCTION("""COMPUTED_VALUE"""),"76848")</f>
        <v>76848</v>
      </c>
      <c r="B972" s="86">
        <f>IFERROR(__xludf.DUMMYFUNCTION("""COMPUTED_VALUE"""),44603.0)</f>
        <v>44603</v>
      </c>
      <c r="C972" s="64" t="str">
        <f>IFERROR(__xludf.DUMMYFUNCTION("""COMPUTED_VALUE"""),"Stock")</f>
        <v>Stock</v>
      </c>
      <c r="D972" s="90" t="str">
        <f>IFERROR(__xludf.DUMMYFUNCTION("""COMPUTED_VALUE"""),"1398.HK")</f>
        <v>1398.HK</v>
      </c>
      <c r="E972" s="5" t="str">
        <f>IFERROR(__xludf.DUMMYFUNCTION("""COMPUTED_VALUE"""),"HKD")</f>
        <v>HKD</v>
      </c>
      <c r="F972" s="69">
        <f>IFERROR(__xludf.DUMMYFUNCTION("""COMPUTED_VALUE"""),500.0)</f>
        <v>500</v>
      </c>
      <c r="G972" s="70">
        <f>IFERROR(__xludf.DUMMYFUNCTION("""COMPUTED_VALUE"""),1.0)</f>
        <v>1</v>
      </c>
      <c r="H972" s="71">
        <f>IFERROR(__xludf.DUMMYFUNCTION("""COMPUTED_VALUE"""),4.93)</f>
        <v>4.93</v>
      </c>
      <c r="I972" s="71">
        <f>IFERROR(__xludf.DUMMYFUNCTION("""COMPUTED_VALUE"""),4.75)</f>
        <v>4.75</v>
      </c>
      <c r="J972" s="88" t="str">
        <f>IFERROR(__xludf.DUMMYFUNCTION("""COMPUTED_VALUE"""),"Goto link: 1398.HK")</f>
        <v>Goto link: 1398.HK</v>
      </c>
      <c r="K972" s="22"/>
      <c r="L972" s="22"/>
      <c r="M972" s="22"/>
      <c r="N972" s="22"/>
      <c r="O972" s="73"/>
      <c r="P972" s="8"/>
      <c r="Q972" s="69"/>
      <c r="R972" s="69"/>
      <c r="S972" s="8"/>
      <c r="T972" s="69"/>
      <c r="U972" s="8"/>
      <c r="V972" s="69"/>
      <c r="W972" s="74"/>
      <c r="X972" s="69"/>
    </row>
    <row r="973">
      <c r="A973" s="30" t="str">
        <f>IFERROR(__xludf.DUMMYFUNCTION("""COMPUTED_VALUE"""),"76848")</f>
        <v>76848</v>
      </c>
      <c r="B973" s="86">
        <f>IFERROR(__xludf.DUMMYFUNCTION("""COMPUTED_VALUE"""),44603.0)</f>
        <v>44603</v>
      </c>
      <c r="C973" s="64" t="str">
        <f>IFERROR(__xludf.DUMMYFUNCTION("""COMPUTED_VALUE"""),"Stock")</f>
        <v>Stock</v>
      </c>
      <c r="D973" s="87" t="str">
        <f>IFERROR(__xludf.DUMMYFUNCTION("""COMPUTED_VALUE"""),"NET")</f>
        <v>NET</v>
      </c>
      <c r="E973" s="5" t="str">
        <f>IFERROR(__xludf.DUMMYFUNCTION("""COMPUTED_VALUE"""),"USD")</f>
        <v>USD</v>
      </c>
      <c r="F973" s="69">
        <f>IFERROR(__xludf.DUMMYFUNCTION("""COMPUTED_VALUE"""),10.0)</f>
        <v>10</v>
      </c>
      <c r="G973" s="70">
        <f>IFERROR(__xludf.DUMMYFUNCTION("""COMPUTED_VALUE"""),7.83915)</f>
        <v>7.83915</v>
      </c>
      <c r="H973" s="71">
        <f>IFERROR(__xludf.DUMMYFUNCTION("""COMPUTED_VALUE"""),104.92)</f>
        <v>104.92</v>
      </c>
      <c r="I973" s="71">
        <f>IFERROR(__xludf.DUMMYFUNCTION("""COMPUTED_VALUE"""),121.55)</f>
        <v>121.55</v>
      </c>
      <c r="J973" s="88" t="str">
        <f>IFERROR(__xludf.DUMMYFUNCTION("""COMPUTED_VALUE"""),"Goto link: NET")</f>
        <v>Goto link: NET</v>
      </c>
      <c r="K973" s="22"/>
      <c r="L973" s="22"/>
      <c r="M973" s="22"/>
      <c r="N973" s="22"/>
      <c r="O973" s="73"/>
      <c r="P973" s="8"/>
      <c r="Q973" s="69"/>
      <c r="R973" s="69"/>
      <c r="S973" s="8"/>
      <c r="T973" s="69"/>
      <c r="U973" s="8"/>
      <c r="V973" s="69"/>
      <c r="W973" s="74"/>
      <c r="X973" s="69"/>
    </row>
    <row r="974">
      <c r="A974" s="30" t="str">
        <f>IFERROR(__xludf.DUMMYFUNCTION("""COMPUTED_VALUE"""),"76848")</f>
        <v>76848</v>
      </c>
      <c r="B974" s="86">
        <f>IFERROR(__xludf.DUMMYFUNCTION("""COMPUTED_VALUE"""),44609.0)</f>
        <v>44609</v>
      </c>
      <c r="C974" s="64" t="str">
        <f>IFERROR(__xludf.DUMMYFUNCTION("""COMPUTED_VALUE"""),"Stock")</f>
        <v>Stock</v>
      </c>
      <c r="D974" s="87" t="str">
        <f>IFERROR(__xludf.DUMMYFUNCTION("""COMPUTED_VALUE"""),"AMAT")</f>
        <v>AMAT</v>
      </c>
      <c r="E974" s="5" t="str">
        <f>IFERROR(__xludf.DUMMYFUNCTION("""COMPUTED_VALUE"""),"USD")</f>
        <v>USD</v>
      </c>
      <c r="F974" s="69">
        <f>IFERROR(__xludf.DUMMYFUNCTION("""COMPUTED_VALUE"""),50.0)</f>
        <v>50</v>
      </c>
      <c r="G974" s="70">
        <f>IFERROR(__xludf.DUMMYFUNCTION("""COMPUTED_VALUE"""),7.83915)</f>
        <v>7.83915</v>
      </c>
      <c r="H974" s="71">
        <f>IFERROR(__xludf.DUMMYFUNCTION("""COMPUTED_VALUE"""),136.47)</f>
        <v>136.47</v>
      </c>
      <c r="I974" s="71">
        <f>IFERROR(__xludf.DUMMYFUNCTION("""COMPUTED_VALUE"""),116.86)</f>
        <v>116.86</v>
      </c>
      <c r="J974" s="88" t="str">
        <f>IFERROR(__xludf.DUMMYFUNCTION("""COMPUTED_VALUE"""),"Goto link: AMAT")</f>
        <v>Goto link: AMAT</v>
      </c>
      <c r="K974" s="22"/>
      <c r="L974" s="22"/>
      <c r="M974" s="22"/>
      <c r="N974" s="22"/>
      <c r="O974" s="73"/>
      <c r="P974" s="8"/>
      <c r="Q974" s="69"/>
      <c r="R974" s="69"/>
      <c r="S974" s="8"/>
      <c r="T974" s="69"/>
      <c r="U974" s="8"/>
      <c r="V974" s="69"/>
      <c r="W974" s="74"/>
      <c r="X974" s="69"/>
    </row>
    <row r="975">
      <c r="A975" s="30" t="str">
        <f>IFERROR(__xludf.DUMMYFUNCTION("""COMPUTED_VALUE"""),"76848")</f>
        <v>76848</v>
      </c>
      <c r="B975" s="86">
        <f>IFERROR(__xludf.DUMMYFUNCTION("""COMPUTED_VALUE"""),44616.0)</f>
        <v>44616</v>
      </c>
      <c r="C975" s="64" t="str">
        <f>IFERROR(__xludf.DUMMYFUNCTION("""COMPUTED_VALUE"""),"Stock")</f>
        <v>Stock</v>
      </c>
      <c r="D975" s="87" t="str">
        <f>IFERROR(__xludf.DUMMYFUNCTION("""COMPUTED_VALUE"""),"CL=F")</f>
        <v>CL=F</v>
      </c>
      <c r="E975" s="5" t="str">
        <f>IFERROR(__xludf.DUMMYFUNCTION("""COMPUTED_VALUE"""),"USD")</f>
        <v>USD</v>
      </c>
      <c r="F975" s="69">
        <f>IFERROR(__xludf.DUMMYFUNCTION("""COMPUTED_VALUE"""),100.0)</f>
        <v>100</v>
      </c>
      <c r="G975" s="70">
        <f>IFERROR(__xludf.DUMMYFUNCTION("""COMPUTED_VALUE"""),7.83915)</f>
        <v>7.83915</v>
      </c>
      <c r="H975" s="71">
        <f>IFERROR(__xludf.DUMMYFUNCTION("""COMPUTED_VALUE"""),92.81)</f>
        <v>92.81</v>
      </c>
      <c r="I975" s="71">
        <f>IFERROR(__xludf.DUMMYFUNCTION("""COMPUTED_VALUE"""),104.31)</f>
        <v>104.31</v>
      </c>
      <c r="J975" s="88" t="str">
        <f>IFERROR(__xludf.DUMMYFUNCTION("""COMPUTED_VALUE"""),"Goto link: CL=F")</f>
        <v>Goto link: CL=F</v>
      </c>
      <c r="K975" s="22"/>
      <c r="L975" s="22"/>
      <c r="M975" s="22"/>
      <c r="N975" s="22"/>
      <c r="O975" s="73"/>
      <c r="P975" s="8"/>
      <c r="Q975" s="69"/>
      <c r="R975" s="69"/>
      <c r="S975" s="8"/>
      <c r="T975" s="69"/>
      <c r="U975" s="8"/>
      <c r="V975" s="69"/>
      <c r="W975" s="74"/>
      <c r="X975" s="69"/>
    </row>
    <row r="976">
      <c r="A976" s="30" t="str">
        <f>IFERROR(__xludf.DUMMYFUNCTION("""COMPUTED_VALUE"""),"76848")</f>
        <v>76848</v>
      </c>
      <c r="B976" s="86">
        <f>IFERROR(__xludf.DUMMYFUNCTION("""COMPUTED_VALUE"""),44616.0)</f>
        <v>44616</v>
      </c>
      <c r="C976" s="64" t="str">
        <f>IFERROR(__xludf.DUMMYFUNCTION("""COMPUTED_VALUE"""),"Stock")</f>
        <v>Stock</v>
      </c>
      <c r="D976" s="87" t="str">
        <f>IFERROR(__xludf.DUMMYFUNCTION("""COMPUTED_VALUE"""),"NET")</f>
        <v>NET</v>
      </c>
      <c r="E976" s="5" t="str">
        <f>IFERROR(__xludf.DUMMYFUNCTION("""COMPUTED_VALUE"""),"USD")</f>
        <v>USD</v>
      </c>
      <c r="F976" s="69">
        <f>IFERROR(__xludf.DUMMYFUNCTION("""COMPUTED_VALUE"""),-10.0)</f>
        <v>-10</v>
      </c>
      <c r="G976" s="70">
        <f>IFERROR(__xludf.DUMMYFUNCTION("""COMPUTED_VALUE"""),7.83915)</f>
        <v>7.83915</v>
      </c>
      <c r="H976" s="71">
        <f>IFERROR(__xludf.DUMMYFUNCTION("""COMPUTED_VALUE"""),108.38)</f>
        <v>108.38</v>
      </c>
      <c r="I976" s="71">
        <f>IFERROR(__xludf.DUMMYFUNCTION("""COMPUTED_VALUE"""),121.55)</f>
        <v>121.55</v>
      </c>
      <c r="J976" s="88" t="str">
        <f>IFERROR(__xludf.DUMMYFUNCTION("""COMPUTED_VALUE"""),"Goto link: NET")</f>
        <v>Goto link: NET</v>
      </c>
      <c r="K976" s="22"/>
      <c r="L976" s="22"/>
      <c r="M976" s="22"/>
      <c r="N976" s="22"/>
      <c r="O976" s="73"/>
      <c r="P976" s="8"/>
      <c r="Q976" s="69"/>
      <c r="R976" s="69"/>
      <c r="S976" s="8"/>
      <c r="T976" s="69"/>
      <c r="U976" s="8"/>
      <c r="V976" s="69"/>
      <c r="W976" s="74"/>
      <c r="X976" s="69"/>
    </row>
    <row r="977">
      <c r="A977" s="30" t="str">
        <f>IFERROR(__xludf.DUMMYFUNCTION("""COMPUTED_VALUE"""),"76848")</f>
        <v>76848</v>
      </c>
      <c r="B977" s="86">
        <f>IFERROR(__xludf.DUMMYFUNCTION("""COMPUTED_VALUE"""),44617.0)</f>
        <v>44617</v>
      </c>
      <c r="C977" s="64" t="str">
        <f>IFERROR(__xludf.DUMMYFUNCTION("""COMPUTED_VALUE"""),"Stock")</f>
        <v>Stock</v>
      </c>
      <c r="D977" s="90" t="str">
        <f>IFERROR(__xludf.DUMMYFUNCTION("""COMPUTED_VALUE"""),"1398.HK")</f>
        <v>1398.HK</v>
      </c>
      <c r="E977" s="5" t="str">
        <f>IFERROR(__xludf.DUMMYFUNCTION("""COMPUTED_VALUE"""),"HKD")</f>
        <v>HKD</v>
      </c>
      <c r="F977" s="69">
        <f>IFERROR(__xludf.DUMMYFUNCTION("""COMPUTED_VALUE"""),1000.0)</f>
        <v>1000</v>
      </c>
      <c r="G977" s="70">
        <f>IFERROR(__xludf.DUMMYFUNCTION("""COMPUTED_VALUE"""),1.0)</f>
        <v>1</v>
      </c>
      <c r="H977" s="71">
        <f>IFERROR(__xludf.DUMMYFUNCTION("""COMPUTED_VALUE"""),4.58)</f>
        <v>4.58</v>
      </c>
      <c r="I977" s="71">
        <f>IFERROR(__xludf.DUMMYFUNCTION("""COMPUTED_VALUE"""),4.75)</f>
        <v>4.75</v>
      </c>
      <c r="J977" s="88" t="str">
        <f>IFERROR(__xludf.DUMMYFUNCTION("""COMPUTED_VALUE"""),"Goto link: 1398.HK")</f>
        <v>Goto link: 1398.HK</v>
      </c>
      <c r="K977" s="22"/>
      <c r="L977" s="22"/>
      <c r="M977" s="22"/>
      <c r="N977" s="22"/>
      <c r="O977" s="73"/>
      <c r="P977" s="8"/>
      <c r="Q977" s="69"/>
      <c r="R977" s="69"/>
      <c r="S977" s="8"/>
      <c r="T977" s="69"/>
      <c r="U977" s="8"/>
      <c r="V977" s="69"/>
      <c r="W977" s="74"/>
      <c r="X977" s="69"/>
    </row>
    <row r="978">
      <c r="A978" s="30" t="str">
        <f>IFERROR(__xludf.DUMMYFUNCTION("""COMPUTED_VALUE"""),"76848")</f>
        <v>76848</v>
      </c>
      <c r="B978" s="86">
        <f>IFERROR(__xludf.DUMMYFUNCTION("""COMPUTED_VALUE"""),44617.0)</f>
        <v>44617</v>
      </c>
      <c r="C978" s="64" t="str">
        <f>IFERROR(__xludf.DUMMYFUNCTION("""COMPUTED_VALUE"""),"Stock")</f>
        <v>Stock</v>
      </c>
      <c r="D978" s="90" t="str">
        <f>IFERROR(__xludf.DUMMYFUNCTION("""COMPUTED_VALUE"""),"300157.SZ")</f>
        <v>300157.SZ</v>
      </c>
      <c r="E978" s="5" t="str">
        <f>IFERROR(__xludf.DUMMYFUNCTION("""COMPUTED_VALUE"""),"CNY")</f>
        <v>CNY</v>
      </c>
      <c r="F978" s="69">
        <f>IFERROR(__xludf.DUMMYFUNCTION("""COMPUTED_VALUE"""),0.0)</f>
        <v>0</v>
      </c>
      <c r="G978" s="70">
        <f>IFERROR(__xludf.DUMMYFUNCTION("""COMPUTED_VALUE"""),1.231169)</f>
        <v>1.231169</v>
      </c>
      <c r="H978" s="71">
        <f>IFERROR(__xludf.DUMMYFUNCTION("""COMPUTED_VALUE"""),0.0)</f>
        <v>0</v>
      </c>
      <c r="I978" s="71">
        <f>IFERROR(__xludf.DUMMYFUNCTION("""COMPUTED_VALUE"""),4.35)</f>
        <v>4.35</v>
      </c>
      <c r="J978" s="88" t="str">
        <f>IFERROR(__xludf.DUMMYFUNCTION("""COMPUTED_VALUE"""),"Goto link: 300157.SZ")</f>
        <v>Goto link: 300157.SZ</v>
      </c>
      <c r="K978" s="22"/>
      <c r="L978" s="22"/>
      <c r="M978" s="22"/>
      <c r="N978" s="22"/>
      <c r="O978" s="73"/>
      <c r="P978" s="8"/>
      <c r="Q978" s="69"/>
      <c r="R978" s="69"/>
      <c r="S978" s="8"/>
      <c r="T978" s="69"/>
      <c r="U978" s="8"/>
      <c r="V978" s="69"/>
      <c r="W978" s="74"/>
      <c r="X978" s="69"/>
    </row>
    <row r="979">
      <c r="A979" s="30" t="str">
        <f>IFERROR(__xludf.DUMMYFUNCTION("""COMPUTED_VALUE"""),"76848")</f>
        <v>76848</v>
      </c>
      <c r="B979" s="86">
        <f>IFERROR(__xludf.DUMMYFUNCTION("""COMPUTED_VALUE"""),44624.0)</f>
        <v>44624</v>
      </c>
      <c r="C979" s="64" t="str">
        <f>IFERROR(__xludf.DUMMYFUNCTION("""COMPUTED_VALUE"""),"Stock")</f>
        <v>Stock</v>
      </c>
      <c r="D979" s="87" t="str">
        <f>IFERROR(__xludf.DUMMYFUNCTION("""COMPUTED_VALUE"""),"AMAT")</f>
        <v>AMAT</v>
      </c>
      <c r="E979" s="5" t="str">
        <f>IFERROR(__xludf.DUMMYFUNCTION("""COMPUTED_VALUE"""),"USD")</f>
        <v>USD</v>
      </c>
      <c r="F979" s="69">
        <f>IFERROR(__xludf.DUMMYFUNCTION("""COMPUTED_VALUE"""),0.0)</f>
        <v>0</v>
      </c>
      <c r="G979" s="70">
        <f>IFERROR(__xludf.DUMMYFUNCTION("""COMPUTED_VALUE"""),7.83915)</f>
        <v>7.83915</v>
      </c>
      <c r="H979" s="71">
        <f>IFERROR(__xludf.DUMMYFUNCTION("""COMPUTED_VALUE"""),0.0)</f>
        <v>0</v>
      </c>
      <c r="I979" s="71">
        <f>IFERROR(__xludf.DUMMYFUNCTION("""COMPUTED_VALUE"""),116.86)</f>
        <v>116.86</v>
      </c>
      <c r="J979" s="88" t="str">
        <f>IFERROR(__xludf.DUMMYFUNCTION("""COMPUTED_VALUE"""),"Goto link: AMAT")</f>
        <v>Goto link: AMAT</v>
      </c>
      <c r="K979" s="22"/>
      <c r="L979" s="22"/>
      <c r="M979" s="22"/>
      <c r="N979" s="22"/>
      <c r="O979" s="73"/>
      <c r="P979" s="8"/>
      <c r="Q979" s="69"/>
      <c r="R979" s="69"/>
      <c r="S979" s="8"/>
      <c r="T979" s="69"/>
      <c r="U979" s="8"/>
      <c r="V979" s="69"/>
      <c r="W979" s="74"/>
      <c r="X979" s="69"/>
    </row>
    <row r="980">
      <c r="A980" s="30" t="str">
        <f>IFERROR(__xludf.DUMMYFUNCTION("""COMPUTED_VALUE"""),"76848")</f>
        <v>76848</v>
      </c>
      <c r="B980" s="86">
        <f>IFERROR(__xludf.DUMMYFUNCTION("""COMPUTED_VALUE"""),44624.0)</f>
        <v>44624</v>
      </c>
      <c r="C980" s="64" t="str">
        <f>IFERROR(__xludf.DUMMYFUNCTION("""COMPUTED_VALUE"""),"Stock")</f>
        <v>Stock</v>
      </c>
      <c r="D980" s="87" t="str">
        <f>IFERROR(__xludf.DUMMYFUNCTION("""COMPUTED_VALUE"""),"BRK-B")</f>
        <v>BRK-B</v>
      </c>
      <c r="E980" s="5" t="str">
        <f>IFERROR(__xludf.DUMMYFUNCTION("""COMPUTED_VALUE"""),"USD")</f>
        <v>USD</v>
      </c>
      <c r="F980" s="69">
        <f>IFERROR(__xludf.DUMMYFUNCTION("""COMPUTED_VALUE"""),-40.0)</f>
        <v>-40</v>
      </c>
      <c r="G980" s="70">
        <f>IFERROR(__xludf.DUMMYFUNCTION("""COMPUTED_VALUE"""),7.83915)</f>
        <v>7.83915</v>
      </c>
      <c r="H980" s="71">
        <f>IFERROR(__xludf.DUMMYFUNCTION("""COMPUTED_VALUE"""),325.34)</f>
        <v>325.34</v>
      </c>
      <c r="I980" s="71">
        <f>IFERROR(__xludf.DUMMYFUNCTION("""COMPUTED_VALUE"""),346.07)</f>
        <v>346.07</v>
      </c>
      <c r="J980" s="88" t="str">
        <f>IFERROR(__xludf.DUMMYFUNCTION("""COMPUTED_VALUE"""),"Goto link: BRK-B")</f>
        <v>Goto link: BRK-B</v>
      </c>
      <c r="K980" s="22"/>
      <c r="L980" s="22"/>
      <c r="M980" s="22"/>
      <c r="N980" s="22"/>
      <c r="O980" s="73"/>
      <c r="P980" s="8"/>
      <c r="Q980" s="69"/>
      <c r="R980" s="69"/>
      <c r="S980" s="8"/>
      <c r="T980" s="69"/>
      <c r="U980" s="8"/>
      <c r="V980" s="69"/>
      <c r="W980" s="74"/>
      <c r="X980" s="69"/>
    </row>
    <row r="981">
      <c r="A981" s="30" t="str">
        <f>IFERROR(__xludf.DUMMYFUNCTION("""COMPUTED_VALUE"""),"76848")</f>
        <v>76848</v>
      </c>
      <c r="B981" s="86">
        <f>IFERROR(__xludf.DUMMYFUNCTION("""COMPUTED_VALUE"""),44630.0)</f>
        <v>44630</v>
      </c>
      <c r="C981" s="64" t="str">
        <f>IFERROR(__xludf.DUMMYFUNCTION("""COMPUTED_VALUE"""),"Stock")</f>
        <v>Stock</v>
      </c>
      <c r="D981" s="87" t="str">
        <f>IFERROR(__xludf.DUMMYFUNCTION("""COMPUTED_VALUE"""),"AAPL")</f>
        <v>AAPL</v>
      </c>
      <c r="E981" s="5" t="str">
        <f>IFERROR(__xludf.DUMMYFUNCTION("""COMPUTED_VALUE"""),"USD")</f>
        <v>USD</v>
      </c>
      <c r="F981" s="69">
        <f>IFERROR(__xludf.DUMMYFUNCTION("""COMPUTED_VALUE"""),20.0)</f>
        <v>20</v>
      </c>
      <c r="G981" s="70">
        <f>IFERROR(__xludf.DUMMYFUNCTION("""COMPUTED_VALUE"""),7.83915)</f>
        <v>7.83915</v>
      </c>
      <c r="H981" s="71">
        <f>IFERROR(__xludf.DUMMYFUNCTION("""COMPUTED_VALUE"""),162.95)</f>
        <v>162.95</v>
      </c>
      <c r="I981" s="71">
        <f>IFERROR(__xludf.DUMMYFUNCTION("""COMPUTED_VALUE"""),170.4)</f>
        <v>170.4</v>
      </c>
      <c r="J981" s="88" t="str">
        <f>IFERROR(__xludf.DUMMYFUNCTION("""COMPUTED_VALUE"""),"Goto link: AAPL")</f>
        <v>Goto link: AAPL</v>
      </c>
      <c r="K981" s="22"/>
      <c r="L981" s="22"/>
      <c r="M981" s="22"/>
      <c r="N981" s="22"/>
      <c r="O981" s="73"/>
      <c r="P981" s="8"/>
      <c r="Q981" s="69"/>
      <c r="R981" s="69"/>
      <c r="S981" s="8"/>
      <c r="T981" s="69"/>
      <c r="U981" s="8"/>
      <c r="V981" s="69"/>
      <c r="W981" s="74"/>
      <c r="X981" s="69"/>
    </row>
    <row r="982">
      <c r="A982" s="30" t="str">
        <f>IFERROR(__xludf.DUMMYFUNCTION("""COMPUTED_VALUE"""),"76848")</f>
        <v>76848</v>
      </c>
      <c r="B982" s="86">
        <f>IFERROR(__xludf.DUMMYFUNCTION("""COMPUTED_VALUE"""),44630.0)</f>
        <v>44630</v>
      </c>
      <c r="C982" s="64" t="str">
        <f>IFERROR(__xludf.DUMMYFUNCTION("""COMPUTED_VALUE"""),"Stock")</f>
        <v>Stock</v>
      </c>
      <c r="D982" s="87" t="str">
        <f>IFERROR(__xludf.DUMMYFUNCTION("""COMPUTED_VALUE"""),"BRK-B")</f>
        <v>BRK-B</v>
      </c>
      <c r="E982" s="5" t="str">
        <f>IFERROR(__xludf.DUMMYFUNCTION("""COMPUTED_VALUE"""),"USD")</f>
        <v>USD</v>
      </c>
      <c r="F982" s="69">
        <f>IFERROR(__xludf.DUMMYFUNCTION("""COMPUTED_VALUE"""),40.0)</f>
        <v>40</v>
      </c>
      <c r="G982" s="70">
        <f>IFERROR(__xludf.DUMMYFUNCTION("""COMPUTED_VALUE"""),7.83915)</f>
        <v>7.83915</v>
      </c>
      <c r="H982" s="71">
        <f>IFERROR(__xludf.DUMMYFUNCTION("""COMPUTED_VALUE"""),325.4)</f>
        <v>325.4</v>
      </c>
      <c r="I982" s="71">
        <f>IFERROR(__xludf.DUMMYFUNCTION("""COMPUTED_VALUE"""),346.07)</f>
        <v>346.07</v>
      </c>
      <c r="J982" s="88" t="str">
        <f>IFERROR(__xludf.DUMMYFUNCTION("""COMPUTED_VALUE"""),"Goto link: BRK-B")</f>
        <v>Goto link: BRK-B</v>
      </c>
      <c r="K982" s="22"/>
      <c r="L982" s="22"/>
      <c r="M982" s="22"/>
      <c r="N982" s="22"/>
      <c r="O982" s="73"/>
      <c r="P982" s="8"/>
      <c r="Q982" s="69"/>
      <c r="R982" s="69"/>
      <c r="S982" s="8"/>
      <c r="T982" s="69"/>
      <c r="U982" s="8"/>
      <c r="V982" s="69"/>
      <c r="W982" s="74"/>
      <c r="X982" s="69"/>
    </row>
    <row r="983">
      <c r="A983" s="30" t="str">
        <f>IFERROR(__xludf.DUMMYFUNCTION("""COMPUTED_VALUE"""),"76848")</f>
        <v>76848</v>
      </c>
      <c r="B983" s="86">
        <f>IFERROR(__xludf.DUMMYFUNCTION("""COMPUTED_VALUE"""),44630.0)</f>
        <v>44630</v>
      </c>
      <c r="C983" s="64" t="str">
        <f>IFERROR(__xludf.DUMMYFUNCTION("""COMPUTED_VALUE"""),"Stock")</f>
        <v>Stock</v>
      </c>
      <c r="D983" s="87" t="str">
        <f>IFERROR(__xludf.DUMMYFUNCTION("""COMPUTED_VALUE"""),"CL=F")</f>
        <v>CL=F</v>
      </c>
      <c r="E983" s="5" t="str">
        <f>IFERROR(__xludf.DUMMYFUNCTION("""COMPUTED_VALUE"""),"USD")</f>
        <v>USD</v>
      </c>
      <c r="F983" s="69">
        <f>IFERROR(__xludf.DUMMYFUNCTION("""COMPUTED_VALUE"""),100.0)</f>
        <v>100</v>
      </c>
      <c r="G983" s="70">
        <f>IFERROR(__xludf.DUMMYFUNCTION("""COMPUTED_VALUE"""),7.83915)</f>
        <v>7.83915</v>
      </c>
      <c r="H983" s="71">
        <f>IFERROR(__xludf.DUMMYFUNCTION("""COMPUTED_VALUE"""),106.04)</f>
        <v>106.04</v>
      </c>
      <c r="I983" s="71">
        <f>IFERROR(__xludf.DUMMYFUNCTION("""COMPUTED_VALUE"""),104.31)</f>
        <v>104.31</v>
      </c>
      <c r="J983" s="88" t="str">
        <f>IFERROR(__xludf.DUMMYFUNCTION("""COMPUTED_VALUE"""),"Goto link: CL=F")</f>
        <v>Goto link: CL=F</v>
      </c>
      <c r="K983" s="22"/>
      <c r="L983" s="22"/>
      <c r="M983" s="22"/>
      <c r="N983" s="22"/>
      <c r="O983" s="73"/>
      <c r="P983" s="8"/>
      <c r="Q983" s="69"/>
      <c r="R983" s="69"/>
      <c r="S983" s="8"/>
      <c r="T983" s="69"/>
      <c r="U983" s="8"/>
      <c r="V983" s="69"/>
      <c r="W983" s="74"/>
      <c r="X983" s="69"/>
    </row>
    <row r="984">
      <c r="A984" s="30" t="str">
        <f>IFERROR(__xludf.DUMMYFUNCTION("""COMPUTED_VALUE"""),"76848")</f>
        <v>76848</v>
      </c>
      <c r="B984" s="86">
        <f>IFERROR(__xludf.DUMMYFUNCTION("""COMPUTED_VALUE"""),44635.0)</f>
        <v>44635</v>
      </c>
      <c r="C984" s="64" t="str">
        <f>IFERROR(__xludf.DUMMYFUNCTION("""COMPUTED_VALUE"""),"Stock")</f>
        <v>Stock</v>
      </c>
      <c r="D984" s="87" t="str">
        <f>IFERROR(__xludf.DUMMYFUNCTION("""COMPUTED_VALUE"""),"CL=F")</f>
        <v>CL=F</v>
      </c>
      <c r="E984" s="5" t="str">
        <f>IFERROR(__xludf.DUMMYFUNCTION("""COMPUTED_VALUE"""),"USD")</f>
        <v>USD</v>
      </c>
      <c r="F984" s="69">
        <f>IFERROR(__xludf.DUMMYFUNCTION("""COMPUTED_VALUE"""),-200.0)</f>
        <v>-200</v>
      </c>
      <c r="G984" s="70">
        <f>IFERROR(__xludf.DUMMYFUNCTION("""COMPUTED_VALUE"""),7.83915)</f>
        <v>7.83915</v>
      </c>
      <c r="H984" s="71">
        <f>IFERROR(__xludf.DUMMYFUNCTION("""COMPUTED_VALUE"""),96.13)</f>
        <v>96.13</v>
      </c>
      <c r="I984" s="71">
        <f>IFERROR(__xludf.DUMMYFUNCTION("""COMPUTED_VALUE"""),104.31)</f>
        <v>104.31</v>
      </c>
      <c r="J984" s="88" t="str">
        <f>IFERROR(__xludf.DUMMYFUNCTION("""COMPUTED_VALUE"""),"Goto link: CL=F")</f>
        <v>Goto link: CL=F</v>
      </c>
      <c r="K984" s="22"/>
      <c r="L984" s="22"/>
      <c r="M984" s="22"/>
      <c r="N984" s="22"/>
      <c r="O984" s="73"/>
      <c r="P984" s="8"/>
      <c r="Q984" s="69"/>
      <c r="R984" s="69"/>
      <c r="S984" s="8"/>
      <c r="T984" s="69"/>
      <c r="U984" s="8"/>
      <c r="V984" s="69"/>
      <c r="W984" s="74"/>
      <c r="X984" s="69"/>
    </row>
    <row r="985">
      <c r="A985" s="30" t="str">
        <f>IFERROR(__xludf.DUMMYFUNCTION("""COMPUTED_VALUE"""),"76848")</f>
        <v>76848</v>
      </c>
      <c r="B985" s="86">
        <f>IFERROR(__xludf.DUMMYFUNCTION("""COMPUTED_VALUE"""),44635.0)</f>
        <v>44635</v>
      </c>
      <c r="C985" s="64" t="str">
        <f>IFERROR(__xludf.DUMMYFUNCTION("""COMPUTED_VALUE"""),"Stock")</f>
        <v>Stock</v>
      </c>
      <c r="D985" s="87" t="str">
        <f>IFERROR(__xludf.DUMMYFUNCTION("""COMPUTED_VALUE"""),"IXHL")</f>
        <v>IXHL</v>
      </c>
      <c r="E985" s="5" t="str">
        <f>IFERROR(__xludf.DUMMYFUNCTION("""COMPUTED_VALUE"""),"USD")</f>
        <v>USD</v>
      </c>
      <c r="F985" s="69">
        <f>IFERROR(__xludf.DUMMYFUNCTION("""COMPUTED_VALUE"""),0.0)</f>
        <v>0</v>
      </c>
      <c r="G985" s="70">
        <f>IFERROR(__xludf.DUMMYFUNCTION("""COMPUTED_VALUE"""),7.83915)</f>
        <v>7.83915</v>
      </c>
      <c r="H985" s="71">
        <f>IFERROR(__xludf.DUMMYFUNCTION("""COMPUTED_VALUE"""),0.0)</f>
        <v>0</v>
      </c>
      <c r="I985" s="71">
        <f>IFERROR(__xludf.DUMMYFUNCTION("""COMPUTED_VALUE"""),8.27)</f>
        <v>8.27</v>
      </c>
      <c r="J985" s="88" t="str">
        <f>IFERROR(__xludf.DUMMYFUNCTION("""COMPUTED_VALUE"""),"Goto link: IXHL")</f>
        <v>Goto link: IXHL</v>
      </c>
      <c r="K985" s="22"/>
      <c r="L985" s="22"/>
      <c r="M985" s="22"/>
      <c r="N985" s="22"/>
      <c r="O985" s="73"/>
      <c r="P985" s="8"/>
      <c r="Q985" s="69"/>
      <c r="R985" s="69"/>
      <c r="S985" s="8"/>
      <c r="T985" s="69"/>
      <c r="U985" s="8"/>
      <c r="V985" s="69"/>
      <c r="W985" s="74"/>
      <c r="X985" s="69"/>
    </row>
    <row r="986">
      <c r="A986" s="30" t="str">
        <f>IFERROR(__xludf.DUMMYFUNCTION("""COMPUTED_VALUE"""),"76848")</f>
        <v>76848</v>
      </c>
      <c r="B986" s="86">
        <f>IFERROR(__xludf.DUMMYFUNCTION("""COMPUTED_VALUE"""),44636.0)</f>
        <v>44636</v>
      </c>
      <c r="C986" s="64" t="str">
        <f>IFERROR(__xludf.DUMMYFUNCTION("""COMPUTED_VALUE"""),"Stock")</f>
        <v>Stock</v>
      </c>
      <c r="D986" s="90" t="str">
        <f>IFERROR(__xludf.DUMMYFUNCTION("""COMPUTED_VALUE"""),"1398.HK")</f>
        <v>1398.HK</v>
      </c>
      <c r="E986" s="5" t="str">
        <f>IFERROR(__xludf.DUMMYFUNCTION("""COMPUTED_VALUE"""),"HKD")</f>
        <v>HKD</v>
      </c>
      <c r="F986" s="69">
        <f>IFERROR(__xludf.DUMMYFUNCTION("""COMPUTED_VALUE"""),0.0)</f>
        <v>0</v>
      </c>
      <c r="G986" s="70">
        <f>IFERROR(__xludf.DUMMYFUNCTION("""COMPUTED_VALUE"""),1.0)</f>
        <v>1</v>
      </c>
      <c r="H986" s="71">
        <f>IFERROR(__xludf.DUMMYFUNCTION("""COMPUTED_VALUE"""),0.0)</f>
        <v>0</v>
      </c>
      <c r="I986" s="71">
        <f>IFERROR(__xludf.DUMMYFUNCTION("""COMPUTED_VALUE"""),4.75)</f>
        <v>4.75</v>
      </c>
      <c r="J986" s="88" t="str">
        <f>IFERROR(__xludf.DUMMYFUNCTION("""COMPUTED_VALUE"""),"Goto link: 1398.HK")</f>
        <v>Goto link: 1398.HK</v>
      </c>
      <c r="K986" s="22"/>
      <c r="L986" s="22"/>
      <c r="M986" s="22"/>
      <c r="N986" s="22"/>
      <c r="O986" s="73"/>
      <c r="P986" s="8"/>
      <c r="Q986" s="69"/>
      <c r="R986" s="69"/>
      <c r="S986" s="8"/>
      <c r="T986" s="69"/>
      <c r="U986" s="8"/>
      <c r="V986" s="69"/>
      <c r="W986" s="74"/>
      <c r="X986" s="69"/>
    </row>
    <row r="987">
      <c r="A987" s="30" t="str">
        <f>IFERROR(__xludf.DUMMYFUNCTION("""COMPUTED_VALUE"""),"76848")</f>
        <v>76848</v>
      </c>
      <c r="B987" s="86">
        <f>IFERROR(__xludf.DUMMYFUNCTION("""COMPUTED_VALUE"""),44637.0)</f>
        <v>44637</v>
      </c>
      <c r="C987" s="64" t="str">
        <f>IFERROR(__xludf.DUMMYFUNCTION("""COMPUTED_VALUE"""),"Stock")</f>
        <v>Stock</v>
      </c>
      <c r="D987" s="87" t="str">
        <f>IFERROR(__xludf.DUMMYFUNCTION("""COMPUTED_VALUE"""),"IXHL")</f>
        <v>IXHL</v>
      </c>
      <c r="E987" s="5" t="str">
        <f>IFERROR(__xludf.DUMMYFUNCTION("""COMPUTED_VALUE"""),"USD")</f>
        <v>USD</v>
      </c>
      <c r="F987" s="69">
        <f>IFERROR(__xludf.DUMMYFUNCTION("""COMPUTED_VALUE"""),0.0)</f>
        <v>0</v>
      </c>
      <c r="G987" s="70">
        <f>IFERROR(__xludf.DUMMYFUNCTION("""COMPUTED_VALUE"""),7.83915)</f>
        <v>7.83915</v>
      </c>
      <c r="H987" s="71">
        <f>IFERROR(__xludf.DUMMYFUNCTION("""COMPUTED_VALUE"""),0.0)</f>
        <v>0</v>
      </c>
      <c r="I987" s="71">
        <f>IFERROR(__xludf.DUMMYFUNCTION("""COMPUTED_VALUE"""),8.27)</f>
        <v>8.27</v>
      </c>
      <c r="J987" s="88" t="str">
        <f>IFERROR(__xludf.DUMMYFUNCTION("""COMPUTED_VALUE"""),"Goto link: IXHL")</f>
        <v>Goto link: IXHL</v>
      </c>
      <c r="K987" s="22"/>
      <c r="L987" s="22"/>
      <c r="M987" s="22"/>
      <c r="N987" s="22"/>
      <c r="O987" s="73"/>
      <c r="P987" s="8"/>
      <c r="Q987" s="69"/>
      <c r="R987" s="69"/>
      <c r="S987" s="8"/>
      <c r="T987" s="69"/>
      <c r="U987" s="8"/>
      <c r="V987" s="69"/>
      <c r="W987" s="74"/>
      <c r="X987" s="69"/>
    </row>
    <row r="988">
      <c r="A988" s="30" t="str">
        <f>IFERROR(__xludf.DUMMYFUNCTION("""COMPUTED_VALUE"""),"76848")</f>
        <v>76848</v>
      </c>
      <c r="B988" s="86">
        <f>IFERROR(__xludf.DUMMYFUNCTION("""COMPUTED_VALUE"""),44652.0)</f>
        <v>44652</v>
      </c>
      <c r="C988" s="64" t="str">
        <f>IFERROR(__xludf.DUMMYFUNCTION("""COMPUTED_VALUE"""),"Stock")</f>
        <v>Stock</v>
      </c>
      <c r="D988" s="87" t="str">
        <f>IFERROR(__xludf.DUMMYFUNCTION("""COMPUTED_VALUE"""),"AAPL")</f>
        <v>AAPL</v>
      </c>
      <c r="E988" s="5" t="str">
        <f>IFERROR(__xludf.DUMMYFUNCTION("""COMPUTED_VALUE"""),"USD")</f>
        <v>USD</v>
      </c>
      <c r="F988" s="69">
        <f>IFERROR(__xludf.DUMMYFUNCTION("""COMPUTED_VALUE"""),0.0)</f>
        <v>0</v>
      </c>
      <c r="G988" s="70">
        <f>IFERROR(__xludf.DUMMYFUNCTION("""COMPUTED_VALUE"""),7.83915)</f>
        <v>7.83915</v>
      </c>
      <c r="H988" s="71">
        <f>IFERROR(__xludf.DUMMYFUNCTION("""COMPUTED_VALUE"""),0.0)</f>
        <v>0</v>
      </c>
      <c r="I988" s="71">
        <f>IFERROR(__xludf.DUMMYFUNCTION("""COMPUTED_VALUE"""),170.4)</f>
        <v>170.4</v>
      </c>
      <c r="J988" s="88" t="str">
        <f>IFERROR(__xludf.DUMMYFUNCTION("""COMPUTED_VALUE"""),"Goto link: AAPL")</f>
        <v>Goto link: AAPL</v>
      </c>
      <c r="K988" s="22"/>
      <c r="L988" s="22"/>
      <c r="M988" s="22"/>
      <c r="N988" s="22"/>
      <c r="O988" s="73"/>
      <c r="P988" s="8"/>
      <c r="Q988" s="69"/>
      <c r="R988" s="69"/>
      <c r="S988" s="8"/>
      <c r="T988" s="69"/>
      <c r="U988" s="8"/>
      <c r="V988" s="69"/>
      <c r="W988" s="74"/>
      <c r="X988" s="69"/>
    </row>
    <row r="989">
      <c r="A989" s="30" t="str">
        <f>IFERROR(__xludf.DUMMYFUNCTION("""COMPUTED_VALUE"""),"76848 Total")</f>
        <v>76848 Total</v>
      </c>
      <c r="B989" s="5"/>
      <c r="C989" s="64"/>
      <c r="D989" s="85"/>
      <c r="E989" s="5"/>
      <c r="F989" s="69"/>
      <c r="G989" s="70">
        <f>IFERROR(__xludf.DUMMYFUNCTION("""COMPUTED_VALUE"""),5.952228833333335)</f>
        <v>5.952228833</v>
      </c>
      <c r="H989" s="71">
        <f>IFERROR(__xludf.DUMMYFUNCTION("""COMPUTED_VALUE"""),325.4)</f>
        <v>325.4</v>
      </c>
      <c r="I989" s="71" t="str">
        <f>IFERROR(__xludf.DUMMYFUNCTION("""COMPUTED_VALUE"""),"")</f>
        <v/>
      </c>
      <c r="J989" s="22" t="str">
        <f>IFERROR(__xludf.DUMMYFUNCTION("""COMPUTED_VALUE"""),"")</f>
        <v/>
      </c>
      <c r="K989" s="22"/>
      <c r="L989" s="22"/>
      <c r="M989" s="22"/>
      <c r="N989" s="22"/>
      <c r="O989" s="73"/>
      <c r="P989" s="8"/>
      <c r="Q989" s="69"/>
      <c r="R989" s="69"/>
      <c r="S989" s="8"/>
      <c r="T989" s="69"/>
      <c r="U989" s="8"/>
      <c r="V989" s="69"/>
      <c r="W989" s="74"/>
      <c r="X989" s="69"/>
    </row>
    <row r="990">
      <c r="A990" s="30" t="str">
        <f>IFERROR(__xludf.DUMMYFUNCTION("""COMPUTED_VALUE"""),"76937")</f>
        <v>76937</v>
      </c>
      <c r="B990" s="86">
        <f>IFERROR(__xludf.DUMMYFUNCTION("""COMPUTED_VALUE"""),44597.0)</f>
        <v>44597</v>
      </c>
      <c r="C990" s="64" t="str">
        <f>IFERROR(__xludf.DUMMYFUNCTION("""COMPUTED_VALUE"""),"Cash")</f>
        <v>Cash</v>
      </c>
      <c r="D990" s="85" t="str">
        <f>IFERROR(__xludf.DUMMYFUNCTION("""COMPUTED_VALUE"""),"Cash")</f>
        <v>Cash</v>
      </c>
      <c r="E990" s="5" t="str">
        <f>IFERROR(__xludf.DUMMYFUNCTION("""COMPUTED_VALUE"""),"HKD")</f>
        <v>HKD</v>
      </c>
      <c r="F990" s="69" t="str">
        <f>IFERROR(__xludf.DUMMYFUNCTION("""COMPUTED_VALUE"""),"")</f>
        <v/>
      </c>
      <c r="G990" s="70">
        <f>IFERROR(__xludf.DUMMYFUNCTION("""COMPUTED_VALUE"""),1.0)</f>
        <v>1</v>
      </c>
      <c r="H990" s="71">
        <f>IFERROR(__xludf.DUMMYFUNCTION("""COMPUTED_VALUE"""),1.0)</f>
        <v>1</v>
      </c>
      <c r="I990" s="71">
        <f>IFERROR(__xludf.DUMMYFUNCTION("""COMPUTED_VALUE"""),1.0)</f>
        <v>1</v>
      </c>
      <c r="J990" s="22" t="str">
        <f>IFERROR(__xludf.DUMMYFUNCTION("""COMPUTED_VALUE"""),"")</f>
        <v/>
      </c>
      <c r="K990" s="22"/>
      <c r="L990" s="22"/>
      <c r="M990" s="22"/>
      <c r="N990" s="22"/>
      <c r="O990" s="73"/>
      <c r="P990" s="8"/>
      <c r="Q990" s="69"/>
      <c r="R990" s="69"/>
      <c r="S990" s="8"/>
      <c r="T990" s="69"/>
      <c r="U990" s="8"/>
      <c r="V990" s="69"/>
      <c r="W990" s="74"/>
      <c r="X990" s="69"/>
    </row>
    <row r="991">
      <c r="A991" s="30" t="str">
        <f>IFERROR(__xludf.DUMMYFUNCTION("""COMPUTED_VALUE"""),"76937 Total")</f>
        <v>76937 Total</v>
      </c>
      <c r="B991" s="5"/>
      <c r="C991" s="64"/>
      <c r="D991" s="85"/>
      <c r="E991" s="5"/>
      <c r="F991" s="69"/>
      <c r="G991" s="70">
        <f>IFERROR(__xludf.DUMMYFUNCTION("""COMPUTED_VALUE"""),1.0)</f>
        <v>1</v>
      </c>
      <c r="H991" s="71">
        <f>IFERROR(__xludf.DUMMYFUNCTION("""COMPUTED_VALUE"""),1.0)</f>
        <v>1</v>
      </c>
      <c r="I991" s="71" t="str">
        <f>IFERROR(__xludf.DUMMYFUNCTION("""COMPUTED_VALUE"""),"")</f>
        <v/>
      </c>
      <c r="J991" s="22" t="str">
        <f>IFERROR(__xludf.DUMMYFUNCTION("""COMPUTED_VALUE"""),"")</f>
        <v/>
      </c>
      <c r="K991" s="22"/>
      <c r="L991" s="22"/>
      <c r="M991" s="22"/>
      <c r="N991" s="22"/>
      <c r="O991" s="73"/>
      <c r="P991" s="8"/>
      <c r="Q991" s="69"/>
      <c r="R991" s="69"/>
      <c r="S991" s="8"/>
      <c r="T991" s="69"/>
      <c r="U991" s="8"/>
      <c r="V991" s="69"/>
      <c r="W991" s="74"/>
      <c r="X991" s="69"/>
    </row>
    <row r="992">
      <c r="A992" s="30" t="str">
        <f>IFERROR(__xludf.DUMMYFUNCTION("""COMPUTED_VALUE"""),"76938")</f>
        <v>76938</v>
      </c>
      <c r="B992" s="86">
        <f>IFERROR(__xludf.DUMMYFUNCTION("""COMPUTED_VALUE"""),44597.0)</f>
        <v>44597</v>
      </c>
      <c r="C992" s="64" t="str">
        <f>IFERROR(__xludf.DUMMYFUNCTION("""COMPUTED_VALUE"""),"Cash")</f>
        <v>Cash</v>
      </c>
      <c r="D992" s="85" t="str">
        <f>IFERROR(__xludf.DUMMYFUNCTION("""COMPUTED_VALUE"""),"Cash")</f>
        <v>Cash</v>
      </c>
      <c r="E992" s="5" t="str">
        <f>IFERROR(__xludf.DUMMYFUNCTION("""COMPUTED_VALUE"""),"HKD")</f>
        <v>HKD</v>
      </c>
      <c r="F992" s="69" t="str">
        <f>IFERROR(__xludf.DUMMYFUNCTION("""COMPUTED_VALUE"""),"")</f>
        <v/>
      </c>
      <c r="G992" s="70">
        <f>IFERROR(__xludf.DUMMYFUNCTION("""COMPUTED_VALUE"""),1.0)</f>
        <v>1</v>
      </c>
      <c r="H992" s="71">
        <f>IFERROR(__xludf.DUMMYFUNCTION("""COMPUTED_VALUE"""),1.0)</f>
        <v>1</v>
      </c>
      <c r="I992" s="71">
        <f>IFERROR(__xludf.DUMMYFUNCTION("""COMPUTED_VALUE"""),1.0)</f>
        <v>1</v>
      </c>
      <c r="J992" s="22" t="str">
        <f>IFERROR(__xludf.DUMMYFUNCTION("""COMPUTED_VALUE"""),"")</f>
        <v/>
      </c>
      <c r="K992" s="22"/>
      <c r="L992" s="22"/>
      <c r="M992" s="22"/>
      <c r="N992" s="22"/>
      <c r="O992" s="73"/>
      <c r="P992" s="8"/>
      <c r="Q992" s="69"/>
      <c r="R992" s="69"/>
      <c r="S992" s="8"/>
      <c r="T992" s="69"/>
      <c r="U992" s="8"/>
      <c r="V992" s="69"/>
      <c r="W992" s="74"/>
      <c r="X992" s="69"/>
    </row>
    <row r="993">
      <c r="A993" s="30" t="str">
        <f>IFERROR(__xludf.DUMMYFUNCTION("""COMPUTED_VALUE"""),"76938 Total")</f>
        <v>76938 Total</v>
      </c>
      <c r="B993" s="5"/>
      <c r="C993" s="64"/>
      <c r="D993" s="85"/>
      <c r="E993" s="5"/>
      <c r="F993" s="69"/>
      <c r="G993" s="70">
        <f>IFERROR(__xludf.DUMMYFUNCTION("""COMPUTED_VALUE"""),1.0)</f>
        <v>1</v>
      </c>
      <c r="H993" s="71">
        <f>IFERROR(__xludf.DUMMYFUNCTION("""COMPUTED_VALUE"""),1.0)</f>
        <v>1</v>
      </c>
      <c r="I993" s="71" t="str">
        <f>IFERROR(__xludf.DUMMYFUNCTION("""COMPUTED_VALUE"""),"")</f>
        <v/>
      </c>
      <c r="J993" s="22" t="str">
        <f>IFERROR(__xludf.DUMMYFUNCTION("""COMPUTED_VALUE"""),"")</f>
        <v/>
      </c>
      <c r="K993" s="22"/>
      <c r="L993" s="22"/>
      <c r="M993" s="22"/>
      <c r="N993" s="22"/>
      <c r="O993" s="73"/>
      <c r="P993" s="8"/>
      <c r="Q993" s="69"/>
      <c r="R993" s="69"/>
      <c r="S993" s="8"/>
      <c r="T993" s="69"/>
      <c r="U993" s="8"/>
      <c r="V993" s="69"/>
      <c r="W993" s="74"/>
      <c r="X993" s="69"/>
    </row>
    <row r="994">
      <c r="A994" s="30" t="str">
        <f>IFERROR(__xludf.DUMMYFUNCTION("""COMPUTED_VALUE"""),"76975")</f>
        <v>76975</v>
      </c>
      <c r="B994" s="86">
        <f>IFERROR(__xludf.DUMMYFUNCTION("""COMPUTED_VALUE"""),44597.0)</f>
        <v>44597</v>
      </c>
      <c r="C994" s="64" t="str">
        <f>IFERROR(__xludf.DUMMYFUNCTION("""COMPUTED_VALUE"""),"Cash")</f>
        <v>Cash</v>
      </c>
      <c r="D994" s="85" t="str">
        <f>IFERROR(__xludf.DUMMYFUNCTION("""COMPUTED_VALUE"""),"Cash")</f>
        <v>Cash</v>
      </c>
      <c r="E994" s="5" t="str">
        <f>IFERROR(__xludf.DUMMYFUNCTION("""COMPUTED_VALUE"""),"HKD")</f>
        <v>HKD</v>
      </c>
      <c r="F994" s="69" t="str">
        <f>IFERROR(__xludf.DUMMYFUNCTION("""COMPUTED_VALUE"""),"")</f>
        <v/>
      </c>
      <c r="G994" s="70">
        <f>IFERROR(__xludf.DUMMYFUNCTION("""COMPUTED_VALUE"""),1.0)</f>
        <v>1</v>
      </c>
      <c r="H994" s="71">
        <f>IFERROR(__xludf.DUMMYFUNCTION("""COMPUTED_VALUE"""),1.0)</f>
        <v>1</v>
      </c>
      <c r="I994" s="71">
        <f>IFERROR(__xludf.DUMMYFUNCTION("""COMPUTED_VALUE"""),1.0)</f>
        <v>1</v>
      </c>
      <c r="J994" s="22" t="str">
        <f>IFERROR(__xludf.DUMMYFUNCTION("""COMPUTED_VALUE"""),"")</f>
        <v/>
      </c>
      <c r="K994" s="22"/>
      <c r="L994" s="22"/>
      <c r="M994" s="22"/>
      <c r="N994" s="22"/>
      <c r="O994" s="73"/>
      <c r="P994" s="8"/>
      <c r="Q994" s="69"/>
      <c r="R994" s="69"/>
      <c r="S994" s="8"/>
      <c r="T994" s="69"/>
      <c r="U994" s="8"/>
      <c r="V994" s="69"/>
      <c r="W994" s="74"/>
      <c r="X994" s="69"/>
    </row>
    <row r="995">
      <c r="A995" s="30" t="str">
        <f>IFERROR(__xludf.DUMMYFUNCTION("""COMPUTED_VALUE"""),"76975")</f>
        <v>76975</v>
      </c>
      <c r="B995" s="86">
        <f>IFERROR(__xludf.DUMMYFUNCTION("""COMPUTED_VALUE"""),44601.0)</f>
        <v>44601</v>
      </c>
      <c r="C995" s="64" t="str">
        <f>IFERROR(__xludf.DUMMYFUNCTION("""COMPUTED_VALUE"""),"Stock")</f>
        <v>Stock</v>
      </c>
      <c r="D995" s="87" t="str">
        <f>IFERROR(__xludf.DUMMYFUNCTION("""COMPUTED_VALUE"""),"JD")</f>
        <v>JD</v>
      </c>
      <c r="E995" s="5" t="str">
        <f>IFERROR(__xludf.DUMMYFUNCTION("""COMPUTED_VALUE"""),"USD")</f>
        <v>USD</v>
      </c>
      <c r="F995" s="69">
        <f>IFERROR(__xludf.DUMMYFUNCTION("""COMPUTED_VALUE"""),0.0)</f>
        <v>0</v>
      </c>
      <c r="G995" s="70">
        <f>IFERROR(__xludf.DUMMYFUNCTION("""COMPUTED_VALUE"""),7.83915)</f>
        <v>7.83915</v>
      </c>
      <c r="H995" s="71">
        <f>IFERROR(__xludf.DUMMYFUNCTION("""COMPUTED_VALUE"""),0.0)</f>
        <v>0</v>
      </c>
      <c r="I995" s="71">
        <f>IFERROR(__xludf.DUMMYFUNCTION("""COMPUTED_VALUE"""),58.28)</f>
        <v>58.28</v>
      </c>
      <c r="J995" s="88" t="str">
        <f>IFERROR(__xludf.DUMMYFUNCTION("""COMPUTED_VALUE"""),"Goto link: JD")</f>
        <v>Goto link: JD</v>
      </c>
      <c r="K995" s="22"/>
      <c r="L995" s="22"/>
      <c r="M995" s="22"/>
      <c r="N995" s="22"/>
      <c r="O995" s="73"/>
      <c r="P995" s="8"/>
      <c r="Q995" s="69"/>
      <c r="R995" s="69"/>
      <c r="S995" s="8"/>
      <c r="T995" s="69"/>
      <c r="U995" s="8"/>
      <c r="V995" s="69"/>
      <c r="W995" s="74"/>
      <c r="X995" s="69"/>
    </row>
    <row r="996">
      <c r="A996" s="30" t="str">
        <f>IFERROR(__xludf.DUMMYFUNCTION("""COMPUTED_VALUE"""),"76975")</f>
        <v>76975</v>
      </c>
      <c r="B996" s="86">
        <f>IFERROR(__xludf.DUMMYFUNCTION("""COMPUTED_VALUE"""),44609.0)</f>
        <v>44609</v>
      </c>
      <c r="C996" s="64" t="str">
        <f>IFERROR(__xludf.DUMMYFUNCTION("""COMPUTED_VALUE"""),"Stock")</f>
        <v>Stock</v>
      </c>
      <c r="D996" s="90" t="str">
        <f>IFERROR(__xludf.DUMMYFUNCTION("""COMPUTED_VALUE"""),"0700.HK")</f>
        <v>0700.HK</v>
      </c>
      <c r="E996" s="5" t="str">
        <f>IFERROR(__xludf.DUMMYFUNCTION("""COMPUTED_VALUE"""),"HKD")</f>
        <v>HKD</v>
      </c>
      <c r="F996" s="69">
        <f>IFERROR(__xludf.DUMMYFUNCTION("""COMPUTED_VALUE"""),210.0)</f>
        <v>210</v>
      </c>
      <c r="G996" s="70">
        <f>IFERROR(__xludf.DUMMYFUNCTION("""COMPUTED_VALUE"""),1.0)</f>
        <v>1</v>
      </c>
      <c r="H996" s="71">
        <f>IFERROR(__xludf.DUMMYFUNCTION("""COMPUTED_VALUE"""),479.0)</f>
        <v>479</v>
      </c>
      <c r="I996" s="71">
        <f>IFERROR(__xludf.DUMMYFUNCTION("""COMPUTED_VALUE"""),373.6)</f>
        <v>373.6</v>
      </c>
      <c r="J996" s="88" t="str">
        <f>IFERROR(__xludf.DUMMYFUNCTION("""COMPUTED_VALUE"""),"Goto link: 0700.HK")</f>
        <v>Goto link: 0700.HK</v>
      </c>
      <c r="K996" s="22"/>
      <c r="L996" s="22"/>
      <c r="M996" s="22"/>
      <c r="N996" s="22"/>
      <c r="O996" s="73"/>
      <c r="P996" s="8"/>
      <c r="Q996" s="69"/>
      <c r="R996" s="69"/>
      <c r="S996" s="8"/>
      <c r="T996" s="69"/>
      <c r="U996" s="8"/>
      <c r="V996" s="69"/>
      <c r="W996" s="74"/>
      <c r="X996" s="69"/>
    </row>
    <row r="997">
      <c r="A997" s="30" t="str">
        <f>IFERROR(__xludf.DUMMYFUNCTION("""COMPUTED_VALUE"""),"76975")</f>
        <v>76975</v>
      </c>
      <c r="B997" s="86">
        <f>IFERROR(__xludf.DUMMYFUNCTION("""COMPUTED_VALUE"""),44613.0)</f>
        <v>44613</v>
      </c>
      <c r="C997" s="64" t="str">
        <f>IFERROR(__xludf.DUMMYFUNCTION("""COMPUTED_VALUE"""),"Stock")</f>
        <v>Stock</v>
      </c>
      <c r="D997" s="90" t="str">
        <f>IFERROR(__xludf.DUMMYFUNCTION("""COMPUTED_VALUE"""),"3690.HK")</f>
        <v>3690.HK</v>
      </c>
      <c r="E997" s="5" t="str">
        <f>IFERROR(__xludf.DUMMYFUNCTION("""COMPUTED_VALUE"""),"HKD")</f>
        <v>HKD</v>
      </c>
      <c r="F997" s="69">
        <f>IFERROR(__xludf.DUMMYFUNCTION("""COMPUTED_VALUE"""),270.0)</f>
        <v>270</v>
      </c>
      <c r="G997" s="70">
        <f>IFERROR(__xludf.DUMMYFUNCTION("""COMPUTED_VALUE"""),1.0)</f>
        <v>1</v>
      </c>
      <c r="H997" s="71">
        <f>IFERROR(__xludf.DUMMYFUNCTION("""COMPUTED_VALUE"""),180.5)</f>
        <v>180.5</v>
      </c>
      <c r="I997" s="71">
        <f>IFERROR(__xludf.DUMMYFUNCTION("""COMPUTED_VALUE"""),154.1)</f>
        <v>154.1</v>
      </c>
      <c r="J997" s="88" t="str">
        <f>IFERROR(__xludf.DUMMYFUNCTION("""COMPUTED_VALUE"""),"Goto link: 3690.HK")</f>
        <v>Goto link: 3690.HK</v>
      </c>
      <c r="K997" s="22"/>
      <c r="L997" s="22"/>
      <c r="M997" s="22"/>
      <c r="N997" s="22"/>
      <c r="O997" s="73"/>
      <c r="P997" s="8"/>
      <c r="Q997" s="69"/>
      <c r="R997" s="69"/>
      <c r="S997" s="8"/>
      <c r="T997" s="69"/>
      <c r="U997" s="8"/>
      <c r="V997" s="69"/>
      <c r="W997" s="74"/>
      <c r="X997" s="69"/>
    </row>
    <row r="998">
      <c r="A998" s="30" t="str">
        <f>IFERROR(__xludf.DUMMYFUNCTION("""COMPUTED_VALUE"""),"76975")</f>
        <v>76975</v>
      </c>
      <c r="B998" s="86">
        <f>IFERROR(__xludf.DUMMYFUNCTION("""COMPUTED_VALUE"""),44621.0)</f>
        <v>44621</v>
      </c>
      <c r="C998" s="64" t="str">
        <f>IFERROR(__xludf.DUMMYFUNCTION("""COMPUTED_VALUE"""),"Stock")</f>
        <v>Stock</v>
      </c>
      <c r="D998" s="87" t="str">
        <f>IFERROR(__xludf.DUMMYFUNCTION("""COMPUTED_VALUE"""),"JD")</f>
        <v>JD</v>
      </c>
      <c r="E998" s="5" t="str">
        <f>IFERROR(__xludf.DUMMYFUNCTION("""COMPUTED_VALUE"""),"USD")</f>
        <v>USD</v>
      </c>
      <c r="F998" s="69">
        <f>IFERROR(__xludf.DUMMYFUNCTION("""COMPUTED_VALUE"""),120.0)</f>
        <v>120</v>
      </c>
      <c r="G998" s="70">
        <f>IFERROR(__xludf.DUMMYFUNCTION("""COMPUTED_VALUE"""),7.83915)</f>
        <v>7.83915</v>
      </c>
      <c r="H998" s="71">
        <f>IFERROR(__xludf.DUMMYFUNCTION("""COMPUTED_VALUE"""),73.3)</f>
        <v>73.3</v>
      </c>
      <c r="I998" s="71">
        <f>IFERROR(__xludf.DUMMYFUNCTION("""COMPUTED_VALUE"""),58.28)</f>
        <v>58.28</v>
      </c>
      <c r="J998" s="88" t="str">
        <f>IFERROR(__xludf.DUMMYFUNCTION("""COMPUTED_VALUE"""),"Goto link: JD")</f>
        <v>Goto link: JD</v>
      </c>
      <c r="K998" s="22"/>
      <c r="L998" s="22"/>
      <c r="M998" s="22"/>
      <c r="N998" s="22"/>
      <c r="O998" s="73"/>
      <c r="P998" s="8"/>
      <c r="Q998" s="69"/>
      <c r="R998" s="69"/>
      <c r="S998" s="8"/>
      <c r="T998" s="69"/>
      <c r="U998" s="8"/>
      <c r="V998" s="69"/>
      <c r="W998" s="74"/>
      <c r="X998" s="69"/>
    </row>
    <row r="999">
      <c r="A999" s="30" t="str">
        <f>IFERROR(__xludf.DUMMYFUNCTION("""COMPUTED_VALUE"""),"76975")</f>
        <v>76975</v>
      </c>
      <c r="B999" s="86">
        <f>IFERROR(__xludf.DUMMYFUNCTION("""COMPUTED_VALUE"""),44623.0)</f>
        <v>44623</v>
      </c>
      <c r="C999" s="64" t="str">
        <f>IFERROR(__xludf.DUMMYFUNCTION("""COMPUTED_VALUE"""),"Stock")</f>
        <v>Stock</v>
      </c>
      <c r="D999" s="90" t="str">
        <f>IFERROR(__xludf.DUMMYFUNCTION("""COMPUTED_VALUE"""),"0700.HK")</f>
        <v>0700.HK</v>
      </c>
      <c r="E999" s="5" t="str">
        <f>IFERROR(__xludf.DUMMYFUNCTION("""COMPUTED_VALUE"""),"HKD")</f>
        <v>HKD</v>
      </c>
      <c r="F999" s="69">
        <f>IFERROR(__xludf.DUMMYFUNCTION("""COMPUTED_VALUE"""),120.0)</f>
        <v>120</v>
      </c>
      <c r="G999" s="70">
        <f>IFERROR(__xludf.DUMMYFUNCTION("""COMPUTED_VALUE"""),1.0)</f>
        <v>1</v>
      </c>
      <c r="H999" s="71">
        <f>IFERROR(__xludf.DUMMYFUNCTION("""COMPUTED_VALUE"""),423.4)</f>
        <v>423.4</v>
      </c>
      <c r="I999" s="71">
        <f>IFERROR(__xludf.DUMMYFUNCTION("""COMPUTED_VALUE"""),373.6)</f>
        <v>373.6</v>
      </c>
      <c r="J999" s="88" t="str">
        <f>IFERROR(__xludf.DUMMYFUNCTION("""COMPUTED_VALUE"""),"Goto link: 0700.HK")</f>
        <v>Goto link: 0700.HK</v>
      </c>
      <c r="K999" s="22"/>
      <c r="L999" s="22"/>
      <c r="M999" s="22"/>
      <c r="N999" s="22"/>
      <c r="O999" s="73"/>
      <c r="P999" s="8"/>
      <c r="Q999" s="69"/>
      <c r="R999" s="69"/>
      <c r="S999" s="8"/>
      <c r="T999" s="69"/>
      <c r="U999" s="8"/>
      <c r="V999" s="69"/>
      <c r="W999" s="74"/>
      <c r="X999" s="69"/>
    </row>
    <row r="1000">
      <c r="A1000" s="30" t="str">
        <f>IFERROR(__xludf.DUMMYFUNCTION("""COMPUTED_VALUE"""),"76975")</f>
        <v>76975</v>
      </c>
      <c r="B1000" s="86">
        <f>IFERROR(__xludf.DUMMYFUNCTION("""COMPUTED_VALUE"""),44628.0)</f>
        <v>44628</v>
      </c>
      <c r="C1000" s="64" t="str">
        <f>IFERROR(__xludf.DUMMYFUNCTION("""COMPUTED_VALUE"""),"Stock")</f>
        <v>Stock</v>
      </c>
      <c r="D1000" s="90" t="str">
        <f>IFERROR(__xludf.DUMMYFUNCTION("""COMPUTED_VALUE"""),"0700.HK")</f>
        <v>0700.HK</v>
      </c>
      <c r="E1000" s="5" t="str">
        <f>IFERROR(__xludf.DUMMYFUNCTION("""COMPUTED_VALUE"""),"HKD")</f>
        <v>HKD</v>
      </c>
      <c r="F1000" s="69">
        <f>IFERROR(__xludf.DUMMYFUNCTION("""COMPUTED_VALUE"""),260.0)</f>
        <v>260</v>
      </c>
      <c r="G1000" s="70">
        <f>IFERROR(__xludf.DUMMYFUNCTION("""COMPUTED_VALUE"""),1.0)</f>
        <v>1</v>
      </c>
      <c r="H1000" s="71">
        <f>IFERROR(__xludf.DUMMYFUNCTION("""COMPUTED_VALUE"""),383.2)</f>
        <v>383.2</v>
      </c>
      <c r="I1000" s="71">
        <f>IFERROR(__xludf.DUMMYFUNCTION("""COMPUTED_VALUE"""),373.6)</f>
        <v>373.6</v>
      </c>
      <c r="J1000" s="88" t="str">
        <f>IFERROR(__xludf.DUMMYFUNCTION("""COMPUTED_VALUE"""),"Goto link: 0700.HK")</f>
        <v>Goto link: 0700.HK</v>
      </c>
      <c r="K1000" s="22"/>
      <c r="L1000" s="22"/>
      <c r="M1000" s="22"/>
      <c r="N1000" s="22"/>
      <c r="O1000" s="73"/>
      <c r="P1000" s="8"/>
      <c r="Q1000" s="69"/>
      <c r="R1000" s="69"/>
      <c r="S1000" s="8"/>
      <c r="T1000" s="69"/>
      <c r="U1000" s="8"/>
      <c r="V1000" s="69"/>
      <c r="W1000" s="74"/>
      <c r="X1000" s="69"/>
    </row>
    <row r="1001">
      <c r="A1001" s="30" t="str">
        <f>IFERROR(__xludf.DUMMYFUNCTION("""COMPUTED_VALUE"""),"76975 Total")</f>
        <v>76975 Total</v>
      </c>
      <c r="B1001" s="5"/>
      <c r="C1001" s="64"/>
      <c r="D1001" s="85"/>
      <c r="E1001" s="5"/>
      <c r="F1001" s="69"/>
      <c r="G1001" s="70">
        <f>IFERROR(__xludf.DUMMYFUNCTION("""COMPUTED_VALUE"""),2.954042857142857)</f>
        <v>2.954042857</v>
      </c>
      <c r="H1001" s="71">
        <f>IFERROR(__xludf.DUMMYFUNCTION("""COMPUTED_VALUE"""),479.0)</f>
        <v>479</v>
      </c>
      <c r="I1001" s="71" t="str">
        <f>IFERROR(__xludf.DUMMYFUNCTION("""COMPUTED_VALUE"""),"")</f>
        <v/>
      </c>
      <c r="J1001" s="22" t="str">
        <f>IFERROR(__xludf.DUMMYFUNCTION("""COMPUTED_VALUE"""),"")</f>
        <v/>
      </c>
      <c r="K1001" s="22"/>
      <c r="L1001" s="22"/>
      <c r="M1001" s="22"/>
      <c r="N1001" s="22"/>
      <c r="O1001" s="73"/>
      <c r="P1001" s="8"/>
      <c r="Q1001" s="69"/>
      <c r="R1001" s="69"/>
      <c r="S1001" s="8"/>
      <c r="T1001" s="69"/>
      <c r="U1001" s="8"/>
      <c r="V1001" s="69"/>
      <c r="W1001" s="74"/>
      <c r="X1001" s="69"/>
    </row>
    <row r="1002">
      <c r="A1002" s="30" t="str">
        <f>IFERROR(__xludf.DUMMYFUNCTION("""COMPUTED_VALUE"""),"77134")</f>
        <v>77134</v>
      </c>
      <c r="B1002" s="86">
        <f>IFERROR(__xludf.DUMMYFUNCTION("""COMPUTED_VALUE"""),44597.0)</f>
        <v>44597</v>
      </c>
      <c r="C1002" s="64" t="str">
        <f>IFERROR(__xludf.DUMMYFUNCTION("""COMPUTED_VALUE"""),"Cash")</f>
        <v>Cash</v>
      </c>
      <c r="D1002" s="85" t="str">
        <f>IFERROR(__xludf.DUMMYFUNCTION("""COMPUTED_VALUE"""),"Cash")</f>
        <v>Cash</v>
      </c>
      <c r="E1002" s="5" t="str">
        <f>IFERROR(__xludf.DUMMYFUNCTION("""COMPUTED_VALUE"""),"HKD")</f>
        <v>HKD</v>
      </c>
      <c r="F1002" s="69" t="str">
        <f>IFERROR(__xludf.DUMMYFUNCTION("""COMPUTED_VALUE"""),"")</f>
        <v/>
      </c>
      <c r="G1002" s="70">
        <f>IFERROR(__xludf.DUMMYFUNCTION("""COMPUTED_VALUE"""),1.0)</f>
        <v>1</v>
      </c>
      <c r="H1002" s="71">
        <f>IFERROR(__xludf.DUMMYFUNCTION("""COMPUTED_VALUE"""),1.0)</f>
        <v>1</v>
      </c>
      <c r="I1002" s="71">
        <f>IFERROR(__xludf.DUMMYFUNCTION("""COMPUTED_VALUE"""),1.0)</f>
        <v>1</v>
      </c>
      <c r="J1002" s="22" t="str">
        <f>IFERROR(__xludf.DUMMYFUNCTION("""COMPUTED_VALUE"""),"")</f>
        <v/>
      </c>
      <c r="K1002" s="22"/>
      <c r="L1002" s="22"/>
      <c r="M1002" s="22"/>
      <c r="N1002" s="22"/>
      <c r="O1002" s="73"/>
      <c r="P1002" s="8"/>
      <c r="Q1002" s="69"/>
      <c r="R1002" s="69"/>
      <c r="S1002" s="8"/>
      <c r="T1002" s="69"/>
      <c r="U1002" s="8"/>
      <c r="V1002" s="69"/>
      <c r="W1002" s="74"/>
      <c r="X1002" s="69"/>
    </row>
    <row r="1003">
      <c r="A1003" s="30" t="str">
        <f>IFERROR(__xludf.DUMMYFUNCTION("""COMPUTED_VALUE"""),"77134 Total")</f>
        <v>77134 Total</v>
      </c>
      <c r="B1003" s="5"/>
      <c r="C1003" s="64"/>
      <c r="D1003" s="85"/>
      <c r="E1003" s="5"/>
      <c r="F1003" s="69"/>
      <c r="G1003" s="70">
        <f>IFERROR(__xludf.DUMMYFUNCTION("""COMPUTED_VALUE"""),1.0)</f>
        <v>1</v>
      </c>
      <c r="H1003" s="71">
        <f>IFERROR(__xludf.DUMMYFUNCTION("""COMPUTED_VALUE"""),1.0)</f>
        <v>1</v>
      </c>
      <c r="I1003" s="71" t="str">
        <f>IFERROR(__xludf.DUMMYFUNCTION("""COMPUTED_VALUE"""),"")</f>
        <v/>
      </c>
      <c r="J1003" s="22" t="str">
        <f>IFERROR(__xludf.DUMMYFUNCTION("""COMPUTED_VALUE"""),"")</f>
        <v/>
      </c>
      <c r="K1003" s="22"/>
      <c r="L1003" s="22"/>
      <c r="M1003" s="22"/>
      <c r="N1003" s="22"/>
      <c r="O1003" s="73"/>
      <c r="P1003" s="8"/>
      <c r="Q1003" s="69"/>
      <c r="R1003" s="69"/>
      <c r="S1003" s="8"/>
      <c r="T1003" s="69"/>
      <c r="U1003" s="8"/>
      <c r="V1003" s="69"/>
      <c r="W1003" s="74"/>
      <c r="X1003" s="69"/>
    </row>
    <row r="1004">
      <c r="A1004" s="30" t="str">
        <f>IFERROR(__xludf.DUMMYFUNCTION("""COMPUTED_VALUE"""),"77216")</f>
        <v>77216</v>
      </c>
      <c r="B1004" s="86">
        <f>IFERROR(__xludf.DUMMYFUNCTION("""COMPUTED_VALUE"""),44597.0)</f>
        <v>44597</v>
      </c>
      <c r="C1004" s="64" t="str">
        <f>IFERROR(__xludf.DUMMYFUNCTION("""COMPUTED_VALUE"""),"Cash")</f>
        <v>Cash</v>
      </c>
      <c r="D1004" s="85" t="str">
        <f>IFERROR(__xludf.DUMMYFUNCTION("""COMPUTED_VALUE"""),"Cash")</f>
        <v>Cash</v>
      </c>
      <c r="E1004" s="5" t="str">
        <f>IFERROR(__xludf.DUMMYFUNCTION("""COMPUTED_VALUE"""),"HKD")</f>
        <v>HKD</v>
      </c>
      <c r="F1004" s="69" t="str">
        <f>IFERROR(__xludf.DUMMYFUNCTION("""COMPUTED_VALUE"""),"")</f>
        <v/>
      </c>
      <c r="G1004" s="70">
        <f>IFERROR(__xludf.DUMMYFUNCTION("""COMPUTED_VALUE"""),1.0)</f>
        <v>1</v>
      </c>
      <c r="H1004" s="71">
        <f>IFERROR(__xludf.DUMMYFUNCTION("""COMPUTED_VALUE"""),1.0)</f>
        <v>1</v>
      </c>
      <c r="I1004" s="71">
        <f>IFERROR(__xludf.DUMMYFUNCTION("""COMPUTED_VALUE"""),1.0)</f>
        <v>1</v>
      </c>
      <c r="J1004" s="22" t="str">
        <f>IFERROR(__xludf.DUMMYFUNCTION("""COMPUTED_VALUE"""),"")</f>
        <v/>
      </c>
      <c r="K1004" s="22"/>
      <c r="L1004" s="22"/>
      <c r="M1004" s="22"/>
      <c r="N1004" s="22"/>
      <c r="O1004" s="73"/>
      <c r="P1004" s="8"/>
      <c r="Q1004" s="69"/>
      <c r="R1004" s="69"/>
      <c r="S1004" s="8"/>
      <c r="T1004" s="69"/>
      <c r="U1004" s="8"/>
      <c r="V1004" s="69"/>
      <c r="W1004" s="74"/>
      <c r="X1004" s="69"/>
    </row>
    <row r="1005">
      <c r="A1005" s="30" t="str">
        <f>IFERROR(__xludf.DUMMYFUNCTION("""COMPUTED_VALUE"""),"77216")</f>
        <v>77216</v>
      </c>
      <c r="B1005" s="86">
        <f>IFERROR(__xludf.DUMMYFUNCTION("""COMPUTED_VALUE"""),44656.0)</f>
        <v>44656</v>
      </c>
      <c r="C1005" s="64" t="str">
        <f>IFERROR(__xludf.DUMMYFUNCTION("""COMPUTED_VALUE"""),"Stock")</f>
        <v>Stock</v>
      </c>
      <c r="D1005" s="87" t="str">
        <f>IFERROR(__xludf.DUMMYFUNCTION("""COMPUTED_VALUE"""),"ABML")</f>
        <v>ABML</v>
      </c>
      <c r="E1005" s="5" t="str">
        <f>IFERROR(__xludf.DUMMYFUNCTION("""COMPUTED_VALUE"""),"USD")</f>
        <v>USD</v>
      </c>
      <c r="F1005" s="69">
        <f>IFERROR(__xludf.DUMMYFUNCTION("""COMPUTED_VALUE"""),0.0)</f>
        <v>0</v>
      </c>
      <c r="G1005" s="70">
        <f>IFERROR(__xludf.DUMMYFUNCTION("""COMPUTED_VALUE"""),7.83915)</f>
        <v>7.83915</v>
      </c>
      <c r="H1005" s="71">
        <f>IFERROR(__xludf.DUMMYFUNCTION("""COMPUTED_VALUE"""),0.0)</f>
        <v>0</v>
      </c>
      <c r="I1005" s="71">
        <f>IFERROR(__xludf.DUMMYFUNCTION("""COMPUTED_VALUE"""),1.285)</f>
        <v>1.285</v>
      </c>
      <c r="J1005" s="88" t="str">
        <f>IFERROR(__xludf.DUMMYFUNCTION("""COMPUTED_VALUE"""),"Goto link: ABML")</f>
        <v>Goto link: ABML</v>
      </c>
      <c r="K1005" s="22"/>
      <c r="L1005" s="22"/>
      <c r="M1005" s="22"/>
      <c r="N1005" s="22"/>
      <c r="O1005" s="73"/>
      <c r="P1005" s="8"/>
      <c r="Q1005" s="69"/>
      <c r="R1005" s="69"/>
      <c r="S1005" s="8"/>
      <c r="T1005" s="69"/>
      <c r="U1005" s="8"/>
      <c r="V1005" s="69"/>
      <c r="W1005" s="74"/>
      <c r="X1005" s="69"/>
    </row>
    <row r="1006">
      <c r="A1006" s="30" t="str">
        <f>IFERROR(__xludf.DUMMYFUNCTION("""COMPUTED_VALUE"""),"77216")</f>
        <v>77216</v>
      </c>
      <c r="B1006" s="86">
        <f>IFERROR(__xludf.DUMMYFUNCTION("""COMPUTED_VALUE"""),44659.0)</f>
        <v>44659</v>
      </c>
      <c r="C1006" s="64" t="str">
        <f>IFERROR(__xludf.DUMMYFUNCTION("""COMPUTED_VALUE"""),"Stock")</f>
        <v>Stock</v>
      </c>
      <c r="D1006" s="85" t="str">
        <f>IFERROR(__xludf.DUMMYFUNCTION("""COMPUTED_VALUE"""),"DIDI")</f>
        <v>DIDI</v>
      </c>
      <c r="E1006" s="5" t="str">
        <f>IFERROR(__xludf.DUMMYFUNCTION("""COMPUTED_VALUE"""),"USD")</f>
        <v>USD</v>
      </c>
      <c r="F1006" s="69">
        <f>IFERROR(__xludf.DUMMYFUNCTION("""COMPUTED_VALUE"""),24000.0)</f>
        <v>24000</v>
      </c>
      <c r="G1006" s="70">
        <f>IFERROR(__xludf.DUMMYFUNCTION("""COMPUTED_VALUE"""),7.83915)</f>
        <v>7.83915</v>
      </c>
      <c r="H1006" s="71">
        <f>IFERROR(__xludf.DUMMYFUNCTION("""COMPUTED_VALUE"""),2.52)</f>
        <v>2.52</v>
      </c>
      <c r="I1006" s="71">
        <f>IFERROR(__xludf.DUMMYFUNCTION("""COMPUTED_VALUE"""),2.54)</f>
        <v>2.54</v>
      </c>
      <c r="J1006" s="88" t="str">
        <f>IFERROR(__xludf.DUMMYFUNCTION("""COMPUTED_VALUE"""),"Goto link: DIDI")</f>
        <v>Goto link: DIDI</v>
      </c>
      <c r="K1006" s="22"/>
      <c r="L1006" s="22"/>
      <c r="M1006" s="22"/>
      <c r="N1006" s="22"/>
      <c r="O1006" s="73"/>
      <c r="P1006" s="8"/>
      <c r="Q1006" s="69"/>
      <c r="R1006" s="69"/>
      <c r="S1006" s="8"/>
      <c r="T1006" s="69"/>
      <c r="U1006" s="8"/>
      <c r="V1006" s="69"/>
      <c r="W1006" s="74"/>
      <c r="X1006" s="69"/>
    </row>
    <row r="1007">
      <c r="A1007" s="30" t="str">
        <f>IFERROR(__xludf.DUMMYFUNCTION("""COMPUTED_VALUE"""),"77216")</f>
        <v>77216</v>
      </c>
      <c r="B1007" s="86">
        <f>IFERROR(__xludf.DUMMYFUNCTION("""COMPUTED_VALUE"""),44659.0)</f>
        <v>44659</v>
      </c>
      <c r="C1007" s="64" t="str">
        <f>IFERROR(__xludf.DUMMYFUNCTION("""COMPUTED_VALUE"""),"Stock")</f>
        <v>Stock</v>
      </c>
      <c r="D1007" s="85" t="str">
        <f>IFERROR(__xludf.DUMMYFUNCTION("""COMPUTED_VALUE"""),"DIDI")</f>
        <v>DIDI</v>
      </c>
      <c r="E1007" s="5" t="str">
        <f>IFERROR(__xludf.DUMMYFUNCTION("""COMPUTED_VALUE"""),"USD")</f>
        <v>USD</v>
      </c>
      <c r="F1007" s="69" t="str">
        <f>IFERROR(__xludf.DUMMYFUNCTION("""COMPUTED_VALUE"""),"")</f>
        <v/>
      </c>
      <c r="G1007" s="70">
        <f>IFERROR(__xludf.DUMMYFUNCTION("""COMPUTED_VALUE"""),7.83915)</f>
        <v>7.83915</v>
      </c>
      <c r="H1007" s="71">
        <f>IFERROR(__xludf.DUMMYFUNCTION("""COMPUTED_VALUE"""),2.52)</f>
        <v>2.52</v>
      </c>
      <c r="I1007" s="71">
        <f>IFERROR(__xludf.DUMMYFUNCTION("""COMPUTED_VALUE"""),2.54)</f>
        <v>2.54</v>
      </c>
      <c r="J1007" s="88" t="str">
        <f>IFERROR(__xludf.DUMMYFUNCTION("""COMPUTED_VALUE"""),"Goto link: DIDI")</f>
        <v>Goto link: DIDI</v>
      </c>
      <c r="K1007" s="22"/>
      <c r="L1007" s="22"/>
      <c r="M1007" s="22"/>
      <c r="N1007" s="22"/>
      <c r="O1007" s="73"/>
      <c r="P1007" s="8"/>
      <c r="Q1007" s="69"/>
      <c r="R1007" s="69"/>
      <c r="S1007" s="8"/>
      <c r="T1007" s="69"/>
      <c r="U1007" s="8"/>
      <c r="V1007" s="69"/>
      <c r="W1007" s="74"/>
      <c r="X1007" s="69"/>
    </row>
    <row r="1008">
      <c r="A1008" s="30" t="str">
        <f>IFERROR(__xludf.DUMMYFUNCTION("""COMPUTED_VALUE"""),"77216 Total")</f>
        <v>77216 Total</v>
      </c>
      <c r="B1008" s="5"/>
      <c r="C1008" s="64"/>
      <c r="D1008" s="85"/>
      <c r="E1008" s="5"/>
      <c r="F1008" s="69"/>
      <c r="G1008" s="70">
        <f>IFERROR(__xludf.DUMMYFUNCTION("""COMPUTED_VALUE"""),6.47132)</f>
        <v>6.47132</v>
      </c>
      <c r="H1008" s="71">
        <f>IFERROR(__xludf.DUMMYFUNCTION("""COMPUTED_VALUE"""),2.52)</f>
        <v>2.52</v>
      </c>
      <c r="I1008" s="71" t="str">
        <f>IFERROR(__xludf.DUMMYFUNCTION("""COMPUTED_VALUE"""),"")</f>
        <v/>
      </c>
      <c r="J1008" s="22" t="str">
        <f>IFERROR(__xludf.DUMMYFUNCTION("""COMPUTED_VALUE"""),"")</f>
        <v/>
      </c>
      <c r="K1008" s="22"/>
      <c r="L1008" s="22"/>
      <c r="M1008" s="22"/>
      <c r="N1008" s="22"/>
      <c r="O1008" s="73"/>
      <c r="P1008" s="8"/>
      <c r="Q1008" s="69"/>
      <c r="R1008" s="69"/>
      <c r="S1008" s="8"/>
      <c r="T1008" s="69"/>
      <c r="U1008" s="8"/>
      <c r="V1008" s="69"/>
      <c r="W1008" s="74"/>
      <c r="X1008" s="69"/>
    </row>
    <row r="1009">
      <c r="A1009" s="30" t="str">
        <f>IFERROR(__xludf.DUMMYFUNCTION("""COMPUTED_VALUE"""),"77393")</f>
        <v>77393</v>
      </c>
      <c r="B1009" s="86">
        <f>IFERROR(__xludf.DUMMYFUNCTION("""COMPUTED_VALUE"""),44597.0)</f>
        <v>44597</v>
      </c>
      <c r="C1009" s="64" t="str">
        <f>IFERROR(__xludf.DUMMYFUNCTION("""COMPUTED_VALUE"""),"Cash")</f>
        <v>Cash</v>
      </c>
      <c r="D1009" s="85" t="str">
        <f>IFERROR(__xludf.DUMMYFUNCTION("""COMPUTED_VALUE"""),"Cash")</f>
        <v>Cash</v>
      </c>
      <c r="E1009" s="5" t="str">
        <f>IFERROR(__xludf.DUMMYFUNCTION("""COMPUTED_VALUE"""),"HKD")</f>
        <v>HKD</v>
      </c>
      <c r="F1009" s="69" t="str">
        <f>IFERROR(__xludf.DUMMYFUNCTION("""COMPUTED_VALUE"""),"")</f>
        <v/>
      </c>
      <c r="G1009" s="70">
        <f>IFERROR(__xludf.DUMMYFUNCTION("""COMPUTED_VALUE"""),1.0)</f>
        <v>1</v>
      </c>
      <c r="H1009" s="71">
        <f>IFERROR(__xludf.DUMMYFUNCTION("""COMPUTED_VALUE"""),1.0)</f>
        <v>1</v>
      </c>
      <c r="I1009" s="71">
        <f>IFERROR(__xludf.DUMMYFUNCTION("""COMPUTED_VALUE"""),1.0)</f>
        <v>1</v>
      </c>
      <c r="J1009" s="22" t="str">
        <f>IFERROR(__xludf.DUMMYFUNCTION("""COMPUTED_VALUE"""),"")</f>
        <v/>
      </c>
      <c r="K1009" s="22"/>
      <c r="L1009" s="22"/>
      <c r="M1009" s="22"/>
      <c r="N1009" s="22"/>
      <c r="O1009" s="73"/>
      <c r="P1009" s="8"/>
      <c r="Q1009" s="69"/>
      <c r="R1009" s="69"/>
      <c r="S1009" s="8"/>
      <c r="T1009" s="69"/>
      <c r="U1009" s="8"/>
      <c r="V1009" s="69"/>
      <c r="W1009" s="74"/>
      <c r="X1009" s="69"/>
    </row>
    <row r="1010">
      <c r="A1010" s="30" t="str">
        <f>IFERROR(__xludf.DUMMYFUNCTION("""COMPUTED_VALUE"""),"77393")</f>
        <v>77393</v>
      </c>
      <c r="B1010" s="86">
        <f>IFERROR(__xludf.DUMMYFUNCTION("""COMPUTED_VALUE"""),44641.0)</f>
        <v>44641</v>
      </c>
      <c r="C1010" s="64" t="str">
        <f>IFERROR(__xludf.DUMMYFUNCTION("""COMPUTED_VALUE"""),"Stock")</f>
        <v>Stock</v>
      </c>
      <c r="D1010" s="90" t="str">
        <f>IFERROR(__xludf.DUMMYFUNCTION("""COMPUTED_VALUE"""),"000568.SZ")</f>
        <v>000568.SZ</v>
      </c>
      <c r="E1010" s="5" t="str">
        <f>IFERROR(__xludf.DUMMYFUNCTION("""COMPUTED_VALUE"""),"CNY")</f>
        <v>CNY</v>
      </c>
      <c r="F1010" s="69">
        <f>IFERROR(__xludf.DUMMYFUNCTION("""COMPUTED_VALUE"""),0.0)</f>
        <v>0</v>
      </c>
      <c r="G1010" s="70">
        <f>IFERROR(__xludf.DUMMYFUNCTION("""COMPUTED_VALUE"""),1.231169)</f>
        <v>1.231169</v>
      </c>
      <c r="H1010" s="71">
        <f>IFERROR(__xludf.DUMMYFUNCTION("""COMPUTED_VALUE"""),0.0)</f>
        <v>0</v>
      </c>
      <c r="I1010" s="71">
        <f>IFERROR(__xludf.DUMMYFUNCTION("""COMPUTED_VALUE"""),192.7)</f>
        <v>192.7</v>
      </c>
      <c r="J1010" s="88" t="str">
        <f>IFERROR(__xludf.DUMMYFUNCTION("""COMPUTED_VALUE"""),"Goto link: 000568.SZ")</f>
        <v>Goto link: 000568.SZ</v>
      </c>
      <c r="K1010" s="22"/>
      <c r="L1010" s="22"/>
      <c r="M1010" s="22"/>
      <c r="N1010" s="22"/>
      <c r="O1010" s="73"/>
      <c r="P1010" s="8"/>
      <c r="Q1010" s="69"/>
      <c r="R1010" s="69"/>
      <c r="S1010" s="8"/>
      <c r="T1010" s="69"/>
      <c r="U1010" s="8"/>
      <c r="V1010" s="69"/>
      <c r="W1010" s="74"/>
      <c r="X1010" s="69"/>
    </row>
    <row r="1011">
      <c r="A1011" s="30" t="str">
        <f>IFERROR(__xludf.DUMMYFUNCTION("""COMPUTED_VALUE"""),"77393")</f>
        <v>77393</v>
      </c>
      <c r="B1011" s="86">
        <f>IFERROR(__xludf.DUMMYFUNCTION("""COMPUTED_VALUE"""),44652.0)</f>
        <v>44652</v>
      </c>
      <c r="C1011" s="64" t="str">
        <f>IFERROR(__xludf.DUMMYFUNCTION("""COMPUTED_VALUE"""),"Stock")</f>
        <v>Stock</v>
      </c>
      <c r="D1011" s="90" t="str">
        <f>IFERROR(__xludf.DUMMYFUNCTION("""COMPUTED_VALUE"""),"000568.sz")</f>
        <v>000568.sz</v>
      </c>
      <c r="E1011" s="5" t="str">
        <f>IFERROR(__xludf.DUMMYFUNCTION("""COMPUTED_VALUE"""),"CNY")</f>
        <v>CNY</v>
      </c>
      <c r="F1011" s="69">
        <f>IFERROR(__xludf.DUMMYFUNCTION("""COMPUTED_VALUE"""),2000.0)</f>
        <v>2000</v>
      </c>
      <c r="G1011" s="70">
        <f>IFERROR(__xludf.DUMMYFUNCTION("""COMPUTED_VALUE"""),1.231169)</f>
        <v>1.231169</v>
      </c>
      <c r="H1011" s="71">
        <f>IFERROR(__xludf.DUMMYFUNCTION("""COMPUTED_VALUE"""),190.7)</f>
        <v>190.7</v>
      </c>
      <c r="I1011" s="71">
        <f>IFERROR(__xludf.DUMMYFUNCTION("""COMPUTED_VALUE"""),192.7)</f>
        <v>192.7</v>
      </c>
      <c r="J1011" s="88" t="str">
        <f>IFERROR(__xludf.DUMMYFUNCTION("""COMPUTED_VALUE"""),"Goto link: 000568.sz")</f>
        <v>Goto link: 000568.sz</v>
      </c>
      <c r="K1011" s="22"/>
      <c r="L1011" s="22"/>
      <c r="M1011" s="22"/>
      <c r="N1011" s="22"/>
      <c r="O1011" s="73"/>
      <c r="P1011" s="8"/>
      <c r="Q1011" s="69"/>
      <c r="R1011" s="69"/>
      <c r="S1011" s="8"/>
      <c r="T1011" s="69"/>
      <c r="U1011" s="8"/>
      <c r="V1011" s="69"/>
      <c r="W1011" s="74"/>
      <c r="X1011" s="69"/>
    </row>
    <row r="1012">
      <c r="A1012" s="30" t="str">
        <f>IFERROR(__xludf.DUMMYFUNCTION("""COMPUTED_VALUE"""),"77393")</f>
        <v>77393</v>
      </c>
      <c r="B1012" s="86">
        <f>IFERROR(__xludf.DUMMYFUNCTION("""COMPUTED_VALUE"""),44657.0)</f>
        <v>44657</v>
      </c>
      <c r="C1012" s="64" t="str">
        <f>IFERROR(__xludf.DUMMYFUNCTION("""COMPUTED_VALUE"""),"Stock")</f>
        <v>Stock</v>
      </c>
      <c r="D1012" s="90" t="str">
        <f>IFERROR(__xludf.DUMMYFUNCTION("""COMPUTED_VALUE"""),"000568.sz")</f>
        <v>000568.sz</v>
      </c>
      <c r="E1012" s="5" t="str">
        <f>IFERROR(__xludf.DUMMYFUNCTION("""COMPUTED_VALUE"""),"CNY")</f>
        <v>CNY</v>
      </c>
      <c r="F1012" s="69" t="str">
        <f>IFERROR(__xludf.DUMMYFUNCTION("""COMPUTED_VALUE"""),"")</f>
        <v/>
      </c>
      <c r="G1012" s="70">
        <f>IFERROR(__xludf.DUMMYFUNCTION("""COMPUTED_VALUE"""),1.231169)</f>
        <v>1.231169</v>
      </c>
      <c r="H1012" s="71">
        <f>IFERROR(__xludf.DUMMYFUNCTION("""COMPUTED_VALUE"""),187.5)</f>
        <v>187.5</v>
      </c>
      <c r="I1012" s="71">
        <f>IFERROR(__xludf.DUMMYFUNCTION("""COMPUTED_VALUE"""),192.7)</f>
        <v>192.7</v>
      </c>
      <c r="J1012" s="88" t="str">
        <f>IFERROR(__xludf.DUMMYFUNCTION("""COMPUTED_VALUE"""),"Goto link: 000568.sz")</f>
        <v>Goto link: 000568.sz</v>
      </c>
      <c r="K1012" s="22"/>
      <c r="L1012" s="22"/>
      <c r="M1012" s="22"/>
      <c r="N1012" s="22"/>
      <c r="O1012" s="73"/>
      <c r="P1012" s="8"/>
      <c r="Q1012" s="69"/>
      <c r="R1012" s="69"/>
      <c r="S1012" s="8"/>
      <c r="T1012" s="69"/>
      <c r="U1012" s="8"/>
      <c r="V1012" s="69"/>
      <c r="W1012" s="74"/>
      <c r="X1012" s="69"/>
    </row>
    <row r="1013">
      <c r="A1013" s="30" t="str">
        <f>IFERROR(__xludf.DUMMYFUNCTION("""COMPUTED_VALUE"""),"77393 Total")</f>
        <v>77393 Total</v>
      </c>
      <c r="B1013" s="5"/>
      <c r="C1013" s="64"/>
      <c r="D1013" s="85"/>
      <c r="E1013" s="5"/>
      <c r="F1013" s="69"/>
      <c r="G1013" s="70">
        <f>IFERROR(__xludf.DUMMYFUNCTION("""COMPUTED_VALUE"""),1.17337675)</f>
        <v>1.17337675</v>
      </c>
      <c r="H1013" s="71">
        <f>IFERROR(__xludf.DUMMYFUNCTION("""COMPUTED_VALUE"""),190.7)</f>
        <v>190.7</v>
      </c>
      <c r="I1013" s="71" t="str">
        <f>IFERROR(__xludf.DUMMYFUNCTION("""COMPUTED_VALUE"""),"")</f>
        <v/>
      </c>
      <c r="J1013" s="22" t="str">
        <f>IFERROR(__xludf.DUMMYFUNCTION("""COMPUTED_VALUE"""),"")</f>
        <v/>
      </c>
      <c r="K1013" s="22"/>
      <c r="L1013" s="22"/>
      <c r="M1013" s="22"/>
      <c r="N1013" s="22"/>
      <c r="O1013" s="73"/>
      <c r="P1013" s="8"/>
      <c r="Q1013" s="69"/>
      <c r="R1013" s="69"/>
      <c r="S1013" s="8"/>
      <c r="T1013" s="69"/>
      <c r="U1013" s="8"/>
      <c r="V1013" s="69"/>
      <c r="W1013" s="74"/>
      <c r="X1013" s="69"/>
    </row>
    <row r="1014">
      <c r="A1014" s="30" t="str">
        <f>IFERROR(__xludf.DUMMYFUNCTION("""COMPUTED_VALUE"""),"77603")</f>
        <v>77603</v>
      </c>
      <c r="B1014" s="86">
        <f>IFERROR(__xludf.DUMMYFUNCTION("""COMPUTED_VALUE"""),44597.0)</f>
        <v>44597</v>
      </c>
      <c r="C1014" s="64" t="str">
        <f>IFERROR(__xludf.DUMMYFUNCTION("""COMPUTED_VALUE"""),"Cash")</f>
        <v>Cash</v>
      </c>
      <c r="D1014" s="85" t="str">
        <f>IFERROR(__xludf.DUMMYFUNCTION("""COMPUTED_VALUE"""),"Cash")</f>
        <v>Cash</v>
      </c>
      <c r="E1014" s="5" t="str">
        <f>IFERROR(__xludf.DUMMYFUNCTION("""COMPUTED_VALUE"""),"HKD")</f>
        <v>HKD</v>
      </c>
      <c r="F1014" s="69" t="str">
        <f>IFERROR(__xludf.DUMMYFUNCTION("""COMPUTED_VALUE"""),"")</f>
        <v/>
      </c>
      <c r="G1014" s="70">
        <f>IFERROR(__xludf.DUMMYFUNCTION("""COMPUTED_VALUE"""),1.0)</f>
        <v>1</v>
      </c>
      <c r="H1014" s="71">
        <f>IFERROR(__xludf.DUMMYFUNCTION("""COMPUTED_VALUE"""),1.0)</f>
        <v>1</v>
      </c>
      <c r="I1014" s="71">
        <f>IFERROR(__xludf.DUMMYFUNCTION("""COMPUTED_VALUE"""),1.0)</f>
        <v>1</v>
      </c>
      <c r="J1014" s="22" t="str">
        <f>IFERROR(__xludf.DUMMYFUNCTION("""COMPUTED_VALUE"""),"")</f>
        <v/>
      </c>
      <c r="K1014" s="22"/>
      <c r="L1014" s="22"/>
      <c r="M1014" s="22"/>
      <c r="N1014" s="22"/>
      <c r="O1014" s="73"/>
      <c r="P1014" s="8"/>
      <c r="Q1014" s="69"/>
      <c r="R1014" s="69"/>
      <c r="S1014" s="8"/>
      <c r="T1014" s="69"/>
      <c r="U1014" s="8"/>
      <c r="V1014" s="69"/>
      <c r="W1014" s="74"/>
      <c r="X1014" s="69"/>
    </row>
    <row r="1015">
      <c r="A1015" s="30" t="str">
        <f>IFERROR(__xludf.DUMMYFUNCTION("""COMPUTED_VALUE"""),"77603")</f>
        <v>77603</v>
      </c>
      <c r="B1015" s="86">
        <f>IFERROR(__xludf.DUMMYFUNCTION("""COMPUTED_VALUE"""),44634.0)</f>
        <v>44634</v>
      </c>
      <c r="C1015" s="64" t="str">
        <f>IFERROR(__xludf.DUMMYFUNCTION("""COMPUTED_VALUE"""),"Stock")</f>
        <v>Stock</v>
      </c>
      <c r="D1015" s="90" t="str">
        <f>IFERROR(__xludf.DUMMYFUNCTION("""COMPUTED_VALUE"""),"1024.HK")</f>
        <v>1024.HK</v>
      </c>
      <c r="E1015" s="5" t="str">
        <f>IFERROR(__xludf.DUMMYFUNCTION("""COMPUTED_VALUE"""),"HKD")</f>
        <v>HKD</v>
      </c>
      <c r="F1015" s="69">
        <f>IFERROR(__xludf.DUMMYFUNCTION("""COMPUTED_VALUE"""),7000.0)</f>
        <v>7000</v>
      </c>
      <c r="G1015" s="70">
        <f>IFERROR(__xludf.DUMMYFUNCTION("""COMPUTED_VALUE"""),1.0)</f>
        <v>1</v>
      </c>
      <c r="H1015" s="71">
        <f>IFERROR(__xludf.DUMMYFUNCTION("""COMPUTED_VALUE"""),60.2)</f>
        <v>60.2</v>
      </c>
      <c r="I1015" s="71">
        <f>IFERROR(__xludf.DUMMYFUNCTION("""COMPUTED_VALUE"""),64.0)</f>
        <v>64</v>
      </c>
      <c r="J1015" s="88" t="str">
        <f>IFERROR(__xludf.DUMMYFUNCTION("""COMPUTED_VALUE"""),"Goto link: 1024.HK")</f>
        <v>Goto link: 1024.HK</v>
      </c>
      <c r="K1015" s="22"/>
      <c r="L1015" s="22"/>
      <c r="M1015" s="22"/>
      <c r="N1015" s="22"/>
      <c r="O1015" s="73"/>
      <c r="P1015" s="8"/>
      <c r="Q1015" s="69"/>
      <c r="R1015" s="69"/>
      <c r="S1015" s="8"/>
      <c r="T1015" s="69"/>
      <c r="U1015" s="8"/>
      <c r="V1015" s="69"/>
      <c r="W1015" s="74"/>
      <c r="X1015" s="69"/>
    </row>
    <row r="1016">
      <c r="A1016" s="30" t="str">
        <f>IFERROR(__xludf.DUMMYFUNCTION("""COMPUTED_VALUE"""),"77603")</f>
        <v>77603</v>
      </c>
      <c r="B1016" s="86">
        <f>IFERROR(__xludf.DUMMYFUNCTION("""COMPUTED_VALUE"""),44651.0)</f>
        <v>44651</v>
      </c>
      <c r="C1016" s="64" t="str">
        <f>IFERROR(__xludf.DUMMYFUNCTION("""COMPUTED_VALUE"""),"Stock")</f>
        <v>Stock</v>
      </c>
      <c r="D1016" s="90" t="str">
        <f>IFERROR(__xludf.DUMMYFUNCTION("""COMPUTED_VALUE"""),"9888.HK")</f>
        <v>9888.HK</v>
      </c>
      <c r="E1016" s="5" t="str">
        <f>IFERROR(__xludf.DUMMYFUNCTION("""COMPUTED_VALUE"""),"HKD")</f>
        <v>HKD</v>
      </c>
      <c r="F1016" s="69">
        <f>IFERROR(__xludf.DUMMYFUNCTION("""COMPUTED_VALUE"""),0.0)</f>
        <v>0</v>
      </c>
      <c r="G1016" s="70">
        <f>IFERROR(__xludf.DUMMYFUNCTION("""COMPUTED_VALUE"""),1.0)</f>
        <v>1</v>
      </c>
      <c r="H1016" s="71">
        <f>IFERROR(__xludf.DUMMYFUNCTION("""COMPUTED_VALUE"""),0.0)</f>
        <v>0</v>
      </c>
      <c r="I1016" s="71">
        <f>IFERROR(__xludf.DUMMYFUNCTION("""COMPUTED_VALUE"""),128.9)</f>
        <v>128.9</v>
      </c>
      <c r="J1016" s="88" t="str">
        <f>IFERROR(__xludf.DUMMYFUNCTION("""COMPUTED_VALUE"""),"Goto link: 9888.HK")</f>
        <v>Goto link: 9888.HK</v>
      </c>
      <c r="K1016" s="22"/>
      <c r="L1016" s="22"/>
      <c r="M1016" s="22"/>
      <c r="N1016" s="22"/>
      <c r="O1016" s="73"/>
      <c r="P1016" s="8"/>
      <c r="Q1016" s="69"/>
      <c r="R1016" s="69"/>
      <c r="S1016" s="8"/>
      <c r="T1016" s="69"/>
      <c r="U1016" s="8"/>
      <c r="V1016" s="69"/>
      <c r="W1016" s="74"/>
      <c r="X1016" s="69"/>
    </row>
    <row r="1017">
      <c r="A1017" s="30" t="str">
        <f>IFERROR(__xludf.DUMMYFUNCTION("""COMPUTED_VALUE"""),"77603")</f>
        <v>77603</v>
      </c>
      <c r="B1017" s="86">
        <f>IFERROR(__xludf.DUMMYFUNCTION("""COMPUTED_VALUE"""),44652.0)</f>
        <v>44652</v>
      </c>
      <c r="C1017" s="64" t="str">
        <f>IFERROR(__xludf.DUMMYFUNCTION("""COMPUTED_VALUE"""),"Stock")</f>
        <v>Stock</v>
      </c>
      <c r="D1017" s="90" t="str">
        <f>IFERROR(__xludf.DUMMYFUNCTION("""COMPUTED_VALUE"""),"9888.HK")</f>
        <v>9888.HK</v>
      </c>
      <c r="E1017" s="5" t="str">
        <f>IFERROR(__xludf.DUMMYFUNCTION("""COMPUTED_VALUE"""),"HKD")</f>
        <v>HKD</v>
      </c>
      <c r="F1017" s="69">
        <f>IFERROR(__xludf.DUMMYFUNCTION("""COMPUTED_VALUE"""),0.0)</f>
        <v>0</v>
      </c>
      <c r="G1017" s="70">
        <f>IFERROR(__xludf.DUMMYFUNCTION("""COMPUTED_VALUE"""),1.0)</f>
        <v>1</v>
      </c>
      <c r="H1017" s="71">
        <f>IFERROR(__xludf.DUMMYFUNCTION("""COMPUTED_VALUE"""),0.0)</f>
        <v>0</v>
      </c>
      <c r="I1017" s="71">
        <f>IFERROR(__xludf.DUMMYFUNCTION("""COMPUTED_VALUE"""),128.9)</f>
        <v>128.9</v>
      </c>
      <c r="J1017" s="88" t="str">
        <f>IFERROR(__xludf.DUMMYFUNCTION("""COMPUTED_VALUE"""),"Goto link: 9888.HK")</f>
        <v>Goto link: 9888.HK</v>
      </c>
      <c r="K1017" s="22"/>
      <c r="L1017" s="22"/>
      <c r="M1017" s="22"/>
      <c r="N1017" s="22"/>
      <c r="O1017" s="73"/>
      <c r="P1017" s="8"/>
      <c r="Q1017" s="69"/>
      <c r="R1017" s="69"/>
      <c r="S1017" s="8"/>
      <c r="T1017" s="69"/>
      <c r="U1017" s="8"/>
      <c r="V1017" s="69"/>
      <c r="W1017" s="74"/>
      <c r="X1017" s="69"/>
    </row>
    <row r="1018">
      <c r="A1018" s="30" t="str">
        <f>IFERROR(__xludf.DUMMYFUNCTION("""COMPUTED_VALUE"""),"77603")</f>
        <v>77603</v>
      </c>
      <c r="B1018" s="86">
        <f>IFERROR(__xludf.DUMMYFUNCTION("""COMPUTED_VALUE"""),44657.0)</f>
        <v>44657</v>
      </c>
      <c r="C1018" s="64" t="str">
        <f>IFERROR(__xludf.DUMMYFUNCTION("""COMPUTED_VALUE"""),"Stock")</f>
        <v>Stock</v>
      </c>
      <c r="D1018" s="90" t="str">
        <f>IFERROR(__xludf.DUMMYFUNCTION("""COMPUTED_VALUE"""),"0006.HK")</f>
        <v>0006.HK</v>
      </c>
      <c r="E1018" s="5" t="str">
        <f>IFERROR(__xludf.DUMMYFUNCTION("""COMPUTED_VALUE"""),"HKD")</f>
        <v>HKD</v>
      </c>
      <c r="F1018" s="69">
        <f>IFERROR(__xludf.DUMMYFUNCTION("""COMPUTED_VALUE"""),1000.0)</f>
        <v>1000</v>
      </c>
      <c r="G1018" s="70">
        <f>IFERROR(__xludf.DUMMYFUNCTION("""COMPUTED_VALUE"""),1.0)</f>
        <v>1</v>
      </c>
      <c r="H1018" s="71">
        <f>IFERROR(__xludf.DUMMYFUNCTION("""COMPUTED_VALUE"""),51.4)</f>
        <v>51.4</v>
      </c>
      <c r="I1018" s="71">
        <f>IFERROR(__xludf.DUMMYFUNCTION("""COMPUTED_VALUE"""),52.2)</f>
        <v>52.2</v>
      </c>
      <c r="J1018" s="88" t="str">
        <f>IFERROR(__xludf.DUMMYFUNCTION("""COMPUTED_VALUE"""),"Goto link: 0006.HK")</f>
        <v>Goto link: 0006.HK</v>
      </c>
      <c r="K1018" s="22"/>
      <c r="L1018" s="22"/>
      <c r="M1018" s="22"/>
      <c r="N1018" s="22"/>
      <c r="O1018" s="73"/>
      <c r="P1018" s="8"/>
      <c r="Q1018" s="69"/>
      <c r="R1018" s="69"/>
      <c r="S1018" s="8"/>
      <c r="T1018" s="69"/>
      <c r="U1018" s="8"/>
      <c r="V1018" s="69"/>
      <c r="W1018" s="74"/>
      <c r="X1018" s="69"/>
    </row>
    <row r="1019">
      <c r="A1019" s="30" t="str">
        <f>IFERROR(__xludf.DUMMYFUNCTION("""COMPUTED_VALUE"""),"77603")</f>
        <v>77603</v>
      </c>
      <c r="B1019" s="86">
        <f>IFERROR(__xludf.DUMMYFUNCTION("""COMPUTED_VALUE"""),44657.0)</f>
        <v>44657</v>
      </c>
      <c r="C1019" s="64" t="str">
        <f>IFERROR(__xludf.DUMMYFUNCTION("""COMPUTED_VALUE"""),"Stock")</f>
        <v>Stock</v>
      </c>
      <c r="D1019" s="90" t="str">
        <f>IFERROR(__xludf.DUMMYFUNCTION("""COMPUTED_VALUE"""),"1024.HK")</f>
        <v>1024.HK</v>
      </c>
      <c r="E1019" s="5" t="str">
        <f>IFERROR(__xludf.DUMMYFUNCTION("""COMPUTED_VALUE"""),"HKD")</f>
        <v>HKD</v>
      </c>
      <c r="F1019" s="69">
        <f>IFERROR(__xludf.DUMMYFUNCTION("""COMPUTED_VALUE"""),0.0)</f>
        <v>0</v>
      </c>
      <c r="G1019" s="70">
        <f>IFERROR(__xludf.DUMMYFUNCTION("""COMPUTED_VALUE"""),1.0)</f>
        <v>1</v>
      </c>
      <c r="H1019" s="71">
        <f>IFERROR(__xludf.DUMMYFUNCTION("""COMPUTED_VALUE"""),0.0)</f>
        <v>0</v>
      </c>
      <c r="I1019" s="71">
        <f>IFERROR(__xludf.DUMMYFUNCTION("""COMPUTED_VALUE"""),64.0)</f>
        <v>64</v>
      </c>
      <c r="J1019" s="88" t="str">
        <f>IFERROR(__xludf.DUMMYFUNCTION("""COMPUTED_VALUE"""),"Goto link: 1024.HK")</f>
        <v>Goto link: 1024.HK</v>
      </c>
      <c r="K1019" s="22"/>
      <c r="L1019" s="22"/>
      <c r="M1019" s="22"/>
      <c r="N1019" s="22"/>
      <c r="O1019" s="73"/>
      <c r="P1019" s="8"/>
      <c r="Q1019" s="69"/>
      <c r="R1019" s="69"/>
      <c r="S1019" s="8"/>
      <c r="T1019" s="69"/>
      <c r="U1019" s="8"/>
      <c r="V1019" s="69"/>
      <c r="W1019" s="74"/>
      <c r="X1019" s="69"/>
    </row>
    <row r="1020">
      <c r="A1020" s="30" t="str">
        <f>IFERROR(__xludf.DUMMYFUNCTION("""COMPUTED_VALUE"""),"77603")</f>
        <v>77603</v>
      </c>
      <c r="B1020" s="86">
        <f>IFERROR(__xludf.DUMMYFUNCTION("""COMPUTED_VALUE"""),44658.0)</f>
        <v>44658</v>
      </c>
      <c r="C1020" s="64" t="str">
        <f>IFERROR(__xludf.DUMMYFUNCTION("""COMPUTED_VALUE"""),"Stock")</f>
        <v>Stock</v>
      </c>
      <c r="D1020" s="90" t="str">
        <f>IFERROR(__xludf.DUMMYFUNCTION("""COMPUTED_VALUE"""),"9988.HK")</f>
        <v>9988.HK</v>
      </c>
      <c r="E1020" s="5" t="str">
        <f>IFERROR(__xludf.DUMMYFUNCTION("""COMPUTED_VALUE"""),"HKD")</f>
        <v>HKD</v>
      </c>
      <c r="F1020" s="69" t="str">
        <f>IFERROR(__xludf.DUMMYFUNCTION("""COMPUTED_VALUE"""),"")</f>
        <v/>
      </c>
      <c r="G1020" s="70">
        <f>IFERROR(__xludf.DUMMYFUNCTION("""COMPUTED_VALUE"""),1.0)</f>
        <v>1</v>
      </c>
      <c r="H1020" s="71">
        <f>IFERROR(__xludf.DUMMYFUNCTION("""COMPUTED_VALUE"""),105.2)</f>
        <v>105.2</v>
      </c>
      <c r="I1020" s="71">
        <f>IFERROR(__xludf.DUMMYFUNCTION("""COMPUTED_VALUE"""),98.5)</f>
        <v>98.5</v>
      </c>
      <c r="J1020" s="88" t="str">
        <f>IFERROR(__xludf.DUMMYFUNCTION("""COMPUTED_VALUE"""),"Goto link: 9988.HK")</f>
        <v>Goto link: 9988.HK</v>
      </c>
      <c r="K1020" s="22"/>
      <c r="L1020" s="22"/>
      <c r="M1020" s="22"/>
      <c r="N1020" s="22"/>
      <c r="O1020" s="73"/>
      <c r="P1020" s="8"/>
      <c r="Q1020" s="69"/>
      <c r="R1020" s="69"/>
      <c r="S1020" s="8"/>
      <c r="T1020" s="69"/>
      <c r="U1020" s="8"/>
      <c r="V1020" s="69"/>
      <c r="W1020" s="74"/>
      <c r="X1020" s="69"/>
    </row>
    <row r="1021">
      <c r="A1021" s="30" t="str">
        <f>IFERROR(__xludf.DUMMYFUNCTION("""COMPUTED_VALUE"""),"77603")</f>
        <v>77603</v>
      </c>
      <c r="B1021" s="86">
        <f>IFERROR(__xludf.DUMMYFUNCTION("""COMPUTED_VALUE"""),44663.0)</f>
        <v>44663</v>
      </c>
      <c r="C1021" s="64" t="str">
        <f>IFERROR(__xludf.DUMMYFUNCTION("""COMPUTED_VALUE"""),"Stock")</f>
        <v>Stock</v>
      </c>
      <c r="D1021" s="91" t="str">
        <f>IFERROR(__xludf.DUMMYFUNCTION("""COMPUTED_VALUE"""),"1024.HK")</f>
        <v>1024.HK</v>
      </c>
      <c r="E1021" s="5" t="str">
        <f>IFERROR(__xludf.DUMMYFUNCTION("""COMPUTED_VALUE"""),"HKD")</f>
        <v>HKD</v>
      </c>
      <c r="F1021" s="69">
        <f>IFERROR(__xludf.DUMMYFUNCTION("""COMPUTED_VALUE"""),0.0)</f>
        <v>0</v>
      </c>
      <c r="G1021" s="70">
        <f>IFERROR(__xludf.DUMMYFUNCTION("""COMPUTED_VALUE"""),1.0)</f>
        <v>1</v>
      </c>
      <c r="H1021" s="71">
        <f>IFERROR(__xludf.DUMMYFUNCTION("""COMPUTED_VALUE"""),0.0)</f>
        <v>0</v>
      </c>
      <c r="I1021" s="71">
        <f>IFERROR(__xludf.DUMMYFUNCTION("""COMPUTED_VALUE"""),64.0)</f>
        <v>64</v>
      </c>
      <c r="J1021" s="88" t="str">
        <f>IFERROR(__xludf.DUMMYFUNCTION("""COMPUTED_VALUE"""),"Goto link: 1024.HK")</f>
        <v>Goto link: 1024.HK</v>
      </c>
      <c r="K1021" s="22"/>
      <c r="L1021" s="22"/>
      <c r="M1021" s="22"/>
      <c r="N1021" s="22"/>
      <c r="O1021" s="73"/>
      <c r="P1021" s="8"/>
      <c r="Q1021" s="69"/>
      <c r="R1021" s="69"/>
      <c r="S1021" s="8"/>
      <c r="T1021" s="69"/>
      <c r="U1021" s="8"/>
      <c r="V1021" s="69"/>
      <c r="W1021" s="74"/>
      <c r="X1021" s="69"/>
    </row>
    <row r="1022">
      <c r="A1022" s="30" t="str">
        <f>IFERROR(__xludf.DUMMYFUNCTION("""COMPUTED_VALUE"""),"77603 Total")</f>
        <v>77603 Total</v>
      </c>
      <c r="B1022" s="5"/>
      <c r="C1022" s="64"/>
      <c r="D1022" s="85"/>
      <c r="E1022" s="5"/>
      <c r="F1022" s="69"/>
      <c r="G1022" s="70">
        <f>IFERROR(__xludf.DUMMYFUNCTION("""COMPUTED_VALUE"""),1.0)</f>
        <v>1</v>
      </c>
      <c r="H1022" s="71">
        <f>IFERROR(__xludf.DUMMYFUNCTION("""COMPUTED_VALUE"""),105.2)</f>
        <v>105.2</v>
      </c>
      <c r="I1022" s="71" t="str">
        <f>IFERROR(__xludf.DUMMYFUNCTION("""COMPUTED_VALUE"""),"")</f>
        <v/>
      </c>
      <c r="J1022" s="22" t="str">
        <f>IFERROR(__xludf.DUMMYFUNCTION("""COMPUTED_VALUE"""),"")</f>
        <v/>
      </c>
      <c r="K1022" s="22"/>
      <c r="L1022" s="22"/>
      <c r="M1022" s="22"/>
      <c r="N1022" s="22"/>
      <c r="O1022" s="73"/>
      <c r="P1022" s="8"/>
      <c r="Q1022" s="69"/>
      <c r="R1022" s="69"/>
      <c r="S1022" s="8"/>
      <c r="T1022" s="69"/>
      <c r="U1022" s="8"/>
      <c r="V1022" s="69"/>
      <c r="W1022" s="74"/>
      <c r="X1022" s="69"/>
    </row>
    <row r="1023">
      <c r="A1023" s="30" t="str">
        <f>IFERROR(__xludf.DUMMYFUNCTION("""COMPUTED_VALUE"""),"77665")</f>
        <v>77665</v>
      </c>
      <c r="B1023" s="86">
        <f>IFERROR(__xludf.DUMMYFUNCTION("""COMPUTED_VALUE"""),44597.0)</f>
        <v>44597</v>
      </c>
      <c r="C1023" s="64" t="str">
        <f>IFERROR(__xludf.DUMMYFUNCTION("""COMPUTED_VALUE"""),"Cash")</f>
        <v>Cash</v>
      </c>
      <c r="D1023" s="85" t="str">
        <f>IFERROR(__xludf.DUMMYFUNCTION("""COMPUTED_VALUE"""),"Cash")</f>
        <v>Cash</v>
      </c>
      <c r="E1023" s="5" t="str">
        <f>IFERROR(__xludf.DUMMYFUNCTION("""COMPUTED_VALUE"""),"HKD")</f>
        <v>HKD</v>
      </c>
      <c r="F1023" s="69" t="str">
        <f>IFERROR(__xludf.DUMMYFUNCTION("""COMPUTED_VALUE"""),"")</f>
        <v/>
      </c>
      <c r="G1023" s="70">
        <f>IFERROR(__xludf.DUMMYFUNCTION("""COMPUTED_VALUE"""),1.0)</f>
        <v>1</v>
      </c>
      <c r="H1023" s="71">
        <f>IFERROR(__xludf.DUMMYFUNCTION("""COMPUTED_VALUE"""),1.0)</f>
        <v>1</v>
      </c>
      <c r="I1023" s="71">
        <f>IFERROR(__xludf.DUMMYFUNCTION("""COMPUTED_VALUE"""),1.0)</f>
        <v>1</v>
      </c>
      <c r="J1023" s="22" t="str">
        <f>IFERROR(__xludf.DUMMYFUNCTION("""COMPUTED_VALUE"""),"")</f>
        <v/>
      </c>
      <c r="K1023" s="22"/>
      <c r="L1023" s="22"/>
      <c r="M1023" s="22"/>
      <c r="N1023" s="22"/>
      <c r="O1023" s="73"/>
      <c r="P1023" s="8"/>
      <c r="Q1023" s="69"/>
      <c r="R1023" s="69"/>
      <c r="S1023" s="8"/>
      <c r="T1023" s="69"/>
      <c r="U1023" s="8"/>
      <c r="V1023" s="69"/>
      <c r="W1023" s="74"/>
      <c r="X1023" s="69"/>
    </row>
    <row r="1024">
      <c r="A1024" s="30" t="str">
        <f>IFERROR(__xludf.DUMMYFUNCTION("""COMPUTED_VALUE"""),"77665")</f>
        <v>77665</v>
      </c>
      <c r="B1024" s="86">
        <f>IFERROR(__xludf.DUMMYFUNCTION("""COMPUTED_VALUE"""),44657.0)</f>
        <v>44657</v>
      </c>
      <c r="C1024" s="64" t="str">
        <f>IFERROR(__xludf.DUMMYFUNCTION("""COMPUTED_VALUE"""),"Stock")</f>
        <v>Stock</v>
      </c>
      <c r="D1024" s="87" t="str">
        <f>IFERROR(__xludf.DUMMYFUNCTION("""COMPUTED_VALUE"""),"KO")</f>
        <v>KO</v>
      </c>
      <c r="E1024" s="5" t="str">
        <f>IFERROR(__xludf.DUMMYFUNCTION("""COMPUTED_VALUE"""),"USD")</f>
        <v>USD</v>
      </c>
      <c r="F1024" s="69">
        <f>IFERROR(__xludf.DUMMYFUNCTION("""COMPUTED_VALUE"""),10.0)</f>
        <v>10</v>
      </c>
      <c r="G1024" s="70">
        <f>IFERROR(__xludf.DUMMYFUNCTION("""COMPUTED_VALUE"""),7.83915)</f>
        <v>7.83915</v>
      </c>
      <c r="H1024" s="71">
        <f>IFERROR(__xludf.DUMMYFUNCTION("""COMPUTED_VALUE"""),63.1)</f>
        <v>63.1</v>
      </c>
      <c r="I1024" s="71">
        <f>IFERROR(__xludf.DUMMYFUNCTION("""COMPUTED_VALUE"""),64.74)</f>
        <v>64.74</v>
      </c>
      <c r="J1024" s="88" t="str">
        <f>IFERROR(__xludf.DUMMYFUNCTION("""COMPUTED_VALUE"""),"Goto link: KO")</f>
        <v>Goto link: KO</v>
      </c>
      <c r="K1024" s="22"/>
      <c r="L1024" s="22"/>
      <c r="M1024" s="22"/>
      <c r="N1024" s="22"/>
      <c r="O1024" s="73"/>
      <c r="P1024" s="8"/>
      <c r="Q1024" s="69"/>
      <c r="R1024" s="69"/>
      <c r="S1024" s="8"/>
      <c r="T1024" s="69"/>
      <c r="U1024" s="8"/>
      <c r="V1024" s="69"/>
      <c r="W1024" s="74"/>
      <c r="X1024" s="69"/>
    </row>
    <row r="1025">
      <c r="A1025" s="30" t="str">
        <f>IFERROR(__xludf.DUMMYFUNCTION("""COMPUTED_VALUE"""),"77665")</f>
        <v>77665</v>
      </c>
      <c r="B1025" s="86">
        <f>IFERROR(__xludf.DUMMYFUNCTION("""COMPUTED_VALUE"""),44658.0)</f>
        <v>44658</v>
      </c>
      <c r="C1025" s="64" t="str">
        <f>IFERROR(__xludf.DUMMYFUNCTION("""COMPUTED_VALUE"""),"Stock")</f>
        <v>Stock</v>
      </c>
      <c r="D1025" s="85" t="str">
        <f>IFERROR(__xludf.DUMMYFUNCTION("""COMPUTED_VALUE"""),"KO")</f>
        <v>KO</v>
      </c>
      <c r="E1025" s="5" t="str">
        <f>IFERROR(__xludf.DUMMYFUNCTION("""COMPUTED_VALUE"""),"USD")</f>
        <v>USD</v>
      </c>
      <c r="F1025" s="69">
        <f>IFERROR(__xludf.DUMMYFUNCTION("""COMPUTED_VALUE"""),50.0)</f>
        <v>50</v>
      </c>
      <c r="G1025" s="70">
        <f>IFERROR(__xludf.DUMMYFUNCTION("""COMPUTED_VALUE"""),7.83915)</f>
        <v>7.83915</v>
      </c>
      <c r="H1025" s="71">
        <f>IFERROR(__xludf.DUMMYFUNCTION("""COMPUTED_VALUE"""),63.46)</f>
        <v>63.46</v>
      </c>
      <c r="I1025" s="71">
        <f>IFERROR(__xludf.DUMMYFUNCTION("""COMPUTED_VALUE"""),64.74)</f>
        <v>64.74</v>
      </c>
      <c r="J1025" s="88" t="str">
        <f>IFERROR(__xludf.DUMMYFUNCTION("""COMPUTED_VALUE"""),"Goto link: KO")</f>
        <v>Goto link: KO</v>
      </c>
      <c r="K1025" s="22"/>
      <c r="L1025" s="22"/>
      <c r="M1025" s="22"/>
      <c r="N1025" s="22"/>
      <c r="O1025" s="73"/>
      <c r="P1025" s="8"/>
      <c r="Q1025" s="69"/>
      <c r="R1025" s="69"/>
      <c r="S1025" s="8"/>
      <c r="T1025" s="69"/>
      <c r="U1025" s="8"/>
      <c r="V1025" s="69"/>
      <c r="W1025" s="74"/>
      <c r="X1025" s="69"/>
    </row>
    <row r="1026">
      <c r="A1026" s="30" t="str">
        <f>IFERROR(__xludf.DUMMYFUNCTION("""COMPUTED_VALUE"""),"77665")</f>
        <v>77665</v>
      </c>
      <c r="B1026" s="86">
        <f>IFERROR(__xludf.DUMMYFUNCTION("""COMPUTED_VALUE"""),44658.0)</f>
        <v>44658</v>
      </c>
      <c r="C1026" s="64" t="str">
        <f>IFERROR(__xludf.DUMMYFUNCTION("""COMPUTED_VALUE"""),"Stock")</f>
        <v>Stock</v>
      </c>
      <c r="D1026" s="85" t="str">
        <f>IFERROR(__xludf.DUMMYFUNCTION("""COMPUTED_VALUE"""),"KPLT")</f>
        <v>KPLT</v>
      </c>
      <c r="E1026" s="5" t="str">
        <f>IFERROR(__xludf.DUMMYFUNCTION("""COMPUTED_VALUE"""),"USD")</f>
        <v>USD</v>
      </c>
      <c r="F1026" s="69">
        <f>IFERROR(__xludf.DUMMYFUNCTION("""COMPUTED_VALUE"""),1000.0)</f>
        <v>1000</v>
      </c>
      <c r="G1026" s="70">
        <f>IFERROR(__xludf.DUMMYFUNCTION("""COMPUTED_VALUE"""),7.83915)</f>
        <v>7.83915</v>
      </c>
      <c r="H1026" s="71">
        <f>IFERROR(__xludf.DUMMYFUNCTION("""COMPUTED_VALUE"""),2.1)</f>
        <v>2.1</v>
      </c>
      <c r="I1026" s="71">
        <f>IFERROR(__xludf.DUMMYFUNCTION("""COMPUTED_VALUE"""),2.04)</f>
        <v>2.04</v>
      </c>
      <c r="J1026" s="88" t="str">
        <f>IFERROR(__xludf.DUMMYFUNCTION("""COMPUTED_VALUE"""),"Goto link: KPLT")</f>
        <v>Goto link: KPLT</v>
      </c>
      <c r="K1026" s="22"/>
      <c r="L1026" s="22"/>
      <c r="M1026" s="22"/>
      <c r="N1026" s="22"/>
      <c r="O1026" s="73"/>
      <c r="P1026" s="8"/>
      <c r="Q1026" s="69"/>
      <c r="R1026" s="69"/>
      <c r="S1026" s="8"/>
      <c r="T1026" s="69"/>
      <c r="U1026" s="8"/>
      <c r="V1026" s="69"/>
      <c r="W1026" s="74"/>
      <c r="X1026" s="69"/>
    </row>
    <row r="1027">
      <c r="A1027" s="30" t="str">
        <f>IFERROR(__xludf.DUMMYFUNCTION("""COMPUTED_VALUE"""),"77665")</f>
        <v>77665</v>
      </c>
      <c r="B1027" s="86">
        <f>IFERROR(__xludf.DUMMYFUNCTION("""COMPUTED_VALUE"""),44658.0)</f>
        <v>44658</v>
      </c>
      <c r="C1027" s="64" t="str">
        <f>IFERROR(__xludf.DUMMYFUNCTION("""COMPUTED_VALUE"""),"Stock")</f>
        <v>Stock</v>
      </c>
      <c r="D1027" s="85" t="str">
        <f>IFERROR(__xludf.DUMMYFUNCTION("""COMPUTED_VALUE"""),"VNM")</f>
        <v>VNM</v>
      </c>
      <c r="E1027" s="5" t="str">
        <f>IFERROR(__xludf.DUMMYFUNCTION("""COMPUTED_VALUE"""),"USD")</f>
        <v>USD</v>
      </c>
      <c r="F1027" s="69">
        <f>IFERROR(__xludf.DUMMYFUNCTION("""COMPUTED_VALUE"""),400.0)</f>
        <v>400</v>
      </c>
      <c r="G1027" s="70">
        <f>IFERROR(__xludf.DUMMYFUNCTION("""COMPUTED_VALUE"""),7.83915)</f>
        <v>7.83915</v>
      </c>
      <c r="H1027" s="71">
        <f>IFERROR(__xludf.DUMMYFUNCTION("""COMPUTED_VALUE"""),18.99)</f>
        <v>18.99</v>
      </c>
      <c r="I1027" s="71">
        <f>IFERROR(__xludf.DUMMYFUNCTION("""COMPUTED_VALUE"""),18.74)</f>
        <v>18.74</v>
      </c>
      <c r="J1027" s="88" t="str">
        <f>IFERROR(__xludf.DUMMYFUNCTION("""COMPUTED_VALUE"""),"Goto link: VNM")</f>
        <v>Goto link: VNM</v>
      </c>
      <c r="K1027" s="22"/>
      <c r="L1027" s="22"/>
      <c r="M1027" s="22"/>
      <c r="N1027" s="22"/>
      <c r="O1027" s="73"/>
      <c r="P1027" s="8"/>
      <c r="Q1027" s="69"/>
      <c r="R1027" s="69"/>
      <c r="S1027" s="8"/>
      <c r="T1027" s="69"/>
      <c r="U1027" s="8"/>
      <c r="V1027" s="69"/>
      <c r="W1027" s="74"/>
      <c r="X1027" s="69"/>
    </row>
    <row r="1028">
      <c r="A1028" s="30" t="str">
        <f>IFERROR(__xludf.DUMMYFUNCTION("""COMPUTED_VALUE"""),"77665")</f>
        <v>77665</v>
      </c>
      <c r="B1028" s="86">
        <f>IFERROR(__xludf.DUMMYFUNCTION("""COMPUTED_VALUE"""),44659.0)</f>
        <v>44659</v>
      </c>
      <c r="C1028" s="64" t="str">
        <f>IFERROR(__xludf.DUMMYFUNCTION("""COMPUTED_VALUE"""),"Stock")</f>
        <v>Stock</v>
      </c>
      <c r="D1028" s="91" t="str">
        <f>IFERROR(__xludf.DUMMYFUNCTION("""COMPUTED_VALUE"""),"2217.HK")</f>
        <v>2217.HK</v>
      </c>
      <c r="E1028" s="5" t="str">
        <f>IFERROR(__xludf.DUMMYFUNCTION("""COMPUTED_VALUE"""),"HKD")</f>
        <v>HKD</v>
      </c>
      <c r="F1028" s="69">
        <f>IFERROR(__xludf.DUMMYFUNCTION("""COMPUTED_VALUE"""),10.0)</f>
        <v>10</v>
      </c>
      <c r="G1028" s="70">
        <f>IFERROR(__xludf.DUMMYFUNCTION("""COMPUTED_VALUE"""),1.0)</f>
        <v>1</v>
      </c>
      <c r="H1028" s="71">
        <f>IFERROR(__xludf.DUMMYFUNCTION("""COMPUTED_VALUE"""),3.06)</f>
        <v>3.06</v>
      </c>
      <c r="I1028" s="71">
        <f>IFERROR(__xludf.DUMMYFUNCTION("""COMPUTED_VALUE"""),3.09)</f>
        <v>3.09</v>
      </c>
      <c r="J1028" s="88" t="str">
        <f>IFERROR(__xludf.DUMMYFUNCTION("""COMPUTED_VALUE"""),"Goto link: 2217.HK")</f>
        <v>Goto link: 2217.HK</v>
      </c>
      <c r="K1028" s="22"/>
      <c r="L1028" s="22"/>
      <c r="M1028" s="22"/>
      <c r="N1028" s="22"/>
      <c r="O1028" s="73"/>
      <c r="P1028" s="8"/>
      <c r="Q1028" s="69"/>
      <c r="R1028" s="69"/>
      <c r="S1028" s="8"/>
      <c r="T1028" s="69"/>
      <c r="U1028" s="8"/>
      <c r="V1028" s="69"/>
      <c r="W1028" s="74"/>
      <c r="X1028" s="69"/>
    </row>
    <row r="1029">
      <c r="A1029" s="30" t="str">
        <f>IFERROR(__xludf.DUMMYFUNCTION("""COMPUTED_VALUE"""),"77665 Total")</f>
        <v>77665 Total</v>
      </c>
      <c r="B1029" s="5"/>
      <c r="C1029" s="64"/>
      <c r="D1029" s="85"/>
      <c r="E1029" s="5"/>
      <c r="F1029" s="69"/>
      <c r="G1029" s="70">
        <f>IFERROR(__xludf.DUMMYFUNCTION("""COMPUTED_VALUE"""),5.559433333333334)</f>
        <v>5.559433333</v>
      </c>
      <c r="H1029" s="71">
        <f>IFERROR(__xludf.DUMMYFUNCTION("""COMPUTED_VALUE"""),63.46)</f>
        <v>63.46</v>
      </c>
      <c r="I1029" s="71" t="str">
        <f>IFERROR(__xludf.DUMMYFUNCTION("""COMPUTED_VALUE"""),"")</f>
        <v/>
      </c>
      <c r="J1029" s="22" t="str">
        <f>IFERROR(__xludf.DUMMYFUNCTION("""COMPUTED_VALUE"""),"")</f>
        <v/>
      </c>
      <c r="K1029" s="22"/>
      <c r="L1029" s="22"/>
      <c r="M1029" s="22"/>
      <c r="N1029" s="22"/>
      <c r="O1029" s="73"/>
      <c r="P1029" s="8"/>
      <c r="Q1029" s="69"/>
      <c r="R1029" s="69"/>
      <c r="S1029" s="8"/>
      <c r="T1029" s="69"/>
      <c r="U1029" s="8"/>
      <c r="V1029" s="69"/>
      <c r="W1029" s="74"/>
      <c r="X1029" s="69"/>
    </row>
    <row r="1030">
      <c r="A1030" s="30" t="str">
        <f>IFERROR(__xludf.DUMMYFUNCTION("""COMPUTED_VALUE"""),"77729")</f>
        <v>77729</v>
      </c>
      <c r="B1030" s="86">
        <f>IFERROR(__xludf.DUMMYFUNCTION("""COMPUTED_VALUE"""),44597.0)</f>
        <v>44597</v>
      </c>
      <c r="C1030" s="64" t="str">
        <f>IFERROR(__xludf.DUMMYFUNCTION("""COMPUTED_VALUE"""),"Cash")</f>
        <v>Cash</v>
      </c>
      <c r="D1030" s="85" t="str">
        <f>IFERROR(__xludf.DUMMYFUNCTION("""COMPUTED_VALUE"""),"Cash")</f>
        <v>Cash</v>
      </c>
      <c r="E1030" s="5" t="str">
        <f>IFERROR(__xludf.DUMMYFUNCTION("""COMPUTED_VALUE"""),"HKD")</f>
        <v>HKD</v>
      </c>
      <c r="F1030" s="69" t="str">
        <f>IFERROR(__xludf.DUMMYFUNCTION("""COMPUTED_VALUE"""),"")</f>
        <v/>
      </c>
      <c r="G1030" s="70">
        <f>IFERROR(__xludf.DUMMYFUNCTION("""COMPUTED_VALUE"""),1.0)</f>
        <v>1</v>
      </c>
      <c r="H1030" s="71">
        <f>IFERROR(__xludf.DUMMYFUNCTION("""COMPUTED_VALUE"""),1.0)</f>
        <v>1</v>
      </c>
      <c r="I1030" s="71">
        <f>IFERROR(__xludf.DUMMYFUNCTION("""COMPUTED_VALUE"""),1.0)</f>
        <v>1</v>
      </c>
      <c r="J1030" s="22" t="str">
        <f>IFERROR(__xludf.DUMMYFUNCTION("""COMPUTED_VALUE"""),"")</f>
        <v/>
      </c>
      <c r="K1030" s="22"/>
      <c r="L1030" s="22"/>
      <c r="M1030" s="22"/>
      <c r="N1030" s="22"/>
      <c r="O1030" s="73"/>
      <c r="P1030" s="8"/>
      <c r="Q1030" s="69"/>
      <c r="R1030" s="69"/>
      <c r="S1030" s="8"/>
      <c r="T1030" s="69"/>
      <c r="U1030" s="8"/>
      <c r="V1030" s="69"/>
      <c r="W1030" s="74"/>
      <c r="X1030" s="69"/>
    </row>
    <row r="1031">
      <c r="A1031" s="30" t="str">
        <f>IFERROR(__xludf.DUMMYFUNCTION("""COMPUTED_VALUE"""),"77729")</f>
        <v>77729</v>
      </c>
      <c r="B1031" s="86">
        <f>IFERROR(__xludf.DUMMYFUNCTION("""COMPUTED_VALUE"""),44613.0)</f>
        <v>44613</v>
      </c>
      <c r="C1031" s="64" t="str">
        <f>IFERROR(__xludf.DUMMYFUNCTION("""COMPUTED_VALUE"""),"Stock")</f>
        <v>Stock</v>
      </c>
      <c r="D1031" s="90" t="str">
        <f>IFERROR(__xludf.DUMMYFUNCTION("""COMPUTED_VALUE"""),"0700.HK")</f>
        <v>0700.HK</v>
      </c>
      <c r="E1031" s="5" t="str">
        <f>IFERROR(__xludf.DUMMYFUNCTION("""COMPUTED_VALUE"""),"HKD")</f>
        <v>HKD</v>
      </c>
      <c r="F1031" s="69">
        <f>IFERROR(__xludf.DUMMYFUNCTION("""COMPUTED_VALUE"""),218.0)</f>
        <v>218</v>
      </c>
      <c r="G1031" s="70">
        <f>IFERROR(__xludf.DUMMYFUNCTION("""COMPUTED_VALUE"""),1.0)</f>
        <v>1</v>
      </c>
      <c r="H1031" s="71">
        <f>IFERROR(__xludf.DUMMYFUNCTION("""COMPUTED_VALUE"""),445.4)</f>
        <v>445.4</v>
      </c>
      <c r="I1031" s="71">
        <f>IFERROR(__xludf.DUMMYFUNCTION("""COMPUTED_VALUE"""),373.6)</f>
        <v>373.6</v>
      </c>
      <c r="J1031" s="88" t="str">
        <f>IFERROR(__xludf.DUMMYFUNCTION("""COMPUTED_VALUE"""),"Goto link: 0700.HK")</f>
        <v>Goto link: 0700.HK</v>
      </c>
      <c r="K1031" s="22"/>
      <c r="L1031" s="22"/>
      <c r="M1031" s="22"/>
      <c r="N1031" s="22"/>
      <c r="O1031" s="73"/>
      <c r="P1031" s="8"/>
      <c r="Q1031" s="69"/>
      <c r="R1031" s="69"/>
      <c r="S1031" s="8"/>
      <c r="T1031" s="69"/>
      <c r="U1031" s="8"/>
      <c r="V1031" s="69"/>
      <c r="W1031" s="74"/>
      <c r="X1031" s="69"/>
    </row>
    <row r="1032">
      <c r="A1032" s="30" t="str">
        <f>IFERROR(__xludf.DUMMYFUNCTION("""COMPUTED_VALUE"""),"77729")</f>
        <v>77729</v>
      </c>
      <c r="B1032" s="86">
        <f>IFERROR(__xludf.DUMMYFUNCTION("""COMPUTED_VALUE"""),44613.0)</f>
        <v>44613</v>
      </c>
      <c r="C1032" s="64" t="str">
        <f>IFERROR(__xludf.DUMMYFUNCTION("""COMPUTED_VALUE"""),"Stock")</f>
        <v>Stock</v>
      </c>
      <c r="D1032" s="90" t="str">
        <f>IFERROR(__xludf.DUMMYFUNCTION("""COMPUTED_VALUE"""),"3690.HK")</f>
        <v>3690.HK</v>
      </c>
      <c r="E1032" s="5" t="str">
        <f>IFERROR(__xludf.DUMMYFUNCTION("""COMPUTED_VALUE"""),"HKD")</f>
        <v>HKD</v>
      </c>
      <c r="F1032" s="69">
        <f>IFERROR(__xludf.DUMMYFUNCTION("""COMPUTED_VALUE"""),270.0)</f>
        <v>270</v>
      </c>
      <c r="G1032" s="70">
        <f>IFERROR(__xludf.DUMMYFUNCTION("""COMPUTED_VALUE"""),1.0)</f>
        <v>1</v>
      </c>
      <c r="H1032" s="71">
        <f>IFERROR(__xludf.DUMMYFUNCTION("""COMPUTED_VALUE"""),180.5)</f>
        <v>180.5</v>
      </c>
      <c r="I1032" s="71">
        <f>IFERROR(__xludf.DUMMYFUNCTION("""COMPUTED_VALUE"""),154.1)</f>
        <v>154.1</v>
      </c>
      <c r="J1032" s="88" t="str">
        <f>IFERROR(__xludf.DUMMYFUNCTION("""COMPUTED_VALUE"""),"Goto link: 3690.HK")</f>
        <v>Goto link: 3690.HK</v>
      </c>
      <c r="K1032" s="22"/>
      <c r="L1032" s="22"/>
      <c r="M1032" s="22"/>
      <c r="N1032" s="22"/>
      <c r="O1032" s="73"/>
      <c r="P1032" s="8"/>
      <c r="Q1032" s="69"/>
      <c r="R1032" s="69"/>
      <c r="S1032" s="8"/>
      <c r="T1032" s="69"/>
      <c r="U1032" s="8"/>
      <c r="V1032" s="69"/>
      <c r="W1032" s="74"/>
      <c r="X1032" s="69"/>
    </row>
    <row r="1033">
      <c r="A1033" s="30" t="str">
        <f>IFERROR(__xludf.DUMMYFUNCTION("""COMPUTED_VALUE"""),"77729")</f>
        <v>77729</v>
      </c>
      <c r="B1033" s="86">
        <f>IFERROR(__xludf.DUMMYFUNCTION("""COMPUTED_VALUE"""),44627.0)</f>
        <v>44627</v>
      </c>
      <c r="C1033" s="64" t="str">
        <f>IFERROR(__xludf.DUMMYFUNCTION("""COMPUTED_VALUE"""),"Stock")</f>
        <v>Stock</v>
      </c>
      <c r="D1033" s="90" t="str">
        <f>IFERROR(__xludf.DUMMYFUNCTION("""COMPUTED_VALUE"""),"0700.HK")</f>
        <v>0700.HK</v>
      </c>
      <c r="E1033" s="5" t="str">
        <f>IFERROR(__xludf.DUMMYFUNCTION("""COMPUTED_VALUE"""),"HKD")</f>
        <v>HKD</v>
      </c>
      <c r="F1033" s="69">
        <f>IFERROR(__xludf.DUMMYFUNCTION("""COMPUTED_VALUE"""),250.0)</f>
        <v>250</v>
      </c>
      <c r="G1033" s="70">
        <f>IFERROR(__xludf.DUMMYFUNCTION("""COMPUTED_VALUE"""),1.0)</f>
        <v>1</v>
      </c>
      <c r="H1033" s="71">
        <f>IFERROR(__xludf.DUMMYFUNCTION("""COMPUTED_VALUE"""),388.0)</f>
        <v>388</v>
      </c>
      <c r="I1033" s="71">
        <f>IFERROR(__xludf.DUMMYFUNCTION("""COMPUTED_VALUE"""),373.6)</f>
        <v>373.6</v>
      </c>
      <c r="J1033" s="88" t="str">
        <f>IFERROR(__xludf.DUMMYFUNCTION("""COMPUTED_VALUE"""),"Goto link: 0700.HK")</f>
        <v>Goto link: 0700.HK</v>
      </c>
      <c r="K1033" s="22"/>
      <c r="L1033" s="22"/>
      <c r="M1033" s="22"/>
      <c r="N1033" s="22"/>
      <c r="O1033" s="73"/>
      <c r="P1033" s="8"/>
      <c r="Q1033" s="69"/>
      <c r="R1033" s="69"/>
      <c r="S1033" s="8"/>
      <c r="T1033" s="69"/>
      <c r="U1033" s="8"/>
      <c r="V1033" s="69"/>
      <c r="W1033" s="74"/>
      <c r="X1033" s="69"/>
    </row>
    <row r="1034">
      <c r="A1034" s="30" t="str">
        <f>IFERROR(__xludf.DUMMYFUNCTION("""COMPUTED_VALUE"""),"77729")</f>
        <v>77729</v>
      </c>
      <c r="B1034" s="86">
        <f>IFERROR(__xludf.DUMMYFUNCTION("""COMPUTED_VALUE"""),44627.0)</f>
        <v>44627</v>
      </c>
      <c r="C1034" s="64" t="str">
        <f>IFERROR(__xludf.DUMMYFUNCTION("""COMPUTED_VALUE"""),"Stock")</f>
        <v>Stock</v>
      </c>
      <c r="D1034" s="90" t="str">
        <f>IFERROR(__xludf.DUMMYFUNCTION("""COMPUTED_VALUE"""),"3690.HK")</f>
        <v>3690.HK</v>
      </c>
      <c r="E1034" s="5" t="str">
        <f>IFERROR(__xludf.DUMMYFUNCTION("""COMPUTED_VALUE"""),"HKD")</f>
        <v>HKD</v>
      </c>
      <c r="F1034" s="69">
        <f>IFERROR(__xludf.DUMMYFUNCTION("""COMPUTED_VALUE"""),300.0)</f>
        <v>300</v>
      </c>
      <c r="G1034" s="70">
        <f>IFERROR(__xludf.DUMMYFUNCTION("""COMPUTED_VALUE"""),1.0)</f>
        <v>1</v>
      </c>
      <c r="H1034" s="71">
        <f>IFERROR(__xludf.DUMMYFUNCTION("""COMPUTED_VALUE"""),146.2)</f>
        <v>146.2</v>
      </c>
      <c r="I1034" s="71">
        <f>IFERROR(__xludf.DUMMYFUNCTION("""COMPUTED_VALUE"""),154.1)</f>
        <v>154.1</v>
      </c>
      <c r="J1034" s="88" t="str">
        <f>IFERROR(__xludf.DUMMYFUNCTION("""COMPUTED_VALUE"""),"Goto link: 3690.HK")</f>
        <v>Goto link: 3690.HK</v>
      </c>
      <c r="K1034" s="22"/>
      <c r="L1034" s="22"/>
      <c r="M1034" s="22"/>
      <c r="N1034" s="22"/>
      <c r="O1034" s="73"/>
      <c r="P1034" s="8"/>
      <c r="Q1034" s="69"/>
      <c r="R1034" s="69"/>
      <c r="S1034" s="8"/>
      <c r="T1034" s="69"/>
      <c r="U1034" s="8"/>
      <c r="V1034" s="69"/>
      <c r="W1034" s="74"/>
      <c r="X1034" s="69"/>
    </row>
    <row r="1035">
      <c r="A1035" s="30" t="str">
        <f>IFERROR(__xludf.DUMMYFUNCTION("""COMPUTED_VALUE"""),"77729 Total")</f>
        <v>77729 Total</v>
      </c>
      <c r="B1035" s="5"/>
      <c r="C1035" s="64"/>
      <c r="D1035" s="85"/>
      <c r="E1035" s="5"/>
      <c r="F1035" s="69"/>
      <c r="G1035" s="70">
        <f>IFERROR(__xludf.DUMMYFUNCTION("""COMPUTED_VALUE"""),1.0)</f>
        <v>1</v>
      </c>
      <c r="H1035" s="71">
        <f>IFERROR(__xludf.DUMMYFUNCTION("""COMPUTED_VALUE"""),445.4)</f>
        <v>445.4</v>
      </c>
      <c r="I1035" s="71" t="str">
        <f>IFERROR(__xludf.DUMMYFUNCTION("""COMPUTED_VALUE"""),"")</f>
        <v/>
      </c>
      <c r="J1035" s="22" t="str">
        <f>IFERROR(__xludf.DUMMYFUNCTION("""COMPUTED_VALUE"""),"")</f>
        <v/>
      </c>
      <c r="K1035" s="22"/>
      <c r="L1035" s="22"/>
      <c r="M1035" s="22"/>
      <c r="N1035" s="22"/>
      <c r="O1035" s="73"/>
      <c r="P1035" s="8"/>
      <c r="Q1035" s="69"/>
      <c r="R1035" s="69"/>
      <c r="S1035" s="8"/>
      <c r="T1035" s="69"/>
      <c r="U1035" s="8"/>
      <c r="V1035" s="69"/>
      <c r="W1035" s="74"/>
      <c r="X1035" s="69"/>
    </row>
    <row r="1036">
      <c r="A1036" s="30" t="str">
        <f>IFERROR(__xludf.DUMMYFUNCTION("""COMPUTED_VALUE"""),"77936")</f>
        <v>77936</v>
      </c>
      <c r="B1036" s="86">
        <f>IFERROR(__xludf.DUMMYFUNCTION("""COMPUTED_VALUE"""),44597.0)</f>
        <v>44597</v>
      </c>
      <c r="C1036" s="64" t="str">
        <f>IFERROR(__xludf.DUMMYFUNCTION("""COMPUTED_VALUE"""),"Cash")</f>
        <v>Cash</v>
      </c>
      <c r="D1036" s="85" t="str">
        <f>IFERROR(__xludf.DUMMYFUNCTION("""COMPUTED_VALUE"""),"Cash")</f>
        <v>Cash</v>
      </c>
      <c r="E1036" s="5" t="str">
        <f>IFERROR(__xludf.DUMMYFUNCTION("""COMPUTED_VALUE"""),"HKD")</f>
        <v>HKD</v>
      </c>
      <c r="F1036" s="69" t="str">
        <f>IFERROR(__xludf.DUMMYFUNCTION("""COMPUTED_VALUE"""),"")</f>
        <v/>
      </c>
      <c r="G1036" s="70">
        <f>IFERROR(__xludf.DUMMYFUNCTION("""COMPUTED_VALUE"""),1.0)</f>
        <v>1</v>
      </c>
      <c r="H1036" s="71">
        <f>IFERROR(__xludf.DUMMYFUNCTION("""COMPUTED_VALUE"""),1.0)</f>
        <v>1</v>
      </c>
      <c r="I1036" s="71">
        <f>IFERROR(__xludf.DUMMYFUNCTION("""COMPUTED_VALUE"""),1.0)</f>
        <v>1</v>
      </c>
      <c r="J1036" s="22" t="str">
        <f>IFERROR(__xludf.DUMMYFUNCTION("""COMPUTED_VALUE"""),"")</f>
        <v/>
      </c>
      <c r="K1036" s="22"/>
      <c r="L1036" s="22"/>
      <c r="M1036" s="22"/>
      <c r="N1036" s="22"/>
      <c r="O1036" s="73"/>
      <c r="P1036" s="8"/>
      <c r="Q1036" s="69"/>
      <c r="R1036" s="69"/>
      <c r="S1036" s="8"/>
      <c r="T1036" s="69"/>
      <c r="U1036" s="8"/>
      <c r="V1036" s="69"/>
      <c r="W1036" s="74"/>
      <c r="X1036" s="69"/>
    </row>
    <row r="1037">
      <c r="A1037" s="30" t="str">
        <f>IFERROR(__xludf.DUMMYFUNCTION("""COMPUTED_VALUE"""),"77936")</f>
        <v>77936</v>
      </c>
      <c r="B1037" s="86">
        <f>IFERROR(__xludf.DUMMYFUNCTION("""COMPUTED_VALUE"""),44630.0)</f>
        <v>44630</v>
      </c>
      <c r="C1037" s="64" t="str">
        <f>IFERROR(__xludf.DUMMYFUNCTION("""COMPUTED_VALUE"""),"Stock")</f>
        <v>Stock</v>
      </c>
      <c r="D1037" s="90" t="str">
        <f>IFERROR(__xludf.DUMMYFUNCTION("""COMPUTED_VALUE"""),"9626.HK")</f>
        <v>9626.HK</v>
      </c>
      <c r="E1037" s="5" t="str">
        <f>IFERROR(__xludf.DUMMYFUNCTION("""COMPUTED_VALUE"""),"HKD")</f>
        <v>HKD</v>
      </c>
      <c r="F1037" s="69">
        <f>IFERROR(__xludf.DUMMYFUNCTION("""COMPUTED_VALUE"""),1000.0)</f>
        <v>1000</v>
      </c>
      <c r="G1037" s="70">
        <f>IFERROR(__xludf.DUMMYFUNCTION("""COMPUTED_VALUE"""),1.0)</f>
        <v>1</v>
      </c>
      <c r="H1037" s="71">
        <f>IFERROR(__xludf.DUMMYFUNCTION("""COMPUTED_VALUE"""),185.2)</f>
        <v>185.2</v>
      </c>
      <c r="I1037" s="71">
        <f>IFERROR(__xludf.DUMMYFUNCTION("""COMPUTED_VALUE"""),202.6)</f>
        <v>202.6</v>
      </c>
      <c r="J1037" s="88" t="str">
        <f>IFERROR(__xludf.DUMMYFUNCTION("""COMPUTED_VALUE"""),"Goto link: 9626.HK")</f>
        <v>Goto link: 9626.HK</v>
      </c>
      <c r="K1037" s="22"/>
      <c r="L1037" s="22"/>
      <c r="M1037" s="22"/>
      <c r="N1037" s="22"/>
      <c r="O1037" s="73"/>
      <c r="P1037" s="8"/>
      <c r="Q1037" s="69"/>
      <c r="R1037" s="69"/>
      <c r="S1037" s="8"/>
      <c r="T1037" s="69"/>
      <c r="U1037" s="8"/>
      <c r="V1037" s="69"/>
      <c r="W1037" s="74"/>
      <c r="X1037" s="69"/>
    </row>
    <row r="1038">
      <c r="A1038" s="30" t="str">
        <f>IFERROR(__xludf.DUMMYFUNCTION("""COMPUTED_VALUE"""),"77936")</f>
        <v>77936</v>
      </c>
      <c r="B1038" s="86">
        <f>IFERROR(__xludf.DUMMYFUNCTION("""COMPUTED_VALUE"""),44630.0)</f>
        <v>44630</v>
      </c>
      <c r="C1038" s="64" t="str">
        <f>IFERROR(__xludf.DUMMYFUNCTION("""COMPUTED_VALUE"""),"Stock")</f>
        <v>Stock</v>
      </c>
      <c r="D1038" s="90" t="str">
        <f>IFERROR(__xludf.DUMMYFUNCTION("""COMPUTED_VALUE"""),"9988.HK")</f>
        <v>9988.HK</v>
      </c>
      <c r="E1038" s="5" t="str">
        <f>IFERROR(__xludf.DUMMYFUNCTION("""COMPUTED_VALUE"""),"HKD")</f>
        <v>HKD</v>
      </c>
      <c r="F1038" s="69">
        <f>IFERROR(__xludf.DUMMYFUNCTION("""COMPUTED_VALUE"""),200.0)</f>
        <v>200</v>
      </c>
      <c r="G1038" s="70">
        <f>IFERROR(__xludf.DUMMYFUNCTION("""COMPUTED_VALUE"""),1.0)</f>
        <v>1</v>
      </c>
      <c r="H1038" s="71">
        <f>IFERROR(__xludf.DUMMYFUNCTION("""COMPUTED_VALUE"""),96.1)</f>
        <v>96.1</v>
      </c>
      <c r="I1038" s="71">
        <f>IFERROR(__xludf.DUMMYFUNCTION("""COMPUTED_VALUE"""),98.5)</f>
        <v>98.5</v>
      </c>
      <c r="J1038" s="88" t="str">
        <f>IFERROR(__xludf.DUMMYFUNCTION("""COMPUTED_VALUE"""),"Goto link: 9988.HK")</f>
        <v>Goto link: 9988.HK</v>
      </c>
      <c r="K1038" s="22"/>
      <c r="L1038" s="22"/>
      <c r="M1038" s="22"/>
      <c r="N1038" s="22"/>
      <c r="O1038" s="73"/>
      <c r="P1038" s="8"/>
      <c r="Q1038" s="69"/>
      <c r="R1038" s="69"/>
      <c r="S1038" s="8"/>
      <c r="T1038" s="69"/>
      <c r="U1038" s="8"/>
      <c r="V1038" s="69"/>
      <c r="W1038" s="74"/>
      <c r="X1038" s="69"/>
    </row>
    <row r="1039">
      <c r="A1039" s="30" t="str">
        <f>IFERROR(__xludf.DUMMYFUNCTION("""COMPUTED_VALUE"""),"77936")</f>
        <v>77936</v>
      </c>
      <c r="B1039" s="86">
        <f>IFERROR(__xludf.DUMMYFUNCTION("""COMPUTED_VALUE"""),44636.0)</f>
        <v>44636</v>
      </c>
      <c r="C1039" s="64" t="str">
        <f>IFERROR(__xludf.DUMMYFUNCTION("""COMPUTED_VALUE"""),"Stock")</f>
        <v>Stock</v>
      </c>
      <c r="D1039" s="90" t="str">
        <f>IFERROR(__xludf.DUMMYFUNCTION("""COMPUTED_VALUE"""),"3690.HK")</f>
        <v>3690.HK</v>
      </c>
      <c r="E1039" s="5" t="str">
        <f>IFERROR(__xludf.DUMMYFUNCTION("""COMPUTED_VALUE"""),"HKD")</f>
        <v>HKD</v>
      </c>
      <c r="F1039" s="69">
        <f>IFERROR(__xludf.DUMMYFUNCTION("""COMPUTED_VALUE"""),500.0)</f>
        <v>500</v>
      </c>
      <c r="G1039" s="70">
        <f>IFERROR(__xludf.DUMMYFUNCTION("""COMPUTED_VALUE"""),1.0)</f>
        <v>1</v>
      </c>
      <c r="H1039" s="71">
        <f>IFERROR(__xludf.DUMMYFUNCTION("""COMPUTED_VALUE"""),140.0)</f>
        <v>140</v>
      </c>
      <c r="I1039" s="71">
        <f>IFERROR(__xludf.DUMMYFUNCTION("""COMPUTED_VALUE"""),154.1)</f>
        <v>154.1</v>
      </c>
      <c r="J1039" s="88" t="str">
        <f>IFERROR(__xludf.DUMMYFUNCTION("""COMPUTED_VALUE"""),"Goto link: 3690.HK")</f>
        <v>Goto link: 3690.HK</v>
      </c>
      <c r="K1039" s="22"/>
      <c r="L1039" s="22"/>
      <c r="M1039" s="22"/>
      <c r="N1039" s="22"/>
      <c r="O1039" s="73"/>
      <c r="P1039" s="8"/>
      <c r="Q1039" s="69"/>
      <c r="R1039" s="69"/>
      <c r="S1039" s="8"/>
      <c r="T1039" s="69"/>
      <c r="U1039" s="8"/>
      <c r="V1039" s="69"/>
      <c r="W1039" s="74"/>
      <c r="X1039" s="69"/>
    </row>
    <row r="1040">
      <c r="A1040" s="30" t="str">
        <f>IFERROR(__xludf.DUMMYFUNCTION("""COMPUTED_VALUE"""),"77936")</f>
        <v>77936</v>
      </c>
      <c r="B1040" s="86">
        <f>IFERROR(__xludf.DUMMYFUNCTION("""COMPUTED_VALUE"""),44636.0)</f>
        <v>44636</v>
      </c>
      <c r="C1040" s="64" t="str">
        <f>IFERROR(__xludf.DUMMYFUNCTION("""COMPUTED_VALUE"""),"Stock")</f>
        <v>Stock</v>
      </c>
      <c r="D1040" s="90" t="str">
        <f>IFERROR(__xludf.DUMMYFUNCTION("""COMPUTED_VALUE"""),"6078.HK")</f>
        <v>6078.HK</v>
      </c>
      <c r="E1040" s="5" t="str">
        <f>IFERROR(__xludf.DUMMYFUNCTION("""COMPUTED_VALUE"""),"HKD")</f>
        <v>HKD</v>
      </c>
      <c r="F1040" s="69">
        <f>IFERROR(__xludf.DUMMYFUNCTION("""COMPUTED_VALUE"""),1000.0)</f>
        <v>1000</v>
      </c>
      <c r="G1040" s="70">
        <f>IFERROR(__xludf.DUMMYFUNCTION("""COMPUTED_VALUE"""),1.0)</f>
        <v>1</v>
      </c>
      <c r="H1040" s="71">
        <f>IFERROR(__xludf.DUMMYFUNCTION("""COMPUTED_VALUE"""),29.95)</f>
        <v>29.95</v>
      </c>
      <c r="I1040" s="71">
        <f>IFERROR(__xludf.DUMMYFUNCTION("""COMPUTED_VALUE"""),31.85)</f>
        <v>31.85</v>
      </c>
      <c r="J1040" s="88" t="str">
        <f>IFERROR(__xludf.DUMMYFUNCTION("""COMPUTED_VALUE"""),"Goto link: 6078.HK")</f>
        <v>Goto link: 6078.HK</v>
      </c>
      <c r="K1040" s="22"/>
      <c r="L1040" s="22"/>
      <c r="M1040" s="22"/>
      <c r="N1040" s="22"/>
      <c r="O1040" s="73"/>
      <c r="P1040" s="8"/>
      <c r="Q1040" s="69"/>
      <c r="R1040" s="69"/>
      <c r="S1040" s="8"/>
      <c r="T1040" s="69"/>
      <c r="U1040" s="8"/>
      <c r="V1040" s="69"/>
      <c r="W1040" s="74"/>
      <c r="X1040" s="69"/>
    </row>
    <row r="1041">
      <c r="A1041" s="30" t="str">
        <f>IFERROR(__xludf.DUMMYFUNCTION("""COMPUTED_VALUE"""),"77936")</f>
        <v>77936</v>
      </c>
      <c r="B1041" s="86">
        <f>IFERROR(__xludf.DUMMYFUNCTION("""COMPUTED_VALUE"""),44644.0)</f>
        <v>44644</v>
      </c>
      <c r="C1041" s="64" t="str">
        <f>IFERROR(__xludf.DUMMYFUNCTION("""COMPUTED_VALUE"""),"Stock")</f>
        <v>Stock</v>
      </c>
      <c r="D1041" s="90" t="str">
        <f>IFERROR(__xludf.DUMMYFUNCTION("""COMPUTED_VALUE"""),"0700.HK")</f>
        <v>0700.HK</v>
      </c>
      <c r="E1041" s="5" t="str">
        <f>IFERROR(__xludf.DUMMYFUNCTION("""COMPUTED_VALUE"""),"HKD")</f>
        <v>HKD</v>
      </c>
      <c r="F1041" s="69">
        <f>IFERROR(__xludf.DUMMYFUNCTION("""COMPUTED_VALUE"""),100.0)</f>
        <v>100</v>
      </c>
      <c r="G1041" s="70">
        <f>IFERROR(__xludf.DUMMYFUNCTION("""COMPUTED_VALUE"""),1.0)</f>
        <v>1</v>
      </c>
      <c r="H1041" s="71">
        <f>IFERROR(__xludf.DUMMYFUNCTION("""COMPUTED_VALUE"""),366.0)</f>
        <v>366</v>
      </c>
      <c r="I1041" s="71">
        <f>IFERROR(__xludf.DUMMYFUNCTION("""COMPUTED_VALUE"""),373.6)</f>
        <v>373.6</v>
      </c>
      <c r="J1041" s="88" t="str">
        <f>IFERROR(__xludf.DUMMYFUNCTION("""COMPUTED_VALUE"""),"Goto link: 0700.HK")</f>
        <v>Goto link: 0700.HK</v>
      </c>
      <c r="K1041" s="22"/>
      <c r="L1041" s="22"/>
      <c r="M1041" s="22"/>
      <c r="N1041" s="22"/>
      <c r="O1041" s="73"/>
      <c r="P1041" s="8"/>
      <c r="Q1041" s="69"/>
      <c r="R1041" s="69"/>
      <c r="S1041" s="8"/>
      <c r="T1041" s="69"/>
      <c r="U1041" s="8"/>
      <c r="V1041" s="69"/>
      <c r="W1041" s="74"/>
      <c r="X1041" s="69"/>
    </row>
    <row r="1042">
      <c r="A1042" s="30" t="str">
        <f>IFERROR(__xludf.DUMMYFUNCTION("""COMPUTED_VALUE"""),"77936 Total")</f>
        <v>77936 Total</v>
      </c>
      <c r="B1042" s="5"/>
      <c r="C1042" s="64"/>
      <c r="D1042" s="85"/>
      <c r="E1042" s="5"/>
      <c r="F1042" s="69"/>
      <c r="G1042" s="70">
        <f>IFERROR(__xludf.DUMMYFUNCTION("""COMPUTED_VALUE"""),1.0)</f>
        <v>1</v>
      </c>
      <c r="H1042" s="71">
        <f>IFERROR(__xludf.DUMMYFUNCTION("""COMPUTED_VALUE"""),366.0)</f>
        <v>366</v>
      </c>
      <c r="I1042" s="71" t="str">
        <f>IFERROR(__xludf.DUMMYFUNCTION("""COMPUTED_VALUE"""),"")</f>
        <v/>
      </c>
      <c r="J1042" s="22" t="str">
        <f>IFERROR(__xludf.DUMMYFUNCTION("""COMPUTED_VALUE"""),"")</f>
        <v/>
      </c>
      <c r="K1042" s="22"/>
      <c r="L1042" s="22"/>
      <c r="M1042" s="22"/>
      <c r="N1042" s="22"/>
      <c r="O1042" s="73"/>
      <c r="P1042" s="8"/>
      <c r="Q1042" s="69"/>
      <c r="R1042" s="69"/>
      <c r="S1042" s="8"/>
      <c r="T1042" s="69"/>
      <c r="U1042" s="8"/>
      <c r="V1042" s="69"/>
      <c r="W1042" s="74"/>
      <c r="X1042" s="69"/>
    </row>
    <row r="1043">
      <c r="A1043" s="30" t="str">
        <f>IFERROR(__xludf.DUMMYFUNCTION("""COMPUTED_VALUE"""),"79521")</f>
        <v>79521</v>
      </c>
      <c r="B1043" s="86">
        <f>IFERROR(__xludf.DUMMYFUNCTION("""COMPUTED_VALUE"""),44597.0)</f>
        <v>44597</v>
      </c>
      <c r="C1043" s="64" t="str">
        <f>IFERROR(__xludf.DUMMYFUNCTION("""COMPUTED_VALUE"""),"Cash")</f>
        <v>Cash</v>
      </c>
      <c r="D1043" s="85" t="str">
        <f>IFERROR(__xludf.DUMMYFUNCTION("""COMPUTED_VALUE"""),"Cash")</f>
        <v>Cash</v>
      </c>
      <c r="E1043" s="5" t="str">
        <f>IFERROR(__xludf.DUMMYFUNCTION("""COMPUTED_VALUE"""),"HKD")</f>
        <v>HKD</v>
      </c>
      <c r="F1043" s="69" t="str">
        <f>IFERROR(__xludf.DUMMYFUNCTION("""COMPUTED_VALUE"""),"")</f>
        <v/>
      </c>
      <c r="G1043" s="70">
        <f>IFERROR(__xludf.DUMMYFUNCTION("""COMPUTED_VALUE"""),1.0)</f>
        <v>1</v>
      </c>
      <c r="H1043" s="71">
        <f>IFERROR(__xludf.DUMMYFUNCTION("""COMPUTED_VALUE"""),1.0)</f>
        <v>1</v>
      </c>
      <c r="I1043" s="71">
        <f>IFERROR(__xludf.DUMMYFUNCTION("""COMPUTED_VALUE"""),1.0)</f>
        <v>1</v>
      </c>
      <c r="J1043" s="22" t="str">
        <f>IFERROR(__xludf.DUMMYFUNCTION("""COMPUTED_VALUE"""),"")</f>
        <v/>
      </c>
      <c r="K1043" s="22"/>
      <c r="L1043" s="22"/>
      <c r="M1043" s="22"/>
      <c r="N1043" s="22"/>
      <c r="O1043" s="73"/>
      <c r="P1043" s="8"/>
      <c r="Q1043" s="69"/>
      <c r="R1043" s="69"/>
      <c r="S1043" s="8"/>
      <c r="T1043" s="69"/>
      <c r="U1043" s="8"/>
      <c r="V1043" s="69"/>
      <c r="W1043" s="74"/>
      <c r="X1043" s="69"/>
    </row>
    <row r="1044">
      <c r="A1044" s="30" t="str">
        <f>IFERROR(__xludf.DUMMYFUNCTION("""COMPUTED_VALUE"""),"79521")</f>
        <v>79521</v>
      </c>
      <c r="B1044" s="86">
        <f>IFERROR(__xludf.DUMMYFUNCTION("""COMPUTED_VALUE"""),44622.0)</f>
        <v>44622</v>
      </c>
      <c r="C1044" s="64" t="str">
        <f>IFERROR(__xludf.DUMMYFUNCTION("""COMPUTED_VALUE"""),"Stock")</f>
        <v>Stock</v>
      </c>
      <c r="D1044" s="87" t="str">
        <f>IFERROR(__xludf.DUMMYFUNCTION("""COMPUTED_VALUE"""),"AAPL")</f>
        <v>AAPL</v>
      </c>
      <c r="E1044" s="5" t="str">
        <f>IFERROR(__xludf.DUMMYFUNCTION("""COMPUTED_VALUE"""),"USD")</f>
        <v>USD</v>
      </c>
      <c r="F1044" s="69">
        <f>IFERROR(__xludf.DUMMYFUNCTION("""COMPUTED_VALUE"""),0.0)</f>
        <v>0</v>
      </c>
      <c r="G1044" s="70">
        <f>IFERROR(__xludf.DUMMYFUNCTION("""COMPUTED_VALUE"""),7.83915)</f>
        <v>7.83915</v>
      </c>
      <c r="H1044" s="71">
        <f>IFERROR(__xludf.DUMMYFUNCTION("""COMPUTED_VALUE"""),0.0)</f>
        <v>0</v>
      </c>
      <c r="I1044" s="71">
        <f>IFERROR(__xludf.DUMMYFUNCTION("""COMPUTED_VALUE"""),170.4)</f>
        <v>170.4</v>
      </c>
      <c r="J1044" s="88" t="str">
        <f>IFERROR(__xludf.DUMMYFUNCTION("""COMPUTED_VALUE"""),"Goto link: AAPL")</f>
        <v>Goto link: AAPL</v>
      </c>
      <c r="K1044" s="22"/>
      <c r="L1044" s="22"/>
      <c r="M1044" s="22"/>
      <c r="N1044" s="22"/>
      <c r="O1044" s="73"/>
      <c r="P1044" s="8"/>
      <c r="Q1044" s="69"/>
      <c r="R1044" s="69"/>
      <c r="S1044" s="8"/>
      <c r="T1044" s="69"/>
      <c r="U1044" s="8"/>
      <c r="V1044" s="69"/>
      <c r="W1044" s="74"/>
      <c r="X1044" s="69"/>
    </row>
    <row r="1045">
      <c r="A1045" s="30" t="str">
        <f>IFERROR(__xludf.DUMMYFUNCTION("""COMPUTED_VALUE"""),"79521")</f>
        <v>79521</v>
      </c>
      <c r="B1045" s="86">
        <f>IFERROR(__xludf.DUMMYFUNCTION("""COMPUTED_VALUE"""),44627.0)</f>
        <v>44627</v>
      </c>
      <c r="C1045" s="64" t="str">
        <f>IFERROR(__xludf.DUMMYFUNCTION("""COMPUTED_VALUE"""),"Stock")</f>
        <v>Stock</v>
      </c>
      <c r="D1045" s="90" t="str">
        <f>IFERROR(__xludf.DUMMYFUNCTION("""COMPUTED_VALUE"""),"000950.SZ")</f>
        <v>000950.SZ</v>
      </c>
      <c r="E1045" s="5" t="str">
        <f>IFERROR(__xludf.DUMMYFUNCTION("""COMPUTED_VALUE"""),"CNY")</f>
        <v>CNY</v>
      </c>
      <c r="F1045" s="69">
        <f>IFERROR(__xludf.DUMMYFUNCTION("""COMPUTED_VALUE"""),32500.0)</f>
        <v>32500</v>
      </c>
      <c r="G1045" s="70">
        <f>IFERROR(__xludf.DUMMYFUNCTION("""COMPUTED_VALUE"""),1.231169)</f>
        <v>1.231169</v>
      </c>
      <c r="H1045" s="71">
        <f>IFERROR(__xludf.DUMMYFUNCTION("""COMPUTED_VALUE"""),6.15)</f>
        <v>6.15</v>
      </c>
      <c r="I1045" s="71">
        <f>IFERROR(__xludf.DUMMYFUNCTION("""COMPUTED_VALUE"""),5.34)</f>
        <v>5.34</v>
      </c>
      <c r="J1045" s="88" t="str">
        <f>IFERROR(__xludf.DUMMYFUNCTION("""COMPUTED_VALUE"""),"Goto link: 000950.SZ")</f>
        <v>Goto link: 000950.SZ</v>
      </c>
      <c r="K1045" s="22"/>
      <c r="L1045" s="22"/>
      <c r="M1045" s="22"/>
      <c r="N1045" s="22"/>
      <c r="O1045" s="73"/>
      <c r="P1045" s="8"/>
      <c r="Q1045" s="69"/>
      <c r="R1045" s="69"/>
      <c r="S1045" s="8"/>
      <c r="T1045" s="69"/>
      <c r="U1045" s="8"/>
      <c r="V1045" s="69"/>
      <c r="W1045" s="74"/>
      <c r="X1045" s="69"/>
    </row>
    <row r="1046">
      <c r="A1046" s="30" t="str">
        <f>IFERROR(__xludf.DUMMYFUNCTION("""COMPUTED_VALUE"""),"79521")</f>
        <v>79521</v>
      </c>
      <c r="B1046" s="86">
        <f>IFERROR(__xludf.DUMMYFUNCTION("""COMPUTED_VALUE"""),44627.0)</f>
        <v>44627</v>
      </c>
      <c r="C1046" s="64" t="str">
        <f>IFERROR(__xludf.DUMMYFUNCTION("""COMPUTED_VALUE"""),"Stock")</f>
        <v>Stock</v>
      </c>
      <c r="D1046" s="90" t="str">
        <f>IFERROR(__xludf.DUMMYFUNCTION("""COMPUTED_VALUE"""),"600661.SS")</f>
        <v>600661.SS</v>
      </c>
      <c r="E1046" s="5" t="str">
        <f>IFERROR(__xludf.DUMMYFUNCTION("""COMPUTED_VALUE"""),"CNY")</f>
        <v>CNY</v>
      </c>
      <c r="F1046" s="69">
        <f>IFERROR(__xludf.DUMMYFUNCTION("""COMPUTED_VALUE"""),15000.0)</f>
        <v>15000</v>
      </c>
      <c r="G1046" s="70">
        <f>IFERROR(__xludf.DUMMYFUNCTION("""COMPUTED_VALUE"""),1.231169)</f>
        <v>1.231169</v>
      </c>
      <c r="H1046" s="71">
        <f>IFERROR(__xludf.DUMMYFUNCTION("""COMPUTED_VALUE"""),13.18)</f>
        <v>13.18</v>
      </c>
      <c r="I1046" s="71">
        <f>IFERROR(__xludf.DUMMYFUNCTION("""COMPUTED_VALUE"""),8.63)</f>
        <v>8.63</v>
      </c>
      <c r="J1046" s="88" t="str">
        <f>IFERROR(__xludf.DUMMYFUNCTION("""COMPUTED_VALUE"""),"Goto link: 600661.SS")</f>
        <v>Goto link: 600661.SS</v>
      </c>
      <c r="K1046" s="22"/>
      <c r="L1046" s="22"/>
      <c r="M1046" s="22"/>
      <c r="N1046" s="22"/>
      <c r="O1046" s="73"/>
      <c r="P1046" s="8"/>
      <c r="Q1046" s="69"/>
      <c r="R1046" s="69"/>
      <c r="S1046" s="8"/>
      <c r="T1046" s="69"/>
      <c r="U1046" s="8"/>
      <c r="V1046" s="69"/>
      <c r="W1046" s="74"/>
      <c r="X1046" s="69"/>
    </row>
    <row r="1047">
      <c r="A1047" s="30" t="str">
        <f>IFERROR(__xludf.DUMMYFUNCTION("""COMPUTED_VALUE"""),"79521")</f>
        <v>79521</v>
      </c>
      <c r="B1047" s="86">
        <f>IFERROR(__xludf.DUMMYFUNCTION("""COMPUTED_VALUE"""),44628.0)</f>
        <v>44628</v>
      </c>
      <c r="C1047" s="64" t="str">
        <f>IFERROR(__xludf.DUMMYFUNCTION("""COMPUTED_VALUE"""),"Stock")</f>
        <v>Stock</v>
      </c>
      <c r="D1047" s="87" t="str">
        <f>IFERROR(__xludf.DUMMYFUNCTION("""COMPUTED_VALUE"""),"AAPL")</f>
        <v>AAPL</v>
      </c>
      <c r="E1047" s="5" t="str">
        <f>IFERROR(__xludf.DUMMYFUNCTION("""COMPUTED_VALUE"""),"USD")</f>
        <v>USD</v>
      </c>
      <c r="F1047" s="69">
        <f>IFERROR(__xludf.DUMMYFUNCTION("""COMPUTED_VALUE"""),0.0)</f>
        <v>0</v>
      </c>
      <c r="G1047" s="70">
        <f>IFERROR(__xludf.DUMMYFUNCTION("""COMPUTED_VALUE"""),7.83915)</f>
        <v>7.83915</v>
      </c>
      <c r="H1047" s="71">
        <f>IFERROR(__xludf.DUMMYFUNCTION("""COMPUTED_VALUE"""),0.0)</f>
        <v>0</v>
      </c>
      <c r="I1047" s="71">
        <f>IFERROR(__xludf.DUMMYFUNCTION("""COMPUTED_VALUE"""),170.4)</f>
        <v>170.4</v>
      </c>
      <c r="J1047" s="88" t="str">
        <f>IFERROR(__xludf.DUMMYFUNCTION("""COMPUTED_VALUE"""),"Goto link: AAPL")</f>
        <v>Goto link: AAPL</v>
      </c>
      <c r="K1047" s="22"/>
      <c r="L1047" s="22"/>
      <c r="M1047" s="22"/>
      <c r="N1047" s="22"/>
      <c r="O1047" s="73"/>
      <c r="P1047" s="8"/>
      <c r="Q1047" s="69"/>
      <c r="R1047" s="69"/>
      <c r="S1047" s="8"/>
      <c r="T1047" s="69"/>
      <c r="U1047" s="8"/>
      <c r="V1047" s="69"/>
      <c r="W1047" s="74"/>
      <c r="X1047" s="69"/>
    </row>
    <row r="1048">
      <c r="A1048" s="30" t="str">
        <f>IFERROR(__xludf.DUMMYFUNCTION("""COMPUTED_VALUE"""),"79521")</f>
        <v>79521</v>
      </c>
      <c r="B1048" s="86">
        <f>IFERROR(__xludf.DUMMYFUNCTION("""COMPUTED_VALUE"""),44637.0)</f>
        <v>44637</v>
      </c>
      <c r="C1048" s="64" t="str">
        <f>IFERROR(__xludf.DUMMYFUNCTION("""COMPUTED_VALUE"""),"Stock")</f>
        <v>Stock</v>
      </c>
      <c r="D1048" s="90" t="str">
        <f>IFERROR(__xludf.DUMMYFUNCTION("""COMPUTED_VALUE"""),"000950.SZ")</f>
        <v>000950.SZ</v>
      </c>
      <c r="E1048" s="5" t="str">
        <f>IFERROR(__xludf.DUMMYFUNCTION("""COMPUTED_VALUE"""),"CNY")</f>
        <v>CNY</v>
      </c>
      <c r="F1048" s="69">
        <f>IFERROR(__xludf.DUMMYFUNCTION("""COMPUTED_VALUE"""),-32500.0)</f>
        <v>-32500</v>
      </c>
      <c r="G1048" s="70">
        <f>IFERROR(__xludf.DUMMYFUNCTION("""COMPUTED_VALUE"""),1.231169)</f>
        <v>1.231169</v>
      </c>
      <c r="H1048" s="71">
        <f>IFERROR(__xludf.DUMMYFUNCTION("""COMPUTED_VALUE"""),5.58)</f>
        <v>5.58</v>
      </c>
      <c r="I1048" s="71">
        <f>IFERROR(__xludf.DUMMYFUNCTION("""COMPUTED_VALUE"""),5.34)</f>
        <v>5.34</v>
      </c>
      <c r="J1048" s="88" t="str">
        <f>IFERROR(__xludf.DUMMYFUNCTION("""COMPUTED_VALUE"""),"Goto link: 000950.SZ")</f>
        <v>Goto link: 000950.SZ</v>
      </c>
      <c r="K1048" s="22"/>
      <c r="L1048" s="22"/>
      <c r="M1048" s="22"/>
      <c r="N1048" s="22"/>
      <c r="O1048" s="73"/>
      <c r="P1048" s="8"/>
      <c r="Q1048" s="69"/>
      <c r="R1048" s="69"/>
      <c r="S1048" s="8"/>
      <c r="T1048" s="69"/>
      <c r="U1048" s="8"/>
      <c r="V1048" s="69"/>
      <c r="W1048" s="74"/>
      <c r="X1048" s="69"/>
    </row>
    <row r="1049">
      <c r="A1049" s="30" t="str">
        <f>IFERROR(__xludf.DUMMYFUNCTION("""COMPUTED_VALUE"""),"79521")</f>
        <v>79521</v>
      </c>
      <c r="B1049" s="86">
        <f>IFERROR(__xludf.DUMMYFUNCTION("""COMPUTED_VALUE"""),44637.0)</f>
        <v>44637</v>
      </c>
      <c r="C1049" s="64" t="str">
        <f>IFERROR(__xludf.DUMMYFUNCTION("""COMPUTED_VALUE"""),"Stock")</f>
        <v>Stock</v>
      </c>
      <c r="D1049" s="90" t="str">
        <f>IFERROR(__xludf.DUMMYFUNCTION("""COMPUTED_VALUE"""),"600661.SS")</f>
        <v>600661.SS</v>
      </c>
      <c r="E1049" s="5" t="str">
        <f>IFERROR(__xludf.DUMMYFUNCTION("""COMPUTED_VALUE"""),"CNY")</f>
        <v>CNY</v>
      </c>
      <c r="F1049" s="69">
        <f>IFERROR(__xludf.DUMMYFUNCTION("""COMPUTED_VALUE"""),-15000.0)</f>
        <v>-15000</v>
      </c>
      <c r="G1049" s="70">
        <f>IFERROR(__xludf.DUMMYFUNCTION("""COMPUTED_VALUE"""),1.231169)</f>
        <v>1.231169</v>
      </c>
      <c r="H1049" s="71">
        <f>IFERROR(__xludf.DUMMYFUNCTION("""COMPUTED_VALUE"""),10.9)</f>
        <v>10.9</v>
      </c>
      <c r="I1049" s="71">
        <f>IFERROR(__xludf.DUMMYFUNCTION("""COMPUTED_VALUE"""),8.63)</f>
        <v>8.63</v>
      </c>
      <c r="J1049" s="88" t="str">
        <f>IFERROR(__xludf.DUMMYFUNCTION("""COMPUTED_VALUE"""),"Goto link: 600661.SS")</f>
        <v>Goto link: 600661.SS</v>
      </c>
      <c r="K1049" s="22"/>
      <c r="L1049" s="22"/>
      <c r="M1049" s="22"/>
      <c r="N1049" s="22"/>
      <c r="O1049" s="73"/>
      <c r="P1049" s="8"/>
      <c r="Q1049" s="69"/>
      <c r="R1049" s="69"/>
      <c r="S1049" s="8"/>
      <c r="T1049" s="69"/>
      <c r="U1049" s="8"/>
      <c r="V1049" s="69"/>
      <c r="W1049" s="74"/>
      <c r="X1049" s="69"/>
    </row>
    <row r="1050">
      <c r="A1050" s="30" t="str">
        <f>IFERROR(__xludf.DUMMYFUNCTION("""COMPUTED_VALUE"""),"79521")</f>
        <v>79521</v>
      </c>
      <c r="B1050" s="86">
        <f>IFERROR(__xludf.DUMMYFUNCTION("""COMPUTED_VALUE"""),44638.0)</f>
        <v>44638</v>
      </c>
      <c r="C1050" s="64" t="str">
        <f>IFERROR(__xludf.DUMMYFUNCTION("""COMPUTED_VALUE"""),"Stock")</f>
        <v>Stock</v>
      </c>
      <c r="D1050" s="90" t="str">
        <f>IFERROR(__xludf.DUMMYFUNCTION("""COMPUTED_VALUE"""),"001896.SZ")</f>
        <v>001896.SZ</v>
      </c>
      <c r="E1050" s="5" t="str">
        <f>IFERROR(__xludf.DUMMYFUNCTION("""COMPUTED_VALUE"""),"CNY")</f>
        <v>CNY</v>
      </c>
      <c r="F1050" s="69">
        <f>IFERROR(__xludf.DUMMYFUNCTION("""COMPUTED_VALUE"""),10000.0)</f>
        <v>10000</v>
      </c>
      <c r="G1050" s="70">
        <f>IFERROR(__xludf.DUMMYFUNCTION("""COMPUTED_VALUE"""),1.231169)</f>
        <v>1.231169</v>
      </c>
      <c r="H1050" s="71">
        <f>IFERROR(__xludf.DUMMYFUNCTION("""COMPUTED_VALUE"""),6.16)</f>
        <v>6.16</v>
      </c>
      <c r="I1050" s="71">
        <f>IFERROR(__xludf.DUMMYFUNCTION("""COMPUTED_VALUE"""),5.5)</f>
        <v>5.5</v>
      </c>
      <c r="J1050" s="88" t="str">
        <f>IFERROR(__xludf.DUMMYFUNCTION("""COMPUTED_VALUE"""),"Goto link: 001896.SZ")</f>
        <v>Goto link: 001896.SZ</v>
      </c>
      <c r="K1050" s="22"/>
      <c r="L1050" s="22"/>
      <c r="M1050" s="22"/>
      <c r="N1050" s="22"/>
      <c r="O1050" s="73"/>
      <c r="P1050" s="8"/>
      <c r="Q1050" s="69"/>
      <c r="R1050" s="69"/>
      <c r="S1050" s="8"/>
      <c r="T1050" s="69"/>
      <c r="U1050" s="8"/>
      <c r="V1050" s="69"/>
      <c r="W1050" s="74"/>
      <c r="X1050" s="69"/>
    </row>
    <row r="1051">
      <c r="A1051" s="30" t="str">
        <f>IFERROR(__xludf.DUMMYFUNCTION("""COMPUTED_VALUE"""),"79521")</f>
        <v>79521</v>
      </c>
      <c r="B1051" s="86">
        <f>IFERROR(__xludf.DUMMYFUNCTION("""COMPUTED_VALUE"""),44638.0)</f>
        <v>44638</v>
      </c>
      <c r="C1051" s="64" t="str">
        <f>IFERROR(__xludf.DUMMYFUNCTION("""COMPUTED_VALUE"""),"Stock")</f>
        <v>Stock</v>
      </c>
      <c r="D1051" s="90" t="str">
        <f>IFERROR(__xludf.DUMMYFUNCTION("""COMPUTED_VALUE"""),"0700.HK")</f>
        <v>0700.HK</v>
      </c>
      <c r="E1051" s="5" t="str">
        <f>IFERROR(__xludf.DUMMYFUNCTION("""COMPUTED_VALUE"""),"HKD")</f>
        <v>HKD</v>
      </c>
      <c r="F1051" s="69">
        <f>IFERROR(__xludf.DUMMYFUNCTION("""COMPUTED_VALUE"""),1000.0)</f>
        <v>1000</v>
      </c>
      <c r="G1051" s="70">
        <f>IFERROR(__xludf.DUMMYFUNCTION("""COMPUTED_VALUE"""),1.0)</f>
        <v>1</v>
      </c>
      <c r="H1051" s="71">
        <f>IFERROR(__xludf.DUMMYFUNCTION("""COMPUTED_VALUE"""),381.0)</f>
        <v>381</v>
      </c>
      <c r="I1051" s="71">
        <f>IFERROR(__xludf.DUMMYFUNCTION("""COMPUTED_VALUE"""),373.6)</f>
        <v>373.6</v>
      </c>
      <c r="J1051" s="88" t="str">
        <f>IFERROR(__xludf.DUMMYFUNCTION("""COMPUTED_VALUE"""),"Goto link: 0700.HK")</f>
        <v>Goto link: 0700.HK</v>
      </c>
      <c r="K1051" s="22"/>
      <c r="L1051" s="22"/>
      <c r="M1051" s="22"/>
      <c r="N1051" s="22"/>
      <c r="O1051" s="73"/>
      <c r="P1051" s="8"/>
      <c r="Q1051" s="69"/>
      <c r="R1051" s="69"/>
      <c r="S1051" s="8"/>
      <c r="T1051" s="69"/>
      <c r="U1051" s="8"/>
      <c r="V1051" s="69"/>
      <c r="W1051" s="74"/>
      <c r="X1051" s="69"/>
    </row>
    <row r="1052">
      <c r="A1052" s="30" t="str">
        <f>IFERROR(__xludf.DUMMYFUNCTION("""COMPUTED_VALUE"""),"79521")</f>
        <v>79521</v>
      </c>
      <c r="B1052" s="86">
        <f>IFERROR(__xludf.DUMMYFUNCTION("""COMPUTED_VALUE"""),44641.0)</f>
        <v>44641</v>
      </c>
      <c r="C1052" s="64" t="str">
        <f>IFERROR(__xludf.DUMMYFUNCTION("""COMPUTED_VALUE"""),"Stock")</f>
        <v>Stock</v>
      </c>
      <c r="D1052" s="90" t="str">
        <f>IFERROR(__xludf.DUMMYFUNCTION("""COMPUTED_VALUE"""),"0700.HK")</f>
        <v>0700.HK</v>
      </c>
      <c r="E1052" s="5" t="str">
        <f>IFERROR(__xludf.DUMMYFUNCTION("""COMPUTED_VALUE"""),"HKD")</f>
        <v>HKD</v>
      </c>
      <c r="F1052" s="69">
        <f>IFERROR(__xludf.DUMMYFUNCTION("""COMPUTED_VALUE"""),-1000.0)</f>
        <v>-1000</v>
      </c>
      <c r="G1052" s="70">
        <f>IFERROR(__xludf.DUMMYFUNCTION("""COMPUTED_VALUE"""),1.0)</f>
        <v>1</v>
      </c>
      <c r="H1052" s="71">
        <f>IFERROR(__xludf.DUMMYFUNCTION("""COMPUTED_VALUE"""),372.4)</f>
        <v>372.4</v>
      </c>
      <c r="I1052" s="71">
        <f>IFERROR(__xludf.DUMMYFUNCTION("""COMPUTED_VALUE"""),373.6)</f>
        <v>373.6</v>
      </c>
      <c r="J1052" s="88" t="str">
        <f>IFERROR(__xludf.DUMMYFUNCTION("""COMPUTED_VALUE"""),"Goto link: 0700.HK")</f>
        <v>Goto link: 0700.HK</v>
      </c>
      <c r="K1052" s="22"/>
      <c r="L1052" s="22"/>
      <c r="M1052" s="22"/>
      <c r="N1052" s="22"/>
      <c r="O1052" s="73"/>
      <c r="P1052" s="8"/>
      <c r="Q1052" s="69"/>
      <c r="R1052" s="69"/>
      <c r="S1052" s="8"/>
      <c r="T1052" s="69"/>
      <c r="U1052" s="8"/>
      <c r="V1052" s="69"/>
      <c r="W1052" s="74"/>
      <c r="X1052" s="69"/>
    </row>
    <row r="1053">
      <c r="A1053" s="30" t="str">
        <f>IFERROR(__xludf.DUMMYFUNCTION("""COMPUTED_VALUE"""),"79521")</f>
        <v>79521</v>
      </c>
      <c r="B1053" s="86">
        <f>IFERROR(__xludf.DUMMYFUNCTION("""COMPUTED_VALUE"""),44644.0)</f>
        <v>44644</v>
      </c>
      <c r="C1053" s="64" t="str">
        <f>IFERROR(__xludf.DUMMYFUNCTION("""COMPUTED_VALUE"""),"Stock")</f>
        <v>Stock</v>
      </c>
      <c r="D1053" s="90" t="str">
        <f>IFERROR(__xludf.DUMMYFUNCTION("""COMPUTED_VALUE"""),"000965.SZ")</f>
        <v>000965.SZ</v>
      </c>
      <c r="E1053" s="5" t="str">
        <f>IFERROR(__xludf.DUMMYFUNCTION("""COMPUTED_VALUE"""),"CNY")</f>
        <v>CNY</v>
      </c>
      <c r="F1053" s="69">
        <f>IFERROR(__xludf.DUMMYFUNCTION("""COMPUTED_VALUE"""),50000.0)</f>
        <v>50000</v>
      </c>
      <c r="G1053" s="70">
        <f>IFERROR(__xludf.DUMMYFUNCTION("""COMPUTED_VALUE"""),1.231169)</f>
        <v>1.231169</v>
      </c>
      <c r="H1053" s="71">
        <f>IFERROR(__xludf.DUMMYFUNCTION("""COMPUTED_VALUE"""),5.76)</f>
        <v>5.76</v>
      </c>
      <c r="I1053" s="71">
        <f>IFERROR(__xludf.DUMMYFUNCTION("""COMPUTED_VALUE"""),8.44)</f>
        <v>8.44</v>
      </c>
      <c r="J1053" s="88" t="str">
        <f>IFERROR(__xludf.DUMMYFUNCTION("""COMPUTED_VALUE"""),"Goto link: 000965.SZ")</f>
        <v>Goto link: 000965.SZ</v>
      </c>
      <c r="K1053" s="22"/>
      <c r="L1053" s="22"/>
      <c r="M1053" s="22"/>
      <c r="N1053" s="22"/>
      <c r="O1053" s="73"/>
      <c r="P1053" s="8"/>
      <c r="Q1053" s="69"/>
      <c r="R1053" s="69"/>
      <c r="S1053" s="8"/>
      <c r="T1053" s="69"/>
      <c r="U1053" s="8"/>
      <c r="V1053" s="69"/>
      <c r="W1053" s="74"/>
      <c r="X1053" s="69"/>
    </row>
    <row r="1054">
      <c r="A1054" s="30" t="str">
        <f>IFERROR(__xludf.DUMMYFUNCTION("""COMPUTED_VALUE"""),"79521")</f>
        <v>79521</v>
      </c>
      <c r="B1054" s="86">
        <f>IFERROR(__xludf.DUMMYFUNCTION("""COMPUTED_VALUE"""),44645.0)</f>
        <v>44645</v>
      </c>
      <c r="C1054" s="64" t="str">
        <f>IFERROR(__xludf.DUMMYFUNCTION("""COMPUTED_VALUE"""),"Stock")</f>
        <v>Stock</v>
      </c>
      <c r="D1054" s="90" t="str">
        <f>IFERROR(__xludf.DUMMYFUNCTION("""COMPUTED_VALUE"""),"000505.SZ")</f>
        <v>000505.SZ</v>
      </c>
      <c r="E1054" s="5" t="str">
        <f>IFERROR(__xludf.DUMMYFUNCTION("""COMPUTED_VALUE"""),"CNY")</f>
        <v>CNY</v>
      </c>
      <c r="F1054" s="69">
        <f>IFERROR(__xludf.DUMMYFUNCTION("""COMPUTED_VALUE"""),30000.0)</f>
        <v>30000</v>
      </c>
      <c r="G1054" s="70">
        <f>IFERROR(__xludf.DUMMYFUNCTION("""COMPUTED_VALUE"""),1.231169)</f>
        <v>1.231169</v>
      </c>
      <c r="H1054" s="71">
        <f>IFERROR(__xludf.DUMMYFUNCTION("""COMPUTED_VALUE"""),10.54)</f>
        <v>10.54</v>
      </c>
      <c r="I1054" s="71">
        <f>IFERROR(__xludf.DUMMYFUNCTION("""COMPUTED_VALUE"""),11.42)</f>
        <v>11.42</v>
      </c>
      <c r="J1054" s="88" t="str">
        <f>IFERROR(__xludf.DUMMYFUNCTION("""COMPUTED_VALUE"""),"Goto link: 000505.SZ")</f>
        <v>Goto link: 000505.SZ</v>
      </c>
      <c r="K1054" s="22"/>
      <c r="L1054" s="22"/>
      <c r="M1054" s="22"/>
      <c r="N1054" s="22"/>
      <c r="O1054" s="73"/>
      <c r="P1054" s="8"/>
      <c r="Q1054" s="69"/>
      <c r="R1054" s="69"/>
      <c r="S1054" s="8"/>
      <c r="T1054" s="69"/>
      <c r="U1054" s="8"/>
      <c r="V1054" s="69"/>
      <c r="W1054" s="74"/>
      <c r="X1054" s="69"/>
    </row>
    <row r="1055">
      <c r="A1055" s="30" t="str">
        <f>IFERROR(__xludf.DUMMYFUNCTION("""COMPUTED_VALUE"""),"79521")</f>
        <v>79521</v>
      </c>
      <c r="B1055" s="86">
        <f>IFERROR(__xludf.DUMMYFUNCTION("""COMPUTED_VALUE"""),44645.0)</f>
        <v>44645</v>
      </c>
      <c r="C1055" s="64" t="str">
        <f>IFERROR(__xludf.DUMMYFUNCTION("""COMPUTED_VALUE"""),"Stock")</f>
        <v>Stock</v>
      </c>
      <c r="D1055" s="90" t="str">
        <f>IFERROR(__xludf.DUMMYFUNCTION("""COMPUTED_VALUE"""),"000965.SZ")</f>
        <v>000965.SZ</v>
      </c>
      <c r="E1055" s="5" t="str">
        <f>IFERROR(__xludf.DUMMYFUNCTION("""COMPUTED_VALUE"""),"CNY")</f>
        <v>CNY</v>
      </c>
      <c r="F1055" s="69">
        <f>IFERROR(__xludf.DUMMYFUNCTION("""COMPUTED_VALUE"""),-50000.0)</f>
        <v>-50000</v>
      </c>
      <c r="G1055" s="70">
        <f>IFERROR(__xludf.DUMMYFUNCTION("""COMPUTED_VALUE"""),1.231169)</f>
        <v>1.231169</v>
      </c>
      <c r="H1055" s="71">
        <f>IFERROR(__xludf.DUMMYFUNCTION("""COMPUTED_VALUE"""),6.34)</f>
        <v>6.34</v>
      </c>
      <c r="I1055" s="71">
        <f>IFERROR(__xludf.DUMMYFUNCTION("""COMPUTED_VALUE"""),8.44)</f>
        <v>8.44</v>
      </c>
      <c r="J1055" s="88" t="str">
        <f>IFERROR(__xludf.DUMMYFUNCTION("""COMPUTED_VALUE"""),"Goto link: 000965.SZ")</f>
        <v>Goto link: 000965.SZ</v>
      </c>
      <c r="K1055" s="22"/>
      <c r="L1055" s="22"/>
      <c r="M1055" s="22"/>
      <c r="N1055" s="22"/>
      <c r="O1055" s="73"/>
      <c r="P1055" s="8"/>
      <c r="Q1055" s="69"/>
      <c r="R1055" s="69"/>
      <c r="S1055" s="8"/>
      <c r="T1055" s="69"/>
      <c r="U1055" s="8"/>
      <c r="V1055" s="69"/>
      <c r="W1055" s="74"/>
      <c r="X1055" s="69"/>
    </row>
    <row r="1056">
      <c r="A1056" s="30" t="str">
        <f>IFERROR(__xludf.DUMMYFUNCTION("""COMPUTED_VALUE"""),"79521")</f>
        <v>79521</v>
      </c>
      <c r="B1056" s="86">
        <f>IFERROR(__xludf.DUMMYFUNCTION("""COMPUTED_VALUE"""),44648.0)</f>
        <v>44648</v>
      </c>
      <c r="C1056" s="64" t="str">
        <f>IFERROR(__xludf.DUMMYFUNCTION("""COMPUTED_VALUE"""),"Stock")</f>
        <v>Stock</v>
      </c>
      <c r="D1056" s="90" t="str">
        <f>IFERROR(__xludf.DUMMYFUNCTION("""COMPUTED_VALUE"""),"000505.SZ")</f>
        <v>000505.SZ</v>
      </c>
      <c r="E1056" s="5" t="str">
        <f>IFERROR(__xludf.DUMMYFUNCTION("""COMPUTED_VALUE"""),"CNY")</f>
        <v>CNY</v>
      </c>
      <c r="F1056" s="69">
        <f>IFERROR(__xludf.DUMMYFUNCTION("""COMPUTED_VALUE"""),-30000.0)</f>
        <v>-30000</v>
      </c>
      <c r="G1056" s="70">
        <f>IFERROR(__xludf.DUMMYFUNCTION("""COMPUTED_VALUE"""),1.231169)</f>
        <v>1.231169</v>
      </c>
      <c r="H1056" s="71">
        <f>IFERROR(__xludf.DUMMYFUNCTION("""COMPUTED_VALUE"""),11.59)</f>
        <v>11.59</v>
      </c>
      <c r="I1056" s="71">
        <f>IFERROR(__xludf.DUMMYFUNCTION("""COMPUTED_VALUE"""),11.42)</f>
        <v>11.42</v>
      </c>
      <c r="J1056" s="88" t="str">
        <f>IFERROR(__xludf.DUMMYFUNCTION("""COMPUTED_VALUE"""),"Goto link: 000505.SZ")</f>
        <v>Goto link: 000505.SZ</v>
      </c>
      <c r="K1056" s="22"/>
      <c r="L1056" s="22"/>
      <c r="M1056" s="22"/>
      <c r="N1056" s="22"/>
      <c r="O1056" s="73"/>
      <c r="P1056" s="8"/>
      <c r="Q1056" s="69"/>
      <c r="R1056" s="69"/>
      <c r="S1056" s="8"/>
      <c r="T1056" s="69"/>
      <c r="U1056" s="8"/>
      <c r="V1056" s="69"/>
      <c r="W1056" s="74"/>
      <c r="X1056" s="69"/>
    </row>
    <row r="1057">
      <c r="A1057" s="30" t="str">
        <f>IFERROR(__xludf.DUMMYFUNCTION("""COMPUTED_VALUE"""),"79521")</f>
        <v>79521</v>
      </c>
      <c r="B1057" s="86">
        <f>IFERROR(__xludf.DUMMYFUNCTION("""COMPUTED_VALUE"""),44648.0)</f>
        <v>44648</v>
      </c>
      <c r="C1057" s="64" t="str">
        <f>IFERROR(__xludf.DUMMYFUNCTION("""COMPUTED_VALUE"""),"Stock")</f>
        <v>Stock</v>
      </c>
      <c r="D1057" s="90" t="str">
        <f>IFERROR(__xludf.DUMMYFUNCTION("""COMPUTED_VALUE"""),"000665.SZ")</f>
        <v>000665.SZ</v>
      </c>
      <c r="E1057" s="5" t="str">
        <f>IFERROR(__xludf.DUMMYFUNCTION("""COMPUTED_VALUE"""),"CNY")</f>
        <v>CNY</v>
      </c>
      <c r="F1057" s="69">
        <f>IFERROR(__xludf.DUMMYFUNCTION("""COMPUTED_VALUE"""),45000.0)</f>
        <v>45000</v>
      </c>
      <c r="G1057" s="70">
        <f>IFERROR(__xludf.DUMMYFUNCTION("""COMPUTED_VALUE"""),1.231169)</f>
        <v>1.231169</v>
      </c>
      <c r="H1057" s="71">
        <f>IFERROR(__xludf.DUMMYFUNCTION("""COMPUTED_VALUE"""),8.76)</f>
        <v>8.76</v>
      </c>
      <c r="I1057" s="71">
        <f>IFERROR(__xludf.DUMMYFUNCTION("""COMPUTED_VALUE"""),8.03)</f>
        <v>8.03</v>
      </c>
      <c r="J1057" s="88" t="str">
        <f>IFERROR(__xludf.DUMMYFUNCTION("""COMPUTED_VALUE"""),"Goto link: 000665.SZ")</f>
        <v>Goto link: 000665.SZ</v>
      </c>
      <c r="K1057" s="22"/>
      <c r="L1057" s="22"/>
      <c r="M1057" s="22"/>
      <c r="N1057" s="22"/>
      <c r="O1057" s="73"/>
      <c r="P1057" s="8"/>
      <c r="Q1057" s="69"/>
      <c r="R1057" s="69"/>
      <c r="S1057" s="8"/>
      <c r="T1057" s="69"/>
      <c r="U1057" s="8"/>
      <c r="V1057" s="69"/>
      <c r="W1057" s="74"/>
      <c r="X1057" s="69"/>
    </row>
    <row r="1058">
      <c r="A1058" s="30" t="str">
        <f>IFERROR(__xludf.DUMMYFUNCTION("""COMPUTED_VALUE"""),"79521")</f>
        <v>79521</v>
      </c>
      <c r="B1058" s="86">
        <f>IFERROR(__xludf.DUMMYFUNCTION("""COMPUTED_VALUE"""),44650.0)</f>
        <v>44650</v>
      </c>
      <c r="C1058" s="64" t="str">
        <f>IFERROR(__xludf.DUMMYFUNCTION("""COMPUTED_VALUE"""),"Stock")</f>
        <v>Stock</v>
      </c>
      <c r="D1058" s="90" t="str">
        <f>IFERROR(__xludf.DUMMYFUNCTION("""COMPUTED_VALUE"""),"000665.SZ")</f>
        <v>000665.SZ</v>
      </c>
      <c r="E1058" s="5" t="str">
        <f>IFERROR(__xludf.DUMMYFUNCTION("""COMPUTED_VALUE"""),"CNY")</f>
        <v>CNY</v>
      </c>
      <c r="F1058" s="69">
        <f>IFERROR(__xludf.DUMMYFUNCTION("""COMPUTED_VALUE"""),-45000.0)</f>
        <v>-45000</v>
      </c>
      <c r="G1058" s="70">
        <f>IFERROR(__xludf.DUMMYFUNCTION("""COMPUTED_VALUE"""),1.231169)</f>
        <v>1.231169</v>
      </c>
      <c r="H1058" s="71">
        <f>IFERROR(__xludf.DUMMYFUNCTION("""COMPUTED_VALUE"""),9.24)</f>
        <v>9.24</v>
      </c>
      <c r="I1058" s="71">
        <f>IFERROR(__xludf.DUMMYFUNCTION("""COMPUTED_VALUE"""),8.03)</f>
        <v>8.03</v>
      </c>
      <c r="J1058" s="88" t="str">
        <f>IFERROR(__xludf.DUMMYFUNCTION("""COMPUTED_VALUE"""),"Goto link: 000665.SZ")</f>
        <v>Goto link: 000665.SZ</v>
      </c>
      <c r="K1058" s="22"/>
      <c r="L1058" s="22"/>
      <c r="M1058" s="22"/>
      <c r="N1058" s="22"/>
      <c r="O1058" s="73"/>
      <c r="P1058" s="8"/>
      <c r="Q1058" s="69"/>
      <c r="R1058" s="69"/>
      <c r="S1058" s="8"/>
      <c r="T1058" s="69"/>
      <c r="U1058" s="8"/>
      <c r="V1058" s="69"/>
      <c r="W1058" s="74"/>
      <c r="X1058" s="69"/>
    </row>
    <row r="1059">
      <c r="A1059" s="30" t="str">
        <f>IFERROR(__xludf.DUMMYFUNCTION("""COMPUTED_VALUE"""),"79521")</f>
        <v>79521</v>
      </c>
      <c r="B1059" s="86">
        <f>IFERROR(__xludf.DUMMYFUNCTION("""COMPUTED_VALUE"""),44657.0)</f>
        <v>44657</v>
      </c>
      <c r="C1059" s="64" t="str">
        <f>IFERROR(__xludf.DUMMYFUNCTION("""COMPUTED_VALUE"""),"Stock")</f>
        <v>Stock</v>
      </c>
      <c r="D1059" s="90" t="str">
        <f>IFERROR(__xludf.DUMMYFUNCTION("""COMPUTED_VALUE"""),"600533.SS")</f>
        <v>600533.SS</v>
      </c>
      <c r="E1059" s="5" t="str">
        <f>IFERROR(__xludf.DUMMYFUNCTION("""COMPUTED_VALUE"""),"CNY")</f>
        <v>CNY</v>
      </c>
      <c r="F1059" s="69">
        <f>IFERROR(__xludf.DUMMYFUNCTION("""COMPUTED_VALUE"""),106200.0)</f>
        <v>106200</v>
      </c>
      <c r="G1059" s="70">
        <f>IFERROR(__xludf.DUMMYFUNCTION("""COMPUTED_VALUE"""),1.231169)</f>
        <v>1.231169</v>
      </c>
      <c r="H1059" s="71">
        <f>IFERROR(__xludf.DUMMYFUNCTION("""COMPUTED_VALUE"""),4.91)</f>
        <v>4.91</v>
      </c>
      <c r="I1059" s="71">
        <f>IFERROR(__xludf.DUMMYFUNCTION("""COMPUTED_VALUE"""),4.01)</f>
        <v>4.01</v>
      </c>
      <c r="J1059" s="88" t="str">
        <f>IFERROR(__xludf.DUMMYFUNCTION("""COMPUTED_VALUE"""),"Goto link: 600533.SS")</f>
        <v>Goto link: 600533.SS</v>
      </c>
      <c r="K1059" s="22"/>
      <c r="L1059" s="22"/>
      <c r="M1059" s="22"/>
      <c r="N1059" s="22"/>
      <c r="O1059" s="73"/>
      <c r="P1059" s="8"/>
      <c r="Q1059" s="69"/>
      <c r="R1059" s="69"/>
      <c r="S1059" s="8"/>
      <c r="T1059" s="69"/>
      <c r="U1059" s="8"/>
      <c r="V1059" s="69"/>
      <c r="W1059" s="74"/>
      <c r="X1059" s="69"/>
    </row>
    <row r="1060">
      <c r="A1060" s="30" t="str">
        <f>IFERROR(__xludf.DUMMYFUNCTION("""COMPUTED_VALUE"""),"79521")</f>
        <v>79521</v>
      </c>
      <c r="B1060" s="86">
        <f>IFERROR(__xludf.DUMMYFUNCTION("""COMPUTED_VALUE"""),44658.0)</f>
        <v>44658</v>
      </c>
      <c r="C1060" s="64" t="str">
        <f>IFERROR(__xludf.DUMMYFUNCTION("""COMPUTED_VALUE"""),"Stock")</f>
        <v>Stock</v>
      </c>
      <c r="D1060" s="91" t="str">
        <f>IFERROR(__xludf.DUMMYFUNCTION("""COMPUTED_VALUE"""),"002205.SZ")</f>
        <v>002205.SZ</v>
      </c>
      <c r="E1060" s="5" t="str">
        <f>IFERROR(__xludf.DUMMYFUNCTION("""COMPUTED_VALUE"""),"CNY")</f>
        <v>CNY</v>
      </c>
      <c r="F1060" s="69">
        <f>IFERROR(__xludf.DUMMYFUNCTION("""COMPUTED_VALUE"""),35000.0)</f>
        <v>35000</v>
      </c>
      <c r="G1060" s="70">
        <f>IFERROR(__xludf.DUMMYFUNCTION("""COMPUTED_VALUE"""),1.231169)</f>
        <v>1.231169</v>
      </c>
      <c r="H1060" s="71">
        <f>IFERROR(__xludf.DUMMYFUNCTION("""COMPUTED_VALUE"""),13.92)</f>
        <v>13.92</v>
      </c>
      <c r="I1060" s="71">
        <f>IFERROR(__xludf.DUMMYFUNCTION("""COMPUTED_VALUE"""),18.85)</f>
        <v>18.85</v>
      </c>
      <c r="J1060" s="88" t="str">
        <f>IFERROR(__xludf.DUMMYFUNCTION("""COMPUTED_VALUE"""),"Goto link: 002205.SZ")</f>
        <v>Goto link: 002205.SZ</v>
      </c>
      <c r="K1060" s="22"/>
      <c r="L1060" s="22"/>
      <c r="M1060" s="22"/>
      <c r="N1060" s="22"/>
      <c r="O1060" s="73"/>
      <c r="P1060" s="8"/>
      <c r="Q1060" s="69"/>
      <c r="R1060" s="69"/>
      <c r="S1060" s="8"/>
      <c r="T1060" s="69"/>
      <c r="U1060" s="8"/>
      <c r="V1060" s="69"/>
      <c r="W1060" s="74"/>
      <c r="X1060" s="69"/>
    </row>
    <row r="1061">
      <c r="A1061" s="30" t="str">
        <f>IFERROR(__xludf.DUMMYFUNCTION("""COMPUTED_VALUE"""),"79521")</f>
        <v>79521</v>
      </c>
      <c r="B1061" s="86">
        <f>IFERROR(__xludf.DUMMYFUNCTION("""COMPUTED_VALUE"""),44658.0)</f>
        <v>44658</v>
      </c>
      <c r="C1061" s="64" t="str">
        <f>IFERROR(__xludf.DUMMYFUNCTION("""COMPUTED_VALUE"""),"Stock")</f>
        <v>Stock</v>
      </c>
      <c r="D1061" s="91" t="str">
        <f>IFERROR(__xludf.DUMMYFUNCTION("""COMPUTED_VALUE"""),"600533.SS")</f>
        <v>600533.SS</v>
      </c>
      <c r="E1061" s="5" t="str">
        <f>IFERROR(__xludf.DUMMYFUNCTION("""COMPUTED_VALUE"""),"CNY")</f>
        <v>CNY</v>
      </c>
      <c r="F1061" s="69">
        <f>IFERROR(__xludf.DUMMYFUNCTION("""COMPUTED_VALUE"""),-106200.0)</f>
        <v>-106200</v>
      </c>
      <c r="G1061" s="70">
        <f>IFERROR(__xludf.DUMMYFUNCTION("""COMPUTED_VALUE"""),1.231169)</f>
        <v>1.231169</v>
      </c>
      <c r="H1061" s="71">
        <f>IFERROR(__xludf.DUMMYFUNCTION("""COMPUTED_VALUE"""),5.01)</f>
        <v>5.01</v>
      </c>
      <c r="I1061" s="71">
        <f>IFERROR(__xludf.DUMMYFUNCTION("""COMPUTED_VALUE"""),4.01)</f>
        <v>4.01</v>
      </c>
      <c r="J1061" s="88" t="str">
        <f>IFERROR(__xludf.DUMMYFUNCTION("""COMPUTED_VALUE"""),"Goto link: 600533.SS")</f>
        <v>Goto link: 600533.SS</v>
      </c>
      <c r="K1061" s="22"/>
      <c r="L1061" s="22"/>
      <c r="M1061" s="22"/>
      <c r="N1061" s="22"/>
      <c r="O1061" s="73"/>
      <c r="P1061" s="8"/>
      <c r="Q1061" s="69"/>
      <c r="R1061" s="69"/>
      <c r="S1061" s="8"/>
      <c r="T1061" s="69"/>
      <c r="U1061" s="8"/>
      <c r="V1061" s="69"/>
      <c r="W1061" s="74"/>
      <c r="X1061" s="69"/>
    </row>
    <row r="1062">
      <c r="A1062" s="30" t="str">
        <f>IFERROR(__xludf.DUMMYFUNCTION("""COMPUTED_VALUE"""),"79521")</f>
        <v>79521</v>
      </c>
      <c r="B1062" s="86">
        <f>IFERROR(__xludf.DUMMYFUNCTION("""COMPUTED_VALUE"""),44659.0)</f>
        <v>44659</v>
      </c>
      <c r="C1062" s="64" t="str">
        <f>IFERROR(__xludf.DUMMYFUNCTION("""COMPUTED_VALUE"""),"Stock")</f>
        <v>Stock</v>
      </c>
      <c r="D1062" s="91" t="str">
        <f>IFERROR(__xludf.DUMMYFUNCTION("""COMPUTED_VALUE"""),"002205.SZ")</f>
        <v>002205.SZ</v>
      </c>
      <c r="E1062" s="5" t="str">
        <f>IFERROR(__xludf.DUMMYFUNCTION("""COMPUTED_VALUE"""),"CNY")</f>
        <v>CNY</v>
      </c>
      <c r="F1062" s="69">
        <f>IFERROR(__xludf.DUMMYFUNCTION("""COMPUTED_VALUE"""),-35000.0)</f>
        <v>-35000</v>
      </c>
      <c r="G1062" s="70">
        <f>IFERROR(__xludf.DUMMYFUNCTION("""COMPUTED_VALUE"""),1.231169)</f>
        <v>1.231169</v>
      </c>
      <c r="H1062" s="71">
        <f>IFERROR(__xludf.DUMMYFUNCTION("""COMPUTED_VALUE"""),15.31)</f>
        <v>15.31</v>
      </c>
      <c r="I1062" s="71">
        <f>IFERROR(__xludf.DUMMYFUNCTION("""COMPUTED_VALUE"""),18.85)</f>
        <v>18.85</v>
      </c>
      <c r="J1062" s="88" t="str">
        <f>IFERROR(__xludf.DUMMYFUNCTION("""COMPUTED_VALUE"""),"Goto link: 002205.SZ")</f>
        <v>Goto link: 002205.SZ</v>
      </c>
      <c r="K1062" s="22"/>
      <c r="L1062" s="22"/>
      <c r="M1062" s="22"/>
      <c r="N1062" s="22"/>
      <c r="O1062" s="73"/>
      <c r="P1062" s="8"/>
      <c r="Q1062" s="69"/>
      <c r="R1062" s="69"/>
      <c r="S1062" s="8"/>
      <c r="T1062" s="69"/>
      <c r="U1062" s="8"/>
      <c r="V1062" s="69"/>
      <c r="W1062" s="74"/>
      <c r="X1062" s="69"/>
    </row>
    <row r="1063">
      <c r="A1063" s="30" t="str">
        <f>IFERROR(__xludf.DUMMYFUNCTION("""COMPUTED_VALUE"""),"79521")</f>
        <v>79521</v>
      </c>
      <c r="B1063" s="86">
        <f>IFERROR(__xludf.DUMMYFUNCTION("""COMPUTED_VALUE"""),44662.0)</f>
        <v>44662</v>
      </c>
      <c r="C1063" s="64" t="str">
        <f>IFERROR(__xludf.DUMMYFUNCTION("""COMPUTED_VALUE"""),"Stock")</f>
        <v>Stock</v>
      </c>
      <c r="D1063" s="91" t="str">
        <f>IFERROR(__xludf.DUMMYFUNCTION("""COMPUTED_VALUE"""),"605089.SS")</f>
        <v>605089.SS</v>
      </c>
      <c r="E1063" s="5" t="str">
        <f>IFERROR(__xludf.DUMMYFUNCTION("""COMPUTED_VALUE"""),"CNY")</f>
        <v>CNY</v>
      </c>
      <c r="F1063" s="69">
        <f>IFERROR(__xludf.DUMMYFUNCTION("""COMPUTED_VALUE"""),1500.0)</f>
        <v>1500</v>
      </c>
      <c r="G1063" s="70">
        <f>IFERROR(__xludf.DUMMYFUNCTION("""COMPUTED_VALUE"""),1.231169)</f>
        <v>1.231169</v>
      </c>
      <c r="H1063" s="71">
        <f>IFERROR(__xludf.DUMMYFUNCTION("""COMPUTED_VALUE"""),61.66)</f>
        <v>61.66</v>
      </c>
      <c r="I1063" s="71">
        <f>IFERROR(__xludf.DUMMYFUNCTION("""COMPUTED_VALUE"""),63.85)</f>
        <v>63.85</v>
      </c>
      <c r="J1063" s="88" t="str">
        <f>IFERROR(__xludf.DUMMYFUNCTION("""COMPUTED_VALUE"""),"Goto link: 605089.SS")</f>
        <v>Goto link: 605089.SS</v>
      </c>
      <c r="K1063" s="22"/>
      <c r="L1063" s="22"/>
      <c r="M1063" s="22"/>
      <c r="N1063" s="22"/>
      <c r="O1063" s="73"/>
      <c r="P1063" s="8"/>
      <c r="Q1063" s="69"/>
      <c r="R1063" s="69"/>
      <c r="S1063" s="8"/>
      <c r="T1063" s="69"/>
      <c r="U1063" s="8"/>
      <c r="V1063" s="69"/>
      <c r="W1063" s="74"/>
      <c r="X1063" s="69"/>
    </row>
    <row r="1064">
      <c r="A1064" s="30" t="str">
        <f>IFERROR(__xludf.DUMMYFUNCTION("""COMPUTED_VALUE"""),"79521")</f>
        <v>79521</v>
      </c>
      <c r="B1064" s="86">
        <f>IFERROR(__xludf.DUMMYFUNCTION("""COMPUTED_VALUE"""),44664.0)</f>
        <v>44664</v>
      </c>
      <c r="C1064" s="64" t="str">
        <f>IFERROR(__xludf.DUMMYFUNCTION("""COMPUTED_VALUE"""),"Stock")</f>
        <v>Stock</v>
      </c>
      <c r="D1064" s="91" t="str">
        <f>IFERROR(__xludf.DUMMYFUNCTION("""COMPUTED_VALUE"""),"000927.SZ")</f>
        <v>000927.SZ</v>
      </c>
      <c r="E1064" s="5" t="str">
        <f>IFERROR(__xludf.DUMMYFUNCTION("""COMPUTED_VALUE"""),"CNY")</f>
        <v>CNY</v>
      </c>
      <c r="F1064" s="69">
        <f>IFERROR(__xludf.DUMMYFUNCTION("""COMPUTED_VALUE"""),50000.0)</f>
        <v>50000</v>
      </c>
      <c r="G1064" s="70">
        <f>IFERROR(__xludf.DUMMYFUNCTION("""COMPUTED_VALUE"""),1.231169)</f>
        <v>1.231169</v>
      </c>
      <c r="H1064" s="71">
        <f>IFERROR(__xludf.DUMMYFUNCTION("""COMPUTED_VALUE"""),4.27)</f>
        <v>4.27</v>
      </c>
      <c r="I1064" s="71">
        <f>IFERROR(__xludf.DUMMYFUNCTION("""COMPUTED_VALUE"""),4.27)</f>
        <v>4.27</v>
      </c>
      <c r="J1064" s="88" t="str">
        <f>IFERROR(__xludf.DUMMYFUNCTION("""COMPUTED_VALUE"""),"Goto link: 000927.SZ")</f>
        <v>Goto link: 000927.SZ</v>
      </c>
      <c r="K1064" s="22"/>
      <c r="L1064" s="22"/>
      <c r="M1064" s="22"/>
      <c r="N1064" s="22"/>
      <c r="O1064" s="73"/>
      <c r="P1064" s="8"/>
      <c r="Q1064" s="69"/>
      <c r="R1064" s="69"/>
      <c r="S1064" s="8"/>
      <c r="T1064" s="69"/>
      <c r="U1064" s="8"/>
      <c r="V1064" s="69"/>
      <c r="W1064" s="74"/>
      <c r="X1064" s="69"/>
    </row>
    <row r="1065">
      <c r="A1065" s="30" t="str">
        <f>IFERROR(__xludf.DUMMYFUNCTION("""COMPUTED_VALUE"""),"79521")</f>
        <v>79521</v>
      </c>
      <c r="B1065" s="86">
        <f>IFERROR(__xludf.DUMMYFUNCTION("""COMPUTED_VALUE"""),44664.0)</f>
        <v>44664</v>
      </c>
      <c r="C1065" s="64" t="str">
        <f>IFERROR(__xludf.DUMMYFUNCTION("""COMPUTED_VALUE"""),"Stock")</f>
        <v>Stock</v>
      </c>
      <c r="D1065" s="91" t="str">
        <f>IFERROR(__xludf.DUMMYFUNCTION("""COMPUTED_VALUE"""),"605089.SS")</f>
        <v>605089.SS</v>
      </c>
      <c r="E1065" s="5" t="str">
        <f>IFERROR(__xludf.DUMMYFUNCTION("""COMPUTED_VALUE"""),"CNY")</f>
        <v>CNY</v>
      </c>
      <c r="F1065" s="69">
        <f>IFERROR(__xludf.DUMMYFUNCTION("""COMPUTED_VALUE"""),-1500.0)</f>
        <v>-1500</v>
      </c>
      <c r="G1065" s="70">
        <f>IFERROR(__xludf.DUMMYFUNCTION("""COMPUTED_VALUE"""),1.231169)</f>
        <v>1.231169</v>
      </c>
      <c r="H1065" s="71">
        <f>IFERROR(__xludf.DUMMYFUNCTION("""COMPUTED_VALUE"""),63.85)</f>
        <v>63.85</v>
      </c>
      <c r="I1065" s="71">
        <f>IFERROR(__xludf.DUMMYFUNCTION("""COMPUTED_VALUE"""),63.85)</f>
        <v>63.85</v>
      </c>
      <c r="J1065" s="88" t="str">
        <f>IFERROR(__xludf.DUMMYFUNCTION("""COMPUTED_VALUE"""),"Goto link: 605089.SS")</f>
        <v>Goto link: 605089.SS</v>
      </c>
      <c r="K1065" s="22"/>
      <c r="L1065" s="22"/>
      <c r="M1065" s="22"/>
      <c r="N1065" s="22"/>
      <c r="O1065" s="73"/>
      <c r="P1065" s="8"/>
      <c r="Q1065" s="69"/>
      <c r="R1065" s="69"/>
      <c r="S1065" s="8"/>
      <c r="T1065" s="69"/>
      <c r="U1065" s="8"/>
      <c r="V1065" s="69"/>
      <c r="W1065" s="74"/>
      <c r="X1065" s="69"/>
    </row>
    <row r="1066">
      <c r="A1066" s="30" t="str">
        <f>IFERROR(__xludf.DUMMYFUNCTION("""COMPUTED_VALUE"""),"79521 Total")</f>
        <v>79521 Total</v>
      </c>
      <c r="B1066" s="5"/>
      <c r="C1066" s="64"/>
      <c r="D1066" s="85"/>
      <c r="E1066" s="5"/>
      <c r="F1066" s="69"/>
      <c r="G1066" s="70">
        <f>IFERROR(__xludf.DUMMYFUNCTION("""COMPUTED_VALUE"""),1.775623565217392)</f>
        <v>1.775623565</v>
      </c>
      <c r="H1066" s="71">
        <f>IFERROR(__xludf.DUMMYFUNCTION("""COMPUTED_VALUE"""),381.0)</f>
        <v>381</v>
      </c>
      <c r="I1066" s="71" t="str">
        <f>IFERROR(__xludf.DUMMYFUNCTION("""COMPUTED_VALUE"""),"")</f>
        <v/>
      </c>
      <c r="J1066" s="22" t="str">
        <f>IFERROR(__xludf.DUMMYFUNCTION("""COMPUTED_VALUE"""),"")</f>
        <v/>
      </c>
      <c r="K1066" s="22"/>
      <c r="L1066" s="22"/>
      <c r="M1066" s="22"/>
      <c r="N1066" s="22"/>
      <c r="O1066" s="73"/>
      <c r="P1066" s="8"/>
      <c r="Q1066" s="69"/>
      <c r="R1066" s="69"/>
      <c r="S1066" s="8"/>
      <c r="T1066" s="69"/>
      <c r="U1066" s="8"/>
      <c r="V1066" s="69"/>
      <c r="W1066" s="74"/>
      <c r="X1066" s="69"/>
    </row>
    <row r="1067">
      <c r="A1067" s="30" t="str">
        <f>IFERROR(__xludf.DUMMYFUNCTION("""COMPUTED_VALUE"""),"82124")</f>
        <v>82124</v>
      </c>
      <c r="B1067" s="86">
        <f>IFERROR(__xludf.DUMMYFUNCTION("""COMPUTED_VALUE"""),44597.0)</f>
        <v>44597</v>
      </c>
      <c r="C1067" s="64" t="str">
        <f>IFERROR(__xludf.DUMMYFUNCTION("""COMPUTED_VALUE"""),"Cash")</f>
        <v>Cash</v>
      </c>
      <c r="D1067" s="85" t="str">
        <f>IFERROR(__xludf.DUMMYFUNCTION("""COMPUTED_VALUE"""),"Cash")</f>
        <v>Cash</v>
      </c>
      <c r="E1067" s="5" t="str">
        <f>IFERROR(__xludf.DUMMYFUNCTION("""COMPUTED_VALUE"""),"HKD")</f>
        <v>HKD</v>
      </c>
      <c r="F1067" s="69" t="str">
        <f>IFERROR(__xludf.DUMMYFUNCTION("""COMPUTED_VALUE"""),"")</f>
        <v/>
      </c>
      <c r="G1067" s="70">
        <f>IFERROR(__xludf.DUMMYFUNCTION("""COMPUTED_VALUE"""),1.0)</f>
        <v>1</v>
      </c>
      <c r="H1067" s="71">
        <f>IFERROR(__xludf.DUMMYFUNCTION("""COMPUTED_VALUE"""),1.0)</f>
        <v>1</v>
      </c>
      <c r="I1067" s="71">
        <f>IFERROR(__xludf.DUMMYFUNCTION("""COMPUTED_VALUE"""),1.0)</f>
        <v>1</v>
      </c>
      <c r="J1067" s="22" t="str">
        <f>IFERROR(__xludf.DUMMYFUNCTION("""COMPUTED_VALUE"""),"")</f>
        <v/>
      </c>
      <c r="K1067" s="22"/>
      <c r="L1067" s="22"/>
      <c r="M1067" s="22"/>
      <c r="N1067" s="22"/>
      <c r="O1067" s="73"/>
      <c r="P1067" s="8"/>
      <c r="Q1067" s="69"/>
      <c r="R1067" s="69"/>
      <c r="S1067" s="8"/>
      <c r="T1067" s="69"/>
      <c r="U1067" s="8"/>
      <c r="V1067" s="69"/>
      <c r="W1067" s="74"/>
      <c r="X1067" s="69"/>
    </row>
    <row r="1068">
      <c r="A1068" s="30" t="str">
        <f>IFERROR(__xludf.DUMMYFUNCTION("""COMPUTED_VALUE"""),"82124")</f>
        <v>82124</v>
      </c>
      <c r="B1068" s="86">
        <f>IFERROR(__xludf.DUMMYFUNCTION("""COMPUTED_VALUE"""),44608.0)</f>
        <v>44608</v>
      </c>
      <c r="C1068" s="64" t="str">
        <f>IFERROR(__xludf.DUMMYFUNCTION("""COMPUTED_VALUE"""),"Stock")</f>
        <v>Stock</v>
      </c>
      <c r="D1068" s="90" t="str">
        <f>IFERROR(__xludf.DUMMYFUNCTION("""COMPUTED_VALUE"""),"9988.HK")</f>
        <v>9988.HK</v>
      </c>
      <c r="E1068" s="5" t="str">
        <f>IFERROR(__xludf.DUMMYFUNCTION("""COMPUTED_VALUE"""),"HKD")</f>
        <v>HKD</v>
      </c>
      <c r="F1068" s="69">
        <f>IFERROR(__xludf.DUMMYFUNCTION("""COMPUTED_VALUE"""),200.0)</f>
        <v>200</v>
      </c>
      <c r="G1068" s="70">
        <f>IFERROR(__xludf.DUMMYFUNCTION("""COMPUTED_VALUE"""),1.0)</f>
        <v>1</v>
      </c>
      <c r="H1068" s="71">
        <f>IFERROR(__xludf.DUMMYFUNCTION("""COMPUTED_VALUE"""),122.5)</f>
        <v>122.5</v>
      </c>
      <c r="I1068" s="71">
        <f>IFERROR(__xludf.DUMMYFUNCTION("""COMPUTED_VALUE"""),98.5)</f>
        <v>98.5</v>
      </c>
      <c r="J1068" s="88" t="str">
        <f>IFERROR(__xludf.DUMMYFUNCTION("""COMPUTED_VALUE"""),"Goto link: 9988.HK")</f>
        <v>Goto link: 9988.HK</v>
      </c>
      <c r="K1068" s="22"/>
      <c r="L1068" s="22"/>
      <c r="M1068" s="22"/>
      <c r="N1068" s="22"/>
      <c r="O1068" s="73"/>
      <c r="P1068" s="8"/>
      <c r="Q1068" s="69"/>
      <c r="R1068" s="69"/>
      <c r="S1068" s="8"/>
      <c r="T1068" s="69"/>
      <c r="U1068" s="8"/>
      <c r="V1068" s="69"/>
      <c r="W1068" s="74"/>
      <c r="X1068" s="69"/>
    </row>
    <row r="1069">
      <c r="A1069" s="30" t="str">
        <f>IFERROR(__xludf.DUMMYFUNCTION("""COMPUTED_VALUE"""),"82124")</f>
        <v>82124</v>
      </c>
      <c r="B1069" s="86">
        <f>IFERROR(__xludf.DUMMYFUNCTION("""COMPUTED_VALUE"""),44613.0)</f>
        <v>44613</v>
      </c>
      <c r="C1069" s="64" t="str">
        <f>IFERROR(__xludf.DUMMYFUNCTION("""COMPUTED_VALUE"""),"Stock")</f>
        <v>Stock</v>
      </c>
      <c r="D1069" s="90" t="str">
        <f>IFERROR(__xludf.DUMMYFUNCTION("""COMPUTED_VALUE"""),"0941.HK")</f>
        <v>0941.HK</v>
      </c>
      <c r="E1069" s="5" t="str">
        <f>IFERROR(__xludf.DUMMYFUNCTION("""COMPUTED_VALUE"""),"HKD")</f>
        <v>HKD</v>
      </c>
      <c r="F1069" s="69">
        <f>IFERROR(__xludf.DUMMYFUNCTION("""COMPUTED_VALUE"""),1000.0)</f>
        <v>1000</v>
      </c>
      <c r="G1069" s="70">
        <f>IFERROR(__xludf.DUMMYFUNCTION("""COMPUTED_VALUE"""),1.0)</f>
        <v>1</v>
      </c>
      <c r="H1069" s="71">
        <f>IFERROR(__xludf.DUMMYFUNCTION("""COMPUTED_VALUE"""),55.9)</f>
        <v>55.9</v>
      </c>
      <c r="I1069" s="71">
        <f>IFERROR(__xludf.DUMMYFUNCTION("""COMPUTED_VALUE"""),55.5)</f>
        <v>55.5</v>
      </c>
      <c r="J1069" s="88" t="str">
        <f>IFERROR(__xludf.DUMMYFUNCTION("""COMPUTED_VALUE"""),"Goto link: 0941.HK")</f>
        <v>Goto link: 0941.HK</v>
      </c>
      <c r="K1069" s="22"/>
      <c r="L1069" s="22"/>
      <c r="M1069" s="22"/>
      <c r="N1069" s="22"/>
      <c r="O1069" s="73"/>
      <c r="P1069" s="8"/>
      <c r="Q1069" s="69"/>
      <c r="R1069" s="69"/>
      <c r="S1069" s="8"/>
      <c r="T1069" s="69"/>
      <c r="U1069" s="8"/>
      <c r="V1069" s="69"/>
      <c r="W1069" s="74"/>
      <c r="X1069" s="69"/>
    </row>
    <row r="1070">
      <c r="A1070" s="30" t="str">
        <f>IFERROR(__xludf.DUMMYFUNCTION("""COMPUTED_VALUE"""),"82124")</f>
        <v>82124</v>
      </c>
      <c r="B1070" s="86">
        <f>IFERROR(__xludf.DUMMYFUNCTION("""COMPUTED_VALUE"""),44621.0)</f>
        <v>44621</v>
      </c>
      <c r="C1070" s="64" t="str">
        <f>IFERROR(__xludf.DUMMYFUNCTION("""COMPUTED_VALUE"""),"Stock")</f>
        <v>Stock</v>
      </c>
      <c r="D1070" s="90" t="str">
        <f>IFERROR(__xludf.DUMMYFUNCTION("""COMPUTED_VALUE"""),"2800.HK")</f>
        <v>2800.HK</v>
      </c>
      <c r="E1070" s="5" t="str">
        <f>IFERROR(__xludf.DUMMYFUNCTION("""COMPUTED_VALUE"""),"HKD")</f>
        <v>HKD</v>
      </c>
      <c r="F1070" s="69">
        <f>IFERROR(__xludf.DUMMYFUNCTION("""COMPUTED_VALUE"""),0.0)</f>
        <v>0</v>
      </c>
      <c r="G1070" s="70">
        <f>IFERROR(__xludf.DUMMYFUNCTION("""COMPUTED_VALUE"""),1.0)</f>
        <v>1</v>
      </c>
      <c r="H1070" s="71">
        <f>IFERROR(__xludf.DUMMYFUNCTION("""COMPUTED_VALUE"""),0.0)</f>
        <v>0</v>
      </c>
      <c r="I1070" s="71">
        <f>IFERROR(__xludf.DUMMYFUNCTION("""COMPUTED_VALUE"""),21.58)</f>
        <v>21.58</v>
      </c>
      <c r="J1070" s="88" t="str">
        <f>IFERROR(__xludf.DUMMYFUNCTION("""COMPUTED_VALUE"""),"Goto link: 2800.HK")</f>
        <v>Goto link: 2800.HK</v>
      </c>
      <c r="K1070" s="22"/>
      <c r="L1070" s="22"/>
      <c r="M1070" s="22"/>
      <c r="N1070" s="22"/>
      <c r="O1070" s="73"/>
      <c r="P1070" s="8"/>
      <c r="Q1070" s="69"/>
      <c r="R1070" s="69"/>
      <c r="S1070" s="8"/>
      <c r="T1070" s="69"/>
      <c r="U1070" s="8"/>
      <c r="V1070" s="69"/>
      <c r="W1070" s="74"/>
      <c r="X1070" s="69"/>
    </row>
    <row r="1071">
      <c r="A1071" s="30" t="str">
        <f>IFERROR(__xludf.DUMMYFUNCTION("""COMPUTED_VALUE"""),"82124")</f>
        <v>82124</v>
      </c>
      <c r="B1071" s="86">
        <f>IFERROR(__xludf.DUMMYFUNCTION("""COMPUTED_VALUE"""),44621.0)</f>
        <v>44621</v>
      </c>
      <c r="C1071" s="64" t="str">
        <f>IFERROR(__xludf.DUMMYFUNCTION("""COMPUTED_VALUE"""),"Stock")</f>
        <v>Stock</v>
      </c>
      <c r="D1071" s="90" t="str">
        <f>IFERROR(__xludf.DUMMYFUNCTION("""COMPUTED_VALUE"""),"9988.HK")</f>
        <v>9988.HK</v>
      </c>
      <c r="E1071" s="5" t="str">
        <f>IFERROR(__xludf.DUMMYFUNCTION("""COMPUTED_VALUE"""),"HKD")</f>
        <v>HKD</v>
      </c>
      <c r="F1071" s="69">
        <f>IFERROR(__xludf.DUMMYFUNCTION("""COMPUTED_VALUE"""),0.0)</f>
        <v>0</v>
      </c>
      <c r="G1071" s="70">
        <f>IFERROR(__xludf.DUMMYFUNCTION("""COMPUTED_VALUE"""),1.0)</f>
        <v>1</v>
      </c>
      <c r="H1071" s="71">
        <f>IFERROR(__xludf.DUMMYFUNCTION("""COMPUTED_VALUE"""),0.0)</f>
        <v>0</v>
      </c>
      <c r="I1071" s="71">
        <f>IFERROR(__xludf.DUMMYFUNCTION("""COMPUTED_VALUE"""),98.5)</f>
        <v>98.5</v>
      </c>
      <c r="J1071" s="88" t="str">
        <f>IFERROR(__xludf.DUMMYFUNCTION("""COMPUTED_VALUE"""),"Goto link: 9988.HK")</f>
        <v>Goto link: 9988.HK</v>
      </c>
      <c r="K1071" s="22"/>
      <c r="L1071" s="22"/>
      <c r="M1071" s="22"/>
      <c r="N1071" s="22"/>
      <c r="O1071" s="73"/>
      <c r="P1071" s="8"/>
      <c r="Q1071" s="69"/>
      <c r="R1071" s="69"/>
      <c r="S1071" s="8"/>
      <c r="T1071" s="69"/>
      <c r="U1071" s="8"/>
      <c r="V1071" s="69"/>
      <c r="W1071" s="74"/>
      <c r="X1071" s="69"/>
    </row>
    <row r="1072">
      <c r="A1072" s="30" t="str">
        <f>IFERROR(__xludf.DUMMYFUNCTION("""COMPUTED_VALUE"""),"82124")</f>
        <v>82124</v>
      </c>
      <c r="B1072" s="86">
        <f>IFERROR(__xludf.DUMMYFUNCTION("""COMPUTED_VALUE"""),44623.0)</f>
        <v>44623</v>
      </c>
      <c r="C1072" s="64" t="str">
        <f>IFERROR(__xludf.DUMMYFUNCTION("""COMPUTED_VALUE"""),"Stock")</f>
        <v>Stock</v>
      </c>
      <c r="D1072" s="90" t="str">
        <f>IFERROR(__xludf.DUMMYFUNCTION("""COMPUTED_VALUE"""),"2800.HK")</f>
        <v>2800.HK</v>
      </c>
      <c r="E1072" s="5" t="str">
        <f>IFERROR(__xludf.DUMMYFUNCTION("""COMPUTED_VALUE"""),"HKD")</f>
        <v>HKD</v>
      </c>
      <c r="F1072" s="69">
        <f>IFERROR(__xludf.DUMMYFUNCTION("""COMPUTED_VALUE"""),2000.0)</f>
        <v>2000</v>
      </c>
      <c r="G1072" s="70">
        <f>IFERROR(__xludf.DUMMYFUNCTION("""COMPUTED_VALUE"""),1.0)</f>
        <v>1</v>
      </c>
      <c r="H1072" s="71">
        <f>IFERROR(__xludf.DUMMYFUNCTION("""COMPUTED_VALUE"""),22.64)</f>
        <v>22.64</v>
      </c>
      <c r="I1072" s="71">
        <f>IFERROR(__xludf.DUMMYFUNCTION("""COMPUTED_VALUE"""),21.58)</f>
        <v>21.58</v>
      </c>
      <c r="J1072" s="88" t="str">
        <f>IFERROR(__xludf.DUMMYFUNCTION("""COMPUTED_VALUE"""),"Goto link: 2800.HK")</f>
        <v>Goto link: 2800.HK</v>
      </c>
      <c r="K1072" s="22"/>
      <c r="L1072" s="22"/>
      <c r="M1072" s="22"/>
      <c r="N1072" s="22"/>
      <c r="O1072" s="73"/>
      <c r="P1072" s="8"/>
      <c r="Q1072" s="69"/>
      <c r="R1072" s="69"/>
      <c r="S1072" s="8"/>
      <c r="T1072" s="69"/>
      <c r="U1072" s="8"/>
      <c r="V1072" s="69"/>
      <c r="W1072" s="74"/>
      <c r="X1072" s="69"/>
    </row>
    <row r="1073">
      <c r="A1073" s="30" t="str">
        <f>IFERROR(__xludf.DUMMYFUNCTION("""COMPUTED_VALUE"""),"82124")</f>
        <v>82124</v>
      </c>
      <c r="B1073" s="86">
        <f>IFERROR(__xludf.DUMMYFUNCTION("""COMPUTED_VALUE"""),44623.0)</f>
        <v>44623</v>
      </c>
      <c r="C1073" s="64" t="str">
        <f>IFERROR(__xludf.DUMMYFUNCTION("""COMPUTED_VALUE"""),"Stock")</f>
        <v>Stock</v>
      </c>
      <c r="D1073" s="90" t="str">
        <f>IFERROR(__xludf.DUMMYFUNCTION("""COMPUTED_VALUE"""),"9988.HK")</f>
        <v>9988.HK</v>
      </c>
      <c r="E1073" s="5" t="str">
        <f>IFERROR(__xludf.DUMMYFUNCTION("""COMPUTED_VALUE"""),"HKD")</f>
        <v>HKD</v>
      </c>
      <c r="F1073" s="69">
        <f>IFERROR(__xludf.DUMMYFUNCTION("""COMPUTED_VALUE"""),300.0)</f>
        <v>300</v>
      </c>
      <c r="G1073" s="70">
        <f>IFERROR(__xludf.DUMMYFUNCTION("""COMPUTED_VALUE"""),1.0)</f>
        <v>1</v>
      </c>
      <c r="H1073" s="71">
        <f>IFERROR(__xludf.DUMMYFUNCTION("""COMPUTED_VALUE"""),104.4)</f>
        <v>104.4</v>
      </c>
      <c r="I1073" s="71">
        <f>IFERROR(__xludf.DUMMYFUNCTION("""COMPUTED_VALUE"""),98.5)</f>
        <v>98.5</v>
      </c>
      <c r="J1073" s="88" t="str">
        <f>IFERROR(__xludf.DUMMYFUNCTION("""COMPUTED_VALUE"""),"Goto link: 9988.HK")</f>
        <v>Goto link: 9988.HK</v>
      </c>
      <c r="K1073" s="22"/>
      <c r="L1073" s="22"/>
      <c r="M1073" s="22"/>
      <c r="N1073" s="22"/>
      <c r="O1073" s="73"/>
      <c r="P1073" s="8"/>
      <c r="Q1073" s="69"/>
      <c r="R1073" s="69"/>
      <c r="S1073" s="8"/>
      <c r="T1073" s="69"/>
      <c r="U1073" s="8"/>
      <c r="V1073" s="69"/>
      <c r="W1073" s="74"/>
      <c r="X1073" s="69"/>
    </row>
    <row r="1074">
      <c r="A1074" s="30" t="str">
        <f>IFERROR(__xludf.DUMMYFUNCTION("""COMPUTED_VALUE"""),"82124")</f>
        <v>82124</v>
      </c>
      <c r="B1074" s="86">
        <f>IFERROR(__xludf.DUMMYFUNCTION("""COMPUTED_VALUE"""),44624.0)</f>
        <v>44624</v>
      </c>
      <c r="C1074" s="64" t="str">
        <f>IFERROR(__xludf.DUMMYFUNCTION("""COMPUTED_VALUE"""),"Stock")</f>
        <v>Stock</v>
      </c>
      <c r="D1074" s="90" t="str">
        <f>IFERROR(__xludf.DUMMYFUNCTION("""COMPUTED_VALUE"""),"0700.HK")</f>
        <v>0700.HK</v>
      </c>
      <c r="E1074" s="5" t="str">
        <f>IFERROR(__xludf.DUMMYFUNCTION("""COMPUTED_VALUE"""),"HKD")</f>
        <v>HKD</v>
      </c>
      <c r="F1074" s="69">
        <f>IFERROR(__xludf.DUMMYFUNCTION("""COMPUTED_VALUE"""),100.0)</f>
        <v>100</v>
      </c>
      <c r="G1074" s="70">
        <f>IFERROR(__xludf.DUMMYFUNCTION("""COMPUTED_VALUE"""),1.0)</f>
        <v>1</v>
      </c>
      <c r="H1074" s="71">
        <f>IFERROR(__xludf.DUMMYFUNCTION("""COMPUTED_VALUE"""),403.2)</f>
        <v>403.2</v>
      </c>
      <c r="I1074" s="71">
        <f>IFERROR(__xludf.DUMMYFUNCTION("""COMPUTED_VALUE"""),373.6)</f>
        <v>373.6</v>
      </c>
      <c r="J1074" s="88" t="str">
        <f>IFERROR(__xludf.DUMMYFUNCTION("""COMPUTED_VALUE"""),"Goto link: 0700.HK")</f>
        <v>Goto link: 0700.HK</v>
      </c>
      <c r="K1074" s="22"/>
      <c r="L1074" s="22"/>
      <c r="M1074" s="22"/>
      <c r="N1074" s="22"/>
      <c r="O1074" s="73"/>
      <c r="P1074" s="8"/>
      <c r="Q1074" s="69"/>
      <c r="R1074" s="69"/>
      <c r="S1074" s="8"/>
      <c r="T1074" s="69"/>
      <c r="U1074" s="8"/>
      <c r="V1074" s="69"/>
      <c r="W1074" s="74"/>
      <c r="X1074" s="69"/>
    </row>
    <row r="1075">
      <c r="A1075" s="30" t="str">
        <f>IFERROR(__xludf.DUMMYFUNCTION("""COMPUTED_VALUE"""),"82124")</f>
        <v>82124</v>
      </c>
      <c r="B1075" s="86">
        <f>IFERROR(__xludf.DUMMYFUNCTION("""COMPUTED_VALUE"""),44627.0)</f>
        <v>44627</v>
      </c>
      <c r="C1075" s="64" t="str">
        <f>IFERROR(__xludf.DUMMYFUNCTION("""COMPUTED_VALUE"""),"Stock")</f>
        <v>Stock</v>
      </c>
      <c r="D1075" s="90" t="str">
        <f>IFERROR(__xludf.DUMMYFUNCTION("""COMPUTED_VALUE"""),"2800.HK")</f>
        <v>2800.HK</v>
      </c>
      <c r="E1075" s="5" t="str">
        <f>IFERROR(__xludf.DUMMYFUNCTION("""COMPUTED_VALUE"""),"HKD")</f>
        <v>HKD</v>
      </c>
      <c r="F1075" s="69">
        <f>IFERROR(__xludf.DUMMYFUNCTION("""COMPUTED_VALUE"""),2000.0)</f>
        <v>2000</v>
      </c>
      <c r="G1075" s="70">
        <f>IFERROR(__xludf.DUMMYFUNCTION("""COMPUTED_VALUE"""),1.0)</f>
        <v>1</v>
      </c>
      <c r="H1075" s="71">
        <f>IFERROR(__xludf.DUMMYFUNCTION("""COMPUTED_VALUE"""),21.22)</f>
        <v>21.22</v>
      </c>
      <c r="I1075" s="71">
        <f>IFERROR(__xludf.DUMMYFUNCTION("""COMPUTED_VALUE"""),21.58)</f>
        <v>21.58</v>
      </c>
      <c r="J1075" s="88" t="str">
        <f>IFERROR(__xludf.DUMMYFUNCTION("""COMPUTED_VALUE"""),"Goto link: 2800.HK")</f>
        <v>Goto link: 2800.HK</v>
      </c>
      <c r="K1075" s="22"/>
      <c r="L1075" s="22"/>
      <c r="M1075" s="22"/>
      <c r="N1075" s="22"/>
      <c r="O1075" s="73"/>
      <c r="P1075" s="8"/>
      <c r="Q1075" s="69"/>
      <c r="R1075" s="69"/>
      <c r="S1075" s="8"/>
      <c r="T1075" s="69"/>
      <c r="U1075" s="8"/>
      <c r="V1075" s="69"/>
      <c r="W1075" s="74"/>
      <c r="X1075" s="69"/>
    </row>
    <row r="1076">
      <c r="A1076" s="30" t="str">
        <f>IFERROR(__xludf.DUMMYFUNCTION("""COMPUTED_VALUE"""),"82124")</f>
        <v>82124</v>
      </c>
      <c r="B1076" s="86">
        <f>IFERROR(__xludf.DUMMYFUNCTION("""COMPUTED_VALUE"""),44630.0)</f>
        <v>44630</v>
      </c>
      <c r="C1076" s="64" t="str">
        <f>IFERROR(__xludf.DUMMYFUNCTION("""COMPUTED_VALUE"""),"Stock")</f>
        <v>Stock</v>
      </c>
      <c r="D1076" s="90" t="str">
        <f>IFERROR(__xludf.DUMMYFUNCTION("""COMPUTED_VALUE"""),"0388.HK")</f>
        <v>0388.HK</v>
      </c>
      <c r="E1076" s="5" t="str">
        <f>IFERROR(__xludf.DUMMYFUNCTION("""COMPUTED_VALUE"""),"HKD")</f>
        <v>HKD</v>
      </c>
      <c r="F1076" s="69">
        <f>IFERROR(__xludf.DUMMYFUNCTION("""COMPUTED_VALUE"""),200.0)</f>
        <v>200</v>
      </c>
      <c r="G1076" s="70">
        <f>IFERROR(__xludf.DUMMYFUNCTION("""COMPUTED_VALUE"""),1.0)</f>
        <v>1</v>
      </c>
      <c r="H1076" s="71">
        <f>IFERROR(__xludf.DUMMYFUNCTION("""COMPUTED_VALUE"""),329.0)</f>
        <v>329</v>
      </c>
      <c r="I1076" s="71">
        <f>IFERROR(__xludf.DUMMYFUNCTION("""COMPUTED_VALUE"""),340.8)</f>
        <v>340.8</v>
      </c>
      <c r="J1076" s="88" t="str">
        <f>IFERROR(__xludf.DUMMYFUNCTION("""COMPUTED_VALUE"""),"Goto link: 0388.HK")</f>
        <v>Goto link: 0388.HK</v>
      </c>
      <c r="K1076" s="22"/>
      <c r="L1076" s="22"/>
      <c r="M1076" s="22"/>
      <c r="N1076" s="22"/>
      <c r="O1076" s="73"/>
      <c r="P1076" s="8"/>
      <c r="Q1076" s="69"/>
      <c r="R1076" s="69"/>
      <c r="S1076" s="8"/>
      <c r="T1076" s="69"/>
      <c r="U1076" s="8"/>
      <c r="V1076" s="69"/>
      <c r="W1076" s="74"/>
      <c r="X1076" s="69"/>
    </row>
    <row r="1077">
      <c r="A1077" s="30" t="str">
        <f>IFERROR(__xludf.DUMMYFUNCTION("""COMPUTED_VALUE"""),"82124")</f>
        <v>82124</v>
      </c>
      <c r="B1077" s="86">
        <f>IFERROR(__xludf.DUMMYFUNCTION("""COMPUTED_VALUE"""),44631.0)</f>
        <v>44631</v>
      </c>
      <c r="C1077" s="64" t="str">
        <f>IFERROR(__xludf.DUMMYFUNCTION("""COMPUTED_VALUE"""),"Stock")</f>
        <v>Stock</v>
      </c>
      <c r="D1077" s="90" t="str">
        <f>IFERROR(__xludf.DUMMYFUNCTION("""COMPUTED_VALUE"""),"9988.HK")</f>
        <v>9988.HK</v>
      </c>
      <c r="E1077" s="5" t="str">
        <f>IFERROR(__xludf.DUMMYFUNCTION("""COMPUTED_VALUE"""),"HKD")</f>
        <v>HKD</v>
      </c>
      <c r="F1077" s="69">
        <f>IFERROR(__xludf.DUMMYFUNCTION("""COMPUTED_VALUE"""),500.0)</f>
        <v>500</v>
      </c>
      <c r="G1077" s="70">
        <f>IFERROR(__xludf.DUMMYFUNCTION("""COMPUTED_VALUE"""),1.0)</f>
        <v>1</v>
      </c>
      <c r="H1077" s="71">
        <f>IFERROR(__xludf.DUMMYFUNCTION("""COMPUTED_VALUE"""),90.8)</f>
        <v>90.8</v>
      </c>
      <c r="I1077" s="71">
        <f>IFERROR(__xludf.DUMMYFUNCTION("""COMPUTED_VALUE"""),98.5)</f>
        <v>98.5</v>
      </c>
      <c r="J1077" s="88" t="str">
        <f>IFERROR(__xludf.DUMMYFUNCTION("""COMPUTED_VALUE"""),"Goto link: 9988.HK")</f>
        <v>Goto link: 9988.HK</v>
      </c>
      <c r="K1077" s="22"/>
      <c r="L1077" s="22"/>
      <c r="M1077" s="22"/>
      <c r="N1077" s="22"/>
      <c r="O1077" s="73"/>
      <c r="P1077" s="8"/>
      <c r="Q1077" s="69"/>
      <c r="R1077" s="69"/>
      <c r="S1077" s="8"/>
      <c r="T1077" s="69"/>
      <c r="U1077" s="8"/>
      <c r="V1077" s="69"/>
      <c r="W1077" s="74"/>
      <c r="X1077" s="69"/>
    </row>
    <row r="1078">
      <c r="A1078" s="30" t="str">
        <f>IFERROR(__xludf.DUMMYFUNCTION("""COMPUTED_VALUE"""),"82124")</f>
        <v>82124</v>
      </c>
      <c r="B1078" s="86">
        <f>IFERROR(__xludf.DUMMYFUNCTION("""COMPUTED_VALUE"""),44642.0)</f>
        <v>44642</v>
      </c>
      <c r="C1078" s="64" t="str">
        <f>IFERROR(__xludf.DUMMYFUNCTION("""COMPUTED_VALUE"""),"Stock")</f>
        <v>Stock</v>
      </c>
      <c r="D1078" s="90" t="str">
        <f>IFERROR(__xludf.DUMMYFUNCTION("""COMPUTED_VALUE"""),"9988.HK")</f>
        <v>9988.HK</v>
      </c>
      <c r="E1078" s="5" t="str">
        <f>IFERROR(__xludf.DUMMYFUNCTION("""COMPUTED_VALUE"""),"HKD")</f>
        <v>HKD</v>
      </c>
      <c r="F1078" s="69">
        <f>IFERROR(__xludf.DUMMYFUNCTION("""COMPUTED_VALUE"""),200.0)</f>
        <v>200</v>
      </c>
      <c r="G1078" s="70">
        <f>IFERROR(__xludf.DUMMYFUNCTION("""COMPUTED_VALUE"""),1.0)</f>
        <v>1</v>
      </c>
      <c r="H1078" s="71">
        <f>IFERROR(__xludf.DUMMYFUNCTION("""COMPUTED_VALUE"""),110.2)</f>
        <v>110.2</v>
      </c>
      <c r="I1078" s="71">
        <f>IFERROR(__xludf.DUMMYFUNCTION("""COMPUTED_VALUE"""),98.5)</f>
        <v>98.5</v>
      </c>
      <c r="J1078" s="88" t="str">
        <f>IFERROR(__xludf.DUMMYFUNCTION("""COMPUTED_VALUE"""),"Goto link: 9988.HK")</f>
        <v>Goto link: 9988.HK</v>
      </c>
      <c r="K1078" s="22"/>
      <c r="L1078" s="22"/>
      <c r="M1078" s="22"/>
      <c r="N1078" s="22"/>
      <c r="O1078" s="73"/>
      <c r="P1078" s="8"/>
      <c r="Q1078" s="69"/>
      <c r="R1078" s="69"/>
      <c r="S1078" s="8"/>
      <c r="T1078" s="69"/>
      <c r="U1078" s="8"/>
      <c r="V1078" s="69"/>
      <c r="W1078" s="74"/>
      <c r="X1078" s="69"/>
    </row>
    <row r="1079">
      <c r="A1079" s="30" t="str">
        <f>IFERROR(__xludf.DUMMYFUNCTION("""COMPUTED_VALUE"""),"82124")</f>
        <v>82124</v>
      </c>
      <c r="B1079" s="86">
        <f>IFERROR(__xludf.DUMMYFUNCTION("""COMPUTED_VALUE"""),44643.0)</f>
        <v>44643</v>
      </c>
      <c r="C1079" s="64" t="str">
        <f>IFERROR(__xludf.DUMMYFUNCTION("""COMPUTED_VALUE"""),"Stock")</f>
        <v>Stock</v>
      </c>
      <c r="D1079" s="90" t="str">
        <f>IFERROR(__xludf.DUMMYFUNCTION("""COMPUTED_VALUE"""),"2800.HK")</f>
        <v>2800.HK</v>
      </c>
      <c r="E1079" s="5" t="str">
        <f>IFERROR(__xludf.DUMMYFUNCTION("""COMPUTED_VALUE"""),"HKD")</f>
        <v>HKD</v>
      </c>
      <c r="F1079" s="69">
        <f>IFERROR(__xludf.DUMMYFUNCTION("""COMPUTED_VALUE"""),-2000.0)</f>
        <v>-2000</v>
      </c>
      <c r="G1079" s="70">
        <f>IFERROR(__xludf.DUMMYFUNCTION("""COMPUTED_VALUE"""),1.0)</f>
        <v>1</v>
      </c>
      <c r="H1079" s="71">
        <f>IFERROR(__xludf.DUMMYFUNCTION("""COMPUTED_VALUE"""),22.32)</f>
        <v>22.32</v>
      </c>
      <c r="I1079" s="71">
        <f>IFERROR(__xludf.DUMMYFUNCTION("""COMPUTED_VALUE"""),21.58)</f>
        <v>21.58</v>
      </c>
      <c r="J1079" s="88" t="str">
        <f>IFERROR(__xludf.DUMMYFUNCTION("""COMPUTED_VALUE"""),"Goto link: 2800.HK")</f>
        <v>Goto link: 2800.HK</v>
      </c>
      <c r="K1079" s="22"/>
      <c r="L1079" s="22"/>
      <c r="M1079" s="22"/>
      <c r="N1079" s="22"/>
      <c r="O1079" s="73"/>
      <c r="P1079" s="8"/>
      <c r="Q1079" s="69"/>
      <c r="R1079" s="69"/>
      <c r="S1079" s="8"/>
      <c r="T1079" s="69"/>
      <c r="U1079" s="8"/>
      <c r="V1079" s="69"/>
      <c r="W1079" s="74"/>
      <c r="X1079" s="69"/>
    </row>
    <row r="1080">
      <c r="A1080" s="30" t="str">
        <f>IFERROR(__xludf.DUMMYFUNCTION("""COMPUTED_VALUE"""),"82124")</f>
        <v>82124</v>
      </c>
      <c r="B1080" s="86">
        <f>IFERROR(__xludf.DUMMYFUNCTION("""COMPUTED_VALUE"""),44643.0)</f>
        <v>44643</v>
      </c>
      <c r="C1080" s="64" t="str">
        <f>IFERROR(__xludf.DUMMYFUNCTION("""COMPUTED_VALUE"""),"Stock")</f>
        <v>Stock</v>
      </c>
      <c r="D1080" s="90" t="str">
        <f>IFERROR(__xludf.DUMMYFUNCTION("""COMPUTED_VALUE"""),"9988.HK")</f>
        <v>9988.HK</v>
      </c>
      <c r="E1080" s="5" t="str">
        <f>IFERROR(__xludf.DUMMYFUNCTION("""COMPUTED_VALUE"""),"HKD")</f>
        <v>HKD</v>
      </c>
      <c r="F1080" s="69">
        <f>IFERROR(__xludf.DUMMYFUNCTION("""COMPUTED_VALUE"""),-400.0)</f>
        <v>-400</v>
      </c>
      <c r="G1080" s="70">
        <f>IFERROR(__xludf.DUMMYFUNCTION("""COMPUTED_VALUE"""),1.0)</f>
        <v>1</v>
      </c>
      <c r="H1080" s="71">
        <f>IFERROR(__xludf.DUMMYFUNCTION("""COMPUTED_VALUE"""),117.6)</f>
        <v>117.6</v>
      </c>
      <c r="I1080" s="71">
        <f>IFERROR(__xludf.DUMMYFUNCTION("""COMPUTED_VALUE"""),98.5)</f>
        <v>98.5</v>
      </c>
      <c r="J1080" s="88" t="str">
        <f>IFERROR(__xludf.DUMMYFUNCTION("""COMPUTED_VALUE"""),"Goto link: 9988.HK")</f>
        <v>Goto link: 9988.HK</v>
      </c>
      <c r="K1080" s="22"/>
      <c r="L1080" s="22"/>
      <c r="M1080" s="22"/>
      <c r="N1080" s="22"/>
      <c r="O1080" s="73"/>
      <c r="P1080" s="8"/>
      <c r="Q1080" s="69"/>
      <c r="R1080" s="69"/>
      <c r="S1080" s="8"/>
      <c r="T1080" s="69"/>
      <c r="U1080" s="8"/>
      <c r="V1080" s="69"/>
      <c r="W1080" s="74"/>
      <c r="X1080" s="69"/>
    </row>
    <row r="1081">
      <c r="A1081" s="30" t="str">
        <f>IFERROR(__xludf.DUMMYFUNCTION("""COMPUTED_VALUE"""),"82124")</f>
        <v>82124</v>
      </c>
      <c r="B1081" s="86">
        <f>IFERROR(__xludf.DUMMYFUNCTION("""COMPUTED_VALUE"""),44644.0)</f>
        <v>44644</v>
      </c>
      <c r="C1081" s="64" t="str">
        <f>IFERROR(__xludf.DUMMYFUNCTION("""COMPUTED_VALUE"""),"Stock")</f>
        <v>Stock</v>
      </c>
      <c r="D1081" s="90" t="str">
        <f>IFERROR(__xludf.DUMMYFUNCTION("""COMPUTED_VALUE"""),"0941.HK")</f>
        <v>0941.HK</v>
      </c>
      <c r="E1081" s="5" t="str">
        <f>IFERROR(__xludf.DUMMYFUNCTION("""COMPUTED_VALUE"""),"HKD")</f>
        <v>HKD</v>
      </c>
      <c r="F1081" s="69">
        <f>IFERROR(__xludf.DUMMYFUNCTION("""COMPUTED_VALUE"""),-1000.0)</f>
        <v>-1000</v>
      </c>
      <c r="G1081" s="70">
        <f>IFERROR(__xludf.DUMMYFUNCTION("""COMPUTED_VALUE"""),1.0)</f>
        <v>1</v>
      </c>
      <c r="H1081" s="71">
        <f>IFERROR(__xludf.DUMMYFUNCTION("""COMPUTED_VALUE"""),56.0)</f>
        <v>56</v>
      </c>
      <c r="I1081" s="71">
        <f>IFERROR(__xludf.DUMMYFUNCTION("""COMPUTED_VALUE"""),55.5)</f>
        <v>55.5</v>
      </c>
      <c r="J1081" s="88" t="str">
        <f>IFERROR(__xludf.DUMMYFUNCTION("""COMPUTED_VALUE"""),"Goto link: 0941.HK")</f>
        <v>Goto link: 0941.HK</v>
      </c>
      <c r="K1081" s="22"/>
      <c r="L1081" s="22"/>
      <c r="M1081" s="22"/>
      <c r="N1081" s="22"/>
      <c r="O1081" s="73"/>
      <c r="P1081" s="8"/>
      <c r="Q1081" s="69"/>
      <c r="R1081" s="69"/>
      <c r="S1081" s="8"/>
      <c r="T1081" s="69"/>
      <c r="U1081" s="8"/>
      <c r="V1081" s="69"/>
      <c r="W1081" s="74"/>
      <c r="X1081" s="69"/>
    </row>
    <row r="1082">
      <c r="A1082" s="30" t="str">
        <f>IFERROR(__xludf.DUMMYFUNCTION("""COMPUTED_VALUE"""),"82124")</f>
        <v>82124</v>
      </c>
      <c r="B1082" s="86">
        <f>IFERROR(__xludf.DUMMYFUNCTION("""COMPUTED_VALUE"""),44650.0)</f>
        <v>44650</v>
      </c>
      <c r="C1082" s="64" t="str">
        <f>IFERROR(__xludf.DUMMYFUNCTION("""COMPUTED_VALUE"""),"Stock")</f>
        <v>Stock</v>
      </c>
      <c r="D1082" s="90" t="str">
        <f>IFERROR(__xludf.DUMMYFUNCTION("""COMPUTED_VALUE"""),"2800.HK")</f>
        <v>2800.HK</v>
      </c>
      <c r="E1082" s="5" t="str">
        <f>IFERROR(__xludf.DUMMYFUNCTION("""COMPUTED_VALUE"""),"HKD")</f>
        <v>HKD</v>
      </c>
      <c r="F1082" s="69">
        <f>IFERROR(__xludf.DUMMYFUNCTION("""COMPUTED_VALUE"""),-2000.0)</f>
        <v>-2000</v>
      </c>
      <c r="G1082" s="70">
        <f>IFERROR(__xludf.DUMMYFUNCTION("""COMPUTED_VALUE"""),1.0)</f>
        <v>1</v>
      </c>
      <c r="H1082" s="71">
        <f>IFERROR(__xludf.DUMMYFUNCTION("""COMPUTED_VALUE"""),22.4)</f>
        <v>22.4</v>
      </c>
      <c r="I1082" s="71">
        <f>IFERROR(__xludf.DUMMYFUNCTION("""COMPUTED_VALUE"""),21.58)</f>
        <v>21.58</v>
      </c>
      <c r="J1082" s="88" t="str">
        <f>IFERROR(__xludf.DUMMYFUNCTION("""COMPUTED_VALUE"""),"Goto link: 2800.HK")</f>
        <v>Goto link: 2800.HK</v>
      </c>
      <c r="K1082" s="22"/>
      <c r="L1082" s="22"/>
      <c r="M1082" s="22"/>
      <c r="N1082" s="22"/>
      <c r="O1082" s="73"/>
      <c r="P1082" s="8"/>
      <c r="Q1082" s="69"/>
      <c r="R1082" s="69"/>
      <c r="S1082" s="8"/>
      <c r="T1082" s="69"/>
      <c r="U1082" s="8"/>
      <c r="V1082" s="69"/>
      <c r="W1082" s="74"/>
      <c r="X1082" s="69"/>
    </row>
    <row r="1083">
      <c r="A1083" s="30" t="str">
        <f>IFERROR(__xludf.DUMMYFUNCTION("""COMPUTED_VALUE"""),"82124 Total")</f>
        <v>82124 Total</v>
      </c>
      <c r="B1083" s="5"/>
      <c r="C1083" s="64"/>
      <c r="D1083" s="85"/>
      <c r="E1083" s="5"/>
      <c r="F1083" s="69"/>
      <c r="G1083" s="70">
        <f>IFERROR(__xludf.DUMMYFUNCTION("""COMPUTED_VALUE"""),1.0)</f>
        <v>1</v>
      </c>
      <c r="H1083" s="71">
        <f>IFERROR(__xludf.DUMMYFUNCTION("""COMPUTED_VALUE"""),403.2)</f>
        <v>403.2</v>
      </c>
      <c r="I1083" s="71" t="str">
        <f>IFERROR(__xludf.DUMMYFUNCTION("""COMPUTED_VALUE"""),"")</f>
        <v/>
      </c>
      <c r="J1083" s="22" t="str">
        <f>IFERROR(__xludf.DUMMYFUNCTION("""COMPUTED_VALUE"""),"")</f>
        <v/>
      </c>
      <c r="K1083" s="22"/>
      <c r="L1083" s="22"/>
      <c r="M1083" s="22"/>
      <c r="N1083" s="22"/>
      <c r="O1083" s="73"/>
      <c r="P1083" s="8"/>
      <c r="Q1083" s="69"/>
      <c r="R1083" s="69"/>
      <c r="S1083" s="8"/>
      <c r="T1083" s="69"/>
      <c r="U1083" s="8"/>
      <c r="V1083" s="69"/>
      <c r="W1083" s="74"/>
      <c r="X1083" s="69"/>
    </row>
    <row r="1084">
      <c r="A1084" s="30" t="str">
        <f>IFERROR(__xludf.DUMMYFUNCTION("""COMPUTED_VALUE"""),"82458")</f>
        <v>82458</v>
      </c>
      <c r="B1084" s="86">
        <f>IFERROR(__xludf.DUMMYFUNCTION("""COMPUTED_VALUE"""),44597.0)</f>
        <v>44597</v>
      </c>
      <c r="C1084" s="64" t="str">
        <f>IFERROR(__xludf.DUMMYFUNCTION("""COMPUTED_VALUE"""),"Cash")</f>
        <v>Cash</v>
      </c>
      <c r="D1084" s="85" t="str">
        <f>IFERROR(__xludf.DUMMYFUNCTION("""COMPUTED_VALUE"""),"Cash")</f>
        <v>Cash</v>
      </c>
      <c r="E1084" s="5" t="str">
        <f>IFERROR(__xludf.DUMMYFUNCTION("""COMPUTED_VALUE"""),"HKD")</f>
        <v>HKD</v>
      </c>
      <c r="F1084" s="69" t="str">
        <f>IFERROR(__xludf.DUMMYFUNCTION("""COMPUTED_VALUE"""),"")</f>
        <v/>
      </c>
      <c r="G1084" s="70">
        <f>IFERROR(__xludf.DUMMYFUNCTION("""COMPUTED_VALUE"""),1.0)</f>
        <v>1</v>
      </c>
      <c r="H1084" s="71">
        <f>IFERROR(__xludf.DUMMYFUNCTION("""COMPUTED_VALUE"""),1.0)</f>
        <v>1</v>
      </c>
      <c r="I1084" s="71">
        <f>IFERROR(__xludf.DUMMYFUNCTION("""COMPUTED_VALUE"""),1.0)</f>
        <v>1</v>
      </c>
      <c r="J1084" s="22" t="str">
        <f>IFERROR(__xludf.DUMMYFUNCTION("""COMPUTED_VALUE"""),"")</f>
        <v/>
      </c>
      <c r="K1084" s="22"/>
      <c r="L1084" s="22"/>
      <c r="M1084" s="22"/>
      <c r="N1084" s="22"/>
      <c r="O1084" s="73"/>
      <c r="P1084" s="8"/>
      <c r="Q1084" s="69"/>
      <c r="R1084" s="69"/>
      <c r="S1084" s="8"/>
      <c r="T1084" s="69"/>
      <c r="U1084" s="8"/>
      <c r="V1084" s="69"/>
      <c r="W1084" s="74"/>
      <c r="X1084" s="69"/>
    </row>
    <row r="1085">
      <c r="A1085" s="30" t="str">
        <f>IFERROR(__xludf.DUMMYFUNCTION("""COMPUTED_VALUE"""),"82458 Total")</f>
        <v>82458 Total</v>
      </c>
      <c r="B1085" s="5"/>
      <c r="C1085" s="64"/>
      <c r="D1085" s="85"/>
      <c r="E1085" s="5"/>
      <c r="F1085" s="69"/>
      <c r="G1085" s="70">
        <f>IFERROR(__xludf.DUMMYFUNCTION("""COMPUTED_VALUE"""),1.0)</f>
        <v>1</v>
      </c>
      <c r="H1085" s="71">
        <f>IFERROR(__xludf.DUMMYFUNCTION("""COMPUTED_VALUE"""),1.0)</f>
        <v>1</v>
      </c>
      <c r="I1085" s="71" t="str">
        <f>IFERROR(__xludf.DUMMYFUNCTION("""COMPUTED_VALUE"""),"")</f>
        <v/>
      </c>
      <c r="J1085" s="22" t="str">
        <f>IFERROR(__xludf.DUMMYFUNCTION("""COMPUTED_VALUE"""),"")</f>
        <v/>
      </c>
      <c r="K1085" s="22"/>
      <c r="L1085" s="22"/>
      <c r="M1085" s="22"/>
      <c r="N1085" s="22"/>
      <c r="O1085" s="73"/>
      <c r="P1085" s="8"/>
      <c r="Q1085" s="69"/>
      <c r="R1085" s="69"/>
      <c r="S1085" s="8"/>
      <c r="T1085" s="69"/>
      <c r="U1085" s="8"/>
      <c r="V1085" s="69"/>
      <c r="W1085" s="74"/>
      <c r="X1085" s="69"/>
    </row>
    <row r="1086">
      <c r="A1086" s="30" t="str">
        <f>IFERROR(__xludf.DUMMYFUNCTION("""COMPUTED_VALUE"""),"82533")</f>
        <v>82533</v>
      </c>
      <c r="B1086" s="86">
        <f>IFERROR(__xludf.DUMMYFUNCTION("""COMPUTED_VALUE"""),44597.0)</f>
        <v>44597</v>
      </c>
      <c r="C1086" s="64" t="str">
        <f>IFERROR(__xludf.DUMMYFUNCTION("""COMPUTED_VALUE"""),"Cash")</f>
        <v>Cash</v>
      </c>
      <c r="D1086" s="85" t="str">
        <f>IFERROR(__xludf.DUMMYFUNCTION("""COMPUTED_VALUE"""),"Cash")</f>
        <v>Cash</v>
      </c>
      <c r="E1086" s="5" t="str">
        <f>IFERROR(__xludf.DUMMYFUNCTION("""COMPUTED_VALUE"""),"HKD")</f>
        <v>HKD</v>
      </c>
      <c r="F1086" s="69" t="str">
        <f>IFERROR(__xludf.DUMMYFUNCTION("""COMPUTED_VALUE"""),"")</f>
        <v/>
      </c>
      <c r="G1086" s="70">
        <f>IFERROR(__xludf.DUMMYFUNCTION("""COMPUTED_VALUE"""),1.0)</f>
        <v>1</v>
      </c>
      <c r="H1086" s="71">
        <f>IFERROR(__xludf.DUMMYFUNCTION("""COMPUTED_VALUE"""),1.0)</f>
        <v>1</v>
      </c>
      <c r="I1086" s="71">
        <f>IFERROR(__xludf.DUMMYFUNCTION("""COMPUTED_VALUE"""),1.0)</f>
        <v>1</v>
      </c>
      <c r="J1086" s="22" t="str">
        <f>IFERROR(__xludf.DUMMYFUNCTION("""COMPUTED_VALUE"""),"")</f>
        <v/>
      </c>
      <c r="K1086" s="22"/>
      <c r="L1086" s="22"/>
      <c r="M1086" s="22"/>
      <c r="N1086" s="22"/>
      <c r="O1086" s="73"/>
      <c r="P1086" s="8"/>
      <c r="Q1086" s="69"/>
      <c r="R1086" s="69"/>
      <c r="S1086" s="8"/>
      <c r="T1086" s="69"/>
      <c r="U1086" s="8"/>
      <c r="V1086" s="69"/>
      <c r="W1086" s="74"/>
      <c r="X1086" s="69"/>
    </row>
    <row r="1087">
      <c r="A1087" s="30" t="str">
        <f>IFERROR(__xludf.DUMMYFUNCTION("""COMPUTED_VALUE"""),"82533")</f>
        <v>82533</v>
      </c>
      <c r="B1087" s="86">
        <f>IFERROR(__xludf.DUMMYFUNCTION("""COMPUTED_VALUE"""),44634.0)</f>
        <v>44634</v>
      </c>
      <c r="C1087" s="64" t="str">
        <f>IFERROR(__xludf.DUMMYFUNCTION("""COMPUTED_VALUE"""),"Option")</f>
        <v>Option</v>
      </c>
      <c r="D1087" s="87" t="str">
        <f>IFERROR(__xludf.DUMMYFUNCTION("""COMPUTED_VALUE"""),"TSLA220318C00005000")</f>
        <v>TSLA220318C00005000</v>
      </c>
      <c r="E1087" s="5" t="str">
        <f>IFERROR(__xludf.DUMMYFUNCTION("""COMPUTED_VALUE"""),"USD")</f>
        <v>USD</v>
      </c>
      <c r="F1087" s="69" t="str">
        <f>IFERROR(__xludf.DUMMYFUNCTION("""COMPUTED_VALUE"""),"")</f>
        <v/>
      </c>
      <c r="G1087" s="70">
        <f>IFERROR(__xludf.DUMMYFUNCTION("""COMPUTED_VALUE"""),7.83915)</f>
        <v>7.83915</v>
      </c>
      <c r="H1087" s="71">
        <f>IFERROR(__xludf.DUMMYFUNCTION("""COMPUTED_VALUE"""),753.41)</f>
        <v>753.41</v>
      </c>
      <c r="I1087" s="71">
        <f>IFERROR(__xludf.DUMMYFUNCTION("""COMPUTED_VALUE"""),0.0)</f>
        <v>0</v>
      </c>
      <c r="J1087" s="22" t="str">
        <f>IFERROR(__xludf.DUMMYFUNCTION("""COMPUTED_VALUE"""),"")</f>
        <v/>
      </c>
      <c r="K1087" s="22"/>
      <c r="L1087" s="22"/>
      <c r="M1087" s="22"/>
      <c r="N1087" s="22"/>
      <c r="O1087" s="73"/>
      <c r="P1087" s="8"/>
      <c r="Q1087" s="69"/>
      <c r="R1087" s="69"/>
      <c r="S1087" s="8"/>
      <c r="T1087" s="69"/>
      <c r="U1087" s="8"/>
      <c r="V1087" s="69"/>
      <c r="W1087" s="74"/>
      <c r="X1087" s="69"/>
    </row>
    <row r="1088">
      <c r="A1088" s="30" t="str">
        <f>IFERROR(__xludf.DUMMYFUNCTION("""COMPUTED_VALUE"""),"82533")</f>
        <v>82533</v>
      </c>
      <c r="B1088" s="86">
        <f>IFERROR(__xludf.DUMMYFUNCTION("""COMPUTED_VALUE"""),44634.0)</f>
        <v>44634</v>
      </c>
      <c r="C1088" s="64" t="str">
        <f>IFERROR(__xludf.DUMMYFUNCTION("""COMPUTED_VALUE"""),"Stock")</f>
        <v>Stock</v>
      </c>
      <c r="D1088" s="87" t="str">
        <f>IFERROR(__xludf.DUMMYFUNCTION("""COMPUTED_VALUE"""),"BITO")</f>
        <v>BITO</v>
      </c>
      <c r="E1088" s="5" t="str">
        <f>IFERROR(__xludf.DUMMYFUNCTION("""COMPUTED_VALUE"""),"USD")</f>
        <v>USD</v>
      </c>
      <c r="F1088" s="69">
        <f>IFERROR(__xludf.DUMMYFUNCTION("""COMPUTED_VALUE"""),1000.0)</f>
        <v>1000</v>
      </c>
      <c r="G1088" s="70">
        <f>IFERROR(__xludf.DUMMYFUNCTION("""COMPUTED_VALUE"""),7.83915)</f>
        <v>7.83915</v>
      </c>
      <c r="H1088" s="71">
        <f>IFERROR(__xludf.DUMMYFUNCTION("""COMPUTED_VALUE"""),24.32)</f>
        <v>24.32</v>
      </c>
      <c r="I1088" s="71">
        <f>IFERROR(__xludf.DUMMYFUNCTION("""COMPUTED_VALUE"""),25.68)</f>
        <v>25.68</v>
      </c>
      <c r="J1088" s="88" t="str">
        <f>IFERROR(__xludf.DUMMYFUNCTION("""COMPUTED_VALUE"""),"Goto link: BITO")</f>
        <v>Goto link: BITO</v>
      </c>
      <c r="K1088" s="22"/>
      <c r="L1088" s="22"/>
      <c r="M1088" s="22"/>
      <c r="N1088" s="22"/>
      <c r="O1088" s="73"/>
      <c r="P1088" s="8"/>
      <c r="Q1088" s="69"/>
      <c r="R1088" s="69"/>
      <c r="S1088" s="8"/>
      <c r="T1088" s="69"/>
      <c r="U1088" s="8"/>
      <c r="V1088" s="69"/>
      <c r="W1088" s="74"/>
      <c r="X1088" s="69"/>
    </row>
    <row r="1089">
      <c r="A1089" s="30" t="str">
        <f>IFERROR(__xludf.DUMMYFUNCTION("""COMPUTED_VALUE"""),"82533")</f>
        <v>82533</v>
      </c>
      <c r="B1089" s="86">
        <f>IFERROR(__xludf.DUMMYFUNCTION("""COMPUTED_VALUE"""),44645.0)</f>
        <v>44645</v>
      </c>
      <c r="C1089" s="64" t="str">
        <f>IFERROR(__xludf.DUMMYFUNCTION("""COMPUTED_VALUE"""),"Stock")</f>
        <v>Stock</v>
      </c>
      <c r="D1089" s="87" t="str">
        <f>IFERROR(__xludf.DUMMYFUNCTION("""COMPUTED_VALUE"""),"COIN")</f>
        <v>COIN</v>
      </c>
      <c r="E1089" s="5" t="str">
        <f>IFERROR(__xludf.DUMMYFUNCTION("""COMPUTED_VALUE"""),"USD")</f>
        <v>USD</v>
      </c>
      <c r="F1089" s="69">
        <f>IFERROR(__xludf.DUMMYFUNCTION("""COMPUTED_VALUE"""),50.0)</f>
        <v>50</v>
      </c>
      <c r="G1089" s="70">
        <f>IFERROR(__xludf.DUMMYFUNCTION("""COMPUTED_VALUE"""),7.83915)</f>
        <v>7.83915</v>
      </c>
      <c r="H1089" s="71">
        <f>IFERROR(__xludf.DUMMYFUNCTION("""COMPUTED_VALUE"""),186.71)</f>
        <v>186.71</v>
      </c>
      <c r="I1089" s="71">
        <f>IFERROR(__xludf.DUMMYFUNCTION("""COMPUTED_VALUE"""),154.79)</f>
        <v>154.79</v>
      </c>
      <c r="J1089" s="88" t="str">
        <f>IFERROR(__xludf.DUMMYFUNCTION("""COMPUTED_VALUE"""),"Goto link: COIN")</f>
        <v>Goto link: COIN</v>
      </c>
      <c r="K1089" s="22"/>
      <c r="L1089" s="22"/>
      <c r="M1089" s="22"/>
      <c r="N1089" s="22"/>
      <c r="O1089" s="73"/>
      <c r="P1089" s="8"/>
      <c r="Q1089" s="69"/>
      <c r="R1089" s="69"/>
      <c r="S1089" s="8"/>
      <c r="T1089" s="69"/>
      <c r="U1089" s="8"/>
      <c r="V1089" s="69"/>
      <c r="W1089" s="74"/>
      <c r="X1089" s="69"/>
    </row>
    <row r="1090">
      <c r="A1090" s="30" t="str">
        <f>IFERROR(__xludf.DUMMYFUNCTION("""COMPUTED_VALUE"""),"82533")</f>
        <v>82533</v>
      </c>
      <c r="B1090" s="86">
        <f>IFERROR(__xludf.DUMMYFUNCTION("""COMPUTED_VALUE"""),44645.0)</f>
        <v>44645</v>
      </c>
      <c r="C1090" s="64" t="str">
        <f>IFERROR(__xludf.DUMMYFUNCTION("""COMPUTED_VALUE"""),"Stock")</f>
        <v>Stock</v>
      </c>
      <c r="D1090" s="87" t="str">
        <f>IFERROR(__xludf.DUMMYFUNCTION("""COMPUTED_VALUE"""),"SNDL")</f>
        <v>SNDL</v>
      </c>
      <c r="E1090" s="5" t="str">
        <f>IFERROR(__xludf.DUMMYFUNCTION("""COMPUTED_VALUE"""),"USD")</f>
        <v>USD</v>
      </c>
      <c r="F1090" s="69">
        <f>IFERROR(__xludf.DUMMYFUNCTION("""COMPUTED_VALUE"""),34999.0)</f>
        <v>34999</v>
      </c>
      <c r="G1090" s="70">
        <f>IFERROR(__xludf.DUMMYFUNCTION("""COMPUTED_VALUE"""),7.83915)</f>
        <v>7.83915</v>
      </c>
      <c r="H1090" s="71">
        <f>IFERROR(__xludf.DUMMYFUNCTION("""COMPUTED_VALUE"""),0.81)</f>
        <v>0.81</v>
      </c>
      <c r="I1090" s="71">
        <f>IFERROR(__xludf.DUMMYFUNCTION("""COMPUTED_VALUE"""),0.5928)</f>
        <v>0.5928</v>
      </c>
      <c r="J1090" s="88" t="str">
        <f>IFERROR(__xludf.DUMMYFUNCTION("""COMPUTED_VALUE"""),"Goto link: SNDL")</f>
        <v>Goto link: SNDL</v>
      </c>
      <c r="K1090" s="22"/>
      <c r="L1090" s="22"/>
      <c r="M1090" s="22"/>
      <c r="N1090" s="22"/>
      <c r="O1090" s="73"/>
      <c r="P1090" s="8"/>
      <c r="Q1090" s="69"/>
      <c r="R1090" s="69"/>
      <c r="S1090" s="8"/>
      <c r="T1090" s="69"/>
      <c r="U1090" s="8"/>
      <c r="V1090" s="69"/>
      <c r="W1090" s="74"/>
      <c r="X1090" s="69"/>
    </row>
    <row r="1091">
      <c r="A1091" s="30" t="str">
        <f>IFERROR(__xludf.DUMMYFUNCTION("""COMPUTED_VALUE"""),"82533")</f>
        <v>82533</v>
      </c>
      <c r="B1091" s="86">
        <f>IFERROR(__xludf.DUMMYFUNCTION("""COMPUTED_VALUE"""),44645.0)</f>
        <v>44645</v>
      </c>
      <c r="C1091" s="64" t="str">
        <f>IFERROR(__xludf.DUMMYFUNCTION("""COMPUTED_VALUE"""),"Stock")</f>
        <v>Stock</v>
      </c>
      <c r="D1091" s="87" t="str">
        <f>IFERROR(__xludf.DUMMYFUNCTION("""COMPUTED_VALUE"""),"SNDL")</f>
        <v>SNDL</v>
      </c>
      <c r="E1091" s="5" t="str">
        <f>IFERROR(__xludf.DUMMYFUNCTION("""COMPUTED_VALUE"""),"USD")</f>
        <v>USD</v>
      </c>
      <c r="F1091" s="69">
        <f>IFERROR(__xludf.DUMMYFUNCTION("""COMPUTED_VALUE"""),35000.0)</f>
        <v>35000</v>
      </c>
      <c r="G1091" s="70">
        <f>IFERROR(__xludf.DUMMYFUNCTION("""COMPUTED_VALUE"""),7.83915)</f>
        <v>7.83915</v>
      </c>
      <c r="H1091" s="71">
        <f>IFERROR(__xludf.DUMMYFUNCTION("""COMPUTED_VALUE"""),0.81)</f>
        <v>0.81</v>
      </c>
      <c r="I1091" s="71">
        <f>IFERROR(__xludf.DUMMYFUNCTION("""COMPUTED_VALUE"""),0.5928)</f>
        <v>0.5928</v>
      </c>
      <c r="J1091" s="88" t="str">
        <f>IFERROR(__xludf.DUMMYFUNCTION("""COMPUTED_VALUE"""),"Goto link: SNDL")</f>
        <v>Goto link: SNDL</v>
      </c>
      <c r="K1091" s="22"/>
      <c r="L1091" s="22"/>
      <c r="M1091" s="22"/>
      <c r="N1091" s="22"/>
      <c r="O1091" s="73"/>
      <c r="P1091" s="8"/>
      <c r="Q1091" s="69"/>
      <c r="R1091" s="69"/>
      <c r="S1091" s="8"/>
      <c r="T1091" s="69"/>
      <c r="U1091" s="8"/>
      <c r="V1091" s="69"/>
      <c r="W1091" s="74"/>
      <c r="X1091" s="69"/>
    </row>
    <row r="1092">
      <c r="A1092" s="30" t="str">
        <f>IFERROR(__xludf.DUMMYFUNCTION("""COMPUTED_VALUE"""),"82533 Total")</f>
        <v>82533 Total</v>
      </c>
      <c r="B1092" s="5"/>
      <c r="C1092" s="64"/>
      <c r="D1092" s="85"/>
      <c r="E1092" s="5"/>
      <c r="F1092" s="69"/>
      <c r="G1092" s="70">
        <f>IFERROR(__xludf.DUMMYFUNCTION("""COMPUTED_VALUE"""),6.699291666666667)</f>
        <v>6.699291667</v>
      </c>
      <c r="H1092" s="71">
        <f>IFERROR(__xludf.DUMMYFUNCTION("""COMPUTED_VALUE"""),753.41)</f>
        <v>753.41</v>
      </c>
      <c r="I1092" s="71" t="str">
        <f>IFERROR(__xludf.DUMMYFUNCTION("""COMPUTED_VALUE"""),"")</f>
        <v/>
      </c>
      <c r="J1092" s="22" t="str">
        <f>IFERROR(__xludf.DUMMYFUNCTION("""COMPUTED_VALUE"""),"")</f>
        <v/>
      </c>
      <c r="K1092" s="22"/>
      <c r="L1092" s="22"/>
      <c r="M1092" s="22"/>
      <c r="N1092" s="22"/>
      <c r="O1092" s="73"/>
      <c r="P1092" s="8"/>
      <c r="Q1092" s="69"/>
      <c r="R1092" s="69"/>
      <c r="S1092" s="8"/>
      <c r="T1092" s="69"/>
      <c r="U1092" s="8"/>
      <c r="V1092" s="69"/>
      <c r="W1092" s="74"/>
      <c r="X1092" s="69"/>
    </row>
    <row r="1093">
      <c r="A1093" s="30" t="str">
        <f>IFERROR(__xludf.DUMMYFUNCTION("""COMPUTED_VALUE"""),"83293")</f>
        <v>83293</v>
      </c>
      <c r="B1093" s="86">
        <f>IFERROR(__xludf.DUMMYFUNCTION("""COMPUTED_VALUE"""),44597.0)</f>
        <v>44597</v>
      </c>
      <c r="C1093" s="64" t="str">
        <f>IFERROR(__xludf.DUMMYFUNCTION("""COMPUTED_VALUE"""),"Cash")</f>
        <v>Cash</v>
      </c>
      <c r="D1093" s="85" t="str">
        <f>IFERROR(__xludf.DUMMYFUNCTION("""COMPUTED_VALUE"""),"Cash")</f>
        <v>Cash</v>
      </c>
      <c r="E1093" s="5" t="str">
        <f>IFERROR(__xludf.DUMMYFUNCTION("""COMPUTED_VALUE"""),"HKD")</f>
        <v>HKD</v>
      </c>
      <c r="F1093" s="69" t="str">
        <f>IFERROR(__xludf.DUMMYFUNCTION("""COMPUTED_VALUE"""),"")</f>
        <v/>
      </c>
      <c r="G1093" s="70">
        <f>IFERROR(__xludf.DUMMYFUNCTION("""COMPUTED_VALUE"""),1.0)</f>
        <v>1</v>
      </c>
      <c r="H1093" s="71">
        <f>IFERROR(__xludf.DUMMYFUNCTION("""COMPUTED_VALUE"""),1.0)</f>
        <v>1</v>
      </c>
      <c r="I1093" s="71">
        <f>IFERROR(__xludf.DUMMYFUNCTION("""COMPUTED_VALUE"""),1.0)</f>
        <v>1</v>
      </c>
      <c r="J1093" s="22" t="str">
        <f>IFERROR(__xludf.DUMMYFUNCTION("""COMPUTED_VALUE"""),"")</f>
        <v/>
      </c>
      <c r="K1093" s="22"/>
      <c r="L1093" s="22"/>
      <c r="M1093" s="22"/>
      <c r="N1093" s="22"/>
      <c r="O1093" s="73"/>
      <c r="P1093" s="8"/>
      <c r="Q1093" s="69"/>
      <c r="R1093" s="69"/>
      <c r="S1093" s="8"/>
      <c r="T1093" s="69"/>
      <c r="U1093" s="8"/>
      <c r="V1093" s="69"/>
      <c r="W1093" s="74"/>
      <c r="X1093" s="69"/>
    </row>
    <row r="1094">
      <c r="A1094" s="30" t="str">
        <f>IFERROR(__xludf.DUMMYFUNCTION("""COMPUTED_VALUE"""),"83293 Total")</f>
        <v>83293 Total</v>
      </c>
      <c r="B1094" s="5"/>
      <c r="C1094" s="64"/>
      <c r="D1094" s="85"/>
      <c r="E1094" s="5"/>
      <c r="F1094" s="69"/>
      <c r="G1094" s="70">
        <f>IFERROR(__xludf.DUMMYFUNCTION("""COMPUTED_VALUE"""),1.0)</f>
        <v>1</v>
      </c>
      <c r="H1094" s="71">
        <f>IFERROR(__xludf.DUMMYFUNCTION("""COMPUTED_VALUE"""),1.0)</f>
        <v>1</v>
      </c>
      <c r="I1094" s="71" t="str">
        <f>IFERROR(__xludf.DUMMYFUNCTION("""COMPUTED_VALUE"""),"")</f>
        <v/>
      </c>
      <c r="J1094" s="22" t="str">
        <f>IFERROR(__xludf.DUMMYFUNCTION("""COMPUTED_VALUE"""),"")</f>
        <v/>
      </c>
      <c r="K1094" s="22"/>
      <c r="L1094" s="22"/>
      <c r="M1094" s="22"/>
      <c r="N1094" s="22"/>
      <c r="O1094" s="73"/>
      <c r="P1094" s="8"/>
      <c r="Q1094" s="69"/>
      <c r="R1094" s="69"/>
      <c r="S1094" s="8"/>
      <c r="T1094" s="69"/>
      <c r="U1094" s="8"/>
      <c r="V1094" s="69"/>
      <c r="W1094" s="74"/>
      <c r="X1094" s="69"/>
    </row>
    <row r="1095">
      <c r="A1095" s="30" t="str">
        <f>IFERROR(__xludf.DUMMYFUNCTION("""COMPUTED_VALUE"""),"83314")</f>
        <v>83314</v>
      </c>
      <c r="B1095" s="86">
        <f>IFERROR(__xludf.DUMMYFUNCTION("""COMPUTED_VALUE"""),44597.0)</f>
        <v>44597</v>
      </c>
      <c r="C1095" s="64" t="str">
        <f>IFERROR(__xludf.DUMMYFUNCTION("""COMPUTED_VALUE"""),"Cash")</f>
        <v>Cash</v>
      </c>
      <c r="D1095" s="85" t="str">
        <f>IFERROR(__xludf.DUMMYFUNCTION("""COMPUTED_VALUE"""),"Cash")</f>
        <v>Cash</v>
      </c>
      <c r="E1095" s="5" t="str">
        <f>IFERROR(__xludf.DUMMYFUNCTION("""COMPUTED_VALUE"""),"HKD")</f>
        <v>HKD</v>
      </c>
      <c r="F1095" s="69" t="str">
        <f>IFERROR(__xludf.DUMMYFUNCTION("""COMPUTED_VALUE"""),"")</f>
        <v/>
      </c>
      <c r="G1095" s="70">
        <f>IFERROR(__xludf.DUMMYFUNCTION("""COMPUTED_VALUE"""),1.0)</f>
        <v>1</v>
      </c>
      <c r="H1095" s="71">
        <f>IFERROR(__xludf.DUMMYFUNCTION("""COMPUTED_VALUE"""),1.0)</f>
        <v>1</v>
      </c>
      <c r="I1095" s="71">
        <f>IFERROR(__xludf.DUMMYFUNCTION("""COMPUTED_VALUE"""),1.0)</f>
        <v>1</v>
      </c>
      <c r="J1095" s="22" t="str">
        <f>IFERROR(__xludf.DUMMYFUNCTION("""COMPUTED_VALUE"""),"")</f>
        <v/>
      </c>
      <c r="K1095" s="22"/>
      <c r="L1095" s="22"/>
      <c r="M1095" s="22"/>
      <c r="N1095" s="22"/>
      <c r="O1095" s="73"/>
      <c r="P1095" s="8"/>
      <c r="Q1095" s="69"/>
      <c r="R1095" s="69"/>
      <c r="S1095" s="8"/>
      <c r="T1095" s="69"/>
      <c r="U1095" s="8"/>
      <c r="V1095" s="69"/>
      <c r="W1095" s="74"/>
      <c r="X1095" s="69"/>
    </row>
    <row r="1096">
      <c r="A1096" s="30" t="str">
        <f>IFERROR(__xludf.DUMMYFUNCTION("""COMPUTED_VALUE"""),"83314")</f>
        <v>83314</v>
      </c>
      <c r="B1096" s="86">
        <f>IFERROR(__xludf.DUMMYFUNCTION("""COMPUTED_VALUE"""),44664.0)</f>
        <v>44664</v>
      </c>
      <c r="C1096" s="64" t="str">
        <f>IFERROR(__xludf.DUMMYFUNCTION("""COMPUTED_VALUE"""),"Stock")</f>
        <v>Stock</v>
      </c>
      <c r="D1096" s="85" t="str">
        <f>IFERROR(__xludf.DUMMYFUNCTION("""COMPUTED_VALUE"""),"AMZN")</f>
        <v>AMZN</v>
      </c>
      <c r="E1096" s="5" t="str">
        <f>IFERROR(__xludf.DUMMYFUNCTION("""COMPUTED_VALUE"""),"USD")</f>
        <v>USD</v>
      </c>
      <c r="F1096" s="69">
        <f>IFERROR(__xludf.DUMMYFUNCTION("""COMPUTED_VALUE"""),10.0)</f>
        <v>10</v>
      </c>
      <c r="G1096" s="70">
        <f>IFERROR(__xludf.DUMMYFUNCTION("""COMPUTED_VALUE"""),7.83915)</f>
        <v>7.83915</v>
      </c>
      <c r="H1096" s="71">
        <f>IFERROR(__xludf.DUMMYFUNCTION("""COMPUTED_VALUE"""),3110.82)</f>
        <v>3110.82</v>
      </c>
      <c r="I1096" s="71">
        <f>IFERROR(__xludf.DUMMYFUNCTION("""COMPUTED_VALUE"""),3110.82)</f>
        <v>3110.82</v>
      </c>
      <c r="J1096" s="88" t="str">
        <f>IFERROR(__xludf.DUMMYFUNCTION("""COMPUTED_VALUE"""),"Goto link: AMZN")</f>
        <v>Goto link: AMZN</v>
      </c>
      <c r="K1096" s="22"/>
      <c r="L1096" s="22"/>
      <c r="M1096" s="22"/>
      <c r="N1096" s="22"/>
      <c r="O1096" s="73"/>
      <c r="P1096" s="8"/>
      <c r="Q1096" s="69"/>
      <c r="R1096" s="69"/>
      <c r="S1096" s="8"/>
      <c r="T1096" s="69"/>
      <c r="U1096" s="8"/>
      <c r="V1096" s="69"/>
      <c r="W1096" s="74"/>
      <c r="X1096" s="69"/>
    </row>
    <row r="1097">
      <c r="A1097" s="30" t="str">
        <f>IFERROR(__xludf.DUMMYFUNCTION("""COMPUTED_VALUE"""),"83314")</f>
        <v>83314</v>
      </c>
      <c r="B1097" s="86">
        <f>IFERROR(__xludf.DUMMYFUNCTION("""COMPUTED_VALUE"""),44664.0)</f>
        <v>44664</v>
      </c>
      <c r="C1097" s="64" t="str">
        <f>IFERROR(__xludf.DUMMYFUNCTION("""COMPUTED_VALUE"""),"Stock")</f>
        <v>Stock</v>
      </c>
      <c r="D1097" s="85" t="str">
        <f>IFERROR(__xludf.DUMMYFUNCTION("""COMPUTED_VALUE"""),"FB")</f>
        <v>FB</v>
      </c>
      <c r="E1097" s="5" t="str">
        <f>IFERROR(__xludf.DUMMYFUNCTION("""COMPUTED_VALUE"""),"USD")</f>
        <v>USD</v>
      </c>
      <c r="F1097" s="69">
        <f>IFERROR(__xludf.DUMMYFUNCTION("""COMPUTED_VALUE"""),10.0)</f>
        <v>10</v>
      </c>
      <c r="G1097" s="70">
        <f>IFERROR(__xludf.DUMMYFUNCTION("""COMPUTED_VALUE"""),7.83915)</f>
        <v>7.83915</v>
      </c>
      <c r="H1097" s="71">
        <f>IFERROR(__xludf.DUMMYFUNCTION("""COMPUTED_VALUE"""),214.99)</f>
        <v>214.99</v>
      </c>
      <c r="I1097" s="71">
        <f>IFERROR(__xludf.DUMMYFUNCTION("""COMPUTED_VALUE"""),214.99)</f>
        <v>214.99</v>
      </c>
      <c r="J1097" s="88" t="str">
        <f>IFERROR(__xludf.DUMMYFUNCTION("""COMPUTED_VALUE"""),"Goto link: FB")</f>
        <v>Goto link: FB</v>
      </c>
      <c r="K1097" s="22"/>
      <c r="L1097" s="22"/>
      <c r="M1097" s="22"/>
      <c r="N1097" s="22"/>
      <c r="O1097" s="73"/>
      <c r="P1097" s="8"/>
      <c r="Q1097" s="69"/>
      <c r="R1097" s="69"/>
      <c r="S1097" s="8"/>
      <c r="T1097" s="69"/>
      <c r="U1097" s="8"/>
      <c r="V1097" s="69"/>
      <c r="W1097" s="74"/>
      <c r="X1097" s="69"/>
    </row>
    <row r="1098">
      <c r="A1098" s="30" t="str">
        <f>IFERROR(__xludf.DUMMYFUNCTION("""COMPUTED_VALUE"""),"83314")</f>
        <v>83314</v>
      </c>
      <c r="B1098" s="86">
        <f>IFERROR(__xludf.DUMMYFUNCTION("""COMPUTED_VALUE"""),44664.0)</f>
        <v>44664</v>
      </c>
      <c r="C1098" s="64" t="str">
        <f>IFERROR(__xludf.DUMMYFUNCTION("""COMPUTED_VALUE"""),"Stock")</f>
        <v>Stock</v>
      </c>
      <c r="D1098" s="85" t="str">
        <f>IFERROR(__xludf.DUMMYFUNCTION("""COMPUTED_VALUE"""),"TSLA")</f>
        <v>TSLA</v>
      </c>
      <c r="E1098" s="5" t="str">
        <f>IFERROR(__xludf.DUMMYFUNCTION("""COMPUTED_VALUE"""),"USD")</f>
        <v>USD</v>
      </c>
      <c r="F1098" s="69">
        <f>IFERROR(__xludf.DUMMYFUNCTION("""COMPUTED_VALUE"""),10.0)</f>
        <v>10</v>
      </c>
      <c r="G1098" s="70">
        <f>IFERROR(__xludf.DUMMYFUNCTION("""COMPUTED_VALUE"""),7.83915)</f>
        <v>7.83915</v>
      </c>
      <c r="H1098" s="71">
        <f>IFERROR(__xludf.DUMMYFUNCTION("""COMPUTED_VALUE"""),1022.37)</f>
        <v>1022.37</v>
      </c>
      <c r="I1098" s="71">
        <f>IFERROR(__xludf.DUMMYFUNCTION("""COMPUTED_VALUE"""),1022.37)</f>
        <v>1022.37</v>
      </c>
      <c r="J1098" s="88" t="str">
        <f>IFERROR(__xludf.DUMMYFUNCTION("""COMPUTED_VALUE"""),"Goto link: TSLA")</f>
        <v>Goto link: TSLA</v>
      </c>
      <c r="K1098" s="22"/>
      <c r="L1098" s="22"/>
      <c r="M1098" s="22"/>
      <c r="N1098" s="22"/>
      <c r="O1098" s="73"/>
      <c r="P1098" s="8"/>
      <c r="Q1098" s="69"/>
      <c r="R1098" s="69"/>
      <c r="S1098" s="8"/>
      <c r="T1098" s="69"/>
      <c r="U1098" s="8"/>
      <c r="V1098" s="69"/>
      <c r="W1098" s="74"/>
      <c r="X1098" s="69"/>
    </row>
    <row r="1099">
      <c r="A1099" s="30" t="str">
        <f>IFERROR(__xludf.DUMMYFUNCTION("""COMPUTED_VALUE"""),"83314 Total")</f>
        <v>83314 Total</v>
      </c>
      <c r="B1099" s="5"/>
      <c r="C1099" s="64"/>
      <c r="D1099" s="85"/>
      <c r="E1099" s="5"/>
      <c r="F1099" s="69"/>
      <c r="G1099" s="70">
        <f>IFERROR(__xludf.DUMMYFUNCTION("""COMPUTED_VALUE"""),6.1293625)</f>
        <v>6.1293625</v>
      </c>
      <c r="H1099" s="71">
        <f>IFERROR(__xludf.DUMMYFUNCTION("""COMPUTED_VALUE"""),3110.82)</f>
        <v>3110.82</v>
      </c>
      <c r="I1099" s="71" t="str">
        <f>IFERROR(__xludf.DUMMYFUNCTION("""COMPUTED_VALUE"""),"")</f>
        <v/>
      </c>
      <c r="J1099" s="22" t="str">
        <f>IFERROR(__xludf.DUMMYFUNCTION("""COMPUTED_VALUE"""),"")</f>
        <v/>
      </c>
      <c r="K1099" s="22"/>
      <c r="L1099" s="22"/>
      <c r="M1099" s="22"/>
      <c r="N1099" s="22"/>
      <c r="O1099" s="73"/>
      <c r="P1099" s="8"/>
      <c r="Q1099" s="69"/>
      <c r="R1099" s="69"/>
      <c r="S1099" s="8"/>
      <c r="T1099" s="69"/>
      <c r="U1099" s="8"/>
      <c r="V1099" s="69"/>
      <c r="W1099" s="74"/>
      <c r="X1099" s="69"/>
    </row>
    <row r="1100">
      <c r="A1100" s="30" t="str">
        <f>IFERROR(__xludf.DUMMYFUNCTION("""COMPUTED_VALUE"""),"84216")</f>
        <v>84216</v>
      </c>
      <c r="B1100" s="86">
        <f>IFERROR(__xludf.DUMMYFUNCTION("""COMPUTED_VALUE"""),44597.0)</f>
        <v>44597</v>
      </c>
      <c r="C1100" s="64" t="str">
        <f>IFERROR(__xludf.DUMMYFUNCTION("""COMPUTED_VALUE"""),"Cash")</f>
        <v>Cash</v>
      </c>
      <c r="D1100" s="85" t="str">
        <f>IFERROR(__xludf.DUMMYFUNCTION("""COMPUTED_VALUE"""),"Cash")</f>
        <v>Cash</v>
      </c>
      <c r="E1100" s="5" t="str">
        <f>IFERROR(__xludf.DUMMYFUNCTION("""COMPUTED_VALUE"""),"HKD")</f>
        <v>HKD</v>
      </c>
      <c r="F1100" s="69" t="str">
        <f>IFERROR(__xludf.DUMMYFUNCTION("""COMPUTED_VALUE"""),"")</f>
        <v/>
      </c>
      <c r="G1100" s="70">
        <f>IFERROR(__xludf.DUMMYFUNCTION("""COMPUTED_VALUE"""),1.0)</f>
        <v>1</v>
      </c>
      <c r="H1100" s="71">
        <f>IFERROR(__xludf.DUMMYFUNCTION("""COMPUTED_VALUE"""),1.0)</f>
        <v>1</v>
      </c>
      <c r="I1100" s="71">
        <f>IFERROR(__xludf.DUMMYFUNCTION("""COMPUTED_VALUE"""),1.0)</f>
        <v>1</v>
      </c>
      <c r="J1100" s="22" t="str">
        <f>IFERROR(__xludf.DUMMYFUNCTION("""COMPUTED_VALUE"""),"")</f>
        <v/>
      </c>
      <c r="K1100" s="22"/>
      <c r="L1100" s="22"/>
      <c r="M1100" s="22"/>
      <c r="N1100" s="22"/>
      <c r="O1100" s="73"/>
      <c r="P1100" s="8"/>
      <c r="Q1100" s="69"/>
      <c r="R1100" s="69"/>
      <c r="S1100" s="8"/>
      <c r="T1100" s="69"/>
      <c r="U1100" s="8"/>
      <c r="V1100" s="69"/>
      <c r="W1100" s="74"/>
      <c r="X1100" s="69"/>
    </row>
    <row r="1101">
      <c r="A1101" s="30" t="str">
        <f>IFERROR(__xludf.DUMMYFUNCTION("""COMPUTED_VALUE"""),"84216")</f>
        <v>84216</v>
      </c>
      <c r="B1101" s="86">
        <f>IFERROR(__xludf.DUMMYFUNCTION("""COMPUTED_VALUE"""),44662.0)</f>
        <v>44662</v>
      </c>
      <c r="C1101" s="64" t="str">
        <f>IFERROR(__xludf.DUMMYFUNCTION("""COMPUTED_VALUE"""),"Stock")</f>
        <v>Stock</v>
      </c>
      <c r="D1101" s="85" t="str">
        <f>IFERROR(__xludf.DUMMYFUNCTION("""COMPUTED_VALUE"""),"AAPL")</f>
        <v>AAPL</v>
      </c>
      <c r="E1101" s="5" t="str">
        <f>IFERROR(__xludf.DUMMYFUNCTION("""COMPUTED_VALUE"""),"USD")</f>
        <v>USD</v>
      </c>
      <c r="F1101" s="69">
        <f>IFERROR(__xludf.DUMMYFUNCTION("""COMPUTED_VALUE"""),10.0)</f>
        <v>10</v>
      </c>
      <c r="G1101" s="70">
        <f>IFERROR(__xludf.DUMMYFUNCTION("""COMPUTED_VALUE"""),7.83915)</f>
        <v>7.83915</v>
      </c>
      <c r="H1101" s="71">
        <f>IFERROR(__xludf.DUMMYFUNCTION("""COMPUTED_VALUE"""),165.75)</f>
        <v>165.75</v>
      </c>
      <c r="I1101" s="71">
        <f>IFERROR(__xludf.DUMMYFUNCTION("""COMPUTED_VALUE"""),170.4)</f>
        <v>170.4</v>
      </c>
      <c r="J1101" s="88" t="str">
        <f>IFERROR(__xludf.DUMMYFUNCTION("""COMPUTED_VALUE"""),"Goto link: AAPL")</f>
        <v>Goto link: AAPL</v>
      </c>
      <c r="K1101" s="22"/>
      <c r="L1101" s="22"/>
      <c r="M1101" s="22"/>
      <c r="N1101" s="22"/>
      <c r="O1101" s="73"/>
      <c r="P1101" s="8"/>
      <c r="Q1101" s="69"/>
      <c r="R1101" s="69"/>
      <c r="S1101" s="8"/>
      <c r="T1101" s="69"/>
      <c r="U1101" s="8"/>
      <c r="V1101" s="69"/>
      <c r="W1101" s="74"/>
      <c r="X1101" s="69"/>
    </row>
    <row r="1102">
      <c r="A1102" s="30" t="str">
        <f>IFERROR(__xludf.DUMMYFUNCTION("""COMPUTED_VALUE"""),"84216")</f>
        <v>84216</v>
      </c>
      <c r="B1102" s="86">
        <f>IFERROR(__xludf.DUMMYFUNCTION("""COMPUTED_VALUE"""),44662.0)</f>
        <v>44662</v>
      </c>
      <c r="C1102" s="64" t="str">
        <f>IFERROR(__xludf.DUMMYFUNCTION("""COMPUTED_VALUE"""),"Stock")</f>
        <v>Stock</v>
      </c>
      <c r="D1102" s="85" t="str">
        <f>IFERROR(__xludf.DUMMYFUNCTION("""COMPUTED_VALUE"""),"TSLA")</f>
        <v>TSLA</v>
      </c>
      <c r="E1102" s="5" t="str">
        <f>IFERROR(__xludf.DUMMYFUNCTION("""COMPUTED_VALUE"""),"USD")</f>
        <v>USD</v>
      </c>
      <c r="F1102" s="69">
        <f>IFERROR(__xludf.DUMMYFUNCTION("""COMPUTED_VALUE"""),10.0)</f>
        <v>10</v>
      </c>
      <c r="G1102" s="70">
        <f>IFERROR(__xludf.DUMMYFUNCTION("""COMPUTED_VALUE"""),7.83915)</f>
        <v>7.83915</v>
      </c>
      <c r="H1102" s="71">
        <f>IFERROR(__xludf.DUMMYFUNCTION("""COMPUTED_VALUE"""),975.93)</f>
        <v>975.93</v>
      </c>
      <c r="I1102" s="71">
        <f>IFERROR(__xludf.DUMMYFUNCTION("""COMPUTED_VALUE"""),1022.37)</f>
        <v>1022.37</v>
      </c>
      <c r="J1102" s="88" t="str">
        <f>IFERROR(__xludf.DUMMYFUNCTION("""COMPUTED_VALUE"""),"Goto link: TSLA")</f>
        <v>Goto link: TSLA</v>
      </c>
      <c r="K1102" s="22"/>
      <c r="L1102" s="22"/>
      <c r="M1102" s="22"/>
      <c r="N1102" s="22"/>
      <c r="O1102" s="73"/>
      <c r="P1102" s="8"/>
      <c r="Q1102" s="69"/>
      <c r="R1102" s="69"/>
      <c r="S1102" s="8"/>
      <c r="T1102" s="69"/>
      <c r="U1102" s="8"/>
      <c r="V1102" s="69"/>
      <c r="W1102" s="74"/>
      <c r="X1102" s="69"/>
    </row>
    <row r="1103">
      <c r="A1103" s="30" t="str">
        <f>IFERROR(__xludf.DUMMYFUNCTION("""COMPUTED_VALUE"""),"84216")</f>
        <v>84216</v>
      </c>
      <c r="B1103" s="86">
        <f>IFERROR(__xludf.DUMMYFUNCTION("""COMPUTED_VALUE"""),44662.0)</f>
        <v>44662</v>
      </c>
      <c r="C1103" s="64" t="str">
        <f>IFERROR(__xludf.DUMMYFUNCTION("""COMPUTED_VALUE"""),"Stock")</f>
        <v>Stock</v>
      </c>
      <c r="D1103" s="85" t="str">
        <f>IFERROR(__xludf.DUMMYFUNCTION("""COMPUTED_VALUE"""),"TWTR")</f>
        <v>TWTR</v>
      </c>
      <c r="E1103" s="5" t="str">
        <f>IFERROR(__xludf.DUMMYFUNCTION("""COMPUTED_VALUE"""),"USD")</f>
        <v>USD</v>
      </c>
      <c r="F1103" s="69">
        <f>IFERROR(__xludf.DUMMYFUNCTION("""COMPUTED_VALUE"""),1200.0)</f>
        <v>1200</v>
      </c>
      <c r="G1103" s="70">
        <f>IFERROR(__xludf.DUMMYFUNCTION("""COMPUTED_VALUE"""),7.83915)</f>
        <v>7.83915</v>
      </c>
      <c r="H1103" s="71">
        <f>IFERROR(__xludf.DUMMYFUNCTION("""COMPUTED_VALUE"""),47.01)</f>
        <v>47.01</v>
      </c>
      <c r="I1103" s="71">
        <f>IFERROR(__xludf.DUMMYFUNCTION("""COMPUTED_VALUE"""),45.85)</f>
        <v>45.85</v>
      </c>
      <c r="J1103" s="88" t="str">
        <f>IFERROR(__xludf.DUMMYFUNCTION("""COMPUTED_VALUE"""),"Goto link: TWTR")</f>
        <v>Goto link: TWTR</v>
      </c>
      <c r="K1103" s="22"/>
      <c r="L1103" s="22"/>
      <c r="M1103" s="22"/>
      <c r="N1103" s="22"/>
      <c r="O1103" s="73"/>
      <c r="P1103" s="8"/>
      <c r="Q1103" s="69"/>
      <c r="R1103" s="69"/>
      <c r="S1103" s="8"/>
      <c r="T1103" s="69"/>
      <c r="U1103" s="8"/>
      <c r="V1103" s="69"/>
      <c r="W1103" s="74"/>
      <c r="X1103" s="69"/>
    </row>
    <row r="1104">
      <c r="A1104" s="30" t="str">
        <f>IFERROR(__xludf.DUMMYFUNCTION("""COMPUTED_VALUE"""),"84216")</f>
        <v>84216</v>
      </c>
      <c r="B1104" s="86">
        <f>IFERROR(__xludf.DUMMYFUNCTION("""COMPUTED_VALUE"""),44663.0)</f>
        <v>44663</v>
      </c>
      <c r="C1104" s="64" t="str">
        <f>IFERROR(__xludf.DUMMYFUNCTION("""COMPUTED_VALUE"""),"Stock")</f>
        <v>Stock</v>
      </c>
      <c r="D1104" s="91" t="str">
        <f>IFERROR(__xludf.DUMMYFUNCTION("""COMPUTED_VALUE"""),"9988.HK")</f>
        <v>9988.HK</v>
      </c>
      <c r="E1104" s="5" t="str">
        <f>IFERROR(__xludf.DUMMYFUNCTION("""COMPUTED_VALUE"""),"HKD")</f>
        <v>HKD</v>
      </c>
      <c r="F1104" s="69">
        <f>IFERROR(__xludf.DUMMYFUNCTION("""COMPUTED_VALUE"""),500.0)</f>
        <v>500</v>
      </c>
      <c r="G1104" s="70">
        <f>IFERROR(__xludf.DUMMYFUNCTION("""COMPUTED_VALUE"""),1.0)</f>
        <v>1</v>
      </c>
      <c r="H1104" s="71">
        <f>IFERROR(__xludf.DUMMYFUNCTION("""COMPUTED_VALUE"""),99.0)</f>
        <v>99</v>
      </c>
      <c r="I1104" s="71">
        <f>IFERROR(__xludf.DUMMYFUNCTION("""COMPUTED_VALUE"""),98.5)</f>
        <v>98.5</v>
      </c>
      <c r="J1104" s="88" t="str">
        <f>IFERROR(__xludf.DUMMYFUNCTION("""COMPUTED_VALUE"""),"Goto link: 9988.HK")</f>
        <v>Goto link: 9988.HK</v>
      </c>
      <c r="K1104" s="22"/>
      <c r="L1104" s="22"/>
      <c r="M1104" s="22"/>
      <c r="N1104" s="22"/>
      <c r="O1104" s="73"/>
      <c r="P1104" s="8"/>
      <c r="Q1104" s="69"/>
      <c r="R1104" s="69"/>
      <c r="S1104" s="8"/>
      <c r="T1104" s="69"/>
      <c r="U1104" s="8"/>
      <c r="V1104" s="69"/>
      <c r="W1104" s="74"/>
      <c r="X1104" s="69"/>
    </row>
    <row r="1105">
      <c r="A1105" s="30" t="str">
        <f>IFERROR(__xludf.DUMMYFUNCTION("""COMPUTED_VALUE"""),"84216")</f>
        <v>84216</v>
      </c>
      <c r="B1105" s="86">
        <f>IFERROR(__xludf.DUMMYFUNCTION("""COMPUTED_VALUE"""),44663.0)</f>
        <v>44663</v>
      </c>
      <c r="C1105" s="64" t="str">
        <f>IFERROR(__xludf.DUMMYFUNCTION("""COMPUTED_VALUE"""),"Stock")</f>
        <v>Stock</v>
      </c>
      <c r="D1105" s="91" t="str">
        <f>IFERROR(__xludf.DUMMYFUNCTION("""COMPUTED_VALUE"""),"9988.HK")</f>
        <v>9988.HK</v>
      </c>
      <c r="E1105" s="5" t="str">
        <f>IFERROR(__xludf.DUMMYFUNCTION("""COMPUTED_VALUE"""),"HKD")</f>
        <v>HKD</v>
      </c>
      <c r="F1105" s="69">
        <f>IFERROR(__xludf.DUMMYFUNCTION("""COMPUTED_VALUE"""),600.0)</f>
        <v>600</v>
      </c>
      <c r="G1105" s="70">
        <f>IFERROR(__xludf.DUMMYFUNCTION("""COMPUTED_VALUE"""),1.0)</f>
        <v>1</v>
      </c>
      <c r="H1105" s="71">
        <f>IFERROR(__xludf.DUMMYFUNCTION("""COMPUTED_VALUE"""),99.0)</f>
        <v>99</v>
      </c>
      <c r="I1105" s="71">
        <f>IFERROR(__xludf.DUMMYFUNCTION("""COMPUTED_VALUE"""),98.5)</f>
        <v>98.5</v>
      </c>
      <c r="J1105" s="88" t="str">
        <f>IFERROR(__xludf.DUMMYFUNCTION("""COMPUTED_VALUE"""),"Goto link: 9988.HK")</f>
        <v>Goto link: 9988.HK</v>
      </c>
      <c r="K1105" s="22"/>
      <c r="L1105" s="22"/>
      <c r="M1105" s="22"/>
      <c r="N1105" s="22"/>
      <c r="O1105" s="73"/>
      <c r="P1105" s="8"/>
      <c r="Q1105" s="69"/>
      <c r="R1105" s="69"/>
      <c r="S1105" s="8"/>
      <c r="T1105" s="69"/>
      <c r="U1105" s="8"/>
      <c r="V1105" s="69"/>
      <c r="W1105" s="74"/>
      <c r="X1105" s="69"/>
    </row>
    <row r="1106">
      <c r="A1106" s="30" t="str">
        <f>IFERROR(__xludf.DUMMYFUNCTION("""COMPUTED_VALUE"""),"84216 Total")</f>
        <v>84216 Total</v>
      </c>
      <c r="B1106" s="5"/>
      <c r="C1106" s="64"/>
      <c r="D1106" s="85"/>
      <c r="E1106" s="5"/>
      <c r="F1106" s="69"/>
      <c r="G1106" s="70">
        <f>IFERROR(__xludf.DUMMYFUNCTION("""COMPUTED_VALUE"""),4.419575)</f>
        <v>4.419575</v>
      </c>
      <c r="H1106" s="71">
        <f>IFERROR(__xludf.DUMMYFUNCTION("""COMPUTED_VALUE"""),975.93)</f>
        <v>975.93</v>
      </c>
      <c r="I1106" s="71" t="str">
        <f>IFERROR(__xludf.DUMMYFUNCTION("""COMPUTED_VALUE"""),"")</f>
        <v/>
      </c>
      <c r="J1106" s="22" t="str">
        <f>IFERROR(__xludf.DUMMYFUNCTION("""COMPUTED_VALUE"""),"")</f>
        <v/>
      </c>
      <c r="K1106" s="22"/>
      <c r="L1106" s="22"/>
      <c r="M1106" s="22"/>
      <c r="N1106" s="22"/>
      <c r="O1106" s="73"/>
      <c r="P1106" s="8"/>
      <c r="Q1106" s="69"/>
      <c r="R1106" s="69"/>
      <c r="S1106" s="8"/>
      <c r="T1106" s="69"/>
      <c r="U1106" s="8"/>
      <c r="V1106" s="69"/>
      <c r="W1106" s="74"/>
      <c r="X1106" s="69"/>
    </row>
    <row r="1107">
      <c r="A1107" s="30" t="str">
        <f>IFERROR(__xludf.DUMMYFUNCTION("""COMPUTED_VALUE"""),"89651")</f>
        <v>89651</v>
      </c>
      <c r="B1107" s="86">
        <f>IFERROR(__xludf.DUMMYFUNCTION("""COMPUTED_VALUE"""),44597.0)</f>
        <v>44597</v>
      </c>
      <c r="C1107" s="64" t="str">
        <f>IFERROR(__xludf.DUMMYFUNCTION("""COMPUTED_VALUE"""),"Cash")</f>
        <v>Cash</v>
      </c>
      <c r="D1107" s="85" t="str">
        <f>IFERROR(__xludf.DUMMYFUNCTION("""COMPUTED_VALUE"""),"Cash")</f>
        <v>Cash</v>
      </c>
      <c r="E1107" s="5" t="str">
        <f>IFERROR(__xludf.DUMMYFUNCTION("""COMPUTED_VALUE"""),"HKD")</f>
        <v>HKD</v>
      </c>
      <c r="F1107" s="69" t="str">
        <f>IFERROR(__xludf.DUMMYFUNCTION("""COMPUTED_VALUE"""),"")</f>
        <v/>
      </c>
      <c r="G1107" s="70">
        <f>IFERROR(__xludf.DUMMYFUNCTION("""COMPUTED_VALUE"""),1.0)</f>
        <v>1</v>
      </c>
      <c r="H1107" s="71">
        <f>IFERROR(__xludf.DUMMYFUNCTION("""COMPUTED_VALUE"""),1.0)</f>
        <v>1</v>
      </c>
      <c r="I1107" s="71">
        <f>IFERROR(__xludf.DUMMYFUNCTION("""COMPUTED_VALUE"""),1.0)</f>
        <v>1</v>
      </c>
      <c r="J1107" s="22" t="str">
        <f>IFERROR(__xludf.DUMMYFUNCTION("""COMPUTED_VALUE"""),"")</f>
        <v/>
      </c>
      <c r="K1107" s="22"/>
      <c r="L1107" s="22"/>
      <c r="M1107" s="22"/>
      <c r="N1107" s="22"/>
      <c r="O1107" s="73"/>
      <c r="P1107" s="8"/>
      <c r="Q1107" s="69"/>
      <c r="R1107" s="69"/>
      <c r="S1107" s="8"/>
      <c r="T1107" s="69"/>
      <c r="U1107" s="8"/>
      <c r="V1107" s="69"/>
      <c r="W1107" s="74"/>
      <c r="X1107" s="69"/>
    </row>
    <row r="1108">
      <c r="A1108" s="30" t="str">
        <f>IFERROR(__xludf.DUMMYFUNCTION("""COMPUTED_VALUE"""),"89651 Total")</f>
        <v>89651 Total</v>
      </c>
      <c r="B1108" s="5"/>
      <c r="C1108" s="64"/>
      <c r="D1108" s="85"/>
      <c r="E1108" s="5"/>
      <c r="F1108" s="69"/>
      <c r="G1108" s="70">
        <f>IFERROR(__xludf.DUMMYFUNCTION("""COMPUTED_VALUE"""),1.0)</f>
        <v>1</v>
      </c>
      <c r="H1108" s="71">
        <f>IFERROR(__xludf.DUMMYFUNCTION("""COMPUTED_VALUE"""),1.0)</f>
        <v>1</v>
      </c>
      <c r="I1108" s="71" t="str">
        <f>IFERROR(__xludf.DUMMYFUNCTION("""COMPUTED_VALUE"""),"")</f>
        <v/>
      </c>
      <c r="J1108" s="22" t="str">
        <f>IFERROR(__xludf.DUMMYFUNCTION("""COMPUTED_VALUE"""),"")</f>
        <v/>
      </c>
      <c r="K1108" s="22"/>
      <c r="L1108" s="22"/>
      <c r="M1108" s="22"/>
      <c r="N1108" s="22"/>
      <c r="O1108" s="73"/>
      <c r="P1108" s="8"/>
      <c r="Q1108" s="69"/>
      <c r="R1108" s="69"/>
      <c r="S1108" s="8"/>
      <c r="T1108" s="69"/>
      <c r="U1108" s="8"/>
      <c r="V1108" s="69"/>
      <c r="W1108" s="74"/>
      <c r="X1108" s="69"/>
    </row>
    <row r="1109">
      <c r="A1109" s="30" t="str">
        <f>IFERROR(__xludf.DUMMYFUNCTION("""COMPUTED_VALUE"""),"89750")</f>
        <v>89750</v>
      </c>
      <c r="B1109" s="86">
        <f>IFERROR(__xludf.DUMMYFUNCTION("""COMPUTED_VALUE"""),44597.0)</f>
        <v>44597</v>
      </c>
      <c r="C1109" s="64" t="str">
        <f>IFERROR(__xludf.DUMMYFUNCTION("""COMPUTED_VALUE"""),"Cash")</f>
        <v>Cash</v>
      </c>
      <c r="D1109" s="85" t="str">
        <f>IFERROR(__xludf.DUMMYFUNCTION("""COMPUTED_VALUE"""),"Cash")</f>
        <v>Cash</v>
      </c>
      <c r="E1109" s="5" t="str">
        <f>IFERROR(__xludf.DUMMYFUNCTION("""COMPUTED_VALUE"""),"HKD")</f>
        <v>HKD</v>
      </c>
      <c r="F1109" s="69" t="str">
        <f>IFERROR(__xludf.DUMMYFUNCTION("""COMPUTED_VALUE"""),"")</f>
        <v/>
      </c>
      <c r="G1109" s="70">
        <f>IFERROR(__xludf.DUMMYFUNCTION("""COMPUTED_VALUE"""),1.0)</f>
        <v>1</v>
      </c>
      <c r="H1109" s="71">
        <f>IFERROR(__xludf.DUMMYFUNCTION("""COMPUTED_VALUE"""),1.0)</f>
        <v>1</v>
      </c>
      <c r="I1109" s="71">
        <f>IFERROR(__xludf.DUMMYFUNCTION("""COMPUTED_VALUE"""),1.0)</f>
        <v>1</v>
      </c>
      <c r="J1109" s="22" t="str">
        <f>IFERROR(__xludf.DUMMYFUNCTION("""COMPUTED_VALUE"""),"")</f>
        <v/>
      </c>
      <c r="K1109" s="22"/>
      <c r="L1109" s="22"/>
      <c r="M1109" s="22"/>
      <c r="N1109" s="22"/>
      <c r="O1109" s="73"/>
      <c r="P1109" s="8"/>
      <c r="Q1109" s="69"/>
      <c r="R1109" s="69"/>
      <c r="S1109" s="8"/>
      <c r="T1109" s="69"/>
      <c r="U1109" s="8"/>
      <c r="V1109" s="69"/>
      <c r="W1109" s="74"/>
      <c r="X1109" s="69"/>
    </row>
    <row r="1110">
      <c r="A1110" s="30" t="str">
        <f>IFERROR(__xludf.DUMMYFUNCTION("""COMPUTED_VALUE"""),"89750")</f>
        <v>89750</v>
      </c>
      <c r="B1110" s="86">
        <f>IFERROR(__xludf.DUMMYFUNCTION("""COMPUTED_VALUE"""),44601.0)</f>
        <v>44601</v>
      </c>
      <c r="C1110" s="64" t="str">
        <f>IFERROR(__xludf.DUMMYFUNCTION("""COMPUTED_VALUE"""),"Stock")</f>
        <v>Stock</v>
      </c>
      <c r="D1110" s="90" t="str">
        <f>IFERROR(__xludf.DUMMYFUNCTION("""COMPUTED_VALUE"""),"3690.HK")</f>
        <v>3690.HK</v>
      </c>
      <c r="E1110" s="5" t="str">
        <f>IFERROR(__xludf.DUMMYFUNCTION("""COMPUTED_VALUE"""),"HKD")</f>
        <v>HKD</v>
      </c>
      <c r="F1110" s="69">
        <f>IFERROR(__xludf.DUMMYFUNCTION("""COMPUTED_VALUE"""),500.0)</f>
        <v>500</v>
      </c>
      <c r="G1110" s="70">
        <f>IFERROR(__xludf.DUMMYFUNCTION("""COMPUTED_VALUE"""),1.0)</f>
        <v>1</v>
      </c>
      <c r="H1110" s="71">
        <f>IFERROR(__xludf.DUMMYFUNCTION("""COMPUTED_VALUE"""),229.2)</f>
        <v>229.2</v>
      </c>
      <c r="I1110" s="71">
        <f>IFERROR(__xludf.DUMMYFUNCTION("""COMPUTED_VALUE"""),154.1)</f>
        <v>154.1</v>
      </c>
      <c r="J1110" s="88" t="str">
        <f>IFERROR(__xludf.DUMMYFUNCTION("""COMPUTED_VALUE"""),"Goto link: 3690.HK")</f>
        <v>Goto link: 3690.HK</v>
      </c>
      <c r="K1110" s="22"/>
      <c r="L1110" s="22"/>
      <c r="M1110" s="22"/>
      <c r="N1110" s="22"/>
      <c r="O1110" s="73"/>
      <c r="P1110" s="8"/>
      <c r="Q1110" s="69"/>
      <c r="R1110" s="69"/>
      <c r="S1110" s="8"/>
      <c r="T1110" s="69"/>
      <c r="U1110" s="8"/>
      <c r="V1110" s="69"/>
      <c r="W1110" s="74"/>
      <c r="X1110" s="69"/>
    </row>
    <row r="1111">
      <c r="A1111" s="30" t="str">
        <f>IFERROR(__xludf.DUMMYFUNCTION("""COMPUTED_VALUE"""),"89750")</f>
        <v>89750</v>
      </c>
      <c r="B1111" s="86">
        <f>IFERROR(__xludf.DUMMYFUNCTION("""COMPUTED_VALUE"""),44601.0)</f>
        <v>44601</v>
      </c>
      <c r="C1111" s="64" t="str">
        <f>IFERROR(__xludf.DUMMYFUNCTION("""COMPUTED_VALUE"""),"Stock")</f>
        <v>Stock</v>
      </c>
      <c r="D1111" s="90" t="str">
        <f>IFERROR(__xludf.DUMMYFUNCTION("""COMPUTED_VALUE"""),"9698.HK")</f>
        <v>9698.HK</v>
      </c>
      <c r="E1111" s="5" t="str">
        <f>IFERROR(__xludf.DUMMYFUNCTION("""COMPUTED_VALUE"""),"HKD")</f>
        <v>HKD</v>
      </c>
      <c r="F1111" s="69">
        <f>IFERROR(__xludf.DUMMYFUNCTION("""COMPUTED_VALUE"""),0.0)</f>
        <v>0</v>
      </c>
      <c r="G1111" s="70">
        <f>IFERROR(__xludf.DUMMYFUNCTION("""COMPUTED_VALUE"""),1.0)</f>
        <v>1</v>
      </c>
      <c r="H1111" s="71">
        <f>IFERROR(__xludf.DUMMYFUNCTION("""COMPUTED_VALUE"""),0.0)</f>
        <v>0</v>
      </c>
      <c r="I1111" s="71">
        <f>IFERROR(__xludf.DUMMYFUNCTION("""COMPUTED_VALUE"""),35.6)</f>
        <v>35.6</v>
      </c>
      <c r="J1111" s="88" t="str">
        <f>IFERROR(__xludf.DUMMYFUNCTION("""COMPUTED_VALUE"""),"Goto link: 9698.HK")</f>
        <v>Goto link: 9698.HK</v>
      </c>
      <c r="K1111" s="22"/>
      <c r="L1111" s="22"/>
      <c r="M1111" s="22"/>
      <c r="N1111" s="22"/>
      <c r="O1111" s="73"/>
      <c r="P1111" s="8"/>
      <c r="Q1111" s="69"/>
      <c r="R1111" s="69"/>
      <c r="S1111" s="8"/>
      <c r="T1111" s="69"/>
      <c r="U1111" s="8"/>
      <c r="V1111" s="69"/>
      <c r="W1111" s="74"/>
      <c r="X1111" s="69"/>
    </row>
    <row r="1112">
      <c r="A1112" s="30" t="str">
        <f>IFERROR(__xludf.DUMMYFUNCTION("""COMPUTED_VALUE"""),"89750")</f>
        <v>89750</v>
      </c>
      <c r="B1112" s="86">
        <f>IFERROR(__xludf.DUMMYFUNCTION("""COMPUTED_VALUE"""),44601.0)</f>
        <v>44601</v>
      </c>
      <c r="C1112" s="64" t="str">
        <f>IFERROR(__xludf.DUMMYFUNCTION("""COMPUTED_VALUE"""),"Stock")</f>
        <v>Stock</v>
      </c>
      <c r="D1112" s="90" t="str">
        <f>IFERROR(__xludf.DUMMYFUNCTION("""COMPUTED_VALUE"""),"9698.HK")</f>
        <v>9698.HK</v>
      </c>
      <c r="E1112" s="5" t="str">
        <f>IFERROR(__xludf.DUMMYFUNCTION("""COMPUTED_VALUE"""),"HKD")</f>
        <v>HKD</v>
      </c>
      <c r="F1112" s="69">
        <f>IFERROR(__xludf.DUMMYFUNCTION("""COMPUTED_VALUE"""),10000.0)</f>
        <v>10000</v>
      </c>
      <c r="G1112" s="70">
        <f>IFERROR(__xludf.DUMMYFUNCTION("""COMPUTED_VALUE"""),1.0)</f>
        <v>1</v>
      </c>
      <c r="H1112" s="71">
        <f>IFERROR(__xludf.DUMMYFUNCTION("""COMPUTED_VALUE"""),38.75)</f>
        <v>38.75</v>
      </c>
      <c r="I1112" s="71">
        <f>IFERROR(__xludf.DUMMYFUNCTION("""COMPUTED_VALUE"""),35.6)</f>
        <v>35.6</v>
      </c>
      <c r="J1112" s="88" t="str">
        <f>IFERROR(__xludf.DUMMYFUNCTION("""COMPUTED_VALUE"""),"Goto link: 9698.HK")</f>
        <v>Goto link: 9698.HK</v>
      </c>
      <c r="K1112" s="22"/>
      <c r="L1112" s="22"/>
      <c r="M1112" s="22"/>
      <c r="N1112" s="22"/>
      <c r="O1112" s="73"/>
      <c r="P1112" s="8"/>
      <c r="Q1112" s="69"/>
      <c r="R1112" s="69"/>
      <c r="S1112" s="8"/>
      <c r="T1112" s="69"/>
      <c r="U1112" s="8"/>
      <c r="V1112" s="69"/>
      <c r="W1112" s="74"/>
      <c r="X1112" s="69"/>
    </row>
    <row r="1113">
      <c r="A1113" s="30" t="str">
        <f>IFERROR(__xludf.DUMMYFUNCTION("""COMPUTED_VALUE"""),"89750")</f>
        <v>89750</v>
      </c>
      <c r="B1113" s="86">
        <f>IFERROR(__xludf.DUMMYFUNCTION("""COMPUTED_VALUE"""),44602.0)</f>
        <v>44602</v>
      </c>
      <c r="C1113" s="64" t="str">
        <f>IFERROR(__xludf.DUMMYFUNCTION("""COMPUTED_VALUE"""),"Stock")</f>
        <v>Stock</v>
      </c>
      <c r="D1113" s="90" t="str">
        <f>IFERROR(__xludf.DUMMYFUNCTION("""COMPUTED_VALUE"""),"3690.HK")</f>
        <v>3690.HK</v>
      </c>
      <c r="E1113" s="5" t="str">
        <f>IFERROR(__xludf.DUMMYFUNCTION("""COMPUTED_VALUE"""),"HKD")</f>
        <v>HKD</v>
      </c>
      <c r="F1113" s="69">
        <f>IFERROR(__xludf.DUMMYFUNCTION("""COMPUTED_VALUE"""),-500.0)</f>
        <v>-500</v>
      </c>
      <c r="G1113" s="70">
        <f>IFERROR(__xludf.DUMMYFUNCTION("""COMPUTED_VALUE"""),1.0)</f>
        <v>1</v>
      </c>
      <c r="H1113" s="71">
        <f>IFERROR(__xludf.DUMMYFUNCTION("""COMPUTED_VALUE"""),233.0)</f>
        <v>233</v>
      </c>
      <c r="I1113" s="71">
        <f>IFERROR(__xludf.DUMMYFUNCTION("""COMPUTED_VALUE"""),154.1)</f>
        <v>154.1</v>
      </c>
      <c r="J1113" s="88" t="str">
        <f>IFERROR(__xludf.DUMMYFUNCTION("""COMPUTED_VALUE"""),"Goto link: 3690.HK")</f>
        <v>Goto link: 3690.HK</v>
      </c>
      <c r="K1113" s="22"/>
      <c r="L1113" s="22"/>
      <c r="M1113" s="22"/>
      <c r="N1113" s="22"/>
      <c r="O1113" s="73"/>
      <c r="P1113" s="8"/>
      <c r="Q1113" s="69"/>
      <c r="R1113" s="69"/>
      <c r="S1113" s="8"/>
      <c r="T1113" s="69"/>
      <c r="U1113" s="8"/>
      <c r="V1113" s="69"/>
      <c r="W1113" s="74"/>
      <c r="X1113" s="69"/>
    </row>
    <row r="1114">
      <c r="A1114" s="30" t="str">
        <f>IFERROR(__xludf.DUMMYFUNCTION("""COMPUTED_VALUE"""),"89750")</f>
        <v>89750</v>
      </c>
      <c r="B1114" s="86">
        <f>IFERROR(__xludf.DUMMYFUNCTION("""COMPUTED_VALUE"""),44603.0)</f>
        <v>44603</v>
      </c>
      <c r="C1114" s="64" t="str">
        <f>IFERROR(__xludf.DUMMYFUNCTION("""COMPUTED_VALUE"""),"Stock")</f>
        <v>Stock</v>
      </c>
      <c r="D1114" s="90" t="str">
        <f>IFERROR(__xludf.DUMMYFUNCTION("""COMPUTED_VALUE"""),"2269.HK")</f>
        <v>2269.HK</v>
      </c>
      <c r="E1114" s="5" t="str">
        <f>IFERROR(__xludf.DUMMYFUNCTION("""COMPUTED_VALUE"""),"HKD")</f>
        <v>HKD</v>
      </c>
      <c r="F1114" s="69">
        <f>IFERROR(__xludf.DUMMYFUNCTION("""COMPUTED_VALUE"""),0.0)</f>
        <v>0</v>
      </c>
      <c r="G1114" s="70">
        <f>IFERROR(__xludf.DUMMYFUNCTION("""COMPUTED_VALUE"""),1.0)</f>
        <v>1</v>
      </c>
      <c r="H1114" s="71">
        <f>IFERROR(__xludf.DUMMYFUNCTION("""COMPUTED_VALUE"""),0.0)</f>
        <v>0</v>
      </c>
      <c r="I1114" s="71">
        <f>IFERROR(__xludf.DUMMYFUNCTION("""COMPUTED_VALUE"""),61.4)</f>
        <v>61.4</v>
      </c>
      <c r="J1114" s="88" t="str">
        <f>IFERROR(__xludf.DUMMYFUNCTION("""COMPUTED_VALUE"""),"Goto link: 2269.HK")</f>
        <v>Goto link: 2269.HK</v>
      </c>
      <c r="K1114" s="22"/>
      <c r="L1114" s="22"/>
      <c r="M1114" s="22"/>
      <c r="N1114" s="22"/>
      <c r="O1114" s="73"/>
      <c r="P1114" s="8"/>
      <c r="Q1114" s="69"/>
      <c r="R1114" s="69"/>
      <c r="S1114" s="8"/>
      <c r="T1114" s="69"/>
      <c r="U1114" s="8"/>
      <c r="V1114" s="69"/>
      <c r="W1114" s="74"/>
      <c r="X1114" s="69"/>
    </row>
    <row r="1115">
      <c r="A1115" s="30" t="str">
        <f>IFERROR(__xludf.DUMMYFUNCTION("""COMPUTED_VALUE"""),"89750")</f>
        <v>89750</v>
      </c>
      <c r="B1115" s="86">
        <f>IFERROR(__xludf.DUMMYFUNCTION("""COMPUTED_VALUE"""),44607.0)</f>
        <v>44607</v>
      </c>
      <c r="C1115" s="64" t="str">
        <f>IFERROR(__xludf.DUMMYFUNCTION("""COMPUTED_VALUE"""),"Stock")</f>
        <v>Stock</v>
      </c>
      <c r="D1115" s="87" t="str">
        <f>IFERROR(__xludf.DUMMYFUNCTION("""COMPUTED_VALUE"""),"UVXY")</f>
        <v>UVXY</v>
      </c>
      <c r="E1115" s="5" t="str">
        <f>IFERROR(__xludf.DUMMYFUNCTION("""COMPUTED_VALUE"""),"USD")</f>
        <v>USD</v>
      </c>
      <c r="F1115" s="69">
        <f>IFERROR(__xludf.DUMMYFUNCTION("""COMPUTED_VALUE"""),500.0)</f>
        <v>500</v>
      </c>
      <c r="G1115" s="70">
        <f>IFERROR(__xludf.DUMMYFUNCTION("""COMPUTED_VALUE"""),7.83915)</f>
        <v>7.83915</v>
      </c>
      <c r="H1115" s="71">
        <f>IFERROR(__xludf.DUMMYFUNCTION("""COMPUTED_VALUE"""),14.89)</f>
        <v>14.89</v>
      </c>
      <c r="I1115" s="71">
        <f>IFERROR(__xludf.DUMMYFUNCTION("""COMPUTED_VALUE"""),12.93)</f>
        <v>12.93</v>
      </c>
      <c r="J1115" s="88" t="str">
        <f>IFERROR(__xludf.DUMMYFUNCTION("""COMPUTED_VALUE"""),"Goto link: UVXY")</f>
        <v>Goto link: UVXY</v>
      </c>
      <c r="K1115" s="22"/>
      <c r="L1115" s="22"/>
      <c r="M1115" s="22"/>
      <c r="N1115" s="22"/>
      <c r="O1115" s="73"/>
      <c r="P1115" s="8"/>
      <c r="Q1115" s="69"/>
      <c r="R1115" s="69"/>
      <c r="S1115" s="8"/>
      <c r="T1115" s="69"/>
      <c r="U1115" s="8"/>
      <c r="V1115" s="69"/>
      <c r="W1115" s="74"/>
      <c r="X1115" s="69"/>
    </row>
    <row r="1116">
      <c r="A1116" s="30" t="str">
        <f>IFERROR(__xludf.DUMMYFUNCTION("""COMPUTED_VALUE"""),"89750")</f>
        <v>89750</v>
      </c>
      <c r="B1116" s="86">
        <f>IFERROR(__xludf.DUMMYFUNCTION("""COMPUTED_VALUE"""),44608.0)</f>
        <v>44608</v>
      </c>
      <c r="C1116" s="64" t="str">
        <f>IFERROR(__xludf.DUMMYFUNCTION("""COMPUTED_VALUE"""),"Stock")</f>
        <v>Stock</v>
      </c>
      <c r="D1116" s="90" t="str">
        <f>IFERROR(__xludf.DUMMYFUNCTION("""COMPUTED_VALUE"""),"9698.HK")</f>
        <v>9698.HK</v>
      </c>
      <c r="E1116" s="5" t="str">
        <f>IFERROR(__xludf.DUMMYFUNCTION("""COMPUTED_VALUE"""),"HKD")</f>
        <v>HKD</v>
      </c>
      <c r="F1116" s="69">
        <f>IFERROR(__xludf.DUMMYFUNCTION("""COMPUTED_VALUE"""),-9500.0)</f>
        <v>-9500</v>
      </c>
      <c r="G1116" s="70">
        <f>IFERROR(__xludf.DUMMYFUNCTION("""COMPUTED_VALUE"""),1.0)</f>
        <v>1</v>
      </c>
      <c r="H1116" s="71">
        <f>IFERROR(__xludf.DUMMYFUNCTION("""COMPUTED_VALUE"""),44.5)</f>
        <v>44.5</v>
      </c>
      <c r="I1116" s="71">
        <f>IFERROR(__xludf.DUMMYFUNCTION("""COMPUTED_VALUE"""),35.6)</f>
        <v>35.6</v>
      </c>
      <c r="J1116" s="88" t="str">
        <f>IFERROR(__xludf.DUMMYFUNCTION("""COMPUTED_VALUE"""),"Goto link: 9698.HK")</f>
        <v>Goto link: 9698.HK</v>
      </c>
      <c r="K1116" s="22"/>
      <c r="L1116" s="22"/>
      <c r="M1116" s="22"/>
      <c r="N1116" s="22"/>
      <c r="O1116" s="73"/>
      <c r="P1116" s="8"/>
      <c r="Q1116" s="69"/>
      <c r="R1116" s="69"/>
      <c r="S1116" s="8"/>
      <c r="T1116" s="69"/>
      <c r="U1116" s="8"/>
      <c r="V1116" s="69"/>
      <c r="W1116" s="74"/>
      <c r="X1116" s="69"/>
    </row>
    <row r="1117">
      <c r="A1117" s="30" t="str">
        <f>IFERROR(__xludf.DUMMYFUNCTION("""COMPUTED_VALUE"""),"89750")</f>
        <v>89750</v>
      </c>
      <c r="B1117" s="86">
        <f>IFERROR(__xludf.DUMMYFUNCTION("""COMPUTED_VALUE"""),44609.0)</f>
        <v>44609</v>
      </c>
      <c r="C1117" s="64" t="str">
        <f>IFERROR(__xludf.DUMMYFUNCTION("""COMPUTED_VALUE"""),"Stock")</f>
        <v>Stock</v>
      </c>
      <c r="D1117" s="90" t="str">
        <f>IFERROR(__xludf.DUMMYFUNCTION("""COMPUTED_VALUE"""),"6969.HK")</f>
        <v>6969.HK</v>
      </c>
      <c r="E1117" s="5" t="str">
        <f>IFERROR(__xludf.DUMMYFUNCTION("""COMPUTED_VALUE"""),"HKD")</f>
        <v>HKD</v>
      </c>
      <c r="F1117" s="69">
        <f>IFERROR(__xludf.DUMMYFUNCTION("""COMPUTED_VALUE"""),1000.0)</f>
        <v>1000</v>
      </c>
      <c r="G1117" s="70">
        <f>IFERROR(__xludf.DUMMYFUNCTION("""COMPUTED_VALUE"""),1.0)</f>
        <v>1</v>
      </c>
      <c r="H1117" s="71">
        <f>IFERROR(__xludf.DUMMYFUNCTION("""COMPUTED_VALUE"""),36.0)</f>
        <v>36</v>
      </c>
      <c r="I1117" s="71">
        <f>IFERROR(__xludf.DUMMYFUNCTION("""COMPUTED_VALUE"""),16.64)</f>
        <v>16.64</v>
      </c>
      <c r="J1117" s="88" t="str">
        <f>IFERROR(__xludf.DUMMYFUNCTION("""COMPUTED_VALUE"""),"Goto link: 6969.HK")</f>
        <v>Goto link: 6969.HK</v>
      </c>
      <c r="K1117" s="22"/>
      <c r="L1117" s="22"/>
      <c r="M1117" s="22"/>
      <c r="N1117" s="22"/>
      <c r="O1117" s="73"/>
      <c r="P1117" s="8"/>
      <c r="Q1117" s="69"/>
      <c r="R1117" s="69"/>
      <c r="S1117" s="8"/>
      <c r="T1117" s="69"/>
      <c r="U1117" s="8"/>
      <c r="V1117" s="69"/>
      <c r="W1117" s="74"/>
      <c r="X1117" s="69"/>
    </row>
    <row r="1118">
      <c r="A1118" s="30" t="str">
        <f>IFERROR(__xludf.DUMMYFUNCTION("""COMPUTED_VALUE"""),"89750")</f>
        <v>89750</v>
      </c>
      <c r="B1118" s="86">
        <f>IFERROR(__xludf.DUMMYFUNCTION("""COMPUTED_VALUE"""),44610.0)</f>
        <v>44610</v>
      </c>
      <c r="C1118" s="64" t="str">
        <f>IFERROR(__xludf.DUMMYFUNCTION("""COMPUTED_VALUE"""),"Stock")</f>
        <v>Stock</v>
      </c>
      <c r="D1118" s="90" t="str">
        <f>IFERROR(__xludf.DUMMYFUNCTION("""COMPUTED_VALUE"""),"6969.HK")</f>
        <v>6969.HK</v>
      </c>
      <c r="E1118" s="5" t="str">
        <f>IFERROR(__xludf.DUMMYFUNCTION("""COMPUTED_VALUE"""),"HKD")</f>
        <v>HKD</v>
      </c>
      <c r="F1118" s="69">
        <f>IFERROR(__xludf.DUMMYFUNCTION("""COMPUTED_VALUE"""),1000.0)</f>
        <v>1000</v>
      </c>
      <c r="G1118" s="70">
        <f>IFERROR(__xludf.DUMMYFUNCTION("""COMPUTED_VALUE"""),1.0)</f>
        <v>1</v>
      </c>
      <c r="H1118" s="71">
        <f>IFERROR(__xludf.DUMMYFUNCTION("""COMPUTED_VALUE"""),35.5)</f>
        <v>35.5</v>
      </c>
      <c r="I1118" s="71">
        <f>IFERROR(__xludf.DUMMYFUNCTION("""COMPUTED_VALUE"""),16.64)</f>
        <v>16.64</v>
      </c>
      <c r="J1118" s="88" t="str">
        <f>IFERROR(__xludf.DUMMYFUNCTION("""COMPUTED_VALUE"""),"Goto link: 6969.HK")</f>
        <v>Goto link: 6969.HK</v>
      </c>
      <c r="K1118" s="22"/>
      <c r="L1118" s="22"/>
      <c r="M1118" s="22"/>
      <c r="N1118" s="22"/>
      <c r="O1118" s="73"/>
      <c r="P1118" s="8"/>
      <c r="Q1118" s="69"/>
      <c r="R1118" s="69"/>
      <c r="S1118" s="8"/>
      <c r="T1118" s="69"/>
      <c r="U1118" s="8"/>
      <c r="V1118" s="69"/>
      <c r="W1118" s="74"/>
      <c r="X1118" s="69"/>
    </row>
    <row r="1119">
      <c r="A1119" s="30" t="str">
        <f>IFERROR(__xludf.DUMMYFUNCTION("""COMPUTED_VALUE"""),"89750")</f>
        <v>89750</v>
      </c>
      <c r="B1119" s="86">
        <f>IFERROR(__xludf.DUMMYFUNCTION("""COMPUTED_VALUE"""),44610.0)</f>
        <v>44610</v>
      </c>
      <c r="C1119" s="64" t="str">
        <f>IFERROR(__xludf.DUMMYFUNCTION("""COMPUTED_VALUE"""),"Stock")</f>
        <v>Stock</v>
      </c>
      <c r="D1119" s="87" t="str">
        <f>IFERROR(__xludf.DUMMYFUNCTION("""COMPUTED_VALUE"""),"SOFI")</f>
        <v>SOFI</v>
      </c>
      <c r="E1119" s="5" t="str">
        <f>IFERROR(__xludf.DUMMYFUNCTION("""COMPUTED_VALUE"""),"USD")</f>
        <v>USD</v>
      </c>
      <c r="F1119" s="69">
        <f>IFERROR(__xludf.DUMMYFUNCTION("""COMPUTED_VALUE"""),50.0)</f>
        <v>50</v>
      </c>
      <c r="G1119" s="70">
        <f>IFERROR(__xludf.DUMMYFUNCTION("""COMPUTED_VALUE"""),7.83915)</f>
        <v>7.83915</v>
      </c>
      <c r="H1119" s="71">
        <f>IFERROR(__xludf.DUMMYFUNCTION("""COMPUTED_VALUE"""),11.39)</f>
        <v>11.39</v>
      </c>
      <c r="I1119" s="71">
        <f>IFERROR(__xludf.DUMMYFUNCTION("""COMPUTED_VALUE"""),7.61)</f>
        <v>7.61</v>
      </c>
      <c r="J1119" s="88" t="str">
        <f>IFERROR(__xludf.DUMMYFUNCTION("""COMPUTED_VALUE"""),"Goto link: SOFI")</f>
        <v>Goto link: SOFI</v>
      </c>
      <c r="K1119" s="22"/>
      <c r="L1119" s="22"/>
      <c r="M1119" s="22"/>
      <c r="N1119" s="22"/>
      <c r="O1119" s="73"/>
      <c r="P1119" s="8"/>
      <c r="Q1119" s="69"/>
      <c r="R1119" s="69"/>
      <c r="S1119" s="8"/>
      <c r="T1119" s="69"/>
      <c r="U1119" s="8"/>
      <c r="V1119" s="69"/>
      <c r="W1119" s="74"/>
      <c r="X1119" s="69"/>
    </row>
    <row r="1120">
      <c r="A1120" s="30" t="str">
        <f>IFERROR(__xludf.DUMMYFUNCTION("""COMPUTED_VALUE"""),"89750")</f>
        <v>89750</v>
      </c>
      <c r="B1120" s="86">
        <f>IFERROR(__xludf.DUMMYFUNCTION("""COMPUTED_VALUE"""),44610.0)</f>
        <v>44610</v>
      </c>
      <c r="C1120" s="64" t="str">
        <f>IFERROR(__xludf.DUMMYFUNCTION("""COMPUTED_VALUE"""),"Stock")</f>
        <v>Stock</v>
      </c>
      <c r="D1120" s="87" t="str">
        <f>IFERROR(__xludf.DUMMYFUNCTION("""COMPUTED_VALUE"""),"SOXL")</f>
        <v>SOXL</v>
      </c>
      <c r="E1120" s="5" t="str">
        <f>IFERROR(__xludf.DUMMYFUNCTION("""COMPUTED_VALUE"""),"USD")</f>
        <v>USD</v>
      </c>
      <c r="F1120" s="69">
        <f>IFERROR(__xludf.DUMMYFUNCTION("""COMPUTED_VALUE"""),20.0)</f>
        <v>20</v>
      </c>
      <c r="G1120" s="70">
        <f>IFERROR(__xludf.DUMMYFUNCTION("""COMPUTED_VALUE"""),7.83915)</f>
        <v>7.83915</v>
      </c>
      <c r="H1120" s="71">
        <f>IFERROR(__xludf.DUMMYFUNCTION("""COMPUTED_VALUE"""),39.63)</f>
        <v>39.63</v>
      </c>
      <c r="I1120" s="71">
        <f>IFERROR(__xludf.DUMMYFUNCTION("""COMPUTED_VALUE"""),28.05)</f>
        <v>28.05</v>
      </c>
      <c r="J1120" s="88" t="str">
        <f>IFERROR(__xludf.DUMMYFUNCTION("""COMPUTED_VALUE"""),"Goto link: SOXL")</f>
        <v>Goto link: SOXL</v>
      </c>
      <c r="K1120" s="22"/>
      <c r="L1120" s="22"/>
      <c r="M1120" s="22"/>
      <c r="N1120" s="22"/>
      <c r="O1120" s="73"/>
      <c r="P1120" s="8"/>
      <c r="Q1120" s="69"/>
      <c r="R1120" s="69"/>
      <c r="S1120" s="8"/>
      <c r="T1120" s="69"/>
      <c r="U1120" s="8"/>
      <c r="V1120" s="69"/>
      <c r="W1120" s="74"/>
      <c r="X1120" s="69"/>
    </row>
    <row r="1121">
      <c r="A1121" s="30" t="str">
        <f>IFERROR(__xludf.DUMMYFUNCTION("""COMPUTED_VALUE"""),"89750")</f>
        <v>89750</v>
      </c>
      <c r="B1121" s="86">
        <f>IFERROR(__xludf.DUMMYFUNCTION("""COMPUTED_VALUE"""),44610.0)</f>
        <v>44610</v>
      </c>
      <c r="C1121" s="64" t="str">
        <f>IFERROR(__xludf.DUMMYFUNCTION("""COMPUTED_VALUE"""),"Stock")</f>
        <v>Stock</v>
      </c>
      <c r="D1121" s="87" t="str">
        <f>IFERROR(__xludf.DUMMYFUNCTION("""COMPUTED_VALUE"""),"UVXY")</f>
        <v>UVXY</v>
      </c>
      <c r="E1121" s="5" t="str">
        <f>IFERROR(__xludf.DUMMYFUNCTION("""COMPUTED_VALUE"""),"USD")</f>
        <v>USD</v>
      </c>
      <c r="F1121" s="69">
        <f>IFERROR(__xludf.DUMMYFUNCTION("""COMPUTED_VALUE"""),-450.0)</f>
        <v>-450</v>
      </c>
      <c r="G1121" s="70">
        <f>IFERROR(__xludf.DUMMYFUNCTION("""COMPUTED_VALUE"""),7.83915)</f>
        <v>7.83915</v>
      </c>
      <c r="H1121" s="71">
        <f>IFERROR(__xludf.DUMMYFUNCTION("""COMPUTED_VALUE"""),17.005)</f>
        <v>17.005</v>
      </c>
      <c r="I1121" s="71">
        <f>IFERROR(__xludf.DUMMYFUNCTION("""COMPUTED_VALUE"""),12.93)</f>
        <v>12.93</v>
      </c>
      <c r="J1121" s="88" t="str">
        <f>IFERROR(__xludf.DUMMYFUNCTION("""COMPUTED_VALUE"""),"Goto link: UVXY")</f>
        <v>Goto link: UVXY</v>
      </c>
      <c r="K1121" s="22"/>
      <c r="L1121" s="22"/>
      <c r="M1121" s="22"/>
      <c r="N1121" s="22"/>
      <c r="O1121" s="73"/>
      <c r="P1121" s="8"/>
      <c r="Q1121" s="69"/>
      <c r="R1121" s="69"/>
      <c r="S1121" s="8"/>
      <c r="T1121" s="69"/>
      <c r="U1121" s="8"/>
      <c r="V1121" s="69"/>
      <c r="W1121" s="74"/>
      <c r="X1121" s="69"/>
    </row>
    <row r="1122">
      <c r="A1122" s="30" t="str">
        <f>IFERROR(__xludf.DUMMYFUNCTION("""COMPUTED_VALUE"""),"89750")</f>
        <v>89750</v>
      </c>
      <c r="B1122" s="86">
        <f>IFERROR(__xludf.DUMMYFUNCTION("""COMPUTED_VALUE"""),44613.0)</f>
        <v>44613</v>
      </c>
      <c r="C1122" s="64" t="str">
        <f>IFERROR(__xludf.DUMMYFUNCTION("""COMPUTED_VALUE"""),"Stock")</f>
        <v>Stock</v>
      </c>
      <c r="D1122" s="90" t="str">
        <f>IFERROR(__xludf.DUMMYFUNCTION("""COMPUTED_VALUE"""),"9698.HK")</f>
        <v>9698.HK</v>
      </c>
      <c r="E1122" s="5" t="str">
        <f>IFERROR(__xludf.DUMMYFUNCTION("""COMPUTED_VALUE"""),"HKD")</f>
        <v>HKD</v>
      </c>
      <c r="F1122" s="69">
        <f>IFERROR(__xludf.DUMMYFUNCTION("""COMPUTED_VALUE"""),1500.0)</f>
        <v>1500</v>
      </c>
      <c r="G1122" s="70">
        <f>IFERROR(__xludf.DUMMYFUNCTION("""COMPUTED_VALUE"""),1.0)</f>
        <v>1</v>
      </c>
      <c r="H1122" s="71">
        <f>IFERROR(__xludf.DUMMYFUNCTION("""COMPUTED_VALUE"""),42.25)</f>
        <v>42.25</v>
      </c>
      <c r="I1122" s="71">
        <f>IFERROR(__xludf.DUMMYFUNCTION("""COMPUTED_VALUE"""),35.6)</f>
        <v>35.6</v>
      </c>
      <c r="J1122" s="88" t="str">
        <f>IFERROR(__xludf.DUMMYFUNCTION("""COMPUTED_VALUE"""),"Goto link: 9698.HK")</f>
        <v>Goto link: 9698.HK</v>
      </c>
      <c r="K1122" s="22"/>
      <c r="L1122" s="22"/>
      <c r="M1122" s="22"/>
      <c r="N1122" s="22"/>
      <c r="O1122" s="73"/>
      <c r="P1122" s="8"/>
      <c r="Q1122" s="69"/>
      <c r="R1122" s="69"/>
      <c r="S1122" s="8"/>
      <c r="T1122" s="69"/>
      <c r="U1122" s="8"/>
      <c r="V1122" s="69"/>
      <c r="W1122" s="74"/>
      <c r="X1122" s="69"/>
    </row>
    <row r="1123">
      <c r="A1123" s="30" t="str">
        <f>IFERROR(__xludf.DUMMYFUNCTION("""COMPUTED_VALUE"""),"89750")</f>
        <v>89750</v>
      </c>
      <c r="B1123" s="86">
        <f>IFERROR(__xludf.DUMMYFUNCTION("""COMPUTED_VALUE"""),44614.0)</f>
        <v>44614</v>
      </c>
      <c r="C1123" s="64" t="str">
        <f>IFERROR(__xludf.DUMMYFUNCTION("""COMPUTED_VALUE"""),"Option")</f>
        <v>Option</v>
      </c>
      <c r="D1123" s="87" t="str">
        <f>IFERROR(__xludf.DUMMYFUNCTION("""COMPUTED_VALUE"""),"FUTU220225C00041500")</f>
        <v>FUTU220225C00041500</v>
      </c>
      <c r="E1123" s="5" t="str">
        <f>IFERROR(__xludf.DUMMYFUNCTION("""COMPUTED_VALUE"""),"USD")</f>
        <v>USD</v>
      </c>
      <c r="F1123" s="69">
        <f>IFERROR(__xludf.DUMMYFUNCTION("""COMPUTED_VALUE"""),0.0)</f>
        <v>0</v>
      </c>
      <c r="G1123" s="70">
        <f>IFERROR(__xludf.DUMMYFUNCTION("""COMPUTED_VALUE"""),7.83915)</f>
        <v>7.83915</v>
      </c>
      <c r="H1123" s="71">
        <f>IFERROR(__xludf.DUMMYFUNCTION("""COMPUTED_VALUE"""),0.0)</f>
        <v>0</v>
      </c>
      <c r="I1123" s="71">
        <f>IFERROR(__xludf.DUMMYFUNCTION("""COMPUTED_VALUE"""),0.0)</f>
        <v>0</v>
      </c>
      <c r="J1123" s="22" t="str">
        <f>IFERROR(__xludf.DUMMYFUNCTION("""COMPUTED_VALUE"""),"")</f>
        <v/>
      </c>
      <c r="K1123" s="22"/>
      <c r="L1123" s="22"/>
      <c r="M1123" s="22"/>
      <c r="N1123" s="22"/>
      <c r="O1123" s="73"/>
      <c r="P1123" s="8"/>
      <c r="Q1123" s="69"/>
      <c r="R1123" s="69"/>
      <c r="S1123" s="8"/>
      <c r="T1123" s="69"/>
      <c r="U1123" s="8"/>
      <c r="V1123" s="69"/>
      <c r="W1123" s="74"/>
      <c r="X1123" s="69"/>
    </row>
    <row r="1124">
      <c r="A1124" s="30" t="str">
        <f>IFERROR(__xludf.DUMMYFUNCTION("""COMPUTED_VALUE"""),"89750")</f>
        <v>89750</v>
      </c>
      <c r="B1124" s="86">
        <f>IFERROR(__xludf.DUMMYFUNCTION("""COMPUTED_VALUE"""),44614.0)</f>
        <v>44614</v>
      </c>
      <c r="C1124" s="64" t="str">
        <f>IFERROR(__xludf.DUMMYFUNCTION("""COMPUTED_VALUE"""),"Stock")</f>
        <v>Stock</v>
      </c>
      <c r="D1124" s="87" t="str">
        <f>IFERROR(__xludf.DUMMYFUNCTION("""COMPUTED_VALUE"""),"NU")</f>
        <v>NU</v>
      </c>
      <c r="E1124" s="5" t="str">
        <f>IFERROR(__xludf.DUMMYFUNCTION("""COMPUTED_VALUE"""),"USD")</f>
        <v>USD</v>
      </c>
      <c r="F1124" s="69">
        <f>IFERROR(__xludf.DUMMYFUNCTION("""COMPUTED_VALUE"""),20.0)</f>
        <v>20</v>
      </c>
      <c r="G1124" s="70">
        <f>IFERROR(__xludf.DUMMYFUNCTION("""COMPUTED_VALUE"""),7.83915)</f>
        <v>7.83915</v>
      </c>
      <c r="H1124" s="71">
        <f>IFERROR(__xludf.DUMMYFUNCTION("""COMPUTED_VALUE"""),8.8)</f>
        <v>8.8</v>
      </c>
      <c r="I1124" s="71">
        <f>IFERROR(__xludf.DUMMYFUNCTION("""COMPUTED_VALUE"""),7.17)</f>
        <v>7.17</v>
      </c>
      <c r="J1124" s="88" t="str">
        <f>IFERROR(__xludf.DUMMYFUNCTION("""COMPUTED_VALUE"""),"Goto link: NU")</f>
        <v>Goto link: NU</v>
      </c>
      <c r="K1124" s="22"/>
      <c r="L1124" s="22"/>
      <c r="M1124" s="22"/>
      <c r="N1124" s="22"/>
      <c r="O1124" s="73"/>
      <c r="P1124" s="8"/>
      <c r="Q1124" s="69"/>
      <c r="R1124" s="69"/>
      <c r="S1124" s="8"/>
      <c r="T1124" s="69"/>
      <c r="U1124" s="8"/>
      <c r="V1124" s="69"/>
      <c r="W1124" s="74"/>
      <c r="X1124" s="69"/>
    </row>
    <row r="1125">
      <c r="A1125" s="30" t="str">
        <f>IFERROR(__xludf.DUMMYFUNCTION("""COMPUTED_VALUE"""),"89750")</f>
        <v>89750</v>
      </c>
      <c r="B1125" s="86">
        <f>IFERROR(__xludf.DUMMYFUNCTION("""COMPUTED_VALUE"""),44614.0)</f>
        <v>44614</v>
      </c>
      <c r="C1125" s="64" t="str">
        <f>IFERROR(__xludf.DUMMYFUNCTION("""COMPUTED_VALUE"""),"Stock")</f>
        <v>Stock</v>
      </c>
      <c r="D1125" s="87" t="str">
        <f>IFERROR(__xludf.DUMMYFUNCTION("""COMPUTED_VALUE"""),"SOFI")</f>
        <v>SOFI</v>
      </c>
      <c r="E1125" s="5" t="str">
        <f>IFERROR(__xludf.DUMMYFUNCTION("""COMPUTED_VALUE"""),"USD")</f>
        <v>USD</v>
      </c>
      <c r="F1125" s="69">
        <f>IFERROR(__xludf.DUMMYFUNCTION("""COMPUTED_VALUE"""),20.0)</f>
        <v>20</v>
      </c>
      <c r="G1125" s="70">
        <f>IFERROR(__xludf.DUMMYFUNCTION("""COMPUTED_VALUE"""),7.83915)</f>
        <v>7.83915</v>
      </c>
      <c r="H1125" s="71">
        <f>IFERROR(__xludf.DUMMYFUNCTION("""COMPUTED_VALUE"""),10.26)</f>
        <v>10.26</v>
      </c>
      <c r="I1125" s="71">
        <f>IFERROR(__xludf.DUMMYFUNCTION("""COMPUTED_VALUE"""),7.61)</f>
        <v>7.61</v>
      </c>
      <c r="J1125" s="88" t="str">
        <f>IFERROR(__xludf.DUMMYFUNCTION("""COMPUTED_VALUE"""),"Goto link: SOFI")</f>
        <v>Goto link: SOFI</v>
      </c>
      <c r="K1125" s="22"/>
      <c r="L1125" s="22"/>
      <c r="M1125" s="22"/>
      <c r="N1125" s="22"/>
      <c r="O1125" s="73"/>
      <c r="P1125" s="8"/>
      <c r="Q1125" s="69"/>
      <c r="R1125" s="69"/>
      <c r="S1125" s="8"/>
      <c r="T1125" s="69"/>
      <c r="U1125" s="8"/>
      <c r="V1125" s="69"/>
      <c r="W1125" s="74"/>
      <c r="X1125" s="69"/>
    </row>
    <row r="1126">
      <c r="A1126" s="30" t="str">
        <f>IFERROR(__xludf.DUMMYFUNCTION("""COMPUTED_VALUE"""),"89750")</f>
        <v>89750</v>
      </c>
      <c r="B1126" s="86">
        <f>IFERROR(__xludf.DUMMYFUNCTION("""COMPUTED_VALUE"""),44614.0)</f>
        <v>44614</v>
      </c>
      <c r="C1126" s="64" t="str">
        <f>IFERROR(__xludf.DUMMYFUNCTION("""COMPUTED_VALUE"""),"Stock")</f>
        <v>Stock</v>
      </c>
      <c r="D1126" s="87" t="str">
        <f>IFERROR(__xludf.DUMMYFUNCTION("""COMPUTED_VALUE"""),"TCEHY")</f>
        <v>TCEHY</v>
      </c>
      <c r="E1126" s="5" t="str">
        <f>IFERROR(__xludf.DUMMYFUNCTION("""COMPUTED_VALUE"""),"USD")</f>
        <v>USD</v>
      </c>
      <c r="F1126" s="69">
        <f>IFERROR(__xludf.DUMMYFUNCTION("""COMPUTED_VALUE"""),400.0)</f>
        <v>400</v>
      </c>
      <c r="G1126" s="70">
        <f>IFERROR(__xludf.DUMMYFUNCTION("""COMPUTED_VALUE"""),7.83915)</f>
        <v>7.83915</v>
      </c>
      <c r="H1126" s="71">
        <f>IFERROR(__xludf.DUMMYFUNCTION("""COMPUTED_VALUE"""),56.34)</f>
        <v>56.34</v>
      </c>
      <c r="I1126" s="71">
        <f>IFERROR(__xludf.DUMMYFUNCTION("""COMPUTED_VALUE"""),48.03)</f>
        <v>48.03</v>
      </c>
      <c r="J1126" s="88" t="str">
        <f>IFERROR(__xludf.DUMMYFUNCTION("""COMPUTED_VALUE"""),"Goto link: TCEHY")</f>
        <v>Goto link: TCEHY</v>
      </c>
      <c r="K1126" s="22"/>
      <c r="L1126" s="22"/>
      <c r="M1126" s="22"/>
      <c r="N1126" s="22"/>
      <c r="O1126" s="73"/>
      <c r="P1126" s="8"/>
      <c r="Q1126" s="69"/>
      <c r="R1126" s="69"/>
      <c r="S1126" s="8"/>
      <c r="T1126" s="69"/>
      <c r="U1126" s="8"/>
      <c r="V1126" s="69"/>
      <c r="W1126" s="74"/>
      <c r="X1126" s="69"/>
    </row>
    <row r="1127">
      <c r="A1127" s="30" t="str">
        <f>IFERROR(__xludf.DUMMYFUNCTION("""COMPUTED_VALUE"""),"89750")</f>
        <v>89750</v>
      </c>
      <c r="B1127" s="86">
        <f>IFERROR(__xludf.DUMMYFUNCTION("""COMPUTED_VALUE"""),44614.0)</f>
        <v>44614</v>
      </c>
      <c r="C1127" s="64" t="str">
        <f>IFERROR(__xludf.DUMMYFUNCTION("""COMPUTED_VALUE"""),"Stock")</f>
        <v>Stock</v>
      </c>
      <c r="D1127" s="87" t="str">
        <f>IFERROR(__xludf.DUMMYFUNCTION("""COMPUTED_VALUE"""),"UVXY")</f>
        <v>UVXY</v>
      </c>
      <c r="E1127" s="5" t="str">
        <f>IFERROR(__xludf.DUMMYFUNCTION("""COMPUTED_VALUE"""),"USD")</f>
        <v>USD</v>
      </c>
      <c r="F1127" s="69">
        <f>IFERROR(__xludf.DUMMYFUNCTION("""COMPUTED_VALUE"""),-50.0)</f>
        <v>-50</v>
      </c>
      <c r="G1127" s="70">
        <f>IFERROR(__xludf.DUMMYFUNCTION("""COMPUTED_VALUE"""),7.83915)</f>
        <v>7.83915</v>
      </c>
      <c r="H1127" s="71">
        <f>IFERROR(__xludf.DUMMYFUNCTION("""COMPUTED_VALUE"""),16.82)</f>
        <v>16.82</v>
      </c>
      <c r="I1127" s="71">
        <f>IFERROR(__xludf.DUMMYFUNCTION("""COMPUTED_VALUE"""),12.93)</f>
        <v>12.93</v>
      </c>
      <c r="J1127" s="88" t="str">
        <f>IFERROR(__xludf.DUMMYFUNCTION("""COMPUTED_VALUE"""),"Goto link: UVXY")</f>
        <v>Goto link: UVXY</v>
      </c>
      <c r="K1127" s="22"/>
      <c r="L1127" s="22"/>
      <c r="M1127" s="22"/>
      <c r="N1127" s="22"/>
      <c r="O1127" s="73"/>
      <c r="P1127" s="8"/>
      <c r="Q1127" s="69"/>
      <c r="R1127" s="69"/>
      <c r="S1127" s="8"/>
      <c r="T1127" s="69"/>
      <c r="U1127" s="8"/>
      <c r="V1127" s="69"/>
      <c r="W1127" s="74"/>
      <c r="X1127" s="69"/>
    </row>
    <row r="1128">
      <c r="A1128" s="30" t="str">
        <f>IFERROR(__xludf.DUMMYFUNCTION("""COMPUTED_VALUE"""),"89750")</f>
        <v>89750</v>
      </c>
      <c r="B1128" s="86">
        <f>IFERROR(__xludf.DUMMYFUNCTION("""COMPUTED_VALUE"""),44614.0)</f>
        <v>44614</v>
      </c>
      <c r="C1128" s="64" t="str">
        <f>IFERROR(__xludf.DUMMYFUNCTION("""COMPUTED_VALUE"""),"Stock")</f>
        <v>Stock</v>
      </c>
      <c r="D1128" s="87" t="str">
        <f>IFERROR(__xludf.DUMMYFUNCTION("""COMPUTED_VALUE"""),"YINN")</f>
        <v>YINN</v>
      </c>
      <c r="E1128" s="5" t="str">
        <f>IFERROR(__xludf.DUMMYFUNCTION("""COMPUTED_VALUE"""),"USD")</f>
        <v>USD</v>
      </c>
      <c r="F1128" s="69">
        <f>IFERROR(__xludf.DUMMYFUNCTION("""COMPUTED_VALUE"""),50.0)</f>
        <v>50</v>
      </c>
      <c r="G1128" s="70">
        <f>IFERROR(__xludf.DUMMYFUNCTION("""COMPUTED_VALUE"""),7.83915)</f>
        <v>7.83915</v>
      </c>
      <c r="H1128" s="71">
        <f>IFERROR(__xludf.DUMMYFUNCTION("""COMPUTED_VALUE"""),7.5)</f>
        <v>7.5</v>
      </c>
      <c r="I1128" s="71">
        <f>IFERROR(__xludf.DUMMYFUNCTION("""COMPUTED_VALUE"""),4.54)</f>
        <v>4.54</v>
      </c>
      <c r="J1128" s="88" t="str">
        <f>IFERROR(__xludf.DUMMYFUNCTION("""COMPUTED_VALUE"""),"Goto link: YINN")</f>
        <v>Goto link: YINN</v>
      </c>
      <c r="K1128" s="22"/>
      <c r="L1128" s="22"/>
      <c r="M1128" s="22"/>
      <c r="N1128" s="22"/>
      <c r="O1128" s="73"/>
      <c r="P1128" s="8"/>
      <c r="Q1128" s="69"/>
      <c r="R1128" s="69"/>
      <c r="S1128" s="8"/>
      <c r="T1128" s="69"/>
      <c r="U1128" s="8"/>
      <c r="V1128" s="69"/>
      <c r="W1128" s="74"/>
      <c r="X1128" s="69"/>
    </row>
    <row r="1129">
      <c r="A1129" s="30" t="str">
        <f>IFERROR(__xludf.DUMMYFUNCTION("""COMPUTED_VALUE"""),"89750")</f>
        <v>89750</v>
      </c>
      <c r="B1129" s="86">
        <f>IFERROR(__xludf.DUMMYFUNCTION("""COMPUTED_VALUE"""),44615.0)</f>
        <v>44615</v>
      </c>
      <c r="C1129" s="64" t="str">
        <f>IFERROR(__xludf.DUMMYFUNCTION("""COMPUTED_VALUE"""),"Option")</f>
        <v>Option</v>
      </c>
      <c r="D1129" s="87" t="str">
        <f>IFERROR(__xludf.DUMMYFUNCTION("""COMPUTED_VALUE"""),"FUTU220225C00041500")</f>
        <v>FUTU220225C00041500</v>
      </c>
      <c r="E1129" s="5" t="str">
        <f>IFERROR(__xludf.DUMMYFUNCTION("""COMPUTED_VALUE"""),"USD")</f>
        <v>USD</v>
      </c>
      <c r="F1129" s="69" t="str">
        <f>IFERROR(__xludf.DUMMYFUNCTION("""COMPUTED_VALUE"""),"")</f>
        <v/>
      </c>
      <c r="G1129" s="70">
        <f>IFERROR(__xludf.DUMMYFUNCTION("""COMPUTED_VALUE"""),7.83915)</f>
        <v>7.83915</v>
      </c>
      <c r="H1129" s="71">
        <f>IFERROR(__xludf.DUMMYFUNCTION("""COMPUTED_VALUE"""),0.49)</f>
        <v>0.49</v>
      </c>
      <c r="I1129" s="71">
        <f>IFERROR(__xludf.DUMMYFUNCTION("""COMPUTED_VALUE"""),0.0)</f>
        <v>0</v>
      </c>
      <c r="J1129" s="22" t="str">
        <f>IFERROR(__xludf.DUMMYFUNCTION("""COMPUTED_VALUE"""),"")</f>
        <v/>
      </c>
      <c r="K1129" s="22"/>
      <c r="L1129" s="22"/>
      <c r="M1129" s="22"/>
      <c r="N1129" s="22"/>
      <c r="O1129" s="73"/>
      <c r="P1129" s="8"/>
      <c r="Q1129" s="69"/>
      <c r="R1129" s="69"/>
      <c r="S1129" s="8"/>
      <c r="T1129" s="69"/>
      <c r="U1129" s="8"/>
      <c r="V1129" s="69"/>
      <c r="W1129" s="74"/>
      <c r="X1129" s="69"/>
    </row>
    <row r="1130">
      <c r="A1130" s="30" t="str">
        <f>IFERROR(__xludf.DUMMYFUNCTION("""COMPUTED_VALUE"""),"89750")</f>
        <v>89750</v>
      </c>
      <c r="B1130" s="86">
        <f>IFERROR(__xludf.DUMMYFUNCTION("""COMPUTED_VALUE"""),44617.0)</f>
        <v>44617</v>
      </c>
      <c r="C1130" s="64" t="str">
        <f>IFERROR(__xludf.DUMMYFUNCTION("""COMPUTED_VALUE"""),"Option")</f>
        <v>Option</v>
      </c>
      <c r="D1130" s="87" t="str">
        <f>IFERROR(__xludf.DUMMYFUNCTION("""COMPUTED_VALUE"""),"FTCH220318P00017500")</f>
        <v>FTCH220318P00017500</v>
      </c>
      <c r="E1130" s="5" t="str">
        <f>IFERROR(__xludf.DUMMYFUNCTION("""COMPUTED_VALUE"""),"USD")</f>
        <v>USD</v>
      </c>
      <c r="F1130" s="69">
        <f>IFERROR(__xludf.DUMMYFUNCTION("""COMPUTED_VALUE"""),50.0)</f>
        <v>50</v>
      </c>
      <c r="G1130" s="70">
        <f>IFERROR(__xludf.DUMMYFUNCTION("""COMPUTED_VALUE"""),7.83915)</f>
        <v>7.83915</v>
      </c>
      <c r="H1130" s="71">
        <f>IFERROR(__xludf.DUMMYFUNCTION("""COMPUTED_VALUE"""),0.6)</f>
        <v>0.6</v>
      </c>
      <c r="I1130" s="71">
        <f>IFERROR(__xludf.DUMMYFUNCTION("""COMPUTED_VALUE"""),0.0)</f>
        <v>0</v>
      </c>
      <c r="J1130" s="22" t="str">
        <f>IFERROR(__xludf.DUMMYFUNCTION("""COMPUTED_VALUE"""),"")</f>
        <v/>
      </c>
      <c r="K1130" s="22"/>
      <c r="L1130" s="22"/>
      <c r="M1130" s="22"/>
      <c r="N1130" s="22"/>
      <c r="O1130" s="73"/>
      <c r="P1130" s="8"/>
      <c r="Q1130" s="69"/>
      <c r="R1130" s="69"/>
      <c r="S1130" s="8"/>
      <c r="T1130" s="69"/>
      <c r="U1130" s="8"/>
      <c r="V1130" s="69"/>
      <c r="W1130" s="74"/>
      <c r="X1130" s="69"/>
    </row>
    <row r="1131">
      <c r="A1131" s="30" t="str">
        <f>IFERROR(__xludf.DUMMYFUNCTION("""COMPUTED_VALUE"""),"89750")</f>
        <v>89750</v>
      </c>
      <c r="B1131" s="86">
        <f>IFERROR(__xludf.DUMMYFUNCTION("""COMPUTED_VALUE"""),44617.0)</f>
        <v>44617</v>
      </c>
      <c r="C1131" s="64" t="str">
        <f>IFERROR(__xludf.DUMMYFUNCTION("""COMPUTED_VALUE"""),"Option")</f>
        <v>Option</v>
      </c>
      <c r="D1131" s="87" t="str">
        <f>IFERROR(__xludf.DUMMYFUNCTION("""COMPUTED_VALUE"""),"SPXL220318C00080000")</f>
        <v>SPXL220318C00080000</v>
      </c>
      <c r="E1131" s="5" t="str">
        <f>IFERROR(__xludf.DUMMYFUNCTION("""COMPUTED_VALUE"""),"USD")</f>
        <v>USD</v>
      </c>
      <c r="F1131" s="69">
        <f>IFERROR(__xludf.DUMMYFUNCTION("""COMPUTED_VALUE"""),10.0)</f>
        <v>10</v>
      </c>
      <c r="G1131" s="70">
        <f>IFERROR(__xludf.DUMMYFUNCTION("""COMPUTED_VALUE"""),7.83915)</f>
        <v>7.83915</v>
      </c>
      <c r="H1131" s="71">
        <f>IFERROR(__xludf.DUMMYFUNCTION("""COMPUTED_VALUE"""),17.9)</f>
        <v>17.9</v>
      </c>
      <c r="I1131" s="71">
        <f>IFERROR(__xludf.DUMMYFUNCTION("""COMPUTED_VALUE"""),0.0)</f>
        <v>0</v>
      </c>
      <c r="J1131" s="22" t="str">
        <f>IFERROR(__xludf.DUMMYFUNCTION("""COMPUTED_VALUE"""),"")</f>
        <v/>
      </c>
      <c r="K1131" s="22"/>
      <c r="L1131" s="22"/>
      <c r="M1131" s="22"/>
      <c r="N1131" s="22"/>
      <c r="O1131" s="73"/>
      <c r="P1131" s="8"/>
      <c r="Q1131" s="69"/>
      <c r="R1131" s="69"/>
      <c r="S1131" s="8"/>
      <c r="T1131" s="69"/>
      <c r="U1131" s="8"/>
      <c r="V1131" s="69"/>
      <c r="W1131" s="74"/>
      <c r="X1131" s="69"/>
    </row>
    <row r="1132">
      <c r="A1132" s="30" t="str">
        <f>IFERROR(__xludf.DUMMYFUNCTION("""COMPUTED_VALUE"""),"89750")</f>
        <v>89750</v>
      </c>
      <c r="B1132" s="86">
        <f>IFERROR(__xludf.DUMMYFUNCTION("""COMPUTED_VALUE"""),44617.0)</f>
        <v>44617</v>
      </c>
      <c r="C1132" s="64" t="str">
        <f>IFERROR(__xludf.DUMMYFUNCTION("""COMPUTED_VALUE"""),"Stock")</f>
        <v>Stock</v>
      </c>
      <c r="D1132" s="90" t="str">
        <f>IFERROR(__xludf.DUMMYFUNCTION("""COMPUTED_VALUE"""),"6969.HK")</f>
        <v>6969.HK</v>
      </c>
      <c r="E1132" s="5" t="str">
        <f>IFERROR(__xludf.DUMMYFUNCTION("""COMPUTED_VALUE"""),"HKD")</f>
        <v>HKD</v>
      </c>
      <c r="F1132" s="69">
        <f>IFERROR(__xludf.DUMMYFUNCTION("""COMPUTED_VALUE"""),2000.0)</f>
        <v>2000</v>
      </c>
      <c r="G1132" s="70">
        <f>IFERROR(__xludf.DUMMYFUNCTION("""COMPUTED_VALUE"""),1.0)</f>
        <v>1</v>
      </c>
      <c r="H1132" s="71">
        <f>IFERROR(__xludf.DUMMYFUNCTION("""COMPUTED_VALUE"""),28.95)</f>
        <v>28.95</v>
      </c>
      <c r="I1132" s="71">
        <f>IFERROR(__xludf.DUMMYFUNCTION("""COMPUTED_VALUE"""),16.64)</f>
        <v>16.64</v>
      </c>
      <c r="J1132" s="88" t="str">
        <f>IFERROR(__xludf.DUMMYFUNCTION("""COMPUTED_VALUE"""),"Goto link: 6969.HK")</f>
        <v>Goto link: 6969.HK</v>
      </c>
      <c r="K1132" s="22"/>
      <c r="L1132" s="22"/>
      <c r="M1132" s="22"/>
      <c r="N1132" s="22"/>
      <c r="O1132" s="73"/>
      <c r="P1132" s="8"/>
      <c r="Q1132" s="69"/>
      <c r="R1132" s="69"/>
      <c r="S1132" s="8"/>
      <c r="T1132" s="69"/>
      <c r="U1132" s="8"/>
      <c r="V1132" s="69"/>
      <c r="W1132" s="74"/>
      <c r="X1132" s="69"/>
    </row>
    <row r="1133">
      <c r="A1133" s="30" t="str">
        <f>IFERROR(__xludf.DUMMYFUNCTION("""COMPUTED_VALUE"""),"89750")</f>
        <v>89750</v>
      </c>
      <c r="B1133" s="86">
        <f>IFERROR(__xludf.DUMMYFUNCTION("""COMPUTED_VALUE"""),44617.0)</f>
        <v>44617</v>
      </c>
      <c r="C1133" s="64" t="str">
        <f>IFERROR(__xludf.DUMMYFUNCTION("""COMPUTED_VALUE"""),"Stock")</f>
        <v>Stock</v>
      </c>
      <c r="D1133" s="90" t="str">
        <f>IFERROR(__xludf.DUMMYFUNCTION("""COMPUTED_VALUE"""),"9698.HK")</f>
        <v>9698.HK</v>
      </c>
      <c r="E1133" s="5" t="str">
        <f>IFERROR(__xludf.DUMMYFUNCTION("""COMPUTED_VALUE"""),"HKD")</f>
        <v>HKD</v>
      </c>
      <c r="F1133" s="69">
        <f>IFERROR(__xludf.DUMMYFUNCTION("""COMPUTED_VALUE"""),-2000.0)</f>
        <v>-2000</v>
      </c>
      <c r="G1133" s="70">
        <f>IFERROR(__xludf.DUMMYFUNCTION("""COMPUTED_VALUE"""),1.0)</f>
        <v>1</v>
      </c>
      <c r="H1133" s="71">
        <f>IFERROR(__xludf.DUMMYFUNCTION("""COMPUTED_VALUE"""),42.55)</f>
        <v>42.55</v>
      </c>
      <c r="I1133" s="71">
        <f>IFERROR(__xludf.DUMMYFUNCTION("""COMPUTED_VALUE"""),35.6)</f>
        <v>35.6</v>
      </c>
      <c r="J1133" s="88" t="str">
        <f>IFERROR(__xludf.DUMMYFUNCTION("""COMPUTED_VALUE"""),"Goto link: 9698.HK")</f>
        <v>Goto link: 9698.HK</v>
      </c>
      <c r="K1133" s="22"/>
      <c r="L1133" s="22"/>
      <c r="M1133" s="22"/>
      <c r="N1133" s="22"/>
      <c r="O1133" s="73"/>
      <c r="P1133" s="8"/>
      <c r="Q1133" s="69"/>
      <c r="R1133" s="69"/>
      <c r="S1133" s="8"/>
      <c r="T1133" s="69"/>
      <c r="U1133" s="8"/>
      <c r="V1133" s="69"/>
      <c r="W1133" s="74"/>
      <c r="X1133" s="69"/>
    </row>
    <row r="1134">
      <c r="A1134" s="30" t="str">
        <f>IFERROR(__xludf.DUMMYFUNCTION("""COMPUTED_VALUE"""),"89750")</f>
        <v>89750</v>
      </c>
      <c r="B1134" s="86">
        <f>IFERROR(__xludf.DUMMYFUNCTION("""COMPUTED_VALUE"""),44617.0)</f>
        <v>44617</v>
      </c>
      <c r="C1134" s="64" t="str">
        <f>IFERROR(__xludf.DUMMYFUNCTION("""COMPUTED_VALUE"""),"Stock")</f>
        <v>Stock</v>
      </c>
      <c r="D1134" s="87" t="str">
        <f>IFERROR(__xludf.DUMMYFUNCTION("""COMPUTED_VALUE"""),"NU")</f>
        <v>NU</v>
      </c>
      <c r="E1134" s="5" t="str">
        <f>IFERROR(__xludf.DUMMYFUNCTION("""COMPUTED_VALUE"""),"USD")</f>
        <v>USD</v>
      </c>
      <c r="F1134" s="69">
        <f>IFERROR(__xludf.DUMMYFUNCTION("""COMPUTED_VALUE"""),70.0)</f>
        <v>70</v>
      </c>
      <c r="G1134" s="70">
        <f>IFERROR(__xludf.DUMMYFUNCTION("""COMPUTED_VALUE"""),7.83915)</f>
        <v>7.83915</v>
      </c>
      <c r="H1134" s="71">
        <f>IFERROR(__xludf.DUMMYFUNCTION("""COMPUTED_VALUE"""),7.78)</f>
        <v>7.78</v>
      </c>
      <c r="I1134" s="71">
        <f>IFERROR(__xludf.DUMMYFUNCTION("""COMPUTED_VALUE"""),7.17)</f>
        <v>7.17</v>
      </c>
      <c r="J1134" s="88" t="str">
        <f>IFERROR(__xludf.DUMMYFUNCTION("""COMPUTED_VALUE"""),"Goto link: NU")</f>
        <v>Goto link: NU</v>
      </c>
      <c r="K1134" s="22"/>
      <c r="L1134" s="22"/>
      <c r="M1134" s="22"/>
      <c r="N1134" s="22"/>
      <c r="O1134" s="73"/>
      <c r="P1134" s="8"/>
      <c r="Q1134" s="69"/>
      <c r="R1134" s="69"/>
      <c r="S1134" s="8"/>
      <c r="T1134" s="69"/>
      <c r="U1134" s="8"/>
      <c r="V1134" s="69"/>
      <c r="W1134" s="74"/>
      <c r="X1134" s="69"/>
    </row>
    <row r="1135">
      <c r="A1135" s="30" t="str">
        <f>IFERROR(__xludf.DUMMYFUNCTION("""COMPUTED_VALUE"""),"89750")</f>
        <v>89750</v>
      </c>
      <c r="B1135" s="86">
        <f>IFERROR(__xludf.DUMMYFUNCTION("""COMPUTED_VALUE"""),44617.0)</f>
        <v>44617</v>
      </c>
      <c r="C1135" s="64" t="str">
        <f>IFERROR(__xludf.DUMMYFUNCTION("""COMPUTED_VALUE"""),"Stock")</f>
        <v>Stock</v>
      </c>
      <c r="D1135" s="87" t="str">
        <f>IFERROR(__xludf.DUMMYFUNCTION("""COMPUTED_VALUE"""),"SOFI")</f>
        <v>SOFI</v>
      </c>
      <c r="E1135" s="5" t="str">
        <f>IFERROR(__xludf.DUMMYFUNCTION("""COMPUTED_VALUE"""),"USD")</f>
        <v>USD</v>
      </c>
      <c r="F1135" s="69">
        <f>IFERROR(__xludf.DUMMYFUNCTION("""COMPUTED_VALUE"""),30.0)</f>
        <v>30</v>
      </c>
      <c r="G1135" s="70">
        <f>IFERROR(__xludf.DUMMYFUNCTION("""COMPUTED_VALUE"""),7.83915)</f>
        <v>7.83915</v>
      </c>
      <c r="H1135" s="71">
        <f>IFERROR(__xludf.DUMMYFUNCTION("""COMPUTED_VALUE"""),10.67)</f>
        <v>10.67</v>
      </c>
      <c r="I1135" s="71">
        <f>IFERROR(__xludf.DUMMYFUNCTION("""COMPUTED_VALUE"""),7.61)</f>
        <v>7.61</v>
      </c>
      <c r="J1135" s="88" t="str">
        <f>IFERROR(__xludf.DUMMYFUNCTION("""COMPUTED_VALUE"""),"Goto link: SOFI")</f>
        <v>Goto link: SOFI</v>
      </c>
      <c r="K1135" s="22"/>
      <c r="L1135" s="22"/>
      <c r="M1135" s="22"/>
      <c r="N1135" s="22"/>
      <c r="O1135" s="73"/>
      <c r="P1135" s="8"/>
      <c r="Q1135" s="69"/>
      <c r="R1135" s="69"/>
      <c r="S1135" s="8"/>
      <c r="T1135" s="69"/>
      <c r="U1135" s="8"/>
      <c r="V1135" s="69"/>
      <c r="W1135" s="74"/>
      <c r="X1135" s="69"/>
    </row>
    <row r="1136">
      <c r="A1136" s="30" t="str">
        <f>IFERROR(__xludf.DUMMYFUNCTION("""COMPUTED_VALUE"""),"89750")</f>
        <v>89750</v>
      </c>
      <c r="B1136" s="86">
        <f>IFERROR(__xludf.DUMMYFUNCTION("""COMPUTED_VALUE"""),44617.0)</f>
        <v>44617</v>
      </c>
      <c r="C1136" s="64" t="str">
        <f>IFERROR(__xludf.DUMMYFUNCTION("""COMPUTED_VALUE"""),"Stock")</f>
        <v>Stock</v>
      </c>
      <c r="D1136" s="87" t="str">
        <f>IFERROR(__xludf.DUMMYFUNCTION("""COMPUTED_VALUE"""),"YINN")</f>
        <v>YINN</v>
      </c>
      <c r="E1136" s="5" t="str">
        <f>IFERROR(__xludf.DUMMYFUNCTION("""COMPUTED_VALUE"""),"USD")</f>
        <v>USD</v>
      </c>
      <c r="F1136" s="69">
        <f>IFERROR(__xludf.DUMMYFUNCTION("""COMPUTED_VALUE"""),50.0)</f>
        <v>50</v>
      </c>
      <c r="G1136" s="70">
        <f>IFERROR(__xludf.DUMMYFUNCTION("""COMPUTED_VALUE"""),7.83915)</f>
        <v>7.83915</v>
      </c>
      <c r="H1136" s="71">
        <f>IFERROR(__xludf.DUMMYFUNCTION("""COMPUTED_VALUE"""),7.16)</f>
        <v>7.16</v>
      </c>
      <c r="I1136" s="71">
        <f>IFERROR(__xludf.DUMMYFUNCTION("""COMPUTED_VALUE"""),4.54)</f>
        <v>4.54</v>
      </c>
      <c r="J1136" s="88" t="str">
        <f>IFERROR(__xludf.DUMMYFUNCTION("""COMPUTED_VALUE"""),"Goto link: YINN")</f>
        <v>Goto link: YINN</v>
      </c>
      <c r="K1136" s="22"/>
      <c r="L1136" s="22"/>
      <c r="M1136" s="22"/>
      <c r="N1136" s="22"/>
      <c r="O1136" s="73"/>
      <c r="P1136" s="8"/>
      <c r="Q1136" s="69"/>
      <c r="R1136" s="69"/>
      <c r="S1136" s="8"/>
      <c r="T1136" s="69"/>
      <c r="U1136" s="8"/>
      <c r="V1136" s="69"/>
      <c r="W1136" s="74"/>
      <c r="X1136" s="69"/>
    </row>
    <row r="1137">
      <c r="A1137" s="30" t="str">
        <f>IFERROR(__xludf.DUMMYFUNCTION("""COMPUTED_VALUE"""),"89750")</f>
        <v>89750</v>
      </c>
      <c r="B1137" s="86">
        <f>IFERROR(__xludf.DUMMYFUNCTION("""COMPUTED_VALUE"""),44620.0)</f>
        <v>44620</v>
      </c>
      <c r="C1137" s="64" t="str">
        <f>IFERROR(__xludf.DUMMYFUNCTION("""COMPUTED_VALUE"""),"Option")</f>
        <v>Option</v>
      </c>
      <c r="D1137" s="87" t="str">
        <f>IFERROR(__xludf.DUMMYFUNCTION("""COMPUTED_VALUE"""),"FTCH220318P00017500")</f>
        <v>FTCH220318P00017500</v>
      </c>
      <c r="E1137" s="5" t="str">
        <f>IFERROR(__xludf.DUMMYFUNCTION("""COMPUTED_VALUE"""),"USD")</f>
        <v>USD</v>
      </c>
      <c r="F1137" s="69">
        <f>IFERROR(__xludf.DUMMYFUNCTION("""COMPUTED_VALUE"""),50.0)</f>
        <v>50</v>
      </c>
      <c r="G1137" s="70">
        <f>IFERROR(__xludf.DUMMYFUNCTION("""COMPUTED_VALUE"""),7.83915)</f>
        <v>7.83915</v>
      </c>
      <c r="H1137" s="71">
        <f>IFERROR(__xludf.DUMMYFUNCTION("""COMPUTED_VALUE"""),1.03)</f>
        <v>1.03</v>
      </c>
      <c r="I1137" s="71">
        <f>IFERROR(__xludf.DUMMYFUNCTION("""COMPUTED_VALUE"""),0.0)</f>
        <v>0</v>
      </c>
      <c r="J1137" s="22" t="str">
        <f>IFERROR(__xludf.DUMMYFUNCTION("""COMPUTED_VALUE"""),"")</f>
        <v/>
      </c>
      <c r="K1137" s="22"/>
      <c r="L1137" s="22"/>
      <c r="M1137" s="22"/>
      <c r="N1137" s="22"/>
      <c r="O1137" s="73"/>
      <c r="P1137" s="8"/>
      <c r="Q1137" s="69"/>
      <c r="R1137" s="69"/>
      <c r="S1137" s="8"/>
      <c r="T1137" s="69"/>
      <c r="U1137" s="8"/>
      <c r="V1137" s="69"/>
      <c r="W1137" s="74"/>
      <c r="X1137" s="69"/>
    </row>
    <row r="1138">
      <c r="A1138" s="30" t="str">
        <f>IFERROR(__xludf.DUMMYFUNCTION("""COMPUTED_VALUE"""),"89750")</f>
        <v>89750</v>
      </c>
      <c r="B1138" s="86">
        <f>IFERROR(__xludf.DUMMYFUNCTION("""COMPUTED_VALUE"""),44620.0)</f>
        <v>44620</v>
      </c>
      <c r="C1138" s="64" t="str">
        <f>IFERROR(__xludf.DUMMYFUNCTION("""COMPUTED_VALUE"""),"Option")</f>
        <v>Option</v>
      </c>
      <c r="D1138" s="87" t="str">
        <f>IFERROR(__xludf.DUMMYFUNCTION("""COMPUTED_VALUE"""),"SPXL220318C00080000")</f>
        <v>SPXL220318C00080000</v>
      </c>
      <c r="E1138" s="5" t="str">
        <f>IFERROR(__xludf.DUMMYFUNCTION("""COMPUTED_VALUE"""),"USD")</f>
        <v>USD</v>
      </c>
      <c r="F1138" s="69">
        <f>IFERROR(__xludf.DUMMYFUNCTION("""COMPUTED_VALUE"""),-2.0)</f>
        <v>-2</v>
      </c>
      <c r="G1138" s="70">
        <f>IFERROR(__xludf.DUMMYFUNCTION("""COMPUTED_VALUE"""),7.83915)</f>
        <v>7.83915</v>
      </c>
      <c r="H1138" s="71">
        <f>IFERROR(__xludf.DUMMYFUNCTION("""COMPUTED_VALUE"""),17.9)</f>
        <v>17.9</v>
      </c>
      <c r="I1138" s="71">
        <f>IFERROR(__xludf.DUMMYFUNCTION("""COMPUTED_VALUE"""),0.0)</f>
        <v>0</v>
      </c>
      <c r="J1138" s="22" t="str">
        <f>IFERROR(__xludf.DUMMYFUNCTION("""COMPUTED_VALUE"""),"")</f>
        <v/>
      </c>
      <c r="K1138" s="22"/>
      <c r="L1138" s="22"/>
      <c r="M1138" s="22"/>
      <c r="N1138" s="22"/>
      <c r="O1138" s="73"/>
      <c r="P1138" s="8"/>
      <c r="Q1138" s="69"/>
      <c r="R1138" s="69"/>
      <c r="S1138" s="8"/>
      <c r="T1138" s="69"/>
      <c r="U1138" s="8"/>
      <c r="V1138" s="69"/>
      <c r="W1138" s="74"/>
      <c r="X1138" s="69"/>
    </row>
    <row r="1139">
      <c r="A1139" s="30" t="str">
        <f>IFERROR(__xludf.DUMMYFUNCTION("""COMPUTED_VALUE"""),"89750")</f>
        <v>89750</v>
      </c>
      <c r="B1139" s="86">
        <f>IFERROR(__xludf.DUMMYFUNCTION("""COMPUTED_VALUE"""),44620.0)</f>
        <v>44620</v>
      </c>
      <c r="C1139" s="64" t="str">
        <f>IFERROR(__xludf.DUMMYFUNCTION("""COMPUTED_VALUE"""),"Stock")</f>
        <v>Stock</v>
      </c>
      <c r="D1139" s="87" t="str">
        <f>IFERROR(__xludf.DUMMYFUNCTION("""COMPUTED_VALUE"""),"SBRCY")</f>
        <v>SBRCY</v>
      </c>
      <c r="E1139" s="5" t="str">
        <f>IFERROR(__xludf.DUMMYFUNCTION("""COMPUTED_VALUE"""),"USD")</f>
        <v>USD</v>
      </c>
      <c r="F1139" s="69">
        <f>IFERROR(__xludf.DUMMYFUNCTION("""COMPUTED_VALUE"""),5000.0)</f>
        <v>5000</v>
      </c>
      <c r="G1139" s="70">
        <f>IFERROR(__xludf.DUMMYFUNCTION("""COMPUTED_VALUE"""),7.83915)</f>
        <v>7.83915</v>
      </c>
      <c r="H1139" s="71">
        <f>IFERROR(__xludf.DUMMYFUNCTION("""COMPUTED_VALUE"""),1.25)</f>
        <v>1.25</v>
      </c>
      <c r="I1139" s="71">
        <f>IFERROR(__xludf.DUMMYFUNCTION("""COMPUTED_VALUE"""),0.52)</f>
        <v>0.52</v>
      </c>
      <c r="J1139" s="88" t="str">
        <f>IFERROR(__xludf.DUMMYFUNCTION("""COMPUTED_VALUE"""),"Goto link: SBRCY")</f>
        <v>Goto link: SBRCY</v>
      </c>
      <c r="K1139" s="22"/>
      <c r="L1139" s="22"/>
      <c r="M1139" s="22"/>
      <c r="N1139" s="22"/>
      <c r="O1139" s="73"/>
      <c r="P1139" s="8"/>
      <c r="Q1139" s="69"/>
      <c r="R1139" s="69"/>
      <c r="S1139" s="8"/>
      <c r="T1139" s="69"/>
      <c r="U1139" s="8"/>
      <c r="V1139" s="69"/>
      <c r="W1139" s="74"/>
      <c r="X1139" s="69"/>
    </row>
    <row r="1140">
      <c r="A1140" s="30" t="str">
        <f>IFERROR(__xludf.DUMMYFUNCTION("""COMPUTED_VALUE"""),"89750")</f>
        <v>89750</v>
      </c>
      <c r="B1140" s="86">
        <f>IFERROR(__xludf.DUMMYFUNCTION("""COMPUTED_VALUE"""),44620.0)</f>
        <v>44620</v>
      </c>
      <c r="C1140" s="64" t="str">
        <f>IFERROR(__xludf.DUMMYFUNCTION("""COMPUTED_VALUE"""),"Stock")</f>
        <v>Stock</v>
      </c>
      <c r="D1140" s="87" t="str">
        <f>IFERROR(__xludf.DUMMYFUNCTION("""COMPUTED_VALUE"""),"SOXL")</f>
        <v>SOXL</v>
      </c>
      <c r="E1140" s="5" t="str">
        <f>IFERROR(__xludf.DUMMYFUNCTION("""COMPUTED_VALUE"""),"USD")</f>
        <v>USD</v>
      </c>
      <c r="F1140" s="69">
        <f>IFERROR(__xludf.DUMMYFUNCTION("""COMPUTED_VALUE"""),-20.0)</f>
        <v>-20</v>
      </c>
      <c r="G1140" s="70">
        <f>IFERROR(__xludf.DUMMYFUNCTION("""COMPUTED_VALUE"""),7.83915)</f>
        <v>7.83915</v>
      </c>
      <c r="H1140" s="71">
        <f>IFERROR(__xludf.DUMMYFUNCTION("""COMPUTED_VALUE"""),41.01)</f>
        <v>41.01</v>
      </c>
      <c r="I1140" s="71">
        <f>IFERROR(__xludf.DUMMYFUNCTION("""COMPUTED_VALUE"""),28.05)</f>
        <v>28.05</v>
      </c>
      <c r="J1140" s="88" t="str">
        <f>IFERROR(__xludf.DUMMYFUNCTION("""COMPUTED_VALUE"""),"Goto link: SOXL")</f>
        <v>Goto link: SOXL</v>
      </c>
      <c r="K1140" s="22"/>
      <c r="L1140" s="22"/>
      <c r="M1140" s="22"/>
      <c r="N1140" s="22"/>
      <c r="O1140" s="73"/>
      <c r="P1140" s="8"/>
      <c r="Q1140" s="69"/>
      <c r="R1140" s="69"/>
      <c r="S1140" s="8"/>
      <c r="T1140" s="69"/>
      <c r="U1140" s="8"/>
      <c r="V1140" s="69"/>
      <c r="W1140" s="74"/>
      <c r="X1140" s="69"/>
    </row>
    <row r="1141">
      <c r="A1141" s="30" t="str">
        <f>IFERROR(__xludf.DUMMYFUNCTION("""COMPUTED_VALUE"""),"89750")</f>
        <v>89750</v>
      </c>
      <c r="B1141" s="86">
        <f>IFERROR(__xludf.DUMMYFUNCTION("""COMPUTED_VALUE"""),44621.0)</f>
        <v>44621</v>
      </c>
      <c r="C1141" s="64" t="str">
        <f>IFERROR(__xludf.DUMMYFUNCTION("""COMPUTED_VALUE"""),"Option")</f>
        <v>Option</v>
      </c>
      <c r="D1141" s="87" t="str">
        <f>IFERROR(__xludf.DUMMYFUNCTION("""COMPUTED_VALUE"""),"FTCH220318P00017500")</f>
        <v>FTCH220318P00017500</v>
      </c>
      <c r="E1141" s="5" t="str">
        <f>IFERROR(__xludf.DUMMYFUNCTION("""COMPUTED_VALUE"""),"USD")</f>
        <v>USD</v>
      </c>
      <c r="F1141" s="69">
        <f>IFERROR(__xludf.DUMMYFUNCTION("""COMPUTED_VALUE"""),-100.0)</f>
        <v>-100</v>
      </c>
      <c r="G1141" s="70">
        <f>IFERROR(__xludf.DUMMYFUNCTION("""COMPUTED_VALUE"""),7.83915)</f>
        <v>7.83915</v>
      </c>
      <c r="H1141" s="71">
        <f>IFERROR(__xludf.DUMMYFUNCTION("""COMPUTED_VALUE"""),1.75)</f>
        <v>1.75</v>
      </c>
      <c r="I1141" s="71">
        <f>IFERROR(__xludf.DUMMYFUNCTION("""COMPUTED_VALUE"""),0.0)</f>
        <v>0</v>
      </c>
      <c r="J1141" s="22" t="str">
        <f>IFERROR(__xludf.DUMMYFUNCTION("""COMPUTED_VALUE"""),"")</f>
        <v/>
      </c>
      <c r="K1141" s="22"/>
      <c r="L1141" s="22"/>
      <c r="M1141" s="22"/>
      <c r="N1141" s="22"/>
      <c r="O1141" s="73"/>
      <c r="P1141" s="8"/>
      <c r="Q1141" s="69"/>
      <c r="R1141" s="69"/>
      <c r="S1141" s="8"/>
      <c r="T1141" s="69"/>
      <c r="U1141" s="8"/>
      <c r="V1141" s="69"/>
      <c r="W1141" s="74"/>
      <c r="X1141" s="69"/>
    </row>
    <row r="1142">
      <c r="A1142" s="30" t="str">
        <f>IFERROR(__xludf.DUMMYFUNCTION("""COMPUTED_VALUE"""),"89750")</f>
        <v>89750</v>
      </c>
      <c r="B1142" s="86">
        <f>IFERROR(__xludf.DUMMYFUNCTION("""COMPUTED_VALUE"""),44621.0)</f>
        <v>44621</v>
      </c>
      <c r="C1142" s="64" t="str">
        <f>IFERROR(__xludf.DUMMYFUNCTION("""COMPUTED_VALUE"""),"Option")</f>
        <v>Option</v>
      </c>
      <c r="D1142" s="87" t="str">
        <f>IFERROR(__xludf.DUMMYFUNCTION("""COMPUTED_VALUE"""),"SPXL220318C00080000")</f>
        <v>SPXL220318C00080000</v>
      </c>
      <c r="E1142" s="5" t="str">
        <f>IFERROR(__xludf.DUMMYFUNCTION("""COMPUTED_VALUE"""),"USD")</f>
        <v>USD</v>
      </c>
      <c r="F1142" s="69">
        <f>IFERROR(__xludf.DUMMYFUNCTION("""COMPUTED_VALUE"""),-6.0)</f>
        <v>-6</v>
      </c>
      <c r="G1142" s="70">
        <f>IFERROR(__xludf.DUMMYFUNCTION("""COMPUTED_VALUE"""),7.83915)</f>
        <v>7.83915</v>
      </c>
      <c r="H1142" s="71">
        <f>IFERROR(__xludf.DUMMYFUNCTION("""COMPUTED_VALUE"""),17.9)</f>
        <v>17.9</v>
      </c>
      <c r="I1142" s="71">
        <f>IFERROR(__xludf.DUMMYFUNCTION("""COMPUTED_VALUE"""),0.0)</f>
        <v>0</v>
      </c>
      <c r="J1142" s="22" t="str">
        <f>IFERROR(__xludf.DUMMYFUNCTION("""COMPUTED_VALUE"""),"")</f>
        <v/>
      </c>
      <c r="K1142" s="22"/>
      <c r="L1142" s="22"/>
      <c r="M1142" s="22"/>
      <c r="N1142" s="22"/>
      <c r="O1142" s="73"/>
      <c r="P1142" s="8"/>
      <c r="Q1142" s="69"/>
      <c r="R1142" s="69"/>
      <c r="S1142" s="8"/>
      <c r="T1142" s="69"/>
      <c r="U1142" s="8"/>
      <c r="V1142" s="69"/>
      <c r="W1142" s="74"/>
      <c r="X1142" s="69"/>
    </row>
    <row r="1143">
      <c r="A1143" s="30" t="str">
        <f>IFERROR(__xludf.DUMMYFUNCTION("""COMPUTED_VALUE"""),"89750")</f>
        <v>89750</v>
      </c>
      <c r="B1143" s="86">
        <f>IFERROR(__xludf.DUMMYFUNCTION("""COMPUTED_VALUE"""),44621.0)</f>
        <v>44621</v>
      </c>
      <c r="C1143" s="64" t="str">
        <f>IFERROR(__xludf.DUMMYFUNCTION("""COMPUTED_VALUE"""),"Stock")</f>
        <v>Stock</v>
      </c>
      <c r="D1143" s="87" t="str">
        <f>IFERROR(__xludf.DUMMYFUNCTION("""COMPUTED_VALUE"""),"NU")</f>
        <v>NU</v>
      </c>
      <c r="E1143" s="5" t="str">
        <f>IFERROR(__xludf.DUMMYFUNCTION("""COMPUTED_VALUE"""),"USD")</f>
        <v>USD</v>
      </c>
      <c r="F1143" s="69">
        <f>IFERROR(__xludf.DUMMYFUNCTION("""COMPUTED_VALUE"""),-90.0)</f>
        <v>-90</v>
      </c>
      <c r="G1143" s="70">
        <f>IFERROR(__xludf.DUMMYFUNCTION("""COMPUTED_VALUE"""),7.83915)</f>
        <v>7.83915</v>
      </c>
      <c r="H1143" s="71">
        <f>IFERROR(__xludf.DUMMYFUNCTION("""COMPUTED_VALUE"""),7.92)</f>
        <v>7.92</v>
      </c>
      <c r="I1143" s="71">
        <f>IFERROR(__xludf.DUMMYFUNCTION("""COMPUTED_VALUE"""),7.17)</f>
        <v>7.17</v>
      </c>
      <c r="J1143" s="88" t="str">
        <f>IFERROR(__xludf.DUMMYFUNCTION("""COMPUTED_VALUE"""),"Goto link: NU")</f>
        <v>Goto link: NU</v>
      </c>
      <c r="K1143" s="22"/>
      <c r="L1143" s="22"/>
      <c r="M1143" s="22"/>
      <c r="N1143" s="22"/>
      <c r="O1143" s="73"/>
      <c r="P1143" s="8"/>
      <c r="Q1143" s="69"/>
      <c r="R1143" s="69"/>
      <c r="S1143" s="8"/>
      <c r="T1143" s="69"/>
      <c r="U1143" s="8"/>
      <c r="V1143" s="69"/>
      <c r="W1143" s="74"/>
      <c r="X1143" s="69"/>
    </row>
    <row r="1144">
      <c r="A1144" s="30" t="str">
        <f>IFERROR(__xludf.DUMMYFUNCTION("""COMPUTED_VALUE"""),"89750")</f>
        <v>89750</v>
      </c>
      <c r="B1144" s="86">
        <f>IFERROR(__xludf.DUMMYFUNCTION("""COMPUTED_VALUE"""),44621.0)</f>
        <v>44621</v>
      </c>
      <c r="C1144" s="64" t="str">
        <f>IFERROR(__xludf.DUMMYFUNCTION("""COMPUTED_VALUE"""),"Stock")</f>
        <v>Stock</v>
      </c>
      <c r="D1144" s="87" t="str">
        <f>IFERROR(__xludf.DUMMYFUNCTION("""COMPUTED_VALUE"""),"SOFI")</f>
        <v>SOFI</v>
      </c>
      <c r="E1144" s="5" t="str">
        <f>IFERROR(__xludf.DUMMYFUNCTION("""COMPUTED_VALUE"""),"USD")</f>
        <v>USD</v>
      </c>
      <c r="F1144" s="69">
        <f>IFERROR(__xludf.DUMMYFUNCTION("""COMPUTED_VALUE"""),-100.0)</f>
        <v>-100</v>
      </c>
      <c r="G1144" s="70">
        <f>IFERROR(__xludf.DUMMYFUNCTION("""COMPUTED_VALUE"""),7.83915)</f>
        <v>7.83915</v>
      </c>
      <c r="H1144" s="71">
        <f>IFERROR(__xludf.DUMMYFUNCTION("""COMPUTED_VALUE"""),11.2)</f>
        <v>11.2</v>
      </c>
      <c r="I1144" s="71">
        <f>IFERROR(__xludf.DUMMYFUNCTION("""COMPUTED_VALUE"""),7.61)</f>
        <v>7.61</v>
      </c>
      <c r="J1144" s="88" t="str">
        <f>IFERROR(__xludf.DUMMYFUNCTION("""COMPUTED_VALUE"""),"Goto link: SOFI")</f>
        <v>Goto link: SOFI</v>
      </c>
      <c r="K1144" s="22"/>
      <c r="L1144" s="22"/>
      <c r="M1144" s="22"/>
      <c r="N1144" s="22"/>
      <c r="O1144" s="73"/>
      <c r="P1144" s="8"/>
      <c r="Q1144" s="69"/>
      <c r="R1144" s="69"/>
      <c r="S1144" s="8"/>
      <c r="T1144" s="69"/>
      <c r="U1144" s="8"/>
      <c r="V1144" s="69"/>
      <c r="W1144" s="74"/>
      <c r="X1144" s="69"/>
    </row>
    <row r="1145">
      <c r="A1145" s="30" t="str">
        <f>IFERROR(__xludf.DUMMYFUNCTION("""COMPUTED_VALUE"""),"89750")</f>
        <v>89750</v>
      </c>
      <c r="B1145" s="86">
        <f>IFERROR(__xludf.DUMMYFUNCTION("""COMPUTED_VALUE"""),44622.0)</f>
        <v>44622</v>
      </c>
      <c r="C1145" s="64" t="str">
        <f>IFERROR(__xludf.DUMMYFUNCTION("""COMPUTED_VALUE"""),"Option")</f>
        <v>Option</v>
      </c>
      <c r="D1145" s="87" t="str">
        <f>IFERROR(__xludf.DUMMYFUNCTION("""COMPUTED_VALUE"""),"SPXL220318C00080000")</f>
        <v>SPXL220318C00080000</v>
      </c>
      <c r="E1145" s="5" t="str">
        <f>IFERROR(__xludf.DUMMYFUNCTION("""COMPUTED_VALUE"""),"USD")</f>
        <v>USD</v>
      </c>
      <c r="F1145" s="69">
        <f>IFERROR(__xludf.DUMMYFUNCTION("""COMPUTED_VALUE"""),-2.0)</f>
        <v>-2</v>
      </c>
      <c r="G1145" s="70">
        <f>IFERROR(__xludf.DUMMYFUNCTION("""COMPUTED_VALUE"""),7.83915)</f>
        <v>7.83915</v>
      </c>
      <c r="H1145" s="71">
        <f>IFERROR(__xludf.DUMMYFUNCTION("""COMPUTED_VALUE"""),27.91)</f>
        <v>27.91</v>
      </c>
      <c r="I1145" s="71">
        <f>IFERROR(__xludf.DUMMYFUNCTION("""COMPUTED_VALUE"""),0.0)</f>
        <v>0</v>
      </c>
      <c r="J1145" s="22" t="str">
        <f>IFERROR(__xludf.DUMMYFUNCTION("""COMPUTED_VALUE"""),"")</f>
        <v/>
      </c>
      <c r="K1145" s="22"/>
      <c r="L1145" s="22"/>
      <c r="M1145" s="22"/>
      <c r="N1145" s="22"/>
      <c r="O1145" s="73"/>
      <c r="P1145" s="8"/>
      <c r="Q1145" s="69"/>
      <c r="R1145" s="69"/>
      <c r="S1145" s="8"/>
      <c r="T1145" s="69"/>
      <c r="U1145" s="8"/>
      <c r="V1145" s="69"/>
      <c r="W1145" s="74"/>
      <c r="X1145" s="69"/>
    </row>
    <row r="1146">
      <c r="A1146" s="30" t="str">
        <f>IFERROR(__xludf.DUMMYFUNCTION("""COMPUTED_VALUE"""),"89750")</f>
        <v>89750</v>
      </c>
      <c r="B1146" s="86">
        <f>IFERROR(__xludf.DUMMYFUNCTION("""COMPUTED_VALUE"""),44622.0)</f>
        <v>44622</v>
      </c>
      <c r="C1146" s="64" t="str">
        <f>IFERROR(__xludf.DUMMYFUNCTION("""COMPUTED_VALUE"""),"Stock")</f>
        <v>Stock</v>
      </c>
      <c r="D1146" s="90" t="str">
        <f>IFERROR(__xludf.DUMMYFUNCTION("""COMPUTED_VALUE"""),"9988.HK")</f>
        <v>9988.HK</v>
      </c>
      <c r="E1146" s="5" t="str">
        <f>IFERROR(__xludf.DUMMYFUNCTION("""COMPUTED_VALUE"""),"HKD")</f>
        <v>HKD</v>
      </c>
      <c r="F1146" s="69">
        <f>IFERROR(__xludf.DUMMYFUNCTION("""COMPUTED_VALUE"""),1000.0)</f>
        <v>1000</v>
      </c>
      <c r="G1146" s="70">
        <f>IFERROR(__xludf.DUMMYFUNCTION("""COMPUTED_VALUE"""),1.0)</f>
        <v>1</v>
      </c>
      <c r="H1146" s="71">
        <f>IFERROR(__xludf.DUMMYFUNCTION("""COMPUTED_VALUE"""),103.9)</f>
        <v>103.9</v>
      </c>
      <c r="I1146" s="71">
        <f>IFERROR(__xludf.DUMMYFUNCTION("""COMPUTED_VALUE"""),98.5)</f>
        <v>98.5</v>
      </c>
      <c r="J1146" s="88" t="str">
        <f>IFERROR(__xludf.DUMMYFUNCTION("""COMPUTED_VALUE"""),"Goto link: 9988.HK")</f>
        <v>Goto link: 9988.HK</v>
      </c>
      <c r="K1146" s="22"/>
      <c r="L1146" s="22"/>
      <c r="M1146" s="22"/>
      <c r="N1146" s="22"/>
      <c r="O1146" s="73"/>
      <c r="P1146" s="8"/>
      <c r="Q1146" s="69"/>
      <c r="R1146" s="69"/>
      <c r="S1146" s="8"/>
      <c r="T1146" s="69"/>
      <c r="U1146" s="8"/>
      <c r="V1146" s="69"/>
      <c r="W1146" s="74"/>
      <c r="X1146" s="69"/>
    </row>
    <row r="1147">
      <c r="A1147" s="30" t="str">
        <f>IFERROR(__xludf.DUMMYFUNCTION("""COMPUTED_VALUE"""),"89750")</f>
        <v>89750</v>
      </c>
      <c r="B1147" s="86">
        <f>IFERROR(__xludf.DUMMYFUNCTION("""COMPUTED_VALUE"""),44622.0)</f>
        <v>44622</v>
      </c>
      <c r="C1147" s="64" t="str">
        <f>IFERROR(__xludf.DUMMYFUNCTION("""COMPUTED_VALUE"""),"Stock")</f>
        <v>Stock</v>
      </c>
      <c r="D1147" s="87" t="str">
        <f>IFERROR(__xludf.DUMMYFUNCTION("""COMPUTED_VALUE"""),"SOXL")</f>
        <v>SOXL</v>
      </c>
      <c r="E1147" s="5" t="str">
        <f>IFERROR(__xludf.DUMMYFUNCTION("""COMPUTED_VALUE"""),"USD")</f>
        <v>USD</v>
      </c>
      <c r="F1147" s="69">
        <f>IFERROR(__xludf.DUMMYFUNCTION("""COMPUTED_VALUE"""),-100.0)</f>
        <v>-100</v>
      </c>
      <c r="G1147" s="70">
        <f>IFERROR(__xludf.DUMMYFUNCTION("""COMPUTED_VALUE"""),7.83915)</f>
        <v>7.83915</v>
      </c>
      <c r="H1147" s="71">
        <f>IFERROR(__xludf.DUMMYFUNCTION("""COMPUTED_VALUE"""),40.12)</f>
        <v>40.12</v>
      </c>
      <c r="I1147" s="71">
        <f>IFERROR(__xludf.DUMMYFUNCTION("""COMPUTED_VALUE"""),28.05)</f>
        <v>28.05</v>
      </c>
      <c r="J1147" s="88" t="str">
        <f>IFERROR(__xludf.DUMMYFUNCTION("""COMPUTED_VALUE"""),"Goto link: SOXL")</f>
        <v>Goto link: SOXL</v>
      </c>
      <c r="K1147" s="22"/>
      <c r="L1147" s="22"/>
      <c r="M1147" s="22"/>
      <c r="N1147" s="22"/>
      <c r="O1147" s="73"/>
      <c r="P1147" s="8"/>
      <c r="Q1147" s="69"/>
      <c r="R1147" s="69"/>
      <c r="S1147" s="8"/>
      <c r="T1147" s="69"/>
      <c r="U1147" s="8"/>
      <c r="V1147" s="69"/>
      <c r="W1147" s="74"/>
      <c r="X1147" s="69"/>
    </row>
    <row r="1148">
      <c r="A1148" s="30" t="str">
        <f>IFERROR(__xludf.DUMMYFUNCTION("""COMPUTED_VALUE"""),"89750")</f>
        <v>89750</v>
      </c>
      <c r="B1148" s="86">
        <f>IFERROR(__xludf.DUMMYFUNCTION("""COMPUTED_VALUE"""),44622.0)</f>
        <v>44622</v>
      </c>
      <c r="C1148" s="64" t="str">
        <f>IFERROR(__xludf.DUMMYFUNCTION("""COMPUTED_VALUE"""),"Stock")</f>
        <v>Stock</v>
      </c>
      <c r="D1148" s="87" t="str">
        <f>IFERROR(__xludf.DUMMYFUNCTION("""COMPUTED_VALUE"""),"SOXL")</f>
        <v>SOXL</v>
      </c>
      <c r="E1148" s="5" t="str">
        <f>IFERROR(__xludf.DUMMYFUNCTION("""COMPUTED_VALUE"""),"USD")</f>
        <v>USD</v>
      </c>
      <c r="F1148" s="69">
        <f>IFERROR(__xludf.DUMMYFUNCTION("""COMPUTED_VALUE"""),100.0)</f>
        <v>100</v>
      </c>
      <c r="G1148" s="70">
        <f>IFERROR(__xludf.DUMMYFUNCTION("""COMPUTED_VALUE"""),7.83915)</f>
        <v>7.83915</v>
      </c>
      <c r="H1148" s="71">
        <f>IFERROR(__xludf.DUMMYFUNCTION("""COMPUTED_VALUE"""),36.58)</f>
        <v>36.58</v>
      </c>
      <c r="I1148" s="71">
        <f>IFERROR(__xludf.DUMMYFUNCTION("""COMPUTED_VALUE"""),28.05)</f>
        <v>28.05</v>
      </c>
      <c r="J1148" s="88" t="str">
        <f>IFERROR(__xludf.DUMMYFUNCTION("""COMPUTED_VALUE"""),"Goto link: SOXL")</f>
        <v>Goto link: SOXL</v>
      </c>
      <c r="K1148" s="22"/>
      <c r="L1148" s="22"/>
      <c r="M1148" s="22"/>
      <c r="N1148" s="22"/>
      <c r="O1148" s="73"/>
      <c r="P1148" s="8"/>
      <c r="Q1148" s="69"/>
      <c r="R1148" s="69"/>
      <c r="S1148" s="8"/>
      <c r="T1148" s="69"/>
      <c r="U1148" s="8"/>
      <c r="V1148" s="69"/>
      <c r="W1148" s="74"/>
      <c r="X1148" s="69"/>
    </row>
    <row r="1149">
      <c r="A1149" s="30" t="str">
        <f>IFERROR(__xludf.DUMMYFUNCTION("""COMPUTED_VALUE"""),"89750")</f>
        <v>89750</v>
      </c>
      <c r="B1149" s="86">
        <f>IFERROR(__xludf.DUMMYFUNCTION("""COMPUTED_VALUE"""),44623.0)</f>
        <v>44623</v>
      </c>
      <c r="C1149" s="64" t="str">
        <f>IFERROR(__xludf.DUMMYFUNCTION("""COMPUTED_VALUE"""),"Option")</f>
        <v>Option</v>
      </c>
      <c r="D1149" s="87" t="str">
        <f>IFERROR(__xludf.DUMMYFUNCTION("""COMPUTED_VALUE"""),"RLX220414C00005000")</f>
        <v>RLX220414C00005000</v>
      </c>
      <c r="E1149" s="5" t="str">
        <f>IFERROR(__xludf.DUMMYFUNCTION("""COMPUTED_VALUE"""),"USD")</f>
        <v>USD</v>
      </c>
      <c r="F1149" s="69">
        <f>IFERROR(__xludf.DUMMYFUNCTION("""COMPUTED_VALUE"""),1000.0)</f>
        <v>1000</v>
      </c>
      <c r="G1149" s="70">
        <f>IFERROR(__xludf.DUMMYFUNCTION("""COMPUTED_VALUE"""),7.83915)</f>
        <v>7.83915</v>
      </c>
      <c r="H1149" s="71">
        <f>IFERROR(__xludf.DUMMYFUNCTION("""COMPUTED_VALUE"""),0.09)</f>
        <v>0.09</v>
      </c>
      <c r="I1149" s="71">
        <f>IFERROR(__xludf.DUMMYFUNCTION("""COMPUTED_VALUE"""),0.03)</f>
        <v>0.03</v>
      </c>
      <c r="J1149" s="22" t="str">
        <f>IFERROR(__xludf.DUMMYFUNCTION("""COMPUTED_VALUE"""),"")</f>
        <v/>
      </c>
      <c r="K1149" s="22"/>
      <c r="L1149" s="22"/>
      <c r="M1149" s="22"/>
      <c r="N1149" s="22"/>
      <c r="O1149" s="73"/>
      <c r="P1149" s="8"/>
      <c r="Q1149" s="69"/>
      <c r="R1149" s="69"/>
      <c r="S1149" s="8"/>
      <c r="T1149" s="69"/>
      <c r="U1149" s="8"/>
      <c r="V1149" s="69"/>
      <c r="W1149" s="74"/>
      <c r="X1149" s="69"/>
    </row>
    <row r="1150">
      <c r="A1150" s="30" t="str">
        <f>IFERROR(__xludf.DUMMYFUNCTION("""COMPUTED_VALUE"""),"89750")</f>
        <v>89750</v>
      </c>
      <c r="B1150" s="86">
        <f>IFERROR(__xludf.DUMMYFUNCTION("""COMPUTED_VALUE"""),44623.0)</f>
        <v>44623</v>
      </c>
      <c r="C1150" s="64" t="str">
        <f>IFERROR(__xludf.DUMMYFUNCTION("""COMPUTED_VALUE"""),"Option")</f>
        <v>Option</v>
      </c>
      <c r="D1150" s="87" t="str">
        <f>IFERROR(__xludf.DUMMYFUNCTION("""COMPUTED_VALUE"""),"TQQQ220311P00057500")</f>
        <v>TQQQ220311P00057500</v>
      </c>
      <c r="E1150" s="5" t="str">
        <f>IFERROR(__xludf.DUMMYFUNCTION("""COMPUTED_VALUE"""),"USD")</f>
        <v>USD</v>
      </c>
      <c r="F1150" s="69">
        <f>IFERROR(__xludf.DUMMYFUNCTION("""COMPUTED_VALUE"""),0.0)</f>
        <v>0</v>
      </c>
      <c r="G1150" s="70">
        <f>IFERROR(__xludf.DUMMYFUNCTION("""COMPUTED_VALUE"""),7.83915)</f>
        <v>7.83915</v>
      </c>
      <c r="H1150" s="71">
        <f>IFERROR(__xludf.DUMMYFUNCTION("""COMPUTED_VALUE"""),0.0)</f>
        <v>0</v>
      </c>
      <c r="I1150" s="71">
        <f>IFERROR(__xludf.DUMMYFUNCTION("""COMPUTED_VALUE"""),0.0)</f>
        <v>0</v>
      </c>
      <c r="J1150" s="22" t="str">
        <f>IFERROR(__xludf.DUMMYFUNCTION("""COMPUTED_VALUE"""),"")</f>
        <v/>
      </c>
      <c r="K1150" s="22"/>
      <c r="L1150" s="22"/>
      <c r="M1150" s="22"/>
      <c r="N1150" s="22"/>
      <c r="O1150" s="73"/>
      <c r="P1150" s="8"/>
      <c r="Q1150" s="69"/>
      <c r="R1150" s="69"/>
      <c r="S1150" s="8"/>
      <c r="T1150" s="69"/>
      <c r="U1150" s="8"/>
      <c r="V1150" s="69"/>
      <c r="W1150" s="74"/>
      <c r="X1150" s="69"/>
    </row>
    <row r="1151">
      <c r="A1151" s="30" t="str">
        <f>IFERROR(__xludf.DUMMYFUNCTION("""COMPUTED_VALUE"""),"89750")</f>
        <v>89750</v>
      </c>
      <c r="B1151" s="86">
        <f>IFERROR(__xludf.DUMMYFUNCTION("""COMPUTED_VALUE"""),44623.0)</f>
        <v>44623</v>
      </c>
      <c r="C1151" s="64" t="str">
        <f>IFERROR(__xludf.DUMMYFUNCTION("""COMPUTED_VALUE"""),"Option")</f>
        <v>Option</v>
      </c>
      <c r="D1151" s="87" t="str">
        <f>IFERROR(__xludf.DUMMYFUNCTION("""COMPUTED_VALUE"""),"TQQQ220311P00057500")</f>
        <v>TQQQ220311P00057500</v>
      </c>
      <c r="E1151" s="5" t="str">
        <f>IFERROR(__xludf.DUMMYFUNCTION("""COMPUTED_VALUE"""),"USD")</f>
        <v>USD</v>
      </c>
      <c r="F1151" s="69">
        <f>IFERROR(__xludf.DUMMYFUNCTION("""COMPUTED_VALUE"""),10.0)</f>
        <v>10</v>
      </c>
      <c r="G1151" s="70">
        <f>IFERROR(__xludf.DUMMYFUNCTION("""COMPUTED_VALUE"""),7.83915)</f>
        <v>7.83915</v>
      </c>
      <c r="H1151" s="71">
        <f>IFERROR(__xludf.DUMMYFUNCTION("""COMPUTED_VALUE"""),6.54)</f>
        <v>6.54</v>
      </c>
      <c r="I1151" s="71">
        <f>IFERROR(__xludf.DUMMYFUNCTION("""COMPUTED_VALUE"""),0.0)</f>
        <v>0</v>
      </c>
      <c r="J1151" s="22" t="str">
        <f>IFERROR(__xludf.DUMMYFUNCTION("""COMPUTED_VALUE"""),"")</f>
        <v/>
      </c>
      <c r="K1151" s="22"/>
      <c r="L1151" s="22"/>
      <c r="M1151" s="22"/>
      <c r="N1151" s="22"/>
      <c r="O1151" s="73"/>
      <c r="P1151" s="8"/>
      <c r="Q1151" s="69"/>
      <c r="R1151" s="69"/>
      <c r="S1151" s="8"/>
      <c r="T1151" s="69"/>
      <c r="U1151" s="8"/>
      <c r="V1151" s="69"/>
      <c r="W1151" s="74"/>
      <c r="X1151" s="69"/>
    </row>
    <row r="1152">
      <c r="A1152" s="30" t="str">
        <f>IFERROR(__xludf.DUMMYFUNCTION("""COMPUTED_VALUE"""),"89750")</f>
        <v>89750</v>
      </c>
      <c r="B1152" s="86">
        <f>IFERROR(__xludf.DUMMYFUNCTION("""COMPUTED_VALUE"""),44623.0)</f>
        <v>44623</v>
      </c>
      <c r="C1152" s="64" t="str">
        <f>IFERROR(__xludf.DUMMYFUNCTION("""COMPUTED_VALUE"""),"Stock")</f>
        <v>Stock</v>
      </c>
      <c r="D1152" s="87" t="str">
        <f>IFERROR(__xludf.DUMMYFUNCTION("""COMPUTED_VALUE"""),"TCEHY")</f>
        <v>TCEHY</v>
      </c>
      <c r="E1152" s="5" t="str">
        <f>IFERROR(__xludf.DUMMYFUNCTION("""COMPUTED_VALUE"""),"USD")</f>
        <v>USD</v>
      </c>
      <c r="F1152" s="69">
        <f>IFERROR(__xludf.DUMMYFUNCTION("""COMPUTED_VALUE"""),-50.0)</f>
        <v>-50</v>
      </c>
      <c r="G1152" s="70">
        <f>IFERROR(__xludf.DUMMYFUNCTION("""COMPUTED_VALUE"""),7.83915)</f>
        <v>7.83915</v>
      </c>
      <c r="H1152" s="71">
        <f>IFERROR(__xludf.DUMMYFUNCTION("""COMPUTED_VALUE"""),52.2)</f>
        <v>52.2</v>
      </c>
      <c r="I1152" s="71">
        <f>IFERROR(__xludf.DUMMYFUNCTION("""COMPUTED_VALUE"""),48.03)</f>
        <v>48.03</v>
      </c>
      <c r="J1152" s="88" t="str">
        <f>IFERROR(__xludf.DUMMYFUNCTION("""COMPUTED_VALUE"""),"Goto link: TCEHY")</f>
        <v>Goto link: TCEHY</v>
      </c>
      <c r="K1152" s="22"/>
      <c r="L1152" s="22"/>
      <c r="M1152" s="22"/>
      <c r="N1152" s="22"/>
      <c r="O1152" s="73"/>
      <c r="P1152" s="8"/>
      <c r="Q1152" s="69"/>
      <c r="R1152" s="69"/>
      <c r="S1152" s="8"/>
      <c r="T1152" s="69"/>
      <c r="U1152" s="8"/>
      <c r="V1152" s="69"/>
      <c r="W1152" s="74"/>
      <c r="X1152" s="69"/>
    </row>
    <row r="1153">
      <c r="A1153" s="30" t="str">
        <f>IFERROR(__xludf.DUMMYFUNCTION("""COMPUTED_VALUE"""),"89750")</f>
        <v>89750</v>
      </c>
      <c r="B1153" s="86">
        <f>IFERROR(__xludf.DUMMYFUNCTION("""COMPUTED_VALUE"""),44624.0)</f>
        <v>44624</v>
      </c>
      <c r="C1153" s="64" t="str">
        <f>IFERROR(__xludf.DUMMYFUNCTION("""COMPUTED_VALUE"""),"Option")</f>
        <v>Option</v>
      </c>
      <c r="D1153" s="87" t="str">
        <f>IFERROR(__xludf.DUMMYFUNCTION("""COMPUTED_VALUE"""),"MARA220401P00016000")</f>
        <v>MARA220401P00016000</v>
      </c>
      <c r="E1153" s="5" t="str">
        <f>IFERROR(__xludf.DUMMYFUNCTION("""COMPUTED_VALUE"""),"USD")</f>
        <v>USD</v>
      </c>
      <c r="F1153" s="69">
        <f>IFERROR(__xludf.DUMMYFUNCTION("""COMPUTED_VALUE"""),100.0)</f>
        <v>100</v>
      </c>
      <c r="G1153" s="70">
        <f>IFERROR(__xludf.DUMMYFUNCTION("""COMPUTED_VALUE"""),7.83915)</f>
        <v>7.83915</v>
      </c>
      <c r="H1153" s="71">
        <f>IFERROR(__xludf.DUMMYFUNCTION("""COMPUTED_VALUE"""),0.36)</f>
        <v>0.36</v>
      </c>
      <c r="I1153" s="71">
        <f>IFERROR(__xludf.DUMMYFUNCTION("""COMPUTED_VALUE"""),0.0)</f>
        <v>0</v>
      </c>
      <c r="J1153" s="22" t="str">
        <f>IFERROR(__xludf.DUMMYFUNCTION("""COMPUTED_VALUE"""),"")</f>
        <v/>
      </c>
      <c r="K1153" s="22"/>
      <c r="L1153" s="22"/>
      <c r="M1153" s="22"/>
      <c r="N1153" s="22"/>
      <c r="O1153" s="73"/>
      <c r="P1153" s="8"/>
      <c r="Q1153" s="69"/>
      <c r="R1153" s="69"/>
      <c r="S1153" s="8"/>
      <c r="T1153" s="69"/>
      <c r="U1153" s="8"/>
      <c r="V1153" s="69"/>
      <c r="W1153" s="74"/>
      <c r="X1153" s="69"/>
    </row>
    <row r="1154">
      <c r="A1154" s="30" t="str">
        <f>IFERROR(__xludf.DUMMYFUNCTION("""COMPUTED_VALUE"""),"89750")</f>
        <v>89750</v>
      </c>
      <c r="B1154" s="86">
        <f>IFERROR(__xludf.DUMMYFUNCTION("""COMPUTED_VALUE"""),44624.0)</f>
        <v>44624</v>
      </c>
      <c r="C1154" s="64" t="str">
        <f>IFERROR(__xludf.DUMMYFUNCTION("""COMPUTED_VALUE"""),"Option")</f>
        <v>Option</v>
      </c>
      <c r="D1154" s="87" t="str">
        <f>IFERROR(__xludf.DUMMYFUNCTION("""COMPUTED_VALUE"""),"NU220414C00009000")</f>
        <v>NU220414C00009000</v>
      </c>
      <c r="E1154" s="5" t="str">
        <f>IFERROR(__xludf.DUMMYFUNCTION("""COMPUTED_VALUE"""),"USD")</f>
        <v>USD</v>
      </c>
      <c r="F1154" s="69">
        <f>IFERROR(__xludf.DUMMYFUNCTION("""COMPUTED_VALUE"""),200.0)</f>
        <v>200</v>
      </c>
      <c r="G1154" s="70">
        <f>IFERROR(__xludf.DUMMYFUNCTION("""COMPUTED_VALUE"""),7.83915)</f>
        <v>7.83915</v>
      </c>
      <c r="H1154" s="71">
        <f>IFERROR(__xludf.DUMMYFUNCTION("""COMPUTED_VALUE"""),0.24)</f>
        <v>0.24</v>
      </c>
      <c r="I1154" s="71">
        <f>IFERROR(__xludf.DUMMYFUNCTION("""COMPUTED_VALUE"""),0.05)</f>
        <v>0.05</v>
      </c>
      <c r="J1154" s="22" t="str">
        <f>IFERROR(__xludf.DUMMYFUNCTION("""COMPUTED_VALUE"""),"")</f>
        <v/>
      </c>
      <c r="K1154" s="22"/>
      <c r="L1154" s="22"/>
      <c r="M1154" s="22"/>
      <c r="N1154" s="22"/>
      <c r="O1154" s="73"/>
      <c r="P1154" s="8"/>
      <c r="Q1154" s="69"/>
      <c r="R1154" s="69"/>
      <c r="S1154" s="8"/>
      <c r="T1154" s="69"/>
      <c r="U1154" s="8"/>
      <c r="V1154" s="69"/>
      <c r="W1154" s="74"/>
      <c r="X1154" s="69"/>
    </row>
    <row r="1155">
      <c r="A1155" s="30" t="str">
        <f>IFERROR(__xludf.DUMMYFUNCTION("""COMPUTED_VALUE"""),"89750")</f>
        <v>89750</v>
      </c>
      <c r="B1155" s="86">
        <f>IFERROR(__xludf.DUMMYFUNCTION("""COMPUTED_VALUE"""),44624.0)</f>
        <v>44624</v>
      </c>
      <c r="C1155" s="64" t="str">
        <f>IFERROR(__xludf.DUMMYFUNCTION("""COMPUTED_VALUE"""),"Option")</f>
        <v>Option</v>
      </c>
      <c r="D1155" s="87" t="str">
        <f>IFERROR(__xludf.DUMMYFUNCTION("""COMPUTED_VALUE"""),"TQQQ220311P00057500")</f>
        <v>TQQQ220311P00057500</v>
      </c>
      <c r="E1155" s="5" t="str">
        <f>IFERROR(__xludf.DUMMYFUNCTION("""COMPUTED_VALUE"""),"USD")</f>
        <v>USD</v>
      </c>
      <c r="F1155" s="69">
        <f>IFERROR(__xludf.DUMMYFUNCTION("""COMPUTED_VALUE"""),-10.0)</f>
        <v>-10</v>
      </c>
      <c r="G1155" s="70">
        <f>IFERROR(__xludf.DUMMYFUNCTION("""COMPUTED_VALUE"""),7.83915)</f>
        <v>7.83915</v>
      </c>
      <c r="H1155" s="71">
        <f>IFERROR(__xludf.DUMMYFUNCTION("""COMPUTED_VALUE"""),9.5)</f>
        <v>9.5</v>
      </c>
      <c r="I1155" s="71">
        <f>IFERROR(__xludf.DUMMYFUNCTION("""COMPUTED_VALUE"""),0.0)</f>
        <v>0</v>
      </c>
      <c r="J1155" s="22" t="str">
        <f>IFERROR(__xludf.DUMMYFUNCTION("""COMPUTED_VALUE"""),"")</f>
        <v/>
      </c>
      <c r="K1155" s="22"/>
      <c r="L1155" s="22"/>
      <c r="M1155" s="22"/>
      <c r="N1155" s="22"/>
      <c r="O1155" s="73"/>
      <c r="P1155" s="8"/>
      <c r="Q1155" s="69"/>
      <c r="R1155" s="69"/>
      <c r="S1155" s="8"/>
      <c r="T1155" s="69"/>
      <c r="U1155" s="8"/>
      <c r="V1155" s="69"/>
      <c r="W1155" s="74"/>
      <c r="X1155" s="69"/>
    </row>
    <row r="1156">
      <c r="A1156" s="30" t="str">
        <f>IFERROR(__xludf.DUMMYFUNCTION("""COMPUTED_VALUE"""),"89750")</f>
        <v>89750</v>
      </c>
      <c r="B1156" s="86">
        <f>IFERROR(__xludf.DUMMYFUNCTION("""COMPUTED_VALUE"""),44627.0)</f>
        <v>44627</v>
      </c>
      <c r="C1156" s="64" t="str">
        <f>IFERROR(__xludf.DUMMYFUNCTION("""COMPUTED_VALUE"""),"Option")</f>
        <v>Option</v>
      </c>
      <c r="D1156" s="87" t="str">
        <f>IFERROR(__xludf.DUMMYFUNCTION("""COMPUTED_VALUE"""),"MARA220401P00016000")</f>
        <v>MARA220401P00016000</v>
      </c>
      <c r="E1156" s="5" t="str">
        <f>IFERROR(__xludf.DUMMYFUNCTION("""COMPUTED_VALUE"""),"USD")</f>
        <v>USD</v>
      </c>
      <c r="F1156" s="69">
        <f>IFERROR(__xludf.DUMMYFUNCTION("""COMPUTED_VALUE"""),-100.0)</f>
        <v>-100</v>
      </c>
      <c r="G1156" s="70">
        <f>IFERROR(__xludf.DUMMYFUNCTION("""COMPUTED_VALUE"""),7.83915)</f>
        <v>7.83915</v>
      </c>
      <c r="H1156" s="71">
        <f>IFERROR(__xludf.DUMMYFUNCTION("""COMPUTED_VALUE"""),0.74)</f>
        <v>0.74</v>
      </c>
      <c r="I1156" s="71">
        <f>IFERROR(__xludf.DUMMYFUNCTION("""COMPUTED_VALUE"""),0.0)</f>
        <v>0</v>
      </c>
      <c r="J1156" s="22" t="str">
        <f>IFERROR(__xludf.DUMMYFUNCTION("""COMPUTED_VALUE"""),"")</f>
        <v/>
      </c>
      <c r="K1156" s="22"/>
      <c r="L1156" s="22"/>
      <c r="M1156" s="22"/>
      <c r="N1156" s="22"/>
      <c r="O1156" s="73"/>
      <c r="P1156" s="8"/>
      <c r="Q1156" s="69"/>
      <c r="R1156" s="69"/>
      <c r="S1156" s="8"/>
      <c r="T1156" s="69"/>
      <c r="U1156" s="8"/>
      <c r="V1156" s="69"/>
      <c r="W1156" s="74"/>
      <c r="X1156" s="69"/>
    </row>
    <row r="1157">
      <c r="A1157" s="30" t="str">
        <f>IFERROR(__xludf.DUMMYFUNCTION("""COMPUTED_VALUE"""),"89750")</f>
        <v>89750</v>
      </c>
      <c r="B1157" s="86">
        <f>IFERROR(__xludf.DUMMYFUNCTION("""COMPUTED_VALUE"""),44627.0)</f>
        <v>44627</v>
      </c>
      <c r="C1157" s="64" t="str">
        <f>IFERROR(__xludf.DUMMYFUNCTION("""COMPUTED_VALUE"""),"Option")</f>
        <v>Option</v>
      </c>
      <c r="D1157" s="87" t="str">
        <f>IFERROR(__xludf.DUMMYFUNCTION("""COMPUTED_VALUE"""),"NU220414C00009000")</f>
        <v>NU220414C00009000</v>
      </c>
      <c r="E1157" s="5" t="str">
        <f>IFERROR(__xludf.DUMMYFUNCTION("""COMPUTED_VALUE"""),"USD")</f>
        <v>USD</v>
      </c>
      <c r="F1157" s="69">
        <f>IFERROR(__xludf.DUMMYFUNCTION("""COMPUTED_VALUE"""),0.0)</f>
        <v>0</v>
      </c>
      <c r="G1157" s="70">
        <f>IFERROR(__xludf.DUMMYFUNCTION("""COMPUTED_VALUE"""),7.83915)</f>
        <v>7.83915</v>
      </c>
      <c r="H1157" s="71">
        <f>IFERROR(__xludf.DUMMYFUNCTION("""COMPUTED_VALUE"""),0.0)</f>
        <v>0</v>
      </c>
      <c r="I1157" s="71">
        <f>IFERROR(__xludf.DUMMYFUNCTION("""COMPUTED_VALUE"""),0.05)</f>
        <v>0.05</v>
      </c>
      <c r="J1157" s="22" t="str">
        <f>IFERROR(__xludf.DUMMYFUNCTION("""COMPUTED_VALUE"""),"")</f>
        <v/>
      </c>
      <c r="K1157" s="22"/>
      <c r="L1157" s="22"/>
      <c r="M1157" s="22"/>
      <c r="N1157" s="22"/>
      <c r="O1157" s="73"/>
      <c r="P1157" s="8"/>
      <c r="Q1157" s="69"/>
      <c r="R1157" s="69"/>
      <c r="S1157" s="8"/>
      <c r="T1157" s="69"/>
      <c r="U1157" s="8"/>
      <c r="V1157" s="69"/>
      <c r="W1157" s="74"/>
      <c r="X1157" s="69"/>
    </row>
    <row r="1158">
      <c r="A1158" s="30" t="str">
        <f>IFERROR(__xludf.DUMMYFUNCTION("""COMPUTED_VALUE"""),"89750")</f>
        <v>89750</v>
      </c>
      <c r="B1158" s="86">
        <f>IFERROR(__xludf.DUMMYFUNCTION("""COMPUTED_VALUE"""),44627.0)</f>
        <v>44627</v>
      </c>
      <c r="C1158" s="64" t="str">
        <f>IFERROR(__xludf.DUMMYFUNCTION("""COMPUTED_VALUE"""),"Option")</f>
        <v>Option</v>
      </c>
      <c r="D1158" s="87" t="str">
        <f>IFERROR(__xludf.DUMMYFUNCTION("""COMPUTED_VALUE"""),"RLX220414C00005000")</f>
        <v>RLX220414C00005000</v>
      </c>
      <c r="E1158" s="5" t="str">
        <f>IFERROR(__xludf.DUMMYFUNCTION("""COMPUTED_VALUE"""),"USD")</f>
        <v>USD</v>
      </c>
      <c r="F1158" s="69">
        <f>IFERROR(__xludf.DUMMYFUNCTION("""COMPUTED_VALUE"""),-1000.0)</f>
        <v>-1000</v>
      </c>
      <c r="G1158" s="70">
        <f>IFERROR(__xludf.DUMMYFUNCTION("""COMPUTED_VALUE"""),7.83915)</f>
        <v>7.83915</v>
      </c>
      <c r="H1158" s="71">
        <f>IFERROR(__xludf.DUMMYFUNCTION("""COMPUTED_VALUE"""),0.08)</f>
        <v>0.08</v>
      </c>
      <c r="I1158" s="71">
        <f>IFERROR(__xludf.DUMMYFUNCTION("""COMPUTED_VALUE"""),0.03)</f>
        <v>0.03</v>
      </c>
      <c r="J1158" s="22" t="str">
        <f>IFERROR(__xludf.DUMMYFUNCTION("""COMPUTED_VALUE"""),"")</f>
        <v/>
      </c>
      <c r="K1158" s="22"/>
      <c r="L1158" s="22"/>
      <c r="M1158" s="22"/>
      <c r="N1158" s="22"/>
      <c r="O1158" s="73"/>
      <c r="P1158" s="8"/>
      <c r="Q1158" s="69"/>
      <c r="R1158" s="69"/>
      <c r="S1158" s="8"/>
      <c r="T1158" s="69"/>
      <c r="U1158" s="8"/>
      <c r="V1158" s="69"/>
      <c r="W1158" s="74"/>
      <c r="X1158" s="69"/>
    </row>
    <row r="1159">
      <c r="A1159" s="30" t="str">
        <f>IFERROR(__xludf.DUMMYFUNCTION("""COMPUTED_VALUE"""),"89750")</f>
        <v>89750</v>
      </c>
      <c r="B1159" s="86">
        <f>IFERROR(__xludf.DUMMYFUNCTION("""COMPUTED_VALUE"""),44627.0)</f>
        <v>44627</v>
      </c>
      <c r="C1159" s="64" t="str">
        <f>IFERROR(__xludf.DUMMYFUNCTION("""COMPUTED_VALUE"""),"Stock")</f>
        <v>Stock</v>
      </c>
      <c r="D1159" s="87" t="str">
        <f>IFERROR(__xludf.DUMMYFUNCTION("""COMPUTED_VALUE"""),"YINN")</f>
        <v>YINN</v>
      </c>
      <c r="E1159" s="5" t="str">
        <f>IFERROR(__xludf.DUMMYFUNCTION("""COMPUTED_VALUE"""),"USD")</f>
        <v>USD</v>
      </c>
      <c r="F1159" s="69">
        <f>IFERROR(__xludf.DUMMYFUNCTION("""COMPUTED_VALUE"""),-100.0)</f>
        <v>-100</v>
      </c>
      <c r="G1159" s="70">
        <f>IFERROR(__xludf.DUMMYFUNCTION("""COMPUTED_VALUE"""),7.83915)</f>
        <v>7.83915</v>
      </c>
      <c r="H1159" s="71">
        <f>IFERROR(__xludf.DUMMYFUNCTION("""COMPUTED_VALUE"""),5.19)</f>
        <v>5.19</v>
      </c>
      <c r="I1159" s="71">
        <f>IFERROR(__xludf.DUMMYFUNCTION("""COMPUTED_VALUE"""),4.54)</f>
        <v>4.54</v>
      </c>
      <c r="J1159" s="88" t="str">
        <f>IFERROR(__xludf.DUMMYFUNCTION("""COMPUTED_VALUE"""),"Goto link: YINN")</f>
        <v>Goto link: YINN</v>
      </c>
      <c r="K1159" s="22"/>
      <c r="L1159" s="22"/>
      <c r="M1159" s="22"/>
      <c r="N1159" s="22"/>
      <c r="O1159" s="73"/>
      <c r="P1159" s="8"/>
      <c r="Q1159" s="69"/>
      <c r="R1159" s="69"/>
      <c r="S1159" s="8"/>
      <c r="T1159" s="69"/>
      <c r="U1159" s="8"/>
      <c r="V1159" s="69"/>
      <c r="W1159" s="74"/>
      <c r="X1159" s="69"/>
    </row>
    <row r="1160">
      <c r="A1160" s="30" t="str">
        <f>IFERROR(__xludf.DUMMYFUNCTION("""COMPUTED_VALUE"""),"89750")</f>
        <v>89750</v>
      </c>
      <c r="B1160" s="86">
        <f>IFERROR(__xludf.DUMMYFUNCTION("""COMPUTED_VALUE"""),44628.0)</f>
        <v>44628</v>
      </c>
      <c r="C1160" s="64" t="str">
        <f>IFERROR(__xludf.DUMMYFUNCTION("""COMPUTED_VALUE"""),"Option")</f>
        <v>Option</v>
      </c>
      <c r="D1160" s="87" t="str">
        <f>IFERROR(__xludf.DUMMYFUNCTION("""COMPUTED_VALUE"""),"NU220318C00005000")</f>
        <v>NU220318C00005000</v>
      </c>
      <c r="E1160" s="5" t="str">
        <f>IFERROR(__xludf.DUMMYFUNCTION("""COMPUTED_VALUE"""),"USD")</f>
        <v>USD</v>
      </c>
      <c r="F1160" s="69">
        <f>IFERROR(__xludf.DUMMYFUNCTION("""COMPUTED_VALUE"""),100.0)</f>
        <v>100</v>
      </c>
      <c r="G1160" s="70">
        <f>IFERROR(__xludf.DUMMYFUNCTION("""COMPUTED_VALUE"""),7.83915)</f>
        <v>7.83915</v>
      </c>
      <c r="H1160" s="71">
        <f>IFERROR(__xludf.DUMMYFUNCTION("""COMPUTED_VALUE"""),1.85)</f>
        <v>1.85</v>
      </c>
      <c r="I1160" s="71">
        <f>IFERROR(__xludf.DUMMYFUNCTION("""COMPUTED_VALUE"""),0.0)</f>
        <v>0</v>
      </c>
      <c r="J1160" s="22" t="str">
        <f>IFERROR(__xludf.DUMMYFUNCTION("""COMPUTED_VALUE"""),"")</f>
        <v/>
      </c>
      <c r="K1160" s="22"/>
      <c r="L1160" s="22"/>
      <c r="M1160" s="22"/>
      <c r="N1160" s="22"/>
      <c r="O1160" s="73"/>
      <c r="P1160" s="8"/>
      <c r="Q1160" s="69"/>
      <c r="R1160" s="69"/>
      <c r="S1160" s="8"/>
      <c r="T1160" s="69"/>
      <c r="U1160" s="8"/>
      <c r="V1160" s="69"/>
      <c r="W1160" s="74"/>
      <c r="X1160" s="69"/>
    </row>
    <row r="1161">
      <c r="A1161" s="30" t="str">
        <f>IFERROR(__xludf.DUMMYFUNCTION("""COMPUTED_VALUE"""),"89750")</f>
        <v>89750</v>
      </c>
      <c r="B1161" s="86">
        <f>IFERROR(__xludf.DUMMYFUNCTION("""COMPUTED_VALUE"""),44630.0)</f>
        <v>44630</v>
      </c>
      <c r="C1161" s="64" t="str">
        <f>IFERROR(__xludf.DUMMYFUNCTION("""COMPUTED_VALUE"""),"Option")</f>
        <v>Option</v>
      </c>
      <c r="D1161" s="87" t="str">
        <f>IFERROR(__xludf.DUMMYFUNCTION("""COMPUTED_VALUE"""),"NU220318C00005000")</f>
        <v>NU220318C00005000</v>
      </c>
      <c r="E1161" s="5" t="str">
        <f>IFERROR(__xludf.DUMMYFUNCTION("""COMPUTED_VALUE"""),"USD")</f>
        <v>USD</v>
      </c>
      <c r="F1161" s="69">
        <f>IFERROR(__xludf.DUMMYFUNCTION("""COMPUTED_VALUE"""),-100.0)</f>
        <v>-100</v>
      </c>
      <c r="G1161" s="70">
        <f>IFERROR(__xludf.DUMMYFUNCTION("""COMPUTED_VALUE"""),7.83915)</f>
        <v>7.83915</v>
      </c>
      <c r="H1161" s="71">
        <f>IFERROR(__xludf.DUMMYFUNCTION("""COMPUTED_VALUE"""),2.15)</f>
        <v>2.15</v>
      </c>
      <c r="I1161" s="71">
        <f>IFERROR(__xludf.DUMMYFUNCTION("""COMPUTED_VALUE"""),0.0)</f>
        <v>0</v>
      </c>
      <c r="J1161" s="22" t="str">
        <f>IFERROR(__xludf.DUMMYFUNCTION("""COMPUTED_VALUE"""),"")</f>
        <v/>
      </c>
      <c r="K1161" s="22"/>
      <c r="L1161" s="22"/>
      <c r="M1161" s="22"/>
      <c r="N1161" s="22"/>
      <c r="O1161" s="73"/>
      <c r="P1161" s="8"/>
      <c r="Q1161" s="69"/>
      <c r="R1161" s="69"/>
      <c r="S1161" s="8"/>
      <c r="T1161" s="69"/>
      <c r="U1161" s="8"/>
      <c r="V1161" s="69"/>
      <c r="W1161" s="74"/>
      <c r="X1161" s="69"/>
    </row>
    <row r="1162">
      <c r="A1162" s="30" t="str">
        <f>IFERROR(__xludf.DUMMYFUNCTION("""COMPUTED_VALUE"""),"89750")</f>
        <v>89750</v>
      </c>
      <c r="B1162" s="86">
        <f>IFERROR(__xludf.DUMMYFUNCTION("""COMPUTED_VALUE"""),44630.0)</f>
        <v>44630</v>
      </c>
      <c r="C1162" s="64" t="str">
        <f>IFERROR(__xludf.DUMMYFUNCTION("""COMPUTED_VALUE"""),"Option")</f>
        <v>Option</v>
      </c>
      <c r="D1162" s="87" t="str">
        <f>IFERROR(__xludf.DUMMYFUNCTION("""COMPUTED_VALUE"""),"TQQQ220408P00056000")</f>
        <v>TQQQ220408P00056000</v>
      </c>
      <c r="E1162" s="5" t="str">
        <f>IFERROR(__xludf.DUMMYFUNCTION("""COMPUTED_VALUE"""),"USD")</f>
        <v>USD</v>
      </c>
      <c r="F1162" s="69">
        <f>IFERROR(__xludf.DUMMYFUNCTION("""COMPUTED_VALUE"""),20.0)</f>
        <v>20</v>
      </c>
      <c r="G1162" s="70">
        <f>IFERROR(__xludf.DUMMYFUNCTION("""COMPUTED_VALUE"""),7.83915)</f>
        <v>7.83915</v>
      </c>
      <c r="H1162" s="71">
        <f>IFERROR(__xludf.DUMMYFUNCTION("""COMPUTED_VALUE"""),8.33)</f>
        <v>8.33</v>
      </c>
      <c r="I1162" s="71">
        <f>IFERROR(__xludf.DUMMYFUNCTION("""COMPUTED_VALUE"""),4.4)</f>
        <v>4.4</v>
      </c>
      <c r="J1162" s="22" t="str">
        <f>IFERROR(__xludf.DUMMYFUNCTION("""COMPUTED_VALUE"""),"")</f>
        <v/>
      </c>
      <c r="K1162" s="22"/>
      <c r="L1162" s="22"/>
      <c r="M1162" s="22"/>
      <c r="N1162" s="22"/>
      <c r="O1162" s="73"/>
      <c r="P1162" s="8"/>
      <c r="Q1162" s="69"/>
      <c r="R1162" s="69"/>
      <c r="S1162" s="8"/>
      <c r="T1162" s="69"/>
      <c r="U1162" s="8"/>
      <c r="V1162" s="69"/>
      <c r="W1162" s="74"/>
      <c r="X1162" s="69"/>
    </row>
    <row r="1163">
      <c r="A1163" s="30" t="str">
        <f>IFERROR(__xludf.DUMMYFUNCTION("""COMPUTED_VALUE"""),"89750")</f>
        <v>89750</v>
      </c>
      <c r="B1163" s="86">
        <f>IFERROR(__xludf.DUMMYFUNCTION("""COMPUTED_VALUE"""),44630.0)</f>
        <v>44630</v>
      </c>
      <c r="C1163" s="64" t="str">
        <f>IFERROR(__xludf.DUMMYFUNCTION("""COMPUTED_VALUE"""),"Stock")</f>
        <v>Stock</v>
      </c>
      <c r="D1163" s="90" t="str">
        <f>IFERROR(__xludf.DUMMYFUNCTION("""COMPUTED_VALUE"""),"9988.HK")</f>
        <v>9988.HK</v>
      </c>
      <c r="E1163" s="5" t="str">
        <f>IFERROR(__xludf.DUMMYFUNCTION("""COMPUTED_VALUE"""),"HKD")</f>
        <v>HKD</v>
      </c>
      <c r="F1163" s="69">
        <f>IFERROR(__xludf.DUMMYFUNCTION("""COMPUTED_VALUE"""),-1000.0)</f>
        <v>-1000</v>
      </c>
      <c r="G1163" s="70">
        <f>IFERROR(__xludf.DUMMYFUNCTION("""COMPUTED_VALUE"""),1.0)</f>
        <v>1</v>
      </c>
      <c r="H1163" s="71">
        <f>IFERROR(__xludf.DUMMYFUNCTION("""COMPUTED_VALUE"""),96.1)</f>
        <v>96.1</v>
      </c>
      <c r="I1163" s="71">
        <f>IFERROR(__xludf.DUMMYFUNCTION("""COMPUTED_VALUE"""),98.5)</f>
        <v>98.5</v>
      </c>
      <c r="J1163" s="88" t="str">
        <f>IFERROR(__xludf.DUMMYFUNCTION("""COMPUTED_VALUE"""),"Goto link: 9988.HK")</f>
        <v>Goto link: 9988.HK</v>
      </c>
      <c r="K1163" s="22"/>
      <c r="L1163" s="22"/>
      <c r="M1163" s="22"/>
      <c r="N1163" s="22"/>
      <c r="O1163" s="73"/>
      <c r="P1163" s="8"/>
      <c r="Q1163" s="69"/>
      <c r="R1163" s="69"/>
      <c r="S1163" s="8"/>
      <c r="T1163" s="69"/>
      <c r="U1163" s="8"/>
      <c r="V1163" s="69"/>
      <c r="W1163" s="74"/>
      <c r="X1163" s="69"/>
    </row>
    <row r="1164">
      <c r="A1164" s="30" t="str">
        <f>IFERROR(__xludf.DUMMYFUNCTION("""COMPUTED_VALUE"""),"89750")</f>
        <v>89750</v>
      </c>
      <c r="B1164" s="86">
        <f>IFERROR(__xludf.DUMMYFUNCTION("""COMPUTED_VALUE"""),44634.0)</f>
        <v>44634</v>
      </c>
      <c r="C1164" s="64" t="str">
        <f>IFERROR(__xludf.DUMMYFUNCTION("""COMPUTED_VALUE"""),"Stock")</f>
        <v>Stock</v>
      </c>
      <c r="D1164" s="90" t="str">
        <f>IFERROR(__xludf.DUMMYFUNCTION("""COMPUTED_VALUE"""),"0708.HK")</f>
        <v>0708.HK</v>
      </c>
      <c r="E1164" s="5" t="str">
        <f>IFERROR(__xludf.DUMMYFUNCTION("""COMPUTED_VALUE"""),"HKD")</f>
        <v>HKD</v>
      </c>
      <c r="F1164" s="69">
        <f>IFERROR(__xludf.DUMMYFUNCTION("""COMPUTED_VALUE"""),20000.0)</f>
        <v>20000</v>
      </c>
      <c r="G1164" s="70">
        <f>IFERROR(__xludf.DUMMYFUNCTION("""COMPUTED_VALUE"""),1.0)</f>
        <v>1</v>
      </c>
      <c r="H1164" s="71">
        <f>IFERROR(__xludf.DUMMYFUNCTION("""COMPUTED_VALUE"""),2.99)</f>
        <v>2.99</v>
      </c>
      <c r="I1164" s="71">
        <f>IFERROR(__xludf.DUMMYFUNCTION("""COMPUTED_VALUE"""),3.2)</f>
        <v>3.2</v>
      </c>
      <c r="J1164" s="88" t="str">
        <f>IFERROR(__xludf.DUMMYFUNCTION("""COMPUTED_VALUE"""),"Goto link: 0708.HK")</f>
        <v>Goto link: 0708.HK</v>
      </c>
      <c r="K1164" s="22"/>
      <c r="L1164" s="22"/>
      <c r="M1164" s="22"/>
      <c r="N1164" s="22"/>
      <c r="O1164" s="73"/>
      <c r="P1164" s="8"/>
      <c r="Q1164" s="69"/>
      <c r="R1164" s="69"/>
      <c r="S1164" s="8"/>
      <c r="T1164" s="69"/>
      <c r="U1164" s="8"/>
      <c r="V1164" s="69"/>
      <c r="W1164" s="74"/>
      <c r="X1164" s="69"/>
    </row>
    <row r="1165">
      <c r="A1165" s="30" t="str">
        <f>IFERROR(__xludf.DUMMYFUNCTION("""COMPUTED_VALUE"""),"89750")</f>
        <v>89750</v>
      </c>
      <c r="B1165" s="86">
        <f>IFERROR(__xludf.DUMMYFUNCTION("""COMPUTED_VALUE"""),44634.0)</f>
        <v>44634</v>
      </c>
      <c r="C1165" s="64" t="str">
        <f>IFERROR(__xludf.DUMMYFUNCTION("""COMPUTED_VALUE"""),"Stock")</f>
        <v>Stock</v>
      </c>
      <c r="D1165" s="90" t="str">
        <f>IFERROR(__xludf.DUMMYFUNCTION("""COMPUTED_VALUE"""),"3690.HK")</f>
        <v>3690.HK</v>
      </c>
      <c r="E1165" s="5" t="str">
        <f>IFERROR(__xludf.DUMMYFUNCTION("""COMPUTED_VALUE"""),"HKD")</f>
        <v>HKD</v>
      </c>
      <c r="F1165" s="69">
        <f>IFERROR(__xludf.DUMMYFUNCTION("""COMPUTED_VALUE"""),500.0)</f>
        <v>500</v>
      </c>
      <c r="G1165" s="70">
        <f>IFERROR(__xludf.DUMMYFUNCTION("""COMPUTED_VALUE"""),1.0)</f>
        <v>1</v>
      </c>
      <c r="H1165" s="71">
        <f>IFERROR(__xludf.DUMMYFUNCTION("""COMPUTED_VALUE"""),112.6)</f>
        <v>112.6</v>
      </c>
      <c r="I1165" s="71">
        <f>IFERROR(__xludf.DUMMYFUNCTION("""COMPUTED_VALUE"""),154.1)</f>
        <v>154.1</v>
      </c>
      <c r="J1165" s="88" t="str">
        <f>IFERROR(__xludf.DUMMYFUNCTION("""COMPUTED_VALUE"""),"Goto link: 3690.HK")</f>
        <v>Goto link: 3690.HK</v>
      </c>
      <c r="K1165" s="22"/>
      <c r="L1165" s="22"/>
      <c r="M1165" s="22"/>
      <c r="N1165" s="22"/>
      <c r="O1165" s="73"/>
      <c r="P1165" s="8"/>
      <c r="Q1165" s="69"/>
      <c r="R1165" s="69"/>
      <c r="S1165" s="8"/>
      <c r="T1165" s="69"/>
      <c r="U1165" s="8"/>
      <c r="V1165" s="69"/>
      <c r="W1165" s="74"/>
      <c r="X1165" s="69"/>
    </row>
    <row r="1166">
      <c r="A1166" s="30" t="str">
        <f>IFERROR(__xludf.DUMMYFUNCTION("""COMPUTED_VALUE"""),"89750")</f>
        <v>89750</v>
      </c>
      <c r="B1166" s="86">
        <f>IFERROR(__xludf.DUMMYFUNCTION("""COMPUTED_VALUE"""),44634.0)</f>
        <v>44634</v>
      </c>
      <c r="C1166" s="64" t="str">
        <f>IFERROR(__xludf.DUMMYFUNCTION("""COMPUTED_VALUE"""),"Stock")</f>
        <v>Stock</v>
      </c>
      <c r="D1166" s="87" t="str">
        <f>IFERROR(__xludf.DUMMYFUNCTION("""COMPUTED_VALUE"""),"TCEHY")</f>
        <v>TCEHY</v>
      </c>
      <c r="E1166" s="5" t="str">
        <f>IFERROR(__xludf.DUMMYFUNCTION("""COMPUTED_VALUE"""),"USD")</f>
        <v>USD</v>
      </c>
      <c r="F1166" s="69">
        <f>IFERROR(__xludf.DUMMYFUNCTION("""COMPUTED_VALUE"""),100.0)</f>
        <v>100</v>
      </c>
      <c r="G1166" s="70">
        <f>IFERROR(__xludf.DUMMYFUNCTION("""COMPUTED_VALUE"""),7.83915)</f>
        <v>7.83915</v>
      </c>
      <c r="H1166" s="71">
        <f>IFERROR(__xludf.DUMMYFUNCTION("""COMPUTED_VALUE"""),40.76)</f>
        <v>40.76</v>
      </c>
      <c r="I1166" s="71">
        <f>IFERROR(__xludf.DUMMYFUNCTION("""COMPUTED_VALUE"""),48.03)</f>
        <v>48.03</v>
      </c>
      <c r="J1166" s="88" t="str">
        <f>IFERROR(__xludf.DUMMYFUNCTION("""COMPUTED_VALUE"""),"Goto link: TCEHY")</f>
        <v>Goto link: TCEHY</v>
      </c>
      <c r="K1166" s="22"/>
      <c r="L1166" s="22"/>
      <c r="M1166" s="22"/>
      <c r="N1166" s="22"/>
      <c r="O1166" s="73"/>
      <c r="P1166" s="8"/>
      <c r="Q1166" s="69"/>
      <c r="R1166" s="69"/>
      <c r="S1166" s="8"/>
      <c r="T1166" s="69"/>
      <c r="U1166" s="8"/>
      <c r="V1166" s="69"/>
      <c r="W1166" s="74"/>
      <c r="X1166" s="69"/>
    </row>
    <row r="1167">
      <c r="A1167" s="30" t="str">
        <f>IFERROR(__xludf.DUMMYFUNCTION("""COMPUTED_VALUE"""),"89750")</f>
        <v>89750</v>
      </c>
      <c r="B1167" s="86">
        <f>IFERROR(__xludf.DUMMYFUNCTION("""COMPUTED_VALUE"""),44635.0)</f>
        <v>44635</v>
      </c>
      <c r="C1167" s="64" t="str">
        <f>IFERROR(__xludf.DUMMYFUNCTION("""COMPUTED_VALUE"""),"Option")</f>
        <v>Option</v>
      </c>
      <c r="D1167" s="87" t="str">
        <f>IFERROR(__xludf.DUMMYFUNCTION("""COMPUTED_VALUE"""),"NU220414C00006000")</f>
        <v>NU220414C00006000</v>
      </c>
      <c r="E1167" s="5" t="str">
        <f>IFERROR(__xludf.DUMMYFUNCTION("""COMPUTED_VALUE"""),"USD")</f>
        <v>USD</v>
      </c>
      <c r="F1167" s="69">
        <f>IFERROR(__xludf.DUMMYFUNCTION("""COMPUTED_VALUE"""),2.0)</f>
        <v>2</v>
      </c>
      <c r="G1167" s="70">
        <f>IFERROR(__xludf.DUMMYFUNCTION("""COMPUTED_VALUE"""),7.83915)</f>
        <v>7.83915</v>
      </c>
      <c r="H1167" s="71">
        <f>IFERROR(__xludf.DUMMYFUNCTION("""COMPUTED_VALUE"""),0.58)</f>
        <v>0.58</v>
      </c>
      <c r="I1167" s="71">
        <f>IFERROR(__xludf.DUMMYFUNCTION("""COMPUTED_VALUE"""),1.15)</f>
        <v>1.15</v>
      </c>
      <c r="J1167" s="22" t="str">
        <f>IFERROR(__xludf.DUMMYFUNCTION("""COMPUTED_VALUE"""),"")</f>
        <v/>
      </c>
      <c r="K1167" s="22"/>
      <c r="L1167" s="22"/>
      <c r="M1167" s="22"/>
      <c r="N1167" s="22"/>
      <c r="O1167" s="73"/>
      <c r="P1167" s="8"/>
      <c r="Q1167" s="69"/>
      <c r="R1167" s="69"/>
      <c r="S1167" s="8"/>
      <c r="T1167" s="69"/>
      <c r="U1167" s="8"/>
      <c r="V1167" s="69"/>
      <c r="W1167" s="74"/>
      <c r="X1167" s="69"/>
    </row>
    <row r="1168">
      <c r="A1168" s="30" t="str">
        <f>IFERROR(__xludf.DUMMYFUNCTION("""COMPUTED_VALUE"""),"89750")</f>
        <v>89750</v>
      </c>
      <c r="B1168" s="86">
        <f>IFERROR(__xludf.DUMMYFUNCTION("""COMPUTED_VALUE"""),44635.0)</f>
        <v>44635</v>
      </c>
      <c r="C1168" s="64" t="str">
        <f>IFERROR(__xludf.DUMMYFUNCTION("""COMPUTED_VALUE"""),"Option")</f>
        <v>Option</v>
      </c>
      <c r="D1168" s="87" t="str">
        <f>IFERROR(__xludf.DUMMYFUNCTION("""COMPUTED_VALUE"""),"OXY220318P00065000")</f>
        <v>OXY220318P00065000</v>
      </c>
      <c r="E1168" s="5" t="str">
        <f>IFERROR(__xludf.DUMMYFUNCTION("""COMPUTED_VALUE"""),"USD")</f>
        <v>USD</v>
      </c>
      <c r="F1168" s="69">
        <f>IFERROR(__xludf.DUMMYFUNCTION("""COMPUTED_VALUE"""),2.0)</f>
        <v>2</v>
      </c>
      <c r="G1168" s="70">
        <f>IFERROR(__xludf.DUMMYFUNCTION("""COMPUTED_VALUE"""),7.83915)</f>
        <v>7.83915</v>
      </c>
      <c r="H1168" s="71">
        <f>IFERROR(__xludf.DUMMYFUNCTION("""COMPUTED_VALUE"""),7.65)</f>
        <v>7.65</v>
      </c>
      <c r="I1168" s="71">
        <f>IFERROR(__xludf.DUMMYFUNCTION("""COMPUTED_VALUE"""),0.0)</f>
        <v>0</v>
      </c>
      <c r="J1168" s="22" t="str">
        <f>IFERROR(__xludf.DUMMYFUNCTION("""COMPUTED_VALUE"""),"")</f>
        <v/>
      </c>
      <c r="K1168" s="22"/>
      <c r="L1168" s="22"/>
      <c r="M1168" s="22"/>
      <c r="N1168" s="22"/>
      <c r="O1168" s="73"/>
      <c r="P1168" s="8"/>
      <c r="Q1168" s="69"/>
      <c r="R1168" s="69"/>
      <c r="S1168" s="8"/>
      <c r="T1168" s="69"/>
      <c r="U1168" s="8"/>
      <c r="V1168" s="69"/>
      <c r="W1168" s="74"/>
      <c r="X1168" s="69"/>
    </row>
    <row r="1169">
      <c r="A1169" s="30" t="str">
        <f>IFERROR(__xludf.DUMMYFUNCTION("""COMPUTED_VALUE"""),"89750")</f>
        <v>89750</v>
      </c>
      <c r="B1169" s="86">
        <f>IFERROR(__xludf.DUMMYFUNCTION("""COMPUTED_VALUE"""),44635.0)</f>
        <v>44635</v>
      </c>
      <c r="C1169" s="64" t="str">
        <f>IFERROR(__xludf.DUMMYFUNCTION("""COMPUTED_VALUE"""),"Option")</f>
        <v>Option</v>
      </c>
      <c r="D1169" s="87" t="str">
        <f>IFERROR(__xludf.DUMMYFUNCTION("""COMPUTED_VALUE"""),"TQQQ220408P00056000")</f>
        <v>TQQQ220408P00056000</v>
      </c>
      <c r="E1169" s="5" t="str">
        <f>IFERROR(__xludf.DUMMYFUNCTION("""COMPUTED_VALUE"""),"USD")</f>
        <v>USD</v>
      </c>
      <c r="F1169" s="69">
        <f>IFERROR(__xludf.DUMMYFUNCTION("""COMPUTED_VALUE"""),-20.0)</f>
        <v>-20</v>
      </c>
      <c r="G1169" s="70">
        <f>IFERROR(__xludf.DUMMYFUNCTION("""COMPUTED_VALUE"""),7.83915)</f>
        <v>7.83915</v>
      </c>
      <c r="H1169" s="71">
        <f>IFERROR(__xludf.DUMMYFUNCTION("""COMPUTED_VALUE"""),13.51)</f>
        <v>13.51</v>
      </c>
      <c r="I1169" s="71">
        <f>IFERROR(__xludf.DUMMYFUNCTION("""COMPUTED_VALUE"""),4.4)</f>
        <v>4.4</v>
      </c>
      <c r="J1169" s="22" t="str">
        <f>IFERROR(__xludf.DUMMYFUNCTION("""COMPUTED_VALUE"""),"")</f>
        <v/>
      </c>
      <c r="K1169" s="22"/>
      <c r="L1169" s="22"/>
      <c r="M1169" s="22"/>
      <c r="N1169" s="22"/>
      <c r="O1169" s="73"/>
      <c r="P1169" s="8"/>
      <c r="Q1169" s="69"/>
      <c r="R1169" s="69"/>
      <c r="S1169" s="8"/>
      <c r="T1169" s="69"/>
      <c r="U1169" s="8"/>
      <c r="V1169" s="69"/>
      <c r="W1169" s="74"/>
      <c r="X1169" s="69"/>
    </row>
    <row r="1170">
      <c r="A1170" s="30" t="str">
        <f>IFERROR(__xludf.DUMMYFUNCTION("""COMPUTED_VALUE"""),"89750")</f>
        <v>89750</v>
      </c>
      <c r="B1170" s="86">
        <f>IFERROR(__xludf.DUMMYFUNCTION("""COMPUTED_VALUE"""),44635.0)</f>
        <v>44635</v>
      </c>
      <c r="C1170" s="64" t="str">
        <f>IFERROR(__xludf.DUMMYFUNCTION("""COMPUTED_VALUE"""),"Stock")</f>
        <v>Stock</v>
      </c>
      <c r="D1170" s="87" t="str">
        <f>IFERROR(__xludf.DUMMYFUNCTION("""COMPUTED_VALUE"""),"SBRCY")</f>
        <v>SBRCY</v>
      </c>
      <c r="E1170" s="5" t="str">
        <f>IFERROR(__xludf.DUMMYFUNCTION("""COMPUTED_VALUE"""),"USD")</f>
        <v>USD</v>
      </c>
      <c r="F1170" s="69">
        <f>IFERROR(__xludf.DUMMYFUNCTION("""COMPUTED_VALUE"""),5000.0)</f>
        <v>5000</v>
      </c>
      <c r="G1170" s="70">
        <f>IFERROR(__xludf.DUMMYFUNCTION("""COMPUTED_VALUE"""),7.83915)</f>
        <v>7.83915</v>
      </c>
      <c r="H1170" s="71">
        <f>IFERROR(__xludf.DUMMYFUNCTION("""COMPUTED_VALUE"""),0.52)</f>
        <v>0.52</v>
      </c>
      <c r="I1170" s="71">
        <f>IFERROR(__xludf.DUMMYFUNCTION("""COMPUTED_VALUE"""),0.52)</f>
        <v>0.52</v>
      </c>
      <c r="J1170" s="88" t="str">
        <f>IFERROR(__xludf.DUMMYFUNCTION("""COMPUTED_VALUE"""),"Goto link: SBRCY")</f>
        <v>Goto link: SBRCY</v>
      </c>
      <c r="K1170" s="22"/>
      <c r="L1170" s="22"/>
      <c r="M1170" s="22"/>
      <c r="N1170" s="22"/>
      <c r="O1170" s="73"/>
      <c r="P1170" s="8"/>
      <c r="Q1170" s="69"/>
      <c r="R1170" s="69"/>
      <c r="S1170" s="8"/>
      <c r="T1170" s="69"/>
      <c r="U1170" s="8"/>
      <c r="V1170" s="69"/>
      <c r="W1170" s="74"/>
      <c r="X1170" s="69"/>
    </row>
    <row r="1171">
      <c r="A1171" s="30" t="str">
        <f>IFERROR(__xludf.DUMMYFUNCTION("""COMPUTED_VALUE"""),"89750")</f>
        <v>89750</v>
      </c>
      <c r="B1171" s="86">
        <f>IFERROR(__xludf.DUMMYFUNCTION("""COMPUTED_VALUE"""),44636.0)</f>
        <v>44636</v>
      </c>
      <c r="C1171" s="64" t="str">
        <f>IFERROR(__xludf.DUMMYFUNCTION("""COMPUTED_VALUE"""),"Stock")</f>
        <v>Stock</v>
      </c>
      <c r="D1171" s="90" t="str">
        <f>IFERROR(__xludf.DUMMYFUNCTION("""COMPUTED_VALUE"""),"3833.HK")</f>
        <v>3833.HK</v>
      </c>
      <c r="E1171" s="5" t="str">
        <f>IFERROR(__xludf.DUMMYFUNCTION("""COMPUTED_VALUE"""),"HKD")</f>
        <v>HKD</v>
      </c>
      <c r="F1171" s="69">
        <f>IFERROR(__xludf.DUMMYFUNCTION("""COMPUTED_VALUE"""),100000.0)</f>
        <v>100000</v>
      </c>
      <c r="G1171" s="70">
        <f>IFERROR(__xludf.DUMMYFUNCTION("""COMPUTED_VALUE"""),1.0)</f>
        <v>1</v>
      </c>
      <c r="H1171" s="71">
        <f>IFERROR(__xludf.DUMMYFUNCTION("""COMPUTED_VALUE"""),1.39)</f>
        <v>1.39</v>
      </c>
      <c r="I1171" s="71">
        <f>IFERROR(__xludf.DUMMYFUNCTION("""COMPUTED_VALUE"""),1.39)</f>
        <v>1.39</v>
      </c>
      <c r="J1171" s="88" t="str">
        <f>IFERROR(__xludf.DUMMYFUNCTION("""COMPUTED_VALUE"""),"Goto link: 3833.HK")</f>
        <v>Goto link: 3833.HK</v>
      </c>
      <c r="K1171" s="22"/>
      <c r="L1171" s="22"/>
      <c r="M1171" s="22"/>
      <c r="N1171" s="22"/>
      <c r="O1171" s="73"/>
      <c r="P1171" s="8"/>
      <c r="Q1171" s="69"/>
      <c r="R1171" s="69"/>
      <c r="S1171" s="8"/>
      <c r="T1171" s="69"/>
      <c r="U1171" s="8"/>
      <c r="V1171" s="69"/>
      <c r="W1171" s="74"/>
      <c r="X1171" s="69"/>
    </row>
    <row r="1172">
      <c r="A1172" s="30" t="str">
        <f>IFERROR(__xludf.DUMMYFUNCTION("""COMPUTED_VALUE"""),"89750")</f>
        <v>89750</v>
      </c>
      <c r="B1172" s="86">
        <f>IFERROR(__xludf.DUMMYFUNCTION("""COMPUTED_VALUE"""),44637.0)</f>
        <v>44637</v>
      </c>
      <c r="C1172" s="64" t="str">
        <f>IFERROR(__xludf.DUMMYFUNCTION("""COMPUTED_VALUE"""),"Option")</f>
        <v>Option</v>
      </c>
      <c r="D1172" s="87" t="str">
        <f>IFERROR(__xludf.DUMMYFUNCTION("""COMPUTED_VALUE"""),"OXY220318P00065000")</f>
        <v>OXY220318P00065000</v>
      </c>
      <c r="E1172" s="5" t="str">
        <f>IFERROR(__xludf.DUMMYFUNCTION("""COMPUTED_VALUE"""),"USD")</f>
        <v>USD</v>
      </c>
      <c r="F1172" s="69">
        <f>IFERROR(__xludf.DUMMYFUNCTION("""COMPUTED_VALUE"""),-2.0)</f>
        <v>-2</v>
      </c>
      <c r="G1172" s="70">
        <f>IFERROR(__xludf.DUMMYFUNCTION("""COMPUTED_VALUE"""),7.83915)</f>
        <v>7.83915</v>
      </c>
      <c r="H1172" s="71">
        <f>IFERROR(__xludf.DUMMYFUNCTION("""COMPUTED_VALUE"""),7.65)</f>
        <v>7.65</v>
      </c>
      <c r="I1172" s="71">
        <f>IFERROR(__xludf.DUMMYFUNCTION("""COMPUTED_VALUE"""),0.0)</f>
        <v>0</v>
      </c>
      <c r="J1172" s="22" t="str">
        <f>IFERROR(__xludf.DUMMYFUNCTION("""COMPUTED_VALUE"""),"")</f>
        <v/>
      </c>
      <c r="K1172" s="22"/>
      <c r="L1172" s="22"/>
      <c r="M1172" s="22"/>
      <c r="N1172" s="22"/>
      <c r="O1172" s="73"/>
      <c r="P1172" s="8"/>
      <c r="Q1172" s="69"/>
      <c r="R1172" s="69"/>
      <c r="S1172" s="8"/>
      <c r="T1172" s="69"/>
      <c r="U1172" s="8"/>
      <c r="V1172" s="69"/>
      <c r="W1172" s="74"/>
      <c r="X1172" s="69"/>
    </row>
    <row r="1173">
      <c r="A1173" s="30" t="str">
        <f>IFERROR(__xludf.DUMMYFUNCTION("""COMPUTED_VALUE"""),"89750")</f>
        <v>89750</v>
      </c>
      <c r="B1173" s="86">
        <f>IFERROR(__xludf.DUMMYFUNCTION("""COMPUTED_VALUE"""),44643.0)</f>
        <v>44643</v>
      </c>
      <c r="C1173" s="64" t="str">
        <f>IFERROR(__xludf.DUMMYFUNCTION("""COMPUTED_VALUE"""),"Option")</f>
        <v>Option</v>
      </c>
      <c r="D1173" s="87" t="str">
        <f>IFERROR(__xludf.DUMMYFUNCTION("""COMPUTED_VALUE"""),"NU220414C00006000")</f>
        <v>NU220414C00006000</v>
      </c>
      <c r="E1173" s="5" t="str">
        <f>IFERROR(__xludf.DUMMYFUNCTION("""COMPUTED_VALUE"""),"USD")</f>
        <v>USD</v>
      </c>
      <c r="F1173" s="69">
        <f>IFERROR(__xludf.DUMMYFUNCTION("""COMPUTED_VALUE"""),-2.0)</f>
        <v>-2</v>
      </c>
      <c r="G1173" s="70">
        <f>IFERROR(__xludf.DUMMYFUNCTION("""COMPUTED_VALUE"""),7.83915)</f>
        <v>7.83915</v>
      </c>
      <c r="H1173" s="71">
        <f>IFERROR(__xludf.DUMMYFUNCTION("""COMPUTED_VALUE"""),2.1)</f>
        <v>2.1</v>
      </c>
      <c r="I1173" s="71">
        <f>IFERROR(__xludf.DUMMYFUNCTION("""COMPUTED_VALUE"""),1.15)</f>
        <v>1.15</v>
      </c>
      <c r="J1173" s="22" t="str">
        <f>IFERROR(__xludf.DUMMYFUNCTION("""COMPUTED_VALUE"""),"")</f>
        <v/>
      </c>
      <c r="K1173" s="22"/>
      <c r="L1173" s="22"/>
      <c r="M1173" s="22"/>
      <c r="N1173" s="22"/>
      <c r="O1173" s="73"/>
      <c r="P1173" s="8"/>
      <c r="Q1173" s="69"/>
      <c r="R1173" s="69"/>
      <c r="S1173" s="8"/>
      <c r="T1173" s="69"/>
      <c r="U1173" s="8"/>
      <c r="V1173" s="69"/>
      <c r="W1173" s="74"/>
      <c r="X1173" s="69"/>
    </row>
    <row r="1174">
      <c r="A1174" s="30" t="str">
        <f>IFERROR(__xludf.DUMMYFUNCTION("""COMPUTED_VALUE"""),"89750")</f>
        <v>89750</v>
      </c>
      <c r="B1174" s="86">
        <f>IFERROR(__xludf.DUMMYFUNCTION("""COMPUTED_VALUE"""),44643.0)</f>
        <v>44643</v>
      </c>
      <c r="C1174" s="64" t="str">
        <f>IFERROR(__xludf.DUMMYFUNCTION("""COMPUTED_VALUE"""),"Stock")</f>
        <v>Stock</v>
      </c>
      <c r="D1174" s="87" t="str">
        <f>IFERROR(__xludf.DUMMYFUNCTION("""COMPUTED_VALUE"""),"TCEHY")</f>
        <v>TCEHY</v>
      </c>
      <c r="E1174" s="5" t="str">
        <f>IFERROR(__xludf.DUMMYFUNCTION("""COMPUTED_VALUE"""),"USD")</f>
        <v>USD</v>
      </c>
      <c r="F1174" s="69">
        <f>IFERROR(__xludf.DUMMYFUNCTION("""COMPUTED_VALUE"""),-100.0)</f>
        <v>-100</v>
      </c>
      <c r="G1174" s="70">
        <f>IFERROR(__xludf.DUMMYFUNCTION("""COMPUTED_VALUE"""),7.83915)</f>
        <v>7.83915</v>
      </c>
      <c r="H1174" s="71">
        <f>IFERROR(__xludf.DUMMYFUNCTION("""COMPUTED_VALUE"""),47.86)</f>
        <v>47.86</v>
      </c>
      <c r="I1174" s="71">
        <f>IFERROR(__xludf.DUMMYFUNCTION("""COMPUTED_VALUE"""),48.03)</f>
        <v>48.03</v>
      </c>
      <c r="J1174" s="88" t="str">
        <f>IFERROR(__xludf.DUMMYFUNCTION("""COMPUTED_VALUE"""),"Goto link: TCEHY")</f>
        <v>Goto link: TCEHY</v>
      </c>
      <c r="K1174" s="22"/>
      <c r="L1174" s="22"/>
      <c r="M1174" s="22"/>
      <c r="N1174" s="22"/>
      <c r="O1174" s="73"/>
      <c r="P1174" s="8"/>
      <c r="Q1174" s="69"/>
      <c r="R1174" s="69"/>
      <c r="S1174" s="8"/>
      <c r="T1174" s="69"/>
      <c r="U1174" s="8"/>
      <c r="V1174" s="69"/>
      <c r="W1174" s="74"/>
      <c r="X1174" s="69"/>
    </row>
    <row r="1175">
      <c r="A1175" s="30" t="str">
        <f>IFERROR(__xludf.DUMMYFUNCTION("""COMPUTED_VALUE"""),"89750")</f>
        <v>89750</v>
      </c>
      <c r="B1175" s="86">
        <f>IFERROR(__xludf.DUMMYFUNCTION("""COMPUTED_VALUE"""),44645.0)</f>
        <v>44645</v>
      </c>
      <c r="C1175" s="64" t="str">
        <f>IFERROR(__xludf.DUMMYFUNCTION("""COMPUTED_VALUE"""),"Option")</f>
        <v>Option</v>
      </c>
      <c r="D1175" s="87" t="str">
        <f>IFERROR(__xludf.DUMMYFUNCTION("""COMPUTED_VALUE"""),"ARKF220408P00028500")</f>
        <v>ARKF220408P00028500</v>
      </c>
      <c r="E1175" s="5" t="str">
        <f>IFERROR(__xludf.DUMMYFUNCTION("""COMPUTED_VALUE"""),"USD")</f>
        <v>USD</v>
      </c>
      <c r="F1175" s="69">
        <f>IFERROR(__xludf.DUMMYFUNCTION("""COMPUTED_VALUE"""),100.0)</f>
        <v>100</v>
      </c>
      <c r="G1175" s="70">
        <f>IFERROR(__xludf.DUMMYFUNCTION("""COMPUTED_VALUE"""),7.83915)</f>
        <v>7.83915</v>
      </c>
      <c r="H1175" s="71">
        <f>IFERROR(__xludf.DUMMYFUNCTION("""COMPUTED_VALUE"""),0.8)</f>
        <v>0.8</v>
      </c>
      <c r="I1175" s="71">
        <f>IFERROR(__xludf.DUMMYFUNCTION("""COMPUTED_VALUE"""),1.6)</f>
        <v>1.6</v>
      </c>
      <c r="J1175" s="22" t="str">
        <f>IFERROR(__xludf.DUMMYFUNCTION("""COMPUTED_VALUE"""),"")</f>
        <v/>
      </c>
      <c r="K1175" s="22"/>
      <c r="L1175" s="22"/>
      <c r="M1175" s="22"/>
      <c r="N1175" s="22"/>
      <c r="O1175" s="73"/>
      <c r="P1175" s="8"/>
      <c r="Q1175" s="69"/>
      <c r="R1175" s="69"/>
      <c r="S1175" s="8"/>
      <c r="T1175" s="69"/>
      <c r="U1175" s="8"/>
      <c r="V1175" s="69"/>
      <c r="W1175" s="74"/>
      <c r="X1175" s="69"/>
    </row>
    <row r="1176">
      <c r="A1176" s="30" t="str">
        <f>IFERROR(__xludf.DUMMYFUNCTION("""COMPUTED_VALUE"""),"89750")</f>
        <v>89750</v>
      </c>
      <c r="B1176" s="86">
        <f>IFERROR(__xludf.DUMMYFUNCTION("""COMPUTED_VALUE"""),44649.0)</f>
        <v>44649</v>
      </c>
      <c r="C1176" s="64" t="str">
        <f>IFERROR(__xludf.DUMMYFUNCTION("""COMPUTED_VALUE"""),"Option")</f>
        <v>Option</v>
      </c>
      <c r="D1176" s="87" t="str">
        <f>IFERROR(__xludf.DUMMYFUNCTION("""COMPUTED_VALUE"""),"ARKF220408P00028500")</f>
        <v>ARKF220408P00028500</v>
      </c>
      <c r="E1176" s="5" t="str">
        <f>IFERROR(__xludf.DUMMYFUNCTION("""COMPUTED_VALUE"""),"USD")</f>
        <v>USD</v>
      </c>
      <c r="F1176" s="69">
        <f>IFERROR(__xludf.DUMMYFUNCTION("""COMPUTED_VALUE"""),0.0)</f>
        <v>0</v>
      </c>
      <c r="G1176" s="70">
        <f>IFERROR(__xludf.DUMMYFUNCTION("""COMPUTED_VALUE"""),7.83915)</f>
        <v>7.83915</v>
      </c>
      <c r="H1176" s="71">
        <f>IFERROR(__xludf.DUMMYFUNCTION("""COMPUTED_VALUE"""),0.0)</f>
        <v>0</v>
      </c>
      <c r="I1176" s="71">
        <f>IFERROR(__xludf.DUMMYFUNCTION("""COMPUTED_VALUE"""),1.6)</f>
        <v>1.6</v>
      </c>
      <c r="J1176" s="22" t="str">
        <f>IFERROR(__xludf.DUMMYFUNCTION("""COMPUTED_VALUE"""),"")</f>
        <v/>
      </c>
      <c r="K1176" s="22"/>
      <c r="L1176" s="22"/>
      <c r="M1176" s="22"/>
      <c r="N1176" s="22"/>
      <c r="O1176" s="73"/>
      <c r="P1176" s="8"/>
      <c r="Q1176" s="69"/>
      <c r="R1176" s="69"/>
      <c r="S1176" s="8"/>
      <c r="T1176" s="69"/>
      <c r="U1176" s="8"/>
      <c r="V1176" s="69"/>
      <c r="W1176" s="74"/>
      <c r="X1176" s="69"/>
    </row>
    <row r="1177">
      <c r="A1177" s="30" t="str">
        <f>IFERROR(__xludf.DUMMYFUNCTION("""COMPUTED_VALUE"""),"89750")</f>
        <v>89750</v>
      </c>
      <c r="B1177" s="86">
        <f>IFERROR(__xludf.DUMMYFUNCTION("""COMPUTED_VALUE"""),44649.0)</f>
        <v>44649</v>
      </c>
      <c r="C1177" s="64" t="str">
        <f>IFERROR(__xludf.DUMMYFUNCTION("""COMPUTED_VALUE"""),"Stock")</f>
        <v>Stock</v>
      </c>
      <c r="D1177" s="87" t="str">
        <f>IFERROR(__xludf.DUMMYFUNCTION("""COMPUTED_VALUE"""),"TCEHY")</f>
        <v>TCEHY</v>
      </c>
      <c r="E1177" s="5" t="str">
        <f>IFERROR(__xludf.DUMMYFUNCTION("""COMPUTED_VALUE"""),"USD")</f>
        <v>USD</v>
      </c>
      <c r="F1177" s="69">
        <f>IFERROR(__xludf.DUMMYFUNCTION("""COMPUTED_VALUE"""),-50.0)</f>
        <v>-50</v>
      </c>
      <c r="G1177" s="70">
        <f>IFERROR(__xludf.DUMMYFUNCTION("""COMPUTED_VALUE"""),7.83915)</f>
        <v>7.83915</v>
      </c>
      <c r="H1177" s="71">
        <f>IFERROR(__xludf.DUMMYFUNCTION("""COMPUTED_VALUE"""),49.38)</f>
        <v>49.38</v>
      </c>
      <c r="I1177" s="71">
        <f>IFERROR(__xludf.DUMMYFUNCTION("""COMPUTED_VALUE"""),48.03)</f>
        <v>48.03</v>
      </c>
      <c r="J1177" s="88" t="str">
        <f>IFERROR(__xludf.DUMMYFUNCTION("""COMPUTED_VALUE"""),"Goto link: TCEHY")</f>
        <v>Goto link: TCEHY</v>
      </c>
      <c r="K1177" s="22"/>
      <c r="L1177" s="22"/>
      <c r="M1177" s="22"/>
      <c r="N1177" s="22"/>
      <c r="O1177" s="73"/>
      <c r="P1177" s="8"/>
      <c r="Q1177" s="69"/>
      <c r="R1177" s="69"/>
      <c r="S1177" s="8"/>
      <c r="T1177" s="69"/>
      <c r="U1177" s="8"/>
      <c r="V1177" s="69"/>
      <c r="W1177" s="74"/>
      <c r="X1177" s="69"/>
    </row>
    <row r="1178">
      <c r="A1178" s="30" t="str">
        <f>IFERROR(__xludf.DUMMYFUNCTION("""COMPUTED_VALUE"""),"89750")</f>
        <v>89750</v>
      </c>
      <c r="B1178" s="86">
        <f>IFERROR(__xludf.DUMMYFUNCTION("""COMPUTED_VALUE"""),44650.0)</f>
        <v>44650</v>
      </c>
      <c r="C1178" s="64" t="str">
        <f>IFERROR(__xludf.DUMMYFUNCTION("""COMPUTED_VALUE"""),"Option")</f>
        <v>Option</v>
      </c>
      <c r="D1178" s="87" t="str">
        <f>IFERROR(__xludf.DUMMYFUNCTION("""COMPUTED_VALUE"""),"ASML220422P00680000")</f>
        <v>ASML220422P00680000</v>
      </c>
      <c r="E1178" s="5" t="str">
        <f>IFERROR(__xludf.DUMMYFUNCTION("""COMPUTED_VALUE"""),"USD")</f>
        <v>USD</v>
      </c>
      <c r="F1178" s="69" t="str">
        <f>IFERROR(__xludf.DUMMYFUNCTION("""COMPUTED_VALUE"""),"")</f>
        <v/>
      </c>
      <c r="G1178" s="70">
        <f>IFERROR(__xludf.DUMMYFUNCTION("""COMPUTED_VALUE"""),7.83915)</f>
        <v>7.83915</v>
      </c>
      <c r="H1178" s="71">
        <f>IFERROR(__xludf.DUMMYFUNCTION("""COMPUTED_VALUE"""),15.95)</f>
        <v>15.95</v>
      </c>
      <c r="I1178" s="71">
        <f>IFERROR(__xludf.DUMMYFUNCTION("""COMPUTED_VALUE"""),65.84)</f>
        <v>65.84</v>
      </c>
      <c r="J1178" s="22" t="str">
        <f>IFERROR(__xludf.DUMMYFUNCTION("""COMPUTED_VALUE"""),"")</f>
        <v/>
      </c>
      <c r="K1178" s="22"/>
      <c r="L1178" s="22"/>
      <c r="M1178" s="22"/>
      <c r="N1178" s="22"/>
      <c r="O1178" s="73"/>
      <c r="P1178" s="8"/>
      <c r="Q1178" s="69"/>
      <c r="R1178" s="69"/>
      <c r="S1178" s="8"/>
      <c r="T1178" s="69"/>
      <c r="U1178" s="8"/>
      <c r="V1178" s="69"/>
      <c r="W1178" s="74"/>
      <c r="X1178" s="69"/>
    </row>
    <row r="1179">
      <c r="A1179" s="30" t="str">
        <f>IFERROR(__xludf.DUMMYFUNCTION("""COMPUTED_VALUE"""),"89750")</f>
        <v>89750</v>
      </c>
      <c r="B1179" s="86">
        <f>IFERROR(__xludf.DUMMYFUNCTION("""COMPUTED_VALUE"""),44650.0)</f>
        <v>44650</v>
      </c>
      <c r="C1179" s="64" t="str">
        <f>IFERROR(__xludf.DUMMYFUNCTION("""COMPUTED_VALUE"""),"Stock")</f>
        <v>Stock</v>
      </c>
      <c r="D1179" s="90" t="str">
        <f>IFERROR(__xludf.DUMMYFUNCTION("""COMPUTED_VALUE"""),"3690.HK")</f>
        <v>3690.HK</v>
      </c>
      <c r="E1179" s="5" t="str">
        <f>IFERROR(__xludf.DUMMYFUNCTION("""COMPUTED_VALUE"""),"HKD")</f>
        <v>HKD</v>
      </c>
      <c r="F1179" s="69">
        <f>IFERROR(__xludf.DUMMYFUNCTION("""COMPUTED_VALUE"""),-500.0)</f>
        <v>-500</v>
      </c>
      <c r="G1179" s="70">
        <f>IFERROR(__xludf.DUMMYFUNCTION("""COMPUTED_VALUE"""),1.0)</f>
        <v>1</v>
      </c>
      <c r="H1179" s="71">
        <f>IFERROR(__xludf.DUMMYFUNCTION("""COMPUTED_VALUE"""),160.1)</f>
        <v>160.1</v>
      </c>
      <c r="I1179" s="71">
        <f>IFERROR(__xludf.DUMMYFUNCTION("""COMPUTED_VALUE"""),154.1)</f>
        <v>154.1</v>
      </c>
      <c r="J1179" s="88" t="str">
        <f>IFERROR(__xludf.DUMMYFUNCTION("""COMPUTED_VALUE"""),"Goto link: 3690.HK")</f>
        <v>Goto link: 3690.HK</v>
      </c>
      <c r="K1179" s="22"/>
      <c r="L1179" s="22"/>
      <c r="M1179" s="22"/>
      <c r="N1179" s="22"/>
      <c r="O1179" s="73"/>
      <c r="P1179" s="8"/>
      <c r="Q1179" s="69"/>
      <c r="R1179" s="69"/>
      <c r="S1179" s="8"/>
      <c r="T1179" s="69"/>
      <c r="U1179" s="8"/>
      <c r="V1179" s="69"/>
      <c r="W1179" s="74"/>
      <c r="X1179" s="69"/>
    </row>
    <row r="1180">
      <c r="A1180" s="30" t="str">
        <f>IFERROR(__xludf.DUMMYFUNCTION("""COMPUTED_VALUE"""),"89750")</f>
        <v>89750</v>
      </c>
      <c r="B1180" s="86">
        <f>IFERROR(__xludf.DUMMYFUNCTION("""COMPUTED_VALUE"""),44651.0)</f>
        <v>44651</v>
      </c>
      <c r="C1180" s="64" t="str">
        <f>IFERROR(__xludf.DUMMYFUNCTION("""COMPUTED_VALUE"""),"Option")</f>
        <v>Option</v>
      </c>
      <c r="D1180" s="87" t="str">
        <f>IFERROR(__xludf.DUMMYFUNCTION("""COMPUTED_VALUE"""),"ASML220422P00680000")</f>
        <v>ASML220422P00680000</v>
      </c>
      <c r="E1180" s="5" t="str">
        <f>IFERROR(__xludf.DUMMYFUNCTION("""COMPUTED_VALUE"""),"USD")</f>
        <v>USD</v>
      </c>
      <c r="F1180" s="69">
        <f>IFERROR(__xludf.DUMMYFUNCTION("""COMPUTED_VALUE"""),10.0)</f>
        <v>10</v>
      </c>
      <c r="G1180" s="70">
        <f>IFERROR(__xludf.DUMMYFUNCTION("""COMPUTED_VALUE"""),7.83915)</f>
        <v>7.83915</v>
      </c>
      <c r="H1180" s="71">
        <f>IFERROR(__xludf.DUMMYFUNCTION("""COMPUTED_VALUE"""),15.95)</f>
        <v>15.95</v>
      </c>
      <c r="I1180" s="71">
        <f>IFERROR(__xludf.DUMMYFUNCTION("""COMPUTED_VALUE"""),65.84)</f>
        <v>65.84</v>
      </c>
      <c r="J1180" s="22" t="str">
        <f>IFERROR(__xludf.DUMMYFUNCTION("""COMPUTED_VALUE"""),"")</f>
        <v/>
      </c>
      <c r="K1180" s="22"/>
      <c r="L1180" s="22"/>
      <c r="M1180" s="22"/>
      <c r="N1180" s="22"/>
      <c r="O1180" s="73"/>
      <c r="P1180" s="8"/>
      <c r="Q1180" s="69"/>
      <c r="R1180" s="69"/>
      <c r="S1180" s="8"/>
      <c r="T1180" s="69"/>
      <c r="U1180" s="8"/>
      <c r="V1180" s="69"/>
      <c r="W1180" s="74"/>
      <c r="X1180" s="69"/>
    </row>
    <row r="1181">
      <c r="A1181" s="30" t="str">
        <f>IFERROR(__xludf.DUMMYFUNCTION("""COMPUTED_VALUE"""),"89750")</f>
        <v>89750</v>
      </c>
      <c r="B1181" s="86">
        <f>IFERROR(__xludf.DUMMYFUNCTION("""COMPUTED_VALUE"""),44652.0)</f>
        <v>44652</v>
      </c>
      <c r="C1181" s="64" t="str">
        <f>IFERROR(__xludf.DUMMYFUNCTION("""COMPUTED_VALUE"""),"Option")</f>
        <v>Option</v>
      </c>
      <c r="D1181" s="87" t="str">
        <f>IFERROR(__xludf.DUMMYFUNCTION("""COMPUTED_VALUE"""),"ARKF220414P00027500")</f>
        <v>ARKF220414P00027500</v>
      </c>
      <c r="E1181" s="5" t="str">
        <f>IFERROR(__xludf.DUMMYFUNCTION("""COMPUTED_VALUE"""),"USD")</f>
        <v>USD</v>
      </c>
      <c r="F1181" s="69">
        <f>IFERROR(__xludf.DUMMYFUNCTION("""COMPUTED_VALUE"""),400.0)</f>
        <v>400</v>
      </c>
      <c r="G1181" s="70">
        <f>IFERROR(__xludf.DUMMYFUNCTION("""COMPUTED_VALUE"""),7.83915)</f>
        <v>7.83915</v>
      </c>
      <c r="H1181" s="71">
        <f>IFERROR(__xludf.DUMMYFUNCTION("""COMPUTED_VALUE"""),0.29)</f>
        <v>0.29</v>
      </c>
      <c r="I1181" s="71">
        <f>IFERROR(__xludf.DUMMYFUNCTION("""COMPUTED_VALUE"""),1.3)</f>
        <v>1.3</v>
      </c>
      <c r="J1181" s="22" t="str">
        <f>IFERROR(__xludf.DUMMYFUNCTION("""COMPUTED_VALUE"""),"")</f>
        <v/>
      </c>
      <c r="K1181" s="22"/>
      <c r="L1181" s="22"/>
      <c r="M1181" s="22"/>
      <c r="N1181" s="22"/>
      <c r="O1181" s="73"/>
      <c r="P1181" s="8"/>
      <c r="Q1181" s="69"/>
      <c r="R1181" s="69"/>
      <c r="S1181" s="8"/>
      <c r="T1181" s="69"/>
      <c r="U1181" s="8"/>
      <c r="V1181" s="69"/>
      <c r="W1181" s="74"/>
      <c r="X1181" s="69"/>
    </row>
    <row r="1182">
      <c r="A1182" s="30" t="str">
        <f>IFERROR(__xludf.DUMMYFUNCTION("""COMPUTED_VALUE"""),"89750")</f>
        <v>89750</v>
      </c>
      <c r="B1182" s="86">
        <f>IFERROR(__xludf.DUMMYFUNCTION("""COMPUTED_VALUE"""),44652.0)</f>
        <v>44652</v>
      </c>
      <c r="C1182" s="64" t="str">
        <f>IFERROR(__xludf.DUMMYFUNCTION("""COMPUTED_VALUE"""),"Option")</f>
        <v>Option</v>
      </c>
      <c r="D1182" s="87" t="str">
        <f>IFERROR(__xludf.DUMMYFUNCTION("""COMPUTED_VALUE"""),"ASML220422P00680000")</f>
        <v>ASML220422P00680000</v>
      </c>
      <c r="E1182" s="5" t="str">
        <f>IFERROR(__xludf.DUMMYFUNCTION("""COMPUTED_VALUE"""),"USD")</f>
        <v>USD</v>
      </c>
      <c r="F1182" s="69">
        <f>IFERROR(__xludf.DUMMYFUNCTION("""COMPUTED_VALUE"""),-5.0)</f>
        <v>-5</v>
      </c>
      <c r="G1182" s="70">
        <f>IFERROR(__xludf.DUMMYFUNCTION("""COMPUTED_VALUE"""),7.83915)</f>
        <v>7.83915</v>
      </c>
      <c r="H1182" s="71">
        <f>IFERROR(__xludf.DUMMYFUNCTION("""COMPUTED_VALUE"""),28.07)</f>
        <v>28.07</v>
      </c>
      <c r="I1182" s="71">
        <f>IFERROR(__xludf.DUMMYFUNCTION("""COMPUTED_VALUE"""),65.84)</f>
        <v>65.84</v>
      </c>
      <c r="J1182" s="22" t="str">
        <f>IFERROR(__xludf.DUMMYFUNCTION("""COMPUTED_VALUE"""),"")</f>
        <v/>
      </c>
      <c r="K1182" s="22"/>
      <c r="L1182" s="22"/>
      <c r="M1182" s="22"/>
      <c r="N1182" s="22"/>
      <c r="O1182" s="73"/>
      <c r="P1182" s="8"/>
      <c r="Q1182" s="69"/>
      <c r="R1182" s="69"/>
      <c r="S1182" s="8"/>
      <c r="T1182" s="69"/>
      <c r="U1182" s="8"/>
      <c r="V1182" s="69"/>
      <c r="W1182" s="74"/>
      <c r="X1182" s="69"/>
    </row>
    <row r="1183">
      <c r="A1183" s="30" t="str">
        <f>IFERROR(__xludf.DUMMYFUNCTION("""COMPUTED_VALUE"""),"89750")</f>
        <v>89750</v>
      </c>
      <c r="B1183" s="86">
        <f>IFERROR(__xludf.DUMMYFUNCTION("""COMPUTED_VALUE"""),44655.0)</f>
        <v>44655</v>
      </c>
      <c r="C1183" s="64" t="str">
        <f>IFERROR(__xludf.DUMMYFUNCTION("""COMPUTED_VALUE"""),"Option")</f>
        <v>Option</v>
      </c>
      <c r="D1183" s="87" t="str">
        <f>IFERROR(__xludf.DUMMYFUNCTION("""COMPUTED_VALUE"""),"ARKF220414P00027500")</f>
        <v>ARKF220414P00027500</v>
      </c>
      <c r="E1183" s="5" t="str">
        <f>IFERROR(__xludf.DUMMYFUNCTION("""COMPUTED_VALUE"""),"USD")</f>
        <v>USD</v>
      </c>
      <c r="F1183" s="69">
        <f>IFERROR(__xludf.DUMMYFUNCTION("""COMPUTED_VALUE"""),-400.0)</f>
        <v>-400</v>
      </c>
      <c r="G1183" s="70">
        <f>IFERROR(__xludf.DUMMYFUNCTION("""COMPUTED_VALUE"""),7.83915)</f>
        <v>7.83915</v>
      </c>
      <c r="H1183" s="71">
        <f>IFERROR(__xludf.DUMMYFUNCTION("""COMPUTED_VALUE"""),0.29)</f>
        <v>0.29</v>
      </c>
      <c r="I1183" s="71">
        <f>IFERROR(__xludf.DUMMYFUNCTION("""COMPUTED_VALUE"""),1.3)</f>
        <v>1.3</v>
      </c>
      <c r="J1183" s="22" t="str">
        <f>IFERROR(__xludf.DUMMYFUNCTION("""COMPUTED_VALUE"""),"")</f>
        <v/>
      </c>
      <c r="K1183" s="22"/>
      <c r="L1183" s="22"/>
      <c r="M1183" s="22"/>
      <c r="N1183" s="22"/>
      <c r="O1183" s="73"/>
      <c r="P1183" s="8"/>
      <c r="Q1183" s="69"/>
      <c r="R1183" s="69"/>
      <c r="S1183" s="8"/>
      <c r="T1183" s="69"/>
      <c r="U1183" s="8"/>
      <c r="V1183" s="69"/>
      <c r="W1183" s="74"/>
      <c r="X1183" s="69"/>
    </row>
    <row r="1184">
      <c r="A1184" s="30" t="str">
        <f>IFERROR(__xludf.DUMMYFUNCTION("""COMPUTED_VALUE"""),"89750")</f>
        <v>89750</v>
      </c>
      <c r="B1184" s="86">
        <f>IFERROR(__xludf.DUMMYFUNCTION("""COMPUTED_VALUE"""),44655.0)</f>
        <v>44655</v>
      </c>
      <c r="C1184" s="64" t="str">
        <f>IFERROR(__xludf.DUMMYFUNCTION("""COMPUTED_VALUE"""),"Option")</f>
        <v>Option</v>
      </c>
      <c r="D1184" s="87" t="str">
        <f>IFERROR(__xludf.DUMMYFUNCTION("""COMPUTED_VALUE"""),"ASML220422P00680000")</f>
        <v>ASML220422P00680000</v>
      </c>
      <c r="E1184" s="5" t="str">
        <f>IFERROR(__xludf.DUMMYFUNCTION("""COMPUTED_VALUE"""),"USD")</f>
        <v>USD</v>
      </c>
      <c r="F1184" s="69">
        <f>IFERROR(__xludf.DUMMYFUNCTION("""COMPUTED_VALUE"""),-5.0)</f>
        <v>-5</v>
      </c>
      <c r="G1184" s="70">
        <f>IFERROR(__xludf.DUMMYFUNCTION("""COMPUTED_VALUE"""),7.83915)</f>
        <v>7.83915</v>
      </c>
      <c r="H1184" s="71">
        <f>IFERROR(__xludf.DUMMYFUNCTION("""COMPUTED_VALUE"""),28.07)</f>
        <v>28.07</v>
      </c>
      <c r="I1184" s="71">
        <f>IFERROR(__xludf.DUMMYFUNCTION("""COMPUTED_VALUE"""),65.84)</f>
        <v>65.84</v>
      </c>
      <c r="J1184" s="22" t="str">
        <f>IFERROR(__xludf.DUMMYFUNCTION("""COMPUTED_VALUE"""),"")</f>
        <v/>
      </c>
      <c r="K1184" s="22"/>
      <c r="L1184" s="22"/>
      <c r="M1184" s="22"/>
      <c r="N1184" s="22"/>
      <c r="O1184" s="73"/>
      <c r="P1184" s="8"/>
      <c r="Q1184" s="69"/>
      <c r="R1184" s="69"/>
      <c r="S1184" s="8"/>
      <c r="T1184" s="69"/>
      <c r="U1184" s="8"/>
      <c r="V1184" s="69"/>
      <c r="W1184" s="74"/>
      <c r="X1184" s="69"/>
    </row>
    <row r="1185">
      <c r="A1185" s="30" t="str">
        <f>IFERROR(__xludf.DUMMYFUNCTION("""COMPUTED_VALUE"""),"89750")</f>
        <v>89750</v>
      </c>
      <c r="B1185" s="86">
        <f>IFERROR(__xludf.DUMMYFUNCTION("""COMPUTED_VALUE"""),44656.0)</f>
        <v>44656</v>
      </c>
      <c r="C1185" s="64" t="str">
        <f>IFERROR(__xludf.DUMMYFUNCTION("""COMPUTED_VALUE"""),"Option")</f>
        <v>Option</v>
      </c>
      <c r="D1185" s="87" t="str">
        <f>IFERROR(__xludf.DUMMYFUNCTION("""COMPUTED_VALUE"""),"ASML220429P00660000")</f>
        <v>ASML220429P00660000</v>
      </c>
      <c r="E1185" s="5" t="str">
        <f>IFERROR(__xludf.DUMMYFUNCTION("""COMPUTED_VALUE"""),"USD")</f>
        <v>USD</v>
      </c>
      <c r="F1185" s="69">
        <f>IFERROR(__xludf.DUMMYFUNCTION("""COMPUTED_VALUE"""),0.0)</f>
        <v>0</v>
      </c>
      <c r="G1185" s="70">
        <f>IFERROR(__xludf.DUMMYFUNCTION("""COMPUTED_VALUE"""),7.83915)</f>
        <v>7.83915</v>
      </c>
      <c r="H1185" s="71">
        <f>IFERROR(__xludf.DUMMYFUNCTION("""COMPUTED_VALUE"""),0.0)</f>
        <v>0</v>
      </c>
      <c r="I1185" s="71">
        <f>IFERROR(__xludf.DUMMYFUNCTION("""COMPUTED_VALUE"""),57.77)</f>
        <v>57.77</v>
      </c>
      <c r="J1185" s="22" t="str">
        <f>IFERROR(__xludf.DUMMYFUNCTION("""COMPUTED_VALUE"""),"")</f>
        <v/>
      </c>
      <c r="K1185" s="22"/>
      <c r="L1185" s="22"/>
      <c r="M1185" s="22"/>
      <c r="N1185" s="22"/>
      <c r="O1185" s="73"/>
      <c r="P1185" s="8"/>
      <c r="Q1185" s="69"/>
      <c r="R1185" s="69"/>
      <c r="S1185" s="8"/>
      <c r="T1185" s="69"/>
      <c r="U1185" s="8"/>
      <c r="V1185" s="69"/>
      <c r="W1185" s="74"/>
      <c r="X1185" s="69"/>
    </row>
    <row r="1186">
      <c r="A1186" s="30" t="str">
        <f>IFERROR(__xludf.DUMMYFUNCTION("""COMPUTED_VALUE"""),"89750")</f>
        <v>89750</v>
      </c>
      <c r="B1186" s="86">
        <f>IFERROR(__xludf.DUMMYFUNCTION("""COMPUTED_VALUE"""),44657.0)</f>
        <v>44657</v>
      </c>
      <c r="C1186" s="64" t="str">
        <f>IFERROR(__xludf.DUMMYFUNCTION("""COMPUTED_VALUE"""),"Option")</f>
        <v>Option</v>
      </c>
      <c r="D1186" s="87" t="str">
        <f>IFERROR(__xludf.DUMMYFUNCTION("""COMPUTED_VALUE"""),"ASML220422P00680000")</f>
        <v>ASML220422P00680000</v>
      </c>
      <c r="E1186" s="5" t="str">
        <f>IFERROR(__xludf.DUMMYFUNCTION("""COMPUTED_VALUE"""),"USD")</f>
        <v>USD</v>
      </c>
      <c r="F1186" s="69">
        <f>IFERROR(__xludf.DUMMYFUNCTION("""COMPUTED_VALUE"""),10.0)</f>
        <v>10</v>
      </c>
      <c r="G1186" s="70">
        <f>IFERROR(__xludf.DUMMYFUNCTION("""COMPUTED_VALUE"""),7.83915)</f>
        <v>7.83915</v>
      </c>
      <c r="H1186" s="71">
        <f>IFERROR(__xludf.DUMMYFUNCTION("""COMPUTED_VALUE"""),28.07)</f>
        <v>28.07</v>
      </c>
      <c r="I1186" s="71">
        <f>IFERROR(__xludf.DUMMYFUNCTION("""COMPUTED_VALUE"""),65.84)</f>
        <v>65.84</v>
      </c>
      <c r="J1186" s="22" t="str">
        <f>IFERROR(__xludf.DUMMYFUNCTION("""COMPUTED_VALUE"""),"")</f>
        <v/>
      </c>
      <c r="K1186" s="22"/>
      <c r="L1186" s="22"/>
      <c r="M1186" s="22"/>
      <c r="N1186" s="22"/>
      <c r="O1186" s="73"/>
      <c r="P1186" s="8"/>
      <c r="Q1186" s="69"/>
      <c r="R1186" s="69"/>
      <c r="S1186" s="8"/>
      <c r="T1186" s="69"/>
      <c r="U1186" s="8"/>
      <c r="V1186" s="69"/>
      <c r="W1186" s="74"/>
      <c r="X1186" s="69"/>
    </row>
    <row r="1187">
      <c r="A1187" s="30" t="str">
        <f>IFERROR(__xludf.DUMMYFUNCTION("""COMPUTED_VALUE"""),"89750")</f>
        <v>89750</v>
      </c>
      <c r="B1187" s="86">
        <f>IFERROR(__xludf.DUMMYFUNCTION("""COMPUTED_VALUE"""),44659.0)</f>
        <v>44659</v>
      </c>
      <c r="C1187" s="64" t="str">
        <f>IFERROR(__xludf.DUMMYFUNCTION("""COMPUTED_VALUE"""),"Option")</f>
        <v>Option</v>
      </c>
      <c r="D1187" s="85" t="str">
        <f>IFERROR(__xludf.DUMMYFUNCTION("""COMPUTED_VALUE"""),"ASML220422P00680000")</f>
        <v>ASML220422P00680000</v>
      </c>
      <c r="E1187" s="5" t="str">
        <f>IFERROR(__xludf.DUMMYFUNCTION("""COMPUTED_VALUE"""),"USD")</f>
        <v>USD</v>
      </c>
      <c r="F1187" s="69">
        <f>IFERROR(__xludf.DUMMYFUNCTION("""COMPUTED_VALUE"""),-10.0)</f>
        <v>-10</v>
      </c>
      <c r="G1187" s="70">
        <f>IFERROR(__xludf.DUMMYFUNCTION("""COMPUTED_VALUE"""),7.83915)</f>
        <v>7.83915</v>
      </c>
      <c r="H1187" s="71">
        <f>IFERROR(__xludf.DUMMYFUNCTION("""COMPUTED_VALUE"""),65.84)</f>
        <v>65.84</v>
      </c>
      <c r="I1187" s="71">
        <f>IFERROR(__xludf.DUMMYFUNCTION("""COMPUTED_VALUE"""),65.84)</f>
        <v>65.84</v>
      </c>
      <c r="J1187" s="22" t="str">
        <f>IFERROR(__xludf.DUMMYFUNCTION("""COMPUTED_VALUE"""),"")</f>
        <v/>
      </c>
      <c r="K1187" s="22"/>
      <c r="L1187" s="22"/>
      <c r="M1187" s="22"/>
      <c r="N1187" s="22"/>
      <c r="O1187" s="73"/>
      <c r="P1187" s="8"/>
      <c r="Q1187" s="69"/>
      <c r="R1187" s="69"/>
      <c r="S1187" s="8"/>
      <c r="T1187" s="69"/>
      <c r="U1187" s="8"/>
      <c r="V1187" s="69"/>
      <c r="W1187" s="74"/>
      <c r="X1187" s="69"/>
    </row>
    <row r="1188">
      <c r="A1188" s="30" t="str">
        <f>IFERROR(__xludf.DUMMYFUNCTION("""COMPUTED_VALUE"""),"89750")</f>
        <v>89750</v>
      </c>
      <c r="B1188" s="86">
        <f>IFERROR(__xludf.DUMMYFUNCTION("""COMPUTED_VALUE"""),44663.0)</f>
        <v>44663</v>
      </c>
      <c r="C1188" s="64" t="str">
        <f>IFERROR(__xludf.DUMMYFUNCTION("""COMPUTED_VALUE"""),"Stock")</f>
        <v>Stock</v>
      </c>
      <c r="D1188" s="85" t="str">
        <f>IFERROR(__xludf.DUMMYFUNCTION("""COMPUTED_VALUE"""),"^HSI")</f>
        <v>^HSI</v>
      </c>
      <c r="E1188" s="5" t="str">
        <f>IFERROR(__xludf.DUMMYFUNCTION("""COMPUTED_VALUE"""),"HKD")</f>
        <v>HKD</v>
      </c>
      <c r="F1188" s="69">
        <f>IFERROR(__xludf.DUMMYFUNCTION("""COMPUTED_VALUE"""),1.0)</f>
        <v>1</v>
      </c>
      <c r="G1188" s="70">
        <f>IFERROR(__xludf.DUMMYFUNCTION("""COMPUTED_VALUE"""),1.0)</f>
        <v>1</v>
      </c>
      <c r="H1188" s="71">
        <f>IFERROR(__xludf.DUMMYFUNCTION("""COMPUTED_VALUE"""),21319.13)</f>
        <v>21319.13</v>
      </c>
      <c r="I1188" s="71">
        <f>IFERROR(__xludf.DUMMYFUNCTION("""COMPUTED_VALUE"""),21374.37)</f>
        <v>21374.37</v>
      </c>
      <c r="J1188" s="88" t="str">
        <f>IFERROR(__xludf.DUMMYFUNCTION("""COMPUTED_VALUE"""),"Goto link: ^HSI")</f>
        <v>Goto link: ^HSI</v>
      </c>
      <c r="K1188" s="22"/>
      <c r="L1188" s="22"/>
      <c r="M1188" s="22"/>
      <c r="N1188" s="22"/>
      <c r="O1188" s="73"/>
      <c r="P1188" s="8"/>
      <c r="Q1188" s="69"/>
      <c r="R1188" s="69"/>
      <c r="S1188" s="8"/>
      <c r="T1188" s="69"/>
      <c r="U1188" s="8"/>
      <c r="V1188" s="69"/>
      <c r="W1188" s="74"/>
      <c r="X1188" s="69"/>
    </row>
    <row r="1189">
      <c r="A1189" s="30" t="str">
        <f>IFERROR(__xludf.DUMMYFUNCTION("""COMPUTED_VALUE"""),"89750")</f>
        <v>89750</v>
      </c>
      <c r="B1189" s="86">
        <f>IFERROR(__xludf.DUMMYFUNCTION("""COMPUTED_VALUE"""),44663.0)</f>
        <v>44663</v>
      </c>
      <c r="C1189" s="64" t="str">
        <f>IFERROR(__xludf.DUMMYFUNCTION("""COMPUTED_VALUE"""),"Stock")</f>
        <v>Stock</v>
      </c>
      <c r="D1189" s="85" t="str">
        <f>IFERROR(__xludf.DUMMYFUNCTION("""COMPUTED_VALUE"""),"MARA")</f>
        <v>MARA</v>
      </c>
      <c r="E1189" s="5" t="str">
        <f>IFERROR(__xludf.DUMMYFUNCTION("""COMPUTED_VALUE"""),"USD")</f>
        <v>USD</v>
      </c>
      <c r="F1189" s="69">
        <f>IFERROR(__xludf.DUMMYFUNCTION("""COMPUTED_VALUE"""),200.0)</f>
        <v>200</v>
      </c>
      <c r="G1189" s="70">
        <f>IFERROR(__xludf.DUMMYFUNCTION("""COMPUTED_VALUE"""),7.83915)</f>
        <v>7.83915</v>
      </c>
      <c r="H1189" s="71">
        <f>IFERROR(__xludf.DUMMYFUNCTION("""COMPUTED_VALUE"""),21.16)</f>
        <v>21.16</v>
      </c>
      <c r="I1189" s="71">
        <f>IFERROR(__xludf.DUMMYFUNCTION("""COMPUTED_VALUE"""),22.3)</f>
        <v>22.3</v>
      </c>
      <c r="J1189" s="88" t="str">
        <f>IFERROR(__xludf.DUMMYFUNCTION("""COMPUTED_VALUE"""),"Goto link: MARA")</f>
        <v>Goto link: MARA</v>
      </c>
      <c r="K1189" s="22"/>
      <c r="L1189" s="22"/>
      <c r="M1189" s="22"/>
      <c r="N1189" s="22"/>
      <c r="O1189" s="73"/>
      <c r="P1189" s="8"/>
      <c r="Q1189" s="69"/>
      <c r="R1189" s="69"/>
      <c r="S1189" s="8"/>
      <c r="T1189" s="69"/>
      <c r="U1189" s="8"/>
      <c r="V1189" s="69"/>
      <c r="W1189" s="74"/>
      <c r="X1189" s="69"/>
    </row>
    <row r="1190">
      <c r="A1190" s="30" t="str">
        <f>IFERROR(__xludf.DUMMYFUNCTION("""COMPUTED_VALUE"""),"89750 Total")</f>
        <v>89750 Total</v>
      </c>
      <c r="B1190" s="5"/>
      <c r="C1190" s="64"/>
      <c r="D1190" s="85"/>
      <c r="E1190" s="5"/>
      <c r="F1190" s="69"/>
      <c r="G1190" s="70">
        <f>IFERROR(__xludf.DUMMYFUNCTION("""COMPUTED_VALUE"""),6.23490493827161)</f>
        <v>6.234904938</v>
      </c>
      <c r="H1190" s="71">
        <f>IFERROR(__xludf.DUMMYFUNCTION("""COMPUTED_VALUE"""),21319.13)</f>
        <v>21319.13</v>
      </c>
      <c r="I1190" s="71" t="str">
        <f>IFERROR(__xludf.DUMMYFUNCTION("""COMPUTED_VALUE"""),"")</f>
        <v/>
      </c>
      <c r="J1190" s="22" t="str">
        <f>IFERROR(__xludf.DUMMYFUNCTION("""COMPUTED_VALUE"""),"")</f>
        <v/>
      </c>
      <c r="K1190" s="22"/>
      <c r="L1190" s="22"/>
      <c r="M1190" s="22"/>
      <c r="N1190" s="22"/>
      <c r="O1190" s="73"/>
      <c r="P1190" s="8"/>
      <c r="Q1190" s="69"/>
      <c r="R1190" s="69"/>
      <c r="S1190" s="8"/>
      <c r="T1190" s="69"/>
      <c r="U1190" s="8"/>
      <c r="V1190" s="69"/>
      <c r="W1190" s="74"/>
      <c r="X1190" s="69"/>
    </row>
    <row r="1191">
      <c r="A1191" s="30" t="str">
        <f>IFERROR(__xludf.DUMMYFUNCTION("""COMPUTED_VALUE"""),"89833")</f>
        <v>89833</v>
      </c>
      <c r="B1191" s="86">
        <f>IFERROR(__xludf.DUMMYFUNCTION("""COMPUTED_VALUE"""),44597.0)</f>
        <v>44597</v>
      </c>
      <c r="C1191" s="64" t="str">
        <f>IFERROR(__xludf.DUMMYFUNCTION("""COMPUTED_VALUE"""),"Cash")</f>
        <v>Cash</v>
      </c>
      <c r="D1191" s="85" t="str">
        <f>IFERROR(__xludf.DUMMYFUNCTION("""COMPUTED_VALUE"""),"Cash")</f>
        <v>Cash</v>
      </c>
      <c r="E1191" s="5" t="str">
        <f>IFERROR(__xludf.DUMMYFUNCTION("""COMPUTED_VALUE"""),"HKD")</f>
        <v>HKD</v>
      </c>
      <c r="F1191" s="69" t="str">
        <f>IFERROR(__xludf.DUMMYFUNCTION("""COMPUTED_VALUE"""),"")</f>
        <v/>
      </c>
      <c r="G1191" s="70">
        <f>IFERROR(__xludf.DUMMYFUNCTION("""COMPUTED_VALUE"""),1.0)</f>
        <v>1</v>
      </c>
      <c r="H1191" s="71">
        <f>IFERROR(__xludf.DUMMYFUNCTION("""COMPUTED_VALUE"""),1.0)</f>
        <v>1</v>
      </c>
      <c r="I1191" s="71">
        <f>IFERROR(__xludf.DUMMYFUNCTION("""COMPUTED_VALUE"""),1.0)</f>
        <v>1</v>
      </c>
      <c r="J1191" s="22" t="str">
        <f>IFERROR(__xludf.DUMMYFUNCTION("""COMPUTED_VALUE"""),"")</f>
        <v/>
      </c>
      <c r="K1191" s="22"/>
      <c r="L1191" s="22"/>
      <c r="M1191" s="22"/>
      <c r="N1191" s="22"/>
      <c r="O1191" s="73"/>
      <c r="P1191" s="8"/>
      <c r="Q1191" s="69"/>
      <c r="R1191" s="69"/>
      <c r="S1191" s="8"/>
      <c r="T1191" s="69"/>
      <c r="U1191" s="8"/>
      <c r="V1191" s="69"/>
      <c r="W1191" s="74"/>
      <c r="X1191" s="69"/>
    </row>
    <row r="1192">
      <c r="A1192" s="30" t="str">
        <f>IFERROR(__xludf.DUMMYFUNCTION("""COMPUTED_VALUE"""),"89833")</f>
        <v>89833</v>
      </c>
      <c r="B1192" s="86">
        <f>IFERROR(__xludf.DUMMYFUNCTION("""COMPUTED_VALUE"""),44648.0)</f>
        <v>44648</v>
      </c>
      <c r="C1192" s="64" t="str">
        <f>IFERROR(__xludf.DUMMYFUNCTION("""COMPUTED_VALUE"""),"Stock")</f>
        <v>Stock</v>
      </c>
      <c r="D1192" s="90" t="str">
        <f>IFERROR(__xludf.DUMMYFUNCTION("""COMPUTED_VALUE"""),"0700.HK")</f>
        <v>0700.HK</v>
      </c>
      <c r="E1192" s="5" t="str">
        <f>IFERROR(__xludf.DUMMYFUNCTION("""COMPUTED_VALUE"""),"HKD")</f>
        <v>HKD</v>
      </c>
      <c r="F1192" s="69">
        <f>IFERROR(__xludf.DUMMYFUNCTION("""COMPUTED_VALUE"""),400.0)</f>
        <v>400</v>
      </c>
      <c r="G1192" s="70">
        <f>IFERROR(__xludf.DUMMYFUNCTION("""COMPUTED_VALUE"""),1.0)</f>
        <v>1</v>
      </c>
      <c r="H1192" s="71">
        <f>IFERROR(__xludf.DUMMYFUNCTION("""COMPUTED_VALUE"""),366.4)</f>
        <v>366.4</v>
      </c>
      <c r="I1192" s="71">
        <f>IFERROR(__xludf.DUMMYFUNCTION("""COMPUTED_VALUE"""),373.6)</f>
        <v>373.6</v>
      </c>
      <c r="J1192" s="88" t="str">
        <f>IFERROR(__xludf.DUMMYFUNCTION("""COMPUTED_VALUE"""),"Goto link: 0700.HK")</f>
        <v>Goto link: 0700.HK</v>
      </c>
      <c r="K1192" s="22"/>
      <c r="L1192" s="22"/>
      <c r="M1192" s="22"/>
      <c r="N1192" s="22"/>
      <c r="O1192" s="73"/>
      <c r="P1192" s="8"/>
      <c r="Q1192" s="69"/>
      <c r="R1192" s="69"/>
      <c r="S1192" s="8"/>
      <c r="T1192" s="69"/>
      <c r="U1192" s="8"/>
      <c r="V1192" s="69"/>
      <c r="W1192" s="74"/>
      <c r="X1192" s="69"/>
    </row>
    <row r="1193">
      <c r="A1193" s="30" t="str">
        <f>IFERROR(__xludf.DUMMYFUNCTION("""COMPUTED_VALUE"""),"89833")</f>
        <v>89833</v>
      </c>
      <c r="B1193" s="86">
        <f>IFERROR(__xludf.DUMMYFUNCTION("""COMPUTED_VALUE"""),44651.0)</f>
        <v>44651</v>
      </c>
      <c r="C1193" s="64" t="str">
        <f>IFERROR(__xludf.DUMMYFUNCTION("""COMPUTED_VALUE"""),"Stock")</f>
        <v>Stock</v>
      </c>
      <c r="D1193" s="90" t="str">
        <f>IFERROR(__xludf.DUMMYFUNCTION("""COMPUTED_VALUE"""),"0700.HK")</f>
        <v>0700.HK</v>
      </c>
      <c r="E1193" s="5" t="str">
        <f>IFERROR(__xludf.DUMMYFUNCTION("""COMPUTED_VALUE"""),"HKD")</f>
        <v>HKD</v>
      </c>
      <c r="F1193" s="69">
        <f>IFERROR(__xludf.DUMMYFUNCTION("""COMPUTED_VALUE"""),-400.0)</f>
        <v>-400</v>
      </c>
      <c r="G1193" s="70">
        <f>IFERROR(__xludf.DUMMYFUNCTION("""COMPUTED_VALUE"""),1.0)</f>
        <v>1</v>
      </c>
      <c r="H1193" s="71">
        <f>IFERROR(__xludf.DUMMYFUNCTION("""COMPUTED_VALUE"""),374.2)</f>
        <v>374.2</v>
      </c>
      <c r="I1193" s="71">
        <f>IFERROR(__xludf.DUMMYFUNCTION("""COMPUTED_VALUE"""),373.6)</f>
        <v>373.6</v>
      </c>
      <c r="J1193" s="88" t="str">
        <f>IFERROR(__xludf.DUMMYFUNCTION("""COMPUTED_VALUE"""),"Goto link: 0700.HK")</f>
        <v>Goto link: 0700.HK</v>
      </c>
      <c r="K1193" s="22"/>
      <c r="L1193" s="22"/>
      <c r="M1193" s="22"/>
      <c r="N1193" s="22"/>
      <c r="O1193" s="73"/>
      <c r="P1193" s="8"/>
      <c r="Q1193" s="69"/>
      <c r="R1193" s="69"/>
      <c r="S1193" s="8"/>
      <c r="T1193" s="69"/>
      <c r="U1193" s="8"/>
      <c r="V1193" s="69"/>
      <c r="W1193" s="74"/>
      <c r="X1193" s="69"/>
    </row>
    <row r="1194">
      <c r="A1194" s="30" t="str">
        <f>IFERROR(__xludf.DUMMYFUNCTION("""COMPUTED_VALUE"""),"89833")</f>
        <v>89833</v>
      </c>
      <c r="B1194" s="86">
        <f>IFERROR(__xludf.DUMMYFUNCTION("""COMPUTED_VALUE"""),44658.0)</f>
        <v>44658</v>
      </c>
      <c r="C1194" s="64" t="str">
        <f>IFERROR(__xludf.DUMMYFUNCTION("""COMPUTED_VALUE"""),"Stock")</f>
        <v>Stock</v>
      </c>
      <c r="D1194" s="90" t="str">
        <f>IFERROR(__xludf.DUMMYFUNCTION("""COMPUTED_VALUE"""),"0883.HK")</f>
        <v>0883.HK</v>
      </c>
      <c r="E1194" s="5" t="str">
        <f>IFERROR(__xludf.DUMMYFUNCTION("""COMPUTED_VALUE"""),"HKD")</f>
        <v>HKD</v>
      </c>
      <c r="F1194" s="69">
        <f>IFERROR(__xludf.DUMMYFUNCTION("""COMPUTED_VALUE"""),15000.0)</f>
        <v>15000</v>
      </c>
      <c r="G1194" s="70">
        <f>IFERROR(__xludf.DUMMYFUNCTION("""COMPUTED_VALUE"""),1.0)</f>
        <v>1</v>
      </c>
      <c r="H1194" s="71">
        <f>IFERROR(__xludf.DUMMYFUNCTION("""COMPUTED_VALUE"""),11.36)</f>
        <v>11.36</v>
      </c>
      <c r="I1194" s="71">
        <f>IFERROR(__xludf.DUMMYFUNCTION("""COMPUTED_VALUE"""),11.46)</f>
        <v>11.46</v>
      </c>
      <c r="J1194" s="88" t="str">
        <f>IFERROR(__xludf.DUMMYFUNCTION("""COMPUTED_VALUE"""),"Goto link: 0883.HK")</f>
        <v>Goto link: 0883.HK</v>
      </c>
      <c r="K1194" s="22"/>
      <c r="L1194" s="22"/>
      <c r="M1194" s="22"/>
      <c r="N1194" s="22"/>
      <c r="O1194" s="73"/>
      <c r="P1194" s="8"/>
      <c r="Q1194" s="69"/>
      <c r="R1194" s="69"/>
      <c r="S1194" s="8"/>
      <c r="T1194" s="69"/>
      <c r="U1194" s="8"/>
      <c r="V1194" s="69"/>
      <c r="W1194" s="74"/>
      <c r="X1194" s="69"/>
    </row>
    <row r="1195">
      <c r="A1195" s="30" t="str">
        <f>IFERROR(__xludf.DUMMYFUNCTION("""COMPUTED_VALUE"""),"89833")</f>
        <v>89833</v>
      </c>
      <c r="B1195" s="86">
        <f>IFERROR(__xludf.DUMMYFUNCTION("""COMPUTED_VALUE"""),44658.0)</f>
        <v>44658</v>
      </c>
      <c r="C1195" s="64" t="str">
        <f>IFERROR(__xludf.DUMMYFUNCTION("""COMPUTED_VALUE"""),"Stock")</f>
        <v>Stock</v>
      </c>
      <c r="D1195" s="85" t="str">
        <f>IFERROR(__xludf.DUMMYFUNCTION("""COMPUTED_VALUE"""),"BILI")</f>
        <v>BILI</v>
      </c>
      <c r="E1195" s="5" t="str">
        <f>IFERROR(__xludf.DUMMYFUNCTION("""COMPUTED_VALUE"""),"USD")</f>
        <v>USD</v>
      </c>
      <c r="F1195" s="69">
        <f>IFERROR(__xludf.DUMMYFUNCTION("""COMPUTED_VALUE"""),100.0)</f>
        <v>100</v>
      </c>
      <c r="G1195" s="70">
        <f>IFERROR(__xludf.DUMMYFUNCTION("""COMPUTED_VALUE"""),7.83915)</f>
        <v>7.83915</v>
      </c>
      <c r="H1195" s="71">
        <f>IFERROR(__xludf.DUMMYFUNCTION("""COMPUTED_VALUE"""),27.61)</f>
        <v>27.61</v>
      </c>
      <c r="I1195" s="71">
        <f>IFERROR(__xludf.DUMMYFUNCTION("""COMPUTED_VALUE"""),26.24)</f>
        <v>26.24</v>
      </c>
      <c r="J1195" s="88" t="str">
        <f>IFERROR(__xludf.DUMMYFUNCTION("""COMPUTED_VALUE"""),"Goto link: BILI")</f>
        <v>Goto link: BILI</v>
      </c>
      <c r="K1195" s="22"/>
      <c r="L1195" s="22"/>
      <c r="M1195" s="22"/>
      <c r="N1195" s="22"/>
      <c r="O1195" s="73"/>
      <c r="P1195" s="8"/>
      <c r="Q1195" s="69"/>
      <c r="R1195" s="69"/>
      <c r="S1195" s="8"/>
      <c r="T1195" s="69"/>
      <c r="U1195" s="8"/>
      <c r="V1195" s="69"/>
      <c r="W1195" s="74"/>
      <c r="X1195" s="69"/>
    </row>
    <row r="1196">
      <c r="A1196" s="30" t="str">
        <f>IFERROR(__xludf.DUMMYFUNCTION("""COMPUTED_VALUE"""),"89833")</f>
        <v>89833</v>
      </c>
      <c r="B1196" s="86">
        <f>IFERROR(__xludf.DUMMYFUNCTION("""COMPUTED_VALUE"""),44658.0)</f>
        <v>44658</v>
      </c>
      <c r="C1196" s="64" t="str">
        <f>IFERROR(__xludf.DUMMYFUNCTION("""COMPUTED_VALUE"""),"Stock")</f>
        <v>Stock</v>
      </c>
      <c r="D1196" s="85" t="str">
        <f>IFERROR(__xludf.DUMMYFUNCTION("""COMPUTED_VALUE"""),"OXY")</f>
        <v>OXY</v>
      </c>
      <c r="E1196" s="5" t="str">
        <f>IFERROR(__xludf.DUMMYFUNCTION("""COMPUTED_VALUE"""),"USD")</f>
        <v>USD</v>
      </c>
      <c r="F1196" s="69">
        <f>IFERROR(__xludf.DUMMYFUNCTION("""COMPUTED_VALUE"""),500.0)</f>
        <v>500</v>
      </c>
      <c r="G1196" s="70">
        <f>IFERROR(__xludf.DUMMYFUNCTION("""COMPUTED_VALUE"""),7.83915)</f>
        <v>7.83915</v>
      </c>
      <c r="H1196" s="71">
        <f>IFERROR(__xludf.DUMMYFUNCTION("""COMPUTED_VALUE"""),57.66)</f>
        <v>57.66</v>
      </c>
      <c r="I1196" s="71">
        <f>IFERROR(__xludf.DUMMYFUNCTION("""COMPUTED_VALUE"""),59.62)</f>
        <v>59.62</v>
      </c>
      <c r="J1196" s="88" t="str">
        <f>IFERROR(__xludf.DUMMYFUNCTION("""COMPUTED_VALUE"""),"Goto link: OXY")</f>
        <v>Goto link: OXY</v>
      </c>
      <c r="K1196" s="22"/>
      <c r="L1196" s="22"/>
      <c r="M1196" s="22"/>
      <c r="N1196" s="22"/>
      <c r="O1196" s="73"/>
      <c r="P1196" s="8"/>
      <c r="Q1196" s="69"/>
      <c r="R1196" s="69"/>
      <c r="S1196" s="8"/>
      <c r="T1196" s="69"/>
      <c r="U1196" s="8"/>
      <c r="V1196" s="69"/>
      <c r="W1196" s="74"/>
      <c r="X1196" s="69"/>
    </row>
    <row r="1197">
      <c r="A1197" s="30" t="str">
        <f>IFERROR(__xludf.DUMMYFUNCTION("""COMPUTED_VALUE"""),"89833")</f>
        <v>89833</v>
      </c>
      <c r="B1197" s="86">
        <f>IFERROR(__xludf.DUMMYFUNCTION("""COMPUTED_VALUE"""),44660.0)</f>
        <v>44660</v>
      </c>
      <c r="C1197" s="64" t="str">
        <f>IFERROR(__xludf.DUMMYFUNCTION("""COMPUTED_VALUE"""),"Stock")</f>
        <v>Stock</v>
      </c>
      <c r="D1197" s="91" t="str">
        <f>IFERROR(__xludf.DUMMYFUNCTION("""COMPUTED_VALUE"""),"0883.HK")</f>
        <v>0883.HK</v>
      </c>
      <c r="E1197" s="5" t="str">
        <f>IFERROR(__xludf.DUMMYFUNCTION("""COMPUTED_VALUE"""),"HKD")</f>
        <v>HKD</v>
      </c>
      <c r="F1197" s="69">
        <f>IFERROR(__xludf.DUMMYFUNCTION("""COMPUTED_VALUE"""),-15000.0)</f>
        <v>-15000</v>
      </c>
      <c r="G1197" s="70">
        <f>IFERROR(__xludf.DUMMYFUNCTION("""COMPUTED_VALUE"""),1.0)</f>
        <v>1</v>
      </c>
      <c r="H1197" s="71">
        <f>IFERROR(__xludf.DUMMYFUNCTION("""COMPUTED_VALUE"""),11.16)</f>
        <v>11.16</v>
      </c>
      <c r="I1197" s="71">
        <f>IFERROR(__xludf.DUMMYFUNCTION("""COMPUTED_VALUE"""),11.46)</f>
        <v>11.46</v>
      </c>
      <c r="J1197" s="88" t="str">
        <f>IFERROR(__xludf.DUMMYFUNCTION("""COMPUTED_VALUE"""),"Goto link: 0883.HK")</f>
        <v>Goto link: 0883.HK</v>
      </c>
      <c r="K1197" s="22"/>
      <c r="L1197" s="22"/>
      <c r="M1197" s="22"/>
      <c r="N1197" s="22"/>
      <c r="O1197" s="73"/>
      <c r="P1197" s="8"/>
      <c r="Q1197" s="69"/>
      <c r="R1197" s="69"/>
      <c r="S1197" s="8"/>
      <c r="T1197" s="69"/>
      <c r="U1197" s="8"/>
      <c r="V1197" s="69"/>
      <c r="W1197" s="74"/>
      <c r="X1197" s="69"/>
    </row>
    <row r="1198">
      <c r="A1198" s="30" t="str">
        <f>IFERROR(__xludf.DUMMYFUNCTION("""COMPUTED_VALUE"""),"89833")</f>
        <v>89833</v>
      </c>
      <c r="B1198" s="86">
        <f>IFERROR(__xludf.DUMMYFUNCTION("""COMPUTED_VALUE"""),44662.0)</f>
        <v>44662</v>
      </c>
      <c r="C1198" s="64" t="str">
        <f>IFERROR(__xludf.DUMMYFUNCTION("""COMPUTED_VALUE"""),"Stock")</f>
        <v>Stock</v>
      </c>
      <c r="D1198" s="85" t="str">
        <f>IFERROR(__xludf.DUMMYFUNCTION("""COMPUTED_VALUE"""),"OXY")</f>
        <v>OXY</v>
      </c>
      <c r="E1198" s="5" t="str">
        <f>IFERROR(__xludf.DUMMYFUNCTION("""COMPUTED_VALUE"""),"USD")</f>
        <v>USD</v>
      </c>
      <c r="F1198" s="69">
        <f>IFERROR(__xludf.DUMMYFUNCTION("""COMPUTED_VALUE"""),-500.0)</f>
        <v>-500</v>
      </c>
      <c r="G1198" s="70">
        <f>IFERROR(__xludf.DUMMYFUNCTION("""COMPUTED_VALUE"""),7.83915)</f>
        <v>7.83915</v>
      </c>
      <c r="H1198" s="71">
        <f>IFERROR(__xludf.DUMMYFUNCTION("""COMPUTED_VALUE"""),57.92)</f>
        <v>57.92</v>
      </c>
      <c r="I1198" s="71">
        <f>IFERROR(__xludf.DUMMYFUNCTION("""COMPUTED_VALUE"""),59.62)</f>
        <v>59.62</v>
      </c>
      <c r="J1198" s="88" t="str">
        <f>IFERROR(__xludf.DUMMYFUNCTION("""COMPUTED_VALUE"""),"Goto link: OXY")</f>
        <v>Goto link: OXY</v>
      </c>
      <c r="K1198" s="22"/>
      <c r="L1198" s="22"/>
      <c r="M1198" s="22"/>
      <c r="N1198" s="22"/>
      <c r="O1198" s="73"/>
      <c r="P1198" s="8"/>
      <c r="Q1198" s="69"/>
      <c r="R1198" s="69"/>
      <c r="S1198" s="8"/>
      <c r="T1198" s="69"/>
      <c r="U1198" s="8"/>
      <c r="V1198" s="69"/>
      <c r="W1198" s="74"/>
      <c r="X1198" s="69"/>
    </row>
    <row r="1199">
      <c r="A1199" s="30" t="str">
        <f>IFERROR(__xludf.DUMMYFUNCTION("""COMPUTED_VALUE"""),"89833")</f>
        <v>89833</v>
      </c>
      <c r="B1199" s="86">
        <f>IFERROR(__xludf.DUMMYFUNCTION("""COMPUTED_VALUE"""),44663.0)</f>
        <v>44663</v>
      </c>
      <c r="C1199" s="64" t="str">
        <f>IFERROR(__xludf.DUMMYFUNCTION("""COMPUTED_VALUE"""),"Stock")</f>
        <v>Stock</v>
      </c>
      <c r="D1199" s="85" t="str">
        <f>IFERROR(__xludf.DUMMYFUNCTION("""COMPUTED_VALUE"""),"OXY")</f>
        <v>OXY</v>
      </c>
      <c r="E1199" s="5" t="str">
        <f>IFERROR(__xludf.DUMMYFUNCTION("""COMPUTED_VALUE"""),"USD")</f>
        <v>USD</v>
      </c>
      <c r="F1199" s="69">
        <f>IFERROR(__xludf.DUMMYFUNCTION("""COMPUTED_VALUE"""),-500.0)</f>
        <v>-500</v>
      </c>
      <c r="G1199" s="70">
        <f>IFERROR(__xludf.DUMMYFUNCTION("""COMPUTED_VALUE"""),7.83915)</f>
        <v>7.83915</v>
      </c>
      <c r="H1199" s="71">
        <f>IFERROR(__xludf.DUMMYFUNCTION("""COMPUTED_VALUE"""),59.14)</f>
        <v>59.14</v>
      </c>
      <c r="I1199" s="71">
        <f>IFERROR(__xludf.DUMMYFUNCTION("""COMPUTED_VALUE"""),59.62)</f>
        <v>59.62</v>
      </c>
      <c r="J1199" s="88" t="str">
        <f>IFERROR(__xludf.DUMMYFUNCTION("""COMPUTED_VALUE"""),"Goto link: OXY")</f>
        <v>Goto link: OXY</v>
      </c>
      <c r="K1199" s="22"/>
      <c r="L1199" s="22"/>
      <c r="M1199" s="22"/>
      <c r="N1199" s="22"/>
      <c r="O1199" s="73"/>
      <c r="P1199" s="8"/>
      <c r="Q1199" s="69"/>
      <c r="R1199" s="69"/>
      <c r="S1199" s="8"/>
      <c r="T1199" s="69"/>
      <c r="U1199" s="8"/>
      <c r="V1199" s="69"/>
      <c r="W1199" s="74"/>
      <c r="X1199" s="69"/>
    </row>
    <row r="1200">
      <c r="A1200" s="30" t="str">
        <f>IFERROR(__xludf.DUMMYFUNCTION("""COMPUTED_VALUE"""),"89833 Total")</f>
        <v>89833 Total</v>
      </c>
      <c r="B1200" s="5"/>
      <c r="C1200" s="64"/>
      <c r="D1200" s="85"/>
      <c r="E1200" s="5"/>
      <c r="F1200" s="69"/>
      <c r="G1200" s="70">
        <f>IFERROR(__xludf.DUMMYFUNCTION("""COMPUTED_VALUE"""),4.0396222222222224)</f>
        <v>4.039622222</v>
      </c>
      <c r="H1200" s="71">
        <f>IFERROR(__xludf.DUMMYFUNCTION("""COMPUTED_VALUE"""),374.2)</f>
        <v>374.2</v>
      </c>
      <c r="I1200" s="71" t="str">
        <f>IFERROR(__xludf.DUMMYFUNCTION("""COMPUTED_VALUE"""),"")</f>
        <v/>
      </c>
      <c r="J1200" s="22" t="str">
        <f>IFERROR(__xludf.DUMMYFUNCTION("""COMPUTED_VALUE"""),"")</f>
        <v/>
      </c>
      <c r="K1200" s="22"/>
      <c r="L1200" s="22"/>
      <c r="M1200" s="22"/>
      <c r="N1200" s="22"/>
      <c r="O1200" s="73"/>
      <c r="P1200" s="8"/>
      <c r="Q1200" s="69"/>
      <c r="R1200" s="69"/>
      <c r="S1200" s="8"/>
      <c r="T1200" s="69"/>
      <c r="U1200" s="8"/>
      <c r="V1200" s="69"/>
      <c r="W1200" s="74"/>
      <c r="X1200" s="69"/>
    </row>
    <row r="1201">
      <c r="A1201" s="30" t="str">
        <f>IFERROR(__xludf.DUMMYFUNCTION("""COMPUTED_VALUE"""),"89845")</f>
        <v>89845</v>
      </c>
      <c r="B1201" s="86">
        <f>IFERROR(__xludf.DUMMYFUNCTION("""COMPUTED_VALUE"""),44597.0)</f>
        <v>44597</v>
      </c>
      <c r="C1201" s="64" t="str">
        <f>IFERROR(__xludf.DUMMYFUNCTION("""COMPUTED_VALUE"""),"Cash")</f>
        <v>Cash</v>
      </c>
      <c r="D1201" s="85" t="str">
        <f>IFERROR(__xludf.DUMMYFUNCTION("""COMPUTED_VALUE"""),"Cash")</f>
        <v>Cash</v>
      </c>
      <c r="E1201" s="5" t="str">
        <f>IFERROR(__xludf.DUMMYFUNCTION("""COMPUTED_VALUE"""),"HKD")</f>
        <v>HKD</v>
      </c>
      <c r="F1201" s="69" t="str">
        <f>IFERROR(__xludf.DUMMYFUNCTION("""COMPUTED_VALUE"""),"")</f>
        <v/>
      </c>
      <c r="G1201" s="70">
        <f>IFERROR(__xludf.DUMMYFUNCTION("""COMPUTED_VALUE"""),1.0)</f>
        <v>1</v>
      </c>
      <c r="H1201" s="71">
        <f>IFERROR(__xludf.DUMMYFUNCTION("""COMPUTED_VALUE"""),1.0)</f>
        <v>1</v>
      </c>
      <c r="I1201" s="71">
        <f>IFERROR(__xludf.DUMMYFUNCTION("""COMPUTED_VALUE"""),1.0)</f>
        <v>1</v>
      </c>
      <c r="J1201" s="22" t="str">
        <f>IFERROR(__xludf.DUMMYFUNCTION("""COMPUTED_VALUE"""),"")</f>
        <v/>
      </c>
      <c r="K1201" s="22"/>
      <c r="L1201" s="22"/>
      <c r="M1201" s="22"/>
      <c r="N1201" s="22"/>
      <c r="O1201" s="73"/>
      <c r="P1201" s="8"/>
      <c r="Q1201" s="69"/>
      <c r="R1201" s="69"/>
      <c r="S1201" s="8"/>
      <c r="T1201" s="69"/>
      <c r="U1201" s="8"/>
      <c r="V1201" s="69"/>
      <c r="W1201" s="74"/>
      <c r="X1201" s="69"/>
    </row>
    <row r="1202">
      <c r="A1202" s="30" t="str">
        <f>IFERROR(__xludf.DUMMYFUNCTION("""COMPUTED_VALUE"""),"89845")</f>
        <v>89845</v>
      </c>
      <c r="B1202" s="86">
        <f>IFERROR(__xludf.DUMMYFUNCTION("""COMPUTED_VALUE"""),44638.0)</f>
        <v>44638</v>
      </c>
      <c r="C1202" s="64" t="str">
        <f>IFERROR(__xludf.DUMMYFUNCTION("""COMPUTED_VALUE"""),"Stock")</f>
        <v>Stock</v>
      </c>
      <c r="D1202" s="87" t="str">
        <f>IFERROR(__xludf.DUMMYFUNCTION("""COMPUTED_VALUE"""),"ASML")</f>
        <v>ASML</v>
      </c>
      <c r="E1202" s="5" t="str">
        <f>IFERROR(__xludf.DUMMYFUNCTION("""COMPUTED_VALUE"""),"USD")</f>
        <v>USD</v>
      </c>
      <c r="F1202" s="69">
        <f>IFERROR(__xludf.DUMMYFUNCTION("""COMPUTED_VALUE"""),0.0)</f>
        <v>0</v>
      </c>
      <c r="G1202" s="70">
        <f>IFERROR(__xludf.DUMMYFUNCTION("""COMPUTED_VALUE"""),7.83915)</f>
        <v>7.83915</v>
      </c>
      <c r="H1202" s="71">
        <f>IFERROR(__xludf.DUMMYFUNCTION("""COMPUTED_VALUE"""),0.0)</f>
        <v>0</v>
      </c>
      <c r="I1202" s="71">
        <f>IFERROR(__xludf.DUMMYFUNCTION("""COMPUTED_VALUE"""),612.76)</f>
        <v>612.76</v>
      </c>
      <c r="J1202" s="88" t="str">
        <f>IFERROR(__xludf.DUMMYFUNCTION("""COMPUTED_VALUE"""),"Goto link: ASML")</f>
        <v>Goto link: ASML</v>
      </c>
      <c r="K1202" s="22"/>
      <c r="L1202" s="22"/>
      <c r="M1202" s="22"/>
      <c r="N1202" s="22"/>
      <c r="O1202" s="73"/>
      <c r="P1202" s="8"/>
      <c r="Q1202" s="69"/>
      <c r="R1202" s="69"/>
      <c r="S1202" s="8"/>
      <c r="T1202" s="69"/>
      <c r="U1202" s="8"/>
      <c r="V1202" s="69"/>
      <c r="W1202" s="74"/>
      <c r="X1202" s="69"/>
    </row>
    <row r="1203">
      <c r="A1203" s="30" t="str">
        <f>IFERROR(__xludf.DUMMYFUNCTION("""COMPUTED_VALUE"""),"89845")</f>
        <v>89845</v>
      </c>
      <c r="B1203" s="86">
        <f>IFERROR(__xludf.DUMMYFUNCTION("""COMPUTED_VALUE"""),44642.0)</f>
        <v>44642</v>
      </c>
      <c r="C1203" s="64" t="str">
        <f>IFERROR(__xludf.DUMMYFUNCTION("""COMPUTED_VALUE"""),"Stock")</f>
        <v>Stock</v>
      </c>
      <c r="D1203" s="87" t="str">
        <f>IFERROR(__xludf.DUMMYFUNCTION("""COMPUTED_VALUE"""),"ASML")</f>
        <v>ASML</v>
      </c>
      <c r="E1203" s="5" t="str">
        <f>IFERROR(__xludf.DUMMYFUNCTION("""COMPUTED_VALUE"""),"USD")</f>
        <v>USD</v>
      </c>
      <c r="F1203" s="69" t="str">
        <f>IFERROR(__xludf.DUMMYFUNCTION("""COMPUTED_VALUE"""),"")</f>
        <v/>
      </c>
      <c r="G1203" s="70">
        <f>IFERROR(__xludf.DUMMYFUNCTION("""COMPUTED_VALUE"""),7.83915)</f>
        <v>7.83915</v>
      </c>
      <c r="H1203" s="71">
        <f>IFERROR(__xludf.DUMMYFUNCTION("""COMPUTED_VALUE"""),688.74)</f>
        <v>688.74</v>
      </c>
      <c r="I1203" s="71">
        <f>IFERROR(__xludf.DUMMYFUNCTION("""COMPUTED_VALUE"""),612.76)</f>
        <v>612.76</v>
      </c>
      <c r="J1203" s="88" t="str">
        <f>IFERROR(__xludf.DUMMYFUNCTION("""COMPUTED_VALUE"""),"Goto link: ASML")</f>
        <v>Goto link: ASML</v>
      </c>
      <c r="K1203" s="22"/>
      <c r="L1203" s="22"/>
      <c r="M1203" s="22"/>
      <c r="N1203" s="22"/>
      <c r="O1203" s="73"/>
      <c r="P1203" s="8"/>
      <c r="Q1203" s="69"/>
      <c r="R1203" s="69"/>
      <c r="S1203" s="8"/>
      <c r="T1203" s="69"/>
      <c r="U1203" s="8"/>
      <c r="V1203" s="69"/>
      <c r="W1203" s="74"/>
      <c r="X1203" s="69"/>
    </row>
    <row r="1204">
      <c r="A1204" s="30" t="str">
        <f>IFERROR(__xludf.DUMMYFUNCTION("""COMPUTED_VALUE"""),"89845")</f>
        <v>89845</v>
      </c>
      <c r="B1204" s="86">
        <f>IFERROR(__xludf.DUMMYFUNCTION("""COMPUTED_VALUE"""),44645.0)</f>
        <v>44645</v>
      </c>
      <c r="C1204" s="64" t="str">
        <f>IFERROR(__xludf.DUMMYFUNCTION("""COMPUTED_VALUE"""),"Stock")</f>
        <v>Stock</v>
      </c>
      <c r="D1204" s="87" t="str">
        <f>IFERROR(__xludf.DUMMYFUNCTION("""COMPUTED_VALUE"""),"AAPL")</f>
        <v>AAPL</v>
      </c>
      <c r="E1204" s="5" t="str">
        <f>IFERROR(__xludf.DUMMYFUNCTION("""COMPUTED_VALUE"""),"USD")</f>
        <v>USD</v>
      </c>
      <c r="F1204" s="69">
        <f>IFERROR(__xludf.DUMMYFUNCTION("""COMPUTED_VALUE"""),100.0)</f>
        <v>100</v>
      </c>
      <c r="G1204" s="70">
        <f>IFERROR(__xludf.DUMMYFUNCTION("""COMPUTED_VALUE"""),7.83915)</f>
        <v>7.83915</v>
      </c>
      <c r="H1204" s="71">
        <f>IFERROR(__xludf.DUMMYFUNCTION("""COMPUTED_VALUE"""),174.72)</f>
        <v>174.72</v>
      </c>
      <c r="I1204" s="71">
        <f>IFERROR(__xludf.DUMMYFUNCTION("""COMPUTED_VALUE"""),170.4)</f>
        <v>170.4</v>
      </c>
      <c r="J1204" s="88" t="str">
        <f>IFERROR(__xludf.DUMMYFUNCTION("""COMPUTED_VALUE"""),"Goto link: AAPL")</f>
        <v>Goto link: AAPL</v>
      </c>
      <c r="K1204" s="22"/>
      <c r="L1204" s="22"/>
      <c r="M1204" s="22"/>
      <c r="N1204" s="22"/>
      <c r="O1204" s="73"/>
      <c r="P1204" s="8"/>
      <c r="Q1204" s="69"/>
      <c r="R1204" s="69"/>
      <c r="S1204" s="8"/>
      <c r="T1204" s="69"/>
      <c r="U1204" s="8"/>
      <c r="V1204" s="69"/>
      <c r="W1204" s="74"/>
      <c r="X1204" s="69"/>
    </row>
    <row r="1205">
      <c r="A1205" s="30" t="str">
        <f>IFERROR(__xludf.DUMMYFUNCTION("""COMPUTED_VALUE"""),"89845")</f>
        <v>89845</v>
      </c>
      <c r="B1205" s="86">
        <f>IFERROR(__xludf.DUMMYFUNCTION("""COMPUTED_VALUE"""),44645.0)</f>
        <v>44645</v>
      </c>
      <c r="C1205" s="64" t="str">
        <f>IFERROR(__xludf.DUMMYFUNCTION("""COMPUTED_VALUE"""),"Stock")</f>
        <v>Stock</v>
      </c>
      <c r="D1205" s="87" t="str">
        <f>IFERROR(__xludf.DUMMYFUNCTION("""COMPUTED_VALUE"""),"TSLA")</f>
        <v>TSLA</v>
      </c>
      <c r="E1205" s="5" t="str">
        <f>IFERROR(__xludf.DUMMYFUNCTION("""COMPUTED_VALUE"""),"USD")</f>
        <v>USD</v>
      </c>
      <c r="F1205" s="69" t="str">
        <f>IFERROR(__xludf.DUMMYFUNCTION("""COMPUTED_VALUE"""),"")</f>
        <v/>
      </c>
      <c r="G1205" s="70">
        <f>IFERROR(__xludf.DUMMYFUNCTION("""COMPUTED_VALUE"""),7.83915)</f>
        <v>7.83915</v>
      </c>
      <c r="H1205" s="71">
        <f>IFERROR(__xludf.DUMMYFUNCTION("""COMPUTED_VALUE"""),1010.64)</f>
        <v>1010.64</v>
      </c>
      <c r="I1205" s="71">
        <f>IFERROR(__xludf.DUMMYFUNCTION("""COMPUTED_VALUE"""),1022.37)</f>
        <v>1022.37</v>
      </c>
      <c r="J1205" s="88" t="str">
        <f>IFERROR(__xludf.DUMMYFUNCTION("""COMPUTED_VALUE"""),"Goto link: TSLA")</f>
        <v>Goto link: TSLA</v>
      </c>
      <c r="K1205" s="22"/>
      <c r="L1205" s="22"/>
      <c r="M1205" s="22"/>
      <c r="N1205" s="22"/>
      <c r="O1205" s="73"/>
      <c r="P1205" s="8"/>
      <c r="Q1205" s="69"/>
      <c r="R1205" s="69"/>
      <c r="S1205" s="8"/>
      <c r="T1205" s="69"/>
      <c r="U1205" s="8"/>
      <c r="V1205" s="69"/>
      <c r="W1205" s="74"/>
      <c r="X1205" s="69"/>
    </row>
    <row r="1206">
      <c r="A1206" s="30" t="str">
        <f>IFERROR(__xludf.DUMMYFUNCTION("""COMPUTED_VALUE"""),"89845")</f>
        <v>89845</v>
      </c>
      <c r="B1206" s="86">
        <f>IFERROR(__xludf.DUMMYFUNCTION("""COMPUTED_VALUE"""),44660.0)</f>
        <v>44660</v>
      </c>
      <c r="C1206" s="64" t="str">
        <f>IFERROR(__xludf.DUMMYFUNCTION("""COMPUTED_VALUE"""),"Stock")</f>
        <v>Stock</v>
      </c>
      <c r="D1206" s="91" t="str">
        <f>IFERROR(__xludf.DUMMYFUNCTION("""COMPUTED_VALUE"""),"9939.HK")</f>
        <v>9939.HK</v>
      </c>
      <c r="E1206" s="5" t="str">
        <f>IFERROR(__xludf.DUMMYFUNCTION("""COMPUTED_VALUE"""),"HKD")</f>
        <v>HKD</v>
      </c>
      <c r="F1206" s="69">
        <f>IFERROR(__xludf.DUMMYFUNCTION("""COMPUTED_VALUE"""),500.0)</f>
        <v>500</v>
      </c>
      <c r="G1206" s="70">
        <f>IFERROR(__xludf.DUMMYFUNCTION("""COMPUTED_VALUE"""),1.0)</f>
        <v>1</v>
      </c>
      <c r="H1206" s="71">
        <f>IFERROR(__xludf.DUMMYFUNCTION("""COMPUTED_VALUE"""),27.3)</f>
        <v>27.3</v>
      </c>
      <c r="I1206" s="71">
        <f>IFERROR(__xludf.DUMMYFUNCTION("""COMPUTED_VALUE"""),28.15)</f>
        <v>28.15</v>
      </c>
      <c r="J1206" s="88" t="str">
        <f>IFERROR(__xludf.DUMMYFUNCTION("""COMPUTED_VALUE"""),"Goto link: 9939.HK")</f>
        <v>Goto link: 9939.HK</v>
      </c>
      <c r="K1206" s="22"/>
      <c r="L1206" s="22"/>
      <c r="M1206" s="22"/>
      <c r="N1206" s="22"/>
      <c r="O1206" s="73"/>
      <c r="P1206" s="8"/>
      <c r="Q1206" s="69"/>
      <c r="R1206" s="69"/>
      <c r="S1206" s="8"/>
      <c r="T1206" s="69"/>
      <c r="U1206" s="8"/>
      <c r="V1206" s="69"/>
      <c r="W1206" s="74"/>
      <c r="X1206" s="69"/>
    </row>
    <row r="1207">
      <c r="A1207" s="30" t="str">
        <f>IFERROR(__xludf.DUMMYFUNCTION("""COMPUTED_VALUE"""),"89845")</f>
        <v>89845</v>
      </c>
      <c r="B1207" s="86">
        <f>IFERROR(__xludf.DUMMYFUNCTION("""COMPUTED_VALUE"""),44663.0)</f>
        <v>44663</v>
      </c>
      <c r="C1207" s="64" t="str">
        <f>IFERROR(__xludf.DUMMYFUNCTION("""COMPUTED_VALUE"""),"Stock")</f>
        <v>Stock</v>
      </c>
      <c r="D1207" s="85" t="str">
        <f>IFERROR(__xludf.DUMMYFUNCTION("""COMPUTED_VALUE"""),"TWTR")</f>
        <v>TWTR</v>
      </c>
      <c r="E1207" s="5" t="str">
        <f>IFERROR(__xludf.DUMMYFUNCTION("""COMPUTED_VALUE"""),"USD")</f>
        <v>USD</v>
      </c>
      <c r="F1207" s="69">
        <f>IFERROR(__xludf.DUMMYFUNCTION("""COMPUTED_VALUE"""),200.0)</f>
        <v>200</v>
      </c>
      <c r="G1207" s="70">
        <f>IFERROR(__xludf.DUMMYFUNCTION("""COMPUTED_VALUE"""),7.83915)</f>
        <v>7.83915</v>
      </c>
      <c r="H1207" s="71">
        <f>IFERROR(__xludf.DUMMYFUNCTION("""COMPUTED_VALUE"""),44.48)</f>
        <v>44.48</v>
      </c>
      <c r="I1207" s="71">
        <f>IFERROR(__xludf.DUMMYFUNCTION("""COMPUTED_VALUE"""),45.85)</f>
        <v>45.85</v>
      </c>
      <c r="J1207" s="88" t="str">
        <f>IFERROR(__xludf.DUMMYFUNCTION("""COMPUTED_VALUE"""),"Goto link: TWTR")</f>
        <v>Goto link: TWTR</v>
      </c>
      <c r="K1207" s="22"/>
      <c r="L1207" s="22"/>
      <c r="M1207" s="22"/>
      <c r="N1207" s="22"/>
      <c r="O1207" s="73"/>
      <c r="P1207" s="8"/>
      <c r="Q1207" s="69"/>
      <c r="R1207" s="69"/>
      <c r="S1207" s="8"/>
      <c r="T1207" s="69"/>
      <c r="U1207" s="8"/>
      <c r="V1207" s="69"/>
      <c r="W1207" s="74"/>
      <c r="X1207" s="69"/>
    </row>
    <row r="1208">
      <c r="A1208" s="30" t="str">
        <f>IFERROR(__xludf.DUMMYFUNCTION("""COMPUTED_VALUE"""),"89845 Total")</f>
        <v>89845 Total</v>
      </c>
      <c r="B1208" s="5"/>
      <c r="C1208" s="64"/>
      <c r="D1208" s="85"/>
      <c r="E1208" s="5"/>
      <c r="F1208" s="69"/>
      <c r="G1208" s="70">
        <f>IFERROR(__xludf.DUMMYFUNCTION("""COMPUTED_VALUE"""),6.31933888888889)</f>
        <v>6.319338889</v>
      </c>
      <c r="H1208" s="71">
        <f>IFERROR(__xludf.DUMMYFUNCTION("""COMPUTED_VALUE"""),1010.64)</f>
        <v>1010.64</v>
      </c>
      <c r="I1208" s="71" t="str">
        <f>IFERROR(__xludf.DUMMYFUNCTION("""COMPUTED_VALUE"""),"")</f>
        <v/>
      </c>
      <c r="J1208" s="22" t="str">
        <f>IFERROR(__xludf.DUMMYFUNCTION("""COMPUTED_VALUE"""),"")</f>
        <v/>
      </c>
      <c r="K1208" s="22"/>
      <c r="L1208" s="22"/>
      <c r="M1208" s="22"/>
      <c r="N1208" s="22"/>
      <c r="O1208" s="73"/>
      <c r="P1208" s="8"/>
      <c r="Q1208" s="69"/>
      <c r="R1208" s="69"/>
      <c r="S1208" s="8"/>
      <c r="T1208" s="69"/>
      <c r="U1208" s="8"/>
      <c r="V1208" s="69"/>
      <c r="W1208" s="74"/>
      <c r="X1208" s="69"/>
    </row>
    <row r="1209">
      <c r="A1209" s="30" t="str">
        <f>IFERROR(__xludf.DUMMYFUNCTION("""COMPUTED_VALUE"""),"95516")</f>
        <v>95516</v>
      </c>
      <c r="B1209" s="86">
        <f>IFERROR(__xludf.DUMMYFUNCTION("""COMPUTED_VALUE"""),44597.0)</f>
        <v>44597</v>
      </c>
      <c r="C1209" s="64" t="str">
        <f>IFERROR(__xludf.DUMMYFUNCTION("""COMPUTED_VALUE"""),"Cash")</f>
        <v>Cash</v>
      </c>
      <c r="D1209" s="85" t="str">
        <f>IFERROR(__xludf.DUMMYFUNCTION("""COMPUTED_VALUE"""),"Cash")</f>
        <v>Cash</v>
      </c>
      <c r="E1209" s="5" t="str">
        <f>IFERROR(__xludf.DUMMYFUNCTION("""COMPUTED_VALUE"""),"HKD")</f>
        <v>HKD</v>
      </c>
      <c r="F1209" s="69" t="str">
        <f>IFERROR(__xludf.DUMMYFUNCTION("""COMPUTED_VALUE"""),"")</f>
        <v/>
      </c>
      <c r="G1209" s="70">
        <f>IFERROR(__xludf.DUMMYFUNCTION("""COMPUTED_VALUE"""),1.0)</f>
        <v>1</v>
      </c>
      <c r="H1209" s="71">
        <f>IFERROR(__xludf.DUMMYFUNCTION("""COMPUTED_VALUE"""),1.0)</f>
        <v>1</v>
      </c>
      <c r="I1209" s="71">
        <f>IFERROR(__xludf.DUMMYFUNCTION("""COMPUTED_VALUE"""),1.0)</f>
        <v>1</v>
      </c>
      <c r="J1209" s="22" t="str">
        <f>IFERROR(__xludf.DUMMYFUNCTION("""COMPUTED_VALUE"""),"")</f>
        <v/>
      </c>
      <c r="K1209" s="22"/>
      <c r="L1209" s="22"/>
      <c r="M1209" s="22"/>
      <c r="N1209" s="22"/>
      <c r="O1209" s="73"/>
      <c r="P1209" s="8"/>
      <c r="Q1209" s="69"/>
      <c r="R1209" s="69"/>
      <c r="S1209" s="8"/>
      <c r="T1209" s="69"/>
      <c r="U1209" s="8"/>
      <c r="V1209" s="69"/>
      <c r="W1209" s="74"/>
      <c r="X1209" s="69"/>
    </row>
    <row r="1210">
      <c r="A1210" s="30" t="str">
        <f>IFERROR(__xludf.DUMMYFUNCTION("""COMPUTED_VALUE"""),"95516")</f>
        <v>95516</v>
      </c>
      <c r="B1210" s="86">
        <f>IFERROR(__xludf.DUMMYFUNCTION("""COMPUTED_VALUE"""),44637.0)</f>
        <v>44637</v>
      </c>
      <c r="C1210" s="64" t="str">
        <f>IFERROR(__xludf.DUMMYFUNCTION("""COMPUTED_VALUE"""),"Stock")</f>
        <v>Stock</v>
      </c>
      <c r="D1210" s="90" t="str">
        <f>IFERROR(__xludf.DUMMYFUNCTION("""COMPUTED_VALUE"""),"0175.HK")</f>
        <v>0175.HK</v>
      </c>
      <c r="E1210" s="5" t="str">
        <f>IFERROR(__xludf.DUMMYFUNCTION("""COMPUTED_VALUE"""),"HKD")</f>
        <v>HKD</v>
      </c>
      <c r="F1210" s="69">
        <f>IFERROR(__xludf.DUMMYFUNCTION("""COMPUTED_VALUE"""),5000.0)</f>
        <v>5000</v>
      </c>
      <c r="G1210" s="70">
        <f>IFERROR(__xludf.DUMMYFUNCTION("""COMPUTED_VALUE"""),1.0)</f>
        <v>1</v>
      </c>
      <c r="H1210" s="71">
        <f>IFERROR(__xludf.DUMMYFUNCTION("""COMPUTED_VALUE"""),11.6)</f>
        <v>11.6</v>
      </c>
      <c r="I1210" s="71">
        <f>IFERROR(__xludf.DUMMYFUNCTION("""COMPUTED_VALUE"""),11.22)</f>
        <v>11.22</v>
      </c>
      <c r="J1210" s="88" t="str">
        <f>IFERROR(__xludf.DUMMYFUNCTION("""COMPUTED_VALUE"""),"Goto link: 0175.HK")</f>
        <v>Goto link: 0175.HK</v>
      </c>
      <c r="K1210" s="22"/>
      <c r="L1210" s="22"/>
      <c r="M1210" s="22"/>
      <c r="N1210" s="22"/>
      <c r="O1210" s="73"/>
      <c r="P1210" s="8"/>
      <c r="Q1210" s="69"/>
      <c r="R1210" s="69"/>
      <c r="S1210" s="8"/>
      <c r="T1210" s="69"/>
      <c r="U1210" s="8"/>
      <c r="V1210" s="69"/>
      <c r="W1210" s="74"/>
      <c r="X1210" s="69"/>
    </row>
    <row r="1211">
      <c r="A1211" s="30" t="str">
        <f>IFERROR(__xludf.DUMMYFUNCTION("""COMPUTED_VALUE"""),"95516")</f>
        <v>95516</v>
      </c>
      <c r="B1211" s="86">
        <f>IFERROR(__xludf.DUMMYFUNCTION("""COMPUTED_VALUE"""),44637.0)</f>
        <v>44637</v>
      </c>
      <c r="C1211" s="64" t="str">
        <f>IFERROR(__xludf.DUMMYFUNCTION("""COMPUTED_VALUE"""),"Stock")</f>
        <v>Stock</v>
      </c>
      <c r="D1211" s="90" t="str">
        <f>IFERROR(__xludf.DUMMYFUNCTION("""COMPUTED_VALUE"""),"0968.HK")</f>
        <v>0968.HK</v>
      </c>
      <c r="E1211" s="5" t="str">
        <f>IFERROR(__xludf.DUMMYFUNCTION("""COMPUTED_VALUE"""),"HKD")</f>
        <v>HKD</v>
      </c>
      <c r="F1211" s="69">
        <f>IFERROR(__xludf.DUMMYFUNCTION("""COMPUTED_VALUE"""),10000.0)</f>
        <v>10000</v>
      </c>
      <c r="G1211" s="70">
        <f>IFERROR(__xludf.DUMMYFUNCTION("""COMPUTED_VALUE"""),1.0)</f>
        <v>1</v>
      </c>
      <c r="H1211" s="71">
        <f>IFERROR(__xludf.DUMMYFUNCTION("""COMPUTED_VALUE"""),14.0)</f>
        <v>14</v>
      </c>
      <c r="I1211" s="71"/>
      <c r="J1211" s="22"/>
      <c r="K1211" s="22"/>
      <c r="L1211" s="22"/>
      <c r="M1211" s="22"/>
      <c r="N1211" s="22"/>
      <c r="O1211" s="73"/>
      <c r="P1211" s="8"/>
      <c r="Q1211" s="69"/>
      <c r="R1211" s="69"/>
      <c r="S1211" s="8"/>
      <c r="T1211" s="69"/>
      <c r="U1211" s="8"/>
      <c r="V1211" s="69"/>
      <c r="W1211" s="74"/>
      <c r="X1211" s="69"/>
    </row>
    <row r="1212">
      <c r="A1212" s="30" t="str">
        <f>IFERROR(__xludf.DUMMYFUNCTION("""COMPUTED_VALUE"""),"95516")</f>
        <v>95516</v>
      </c>
      <c r="B1212" s="86">
        <f>IFERROR(__xludf.DUMMYFUNCTION("""COMPUTED_VALUE"""),44637.0)</f>
        <v>44637</v>
      </c>
      <c r="C1212" s="64" t="str">
        <f>IFERROR(__xludf.DUMMYFUNCTION("""COMPUTED_VALUE"""),"Stock")</f>
        <v>Stock</v>
      </c>
      <c r="D1212" s="90" t="str">
        <f>IFERROR(__xludf.DUMMYFUNCTION("""COMPUTED_VALUE"""),"3800.HK")</f>
        <v>3800.HK</v>
      </c>
      <c r="E1212" s="5" t="str">
        <f>IFERROR(__xludf.DUMMYFUNCTION("""COMPUTED_VALUE"""),"HKD")</f>
        <v>HKD</v>
      </c>
      <c r="F1212" s="69">
        <f>IFERROR(__xludf.DUMMYFUNCTION("""COMPUTED_VALUE"""),10000.0)</f>
        <v>10000</v>
      </c>
      <c r="G1212" s="70">
        <f>IFERROR(__xludf.DUMMYFUNCTION("""COMPUTED_VALUE"""),1.0)</f>
        <v>1</v>
      </c>
      <c r="H1212" s="71">
        <f>IFERROR(__xludf.DUMMYFUNCTION("""COMPUTED_VALUE"""),2.54)</f>
        <v>2.54</v>
      </c>
      <c r="I1212" s="71"/>
      <c r="J1212" s="22"/>
      <c r="K1212" s="22"/>
      <c r="L1212" s="22"/>
      <c r="M1212" s="22"/>
      <c r="N1212" s="22"/>
      <c r="O1212" s="73"/>
      <c r="P1212" s="8"/>
      <c r="Q1212" s="69"/>
      <c r="R1212" s="69"/>
      <c r="S1212" s="8"/>
      <c r="T1212" s="69"/>
      <c r="U1212" s="8"/>
      <c r="V1212" s="69"/>
      <c r="W1212" s="74"/>
      <c r="X1212" s="69"/>
    </row>
    <row r="1213">
      <c r="A1213" s="30" t="str">
        <f>IFERROR(__xludf.DUMMYFUNCTION("""COMPUTED_VALUE"""),"95516")</f>
        <v>95516</v>
      </c>
      <c r="B1213" s="86">
        <f>IFERROR(__xludf.DUMMYFUNCTION("""COMPUTED_VALUE"""),44637.0)</f>
        <v>44637</v>
      </c>
      <c r="C1213" s="64" t="str">
        <f>IFERROR(__xludf.DUMMYFUNCTION("""COMPUTED_VALUE"""),"Stock")</f>
        <v>Stock</v>
      </c>
      <c r="D1213" s="90" t="str">
        <f>IFERROR(__xludf.DUMMYFUNCTION("""COMPUTED_VALUE"""),"9988.HK")</f>
        <v>9988.HK</v>
      </c>
      <c r="E1213" s="5" t="str">
        <f>IFERROR(__xludf.DUMMYFUNCTION("""COMPUTED_VALUE"""),"HKD")</f>
        <v>HKD</v>
      </c>
      <c r="F1213" s="69">
        <f>IFERROR(__xludf.DUMMYFUNCTION("""COMPUTED_VALUE"""),500.0)</f>
        <v>500</v>
      </c>
      <c r="G1213" s="70">
        <f>IFERROR(__xludf.DUMMYFUNCTION("""COMPUTED_VALUE"""),1.0)</f>
        <v>1</v>
      </c>
      <c r="H1213" s="71">
        <f>IFERROR(__xludf.DUMMYFUNCTION("""COMPUTED_VALUE"""),102.0)</f>
        <v>102</v>
      </c>
      <c r="I1213" s="71"/>
      <c r="J1213" s="22"/>
      <c r="K1213" s="22"/>
      <c r="L1213" s="22"/>
      <c r="M1213" s="22"/>
      <c r="N1213" s="22"/>
      <c r="O1213" s="73"/>
      <c r="P1213" s="8"/>
      <c r="Q1213" s="69"/>
      <c r="R1213" s="69"/>
      <c r="S1213" s="8"/>
      <c r="T1213" s="69"/>
      <c r="U1213" s="8"/>
      <c r="V1213" s="69"/>
      <c r="W1213" s="74"/>
      <c r="X1213" s="69"/>
    </row>
    <row r="1214">
      <c r="A1214" s="30" t="str">
        <f>IFERROR(__xludf.DUMMYFUNCTION("""COMPUTED_VALUE"""),"95516")</f>
        <v>95516</v>
      </c>
      <c r="B1214" s="86">
        <f>IFERROR(__xludf.DUMMYFUNCTION("""COMPUTED_VALUE"""),44637.0)</f>
        <v>44637</v>
      </c>
      <c r="C1214" s="64" t="str">
        <f>IFERROR(__xludf.DUMMYFUNCTION("""COMPUTED_VALUE"""),"Stock")</f>
        <v>Stock</v>
      </c>
      <c r="D1214" s="90" t="str">
        <f>IFERROR(__xludf.DUMMYFUNCTION("""COMPUTED_VALUE"""),"9999.HK")</f>
        <v>9999.HK</v>
      </c>
      <c r="E1214" s="5" t="str">
        <f>IFERROR(__xludf.DUMMYFUNCTION("""COMPUTED_VALUE"""),"HKD")</f>
        <v>HKD</v>
      </c>
      <c r="F1214" s="69">
        <f>IFERROR(__xludf.DUMMYFUNCTION("""COMPUTED_VALUE"""),500.0)</f>
        <v>500</v>
      </c>
      <c r="G1214" s="70">
        <f>IFERROR(__xludf.DUMMYFUNCTION("""COMPUTED_VALUE"""),1.0)</f>
        <v>1</v>
      </c>
      <c r="H1214" s="71">
        <f>IFERROR(__xludf.DUMMYFUNCTION("""COMPUTED_VALUE"""),142.3)</f>
        <v>142.3</v>
      </c>
      <c r="I1214" s="71"/>
      <c r="J1214" s="22"/>
      <c r="K1214" s="22"/>
      <c r="L1214" s="22"/>
      <c r="M1214" s="22"/>
      <c r="N1214" s="22"/>
      <c r="O1214" s="73"/>
      <c r="P1214" s="8"/>
      <c r="Q1214" s="69"/>
      <c r="R1214" s="69"/>
      <c r="S1214" s="8"/>
      <c r="T1214" s="69"/>
      <c r="U1214" s="8"/>
      <c r="V1214" s="69"/>
      <c r="W1214" s="74"/>
      <c r="X1214" s="69"/>
    </row>
    <row r="1215">
      <c r="A1215" s="30" t="str">
        <f>IFERROR(__xludf.DUMMYFUNCTION("""COMPUTED_VALUE"""),"95516")</f>
        <v>95516</v>
      </c>
      <c r="B1215" s="86">
        <f>IFERROR(__xludf.DUMMYFUNCTION("""COMPUTED_VALUE"""),44641.0)</f>
        <v>44641</v>
      </c>
      <c r="C1215" s="64" t="str">
        <f>IFERROR(__xludf.DUMMYFUNCTION("""COMPUTED_VALUE"""),"Stock")</f>
        <v>Stock</v>
      </c>
      <c r="D1215" s="90" t="str">
        <f>IFERROR(__xludf.DUMMYFUNCTION("""COMPUTED_VALUE"""),"9988.HK")</f>
        <v>9988.HK</v>
      </c>
      <c r="E1215" s="5" t="str">
        <f>IFERROR(__xludf.DUMMYFUNCTION("""COMPUTED_VALUE"""),"HKD")</f>
        <v>HKD</v>
      </c>
      <c r="F1215" s="69">
        <f>IFERROR(__xludf.DUMMYFUNCTION("""COMPUTED_VALUE"""),1500.0)</f>
        <v>1500</v>
      </c>
      <c r="G1215" s="70">
        <f>IFERROR(__xludf.DUMMYFUNCTION("""COMPUTED_VALUE"""),1.0)</f>
        <v>1</v>
      </c>
      <c r="H1215" s="71">
        <f>IFERROR(__xludf.DUMMYFUNCTION("""COMPUTED_VALUE"""),99.1)</f>
        <v>99.1</v>
      </c>
      <c r="I1215" s="71"/>
      <c r="J1215" s="22"/>
      <c r="K1215" s="22"/>
      <c r="L1215" s="22"/>
      <c r="M1215" s="22"/>
      <c r="N1215" s="22"/>
      <c r="O1215" s="73"/>
      <c r="P1215" s="8"/>
      <c r="Q1215" s="69"/>
      <c r="R1215" s="69"/>
      <c r="S1215" s="8"/>
      <c r="T1215" s="69"/>
      <c r="U1215" s="8"/>
      <c r="V1215" s="69"/>
      <c r="W1215" s="74"/>
      <c r="X1215" s="69"/>
    </row>
    <row r="1216">
      <c r="A1216" s="30" t="str">
        <f>IFERROR(__xludf.DUMMYFUNCTION("""COMPUTED_VALUE"""),"95516")</f>
        <v>95516</v>
      </c>
      <c r="B1216" s="86">
        <f>IFERROR(__xludf.DUMMYFUNCTION("""COMPUTED_VALUE"""),44644.0)</f>
        <v>44644</v>
      </c>
      <c r="C1216" s="64" t="str">
        <f>IFERROR(__xludf.DUMMYFUNCTION("""COMPUTED_VALUE"""),"Stock")</f>
        <v>Stock</v>
      </c>
      <c r="D1216" s="90" t="str">
        <f>IFERROR(__xludf.DUMMYFUNCTION("""COMPUTED_VALUE"""),"0968.HK")</f>
        <v>0968.HK</v>
      </c>
      <c r="E1216" s="5" t="str">
        <f>IFERROR(__xludf.DUMMYFUNCTION("""COMPUTED_VALUE"""),"HKD")</f>
        <v>HKD</v>
      </c>
      <c r="F1216" s="69">
        <f>IFERROR(__xludf.DUMMYFUNCTION("""COMPUTED_VALUE"""),-10000.0)</f>
        <v>-10000</v>
      </c>
      <c r="G1216" s="70">
        <f>IFERROR(__xludf.DUMMYFUNCTION("""COMPUTED_VALUE"""),1.0)</f>
        <v>1</v>
      </c>
      <c r="H1216" s="71">
        <f>IFERROR(__xludf.DUMMYFUNCTION("""COMPUTED_VALUE"""),13.94)</f>
        <v>13.94</v>
      </c>
      <c r="I1216" s="71"/>
      <c r="J1216" s="22"/>
      <c r="K1216" s="22"/>
      <c r="L1216" s="22"/>
      <c r="M1216" s="22"/>
      <c r="N1216" s="22"/>
      <c r="O1216" s="73"/>
      <c r="P1216" s="8"/>
      <c r="Q1216" s="69"/>
      <c r="R1216" s="69"/>
      <c r="S1216" s="8"/>
      <c r="T1216" s="69"/>
      <c r="U1216" s="8"/>
      <c r="V1216" s="69"/>
      <c r="W1216" s="74"/>
      <c r="X1216" s="69"/>
    </row>
    <row r="1217">
      <c r="A1217" s="30" t="str">
        <f>IFERROR(__xludf.DUMMYFUNCTION("""COMPUTED_VALUE"""),"95516")</f>
        <v>95516</v>
      </c>
      <c r="B1217" s="86">
        <f>IFERROR(__xludf.DUMMYFUNCTION("""COMPUTED_VALUE"""),44648.0)</f>
        <v>44648</v>
      </c>
      <c r="C1217" s="64" t="str">
        <f>IFERROR(__xludf.DUMMYFUNCTION("""COMPUTED_VALUE"""),"Stock")</f>
        <v>Stock</v>
      </c>
      <c r="D1217" s="90" t="str">
        <f>IFERROR(__xludf.DUMMYFUNCTION("""COMPUTED_VALUE"""),"1919.HK")</f>
        <v>1919.HK</v>
      </c>
      <c r="E1217" s="5" t="str">
        <f>IFERROR(__xludf.DUMMYFUNCTION("""COMPUTED_VALUE"""),"HKD")</f>
        <v>HKD</v>
      </c>
      <c r="F1217" s="69">
        <f>IFERROR(__xludf.DUMMYFUNCTION("""COMPUTED_VALUE"""),10000.0)</f>
        <v>10000</v>
      </c>
      <c r="G1217" s="70">
        <f>IFERROR(__xludf.DUMMYFUNCTION("""COMPUTED_VALUE"""),1.0)</f>
        <v>1</v>
      </c>
      <c r="H1217" s="71">
        <f>IFERROR(__xludf.DUMMYFUNCTION("""COMPUTED_VALUE"""),13.72)</f>
        <v>13.72</v>
      </c>
      <c r="I1217" s="71"/>
      <c r="J1217" s="22"/>
      <c r="K1217" s="22"/>
      <c r="L1217" s="22"/>
      <c r="M1217" s="22"/>
      <c r="N1217" s="22"/>
      <c r="O1217" s="73"/>
      <c r="P1217" s="8"/>
      <c r="Q1217" s="69"/>
      <c r="R1217" s="69"/>
      <c r="S1217" s="8"/>
      <c r="T1217" s="69"/>
      <c r="U1217" s="8"/>
      <c r="V1217" s="69"/>
      <c r="W1217" s="74"/>
      <c r="X1217" s="69"/>
    </row>
    <row r="1218">
      <c r="A1218" s="30" t="str">
        <f>IFERROR(__xludf.DUMMYFUNCTION("""COMPUTED_VALUE"""),"95516")</f>
        <v>95516</v>
      </c>
      <c r="B1218" s="86">
        <f>IFERROR(__xludf.DUMMYFUNCTION("""COMPUTED_VALUE"""),44653.0)</f>
        <v>44653</v>
      </c>
      <c r="C1218" s="64" t="str">
        <f>IFERROR(__xludf.DUMMYFUNCTION("""COMPUTED_VALUE"""),"Stock")</f>
        <v>Stock</v>
      </c>
      <c r="D1218" s="90" t="str">
        <f>IFERROR(__xludf.DUMMYFUNCTION("""COMPUTED_VALUE"""),"9999.HK")</f>
        <v>9999.HK</v>
      </c>
      <c r="E1218" s="5" t="str">
        <f>IFERROR(__xludf.DUMMYFUNCTION("""COMPUTED_VALUE"""),"HKD")</f>
        <v>HKD</v>
      </c>
      <c r="F1218" s="69">
        <f>IFERROR(__xludf.DUMMYFUNCTION("""COMPUTED_VALUE"""),-500.0)</f>
        <v>-500</v>
      </c>
      <c r="G1218" s="70">
        <f>IFERROR(__xludf.DUMMYFUNCTION("""COMPUTED_VALUE"""),1.0)</f>
        <v>1</v>
      </c>
      <c r="H1218" s="71">
        <f>IFERROR(__xludf.DUMMYFUNCTION("""COMPUTED_VALUE"""),156.3)</f>
        <v>156.3</v>
      </c>
      <c r="I1218" s="71"/>
      <c r="J1218" s="22"/>
      <c r="K1218" s="22"/>
      <c r="L1218" s="22"/>
      <c r="M1218" s="22"/>
      <c r="N1218" s="22"/>
      <c r="O1218" s="73"/>
      <c r="P1218" s="8"/>
      <c r="Q1218" s="69"/>
      <c r="R1218" s="69"/>
      <c r="S1218" s="8"/>
      <c r="T1218" s="69"/>
      <c r="U1218" s="8"/>
      <c r="V1218" s="69"/>
      <c r="W1218" s="74"/>
      <c r="X1218" s="69"/>
    </row>
    <row r="1219">
      <c r="A1219" s="30" t="str">
        <f>IFERROR(__xludf.DUMMYFUNCTION("""COMPUTED_VALUE"""),"95516")</f>
        <v>95516</v>
      </c>
      <c r="B1219" s="86">
        <f>IFERROR(__xludf.DUMMYFUNCTION("""COMPUTED_VALUE"""),44657.0)</f>
        <v>44657</v>
      </c>
      <c r="C1219" s="64" t="str">
        <f>IFERROR(__xludf.DUMMYFUNCTION("""COMPUTED_VALUE"""),"Stock")</f>
        <v>Stock</v>
      </c>
      <c r="D1219" s="90" t="str">
        <f>IFERROR(__xludf.DUMMYFUNCTION("""COMPUTED_VALUE"""),"1919.HK")</f>
        <v>1919.HK</v>
      </c>
      <c r="E1219" s="5" t="str">
        <f>IFERROR(__xludf.DUMMYFUNCTION("""COMPUTED_VALUE"""),"HKD")</f>
        <v>HKD</v>
      </c>
      <c r="F1219" s="69">
        <f>IFERROR(__xludf.DUMMYFUNCTION("""COMPUTED_VALUE"""),5500.0)</f>
        <v>5500</v>
      </c>
      <c r="G1219" s="70">
        <f>IFERROR(__xludf.DUMMYFUNCTION("""COMPUTED_VALUE"""),1.0)</f>
        <v>1</v>
      </c>
      <c r="H1219" s="71">
        <f>IFERROR(__xludf.DUMMYFUNCTION("""COMPUTED_VALUE"""),13.58)</f>
        <v>13.58</v>
      </c>
      <c r="I1219" s="71"/>
      <c r="J1219" s="22"/>
      <c r="K1219" s="22"/>
      <c r="L1219" s="22"/>
      <c r="M1219" s="22"/>
      <c r="N1219" s="22"/>
      <c r="O1219" s="73"/>
      <c r="P1219" s="8"/>
      <c r="Q1219" s="69"/>
      <c r="R1219" s="69"/>
      <c r="S1219" s="8"/>
      <c r="T1219" s="69"/>
      <c r="U1219" s="8"/>
      <c r="V1219" s="69"/>
      <c r="W1219" s="74"/>
      <c r="X1219" s="69"/>
    </row>
    <row r="1220">
      <c r="A1220" s="30" t="str">
        <f>IFERROR(__xludf.DUMMYFUNCTION("""COMPUTED_VALUE"""),"95516 Total")</f>
        <v>95516 Total</v>
      </c>
      <c r="B1220" s="5"/>
      <c r="C1220" s="64"/>
      <c r="D1220" s="85"/>
      <c r="E1220" s="5"/>
      <c r="F1220" s="69"/>
      <c r="G1220" s="70">
        <f>IFERROR(__xludf.DUMMYFUNCTION("""COMPUTED_VALUE"""),1.0)</f>
        <v>1</v>
      </c>
      <c r="H1220" s="71">
        <f>IFERROR(__xludf.DUMMYFUNCTION("""COMPUTED_VALUE"""),156.3)</f>
        <v>156.3</v>
      </c>
      <c r="I1220" s="71"/>
      <c r="J1220" s="22"/>
      <c r="K1220" s="22"/>
      <c r="L1220" s="22"/>
      <c r="M1220" s="22"/>
      <c r="N1220" s="22"/>
      <c r="O1220" s="73"/>
      <c r="P1220" s="8"/>
      <c r="Q1220" s="69"/>
      <c r="R1220" s="69"/>
      <c r="S1220" s="8"/>
      <c r="T1220" s="69"/>
      <c r="U1220" s="8"/>
      <c r="V1220" s="69"/>
      <c r="W1220" s="74"/>
      <c r="X1220" s="69"/>
    </row>
    <row r="1221">
      <c r="A1221" s="30" t="str">
        <f>IFERROR(__xludf.DUMMYFUNCTION("""COMPUTED_VALUE"""),"97316")</f>
        <v>97316</v>
      </c>
      <c r="B1221" s="86">
        <f>IFERROR(__xludf.DUMMYFUNCTION("""COMPUTED_VALUE"""),44597.0)</f>
        <v>44597</v>
      </c>
      <c r="C1221" s="64" t="str">
        <f>IFERROR(__xludf.DUMMYFUNCTION("""COMPUTED_VALUE"""),"Cash")</f>
        <v>Cash</v>
      </c>
      <c r="D1221" s="85" t="str">
        <f>IFERROR(__xludf.DUMMYFUNCTION("""COMPUTED_VALUE"""),"Cash")</f>
        <v>Cash</v>
      </c>
      <c r="E1221" s="5" t="str">
        <f>IFERROR(__xludf.DUMMYFUNCTION("""COMPUTED_VALUE"""),"HKD")</f>
        <v>HKD</v>
      </c>
      <c r="F1221" s="69" t="str">
        <f>IFERROR(__xludf.DUMMYFUNCTION("""COMPUTED_VALUE"""),"")</f>
        <v/>
      </c>
      <c r="G1221" s="70">
        <f>IFERROR(__xludf.DUMMYFUNCTION("""COMPUTED_VALUE"""),1.0)</f>
        <v>1</v>
      </c>
      <c r="H1221" s="71">
        <f>IFERROR(__xludf.DUMMYFUNCTION("""COMPUTED_VALUE"""),1.0)</f>
        <v>1</v>
      </c>
      <c r="I1221" s="71"/>
      <c r="J1221" s="22"/>
      <c r="K1221" s="22"/>
      <c r="L1221" s="22"/>
      <c r="M1221" s="22"/>
      <c r="N1221" s="22"/>
      <c r="O1221" s="73"/>
      <c r="P1221" s="8"/>
      <c r="Q1221" s="69"/>
      <c r="R1221" s="69"/>
      <c r="S1221" s="8"/>
      <c r="T1221" s="69"/>
      <c r="U1221" s="8"/>
      <c r="V1221" s="69"/>
      <c r="W1221" s="74"/>
      <c r="X1221" s="69"/>
    </row>
    <row r="1222">
      <c r="A1222" s="30" t="str">
        <f>IFERROR(__xludf.DUMMYFUNCTION("""COMPUTED_VALUE"""),"97316 Total")</f>
        <v>97316 Total</v>
      </c>
      <c r="B1222" s="5"/>
      <c r="C1222" s="64"/>
      <c r="D1222" s="85"/>
      <c r="E1222" s="5"/>
      <c r="F1222" s="69"/>
      <c r="G1222" s="70">
        <f>IFERROR(__xludf.DUMMYFUNCTION("""COMPUTED_VALUE"""),1.0)</f>
        <v>1</v>
      </c>
      <c r="H1222" s="71">
        <f>IFERROR(__xludf.DUMMYFUNCTION("""COMPUTED_VALUE"""),1.0)</f>
        <v>1</v>
      </c>
      <c r="I1222" s="71"/>
      <c r="J1222" s="22"/>
      <c r="K1222" s="22"/>
      <c r="L1222" s="22"/>
      <c r="M1222" s="22"/>
      <c r="N1222" s="22"/>
      <c r="O1222" s="73"/>
      <c r="P1222" s="8"/>
      <c r="Q1222" s="69"/>
      <c r="R1222" s="69"/>
      <c r="S1222" s="8"/>
      <c r="T1222" s="69"/>
      <c r="U1222" s="8"/>
      <c r="V1222" s="69"/>
      <c r="W1222" s="74"/>
      <c r="X1222" s="69"/>
    </row>
    <row r="1223">
      <c r="A1223" s="30" t="str">
        <f>IFERROR(__xludf.DUMMYFUNCTION("""COMPUTED_VALUE"""),"C0007")</f>
        <v>C0007</v>
      </c>
      <c r="B1223" s="86">
        <f>IFERROR(__xludf.DUMMYFUNCTION("""COMPUTED_VALUE"""),44562.0)</f>
        <v>44562</v>
      </c>
      <c r="C1223" s="64" t="str">
        <f>IFERROR(__xludf.DUMMYFUNCTION("""COMPUTED_VALUE"""),"Cash")</f>
        <v>Cash</v>
      </c>
      <c r="D1223" s="85" t="str">
        <f>IFERROR(__xludf.DUMMYFUNCTION("""COMPUTED_VALUE"""),"Cash")</f>
        <v>Cash</v>
      </c>
      <c r="E1223" s="5" t="str">
        <f>IFERROR(__xludf.DUMMYFUNCTION("""COMPUTED_VALUE"""),"HKD")</f>
        <v>HKD</v>
      </c>
      <c r="F1223" s="69" t="str">
        <f>IFERROR(__xludf.DUMMYFUNCTION("""COMPUTED_VALUE"""),"")</f>
        <v/>
      </c>
      <c r="G1223" s="70">
        <f>IFERROR(__xludf.DUMMYFUNCTION("""COMPUTED_VALUE"""),1.0)</f>
        <v>1</v>
      </c>
      <c r="H1223" s="71">
        <f>IFERROR(__xludf.DUMMYFUNCTION("""COMPUTED_VALUE"""),1.0)</f>
        <v>1</v>
      </c>
      <c r="I1223" s="71"/>
      <c r="J1223" s="22"/>
      <c r="K1223" s="22"/>
      <c r="L1223" s="22"/>
      <c r="M1223" s="22"/>
      <c r="N1223" s="22"/>
      <c r="O1223" s="73"/>
      <c r="P1223" s="8"/>
      <c r="Q1223" s="69"/>
      <c r="R1223" s="69"/>
      <c r="S1223" s="8"/>
      <c r="T1223" s="69"/>
      <c r="U1223" s="8"/>
      <c r="V1223" s="69"/>
      <c r="W1223" s="74"/>
      <c r="X1223" s="69"/>
    </row>
    <row r="1224">
      <c r="A1224" s="30" t="str">
        <f>IFERROR(__xludf.DUMMYFUNCTION("""COMPUTED_VALUE"""),"C0007 Total")</f>
        <v>C0007 Total</v>
      </c>
      <c r="B1224" s="5"/>
      <c r="C1224" s="64"/>
      <c r="D1224" s="85"/>
      <c r="E1224" s="5"/>
      <c r="F1224" s="69"/>
      <c r="G1224" s="70">
        <f>IFERROR(__xludf.DUMMYFUNCTION("""COMPUTED_VALUE"""),1.0)</f>
        <v>1</v>
      </c>
      <c r="H1224" s="71">
        <f>IFERROR(__xludf.DUMMYFUNCTION("""COMPUTED_VALUE"""),1.0)</f>
        <v>1</v>
      </c>
      <c r="I1224" s="71"/>
      <c r="J1224" s="22"/>
      <c r="K1224" s="22"/>
      <c r="L1224" s="22"/>
      <c r="M1224" s="22"/>
      <c r="N1224" s="22"/>
      <c r="O1224" s="73"/>
      <c r="P1224" s="8"/>
      <c r="Q1224" s="69"/>
      <c r="R1224" s="69"/>
      <c r="S1224" s="8"/>
      <c r="T1224" s="69"/>
      <c r="U1224" s="8"/>
      <c r="V1224" s="69"/>
      <c r="W1224" s="74"/>
      <c r="X1224" s="69"/>
    </row>
    <row r="1225">
      <c r="A1225" s="30" t="str">
        <f>IFERROR(__xludf.DUMMYFUNCTION("""COMPUTED_VALUE"""),"MONKEY")</f>
        <v>MONKEY</v>
      </c>
      <c r="B1225" s="86">
        <f>IFERROR(__xludf.DUMMYFUNCTION("""COMPUTED_VALUE"""),44562.0)</f>
        <v>44562</v>
      </c>
      <c r="C1225" s="64" t="str">
        <f>IFERROR(__xludf.DUMMYFUNCTION("""COMPUTED_VALUE"""),"Cash")</f>
        <v>Cash</v>
      </c>
      <c r="D1225" s="85" t="str">
        <f>IFERROR(__xludf.DUMMYFUNCTION("""COMPUTED_VALUE"""),"Cash")</f>
        <v>Cash</v>
      </c>
      <c r="E1225" s="5" t="str">
        <f>IFERROR(__xludf.DUMMYFUNCTION("""COMPUTED_VALUE"""),"HKD")</f>
        <v>HKD</v>
      </c>
      <c r="F1225" s="69" t="str">
        <f>IFERROR(__xludf.DUMMYFUNCTION("""COMPUTED_VALUE"""),"")</f>
        <v/>
      </c>
      <c r="G1225" s="70">
        <f>IFERROR(__xludf.DUMMYFUNCTION("""COMPUTED_VALUE"""),1.0)</f>
        <v>1</v>
      </c>
      <c r="H1225" s="71">
        <f>IFERROR(__xludf.DUMMYFUNCTION("""COMPUTED_VALUE"""),1.0)</f>
        <v>1</v>
      </c>
      <c r="I1225" s="71"/>
      <c r="J1225" s="22"/>
      <c r="K1225" s="22"/>
      <c r="L1225" s="22"/>
      <c r="M1225" s="22"/>
      <c r="N1225" s="22"/>
      <c r="O1225" s="73"/>
      <c r="P1225" s="8"/>
      <c r="Q1225" s="69"/>
      <c r="R1225" s="69"/>
      <c r="S1225" s="8"/>
      <c r="T1225" s="69"/>
      <c r="U1225" s="8"/>
      <c r="V1225" s="69"/>
      <c r="W1225" s="74"/>
      <c r="X1225" s="69"/>
    </row>
    <row r="1226">
      <c r="A1226" s="30" t="str">
        <f>IFERROR(__xludf.DUMMYFUNCTION("""COMPUTED_VALUE"""),"MONKEY")</f>
        <v>MONKEY</v>
      </c>
      <c r="B1226" s="86">
        <f>IFERROR(__xludf.DUMMYFUNCTION("""COMPUTED_VALUE"""),44595.0)</f>
        <v>44595</v>
      </c>
      <c r="C1226" s="64" t="str">
        <f>IFERROR(__xludf.DUMMYFUNCTION("""COMPUTED_VALUE"""),"Stock")</f>
        <v>Stock</v>
      </c>
      <c r="D1226" s="87" t="str">
        <f>IFERROR(__xludf.DUMMYFUNCTION("""COMPUTED_VALUE"""),"AMZN")</f>
        <v>AMZN</v>
      </c>
      <c r="E1226" s="5" t="str">
        <f>IFERROR(__xludf.DUMMYFUNCTION("""COMPUTED_VALUE"""),"USD")</f>
        <v>USD</v>
      </c>
      <c r="F1226" s="69">
        <f>IFERROR(__xludf.DUMMYFUNCTION("""COMPUTED_VALUE"""),1.0)</f>
        <v>1</v>
      </c>
      <c r="G1226" s="70">
        <f>IFERROR(__xludf.DUMMYFUNCTION("""COMPUTED_VALUE"""),7.83915)</f>
        <v>7.83915</v>
      </c>
      <c r="H1226" s="71">
        <f>IFERROR(__xludf.DUMMYFUNCTION("""COMPUTED_VALUE"""),2776.91)</f>
        <v>2776.91</v>
      </c>
      <c r="I1226" s="71"/>
      <c r="J1226" s="22"/>
      <c r="K1226" s="22"/>
      <c r="L1226" s="22"/>
      <c r="M1226" s="22"/>
      <c r="N1226" s="22"/>
      <c r="O1226" s="73"/>
      <c r="P1226" s="8"/>
      <c r="Q1226" s="69"/>
      <c r="R1226" s="69"/>
      <c r="S1226" s="8"/>
      <c r="T1226" s="69"/>
      <c r="U1226" s="8"/>
      <c r="V1226" s="69"/>
      <c r="W1226" s="74"/>
      <c r="X1226" s="69"/>
    </row>
    <row r="1227">
      <c r="A1227" s="30" t="str">
        <f>IFERROR(__xludf.DUMMYFUNCTION("""COMPUTED_VALUE"""),"MONKEY")</f>
        <v>MONKEY</v>
      </c>
      <c r="B1227" s="86">
        <f>IFERROR(__xludf.DUMMYFUNCTION("""COMPUTED_VALUE"""),44610.0)</f>
        <v>44610</v>
      </c>
      <c r="C1227" s="64" t="str">
        <f>IFERROR(__xludf.DUMMYFUNCTION("""COMPUTED_VALUE"""),"Stock")</f>
        <v>Stock</v>
      </c>
      <c r="D1227" s="90" t="str">
        <f>IFERROR(__xludf.DUMMYFUNCTION("""COMPUTED_VALUE"""),"0909.HK")</f>
        <v>0909.HK</v>
      </c>
      <c r="E1227" s="5" t="str">
        <f>IFERROR(__xludf.DUMMYFUNCTION("""COMPUTED_VALUE"""),"HKD")</f>
        <v>HKD</v>
      </c>
      <c r="F1227" s="69">
        <f>IFERROR(__xludf.DUMMYFUNCTION("""COMPUTED_VALUE"""),360.0)</f>
        <v>360</v>
      </c>
      <c r="G1227" s="70">
        <f>IFERROR(__xludf.DUMMYFUNCTION("""COMPUTED_VALUE"""),1.0)</f>
        <v>1</v>
      </c>
      <c r="H1227" s="71">
        <f>IFERROR(__xludf.DUMMYFUNCTION("""COMPUTED_VALUE"""),17.62)</f>
        <v>17.62</v>
      </c>
      <c r="I1227" s="71"/>
      <c r="J1227" s="22"/>
      <c r="K1227" s="22"/>
      <c r="L1227" s="22"/>
      <c r="M1227" s="22"/>
      <c r="N1227" s="22"/>
      <c r="O1227" s="73"/>
      <c r="P1227" s="8"/>
      <c r="Q1227" s="69"/>
      <c r="R1227" s="69"/>
      <c r="S1227" s="8"/>
      <c r="T1227" s="69"/>
      <c r="U1227" s="8"/>
      <c r="V1227" s="69"/>
      <c r="W1227" s="74"/>
      <c r="X1227" s="69"/>
    </row>
    <row r="1228">
      <c r="A1228" s="30" t="str">
        <f>IFERROR(__xludf.DUMMYFUNCTION("""COMPUTED_VALUE"""),"MONKEY")</f>
        <v>MONKEY</v>
      </c>
      <c r="B1228" s="86">
        <f>IFERROR(__xludf.DUMMYFUNCTION("""COMPUTED_VALUE"""),44610.0)</f>
        <v>44610</v>
      </c>
      <c r="C1228" s="64" t="str">
        <f>IFERROR(__xludf.DUMMYFUNCTION("""COMPUTED_VALUE"""),"Stock")</f>
        <v>Stock</v>
      </c>
      <c r="D1228" s="90" t="str">
        <f>IFERROR(__xludf.DUMMYFUNCTION("""COMPUTED_VALUE"""),"9961.HK")</f>
        <v>9961.HK</v>
      </c>
      <c r="E1228" s="5" t="str">
        <f>IFERROR(__xludf.DUMMYFUNCTION("""COMPUTED_VALUE"""),"HKD")</f>
        <v>HKD</v>
      </c>
      <c r="F1228" s="69">
        <f>IFERROR(__xludf.DUMMYFUNCTION("""COMPUTED_VALUE"""),30.0)</f>
        <v>30</v>
      </c>
      <c r="G1228" s="70">
        <f>IFERROR(__xludf.DUMMYFUNCTION("""COMPUTED_VALUE"""),1.0)</f>
        <v>1</v>
      </c>
      <c r="H1228" s="71">
        <f>IFERROR(__xludf.DUMMYFUNCTION("""COMPUTED_VALUE"""),232.8)</f>
        <v>232.8</v>
      </c>
      <c r="I1228" s="71"/>
      <c r="J1228" s="22"/>
      <c r="K1228" s="22"/>
      <c r="L1228" s="22"/>
      <c r="M1228" s="22"/>
      <c r="N1228" s="22"/>
      <c r="O1228" s="73"/>
      <c r="P1228" s="8"/>
      <c r="Q1228" s="69"/>
      <c r="R1228" s="69"/>
      <c r="S1228" s="8"/>
      <c r="T1228" s="69"/>
      <c r="U1228" s="8"/>
      <c r="V1228" s="69"/>
      <c r="W1228" s="74"/>
      <c r="X1228" s="69"/>
    </row>
    <row r="1229">
      <c r="A1229" s="30" t="str">
        <f>IFERROR(__xludf.DUMMYFUNCTION("""COMPUTED_VALUE"""),"MONKEY")</f>
        <v>MONKEY</v>
      </c>
      <c r="B1229" s="86">
        <f>IFERROR(__xludf.DUMMYFUNCTION("""COMPUTED_VALUE"""),44610.0)</f>
        <v>44610</v>
      </c>
      <c r="C1229" s="64" t="str">
        <f>IFERROR(__xludf.DUMMYFUNCTION("""COMPUTED_VALUE"""),"Stock")</f>
        <v>Stock</v>
      </c>
      <c r="D1229" s="90" t="str">
        <f>IFERROR(__xludf.DUMMYFUNCTION("""COMPUTED_VALUE"""),"9999.HK")</f>
        <v>9999.HK</v>
      </c>
      <c r="E1229" s="5" t="str">
        <f>IFERROR(__xludf.DUMMYFUNCTION("""COMPUTED_VALUE"""),"HKD")</f>
        <v>HKD</v>
      </c>
      <c r="F1229" s="69">
        <f>IFERROR(__xludf.DUMMYFUNCTION("""COMPUTED_VALUE"""),40.0)</f>
        <v>40</v>
      </c>
      <c r="G1229" s="70">
        <f>IFERROR(__xludf.DUMMYFUNCTION("""COMPUTED_VALUE"""),1.0)</f>
        <v>1</v>
      </c>
      <c r="H1229" s="71">
        <f>IFERROR(__xludf.DUMMYFUNCTION("""COMPUTED_VALUE"""),156.7)</f>
        <v>156.7</v>
      </c>
      <c r="I1229" s="71"/>
      <c r="J1229" s="22"/>
      <c r="K1229" s="22"/>
      <c r="L1229" s="22"/>
      <c r="M1229" s="22"/>
      <c r="N1229" s="22"/>
      <c r="O1229" s="73"/>
      <c r="P1229" s="8"/>
      <c r="Q1229" s="69"/>
      <c r="R1229" s="69"/>
      <c r="S1229" s="8"/>
      <c r="T1229" s="69"/>
      <c r="U1229" s="8"/>
      <c r="V1229" s="69"/>
      <c r="W1229" s="74"/>
      <c r="X1229" s="69"/>
    </row>
    <row r="1230">
      <c r="A1230" s="30" t="str">
        <f>IFERROR(__xludf.DUMMYFUNCTION("""COMPUTED_VALUE"""),"MONKEY")</f>
        <v>MONKEY</v>
      </c>
      <c r="B1230" s="86">
        <f>IFERROR(__xludf.DUMMYFUNCTION("""COMPUTED_VALUE"""),44610.0)</f>
        <v>44610</v>
      </c>
      <c r="C1230" s="64" t="str">
        <f>IFERROR(__xludf.DUMMYFUNCTION("""COMPUTED_VALUE"""),"Stock")</f>
        <v>Stock</v>
      </c>
      <c r="D1230" s="87" t="str">
        <f>IFERROR(__xludf.DUMMYFUNCTION("""COMPUTED_VALUE"""),"AMGN")</f>
        <v>AMGN</v>
      </c>
      <c r="E1230" s="5" t="str">
        <f>IFERROR(__xludf.DUMMYFUNCTION("""COMPUTED_VALUE"""),"USD")</f>
        <v>USD</v>
      </c>
      <c r="F1230" s="69">
        <f>IFERROR(__xludf.DUMMYFUNCTION("""COMPUTED_VALUE"""),30.0)</f>
        <v>30</v>
      </c>
      <c r="G1230" s="70">
        <f>IFERROR(__xludf.DUMMYFUNCTION("""COMPUTED_VALUE"""),7.83915)</f>
        <v>7.83915</v>
      </c>
      <c r="H1230" s="71">
        <f>IFERROR(__xludf.DUMMYFUNCTION("""COMPUTED_VALUE"""),220.77)</f>
        <v>220.77</v>
      </c>
      <c r="I1230" s="71"/>
      <c r="J1230" s="22"/>
      <c r="K1230" s="22"/>
      <c r="L1230" s="22"/>
      <c r="M1230" s="22"/>
      <c r="N1230" s="22"/>
      <c r="O1230" s="73"/>
      <c r="P1230" s="8"/>
      <c r="Q1230" s="69"/>
      <c r="R1230" s="69"/>
      <c r="S1230" s="8"/>
      <c r="T1230" s="69"/>
      <c r="U1230" s="8"/>
      <c r="V1230" s="69"/>
      <c r="W1230" s="74"/>
      <c r="X1230" s="69"/>
    </row>
    <row r="1231">
      <c r="A1231" s="30" t="str">
        <f>IFERROR(__xludf.DUMMYFUNCTION("""COMPUTED_VALUE"""),"MONKEY")</f>
        <v>MONKEY</v>
      </c>
      <c r="B1231" s="86">
        <f>IFERROR(__xludf.DUMMYFUNCTION("""COMPUTED_VALUE"""),44610.0)</f>
        <v>44610</v>
      </c>
      <c r="C1231" s="64" t="str">
        <f>IFERROR(__xludf.DUMMYFUNCTION("""COMPUTED_VALUE"""),"Stock")</f>
        <v>Stock</v>
      </c>
      <c r="D1231" s="87" t="str">
        <f>IFERROR(__xludf.DUMMYFUNCTION("""COMPUTED_VALUE"""),"ATVI")</f>
        <v>ATVI</v>
      </c>
      <c r="E1231" s="5" t="str">
        <f>IFERROR(__xludf.DUMMYFUNCTION("""COMPUTED_VALUE"""),"USD")</f>
        <v>USD</v>
      </c>
      <c r="F1231" s="69">
        <f>IFERROR(__xludf.DUMMYFUNCTION("""COMPUTED_VALUE"""),80.0)</f>
        <v>80</v>
      </c>
      <c r="G1231" s="70">
        <f>IFERROR(__xludf.DUMMYFUNCTION("""COMPUTED_VALUE"""),7.83915)</f>
        <v>7.83915</v>
      </c>
      <c r="H1231" s="71">
        <f>IFERROR(__xludf.DUMMYFUNCTION("""COMPUTED_VALUE"""),81.05)</f>
        <v>81.05</v>
      </c>
      <c r="I1231" s="71"/>
      <c r="J1231" s="22"/>
      <c r="K1231" s="22"/>
      <c r="L1231" s="22"/>
      <c r="M1231" s="22"/>
      <c r="N1231" s="22"/>
      <c r="O1231" s="73"/>
      <c r="P1231" s="8"/>
      <c r="Q1231" s="69"/>
      <c r="R1231" s="69"/>
      <c r="S1231" s="8"/>
      <c r="T1231" s="69"/>
      <c r="U1231" s="8"/>
      <c r="V1231" s="69"/>
      <c r="W1231" s="74"/>
      <c r="X1231" s="69"/>
    </row>
    <row r="1232">
      <c r="A1232" s="30" t="str">
        <f>IFERROR(__xludf.DUMMYFUNCTION("""COMPUTED_VALUE"""),"MONKEY")</f>
        <v>MONKEY</v>
      </c>
      <c r="B1232" s="86">
        <f>IFERROR(__xludf.DUMMYFUNCTION("""COMPUTED_VALUE"""),44610.0)</f>
        <v>44610</v>
      </c>
      <c r="C1232" s="64" t="str">
        <f>IFERROR(__xludf.DUMMYFUNCTION("""COMPUTED_VALUE"""),"Stock")</f>
        <v>Stock</v>
      </c>
      <c r="D1232" s="87" t="str">
        <f>IFERROR(__xludf.DUMMYFUNCTION("""COMPUTED_VALUE"""),"LCID")</f>
        <v>LCID</v>
      </c>
      <c r="E1232" s="5" t="str">
        <f>IFERROR(__xludf.DUMMYFUNCTION("""COMPUTED_VALUE"""),"USD")</f>
        <v>USD</v>
      </c>
      <c r="F1232" s="69">
        <f>IFERROR(__xludf.DUMMYFUNCTION("""COMPUTED_VALUE"""),230.0)</f>
        <v>230</v>
      </c>
      <c r="G1232" s="70">
        <f>IFERROR(__xludf.DUMMYFUNCTION("""COMPUTED_VALUE"""),7.83915)</f>
        <v>7.83915</v>
      </c>
      <c r="H1232" s="71">
        <f>IFERROR(__xludf.DUMMYFUNCTION("""COMPUTED_VALUE"""),26.59)</f>
        <v>26.59</v>
      </c>
      <c r="I1232" s="71"/>
      <c r="J1232" s="22"/>
      <c r="K1232" s="22"/>
      <c r="L1232" s="22"/>
      <c r="M1232" s="22"/>
      <c r="N1232" s="22"/>
      <c r="O1232" s="73"/>
      <c r="P1232" s="8"/>
      <c r="Q1232" s="69"/>
      <c r="R1232" s="69"/>
      <c r="S1232" s="8"/>
      <c r="T1232" s="69"/>
      <c r="U1232" s="8"/>
      <c r="V1232" s="69"/>
      <c r="W1232" s="74"/>
      <c r="X1232" s="69"/>
    </row>
    <row r="1233">
      <c r="A1233" s="30" t="str">
        <f>IFERROR(__xludf.DUMMYFUNCTION("""COMPUTED_VALUE"""),"MONKEY")</f>
        <v>MONKEY</v>
      </c>
      <c r="B1233" s="86">
        <f>IFERROR(__xludf.DUMMYFUNCTION("""COMPUTED_VALUE"""),44610.0)</f>
        <v>44610</v>
      </c>
      <c r="C1233" s="64" t="str">
        <f>IFERROR(__xludf.DUMMYFUNCTION("""COMPUTED_VALUE"""),"Stock")</f>
        <v>Stock</v>
      </c>
      <c r="D1233" s="87" t="str">
        <f>IFERROR(__xludf.DUMMYFUNCTION("""COMPUTED_VALUE"""),"PANW")</f>
        <v>PANW</v>
      </c>
      <c r="E1233" s="5" t="str">
        <f>IFERROR(__xludf.DUMMYFUNCTION("""COMPUTED_VALUE"""),"USD")</f>
        <v>USD</v>
      </c>
      <c r="F1233" s="69">
        <f>IFERROR(__xludf.DUMMYFUNCTION("""COMPUTED_VALUE"""),10.0)</f>
        <v>10</v>
      </c>
      <c r="G1233" s="70">
        <f>IFERROR(__xludf.DUMMYFUNCTION("""COMPUTED_VALUE"""),7.83915)</f>
        <v>7.83915</v>
      </c>
      <c r="H1233" s="71">
        <f>IFERROR(__xludf.DUMMYFUNCTION("""COMPUTED_VALUE"""),482.17)</f>
        <v>482.17</v>
      </c>
      <c r="I1233" s="71"/>
      <c r="J1233" s="22"/>
      <c r="K1233" s="22"/>
      <c r="L1233" s="22"/>
      <c r="M1233" s="22"/>
      <c r="N1233" s="22"/>
      <c r="O1233" s="73"/>
      <c r="P1233" s="8"/>
      <c r="Q1233" s="69"/>
      <c r="R1233" s="69"/>
      <c r="S1233" s="8"/>
      <c r="T1233" s="69"/>
      <c r="U1233" s="8"/>
      <c r="V1233" s="69"/>
      <c r="W1233" s="74"/>
      <c r="X1233" s="69"/>
    </row>
    <row r="1234">
      <c r="A1234" s="30" t="str">
        <f>IFERROR(__xludf.DUMMYFUNCTION("""COMPUTED_VALUE"""),"MONKEY")</f>
        <v>MONKEY</v>
      </c>
      <c r="B1234" s="86">
        <f>IFERROR(__xludf.DUMMYFUNCTION("""COMPUTED_VALUE"""),44610.0)</f>
        <v>44610</v>
      </c>
      <c r="C1234" s="64" t="str">
        <f>IFERROR(__xludf.DUMMYFUNCTION("""COMPUTED_VALUE"""),"Stock")</f>
        <v>Stock</v>
      </c>
      <c r="D1234" s="87" t="str">
        <f>IFERROR(__xludf.DUMMYFUNCTION("""COMPUTED_VALUE"""),"SNPS")</f>
        <v>SNPS</v>
      </c>
      <c r="E1234" s="5" t="str">
        <f>IFERROR(__xludf.DUMMYFUNCTION("""COMPUTED_VALUE"""),"USD")</f>
        <v>USD</v>
      </c>
      <c r="F1234" s="69">
        <f>IFERROR(__xludf.DUMMYFUNCTION("""COMPUTED_VALUE"""),20.0)</f>
        <v>20</v>
      </c>
      <c r="G1234" s="70">
        <f>IFERROR(__xludf.DUMMYFUNCTION("""COMPUTED_VALUE"""),7.83915)</f>
        <v>7.83915</v>
      </c>
      <c r="H1234" s="71">
        <f>IFERROR(__xludf.DUMMYFUNCTION("""COMPUTED_VALUE"""),287.63)</f>
        <v>287.63</v>
      </c>
      <c r="I1234" s="71"/>
      <c r="J1234" s="22"/>
      <c r="K1234" s="22"/>
      <c r="L1234" s="22"/>
      <c r="M1234" s="22"/>
      <c r="N1234" s="22"/>
      <c r="O1234" s="73"/>
      <c r="P1234" s="8"/>
      <c r="Q1234" s="69"/>
      <c r="R1234" s="69"/>
      <c r="S1234" s="8"/>
      <c r="T1234" s="69"/>
      <c r="U1234" s="8"/>
      <c r="V1234" s="69"/>
      <c r="W1234" s="74"/>
      <c r="X1234" s="69"/>
    </row>
    <row r="1235">
      <c r="A1235" s="30" t="str">
        <f>IFERROR(__xludf.DUMMYFUNCTION("""COMPUTED_VALUE"""),"MONKEY")</f>
        <v>MONKEY</v>
      </c>
      <c r="B1235" s="86">
        <f>IFERROR(__xludf.DUMMYFUNCTION("""COMPUTED_VALUE"""),44610.0)</f>
        <v>44610</v>
      </c>
      <c r="C1235" s="64" t="str">
        <f>IFERROR(__xludf.DUMMYFUNCTION("""COMPUTED_VALUE"""),"Stock")</f>
        <v>Stock</v>
      </c>
      <c r="D1235" s="87" t="str">
        <f>IFERROR(__xludf.DUMMYFUNCTION("""COMPUTED_VALUE"""),"TEAM")</f>
        <v>TEAM</v>
      </c>
      <c r="E1235" s="5" t="str">
        <f>IFERROR(__xludf.DUMMYFUNCTION("""COMPUTED_VALUE"""),"USD")</f>
        <v>USD</v>
      </c>
      <c r="F1235" s="69">
        <f>IFERROR(__xludf.DUMMYFUNCTION("""COMPUTED_VALUE"""),20.0)</f>
        <v>20</v>
      </c>
      <c r="G1235" s="70">
        <f>IFERROR(__xludf.DUMMYFUNCTION("""COMPUTED_VALUE"""),7.83915)</f>
        <v>7.83915</v>
      </c>
      <c r="H1235" s="71">
        <f>IFERROR(__xludf.DUMMYFUNCTION("""COMPUTED_VALUE"""),298.07)</f>
        <v>298.07</v>
      </c>
      <c r="I1235" s="71"/>
      <c r="J1235" s="22"/>
      <c r="K1235" s="22"/>
      <c r="L1235" s="22"/>
      <c r="M1235" s="22"/>
      <c r="N1235" s="22"/>
      <c r="O1235" s="73"/>
      <c r="P1235" s="8"/>
      <c r="Q1235" s="69"/>
      <c r="R1235" s="69"/>
      <c r="S1235" s="8"/>
      <c r="T1235" s="69"/>
      <c r="U1235" s="8"/>
      <c r="V1235" s="69"/>
      <c r="W1235" s="74"/>
      <c r="X1235" s="69"/>
    </row>
    <row r="1236">
      <c r="A1236" s="30" t="str">
        <f>IFERROR(__xludf.DUMMYFUNCTION("""COMPUTED_VALUE"""),"MONKEY")</f>
        <v>MONKEY</v>
      </c>
      <c r="B1236" s="86">
        <f>IFERROR(__xludf.DUMMYFUNCTION("""COMPUTED_VALUE"""),44610.0)</f>
        <v>44610</v>
      </c>
      <c r="C1236" s="64" t="str">
        <f>IFERROR(__xludf.DUMMYFUNCTION("""COMPUTED_VALUE"""),"Stock")</f>
        <v>Stock</v>
      </c>
      <c r="D1236" s="87" t="str">
        <f>IFERROR(__xludf.DUMMYFUNCTION("""COMPUTED_VALUE"""),"TMUS")</f>
        <v>TMUS</v>
      </c>
      <c r="E1236" s="5" t="str">
        <f>IFERROR(__xludf.DUMMYFUNCTION("""COMPUTED_VALUE"""),"USD")</f>
        <v>USD</v>
      </c>
      <c r="F1236" s="69">
        <f>IFERROR(__xludf.DUMMYFUNCTION("""COMPUTED_VALUE"""),50.0)</f>
        <v>50</v>
      </c>
      <c r="G1236" s="70">
        <f>IFERROR(__xludf.DUMMYFUNCTION("""COMPUTED_VALUE"""),7.83915)</f>
        <v>7.83915</v>
      </c>
      <c r="H1236" s="71">
        <f>IFERROR(__xludf.DUMMYFUNCTION("""COMPUTED_VALUE"""),123.98)</f>
        <v>123.98</v>
      </c>
      <c r="I1236" s="71"/>
      <c r="J1236" s="22"/>
      <c r="K1236" s="22"/>
      <c r="L1236" s="22"/>
      <c r="M1236" s="22"/>
      <c r="N1236" s="22"/>
      <c r="O1236" s="73"/>
      <c r="P1236" s="8"/>
      <c r="Q1236" s="69"/>
      <c r="R1236" s="69"/>
      <c r="S1236" s="8"/>
      <c r="T1236" s="69"/>
      <c r="U1236" s="8"/>
      <c r="V1236" s="69"/>
      <c r="W1236" s="74"/>
      <c r="X1236" s="69"/>
    </row>
    <row r="1237">
      <c r="A1237" s="30" t="str">
        <f>IFERROR(__xludf.DUMMYFUNCTION("""COMPUTED_VALUE"""),"MONKEY Total")</f>
        <v>MONKEY Total</v>
      </c>
      <c r="B1237" s="5"/>
      <c r="C1237" s="64"/>
      <c r="D1237" s="85"/>
      <c r="E1237" s="5"/>
      <c r="F1237" s="69"/>
      <c r="G1237" s="70">
        <f>IFERROR(__xludf.DUMMYFUNCTION("""COMPUTED_VALUE"""),5.559433333333335)</f>
        <v>5.559433333</v>
      </c>
      <c r="H1237" s="71">
        <f>IFERROR(__xludf.DUMMYFUNCTION("""COMPUTED_VALUE"""),2776.91)</f>
        <v>2776.91</v>
      </c>
      <c r="I1237" s="71"/>
      <c r="J1237" s="22"/>
      <c r="K1237" s="22"/>
      <c r="L1237" s="22"/>
      <c r="M1237" s="22"/>
      <c r="N1237" s="22"/>
      <c r="O1237" s="73"/>
      <c r="P1237" s="8"/>
      <c r="Q1237" s="69"/>
      <c r="R1237" s="69"/>
      <c r="S1237" s="8"/>
      <c r="T1237" s="69"/>
      <c r="U1237" s="8"/>
      <c r="V1237" s="69"/>
      <c r="W1237" s="74"/>
      <c r="X1237" s="69"/>
    </row>
    <row r="1238">
      <c r="A1238" s="30" t="str">
        <f>IFERROR(__xludf.DUMMYFUNCTION("""COMPUTED_VALUE"""),"Steve")</f>
        <v>Steve</v>
      </c>
      <c r="B1238" s="86">
        <f>IFERROR(__xludf.DUMMYFUNCTION("""COMPUTED_VALUE"""),44562.0)</f>
        <v>44562</v>
      </c>
      <c r="C1238" s="64" t="str">
        <f>IFERROR(__xludf.DUMMYFUNCTION("""COMPUTED_VALUE"""),"Cash")</f>
        <v>Cash</v>
      </c>
      <c r="D1238" s="85" t="str">
        <f>IFERROR(__xludf.DUMMYFUNCTION("""COMPUTED_VALUE"""),"Cash")</f>
        <v>Cash</v>
      </c>
      <c r="E1238" s="5" t="str">
        <f>IFERROR(__xludf.DUMMYFUNCTION("""COMPUTED_VALUE"""),"HKD")</f>
        <v>HKD</v>
      </c>
      <c r="F1238" s="69" t="str">
        <f>IFERROR(__xludf.DUMMYFUNCTION("""COMPUTED_VALUE"""),"")</f>
        <v/>
      </c>
      <c r="G1238" s="70">
        <f>IFERROR(__xludf.DUMMYFUNCTION("""COMPUTED_VALUE"""),1.0)</f>
        <v>1</v>
      </c>
      <c r="H1238" s="71">
        <f>IFERROR(__xludf.DUMMYFUNCTION("""COMPUTED_VALUE"""),1.0)</f>
        <v>1</v>
      </c>
      <c r="I1238" s="71"/>
      <c r="J1238" s="22"/>
      <c r="K1238" s="22"/>
      <c r="L1238" s="22"/>
      <c r="M1238" s="22"/>
      <c r="N1238" s="22"/>
      <c r="O1238" s="73"/>
      <c r="P1238" s="8"/>
      <c r="Q1238" s="69"/>
      <c r="R1238" s="69"/>
      <c r="S1238" s="8"/>
      <c r="T1238" s="69"/>
      <c r="U1238" s="8"/>
      <c r="V1238" s="69"/>
      <c r="W1238" s="74"/>
      <c r="X1238" s="69"/>
    </row>
    <row r="1239">
      <c r="A1239" s="30" t="str">
        <f>IFERROR(__xludf.DUMMYFUNCTION("""COMPUTED_VALUE"""),"Steve")</f>
        <v>Steve</v>
      </c>
      <c r="B1239" s="86">
        <f>IFERROR(__xludf.DUMMYFUNCTION("""COMPUTED_VALUE"""),44595.0)</f>
        <v>44595</v>
      </c>
      <c r="C1239" s="64" t="str">
        <f>IFERROR(__xludf.DUMMYFUNCTION("""COMPUTED_VALUE"""),"Stock")</f>
        <v>Stock</v>
      </c>
      <c r="D1239" s="87" t="str">
        <f>IFERROR(__xludf.DUMMYFUNCTION("""COMPUTED_VALUE"""),"AMZN")</f>
        <v>AMZN</v>
      </c>
      <c r="E1239" s="5" t="str">
        <f>IFERROR(__xludf.DUMMYFUNCTION("""COMPUTED_VALUE"""),"USD")</f>
        <v>USD</v>
      </c>
      <c r="F1239" s="69">
        <f>IFERROR(__xludf.DUMMYFUNCTION("""COMPUTED_VALUE"""),1.0)</f>
        <v>1</v>
      </c>
      <c r="G1239" s="70">
        <f>IFERROR(__xludf.DUMMYFUNCTION("""COMPUTED_VALUE"""),7.83915)</f>
        <v>7.83915</v>
      </c>
      <c r="H1239" s="71">
        <f>IFERROR(__xludf.DUMMYFUNCTION("""COMPUTED_VALUE"""),2776.91)</f>
        <v>2776.91</v>
      </c>
      <c r="I1239" s="71"/>
      <c r="J1239" s="22"/>
      <c r="K1239" s="22"/>
      <c r="L1239" s="22"/>
      <c r="M1239" s="22"/>
      <c r="N1239" s="22"/>
      <c r="O1239" s="73"/>
      <c r="P1239" s="8"/>
      <c r="Q1239" s="69"/>
      <c r="R1239" s="69"/>
      <c r="S1239" s="8"/>
      <c r="T1239" s="69"/>
      <c r="U1239" s="8"/>
      <c r="V1239" s="69"/>
      <c r="W1239" s="74"/>
      <c r="X1239" s="69"/>
    </row>
    <row r="1240">
      <c r="A1240" s="30" t="str">
        <f>IFERROR(__xludf.DUMMYFUNCTION("""COMPUTED_VALUE"""),"Steve Total")</f>
        <v>Steve Total</v>
      </c>
      <c r="B1240" s="5"/>
      <c r="C1240" s="64"/>
      <c r="D1240" s="85"/>
      <c r="E1240" s="5"/>
      <c r="F1240" s="69"/>
      <c r="G1240" s="70">
        <f>IFERROR(__xludf.DUMMYFUNCTION("""COMPUTED_VALUE"""),4.419575)</f>
        <v>4.419575</v>
      </c>
      <c r="H1240" s="71">
        <f>IFERROR(__xludf.DUMMYFUNCTION("""COMPUTED_VALUE"""),2776.91)</f>
        <v>2776.91</v>
      </c>
      <c r="I1240" s="71"/>
      <c r="J1240" s="22"/>
      <c r="K1240" s="22"/>
      <c r="L1240" s="22"/>
      <c r="M1240" s="22"/>
      <c r="N1240" s="22"/>
      <c r="O1240" s="73"/>
      <c r="P1240" s="8"/>
      <c r="Q1240" s="69"/>
      <c r="R1240" s="69"/>
      <c r="S1240" s="8"/>
      <c r="T1240" s="69"/>
      <c r="U1240" s="8"/>
      <c r="V1240" s="69"/>
      <c r="W1240" s="74"/>
      <c r="X1240" s="69"/>
    </row>
    <row r="1241">
      <c r="A1241" s="30" t="str">
        <f>IFERROR(__xludf.DUMMYFUNCTION("""COMPUTED_VALUE"""),"TraderX")</f>
        <v>TraderX</v>
      </c>
      <c r="B1241" s="86">
        <f>IFERROR(__xludf.DUMMYFUNCTION("""COMPUTED_VALUE"""),44562.0)</f>
        <v>44562</v>
      </c>
      <c r="C1241" s="64" t="str">
        <f>IFERROR(__xludf.DUMMYFUNCTION("""COMPUTED_VALUE"""),"Cash")</f>
        <v>Cash</v>
      </c>
      <c r="D1241" s="85" t="str">
        <f>IFERROR(__xludf.DUMMYFUNCTION("""COMPUTED_VALUE"""),"Cash")</f>
        <v>Cash</v>
      </c>
      <c r="E1241" s="5" t="str">
        <f>IFERROR(__xludf.DUMMYFUNCTION("""COMPUTED_VALUE"""),"HKD")</f>
        <v>HKD</v>
      </c>
      <c r="F1241" s="69" t="str">
        <f>IFERROR(__xludf.DUMMYFUNCTION("""COMPUTED_VALUE"""),"")</f>
        <v/>
      </c>
      <c r="G1241" s="70">
        <f>IFERROR(__xludf.DUMMYFUNCTION("""COMPUTED_VALUE"""),1.0)</f>
        <v>1</v>
      </c>
      <c r="H1241" s="71">
        <f>IFERROR(__xludf.DUMMYFUNCTION("""COMPUTED_VALUE"""),1.0)</f>
        <v>1</v>
      </c>
      <c r="I1241" s="71"/>
      <c r="J1241" s="22"/>
      <c r="K1241" s="22"/>
      <c r="L1241" s="22"/>
      <c r="M1241" s="22"/>
      <c r="N1241" s="22"/>
      <c r="O1241" s="73"/>
      <c r="P1241" s="8"/>
      <c r="Q1241" s="69"/>
      <c r="R1241" s="69"/>
      <c r="S1241" s="8"/>
      <c r="T1241" s="69"/>
      <c r="U1241" s="8"/>
      <c r="V1241" s="69"/>
      <c r="W1241" s="74"/>
      <c r="X1241" s="69"/>
    </row>
    <row r="1242">
      <c r="A1242" s="30" t="str">
        <f>IFERROR(__xludf.DUMMYFUNCTION("""COMPUTED_VALUE"""),"TraderX")</f>
        <v>TraderX</v>
      </c>
      <c r="B1242" s="86">
        <f>IFERROR(__xludf.DUMMYFUNCTION("""COMPUTED_VALUE"""),44595.0)</f>
        <v>44595</v>
      </c>
      <c r="C1242" s="64" t="str">
        <f>IFERROR(__xludf.DUMMYFUNCTION("""COMPUTED_VALUE"""),"Time Deposit")</f>
        <v>Time Deposit</v>
      </c>
      <c r="D1242" s="87" t="str">
        <f>IFERROR(__xludf.DUMMYFUNCTION("""COMPUTED_VALUE"""),"1m")</f>
        <v>1m</v>
      </c>
      <c r="E1242" s="5" t="str">
        <f>IFERROR(__xludf.DUMMYFUNCTION("""COMPUTED_VALUE"""),"HKD")</f>
        <v>HKD</v>
      </c>
      <c r="F1242" s="69">
        <f>IFERROR(__xludf.DUMMYFUNCTION("""COMPUTED_VALUE"""),1000.0)</f>
        <v>1000</v>
      </c>
      <c r="G1242" s="70">
        <f>IFERROR(__xludf.DUMMYFUNCTION("""COMPUTED_VALUE"""),1.0)</f>
        <v>1</v>
      </c>
      <c r="H1242" s="71">
        <f>IFERROR(__xludf.DUMMYFUNCTION("""COMPUTED_VALUE"""),1.0)</f>
        <v>1</v>
      </c>
      <c r="I1242" s="71"/>
      <c r="J1242" s="22"/>
      <c r="K1242" s="22"/>
      <c r="L1242" s="22"/>
      <c r="M1242" s="22"/>
      <c r="N1242" s="22"/>
      <c r="O1242" s="73"/>
      <c r="P1242" s="8"/>
      <c r="Q1242" s="69"/>
      <c r="R1242" s="69"/>
      <c r="S1242" s="8"/>
      <c r="T1242" s="69"/>
      <c r="U1242" s="8"/>
      <c r="V1242" s="69"/>
      <c r="W1242" s="74"/>
      <c r="X1242" s="69"/>
    </row>
    <row r="1243">
      <c r="A1243" s="30" t="str">
        <f>IFERROR(__xludf.DUMMYFUNCTION("""COMPUTED_VALUE"""),"TraderX")</f>
        <v>TraderX</v>
      </c>
      <c r="B1243" s="86">
        <f>IFERROR(__xludf.DUMMYFUNCTION("""COMPUTED_VALUE"""),44609.0)</f>
        <v>44609</v>
      </c>
      <c r="C1243" s="64" t="str">
        <f>IFERROR(__xludf.DUMMYFUNCTION("""COMPUTED_VALUE"""),"Option")</f>
        <v>Option</v>
      </c>
      <c r="D1243" s="87" t="str">
        <f>IFERROR(__xludf.DUMMYFUNCTION("""COMPUTED_VALUE"""),"SPX220218P04220000")</f>
        <v>SPX220218P04220000</v>
      </c>
      <c r="E1243" s="5" t="str">
        <f>IFERROR(__xludf.DUMMYFUNCTION("""COMPUTED_VALUE"""),"USD")</f>
        <v>USD</v>
      </c>
      <c r="F1243" s="69">
        <f>IFERROR(__xludf.DUMMYFUNCTION("""COMPUTED_VALUE"""),8.0)</f>
        <v>8</v>
      </c>
      <c r="G1243" s="70">
        <f>IFERROR(__xludf.DUMMYFUNCTION("""COMPUTED_VALUE"""),7.83915)</f>
        <v>7.83915</v>
      </c>
      <c r="H1243" s="71">
        <f>IFERROR(__xludf.DUMMYFUNCTION("""COMPUTED_VALUE"""),0.3)</f>
        <v>0.3</v>
      </c>
      <c r="I1243" s="71"/>
      <c r="J1243" s="22"/>
      <c r="K1243" s="22"/>
      <c r="L1243" s="22"/>
      <c r="M1243" s="22"/>
      <c r="N1243" s="22"/>
      <c r="O1243" s="73"/>
      <c r="P1243" s="8"/>
      <c r="Q1243" s="69"/>
      <c r="R1243" s="69"/>
      <c r="S1243" s="8"/>
      <c r="T1243" s="69"/>
      <c r="U1243" s="8"/>
      <c r="V1243" s="69"/>
      <c r="W1243" s="74"/>
      <c r="X1243" s="69"/>
    </row>
    <row r="1244">
      <c r="A1244" s="30" t="str">
        <f>IFERROR(__xludf.DUMMYFUNCTION("""COMPUTED_VALUE"""),"TraderX")</f>
        <v>TraderX</v>
      </c>
      <c r="B1244" s="86">
        <f>IFERROR(__xludf.DUMMYFUNCTION("""COMPUTED_VALUE"""),44609.0)</f>
        <v>44609</v>
      </c>
      <c r="C1244" s="64" t="str">
        <f>IFERROR(__xludf.DUMMYFUNCTION("""COMPUTED_VALUE"""),"Option")</f>
        <v>Option</v>
      </c>
      <c r="D1244" s="87" t="str">
        <f>IFERROR(__xludf.DUMMYFUNCTION("""COMPUTED_VALUE"""),"SPXW220218P04300000")</f>
        <v>SPXW220218P04300000</v>
      </c>
      <c r="E1244" s="5" t="str">
        <f>IFERROR(__xludf.DUMMYFUNCTION("""COMPUTED_VALUE"""),"USD")</f>
        <v>USD</v>
      </c>
      <c r="F1244" s="69">
        <f>IFERROR(__xludf.DUMMYFUNCTION("""COMPUTED_VALUE"""),-8.0)</f>
        <v>-8</v>
      </c>
      <c r="G1244" s="70">
        <f>IFERROR(__xludf.DUMMYFUNCTION("""COMPUTED_VALUE"""),7.83915)</f>
        <v>7.83915</v>
      </c>
      <c r="H1244" s="71">
        <f>IFERROR(__xludf.DUMMYFUNCTION("""COMPUTED_VALUE"""),5.25)</f>
        <v>5.25</v>
      </c>
      <c r="I1244" s="71"/>
      <c r="J1244" s="22"/>
      <c r="K1244" s="22"/>
      <c r="L1244" s="22"/>
      <c r="M1244" s="22"/>
      <c r="N1244" s="22"/>
      <c r="O1244" s="73"/>
      <c r="P1244" s="8"/>
      <c r="Q1244" s="69"/>
      <c r="R1244" s="69"/>
      <c r="S1244" s="8"/>
      <c r="T1244" s="69"/>
      <c r="U1244" s="8"/>
      <c r="V1244" s="69"/>
      <c r="W1244" s="74"/>
      <c r="X1244" s="69"/>
    </row>
    <row r="1245">
      <c r="A1245" s="30" t="str">
        <f>IFERROR(__xludf.DUMMYFUNCTION("""COMPUTED_VALUE"""),"TraderX")</f>
        <v>TraderX</v>
      </c>
      <c r="B1245" s="86">
        <f>IFERROR(__xludf.DUMMYFUNCTION("""COMPUTED_VALUE"""),44611.0)</f>
        <v>44611</v>
      </c>
      <c r="C1245" s="64" t="str">
        <f>IFERROR(__xludf.DUMMYFUNCTION("""COMPUTED_VALUE"""),"Option")</f>
        <v>Option</v>
      </c>
      <c r="D1245" s="87" t="str">
        <f>IFERROR(__xludf.DUMMYFUNCTION("""COMPUTED_VALUE"""),"SPX220218P04220000")</f>
        <v>SPX220218P04220000</v>
      </c>
      <c r="E1245" s="5" t="str">
        <f>IFERROR(__xludf.DUMMYFUNCTION("""COMPUTED_VALUE"""),"USD")</f>
        <v>USD</v>
      </c>
      <c r="F1245" s="69">
        <f>IFERROR(__xludf.DUMMYFUNCTION("""COMPUTED_VALUE"""),0.0)</f>
        <v>0</v>
      </c>
      <c r="G1245" s="70">
        <f>IFERROR(__xludf.DUMMYFUNCTION("""COMPUTED_VALUE"""),7.83915)</f>
        <v>7.83915</v>
      </c>
      <c r="H1245" s="71">
        <f>IFERROR(__xludf.DUMMYFUNCTION("""COMPUTED_VALUE"""),0.0)</f>
        <v>0</v>
      </c>
      <c r="I1245" s="71"/>
      <c r="J1245" s="22"/>
      <c r="K1245" s="22"/>
      <c r="L1245" s="22"/>
      <c r="M1245" s="22"/>
      <c r="N1245" s="22"/>
      <c r="O1245" s="73"/>
      <c r="P1245" s="8"/>
      <c r="Q1245" s="69"/>
      <c r="R1245" s="69"/>
      <c r="S1245" s="8"/>
      <c r="T1245" s="69"/>
      <c r="U1245" s="8"/>
      <c r="V1245" s="69"/>
      <c r="W1245" s="74"/>
      <c r="X1245" s="69"/>
    </row>
    <row r="1246">
      <c r="A1246" s="30" t="str">
        <f>IFERROR(__xludf.DUMMYFUNCTION("""COMPUTED_VALUE"""),"TraderX")</f>
        <v>TraderX</v>
      </c>
      <c r="B1246" s="86">
        <f>IFERROR(__xludf.DUMMYFUNCTION("""COMPUTED_VALUE"""),44611.0)</f>
        <v>44611</v>
      </c>
      <c r="C1246" s="64" t="str">
        <f>IFERROR(__xludf.DUMMYFUNCTION("""COMPUTED_VALUE"""),"Option")</f>
        <v>Option</v>
      </c>
      <c r="D1246" s="87" t="str">
        <f>IFERROR(__xludf.DUMMYFUNCTION("""COMPUTED_VALUE"""),"SPXW220218P04300000")</f>
        <v>SPXW220218P04300000</v>
      </c>
      <c r="E1246" s="5" t="str">
        <f>IFERROR(__xludf.DUMMYFUNCTION("""COMPUTED_VALUE"""),"USD")</f>
        <v>USD</v>
      </c>
      <c r="F1246" s="69">
        <f>IFERROR(__xludf.DUMMYFUNCTION("""COMPUTED_VALUE"""),0.0)</f>
        <v>0</v>
      </c>
      <c r="G1246" s="70">
        <f>IFERROR(__xludf.DUMMYFUNCTION("""COMPUTED_VALUE"""),7.83915)</f>
        <v>7.83915</v>
      </c>
      <c r="H1246" s="71">
        <f>IFERROR(__xludf.DUMMYFUNCTION("""COMPUTED_VALUE"""),0.0)</f>
        <v>0</v>
      </c>
      <c r="I1246" s="71"/>
      <c r="J1246" s="22"/>
      <c r="K1246" s="22"/>
      <c r="L1246" s="22"/>
      <c r="M1246" s="22"/>
      <c r="N1246" s="22"/>
      <c r="O1246" s="73"/>
      <c r="P1246" s="8"/>
      <c r="Q1246" s="69"/>
      <c r="R1246" s="69"/>
      <c r="S1246" s="8"/>
      <c r="T1246" s="69"/>
      <c r="U1246" s="8"/>
      <c r="V1246" s="69"/>
      <c r="W1246" s="74"/>
      <c r="X1246" s="69"/>
    </row>
    <row r="1247">
      <c r="A1247" s="30" t="str">
        <f>IFERROR(__xludf.DUMMYFUNCTION("""COMPUTED_VALUE"""),"TraderX")</f>
        <v>TraderX</v>
      </c>
      <c r="B1247" s="86">
        <f>IFERROR(__xludf.DUMMYFUNCTION("""COMPUTED_VALUE"""),44655.0)</f>
        <v>44655</v>
      </c>
      <c r="C1247" s="64" t="str">
        <f>IFERROR(__xludf.DUMMYFUNCTION("""COMPUTED_VALUE"""),"Option")</f>
        <v>Option</v>
      </c>
      <c r="D1247" s="87" t="str">
        <f>IFERROR(__xludf.DUMMYFUNCTION("""COMPUTED_VALUE"""),"NDXP220406P14400000")</f>
        <v>NDXP220406P14400000</v>
      </c>
      <c r="E1247" s="5" t="str">
        <f>IFERROR(__xludf.DUMMYFUNCTION("""COMPUTED_VALUE"""),"USD")</f>
        <v>USD</v>
      </c>
      <c r="F1247" s="69">
        <f>IFERROR(__xludf.DUMMYFUNCTION("""COMPUTED_VALUE"""),6.0)</f>
        <v>6</v>
      </c>
      <c r="G1247" s="70">
        <f>IFERROR(__xludf.DUMMYFUNCTION("""COMPUTED_VALUE"""),7.83915)</f>
        <v>7.83915</v>
      </c>
      <c r="H1247" s="71">
        <f>IFERROR(__xludf.DUMMYFUNCTION("""COMPUTED_VALUE"""),4.2)</f>
        <v>4.2</v>
      </c>
      <c r="I1247" s="71"/>
      <c r="J1247" s="22"/>
      <c r="K1247" s="22"/>
      <c r="L1247" s="22"/>
      <c r="M1247" s="22"/>
      <c r="N1247" s="22"/>
      <c r="O1247" s="73"/>
      <c r="P1247" s="8"/>
      <c r="Q1247" s="69"/>
      <c r="R1247" s="69"/>
      <c r="S1247" s="8"/>
      <c r="T1247" s="69"/>
      <c r="U1247" s="8"/>
      <c r="V1247" s="69"/>
      <c r="W1247" s="74"/>
      <c r="X1247" s="69"/>
    </row>
    <row r="1248">
      <c r="A1248" s="30" t="str">
        <f>IFERROR(__xludf.DUMMYFUNCTION("""COMPUTED_VALUE"""),"TraderX")</f>
        <v>TraderX</v>
      </c>
      <c r="B1248" s="86">
        <f>IFERROR(__xludf.DUMMYFUNCTION("""COMPUTED_VALUE"""),44655.0)</f>
        <v>44655</v>
      </c>
      <c r="C1248" s="64" t="str">
        <f>IFERROR(__xludf.DUMMYFUNCTION("""COMPUTED_VALUE"""),"Option")</f>
        <v>Option</v>
      </c>
      <c r="D1248" s="87" t="str">
        <f>IFERROR(__xludf.DUMMYFUNCTION("""COMPUTED_VALUE"""),"NDXP220406P14500000")</f>
        <v>NDXP220406P14500000</v>
      </c>
      <c r="E1248" s="5" t="str">
        <f>IFERROR(__xludf.DUMMYFUNCTION("""COMPUTED_VALUE"""),"USD")</f>
        <v>USD</v>
      </c>
      <c r="F1248" s="69">
        <f>IFERROR(__xludf.DUMMYFUNCTION("""COMPUTED_VALUE"""),-6.0)</f>
        <v>-6</v>
      </c>
      <c r="G1248" s="70">
        <f>IFERROR(__xludf.DUMMYFUNCTION("""COMPUTED_VALUE"""),7.83915)</f>
        <v>7.83915</v>
      </c>
      <c r="H1248" s="71">
        <f>IFERROR(__xludf.DUMMYFUNCTION("""COMPUTED_VALUE"""),3.3)</f>
        <v>3.3</v>
      </c>
      <c r="I1248" s="71"/>
      <c r="J1248" s="22"/>
      <c r="K1248" s="22"/>
      <c r="L1248" s="22"/>
      <c r="M1248" s="22"/>
      <c r="N1248" s="22"/>
      <c r="O1248" s="73"/>
      <c r="P1248" s="8"/>
      <c r="Q1248" s="69"/>
      <c r="R1248" s="69"/>
      <c r="S1248" s="8"/>
      <c r="T1248" s="69"/>
      <c r="U1248" s="8"/>
      <c r="V1248" s="69"/>
      <c r="W1248" s="74"/>
      <c r="X1248" s="69"/>
    </row>
    <row r="1249">
      <c r="A1249" s="30" t="str">
        <f>IFERROR(__xludf.DUMMYFUNCTION("""COMPUTED_VALUE"""),"TraderX")</f>
        <v>TraderX</v>
      </c>
      <c r="B1249" s="86">
        <f>IFERROR(__xludf.DUMMYFUNCTION("""COMPUTED_VALUE"""),44657.0)</f>
        <v>44657</v>
      </c>
      <c r="C1249" s="64" t="str">
        <f>IFERROR(__xludf.DUMMYFUNCTION("""COMPUTED_VALUE"""),"Option")</f>
        <v>Option</v>
      </c>
      <c r="D1249" s="87" t="str">
        <f>IFERROR(__xludf.DUMMYFUNCTION("""COMPUTED_VALUE"""),"NDXP220406P14400000")</f>
        <v>NDXP220406P14400000</v>
      </c>
      <c r="E1249" s="5" t="str">
        <f>IFERROR(__xludf.DUMMYFUNCTION("""COMPUTED_VALUE"""),"USD")</f>
        <v>USD</v>
      </c>
      <c r="F1249" s="69">
        <f>IFERROR(__xludf.DUMMYFUNCTION("""COMPUTED_VALUE"""),0.0)</f>
        <v>0</v>
      </c>
      <c r="G1249" s="70">
        <f>IFERROR(__xludf.DUMMYFUNCTION("""COMPUTED_VALUE"""),7.83915)</f>
        <v>7.83915</v>
      </c>
      <c r="H1249" s="71">
        <f>IFERROR(__xludf.DUMMYFUNCTION("""COMPUTED_VALUE"""),0.0)</f>
        <v>0</v>
      </c>
      <c r="I1249" s="71"/>
      <c r="J1249" s="22"/>
      <c r="K1249" s="22"/>
      <c r="L1249" s="22"/>
      <c r="M1249" s="22"/>
      <c r="N1249" s="22"/>
      <c r="O1249" s="73"/>
      <c r="P1249" s="8"/>
      <c r="Q1249" s="69"/>
      <c r="R1249" s="69"/>
      <c r="S1249" s="8"/>
      <c r="T1249" s="69"/>
      <c r="U1249" s="8"/>
      <c r="V1249" s="69"/>
      <c r="W1249" s="74"/>
      <c r="X1249" s="69"/>
    </row>
    <row r="1250">
      <c r="A1250" s="30" t="str">
        <f>IFERROR(__xludf.DUMMYFUNCTION("""COMPUTED_VALUE"""),"TraderX")</f>
        <v>TraderX</v>
      </c>
      <c r="B1250" s="86">
        <f>IFERROR(__xludf.DUMMYFUNCTION("""COMPUTED_VALUE"""),44657.0)</f>
        <v>44657</v>
      </c>
      <c r="C1250" s="64" t="str">
        <f>IFERROR(__xludf.DUMMYFUNCTION("""COMPUTED_VALUE"""),"Option")</f>
        <v>Option</v>
      </c>
      <c r="D1250" s="87" t="str">
        <f>IFERROR(__xludf.DUMMYFUNCTION("""COMPUTED_VALUE"""),"NDXP220406P14500000")</f>
        <v>NDXP220406P14500000</v>
      </c>
      <c r="E1250" s="5" t="str">
        <f>IFERROR(__xludf.DUMMYFUNCTION("""COMPUTED_VALUE"""),"USD")</f>
        <v>USD</v>
      </c>
      <c r="F1250" s="69">
        <f>IFERROR(__xludf.DUMMYFUNCTION("""COMPUTED_VALUE"""),6.0)</f>
        <v>6</v>
      </c>
      <c r="G1250" s="70">
        <f>IFERROR(__xludf.DUMMYFUNCTION("""COMPUTED_VALUE"""),7.83915)</f>
        <v>7.83915</v>
      </c>
      <c r="H1250" s="71">
        <f>IFERROR(__xludf.DUMMYFUNCTION("""COMPUTED_VALUE"""),1.1200000000000045)</f>
        <v>1.12</v>
      </c>
      <c r="I1250" s="71"/>
      <c r="J1250" s="22"/>
      <c r="K1250" s="22"/>
      <c r="L1250" s="22"/>
      <c r="M1250" s="22"/>
      <c r="N1250" s="22"/>
      <c r="O1250" s="73"/>
      <c r="P1250" s="8"/>
      <c r="Q1250" s="69"/>
      <c r="R1250" s="69"/>
      <c r="S1250" s="8"/>
      <c r="T1250" s="69"/>
      <c r="U1250" s="8"/>
      <c r="V1250" s="69"/>
      <c r="W1250" s="74"/>
      <c r="X1250" s="69"/>
    </row>
    <row r="1251">
      <c r="A1251" s="30" t="str">
        <f>IFERROR(__xludf.DUMMYFUNCTION("""COMPUTED_VALUE"""),"TraderX")</f>
        <v>TraderX</v>
      </c>
      <c r="B1251" s="86">
        <f>IFERROR(__xludf.DUMMYFUNCTION("""COMPUTED_VALUE"""),44658.0)</f>
        <v>44658</v>
      </c>
      <c r="C1251" s="64" t="str">
        <f>IFERROR(__xludf.DUMMYFUNCTION("""COMPUTED_VALUE"""),"Option")</f>
        <v>Option</v>
      </c>
      <c r="D1251" s="85" t="str">
        <f>IFERROR(__xludf.DUMMYFUNCTION("""COMPUTED_VALUE"""),"NDXP220408C15000000")</f>
        <v>NDXP220408C15000000</v>
      </c>
      <c r="E1251" s="5" t="str">
        <f>IFERROR(__xludf.DUMMYFUNCTION("""COMPUTED_VALUE"""),"USD")</f>
        <v>USD</v>
      </c>
      <c r="F1251" s="69">
        <f>IFERROR(__xludf.DUMMYFUNCTION("""COMPUTED_VALUE"""),-6.0)</f>
        <v>-6</v>
      </c>
      <c r="G1251" s="70">
        <f>IFERROR(__xludf.DUMMYFUNCTION("""COMPUTED_VALUE"""),7.83915)</f>
        <v>7.83915</v>
      </c>
      <c r="H1251" s="71">
        <f>IFERROR(__xludf.DUMMYFUNCTION("""COMPUTED_VALUE"""),1.49)</f>
        <v>1.49</v>
      </c>
      <c r="I1251" s="71"/>
      <c r="J1251" s="22"/>
      <c r="K1251" s="22"/>
      <c r="L1251" s="22"/>
      <c r="M1251" s="22"/>
      <c r="N1251" s="22"/>
      <c r="O1251" s="73"/>
      <c r="P1251" s="8"/>
      <c r="Q1251" s="69"/>
      <c r="R1251" s="69"/>
      <c r="S1251" s="8"/>
      <c r="T1251" s="69"/>
      <c r="U1251" s="8"/>
      <c r="V1251" s="69"/>
      <c r="W1251" s="74"/>
      <c r="X1251" s="69"/>
    </row>
    <row r="1252">
      <c r="A1252" s="30" t="str">
        <f>IFERROR(__xludf.DUMMYFUNCTION("""COMPUTED_VALUE"""),"TraderX")</f>
        <v>TraderX</v>
      </c>
      <c r="B1252" s="86">
        <f>IFERROR(__xludf.DUMMYFUNCTION("""COMPUTED_VALUE"""),44658.0)</f>
        <v>44658</v>
      </c>
      <c r="C1252" s="64" t="str">
        <f>IFERROR(__xludf.DUMMYFUNCTION("""COMPUTED_VALUE"""),"Option")</f>
        <v>Option</v>
      </c>
      <c r="D1252" s="85" t="str">
        <f>IFERROR(__xludf.DUMMYFUNCTION("""COMPUTED_VALUE"""),"NDXP220408C15100000")</f>
        <v>NDXP220408C15100000</v>
      </c>
      <c r="E1252" s="5" t="str">
        <f>IFERROR(__xludf.DUMMYFUNCTION("""COMPUTED_VALUE"""),"USD")</f>
        <v>USD</v>
      </c>
      <c r="F1252" s="69">
        <f>IFERROR(__xludf.DUMMYFUNCTION("""COMPUTED_VALUE"""),6.0)</f>
        <v>6</v>
      </c>
      <c r="G1252" s="70">
        <f>IFERROR(__xludf.DUMMYFUNCTION("""COMPUTED_VALUE"""),7.83915)</f>
        <v>7.83915</v>
      </c>
      <c r="H1252" s="71">
        <f>IFERROR(__xludf.DUMMYFUNCTION("""COMPUTED_VALUE"""),0.8)</f>
        <v>0.8</v>
      </c>
      <c r="I1252" s="71"/>
      <c r="J1252" s="22"/>
      <c r="K1252" s="22"/>
      <c r="L1252" s="22"/>
      <c r="M1252" s="22"/>
      <c r="N1252" s="22"/>
      <c r="O1252" s="73"/>
      <c r="P1252" s="8"/>
      <c r="Q1252" s="69"/>
      <c r="R1252" s="69"/>
      <c r="S1252" s="8"/>
      <c r="T1252" s="69"/>
      <c r="U1252" s="8"/>
      <c r="V1252" s="69"/>
      <c r="W1252" s="74"/>
      <c r="X1252" s="69"/>
    </row>
    <row r="1253">
      <c r="A1253" s="30" t="str">
        <f>IFERROR(__xludf.DUMMYFUNCTION("""COMPUTED_VALUE"""),"TraderX")</f>
        <v>TraderX</v>
      </c>
      <c r="B1253" s="86">
        <f>IFERROR(__xludf.DUMMYFUNCTION("""COMPUTED_VALUE"""),44658.0)</f>
        <v>44658</v>
      </c>
      <c r="C1253" s="64" t="str">
        <f>IFERROR(__xludf.DUMMYFUNCTION("""COMPUTED_VALUE"""),"Option")</f>
        <v>Option</v>
      </c>
      <c r="D1253" s="85" t="str">
        <f>IFERROR(__xludf.DUMMYFUNCTION("""COMPUTED_VALUE"""),"NDXP220408P14100000")</f>
        <v>NDXP220408P14100000</v>
      </c>
      <c r="E1253" s="5" t="str">
        <f>IFERROR(__xludf.DUMMYFUNCTION("""COMPUTED_VALUE"""),"USD")</f>
        <v>USD</v>
      </c>
      <c r="F1253" s="69">
        <f>IFERROR(__xludf.DUMMYFUNCTION("""COMPUTED_VALUE"""),6.0)</f>
        <v>6</v>
      </c>
      <c r="G1253" s="70">
        <f>IFERROR(__xludf.DUMMYFUNCTION("""COMPUTED_VALUE"""),7.83915)</f>
        <v>7.83915</v>
      </c>
      <c r="H1253" s="71">
        <f>IFERROR(__xludf.DUMMYFUNCTION("""COMPUTED_VALUE"""),4.4)</f>
        <v>4.4</v>
      </c>
      <c r="I1253" s="71"/>
      <c r="J1253" s="22"/>
      <c r="K1253" s="22"/>
      <c r="L1253" s="22"/>
      <c r="M1253" s="22"/>
      <c r="N1253" s="22"/>
      <c r="O1253" s="73"/>
      <c r="P1253" s="8"/>
      <c r="Q1253" s="69"/>
      <c r="R1253" s="69"/>
      <c r="S1253" s="8"/>
      <c r="T1253" s="69"/>
      <c r="U1253" s="8"/>
      <c r="V1253" s="69"/>
      <c r="W1253" s="74"/>
      <c r="X1253" s="69"/>
    </row>
    <row r="1254">
      <c r="A1254" s="30" t="str">
        <f>IFERROR(__xludf.DUMMYFUNCTION("""COMPUTED_VALUE"""),"TraderX")</f>
        <v>TraderX</v>
      </c>
      <c r="B1254" s="86">
        <f>IFERROR(__xludf.DUMMYFUNCTION("""COMPUTED_VALUE"""),44658.0)</f>
        <v>44658</v>
      </c>
      <c r="C1254" s="64" t="str">
        <f>IFERROR(__xludf.DUMMYFUNCTION("""COMPUTED_VALUE"""),"Option")</f>
        <v>Option</v>
      </c>
      <c r="D1254" s="85" t="str">
        <f>IFERROR(__xludf.DUMMYFUNCTION("""COMPUTED_VALUE"""),"NDXP220408P14200000")</f>
        <v>NDXP220408P14200000</v>
      </c>
      <c r="E1254" s="5" t="str">
        <f>IFERROR(__xludf.DUMMYFUNCTION("""COMPUTED_VALUE"""),"USD")</f>
        <v>USD</v>
      </c>
      <c r="F1254" s="69">
        <f>IFERROR(__xludf.DUMMYFUNCTION("""COMPUTED_VALUE"""),-6.0)</f>
        <v>-6</v>
      </c>
      <c r="G1254" s="70">
        <f>IFERROR(__xludf.DUMMYFUNCTION("""COMPUTED_VALUE"""),7.83915)</f>
        <v>7.83915</v>
      </c>
      <c r="H1254" s="71">
        <f>IFERROR(__xludf.DUMMYFUNCTION("""COMPUTED_VALUE"""),9.41)</f>
        <v>9.41</v>
      </c>
      <c r="I1254" s="71"/>
      <c r="J1254" s="22"/>
      <c r="K1254" s="22"/>
      <c r="L1254" s="22"/>
      <c r="M1254" s="22"/>
      <c r="N1254" s="22"/>
      <c r="O1254" s="73"/>
      <c r="P1254" s="8"/>
      <c r="Q1254" s="69"/>
      <c r="R1254" s="69"/>
      <c r="S1254" s="8"/>
      <c r="T1254" s="69"/>
      <c r="U1254" s="8"/>
      <c r="V1254" s="69"/>
      <c r="W1254" s="74"/>
      <c r="X1254" s="69"/>
    </row>
    <row r="1255">
      <c r="A1255" s="30" t="str">
        <f>IFERROR(__xludf.DUMMYFUNCTION("""COMPUTED_VALUE"""),"TraderX")</f>
        <v>TraderX</v>
      </c>
      <c r="B1255" s="86">
        <f>IFERROR(__xludf.DUMMYFUNCTION("""COMPUTED_VALUE"""),44659.0)</f>
        <v>44659</v>
      </c>
      <c r="C1255" s="64" t="str">
        <f>IFERROR(__xludf.DUMMYFUNCTION("""COMPUTED_VALUE"""),"Option")</f>
        <v>Option</v>
      </c>
      <c r="D1255" s="85" t="str">
        <f>IFERROR(__xludf.DUMMYFUNCTION("""COMPUTED_VALUE"""),"NDXP220408C15000000")</f>
        <v>NDXP220408C15000000</v>
      </c>
      <c r="E1255" s="5" t="str">
        <f>IFERROR(__xludf.DUMMYFUNCTION("""COMPUTED_VALUE"""),"USD")</f>
        <v>USD</v>
      </c>
      <c r="F1255" s="69">
        <f>IFERROR(__xludf.DUMMYFUNCTION("""COMPUTED_VALUE"""),6.0)</f>
        <v>6</v>
      </c>
      <c r="G1255" s="70">
        <f>IFERROR(__xludf.DUMMYFUNCTION("""COMPUTED_VALUE"""),7.83915)</f>
        <v>7.83915</v>
      </c>
      <c r="H1255" s="71">
        <f>IFERROR(__xludf.DUMMYFUNCTION("""COMPUTED_VALUE"""),0.17)</f>
        <v>0.17</v>
      </c>
      <c r="I1255" s="71"/>
      <c r="J1255" s="22"/>
      <c r="K1255" s="22"/>
      <c r="L1255" s="22"/>
      <c r="M1255" s="22"/>
      <c r="N1255" s="22"/>
      <c r="O1255" s="73"/>
      <c r="P1255" s="8"/>
      <c r="Q1255" s="69"/>
      <c r="R1255" s="69"/>
      <c r="S1255" s="8"/>
      <c r="T1255" s="69"/>
      <c r="U1255" s="8"/>
      <c r="V1255" s="69"/>
      <c r="W1255" s="74"/>
      <c r="X1255" s="69"/>
    </row>
    <row r="1256">
      <c r="A1256" s="30" t="str">
        <f>IFERROR(__xludf.DUMMYFUNCTION("""COMPUTED_VALUE"""),"TraderX")</f>
        <v>TraderX</v>
      </c>
      <c r="B1256" s="86">
        <f>IFERROR(__xludf.DUMMYFUNCTION("""COMPUTED_VALUE"""),44659.0)</f>
        <v>44659</v>
      </c>
      <c r="C1256" s="64" t="str">
        <f>IFERROR(__xludf.DUMMYFUNCTION("""COMPUTED_VALUE"""),"Option")</f>
        <v>Option</v>
      </c>
      <c r="D1256" s="85" t="str">
        <f>IFERROR(__xludf.DUMMYFUNCTION("""COMPUTED_VALUE"""),"NDXP220408C15100000")</f>
        <v>NDXP220408C15100000</v>
      </c>
      <c r="E1256" s="5" t="str">
        <f>IFERROR(__xludf.DUMMYFUNCTION("""COMPUTED_VALUE"""),"USD")</f>
        <v>USD</v>
      </c>
      <c r="F1256" s="69">
        <f>IFERROR(__xludf.DUMMYFUNCTION("""COMPUTED_VALUE"""),-6.0)</f>
        <v>-6</v>
      </c>
      <c r="G1256" s="70">
        <f>IFERROR(__xludf.DUMMYFUNCTION("""COMPUTED_VALUE"""),7.83915)</f>
        <v>7.83915</v>
      </c>
      <c r="H1256" s="71">
        <f>IFERROR(__xludf.DUMMYFUNCTION("""COMPUTED_VALUE"""),0.27)</f>
        <v>0.27</v>
      </c>
      <c r="I1256" s="71"/>
      <c r="J1256" s="22"/>
      <c r="K1256" s="22"/>
      <c r="L1256" s="22"/>
      <c r="M1256" s="22"/>
      <c r="N1256" s="22"/>
      <c r="O1256" s="73"/>
      <c r="P1256" s="8"/>
      <c r="Q1256" s="69"/>
      <c r="R1256" s="69"/>
      <c r="S1256" s="8"/>
      <c r="T1256" s="69"/>
      <c r="U1256" s="8"/>
      <c r="V1256" s="69"/>
      <c r="W1256" s="74"/>
      <c r="X1256" s="69"/>
    </row>
    <row r="1257">
      <c r="A1257" s="30" t="str">
        <f>IFERROR(__xludf.DUMMYFUNCTION("""COMPUTED_VALUE"""),"TraderX")</f>
        <v>TraderX</v>
      </c>
      <c r="B1257" s="86">
        <f>IFERROR(__xludf.DUMMYFUNCTION("""COMPUTED_VALUE"""),44659.0)</f>
        <v>44659</v>
      </c>
      <c r="C1257" s="64" t="str">
        <f>IFERROR(__xludf.DUMMYFUNCTION("""COMPUTED_VALUE"""),"Option")</f>
        <v>Option</v>
      </c>
      <c r="D1257" s="85" t="str">
        <f>IFERROR(__xludf.DUMMYFUNCTION("""COMPUTED_VALUE"""),"NDXP220408P14100000")</f>
        <v>NDXP220408P14100000</v>
      </c>
      <c r="E1257" s="5" t="str">
        <f>IFERROR(__xludf.DUMMYFUNCTION("""COMPUTED_VALUE"""),"USD")</f>
        <v>USD</v>
      </c>
      <c r="F1257" s="69">
        <f>IFERROR(__xludf.DUMMYFUNCTION("""COMPUTED_VALUE"""),-6.0)</f>
        <v>-6</v>
      </c>
      <c r="G1257" s="70">
        <f>IFERROR(__xludf.DUMMYFUNCTION("""COMPUTED_VALUE"""),7.83915)</f>
        <v>7.83915</v>
      </c>
      <c r="H1257" s="71">
        <f>IFERROR(__xludf.DUMMYFUNCTION("""COMPUTED_VALUE"""),0.6)</f>
        <v>0.6</v>
      </c>
      <c r="I1257" s="71"/>
      <c r="J1257" s="22"/>
      <c r="K1257" s="22"/>
      <c r="L1257" s="22"/>
      <c r="M1257" s="22"/>
      <c r="N1257" s="22"/>
      <c r="O1257" s="73"/>
      <c r="P1257" s="8"/>
      <c r="Q1257" s="69"/>
      <c r="R1257" s="69"/>
      <c r="S1257" s="8"/>
      <c r="T1257" s="69"/>
      <c r="U1257" s="8"/>
      <c r="V1257" s="69"/>
      <c r="W1257" s="74"/>
      <c r="X1257" s="69"/>
    </row>
    <row r="1258">
      <c r="A1258" s="30" t="str">
        <f>IFERROR(__xludf.DUMMYFUNCTION("""COMPUTED_VALUE"""),"TraderX")</f>
        <v>TraderX</v>
      </c>
      <c r="B1258" s="86">
        <f>IFERROR(__xludf.DUMMYFUNCTION("""COMPUTED_VALUE"""),44659.0)</f>
        <v>44659</v>
      </c>
      <c r="C1258" s="64" t="str">
        <f>IFERROR(__xludf.DUMMYFUNCTION("""COMPUTED_VALUE"""),"Option")</f>
        <v>Option</v>
      </c>
      <c r="D1258" s="85" t="str">
        <f>IFERROR(__xludf.DUMMYFUNCTION("""COMPUTED_VALUE"""),"NDXP220408P14200000")</f>
        <v>NDXP220408P14200000</v>
      </c>
      <c r="E1258" s="5" t="str">
        <f>IFERROR(__xludf.DUMMYFUNCTION("""COMPUTED_VALUE"""),"USD")</f>
        <v>USD</v>
      </c>
      <c r="F1258" s="69">
        <f>IFERROR(__xludf.DUMMYFUNCTION("""COMPUTED_VALUE"""),6.0)</f>
        <v>6</v>
      </c>
      <c r="G1258" s="70">
        <f>IFERROR(__xludf.DUMMYFUNCTION("""COMPUTED_VALUE"""),7.83915)</f>
        <v>7.83915</v>
      </c>
      <c r="H1258" s="71">
        <f>IFERROR(__xludf.DUMMYFUNCTION("""COMPUTED_VALUE"""),0.05)</f>
        <v>0.05</v>
      </c>
      <c r="I1258" s="71"/>
      <c r="J1258" s="22"/>
      <c r="K1258" s="22"/>
      <c r="L1258" s="22"/>
      <c r="M1258" s="22"/>
      <c r="N1258" s="22"/>
      <c r="O1258" s="73"/>
      <c r="P1258" s="8"/>
      <c r="Q1258" s="69"/>
      <c r="R1258" s="69"/>
      <c r="S1258" s="8"/>
      <c r="T1258" s="69"/>
      <c r="U1258" s="8"/>
      <c r="V1258" s="69"/>
      <c r="W1258" s="74"/>
      <c r="X1258" s="69"/>
    </row>
    <row r="1259">
      <c r="A1259" s="30" t="str">
        <f>IFERROR(__xludf.DUMMYFUNCTION("""COMPUTED_VALUE"""),"TraderX")</f>
        <v>TraderX</v>
      </c>
      <c r="B1259" s="86">
        <f>IFERROR(__xludf.DUMMYFUNCTION("""COMPUTED_VALUE"""),44659.0)</f>
        <v>44659</v>
      </c>
      <c r="C1259" s="64" t="str">
        <f>IFERROR(__xludf.DUMMYFUNCTION("""COMPUTED_VALUE"""),"Option")</f>
        <v>Option</v>
      </c>
      <c r="D1259" s="85" t="str">
        <f>IFERROR(__xludf.DUMMYFUNCTION("""COMPUTED_VALUE"""),"NDXP220411C14800000")</f>
        <v>NDXP220411C14800000</v>
      </c>
      <c r="E1259" s="5" t="str">
        <f>IFERROR(__xludf.DUMMYFUNCTION("""COMPUTED_VALUE"""),"USD")</f>
        <v>USD</v>
      </c>
      <c r="F1259" s="69">
        <f>IFERROR(__xludf.DUMMYFUNCTION("""COMPUTED_VALUE"""),-7.0)</f>
        <v>-7</v>
      </c>
      <c r="G1259" s="70">
        <f>IFERROR(__xludf.DUMMYFUNCTION("""COMPUTED_VALUE"""),7.83915)</f>
        <v>7.83915</v>
      </c>
      <c r="H1259" s="71">
        <f>IFERROR(__xludf.DUMMYFUNCTION("""COMPUTED_VALUE"""),4.6)</f>
        <v>4.6</v>
      </c>
      <c r="I1259" s="71"/>
      <c r="J1259" s="22"/>
      <c r="K1259" s="22"/>
      <c r="L1259" s="22"/>
      <c r="M1259" s="22"/>
      <c r="N1259" s="22"/>
      <c r="O1259" s="73"/>
      <c r="P1259" s="8"/>
      <c r="Q1259" s="69"/>
      <c r="R1259" s="69"/>
      <c r="S1259" s="8"/>
      <c r="T1259" s="69"/>
      <c r="U1259" s="8"/>
      <c r="V1259" s="69"/>
      <c r="W1259" s="74"/>
      <c r="X1259" s="69"/>
    </row>
    <row r="1260">
      <c r="A1260" s="30" t="str">
        <f>IFERROR(__xludf.DUMMYFUNCTION("""COMPUTED_VALUE"""),"TraderX")</f>
        <v>TraderX</v>
      </c>
      <c r="B1260" s="86">
        <f>IFERROR(__xludf.DUMMYFUNCTION("""COMPUTED_VALUE"""),44659.0)</f>
        <v>44659</v>
      </c>
      <c r="C1260" s="64" t="str">
        <f>IFERROR(__xludf.DUMMYFUNCTION("""COMPUTED_VALUE"""),"Option")</f>
        <v>Option</v>
      </c>
      <c r="D1260" s="85" t="str">
        <f>IFERROR(__xludf.DUMMYFUNCTION("""COMPUTED_VALUE"""),"NDXP220411C14900000")</f>
        <v>NDXP220411C14900000</v>
      </c>
      <c r="E1260" s="5" t="str">
        <f>IFERROR(__xludf.DUMMYFUNCTION("""COMPUTED_VALUE"""),"USD")</f>
        <v>USD</v>
      </c>
      <c r="F1260" s="69">
        <f>IFERROR(__xludf.DUMMYFUNCTION("""COMPUTED_VALUE"""),7.0)</f>
        <v>7</v>
      </c>
      <c r="G1260" s="70">
        <f>IFERROR(__xludf.DUMMYFUNCTION("""COMPUTED_VALUE"""),7.83915)</f>
        <v>7.83915</v>
      </c>
      <c r="H1260" s="71">
        <f>IFERROR(__xludf.DUMMYFUNCTION("""COMPUTED_VALUE"""),2.18)</f>
        <v>2.18</v>
      </c>
      <c r="I1260" s="71"/>
      <c r="J1260" s="22"/>
      <c r="K1260" s="22"/>
      <c r="L1260" s="22"/>
      <c r="M1260" s="22"/>
      <c r="N1260" s="22"/>
      <c r="O1260" s="73"/>
      <c r="P1260" s="8"/>
      <c r="Q1260" s="69"/>
      <c r="R1260" s="69"/>
      <c r="S1260" s="8"/>
      <c r="T1260" s="69"/>
      <c r="U1260" s="8"/>
      <c r="V1260" s="69"/>
      <c r="W1260" s="74"/>
      <c r="X1260" s="69"/>
    </row>
    <row r="1261">
      <c r="A1261" s="30" t="str">
        <f>IFERROR(__xludf.DUMMYFUNCTION("""COMPUTED_VALUE"""),"TraderX")</f>
        <v>TraderX</v>
      </c>
      <c r="B1261" s="86">
        <f>IFERROR(__xludf.DUMMYFUNCTION("""COMPUTED_VALUE"""),44659.0)</f>
        <v>44659</v>
      </c>
      <c r="C1261" s="64" t="str">
        <f>IFERROR(__xludf.DUMMYFUNCTION("""COMPUTED_VALUE"""),"Option")</f>
        <v>Option</v>
      </c>
      <c r="D1261" s="85" t="str">
        <f>IFERROR(__xludf.DUMMYFUNCTION("""COMPUTED_VALUE"""),"NDXP220411P13900000")</f>
        <v>NDXP220411P13900000</v>
      </c>
      <c r="E1261" s="5" t="str">
        <f>IFERROR(__xludf.DUMMYFUNCTION("""COMPUTED_VALUE"""),"USD")</f>
        <v>USD</v>
      </c>
      <c r="F1261" s="69">
        <f>IFERROR(__xludf.DUMMYFUNCTION("""COMPUTED_VALUE"""),7.0)</f>
        <v>7</v>
      </c>
      <c r="G1261" s="70">
        <f>IFERROR(__xludf.DUMMYFUNCTION("""COMPUTED_VALUE"""),7.83915)</f>
        <v>7.83915</v>
      </c>
      <c r="H1261" s="71">
        <f>IFERROR(__xludf.DUMMYFUNCTION("""COMPUTED_VALUE"""),6.13)</f>
        <v>6.13</v>
      </c>
      <c r="I1261" s="71"/>
      <c r="J1261" s="22"/>
      <c r="K1261" s="22"/>
      <c r="L1261" s="22"/>
      <c r="M1261" s="22"/>
      <c r="N1261" s="22"/>
      <c r="O1261" s="73"/>
      <c r="P1261" s="8"/>
      <c r="Q1261" s="69"/>
      <c r="R1261" s="69"/>
      <c r="S1261" s="8"/>
      <c r="T1261" s="69"/>
      <c r="U1261" s="8"/>
      <c r="V1261" s="69"/>
      <c r="W1261" s="74"/>
      <c r="X1261" s="69"/>
    </row>
    <row r="1262">
      <c r="A1262" s="30" t="str">
        <f>IFERROR(__xludf.DUMMYFUNCTION("""COMPUTED_VALUE"""),"TraderX")</f>
        <v>TraderX</v>
      </c>
      <c r="B1262" s="86">
        <f>IFERROR(__xludf.DUMMYFUNCTION("""COMPUTED_VALUE"""),44659.0)</f>
        <v>44659</v>
      </c>
      <c r="C1262" s="64" t="str">
        <f>IFERROR(__xludf.DUMMYFUNCTION("""COMPUTED_VALUE"""),"Option")</f>
        <v>Option</v>
      </c>
      <c r="D1262" s="85" t="str">
        <f>IFERROR(__xludf.DUMMYFUNCTION("""COMPUTED_VALUE"""),"NDXP220411P14000000")</f>
        <v>NDXP220411P14000000</v>
      </c>
      <c r="E1262" s="5" t="str">
        <f>IFERROR(__xludf.DUMMYFUNCTION("""COMPUTED_VALUE"""),"USD")</f>
        <v>USD</v>
      </c>
      <c r="F1262" s="69">
        <f>IFERROR(__xludf.DUMMYFUNCTION("""COMPUTED_VALUE"""),-7.0)</f>
        <v>-7</v>
      </c>
      <c r="G1262" s="70">
        <f>IFERROR(__xludf.DUMMYFUNCTION("""COMPUTED_VALUE"""),7.83915)</f>
        <v>7.83915</v>
      </c>
      <c r="H1262" s="71">
        <f>IFERROR(__xludf.DUMMYFUNCTION("""COMPUTED_VALUE"""),13.4)</f>
        <v>13.4</v>
      </c>
      <c r="I1262" s="71"/>
      <c r="J1262" s="22"/>
      <c r="K1262" s="22"/>
      <c r="L1262" s="22"/>
      <c r="M1262" s="22"/>
      <c r="N1262" s="22"/>
      <c r="O1262" s="73"/>
      <c r="P1262" s="8"/>
      <c r="Q1262" s="69"/>
      <c r="R1262" s="69"/>
      <c r="S1262" s="8"/>
      <c r="T1262" s="69"/>
      <c r="U1262" s="8"/>
      <c r="V1262" s="69"/>
      <c r="W1262" s="74"/>
      <c r="X1262" s="69"/>
    </row>
    <row r="1263">
      <c r="A1263" s="30" t="str">
        <f>IFERROR(__xludf.DUMMYFUNCTION("""COMPUTED_VALUE"""),"TraderX")</f>
        <v>TraderX</v>
      </c>
      <c r="B1263" s="86">
        <f>IFERROR(__xludf.DUMMYFUNCTION("""COMPUTED_VALUE"""),44662.0)</f>
        <v>44662</v>
      </c>
      <c r="C1263" s="64" t="str">
        <f>IFERROR(__xludf.DUMMYFUNCTION("""COMPUTED_VALUE"""),"Option")</f>
        <v>Option</v>
      </c>
      <c r="D1263" s="85" t="str">
        <f>IFERROR(__xludf.DUMMYFUNCTION("""COMPUTED_VALUE"""),"NDXP220411C14800000")</f>
        <v>NDXP220411C14800000</v>
      </c>
      <c r="E1263" s="5" t="str">
        <f>IFERROR(__xludf.DUMMYFUNCTION("""COMPUTED_VALUE"""),"USD")</f>
        <v>USD</v>
      </c>
      <c r="F1263" s="69">
        <f>IFERROR(__xludf.DUMMYFUNCTION("""COMPUTED_VALUE"""),7.0)</f>
        <v>7</v>
      </c>
      <c r="G1263" s="70">
        <f>IFERROR(__xludf.DUMMYFUNCTION("""COMPUTED_VALUE"""),7.83915)</f>
        <v>7.83915</v>
      </c>
      <c r="H1263" s="71">
        <f>IFERROR(__xludf.DUMMYFUNCTION("""COMPUTED_VALUE"""),0.18)</f>
        <v>0.18</v>
      </c>
      <c r="I1263" s="71"/>
      <c r="J1263" s="22"/>
      <c r="K1263" s="22"/>
      <c r="L1263" s="22"/>
      <c r="M1263" s="22"/>
      <c r="N1263" s="22"/>
      <c r="O1263" s="73"/>
      <c r="P1263" s="8"/>
      <c r="Q1263" s="69"/>
      <c r="R1263" s="69"/>
      <c r="S1263" s="8"/>
      <c r="T1263" s="69"/>
      <c r="U1263" s="8"/>
      <c r="V1263" s="69"/>
      <c r="W1263" s="74"/>
      <c r="X1263" s="69"/>
    </row>
    <row r="1264">
      <c r="A1264" s="30" t="str">
        <f>IFERROR(__xludf.DUMMYFUNCTION("""COMPUTED_VALUE"""),"TraderX")</f>
        <v>TraderX</v>
      </c>
      <c r="B1264" s="86">
        <f>IFERROR(__xludf.DUMMYFUNCTION("""COMPUTED_VALUE"""),44662.0)</f>
        <v>44662</v>
      </c>
      <c r="C1264" s="64" t="str">
        <f>IFERROR(__xludf.DUMMYFUNCTION("""COMPUTED_VALUE"""),"Option")</f>
        <v>Option</v>
      </c>
      <c r="D1264" s="85" t="str">
        <f>IFERROR(__xludf.DUMMYFUNCTION("""COMPUTED_VALUE"""),"NDXP220411C14900000")</f>
        <v>NDXP220411C14900000</v>
      </c>
      <c r="E1264" s="5" t="str">
        <f>IFERROR(__xludf.DUMMYFUNCTION("""COMPUTED_VALUE"""),"USD")</f>
        <v>USD</v>
      </c>
      <c r="F1264" s="69">
        <f>IFERROR(__xludf.DUMMYFUNCTION("""COMPUTED_VALUE"""),-7.0)</f>
        <v>-7</v>
      </c>
      <c r="G1264" s="70">
        <f>IFERROR(__xludf.DUMMYFUNCTION("""COMPUTED_VALUE"""),7.83915)</f>
        <v>7.83915</v>
      </c>
      <c r="H1264" s="71">
        <f>IFERROR(__xludf.DUMMYFUNCTION("""COMPUTED_VALUE"""),0.05)</f>
        <v>0.05</v>
      </c>
      <c r="I1264" s="71"/>
      <c r="J1264" s="22"/>
      <c r="K1264" s="22"/>
      <c r="L1264" s="22"/>
      <c r="M1264" s="22"/>
      <c r="N1264" s="22"/>
      <c r="O1264" s="73"/>
      <c r="P1264" s="8"/>
      <c r="Q1264" s="69"/>
      <c r="R1264" s="69"/>
      <c r="S1264" s="8"/>
      <c r="T1264" s="69"/>
      <c r="U1264" s="8"/>
      <c r="V1264" s="69"/>
      <c r="W1264" s="74"/>
      <c r="X1264" s="69"/>
    </row>
    <row r="1265">
      <c r="A1265" s="30" t="str">
        <f>IFERROR(__xludf.DUMMYFUNCTION("""COMPUTED_VALUE"""),"TraderX")</f>
        <v>TraderX</v>
      </c>
      <c r="B1265" s="86">
        <f>IFERROR(__xludf.DUMMYFUNCTION("""COMPUTED_VALUE"""),44662.0)</f>
        <v>44662</v>
      </c>
      <c r="C1265" s="64" t="str">
        <f>IFERROR(__xludf.DUMMYFUNCTION("""COMPUTED_VALUE"""),"Option")</f>
        <v>Option</v>
      </c>
      <c r="D1265" s="85" t="str">
        <f>IFERROR(__xludf.DUMMYFUNCTION("""COMPUTED_VALUE"""),"NDXP220411P13900000")</f>
        <v>NDXP220411P13900000</v>
      </c>
      <c r="E1265" s="5" t="str">
        <f>IFERROR(__xludf.DUMMYFUNCTION("""COMPUTED_VALUE"""),"USD")</f>
        <v>USD</v>
      </c>
      <c r="F1265" s="69">
        <f>IFERROR(__xludf.DUMMYFUNCTION("""COMPUTED_VALUE"""),-7.0)</f>
        <v>-7</v>
      </c>
      <c r="G1265" s="70">
        <f>IFERROR(__xludf.DUMMYFUNCTION("""COMPUTED_VALUE"""),7.83915)</f>
        <v>7.83915</v>
      </c>
      <c r="H1265" s="71">
        <f>IFERROR(__xludf.DUMMYFUNCTION("""COMPUTED_VALUE"""),0.5)</f>
        <v>0.5</v>
      </c>
      <c r="I1265" s="71"/>
      <c r="J1265" s="22"/>
      <c r="K1265" s="22"/>
      <c r="L1265" s="22"/>
      <c r="M1265" s="22"/>
      <c r="N1265" s="22"/>
      <c r="O1265" s="73"/>
      <c r="P1265" s="8"/>
      <c r="Q1265" s="69"/>
      <c r="R1265" s="69"/>
      <c r="S1265" s="8"/>
      <c r="T1265" s="69"/>
      <c r="U1265" s="8"/>
      <c r="V1265" s="69"/>
      <c r="W1265" s="74"/>
      <c r="X1265" s="69"/>
    </row>
    <row r="1266">
      <c r="A1266" s="30" t="str">
        <f>IFERROR(__xludf.DUMMYFUNCTION("""COMPUTED_VALUE"""),"TraderX")</f>
        <v>TraderX</v>
      </c>
      <c r="B1266" s="86">
        <f>IFERROR(__xludf.DUMMYFUNCTION("""COMPUTED_VALUE"""),44662.0)</f>
        <v>44662</v>
      </c>
      <c r="C1266" s="64" t="str">
        <f>IFERROR(__xludf.DUMMYFUNCTION("""COMPUTED_VALUE"""),"Option")</f>
        <v>Option</v>
      </c>
      <c r="D1266" s="85" t="str">
        <f>IFERROR(__xludf.DUMMYFUNCTION("""COMPUTED_VALUE"""),"NDXP220411P14000000")</f>
        <v>NDXP220411P14000000</v>
      </c>
      <c r="E1266" s="5" t="str">
        <f>IFERROR(__xludf.DUMMYFUNCTION("""COMPUTED_VALUE"""),"USD")</f>
        <v>USD</v>
      </c>
      <c r="F1266" s="69">
        <f>IFERROR(__xludf.DUMMYFUNCTION("""COMPUTED_VALUE"""),7.0)</f>
        <v>7</v>
      </c>
      <c r="G1266" s="70">
        <f>IFERROR(__xludf.DUMMYFUNCTION("""COMPUTED_VALUE"""),7.83915)</f>
        <v>7.83915</v>
      </c>
      <c r="H1266" s="71">
        <f>IFERROR(__xludf.DUMMYFUNCTION("""COMPUTED_VALUE"""),9.8)</f>
        <v>9.8</v>
      </c>
      <c r="I1266" s="71"/>
      <c r="J1266" s="22"/>
      <c r="K1266" s="22"/>
      <c r="L1266" s="22"/>
      <c r="M1266" s="22"/>
      <c r="N1266" s="22"/>
      <c r="O1266" s="73"/>
      <c r="P1266" s="8"/>
      <c r="Q1266" s="69"/>
      <c r="R1266" s="69"/>
      <c r="S1266" s="8"/>
      <c r="T1266" s="69"/>
      <c r="U1266" s="8"/>
      <c r="V1266" s="69"/>
      <c r="W1266" s="74"/>
      <c r="X1266" s="69"/>
    </row>
    <row r="1267">
      <c r="A1267" s="30" t="str">
        <f>IFERROR(__xludf.DUMMYFUNCTION("""COMPUTED_VALUE"""),"TraderX")</f>
        <v>TraderX</v>
      </c>
      <c r="B1267" s="86">
        <f>IFERROR(__xludf.DUMMYFUNCTION("""COMPUTED_VALUE"""),44662.0)</f>
        <v>44662</v>
      </c>
      <c r="C1267" s="64" t="str">
        <f>IFERROR(__xludf.DUMMYFUNCTION("""COMPUTED_VALUE"""),"Option")</f>
        <v>Option</v>
      </c>
      <c r="D1267" s="85" t="str">
        <f>IFERROR(__xludf.DUMMYFUNCTION("""COMPUTED_VALUE"""),"NDXP220413C14525000")</f>
        <v>NDXP220413C14525000</v>
      </c>
      <c r="E1267" s="5" t="str">
        <f>IFERROR(__xludf.DUMMYFUNCTION("""COMPUTED_VALUE"""),"USD")</f>
        <v>USD</v>
      </c>
      <c r="F1267" s="69">
        <f>IFERROR(__xludf.DUMMYFUNCTION("""COMPUTED_VALUE"""),-8.0)</f>
        <v>-8</v>
      </c>
      <c r="G1267" s="70">
        <f>IFERROR(__xludf.DUMMYFUNCTION("""COMPUTED_VALUE"""),7.83915)</f>
        <v>7.83915</v>
      </c>
      <c r="H1267" s="71">
        <f>IFERROR(__xludf.DUMMYFUNCTION("""COMPUTED_VALUE"""),10.2)</f>
        <v>10.2</v>
      </c>
      <c r="I1267" s="71"/>
      <c r="J1267" s="22"/>
      <c r="K1267" s="22"/>
      <c r="L1267" s="22"/>
      <c r="M1267" s="22"/>
      <c r="N1267" s="22"/>
      <c r="O1267" s="73"/>
      <c r="P1267" s="8"/>
      <c r="Q1267" s="69"/>
      <c r="R1267" s="69"/>
      <c r="S1267" s="8"/>
      <c r="T1267" s="69"/>
      <c r="U1267" s="8"/>
      <c r="V1267" s="69"/>
      <c r="W1267" s="74"/>
      <c r="X1267" s="69"/>
    </row>
    <row r="1268">
      <c r="A1268" s="30" t="str">
        <f>IFERROR(__xludf.DUMMYFUNCTION("""COMPUTED_VALUE"""),"TraderX")</f>
        <v>TraderX</v>
      </c>
      <c r="B1268" s="86">
        <f>IFERROR(__xludf.DUMMYFUNCTION("""COMPUTED_VALUE"""),44662.0)</f>
        <v>44662</v>
      </c>
      <c r="C1268" s="64" t="str">
        <f>IFERROR(__xludf.DUMMYFUNCTION("""COMPUTED_VALUE"""),"Option")</f>
        <v>Option</v>
      </c>
      <c r="D1268" s="85" t="str">
        <f>IFERROR(__xludf.DUMMYFUNCTION("""COMPUTED_VALUE"""),"NDXP220413C14625000")</f>
        <v>NDXP220413C14625000</v>
      </c>
      <c r="E1268" s="5" t="str">
        <f>IFERROR(__xludf.DUMMYFUNCTION("""COMPUTED_VALUE"""),"USD")</f>
        <v>USD</v>
      </c>
      <c r="F1268" s="69">
        <f>IFERROR(__xludf.DUMMYFUNCTION("""COMPUTED_VALUE"""),8.0)</f>
        <v>8</v>
      </c>
      <c r="G1268" s="70">
        <f>IFERROR(__xludf.DUMMYFUNCTION("""COMPUTED_VALUE"""),7.83915)</f>
        <v>7.83915</v>
      </c>
      <c r="H1268" s="71">
        <f>IFERROR(__xludf.DUMMYFUNCTION("""COMPUTED_VALUE"""),6.65)</f>
        <v>6.65</v>
      </c>
      <c r="I1268" s="71"/>
      <c r="J1268" s="22"/>
      <c r="K1268" s="22"/>
      <c r="L1268" s="22"/>
      <c r="M1268" s="22"/>
      <c r="N1268" s="22"/>
      <c r="O1268" s="73"/>
      <c r="P1268" s="8"/>
      <c r="Q1268" s="69"/>
      <c r="R1268" s="69"/>
      <c r="S1268" s="8"/>
      <c r="T1268" s="69"/>
      <c r="U1268" s="8"/>
      <c r="V1268" s="69"/>
      <c r="W1268" s="74"/>
      <c r="X1268" s="69"/>
    </row>
    <row r="1269">
      <c r="A1269" s="30" t="str">
        <f>IFERROR(__xludf.DUMMYFUNCTION("""COMPUTED_VALUE"""),"TraderX")</f>
        <v>TraderX</v>
      </c>
      <c r="B1269" s="86">
        <f>IFERROR(__xludf.DUMMYFUNCTION("""COMPUTED_VALUE"""),44662.0)</f>
        <v>44662</v>
      </c>
      <c r="C1269" s="64" t="str">
        <f>IFERROR(__xludf.DUMMYFUNCTION("""COMPUTED_VALUE"""),"Option")</f>
        <v>Option</v>
      </c>
      <c r="D1269" s="85" t="str">
        <f>IFERROR(__xludf.DUMMYFUNCTION("""COMPUTED_VALUE"""),"NDXP220413P13375000")</f>
        <v>NDXP220413P13375000</v>
      </c>
      <c r="E1269" s="5" t="str">
        <f>IFERROR(__xludf.DUMMYFUNCTION("""COMPUTED_VALUE"""),"USD")</f>
        <v>USD</v>
      </c>
      <c r="F1269" s="69">
        <f>IFERROR(__xludf.DUMMYFUNCTION("""COMPUTED_VALUE"""),8.0)</f>
        <v>8</v>
      </c>
      <c r="G1269" s="70">
        <f>IFERROR(__xludf.DUMMYFUNCTION("""COMPUTED_VALUE"""),7.83915)</f>
        <v>7.83915</v>
      </c>
      <c r="H1269" s="71">
        <f>IFERROR(__xludf.DUMMYFUNCTION("""COMPUTED_VALUE"""),13.36)</f>
        <v>13.36</v>
      </c>
      <c r="I1269" s="71"/>
      <c r="J1269" s="22"/>
      <c r="K1269" s="22"/>
      <c r="L1269" s="22"/>
      <c r="M1269" s="22"/>
      <c r="N1269" s="22"/>
      <c r="O1269" s="73"/>
      <c r="P1269" s="8"/>
      <c r="Q1269" s="69"/>
      <c r="R1269" s="69"/>
      <c r="S1269" s="8"/>
      <c r="T1269" s="69"/>
      <c r="U1269" s="8"/>
      <c r="V1269" s="69"/>
      <c r="W1269" s="74"/>
      <c r="X1269" s="69"/>
    </row>
    <row r="1270">
      <c r="A1270" s="30" t="str">
        <f>IFERROR(__xludf.DUMMYFUNCTION("""COMPUTED_VALUE"""),"TraderX")</f>
        <v>TraderX</v>
      </c>
      <c r="B1270" s="86">
        <f>IFERROR(__xludf.DUMMYFUNCTION("""COMPUTED_VALUE"""),44662.0)</f>
        <v>44662</v>
      </c>
      <c r="C1270" s="64" t="str">
        <f>IFERROR(__xludf.DUMMYFUNCTION("""COMPUTED_VALUE"""),"Option")</f>
        <v>Option</v>
      </c>
      <c r="D1270" s="85" t="str">
        <f>IFERROR(__xludf.DUMMYFUNCTION("""COMPUTED_VALUE"""),"NDXP220413P13475000")</f>
        <v>NDXP220413P13475000</v>
      </c>
      <c r="E1270" s="5" t="str">
        <f>IFERROR(__xludf.DUMMYFUNCTION("""COMPUTED_VALUE"""),"USD")</f>
        <v>USD</v>
      </c>
      <c r="F1270" s="69">
        <f>IFERROR(__xludf.DUMMYFUNCTION("""COMPUTED_VALUE"""),-8.0)</f>
        <v>-8</v>
      </c>
      <c r="G1270" s="70">
        <f>IFERROR(__xludf.DUMMYFUNCTION("""COMPUTED_VALUE"""),7.83915)</f>
        <v>7.83915</v>
      </c>
      <c r="H1270" s="71">
        <f>IFERROR(__xludf.DUMMYFUNCTION("""COMPUTED_VALUE"""),20.5)</f>
        <v>20.5</v>
      </c>
      <c r="I1270" s="71"/>
      <c r="J1270" s="22"/>
      <c r="K1270" s="22"/>
      <c r="L1270" s="22"/>
      <c r="M1270" s="22"/>
      <c r="N1270" s="22"/>
      <c r="O1270" s="73"/>
      <c r="P1270" s="8"/>
      <c r="Q1270" s="69"/>
      <c r="R1270" s="69"/>
      <c r="S1270" s="8"/>
      <c r="T1270" s="69"/>
      <c r="U1270" s="8"/>
      <c r="V1270" s="69"/>
      <c r="W1270" s="74"/>
      <c r="X1270" s="69"/>
    </row>
    <row r="1271">
      <c r="A1271" s="30" t="str">
        <f>IFERROR(__xludf.DUMMYFUNCTION("""COMPUTED_VALUE"""),"TraderX")</f>
        <v>TraderX</v>
      </c>
      <c r="B1271" s="86">
        <f>IFERROR(__xludf.DUMMYFUNCTION("""COMPUTED_VALUE"""),44664.0)</f>
        <v>44664</v>
      </c>
      <c r="C1271" s="64" t="str">
        <f>IFERROR(__xludf.DUMMYFUNCTION("""COMPUTED_VALUE"""),"Option")</f>
        <v>Option</v>
      </c>
      <c r="D1271" s="85" t="str">
        <f>IFERROR(__xludf.DUMMYFUNCTION("""COMPUTED_VALUE"""),"NDXP220413C14525000")</f>
        <v>NDXP220413C14525000</v>
      </c>
      <c r="E1271" s="5" t="str">
        <f>IFERROR(__xludf.DUMMYFUNCTION("""COMPUTED_VALUE"""),"USD")</f>
        <v>USD</v>
      </c>
      <c r="F1271" s="69">
        <f>IFERROR(__xludf.DUMMYFUNCTION("""COMPUTED_VALUE"""),8.0)</f>
        <v>8</v>
      </c>
      <c r="G1271" s="70">
        <f>IFERROR(__xludf.DUMMYFUNCTION("""COMPUTED_VALUE"""),7.83915)</f>
        <v>7.83915</v>
      </c>
      <c r="H1271" s="71">
        <f>IFERROR(__xludf.DUMMYFUNCTION("""COMPUTED_VALUE"""),0.17)</f>
        <v>0.17</v>
      </c>
      <c r="I1271" s="71"/>
      <c r="J1271" s="22"/>
      <c r="K1271" s="22"/>
      <c r="L1271" s="22"/>
      <c r="M1271" s="22"/>
      <c r="N1271" s="22"/>
      <c r="O1271" s="73"/>
      <c r="P1271" s="8"/>
      <c r="Q1271" s="69"/>
      <c r="R1271" s="69"/>
      <c r="S1271" s="8"/>
      <c r="T1271" s="69"/>
      <c r="U1271" s="8"/>
      <c r="V1271" s="69"/>
      <c r="W1271" s="74"/>
      <c r="X1271" s="69"/>
    </row>
    <row r="1272">
      <c r="A1272" s="30" t="str">
        <f>IFERROR(__xludf.DUMMYFUNCTION("""COMPUTED_VALUE"""),"TraderX")</f>
        <v>TraderX</v>
      </c>
      <c r="B1272" s="86">
        <f>IFERROR(__xludf.DUMMYFUNCTION("""COMPUTED_VALUE"""),44664.0)</f>
        <v>44664</v>
      </c>
      <c r="C1272" s="64" t="str">
        <f>IFERROR(__xludf.DUMMYFUNCTION("""COMPUTED_VALUE"""),"Option")</f>
        <v>Option</v>
      </c>
      <c r="D1272" s="85" t="str">
        <f>IFERROR(__xludf.DUMMYFUNCTION("""COMPUTED_VALUE"""),"NDXP220413C14625000")</f>
        <v>NDXP220413C14625000</v>
      </c>
      <c r="E1272" s="5" t="str">
        <f>IFERROR(__xludf.DUMMYFUNCTION("""COMPUTED_VALUE"""),"USD")</f>
        <v>USD</v>
      </c>
      <c r="F1272" s="69">
        <f>IFERROR(__xludf.DUMMYFUNCTION("""COMPUTED_VALUE"""),-8.0)</f>
        <v>-8</v>
      </c>
      <c r="G1272" s="70">
        <f>IFERROR(__xludf.DUMMYFUNCTION("""COMPUTED_VALUE"""),7.83915)</f>
        <v>7.83915</v>
      </c>
      <c r="H1272" s="71">
        <f>IFERROR(__xludf.DUMMYFUNCTION("""COMPUTED_VALUE"""),0.16)</f>
        <v>0.16</v>
      </c>
      <c r="I1272" s="71"/>
      <c r="J1272" s="22"/>
      <c r="K1272" s="22"/>
      <c r="L1272" s="22"/>
      <c r="M1272" s="22"/>
      <c r="N1272" s="22"/>
      <c r="O1272" s="73"/>
      <c r="P1272" s="8"/>
      <c r="Q1272" s="69"/>
      <c r="R1272" s="69"/>
      <c r="S1272" s="8"/>
      <c r="T1272" s="69"/>
      <c r="U1272" s="8"/>
      <c r="V1272" s="69"/>
      <c r="W1272" s="74"/>
      <c r="X1272" s="69"/>
    </row>
    <row r="1273">
      <c r="A1273" s="30" t="str">
        <f>IFERROR(__xludf.DUMMYFUNCTION("""COMPUTED_VALUE"""),"TraderX")</f>
        <v>TraderX</v>
      </c>
      <c r="B1273" s="86">
        <f>IFERROR(__xludf.DUMMYFUNCTION("""COMPUTED_VALUE"""),44664.0)</f>
        <v>44664</v>
      </c>
      <c r="C1273" s="64" t="str">
        <f>IFERROR(__xludf.DUMMYFUNCTION("""COMPUTED_VALUE"""),"Option")</f>
        <v>Option</v>
      </c>
      <c r="D1273" s="85" t="str">
        <f>IFERROR(__xludf.DUMMYFUNCTION("""COMPUTED_VALUE"""),"NDXP220413P13375000")</f>
        <v>NDXP220413P13375000</v>
      </c>
      <c r="E1273" s="5" t="str">
        <f>IFERROR(__xludf.DUMMYFUNCTION("""COMPUTED_VALUE"""),"USD")</f>
        <v>USD</v>
      </c>
      <c r="F1273" s="69">
        <f>IFERROR(__xludf.DUMMYFUNCTION("""COMPUTED_VALUE"""),-8.0)</f>
        <v>-8</v>
      </c>
      <c r="G1273" s="70">
        <f>IFERROR(__xludf.DUMMYFUNCTION("""COMPUTED_VALUE"""),7.83915)</f>
        <v>7.83915</v>
      </c>
      <c r="H1273" s="71">
        <f>IFERROR(__xludf.DUMMYFUNCTION("""COMPUTED_VALUE"""),0.12)</f>
        <v>0.12</v>
      </c>
      <c r="I1273" s="71"/>
      <c r="J1273" s="22"/>
      <c r="K1273" s="22"/>
      <c r="L1273" s="22"/>
      <c r="M1273" s="22"/>
      <c r="N1273" s="22"/>
      <c r="O1273" s="73"/>
      <c r="P1273" s="8"/>
      <c r="Q1273" s="69"/>
      <c r="R1273" s="69"/>
      <c r="S1273" s="8"/>
      <c r="T1273" s="69"/>
      <c r="U1273" s="8"/>
      <c r="V1273" s="69"/>
      <c r="W1273" s="74"/>
      <c r="X1273" s="69"/>
    </row>
    <row r="1274">
      <c r="A1274" s="30" t="str">
        <f>IFERROR(__xludf.DUMMYFUNCTION("""COMPUTED_VALUE"""),"TraderX")</f>
        <v>TraderX</v>
      </c>
      <c r="B1274" s="86">
        <f>IFERROR(__xludf.DUMMYFUNCTION("""COMPUTED_VALUE"""),44664.0)</f>
        <v>44664</v>
      </c>
      <c r="C1274" s="64" t="str">
        <f>IFERROR(__xludf.DUMMYFUNCTION("""COMPUTED_VALUE"""),"Option")</f>
        <v>Option</v>
      </c>
      <c r="D1274" s="85" t="str">
        <f>IFERROR(__xludf.DUMMYFUNCTION("""COMPUTED_VALUE"""),"NDXP220413P13475000")</f>
        <v>NDXP220413P13475000</v>
      </c>
      <c r="E1274" s="5" t="str">
        <f>IFERROR(__xludf.DUMMYFUNCTION("""COMPUTED_VALUE"""),"USD")</f>
        <v>USD</v>
      </c>
      <c r="F1274" s="69">
        <f>IFERROR(__xludf.DUMMYFUNCTION("""COMPUTED_VALUE"""),8.0)</f>
        <v>8</v>
      </c>
      <c r="G1274" s="70">
        <f>IFERROR(__xludf.DUMMYFUNCTION("""COMPUTED_VALUE"""),7.83915)</f>
        <v>7.83915</v>
      </c>
      <c r="H1274" s="71">
        <f>IFERROR(__xludf.DUMMYFUNCTION("""COMPUTED_VALUE"""),0.36)</f>
        <v>0.36</v>
      </c>
      <c r="I1274" s="71"/>
      <c r="J1274" s="22"/>
      <c r="K1274" s="22"/>
      <c r="L1274" s="22"/>
      <c r="M1274" s="22"/>
      <c r="N1274" s="22"/>
      <c r="O1274" s="73"/>
      <c r="P1274" s="8"/>
      <c r="Q1274" s="69"/>
      <c r="R1274" s="69"/>
      <c r="S1274" s="8"/>
      <c r="T1274" s="69"/>
      <c r="U1274" s="8"/>
      <c r="V1274" s="69"/>
      <c r="W1274" s="74"/>
      <c r="X1274" s="69"/>
    </row>
    <row r="1275">
      <c r="A1275" s="30" t="str">
        <f>IFERROR(__xludf.DUMMYFUNCTION("""COMPUTED_VALUE"""),"TraderX")</f>
        <v>TraderX</v>
      </c>
      <c r="B1275" s="86">
        <f>IFERROR(__xludf.DUMMYFUNCTION("""COMPUTED_VALUE"""),44664.0)</f>
        <v>44664</v>
      </c>
      <c r="C1275" s="64" t="str">
        <f>IFERROR(__xludf.DUMMYFUNCTION("""COMPUTED_VALUE"""),"Option")</f>
        <v>Option</v>
      </c>
      <c r="D1275" s="85" t="str">
        <f>IFERROR(__xludf.DUMMYFUNCTION("""COMPUTED_VALUE"""),"SPXW220414C04515000")</f>
        <v>SPXW220414C04515000</v>
      </c>
      <c r="E1275" s="5" t="str">
        <f>IFERROR(__xludf.DUMMYFUNCTION("""COMPUTED_VALUE"""),"USD")</f>
        <v>USD</v>
      </c>
      <c r="F1275" s="69">
        <f>IFERROR(__xludf.DUMMYFUNCTION("""COMPUTED_VALUE"""),-20.0)</f>
        <v>-20</v>
      </c>
      <c r="G1275" s="70">
        <f>IFERROR(__xludf.DUMMYFUNCTION("""COMPUTED_VALUE"""),7.83915)</f>
        <v>7.83915</v>
      </c>
      <c r="H1275" s="71">
        <f>IFERROR(__xludf.DUMMYFUNCTION("""COMPUTED_VALUE"""),0.67)</f>
        <v>0.67</v>
      </c>
      <c r="I1275" s="71"/>
      <c r="J1275" s="22"/>
      <c r="K1275" s="22"/>
      <c r="L1275" s="22"/>
      <c r="M1275" s="22"/>
      <c r="N1275" s="22"/>
      <c r="O1275" s="73"/>
      <c r="P1275" s="8"/>
      <c r="Q1275" s="69"/>
      <c r="R1275" s="69"/>
      <c r="S1275" s="8"/>
      <c r="T1275" s="69"/>
      <c r="U1275" s="8"/>
      <c r="V1275" s="69"/>
      <c r="W1275" s="74"/>
      <c r="X1275" s="69"/>
    </row>
    <row r="1276">
      <c r="A1276" s="30" t="str">
        <f>IFERROR(__xludf.DUMMYFUNCTION("""COMPUTED_VALUE"""),"TraderX")</f>
        <v>TraderX</v>
      </c>
      <c r="B1276" s="86">
        <f>IFERROR(__xludf.DUMMYFUNCTION("""COMPUTED_VALUE"""),44664.0)</f>
        <v>44664</v>
      </c>
      <c r="C1276" s="64" t="str">
        <f>IFERROR(__xludf.DUMMYFUNCTION("""COMPUTED_VALUE"""),"Option")</f>
        <v>Option</v>
      </c>
      <c r="D1276" s="85" t="str">
        <f>IFERROR(__xludf.DUMMYFUNCTION("""COMPUTED_VALUE"""),"SPXW220414C04560000")</f>
        <v>SPXW220414C04560000</v>
      </c>
      <c r="E1276" s="5" t="str">
        <f>IFERROR(__xludf.DUMMYFUNCTION("""COMPUTED_VALUE"""),"USD")</f>
        <v>USD</v>
      </c>
      <c r="F1276" s="69">
        <f>IFERROR(__xludf.DUMMYFUNCTION("""COMPUTED_VALUE"""),20.0)</f>
        <v>20</v>
      </c>
      <c r="G1276" s="70">
        <f>IFERROR(__xludf.DUMMYFUNCTION("""COMPUTED_VALUE"""),7.83915)</f>
        <v>7.83915</v>
      </c>
      <c r="H1276" s="71">
        <f>IFERROR(__xludf.DUMMYFUNCTION("""COMPUTED_VALUE"""),0.07)</f>
        <v>0.07</v>
      </c>
      <c r="I1276" s="71"/>
      <c r="J1276" s="22"/>
      <c r="K1276" s="22"/>
      <c r="L1276" s="22"/>
      <c r="M1276" s="22"/>
      <c r="N1276" s="22"/>
      <c r="O1276" s="73"/>
      <c r="P1276" s="8"/>
      <c r="Q1276" s="69"/>
      <c r="R1276" s="69"/>
      <c r="S1276" s="8"/>
      <c r="T1276" s="69"/>
      <c r="U1276" s="8"/>
      <c r="V1276" s="69"/>
      <c r="W1276" s="74"/>
      <c r="X1276" s="69"/>
    </row>
    <row r="1277">
      <c r="A1277" s="30" t="str">
        <f>IFERROR(__xludf.DUMMYFUNCTION("""COMPUTED_VALUE"""),"TraderX")</f>
        <v>TraderX</v>
      </c>
      <c r="B1277" s="86">
        <f>IFERROR(__xludf.DUMMYFUNCTION("""COMPUTED_VALUE"""),44664.0)</f>
        <v>44664</v>
      </c>
      <c r="C1277" s="64" t="str">
        <f>IFERROR(__xludf.DUMMYFUNCTION("""COMPUTED_VALUE"""),"Option")</f>
        <v>Option</v>
      </c>
      <c r="D1277" s="85" t="str">
        <f>IFERROR(__xludf.DUMMYFUNCTION("""COMPUTED_VALUE"""),"SPXW220414P04315000")</f>
        <v>SPXW220414P04315000</v>
      </c>
      <c r="E1277" s="5" t="str">
        <f>IFERROR(__xludf.DUMMYFUNCTION("""COMPUTED_VALUE"""),"USD")</f>
        <v>USD</v>
      </c>
      <c r="F1277" s="69">
        <f>IFERROR(__xludf.DUMMYFUNCTION("""COMPUTED_VALUE"""),20.0)</f>
        <v>20</v>
      </c>
      <c r="G1277" s="70">
        <f>IFERROR(__xludf.DUMMYFUNCTION("""COMPUTED_VALUE"""),7.83915)</f>
        <v>7.83915</v>
      </c>
      <c r="H1277" s="71">
        <f>IFERROR(__xludf.DUMMYFUNCTION("""COMPUTED_VALUE"""),0.45)</f>
        <v>0.45</v>
      </c>
      <c r="I1277" s="71"/>
      <c r="J1277" s="22"/>
      <c r="K1277" s="22"/>
      <c r="L1277" s="22"/>
      <c r="M1277" s="22"/>
      <c r="N1277" s="22"/>
      <c r="O1277" s="73"/>
      <c r="P1277" s="8"/>
      <c r="Q1277" s="69"/>
      <c r="R1277" s="69"/>
      <c r="S1277" s="8"/>
      <c r="T1277" s="69"/>
      <c r="U1277" s="8"/>
      <c r="V1277" s="69"/>
      <c r="W1277" s="74"/>
      <c r="X1277" s="69"/>
    </row>
    <row r="1278">
      <c r="A1278" s="30" t="str">
        <f>IFERROR(__xludf.DUMMYFUNCTION("""COMPUTED_VALUE"""),"TraderX")</f>
        <v>TraderX</v>
      </c>
      <c r="B1278" s="86">
        <f>IFERROR(__xludf.DUMMYFUNCTION("""COMPUTED_VALUE"""),44664.0)</f>
        <v>44664</v>
      </c>
      <c r="C1278" s="64" t="str">
        <f>IFERROR(__xludf.DUMMYFUNCTION("""COMPUTED_VALUE"""),"Option")</f>
        <v>Option</v>
      </c>
      <c r="D1278" s="85" t="str">
        <f>IFERROR(__xludf.DUMMYFUNCTION("""COMPUTED_VALUE"""),"SPXW220414P04360000")</f>
        <v>SPXW220414P04360000</v>
      </c>
      <c r="E1278" s="5" t="str">
        <f>IFERROR(__xludf.DUMMYFUNCTION("""COMPUTED_VALUE"""),"USD")</f>
        <v>USD</v>
      </c>
      <c r="F1278" s="69">
        <f>IFERROR(__xludf.DUMMYFUNCTION("""COMPUTED_VALUE"""),-20.0)</f>
        <v>-20</v>
      </c>
      <c r="G1278" s="70">
        <f>IFERROR(__xludf.DUMMYFUNCTION("""COMPUTED_VALUE"""),7.83915)</f>
        <v>7.83915</v>
      </c>
      <c r="H1278" s="71">
        <f>IFERROR(__xludf.DUMMYFUNCTION("""COMPUTED_VALUE"""),1.15)</f>
        <v>1.15</v>
      </c>
      <c r="I1278" s="71"/>
      <c r="J1278" s="22"/>
      <c r="K1278" s="22"/>
      <c r="L1278" s="22"/>
      <c r="M1278" s="22"/>
      <c r="N1278" s="22"/>
      <c r="O1278" s="73"/>
      <c r="P1278" s="8"/>
      <c r="Q1278" s="69"/>
      <c r="R1278" s="69"/>
      <c r="S1278" s="8"/>
      <c r="T1278" s="69"/>
      <c r="U1278" s="8"/>
      <c r="V1278" s="69"/>
      <c r="W1278" s="74"/>
      <c r="X1278" s="69"/>
    </row>
    <row r="1279">
      <c r="A1279" s="30" t="str">
        <f>IFERROR(__xludf.DUMMYFUNCTION("""COMPUTED_VALUE"""),"TraderX Total")</f>
        <v>TraderX Total</v>
      </c>
      <c r="B1279" s="5"/>
      <c r="C1279" s="64"/>
      <c r="D1279" s="85"/>
      <c r="E1279" s="5"/>
      <c r="F1279" s="69"/>
      <c r="G1279" s="70">
        <f>IFERROR(__xludf.DUMMYFUNCTION("""COMPUTED_VALUE"""),7.479194736842104)</f>
        <v>7.479194737</v>
      </c>
      <c r="H1279" s="71">
        <f>IFERROR(__xludf.DUMMYFUNCTION("""COMPUTED_VALUE"""),20.5)</f>
        <v>20.5</v>
      </c>
      <c r="I1279" s="71"/>
      <c r="J1279" s="22"/>
      <c r="K1279" s="22"/>
      <c r="L1279" s="22"/>
      <c r="M1279" s="22"/>
      <c r="N1279" s="22"/>
      <c r="O1279" s="73"/>
      <c r="P1279" s="8"/>
      <c r="Q1279" s="69"/>
      <c r="R1279" s="69"/>
      <c r="S1279" s="8"/>
      <c r="T1279" s="69"/>
      <c r="U1279" s="8"/>
      <c r="V1279" s="69"/>
      <c r="W1279" s="74"/>
      <c r="X1279" s="69"/>
    </row>
    <row r="1280">
      <c r="A1280" s="30"/>
      <c r="C1280" s="64"/>
      <c r="D1280" s="85"/>
      <c r="F1280" s="69"/>
      <c r="G1280" s="70"/>
      <c r="H1280" s="71"/>
      <c r="I1280" s="71"/>
      <c r="J1280" s="22"/>
      <c r="K1280" s="22"/>
      <c r="L1280" s="22"/>
      <c r="M1280" s="22"/>
      <c r="N1280" s="22"/>
      <c r="O1280" s="73"/>
      <c r="P1280" s="8"/>
      <c r="Q1280" s="69"/>
      <c r="R1280" s="69"/>
      <c r="S1280" s="8"/>
      <c r="T1280" s="69"/>
      <c r="U1280" s="8"/>
      <c r="V1280" s="69"/>
      <c r="W1280" s="74"/>
      <c r="X1280" s="69"/>
    </row>
    <row r="1281">
      <c r="A1281" s="30"/>
      <c r="C1281" s="64"/>
      <c r="D1281" s="85"/>
      <c r="F1281" s="69"/>
      <c r="G1281" s="70"/>
      <c r="H1281" s="71"/>
      <c r="I1281" s="71"/>
      <c r="J1281" s="22"/>
      <c r="K1281" s="22"/>
      <c r="L1281" s="22"/>
      <c r="M1281" s="22"/>
      <c r="N1281" s="22"/>
      <c r="O1281" s="73"/>
      <c r="P1281" s="8"/>
      <c r="Q1281" s="69"/>
      <c r="R1281" s="69"/>
      <c r="S1281" s="8"/>
      <c r="T1281" s="69"/>
      <c r="U1281" s="8"/>
      <c r="V1281" s="69"/>
      <c r="W1281" s="74"/>
      <c r="X1281" s="69"/>
    </row>
    <row r="1282">
      <c r="A1282" s="30"/>
      <c r="C1282" s="64"/>
      <c r="D1282" s="85"/>
      <c r="F1282" s="69"/>
      <c r="G1282" s="70"/>
      <c r="H1282" s="71"/>
      <c r="I1282" s="71"/>
      <c r="J1282" s="22"/>
      <c r="K1282" s="22"/>
      <c r="L1282" s="22"/>
      <c r="M1282" s="22"/>
      <c r="N1282" s="22"/>
      <c r="O1282" s="73"/>
      <c r="P1282" s="8"/>
      <c r="Q1282" s="69"/>
      <c r="R1282" s="69"/>
      <c r="S1282" s="8"/>
      <c r="T1282" s="69"/>
      <c r="U1282" s="8"/>
      <c r="V1282" s="69"/>
      <c r="W1282" s="74"/>
      <c r="X1282" s="69"/>
    </row>
    <row r="1283">
      <c r="A1283" s="30"/>
      <c r="C1283" s="64"/>
      <c r="D1283" s="85"/>
      <c r="F1283" s="69"/>
      <c r="G1283" s="70"/>
      <c r="H1283" s="71"/>
      <c r="I1283" s="71"/>
      <c r="J1283" s="22"/>
      <c r="K1283" s="22"/>
      <c r="L1283" s="22"/>
      <c r="M1283" s="22"/>
      <c r="N1283" s="22"/>
      <c r="O1283" s="73"/>
      <c r="P1283" s="8"/>
      <c r="Q1283" s="69"/>
      <c r="R1283" s="69"/>
      <c r="S1283" s="8"/>
      <c r="T1283" s="69"/>
      <c r="U1283" s="8"/>
      <c r="V1283" s="69"/>
      <c r="W1283" s="74"/>
      <c r="X1283" s="69"/>
    </row>
    <row r="1284">
      <c r="A1284" s="30"/>
      <c r="C1284" s="64"/>
      <c r="D1284" s="85"/>
      <c r="F1284" s="69"/>
      <c r="G1284" s="70"/>
      <c r="H1284" s="71"/>
      <c r="I1284" s="71"/>
      <c r="J1284" s="22"/>
      <c r="K1284" s="22"/>
      <c r="L1284" s="22"/>
      <c r="M1284" s="22"/>
      <c r="N1284" s="22"/>
      <c r="O1284" s="73"/>
      <c r="P1284" s="8"/>
      <c r="Q1284" s="69"/>
      <c r="R1284" s="69"/>
      <c r="S1284" s="8"/>
      <c r="T1284" s="69"/>
      <c r="U1284" s="8"/>
      <c r="V1284" s="69"/>
      <c r="W1284" s="74"/>
      <c r="X1284" s="69"/>
    </row>
    <row r="1285">
      <c r="A1285" s="30"/>
      <c r="C1285" s="64"/>
      <c r="D1285" s="85"/>
      <c r="F1285" s="69"/>
      <c r="G1285" s="70"/>
      <c r="H1285" s="71"/>
      <c r="I1285" s="71"/>
      <c r="J1285" s="22"/>
      <c r="K1285" s="22"/>
      <c r="L1285" s="22"/>
      <c r="M1285" s="22"/>
      <c r="N1285" s="22"/>
      <c r="O1285" s="73"/>
      <c r="P1285" s="8"/>
      <c r="Q1285" s="69"/>
      <c r="R1285" s="69"/>
      <c r="S1285" s="8"/>
      <c r="T1285" s="69"/>
      <c r="U1285" s="8"/>
      <c r="V1285" s="69"/>
      <c r="W1285" s="74"/>
      <c r="X1285" s="69"/>
    </row>
    <row r="1286">
      <c r="A1286" s="30"/>
      <c r="C1286" s="64"/>
      <c r="D1286" s="85"/>
      <c r="F1286" s="69"/>
      <c r="G1286" s="70"/>
      <c r="H1286" s="71"/>
      <c r="I1286" s="71"/>
      <c r="J1286" s="22"/>
      <c r="K1286" s="22"/>
      <c r="L1286" s="22"/>
      <c r="M1286" s="22"/>
      <c r="N1286" s="22"/>
      <c r="O1286" s="73"/>
      <c r="P1286" s="8"/>
      <c r="Q1286" s="69"/>
      <c r="R1286" s="69"/>
      <c r="S1286" s="8"/>
      <c r="T1286" s="69"/>
      <c r="U1286" s="8"/>
      <c r="V1286" s="69"/>
      <c r="W1286" s="74"/>
      <c r="X1286" s="69"/>
    </row>
    <row r="1287">
      <c r="A1287" s="30"/>
      <c r="C1287" s="64"/>
      <c r="D1287" s="85"/>
      <c r="F1287" s="69"/>
      <c r="G1287" s="70"/>
      <c r="H1287" s="71"/>
      <c r="I1287" s="71"/>
      <c r="J1287" s="22"/>
      <c r="K1287" s="22"/>
      <c r="L1287" s="22"/>
      <c r="M1287" s="22"/>
      <c r="N1287" s="22"/>
      <c r="O1287" s="73"/>
      <c r="P1287" s="8"/>
      <c r="Q1287" s="69"/>
      <c r="R1287" s="69"/>
      <c r="S1287" s="8"/>
      <c r="T1287" s="69"/>
      <c r="U1287" s="8"/>
      <c r="V1287" s="69"/>
      <c r="W1287" s="74"/>
      <c r="X1287" s="69"/>
    </row>
    <row r="1288">
      <c r="A1288" s="30"/>
      <c r="C1288" s="64"/>
      <c r="D1288" s="85"/>
      <c r="F1288" s="69"/>
      <c r="G1288" s="70"/>
      <c r="H1288" s="71"/>
      <c r="I1288" s="71"/>
      <c r="J1288" s="22"/>
      <c r="K1288" s="22"/>
      <c r="L1288" s="22"/>
      <c r="M1288" s="22"/>
      <c r="N1288" s="22"/>
      <c r="O1288" s="73"/>
      <c r="P1288" s="8"/>
      <c r="Q1288" s="69"/>
      <c r="R1288" s="69"/>
      <c r="S1288" s="8"/>
      <c r="T1288" s="69"/>
      <c r="U1288" s="8"/>
      <c r="V1288" s="69"/>
      <c r="W1288" s="74"/>
      <c r="X1288" s="69"/>
    </row>
    <row r="1289">
      <c r="A1289" s="30"/>
      <c r="C1289" s="64"/>
      <c r="D1289" s="85"/>
      <c r="F1289" s="69"/>
      <c r="G1289" s="70"/>
      <c r="H1289" s="71"/>
      <c r="I1289" s="71"/>
      <c r="J1289" s="22"/>
      <c r="K1289" s="22"/>
      <c r="L1289" s="22"/>
      <c r="M1289" s="22"/>
      <c r="N1289" s="22"/>
      <c r="O1289" s="73"/>
      <c r="P1289" s="8"/>
      <c r="Q1289" s="69"/>
      <c r="R1289" s="69"/>
      <c r="S1289" s="8"/>
      <c r="T1289" s="69"/>
      <c r="U1289" s="8"/>
      <c r="V1289" s="69"/>
      <c r="W1289" s="74"/>
      <c r="X1289" s="69"/>
    </row>
    <row r="1290">
      <c r="A1290" s="30"/>
      <c r="C1290" s="64"/>
      <c r="D1290" s="85"/>
      <c r="F1290" s="69"/>
      <c r="G1290" s="70"/>
      <c r="H1290" s="71"/>
      <c r="I1290" s="71"/>
      <c r="J1290" s="22"/>
      <c r="K1290" s="22"/>
      <c r="L1290" s="22"/>
      <c r="M1290" s="22"/>
      <c r="N1290" s="22"/>
      <c r="O1290" s="73"/>
      <c r="P1290" s="8"/>
      <c r="Q1290" s="69"/>
      <c r="R1290" s="69"/>
      <c r="S1290" s="8"/>
      <c r="T1290" s="69"/>
      <c r="U1290" s="8"/>
      <c r="V1290" s="69"/>
      <c r="W1290" s="74"/>
      <c r="X1290" s="69"/>
    </row>
    <row r="1291">
      <c r="A1291" s="30"/>
      <c r="C1291" s="64"/>
      <c r="D1291" s="85"/>
      <c r="F1291" s="69"/>
      <c r="G1291" s="70"/>
      <c r="H1291" s="71"/>
      <c r="I1291" s="71"/>
      <c r="J1291" s="22"/>
      <c r="K1291" s="22"/>
      <c r="L1291" s="22"/>
      <c r="M1291" s="22"/>
      <c r="N1291" s="22"/>
      <c r="O1291" s="73"/>
      <c r="P1291" s="8"/>
      <c r="Q1291" s="69"/>
      <c r="R1291" s="69"/>
      <c r="S1291" s="8"/>
      <c r="T1291" s="69"/>
      <c r="U1291" s="8"/>
      <c r="V1291" s="69"/>
      <c r="W1291" s="74"/>
      <c r="X1291" s="69"/>
    </row>
    <row r="1292">
      <c r="A1292" s="30"/>
      <c r="C1292" s="64"/>
      <c r="D1292" s="85"/>
      <c r="F1292" s="69"/>
      <c r="G1292" s="70"/>
      <c r="H1292" s="71"/>
      <c r="I1292" s="71"/>
      <c r="J1292" s="22"/>
      <c r="K1292" s="22"/>
      <c r="L1292" s="22"/>
      <c r="M1292" s="22"/>
      <c r="N1292" s="22"/>
      <c r="O1292" s="73"/>
      <c r="P1292" s="8"/>
      <c r="Q1292" s="69"/>
      <c r="R1292" s="69"/>
      <c r="S1292" s="8"/>
      <c r="T1292" s="69"/>
      <c r="U1292" s="8"/>
      <c r="V1292" s="69"/>
      <c r="W1292" s="74"/>
      <c r="X1292" s="69"/>
    </row>
    <row r="1293">
      <c r="A1293" s="30"/>
      <c r="C1293" s="64"/>
      <c r="D1293" s="85"/>
      <c r="F1293" s="69"/>
      <c r="G1293" s="70"/>
      <c r="H1293" s="71"/>
      <c r="I1293" s="71"/>
      <c r="J1293" s="22"/>
      <c r="K1293" s="22"/>
      <c r="L1293" s="22"/>
      <c r="M1293" s="22"/>
      <c r="N1293" s="22"/>
      <c r="O1293" s="73"/>
      <c r="P1293" s="8"/>
      <c r="Q1293" s="69"/>
      <c r="R1293" s="69"/>
      <c r="S1293" s="8"/>
      <c r="T1293" s="69"/>
      <c r="U1293" s="8"/>
      <c r="V1293" s="69"/>
      <c r="W1293" s="74"/>
      <c r="X1293" s="69"/>
    </row>
    <row r="1294">
      <c r="A1294" s="30"/>
      <c r="C1294" s="64"/>
      <c r="D1294" s="85"/>
      <c r="F1294" s="69"/>
      <c r="G1294" s="70"/>
      <c r="H1294" s="71"/>
      <c r="I1294" s="71"/>
      <c r="J1294" s="22"/>
      <c r="K1294" s="22"/>
      <c r="L1294" s="22"/>
      <c r="M1294" s="22"/>
      <c r="N1294" s="22"/>
      <c r="O1294" s="73"/>
      <c r="P1294" s="8"/>
      <c r="Q1294" s="69"/>
      <c r="R1294" s="69"/>
      <c r="S1294" s="8"/>
      <c r="T1294" s="69"/>
      <c r="U1294" s="8"/>
      <c r="V1294" s="69"/>
      <c r="W1294" s="74"/>
      <c r="X1294" s="69"/>
    </row>
    <row r="1295">
      <c r="A1295" s="30"/>
      <c r="C1295" s="64"/>
      <c r="D1295" s="85"/>
      <c r="F1295" s="69"/>
      <c r="G1295" s="70"/>
      <c r="H1295" s="71"/>
      <c r="I1295" s="71"/>
      <c r="J1295" s="22"/>
      <c r="K1295" s="22"/>
      <c r="L1295" s="22"/>
      <c r="M1295" s="22"/>
      <c r="N1295" s="22"/>
      <c r="O1295" s="73"/>
      <c r="P1295" s="8"/>
      <c r="Q1295" s="69"/>
      <c r="R1295" s="69"/>
      <c r="S1295" s="8"/>
      <c r="T1295" s="69"/>
      <c r="U1295" s="8"/>
      <c r="V1295" s="69"/>
      <c r="W1295" s="74"/>
      <c r="X1295" s="69"/>
    </row>
    <row r="1296">
      <c r="A1296" s="30"/>
      <c r="C1296" s="64"/>
      <c r="D1296" s="85"/>
      <c r="F1296" s="69"/>
      <c r="G1296" s="70"/>
      <c r="H1296" s="71"/>
      <c r="I1296" s="71"/>
      <c r="J1296" s="22"/>
      <c r="K1296" s="22"/>
      <c r="L1296" s="22"/>
      <c r="M1296" s="22"/>
      <c r="N1296" s="22"/>
      <c r="O1296" s="73"/>
      <c r="P1296" s="8"/>
      <c r="Q1296" s="69"/>
      <c r="R1296" s="69"/>
      <c r="S1296" s="8"/>
      <c r="T1296" s="69"/>
      <c r="U1296" s="8"/>
      <c r="V1296" s="69"/>
      <c r="W1296" s="74"/>
      <c r="X1296" s="69"/>
    </row>
    <row r="1297">
      <c r="A1297" s="30"/>
      <c r="C1297" s="64"/>
      <c r="D1297" s="85"/>
      <c r="F1297" s="69"/>
      <c r="G1297" s="70"/>
      <c r="H1297" s="71"/>
      <c r="I1297" s="71"/>
      <c r="J1297" s="22"/>
      <c r="K1297" s="22"/>
      <c r="L1297" s="22"/>
      <c r="M1297" s="22"/>
      <c r="N1297" s="22"/>
      <c r="O1297" s="73"/>
      <c r="P1297" s="8"/>
      <c r="Q1297" s="69"/>
      <c r="R1297" s="69"/>
      <c r="S1297" s="8"/>
      <c r="T1297" s="69"/>
      <c r="U1297" s="8"/>
      <c r="V1297" s="69"/>
      <c r="W1297" s="74"/>
      <c r="X1297" s="69"/>
    </row>
    <row r="1298">
      <c r="A1298" s="30"/>
      <c r="C1298" s="64"/>
      <c r="D1298" s="85"/>
      <c r="F1298" s="69"/>
      <c r="G1298" s="70"/>
      <c r="H1298" s="71"/>
      <c r="I1298" s="71"/>
      <c r="J1298" s="22"/>
      <c r="K1298" s="22"/>
      <c r="L1298" s="22"/>
      <c r="M1298" s="22"/>
      <c r="N1298" s="22"/>
      <c r="O1298" s="73"/>
      <c r="P1298" s="8"/>
      <c r="Q1298" s="69"/>
      <c r="R1298" s="69"/>
      <c r="S1298" s="8"/>
      <c r="T1298" s="69"/>
      <c r="U1298" s="8"/>
      <c r="V1298" s="69"/>
      <c r="W1298" s="74"/>
      <c r="X1298" s="69"/>
    </row>
    <row r="1299">
      <c r="A1299" s="30"/>
      <c r="C1299" s="64"/>
      <c r="D1299" s="85"/>
      <c r="F1299" s="69"/>
      <c r="G1299" s="70"/>
      <c r="H1299" s="71"/>
      <c r="I1299" s="71"/>
      <c r="J1299" s="22"/>
      <c r="K1299" s="22"/>
      <c r="L1299" s="22"/>
      <c r="M1299" s="22"/>
      <c r="N1299" s="22"/>
      <c r="O1299" s="73"/>
      <c r="P1299" s="8"/>
      <c r="Q1299" s="69"/>
      <c r="R1299" s="69"/>
      <c r="S1299" s="8"/>
      <c r="T1299" s="69"/>
      <c r="U1299" s="8"/>
      <c r="V1299" s="69"/>
      <c r="W1299" s="74"/>
      <c r="X1299" s="69"/>
    </row>
    <row r="1300">
      <c r="A1300" s="30"/>
      <c r="C1300" s="64"/>
      <c r="D1300" s="85"/>
      <c r="F1300" s="69"/>
      <c r="G1300" s="70"/>
      <c r="H1300" s="71"/>
      <c r="I1300" s="71"/>
      <c r="J1300" s="22"/>
      <c r="K1300" s="22"/>
      <c r="L1300" s="22"/>
      <c r="M1300" s="22"/>
      <c r="N1300" s="22"/>
      <c r="O1300" s="73"/>
      <c r="P1300" s="8"/>
      <c r="Q1300" s="69"/>
      <c r="R1300" s="69"/>
      <c r="S1300" s="8"/>
      <c r="T1300" s="69"/>
      <c r="U1300" s="8"/>
      <c r="V1300" s="69"/>
      <c r="W1300" s="74"/>
      <c r="X1300" s="69"/>
    </row>
    <row r="1301">
      <c r="A1301" s="30"/>
      <c r="C1301" s="64"/>
      <c r="D1301" s="85"/>
      <c r="F1301" s="69"/>
      <c r="G1301" s="70"/>
      <c r="H1301" s="71"/>
      <c r="I1301" s="71"/>
      <c r="J1301" s="22"/>
      <c r="K1301" s="22"/>
      <c r="L1301" s="22"/>
      <c r="M1301" s="22"/>
      <c r="N1301" s="22"/>
      <c r="O1301" s="73"/>
      <c r="P1301" s="8"/>
      <c r="Q1301" s="69"/>
      <c r="R1301" s="69"/>
      <c r="S1301" s="8"/>
      <c r="T1301" s="69"/>
      <c r="U1301" s="8"/>
      <c r="V1301" s="69"/>
      <c r="W1301" s="74"/>
      <c r="X1301" s="69"/>
    </row>
    <row r="1302">
      <c r="A1302" s="30"/>
      <c r="C1302" s="64"/>
      <c r="D1302" s="85"/>
      <c r="F1302" s="69"/>
      <c r="G1302" s="70"/>
      <c r="H1302" s="71"/>
      <c r="I1302" s="71"/>
      <c r="J1302" s="22"/>
      <c r="K1302" s="22"/>
      <c r="L1302" s="22"/>
      <c r="M1302" s="22"/>
      <c r="N1302" s="22"/>
      <c r="O1302" s="73"/>
      <c r="P1302" s="8"/>
      <c r="Q1302" s="69"/>
      <c r="R1302" s="69"/>
      <c r="S1302" s="8"/>
      <c r="T1302" s="69"/>
      <c r="U1302" s="8"/>
      <c r="V1302" s="69"/>
      <c r="W1302" s="74"/>
      <c r="X1302" s="69"/>
    </row>
    <row r="1303">
      <c r="A1303" s="30"/>
      <c r="C1303" s="64"/>
      <c r="D1303" s="85"/>
      <c r="F1303" s="69"/>
      <c r="G1303" s="70"/>
      <c r="H1303" s="71"/>
      <c r="I1303" s="71"/>
      <c r="J1303" s="22"/>
      <c r="K1303" s="22"/>
      <c r="L1303" s="22"/>
      <c r="M1303" s="22"/>
      <c r="N1303" s="22"/>
      <c r="O1303" s="73"/>
      <c r="P1303" s="8"/>
      <c r="Q1303" s="69"/>
      <c r="R1303" s="69"/>
      <c r="S1303" s="8"/>
      <c r="T1303" s="69"/>
      <c r="U1303" s="8"/>
      <c r="V1303" s="69"/>
      <c r="W1303" s="74"/>
      <c r="X1303" s="69"/>
    </row>
    <row r="1304">
      <c r="A1304" s="30"/>
      <c r="C1304" s="64"/>
      <c r="D1304" s="85"/>
      <c r="F1304" s="69"/>
      <c r="G1304" s="70"/>
      <c r="H1304" s="71"/>
      <c r="I1304" s="71"/>
      <c r="J1304" s="22"/>
      <c r="K1304" s="22"/>
      <c r="L1304" s="22"/>
      <c r="M1304" s="22"/>
      <c r="N1304" s="22"/>
      <c r="O1304" s="73"/>
      <c r="P1304" s="8"/>
      <c r="Q1304" s="69"/>
      <c r="R1304" s="69"/>
      <c r="S1304" s="8"/>
      <c r="T1304" s="69"/>
      <c r="U1304" s="8"/>
      <c r="V1304" s="69"/>
      <c r="W1304" s="74"/>
      <c r="X1304" s="69"/>
    </row>
    <row r="1305">
      <c r="A1305" s="30"/>
      <c r="C1305" s="64"/>
      <c r="D1305" s="85"/>
      <c r="F1305" s="69"/>
      <c r="G1305" s="70"/>
      <c r="H1305" s="71"/>
      <c r="I1305" s="71"/>
      <c r="J1305" s="22"/>
      <c r="K1305" s="22"/>
      <c r="L1305" s="22"/>
      <c r="M1305" s="22"/>
      <c r="N1305" s="22"/>
      <c r="O1305" s="73"/>
      <c r="P1305" s="8"/>
      <c r="Q1305" s="69"/>
      <c r="R1305" s="69"/>
      <c r="S1305" s="8"/>
      <c r="T1305" s="69"/>
      <c r="U1305" s="8"/>
      <c r="V1305" s="69"/>
      <c r="W1305" s="74"/>
      <c r="X1305" s="69"/>
    </row>
    <row r="1306">
      <c r="A1306" s="30"/>
      <c r="C1306" s="64"/>
      <c r="D1306" s="85"/>
      <c r="F1306" s="69"/>
      <c r="G1306" s="70"/>
      <c r="H1306" s="71"/>
      <c r="I1306" s="71"/>
      <c r="J1306" s="22"/>
      <c r="K1306" s="22"/>
      <c r="L1306" s="22"/>
      <c r="M1306" s="22"/>
      <c r="N1306" s="22"/>
      <c r="O1306" s="73"/>
      <c r="P1306" s="8"/>
      <c r="Q1306" s="69"/>
      <c r="R1306" s="69"/>
      <c r="S1306" s="8"/>
      <c r="T1306" s="69"/>
      <c r="U1306" s="8"/>
      <c r="V1306" s="69"/>
      <c r="W1306" s="74"/>
      <c r="X1306" s="69"/>
    </row>
    <row r="1307">
      <c r="A1307" s="30"/>
      <c r="C1307" s="64"/>
      <c r="D1307" s="85"/>
      <c r="F1307" s="69"/>
      <c r="G1307" s="70"/>
      <c r="H1307" s="71"/>
      <c r="I1307" s="71"/>
      <c r="J1307" s="22"/>
      <c r="K1307" s="22"/>
      <c r="L1307" s="22"/>
      <c r="M1307" s="22"/>
      <c r="N1307" s="22"/>
      <c r="O1307" s="73"/>
      <c r="P1307" s="8"/>
      <c r="Q1307" s="69"/>
      <c r="R1307" s="69"/>
      <c r="S1307" s="8"/>
      <c r="T1307" s="69"/>
      <c r="U1307" s="8"/>
      <c r="V1307" s="69"/>
      <c r="W1307" s="74"/>
      <c r="X1307" s="69"/>
    </row>
    <row r="1308">
      <c r="A1308" s="30"/>
      <c r="C1308" s="64"/>
      <c r="D1308" s="85"/>
      <c r="F1308" s="69"/>
      <c r="G1308" s="70"/>
      <c r="H1308" s="71"/>
      <c r="I1308" s="71"/>
      <c r="J1308" s="22"/>
      <c r="K1308" s="22"/>
      <c r="L1308" s="22"/>
      <c r="M1308" s="22"/>
      <c r="N1308" s="22"/>
      <c r="O1308" s="73"/>
      <c r="P1308" s="8"/>
      <c r="Q1308" s="69"/>
      <c r="R1308" s="69"/>
      <c r="S1308" s="8"/>
      <c r="T1308" s="69"/>
      <c r="U1308" s="8"/>
      <c r="V1308" s="69"/>
      <c r="W1308" s="74"/>
      <c r="X1308" s="69"/>
    </row>
    <row r="1309">
      <c r="A1309" s="30"/>
      <c r="C1309" s="64"/>
      <c r="D1309" s="85"/>
      <c r="F1309" s="69"/>
      <c r="G1309" s="70"/>
      <c r="H1309" s="71"/>
      <c r="I1309" s="71"/>
      <c r="J1309" s="22"/>
      <c r="K1309" s="22"/>
      <c r="L1309" s="22"/>
      <c r="M1309" s="22"/>
      <c r="N1309" s="22"/>
      <c r="O1309" s="73"/>
      <c r="P1309" s="8"/>
      <c r="Q1309" s="69"/>
      <c r="R1309" s="69"/>
      <c r="S1309" s="8"/>
      <c r="T1309" s="69"/>
      <c r="U1309" s="8"/>
      <c r="V1309" s="69"/>
      <c r="W1309" s="74"/>
      <c r="X1309" s="69"/>
    </row>
    <row r="1310">
      <c r="A1310" s="30"/>
      <c r="C1310" s="64"/>
      <c r="D1310" s="85"/>
      <c r="F1310" s="69"/>
      <c r="G1310" s="70"/>
      <c r="H1310" s="71"/>
      <c r="I1310" s="71"/>
      <c r="J1310" s="22"/>
      <c r="K1310" s="22"/>
      <c r="L1310" s="22"/>
      <c r="M1310" s="22"/>
      <c r="N1310" s="22"/>
      <c r="O1310" s="73"/>
      <c r="P1310" s="8"/>
      <c r="Q1310" s="69"/>
      <c r="R1310" s="69"/>
      <c r="S1310" s="8"/>
      <c r="T1310" s="69"/>
      <c r="U1310" s="8"/>
      <c r="V1310" s="69"/>
      <c r="W1310" s="74"/>
      <c r="X1310" s="69"/>
    </row>
    <row r="1311">
      <c r="A1311" s="30"/>
      <c r="C1311" s="64"/>
      <c r="D1311" s="85"/>
      <c r="F1311" s="69"/>
      <c r="G1311" s="70"/>
      <c r="H1311" s="71"/>
      <c r="I1311" s="71"/>
      <c r="J1311" s="22"/>
      <c r="K1311" s="22"/>
      <c r="L1311" s="22"/>
      <c r="M1311" s="22"/>
      <c r="N1311" s="22"/>
      <c r="O1311" s="73"/>
      <c r="P1311" s="8"/>
      <c r="Q1311" s="69"/>
      <c r="R1311" s="69"/>
      <c r="S1311" s="8"/>
      <c r="T1311" s="69"/>
      <c r="U1311" s="8"/>
      <c r="V1311" s="69"/>
      <c r="W1311" s="74"/>
      <c r="X1311" s="69"/>
    </row>
    <row r="1312">
      <c r="A1312" s="30"/>
      <c r="C1312" s="64"/>
      <c r="D1312" s="85"/>
      <c r="F1312" s="69"/>
      <c r="G1312" s="70"/>
      <c r="H1312" s="71"/>
      <c r="I1312" s="71"/>
      <c r="J1312" s="22"/>
      <c r="K1312" s="22"/>
      <c r="L1312" s="22"/>
      <c r="M1312" s="22"/>
      <c r="N1312" s="22"/>
      <c r="O1312" s="73"/>
      <c r="P1312" s="8"/>
      <c r="Q1312" s="69"/>
      <c r="R1312" s="69"/>
      <c r="S1312" s="8"/>
      <c r="T1312" s="69"/>
      <c r="U1312" s="8"/>
      <c r="V1312" s="69"/>
      <c r="W1312" s="74"/>
      <c r="X1312" s="69"/>
    </row>
    <row r="1313">
      <c r="A1313" s="30"/>
      <c r="C1313" s="64"/>
      <c r="D1313" s="85"/>
      <c r="F1313" s="69"/>
      <c r="G1313" s="70"/>
      <c r="H1313" s="71"/>
      <c r="I1313" s="71"/>
      <c r="J1313" s="22"/>
      <c r="K1313" s="22"/>
      <c r="L1313" s="22"/>
      <c r="M1313" s="22"/>
      <c r="N1313" s="22"/>
      <c r="O1313" s="73"/>
      <c r="P1313" s="8"/>
      <c r="Q1313" s="69"/>
      <c r="R1313" s="69"/>
      <c r="S1313" s="8"/>
      <c r="T1313" s="69"/>
      <c r="U1313" s="8"/>
      <c r="V1313" s="69"/>
      <c r="W1313" s="74"/>
      <c r="X1313" s="69"/>
    </row>
    <row r="1314">
      <c r="A1314" s="30"/>
      <c r="C1314" s="64"/>
      <c r="D1314" s="85"/>
      <c r="F1314" s="69"/>
      <c r="G1314" s="70"/>
      <c r="H1314" s="71"/>
      <c r="I1314" s="71"/>
      <c r="J1314" s="22"/>
      <c r="K1314" s="22"/>
      <c r="L1314" s="22"/>
      <c r="M1314" s="22"/>
      <c r="N1314" s="22"/>
      <c r="O1314" s="73"/>
      <c r="P1314" s="8"/>
      <c r="Q1314" s="69"/>
      <c r="R1314" s="69"/>
      <c r="S1314" s="8"/>
      <c r="T1314" s="69"/>
      <c r="U1314" s="8"/>
      <c r="V1314" s="69"/>
      <c r="W1314" s="74"/>
      <c r="X1314" s="69"/>
    </row>
    <row r="1315">
      <c r="A1315" s="30"/>
      <c r="C1315" s="64"/>
      <c r="D1315" s="85"/>
      <c r="F1315" s="69"/>
      <c r="G1315" s="70"/>
      <c r="H1315" s="71"/>
      <c r="I1315" s="71"/>
      <c r="J1315" s="22"/>
      <c r="K1315" s="22"/>
      <c r="L1315" s="22"/>
      <c r="M1315" s="22"/>
      <c r="N1315" s="22"/>
      <c r="O1315" s="73"/>
      <c r="P1315" s="8"/>
      <c r="Q1315" s="69"/>
      <c r="R1315" s="69"/>
      <c r="S1315" s="8"/>
      <c r="T1315" s="69"/>
      <c r="U1315" s="8"/>
      <c r="V1315" s="69"/>
      <c r="W1315" s="74"/>
      <c r="X1315" s="69"/>
    </row>
    <row r="1316">
      <c r="A1316" s="30"/>
      <c r="C1316" s="64"/>
      <c r="D1316" s="85"/>
      <c r="F1316" s="69"/>
      <c r="G1316" s="70"/>
      <c r="H1316" s="71"/>
      <c r="I1316" s="71"/>
      <c r="J1316" s="22"/>
      <c r="K1316" s="22"/>
      <c r="L1316" s="22"/>
      <c r="M1316" s="22"/>
      <c r="N1316" s="22"/>
      <c r="O1316" s="73"/>
      <c r="P1316" s="8"/>
      <c r="Q1316" s="69"/>
      <c r="R1316" s="69"/>
      <c r="S1316" s="8"/>
      <c r="T1316" s="69"/>
      <c r="U1316" s="8"/>
      <c r="V1316" s="69"/>
      <c r="W1316" s="74"/>
      <c r="X1316" s="69"/>
    </row>
    <row r="1317">
      <c r="A1317" s="30"/>
      <c r="C1317" s="64"/>
      <c r="D1317" s="85"/>
      <c r="F1317" s="69"/>
      <c r="G1317" s="70"/>
      <c r="H1317" s="71"/>
      <c r="I1317" s="71"/>
      <c r="J1317" s="22"/>
      <c r="K1317" s="22"/>
      <c r="L1317" s="22"/>
      <c r="M1317" s="22"/>
      <c r="N1317" s="22"/>
      <c r="O1317" s="73"/>
      <c r="P1317" s="8"/>
      <c r="Q1317" s="69"/>
      <c r="R1317" s="69"/>
      <c r="S1317" s="8"/>
      <c r="T1317" s="69"/>
      <c r="U1317" s="8"/>
      <c r="V1317" s="69"/>
      <c r="W1317" s="74"/>
      <c r="X1317" s="69"/>
    </row>
    <row r="1318">
      <c r="A1318" s="30"/>
      <c r="C1318" s="64"/>
      <c r="D1318" s="85"/>
      <c r="F1318" s="69"/>
      <c r="G1318" s="70"/>
      <c r="H1318" s="71"/>
      <c r="I1318" s="71"/>
      <c r="J1318" s="22"/>
      <c r="K1318" s="22"/>
      <c r="L1318" s="22"/>
      <c r="M1318" s="22"/>
      <c r="N1318" s="22"/>
      <c r="O1318" s="73"/>
      <c r="P1318" s="8"/>
      <c r="Q1318" s="69"/>
      <c r="R1318" s="69"/>
      <c r="S1318" s="8"/>
      <c r="T1318" s="69"/>
      <c r="U1318" s="8"/>
      <c r="V1318" s="69"/>
      <c r="W1318" s="74"/>
      <c r="X1318" s="69"/>
    </row>
    <row r="1319">
      <c r="A1319" s="30"/>
      <c r="C1319" s="64"/>
      <c r="D1319" s="85"/>
      <c r="F1319" s="69"/>
      <c r="G1319" s="70"/>
      <c r="H1319" s="71"/>
      <c r="I1319" s="71"/>
      <c r="J1319" s="22"/>
      <c r="K1319" s="22"/>
      <c r="L1319" s="22"/>
      <c r="M1319" s="22"/>
      <c r="N1319" s="22"/>
      <c r="O1319" s="73"/>
      <c r="P1319" s="8"/>
      <c r="Q1319" s="69"/>
      <c r="R1319" s="69"/>
      <c r="S1319" s="8"/>
      <c r="T1319" s="69"/>
      <c r="U1319" s="8"/>
      <c r="V1319" s="69"/>
      <c r="W1319" s="74"/>
      <c r="X1319" s="69"/>
    </row>
    <row r="1320">
      <c r="A1320" s="30"/>
      <c r="C1320" s="64"/>
      <c r="D1320" s="85"/>
      <c r="F1320" s="69"/>
      <c r="G1320" s="70"/>
      <c r="H1320" s="71"/>
      <c r="I1320" s="71"/>
      <c r="J1320" s="22"/>
      <c r="K1320" s="22"/>
      <c r="L1320" s="22"/>
      <c r="M1320" s="22"/>
      <c r="N1320" s="22"/>
      <c r="O1320" s="73"/>
      <c r="P1320" s="8"/>
      <c r="Q1320" s="69"/>
      <c r="R1320" s="69"/>
      <c r="S1320" s="8"/>
      <c r="T1320" s="69"/>
      <c r="U1320" s="8"/>
      <c r="V1320" s="69"/>
      <c r="W1320" s="74"/>
      <c r="X1320" s="69"/>
    </row>
    <row r="1321">
      <c r="A1321" s="30"/>
      <c r="C1321" s="64"/>
      <c r="D1321" s="85"/>
      <c r="F1321" s="69"/>
      <c r="G1321" s="70"/>
      <c r="H1321" s="71"/>
      <c r="I1321" s="71"/>
      <c r="J1321" s="22"/>
      <c r="K1321" s="22"/>
      <c r="L1321" s="22"/>
      <c r="M1321" s="22"/>
      <c r="N1321" s="22"/>
      <c r="O1321" s="73"/>
      <c r="P1321" s="8"/>
      <c r="Q1321" s="69"/>
      <c r="R1321" s="69"/>
      <c r="S1321" s="8"/>
      <c r="T1321" s="69"/>
      <c r="U1321" s="8"/>
      <c r="V1321" s="69"/>
      <c r="W1321" s="74"/>
      <c r="X1321" s="69"/>
    </row>
    <row r="1322">
      <c r="A1322" s="30"/>
      <c r="C1322" s="64"/>
      <c r="D1322" s="85"/>
      <c r="F1322" s="69"/>
      <c r="G1322" s="70"/>
      <c r="H1322" s="71"/>
      <c r="I1322" s="71"/>
      <c r="J1322" s="22"/>
      <c r="K1322" s="22"/>
      <c r="L1322" s="22"/>
      <c r="M1322" s="22"/>
      <c r="N1322" s="22"/>
      <c r="O1322" s="73"/>
      <c r="P1322" s="8"/>
      <c r="Q1322" s="69"/>
      <c r="R1322" s="69"/>
      <c r="S1322" s="8"/>
      <c r="T1322" s="69"/>
      <c r="U1322" s="8"/>
      <c r="V1322" s="69"/>
      <c r="W1322" s="74"/>
      <c r="X1322" s="69"/>
    </row>
    <row r="1323">
      <c r="A1323" s="30"/>
      <c r="C1323" s="64"/>
      <c r="D1323" s="85"/>
      <c r="F1323" s="69"/>
      <c r="G1323" s="70"/>
      <c r="H1323" s="71"/>
      <c r="I1323" s="71"/>
      <c r="J1323" s="22"/>
      <c r="K1323" s="22"/>
      <c r="L1323" s="22"/>
      <c r="M1323" s="22"/>
      <c r="N1323" s="22"/>
      <c r="O1323" s="73"/>
      <c r="P1323" s="8"/>
      <c r="Q1323" s="69"/>
      <c r="R1323" s="69"/>
      <c r="S1323" s="8"/>
      <c r="T1323" s="69"/>
      <c r="U1323" s="8"/>
      <c r="V1323" s="69"/>
      <c r="W1323" s="74"/>
      <c r="X1323" s="69"/>
    </row>
    <row r="1324">
      <c r="A1324" s="30"/>
      <c r="C1324" s="64"/>
      <c r="D1324" s="85"/>
      <c r="F1324" s="69"/>
      <c r="G1324" s="70"/>
      <c r="H1324" s="71"/>
      <c r="I1324" s="71"/>
      <c r="J1324" s="22"/>
      <c r="K1324" s="22"/>
      <c r="L1324" s="22"/>
      <c r="M1324" s="22"/>
      <c r="N1324" s="22"/>
      <c r="O1324" s="73"/>
      <c r="P1324" s="8"/>
      <c r="Q1324" s="69"/>
      <c r="R1324" s="69"/>
      <c r="S1324" s="8"/>
      <c r="T1324" s="69"/>
      <c r="U1324" s="8"/>
      <c r="V1324" s="69"/>
      <c r="W1324" s="74"/>
      <c r="X1324" s="69"/>
    </row>
    <row r="1325">
      <c r="A1325" s="30"/>
      <c r="C1325" s="64"/>
      <c r="D1325" s="85"/>
      <c r="F1325" s="69"/>
      <c r="G1325" s="70"/>
      <c r="H1325" s="71"/>
      <c r="I1325" s="71"/>
      <c r="J1325" s="22"/>
      <c r="K1325" s="22"/>
      <c r="L1325" s="22"/>
      <c r="M1325" s="22"/>
      <c r="N1325" s="22"/>
      <c r="O1325" s="73"/>
      <c r="P1325" s="8"/>
      <c r="Q1325" s="69"/>
      <c r="R1325" s="69"/>
      <c r="S1325" s="8"/>
      <c r="T1325" s="69"/>
      <c r="U1325" s="8"/>
      <c r="V1325" s="69"/>
      <c r="W1325" s="74"/>
      <c r="X1325" s="69"/>
    </row>
    <row r="1326">
      <c r="A1326" s="30"/>
      <c r="C1326" s="64"/>
      <c r="D1326" s="85"/>
      <c r="F1326" s="69"/>
      <c r="G1326" s="70"/>
      <c r="H1326" s="71"/>
      <c r="I1326" s="71"/>
      <c r="J1326" s="22"/>
      <c r="K1326" s="22"/>
      <c r="L1326" s="22"/>
      <c r="M1326" s="22"/>
      <c r="N1326" s="22"/>
      <c r="O1326" s="73"/>
      <c r="P1326" s="8"/>
      <c r="Q1326" s="69"/>
      <c r="R1326" s="69"/>
      <c r="S1326" s="8"/>
      <c r="T1326" s="69"/>
      <c r="U1326" s="8"/>
      <c r="V1326" s="69"/>
      <c r="W1326" s="74"/>
      <c r="X1326" s="69"/>
    </row>
    <row r="1327">
      <c r="A1327" s="30"/>
      <c r="C1327" s="64"/>
      <c r="D1327" s="85"/>
      <c r="F1327" s="69"/>
      <c r="G1327" s="70"/>
      <c r="H1327" s="71"/>
      <c r="I1327" s="71"/>
      <c r="J1327" s="22"/>
      <c r="K1327" s="22"/>
      <c r="L1327" s="22"/>
      <c r="M1327" s="22"/>
      <c r="N1327" s="22"/>
      <c r="O1327" s="73"/>
      <c r="P1327" s="8"/>
      <c r="Q1327" s="69"/>
      <c r="R1327" s="69"/>
      <c r="S1327" s="8"/>
      <c r="T1327" s="69"/>
      <c r="U1327" s="8"/>
      <c r="V1327" s="69"/>
      <c r="W1327" s="74"/>
      <c r="X1327" s="69"/>
    </row>
    <row r="1328">
      <c r="A1328" s="30"/>
      <c r="C1328" s="64"/>
      <c r="D1328" s="85"/>
      <c r="F1328" s="69"/>
      <c r="G1328" s="70"/>
      <c r="H1328" s="71"/>
      <c r="I1328" s="71"/>
      <c r="J1328" s="22"/>
      <c r="K1328" s="22"/>
      <c r="L1328" s="22"/>
      <c r="M1328" s="22"/>
      <c r="N1328" s="22"/>
      <c r="O1328" s="73"/>
      <c r="P1328" s="8"/>
      <c r="Q1328" s="69"/>
      <c r="R1328" s="69"/>
      <c r="S1328" s="8"/>
      <c r="T1328" s="69"/>
      <c r="U1328" s="8"/>
      <c r="V1328" s="69"/>
      <c r="W1328" s="74"/>
      <c r="X1328" s="69"/>
    </row>
    <row r="1329">
      <c r="A1329" s="30"/>
      <c r="C1329" s="64"/>
      <c r="D1329" s="85"/>
      <c r="F1329" s="69"/>
      <c r="G1329" s="70"/>
      <c r="H1329" s="71"/>
      <c r="I1329" s="71"/>
      <c r="J1329" s="22"/>
      <c r="K1329" s="22"/>
      <c r="L1329" s="22"/>
      <c r="M1329" s="22"/>
      <c r="N1329" s="22"/>
      <c r="O1329" s="73"/>
      <c r="P1329" s="8"/>
      <c r="Q1329" s="69"/>
      <c r="R1329" s="69"/>
      <c r="S1329" s="8"/>
      <c r="T1329" s="69"/>
      <c r="U1329" s="8"/>
      <c r="V1329" s="69"/>
      <c r="W1329" s="74"/>
      <c r="X1329" s="69"/>
    </row>
    <row r="1330">
      <c r="A1330" s="30"/>
      <c r="C1330" s="64"/>
      <c r="D1330" s="85"/>
      <c r="F1330" s="69"/>
      <c r="G1330" s="70"/>
      <c r="H1330" s="71"/>
      <c r="I1330" s="71"/>
      <c r="J1330" s="22"/>
      <c r="K1330" s="22"/>
      <c r="L1330" s="22"/>
      <c r="M1330" s="22"/>
      <c r="N1330" s="22"/>
      <c r="O1330" s="73"/>
      <c r="P1330" s="8"/>
      <c r="Q1330" s="69"/>
      <c r="R1330" s="69"/>
      <c r="S1330" s="8"/>
      <c r="T1330" s="69"/>
      <c r="U1330" s="8"/>
      <c r="V1330" s="69"/>
      <c r="W1330" s="74"/>
      <c r="X1330" s="69"/>
    </row>
    <row r="1331">
      <c r="A1331" s="30"/>
      <c r="C1331" s="64"/>
      <c r="D1331" s="85"/>
      <c r="F1331" s="69"/>
      <c r="G1331" s="70"/>
      <c r="H1331" s="71"/>
      <c r="I1331" s="71"/>
      <c r="J1331" s="22"/>
      <c r="K1331" s="22"/>
      <c r="L1331" s="22"/>
      <c r="M1331" s="22"/>
      <c r="N1331" s="22"/>
      <c r="O1331" s="73"/>
      <c r="P1331" s="8"/>
      <c r="Q1331" s="69"/>
      <c r="R1331" s="69"/>
      <c r="S1331" s="8"/>
      <c r="T1331" s="69"/>
      <c r="U1331" s="8"/>
      <c r="V1331" s="69"/>
      <c r="W1331" s="74"/>
      <c r="X1331" s="69"/>
    </row>
    <row r="1332">
      <c r="A1332" s="30"/>
      <c r="C1332" s="64"/>
      <c r="D1332" s="85"/>
      <c r="F1332" s="69"/>
      <c r="G1332" s="70"/>
      <c r="H1332" s="71"/>
      <c r="I1332" s="71"/>
      <c r="J1332" s="22"/>
      <c r="K1332" s="22"/>
      <c r="L1332" s="22"/>
      <c r="M1332" s="22"/>
      <c r="N1332" s="22"/>
      <c r="O1332" s="73"/>
      <c r="P1332" s="8"/>
      <c r="Q1332" s="69"/>
      <c r="R1332" s="69"/>
      <c r="S1332" s="8"/>
      <c r="T1332" s="69"/>
      <c r="U1332" s="8"/>
      <c r="V1332" s="69"/>
      <c r="W1332" s="74"/>
      <c r="X1332" s="69"/>
    </row>
    <row r="1333">
      <c r="A1333" s="30"/>
      <c r="C1333" s="64"/>
      <c r="D1333" s="85"/>
      <c r="F1333" s="69"/>
      <c r="G1333" s="70"/>
      <c r="H1333" s="71"/>
      <c r="I1333" s="71"/>
      <c r="J1333" s="22"/>
      <c r="K1333" s="22"/>
      <c r="L1333" s="22"/>
      <c r="M1333" s="22"/>
      <c r="N1333" s="22"/>
      <c r="O1333" s="73"/>
      <c r="P1333" s="8"/>
      <c r="Q1333" s="69"/>
      <c r="R1333" s="69"/>
      <c r="S1333" s="8"/>
      <c r="T1333" s="69"/>
      <c r="U1333" s="8"/>
      <c r="V1333" s="69"/>
      <c r="W1333" s="74"/>
      <c r="X1333" s="69"/>
    </row>
    <row r="1334">
      <c r="A1334" s="30"/>
      <c r="C1334" s="64"/>
      <c r="D1334" s="85"/>
      <c r="F1334" s="69"/>
      <c r="G1334" s="70"/>
      <c r="H1334" s="71"/>
      <c r="I1334" s="71"/>
      <c r="J1334" s="22"/>
      <c r="K1334" s="22"/>
      <c r="L1334" s="22"/>
      <c r="M1334" s="22"/>
      <c r="N1334" s="22"/>
      <c r="O1334" s="73"/>
      <c r="P1334" s="8"/>
      <c r="Q1334" s="69"/>
      <c r="R1334" s="69"/>
      <c r="S1334" s="8"/>
      <c r="T1334" s="69"/>
      <c r="U1334" s="8"/>
      <c r="V1334" s="69"/>
      <c r="W1334" s="74"/>
      <c r="X1334" s="69"/>
    </row>
    <row r="1335">
      <c r="A1335" s="30"/>
      <c r="C1335" s="64"/>
      <c r="D1335" s="85"/>
      <c r="F1335" s="69"/>
      <c r="G1335" s="70"/>
      <c r="H1335" s="71"/>
      <c r="I1335" s="71"/>
      <c r="J1335" s="22"/>
      <c r="K1335" s="22"/>
      <c r="L1335" s="22"/>
      <c r="M1335" s="22"/>
      <c r="N1335" s="22"/>
      <c r="O1335" s="73"/>
      <c r="P1335" s="8"/>
      <c r="Q1335" s="69"/>
      <c r="R1335" s="69"/>
      <c r="S1335" s="8"/>
      <c r="T1335" s="69"/>
      <c r="U1335" s="8"/>
      <c r="V1335" s="69"/>
      <c r="W1335" s="74"/>
      <c r="X1335" s="69"/>
    </row>
    <row r="1336">
      <c r="A1336" s="30"/>
      <c r="C1336" s="64"/>
      <c r="D1336" s="85"/>
      <c r="F1336" s="69"/>
      <c r="G1336" s="70"/>
      <c r="H1336" s="71"/>
      <c r="I1336" s="71"/>
      <c r="J1336" s="22"/>
      <c r="K1336" s="22"/>
      <c r="L1336" s="22"/>
      <c r="M1336" s="22"/>
      <c r="N1336" s="22"/>
      <c r="O1336" s="73"/>
      <c r="P1336" s="8"/>
      <c r="Q1336" s="69"/>
      <c r="R1336" s="69"/>
      <c r="S1336" s="8"/>
      <c r="T1336" s="69"/>
      <c r="U1336" s="8"/>
      <c r="V1336" s="69"/>
      <c r="W1336" s="74"/>
      <c r="X1336" s="69"/>
    </row>
    <row r="1337">
      <c r="A1337" s="30"/>
      <c r="C1337" s="64"/>
      <c r="D1337" s="85"/>
      <c r="F1337" s="69"/>
      <c r="G1337" s="70"/>
      <c r="H1337" s="71"/>
      <c r="I1337" s="71"/>
      <c r="J1337" s="22"/>
      <c r="K1337" s="22"/>
      <c r="L1337" s="22"/>
      <c r="M1337" s="22"/>
      <c r="N1337" s="22"/>
      <c r="O1337" s="73"/>
      <c r="P1337" s="8"/>
      <c r="Q1337" s="69"/>
      <c r="R1337" s="69"/>
      <c r="S1337" s="8"/>
      <c r="T1337" s="69"/>
      <c r="U1337" s="8"/>
      <c r="V1337" s="69"/>
      <c r="W1337" s="74"/>
      <c r="X1337" s="69"/>
    </row>
    <row r="1338">
      <c r="A1338" s="30"/>
      <c r="C1338" s="64"/>
      <c r="D1338" s="85"/>
      <c r="F1338" s="69"/>
      <c r="G1338" s="70"/>
      <c r="H1338" s="71"/>
      <c r="I1338" s="71"/>
      <c r="J1338" s="22"/>
      <c r="K1338" s="22"/>
      <c r="L1338" s="22"/>
      <c r="M1338" s="22"/>
      <c r="N1338" s="22"/>
      <c r="O1338" s="73"/>
      <c r="P1338" s="8"/>
      <c r="Q1338" s="69"/>
      <c r="R1338" s="69"/>
      <c r="S1338" s="8"/>
      <c r="T1338" s="69"/>
      <c r="U1338" s="8"/>
      <c r="V1338" s="69"/>
      <c r="W1338" s="74"/>
      <c r="X1338" s="69"/>
    </row>
    <row r="1339">
      <c r="A1339" s="30"/>
      <c r="C1339" s="64"/>
      <c r="D1339" s="85"/>
      <c r="F1339" s="69"/>
      <c r="G1339" s="70"/>
      <c r="H1339" s="71"/>
      <c r="I1339" s="71"/>
      <c r="J1339" s="22"/>
      <c r="K1339" s="22"/>
      <c r="L1339" s="22"/>
      <c r="M1339" s="22"/>
      <c r="N1339" s="22"/>
      <c r="O1339" s="73"/>
      <c r="P1339" s="8"/>
      <c r="Q1339" s="69"/>
      <c r="R1339" s="69"/>
      <c r="S1339" s="8"/>
      <c r="T1339" s="69"/>
      <c r="U1339" s="8"/>
      <c r="V1339" s="69"/>
      <c r="W1339" s="74"/>
      <c r="X1339" s="69"/>
    </row>
    <row r="1340">
      <c r="A1340" s="30"/>
      <c r="C1340" s="64"/>
      <c r="D1340" s="85"/>
      <c r="F1340" s="69"/>
      <c r="G1340" s="70"/>
      <c r="H1340" s="71"/>
      <c r="I1340" s="71"/>
      <c r="J1340" s="22"/>
      <c r="K1340" s="22"/>
      <c r="L1340" s="22"/>
      <c r="M1340" s="22"/>
      <c r="N1340" s="22"/>
      <c r="O1340" s="73"/>
      <c r="P1340" s="8"/>
      <c r="Q1340" s="69"/>
      <c r="R1340" s="69"/>
      <c r="S1340" s="8"/>
      <c r="T1340" s="69"/>
      <c r="U1340" s="8"/>
      <c r="V1340" s="69"/>
      <c r="W1340" s="74"/>
      <c r="X1340" s="69"/>
    </row>
    <row r="1341">
      <c r="A1341" s="30"/>
      <c r="C1341" s="64"/>
      <c r="D1341" s="85"/>
      <c r="F1341" s="69"/>
      <c r="G1341" s="70"/>
      <c r="H1341" s="71"/>
      <c r="I1341" s="71"/>
      <c r="J1341" s="22"/>
      <c r="K1341" s="22"/>
      <c r="L1341" s="22"/>
      <c r="M1341" s="22"/>
      <c r="N1341" s="22"/>
      <c r="O1341" s="73"/>
      <c r="P1341" s="8"/>
      <c r="Q1341" s="69"/>
      <c r="R1341" s="69"/>
      <c r="S1341" s="8"/>
      <c r="T1341" s="69"/>
      <c r="U1341" s="8"/>
      <c r="V1341" s="69"/>
      <c r="W1341" s="74"/>
      <c r="X1341" s="69"/>
    </row>
    <row r="1342">
      <c r="A1342" s="30"/>
      <c r="C1342" s="64"/>
      <c r="D1342" s="85"/>
      <c r="F1342" s="69"/>
      <c r="G1342" s="70"/>
      <c r="H1342" s="71"/>
      <c r="I1342" s="71"/>
      <c r="J1342" s="22"/>
      <c r="K1342" s="22"/>
      <c r="L1342" s="22"/>
      <c r="M1342" s="22"/>
      <c r="N1342" s="22"/>
      <c r="O1342" s="73"/>
      <c r="P1342" s="8"/>
      <c r="Q1342" s="69"/>
      <c r="R1342" s="69"/>
      <c r="S1342" s="8"/>
      <c r="T1342" s="69"/>
      <c r="U1342" s="8"/>
      <c r="V1342" s="69"/>
      <c r="W1342" s="74"/>
      <c r="X1342" s="69"/>
    </row>
    <row r="1343">
      <c r="A1343" s="30"/>
      <c r="C1343" s="64"/>
      <c r="D1343" s="85"/>
      <c r="F1343" s="69"/>
      <c r="G1343" s="70"/>
      <c r="H1343" s="71"/>
      <c r="I1343" s="71"/>
      <c r="J1343" s="22"/>
      <c r="K1343" s="22"/>
      <c r="L1343" s="22"/>
      <c r="M1343" s="22"/>
      <c r="N1343" s="22"/>
      <c r="O1343" s="73"/>
      <c r="P1343" s="8"/>
      <c r="Q1343" s="69"/>
      <c r="R1343" s="69"/>
      <c r="S1343" s="8"/>
      <c r="T1343" s="69"/>
      <c r="U1343" s="8"/>
      <c r="V1343" s="69"/>
      <c r="W1343" s="74"/>
      <c r="X1343" s="69"/>
    </row>
    <row r="1344">
      <c r="A1344" s="30"/>
      <c r="C1344" s="64"/>
      <c r="D1344" s="85"/>
      <c r="F1344" s="69"/>
      <c r="G1344" s="70"/>
      <c r="H1344" s="71"/>
      <c r="I1344" s="71"/>
      <c r="J1344" s="22"/>
      <c r="K1344" s="22"/>
      <c r="L1344" s="22"/>
      <c r="M1344" s="22"/>
      <c r="N1344" s="22"/>
      <c r="O1344" s="73"/>
      <c r="P1344" s="8"/>
      <c r="Q1344" s="69"/>
      <c r="R1344" s="69"/>
      <c r="S1344" s="8"/>
      <c r="T1344" s="69"/>
      <c r="U1344" s="8"/>
      <c r="V1344" s="69"/>
      <c r="W1344" s="74"/>
      <c r="X1344" s="69"/>
    </row>
    <row r="1345">
      <c r="A1345" s="30"/>
      <c r="C1345" s="64"/>
      <c r="D1345" s="85"/>
      <c r="F1345" s="69"/>
      <c r="G1345" s="70"/>
      <c r="H1345" s="71"/>
      <c r="I1345" s="71"/>
      <c r="J1345" s="22"/>
      <c r="K1345" s="22"/>
      <c r="L1345" s="22"/>
      <c r="M1345" s="22"/>
      <c r="N1345" s="22"/>
      <c r="O1345" s="73"/>
      <c r="P1345" s="8"/>
      <c r="Q1345" s="69"/>
      <c r="R1345" s="69"/>
      <c r="S1345" s="8"/>
      <c r="T1345" s="69"/>
      <c r="U1345" s="8"/>
      <c r="V1345" s="69"/>
      <c r="W1345" s="74"/>
      <c r="X1345" s="69"/>
    </row>
    <row r="1346">
      <c r="A1346" s="30"/>
      <c r="C1346" s="64"/>
      <c r="D1346" s="85"/>
      <c r="F1346" s="69"/>
      <c r="G1346" s="70"/>
      <c r="H1346" s="71"/>
      <c r="I1346" s="71"/>
      <c r="J1346" s="22"/>
      <c r="K1346" s="22"/>
      <c r="L1346" s="22"/>
      <c r="M1346" s="22"/>
      <c r="N1346" s="22"/>
      <c r="O1346" s="73"/>
      <c r="P1346" s="8"/>
      <c r="Q1346" s="69"/>
      <c r="R1346" s="69"/>
      <c r="S1346" s="8"/>
      <c r="T1346" s="69"/>
      <c r="U1346" s="8"/>
      <c r="V1346" s="69"/>
      <c r="W1346" s="74"/>
      <c r="X1346" s="69"/>
    </row>
    <row r="1347">
      <c r="A1347" s="30"/>
      <c r="C1347" s="64"/>
      <c r="D1347" s="85"/>
      <c r="F1347" s="69"/>
      <c r="G1347" s="70"/>
      <c r="H1347" s="71"/>
      <c r="I1347" s="71"/>
      <c r="J1347" s="22"/>
      <c r="K1347" s="22"/>
      <c r="L1347" s="22"/>
      <c r="M1347" s="22"/>
      <c r="N1347" s="22"/>
      <c r="O1347" s="73"/>
      <c r="P1347" s="8"/>
      <c r="Q1347" s="69"/>
      <c r="R1347" s="69"/>
      <c r="S1347" s="8"/>
      <c r="T1347" s="69"/>
      <c r="U1347" s="8"/>
      <c r="V1347" s="69"/>
      <c r="W1347" s="74"/>
      <c r="X1347" s="69"/>
    </row>
    <row r="1348">
      <c r="A1348" s="30"/>
      <c r="C1348" s="64"/>
      <c r="D1348" s="85"/>
      <c r="F1348" s="69"/>
      <c r="G1348" s="70"/>
      <c r="H1348" s="71"/>
      <c r="I1348" s="71"/>
      <c r="J1348" s="22"/>
      <c r="K1348" s="22"/>
      <c r="L1348" s="22"/>
      <c r="M1348" s="22"/>
      <c r="N1348" s="22"/>
      <c r="O1348" s="73"/>
      <c r="P1348" s="8"/>
      <c r="Q1348" s="69"/>
      <c r="R1348" s="69"/>
      <c r="S1348" s="8"/>
      <c r="T1348" s="69"/>
      <c r="U1348" s="8"/>
      <c r="V1348" s="69"/>
      <c r="W1348" s="74"/>
      <c r="X1348" s="69"/>
    </row>
    <row r="1349">
      <c r="A1349" s="30"/>
      <c r="C1349" s="64"/>
      <c r="D1349" s="85"/>
      <c r="F1349" s="69"/>
      <c r="G1349" s="70"/>
      <c r="H1349" s="71"/>
      <c r="I1349" s="71"/>
      <c r="J1349" s="22"/>
      <c r="K1349" s="22"/>
      <c r="L1349" s="22"/>
      <c r="M1349" s="22"/>
      <c r="N1349" s="22"/>
      <c r="O1349" s="73"/>
      <c r="P1349" s="8"/>
      <c r="Q1349" s="69"/>
      <c r="R1349" s="69"/>
      <c r="S1349" s="8"/>
      <c r="T1349" s="69"/>
      <c r="U1349" s="8"/>
      <c r="V1349" s="69"/>
      <c r="W1349" s="74"/>
      <c r="X1349" s="69"/>
    </row>
    <row r="1350">
      <c r="A1350" s="30"/>
      <c r="C1350" s="64"/>
      <c r="D1350" s="85"/>
      <c r="F1350" s="69"/>
      <c r="G1350" s="70"/>
      <c r="H1350" s="71"/>
      <c r="I1350" s="71"/>
      <c r="J1350" s="22"/>
      <c r="K1350" s="22"/>
      <c r="L1350" s="22"/>
      <c r="M1350" s="22"/>
      <c r="N1350" s="22"/>
      <c r="O1350" s="73"/>
      <c r="P1350" s="8"/>
      <c r="Q1350" s="69"/>
      <c r="R1350" s="69"/>
      <c r="S1350" s="8"/>
      <c r="T1350" s="69"/>
      <c r="U1350" s="8"/>
      <c r="V1350" s="69"/>
      <c r="W1350" s="74"/>
      <c r="X1350" s="69"/>
    </row>
    <row r="1351">
      <c r="A1351" s="30"/>
      <c r="C1351" s="64"/>
      <c r="D1351" s="85"/>
      <c r="F1351" s="69"/>
      <c r="G1351" s="70"/>
      <c r="H1351" s="71"/>
      <c r="I1351" s="71"/>
      <c r="J1351" s="22"/>
      <c r="K1351" s="22"/>
      <c r="L1351" s="22"/>
      <c r="M1351" s="22"/>
      <c r="N1351" s="22"/>
      <c r="O1351" s="73"/>
      <c r="P1351" s="8"/>
      <c r="Q1351" s="69"/>
      <c r="R1351" s="69"/>
      <c r="S1351" s="8"/>
      <c r="T1351" s="69"/>
      <c r="U1351" s="8"/>
      <c r="V1351" s="69"/>
      <c r="W1351" s="74"/>
      <c r="X1351" s="69"/>
    </row>
    <row r="1352">
      <c r="A1352" s="30"/>
      <c r="C1352" s="64"/>
      <c r="D1352" s="85"/>
      <c r="F1352" s="69"/>
      <c r="G1352" s="70"/>
      <c r="H1352" s="71"/>
      <c r="I1352" s="71"/>
      <c r="J1352" s="22"/>
      <c r="K1352" s="22"/>
      <c r="L1352" s="22"/>
      <c r="M1352" s="22"/>
      <c r="N1352" s="22"/>
      <c r="O1352" s="73"/>
      <c r="P1352" s="8"/>
      <c r="Q1352" s="69"/>
      <c r="R1352" s="69"/>
      <c r="S1352" s="8"/>
      <c r="T1352" s="69"/>
      <c r="U1352" s="8"/>
      <c r="V1352" s="69"/>
      <c r="W1352" s="74"/>
      <c r="X1352" s="69"/>
    </row>
    <row r="1353">
      <c r="A1353" s="30"/>
      <c r="C1353" s="64"/>
      <c r="D1353" s="85"/>
      <c r="F1353" s="69"/>
      <c r="G1353" s="70"/>
      <c r="H1353" s="71"/>
      <c r="I1353" s="71"/>
      <c r="J1353" s="22"/>
      <c r="K1353" s="22"/>
      <c r="L1353" s="22"/>
      <c r="M1353" s="22"/>
      <c r="N1353" s="22"/>
      <c r="O1353" s="73"/>
      <c r="P1353" s="8"/>
      <c r="Q1353" s="69"/>
      <c r="R1353" s="69"/>
      <c r="S1353" s="8"/>
      <c r="T1353" s="69"/>
      <c r="U1353" s="8"/>
      <c r="V1353" s="69"/>
      <c r="W1353" s="74"/>
      <c r="X1353" s="69"/>
    </row>
    <row r="1354">
      <c r="A1354" s="30"/>
      <c r="C1354" s="64"/>
      <c r="D1354" s="85"/>
      <c r="F1354" s="69"/>
      <c r="G1354" s="70"/>
      <c r="H1354" s="71"/>
      <c r="I1354" s="71"/>
      <c r="J1354" s="22"/>
      <c r="K1354" s="22"/>
      <c r="L1354" s="22"/>
      <c r="M1354" s="22"/>
      <c r="N1354" s="22"/>
      <c r="O1354" s="73"/>
      <c r="P1354" s="8"/>
      <c r="Q1354" s="69"/>
      <c r="R1354" s="69"/>
      <c r="S1354" s="8"/>
      <c r="T1354" s="69"/>
      <c r="U1354" s="8"/>
      <c r="V1354" s="69"/>
      <c r="W1354" s="74"/>
      <c r="X1354" s="69"/>
    </row>
    <row r="1355">
      <c r="A1355" s="30"/>
      <c r="C1355" s="64"/>
      <c r="D1355" s="85"/>
      <c r="F1355" s="69"/>
      <c r="G1355" s="70"/>
      <c r="H1355" s="71"/>
      <c r="I1355" s="71"/>
      <c r="J1355" s="22"/>
      <c r="K1355" s="22"/>
      <c r="L1355" s="22"/>
      <c r="M1355" s="22"/>
      <c r="N1355" s="22"/>
      <c r="O1355" s="73"/>
      <c r="P1355" s="8"/>
      <c r="Q1355" s="69"/>
      <c r="R1355" s="69"/>
      <c r="S1355" s="8"/>
      <c r="T1355" s="69"/>
      <c r="U1355" s="8"/>
      <c r="V1355" s="69"/>
      <c r="W1355" s="74"/>
      <c r="X1355" s="69"/>
    </row>
    <row r="1356">
      <c r="A1356" s="30"/>
      <c r="C1356" s="64"/>
      <c r="D1356" s="85"/>
      <c r="F1356" s="69"/>
      <c r="G1356" s="70"/>
      <c r="H1356" s="71"/>
      <c r="I1356" s="71"/>
      <c r="J1356" s="22"/>
      <c r="K1356" s="22"/>
      <c r="L1356" s="22"/>
      <c r="M1356" s="22"/>
      <c r="N1356" s="22"/>
      <c r="O1356" s="73"/>
      <c r="P1356" s="8"/>
      <c r="Q1356" s="69"/>
      <c r="R1356" s="69"/>
      <c r="S1356" s="8"/>
      <c r="T1356" s="69"/>
      <c r="U1356" s="8"/>
      <c r="V1356" s="69"/>
      <c r="W1356" s="74"/>
      <c r="X1356" s="69"/>
    </row>
    <row r="1357">
      <c r="A1357" s="12"/>
      <c r="C1357" s="64"/>
      <c r="D1357" s="85"/>
      <c r="F1357" s="69"/>
      <c r="G1357" s="70"/>
      <c r="H1357" s="71"/>
      <c r="I1357" s="71"/>
      <c r="J1357" s="22"/>
      <c r="K1357" s="22"/>
      <c r="L1357" s="22"/>
      <c r="M1357" s="22"/>
      <c r="N1357" s="22"/>
      <c r="O1357" s="73"/>
      <c r="P1357" s="8"/>
      <c r="Q1357" s="69"/>
      <c r="R1357" s="69"/>
      <c r="S1357" s="8"/>
      <c r="T1357" s="69"/>
      <c r="U1357" s="8"/>
      <c r="V1357" s="69"/>
      <c r="W1357" s="74"/>
      <c r="X1357" s="69"/>
    </row>
    <row r="1358">
      <c r="A1358" s="12"/>
      <c r="C1358" s="64"/>
      <c r="D1358" s="85"/>
      <c r="F1358" s="69"/>
      <c r="G1358" s="70"/>
      <c r="H1358" s="71"/>
      <c r="I1358" s="71"/>
      <c r="J1358" s="22"/>
      <c r="K1358" s="22"/>
      <c r="L1358" s="22"/>
      <c r="M1358" s="22"/>
      <c r="N1358" s="22"/>
      <c r="O1358" s="73"/>
      <c r="P1358" s="8"/>
      <c r="Q1358" s="69"/>
      <c r="R1358" s="69"/>
      <c r="S1358" s="8"/>
      <c r="T1358" s="69"/>
      <c r="U1358" s="8"/>
      <c r="V1358" s="69"/>
      <c r="W1358" s="74"/>
      <c r="X1358" s="69"/>
    </row>
    <row r="1359">
      <c r="A1359" s="12"/>
      <c r="C1359" s="64"/>
      <c r="D1359" s="85"/>
      <c r="F1359" s="69"/>
      <c r="G1359" s="70"/>
      <c r="H1359" s="71"/>
      <c r="I1359" s="71"/>
      <c r="J1359" s="22"/>
      <c r="K1359" s="22"/>
      <c r="L1359" s="22"/>
      <c r="M1359" s="22"/>
      <c r="N1359" s="22"/>
      <c r="O1359" s="73"/>
      <c r="P1359" s="8"/>
      <c r="Q1359" s="69"/>
      <c r="R1359" s="69"/>
      <c r="S1359" s="8"/>
      <c r="T1359" s="69"/>
      <c r="U1359" s="8"/>
      <c r="V1359" s="69"/>
      <c r="W1359" s="74"/>
      <c r="X1359" s="69"/>
    </row>
    <row r="1360">
      <c r="A1360" s="12"/>
      <c r="C1360" s="64"/>
      <c r="D1360" s="85"/>
      <c r="F1360" s="69"/>
      <c r="G1360" s="70"/>
      <c r="H1360" s="71"/>
      <c r="I1360" s="71"/>
      <c r="J1360" s="22"/>
      <c r="K1360" s="22"/>
      <c r="L1360" s="22"/>
      <c r="M1360" s="22"/>
      <c r="N1360" s="22"/>
      <c r="O1360" s="73"/>
      <c r="P1360" s="8"/>
      <c r="Q1360" s="69"/>
      <c r="R1360" s="69"/>
      <c r="S1360" s="8"/>
      <c r="T1360" s="69"/>
      <c r="U1360" s="8"/>
      <c r="V1360" s="69"/>
      <c r="W1360" s="74"/>
      <c r="X1360" s="69"/>
    </row>
    <row r="1361">
      <c r="A1361" s="12"/>
      <c r="C1361" s="64"/>
      <c r="D1361" s="85"/>
      <c r="F1361" s="69"/>
      <c r="G1361" s="70"/>
      <c r="H1361" s="71"/>
      <c r="I1361" s="71"/>
      <c r="J1361" s="22"/>
      <c r="K1361" s="22"/>
      <c r="L1361" s="22"/>
      <c r="M1361" s="22"/>
      <c r="N1361" s="22"/>
      <c r="O1361" s="73"/>
      <c r="P1361" s="8"/>
      <c r="Q1361" s="69"/>
      <c r="R1361" s="69"/>
      <c r="S1361" s="8"/>
      <c r="T1361" s="69"/>
      <c r="U1361" s="8"/>
      <c r="V1361" s="69"/>
      <c r="W1361" s="74"/>
      <c r="X1361" s="69"/>
    </row>
    <row r="1362">
      <c r="A1362" s="12"/>
      <c r="C1362" s="64"/>
      <c r="D1362" s="85"/>
      <c r="F1362" s="69"/>
      <c r="G1362" s="70"/>
      <c r="H1362" s="71"/>
      <c r="I1362" s="71"/>
      <c r="J1362" s="22"/>
      <c r="K1362" s="22"/>
      <c r="L1362" s="22"/>
      <c r="M1362" s="22"/>
      <c r="N1362" s="22"/>
      <c r="O1362" s="73"/>
      <c r="P1362" s="8"/>
      <c r="Q1362" s="69"/>
      <c r="R1362" s="69"/>
      <c r="S1362" s="8"/>
      <c r="T1362" s="69"/>
      <c r="U1362" s="8"/>
      <c r="V1362" s="69"/>
      <c r="W1362" s="74"/>
      <c r="X1362" s="69"/>
    </row>
    <row r="1363">
      <c r="A1363" s="12"/>
      <c r="C1363" s="64"/>
      <c r="D1363" s="85"/>
      <c r="F1363" s="69"/>
      <c r="G1363" s="70"/>
      <c r="H1363" s="71"/>
      <c r="I1363" s="71"/>
      <c r="J1363" s="22"/>
      <c r="K1363" s="22"/>
      <c r="L1363" s="22"/>
      <c r="M1363" s="22"/>
      <c r="N1363" s="22"/>
      <c r="O1363" s="73"/>
      <c r="P1363" s="8"/>
      <c r="Q1363" s="69"/>
      <c r="R1363" s="69"/>
      <c r="S1363" s="8"/>
      <c r="T1363" s="69"/>
      <c r="U1363" s="8"/>
      <c r="V1363" s="69"/>
      <c r="W1363" s="74"/>
      <c r="X1363" s="69"/>
    </row>
    <row r="1364">
      <c r="A1364" s="12"/>
      <c r="C1364" s="64"/>
      <c r="D1364" s="85"/>
      <c r="F1364" s="69"/>
      <c r="G1364" s="70"/>
      <c r="H1364" s="71"/>
      <c r="I1364" s="71"/>
      <c r="J1364" s="22"/>
      <c r="K1364" s="22"/>
      <c r="L1364" s="22"/>
      <c r="M1364" s="22"/>
      <c r="N1364" s="22"/>
      <c r="O1364" s="73"/>
      <c r="P1364" s="8"/>
      <c r="Q1364" s="69"/>
      <c r="R1364" s="69"/>
      <c r="S1364" s="8"/>
      <c r="T1364" s="69"/>
      <c r="U1364" s="8"/>
      <c r="V1364" s="69"/>
      <c r="W1364" s="74"/>
      <c r="X1364" s="69"/>
    </row>
    <row r="1365">
      <c r="A1365" s="12"/>
      <c r="C1365" s="64"/>
      <c r="D1365" s="85"/>
      <c r="F1365" s="69"/>
      <c r="G1365" s="70"/>
      <c r="H1365" s="71"/>
      <c r="I1365" s="71"/>
      <c r="J1365" s="22"/>
      <c r="K1365" s="22"/>
      <c r="L1365" s="22"/>
      <c r="M1365" s="22"/>
      <c r="N1365" s="22"/>
      <c r="O1365" s="73"/>
      <c r="P1365" s="8"/>
      <c r="Q1365" s="69"/>
      <c r="R1365" s="69"/>
      <c r="S1365" s="8"/>
      <c r="T1365" s="69"/>
      <c r="U1365" s="8"/>
      <c r="V1365" s="69"/>
      <c r="W1365" s="74"/>
      <c r="X1365" s="69"/>
    </row>
    <row r="1366">
      <c r="A1366" s="12"/>
      <c r="C1366" s="64"/>
      <c r="D1366" s="85"/>
      <c r="F1366" s="69"/>
      <c r="G1366" s="70"/>
      <c r="H1366" s="71"/>
      <c r="I1366" s="71"/>
      <c r="J1366" s="22"/>
      <c r="K1366" s="22"/>
      <c r="L1366" s="22"/>
      <c r="M1366" s="22"/>
      <c r="N1366" s="22"/>
      <c r="O1366" s="73"/>
      <c r="P1366" s="8"/>
      <c r="Q1366" s="69"/>
      <c r="R1366" s="69"/>
      <c r="S1366" s="8"/>
      <c r="T1366" s="69"/>
      <c r="U1366" s="8"/>
      <c r="V1366" s="69"/>
      <c r="W1366" s="74"/>
      <c r="X1366" s="69"/>
    </row>
    <row r="1367">
      <c r="A1367" s="12"/>
      <c r="C1367" s="64"/>
      <c r="D1367" s="85"/>
      <c r="F1367" s="69"/>
      <c r="G1367" s="70"/>
      <c r="H1367" s="71"/>
      <c r="I1367" s="71"/>
      <c r="J1367" s="22"/>
      <c r="K1367" s="22"/>
      <c r="L1367" s="22"/>
      <c r="M1367" s="22"/>
      <c r="N1367" s="22"/>
      <c r="O1367" s="73"/>
      <c r="P1367" s="8"/>
      <c r="Q1367" s="69"/>
      <c r="R1367" s="69"/>
      <c r="S1367" s="8"/>
      <c r="T1367" s="69"/>
      <c r="U1367" s="8"/>
      <c r="V1367" s="69"/>
      <c r="W1367" s="74"/>
      <c r="X1367" s="69"/>
    </row>
    <row r="1368">
      <c r="A1368" s="12"/>
      <c r="C1368" s="64"/>
      <c r="D1368" s="85"/>
      <c r="F1368" s="69"/>
      <c r="G1368" s="70"/>
      <c r="H1368" s="71"/>
      <c r="I1368" s="71"/>
      <c r="J1368" s="22"/>
      <c r="K1368" s="22"/>
      <c r="L1368" s="22"/>
      <c r="M1368" s="22"/>
      <c r="N1368" s="22"/>
      <c r="O1368" s="73"/>
      <c r="P1368" s="8"/>
      <c r="Q1368" s="69"/>
      <c r="R1368" s="69"/>
      <c r="S1368" s="8"/>
      <c r="T1368" s="69"/>
      <c r="U1368" s="8"/>
      <c r="V1368" s="69"/>
      <c r="W1368" s="74"/>
      <c r="X1368" s="69"/>
    </row>
    <row r="1369">
      <c r="A1369" s="12"/>
      <c r="C1369" s="64"/>
      <c r="D1369" s="85"/>
      <c r="F1369" s="69"/>
      <c r="G1369" s="70"/>
      <c r="H1369" s="71"/>
      <c r="I1369" s="71"/>
      <c r="J1369" s="22"/>
      <c r="K1369" s="22"/>
      <c r="L1369" s="22"/>
      <c r="M1369" s="22"/>
      <c r="N1369" s="22"/>
      <c r="O1369" s="73"/>
      <c r="P1369" s="8"/>
      <c r="Q1369" s="69"/>
      <c r="R1369" s="69"/>
      <c r="S1369" s="8"/>
      <c r="T1369" s="69"/>
      <c r="U1369" s="8"/>
      <c r="V1369" s="69"/>
      <c r="W1369" s="74"/>
      <c r="X1369" s="69"/>
    </row>
    <row r="1370">
      <c r="A1370" s="12"/>
      <c r="C1370" s="64"/>
      <c r="D1370" s="85"/>
      <c r="F1370" s="69"/>
      <c r="G1370" s="70"/>
      <c r="H1370" s="71"/>
      <c r="I1370" s="71"/>
      <c r="J1370" s="22"/>
      <c r="K1370" s="22"/>
      <c r="L1370" s="22"/>
      <c r="M1370" s="22"/>
      <c r="N1370" s="22"/>
      <c r="O1370" s="73"/>
      <c r="P1370" s="8"/>
      <c r="Q1370" s="69"/>
      <c r="R1370" s="69"/>
      <c r="S1370" s="8"/>
      <c r="T1370" s="69"/>
      <c r="U1370" s="8"/>
      <c r="V1370" s="69"/>
      <c r="W1370" s="74"/>
      <c r="X1370" s="69"/>
    </row>
    <row r="1371">
      <c r="A1371" s="12"/>
      <c r="C1371" s="64"/>
      <c r="D1371" s="85"/>
      <c r="F1371" s="69"/>
      <c r="G1371" s="70"/>
      <c r="H1371" s="71"/>
      <c r="I1371" s="71"/>
      <c r="J1371" s="22"/>
      <c r="K1371" s="22"/>
      <c r="L1371" s="22"/>
      <c r="M1371" s="22"/>
      <c r="N1371" s="22"/>
      <c r="O1371" s="73"/>
      <c r="P1371" s="8"/>
      <c r="Q1371" s="69"/>
      <c r="R1371" s="69"/>
      <c r="S1371" s="8"/>
      <c r="T1371" s="69"/>
      <c r="U1371" s="8"/>
      <c r="V1371" s="69"/>
      <c r="W1371" s="74"/>
      <c r="X1371" s="69"/>
    </row>
    <row r="1372">
      <c r="A1372" s="12"/>
      <c r="C1372" s="64"/>
      <c r="D1372" s="85"/>
      <c r="F1372" s="69"/>
      <c r="G1372" s="70"/>
      <c r="H1372" s="71"/>
      <c r="I1372" s="71"/>
      <c r="J1372" s="22"/>
      <c r="K1372" s="22"/>
      <c r="L1372" s="22"/>
      <c r="M1372" s="22"/>
      <c r="N1372" s="22"/>
      <c r="O1372" s="73"/>
      <c r="P1372" s="8"/>
      <c r="Q1372" s="69"/>
      <c r="R1372" s="69"/>
      <c r="S1372" s="8"/>
      <c r="T1372" s="69"/>
      <c r="U1372" s="8"/>
      <c r="V1372" s="69"/>
      <c r="W1372" s="74"/>
      <c r="X1372" s="69"/>
    </row>
    <row r="1373">
      <c r="A1373" s="12"/>
      <c r="C1373" s="64"/>
      <c r="D1373" s="85"/>
      <c r="F1373" s="69"/>
      <c r="G1373" s="70"/>
      <c r="H1373" s="71"/>
      <c r="I1373" s="71"/>
      <c r="J1373" s="22"/>
      <c r="K1373" s="22"/>
      <c r="L1373" s="22"/>
      <c r="M1373" s="22"/>
      <c r="N1373" s="22"/>
      <c r="O1373" s="73"/>
      <c r="P1373" s="8"/>
      <c r="Q1373" s="69"/>
      <c r="R1373" s="69"/>
      <c r="S1373" s="8"/>
      <c r="T1373" s="69"/>
      <c r="U1373" s="8"/>
      <c r="V1373" s="69"/>
      <c r="W1373" s="74"/>
      <c r="X1373" s="69"/>
    </row>
    <row r="1374">
      <c r="A1374" s="12"/>
      <c r="C1374" s="64"/>
      <c r="D1374" s="85"/>
      <c r="F1374" s="69"/>
      <c r="G1374" s="70"/>
      <c r="H1374" s="71"/>
      <c r="I1374" s="71"/>
      <c r="J1374" s="22"/>
      <c r="K1374" s="22"/>
      <c r="L1374" s="22"/>
      <c r="M1374" s="22"/>
      <c r="N1374" s="22"/>
      <c r="O1374" s="73"/>
      <c r="P1374" s="8"/>
      <c r="Q1374" s="69"/>
      <c r="R1374" s="69"/>
      <c r="S1374" s="8"/>
      <c r="T1374" s="69"/>
      <c r="U1374" s="8"/>
      <c r="V1374" s="69"/>
      <c r="W1374" s="74"/>
      <c r="X1374" s="69"/>
    </row>
    <row r="1375">
      <c r="A1375" s="12"/>
      <c r="C1375" s="64"/>
      <c r="D1375" s="85"/>
      <c r="F1375" s="69"/>
      <c r="G1375" s="70"/>
      <c r="H1375" s="71"/>
      <c r="I1375" s="71"/>
      <c r="J1375" s="22"/>
      <c r="K1375" s="22"/>
      <c r="L1375" s="22"/>
      <c r="M1375" s="22"/>
      <c r="N1375" s="22"/>
      <c r="O1375" s="73"/>
      <c r="P1375" s="8"/>
      <c r="Q1375" s="69"/>
      <c r="R1375" s="69"/>
      <c r="S1375" s="8"/>
      <c r="T1375" s="69"/>
      <c r="U1375" s="8"/>
      <c r="V1375" s="69"/>
      <c r="W1375" s="74"/>
      <c r="X1375" s="69"/>
    </row>
    <row r="1376">
      <c r="A1376" s="12"/>
      <c r="C1376" s="64"/>
      <c r="D1376" s="85"/>
      <c r="F1376" s="69"/>
      <c r="G1376" s="70"/>
      <c r="H1376" s="71"/>
      <c r="I1376" s="71"/>
      <c r="J1376" s="22"/>
      <c r="K1376" s="22"/>
      <c r="L1376" s="22"/>
      <c r="M1376" s="22"/>
      <c r="N1376" s="22"/>
      <c r="O1376" s="73"/>
      <c r="P1376" s="8"/>
      <c r="Q1376" s="69"/>
      <c r="R1376" s="69"/>
      <c r="S1376" s="8"/>
      <c r="T1376" s="69"/>
      <c r="U1376" s="8"/>
      <c r="V1376" s="69"/>
      <c r="W1376" s="74"/>
      <c r="X1376" s="69"/>
    </row>
    <row r="1377">
      <c r="A1377" s="12"/>
      <c r="C1377" s="64"/>
      <c r="D1377" s="85"/>
      <c r="F1377" s="69"/>
      <c r="G1377" s="70"/>
      <c r="H1377" s="71"/>
      <c r="I1377" s="71"/>
      <c r="J1377" s="22"/>
      <c r="K1377" s="22"/>
      <c r="L1377" s="22"/>
      <c r="M1377" s="22"/>
      <c r="N1377" s="22"/>
      <c r="O1377" s="73"/>
      <c r="P1377" s="8"/>
      <c r="Q1377" s="69"/>
      <c r="R1377" s="69"/>
      <c r="S1377" s="8"/>
      <c r="T1377" s="69"/>
      <c r="U1377" s="8"/>
      <c r="V1377" s="69"/>
      <c r="W1377" s="74"/>
      <c r="X1377" s="69"/>
    </row>
    <row r="1378">
      <c r="A1378" s="12"/>
      <c r="C1378" s="64"/>
      <c r="D1378" s="85"/>
      <c r="F1378" s="69"/>
      <c r="G1378" s="70"/>
      <c r="H1378" s="71"/>
      <c r="I1378" s="71"/>
      <c r="J1378" s="22"/>
      <c r="K1378" s="22"/>
      <c r="L1378" s="22"/>
      <c r="M1378" s="22"/>
      <c r="N1378" s="22"/>
      <c r="O1378" s="73"/>
      <c r="P1378" s="8"/>
      <c r="Q1378" s="69"/>
      <c r="R1378" s="69"/>
      <c r="S1378" s="8"/>
      <c r="T1378" s="69"/>
      <c r="U1378" s="8"/>
      <c r="V1378" s="69"/>
      <c r="W1378" s="74"/>
      <c r="X1378" s="69"/>
    </row>
    <row r="1379">
      <c r="A1379" s="12"/>
      <c r="C1379" s="64"/>
      <c r="D1379" s="85"/>
      <c r="F1379" s="69"/>
      <c r="G1379" s="70"/>
      <c r="H1379" s="71"/>
      <c r="I1379" s="71"/>
      <c r="J1379" s="22"/>
      <c r="K1379" s="22"/>
      <c r="L1379" s="22"/>
      <c r="M1379" s="22"/>
      <c r="N1379" s="22"/>
      <c r="O1379" s="73"/>
      <c r="P1379" s="8"/>
      <c r="Q1379" s="69"/>
      <c r="R1379" s="69"/>
      <c r="S1379" s="8"/>
      <c r="T1379" s="69"/>
      <c r="U1379" s="8"/>
      <c r="V1379" s="69"/>
      <c r="W1379" s="74"/>
      <c r="X1379" s="69"/>
    </row>
    <row r="1380">
      <c r="A1380" s="12"/>
      <c r="C1380" s="64"/>
      <c r="D1380" s="85"/>
      <c r="F1380" s="69"/>
      <c r="G1380" s="70"/>
      <c r="H1380" s="71"/>
      <c r="I1380" s="71"/>
      <c r="J1380" s="22"/>
      <c r="K1380" s="22"/>
      <c r="L1380" s="22"/>
      <c r="M1380" s="22"/>
      <c r="N1380" s="22"/>
      <c r="O1380" s="73"/>
      <c r="P1380" s="8"/>
      <c r="Q1380" s="69"/>
      <c r="R1380" s="69"/>
      <c r="S1380" s="8"/>
      <c r="T1380" s="69"/>
      <c r="U1380" s="8"/>
      <c r="V1380" s="69"/>
      <c r="W1380" s="74"/>
      <c r="X1380" s="69"/>
    </row>
    <row r="1381">
      <c r="A1381" s="12"/>
      <c r="C1381" s="64"/>
      <c r="D1381" s="85"/>
      <c r="F1381" s="69"/>
      <c r="G1381" s="70"/>
      <c r="H1381" s="71"/>
      <c r="I1381" s="71"/>
      <c r="J1381" s="22"/>
      <c r="K1381" s="22"/>
      <c r="L1381" s="22"/>
      <c r="M1381" s="22"/>
      <c r="N1381" s="22"/>
      <c r="O1381" s="73"/>
      <c r="P1381" s="8"/>
      <c r="Q1381" s="69"/>
      <c r="R1381" s="69"/>
      <c r="S1381" s="8"/>
      <c r="T1381" s="69"/>
      <c r="U1381" s="8"/>
      <c r="V1381" s="69"/>
      <c r="W1381" s="74"/>
      <c r="X1381" s="69"/>
    </row>
    <row r="1382">
      <c r="A1382" s="12"/>
      <c r="C1382" s="64"/>
      <c r="D1382" s="85"/>
      <c r="F1382" s="69"/>
      <c r="G1382" s="70"/>
      <c r="H1382" s="71"/>
      <c r="I1382" s="71"/>
      <c r="J1382" s="22"/>
      <c r="K1382" s="22"/>
      <c r="L1382" s="22"/>
      <c r="M1382" s="22"/>
      <c r="N1382" s="22"/>
      <c r="O1382" s="73"/>
      <c r="P1382" s="8"/>
      <c r="Q1382" s="69"/>
      <c r="R1382" s="69"/>
      <c r="S1382" s="8"/>
      <c r="T1382" s="69"/>
      <c r="U1382" s="8"/>
      <c r="V1382" s="69"/>
      <c r="W1382" s="74"/>
      <c r="X1382" s="69"/>
    </row>
    <row r="1383">
      <c r="A1383" s="12"/>
      <c r="C1383" s="64"/>
      <c r="D1383" s="85"/>
      <c r="F1383" s="69"/>
      <c r="G1383" s="70"/>
      <c r="H1383" s="71"/>
      <c r="I1383" s="71"/>
      <c r="J1383" s="22"/>
      <c r="K1383" s="22"/>
      <c r="L1383" s="22"/>
      <c r="M1383" s="22"/>
      <c r="N1383" s="22"/>
      <c r="O1383" s="73"/>
      <c r="P1383" s="8"/>
      <c r="Q1383" s="69"/>
      <c r="R1383" s="69"/>
      <c r="S1383" s="8"/>
      <c r="T1383" s="69"/>
      <c r="U1383" s="8"/>
      <c r="V1383" s="69"/>
      <c r="W1383" s="74"/>
      <c r="X1383" s="69"/>
    </row>
    <row r="1384">
      <c r="A1384" s="12"/>
      <c r="C1384" s="64"/>
      <c r="D1384" s="85"/>
      <c r="F1384" s="69"/>
      <c r="G1384" s="70"/>
      <c r="H1384" s="71"/>
      <c r="I1384" s="71"/>
      <c r="J1384" s="22"/>
      <c r="K1384" s="22"/>
      <c r="L1384" s="22"/>
      <c r="M1384" s="22"/>
      <c r="N1384" s="22"/>
      <c r="O1384" s="73"/>
      <c r="P1384" s="8"/>
      <c r="Q1384" s="69"/>
      <c r="R1384" s="69"/>
      <c r="S1384" s="8"/>
      <c r="T1384" s="69"/>
      <c r="U1384" s="8"/>
      <c r="V1384" s="69"/>
      <c r="W1384" s="74"/>
      <c r="X1384" s="69"/>
    </row>
    <row r="1385">
      <c r="A1385" s="12"/>
      <c r="C1385" s="64"/>
      <c r="D1385" s="85"/>
      <c r="F1385" s="69"/>
      <c r="G1385" s="70"/>
      <c r="H1385" s="71"/>
      <c r="I1385" s="71"/>
      <c r="J1385" s="22"/>
      <c r="K1385" s="22"/>
      <c r="L1385" s="22"/>
      <c r="M1385" s="22"/>
      <c r="N1385" s="22"/>
      <c r="O1385" s="73"/>
      <c r="P1385" s="8"/>
      <c r="Q1385" s="69"/>
      <c r="R1385" s="69"/>
      <c r="S1385" s="8"/>
      <c r="T1385" s="69"/>
      <c r="U1385" s="8"/>
      <c r="V1385" s="69"/>
      <c r="W1385" s="74"/>
      <c r="X1385" s="69"/>
    </row>
    <row r="1386">
      <c r="A1386" s="12"/>
      <c r="C1386" s="64"/>
      <c r="D1386" s="85"/>
      <c r="F1386" s="69"/>
      <c r="G1386" s="70"/>
      <c r="H1386" s="71"/>
      <c r="I1386" s="71"/>
      <c r="J1386" s="22"/>
      <c r="K1386" s="22"/>
      <c r="L1386" s="22"/>
      <c r="M1386" s="22"/>
      <c r="N1386" s="22"/>
      <c r="O1386" s="73"/>
      <c r="P1386" s="8"/>
      <c r="Q1386" s="69"/>
      <c r="R1386" s="69"/>
      <c r="S1386" s="8"/>
      <c r="T1386" s="69"/>
      <c r="U1386" s="8"/>
      <c r="V1386" s="69"/>
      <c r="W1386" s="74"/>
      <c r="X1386" s="69"/>
    </row>
    <row r="1387">
      <c r="A1387" s="12"/>
      <c r="C1387" s="64"/>
      <c r="D1387" s="85"/>
      <c r="F1387" s="69"/>
      <c r="G1387" s="70"/>
      <c r="H1387" s="71"/>
      <c r="I1387" s="71"/>
      <c r="J1387" s="22"/>
      <c r="K1387" s="22"/>
      <c r="L1387" s="22"/>
      <c r="M1387" s="22"/>
      <c r="N1387" s="22"/>
      <c r="O1387" s="73"/>
      <c r="P1387" s="8"/>
      <c r="Q1387" s="69"/>
      <c r="R1387" s="69"/>
      <c r="S1387" s="8"/>
      <c r="T1387" s="69"/>
      <c r="U1387" s="8"/>
      <c r="V1387" s="69"/>
      <c r="W1387" s="74"/>
      <c r="X1387" s="69"/>
    </row>
    <row r="1388">
      <c r="A1388" s="12"/>
      <c r="C1388" s="64"/>
      <c r="D1388" s="85"/>
      <c r="F1388" s="69"/>
      <c r="G1388" s="70"/>
      <c r="H1388" s="71"/>
      <c r="I1388" s="71"/>
      <c r="J1388" s="22"/>
      <c r="K1388" s="22"/>
      <c r="L1388" s="22"/>
      <c r="M1388" s="22"/>
      <c r="N1388" s="22"/>
      <c r="O1388" s="73"/>
      <c r="P1388" s="8"/>
      <c r="Q1388" s="69"/>
      <c r="R1388" s="69"/>
      <c r="S1388" s="8"/>
      <c r="T1388" s="69"/>
      <c r="U1388" s="8"/>
      <c r="V1388" s="69"/>
      <c r="W1388" s="74"/>
      <c r="X1388" s="69"/>
    </row>
    <row r="1389">
      <c r="A1389" s="12"/>
      <c r="C1389" s="64"/>
      <c r="D1389" s="85"/>
      <c r="F1389" s="69"/>
      <c r="G1389" s="70"/>
      <c r="H1389" s="71"/>
      <c r="I1389" s="71"/>
      <c r="J1389" s="22"/>
      <c r="K1389" s="22"/>
      <c r="L1389" s="22"/>
      <c r="M1389" s="22"/>
      <c r="N1389" s="22"/>
      <c r="O1389" s="73"/>
      <c r="P1389" s="8"/>
      <c r="Q1389" s="69"/>
      <c r="R1389" s="69"/>
      <c r="S1389" s="8"/>
      <c r="T1389" s="69"/>
      <c r="U1389" s="8"/>
      <c r="V1389" s="69"/>
      <c r="W1389" s="74"/>
      <c r="X1389" s="69"/>
    </row>
    <row r="1390">
      <c r="A1390" s="12"/>
      <c r="C1390" s="64"/>
      <c r="D1390" s="85"/>
      <c r="F1390" s="69"/>
      <c r="G1390" s="70"/>
      <c r="H1390" s="71"/>
      <c r="I1390" s="71"/>
      <c r="J1390" s="22"/>
      <c r="K1390" s="22"/>
      <c r="L1390" s="22"/>
      <c r="M1390" s="22"/>
      <c r="N1390" s="22"/>
      <c r="O1390" s="73"/>
      <c r="P1390" s="8"/>
      <c r="Q1390" s="69"/>
      <c r="R1390" s="69"/>
      <c r="S1390" s="8"/>
      <c r="T1390" s="69"/>
      <c r="U1390" s="8"/>
      <c r="V1390" s="69"/>
      <c r="W1390" s="74"/>
      <c r="X1390" s="69"/>
    </row>
    <row r="1391">
      <c r="A1391" s="12"/>
      <c r="C1391" s="64"/>
      <c r="D1391" s="85"/>
      <c r="F1391" s="69"/>
      <c r="G1391" s="70"/>
      <c r="H1391" s="71"/>
      <c r="I1391" s="71"/>
      <c r="J1391" s="22"/>
      <c r="K1391" s="22"/>
      <c r="L1391" s="22"/>
      <c r="M1391" s="22"/>
      <c r="N1391" s="22"/>
      <c r="O1391" s="73"/>
      <c r="P1391" s="8"/>
      <c r="Q1391" s="69"/>
      <c r="R1391" s="69"/>
      <c r="S1391" s="8"/>
      <c r="T1391" s="69"/>
      <c r="U1391" s="8"/>
      <c r="V1391" s="69"/>
      <c r="W1391" s="74"/>
      <c r="X1391" s="69"/>
    </row>
    <row r="1392">
      <c r="A1392" s="12"/>
      <c r="C1392" s="64"/>
      <c r="D1392" s="85"/>
      <c r="F1392" s="69"/>
      <c r="G1392" s="70"/>
      <c r="H1392" s="71"/>
      <c r="I1392" s="71"/>
      <c r="J1392" s="22"/>
      <c r="K1392" s="22"/>
      <c r="L1392" s="22"/>
      <c r="M1392" s="22"/>
      <c r="N1392" s="22"/>
      <c r="O1392" s="73"/>
      <c r="P1392" s="8"/>
      <c r="Q1392" s="69"/>
      <c r="R1392" s="69"/>
      <c r="S1392" s="8"/>
      <c r="T1392" s="69"/>
      <c r="U1392" s="8"/>
      <c r="V1392" s="69"/>
      <c r="W1392" s="74"/>
      <c r="X1392" s="69"/>
    </row>
    <row r="1393">
      <c r="A1393" s="12"/>
      <c r="C1393" s="64"/>
      <c r="D1393" s="85"/>
      <c r="F1393" s="69"/>
      <c r="G1393" s="70"/>
      <c r="H1393" s="71"/>
      <c r="I1393" s="71"/>
      <c r="J1393" s="22"/>
      <c r="K1393" s="22"/>
      <c r="L1393" s="22"/>
      <c r="M1393" s="22"/>
      <c r="N1393" s="22"/>
      <c r="O1393" s="73"/>
      <c r="P1393" s="8"/>
      <c r="Q1393" s="69"/>
      <c r="R1393" s="69"/>
      <c r="S1393" s="8"/>
      <c r="T1393" s="69"/>
      <c r="U1393" s="8"/>
      <c r="V1393" s="69"/>
      <c r="W1393" s="74"/>
      <c r="X1393" s="69"/>
    </row>
    <row r="1394">
      <c r="A1394" s="12"/>
      <c r="C1394" s="64"/>
      <c r="D1394" s="85"/>
      <c r="F1394" s="69"/>
      <c r="G1394" s="70"/>
      <c r="H1394" s="71"/>
      <c r="I1394" s="71"/>
      <c r="J1394" s="22"/>
      <c r="K1394" s="22"/>
      <c r="L1394" s="22"/>
      <c r="M1394" s="22"/>
      <c r="N1394" s="22"/>
      <c r="O1394" s="73"/>
      <c r="P1394" s="8"/>
      <c r="Q1394" s="69"/>
      <c r="R1394" s="69"/>
      <c r="S1394" s="8"/>
      <c r="T1394" s="69"/>
      <c r="U1394" s="8"/>
      <c r="V1394" s="69"/>
      <c r="W1394" s="74"/>
      <c r="X1394" s="69"/>
    </row>
    <row r="1395">
      <c r="A1395" s="12"/>
      <c r="C1395" s="64"/>
      <c r="D1395" s="85"/>
      <c r="F1395" s="69"/>
      <c r="G1395" s="70"/>
      <c r="H1395" s="71"/>
      <c r="I1395" s="71"/>
      <c r="J1395" s="22"/>
      <c r="K1395" s="22"/>
      <c r="L1395" s="22"/>
      <c r="M1395" s="22"/>
      <c r="N1395" s="22"/>
      <c r="O1395" s="73"/>
      <c r="P1395" s="8"/>
      <c r="Q1395" s="69"/>
      <c r="R1395" s="69"/>
      <c r="S1395" s="8"/>
      <c r="T1395" s="69"/>
      <c r="U1395" s="8"/>
      <c r="V1395" s="69"/>
      <c r="W1395" s="74"/>
      <c r="X1395" s="69"/>
    </row>
    <row r="1396">
      <c r="A1396" s="12"/>
      <c r="C1396" s="64"/>
      <c r="D1396" s="85"/>
      <c r="F1396" s="69"/>
      <c r="G1396" s="70"/>
      <c r="H1396" s="71"/>
      <c r="I1396" s="71"/>
      <c r="J1396" s="22"/>
      <c r="K1396" s="22"/>
      <c r="L1396" s="22"/>
      <c r="M1396" s="22"/>
      <c r="N1396" s="22"/>
      <c r="O1396" s="73"/>
      <c r="P1396" s="8"/>
      <c r="Q1396" s="69"/>
      <c r="R1396" s="69"/>
      <c r="S1396" s="8"/>
      <c r="T1396" s="69"/>
      <c r="U1396" s="8"/>
      <c r="V1396" s="69"/>
      <c r="W1396" s="74"/>
      <c r="X1396" s="69"/>
    </row>
    <row r="1397">
      <c r="A1397" s="12"/>
      <c r="C1397" s="64"/>
      <c r="D1397" s="85"/>
      <c r="F1397" s="69"/>
      <c r="G1397" s="70"/>
      <c r="H1397" s="71"/>
      <c r="I1397" s="71"/>
      <c r="J1397" s="22"/>
      <c r="K1397" s="22"/>
      <c r="L1397" s="22"/>
      <c r="M1397" s="22"/>
      <c r="N1397" s="22"/>
      <c r="O1397" s="73"/>
      <c r="P1397" s="8"/>
      <c r="Q1397" s="69"/>
      <c r="R1397" s="69"/>
      <c r="S1397" s="8"/>
      <c r="T1397" s="69"/>
      <c r="U1397" s="8"/>
      <c r="V1397" s="69"/>
      <c r="W1397" s="74"/>
      <c r="X1397" s="69"/>
    </row>
    <row r="1398">
      <c r="A1398" s="12"/>
      <c r="C1398" s="64"/>
      <c r="D1398" s="85"/>
      <c r="F1398" s="69"/>
      <c r="G1398" s="70"/>
      <c r="H1398" s="71"/>
      <c r="I1398" s="71"/>
      <c r="J1398" s="22"/>
      <c r="K1398" s="22"/>
      <c r="L1398" s="22"/>
      <c r="M1398" s="22"/>
      <c r="N1398" s="22"/>
      <c r="O1398" s="73"/>
      <c r="P1398" s="8"/>
      <c r="Q1398" s="69"/>
      <c r="R1398" s="69"/>
      <c r="S1398" s="8"/>
      <c r="T1398" s="69"/>
      <c r="U1398" s="8"/>
      <c r="V1398" s="69"/>
      <c r="W1398" s="74"/>
      <c r="X1398" s="69"/>
    </row>
    <row r="1399">
      <c r="A1399" s="12"/>
      <c r="C1399" s="64"/>
      <c r="D1399" s="85"/>
      <c r="F1399" s="69"/>
      <c r="G1399" s="70"/>
      <c r="H1399" s="71"/>
      <c r="I1399" s="71"/>
      <c r="J1399" s="22"/>
      <c r="K1399" s="22"/>
      <c r="L1399" s="22"/>
      <c r="M1399" s="22"/>
      <c r="N1399" s="22"/>
      <c r="O1399" s="73"/>
      <c r="P1399" s="8"/>
      <c r="Q1399" s="69"/>
      <c r="R1399" s="69"/>
      <c r="S1399" s="8"/>
      <c r="T1399" s="69"/>
      <c r="U1399" s="8"/>
      <c r="V1399" s="69"/>
      <c r="W1399" s="74"/>
      <c r="X1399" s="69"/>
    </row>
    <row r="1400">
      <c r="A1400" s="12"/>
      <c r="C1400" s="64"/>
      <c r="D1400" s="85"/>
      <c r="F1400" s="69"/>
      <c r="G1400" s="70"/>
      <c r="H1400" s="71"/>
      <c r="I1400" s="71"/>
      <c r="J1400" s="22"/>
      <c r="K1400" s="22"/>
      <c r="L1400" s="22"/>
      <c r="M1400" s="22"/>
      <c r="N1400" s="22"/>
      <c r="O1400" s="73"/>
      <c r="P1400" s="8"/>
      <c r="Q1400" s="69"/>
      <c r="R1400" s="69"/>
      <c r="S1400" s="8"/>
      <c r="T1400" s="69"/>
      <c r="U1400" s="8"/>
      <c r="V1400" s="69"/>
      <c r="W1400" s="74"/>
      <c r="X1400" s="69"/>
    </row>
    <row r="1401">
      <c r="A1401" s="12"/>
      <c r="C1401" s="64"/>
      <c r="D1401" s="85"/>
      <c r="F1401" s="69"/>
      <c r="G1401" s="70"/>
      <c r="H1401" s="71"/>
      <c r="I1401" s="71"/>
      <c r="J1401" s="22"/>
      <c r="K1401" s="22"/>
      <c r="L1401" s="22"/>
      <c r="M1401" s="22"/>
      <c r="N1401" s="22"/>
      <c r="O1401" s="73"/>
      <c r="P1401" s="8"/>
      <c r="Q1401" s="69"/>
      <c r="R1401" s="69"/>
      <c r="S1401" s="8"/>
      <c r="T1401" s="69"/>
      <c r="U1401" s="8"/>
      <c r="V1401" s="69"/>
      <c r="W1401" s="74"/>
      <c r="X1401" s="69"/>
    </row>
    <row r="1402">
      <c r="A1402" s="12"/>
      <c r="C1402" s="64"/>
      <c r="D1402" s="85"/>
      <c r="F1402" s="69"/>
      <c r="G1402" s="70"/>
      <c r="H1402" s="71"/>
      <c r="I1402" s="71"/>
      <c r="J1402" s="22"/>
      <c r="K1402" s="22"/>
      <c r="L1402" s="22"/>
      <c r="M1402" s="22"/>
      <c r="N1402" s="22"/>
      <c r="O1402" s="73"/>
      <c r="P1402" s="8"/>
      <c r="Q1402" s="69"/>
      <c r="R1402" s="69"/>
      <c r="S1402" s="8"/>
      <c r="T1402" s="69"/>
      <c r="U1402" s="8"/>
      <c r="V1402" s="69"/>
      <c r="W1402" s="74"/>
      <c r="X1402" s="69"/>
    </row>
    <row r="1403">
      <c r="A1403" s="12"/>
      <c r="C1403" s="64"/>
      <c r="D1403" s="85"/>
      <c r="F1403" s="69"/>
      <c r="G1403" s="70"/>
      <c r="H1403" s="71"/>
      <c r="I1403" s="71"/>
      <c r="J1403" s="22"/>
      <c r="K1403" s="22"/>
      <c r="L1403" s="22"/>
      <c r="M1403" s="22"/>
      <c r="N1403" s="22"/>
      <c r="O1403" s="73"/>
      <c r="P1403" s="8"/>
      <c r="Q1403" s="69"/>
      <c r="R1403" s="69"/>
      <c r="S1403" s="8"/>
      <c r="T1403" s="69"/>
      <c r="U1403" s="8"/>
      <c r="V1403" s="69"/>
      <c r="W1403" s="74"/>
      <c r="X1403" s="69"/>
    </row>
    <row r="1404">
      <c r="A1404" s="12"/>
      <c r="C1404" s="64"/>
      <c r="D1404" s="85"/>
      <c r="F1404" s="69"/>
      <c r="G1404" s="70"/>
      <c r="H1404" s="71"/>
      <c r="I1404" s="71"/>
      <c r="J1404" s="22"/>
      <c r="K1404" s="22"/>
      <c r="L1404" s="22"/>
      <c r="M1404" s="22"/>
      <c r="N1404" s="22"/>
      <c r="O1404" s="73"/>
      <c r="P1404" s="8"/>
      <c r="Q1404" s="69"/>
      <c r="R1404" s="69"/>
      <c r="S1404" s="8"/>
      <c r="T1404" s="69"/>
      <c r="U1404" s="8"/>
      <c r="V1404" s="69"/>
      <c r="W1404" s="74"/>
      <c r="X1404" s="69"/>
    </row>
    <row r="1405">
      <c r="A1405" s="12"/>
      <c r="C1405" s="64"/>
      <c r="D1405" s="85"/>
      <c r="F1405" s="69"/>
      <c r="G1405" s="70"/>
      <c r="H1405" s="71"/>
      <c r="I1405" s="71"/>
      <c r="J1405" s="22"/>
      <c r="K1405" s="22"/>
      <c r="L1405" s="22"/>
      <c r="M1405" s="22"/>
      <c r="N1405" s="22"/>
      <c r="O1405" s="73"/>
      <c r="P1405" s="8"/>
      <c r="Q1405" s="69"/>
      <c r="R1405" s="69"/>
      <c r="S1405" s="8"/>
      <c r="T1405" s="69"/>
      <c r="U1405" s="8"/>
      <c r="V1405" s="69"/>
      <c r="W1405" s="74"/>
      <c r="X1405" s="69"/>
    </row>
    <row r="1406">
      <c r="A1406" s="12"/>
      <c r="C1406" s="64"/>
      <c r="D1406" s="85"/>
      <c r="F1406" s="69"/>
      <c r="G1406" s="70"/>
      <c r="H1406" s="71"/>
      <c r="I1406" s="71"/>
      <c r="J1406" s="22"/>
      <c r="K1406" s="22"/>
      <c r="L1406" s="22"/>
      <c r="M1406" s="22"/>
      <c r="N1406" s="22"/>
      <c r="O1406" s="73"/>
      <c r="P1406" s="8"/>
      <c r="Q1406" s="69"/>
      <c r="R1406" s="69"/>
      <c r="S1406" s="8"/>
      <c r="T1406" s="69"/>
      <c r="U1406" s="8"/>
      <c r="V1406" s="69"/>
      <c r="W1406" s="74"/>
      <c r="X1406" s="69"/>
    </row>
    <row r="1407">
      <c r="A1407" s="12"/>
      <c r="C1407" s="64"/>
      <c r="D1407" s="85"/>
      <c r="F1407" s="69"/>
      <c r="G1407" s="70"/>
      <c r="H1407" s="71"/>
      <c r="I1407" s="71"/>
      <c r="J1407" s="22"/>
      <c r="K1407" s="22"/>
      <c r="L1407" s="22"/>
      <c r="M1407" s="22"/>
      <c r="N1407" s="22"/>
      <c r="O1407" s="73"/>
      <c r="P1407" s="8"/>
      <c r="Q1407" s="69"/>
      <c r="R1407" s="69"/>
      <c r="S1407" s="8"/>
      <c r="T1407" s="69"/>
      <c r="U1407" s="8"/>
      <c r="V1407" s="69"/>
      <c r="W1407" s="74"/>
      <c r="X1407" s="69"/>
    </row>
    <row r="1408">
      <c r="A1408" s="12"/>
      <c r="C1408" s="64"/>
      <c r="D1408" s="85"/>
      <c r="F1408" s="69"/>
      <c r="G1408" s="70"/>
      <c r="H1408" s="71"/>
      <c r="I1408" s="71"/>
      <c r="J1408" s="22"/>
      <c r="K1408" s="22"/>
      <c r="L1408" s="22"/>
      <c r="M1408" s="22"/>
      <c r="N1408" s="22"/>
      <c r="O1408" s="73"/>
      <c r="P1408" s="8"/>
      <c r="Q1408" s="69"/>
      <c r="R1408" s="69"/>
      <c r="S1408" s="8"/>
      <c r="T1408" s="69"/>
      <c r="U1408" s="8"/>
      <c r="V1408" s="69"/>
      <c r="W1408" s="74"/>
      <c r="X1408" s="69"/>
    </row>
    <row r="1409">
      <c r="A1409" s="12"/>
      <c r="C1409" s="64"/>
      <c r="D1409" s="85"/>
      <c r="F1409" s="69"/>
      <c r="G1409" s="70"/>
      <c r="H1409" s="71"/>
      <c r="I1409" s="71"/>
      <c r="J1409" s="22"/>
      <c r="K1409" s="22"/>
      <c r="L1409" s="22"/>
      <c r="M1409" s="22"/>
      <c r="N1409" s="22"/>
      <c r="O1409" s="73"/>
      <c r="P1409" s="8"/>
      <c r="Q1409" s="69"/>
      <c r="R1409" s="69"/>
      <c r="S1409" s="8"/>
      <c r="T1409" s="69"/>
      <c r="U1409" s="8"/>
      <c r="V1409" s="69"/>
      <c r="W1409" s="74"/>
      <c r="X1409" s="69"/>
    </row>
    <row r="1410">
      <c r="A1410" s="12"/>
      <c r="C1410" s="64"/>
      <c r="D1410" s="85"/>
      <c r="F1410" s="69"/>
      <c r="G1410" s="70"/>
      <c r="H1410" s="71"/>
      <c r="I1410" s="71"/>
      <c r="J1410" s="22"/>
      <c r="K1410" s="22"/>
      <c r="L1410" s="22"/>
      <c r="M1410" s="22"/>
      <c r="N1410" s="22"/>
      <c r="O1410" s="73"/>
      <c r="P1410" s="8"/>
      <c r="Q1410" s="69"/>
      <c r="R1410" s="69"/>
      <c r="S1410" s="8"/>
      <c r="T1410" s="69"/>
      <c r="U1410" s="8"/>
      <c r="V1410" s="69"/>
      <c r="W1410" s="74"/>
      <c r="X1410" s="69"/>
    </row>
    <row r="1411">
      <c r="A1411" s="12"/>
      <c r="C1411" s="64"/>
      <c r="D1411" s="85"/>
      <c r="F1411" s="69"/>
      <c r="G1411" s="70"/>
      <c r="H1411" s="71"/>
      <c r="I1411" s="71"/>
      <c r="J1411" s="22"/>
      <c r="K1411" s="22"/>
      <c r="L1411" s="22"/>
      <c r="M1411" s="22"/>
      <c r="N1411" s="22"/>
      <c r="O1411" s="73"/>
      <c r="P1411" s="8"/>
      <c r="Q1411" s="69"/>
      <c r="R1411" s="69"/>
      <c r="S1411" s="8"/>
      <c r="T1411" s="69"/>
      <c r="U1411" s="8"/>
      <c r="V1411" s="69"/>
      <c r="W1411" s="74"/>
      <c r="X1411" s="69"/>
    </row>
    <row r="1412">
      <c r="A1412" s="12"/>
      <c r="C1412" s="64"/>
      <c r="D1412" s="85"/>
      <c r="F1412" s="69"/>
      <c r="G1412" s="70"/>
      <c r="H1412" s="71"/>
      <c r="I1412" s="71"/>
      <c r="J1412" s="22"/>
      <c r="K1412" s="22"/>
      <c r="L1412" s="22"/>
      <c r="M1412" s="22"/>
      <c r="N1412" s="22"/>
      <c r="O1412" s="73"/>
      <c r="P1412" s="8"/>
      <c r="Q1412" s="69"/>
      <c r="R1412" s="69"/>
      <c r="S1412" s="8"/>
      <c r="T1412" s="69"/>
      <c r="U1412" s="8"/>
      <c r="V1412" s="69"/>
      <c r="W1412" s="74"/>
      <c r="X1412" s="69"/>
    </row>
    <row r="1413">
      <c r="A1413" s="12"/>
      <c r="C1413" s="64"/>
      <c r="D1413" s="85"/>
      <c r="F1413" s="69"/>
      <c r="G1413" s="70"/>
      <c r="H1413" s="71"/>
      <c r="I1413" s="71"/>
      <c r="J1413" s="22"/>
      <c r="K1413" s="22"/>
      <c r="L1413" s="22"/>
      <c r="M1413" s="22"/>
      <c r="N1413" s="22"/>
      <c r="O1413" s="73"/>
      <c r="P1413" s="8"/>
      <c r="Q1413" s="69"/>
      <c r="R1413" s="69"/>
      <c r="S1413" s="8"/>
      <c r="T1413" s="69"/>
      <c r="U1413" s="8"/>
      <c r="V1413" s="69"/>
      <c r="W1413" s="74"/>
      <c r="X1413" s="69"/>
    </row>
    <row r="1414">
      <c r="A1414" s="12"/>
      <c r="C1414" s="64"/>
      <c r="D1414" s="85"/>
      <c r="F1414" s="69"/>
      <c r="G1414" s="70"/>
      <c r="H1414" s="71"/>
      <c r="I1414" s="71"/>
      <c r="J1414" s="22"/>
      <c r="K1414" s="22"/>
      <c r="L1414" s="22"/>
      <c r="M1414" s="22"/>
      <c r="N1414" s="22"/>
      <c r="O1414" s="73"/>
      <c r="P1414" s="8"/>
      <c r="Q1414" s="69"/>
      <c r="R1414" s="69"/>
      <c r="S1414" s="8"/>
      <c r="T1414" s="69"/>
      <c r="U1414" s="8"/>
      <c r="V1414" s="69"/>
      <c r="W1414" s="74"/>
      <c r="X1414" s="69"/>
    </row>
    <row r="1415">
      <c r="A1415" s="12"/>
      <c r="C1415" s="64"/>
      <c r="D1415" s="85"/>
      <c r="F1415" s="69"/>
      <c r="G1415" s="70"/>
      <c r="H1415" s="71"/>
      <c r="I1415" s="71"/>
      <c r="J1415" s="22"/>
      <c r="K1415" s="22"/>
      <c r="L1415" s="22"/>
      <c r="M1415" s="22"/>
      <c r="N1415" s="22"/>
      <c r="O1415" s="73"/>
      <c r="P1415" s="8"/>
      <c r="Q1415" s="69"/>
      <c r="R1415" s="69"/>
      <c r="S1415" s="8"/>
      <c r="T1415" s="69"/>
      <c r="U1415" s="8"/>
      <c r="V1415" s="69"/>
      <c r="W1415" s="74"/>
      <c r="X1415" s="69"/>
    </row>
    <row r="1416">
      <c r="A1416" s="12"/>
      <c r="C1416" s="64"/>
      <c r="D1416" s="85"/>
      <c r="F1416" s="69"/>
      <c r="G1416" s="70"/>
      <c r="H1416" s="71"/>
      <c r="I1416" s="71"/>
      <c r="J1416" s="22"/>
      <c r="K1416" s="22"/>
      <c r="L1416" s="22"/>
      <c r="M1416" s="22"/>
      <c r="N1416" s="22"/>
      <c r="O1416" s="73"/>
      <c r="P1416" s="8"/>
      <c r="Q1416" s="69"/>
      <c r="R1416" s="69"/>
      <c r="S1416" s="8"/>
      <c r="T1416" s="69"/>
      <c r="U1416" s="8"/>
      <c r="V1416" s="69"/>
      <c r="W1416" s="74"/>
      <c r="X1416" s="69"/>
    </row>
    <row r="1417">
      <c r="A1417" s="12"/>
      <c r="C1417" s="64"/>
      <c r="D1417" s="85"/>
      <c r="F1417" s="69"/>
      <c r="G1417" s="70"/>
      <c r="H1417" s="71"/>
      <c r="I1417" s="71"/>
      <c r="J1417" s="22"/>
      <c r="K1417" s="22"/>
      <c r="L1417" s="22"/>
      <c r="M1417" s="22"/>
      <c r="N1417" s="22"/>
      <c r="O1417" s="73"/>
      <c r="P1417" s="8"/>
      <c r="Q1417" s="69"/>
      <c r="R1417" s="69"/>
      <c r="S1417" s="8"/>
      <c r="T1417" s="69"/>
      <c r="U1417" s="8"/>
      <c r="V1417" s="69"/>
      <c r="W1417" s="74"/>
      <c r="X1417" s="69"/>
    </row>
    <row r="1418">
      <c r="A1418" s="12"/>
      <c r="C1418" s="64"/>
      <c r="D1418" s="85"/>
      <c r="F1418" s="69"/>
      <c r="G1418" s="70"/>
      <c r="H1418" s="71"/>
      <c r="I1418" s="71"/>
      <c r="J1418" s="22"/>
      <c r="K1418" s="22"/>
      <c r="L1418" s="22"/>
      <c r="M1418" s="22"/>
      <c r="N1418" s="22"/>
      <c r="O1418" s="73"/>
      <c r="P1418" s="8"/>
      <c r="Q1418" s="69"/>
      <c r="R1418" s="69"/>
      <c r="S1418" s="8"/>
      <c r="T1418" s="69"/>
      <c r="U1418" s="8"/>
      <c r="V1418" s="69"/>
      <c r="W1418" s="74"/>
      <c r="X1418" s="69"/>
    </row>
    <row r="1419">
      <c r="A1419" s="12"/>
      <c r="C1419" s="64"/>
      <c r="D1419" s="85"/>
      <c r="F1419" s="69"/>
      <c r="G1419" s="70"/>
      <c r="H1419" s="71"/>
      <c r="I1419" s="71"/>
      <c r="J1419" s="22"/>
      <c r="K1419" s="22"/>
      <c r="L1419" s="22"/>
      <c r="M1419" s="22"/>
      <c r="N1419" s="22"/>
      <c r="O1419" s="73"/>
      <c r="P1419" s="8"/>
      <c r="Q1419" s="69"/>
      <c r="R1419" s="69"/>
      <c r="S1419" s="8"/>
      <c r="T1419" s="69"/>
      <c r="U1419" s="8"/>
      <c r="V1419" s="69"/>
      <c r="W1419" s="74"/>
      <c r="X1419" s="69"/>
    </row>
    <row r="1420">
      <c r="A1420" s="12"/>
      <c r="C1420" s="64"/>
      <c r="D1420" s="85"/>
      <c r="F1420" s="69"/>
      <c r="G1420" s="70"/>
      <c r="H1420" s="71"/>
      <c r="I1420" s="71"/>
      <c r="J1420" s="22"/>
      <c r="K1420" s="22"/>
      <c r="L1420" s="22"/>
      <c r="M1420" s="22"/>
      <c r="N1420" s="22"/>
      <c r="O1420" s="73"/>
      <c r="P1420" s="8"/>
      <c r="Q1420" s="69"/>
      <c r="R1420" s="69"/>
      <c r="S1420" s="8"/>
      <c r="T1420" s="69"/>
      <c r="U1420" s="8"/>
      <c r="V1420" s="69"/>
      <c r="W1420" s="74"/>
      <c r="X1420" s="69"/>
    </row>
    <row r="1421">
      <c r="A1421" s="12"/>
      <c r="C1421" s="64"/>
      <c r="D1421" s="85"/>
      <c r="F1421" s="69"/>
      <c r="G1421" s="70"/>
      <c r="H1421" s="71"/>
      <c r="I1421" s="71"/>
      <c r="J1421" s="22"/>
      <c r="K1421" s="22"/>
      <c r="L1421" s="22"/>
      <c r="M1421" s="22"/>
      <c r="N1421" s="22"/>
      <c r="O1421" s="73"/>
      <c r="P1421" s="8"/>
      <c r="Q1421" s="69"/>
      <c r="R1421" s="69"/>
      <c r="S1421" s="8"/>
      <c r="T1421" s="69"/>
      <c r="U1421" s="8"/>
      <c r="V1421" s="69"/>
      <c r="W1421" s="74"/>
      <c r="X1421" s="69"/>
    </row>
    <row r="1422">
      <c r="A1422" s="12"/>
      <c r="C1422" s="64"/>
      <c r="D1422" s="85"/>
      <c r="F1422" s="69"/>
      <c r="G1422" s="70"/>
      <c r="H1422" s="71"/>
      <c r="I1422" s="71"/>
      <c r="J1422" s="22"/>
      <c r="K1422" s="22"/>
      <c r="L1422" s="22"/>
      <c r="M1422" s="22"/>
      <c r="N1422" s="22"/>
      <c r="O1422" s="73"/>
      <c r="P1422" s="8"/>
      <c r="Q1422" s="69"/>
      <c r="R1422" s="69"/>
      <c r="S1422" s="8"/>
      <c r="T1422" s="69"/>
      <c r="U1422" s="8"/>
      <c r="V1422" s="69"/>
      <c r="W1422" s="74"/>
      <c r="X1422" s="69"/>
    </row>
    <row r="1423">
      <c r="A1423" s="12"/>
      <c r="C1423" s="64"/>
      <c r="D1423" s="85"/>
      <c r="F1423" s="69"/>
      <c r="G1423" s="70"/>
      <c r="H1423" s="71"/>
      <c r="I1423" s="71"/>
      <c r="J1423" s="22"/>
      <c r="K1423" s="22"/>
      <c r="L1423" s="22"/>
      <c r="M1423" s="22"/>
      <c r="N1423" s="22"/>
      <c r="O1423" s="73"/>
      <c r="P1423" s="8"/>
      <c r="Q1423" s="69"/>
      <c r="R1423" s="69"/>
      <c r="S1423" s="8"/>
      <c r="T1423" s="69"/>
      <c r="U1423" s="8"/>
      <c r="V1423" s="69"/>
      <c r="W1423" s="74"/>
      <c r="X1423" s="69"/>
    </row>
    <row r="1424">
      <c r="A1424" s="12"/>
      <c r="C1424" s="64"/>
      <c r="D1424" s="85"/>
      <c r="F1424" s="69"/>
      <c r="G1424" s="70"/>
      <c r="H1424" s="71"/>
      <c r="I1424" s="71"/>
      <c r="J1424" s="22"/>
      <c r="K1424" s="22"/>
      <c r="L1424" s="22"/>
      <c r="M1424" s="22"/>
      <c r="N1424" s="22"/>
      <c r="O1424" s="73"/>
      <c r="P1424" s="8"/>
      <c r="Q1424" s="69"/>
      <c r="R1424" s="69"/>
      <c r="S1424" s="8"/>
      <c r="T1424" s="69"/>
      <c r="U1424" s="8"/>
      <c r="V1424" s="69"/>
      <c r="W1424" s="74"/>
      <c r="X1424" s="69"/>
    </row>
    <row r="1425">
      <c r="A1425" s="12"/>
      <c r="C1425" s="64"/>
      <c r="D1425" s="85"/>
      <c r="F1425" s="69"/>
      <c r="G1425" s="70"/>
      <c r="H1425" s="71"/>
      <c r="I1425" s="71"/>
      <c r="J1425" s="22"/>
      <c r="K1425" s="22"/>
      <c r="L1425" s="22"/>
      <c r="M1425" s="22"/>
      <c r="N1425" s="22"/>
      <c r="O1425" s="73"/>
      <c r="P1425" s="8"/>
      <c r="Q1425" s="69"/>
      <c r="R1425" s="69"/>
      <c r="S1425" s="8"/>
      <c r="T1425" s="69"/>
      <c r="U1425" s="8"/>
      <c r="V1425" s="69"/>
      <c r="W1425" s="74"/>
      <c r="X1425" s="69"/>
    </row>
    <row r="1426">
      <c r="A1426" s="12"/>
      <c r="C1426" s="64"/>
      <c r="D1426" s="85"/>
      <c r="F1426" s="69"/>
      <c r="G1426" s="70"/>
      <c r="H1426" s="71"/>
      <c r="I1426" s="71"/>
      <c r="J1426" s="22"/>
      <c r="K1426" s="22"/>
      <c r="L1426" s="22"/>
      <c r="M1426" s="22"/>
      <c r="N1426" s="22"/>
      <c r="O1426" s="73"/>
      <c r="P1426" s="8"/>
      <c r="Q1426" s="69"/>
      <c r="R1426" s="69"/>
      <c r="S1426" s="8"/>
      <c r="T1426" s="69"/>
      <c r="U1426" s="8"/>
      <c r="V1426" s="69"/>
      <c r="W1426" s="74"/>
      <c r="X1426" s="69"/>
    </row>
    <row r="1427">
      <c r="A1427" s="12"/>
      <c r="C1427" s="64"/>
      <c r="D1427" s="85"/>
      <c r="F1427" s="69"/>
      <c r="G1427" s="70"/>
      <c r="H1427" s="71"/>
      <c r="I1427" s="71"/>
      <c r="J1427" s="22"/>
      <c r="K1427" s="22"/>
      <c r="L1427" s="22"/>
      <c r="M1427" s="22"/>
      <c r="N1427" s="22"/>
      <c r="O1427" s="73"/>
      <c r="P1427" s="8"/>
      <c r="Q1427" s="69"/>
      <c r="R1427" s="69"/>
      <c r="S1427" s="8"/>
      <c r="T1427" s="69"/>
      <c r="U1427" s="8"/>
      <c r="V1427" s="69"/>
      <c r="W1427" s="74"/>
      <c r="X1427" s="69"/>
    </row>
    <row r="1428">
      <c r="A1428" s="12"/>
      <c r="C1428" s="64"/>
      <c r="D1428" s="85"/>
      <c r="F1428" s="69"/>
      <c r="G1428" s="70"/>
      <c r="H1428" s="71"/>
      <c r="I1428" s="71"/>
      <c r="J1428" s="22"/>
      <c r="K1428" s="22"/>
      <c r="L1428" s="22"/>
      <c r="M1428" s="22"/>
      <c r="N1428" s="22"/>
      <c r="O1428" s="73"/>
      <c r="P1428" s="8"/>
      <c r="Q1428" s="69"/>
      <c r="R1428" s="69"/>
      <c r="S1428" s="8"/>
      <c r="T1428" s="69"/>
      <c r="U1428" s="8"/>
      <c r="V1428" s="69"/>
      <c r="W1428" s="74"/>
      <c r="X1428" s="69"/>
    </row>
    <row r="1429">
      <c r="A1429" s="12"/>
      <c r="C1429" s="64"/>
      <c r="D1429" s="85"/>
      <c r="F1429" s="69"/>
      <c r="G1429" s="70"/>
      <c r="H1429" s="71"/>
      <c r="I1429" s="71"/>
      <c r="J1429" s="22"/>
      <c r="K1429" s="22"/>
      <c r="L1429" s="22"/>
      <c r="M1429" s="22"/>
      <c r="N1429" s="22"/>
      <c r="O1429" s="73"/>
      <c r="P1429" s="8"/>
      <c r="Q1429" s="69"/>
      <c r="R1429" s="69"/>
      <c r="S1429" s="8"/>
      <c r="T1429" s="69"/>
      <c r="U1429" s="8"/>
      <c r="V1429" s="69"/>
      <c r="W1429" s="74"/>
      <c r="X1429" s="69"/>
    </row>
    <row r="1430">
      <c r="A1430" s="12"/>
      <c r="C1430" s="64"/>
      <c r="D1430" s="85"/>
      <c r="F1430" s="69"/>
      <c r="G1430" s="70"/>
      <c r="H1430" s="71"/>
      <c r="I1430" s="71"/>
      <c r="J1430" s="22"/>
      <c r="K1430" s="22"/>
      <c r="L1430" s="22"/>
      <c r="M1430" s="22"/>
      <c r="N1430" s="22"/>
      <c r="O1430" s="73"/>
      <c r="P1430" s="8"/>
      <c r="Q1430" s="69"/>
      <c r="R1430" s="69"/>
      <c r="S1430" s="8"/>
      <c r="T1430" s="69"/>
      <c r="U1430" s="8"/>
      <c r="V1430" s="69"/>
      <c r="W1430" s="74"/>
      <c r="X1430" s="69"/>
    </row>
    <row r="1431">
      <c r="A1431" s="12"/>
      <c r="C1431" s="64"/>
      <c r="D1431" s="85"/>
      <c r="F1431" s="69"/>
      <c r="G1431" s="70"/>
      <c r="H1431" s="71"/>
      <c r="I1431" s="71"/>
      <c r="J1431" s="22"/>
      <c r="K1431" s="22"/>
      <c r="L1431" s="22"/>
      <c r="M1431" s="22"/>
      <c r="N1431" s="22"/>
      <c r="O1431" s="73"/>
      <c r="P1431" s="8"/>
      <c r="Q1431" s="69"/>
      <c r="R1431" s="69"/>
      <c r="S1431" s="8"/>
      <c r="T1431" s="69"/>
      <c r="U1431" s="8"/>
      <c r="V1431" s="69"/>
      <c r="W1431" s="74"/>
      <c r="X1431" s="69"/>
    </row>
    <row r="1432">
      <c r="A1432" s="12"/>
      <c r="C1432" s="64"/>
      <c r="D1432" s="85"/>
      <c r="F1432" s="69"/>
      <c r="G1432" s="70"/>
      <c r="H1432" s="71"/>
      <c r="I1432" s="71"/>
      <c r="J1432" s="22"/>
      <c r="K1432" s="22"/>
      <c r="L1432" s="22"/>
      <c r="M1432" s="22"/>
      <c r="N1432" s="22"/>
      <c r="O1432" s="73"/>
      <c r="P1432" s="8"/>
      <c r="Q1432" s="69"/>
      <c r="R1432" s="69"/>
      <c r="S1432" s="8"/>
      <c r="T1432" s="69"/>
      <c r="U1432" s="8"/>
      <c r="V1432" s="69"/>
      <c r="W1432" s="74"/>
      <c r="X1432" s="69"/>
    </row>
    <row r="1433">
      <c r="A1433" s="12"/>
      <c r="C1433" s="64"/>
      <c r="D1433" s="85"/>
      <c r="F1433" s="69"/>
      <c r="G1433" s="70"/>
      <c r="H1433" s="71"/>
      <c r="I1433" s="71"/>
      <c r="J1433" s="22"/>
      <c r="K1433" s="22"/>
      <c r="L1433" s="22"/>
      <c r="M1433" s="22"/>
      <c r="N1433" s="22"/>
      <c r="O1433" s="73"/>
      <c r="P1433" s="8"/>
      <c r="Q1433" s="69"/>
      <c r="R1433" s="69"/>
      <c r="S1433" s="8"/>
      <c r="T1433" s="69"/>
      <c r="U1433" s="8"/>
      <c r="V1433" s="69"/>
      <c r="W1433" s="74"/>
      <c r="X1433" s="69"/>
    </row>
    <row r="1434">
      <c r="A1434" s="12"/>
      <c r="C1434" s="64"/>
      <c r="D1434" s="85"/>
      <c r="F1434" s="69"/>
      <c r="G1434" s="70"/>
      <c r="H1434" s="71"/>
      <c r="I1434" s="71"/>
      <c r="J1434" s="22"/>
      <c r="K1434" s="22"/>
      <c r="L1434" s="22"/>
      <c r="M1434" s="22"/>
      <c r="N1434" s="22"/>
      <c r="O1434" s="73"/>
      <c r="P1434" s="8"/>
      <c r="Q1434" s="69"/>
      <c r="R1434" s="69"/>
      <c r="S1434" s="8"/>
      <c r="T1434" s="69"/>
      <c r="U1434" s="8"/>
      <c r="V1434" s="69"/>
      <c r="W1434" s="74"/>
      <c r="X1434" s="69"/>
    </row>
    <row r="1435">
      <c r="A1435" s="12"/>
      <c r="C1435" s="64"/>
      <c r="D1435" s="85"/>
      <c r="F1435" s="69"/>
      <c r="G1435" s="70"/>
      <c r="H1435" s="71"/>
      <c r="I1435" s="71"/>
      <c r="J1435" s="22"/>
      <c r="K1435" s="22"/>
      <c r="L1435" s="22"/>
      <c r="M1435" s="22"/>
      <c r="N1435" s="22"/>
      <c r="O1435" s="73"/>
      <c r="P1435" s="8"/>
      <c r="Q1435" s="69"/>
      <c r="R1435" s="69"/>
      <c r="S1435" s="8"/>
      <c r="T1435" s="69"/>
      <c r="U1435" s="8"/>
      <c r="V1435" s="69"/>
      <c r="W1435" s="74"/>
      <c r="X1435" s="69"/>
    </row>
    <row r="1436">
      <c r="A1436" s="12"/>
      <c r="C1436" s="64"/>
      <c r="D1436" s="85"/>
      <c r="F1436" s="69"/>
      <c r="G1436" s="70"/>
      <c r="H1436" s="71"/>
      <c r="I1436" s="71"/>
      <c r="J1436" s="22"/>
      <c r="K1436" s="22"/>
      <c r="L1436" s="22"/>
      <c r="M1436" s="22"/>
      <c r="N1436" s="22"/>
      <c r="O1436" s="73"/>
      <c r="P1436" s="8"/>
      <c r="Q1436" s="69"/>
      <c r="R1436" s="69"/>
      <c r="S1436" s="8"/>
      <c r="T1436" s="69"/>
      <c r="U1436" s="8"/>
      <c r="V1436" s="69"/>
      <c r="W1436" s="74"/>
      <c r="X1436" s="69"/>
    </row>
    <row r="1437">
      <c r="A1437" s="12"/>
      <c r="C1437" s="64"/>
      <c r="D1437" s="85"/>
      <c r="F1437" s="69"/>
      <c r="G1437" s="70"/>
      <c r="H1437" s="71"/>
      <c r="I1437" s="71"/>
      <c r="J1437" s="22"/>
      <c r="K1437" s="22"/>
      <c r="L1437" s="22"/>
      <c r="M1437" s="22"/>
      <c r="N1437" s="22"/>
      <c r="O1437" s="73"/>
      <c r="P1437" s="8"/>
      <c r="Q1437" s="69"/>
      <c r="R1437" s="69"/>
      <c r="S1437" s="8"/>
      <c r="T1437" s="69"/>
      <c r="U1437" s="8"/>
      <c r="V1437" s="69"/>
      <c r="W1437" s="74"/>
      <c r="X1437" s="69"/>
    </row>
    <row r="1438">
      <c r="A1438" s="12"/>
      <c r="C1438" s="64"/>
      <c r="D1438" s="85"/>
      <c r="F1438" s="69"/>
      <c r="G1438" s="70"/>
      <c r="H1438" s="71"/>
      <c r="I1438" s="71"/>
      <c r="J1438" s="22"/>
      <c r="K1438" s="22"/>
      <c r="L1438" s="22"/>
      <c r="M1438" s="22"/>
      <c r="N1438" s="22"/>
      <c r="O1438" s="73"/>
      <c r="P1438" s="8"/>
      <c r="Q1438" s="69"/>
      <c r="R1438" s="69"/>
      <c r="S1438" s="8"/>
      <c r="T1438" s="69"/>
      <c r="U1438" s="8"/>
      <c r="V1438" s="69"/>
      <c r="W1438" s="74"/>
      <c r="X1438" s="69"/>
    </row>
    <row r="1439">
      <c r="A1439" s="12"/>
      <c r="C1439" s="64"/>
      <c r="D1439" s="85"/>
      <c r="F1439" s="69"/>
      <c r="G1439" s="70"/>
      <c r="H1439" s="71"/>
      <c r="I1439" s="71"/>
      <c r="J1439" s="22"/>
      <c r="K1439" s="22"/>
      <c r="L1439" s="22"/>
      <c r="M1439" s="22"/>
      <c r="N1439" s="22"/>
      <c r="O1439" s="73"/>
      <c r="P1439" s="8"/>
      <c r="Q1439" s="69"/>
      <c r="R1439" s="69"/>
      <c r="S1439" s="8"/>
      <c r="T1439" s="69"/>
      <c r="U1439" s="8"/>
      <c r="V1439" s="69"/>
      <c r="W1439" s="74"/>
      <c r="X1439" s="69"/>
    </row>
    <row r="1440">
      <c r="A1440" s="12"/>
      <c r="C1440" s="64"/>
      <c r="D1440" s="85"/>
      <c r="F1440" s="69"/>
      <c r="G1440" s="70"/>
      <c r="H1440" s="71"/>
      <c r="I1440" s="71"/>
      <c r="J1440" s="22"/>
      <c r="K1440" s="22"/>
      <c r="L1440" s="22"/>
      <c r="M1440" s="22"/>
      <c r="N1440" s="22"/>
      <c r="O1440" s="73"/>
      <c r="P1440" s="8"/>
      <c r="Q1440" s="69"/>
      <c r="R1440" s="69"/>
      <c r="S1440" s="8"/>
      <c r="T1440" s="69"/>
      <c r="U1440" s="8"/>
      <c r="V1440" s="69"/>
      <c r="W1440" s="74"/>
      <c r="X1440" s="69"/>
    </row>
    <row r="1441">
      <c r="A1441" s="12"/>
      <c r="C1441" s="64"/>
      <c r="D1441" s="85"/>
      <c r="F1441" s="69"/>
      <c r="G1441" s="70"/>
      <c r="H1441" s="71"/>
      <c r="I1441" s="71"/>
      <c r="J1441" s="22"/>
      <c r="K1441" s="22"/>
      <c r="L1441" s="22"/>
      <c r="M1441" s="22"/>
      <c r="N1441" s="22"/>
      <c r="O1441" s="73"/>
      <c r="P1441" s="8"/>
      <c r="Q1441" s="69"/>
      <c r="R1441" s="69"/>
      <c r="S1441" s="8"/>
      <c r="T1441" s="69"/>
      <c r="U1441" s="8"/>
      <c r="V1441" s="69"/>
      <c r="W1441" s="74"/>
      <c r="X1441" s="69"/>
    </row>
    <row r="1442">
      <c r="A1442" s="12"/>
      <c r="C1442" s="64"/>
      <c r="D1442" s="85"/>
      <c r="F1442" s="69"/>
      <c r="G1442" s="70"/>
      <c r="H1442" s="71"/>
      <c r="I1442" s="71"/>
      <c r="J1442" s="22"/>
      <c r="K1442" s="22"/>
      <c r="L1442" s="22"/>
      <c r="M1442" s="22"/>
      <c r="N1442" s="22"/>
      <c r="O1442" s="73"/>
      <c r="P1442" s="8"/>
      <c r="Q1442" s="69"/>
      <c r="R1442" s="69"/>
      <c r="S1442" s="8"/>
      <c r="T1442" s="69"/>
      <c r="U1442" s="8"/>
      <c r="V1442" s="69"/>
      <c r="W1442" s="74"/>
      <c r="X1442" s="69"/>
    </row>
    <row r="1443">
      <c r="A1443" s="12"/>
      <c r="C1443" s="64"/>
      <c r="D1443" s="85"/>
      <c r="F1443" s="69"/>
      <c r="G1443" s="70"/>
      <c r="H1443" s="71"/>
      <c r="I1443" s="71"/>
      <c r="J1443" s="22"/>
      <c r="K1443" s="22"/>
      <c r="L1443" s="22"/>
      <c r="M1443" s="22"/>
      <c r="N1443" s="22"/>
      <c r="O1443" s="73"/>
      <c r="P1443" s="8"/>
      <c r="Q1443" s="69"/>
      <c r="R1443" s="69"/>
      <c r="S1443" s="8"/>
      <c r="T1443" s="69"/>
      <c r="U1443" s="8"/>
      <c r="V1443" s="69"/>
      <c r="W1443" s="74"/>
      <c r="X1443" s="69"/>
    </row>
    <row r="1444">
      <c r="A1444" s="12"/>
      <c r="C1444" s="64"/>
      <c r="D1444" s="85"/>
      <c r="F1444" s="69"/>
      <c r="G1444" s="70"/>
      <c r="H1444" s="71"/>
      <c r="I1444" s="71"/>
      <c r="J1444" s="22"/>
      <c r="K1444" s="22"/>
      <c r="L1444" s="22"/>
      <c r="M1444" s="22"/>
      <c r="N1444" s="22"/>
      <c r="O1444" s="73"/>
      <c r="P1444" s="8"/>
      <c r="Q1444" s="69"/>
      <c r="R1444" s="69"/>
      <c r="S1444" s="8"/>
      <c r="T1444" s="69"/>
      <c r="U1444" s="8"/>
      <c r="V1444" s="69"/>
      <c r="W1444" s="74"/>
      <c r="X1444" s="69"/>
    </row>
    <row r="1445">
      <c r="A1445" s="12"/>
      <c r="C1445" s="64"/>
      <c r="D1445" s="85"/>
      <c r="F1445" s="69"/>
      <c r="G1445" s="70"/>
      <c r="H1445" s="71"/>
      <c r="I1445" s="71"/>
      <c r="J1445" s="22"/>
      <c r="K1445" s="22"/>
      <c r="L1445" s="22"/>
      <c r="M1445" s="22"/>
      <c r="N1445" s="22"/>
      <c r="O1445" s="73"/>
      <c r="P1445" s="8"/>
      <c r="Q1445" s="69"/>
      <c r="R1445" s="69"/>
      <c r="S1445" s="8"/>
      <c r="T1445" s="69"/>
      <c r="U1445" s="8"/>
      <c r="V1445" s="69"/>
      <c r="W1445" s="74"/>
      <c r="X1445" s="69"/>
    </row>
    <row r="1446">
      <c r="A1446" s="12"/>
      <c r="C1446" s="64"/>
      <c r="D1446" s="85"/>
      <c r="F1446" s="69"/>
      <c r="G1446" s="70"/>
      <c r="H1446" s="71"/>
      <c r="I1446" s="71"/>
      <c r="J1446" s="22"/>
      <c r="K1446" s="22"/>
      <c r="L1446" s="22"/>
      <c r="M1446" s="22"/>
      <c r="N1446" s="22"/>
      <c r="O1446" s="73"/>
      <c r="P1446" s="8"/>
      <c r="Q1446" s="69"/>
      <c r="R1446" s="69"/>
      <c r="S1446" s="8"/>
      <c r="T1446" s="69"/>
      <c r="U1446" s="8"/>
      <c r="V1446" s="69"/>
      <c r="W1446" s="74"/>
      <c r="X1446" s="69"/>
    </row>
    <row r="1447">
      <c r="A1447" s="12"/>
      <c r="C1447" s="64"/>
      <c r="D1447" s="85"/>
      <c r="F1447" s="69"/>
      <c r="G1447" s="70"/>
      <c r="H1447" s="71"/>
      <c r="I1447" s="71"/>
      <c r="J1447" s="22"/>
      <c r="K1447" s="22"/>
      <c r="L1447" s="22"/>
      <c r="M1447" s="22"/>
      <c r="N1447" s="22"/>
      <c r="O1447" s="73"/>
      <c r="P1447" s="8"/>
      <c r="Q1447" s="69"/>
      <c r="R1447" s="69"/>
      <c r="S1447" s="8"/>
      <c r="T1447" s="69"/>
      <c r="U1447" s="8"/>
      <c r="V1447" s="69"/>
      <c r="W1447" s="74"/>
      <c r="X1447" s="69"/>
    </row>
    <row r="1448">
      <c r="A1448" s="12"/>
      <c r="C1448" s="64"/>
      <c r="D1448" s="85"/>
      <c r="F1448" s="69"/>
      <c r="G1448" s="70"/>
      <c r="H1448" s="71"/>
      <c r="I1448" s="71"/>
      <c r="J1448" s="22"/>
      <c r="K1448" s="22"/>
      <c r="L1448" s="22"/>
      <c r="M1448" s="22"/>
      <c r="N1448" s="22"/>
      <c r="O1448" s="73"/>
      <c r="P1448" s="8"/>
      <c r="Q1448" s="69"/>
      <c r="R1448" s="69"/>
      <c r="S1448" s="8"/>
      <c r="T1448" s="69"/>
      <c r="U1448" s="8"/>
      <c r="V1448" s="69"/>
      <c r="W1448" s="74"/>
      <c r="X1448" s="69"/>
    </row>
    <row r="1449">
      <c r="A1449" s="12"/>
      <c r="C1449" s="64"/>
      <c r="D1449" s="85"/>
      <c r="F1449" s="69"/>
      <c r="G1449" s="70"/>
      <c r="H1449" s="71"/>
      <c r="I1449" s="71"/>
      <c r="J1449" s="22"/>
      <c r="K1449" s="22"/>
      <c r="L1449" s="22"/>
      <c r="M1449" s="22"/>
      <c r="N1449" s="22"/>
      <c r="O1449" s="73"/>
      <c r="P1449" s="8"/>
      <c r="Q1449" s="69"/>
      <c r="R1449" s="69"/>
      <c r="S1449" s="8"/>
      <c r="T1449" s="69"/>
      <c r="U1449" s="8"/>
      <c r="V1449" s="69"/>
      <c r="W1449" s="74"/>
      <c r="X1449" s="69"/>
    </row>
    <row r="1450">
      <c r="A1450" s="12"/>
      <c r="C1450" s="64"/>
      <c r="D1450" s="85"/>
      <c r="F1450" s="69"/>
      <c r="G1450" s="70"/>
      <c r="H1450" s="71"/>
      <c r="I1450" s="71"/>
      <c r="J1450" s="22"/>
      <c r="K1450" s="22"/>
      <c r="L1450" s="22"/>
      <c r="M1450" s="22"/>
      <c r="N1450" s="22"/>
      <c r="O1450" s="73"/>
      <c r="P1450" s="8"/>
      <c r="Q1450" s="69"/>
      <c r="R1450" s="69"/>
      <c r="S1450" s="8"/>
      <c r="T1450" s="69"/>
      <c r="U1450" s="8"/>
      <c r="V1450" s="69"/>
      <c r="W1450" s="74"/>
      <c r="X1450" s="69"/>
    </row>
    <row r="1451">
      <c r="A1451" s="12"/>
      <c r="C1451" s="64"/>
      <c r="D1451" s="85"/>
      <c r="F1451" s="69"/>
      <c r="G1451" s="70"/>
      <c r="H1451" s="71"/>
      <c r="I1451" s="71"/>
      <c r="J1451" s="22"/>
      <c r="K1451" s="22"/>
      <c r="L1451" s="22"/>
      <c r="M1451" s="22"/>
      <c r="N1451" s="22"/>
      <c r="O1451" s="73"/>
      <c r="P1451" s="8"/>
      <c r="Q1451" s="69"/>
      <c r="R1451" s="69"/>
      <c r="S1451" s="8"/>
      <c r="T1451" s="69"/>
      <c r="U1451" s="8"/>
      <c r="V1451" s="69"/>
      <c r="W1451" s="74"/>
      <c r="X1451" s="69"/>
    </row>
    <row r="1452">
      <c r="A1452" s="12"/>
      <c r="C1452" s="64"/>
      <c r="D1452" s="85"/>
      <c r="F1452" s="69"/>
      <c r="G1452" s="70"/>
      <c r="H1452" s="71"/>
      <c r="I1452" s="71"/>
      <c r="J1452" s="22"/>
      <c r="K1452" s="22"/>
      <c r="L1452" s="22"/>
      <c r="M1452" s="22"/>
      <c r="N1452" s="22"/>
      <c r="O1452" s="73"/>
      <c r="P1452" s="8"/>
      <c r="Q1452" s="69"/>
      <c r="R1452" s="69"/>
      <c r="S1452" s="8"/>
      <c r="T1452" s="69"/>
      <c r="U1452" s="8"/>
      <c r="V1452" s="69"/>
      <c r="W1452" s="74"/>
      <c r="X1452" s="69"/>
    </row>
    <row r="1453">
      <c r="A1453" s="12"/>
      <c r="C1453" s="64"/>
      <c r="D1453" s="85"/>
      <c r="F1453" s="69"/>
      <c r="G1453" s="70"/>
      <c r="H1453" s="71"/>
      <c r="I1453" s="71"/>
      <c r="J1453" s="22"/>
      <c r="K1453" s="22"/>
      <c r="L1453" s="22"/>
      <c r="M1453" s="22"/>
      <c r="N1453" s="22"/>
      <c r="O1453" s="73"/>
      <c r="P1453" s="8"/>
      <c r="Q1453" s="69"/>
      <c r="R1453" s="69"/>
      <c r="S1453" s="8"/>
      <c r="T1453" s="69"/>
      <c r="U1453" s="8"/>
      <c r="V1453" s="69"/>
      <c r="W1453" s="74"/>
      <c r="X1453" s="69"/>
    </row>
    <row r="1454">
      <c r="A1454" s="12"/>
      <c r="C1454" s="64"/>
      <c r="D1454" s="85"/>
      <c r="F1454" s="69"/>
      <c r="G1454" s="70"/>
      <c r="H1454" s="71"/>
      <c r="I1454" s="71"/>
      <c r="J1454" s="22"/>
      <c r="K1454" s="22"/>
      <c r="L1454" s="22"/>
      <c r="M1454" s="22"/>
      <c r="N1454" s="22"/>
      <c r="O1454" s="73"/>
      <c r="P1454" s="8"/>
      <c r="Q1454" s="69"/>
      <c r="R1454" s="69"/>
      <c r="S1454" s="8"/>
      <c r="T1454" s="69"/>
      <c r="U1454" s="8"/>
      <c r="V1454" s="69"/>
      <c r="W1454" s="74"/>
      <c r="X1454" s="69"/>
    </row>
    <row r="1455">
      <c r="A1455" s="12"/>
      <c r="C1455" s="64"/>
      <c r="D1455" s="85"/>
      <c r="F1455" s="69"/>
      <c r="G1455" s="70"/>
      <c r="H1455" s="71"/>
      <c r="I1455" s="71"/>
      <c r="J1455" s="22"/>
      <c r="K1455" s="22"/>
      <c r="L1455" s="22"/>
      <c r="M1455" s="22"/>
      <c r="N1455" s="22"/>
      <c r="O1455" s="73"/>
      <c r="P1455" s="8"/>
      <c r="Q1455" s="69"/>
      <c r="R1455" s="69"/>
      <c r="S1455" s="8"/>
      <c r="T1455" s="69"/>
      <c r="U1455" s="8"/>
      <c r="V1455" s="69"/>
      <c r="W1455" s="74"/>
      <c r="X1455" s="69"/>
    </row>
    <row r="1456">
      <c r="A1456" s="12"/>
      <c r="C1456" s="64"/>
      <c r="D1456" s="85"/>
      <c r="F1456" s="69"/>
      <c r="G1456" s="70"/>
      <c r="H1456" s="71"/>
      <c r="I1456" s="71"/>
      <c r="J1456" s="22"/>
      <c r="K1456" s="22"/>
      <c r="L1456" s="22"/>
      <c r="M1456" s="22"/>
      <c r="N1456" s="22"/>
      <c r="O1456" s="73"/>
      <c r="P1456" s="8"/>
      <c r="Q1456" s="69"/>
      <c r="R1456" s="69"/>
      <c r="S1456" s="8"/>
      <c r="T1456" s="69"/>
      <c r="U1456" s="8"/>
      <c r="V1456" s="69"/>
      <c r="W1456" s="74"/>
      <c r="X1456" s="69"/>
    </row>
    <row r="1457">
      <c r="A1457" s="12"/>
      <c r="C1457" s="64"/>
      <c r="D1457" s="85"/>
      <c r="F1457" s="69"/>
      <c r="G1457" s="70"/>
      <c r="H1457" s="71"/>
      <c r="I1457" s="71"/>
      <c r="J1457" s="22"/>
      <c r="K1457" s="22"/>
      <c r="L1457" s="22"/>
      <c r="M1457" s="22"/>
      <c r="N1457" s="22"/>
      <c r="O1457" s="73"/>
      <c r="P1457" s="8"/>
      <c r="Q1457" s="69"/>
      <c r="R1457" s="69"/>
      <c r="S1457" s="8"/>
      <c r="T1457" s="69"/>
      <c r="U1457" s="8"/>
      <c r="V1457" s="69"/>
      <c r="W1457" s="74"/>
      <c r="X1457" s="69"/>
    </row>
    <row r="1458">
      <c r="A1458" s="12"/>
      <c r="C1458" s="64"/>
      <c r="D1458" s="85"/>
      <c r="F1458" s="69"/>
      <c r="G1458" s="70"/>
      <c r="H1458" s="71"/>
      <c r="I1458" s="71"/>
      <c r="J1458" s="22"/>
      <c r="K1458" s="22"/>
      <c r="L1458" s="22"/>
      <c r="M1458" s="22"/>
      <c r="N1458" s="22"/>
      <c r="O1458" s="73"/>
      <c r="P1458" s="8"/>
      <c r="Q1458" s="69"/>
      <c r="R1458" s="69"/>
      <c r="S1458" s="8"/>
      <c r="T1458" s="69"/>
      <c r="U1458" s="8"/>
      <c r="V1458" s="69"/>
      <c r="W1458" s="74"/>
      <c r="X1458" s="69"/>
    </row>
    <row r="1459">
      <c r="A1459" s="12"/>
      <c r="C1459" s="64"/>
      <c r="D1459" s="85"/>
      <c r="F1459" s="69"/>
      <c r="G1459" s="70"/>
      <c r="H1459" s="71"/>
      <c r="I1459" s="71"/>
      <c r="J1459" s="22"/>
      <c r="K1459" s="22"/>
      <c r="L1459" s="22"/>
      <c r="M1459" s="22"/>
      <c r="N1459" s="22"/>
      <c r="O1459" s="73"/>
      <c r="P1459" s="8"/>
      <c r="Q1459" s="69"/>
      <c r="R1459" s="69"/>
      <c r="S1459" s="8"/>
      <c r="T1459" s="69"/>
      <c r="U1459" s="8"/>
      <c r="V1459" s="69"/>
      <c r="W1459" s="74"/>
      <c r="X1459" s="69"/>
    </row>
    <row r="1460">
      <c r="A1460" s="12"/>
      <c r="C1460" s="64"/>
      <c r="D1460" s="85"/>
      <c r="F1460" s="69"/>
      <c r="G1460" s="70"/>
      <c r="H1460" s="71"/>
      <c r="I1460" s="71"/>
      <c r="J1460" s="22"/>
      <c r="K1460" s="22"/>
      <c r="L1460" s="22"/>
      <c r="M1460" s="22"/>
      <c r="N1460" s="22"/>
      <c r="O1460" s="73"/>
      <c r="P1460" s="8"/>
      <c r="Q1460" s="69"/>
      <c r="R1460" s="69"/>
      <c r="S1460" s="8"/>
      <c r="T1460" s="69"/>
      <c r="U1460" s="8"/>
      <c r="V1460" s="69"/>
      <c r="W1460" s="74"/>
      <c r="X1460" s="69"/>
    </row>
    <row r="1461">
      <c r="A1461" s="12"/>
      <c r="C1461" s="64"/>
      <c r="D1461" s="85"/>
      <c r="F1461" s="69"/>
      <c r="G1461" s="70"/>
      <c r="H1461" s="71"/>
      <c r="I1461" s="71"/>
      <c r="J1461" s="22"/>
      <c r="K1461" s="22"/>
      <c r="L1461" s="22"/>
      <c r="M1461" s="22"/>
      <c r="N1461" s="22"/>
      <c r="O1461" s="73"/>
      <c r="P1461" s="8"/>
      <c r="Q1461" s="69"/>
      <c r="R1461" s="69"/>
      <c r="S1461" s="8"/>
      <c r="T1461" s="69"/>
      <c r="U1461" s="8"/>
      <c r="V1461" s="69"/>
      <c r="W1461" s="74"/>
      <c r="X1461" s="69"/>
    </row>
    <row r="1462">
      <c r="A1462" s="12"/>
      <c r="C1462" s="64"/>
      <c r="D1462" s="85"/>
      <c r="F1462" s="69"/>
      <c r="G1462" s="70"/>
      <c r="H1462" s="71"/>
      <c r="I1462" s="71"/>
      <c r="J1462" s="22"/>
      <c r="K1462" s="22"/>
      <c r="L1462" s="22"/>
      <c r="M1462" s="22"/>
      <c r="N1462" s="22"/>
      <c r="O1462" s="73"/>
      <c r="P1462" s="8"/>
      <c r="Q1462" s="69"/>
      <c r="R1462" s="69"/>
      <c r="S1462" s="8"/>
      <c r="T1462" s="69"/>
      <c r="U1462" s="8"/>
      <c r="V1462" s="69"/>
      <c r="W1462" s="74"/>
      <c r="X1462" s="69"/>
    </row>
    <row r="1463">
      <c r="A1463" s="12"/>
      <c r="C1463" s="64"/>
      <c r="D1463" s="85"/>
      <c r="F1463" s="69"/>
      <c r="G1463" s="70"/>
      <c r="H1463" s="71"/>
      <c r="I1463" s="71"/>
      <c r="J1463" s="22"/>
      <c r="K1463" s="22"/>
      <c r="L1463" s="22"/>
      <c r="M1463" s="22"/>
      <c r="N1463" s="22"/>
      <c r="O1463" s="73"/>
      <c r="P1463" s="8"/>
      <c r="Q1463" s="69"/>
      <c r="R1463" s="69"/>
      <c r="S1463" s="8"/>
      <c r="T1463" s="69"/>
      <c r="U1463" s="8"/>
      <c r="V1463" s="69"/>
      <c r="W1463" s="74"/>
      <c r="X1463" s="69"/>
    </row>
    <row r="1464">
      <c r="A1464" s="12"/>
      <c r="C1464" s="64"/>
      <c r="D1464" s="85"/>
      <c r="F1464" s="69"/>
      <c r="G1464" s="70"/>
      <c r="H1464" s="71"/>
      <c r="I1464" s="71"/>
      <c r="J1464" s="22"/>
      <c r="K1464" s="22"/>
      <c r="L1464" s="22"/>
      <c r="M1464" s="22"/>
      <c r="N1464" s="22"/>
      <c r="O1464" s="73"/>
      <c r="P1464" s="8"/>
      <c r="Q1464" s="69"/>
      <c r="R1464" s="69"/>
      <c r="S1464" s="8"/>
      <c r="T1464" s="69"/>
      <c r="U1464" s="8"/>
      <c r="V1464" s="69"/>
      <c r="W1464" s="74"/>
      <c r="X1464" s="69"/>
    </row>
    <row r="1465">
      <c r="A1465" s="12"/>
      <c r="C1465" s="64"/>
      <c r="D1465" s="85"/>
      <c r="F1465" s="69"/>
      <c r="G1465" s="70"/>
      <c r="H1465" s="71"/>
      <c r="I1465" s="71"/>
      <c r="J1465" s="22"/>
      <c r="K1465" s="22"/>
      <c r="L1465" s="22"/>
      <c r="M1465" s="22"/>
      <c r="N1465" s="22"/>
      <c r="O1465" s="73"/>
      <c r="P1465" s="8"/>
      <c r="Q1465" s="69"/>
      <c r="R1465" s="69"/>
      <c r="S1465" s="8"/>
      <c r="T1465" s="69"/>
      <c r="U1465" s="8"/>
      <c r="V1465" s="69"/>
      <c r="W1465" s="74"/>
      <c r="X1465" s="69"/>
    </row>
    <row r="1466">
      <c r="A1466" s="12"/>
      <c r="C1466" s="64"/>
      <c r="D1466" s="85"/>
      <c r="F1466" s="69"/>
      <c r="G1466" s="70"/>
      <c r="H1466" s="71"/>
      <c r="I1466" s="71"/>
      <c r="J1466" s="22"/>
      <c r="K1466" s="22"/>
      <c r="L1466" s="22"/>
      <c r="M1466" s="22"/>
      <c r="N1466" s="22"/>
      <c r="O1466" s="73"/>
      <c r="P1466" s="8"/>
      <c r="Q1466" s="69"/>
      <c r="R1466" s="69"/>
      <c r="S1466" s="8"/>
      <c r="T1466" s="69"/>
      <c r="U1466" s="8"/>
      <c r="V1466" s="69"/>
      <c r="W1466" s="74"/>
      <c r="X1466" s="69"/>
    </row>
    <row r="1467">
      <c r="A1467" s="12"/>
      <c r="C1467" s="64"/>
      <c r="D1467" s="85"/>
      <c r="F1467" s="69"/>
      <c r="G1467" s="70"/>
      <c r="H1467" s="71"/>
      <c r="I1467" s="71"/>
      <c r="J1467" s="22"/>
      <c r="K1467" s="22"/>
      <c r="L1467" s="22"/>
      <c r="M1467" s="22"/>
      <c r="N1467" s="22"/>
      <c r="O1467" s="73"/>
      <c r="P1467" s="8"/>
      <c r="Q1467" s="69"/>
      <c r="R1467" s="69"/>
      <c r="S1467" s="8"/>
      <c r="T1467" s="69"/>
      <c r="U1467" s="8"/>
      <c r="V1467" s="69"/>
      <c r="W1467" s="74"/>
      <c r="X1467" s="69"/>
    </row>
    <row r="1468">
      <c r="A1468" s="12"/>
      <c r="C1468" s="64"/>
      <c r="D1468" s="85"/>
      <c r="F1468" s="69"/>
      <c r="G1468" s="70"/>
      <c r="H1468" s="71"/>
      <c r="I1468" s="71"/>
      <c r="J1468" s="22"/>
      <c r="K1468" s="22"/>
      <c r="L1468" s="22"/>
      <c r="M1468" s="22"/>
      <c r="N1468" s="22"/>
      <c r="O1468" s="73"/>
      <c r="P1468" s="8"/>
      <c r="Q1468" s="69"/>
      <c r="R1468" s="69"/>
      <c r="S1468" s="8"/>
      <c r="T1468" s="69"/>
      <c r="U1468" s="8"/>
      <c r="V1468" s="69"/>
      <c r="W1468" s="74"/>
      <c r="X1468" s="69"/>
    </row>
    <row r="1469">
      <c r="A1469" s="12"/>
      <c r="C1469" s="64"/>
      <c r="D1469" s="85"/>
      <c r="F1469" s="69"/>
      <c r="G1469" s="70"/>
      <c r="H1469" s="71"/>
      <c r="I1469" s="71"/>
      <c r="J1469" s="22"/>
      <c r="K1469" s="22"/>
      <c r="L1469" s="22"/>
      <c r="M1469" s="22"/>
      <c r="N1469" s="22"/>
      <c r="O1469" s="73"/>
      <c r="P1469" s="8"/>
      <c r="Q1469" s="69"/>
      <c r="R1469" s="69"/>
      <c r="S1469" s="8"/>
      <c r="T1469" s="69"/>
      <c r="U1469" s="8"/>
      <c r="V1469" s="69"/>
      <c r="W1469" s="74"/>
      <c r="X1469" s="69"/>
    </row>
    <row r="1470">
      <c r="A1470" s="12"/>
      <c r="C1470" s="64"/>
      <c r="D1470" s="85"/>
      <c r="F1470" s="69"/>
      <c r="G1470" s="70"/>
      <c r="H1470" s="71"/>
      <c r="I1470" s="71"/>
      <c r="J1470" s="22"/>
      <c r="K1470" s="22"/>
      <c r="L1470" s="22"/>
      <c r="M1470" s="22"/>
      <c r="N1470" s="22"/>
      <c r="O1470" s="73"/>
      <c r="P1470" s="8"/>
      <c r="Q1470" s="69"/>
      <c r="R1470" s="69"/>
      <c r="S1470" s="8"/>
      <c r="T1470" s="69"/>
      <c r="U1470" s="8"/>
      <c r="V1470" s="69"/>
      <c r="W1470" s="74"/>
      <c r="X1470" s="69"/>
    </row>
    <row r="1471">
      <c r="A1471" s="12"/>
      <c r="C1471" s="64"/>
      <c r="D1471" s="85"/>
      <c r="F1471" s="69"/>
      <c r="G1471" s="70"/>
      <c r="H1471" s="71"/>
      <c r="I1471" s="71"/>
      <c r="J1471" s="22"/>
      <c r="K1471" s="22"/>
      <c r="L1471" s="22"/>
      <c r="M1471" s="22"/>
      <c r="N1471" s="22"/>
      <c r="O1471" s="73"/>
      <c r="P1471" s="8"/>
      <c r="Q1471" s="69"/>
      <c r="R1471" s="69"/>
      <c r="S1471" s="8"/>
      <c r="T1471" s="69"/>
      <c r="U1471" s="8"/>
      <c r="V1471" s="69"/>
      <c r="W1471" s="74"/>
      <c r="X1471" s="69"/>
    </row>
    <row r="1472">
      <c r="A1472" s="12"/>
      <c r="C1472" s="64"/>
      <c r="D1472" s="85"/>
      <c r="F1472" s="69"/>
      <c r="G1472" s="70"/>
      <c r="H1472" s="71"/>
      <c r="I1472" s="71"/>
      <c r="J1472" s="22"/>
      <c r="K1472" s="22"/>
      <c r="L1472" s="22"/>
      <c r="M1472" s="22"/>
      <c r="N1472" s="22"/>
      <c r="O1472" s="73"/>
      <c r="P1472" s="8"/>
      <c r="Q1472" s="69"/>
      <c r="R1472" s="69"/>
      <c r="S1472" s="8"/>
      <c r="T1472" s="69"/>
      <c r="U1472" s="8"/>
      <c r="V1472" s="69"/>
      <c r="W1472" s="74"/>
      <c r="X1472" s="69"/>
    </row>
    <row r="1473">
      <c r="A1473" s="12"/>
      <c r="C1473" s="64"/>
      <c r="D1473" s="85"/>
      <c r="F1473" s="69"/>
      <c r="G1473" s="70"/>
      <c r="H1473" s="71"/>
      <c r="I1473" s="71"/>
      <c r="J1473" s="22"/>
      <c r="K1473" s="22"/>
      <c r="L1473" s="22"/>
      <c r="M1473" s="22"/>
      <c r="N1473" s="22"/>
      <c r="O1473" s="73"/>
      <c r="P1473" s="8"/>
      <c r="Q1473" s="69"/>
      <c r="R1473" s="69"/>
      <c r="S1473" s="8"/>
      <c r="T1473" s="69"/>
      <c r="U1473" s="8"/>
      <c r="V1473" s="69"/>
      <c r="W1473" s="74"/>
      <c r="X1473" s="69"/>
    </row>
    <row r="1474">
      <c r="A1474" s="12"/>
      <c r="C1474" s="64"/>
      <c r="D1474" s="85"/>
      <c r="F1474" s="69"/>
      <c r="G1474" s="70"/>
      <c r="H1474" s="71"/>
      <c r="I1474" s="71"/>
      <c r="J1474" s="22"/>
      <c r="K1474" s="22"/>
      <c r="L1474" s="22"/>
      <c r="M1474" s="22"/>
      <c r="N1474" s="22"/>
      <c r="O1474" s="73"/>
      <c r="P1474" s="8"/>
      <c r="Q1474" s="69"/>
      <c r="R1474" s="69"/>
      <c r="S1474" s="8"/>
      <c r="T1474" s="69"/>
      <c r="U1474" s="8"/>
      <c r="V1474" s="69"/>
      <c r="W1474" s="74"/>
      <c r="X1474" s="69"/>
    </row>
    <row r="1475">
      <c r="A1475" s="12"/>
      <c r="C1475" s="64"/>
      <c r="D1475" s="85"/>
      <c r="F1475" s="69"/>
      <c r="G1475" s="70"/>
      <c r="H1475" s="71"/>
      <c r="I1475" s="71"/>
      <c r="J1475" s="22"/>
      <c r="K1475" s="22"/>
      <c r="L1475" s="22"/>
      <c r="M1475" s="22"/>
      <c r="N1475" s="22"/>
      <c r="O1475" s="73"/>
      <c r="P1475" s="8"/>
      <c r="Q1475" s="69"/>
      <c r="R1475" s="69"/>
      <c r="S1475" s="8"/>
      <c r="T1475" s="69"/>
      <c r="U1475" s="8"/>
      <c r="V1475" s="69"/>
      <c r="W1475" s="74"/>
      <c r="X1475" s="69"/>
    </row>
    <row r="1476">
      <c r="A1476" s="12"/>
      <c r="C1476" s="64"/>
      <c r="D1476" s="85"/>
      <c r="F1476" s="69"/>
      <c r="G1476" s="70"/>
      <c r="H1476" s="71"/>
      <c r="I1476" s="71"/>
      <c r="J1476" s="22"/>
      <c r="K1476" s="22"/>
      <c r="L1476" s="22"/>
      <c r="M1476" s="22"/>
      <c r="N1476" s="22"/>
      <c r="O1476" s="73"/>
      <c r="P1476" s="8"/>
      <c r="Q1476" s="69"/>
      <c r="R1476" s="69"/>
      <c r="S1476" s="8"/>
      <c r="T1476" s="69"/>
      <c r="U1476" s="8"/>
      <c r="V1476" s="69"/>
      <c r="W1476" s="74"/>
      <c r="X1476" s="69"/>
    </row>
    <row r="1477">
      <c r="A1477" s="12"/>
      <c r="C1477" s="64"/>
      <c r="D1477" s="85"/>
      <c r="F1477" s="69"/>
      <c r="G1477" s="70"/>
      <c r="H1477" s="71"/>
      <c r="I1477" s="71"/>
      <c r="J1477" s="22"/>
      <c r="K1477" s="22"/>
      <c r="L1477" s="22"/>
      <c r="M1477" s="22"/>
      <c r="N1477" s="22"/>
      <c r="O1477" s="73"/>
      <c r="P1477" s="8"/>
      <c r="Q1477" s="69"/>
      <c r="R1477" s="69"/>
      <c r="S1477" s="8"/>
      <c r="T1477" s="69"/>
      <c r="U1477" s="8"/>
      <c r="V1477" s="69"/>
      <c r="W1477" s="74"/>
      <c r="X1477" s="69"/>
    </row>
    <row r="1478">
      <c r="A1478" s="12"/>
      <c r="C1478" s="64"/>
      <c r="D1478" s="85"/>
      <c r="F1478" s="69"/>
      <c r="G1478" s="70"/>
      <c r="H1478" s="71"/>
      <c r="I1478" s="71"/>
      <c r="J1478" s="22"/>
      <c r="K1478" s="22"/>
      <c r="L1478" s="22"/>
      <c r="M1478" s="22"/>
      <c r="N1478" s="22"/>
      <c r="O1478" s="73"/>
      <c r="P1478" s="8"/>
      <c r="Q1478" s="69"/>
      <c r="R1478" s="69"/>
      <c r="S1478" s="8"/>
      <c r="T1478" s="69"/>
      <c r="U1478" s="8"/>
      <c r="V1478" s="69"/>
      <c r="W1478" s="74"/>
      <c r="X1478" s="69"/>
    </row>
    <row r="1479">
      <c r="A1479" s="12"/>
      <c r="C1479" s="64"/>
      <c r="D1479" s="85"/>
      <c r="F1479" s="69"/>
      <c r="G1479" s="70"/>
      <c r="H1479" s="71"/>
      <c r="I1479" s="71"/>
      <c r="J1479" s="22"/>
      <c r="K1479" s="22"/>
      <c r="L1479" s="22"/>
      <c r="M1479" s="22"/>
      <c r="N1479" s="22"/>
      <c r="O1479" s="73"/>
      <c r="P1479" s="8"/>
      <c r="Q1479" s="69"/>
      <c r="R1479" s="69"/>
      <c r="S1479" s="8"/>
      <c r="T1479" s="69"/>
      <c r="U1479" s="8"/>
      <c r="V1479" s="69"/>
      <c r="W1479" s="74"/>
      <c r="X1479" s="69"/>
    </row>
    <row r="1480">
      <c r="A1480" s="12"/>
      <c r="C1480" s="64"/>
      <c r="D1480" s="85"/>
      <c r="F1480" s="69"/>
      <c r="G1480" s="70"/>
      <c r="H1480" s="71"/>
      <c r="I1480" s="71"/>
      <c r="J1480" s="22"/>
      <c r="K1480" s="22"/>
      <c r="L1480" s="22"/>
      <c r="M1480" s="22"/>
      <c r="N1480" s="22"/>
      <c r="O1480" s="73"/>
      <c r="P1480" s="8"/>
      <c r="Q1480" s="69"/>
      <c r="R1480" s="69"/>
      <c r="S1480" s="8"/>
      <c r="T1480" s="69"/>
      <c r="U1480" s="8"/>
      <c r="V1480" s="69"/>
      <c r="W1480" s="74"/>
      <c r="X1480" s="69"/>
    </row>
    <row r="1481">
      <c r="A1481" s="12"/>
      <c r="C1481" s="64"/>
      <c r="D1481" s="85"/>
      <c r="F1481" s="69"/>
      <c r="G1481" s="70"/>
      <c r="H1481" s="71"/>
      <c r="I1481" s="71"/>
      <c r="J1481" s="22"/>
      <c r="K1481" s="22"/>
      <c r="L1481" s="22"/>
      <c r="M1481" s="22"/>
      <c r="N1481" s="22"/>
      <c r="O1481" s="73"/>
      <c r="P1481" s="8"/>
      <c r="Q1481" s="69"/>
      <c r="R1481" s="69"/>
      <c r="S1481" s="8"/>
      <c r="T1481" s="69"/>
      <c r="U1481" s="8"/>
      <c r="V1481" s="69"/>
      <c r="W1481" s="74"/>
      <c r="X1481" s="69"/>
    </row>
    <row r="1482">
      <c r="A1482" s="12"/>
      <c r="C1482" s="64"/>
      <c r="D1482" s="85"/>
      <c r="F1482" s="69"/>
      <c r="G1482" s="70"/>
      <c r="H1482" s="71"/>
      <c r="I1482" s="71"/>
      <c r="J1482" s="22"/>
      <c r="K1482" s="22"/>
      <c r="L1482" s="22"/>
      <c r="M1482" s="22"/>
      <c r="N1482" s="22"/>
      <c r="O1482" s="73"/>
      <c r="P1482" s="8"/>
      <c r="Q1482" s="69"/>
      <c r="R1482" s="69"/>
      <c r="S1482" s="8"/>
      <c r="T1482" s="69"/>
      <c r="U1482" s="8"/>
      <c r="V1482" s="69"/>
      <c r="W1482" s="74"/>
      <c r="X1482" s="69"/>
    </row>
    <row r="1483">
      <c r="A1483" s="12"/>
      <c r="C1483" s="64"/>
      <c r="D1483" s="85"/>
      <c r="F1483" s="69"/>
      <c r="G1483" s="70"/>
      <c r="H1483" s="71"/>
      <c r="I1483" s="71"/>
      <c r="J1483" s="22"/>
      <c r="K1483" s="22"/>
      <c r="L1483" s="22"/>
      <c r="M1483" s="22"/>
      <c r="N1483" s="22"/>
      <c r="O1483" s="73"/>
      <c r="P1483" s="8"/>
      <c r="Q1483" s="69"/>
      <c r="R1483" s="69"/>
      <c r="S1483" s="8"/>
      <c r="T1483" s="69"/>
      <c r="U1483" s="8"/>
      <c r="V1483" s="69"/>
      <c r="W1483" s="74"/>
      <c r="X1483" s="69"/>
    </row>
    <row r="1484">
      <c r="A1484" s="12"/>
      <c r="C1484" s="64"/>
      <c r="D1484" s="85"/>
      <c r="F1484" s="69"/>
      <c r="G1484" s="70"/>
      <c r="H1484" s="71"/>
      <c r="I1484" s="71"/>
      <c r="J1484" s="22"/>
      <c r="K1484" s="22"/>
      <c r="L1484" s="22"/>
      <c r="M1484" s="22"/>
      <c r="N1484" s="22"/>
      <c r="O1484" s="73"/>
      <c r="P1484" s="8"/>
      <c r="Q1484" s="69"/>
      <c r="R1484" s="69"/>
      <c r="S1484" s="8"/>
      <c r="T1484" s="69"/>
      <c r="U1484" s="8"/>
      <c r="V1484" s="69"/>
      <c r="W1484" s="74"/>
      <c r="X1484" s="69"/>
    </row>
    <row r="1485">
      <c r="A1485" s="12"/>
      <c r="C1485" s="64"/>
      <c r="D1485" s="85"/>
      <c r="F1485" s="69"/>
      <c r="G1485" s="70"/>
      <c r="H1485" s="71"/>
      <c r="I1485" s="71"/>
      <c r="J1485" s="22"/>
      <c r="K1485" s="22"/>
      <c r="L1485" s="22"/>
      <c r="M1485" s="22"/>
      <c r="N1485" s="22"/>
      <c r="O1485" s="73"/>
      <c r="P1485" s="8"/>
      <c r="Q1485" s="69"/>
      <c r="R1485" s="69"/>
      <c r="S1485" s="8"/>
      <c r="T1485" s="69"/>
      <c r="U1485" s="8"/>
      <c r="V1485" s="69"/>
      <c r="W1485" s="74"/>
      <c r="X1485" s="69"/>
    </row>
    <row r="1486">
      <c r="A1486" s="12"/>
      <c r="C1486" s="64"/>
      <c r="D1486" s="85"/>
      <c r="F1486" s="69"/>
      <c r="G1486" s="70"/>
      <c r="H1486" s="71"/>
      <c r="I1486" s="71"/>
      <c r="J1486" s="22"/>
      <c r="K1486" s="22"/>
      <c r="L1486" s="22"/>
      <c r="M1486" s="22"/>
      <c r="N1486" s="22"/>
      <c r="O1486" s="73"/>
      <c r="P1486" s="8"/>
      <c r="Q1486" s="69"/>
      <c r="R1486" s="69"/>
      <c r="S1486" s="8"/>
      <c r="T1486" s="69"/>
      <c r="U1486" s="8"/>
      <c r="V1486" s="69"/>
      <c r="W1486" s="74"/>
      <c r="X1486" s="69"/>
    </row>
    <row r="1487">
      <c r="A1487" s="12"/>
      <c r="C1487" s="64"/>
      <c r="D1487" s="85"/>
      <c r="F1487" s="69"/>
      <c r="G1487" s="70"/>
      <c r="H1487" s="71"/>
      <c r="I1487" s="71"/>
      <c r="J1487" s="22"/>
      <c r="K1487" s="22"/>
      <c r="L1487" s="22"/>
      <c r="M1487" s="22"/>
      <c r="N1487" s="22"/>
      <c r="O1487" s="73"/>
      <c r="P1487" s="8"/>
      <c r="Q1487" s="69"/>
      <c r="R1487" s="69"/>
      <c r="S1487" s="8"/>
      <c r="T1487" s="69"/>
      <c r="U1487" s="8"/>
      <c r="V1487" s="69"/>
      <c r="W1487" s="74"/>
      <c r="X1487" s="69"/>
    </row>
    <row r="1488">
      <c r="A1488" s="12"/>
      <c r="C1488" s="64"/>
      <c r="D1488" s="85"/>
      <c r="F1488" s="69"/>
      <c r="G1488" s="70"/>
      <c r="H1488" s="71"/>
      <c r="I1488" s="71"/>
      <c r="J1488" s="22"/>
      <c r="K1488" s="22"/>
      <c r="L1488" s="22"/>
      <c r="M1488" s="22"/>
      <c r="N1488" s="22"/>
      <c r="O1488" s="73"/>
      <c r="P1488" s="8"/>
      <c r="Q1488" s="69"/>
      <c r="R1488" s="69"/>
      <c r="S1488" s="8"/>
      <c r="T1488" s="69"/>
      <c r="U1488" s="8"/>
      <c r="V1488" s="69"/>
      <c r="W1488" s="74"/>
      <c r="X1488" s="69"/>
    </row>
    <row r="1489">
      <c r="A1489" s="12"/>
      <c r="C1489" s="64"/>
      <c r="D1489" s="85"/>
      <c r="F1489" s="69"/>
      <c r="G1489" s="70"/>
      <c r="H1489" s="71"/>
      <c r="I1489" s="71"/>
      <c r="J1489" s="22"/>
      <c r="K1489" s="22"/>
      <c r="L1489" s="22"/>
      <c r="M1489" s="22"/>
      <c r="N1489" s="22"/>
      <c r="O1489" s="73"/>
      <c r="P1489" s="8"/>
      <c r="Q1489" s="69"/>
      <c r="R1489" s="69"/>
      <c r="S1489" s="8"/>
      <c r="T1489" s="69"/>
      <c r="U1489" s="8"/>
      <c r="V1489" s="69"/>
      <c r="W1489" s="74"/>
      <c r="X1489" s="69"/>
    </row>
    <row r="1490">
      <c r="A1490" s="12"/>
      <c r="C1490" s="64"/>
      <c r="D1490" s="85"/>
      <c r="F1490" s="69"/>
      <c r="G1490" s="70"/>
      <c r="H1490" s="71"/>
      <c r="I1490" s="71"/>
      <c r="J1490" s="22"/>
      <c r="K1490" s="22"/>
      <c r="L1490" s="22"/>
      <c r="M1490" s="22"/>
      <c r="N1490" s="22"/>
      <c r="O1490" s="73"/>
      <c r="P1490" s="8"/>
      <c r="Q1490" s="69"/>
      <c r="R1490" s="69"/>
      <c r="S1490" s="8"/>
      <c r="T1490" s="69"/>
      <c r="U1490" s="8"/>
      <c r="V1490" s="69"/>
      <c r="W1490" s="74"/>
      <c r="X1490" s="69"/>
    </row>
    <row r="1491">
      <c r="A1491" s="12"/>
      <c r="C1491" s="64"/>
      <c r="D1491" s="85"/>
      <c r="F1491" s="69"/>
      <c r="G1491" s="70"/>
      <c r="H1491" s="71"/>
      <c r="I1491" s="71"/>
      <c r="J1491" s="22"/>
      <c r="K1491" s="22"/>
      <c r="L1491" s="22"/>
      <c r="M1491" s="22"/>
      <c r="N1491" s="22"/>
      <c r="O1491" s="73"/>
      <c r="P1491" s="8"/>
      <c r="Q1491" s="69"/>
      <c r="R1491" s="69"/>
      <c r="S1491" s="8"/>
      <c r="T1491" s="69"/>
      <c r="U1491" s="8"/>
      <c r="V1491" s="69"/>
      <c r="W1491" s="74"/>
      <c r="X1491" s="69"/>
    </row>
    <row r="1492">
      <c r="A1492" s="12"/>
      <c r="C1492" s="64"/>
      <c r="D1492" s="85"/>
      <c r="F1492" s="69"/>
      <c r="G1492" s="70"/>
      <c r="H1492" s="71"/>
      <c r="I1492" s="71"/>
      <c r="J1492" s="22"/>
      <c r="K1492" s="22"/>
      <c r="L1492" s="22"/>
      <c r="M1492" s="22"/>
      <c r="N1492" s="22"/>
      <c r="O1492" s="73"/>
      <c r="P1492" s="8"/>
      <c r="Q1492" s="69"/>
      <c r="R1492" s="69"/>
      <c r="S1492" s="8"/>
      <c r="T1492" s="69"/>
      <c r="U1492" s="8"/>
      <c r="V1492" s="69"/>
      <c r="W1492" s="74"/>
      <c r="X1492" s="69"/>
    </row>
    <row r="1493">
      <c r="A1493" s="12"/>
      <c r="C1493" s="64"/>
      <c r="D1493" s="85"/>
      <c r="F1493" s="69"/>
      <c r="G1493" s="70"/>
      <c r="H1493" s="71"/>
      <c r="I1493" s="71"/>
      <c r="J1493" s="22"/>
      <c r="K1493" s="22"/>
      <c r="L1493" s="22"/>
      <c r="M1493" s="22"/>
      <c r="N1493" s="22"/>
      <c r="O1493" s="73"/>
      <c r="P1493" s="8"/>
      <c r="Q1493" s="69"/>
      <c r="R1493" s="69"/>
      <c r="S1493" s="8"/>
      <c r="T1493" s="69"/>
      <c r="U1493" s="8"/>
      <c r="V1493" s="69"/>
      <c r="W1493" s="74"/>
      <c r="X1493" s="69"/>
    </row>
    <row r="1494">
      <c r="A1494" s="12"/>
      <c r="C1494" s="64"/>
      <c r="D1494" s="85"/>
      <c r="F1494" s="69"/>
      <c r="G1494" s="70"/>
      <c r="H1494" s="71"/>
      <c r="I1494" s="71"/>
      <c r="J1494" s="22"/>
      <c r="K1494" s="22"/>
      <c r="L1494" s="22"/>
      <c r="M1494" s="22"/>
      <c r="N1494" s="22"/>
      <c r="O1494" s="73"/>
      <c r="P1494" s="8"/>
      <c r="Q1494" s="69"/>
      <c r="R1494" s="69"/>
      <c r="S1494" s="8"/>
      <c r="T1494" s="69"/>
      <c r="U1494" s="8"/>
      <c r="V1494" s="69"/>
      <c r="W1494" s="74"/>
      <c r="X1494" s="69"/>
    </row>
    <row r="1495">
      <c r="A1495" s="12"/>
      <c r="C1495" s="64"/>
      <c r="D1495" s="85"/>
      <c r="F1495" s="69"/>
      <c r="G1495" s="70"/>
      <c r="H1495" s="71"/>
      <c r="I1495" s="71"/>
      <c r="J1495" s="22"/>
      <c r="K1495" s="22"/>
      <c r="L1495" s="22"/>
      <c r="M1495" s="22"/>
      <c r="N1495" s="22"/>
      <c r="O1495" s="73"/>
      <c r="P1495" s="8"/>
      <c r="Q1495" s="69"/>
      <c r="R1495" s="69"/>
      <c r="S1495" s="8"/>
      <c r="T1495" s="69"/>
      <c r="U1495" s="8"/>
      <c r="V1495" s="69"/>
      <c r="W1495" s="74"/>
      <c r="X1495" s="69"/>
    </row>
    <row r="1496">
      <c r="A1496" s="12"/>
      <c r="C1496" s="64"/>
      <c r="D1496" s="85"/>
      <c r="F1496" s="69"/>
      <c r="G1496" s="70"/>
      <c r="H1496" s="71"/>
      <c r="I1496" s="71"/>
      <c r="J1496" s="22"/>
      <c r="K1496" s="22"/>
      <c r="L1496" s="22"/>
      <c r="M1496" s="22"/>
      <c r="N1496" s="22"/>
      <c r="O1496" s="73"/>
      <c r="P1496" s="8"/>
      <c r="Q1496" s="69"/>
      <c r="R1496" s="69"/>
      <c r="S1496" s="8"/>
      <c r="T1496" s="69"/>
      <c r="U1496" s="8"/>
      <c r="V1496" s="69"/>
      <c r="W1496" s="74"/>
      <c r="X1496" s="69"/>
    </row>
    <row r="1497">
      <c r="A1497" s="12"/>
      <c r="C1497" s="64"/>
      <c r="D1497" s="85"/>
      <c r="F1497" s="69"/>
      <c r="G1497" s="70"/>
      <c r="H1497" s="71"/>
      <c r="I1497" s="71"/>
      <c r="J1497" s="22"/>
      <c r="K1497" s="22"/>
      <c r="L1497" s="22"/>
      <c r="M1497" s="22"/>
      <c r="N1497" s="22"/>
      <c r="O1497" s="73"/>
      <c r="P1497" s="8"/>
      <c r="Q1497" s="69"/>
      <c r="R1497" s="69"/>
      <c r="S1497" s="8"/>
      <c r="T1497" s="69"/>
      <c r="U1497" s="8"/>
      <c r="V1497" s="69"/>
      <c r="W1497" s="74"/>
      <c r="X1497" s="69"/>
    </row>
    <row r="1498">
      <c r="A1498" s="12"/>
      <c r="C1498" s="64"/>
      <c r="D1498" s="85"/>
      <c r="F1498" s="69"/>
      <c r="G1498" s="70"/>
      <c r="H1498" s="71"/>
      <c r="I1498" s="71"/>
      <c r="J1498" s="22"/>
      <c r="K1498" s="22"/>
      <c r="L1498" s="22"/>
      <c r="M1498" s="22"/>
      <c r="N1498" s="22"/>
      <c r="O1498" s="73"/>
      <c r="P1498" s="8"/>
      <c r="Q1498" s="69"/>
      <c r="R1498" s="69"/>
      <c r="S1498" s="8"/>
      <c r="T1498" s="69"/>
      <c r="U1498" s="8"/>
      <c r="V1498" s="69"/>
      <c r="W1498" s="74"/>
      <c r="X1498" s="69"/>
    </row>
    <row r="1499">
      <c r="A1499" s="12"/>
      <c r="C1499" s="64"/>
      <c r="D1499" s="85"/>
      <c r="F1499" s="69"/>
      <c r="G1499" s="70"/>
      <c r="H1499" s="71"/>
      <c r="I1499" s="71"/>
      <c r="J1499" s="22"/>
      <c r="K1499" s="22"/>
      <c r="L1499" s="22"/>
      <c r="M1499" s="22"/>
      <c r="N1499" s="22"/>
      <c r="O1499" s="73"/>
      <c r="P1499" s="8"/>
      <c r="Q1499" s="69"/>
      <c r="R1499" s="69"/>
      <c r="S1499" s="8"/>
      <c r="T1499" s="69"/>
      <c r="U1499" s="8"/>
      <c r="V1499" s="69"/>
      <c r="W1499" s="74"/>
      <c r="X1499" s="69"/>
    </row>
    <row r="1500">
      <c r="A1500" s="12"/>
      <c r="C1500" s="64"/>
      <c r="D1500" s="85"/>
      <c r="F1500" s="69"/>
      <c r="G1500" s="70"/>
      <c r="H1500" s="71"/>
      <c r="I1500" s="71"/>
      <c r="J1500" s="22"/>
      <c r="K1500" s="22"/>
      <c r="L1500" s="22"/>
      <c r="M1500" s="22"/>
      <c r="N1500" s="22"/>
      <c r="O1500" s="73"/>
      <c r="P1500" s="8"/>
      <c r="Q1500" s="69"/>
      <c r="R1500" s="69"/>
      <c r="S1500" s="8"/>
      <c r="T1500" s="69"/>
      <c r="U1500" s="8"/>
      <c r="V1500" s="69"/>
      <c r="W1500" s="74"/>
      <c r="X1500" s="69"/>
    </row>
    <row r="1501">
      <c r="A1501" s="12"/>
      <c r="C1501" s="64"/>
      <c r="D1501" s="85"/>
      <c r="F1501" s="69"/>
      <c r="G1501" s="70"/>
      <c r="H1501" s="71"/>
      <c r="I1501" s="71"/>
      <c r="J1501" s="22"/>
      <c r="K1501" s="22"/>
      <c r="L1501" s="22"/>
      <c r="M1501" s="22"/>
      <c r="N1501" s="22"/>
      <c r="O1501" s="73"/>
      <c r="P1501" s="8"/>
      <c r="Q1501" s="69"/>
      <c r="R1501" s="69"/>
      <c r="S1501" s="8"/>
      <c r="T1501" s="69"/>
      <c r="U1501" s="8"/>
      <c r="V1501" s="69"/>
      <c r="W1501" s="74"/>
      <c r="X1501" s="69"/>
    </row>
    <row r="1502">
      <c r="A1502" s="12"/>
      <c r="C1502" s="64"/>
      <c r="D1502" s="85"/>
      <c r="F1502" s="69"/>
      <c r="G1502" s="70"/>
      <c r="H1502" s="71"/>
      <c r="I1502" s="71"/>
      <c r="J1502" s="22"/>
      <c r="K1502" s="22"/>
      <c r="L1502" s="22"/>
      <c r="M1502" s="22"/>
      <c r="N1502" s="22"/>
      <c r="O1502" s="73"/>
      <c r="P1502" s="8"/>
      <c r="Q1502" s="69"/>
      <c r="R1502" s="69"/>
      <c r="S1502" s="8"/>
      <c r="T1502" s="69"/>
      <c r="U1502" s="8"/>
      <c r="V1502" s="69"/>
      <c r="W1502" s="74"/>
      <c r="X1502" s="69"/>
    </row>
    <row r="1503">
      <c r="A1503" s="12"/>
      <c r="C1503" s="64"/>
      <c r="D1503" s="85"/>
      <c r="F1503" s="69"/>
      <c r="G1503" s="70"/>
      <c r="H1503" s="71"/>
      <c r="I1503" s="71"/>
      <c r="J1503" s="22"/>
      <c r="K1503" s="22"/>
      <c r="L1503" s="22"/>
      <c r="M1503" s="22"/>
      <c r="N1503" s="22"/>
      <c r="O1503" s="73"/>
      <c r="P1503" s="8"/>
      <c r="Q1503" s="69"/>
      <c r="R1503" s="69"/>
      <c r="S1503" s="8"/>
      <c r="T1503" s="69"/>
      <c r="U1503" s="8"/>
      <c r="V1503" s="69"/>
      <c r="W1503" s="74"/>
      <c r="X1503" s="69"/>
    </row>
    <row r="1504">
      <c r="A1504" s="12"/>
      <c r="C1504" s="64"/>
      <c r="D1504" s="85"/>
      <c r="F1504" s="69"/>
      <c r="G1504" s="70"/>
      <c r="H1504" s="71"/>
      <c r="I1504" s="71"/>
      <c r="J1504" s="22"/>
      <c r="K1504" s="22"/>
      <c r="L1504" s="22"/>
      <c r="M1504" s="22"/>
      <c r="N1504" s="22"/>
      <c r="O1504" s="73"/>
      <c r="P1504" s="8"/>
      <c r="Q1504" s="69"/>
      <c r="R1504" s="69"/>
      <c r="S1504" s="8"/>
      <c r="T1504" s="69"/>
      <c r="U1504" s="8"/>
      <c r="V1504" s="69"/>
      <c r="W1504" s="74"/>
      <c r="X1504" s="69"/>
    </row>
    <row r="1505">
      <c r="A1505" s="12"/>
      <c r="C1505" s="64"/>
      <c r="D1505" s="85"/>
      <c r="F1505" s="69"/>
      <c r="G1505" s="70"/>
      <c r="H1505" s="71"/>
      <c r="I1505" s="71"/>
      <c r="J1505" s="22"/>
      <c r="K1505" s="22"/>
      <c r="L1505" s="22"/>
      <c r="M1505" s="22"/>
      <c r="N1505" s="22"/>
      <c r="O1505" s="73"/>
      <c r="P1505" s="8"/>
      <c r="Q1505" s="69"/>
      <c r="R1505" s="69"/>
      <c r="S1505" s="8"/>
      <c r="T1505" s="69"/>
      <c r="U1505" s="8"/>
      <c r="V1505" s="69"/>
      <c r="W1505" s="74"/>
      <c r="X1505" s="69"/>
    </row>
    <row r="1506">
      <c r="A1506" s="12"/>
      <c r="C1506" s="64"/>
      <c r="D1506" s="85"/>
      <c r="F1506" s="69"/>
      <c r="G1506" s="70"/>
      <c r="H1506" s="71"/>
      <c r="I1506" s="71"/>
      <c r="J1506" s="22"/>
      <c r="K1506" s="22"/>
      <c r="L1506" s="22"/>
      <c r="M1506" s="22"/>
      <c r="N1506" s="22"/>
      <c r="O1506" s="73"/>
      <c r="P1506" s="8"/>
      <c r="Q1506" s="69"/>
      <c r="R1506" s="69"/>
      <c r="S1506" s="8"/>
      <c r="T1506" s="69"/>
      <c r="U1506" s="8"/>
      <c r="V1506" s="69"/>
      <c r="W1506" s="74"/>
      <c r="X1506" s="69"/>
    </row>
    <row r="1507">
      <c r="A1507" s="12"/>
      <c r="C1507" s="64"/>
      <c r="D1507" s="85"/>
      <c r="F1507" s="69"/>
      <c r="G1507" s="70"/>
      <c r="H1507" s="71"/>
      <c r="I1507" s="71"/>
      <c r="J1507" s="22"/>
      <c r="K1507" s="22"/>
      <c r="L1507" s="22"/>
      <c r="M1507" s="22"/>
      <c r="N1507" s="22"/>
      <c r="O1507" s="73"/>
      <c r="P1507" s="8"/>
      <c r="Q1507" s="69"/>
      <c r="R1507" s="69"/>
      <c r="S1507" s="8"/>
      <c r="T1507" s="69"/>
      <c r="U1507" s="8"/>
      <c r="V1507" s="69"/>
      <c r="W1507" s="74"/>
      <c r="X1507" s="69"/>
    </row>
  </sheetData>
  <conditionalFormatting sqref="A6:A1000">
    <cfRule type="containsText" dxfId="0" priority="1" operator="containsText" text=" Total">
      <formula>NOT(ISERROR(SEARCH((" Total"),(A6))))</formula>
    </cfRule>
  </conditionalFormatting>
  <hyperlinks>
    <hyperlink r:id="rId1" ref="J7"/>
    <hyperlink r:id="rId2" ref="J8"/>
    <hyperlink r:id="rId3" ref="J9"/>
    <hyperlink r:id="rId4" ref="J10"/>
    <hyperlink r:id="rId5" ref="J11"/>
    <hyperlink r:id="rId6" ref="J12"/>
    <hyperlink r:id="rId7" ref="J13"/>
    <hyperlink r:id="rId8" ref="J14"/>
    <hyperlink r:id="rId9" ref="J15"/>
    <hyperlink r:id="rId10" ref="J16"/>
    <hyperlink r:id="rId11" ref="J17"/>
    <hyperlink r:id="rId12" ref="J18"/>
    <hyperlink r:id="rId13" ref="J19"/>
    <hyperlink r:id="rId14" ref="D20"/>
    <hyperlink r:id="rId15" ref="J20"/>
    <hyperlink r:id="rId16" ref="J21"/>
    <hyperlink r:id="rId17" ref="J22"/>
    <hyperlink r:id="rId18" ref="J23"/>
    <hyperlink r:id="rId19" ref="J24"/>
    <hyperlink r:id="rId20" ref="J25"/>
    <hyperlink r:id="rId21" ref="J26"/>
    <hyperlink r:id="rId22" ref="J27"/>
    <hyperlink r:id="rId23" ref="J28"/>
    <hyperlink r:id="rId24" ref="J29"/>
    <hyperlink r:id="rId25" ref="J30"/>
    <hyperlink r:id="rId26" ref="J31"/>
    <hyperlink r:id="rId27" ref="J32"/>
    <hyperlink r:id="rId28" ref="J33"/>
    <hyperlink r:id="rId29" ref="J34"/>
    <hyperlink r:id="rId30" ref="J35"/>
    <hyperlink r:id="rId31" ref="J36"/>
    <hyperlink r:id="rId32" ref="J37"/>
    <hyperlink r:id="rId33" ref="J38"/>
    <hyperlink r:id="rId34" ref="J39"/>
    <hyperlink r:id="rId35" ref="J40"/>
    <hyperlink r:id="rId36" ref="J41"/>
    <hyperlink r:id="rId37" ref="J42"/>
    <hyperlink r:id="rId38" ref="J43"/>
    <hyperlink r:id="rId39" ref="J44"/>
    <hyperlink r:id="rId40" ref="J45"/>
    <hyperlink r:id="rId41" ref="J46"/>
    <hyperlink r:id="rId42" ref="J53"/>
    <hyperlink r:id="rId43" ref="J54"/>
    <hyperlink r:id="rId44" ref="D55"/>
    <hyperlink r:id="rId45" ref="J55"/>
    <hyperlink r:id="rId46" ref="D56"/>
    <hyperlink r:id="rId47" ref="J56"/>
    <hyperlink r:id="rId48" ref="D57"/>
    <hyperlink r:id="rId49" ref="J57"/>
    <hyperlink r:id="rId50" ref="J58"/>
    <hyperlink r:id="rId51" ref="J59"/>
    <hyperlink r:id="rId52" ref="J60"/>
    <hyperlink r:id="rId53" ref="J61"/>
    <hyperlink r:id="rId54" ref="J62"/>
    <hyperlink r:id="rId55" ref="J65"/>
    <hyperlink r:id="rId56" ref="J66"/>
    <hyperlink r:id="rId57" ref="J67"/>
    <hyperlink r:id="rId58" ref="J68"/>
    <hyperlink r:id="rId59" ref="J69"/>
    <hyperlink r:id="rId60" ref="J70"/>
    <hyperlink r:id="rId61" ref="J71"/>
    <hyperlink r:id="rId62" ref="J72"/>
    <hyperlink r:id="rId63" ref="J73"/>
    <hyperlink r:id="rId64" ref="J74"/>
    <hyperlink r:id="rId65" ref="J75"/>
    <hyperlink r:id="rId66" ref="J76"/>
    <hyperlink r:id="rId67" ref="J77"/>
    <hyperlink r:id="rId68" ref="J78"/>
    <hyperlink r:id="rId69" ref="J81"/>
    <hyperlink r:id="rId70" ref="J82"/>
    <hyperlink r:id="rId71" ref="J83"/>
    <hyperlink r:id="rId72" ref="J84"/>
    <hyperlink r:id="rId73" ref="J85"/>
    <hyperlink r:id="rId74" ref="J86"/>
    <hyperlink r:id="rId75" ref="J87"/>
    <hyperlink r:id="rId76" ref="J88"/>
    <hyperlink r:id="rId77" ref="J89"/>
    <hyperlink r:id="rId78" ref="J94"/>
    <hyperlink r:id="rId79" ref="J95"/>
    <hyperlink r:id="rId80" ref="J96"/>
    <hyperlink r:id="rId81" ref="J97"/>
    <hyperlink r:id="rId82" ref="J98"/>
    <hyperlink r:id="rId83" ref="J103"/>
    <hyperlink r:id="rId84" ref="J105"/>
    <hyperlink r:id="rId85" ref="J106"/>
    <hyperlink r:id="rId86" ref="J107"/>
    <hyperlink r:id="rId87" ref="J108"/>
    <hyperlink r:id="rId88" ref="J109"/>
    <hyperlink r:id="rId89" ref="J110"/>
    <hyperlink r:id="rId90" ref="J111"/>
    <hyperlink r:id="rId91" ref="J112"/>
    <hyperlink r:id="rId92" ref="J113"/>
    <hyperlink r:id="rId93" ref="J114"/>
    <hyperlink r:id="rId94" ref="J115"/>
    <hyperlink r:id="rId95" ref="D118"/>
    <hyperlink r:id="rId96" ref="J118"/>
    <hyperlink r:id="rId97" ref="J119"/>
    <hyperlink r:id="rId98" ref="J126"/>
    <hyperlink r:id="rId99" ref="J127"/>
    <hyperlink r:id="rId100" ref="J128"/>
    <hyperlink r:id="rId101" ref="J129"/>
    <hyperlink r:id="rId102" ref="J132"/>
    <hyperlink r:id="rId103" ref="J133"/>
    <hyperlink r:id="rId104" ref="J134"/>
    <hyperlink r:id="rId105" ref="J135"/>
    <hyperlink r:id="rId106" ref="J136"/>
    <hyperlink r:id="rId107" ref="J137"/>
    <hyperlink r:id="rId108" ref="J138"/>
    <hyperlink r:id="rId109" ref="J139"/>
    <hyperlink r:id="rId110" ref="J140"/>
    <hyperlink r:id="rId111" ref="D141"/>
    <hyperlink r:id="rId112" ref="J141"/>
    <hyperlink r:id="rId113" ref="D142"/>
    <hyperlink r:id="rId114" ref="J142"/>
    <hyperlink r:id="rId115" ref="D145"/>
    <hyperlink r:id="rId116" ref="J145"/>
    <hyperlink r:id="rId117" ref="D146"/>
    <hyperlink r:id="rId118" ref="J146"/>
    <hyperlink r:id="rId119" ref="D147"/>
    <hyperlink r:id="rId120" ref="J147"/>
    <hyperlink r:id="rId121" ref="D148"/>
    <hyperlink r:id="rId122" ref="J148"/>
    <hyperlink r:id="rId123" ref="D149"/>
    <hyperlink r:id="rId124" ref="J149"/>
    <hyperlink r:id="rId125" ref="D150"/>
    <hyperlink r:id="rId126" ref="J150"/>
    <hyperlink r:id="rId127" ref="D151"/>
    <hyperlink r:id="rId128" ref="J151"/>
    <hyperlink r:id="rId129" ref="D152"/>
    <hyperlink r:id="rId130" ref="J152"/>
    <hyperlink r:id="rId131" ref="D153"/>
    <hyperlink r:id="rId132" ref="J153"/>
    <hyperlink r:id="rId133" ref="D154"/>
    <hyperlink r:id="rId134" ref="J154"/>
    <hyperlink r:id="rId135" ref="D155"/>
    <hyperlink r:id="rId136" ref="J155"/>
    <hyperlink r:id="rId137" ref="D156"/>
    <hyperlink r:id="rId138" ref="J156"/>
    <hyperlink r:id="rId139" ref="D157"/>
    <hyperlink r:id="rId140" ref="J157"/>
    <hyperlink r:id="rId141" ref="D158"/>
    <hyperlink r:id="rId142" ref="J158"/>
    <hyperlink r:id="rId143" ref="D159"/>
    <hyperlink r:id="rId144" ref="J159"/>
    <hyperlink r:id="rId145" ref="D160"/>
    <hyperlink r:id="rId146" ref="J160"/>
    <hyperlink r:id="rId147" ref="D161"/>
    <hyperlink r:id="rId148" ref="J161"/>
    <hyperlink r:id="rId149" ref="D162"/>
    <hyperlink r:id="rId150" ref="J162"/>
    <hyperlink r:id="rId151" ref="D165"/>
    <hyperlink r:id="rId152" ref="J165"/>
    <hyperlink r:id="rId153" ref="J166"/>
    <hyperlink r:id="rId154" ref="J167"/>
    <hyperlink r:id="rId155" ref="J168"/>
    <hyperlink r:id="rId156" ref="D170"/>
    <hyperlink r:id="rId157" ref="J170"/>
    <hyperlink r:id="rId158" ref="J172"/>
    <hyperlink r:id="rId159" ref="J173"/>
    <hyperlink r:id="rId160" ref="J178"/>
    <hyperlink r:id="rId161" ref="J179"/>
    <hyperlink r:id="rId162" ref="J180"/>
    <hyperlink r:id="rId163" ref="J181"/>
    <hyperlink r:id="rId164" ref="D182"/>
    <hyperlink r:id="rId165" ref="J182"/>
    <hyperlink r:id="rId166" ref="J185"/>
    <hyperlink r:id="rId167" ref="J186"/>
    <hyperlink r:id="rId168" ref="J187"/>
    <hyperlink r:id="rId169" ref="J188"/>
    <hyperlink r:id="rId170" ref="J189"/>
    <hyperlink r:id="rId171" ref="J190"/>
    <hyperlink r:id="rId172" ref="J191"/>
    <hyperlink r:id="rId173" ref="J192"/>
    <hyperlink r:id="rId174" ref="J193"/>
    <hyperlink r:id="rId175" ref="J196"/>
    <hyperlink r:id="rId176" ref="J197"/>
    <hyperlink r:id="rId177" ref="J198"/>
    <hyperlink r:id="rId178" ref="J199"/>
    <hyperlink r:id="rId179" ref="J200"/>
    <hyperlink r:id="rId180" ref="J201"/>
    <hyperlink r:id="rId181" ref="J202"/>
    <hyperlink r:id="rId182" ref="J203"/>
    <hyperlink r:id="rId183" ref="J204"/>
    <hyperlink r:id="rId184" ref="J207"/>
    <hyperlink r:id="rId185" ref="J208"/>
    <hyperlink r:id="rId186" ref="D209"/>
    <hyperlink r:id="rId187" ref="J209"/>
    <hyperlink r:id="rId188" ref="J210"/>
    <hyperlink r:id="rId189" ref="J211"/>
    <hyperlink r:id="rId190" ref="D214"/>
    <hyperlink r:id="rId191" ref="J214"/>
    <hyperlink r:id="rId192" ref="D215"/>
    <hyperlink r:id="rId193" ref="J215"/>
    <hyperlink r:id="rId194" ref="J216"/>
    <hyperlink r:id="rId195" ref="J217"/>
    <hyperlink r:id="rId196" ref="D218"/>
    <hyperlink r:id="rId197" ref="J218"/>
    <hyperlink r:id="rId198" ref="D221"/>
    <hyperlink r:id="rId199" ref="J221"/>
    <hyperlink r:id="rId200" ref="D222"/>
    <hyperlink r:id="rId201" ref="J222"/>
    <hyperlink r:id="rId202" ref="D224"/>
    <hyperlink r:id="rId203" ref="J224"/>
    <hyperlink r:id="rId204" ref="D225"/>
    <hyperlink r:id="rId205" ref="J225"/>
    <hyperlink r:id="rId206" ref="J226"/>
    <hyperlink r:id="rId207" ref="J229"/>
    <hyperlink r:id="rId208" ref="D230"/>
    <hyperlink r:id="rId209" ref="J230"/>
    <hyperlink r:id="rId210" ref="D231"/>
    <hyperlink r:id="rId211" ref="J231"/>
    <hyperlink r:id="rId212" ref="D232"/>
    <hyperlink r:id="rId213" ref="J232"/>
    <hyperlink r:id="rId214" ref="D233"/>
    <hyperlink r:id="rId215" ref="J233"/>
    <hyperlink r:id="rId216" ref="J234"/>
    <hyperlink r:id="rId217" ref="D235"/>
    <hyperlink r:id="rId218" ref="J235"/>
    <hyperlink r:id="rId219" ref="D236"/>
    <hyperlink r:id="rId220" ref="J236"/>
    <hyperlink r:id="rId221" ref="J237"/>
    <hyperlink r:id="rId222" ref="D240"/>
    <hyperlink r:id="rId223" ref="J240"/>
    <hyperlink r:id="rId224" ref="D241"/>
    <hyperlink r:id="rId225" ref="J241"/>
    <hyperlink r:id="rId226" ref="D242"/>
    <hyperlink r:id="rId227" ref="J242"/>
    <hyperlink r:id="rId228" ref="D243"/>
    <hyperlink r:id="rId229" ref="J243"/>
    <hyperlink r:id="rId230" ref="D244"/>
    <hyperlink r:id="rId231" ref="J244"/>
    <hyperlink r:id="rId232" ref="D245"/>
    <hyperlink r:id="rId233" ref="J245"/>
    <hyperlink r:id="rId234" ref="J248"/>
    <hyperlink r:id="rId235" ref="J249"/>
    <hyperlink r:id="rId236" ref="J250"/>
    <hyperlink r:id="rId237" ref="J251"/>
    <hyperlink r:id="rId238" ref="J252"/>
    <hyperlink r:id="rId239" ref="D253"/>
    <hyperlink r:id="rId240" ref="J253"/>
    <hyperlink r:id="rId241" ref="D254"/>
    <hyperlink r:id="rId242" ref="J254"/>
    <hyperlink r:id="rId243" ref="D255"/>
    <hyperlink r:id="rId244" ref="J255"/>
    <hyperlink r:id="rId245" ref="D256"/>
    <hyperlink r:id="rId246" ref="J256"/>
    <hyperlink r:id="rId247" ref="D257"/>
    <hyperlink r:id="rId248" ref="J257"/>
    <hyperlink r:id="rId249" ref="D258"/>
    <hyperlink r:id="rId250" ref="J258"/>
    <hyperlink r:id="rId251" ref="D259"/>
    <hyperlink r:id="rId252" ref="J259"/>
    <hyperlink r:id="rId253" ref="D260"/>
    <hyperlink r:id="rId254" ref="J260"/>
    <hyperlink r:id="rId255" ref="D261"/>
    <hyperlink r:id="rId256" ref="J261"/>
    <hyperlink r:id="rId257" ref="D262"/>
    <hyperlink r:id="rId258" ref="J262"/>
    <hyperlink r:id="rId259" ref="D263"/>
    <hyperlink r:id="rId260" ref="J263"/>
    <hyperlink r:id="rId261" ref="J264"/>
    <hyperlink r:id="rId262" ref="D265"/>
    <hyperlink r:id="rId263" ref="J265"/>
    <hyperlink r:id="rId264" ref="D266"/>
    <hyperlink r:id="rId265" ref="J266"/>
    <hyperlink r:id="rId266" ref="D267"/>
    <hyperlink r:id="rId267" ref="J267"/>
    <hyperlink r:id="rId268" ref="D268"/>
    <hyperlink r:id="rId269" ref="J268"/>
    <hyperlink r:id="rId270" ref="D269"/>
    <hyperlink r:id="rId271" ref="J269"/>
    <hyperlink r:id="rId272" ref="D270"/>
    <hyperlink r:id="rId273" ref="J270"/>
    <hyperlink r:id="rId274" ref="D271"/>
    <hyperlink r:id="rId275" ref="J271"/>
    <hyperlink r:id="rId276" ref="D272"/>
    <hyperlink r:id="rId277" ref="J272"/>
    <hyperlink r:id="rId278" ref="D273"/>
    <hyperlink r:id="rId279" ref="J273"/>
    <hyperlink r:id="rId280" ref="D274"/>
    <hyperlink r:id="rId281" ref="J274"/>
    <hyperlink r:id="rId282" ref="J277"/>
    <hyperlink r:id="rId283" ref="J278"/>
    <hyperlink r:id="rId284" ref="J279"/>
    <hyperlink r:id="rId285" ref="J282"/>
    <hyperlink r:id="rId286" ref="J283"/>
    <hyperlink r:id="rId287" ref="J284"/>
    <hyperlink r:id="rId288" ref="J285"/>
    <hyperlink r:id="rId289" ref="J286"/>
    <hyperlink r:id="rId290" ref="J287"/>
    <hyperlink r:id="rId291" ref="D290"/>
    <hyperlink r:id="rId292" ref="J290"/>
    <hyperlink r:id="rId293" ref="D291"/>
    <hyperlink r:id="rId294" ref="J291"/>
    <hyperlink r:id="rId295" ref="D292"/>
    <hyperlink r:id="rId296" ref="J292"/>
    <hyperlink r:id="rId297" ref="D293"/>
    <hyperlink r:id="rId298" ref="J293"/>
    <hyperlink r:id="rId299" ref="D294"/>
    <hyperlink r:id="rId300" ref="J294"/>
    <hyperlink r:id="rId301" ref="D295"/>
    <hyperlink r:id="rId302" ref="J295"/>
    <hyperlink r:id="rId303" ref="D296"/>
    <hyperlink r:id="rId304" ref="J296"/>
    <hyperlink r:id="rId305" ref="D297"/>
    <hyperlink r:id="rId306" ref="J297"/>
    <hyperlink r:id="rId307" ref="D298"/>
    <hyperlink r:id="rId308" ref="J298"/>
    <hyperlink r:id="rId309" ref="D299"/>
    <hyperlink r:id="rId310" ref="J299"/>
    <hyperlink r:id="rId311" ref="D300"/>
    <hyperlink r:id="rId312" ref="J300"/>
    <hyperlink r:id="rId313" ref="D301"/>
    <hyperlink r:id="rId314" ref="J301"/>
    <hyperlink r:id="rId315" ref="D302"/>
    <hyperlink r:id="rId316" ref="J302"/>
    <hyperlink r:id="rId317" ref="D303"/>
    <hyperlink r:id="rId318" ref="J303"/>
    <hyperlink r:id="rId319" ref="D304"/>
    <hyperlink r:id="rId320" ref="J304"/>
    <hyperlink r:id="rId321" ref="D305"/>
    <hyperlink r:id="rId322" ref="J305"/>
    <hyperlink r:id="rId323" ref="D306"/>
    <hyperlink r:id="rId324" ref="J306"/>
    <hyperlink r:id="rId325" ref="D307"/>
    <hyperlink r:id="rId326" ref="J307"/>
    <hyperlink r:id="rId327" ref="D308"/>
    <hyperlink r:id="rId328" ref="J308"/>
    <hyperlink r:id="rId329" ref="D309"/>
    <hyperlink r:id="rId330" ref="J309"/>
    <hyperlink r:id="rId331" ref="J310"/>
    <hyperlink r:id="rId332" ref="D311"/>
    <hyperlink r:id="rId333" ref="J311"/>
    <hyperlink r:id="rId334" ref="D312"/>
    <hyperlink r:id="rId335" ref="J312"/>
    <hyperlink r:id="rId336" ref="D313"/>
    <hyperlink r:id="rId337" ref="J313"/>
    <hyperlink r:id="rId338" ref="J314"/>
    <hyperlink r:id="rId339" ref="D315"/>
    <hyperlink r:id="rId340" ref="J315"/>
    <hyperlink r:id="rId341" ref="D316"/>
    <hyperlink r:id="rId342" ref="J316"/>
    <hyperlink r:id="rId343" ref="D317"/>
    <hyperlink r:id="rId344" ref="J317"/>
    <hyperlink r:id="rId345" ref="D318"/>
    <hyperlink r:id="rId346" ref="J318"/>
    <hyperlink r:id="rId347" ref="D319"/>
    <hyperlink r:id="rId348" ref="J319"/>
    <hyperlink r:id="rId349" ref="D320"/>
    <hyperlink r:id="rId350" ref="J320"/>
    <hyperlink r:id="rId351" ref="D321"/>
    <hyperlink r:id="rId352" ref="J321"/>
    <hyperlink r:id="rId353" ref="J322"/>
    <hyperlink r:id="rId354" ref="D323"/>
    <hyperlink r:id="rId355" ref="J323"/>
    <hyperlink r:id="rId356" ref="D324"/>
    <hyperlink r:id="rId357" ref="J324"/>
    <hyperlink r:id="rId358" ref="J327"/>
    <hyperlink r:id="rId359" ref="J328"/>
    <hyperlink r:id="rId360" ref="J331"/>
    <hyperlink r:id="rId361" ref="J332"/>
    <hyperlink r:id="rId362" ref="D333"/>
    <hyperlink r:id="rId363" ref="J333"/>
    <hyperlink r:id="rId364" ref="D334"/>
    <hyperlink r:id="rId365" ref="J334"/>
    <hyperlink r:id="rId366" ref="J335"/>
    <hyperlink r:id="rId367" ref="J336"/>
    <hyperlink r:id="rId368" ref="J337"/>
    <hyperlink r:id="rId369" ref="J338"/>
    <hyperlink r:id="rId370" ref="J339"/>
    <hyperlink r:id="rId371" ref="D340"/>
    <hyperlink r:id="rId372" ref="J340"/>
    <hyperlink r:id="rId373" ref="D341"/>
    <hyperlink r:id="rId374" ref="J341"/>
    <hyperlink r:id="rId375" ref="D342"/>
    <hyperlink r:id="rId376" ref="J342"/>
    <hyperlink r:id="rId377" ref="J343"/>
    <hyperlink r:id="rId378" ref="J344"/>
    <hyperlink r:id="rId379" ref="D345"/>
    <hyperlink r:id="rId380" ref="J345"/>
    <hyperlink r:id="rId381" ref="J346"/>
    <hyperlink r:id="rId382" ref="D347"/>
    <hyperlink r:id="rId383" ref="J347"/>
    <hyperlink r:id="rId384" ref="D348"/>
    <hyperlink r:id="rId385" ref="J348"/>
    <hyperlink r:id="rId386" ref="J349"/>
    <hyperlink r:id="rId387" ref="J350"/>
    <hyperlink r:id="rId388" ref="D351"/>
    <hyperlink r:id="rId389" ref="J351"/>
    <hyperlink r:id="rId390" ref="J354"/>
    <hyperlink r:id="rId391" ref="J357"/>
    <hyperlink r:id="rId392" ref="J358"/>
    <hyperlink r:id="rId393" ref="D359"/>
    <hyperlink r:id="rId394" ref="J359"/>
    <hyperlink r:id="rId395" ref="J360"/>
    <hyperlink r:id="rId396" ref="D361"/>
    <hyperlink r:id="rId397" ref="J361"/>
    <hyperlink r:id="rId398" ref="J362"/>
    <hyperlink r:id="rId399" ref="J363"/>
    <hyperlink r:id="rId400" ref="J366"/>
    <hyperlink r:id="rId401" ref="J367"/>
    <hyperlink r:id="rId402" ref="J368"/>
    <hyperlink r:id="rId403" ref="J369"/>
    <hyperlink r:id="rId404" ref="J370"/>
    <hyperlink r:id="rId405" ref="J371"/>
    <hyperlink r:id="rId406" ref="J372"/>
    <hyperlink r:id="rId407" ref="J373"/>
    <hyperlink r:id="rId408" ref="J374"/>
    <hyperlink r:id="rId409" ref="J375"/>
    <hyperlink r:id="rId410" ref="J376"/>
    <hyperlink r:id="rId411" ref="J377"/>
    <hyperlink r:id="rId412" ref="J378"/>
    <hyperlink r:id="rId413" ref="D381"/>
    <hyperlink r:id="rId414" ref="J381"/>
    <hyperlink r:id="rId415" ref="D382"/>
    <hyperlink r:id="rId416" ref="J382"/>
    <hyperlink r:id="rId417" ref="D384"/>
    <hyperlink r:id="rId418" ref="J384"/>
    <hyperlink r:id="rId419" ref="D385"/>
    <hyperlink r:id="rId420" ref="J385"/>
    <hyperlink r:id="rId421" ref="D386"/>
    <hyperlink r:id="rId422" ref="J386"/>
    <hyperlink r:id="rId423" ref="D388"/>
    <hyperlink r:id="rId424" ref="J388"/>
    <hyperlink r:id="rId425" ref="J393"/>
    <hyperlink r:id="rId426" ref="J394"/>
    <hyperlink r:id="rId427" ref="J395"/>
    <hyperlink r:id="rId428" ref="J396"/>
    <hyperlink r:id="rId429" ref="J397"/>
    <hyperlink r:id="rId430" ref="J398"/>
    <hyperlink r:id="rId431" ref="D401"/>
    <hyperlink r:id="rId432" ref="J401"/>
    <hyperlink r:id="rId433" ref="D402"/>
    <hyperlink r:id="rId434" ref="J402"/>
    <hyperlink r:id="rId435" ref="D406"/>
    <hyperlink r:id="rId436" ref="J406"/>
    <hyperlink r:id="rId437" ref="D407"/>
    <hyperlink r:id="rId438" ref="J407"/>
    <hyperlink r:id="rId439" ref="D408"/>
    <hyperlink r:id="rId440" ref="J408"/>
    <hyperlink r:id="rId441" ref="D409"/>
    <hyperlink r:id="rId442" ref="J409"/>
    <hyperlink r:id="rId443" ref="D410"/>
    <hyperlink r:id="rId444" ref="J410"/>
    <hyperlink r:id="rId445" ref="D411"/>
    <hyperlink r:id="rId446" ref="J411"/>
    <hyperlink r:id="rId447" ref="D412"/>
    <hyperlink r:id="rId448" ref="J412"/>
    <hyperlink r:id="rId449" ref="D413"/>
    <hyperlink r:id="rId450" ref="J413"/>
    <hyperlink r:id="rId451" ref="D414"/>
    <hyperlink r:id="rId452" ref="J414"/>
    <hyperlink r:id="rId453" ref="D415"/>
    <hyperlink r:id="rId454" ref="J415"/>
    <hyperlink r:id="rId455" ref="D416"/>
    <hyperlink r:id="rId456" ref="J416"/>
    <hyperlink r:id="rId457" ref="D417"/>
    <hyperlink r:id="rId458" ref="J417"/>
    <hyperlink r:id="rId459" ref="D418"/>
    <hyperlink r:id="rId460" ref="J418"/>
    <hyperlink r:id="rId461" ref="D419"/>
    <hyperlink r:id="rId462" ref="J419"/>
    <hyperlink r:id="rId463" ref="D420"/>
    <hyperlink r:id="rId464" ref="J420"/>
    <hyperlink r:id="rId465" ref="D421"/>
    <hyperlink r:id="rId466" ref="J421"/>
    <hyperlink r:id="rId467" ref="D422"/>
    <hyperlink r:id="rId468" ref="J422"/>
    <hyperlink r:id="rId469" ref="D423"/>
    <hyperlink r:id="rId470" ref="J423"/>
    <hyperlink r:id="rId471" ref="D424"/>
    <hyperlink r:id="rId472" ref="J424"/>
    <hyperlink r:id="rId473" ref="D425"/>
    <hyperlink r:id="rId474" ref="J425"/>
    <hyperlink r:id="rId475" ref="D426"/>
    <hyperlink r:id="rId476" ref="J426"/>
    <hyperlink r:id="rId477" ref="J429"/>
    <hyperlink r:id="rId478" ref="J430"/>
    <hyperlink r:id="rId479" ref="J432"/>
    <hyperlink r:id="rId480" ref="J433"/>
    <hyperlink r:id="rId481" ref="J434"/>
    <hyperlink r:id="rId482" ref="J435"/>
    <hyperlink r:id="rId483" ref="J436"/>
    <hyperlink r:id="rId484" ref="D437"/>
    <hyperlink r:id="rId485" ref="J437"/>
    <hyperlink r:id="rId486" ref="J438"/>
    <hyperlink r:id="rId487" ref="D439"/>
    <hyperlink r:id="rId488" ref="J439"/>
    <hyperlink r:id="rId489" ref="D440"/>
    <hyperlink r:id="rId490" ref="J440"/>
    <hyperlink r:id="rId491" ref="J441"/>
    <hyperlink r:id="rId492" ref="J442"/>
    <hyperlink r:id="rId493" ref="J443"/>
    <hyperlink r:id="rId494" ref="J444"/>
    <hyperlink r:id="rId495" ref="D445"/>
    <hyperlink r:id="rId496" ref="J445"/>
    <hyperlink r:id="rId497" ref="J446"/>
    <hyperlink r:id="rId498" ref="J447"/>
    <hyperlink r:id="rId499" ref="J448"/>
    <hyperlink r:id="rId500" ref="D449"/>
    <hyperlink r:id="rId501" ref="J449"/>
    <hyperlink r:id="rId502" ref="J450"/>
    <hyperlink r:id="rId503" ref="J451"/>
    <hyperlink r:id="rId504" ref="J452"/>
    <hyperlink r:id="rId505" ref="J453"/>
    <hyperlink r:id="rId506" ref="J454"/>
    <hyperlink r:id="rId507" ref="J457"/>
    <hyperlink r:id="rId508" ref="D458"/>
    <hyperlink r:id="rId509" ref="J458"/>
    <hyperlink r:id="rId510" ref="J459"/>
    <hyperlink r:id="rId511" ref="J460"/>
    <hyperlink r:id="rId512" ref="J461"/>
    <hyperlink r:id="rId513" ref="D464"/>
    <hyperlink r:id="rId514" ref="J464"/>
    <hyperlink r:id="rId515" ref="D465"/>
    <hyperlink r:id="rId516" ref="J465"/>
    <hyperlink r:id="rId517" ref="J466"/>
    <hyperlink r:id="rId518" ref="D467"/>
    <hyperlink r:id="rId519" ref="J467"/>
    <hyperlink r:id="rId520" ref="D468"/>
    <hyperlink r:id="rId521" ref="J468"/>
    <hyperlink r:id="rId522" ref="D469"/>
    <hyperlink r:id="rId523" ref="J469"/>
    <hyperlink r:id="rId524" ref="J472"/>
    <hyperlink r:id="rId525" ref="J473"/>
    <hyperlink r:id="rId526" ref="J474"/>
    <hyperlink r:id="rId527" ref="J475"/>
    <hyperlink r:id="rId528" ref="J476"/>
    <hyperlink r:id="rId529" ref="J477"/>
    <hyperlink r:id="rId530" ref="J478"/>
    <hyperlink r:id="rId531" ref="J479"/>
    <hyperlink r:id="rId532" ref="J480"/>
    <hyperlink r:id="rId533" ref="J481"/>
    <hyperlink r:id="rId534" ref="J482"/>
    <hyperlink r:id="rId535" ref="J483"/>
    <hyperlink r:id="rId536" ref="J484"/>
    <hyperlink r:id="rId537" ref="J487"/>
    <hyperlink r:id="rId538" ref="J488"/>
    <hyperlink r:id="rId539" ref="D489"/>
    <hyperlink r:id="rId540" ref="J489"/>
    <hyperlink r:id="rId541" ref="D490"/>
    <hyperlink r:id="rId542" ref="J490"/>
    <hyperlink r:id="rId543" ref="J491"/>
    <hyperlink r:id="rId544" ref="J492"/>
    <hyperlink r:id="rId545" ref="J493"/>
    <hyperlink r:id="rId546" ref="J496"/>
    <hyperlink r:id="rId547" ref="D497"/>
    <hyperlink r:id="rId548" ref="J497"/>
    <hyperlink r:id="rId549" ref="J498"/>
    <hyperlink r:id="rId550" ref="J499"/>
    <hyperlink r:id="rId551" ref="D500"/>
    <hyperlink r:id="rId552" ref="J500"/>
    <hyperlink r:id="rId553" ref="D501"/>
    <hyperlink r:id="rId554" ref="J501"/>
    <hyperlink r:id="rId555" ref="D502"/>
    <hyperlink r:id="rId556" ref="J502"/>
    <hyperlink r:id="rId557" ref="J503"/>
    <hyperlink r:id="rId558" ref="J504"/>
    <hyperlink r:id="rId559" ref="J505"/>
    <hyperlink r:id="rId560" ref="D508"/>
    <hyperlink r:id="rId561" ref="J508"/>
    <hyperlink r:id="rId562" ref="D509"/>
    <hyperlink r:id="rId563" ref="J509"/>
    <hyperlink r:id="rId564" ref="D510"/>
    <hyperlink r:id="rId565" ref="J510"/>
    <hyperlink r:id="rId566" ref="D511"/>
    <hyperlink r:id="rId567" ref="J511"/>
    <hyperlink r:id="rId568" ref="D512"/>
    <hyperlink r:id="rId569" ref="J512"/>
    <hyperlink r:id="rId570" ref="D513"/>
    <hyperlink r:id="rId571" ref="J513"/>
    <hyperlink r:id="rId572" ref="D514"/>
    <hyperlink r:id="rId573" ref="J514"/>
    <hyperlink r:id="rId574" ref="D515"/>
    <hyperlink r:id="rId575" ref="J515"/>
    <hyperlink r:id="rId576" ref="D516"/>
    <hyperlink r:id="rId577" ref="J516"/>
    <hyperlink r:id="rId578" ref="D517"/>
    <hyperlink r:id="rId579" ref="J517"/>
    <hyperlink r:id="rId580" ref="D518"/>
    <hyperlink r:id="rId581" ref="J518"/>
    <hyperlink r:id="rId582" ref="D519"/>
    <hyperlink r:id="rId583" ref="J519"/>
    <hyperlink r:id="rId584" ref="D520"/>
    <hyperlink r:id="rId585" ref="J520"/>
    <hyperlink r:id="rId586" ref="D521"/>
    <hyperlink r:id="rId587" ref="J521"/>
    <hyperlink r:id="rId588" ref="J524"/>
    <hyperlink r:id="rId589" ref="J525"/>
    <hyperlink r:id="rId590" ref="J526"/>
    <hyperlink r:id="rId591" ref="J527"/>
    <hyperlink r:id="rId592" ref="D528"/>
    <hyperlink r:id="rId593" ref="J528"/>
    <hyperlink r:id="rId594" ref="J531"/>
    <hyperlink r:id="rId595" ref="J532"/>
    <hyperlink r:id="rId596" ref="J533"/>
    <hyperlink r:id="rId597" ref="J534"/>
    <hyperlink r:id="rId598" ref="J535"/>
    <hyperlink r:id="rId599" ref="J536"/>
    <hyperlink r:id="rId600" ref="J537"/>
    <hyperlink r:id="rId601" ref="J538"/>
    <hyperlink r:id="rId602" ref="J539"/>
    <hyperlink r:id="rId603" ref="D540"/>
    <hyperlink r:id="rId604" ref="J540"/>
    <hyperlink r:id="rId605" ref="J541"/>
    <hyperlink r:id="rId606" ref="D542"/>
    <hyperlink r:id="rId607" ref="J542"/>
    <hyperlink r:id="rId608" ref="D543"/>
    <hyperlink r:id="rId609" ref="J543"/>
    <hyperlink r:id="rId610" ref="D544"/>
    <hyperlink r:id="rId611" ref="J544"/>
    <hyperlink r:id="rId612" ref="D545"/>
    <hyperlink r:id="rId613" ref="J545"/>
    <hyperlink r:id="rId614" ref="D546"/>
    <hyperlink r:id="rId615" ref="J546"/>
    <hyperlink r:id="rId616" ref="J547"/>
    <hyperlink r:id="rId617" ref="J548"/>
    <hyperlink r:id="rId618" ref="J552"/>
    <hyperlink r:id="rId619" ref="J553"/>
    <hyperlink r:id="rId620" ref="J554"/>
    <hyperlink r:id="rId621" ref="J555"/>
    <hyperlink r:id="rId622" ref="D556"/>
    <hyperlink r:id="rId623" ref="J556"/>
    <hyperlink r:id="rId624" ref="D557"/>
    <hyperlink r:id="rId625" ref="J557"/>
    <hyperlink r:id="rId626" ref="J558"/>
    <hyperlink r:id="rId627" ref="J559"/>
    <hyperlink r:id="rId628" ref="J560"/>
    <hyperlink r:id="rId629" ref="J561"/>
    <hyperlink r:id="rId630" ref="J562"/>
    <hyperlink r:id="rId631" ref="D565"/>
    <hyperlink r:id="rId632" ref="J565"/>
    <hyperlink r:id="rId633" ref="D566"/>
    <hyperlink r:id="rId634" ref="J566"/>
    <hyperlink r:id="rId635" ref="J567"/>
    <hyperlink r:id="rId636" ref="D568"/>
    <hyperlink r:id="rId637" ref="J568"/>
    <hyperlink r:id="rId638" ref="J571"/>
    <hyperlink r:id="rId639" ref="J572"/>
    <hyperlink r:id="rId640" ref="J573"/>
    <hyperlink r:id="rId641" ref="J574"/>
    <hyperlink r:id="rId642" ref="J575"/>
    <hyperlink r:id="rId643" ref="J576"/>
    <hyperlink r:id="rId644" ref="J577"/>
    <hyperlink r:id="rId645" ref="D578"/>
    <hyperlink r:id="rId646" ref="J578"/>
    <hyperlink r:id="rId647" ref="D579"/>
    <hyperlink r:id="rId648" ref="J579"/>
    <hyperlink r:id="rId649" ref="J582"/>
    <hyperlink r:id="rId650" ref="J583"/>
    <hyperlink r:id="rId651" ref="J584"/>
    <hyperlink r:id="rId652" ref="J585"/>
    <hyperlink r:id="rId653" ref="D586"/>
    <hyperlink r:id="rId654" ref="J586"/>
    <hyperlink r:id="rId655" ref="D587"/>
    <hyperlink r:id="rId656" ref="J587"/>
    <hyperlink r:id="rId657" ref="J588"/>
    <hyperlink r:id="rId658" ref="J591"/>
    <hyperlink r:id="rId659" ref="D592"/>
    <hyperlink r:id="rId660" ref="J592"/>
    <hyperlink r:id="rId661" ref="J593"/>
    <hyperlink r:id="rId662" ref="J596"/>
    <hyperlink r:id="rId663" ref="J597"/>
    <hyperlink r:id="rId664" ref="J598"/>
    <hyperlink r:id="rId665" ref="J599"/>
    <hyperlink r:id="rId666" ref="J600"/>
    <hyperlink r:id="rId667" ref="D601"/>
    <hyperlink r:id="rId668" ref="J601"/>
    <hyperlink r:id="rId669" ref="D602"/>
    <hyperlink r:id="rId670" ref="J602"/>
    <hyperlink r:id="rId671" ref="J603"/>
    <hyperlink r:id="rId672" ref="D606"/>
    <hyperlink r:id="rId673" ref="J606"/>
    <hyperlink r:id="rId674" ref="D607"/>
    <hyperlink r:id="rId675" ref="J607"/>
    <hyperlink r:id="rId676" ref="J622"/>
    <hyperlink r:id="rId677" ref="D623"/>
    <hyperlink r:id="rId678" ref="J623"/>
    <hyperlink r:id="rId679" ref="J624"/>
    <hyperlink r:id="rId680" ref="J625"/>
    <hyperlink r:id="rId681" ref="J626"/>
    <hyperlink r:id="rId682" ref="J627"/>
    <hyperlink r:id="rId683" ref="J628"/>
    <hyperlink r:id="rId684" ref="D629"/>
    <hyperlink r:id="rId685" ref="J629"/>
    <hyperlink r:id="rId686" ref="J630"/>
    <hyperlink r:id="rId687" ref="J631"/>
    <hyperlink r:id="rId688" ref="J632"/>
    <hyperlink r:id="rId689" ref="J633"/>
    <hyperlink r:id="rId690" ref="D634"/>
    <hyperlink r:id="rId691" ref="J634"/>
    <hyperlink r:id="rId692" ref="J635"/>
    <hyperlink r:id="rId693" ref="J636"/>
    <hyperlink r:id="rId694" ref="J637"/>
    <hyperlink r:id="rId695" ref="J638"/>
    <hyperlink r:id="rId696" ref="D639"/>
    <hyperlink r:id="rId697" ref="J639"/>
    <hyperlink r:id="rId698" ref="J640"/>
    <hyperlink r:id="rId699" ref="D641"/>
    <hyperlink r:id="rId700" ref="J641"/>
    <hyperlink r:id="rId701" ref="J644"/>
    <hyperlink r:id="rId702" ref="J645"/>
    <hyperlink r:id="rId703" ref="J646"/>
    <hyperlink r:id="rId704" ref="J647"/>
    <hyperlink r:id="rId705" ref="J648"/>
    <hyperlink r:id="rId706" ref="J649"/>
    <hyperlink r:id="rId707" ref="J650"/>
    <hyperlink r:id="rId708" ref="J651"/>
    <hyperlink r:id="rId709" ref="J652"/>
    <hyperlink r:id="rId710" ref="J655"/>
    <hyperlink r:id="rId711" ref="J656"/>
    <hyperlink r:id="rId712" ref="J657"/>
    <hyperlink r:id="rId713" ref="D660"/>
    <hyperlink r:id="rId714" ref="J660"/>
    <hyperlink r:id="rId715" ref="D661"/>
    <hyperlink r:id="rId716" ref="J661"/>
    <hyperlink r:id="rId717" ref="D662"/>
    <hyperlink r:id="rId718" ref="J662"/>
    <hyperlink r:id="rId719" ref="J663"/>
    <hyperlink r:id="rId720" ref="J664"/>
    <hyperlink r:id="rId721" ref="J665"/>
    <hyperlink r:id="rId722" ref="J666"/>
    <hyperlink r:id="rId723" ref="D667"/>
    <hyperlink r:id="rId724" ref="J667"/>
    <hyperlink r:id="rId725" ref="D668"/>
    <hyperlink r:id="rId726" ref="J668"/>
    <hyperlink r:id="rId727" ref="D669"/>
    <hyperlink r:id="rId728" ref="J669"/>
    <hyperlink r:id="rId729" ref="J670"/>
    <hyperlink r:id="rId730" ref="J671"/>
    <hyperlink r:id="rId731" ref="J672"/>
    <hyperlink r:id="rId732" ref="J673"/>
    <hyperlink r:id="rId733" ref="D674"/>
    <hyperlink r:id="rId734" ref="J674"/>
    <hyperlink r:id="rId735" ref="D675"/>
    <hyperlink r:id="rId736" ref="J675"/>
    <hyperlink r:id="rId737" ref="J676"/>
    <hyperlink r:id="rId738" ref="J677"/>
    <hyperlink r:id="rId739" ref="J678"/>
    <hyperlink r:id="rId740" ref="D683"/>
    <hyperlink r:id="rId741" ref="J683"/>
    <hyperlink r:id="rId742" ref="D684"/>
    <hyperlink r:id="rId743" ref="J684"/>
    <hyperlink r:id="rId744" ref="D685"/>
    <hyperlink r:id="rId745" ref="J685"/>
    <hyperlink r:id="rId746" ref="D686"/>
    <hyperlink r:id="rId747" ref="J686"/>
    <hyperlink r:id="rId748" ref="D687"/>
    <hyperlink r:id="rId749" ref="J687"/>
    <hyperlink r:id="rId750" ref="D688"/>
    <hyperlink r:id="rId751" ref="J688"/>
    <hyperlink r:id="rId752" ref="D689"/>
    <hyperlink r:id="rId753" ref="J689"/>
    <hyperlink r:id="rId754" ref="D690"/>
    <hyperlink r:id="rId755" ref="J690"/>
    <hyperlink r:id="rId756" ref="D691"/>
    <hyperlink r:id="rId757" ref="J691"/>
    <hyperlink r:id="rId758" ref="D692"/>
    <hyperlink r:id="rId759" ref="J692"/>
    <hyperlink r:id="rId760" ref="D693"/>
    <hyperlink r:id="rId761" ref="J693"/>
    <hyperlink r:id="rId762" ref="D694"/>
    <hyperlink r:id="rId763" ref="J694"/>
    <hyperlink r:id="rId764" ref="D695"/>
    <hyperlink r:id="rId765" ref="J695"/>
    <hyperlink r:id="rId766" ref="J696"/>
    <hyperlink r:id="rId767" ref="J697"/>
    <hyperlink r:id="rId768" ref="D698"/>
    <hyperlink r:id="rId769" ref="J698"/>
    <hyperlink r:id="rId770" ref="D699"/>
    <hyperlink r:id="rId771" ref="J699"/>
    <hyperlink r:id="rId772" ref="D700"/>
    <hyperlink r:id="rId773" ref="J700"/>
    <hyperlink r:id="rId774" ref="D701"/>
    <hyperlink r:id="rId775" ref="J701"/>
    <hyperlink r:id="rId776" ref="D702"/>
    <hyperlink r:id="rId777" ref="J702"/>
    <hyperlink r:id="rId778" ref="J703"/>
    <hyperlink r:id="rId779" ref="D704"/>
    <hyperlink r:id="rId780" ref="J704"/>
    <hyperlink r:id="rId781" ref="J705"/>
    <hyperlink r:id="rId782" ref="J706"/>
    <hyperlink r:id="rId783" ref="J709"/>
    <hyperlink r:id="rId784" ref="J710"/>
    <hyperlink r:id="rId785" ref="J711"/>
    <hyperlink r:id="rId786" ref="J712"/>
    <hyperlink r:id="rId787" ref="J713"/>
    <hyperlink r:id="rId788" ref="D716"/>
    <hyperlink r:id="rId789" ref="J716"/>
    <hyperlink r:id="rId790" ref="D717"/>
    <hyperlink r:id="rId791" ref="J717"/>
    <hyperlink r:id="rId792" ref="D718"/>
    <hyperlink r:id="rId793" ref="J718"/>
    <hyperlink r:id="rId794" ref="D719"/>
    <hyperlink r:id="rId795" ref="J719"/>
    <hyperlink r:id="rId796" ref="D720"/>
    <hyperlink r:id="rId797" ref="J720"/>
    <hyperlink r:id="rId798" ref="D721"/>
    <hyperlink r:id="rId799" ref="J721"/>
    <hyperlink r:id="rId800" ref="D722"/>
    <hyperlink r:id="rId801" ref="J722"/>
    <hyperlink r:id="rId802" ref="J725"/>
    <hyperlink r:id="rId803" ref="D726"/>
    <hyperlink r:id="rId804" ref="J726"/>
    <hyperlink r:id="rId805" ref="D727"/>
    <hyperlink r:id="rId806" ref="J727"/>
    <hyperlink r:id="rId807" ref="J730"/>
    <hyperlink r:id="rId808" ref="D731"/>
    <hyperlink r:id="rId809" ref="J731"/>
    <hyperlink r:id="rId810" ref="D732"/>
    <hyperlink r:id="rId811" ref="J732"/>
    <hyperlink r:id="rId812" ref="D733"/>
    <hyperlink r:id="rId813" ref="J733"/>
    <hyperlink r:id="rId814" ref="D734"/>
    <hyperlink r:id="rId815" ref="J734"/>
    <hyperlink r:id="rId816" ref="D735"/>
    <hyperlink r:id="rId817" ref="J735"/>
    <hyperlink r:id="rId818" ref="J736"/>
    <hyperlink r:id="rId819" ref="J737"/>
    <hyperlink r:id="rId820" ref="J738"/>
    <hyperlink r:id="rId821" ref="D743"/>
    <hyperlink r:id="rId822" ref="J743"/>
    <hyperlink r:id="rId823" ref="J744"/>
    <hyperlink r:id="rId824" ref="J745"/>
    <hyperlink r:id="rId825" ref="J746"/>
    <hyperlink r:id="rId826" ref="J747"/>
    <hyperlink r:id="rId827" ref="J748"/>
    <hyperlink r:id="rId828" ref="J749"/>
    <hyperlink r:id="rId829" ref="J750"/>
    <hyperlink r:id="rId830" ref="D753"/>
    <hyperlink r:id="rId831" ref="J753"/>
    <hyperlink r:id="rId832" ref="D754"/>
    <hyperlink r:id="rId833" ref="J754"/>
    <hyperlink r:id="rId834" ref="D759"/>
    <hyperlink r:id="rId835" ref="J759"/>
    <hyperlink r:id="rId836" ref="J760"/>
    <hyperlink r:id="rId837" ref="D761"/>
    <hyperlink r:id="rId838" ref="J761"/>
    <hyperlink r:id="rId839" ref="D762"/>
    <hyperlink r:id="rId840" ref="J762"/>
    <hyperlink r:id="rId841" ref="D763"/>
    <hyperlink r:id="rId842" ref="J763"/>
    <hyperlink r:id="rId843" ref="D766"/>
    <hyperlink r:id="rId844" ref="J766"/>
    <hyperlink r:id="rId845" ref="D767"/>
    <hyperlink r:id="rId846" ref="J767"/>
    <hyperlink r:id="rId847" ref="D768"/>
    <hyperlink r:id="rId848" ref="J768"/>
    <hyperlink r:id="rId849" ref="D769"/>
    <hyperlink r:id="rId850" ref="J769"/>
    <hyperlink r:id="rId851" ref="D770"/>
    <hyperlink r:id="rId852" ref="J770"/>
    <hyperlink r:id="rId853" ref="D771"/>
    <hyperlink r:id="rId854" ref="J771"/>
    <hyperlink r:id="rId855" ref="D772"/>
    <hyperlink r:id="rId856" ref="J772"/>
    <hyperlink r:id="rId857" ref="D773"/>
    <hyperlink r:id="rId858" ref="J773"/>
    <hyperlink r:id="rId859" ref="D774"/>
    <hyperlink r:id="rId860" ref="J774"/>
    <hyperlink r:id="rId861" ref="D775"/>
    <hyperlink r:id="rId862" ref="J775"/>
    <hyperlink r:id="rId863" ref="D776"/>
    <hyperlink r:id="rId864" ref="J776"/>
    <hyperlink r:id="rId865" ref="J779"/>
    <hyperlink r:id="rId866" ref="J782"/>
    <hyperlink r:id="rId867" ref="D784"/>
    <hyperlink r:id="rId868" ref="J784"/>
    <hyperlink r:id="rId869" ref="J789"/>
    <hyperlink r:id="rId870" ref="D792"/>
    <hyperlink r:id="rId871" ref="J792"/>
    <hyperlink r:id="rId872" ref="D793"/>
    <hyperlink r:id="rId873" ref="J793"/>
    <hyperlink r:id="rId874" ref="D796"/>
    <hyperlink r:id="rId875" ref="J796"/>
    <hyperlink r:id="rId876" ref="J797"/>
    <hyperlink r:id="rId877" ref="J798"/>
    <hyperlink r:id="rId878" ref="J799"/>
    <hyperlink r:id="rId879" ref="J800"/>
    <hyperlink r:id="rId880" ref="D801"/>
    <hyperlink r:id="rId881" ref="J801"/>
    <hyperlink r:id="rId882" ref="D802"/>
    <hyperlink r:id="rId883" ref="J802"/>
    <hyperlink r:id="rId884" ref="J803"/>
    <hyperlink r:id="rId885" ref="J804"/>
    <hyperlink r:id="rId886" ref="J805"/>
    <hyperlink r:id="rId887" ref="J806"/>
    <hyperlink r:id="rId888" ref="J807"/>
    <hyperlink r:id="rId889" ref="J808"/>
    <hyperlink r:id="rId890" ref="J809"/>
    <hyperlink r:id="rId891" ref="J810"/>
    <hyperlink r:id="rId892" ref="J811"/>
    <hyperlink r:id="rId893" ref="J812"/>
    <hyperlink r:id="rId894" ref="J813"/>
    <hyperlink r:id="rId895" ref="J814"/>
    <hyperlink r:id="rId896" ref="D815"/>
    <hyperlink r:id="rId897" ref="J815"/>
    <hyperlink r:id="rId898" ref="J816"/>
    <hyperlink r:id="rId899" ref="J817"/>
    <hyperlink r:id="rId900" ref="D820"/>
    <hyperlink r:id="rId901" ref="J820"/>
    <hyperlink r:id="rId902" ref="D821"/>
    <hyperlink r:id="rId903" ref="J821"/>
    <hyperlink r:id="rId904" ref="D822"/>
    <hyperlink r:id="rId905" ref="J822"/>
    <hyperlink r:id="rId906" ref="D823"/>
    <hyperlink r:id="rId907" ref="J823"/>
    <hyperlink r:id="rId908" ref="D824"/>
    <hyperlink r:id="rId909" ref="J824"/>
    <hyperlink r:id="rId910" ref="D825"/>
    <hyperlink r:id="rId911" ref="J825"/>
    <hyperlink r:id="rId912" ref="D826"/>
    <hyperlink r:id="rId913" ref="J826"/>
    <hyperlink r:id="rId914" ref="J829"/>
    <hyperlink r:id="rId915" ref="J834"/>
    <hyperlink r:id="rId916" ref="J835"/>
    <hyperlink r:id="rId917" ref="D838"/>
    <hyperlink r:id="rId918" ref="J838"/>
    <hyperlink r:id="rId919" ref="D839"/>
    <hyperlink r:id="rId920" ref="J839"/>
    <hyperlink r:id="rId921" ref="D840"/>
    <hyperlink r:id="rId922" ref="J840"/>
    <hyperlink r:id="rId923" ref="D841"/>
    <hyperlink r:id="rId924" ref="J841"/>
    <hyperlink r:id="rId925" ref="D842"/>
    <hyperlink r:id="rId926" ref="J842"/>
    <hyperlink r:id="rId927" ref="D843"/>
    <hyperlink r:id="rId928" ref="J843"/>
    <hyperlink r:id="rId929" ref="D844"/>
    <hyperlink r:id="rId930" ref="J844"/>
    <hyperlink r:id="rId931" ref="J845"/>
    <hyperlink r:id="rId932" ref="J846"/>
    <hyperlink r:id="rId933" ref="J847"/>
    <hyperlink r:id="rId934" ref="D850"/>
    <hyperlink r:id="rId935" ref="J850"/>
    <hyperlink r:id="rId936" ref="D851"/>
    <hyperlink r:id="rId937" ref="J851"/>
    <hyperlink r:id="rId938" ref="D852"/>
    <hyperlink r:id="rId939" ref="J852"/>
    <hyperlink r:id="rId940" ref="J853"/>
    <hyperlink r:id="rId941" ref="J854"/>
    <hyperlink r:id="rId942" ref="D855"/>
    <hyperlink r:id="rId943" ref="J855"/>
    <hyperlink r:id="rId944" ref="J856"/>
    <hyperlink r:id="rId945" ref="J857"/>
    <hyperlink r:id="rId946" ref="J858"/>
    <hyperlink r:id="rId947" ref="J859"/>
    <hyperlink r:id="rId948" ref="J860"/>
    <hyperlink r:id="rId949" ref="J861"/>
    <hyperlink r:id="rId950" ref="J862"/>
    <hyperlink r:id="rId951" ref="D863"/>
    <hyperlink r:id="rId952" ref="J863"/>
    <hyperlink r:id="rId953" ref="D864"/>
    <hyperlink r:id="rId954" ref="J864"/>
    <hyperlink r:id="rId955" ref="D865"/>
    <hyperlink r:id="rId956" ref="J865"/>
    <hyperlink r:id="rId957" ref="D866"/>
    <hyperlink r:id="rId958" ref="J866"/>
    <hyperlink r:id="rId959" ref="J867"/>
    <hyperlink r:id="rId960" ref="D868"/>
    <hyperlink r:id="rId961" ref="J868"/>
    <hyperlink r:id="rId962" ref="J869"/>
    <hyperlink r:id="rId963" ref="J870"/>
    <hyperlink r:id="rId964" ref="J871"/>
    <hyperlink r:id="rId965" ref="J874"/>
    <hyperlink r:id="rId966" ref="J875"/>
    <hyperlink r:id="rId967" ref="J876"/>
    <hyperlink r:id="rId968" ref="J877"/>
    <hyperlink r:id="rId969" ref="J878"/>
    <hyperlink r:id="rId970" ref="J879"/>
    <hyperlink r:id="rId971" ref="J880"/>
    <hyperlink r:id="rId972" ref="J881"/>
    <hyperlink r:id="rId973" ref="D884"/>
    <hyperlink r:id="rId974" ref="J884"/>
    <hyperlink r:id="rId975" ref="D885"/>
    <hyperlink r:id="rId976" ref="J885"/>
    <hyperlink r:id="rId977" ref="J888"/>
    <hyperlink r:id="rId978" ref="J889"/>
    <hyperlink r:id="rId979" ref="J890"/>
    <hyperlink r:id="rId980" ref="J891"/>
    <hyperlink r:id="rId981" ref="J892"/>
    <hyperlink r:id="rId982" ref="J893"/>
    <hyperlink r:id="rId983" ref="J894"/>
    <hyperlink r:id="rId984" ref="J895"/>
    <hyperlink r:id="rId985" ref="J896"/>
    <hyperlink r:id="rId986" ref="J897"/>
    <hyperlink r:id="rId987" ref="J898"/>
    <hyperlink r:id="rId988" ref="J899"/>
    <hyperlink r:id="rId989" ref="J900"/>
    <hyperlink r:id="rId990" ref="J901"/>
    <hyperlink r:id="rId991" ref="J903"/>
    <hyperlink r:id="rId992" ref="J904"/>
    <hyperlink r:id="rId993" ref="D905"/>
    <hyperlink r:id="rId994" ref="J905"/>
    <hyperlink r:id="rId995" ref="J908"/>
    <hyperlink r:id="rId996" ref="D909"/>
    <hyperlink r:id="rId997" ref="J909"/>
    <hyperlink r:id="rId998" ref="D910"/>
    <hyperlink r:id="rId999" ref="J910"/>
    <hyperlink r:id="rId1000" ref="D911"/>
    <hyperlink r:id="rId1001" ref="J911"/>
    <hyperlink r:id="rId1002" ref="D912"/>
    <hyperlink r:id="rId1003" ref="J912"/>
    <hyperlink r:id="rId1004" ref="D913"/>
    <hyperlink r:id="rId1005" ref="J913"/>
    <hyperlink r:id="rId1006" ref="D914"/>
    <hyperlink r:id="rId1007" ref="J914"/>
    <hyperlink r:id="rId1008" ref="D915"/>
    <hyperlink r:id="rId1009" ref="J915"/>
    <hyperlink r:id="rId1010" ref="D916"/>
    <hyperlink r:id="rId1011" ref="J916"/>
    <hyperlink r:id="rId1012" ref="D917"/>
    <hyperlink r:id="rId1013" ref="J917"/>
    <hyperlink r:id="rId1014" ref="D918"/>
    <hyperlink r:id="rId1015" ref="J918"/>
    <hyperlink r:id="rId1016" ref="J921"/>
    <hyperlink r:id="rId1017" ref="J922"/>
    <hyperlink r:id="rId1018" ref="D923"/>
    <hyperlink r:id="rId1019" ref="J923"/>
    <hyperlink r:id="rId1020" ref="D924"/>
    <hyperlink r:id="rId1021" ref="J924"/>
    <hyperlink r:id="rId1022" ref="D925"/>
    <hyperlink r:id="rId1023" ref="J925"/>
    <hyperlink r:id="rId1024" ref="D926"/>
    <hyperlink r:id="rId1025" ref="J926"/>
    <hyperlink r:id="rId1026" ref="D927"/>
    <hyperlink r:id="rId1027" ref="J927"/>
    <hyperlink r:id="rId1028" ref="D928"/>
    <hyperlink r:id="rId1029" ref="J928"/>
    <hyperlink r:id="rId1030" ref="D929"/>
    <hyperlink r:id="rId1031" ref="J929"/>
    <hyperlink r:id="rId1032" ref="D930"/>
    <hyperlink r:id="rId1033" ref="J930"/>
    <hyperlink r:id="rId1034" ref="D931"/>
    <hyperlink r:id="rId1035" ref="J931"/>
    <hyperlink r:id="rId1036" ref="D932"/>
    <hyperlink r:id="rId1037" ref="J932"/>
    <hyperlink r:id="rId1038" ref="D933"/>
    <hyperlink r:id="rId1039" ref="J933"/>
    <hyperlink r:id="rId1040" ref="D934"/>
    <hyperlink r:id="rId1041" ref="J934"/>
    <hyperlink r:id="rId1042" ref="D935"/>
    <hyperlink r:id="rId1043" ref="J935"/>
    <hyperlink r:id="rId1044" ref="D936"/>
    <hyperlink r:id="rId1045" ref="J936"/>
    <hyperlink r:id="rId1046" ref="D937"/>
    <hyperlink r:id="rId1047" ref="J937"/>
    <hyperlink r:id="rId1048" ref="D938"/>
    <hyperlink r:id="rId1049" ref="J938"/>
    <hyperlink r:id="rId1050" ref="D939"/>
    <hyperlink r:id="rId1051" ref="J939"/>
    <hyperlink r:id="rId1052" ref="D940"/>
    <hyperlink r:id="rId1053" ref="J940"/>
    <hyperlink r:id="rId1054" ref="J941"/>
    <hyperlink r:id="rId1055" ref="D942"/>
    <hyperlink r:id="rId1056" ref="J942"/>
    <hyperlink r:id="rId1057" ref="D943"/>
    <hyperlink r:id="rId1058" ref="J943"/>
    <hyperlink r:id="rId1059" ref="J944"/>
    <hyperlink r:id="rId1060" ref="J945"/>
    <hyperlink r:id="rId1061" ref="D946"/>
    <hyperlink r:id="rId1062" ref="J946"/>
    <hyperlink r:id="rId1063" ref="D947"/>
    <hyperlink r:id="rId1064" ref="J947"/>
    <hyperlink r:id="rId1065" ref="D948"/>
    <hyperlink r:id="rId1066" ref="J948"/>
    <hyperlink r:id="rId1067" ref="J949"/>
    <hyperlink r:id="rId1068" ref="D950"/>
    <hyperlink r:id="rId1069" ref="J950"/>
    <hyperlink r:id="rId1070" ref="D951"/>
    <hyperlink r:id="rId1071" ref="J951"/>
    <hyperlink r:id="rId1072" ref="D952"/>
    <hyperlink r:id="rId1073" ref="J952"/>
    <hyperlink r:id="rId1074" ref="D953"/>
    <hyperlink r:id="rId1075" ref="J953"/>
    <hyperlink r:id="rId1076" ref="D954"/>
    <hyperlink r:id="rId1077" ref="J954"/>
    <hyperlink r:id="rId1078" ref="D955"/>
    <hyperlink r:id="rId1079" ref="J955"/>
    <hyperlink r:id="rId1080" ref="D956"/>
    <hyperlink r:id="rId1081" ref="J956"/>
    <hyperlink r:id="rId1082" ref="D957"/>
    <hyperlink r:id="rId1083" ref="J957"/>
    <hyperlink r:id="rId1084" ref="D958"/>
    <hyperlink r:id="rId1085" ref="J958"/>
    <hyperlink r:id="rId1086" ref="D959"/>
    <hyperlink r:id="rId1087" ref="J959"/>
    <hyperlink r:id="rId1088" ref="J962"/>
    <hyperlink r:id="rId1089" ref="J963"/>
    <hyperlink r:id="rId1090" ref="J964"/>
    <hyperlink r:id="rId1091" ref="J965"/>
    <hyperlink r:id="rId1092" ref="J966"/>
    <hyperlink r:id="rId1093" ref="J967"/>
    <hyperlink r:id="rId1094" ref="J968"/>
    <hyperlink r:id="rId1095" ref="J969"/>
    <hyperlink r:id="rId1096" ref="D972"/>
    <hyperlink r:id="rId1097" ref="J972"/>
    <hyperlink r:id="rId1098" ref="J973"/>
    <hyperlink r:id="rId1099" ref="J974"/>
    <hyperlink r:id="rId1100" ref="J975"/>
    <hyperlink r:id="rId1101" ref="J976"/>
    <hyperlink r:id="rId1102" ref="D977"/>
    <hyperlink r:id="rId1103" ref="J977"/>
    <hyperlink r:id="rId1104" ref="D978"/>
    <hyperlink r:id="rId1105" ref="J978"/>
    <hyperlink r:id="rId1106" ref="J979"/>
    <hyperlink r:id="rId1107" ref="J980"/>
    <hyperlink r:id="rId1108" ref="J981"/>
    <hyperlink r:id="rId1109" ref="J982"/>
    <hyperlink r:id="rId1110" ref="J983"/>
    <hyperlink r:id="rId1111" ref="J984"/>
    <hyperlink r:id="rId1112" ref="J985"/>
    <hyperlink r:id="rId1113" ref="D986"/>
    <hyperlink r:id="rId1114" ref="J986"/>
    <hyperlink r:id="rId1115" ref="J987"/>
    <hyperlink r:id="rId1116" ref="J988"/>
    <hyperlink r:id="rId1117" ref="J995"/>
    <hyperlink r:id="rId1118" ref="D996"/>
    <hyperlink r:id="rId1119" ref="J996"/>
    <hyperlink r:id="rId1120" ref="D997"/>
    <hyperlink r:id="rId1121" ref="J997"/>
    <hyperlink r:id="rId1122" ref="J998"/>
    <hyperlink r:id="rId1123" ref="D999"/>
    <hyperlink r:id="rId1124" ref="J999"/>
    <hyperlink r:id="rId1125" ref="D1000"/>
    <hyperlink r:id="rId1126" ref="J1000"/>
    <hyperlink r:id="rId1127" ref="J1005"/>
    <hyperlink r:id="rId1128" ref="J1006"/>
    <hyperlink r:id="rId1129" ref="J1007"/>
    <hyperlink r:id="rId1130" ref="D1010"/>
    <hyperlink r:id="rId1131" ref="J1010"/>
    <hyperlink r:id="rId1132" ref="D1011"/>
    <hyperlink r:id="rId1133" ref="J1011"/>
    <hyperlink r:id="rId1134" ref="D1012"/>
    <hyperlink r:id="rId1135" ref="J1012"/>
    <hyperlink r:id="rId1136" ref="D1015"/>
    <hyperlink r:id="rId1137" ref="J1015"/>
    <hyperlink r:id="rId1138" ref="D1016"/>
    <hyperlink r:id="rId1139" ref="J1016"/>
    <hyperlink r:id="rId1140" ref="D1017"/>
    <hyperlink r:id="rId1141" ref="J1017"/>
    <hyperlink r:id="rId1142" ref="D1018"/>
    <hyperlink r:id="rId1143" ref="J1018"/>
    <hyperlink r:id="rId1144" ref="D1019"/>
    <hyperlink r:id="rId1145" ref="J1019"/>
    <hyperlink r:id="rId1146" ref="D1020"/>
    <hyperlink r:id="rId1147" ref="J1020"/>
    <hyperlink r:id="rId1148" ref="D1021"/>
    <hyperlink r:id="rId1149" ref="J1021"/>
    <hyperlink r:id="rId1150" ref="J1024"/>
    <hyperlink r:id="rId1151" ref="J1025"/>
    <hyperlink r:id="rId1152" ref="J1026"/>
    <hyperlink r:id="rId1153" ref="J1027"/>
    <hyperlink r:id="rId1154" ref="D1028"/>
    <hyperlink r:id="rId1155" ref="J1028"/>
    <hyperlink r:id="rId1156" ref="D1031"/>
    <hyperlink r:id="rId1157" ref="J1031"/>
    <hyperlink r:id="rId1158" ref="D1032"/>
    <hyperlink r:id="rId1159" ref="J1032"/>
    <hyperlink r:id="rId1160" ref="D1033"/>
    <hyperlink r:id="rId1161" ref="J1033"/>
    <hyperlink r:id="rId1162" ref="D1034"/>
    <hyperlink r:id="rId1163" ref="J1034"/>
    <hyperlink r:id="rId1164" ref="D1037"/>
    <hyperlink r:id="rId1165" ref="J1037"/>
    <hyperlink r:id="rId1166" ref="D1038"/>
    <hyperlink r:id="rId1167" ref="J1038"/>
    <hyperlink r:id="rId1168" ref="D1039"/>
    <hyperlink r:id="rId1169" ref="J1039"/>
    <hyperlink r:id="rId1170" ref="D1040"/>
    <hyperlink r:id="rId1171" ref="J1040"/>
    <hyperlink r:id="rId1172" ref="D1041"/>
    <hyperlink r:id="rId1173" ref="J1041"/>
    <hyperlink r:id="rId1174" ref="J1044"/>
    <hyperlink r:id="rId1175" ref="D1045"/>
    <hyperlink r:id="rId1176" ref="J1045"/>
    <hyperlink r:id="rId1177" ref="D1046"/>
    <hyperlink r:id="rId1178" ref="J1046"/>
    <hyperlink r:id="rId1179" ref="J1047"/>
    <hyperlink r:id="rId1180" ref="D1048"/>
    <hyperlink r:id="rId1181" ref="J1048"/>
    <hyperlink r:id="rId1182" ref="D1049"/>
    <hyperlink r:id="rId1183" ref="J1049"/>
    <hyperlink r:id="rId1184" ref="D1050"/>
    <hyperlink r:id="rId1185" ref="J1050"/>
    <hyperlink r:id="rId1186" ref="D1051"/>
    <hyperlink r:id="rId1187" ref="J1051"/>
    <hyperlink r:id="rId1188" ref="D1052"/>
    <hyperlink r:id="rId1189" ref="J1052"/>
    <hyperlink r:id="rId1190" ref="D1053"/>
    <hyperlink r:id="rId1191" ref="J1053"/>
    <hyperlink r:id="rId1192" ref="D1054"/>
    <hyperlink r:id="rId1193" ref="J1054"/>
    <hyperlink r:id="rId1194" ref="D1055"/>
    <hyperlink r:id="rId1195" ref="J1055"/>
    <hyperlink r:id="rId1196" ref="D1056"/>
    <hyperlink r:id="rId1197" ref="J1056"/>
    <hyperlink r:id="rId1198" ref="D1057"/>
    <hyperlink r:id="rId1199" ref="J1057"/>
    <hyperlink r:id="rId1200" ref="D1058"/>
    <hyperlink r:id="rId1201" ref="J1058"/>
    <hyperlink r:id="rId1202" ref="D1059"/>
    <hyperlink r:id="rId1203" ref="J1059"/>
    <hyperlink r:id="rId1204" ref="D1060"/>
    <hyperlink r:id="rId1205" ref="J1060"/>
    <hyperlink r:id="rId1206" ref="D1061"/>
    <hyperlink r:id="rId1207" ref="J1061"/>
    <hyperlink r:id="rId1208" ref="D1062"/>
    <hyperlink r:id="rId1209" ref="J1062"/>
    <hyperlink r:id="rId1210" ref="D1063"/>
    <hyperlink r:id="rId1211" ref="J1063"/>
    <hyperlink r:id="rId1212" ref="D1064"/>
    <hyperlink r:id="rId1213" ref="J1064"/>
    <hyperlink r:id="rId1214" ref="D1065"/>
    <hyperlink r:id="rId1215" ref="J1065"/>
    <hyperlink r:id="rId1216" ref="D1068"/>
    <hyperlink r:id="rId1217" ref="J1068"/>
    <hyperlink r:id="rId1218" ref="D1069"/>
    <hyperlink r:id="rId1219" ref="J1069"/>
    <hyperlink r:id="rId1220" ref="D1070"/>
    <hyperlink r:id="rId1221" ref="J1070"/>
    <hyperlink r:id="rId1222" ref="D1071"/>
    <hyperlink r:id="rId1223" ref="J1071"/>
    <hyperlink r:id="rId1224" ref="D1072"/>
    <hyperlink r:id="rId1225" ref="J1072"/>
    <hyperlink r:id="rId1226" ref="D1073"/>
    <hyperlink r:id="rId1227" ref="J1073"/>
    <hyperlink r:id="rId1228" ref="D1074"/>
    <hyperlink r:id="rId1229" ref="J1074"/>
    <hyperlink r:id="rId1230" ref="D1075"/>
    <hyperlink r:id="rId1231" ref="J1075"/>
    <hyperlink r:id="rId1232" ref="D1076"/>
    <hyperlink r:id="rId1233" ref="J1076"/>
    <hyperlink r:id="rId1234" ref="D1077"/>
    <hyperlink r:id="rId1235" ref="J1077"/>
    <hyperlink r:id="rId1236" ref="D1078"/>
    <hyperlink r:id="rId1237" ref="J1078"/>
    <hyperlink r:id="rId1238" ref="D1079"/>
    <hyperlink r:id="rId1239" ref="J1079"/>
    <hyperlink r:id="rId1240" ref="D1080"/>
    <hyperlink r:id="rId1241" ref="J1080"/>
    <hyperlink r:id="rId1242" ref="D1081"/>
    <hyperlink r:id="rId1243" ref="J1081"/>
    <hyperlink r:id="rId1244" ref="D1082"/>
    <hyperlink r:id="rId1245" ref="J1082"/>
    <hyperlink r:id="rId1246" ref="J1088"/>
    <hyperlink r:id="rId1247" ref="J1089"/>
    <hyperlink r:id="rId1248" ref="J1090"/>
    <hyperlink r:id="rId1249" ref="J1091"/>
    <hyperlink r:id="rId1250" ref="J1096"/>
    <hyperlink r:id="rId1251" ref="J1097"/>
    <hyperlink r:id="rId1252" ref="J1098"/>
    <hyperlink r:id="rId1253" ref="J1101"/>
    <hyperlink r:id="rId1254" ref="J1102"/>
    <hyperlink r:id="rId1255" ref="J1103"/>
    <hyperlink r:id="rId1256" ref="D1104"/>
    <hyperlink r:id="rId1257" ref="J1104"/>
    <hyperlink r:id="rId1258" ref="D1105"/>
    <hyperlink r:id="rId1259" ref="J1105"/>
    <hyperlink r:id="rId1260" ref="D1110"/>
    <hyperlink r:id="rId1261" ref="J1110"/>
    <hyperlink r:id="rId1262" ref="D1111"/>
    <hyperlink r:id="rId1263" ref="J1111"/>
    <hyperlink r:id="rId1264" ref="D1112"/>
    <hyperlink r:id="rId1265" ref="J1112"/>
    <hyperlink r:id="rId1266" ref="D1113"/>
    <hyperlink r:id="rId1267" ref="J1113"/>
    <hyperlink r:id="rId1268" ref="D1114"/>
    <hyperlink r:id="rId1269" ref="J1114"/>
    <hyperlink r:id="rId1270" ref="J1115"/>
    <hyperlink r:id="rId1271" ref="D1116"/>
    <hyperlink r:id="rId1272" ref="J1116"/>
    <hyperlink r:id="rId1273" ref="D1117"/>
    <hyperlink r:id="rId1274" ref="J1117"/>
    <hyperlink r:id="rId1275" ref="D1118"/>
    <hyperlink r:id="rId1276" ref="J1118"/>
    <hyperlink r:id="rId1277" ref="J1119"/>
    <hyperlink r:id="rId1278" ref="J1120"/>
    <hyperlink r:id="rId1279" ref="J1121"/>
    <hyperlink r:id="rId1280" ref="D1122"/>
    <hyperlink r:id="rId1281" ref="J1122"/>
    <hyperlink r:id="rId1282" ref="J1124"/>
    <hyperlink r:id="rId1283" ref="J1125"/>
    <hyperlink r:id="rId1284" ref="J1126"/>
    <hyperlink r:id="rId1285" ref="J1127"/>
    <hyperlink r:id="rId1286" ref="J1128"/>
    <hyperlink r:id="rId1287" ref="D1132"/>
    <hyperlink r:id="rId1288" ref="J1132"/>
    <hyperlink r:id="rId1289" ref="D1133"/>
    <hyperlink r:id="rId1290" ref="J1133"/>
    <hyperlink r:id="rId1291" ref="J1134"/>
    <hyperlink r:id="rId1292" ref="J1135"/>
    <hyperlink r:id="rId1293" ref="J1136"/>
    <hyperlink r:id="rId1294" ref="J1139"/>
    <hyperlink r:id="rId1295" ref="J1140"/>
    <hyperlink r:id="rId1296" ref="J1143"/>
    <hyperlink r:id="rId1297" ref="J1144"/>
    <hyperlink r:id="rId1298" ref="D1146"/>
    <hyperlink r:id="rId1299" ref="J1146"/>
    <hyperlink r:id="rId1300" ref="J1147"/>
    <hyperlink r:id="rId1301" ref="J1148"/>
    <hyperlink r:id="rId1302" ref="J1152"/>
    <hyperlink r:id="rId1303" ref="J1159"/>
    <hyperlink r:id="rId1304" ref="D1163"/>
    <hyperlink r:id="rId1305" ref="J1163"/>
    <hyperlink r:id="rId1306" ref="D1164"/>
    <hyperlink r:id="rId1307" ref="J1164"/>
    <hyperlink r:id="rId1308" ref="D1165"/>
    <hyperlink r:id="rId1309" ref="J1165"/>
    <hyperlink r:id="rId1310" ref="J1166"/>
    <hyperlink r:id="rId1311" ref="J1170"/>
    <hyperlink r:id="rId1312" ref="D1171"/>
    <hyperlink r:id="rId1313" ref="J1171"/>
    <hyperlink r:id="rId1314" ref="J1174"/>
    <hyperlink r:id="rId1315" ref="J1177"/>
    <hyperlink r:id="rId1316" ref="D1179"/>
    <hyperlink r:id="rId1317" ref="J1179"/>
    <hyperlink r:id="rId1318" ref="J1188"/>
    <hyperlink r:id="rId1319" ref="J1189"/>
    <hyperlink r:id="rId1320" ref="D1192"/>
    <hyperlink r:id="rId1321" ref="J1192"/>
    <hyperlink r:id="rId1322" ref="D1193"/>
    <hyperlink r:id="rId1323" ref="J1193"/>
    <hyperlink r:id="rId1324" ref="D1194"/>
    <hyperlink r:id="rId1325" ref="J1194"/>
    <hyperlink r:id="rId1326" ref="J1195"/>
    <hyperlink r:id="rId1327" ref="J1196"/>
    <hyperlink r:id="rId1328" ref="D1197"/>
    <hyperlink r:id="rId1329" ref="J1197"/>
    <hyperlink r:id="rId1330" ref="J1198"/>
    <hyperlink r:id="rId1331" ref="J1199"/>
    <hyperlink r:id="rId1332" ref="J1202"/>
    <hyperlink r:id="rId1333" ref="J1203"/>
    <hyperlink r:id="rId1334" ref="J1204"/>
    <hyperlink r:id="rId1335" ref="J1205"/>
    <hyperlink r:id="rId1336" ref="D1206"/>
    <hyperlink r:id="rId1337" ref="J1206"/>
    <hyperlink r:id="rId1338" ref="J1207"/>
    <hyperlink r:id="rId1339" ref="D1210"/>
    <hyperlink r:id="rId1340" ref="J1210"/>
    <hyperlink r:id="rId1341" ref="D1211"/>
    <hyperlink r:id="rId1342" ref="D1212"/>
    <hyperlink r:id="rId1343" ref="D1213"/>
    <hyperlink r:id="rId1344" ref="D1214"/>
    <hyperlink r:id="rId1345" ref="D1215"/>
    <hyperlink r:id="rId1346" ref="D1216"/>
    <hyperlink r:id="rId1347" ref="D1217"/>
    <hyperlink r:id="rId1348" ref="D1218"/>
    <hyperlink r:id="rId1349" ref="D1219"/>
    <hyperlink r:id="rId1350" ref="D1227"/>
    <hyperlink r:id="rId1351" ref="D1228"/>
    <hyperlink r:id="rId1352" ref="D1229"/>
  </hyperlinks>
  <printOptions gridLines="1" horizontalCentered="1"/>
  <pageMargins bottom="0.75" footer="0.0" header="0.0" left="0.25" right="0.25" top="0.75"/>
  <pageSetup fitToHeight="0" cellComments="atEnd" orientation="landscape" pageOrder="overThenDown"/>
  <drawing r:id="rId135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5.75"/>
  <cols>
    <col customWidth="1" min="2" max="171" width="7.75"/>
  </cols>
  <sheetData>
    <row r="1">
      <c r="A1" s="92" t="str">
        <f>IFERROR(__xludf.DUMMYFUNCTION("importrange(""https://docs.google.com/spreadsheets/d/1mvA960mm3QaFyRdwkfIRxhE1UQJl45QEUTnDVxtxiIE/edit?usp=sharing"",""HistClsP!A1:FO84"")"),"Historical Closing Prices in COMPASS System")</f>
        <v>Historical Closing Prices in COMPASS System</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row>
    <row r="2">
      <c r="A2" s="35" t="str">
        <f>IFERROR(__xludf.DUMMYFUNCTION("""COMPUTED_VALUE"""),"System date:")</f>
        <v>System date:</v>
      </c>
      <c r="B2" s="93">
        <f>IFERROR(__xludf.DUMMYFUNCTION("""COMPUTED_VALUE"""),44664.0)</f>
        <v>44664</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94" t="str">
        <f>IFERROR(__xludf.DUMMYFUNCTION("""COMPUTED_VALUE"""),"Use Avg (Bid,Ask for Bond)")</f>
        <v>Use Avg (Bid,Ask for Bond)</v>
      </c>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c r="CR2" s="35"/>
      <c r="CS2" s="35"/>
      <c r="CT2" s="35"/>
      <c r="CU2" s="35"/>
      <c r="CV2" s="35"/>
      <c r="CW2" s="35"/>
      <c r="CX2" s="35"/>
      <c r="CY2" s="35"/>
      <c r="CZ2" s="35"/>
      <c r="DA2" s="35"/>
      <c r="DB2" s="35"/>
      <c r="DC2" s="35"/>
      <c r="DD2" s="35"/>
      <c r="DE2" s="35"/>
      <c r="DF2" s="35"/>
      <c r="DG2" s="35"/>
      <c r="DH2" s="35"/>
      <c r="DI2" s="35"/>
      <c r="DJ2" s="35"/>
      <c r="DK2" s="35"/>
      <c r="DL2" s="35"/>
      <c r="DM2" s="35"/>
      <c r="DN2" s="35"/>
      <c r="DO2" s="35"/>
      <c r="DP2" s="35"/>
      <c r="DQ2" s="35"/>
      <c r="DR2" s="35"/>
      <c r="DS2" s="35"/>
      <c r="DT2" s="35"/>
      <c r="DU2" s="35"/>
      <c r="DV2" s="35"/>
      <c r="DW2" s="35"/>
      <c r="DX2" s="35"/>
      <c r="DY2" s="35"/>
      <c r="DZ2" s="35"/>
      <c r="EA2" s="35"/>
      <c r="EB2" s="35"/>
      <c r="EC2" s="35"/>
      <c r="ED2" s="35"/>
      <c r="EE2" s="35"/>
      <c r="EF2" s="35"/>
      <c r="EG2" s="35"/>
      <c r="EH2" s="35"/>
      <c r="EI2" s="35"/>
      <c r="EJ2" s="35"/>
      <c r="EK2" s="35"/>
      <c r="EL2" s="35"/>
      <c r="EM2" s="35"/>
      <c r="EN2" s="35"/>
      <c r="EO2" s="35"/>
      <c r="EP2" s="35"/>
      <c r="EQ2" s="35"/>
      <c r="ER2" s="35"/>
      <c r="ES2" s="35"/>
      <c r="ET2" s="35"/>
      <c r="EU2" s="35"/>
      <c r="EV2" s="35"/>
      <c r="EW2" s="35"/>
      <c r="EX2" s="35"/>
      <c r="EY2" s="35"/>
      <c r="EZ2" s="35"/>
      <c r="FA2" s="35"/>
      <c r="FB2" s="35"/>
      <c r="FC2" s="35"/>
      <c r="FD2" s="35"/>
      <c r="FE2" s="35"/>
      <c r="FF2" s="35"/>
      <c r="FG2" s="35"/>
      <c r="FH2" s="35"/>
      <c r="FI2" s="35"/>
      <c r="FJ2" s="35"/>
      <c r="FK2" s="35"/>
      <c r="FL2" s="35"/>
      <c r="FM2" s="35"/>
      <c r="FN2" s="35"/>
      <c r="FO2" s="35"/>
    </row>
    <row r="3">
      <c r="A3" s="35"/>
      <c r="B3" s="95">
        <f>IFERROR(__xludf.DUMMYFUNCTION("""COMPUTED_VALUE"""),1.0)</f>
        <v>1</v>
      </c>
      <c r="C3" s="95">
        <f>IFERROR(__xludf.DUMMYFUNCTION("""COMPUTED_VALUE"""),2.0)</f>
        <v>2</v>
      </c>
      <c r="D3" s="95">
        <f>IFERROR(__xludf.DUMMYFUNCTION("""COMPUTED_VALUE"""),3.0)</f>
        <v>3</v>
      </c>
      <c r="E3" s="95">
        <f>IFERROR(__xludf.DUMMYFUNCTION("""COMPUTED_VALUE"""),4.0)</f>
        <v>4</v>
      </c>
      <c r="F3" s="95">
        <f>IFERROR(__xludf.DUMMYFUNCTION("""COMPUTED_VALUE"""),5.0)</f>
        <v>5</v>
      </c>
      <c r="G3" s="95">
        <f>IFERROR(__xludf.DUMMYFUNCTION("""COMPUTED_VALUE"""),6.0)</f>
        <v>6</v>
      </c>
      <c r="H3" s="95">
        <f>IFERROR(__xludf.DUMMYFUNCTION("""COMPUTED_VALUE"""),7.0)</f>
        <v>7</v>
      </c>
      <c r="I3" s="95">
        <f>IFERROR(__xludf.DUMMYFUNCTION("""COMPUTED_VALUE"""),8.0)</f>
        <v>8</v>
      </c>
      <c r="J3" s="95">
        <f>IFERROR(__xludf.DUMMYFUNCTION("""COMPUTED_VALUE"""),9.0)</f>
        <v>9</v>
      </c>
      <c r="K3" s="95">
        <f>IFERROR(__xludf.DUMMYFUNCTION("""COMPUTED_VALUE"""),10.0)</f>
        <v>10</v>
      </c>
      <c r="L3" s="95">
        <f>IFERROR(__xludf.DUMMYFUNCTION("""COMPUTED_VALUE"""),11.0)</f>
        <v>11</v>
      </c>
      <c r="M3" s="95">
        <f>IFERROR(__xludf.DUMMYFUNCTION("""COMPUTED_VALUE"""),12.0)</f>
        <v>12</v>
      </c>
      <c r="N3" s="95">
        <f>IFERROR(__xludf.DUMMYFUNCTION("""COMPUTED_VALUE"""),13.0)</f>
        <v>13</v>
      </c>
      <c r="O3" s="95">
        <f>IFERROR(__xludf.DUMMYFUNCTION("""COMPUTED_VALUE"""),14.0)</f>
        <v>14</v>
      </c>
      <c r="P3" s="95">
        <f>IFERROR(__xludf.DUMMYFUNCTION("""COMPUTED_VALUE"""),15.0)</f>
        <v>15</v>
      </c>
      <c r="Q3" s="95">
        <f>IFERROR(__xludf.DUMMYFUNCTION("""COMPUTED_VALUE"""),16.0)</f>
        <v>16</v>
      </c>
      <c r="R3" s="95">
        <f>IFERROR(__xludf.DUMMYFUNCTION("""COMPUTED_VALUE"""),17.0)</f>
        <v>17</v>
      </c>
      <c r="S3" s="95">
        <f>IFERROR(__xludf.DUMMYFUNCTION("""COMPUTED_VALUE"""),18.0)</f>
        <v>18</v>
      </c>
      <c r="T3" s="95">
        <f>IFERROR(__xludf.DUMMYFUNCTION("""COMPUTED_VALUE"""),19.0)</f>
        <v>19</v>
      </c>
      <c r="U3" s="95">
        <f>IFERROR(__xludf.DUMMYFUNCTION("""COMPUTED_VALUE"""),20.0)</f>
        <v>20</v>
      </c>
      <c r="V3" s="95">
        <f>IFERROR(__xludf.DUMMYFUNCTION("""COMPUTED_VALUE"""),21.0)</f>
        <v>21</v>
      </c>
      <c r="W3" s="95">
        <f>IFERROR(__xludf.DUMMYFUNCTION("""COMPUTED_VALUE"""),22.0)</f>
        <v>22</v>
      </c>
      <c r="X3" s="95">
        <f>IFERROR(__xludf.DUMMYFUNCTION("""COMPUTED_VALUE"""),23.0)</f>
        <v>23</v>
      </c>
      <c r="Y3" s="95">
        <f>IFERROR(__xludf.DUMMYFUNCTION("""COMPUTED_VALUE"""),24.0)</f>
        <v>24</v>
      </c>
      <c r="Z3" s="95">
        <f>IFERROR(__xludf.DUMMYFUNCTION("""COMPUTED_VALUE"""),25.0)</f>
        <v>25</v>
      </c>
      <c r="AA3" s="95">
        <f>IFERROR(__xludf.DUMMYFUNCTION("""COMPUTED_VALUE"""),26.0)</f>
        <v>26</v>
      </c>
      <c r="AB3" s="95">
        <f>IFERROR(__xludf.DUMMYFUNCTION("""COMPUTED_VALUE"""),27.0)</f>
        <v>27</v>
      </c>
      <c r="AC3" s="95">
        <f>IFERROR(__xludf.DUMMYFUNCTION("""COMPUTED_VALUE"""),28.0)</f>
        <v>28</v>
      </c>
      <c r="AD3" s="95">
        <f>IFERROR(__xludf.DUMMYFUNCTION("""COMPUTED_VALUE"""),29.0)</f>
        <v>29</v>
      </c>
      <c r="AE3" s="95">
        <f>IFERROR(__xludf.DUMMYFUNCTION("""COMPUTED_VALUE"""),30.0)</f>
        <v>30</v>
      </c>
      <c r="AF3" s="95">
        <f>IFERROR(__xludf.DUMMYFUNCTION("""COMPUTED_VALUE"""),31.0)</f>
        <v>31</v>
      </c>
      <c r="AG3" s="95">
        <f>IFERROR(__xludf.DUMMYFUNCTION("""COMPUTED_VALUE"""),32.0)</f>
        <v>32</v>
      </c>
      <c r="AH3" s="95">
        <f>IFERROR(__xludf.DUMMYFUNCTION("""COMPUTED_VALUE"""),33.0)</f>
        <v>33</v>
      </c>
      <c r="AI3" s="95">
        <f>IFERROR(__xludf.DUMMYFUNCTION("""COMPUTED_VALUE"""),34.0)</f>
        <v>34</v>
      </c>
      <c r="AJ3" s="95">
        <f>IFERROR(__xludf.DUMMYFUNCTION("""COMPUTED_VALUE"""),35.0)</f>
        <v>35</v>
      </c>
      <c r="AK3" s="95">
        <f>IFERROR(__xludf.DUMMYFUNCTION("""COMPUTED_VALUE"""),36.0)</f>
        <v>36</v>
      </c>
      <c r="AL3" s="95">
        <f>IFERROR(__xludf.DUMMYFUNCTION("""COMPUTED_VALUE"""),37.0)</f>
        <v>37</v>
      </c>
      <c r="AM3" s="95">
        <f>IFERROR(__xludf.DUMMYFUNCTION("""COMPUTED_VALUE"""),38.0)</f>
        <v>38</v>
      </c>
      <c r="AN3" s="95">
        <f>IFERROR(__xludf.DUMMYFUNCTION("""COMPUTED_VALUE"""),39.0)</f>
        <v>39</v>
      </c>
      <c r="AO3" s="95">
        <f>IFERROR(__xludf.DUMMYFUNCTION("""COMPUTED_VALUE"""),40.0)</f>
        <v>40</v>
      </c>
      <c r="AP3" s="95">
        <f>IFERROR(__xludf.DUMMYFUNCTION("""COMPUTED_VALUE"""),41.0)</f>
        <v>41</v>
      </c>
      <c r="AQ3" s="95">
        <f>IFERROR(__xludf.DUMMYFUNCTION("""COMPUTED_VALUE"""),42.0)</f>
        <v>42</v>
      </c>
      <c r="AR3" s="95">
        <f>IFERROR(__xludf.DUMMYFUNCTION("""COMPUTED_VALUE"""),43.0)</f>
        <v>43</v>
      </c>
      <c r="AS3" s="95">
        <f>IFERROR(__xludf.DUMMYFUNCTION("""COMPUTED_VALUE"""),44.0)</f>
        <v>44</v>
      </c>
      <c r="AT3" s="95">
        <f>IFERROR(__xludf.DUMMYFUNCTION("""COMPUTED_VALUE"""),45.0)</f>
        <v>45</v>
      </c>
      <c r="AU3" s="95">
        <f>IFERROR(__xludf.DUMMYFUNCTION("""COMPUTED_VALUE"""),46.0)</f>
        <v>46</v>
      </c>
      <c r="AV3" s="95">
        <f>IFERROR(__xludf.DUMMYFUNCTION("""COMPUTED_VALUE"""),47.0)</f>
        <v>47</v>
      </c>
      <c r="AW3" s="95">
        <f>IFERROR(__xludf.DUMMYFUNCTION("""COMPUTED_VALUE"""),48.0)</f>
        <v>48</v>
      </c>
      <c r="AX3" s="95">
        <f>IFERROR(__xludf.DUMMYFUNCTION("""COMPUTED_VALUE"""),49.0)</f>
        <v>49</v>
      </c>
      <c r="AY3" s="95">
        <f>IFERROR(__xludf.DUMMYFUNCTION("""COMPUTED_VALUE"""),50.0)</f>
        <v>50</v>
      </c>
      <c r="AZ3" s="95">
        <f>IFERROR(__xludf.DUMMYFUNCTION("""COMPUTED_VALUE"""),51.0)</f>
        <v>51</v>
      </c>
      <c r="BA3" s="95">
        <f>IFERROR(__xludf.DUMMYFUNCTION("""COMPUTED_VALUE"""),52.0)</f>
        <v>52</v>
      </c>
      <c r="BB3" s="95">
        <f>IFERROR(__xludf.DUMMYFUNCTION("""COMPUTED_VALUE"""),53.0)</f>
        <v>53</v>
      </c>
      <c r="BC3" s="95">
        <f>IFERROR(__xludf.DUMMYFUNCTION("""COMPUTED_VALUE"""),54.0)</f>
        <v>54</v>
      </c>
      <c r="BD3" s="95">
        <f>IFERROR(__xludf.DUMMYFUNCTION("""COMPUTED_VALUE"""),55.0)</f>
        <v>55</v>
      </c>
      <c r="BE3" s="95">
        <f>IFERROR(__xludf.DUMMYFUNCTION("""COMPUTED_VALUE"""),56.0)</f>
        <v>56</v>
      </c>
      <c r="BF3" s="95">
        <f>IFERROR(__xludf.DUMMYFUNCTION("""COMPUTED_VALUE"""),57.0)</f>
        <v>57</v>
      </c>
      <c r="BG3" s="95">
        <f>IFERROR(__xludf.DUMMYFUNCTION("""COMPUTED_VALUE"""),58.0)</f>
        <v>58</v>
      </c>
      <c r="BH3" s="95">
        <f>IFERROR(__xludf.DUMMYFUNCTION("""COMPUTED_VALUE"""),59.0)</f>
        <v>59</v>
      </c>
      <c r="BI3" s="95">
        <f>IFERROR(__xludf.DUMMYFUNCTION("""COMPUTED_VALUE"""),60.0)</f>
        <v>60</v>
      </c>
      <c r="BJ3" s="95">
        <f>IFERROR(__xludf.DUMMYFUNCTION("""COMPUTED_VALUE"""),61.0)</f>
        <v>61</v>
      </c>
      <c r="BK3" s="95">
        <f>IFERROR(__xludf.DUMMYFUNCTION("""COMPUTED_VALUE"""),62.0)</f>
        <v>62</v>
      </c>
      <c r="BL3" s="95">
        <f>IFERROR(__xludf.DUMMYFUNCTION("""COMPUTED_VALUE"""),63.0)</f>
        <v>63</v>
      </c>
      <c r="BM3" s="95">
        <f>IFERROR(__xludf.DUMMYFUNCTION("""COMPUTED_VALUE"""),64.0)</f>
        <v>64</v>
      </c>
      <c r="BN3" s="95">
        <f>IFERROR(__xludf.DUMMYFUNCTION("""COMPUTED_VALUE"""),65.0)</f>
        <v>65</v>
      </c>
      <c r="BO3" s="95">
        <f>IFERROR(__xludf.DUMMYFUNCTION("""COMPUTED_VALUE"""),66.0)</f>
        <v>66</v>
      </c>
      <c r="BP3" s="95">
        <f>IFERROR(__xludf.DUMMYFUNCTION("""COMPUTED_VALUE"""),67.0)</f>
        <v>67</v>
      </c>
      <c r="BQ3" s="95">
        <f>IFERROR(__xludf.DUMMYFUNCTION("""COMPUTED_VALUE"""),68.0)</f>
        <v>68</v>
      </c>
      <c r="BR3" s="95">
        <f>IFERROR(__xludf.DUMMYFUNCTION("""COMPUTED_VALUE"""),69.0)</f>
        <v>69</v>
      </c>
      <c r="BS3" s="95">
        <f>IFERROR(__xludf.DUMMYFUNCTION("""COMPUTED_VALUE"""),70.0)</f>
        <v>70</v>
      </c>
      <c r="BT3" s="95">
        <f>IFERROR(__xludf.DUMMYFUNCTION("""COMPUTED_VALUE"""),71.0)</f>
        <v>71</v>
      </c>
      <c r="BU3" s="95">
        <f>IFERROR(__xludf.DUMMYFUNCTION("""COMPUTED_VALUE"""),72.0)</f>
        <v>72</v>
      </c>
      <c r="BV3" s="95">
        <f>IFERROR(__xludf.DUMMYFUNCTION("""COMPUTED_VALUE"""),73.0)</f>
        <v>73</v>
      </c>
      <c r="BW3" s="95">
        <f>IFERROR(__xludf.DUMMYFUNCTION("""COMPUTED_VALUE"""),74.0)</f>
        <v>74</v>
      </c>
      <c r="BX3" s="95">
        <f>IFERROR(__xludf.DUMMYFUNCTION("""COMPUTED_VALUE"""),75.0)</f>
        <v>75</v>
      </c>
      <c r="BY3" s="95">
        <f>IFERROR(__xludf.DUMMYFUNCTION("""COMPUTED_VALUE"""),76.0)</f>
        <v>76</v>
      </c>
      <c r="BZ3" s="95">
        <f>IFERROR(__xludf.DUMMYFUNCTION("""COMPUTED_VALUE"""),77.0)</f>
        <v>77</v>
      </c>
      <c r="CA3" s="95">
        <f>IFERROR(__xludf.DUMMYFUNCTION("""COMPUTED_VALUE"""),78.0)</f>
        <v>78</v>
      </c>
      <c r="CB3" s="95">
        <f>IFERROR(__xludf.DUMMYFUNCTION("""COMPUTED_VALUE"""),79.0)</f>
        <v>79</v>
      </c>
      <c r="CC3" s="95">
        <f>IFERROR(__xludf.DUMMYFUNCTION("""COMPUTED_VALUE"""),80.0)</f>
        <v>80</v>
      </c>
      <c r="CD3" s="95">
        <f>IFERROR(__xludf.DUMMYFUNCTION("""COMPUTED_VALUE"""),81.0)</f>
        <v>81</v>
      </c>
      <c r="CE3" s="95">
        <f>IFERROR(__xludf.DUMMYFUNCTION("""COMPUTED_VALUE"""),82.0)</f>
        <v>82</v>
      </c>
      <c r="CF3" s="95">
        <f>IFERROR(__xludf.DUMMYFUNCTION("""COMPUTED_VALUE"""),83.0)</f>
        <v>83</v>
      </c>
      <c r="CG3" s="95">
        <f>IFERROR(__xludf.DUMMYFUNCTION("""COMPUTED_VALUE"""),84.0)</f>
        <v>84</v>
      </c>
      <c r="CH3" s="95">
        <f>IFERROR(__xludf.DUMMYFUNCTION("""COMPUTED_VALUE"""),85.0)</f>
        <v>85</v>
      </c>
      <c r="CI3" s="95">
        <f>IFERROR(__xludf.DUMMYFUNCTION("""COMPUTED_VALUE"""),86.0)</f>
        <v>86</v>
      </c>
      <c r="CJ3" s="95">
        <f>IFERROR(__xludf.DUMMYFUNCTION("""COMPUTED_VALUE"""),87.0)</f>
        <v>87</v>
      </c>
      <c r="CK3" s="95">
        <f>IFERROR(__xludf.DUMMYFUNCTION("""COMPUTED_VALUE"""),88.0)</f>
        <v>88</v>
      </c>
      <c r="CL3" s="95">
        <f>IFERROR(__xludf.DUMMYFUNCTION("""COMPUTED_VALUE"""),89.0)</f>
        <v>89</v>
      </c>
      <c r="CM3" s="95">
        <f>IFERROR(__xludf.DUMMYFUNCTION("""COMPUTED_VALUE"""),90.0)</f>
        <v>90</v>
      </c>
      <c r="CN3" s="95">
        <f>IFERROR(__xludf.DUMMYFUNCTION("""COMPUTED_VALUE"""),91.0)</f>
        <v>91</v>
      </c>
      <c r="CO3" s="95">
        <f>IFERROR(__xludf.DUMMYFUNCTION("""COMPUTED_VALUE"""),92.0)</f>
        <v>92</v>
      </c>
      <c r="CP3" s="95">
        <f>IFERROR(__xludf.DUMMYFUNCTION("""COMPUTED_VALUE"""),93.0)</f>
        <v>93</v>
      </c>
      <c r="CQ3" s="95">
        <f>IFERROR(__xludf.DUMMYFUNCTION("""COMPUTED_VALUE"""),94.0)</f>
        <v>94</v>
      </c>
      <c r="CR3" s="95">
        <f>IFERROR(__xludf.DUMMYFUNCTION("""COMPUTED_VALUE"""),95.0)</f>
        <v>95</v>
      </c>
      <c r="CS3" s="95">
        <f>IFERROR(__xludf.DUMMYFUNCTION("""COMPUTED_VALUE"""),96.0)</f>
        <v>96</v>
      </c>
      <c r="CT3" s="95">
        <f>IFERROR(__xludf.DUMMYFUNCTION("""COMPUTED_VALUE"""),97.0)</f>
        <v>97</v>
      </c>
      <c r="CU3" s="95">
        <f>IFERROR(__xludf.DUMMYFUNCTION("""COMPUTED_VALUE"""),98.0)</f>
        <v>98</v>
      </c>
      <c r="CV3" s="95">
        <f>IFERROR(__xludf.DUMMYFUNCTION("""COMPUTED_VALUE"""),99.0)</f>
        <v>99</v>
      </c>
      <c r="CW3" s="95">
        <f>IFERROR(__xludf.DUMMYFUNCTION("""COMPUTED_VALUE"""),100.0)</f>
        <v>100</v>
      </c>
      <c r="CX3" s="95">
        <f>IFERROR(__xludf.DUMMYFUNCTION("""COMPUTED_VALUE"""),101.0)</f>
        <v>101</v>
      </c>
      <c r="CY3" s="95">
        <f>IFERROR(__xludf.DUMMYFUNCTION("""COMPUTED_VALUE"""),102.0)</f>
        <v>102</v>
      </c>
      <c r="CZ3" s="95">
        <f>IFERROR(__xludf.DUMMYFUNCTION("""COMPUTED_VALUE"""),103.0)</f>
        <v>103</v>
      </c>
      <c r="DA3" s="95">
        <f>IFERROR(__xludf.DUMMYFUNCTION("""COMPUTED_VALUE"""),104.0)</f>
        <v>104</v>
      </c>
      <c r="DB3" s="95">
        <f>IFERROR(__xludf.DUMMYFUNCTION("""COMPUTED_VALUE"""),105.0)</f>
        <v>105</v>
      </c>
      <c r="DC3" s="95">
        <f>IFERROR(__xludf.DUMMYFUNCTION("""COMPUTED_VALUE"""),106.0)</f>
        <v>106</v>
      </c>
      <c r="DD3" s="95">
        <f>IFERROR(__xludf.DUMMYFUNCTION("""COMPUTED_VALUE"""),107.0)</f>
        <v>107</v>
      </c>
      <c r="DE3" s="95">
        <f>IFERROR(__xludf.DUMMYFUNCTION("""COMPUTED_VALUE"""),108.0)</f>
        <v>108</v>
      </c>
      <c r="DF3" s="95">
        <f>IFERROR(__xludf.DUMMYFUNCTION("""COMPUTED_VALUE"""),109.0)</f>
        <v>109</v>
      </c>
      <c r="DG3" s="95">
        <f>IFERROR(__xludf.DUMMYFUNCTION("""COMPUTED_VALUE"""),110.0)</f>
        <v>110</v>
      </c>
      <c r="DH3" s="95">
        <f>IFERROR(__xludf.DUMMYFUNCTION("""COMPUTED_VALUE"""),111.0)</f>
        <v>111</v>
      </c>
      <c r="DI3" s="95">
        <f>IFERROR(__xludf.DUMMYFUNCTION("""COMPUTED_VALUE"""),112.0)</f>
        <v>112</v>
      </c>
      <c r="DJ3" s="95">
        <f>IFERROR(__xludf.DUMMYFUNCTION("""COMPUTED_VALUE"""),113.0)</f>
        <v>113</v>
      </c>
      <c r="DK3" s="95">
        <f>IFERROR(__xludf.DUMMYFUNCTION("""COMPUTED_VALUE"""),114.0)</f>
        <v>114</v>
      </c>
      <c r="DL3" s="95">
        <f>IFERROR(__xludf.DUMMYFUNCTION("""COMPUTED_VALUE"""),115.0)</f>
        <v>115</v>
      </c>
      <c r="DM3" s="95">
        <f>IFERROR(__xludf.DUMMYFUNCTION("""COMPUTED_VALUE"""),116.0)</f>
        <v>116</v>
      </c>
      <c r="DN3" s="95">
        <f>IFERROR(__xludf.DUMMYFUNCTION("""COMPUTED_VALUE"""),117.0)</f>
        <v>117</v>
      </c>
      <c r="DO3" s="95">
        <f>IFERROR(__xludf.DUMMYFUNCTION("""COMPUTED_VALUE"""),118.0)</f>
        <v>118</v>
      </c>
      <c r="DP3" s="95">
        <f>IFERROR(__xludf.DUMMYFUNCTION("""COMPUTED_VALUE"""),119.0)</f>
        <v>119</v>
      </c>
      <c r="DQ3" s="95">
        <f>IFERROR(__xludf.DUMMYFUNCTION("""COMPUTED_VALUE"""),120.0)</f>
        <v>120</v>
      </c>
      <c r="DR3" s="95">
        <f>IFERROR(__xludf.DUMMYFUNCTION("""COMPUTED_VALUE"""),121.0)</f>
        <v>121</v>
      </c>
      <c r="DS3" s="95">
        <f>IFERROR(__xludf.DUMMYFUNCTION("""COMPUTED_VALUE"""),122.0)</f>
        <v>122</v>
      </c>
      <c r="DT3" s="95">
        <f>IFERROR(__xludf.DUMMYFUNCTION("""COMPUTED_VALUE"""),123.0)</f>
        <v>123</v>
      </c>
      <c r="DU3" s="95">
        <f>IFERROR(__xludf.DUMMYFUNCTION("""COMPUTED_VALUE"""),124.0)</f>
        <v>124</v>
      </c>
      <c r="DV3" s="95">
        <f>IFERROR(__xludf.DUMMYFUNCTION("""COMPUTED_VALUE"""),125.0)</f>
        <v>125</v>
      </c>
      <c r="DW3" s="95">
        <f>IFERROR(__xludf.DUMMYFUNCTION("""COMPUTED_VALUE"""),126.0)</f>
        <v>126</v>
      </c>
      <c r="DX3" s="95">
        <f>IFERROR(__xludf.DUMMYFUNCTION("""COMPUTED_VALUE"""),127.0)</f>
        <v>127</v>
      </c>
      <c r="DY3" s="95">
        <f>IFERROR(__xludf.DUMMYFUNCTION("""COMPUTED_VALUE"""),128.0)</f>
        <v>128</v>
      </c>
      <c r="DZ3" s="95">
        <f>IFERROR(__xludf.DUMMYFUNCTION("""COMPUTED_VALUE"""),129.0)</f>
        <v>129</v>
      </c>
      <c r="EA3" s="95">
        <f>IFERROR(__xludf.DUMMYFUNCTION("""COMPUTED_VALUE"""),130.0)</f>
        <v>130</v>
      </c>
      <c r="EB3" s="95">
        <f>IFERROR(__xludf.DUMMYFUNCTION("""COMPUTED_VALUE"""),131.0)</f>
        <v>131</v>
      </c>
      <c r="EC3" s="95">
        <f>IFERROR(__xludf.DUMMYFUNCTION("""COMPUTED_VALUE"""),132.0)</f>
        <v>132</v>
      </c>
      <c r="ED3" s="95">
        <f>IFERROR(__xludf.DUMMYFUNCTION("""COMPUTED_VALUE"""),133.0)</f>
        <v>133</v>
      </c>
      <c r="EE3" s="95">
        <f>IFERROR(__xludf.DUMMYFUNCTION("""COMPUTED_VALUE"""),134.0)</f>
        <v>134</v>
      </c>
      <c r="EF3" s="95">
        <f>IFERROR(__xludf.DUMMYFUNCTION("""COMPUTED_VALUE"""),135.0)</f>
        <v>135</v>
      </c>
      <c r="EG3" s="95">
        <f>IFERROR(__xludf.DUMMYFUNCTION("""COMPUTED_VALUE"""),136.0)</f>
        <v>136</v>
      </c>
      <c r="EH3" s="95">
        <f>IFERROR(__xludf.DUMMYFUNCTION("""COMPUTED_VALUE"""),137.0)</f>
        <v>137</v>
      </c>
      <c r="EI3" s="95">
        <f>IFERROR(__xludf.DUMMYFUNCTION("""COMPUTED_VALUE"""),138.0)</f>
        <v>138</v>
      </c>
      <c r="EJ3" s="95">
        <f>IFERROR(__xludf.DUMMYFUNCTION("""COMPUTED_VALUE"""),139.0)</f>
        <v>139</v>
      </c>
      <c r="EK3" s="95">
        <f>IFERROR(__xludf.DUMMYFUNCTION("""COMPUTED_VALUE"""),140.0)</f>
        <v>140</v>
      </c>
      <c r="EL3" s="95">
        <f>IFERROR(__xludf.DUMMYFUNCTION("""COMPUTED_VALUE"""),141.0)</f>
        <v>141</v>
      </c>
      <c r="EM3" s="95">
        <f>IFERROR(__xludf.DUMMYFUNCTION("""COMPUTED_VALUE"""),142.0)</f>
        <v>142</v>
      </c>
      <c r="EN3" s="95">
        <f>IFERROR(__xludf.DUMMYFUNCTION("""COMPUTED_VALUE"""),143.0)</f>
        <v>143</v>
      </c>
      <c r="EO3" s="95">
        <f>IFERROR(__xludf.DUMMYFUNCTION("""COMPUTED_VALUE"""),144.0)</f>
        <v>144</v>
      </c>
      <c r="EP3" s="95">
        <f>IFERROR(__xludf.DUMMYFUNCTION("""COMPUTED_VALUE"""),145.0)</f>
        <v>145</v>
      </c>
      <c r="EQ3" s="95">
        <f>IFERROR(__xludf.DUMMYFUNCTION("""COMPUTED_VALUE"""),146.0)</f>
        <v>146</v>
      </c>
      <c r="ER3" s="95">
        <f>IFERROR(__xludf.DUMMYFUNCTION("""COMPUTED_VALUE"""),147.0)</f>
        <v>147</v>
      </c>
      <c r="ES3" s="95">
        <f>IFERROR(__xludf.DUMMYFUNCTION("""COMPUTED_VALUE"""),148.0)</f>
        <v>148</v>
      </c>
      <c r="ET3" s="95">
        <f>IFERROR(__xludf.DUMMYFUNCTION("""COMPUTED_VALUE"""),149.0)</f>
        <v>149</v>
      </c>
      <c r="EU3" s="95">
        <f>IFERROR(__xludf.DUMMYFUNCTION("""COMPUTED_VALUE"""),150.0)</f>
        <v>150</v>
      </c>
      <c r="EV3" s="95">
        <f>IFERROR(__xludf.DUMMYFUNCTION("""COMPUTED_VALUE"""),151.0)</f>
        <v>151</v>
      </c>
      <c r="EW3" s="95">
        <f>IFERROR(__xludf.DUMMYFUNCTION("""COMPUTED_VALUE"""),152.0)</f>
        <v>152</v>
      </c>
      <c r="EX3" s="95">
        <f>IFERROR(__xludf.DUMMYFUNCTION("""COMPUTED_VALUE"""),153.0)</f>
        <v>153</v>
      </c>
      <c r="EY3" s="95">
        <f>IFERROR(__xludf.DUMMYFUNCTION("""COMPUTED_VALUE"""),154.0)</f>
        <v>154</v>
      </c>
      <c r="EZ3" s="95">
        <f>IFERROR(__xludf.DUMMYFUNCTION("""COMPUTED_VALUE"""),155.0)</f>
        <v>155</v>
      </c>
      <c r="FA3" s="95">
        <f>IFERROR(__xludf.DUMMYFUNCTION("""COMPUTED_VALUE"""),156.0)</f>
        <v>156</v>
      </c>
      <c r="FB3" s="95">
        <f>IFERROR(__xludf.DUMMYFUNCTION("""COMPUTED_VALUE"""),157.0)</f>
        <v>157</v>
      </c>
      <c r="FC3" s="95">
        <f>IFERROR(__xludf.DUMMYFUNCTION("""COMPUTED_VALUE"""),158.0)</f>
        <v>158</v>
      </c>
      <c r="FD3" s="95">
        <f>IFERROR(__xludf.DUMMYFUNCTION("""COMPUTED_VALUE"""),159.0)</f>
        <v>159</v>
      </c>
      <c r="FE3" s="95">
        <f>IFERROR(__xludf.DUMMYFUNCTION("""COMPUTED_VALUE"""),160.0)</f>
        <v>160</v>
      </c>
      <c r="FF3" s="95">
        <f>IFERROR(__xludf.DUMMYFUNCTION("""COMPUTED_VALUE"""),161.0)</f>
        <v>161</v>
      </c>
      <c r="FG3" s="95">
        <f>IFERROR(__xludf.DUMMYFUNCTION("""COMPUTED_VALUE"""),162.0)</f>
        <v>162</v>
      </c>
      <c r="FH3" s="95">
        <f>IFERROR(__xludf.DUMMYFUNCTION("""COMPUTED_VALUE"""),163.0)</f>
        <v>163</v>
      </c>
      <c r="FI3" s="95">
        <f>IFERROR(__xludf.DUMMYFUNCTION("""COMPUTED_VALUE"""),164.0)</f>
        <v>164</v>
      </c>
      <c r="FJ3" s="95">
        <f>IFERROR(__xludf.DUMMYFUNCTION("""COMPUTED_VALUE"""),165.0)</f>
        <v>165</v>
      </c>
      <c r="FK3" s="95">
        <f>IFERROR(__xludf.DUMMYFUNCTION("""COMPUTED_VALUE"""),166.0)</f>
        <v>166</v>
      </c>
      <c r="FL3" s="95">
        <f>IFERROR(__xludf.DUMMYFUNCTION("""COMPUTED_VALUE"""),167.0)</f>
        <v>167</v>
      </c>
      <c r="FM3" s="95">
        <f>IFERROR(__xludf.DUMMYFUNCTION("""COMPUTED_VALUE"""),168.0)</f>
        <v>168</v>
      </c>
      <c r="FN3" s="95">
        <f>IFERROR(__xludf.DUMMYFUNCTION("""COMPUTED_VALUE"""),169.0)</f>
        <v>169</v>
      </c>
      <c r="FO3" s="95">
        <f>IFERROR(__xludf.DUMMYFUNCTION("""COMPUTED_VALUE"""),170.0)</f>
        <v>170</v>
      </c>
    </row>
    <row r="4">
      <c r="A4" s="35" t="str">
        <f>IFERROR(__xludf.DUMMYFUNCTION("""COMPUTED_VALUE"""),"External Link")</f>
        <v>External Link</v>
      </c>
      <c r="B4" s="96" t="str">
        <f>IFERROR(__xludf.DUMMYFUNCTION("""COMPUTED_VALUE"""),"Eqty")</f>
        <v>Eqty</v>
      </c>
      <c r="C4" s="96" t="str">
        <f>IFERROR(__xludf.DUMMYFUNCTION("""COMPUTED_VALUE"""),"Eqty")</f>
        <v>Eqty</v>
      </c>
      <c r="D4" s="96" t="str">
        <f>IFERROR(__xludf.DUMMYFUNCTION("""COMPUTED_VALUE"""),"Eqty")</f>
        <v>Eqty</v>
      </c>
      <c r="E4" s="96" t="str">
        <f>IFERROR(__xludf.DUMMYFUNCTION("""COMPUTED_VALUE"""),"Eqty")</f>
        <v>Eqty</v>
      </c>
      <c r="F4" s="96" t="str">
        <f>IFERROR(__xludf.DUMMYFUNCTION("""COMPUTED_VALUE"""),"Eqty")</f>
        <v>Eqty</v>
      </c>
      <c r="G4" s="96" t="str">
        <f>IFERROR(__xludf.DUMMYFUNCTION("""COMPUTED_VALUE"""),"Eqty")</f>
        <v>Eqty</v>
      </c>
      <c r="H4" s="96" t="str">
        <f>IFERROR(__xludf.DUMMYFUNCTION("""COMPUTED_VALUE"""),"Eqty")</f>
        <v>Eqty</v>
      </c>
      <c r="I4" s="96" t="str">
        <f>IFERROR(__xludf.DUMMYFUNCTION("""COMPUTED_VALUE"""),"Eqty")</f>
        <v>Eqty</v>
      </c>
      <c r="J4" s="96" t="str">
        <f>IFERROR(__xludf.DUMMYFUNCTION("""COMPUTED_VALUE"""),"Eqty")</f>
        <v>Eqty</v>
      </c>
      <c r="K4" s="96" t="str">
        <f>IFERROR(__xludf.DUMMYFUNCTION("""COMPUTED_VALUE"""),"Eqty")</f>
        <v>Eqty</v>
      </c>
      <c r="L4" s="96" t="str">
        <f>IFERROR(__xludf.DUMMYFUNCTION("""COMPUTED_VALUE"""),"Eqty")</f>
        <v>Eqty</v>
      </c>
      <c r="M4" s="96" t="str">
        <f>IFERROR(__xludf.DUMMYFUNCTION("""COMPUTED_VALUE"""),"Eqty")</f>
        <v>Eqty</v>
      </c>
      <c r="N4" s="96" t="str">
        <f>IFERROR(__xludf.DUMMYFUNCTION("""COMPUTED_VALUE"""),"Eqty")</f>
        <v>Eqty</v>
      </c>
      <c r="O4" s="96" t="str">
        <f>IFERROR(__xludf.DUMMYFUNCTION("""COMPUTED_VALUE"""),"Eqty")</f>
        <v>Eqty</v>
      </c>
      <c r="P4" s="96" t="str">
        <f>IFERROR(__xludf.DUMMYFUNCTION("""COMPUTED_VALUE"""),"Eqty")</f>
        <v>Eqty</v>
      </c>
      <c r="Q4" s="96" t="str">
        <f>IFERROR(__xludf.DUMMYFUNCTION("""COMPUTED_VALUE"""),"Eqty")</f>
        <v>Eqty</v>
      </c>
      <c r="R4" s="96" t="str">
        <f>IFERROR(__xludf.DUMMYFUNCTION("""COMPUTED_VALUE"""),"Eqty")</f>
        <v>Eqty</v>
      </c>
      <c r="S4" s="96" t="str">
        <f>IFERROR(__xludf.DUMMYFUNCTION("""COMPUTED_VALUE"""),"Eqty")</f>
        <v>Eqty</v>
      </c>
      <c r="T4" s="96" t="str">
        <f>IFERROR(__xludf.DUMMYFUNCTION("""COMPUTED_VALUE"""),"Eqty")</f>
        <v>Eqty</v>
      </c>
      <c r="U4" s="96" t="str">
        <f>IFERROR(__xludf.DUMMYFUNCTION("""COMPUTED_VALUE"""),"Eqty")</f>
        <v>Eqty</v>
      </c>
      <c r="V4" s="96" t="str">
        <f>IFERROR(__xludf.DUMMYFUNCTION("""COMPUTED_VALUE"""),"Eqty")</f>
        <v>Eqty</v>
      </c>
      <c r="W4" s="96" t="str">
        <f>IFERROR(__xludf.DUMMYFUNCTION("""COMPUTED_VALUE"""),"Eqty")</f>
        <v>Eqty</v>
      </c>
      <c r="X4" s="96" t="str">
        <f>IFERROR(__xludf.DUMMYFUNCTION("""COMPUTED_VALUE"""),"Eqty")</f>
        <v>Eqty</v>
      </c>
      <c r="Y4" s="96" t="str">
        <f>IFERROR(__xludf.DUMMYFUNCTION("""COMPUTED_VALUE"""),"Eqty")</f>
        <v>Eqty</v>
      </c>
      <c r="Z4" s="96" t="str">
        <f>IFERROR(__xludf.DUMMYFUNCTION("""COMPUTED_VALUE"""),"Eqty")</f>
        <v>Eqty</v>
      </c>
      <c r="AA4" s="96" t="str">
        <f>IFERROR(__xludf.DUMMYFUNCTION("""COMPUTED_VALUE"""),"Eqty")</f>
        <v>Eqty</v>
      </c>
      <c r="AB4" s="96" t="str">
        <f>IFERROR(__xludf.DUMMYFUNCTION("""COMPUTED_VALUE"""),"Eqty")</f>
        <v>Eqty</v>
      </c>
      <c r="AC4" s="96" t="str">
        <f>IFERROR(__xludf.DUMMYFUNCTION("""COMPUTED_VALUE"""),"Eqty")</f>
        <v>Eqty</v>
      </c>
      <c r="AD4" s="96" t="str">
        <f>IFERROR(__xludf.DUMMYFUNCTION("""COMPUTED_VALUE"""),"Eqty")</f>
        <v>Eqty</v>
      </c>
      <c r="AE4" s="96" t="str">
        <f>IFERROR(__xludf.DUMMYFUNCTION("""COMPUTED_VALUE"""),"Eqty")</f>
        <v>Eqty</v>
      </c>
      <c r="AF4" s="96" t="str">
        <f>IFERROR(__xludf.DUMMYFUNCTION("""COMPUTED_VALUE"""),"Eqty")</f>
        <v>Eqty</v>
      </c>
      <c r="AG4" s="96" t="str">
        <f>IFERROR(__xludf.DUMMYFUNCTION("""COMPUTED_VALUE"""),"Eqty")</f>
        <v>Eqty</v>
      </c>
      <c r="AH4" s="96" t="str">
        <f>IFERROR(__xludf.DUMMYFUNCTION("""COMPUTED_VALUE"""),"Eqty")</f>
        <v>Eqty</v>
      </c>
      <c r="AI4" s="96" t="str">
        <f>IFERROR(__xludf.DUMMYFUNCTION("""COMPUTED_VALUE"""),"Eqty")</f>
        <v>Eqty</v>
      </c>
      <c r="AJ4" s="96" t="str">
        <f>IFERROR(__xludf.DUMMYFUNCTION("""COMPUTED_VALUE"""),"Eqty")</f>
        <v>Eqty</v>
      </c>
      <c r="AK4" s="96" t="str">
        <f>IFERROR(__xludf.DUMMYFUNCTION("""COMPUTED_VALUE"""),"Eqty")</f>
        <v>Eqty</v>
      </c>
      <c r="AL4" s="96" t="str">
        <f>IFERROR(__xludf.DUMMYFUNCTION("""COMPUTED_VALUE"""),"Eqty")</f>
        <v>Eqty</v>
      </c>
      <c r="AM4" s="96" t="str">
        <f>IFERROR(__xludf.DUMMYFUNCTION("""COMPUTED_VALUE"""),"Eqty")</f>
        <v>Eqty</v>
      </c>
      <c r="AN4" s="96" t="str">
        <f>IFERROR(__xludf.DUMMYFUNCTION("""COMPUTED_VALUE"""),"Eqty")</f>
        <v>Eqty</v>
      </c>
      <c r="AO4" s="96" t="str">
        <f>IFERROR(__xludf.DUMMYFUNCTION("""COMPUTED_VALUE"""),"Eqty")</f>
        <v>Eqty</v>
      </c>
      <c r="AP4" s="96" t="str">
        <f>IFERROR(__xludf.DUMMYFUNCTION("""COMPUTED_VALUE"""),"Eqty")</f>
        <v>Eqty</v>
      </c>
      <c r="AQ4" s="96" t="str">
        <f>IFERROR(__xludf.DUMMYFUNCTION("""COMPUTED_VALUE"""),"Eqty")</f>
        <v>Eqty</v>
      </c>
      <c r="AR4" s="96" t="str">
        <f>IFERROR(__xludf.DUMMYFUNCTION("""COMPUTED_VALUE"""),"Bond")</f>
        <v>Bond</v>
      </c>
      <c r="AS4" s="96" t="str">
        <f>IFERROR(__xludf.DUMMYFUNCTION("""COMPUTED_VALUE"""),"Eqty")</f>
        <v>Eqty</v>
      </c>
      <c r="AT4" s="96" t="str">
        <f>IFERROR(__xludf.DUMMYFUNCTION("""COMPUTED_VALUE"""),"Eqty")</f>
        <v>Eqty</v>
      </c>
      <c r="AU4" s="96" t="str">
        <f>IFERROR(__xludf.DUMMYFUNCTION("""COMPUTED_VALUE"""),"Eqty")</f>
        <v>Eqty</v>
      </c>
      <c r="AV4" s="96" t="str">
        <f>IFERROR(__xludf.DUMMYFUNCTION("""COMPUTED_VALUE"""),"Eqty")</f>
        <v>Eqty</v>
      </c>
      <c r="AW4" s="96" t="str">
        <f>IFERROR(__xludf.DUMMYFUNCTION("""COMPUTED_VALUE"""),"Eqty")</f>
        <v>Eqty</v>
      </c>
      <c r="AX4" s="96" t="str">
        <f>IFERROR(__xludf.DUMMYFUNCTION("""COMPUTED_VALUE"""),"Eqty")</f>
        <v>Eqty</v>
      </c>
      <c r="AY4" s="96" t="str">
        <f>IFERROR(__xludf.DUMMYFUNCTION("""COMPUTED_VALUE"""),"Eqty")</f>
        <v>Eqty</v>
      </c>
      <c r="AZ4" s="96" t="str">
        <f>IFERROR(__xludf.DUMMYFUNCTION("""COMPUTED_VALUE"""),"Eqty")</f>
        <v>Eqty</v>
      </c>
      <c r="BA4" s="96" t="str">
        <f>IFERROR(__xludf.DUMMYFUNCTION("""COMPUTED_VALUE"""),"Eqty")</f>
        <v>Eqty</v>
      </c>
      <c r="BB4" s="96" t="str">
        <f>IFERROR(__xludf.DUMMYFUNCTION("""COMPUTED_VALUE"""),"Eqty")</f>
        <v>Eqty</v>
      </c>
      <c r="BC4" s="96" t="str">
        <f>IFERROR(__xludf.DUMMYFUNCTION("""COMPUTED_VALUE"""),"Eqty")</f>
        <v>Eqty</v>
      </c>
      <c r="BD4" s="96" t="str">
        <f>IFERROR(__xludf.DUMMYFUNCTION("""COMPUTED_VALUE"""),"Eqty")</f>
        <v>Eqty</v>
      </c>
      <c r="BE4" s="96" t="str">
        <f>IFERROR(__xludf.DUMMYFUNCTION("""COMPUTED_VALUE"""),"Eqty")</f>
        <v>Eqty</v>
      </c>
      <c r="BF4" s="96" t="str">
        <f>IFERROR(__xludf.DUMMYFUNCTION("""COMPUTED_VALUE"""),"Eqty")</f>
        <v>Eqty</v>
      </c>
      <c r="BG4" s="96" t="str">
        <f>IFERROR(__xludf.DUMMYFUNCTION("""COMPUTED_VALUE"""),"Eqty")</f>
        <v>Eqty</v>
      </c>
      <c r="BH4" s="96" t="str">
        <f>IFERROR(__xludf.DUMMYFUNCTION("""COMPUTED_VALUE"""),"Eqty")</f>
        <v>Eqty</v>
      </c>
      <c r="BI4" s="96" t="str">
        <f>IFERROR(__xludf.DUMMYFUNCTION("""COMPUTED_VALUE"""),"Eqty")</f>
        <v>Eqty</v>
      </c>
      <c r="BJ4" s="96" t="str">
        <f>IFERROR(__xludf.DUMMYFUNCTION("""COMPUTED_VALUE"""),"Eqty")</f>
        <v>Eqty</v>
      </c>
      <c r="BK4" s="96" t="str">
        <f>IFERROR(__xludf.DUMMYFUNCTION("""COMPUTED_VALUE"""),"Eqty")</f>
        <v>Eqty</v>
      </c>
      <c r="BL4" s="96" t="str">
        <f>IFERROR(__xludf.DUMMYFUNCTION("""COMPUTED_VALUE"""),"Eqty")</f>
        <v>Eqty</v>
      </c>
      <c r="BM4" s="96" t="str">
        <f>IFERROR(__xludf.DUMMYFUNCTION("""COMPUTED_VALUE"""),"Eqty")</f>
        <v>Eqty</v>
      </c>
      <c r="BN4" s="96" t="str">
        <f>IFERROR(__xludf.DUMMYFUNCTION("""COMPUTED_VALUE"""),"Eqty")</f>
        <v>Eqty</v>
      </c>
      <c r="BO4" s="96" t="str">
        <f>IFERROR(__xludf.DUMMYFUNCTION("""COMPUTED_VALUE"""),"Eqty")</f>
        <v>Eqty</v>
      </c>
      <c r="BP4" s="96" t="str">
        <f>IFERROR(__xludf.DUMMYFUNCTION("""COMPUTED_VALUE"""),"Eqty")</f>
        <v>Eqty</v>
      </c>
      <c r="BQ4" s="96" t="str">
        <f>IFERROR(__xludf.DUMMYFUNCTION("""COMPUTED_VALUE"""),"Eqty")</f>
        <v>Eqty</v>
      </c>
      <c r="BR4" s="96" t="str">
        <f>IFERROR(__xludf.DUMMYFUNCTION("""COMPUTED_VALUE"""),"Eqty")</f>
        <v>Eqty</v>
      </c>
      <c r="BS4" s="96" t="str">
        <f>IFERROR(__xludf.DUMMYFUNCTION("""COMPUTED_VALUE"""),"Eqty")</f>
        <v>Eqty</v>
      </c>
      <c r="BT4" s="96" t="str">
        <f>IFERROR(__xludf.DUMMYFUNCTION("""COMPUTED_VALUE"""),"Eqty")</f>
        <v>Eqty</v>
      </c>
      <c r="BU4" s="96" t="str">
        <f>IFERROR(__xludf.DUMMYFUNCTION("""COMPUTED_VALUE"""),"Eqty")</f>
        <v>Eqty</v>
      </c>
      <c r="BV4" s="96" t="str">
        <f>IFERROR(__xludf.DUMMYFUNCTION("""COMPUTED_VALUE"""),"Eqty")</f>
        <v>Eqty</v>
      </c>
      <c r="BW4" s="96" t="str">
        <f>IFERROR(__xludf.DUMMYFUNCTION("""COMPUTED_VALUE"""),"Eqty")</f>
        <v>Eqty</v>
      </c>
      <c r="BX4" s="96" t="str">
        <f>IFERROR(__xludf.DUMMYFUNCTION("""COMPUTED_VALUE"""),"Eqty")</f>
        <v>Eqty</v>
      </c>
      <c r="BY4" s="96" t="str">
        <f>IFERROR(__xludf.DUMMYFUNCTION("""COMPUTED_VALUE"""),"Eqty")</f>
        <v>Eqty</v>
      </c>
      <c r="BZ4" s="96" t="str">
        <f>IFERROR(__xludf.DUMMYFUNCTION("""COMPUTED_VALUE"""),"Eqty")</f>
        <v>Eqty</v>
      </c>
      <c r="CA4" s="96" t="str">
        <f>IFERROR(__xludf.DUMMYFUNCTION("""COMPUTED_VALUE"""),"Eqty")</f>
        <v>Eqty</v>
      </c>
      <c r="CB4" s="96" t="str">
        <f>IFERROR(__xludf.DUMMYFUNCTION("""COMPUTED_VALUE"""),"Eqty")</f>
        <v>Eqty</v>
      </c>
      <c r="CC4" s="96" t="str">
        <f>IFERROR(__xludf.DUMMYFUNCTION("""COMPUTED_VALUE"""),"Eqty")</f>
        <v>Eqty</v>
      </c>
      <c r="CD4" s="96" t="str">
        <f>IFERROR(__xludf.DUMMYFUNCTION("""COMPUTED_VALUE"""),"Eqty")</f>
        <v>Eqty</v>
      </c>
      <c r="CE4" s="96" t="str">
        <f>IFERROR(__xludf.DUMMYFUNCTION("""COMPUTED_VALUE"""),"Eqty")</f>
        <v>Eqty</v>
      </c>
      <c r="CF4" s="96" t="str">
        <f>IFERROR(__xludf.DUMMYFUNCTION("""COMPUTED_VALUE"""),"Eqty")</f>
        <v>Eqty</v>
      </c>
      <c r="CG4" s="96" t="str">
        <f>IFERROR(__xludf.DUMMYFUNCTION("""COMPUTED_VALUE"""),"Eqty")</f>
        <v>Eqty</v>
      </c>
      <c r="CH4" s="96" t="str">
        <f>IFERROR(__xludf.DUMMYFUNCTION("""COMPUTED_VALUE"""),"Eqty")</f>
        <v>Eqty</v>
      </c>
      <c r="CI4" s="96" t="str">
        <f>IFERROR(__xludf.DUMMYFUNCTION("""COMPUTED_VALUE"""),"Eqty")</f>
        <v>Eqty</v>
      </c>
      <c r="CJ4" s="96" t="str">
        <f>IFERROR(__xludf.DUMMYFUNCTION("""COMPUTED_VALUE"""),"Eqty")</f>
        <v>Eqty</v>
      </c>
      <c r="CK4" s="96" t="str">
        <f>IFERROR(__xludf.DUMMYFUNCTION("""COMPUTED_VALUE"""),"Eqty")</f>
        <v>Eqty</v>
      </c>
      <c r="CL4" s="96" t="str">
        <f>IFERROR(__xludf.DUMMYFUNCTION("""COMPUTED_VALUE"""),"Eqty")</f>
        <v>Eqty</v>
      </c>
      <c r="CM4" s="96" t="str">
        <f>IFERROR(__xludf.DUMMYFUNCTION("""COMPUTED_VALUE"""),"Eqty")</f>
        <v>Eqty</v>
      </c>
      <c r="CN4" s="96" t="str">
        <f>IFERROR(__xludf.DUMMYFUNCTION("""COMPUTED_VALUE"""),"Eqty")</f>
        <v>Eqty</v>
      </c>
      <c r="CO4" s="96" t="str">
        <f>IFERROR(__xludf.DUMMYFUNCTION("""COMPUTED_VALUE"""),"Eqty")</f>
        <v>Eqty</v>
      </c>
      <c r="CP4" s="96" t="str">
        <f>IFERROR(__xludf.DUMMYFUNCTION("""COMPUTED_VALUE"""),"Eqty")</f>
        <v>Eqty</v>
      </c>
      <c r="CQ4" s="96" t="str">
        <f>IFERROR(__xludf.DUMMYFUNCTION("""COMPUTED_VALUE"""),"Eqty")</f>
        <v>Eqty</v>
      </c>
      <c r="CR4" s="96" t="str">
        <f>IFERROR(__xludf.DUMMYFUNCTION("""COMPUTED_VALUE"""),"Eqty")</f>
        <v>Eqty</v>
      </c>
      <c r="CS4" s="96" t="str">
        <f>IFERROR(__xludf.DUMMYFUNCTION("""COMPUTED_VALUE"""),"Eqty")</f>
        <v>Eqty</v>
      </c>
      <c r="CT4" s="96" t="str">
        <f>IFERROR(__xludf.DUMMYFUNCTION("""COMPUTED_VALUE"""),"Eqty")</f>
        <v>Eqty</v>
      </c>
      <c r="CU4" s="96" t="str">
        <f>IFERROR(__xludf.DUMMYFUNCTION("""COMPUTED_VALUE"""),"Eqty")</f>
        <v>Eqty</v>
      </c>
      <c r="CV4" s="96" t="str">
        <f>IFERROR(__xludf.DUMMYFUNCTION("""COMPUTED_VALUE"""),"Eqty")</f>
        <v>Eqty</v>
      </c>
      <c r="CW4" s="96" t="str">
        <f>IFERROR(__xludf.DUMMYFUNCTION("""COMPUTED_VALUE"""),"Eqty")</f>
        <v>Eqty</v>
      </c>
      <c r="CX4" s="96" t="str">
        <f>IFERROR(__xludf.DUMMYFUNCTION("""COMPUTED_VALUE"""),"Eqty")</f>
        <v>Eqty</v>
      </c>
      <c r="CY4" s="96" t="str">
        <f>IFERROR(__xludf.DUMMYFUNCTION("""COMPUTED_VALUE"""),"Eqty")</f>
        <v>Eqty</v>
      </c>
      <c r="CZ4" s="96" t="str">
        <f>IFERROR(__xludf.DUMMYFUNCTION("""COMPUTED_VALUE"""),"Eqty")</f>
        <v>Eqty</v>
      </c>
      <c r="DA4" s="96" t="str">
        <f>IFERROR(__xludf.DUMMYFUNCTION("""COMPUTED_VALUE"""),"Eqty")</f>
        <v>Eqty</v>
      </c>
      <c r="DB4" s="96" t="str">
        <f>IFERROR(__xludf.DUMMYFUNCTION("""COMPUTED_VALUE"""),"Eqty")</f>
        <v>Eqty</v>
      </c>
      <c r="DC4" s="96" t="str">
        <f>IFERROR(__xludf.DUMMYFUNCTION("""COMPUTED_VALUE"""),"Eqty")</f>
        <v>Eqty</v>
      </c>
      <c r="DD4" s="96" t="str">
        <f>IFERROR(__xludf.DUMMYFUNCTION("""COMPUTED_VALUE"""),"Eqty")</f>
        <v>Eqty</v>
      </c>
      <c r="DE4" s="96" t="str">
        <f>IFERROR(__xludf.DUMMYFUNCTION("""COMPUTED_VALUE"""),"Eqty")</f>
        <v>Eqty</v>
      </c>
      <c r="DF4" s="96" t="str">
        <f>IFERROR(__xludf.DUMMYFUNCTION("""COMPUTED_VALUE"""),"Eqty")</f>
        <v>Eqty</v>
      </c>
      <c r="DG4" s="96" t="str">
        <f>IFERROR(__xludf.DUMMYFUNCTION("""COMPUTED_VALUE"""),"Eqty")</f>
        <v>Eqty</v>
      </c>
      <c r="DH4" s="96" t="str">
        <f>IFERROR(__xludf.DUMMYFUNCTION("""COMPUTED_VALUE"""),"Eqty")</f>
        <v>Eqty</v>
      </c>
      <c r="DI4" s="96" t="str">
        <f>IFERROR(__xludf.DUMMYFUNCTION("""COMPUTED_VALUE"""),"Eqty")</f>
        <v>Eqty</v>
      </c>
      <c r="DJ4" s="96" t="str">
        <f>IFERROR(__xludf.DUMMYFUNCTION("""COMPUTED_VALUE"""),"Eqty")</f>
        <v>Eqty</v>
      </c>
      <c r="DK4" s="96" t="str">
        <f>IFERROR(__xludf.DUMMYFUNCTION("""COMPUTED_VALUE"""),"Eqty")</f>
        <v>Eqty</v>
      </c>
      <c r="DL4" s="96" t="str">
        <f>IFERROR(__xludf.DUMMYFUNCTION("""COMPUTED_VALUE"""),"Eqty")</f>
        <v>Eqty</v>
      </c>
      <c r="DM4" s="96" t="str">
        <f>IFERROR(__xludf.DUMMYFUNCTION("""COMPUTED_VALUE"""),"Eqty")</f>
        <v>Eqty</v>
      </c>
      <c r="DN4" s="96" t="str">
        <f>IFERROR(__xludf.DUMMYFUNCTION("""COMPUTED_VALUE"""),"Eqty")</f>
        <v>Eqty</v>
      </c>
      <c r="DO4" s="96" t="str">
        <f>IFERROR(__xludf.DUMMYFUNCTION("""COMPUTED_VALUE"""),"Eqty")</f>
        <v>Eqty</v>
      </c>
      <c r="DP4" s="96" t="str">
        <f>IFERROR(__xludf.DUMMYFUNCTION("""COMPUTED_VALUE"""),"Eqty")</f>
        <v>Eqty</v>
      </c>
      <c r="DQ4" s="96" t="str">
        <f>IFERROR(__xludf.DUMMYFUNCTION("""COMPUTED_VALUE"""),"Eqty")</f>
        <v>Eqty</v>
      </c>
      <c r="DR4" s="96" t="str">
        <f>IFERROR(__xludf.DUMMYFUNCTION("""COMPUTED_VALUE"""),"Eqty")</f>
        <v>Eqty</v>
      </c>
      <c r="DS4" s="96" t="str">
        <f>IFERROR(__xludf.DUMMYFUNCTION("""COMPUTED_VALUE"""),"Eqty")</f>
        <v>Eqty</v>
      </c>
      <c r="DT4" s="96" t="str">
        <f>IFERROR(__xludf.DUMMYFUNCTION("""COMPUTED_VALUE"""),"Eqty")</f>
        <v>Eqty</v>
      </c>
      <c r="DU4" s="96" t="str">
        <f>IFERROR(__xludf.DUMMYFUNCTION("""COMPUTED_VALUE"""),"Eqty")</f>
        <v>Eqty</v>
      </c>
      <c r="DV4" s="96" t="str">
        <f>IFERROR(__xludf.DUMMYFUNCTION("""COMPUTED_VALUE"""),"Eqty")</f>
        <v>Eqty</v>
      </c>
      <c r="DW4" s="96" t="str">
        <f>IFERROR(__xludf.DUMMYFUNCTION("""COMPUTED_VALUE"""),"Eqty")</f>
        <v>Eqty</v>
      </c>
      <c r="DX4" s="96" t="str">
        <f>IFERROR(__xludf.DUMMYFUNCTION("""COMPUTED_VALUE"""),"Eqty")</f>
        <v>Eqty</v>
      </c>
      <c r="DY4" s="96" t="str">
        <f>IFERROR(__xludf.DUMMYFUNCTION("""COMPUTED_VALUE"""),"Eqty")</f>
        <v>Eqty</v>
      </c>
      <c r="DZ4" s="96" t="str">
        <f>IFERROR(__xludf.DUMMYFUNCTION("""COMPUTED_VALUE"""),"Eqty")</f>
        <v>Eqty</v>
      </c>
      <c r="EA4" s="96" t="str">
        <f>IFERROR(__xludf.DUMMYFUNCTION("""COMPUTED_VALUE"""),"Eqty")</f>
        <v>Eqty</v>
      </c>
      <c r="EB4" s="96" t="str">
        <f>IFERROR(__xludf.DUMMYFUNCTION("""COMPUTED_VALUE"""),"Eqty")</f>
        <v>Eqty</v>
      </c>
      <c r="EC4" s="96" t="str">
        <f>IFERROR(__xludf.DUMMYFUNCTION("""COMPUTED_VALUE"""),"Eqty")</f>
        <v>Eqty</v>
      </c>
      <c r="ED4" s="96" t="str">
        <f>IFERROR(__xludf.DUMMYFUNCTION("""COMPUTED_VALUE"""),"Eqty")</f>
        <v>Eqty</v>
      </c>
      <c r="EE4" s="96" t="str">
        <f>IFERROR(__xludf.DUMMYFUNCTION("""COMPUTED_VALUE"""),"Eqty")</f>
        <v>Eqty</v>
      </c>
      <c r="EF4" s="96" t="str">
        <f>IFERROR(__xludf.DUMMYFUNCTION("""COMPUTED_VALUE"""),"Eqty")</f>
        <v>Eqty</v>
      </c>
      <c r="EG4" s="96" t="str">
        <f>IFERROR(__xludf.DUMMYFUNCTION("""COMPUTED_VALUE"""),"Eqty")</f>
        <v>Eqty</v>
      </c>
      <c r="EH4" s="96" t="str">
        <f>IFERROR(__xludf.DUMMYFUNCTION("""COMPUTED_VALUE"""),"Eqty")</f>
        <v>Eqty</v>
      </c>
      <c r="EI4" s="96" t="str">
        <f>IFERROR(__xludf.DUMMYFUNCTION("""COMPUTED_VALUE"""),"Eqty")</f>
        <v>Eqty</v>
      </c>
      <c r="EJ4" s="96" t="str">
        <f>IFERROR(__xludf.DUMMYFUNCTION("""COMPUTED_VALUE"""),"Eqty")</f>
        <v>Eqty</v>
      </c>
      <c r="EK4" s="96" t="str">
        <f>IFERROR(__xludf.DUMMYFUNCTION("""COMPUTED_VALUE"""),"Eqty")</f>
        <v>Eqty</v>
      </c>
      <c r="EL4" s="96" t="str">
        <f>IFERROR(__xludf.DUMMYFUNCTION("""COMPUTED_VALUE"""),"Eqty")</f>
        <v>Eqty</v>
      </c>
      <c r="EM4" s="96" t="str">
        <f>IFERROR(__xludf.DUMMYFUNCTION("""COMPUTED_VALUE"""),"Eqty")</f>
        <v>Eqty</v>
      </c>
      <c r="EN4" s="96" t="str">
        <f>IFERROR(__xludf.DUMMYFUNCTION("""COMPUTED_VALUE"""),"Eqty")</f>
        <v>Eqty</v>
      </c>
      <c r="EO4" s="96" t="str">
        <f>IFERROR(__xludf.DUMMYFUNCTION("""COMPUTED_VALUE"""),"Eqty")</f>
        <v>Eqty</v>
      </c>
      <c r="EP4" s="96" t="str">
        <f>IFERROR(__xludf.DUMMYFUNCTION("""COMPUTED_VALUE"""),"Eqty")</f>
        <v>Eqty</v>
      </c>
      <c r="EQ4" s="96" t="str">
        <f>IFERROR(__xludf.DUMMYFUNCTION("""COMPUTED_VALUE"""),"Eqty")</f>
        <v>Eqty</v>
      </c>
      <c r="ER4" s="96" t="str">
        <f>IFERROR(__xludf.DUMMYFUNCTION("""COMPUTED_VALUE"""),"Eqty")</f>
        <v>Eqty</v>
      </c>
      <c r="ES4" s="96" t="str">
        <f>IFERROR(__xludf.DUMMYFUNCTION("""COMPUTED_VALUE"""),"Eqty")</f>
        <v>Eqty</v>
      </c>
      <c r="ET4" s="96" t="str">
        <f>IFERROR(__xludf.DUMMYFUNCTION("""COMPUTED_VALUE"""),"Eqty")</f>
        <v>Eqty</v>
      </c>
      <c r="EU4" s="96" t="str">
        <f>IFERROR(__xludf.DUMMYFUNCTION("""COMPUTED_VALUE"""),"Eqty")</f>
        <v>Eqty</v>
      </c>
      <c r="EV4" s="96" t="str">
        <f>IFERROR(__xludf.DUMMYFUNCTION("""COMPUTED_VALUE"""),"Eqty")</f>
        <v>Eqty</v>
      </c>
      <c r="EW4" s="96" t="str">
        <f>IFERROR(__xludf.DUMMYFUNCTION("""COMPUTED_VALUE"""),"Eqty")</f>
        <v>Eqty</v>
      </c>
      <c r="EX4" s="97" t="str">
        <f>IFERROR(__xludf.DUMMYFUNCTION("""COMPUTED_VALUE"""),"Eqty")</f>
        <v>Eqty</v>
      </c>
      <c r="EY4" s="97" t="str">
        <f>IFERROR(__xludf.DUMMYFUNCTION("""COMPUTED_VALUE"""),"Eqty")</f>
        <v>Eqty</v>
      </c>
      <c r="EZ4" s="97" t="str">
        <f>IFERROR(__xludf.DUMMYFUNCTION("""COMPUTED_VALUE"""),"Eqty")</f>
        <v>Eqty</v>
      </c>
      <c r="FA4" s="97" t="str">
        <f>IFERROR(__xludf.DUMMYFUNCTION("""COMPUTED_VALUE"""),"Eqty")</f>
        <v>Eqty</v>
      </c>
      <c r="FB4" s="97" t="str">
        <f>IFERROR(__xludf.DUMMYFUNCTION("""COMPUTED_VALUE"""),"Eqty")</f>
        <v>Eqty</v>
      </c>
      <c r="FC4" s="97" t="str">
        <f>IFERROR(__xludf.DUMMYFUNCTION("""COMPUTED_VALUE"""),"Eqty")</f>
        <v>Eqty</v>
      </c>
      <c r="FD4" s="97" t="str">
        <f>IFERROR(__xludf.DUMMYFUNCTION("""COMPUTED_VALUE"""),"Eqty")</f>
        <v>Eqty</v>
      </c>
      <c r="FE4" s="97" t="str">
        <f>IFERROR(__xludf.DUMMYFUNCTION("""COMPUTED_VALUE"""),"Eqty")</f>
        <v>Eqty</v>
      </c>
      <c r="FF4" s="97" t="str">
        <f>IFERROR(__xludf.DUMMYFUNCTION("""COMPUTED_VALUE"""),"Eqty")</f>
        <v>Eqty</v>
      </c>
      <c r="FG4" s="97" t="str">
        <f>IFERROR(__xludf.DUMMYFUNCTION("""COMPUTED_VALUE"""),"Eqty")</f>
        <v>Eqty</v>
      </c>
      <c r="FH4" s="97" t="str">
        <f>IFERROR(__xludf.DUMMYFUNCTION("""COMPUTED_VALUE"""),"Eqty")</f>
        <v>Eqty</v>
      </c>
      <c r="FI4" s="97" t="str">
        <f>IFERROR(__xludf.DUMMYFUNCTION("""COMPUTED_VALUE"""),"Eqty")</f>
        <v>Eqty</v>
      </c>
      <c r="FJ4" s="97" t="str">
        <f>IFERROR(__xludf.DUMMYFUNCTION("""COMPUTED_VALUE"""),"Eqty")</f>
        <v>Eqty</v>
      </c>
      <c r="FK4" s="97" t="str">
        <f>IFERROR(__xludf.DUMMYFUNCTION("""COMPUTED_VALUE"""),"Eqty")</f>
        <v>Eqty</v>
      </c>
      <c r="FL4" s="97" t="str">
        <f>IFERROR(__xludf.DUMMYFUNCTION("""COMPUTED_VALUE"""),"Eqty")</f>
        <v>Eqty</v>
      </c>
      <c r="FM4" s="97" t="str">
        <f>IFERROR(__xludf.DUMMYFUNCTION("""COMPUTED_VALUE"""),"Eqty")</f>
        <v>Eqty</v>
      </c>
      <c r="FN4" s="97" t="str">
        <f>IFERROR(__xludf.DUMMYFUNCTION("""COMPUTED_VALUE"""),"Eqty")</f>
        <v>Eqty</v>
      </c>
      <c r="FO4" s="97" t="str">
        <f>IFERROR(__xludf.DUMMYFUNCTION("""COMPUTED_VALUE"""),"Eqty")</f>
        <v>Eqty</v>
      </c>
    </row>
    <row r="5">
      <c r="A5" s="98" t="str">
        <f>IFERROR(__xludf.DUMMYFUNCTION("""COMPUTED_VALUE"""),"Ticker")</f>
        <v>Ticker</v>
      </c>
      <c r="B5" s="99" t="str">
        <f>IFERROR(__xludf.DUMMYFUNCTION("""COMPUTED_VALUE"""),"AMZN")</f>
        <v>AMZN</v>
      </c>
      <c r="C5" s="99" t="str">
        <f>IFERROR(__xludf.DUMMYFUNCTION("""COMPUTED_VALUE"""),"FB")</f>
        <v>FB</v>
      </c>
      <c r="D5" s="99" t="str">
        <f>IFERROR(__xludf.DUMMYFUNCTION("""COMPUTED_VALUE"""),"TSLA")</f>
        <v>TSLA</v>
      </c>
      <c r="E5" s="100" t="str">
        <f>IFERROR(__xludf.DUMMYFUNCTION("""COMPUTED_VALUE"""),"0700.HK")</f>
        <v>0700.HK</v>
      </c>
      <c r="F5" s="100" t="str">
        <f>IFERROR(__xludf.DUMMYFUNCTION("""COMPUTED_VALUE"""),"0883.HK")</f>
        <v>0883.HK</v>
      </c>
      <c r="G5" s="99" t="str">
        <f>IFERROR(__xludf.DUMMYFUNCTION("""COMPUTED_VALUE"""),"AAPL")</f>
        <v>AAPL</v>
      </c>
      <c r="H5" s="99" t="str">
        <f>IFERROR(__xludf.DUMMYFUNCTION("""COMPUTED_VALUE"""),"BILI220318P00040000")</f>
        <v>BILI220318P00040000</v>
      </c>
      <c r="I5" s="99" t="str">
        <f>IFERROR(__xludf.DUMMYFUNCTION("""COMPUTED_VALUE"""),"FB220325P00210000")</f>
        <v>FB220325P00210000</v>
      </c>
      <c r="J5" s="99" t="str">
        <f>IFERROR(__xludf.DUMMYFUNCTION("""COMPUTED_VALUE"""),"BAC220325C00045000")</f>
        <v>BAC220325C00045000</v>
      </c>
      <c r="K5" s="100" t="str">
        <f>IFERROR(__xludf.DUMMYFUNCTION("""COMPUTED_VALUE"""),"9698.HK")</f>
        <v>9698.HK</v>
      </c>
      <c r="L5" s="100" t="str">
        <f>IFERROR(__xludf.DUMMYFUNCTION("""COMPUTED_VALUE"""),"3690.HK")</f>
        <v>3690.HK</v>
      </c>
      <c r="M5" s="99" t="str">
        <f>IFERROR(__xludf.DUMMYFUNCTION("""COMPUTED_VALUE"""),"BTC-USD")</f>
        <v>BTC-USD</v>
      </c>
      <c r="N5" s="99" t="str">
        <f>IFERROR(__xludf.DUMMYFUNCTION("""COMPUTED_VALUE"""),"NFLX")</f>
        <v>NFLX</v>
      </c>
      <c r="O5" s="99" t="str">
        <f>IFERROR(__xludf.DUMMYFUNCTION("""COMPUTED_VALUE"""),"MSFT")</f>
        <v>MSFT</v>
      </c>
      <c r="P5" s="99" t="str">
        <f>IFERROR(__xludf.DUMMYFUNCTION("""COMPUTED_VALUE"""),"BMBL")</f>
        <v>BMBL</v>
      </c>
      <c r="Q5" s="99" t="str">
        <f>IFERROR(__xludf.DUMMYFUNCTION("""COMPUTED_VALUE"""),"NUSI")</f>
        <v>NUSI</v>
      </c>
      <c r="R5" s="99" t="str">
        <f>IFERROR(__xludf.DUMMYFUNCTION("""COMPUTED_VALUE"""),"JD")</f>
        <v>JD</v>
      </c>
      <c r="S5" s="99" t="str">
        <f>IFERROR(__xludf.DUMMYFUNCTION("""COMPUTED_VALUE"""),"GBTC")</f>
        <v>GBTC</v>
      </c>
      <c r="T5" s="99" t="str">
        <f>IFERROR(__xludf.DUMMYFUNCTION("""COMPUTED_VALUE"""),"XPEV")</f>
        <v>XPEV</v>
      </c>
      <c r="U5" s="99" t="str">
        <f>IFERROR(__xludf.DUMMYFUNCTION("""COMPUTED_VALUE"""),"MGM")</f>
        <v>MGM</v>
      </c>
      <c r="V5" s="100" t="str">
        <f>IFERROR(__xludf.DUMMYFUNCTION("""COMPUTED_VALUE"""),"601168.ss")</f>
        <v>601168.ss</v>
      </c>
      <c r="W5" s="99" t="str">
        <f>IFERROR(__xludf.DUMMYFUNCTION("""COMPUTED_VALUE"""),"MCD")</f>
        <v>MCD</v>
      </c>
      <c r="X5" s="99" t="str">
        <f>IFERROR(__xludf.DUMMYFUNCTION("""COMPUTED_VALUE"""),"GOOG")</f>
        <v>GOOG</v>
      </c>
      <c r="Y5" s="100" t="str">
        <f>IFERROR(__xludf.DUMMYFUNCTION("""COMPUTED_VALUE"""),"2318.HK")</f>
        <v>2318.HK</v>
      </c>
      <c r="Z5" s="100" t="str">
        <f>IFERROR(__xludf.DUMMYFUNCTION("""COMPUTED_VALUE"""),"2269.HK")</f>
        <v>2269.HK</v>
      </c>
      <c r="AA5" s="99" t="str">
        <f>IFERROR(__xludf.DUMMYFUNCTION("""COMPUTED_VALUE"""),"NET")</f>
        <v>NET</v>
      </c>
      <c r="AB5" s="100" t="str">
        <f>IFERROR(__xludf.DUMMYFUNCTION("""COMPUTED_VALUE"""),"1398.HK")</f>
        <v>1398.HK</v>
      </c>
      <c r="AC5" s="99" t="str">
        <f>IFERROR(__xludf.DUMMYFUNCTION("""COMPUTED_VALUE"""),"XLE")</f>
        <v>XLE</v>
      </c>
      <c r="AD5" s="99" t="str">
        <f>IFERROR(__xludf.DUMMYFUNCTION("""COMPUTED_VALUE"""),"VYGLX")</f>
        <v>VYGLX</v>
      </c>
      <c r="AE5" s="100" t="str">
        <f>IFERROR(__xludf.DUMMYFUNCTION("""COMPUTED_VALUE"""),"600986.ss")</f>
        <v>600986.ss</v>
      </c>
      <c r="AF5" s="100" t="str">
        <f>IFERROR(__xludf.DUMMYFUNCTION("""COMPUTED_VALUE"""),"UBI.PA")</f>
        <v>UBI.PA</v>
      </c>
      <c r="AG5" s="100" t="str">
        <f>IFERROR(__xludf.DUMMYFUNCTION("""COMPUTED_VALUE"""),"2333.HK")</f>
        <v>2333.HK</v>
      </c>
      <c r="AH5" s="100" t="str">
        <f>IFERROR(__xludf.DUMMYFUNCTION("""COMPUTED_VALUE"""),"3339.HK")</f>
        <v>3339.HK</v>
      </c>
      <c r="AI5" s="100" t="str">
        <f>IFERROR(__xludf.DUMMYFUNCTION("""COMPUTED_VALUE"""),"1610.HK")</f>
        <v>1610.HK</v>
      </c>
      <c r="AJ5" s="100" t="str">
        <f>IFERROR(__xludf.DUMMYFUNCTION("""COMPUTED_VALUE"""),"2020.HK")</f>
        <v>2020.HK</v>
      </c>
      <c r="AK5" s="99" t="str">
        <f>IFERROR(__xludf.DUMMYFUNCTION("""COMPUTED_VALUE"""),"NVDA")</f>
        <v>NVDA</v>
      </c>
      <c r="AL5" s="100" t="str">
        <f>IFERROR(__xludf.DUMMYFUNCTION("""COMPUTED_VALUE"""),"1810.HK")</f>
        <v>1810.HK</v>
      </c>
      <c r="AM5" s="99" t="str">
        <f>IFERROR(__xludf.DUMMYFUNCTION("""COMPUTED_VALUE"""),"BAC")</f>
        <v>BAC</v>
      </c>
      <c r="AN5" s="99" t="str">
        <f>IFERROR(__xludf.DUMMYFUNCTION("""COMPUTED_VALUE"""),"BRK-B")</f>
        <v>BRK-B</v>
      </c>
      <c r="AO5" s="99" t="str">
        <f>IFERROR(__xludf.DUMMYFUNCTION("""COMPUTED_VALUE"""),"SONY")</f>
        <v>SONY</v>
      </c>
      <c r="AP5" s="99" t="str">
        <f>IFERROR(__xludf.DUMMYFUNCTION("""COMPUTED_VALUE"""),"ATVI")</f>
        <v>ATVI</v>
      </c>
      <c r="AQ5" s="99" t="str">
        <f>IFERROR(__xludf.DUMMYFUNCTION("""COMPUTED_VALUE"""),"tcehy")</f>
        <v>tcehy</v>
      </c>
      <c r="AR5" s="99" t="str">
        <f>IFERROR(__xludf.DUMMYFUNCTION("""COMPUTED_VALUE"""),"US023135AN60")</f>
        <v>US023135AN60</v>
      </c>
      <c r="AS5" s="99" t="str">
        <f>IFERROR(__xludf.DUMMYFUNCTION("""COMPUTED_VALUE"""),"UVXY")</f>
        <v>UVXY</v>
      </c>
      <c r="AT5" s="100" t="str">
        <f>IFERROR(__xludf.DUMMYFUNCTION("""COMPUTED_VALUE"""),"9988.HK")</f>
        <v>9988.HK</v>
      </c>
      <c r="AU5" s="99" t="str">
        <f>IFERROR(__xludf.DUMMYFUNCTION("""COMPUTED_VALUE"""),"NTDOY")</f>
        <v>NTDOY</v>
      </c>
      <c r="AV5" s="99" t="str">
        <f>IFERROR(__xludf.DUMMYFUNCTION("""COMPUTED_VALUE"""),"DIS")</f>
        <v>DIS</v>
      </c>
      <c r="AW5" s="99" t="str">
        <f>IFERROR(__xludf.DUMMYFUNCTION("""COMPUTED_VALUE"""),"AMAT")</f>
        <v>AMAT</v>
      </c>
      <c r="AX5" s="100" t="str">
        <f>IFERROR(__xludf.DUMMYFUNCTION("""COMPUTED_VALUE"""),"6969.HK")</f>
        <v>6969.HK</v>
      </c>
      <c r="AY5" s="99" t="str">
        <f>IFERROR(__xludf.DUMMYFUNCTION("""COMPUTED_VALUE"""),"RBLX")</f>
        <v>RBLX</v>
      </c>
      <c r="AZ5" s="99" t="str">
        <f>IFERROR(__xludf.DUMMYFUNCTION("""COMPUTED_VALUE"""),"SPXW220218P04300000")</f>
        <v>SPXW220218P04300000</v>
      </c>
      <c r="BA5" s="99" t="str">
        <f>IFERROR(__xludf.DUMMYFUNCTION("""COMPUTED_VALUE"""),"SPX220218P04220000")</f>
        <v>SPX220218P04220000</v>
      </c>
      <c r="BB5" s="100" t="str">
        <f>IFERROR(__xludf.DUMMYFUNCTION("""COMPUTED_VALUE"""),"0175.HK")</f>
        <v>0175.HK</v>
      </c>
      <c r="BC5" s="99" t="str">
        <f>IFERROR(__xludf.DUMMYFUNCTION("""COMPUTED_VALUE"""),"ISPO")</f>
        <v>ISPO</v>
      </c>
      <c r="BD5" s="100" t="str">
        <f>IFERROR(__xludf.DUMMYFUNCTION("""COMPUTED_VALUE"""),"9961.HK")</f>
        <v>9961.HK</v>
      </c>
      <c r="BE5" s="100" t="str">
        <f>IFERROR(__xludf.DUMMYFUNCTION("""COMPUTED_VALUE"""),"9999.HK")</f>
        <v>9999.HK</v>
      </c>
      <c r="BF5" s="100" t="str">
        <f>IFERROR(__xludf.DUMMYFUNCTION("""COMPUTED_VALUE"""),"0909.HK")</f>
        <v>0909.HK</v>
      </c>
      <c r="BG5" s="99" t="str">
        <f>IFERROR(__xludf.DUMMYFUNCTION("""COMPUTED_VALUE"""),"PANW")</f>
        <v>PANW</v>
      </c>
      <c r="BH5" s="99" t="str">
        <f>IFERROR(__xludf.DUMMYFUNCTION("""COMPUTED_VALUE"""),"TEAM")</f>
        <v>TEAM</v>
      </c>
      <c r="BI5" s="99" t="str">
        <f>IFERROR(__xludf.DUMMYFUNCTION("""COMPUTED_VALUE"""),"AMGN")</f>
        <v>AMGN</v>
      </c>
      <c r="BJ5" s="99" t="str">
        <f>IFERROR(__xludf.DUMMYFUNCTION("""COMPUTED_VALUE"""),"LCID")</f>
        <v>LCID</v>
      </c>
      <c r="BK5" s="99" t="str">
        <f>IFERROR(__xludf.DUMMYFUNCTION("""COMPUTED_VALUE"""),"SNPS")</f>
        <v>SNPS</v>
      </c>
      <c r="BL5" s="99" t="str">
        <f>IFERROR(__xludf.DUMMYFUNCTION("""COMPUTED_VALUE"""),"TMUS")</f>
        <v>TMUS</v>
      </c>
      <c r="BM5" s="99" t="str">
        <f>IFERROR(__xludf.DUMMYFUNCTION("""COMPUTED_VALUE"""),"F")</f>
        <v>F</v>
      </c>
      <c r="BN5" s="99" t="str">
        <f>IFERROR(__xludf.DUMMYFUNCTION("""COMPUTED_VALUE"""),"ANPDY")</f>
        <v>ANPDY</v>
      </c>
      <c r="BO5" s="99" t="str">
        <f>IFERROR(__xludf.DUMMYFUNCTION("""COMPUTED_VALUE"""),"LVMHF")</f>
        <v>LVMHF</v>
      </c>
      <c r="BP5" s="99" t="str">
        <f>IFERROR(__xludf.DUMMYFUNCTION("""COMPUTED_VALUE"""),"RIVN")</f>
        <v>RIVN</v>
      </c>
      <c r="BQ5" s="99" t="str">
        <f>IFERROR(__xludf.DUMMYFUNCTION("""COMPUTED_VALUE"""),"SOFI")</f>
        <v>SOFI</v>
      </c>
      <c r="BR5" s="99" t="str">
        <f>IFERROR(__xludf.DUMMYFUNCTION("""COMPUTED_VALUE"""),"SOXL")</f>
        <v>SOXL</v>
      </c>
      <c r="BS5" s="100" t="str">
        <f>IFERROR(__xludf.DUMMYFUNCTION("""COMPUTED_VALUE"""),"1498.HK")</f>
        <v>1498.HK</v>
      </c>
      <c r="BT5" s="100" t="str">
        <f>IFERROR(__xludf.DUMMYFUNCTION("""COMPUTED_VALUE"""),"002230.SZ")</f>
        <v>002230.SZ</v>
      </c>
      <c r="BU5" s="100" t="str">
        <f>IFERROR(__xludf.DUMMYFUNCTION("""COMPUTED_VALUE"""),"1109.HK")</f>
        <v>1109.HK</v>
      </c>
      <c r="BV5" s="100" t="str">
        <f>IFERROR(__xludf.DUMMYFUNCTION("""COMPUTED_VALUE"""),"0941.HK")</f>
        <v>0941.HK</v>
      </c>
      <c r="BW5" s="99" t="str">
        <f>IFERROR(__xludf.DUMMYFUNCTION("""COMPUTED_VALUE"""),"NU")</f>
        <v>NU</v>
      </c>
      <c r="BX5" s="99" t="str">
        <f>IFERROR(__xludf.DUMMYFUNCTION("""COMPUTED_VALUE"""),"YINN")</f>
        <v>YINN</v>
      </c>
      <c r="BY5" s="99" t="str">
        <f>IFERROR(__xludf.DUMMYFUNCTION("""COMPUTED_VALUE"""),"FUTU220225C00041500")</f>
        <v>FUTU220225C00041500</v>
      </c>
      <c r="BZ5" s="100" t="str">
        <f>IFERROR(__xludf.DUMMYFUNCTION("""COMPUTED_VALUE"""),"3047.HK")</f>
        <v>3047.HK</v>
      </c>
      <c r="CA5" s="100" t="str">
        <f>IFERROR(__xludf.DUMMYFUNCTION("""COMPUTED_VALUE"""),"002665.SZ")</f>
        <v>002665.SZ</v>
      </c>
      <c r="CB5" s="100" t="str">
        <f>IFERROR(__xludf.DUMMYFUNCTION("""COMPUTED_VALUE"""),"000554.SZ")</f>
        <v>000554.SZ</v>
      </c>
      <c r="CC5" s="100" t="str">
        <f>IFERROR(__xludf.DUMMYFUNCTION("""COMPUTED_VALUE"""),"300945.SZ")</f>
        <v>300945.SZ</v>
      </c>
      <c r="CD5" s="100" t="str">
        <f>IFERROR(__xludf.DUMMYFUNCTION("""COMPUTED_VALUE"""),"601808.SS")</f>
        <v>601808.SS</v>
      </c>
      <c r="CE5" s="100" t="str">
        <f>IFERROR(__xludf.DUMMYFUNCTION("""COMPUTED_VALUE"""),"300922.SZ")</f>
        <v>300922.SZ</v>
      </c>
      <c r="CF5" s="99" t="str">
        <f>IFERROR(__xludf.DUMMYFUNCTION("""COMPUTED_VALUE"""),"CL=F")</f>
        <v>CL=F</v>
      </c>
      <c r="CG5" s="100" t="str">
        <f>IFERROR(__xludf.DUMMYFUNCTION("""COMPUTED_VALUE"""),"300157.SZ")</f>
        <v>300157.SZ</v>
      </c>
      <c r="CH5" s="99" t="str">
        <f>IFERROR(__xludf.DUMMYFUNCTION("""COMPUTED_VALUE"""),"GOLD")</f>
        <v>GOLD</v>
      </c>
      <c r="CI5" s="99" t="str">
        <f>IFERROR(__xludf.DUMMYFUNCTION("""COMPUTED_VALUE"""),"SARK")</f>
        <v>SARK</v>
      </c>
      <c r="CJ5" s="99" t="str">
        <f>IFERROR(__xludf.DUMMYFUNCTION("""COMPUTED_VALUE"""),"SPXL220318C00080000")</f>
        <v>SPXL220318C00080000</v>
      </c>
      <c r="CK5" s="100" t="str">
        <f>IFERROR(__xludf.DUMMYFUNCTION("""COMPUTED_VALUE"""),"603967.SS")</f>
        <v>603967.SS</v>
      </c>
      <c r="CL5" s="99" t="str">
        <f>IFERROR(__xludf.DUMMYFUNCTION("""COMPUTED_VALUE"""),"GOOGL")</f>
        <v>GOOGL</v>
      </c>
      <c r="CM5" s="99" t="str">
        <f>IFERROR(__xludf.DUMMYFUNCTION("""COMPUTED_VALUE"""),"FTCH220318P00017500")</f>
        <v>FTCH220318P00017500</v>
      </c>
      <c r="CN5" s="100" t="str">
        <f>IFERROR(__xludf.DUMMYFUNCTION("""COMPUTED_VALUE"""),"9626.HK")</f>
        <v>9626.HK</v>
      </c>
      <c r="CO5" s="100" t="str">
        <f>IFERROR(__xludf.DUMMYFUNCTION("""COMPUTED_VALUE"""),"9888.HK")</f>
        <v>9888.HK</v>
      </c>
      <c r="CP5" s="99" t="str">
        <f>IFERROR(__xludf.DUMMYFUNCTION("""COMPUTED_VALUE"""),"ARKK")</f>
        <v>ARKK</v>
      </c>
      <c r="CQ5" s="99" t="str">
        <f>IFERROR(__xludf.DUMMYFUNCTION("""COMPUTED_VALUE"""),"005930.KS")</f>
        <v>005930.KS</v>
      </c>
      <c r="CR5" s="99" t="str">
        <f>IFERROR(__xludf.DUMMYFUNCTION("""COMPUTED_VALUE"""),"SBRCY")</f>
        <v>SBRCY</v>
      </c>
      <c r="CS5" s="100" t="str">
        <f>IFERROR(__xludf.DUMMYFUNCTION("""COMPUTED_VALUE"""),"002475.SZ")</f>
        <v>002475.SZ</v>
      </c>
      <c r="CT5" s="100" t="str">
        <f>IFERROR(__xludf.DUMMYFUNCTION("""COMPUTED_VALUE"""),"2800.HK")</f>
        <v>2800.HK</v>
      </c>
      <c r="CU5" s="99" t="str">
        <f>IFERROR(__xludf.DUMMYFUNCTION("""COMPUTED_VALUE"""),"GC=F")</f>
        <v>GC=F</v>
      </c>
      <c r="CV5" s="100" t="str">
        <f>IFERROR(__xludf.DUMMYFUNCTION("""COMPUTED_VALUE"""),"3800.hk")</f>
        <v>3800.hk</v>
      </c>
      <c r="CW5" s="100" t="str">
        <f>IFERROR(__xludf.DUMMYFUNCTION("""COMPUTED_VALUE"""),"1208.HK")</f>
        <v>1208.HK</v>
      </c>
      <c r="CX5" s="99" t="str">
        <f>IFERROR(__xludf.DUMMYFUNCTION("""COMPUTED_VALUE"""),"TQQQ220311P00057500")</f>
        <v>TQQQ220311P00057500</v>
      </c>
      <c r="CY5" s="99" t="str">
        <f>IFERROR(__xludf.DUMMYFUNCTION("""COMPUTED_VALUE"""),"RLX220414C00005000")</f>
        <v>RLX220414C00005000</v>
      </c>
      <c r="CZ5" s="100" t="str">
        <f>IFERROR(__xludf.DUMMYFUNCTION("""COMPUTED_VALUE"""),"1024.HK")</f>
        <v>1024.HK</v>
      </c>
      <c r="DA5" s="99" t="str">
        <f>IFERROR(__xludf.DUMMYFUNCTION("""COMPUTED_VALUE"""),"MARA220401P00016000")</f>
        <v>MARA220401P00016000</v>
      </c>
      <c r="DB5" s="99" t="str">
        <f>IFERROR(__xludf.DUMMYFUNCTION("""COMPUTED_VALUE"""),"NU220414C00009000")</f>
        <v>NU220414C00009000</v>
      </c>
      <c r="DC5" s="99" t="str">
        <f>IFERROR(__xludf.DUMMYFUNCTION("""COMPUTED_VALUE"""),"XLK")</f>
        <v>XLK</v>
      </c>
      <c r="DD5" s="100" t="str">
        <f>IFERROR(__xludf.DUMMYFUNCTION("""COMPUTED_VALUE"""),"603963.SS")</f>
        <v>603963.SS</v>
      </c>
      <c r="DE5" s="100" t="str">
        <f>IFERROR(__xludf.DUMMYFUNCTION("""COMPUTED_VALUE"""),"0151.HK")</f>
        <v>0151.HK</v>
      </c>
      <c r="DF5" s="100" t="str">
        <f>IFERROR(__xludf.DUMMYFUNCTION("""COMPUTED_VALUE"""),"0001.HK")</f>
        <v>0001.HK</v>
      </c>
      <c r="DG5" s="100" t="str">
        <f>IFERROR(__xludf.DUMMYFUNCTION("""COMPUTED_VALUE"""),"000950.SZ")</f>
        <v>000950.SZ</v>
      </c>
      <c r="DH5" s="100" t="str">
        <f>IFERROR(__xludf.DUMMYFUNCTION("""COMPUTED_VALUE"""),"600661.SS")</f>
        <v>600661.SS</v>
      </c>
      <c r="DI5" s="99" t="str">
        <f>IFERROR(__xludf.DUMMYFUNCTION("""COMPUTED_VALUE"""),"WMT")</f>
        <v>WMT</v>
      </c>
      <c r="DJ5" s="99" t="str">
        <f>IFERROR(__xludf.DUMMYFUNCTION("""COMPUTED_VALUE"""),"FSR")</f>
        <v>FSR</v>
      </c>
      <c r="DK5" s="99" t="str">
        <f>IFERROR(__xludf.DUMMYFUNCTION("""COMPUTED_VALUE"""),"NU220318C00005000")</f>
        <v>NU220318C00005000</v>
      </c>
      <c r="DL5" s="100" t="str">
        <f>IFERROR(__xludf.DUMMYFUNCTION("""COMPUTED_VALUE"""),"6680.HK")</f>
        <v>6680.HK</v>
      </c>
      <c r="DM5" s="99" t="str">
        <f>IFERROR(__xludf.DUMMYFUNCTION("""COMPUTED_VALUE"""),"LMT")</f>
        <v>LMT</v>
      </c>
      <c r="DN5" s="99" t="str">
        <f>IFERROR(__xludf.DUMMYFUNCTION("""COMPUTED_VALUE"""),"ABNB")</f>
        <v>ABNB</v>
      </c>
      <c r="DO5" s="100" t="str">
        <f>IFERROR(__xludf.DUMMYFUNCTION("""COMPUTED_VALUE"""),"0388.HK")</f>
        <v>0388.HK</v>
      </c>
      <c r="DP5" s="99" t="str">
        <f>IFERROR(__xludf.DUMMYFUNCTION("""COMPUTED_VALUE"""),"TQQQ220408P00056000")</f>
        <v>TQQQ220408P00056000</v>
      </c>
      <c r="DQ5" s="99" t="str">
        <f>IFERROR(__xludf.DUMMYFUNCTION("""COMPUTED_VALUE"""),"BABA")</f>
        <v>BABA</v>
      </c>
      <c r="DR5" s="99" t="str">
        <f>IFERROR(__xludf.DUMMYFUNCTION("""COMPUTED_VALUE"""),"BILI220401P00020000")</f>
        <v>BILI220401P00020000</v>
      </c>
      <c r="DS5" s="101" t="str">
        <f>IFERROR(__xludf.DUMMYFUNCTION("""COMPUTED_VALUE"""),"0708.HK")</f>
        <v>0708.HK</v>
      </c>
      <c r="DT5" s="100" t="str">
        <f>IFERROR(__xludf.DUMMYFUNCTION("""COMPUTED_VALUE"""),"1898.HK")</f>
        <v>1898.HK</v>
      </c>
      <c r="DU5" s="99" t="str">
        <f>IFERROR(__xludf.DUMMYFUNCTION("""COMPUTED_VALUE"""),"PFE")</f>
        <v>PFE</v>
      </c>
      <c r="DV5" s="100" t="str">
        <f>IFERROR(__xludf.DUMMYFUNCTION("""COMPUTED_VALUE"""),"6862.HK")</f>
        <v>6862.HK</v>
      </c>
      <c r="DW5" s="100" t="str">
        <f>IFERROR(__xludf.DUMMYFUNCTION("""COMPUTED_VALUE"""),"0070.HK")</f>
        <v>0070.HK</v>
      </c>
      <c r="DX5" s="99" t="str">
        <f>IFERROR(__xludf.DUMMYFUNCTION("""COMPUTED_VALUE"""),"BITO")</f>
        <v>BITO</v>
      </c>
      <c r="DY5" s="99" t="str">
        <f>IFERROR(__xludf.DUMMYFUNCTION("""COMPUTED_VALUE"""),"TSLA220318C00005000")</f>
        <v>TSLA220318C00005000</v>
      </c>
      <c r="DZ5" s="99" t="str">
        <f>IFERROR(__xludf.DUMMYFUNCTION("""COMPUTED_VALUE"""),"NVAX")</f>
        <v>NVAX</v>
      </c>
      <c r="EA5" s="99" t="str">
        <f>IFERROR(__xludf.DUMMYFUNCTION("""COMPUTED_VALUE"""),"XLRE")</f>
        <v>XLRE</v>
      </c>
      <c r="EB5" s="99" t="str">
        <f>IFERROR(__xludf.DUMMYFUNCTION("""COMPUTED_VALUE"""),"XLU")</f>
        <v>XLU</v>
      </c>
      <c r="EC5" s="99" t="str">
        <f>IFERROR(__xludf.DUMMYFUNCTION("""COMPUTED_VALUE"""),"XLP")</f>
        <v>XLP</v>
      </c>
      <c r="ED5" s="99" t="str">
        <f>IFERROR(__xludf.DUMMYFUNCTION("""COMPUTED_VALUE"""),"XLF")</f>
        <v>XLF</v>
      </c>
      <c r="EE5" s="99" t="str">
        <f>IFERROR(__xludf.DUMMYFUNCTION("""COMPUTED_VALUE"""),"XLB")</f>
        <v>XLB</v>
      </c>
      <c r="EF5" s="99" t="str">
        <f>IFERROR(__xludf.DUMMYFUNCTION("""COMPUTED_VALUE"""),"XLY")</f>
        <v>XLY</v>
      </c>
      <c r="EG5" s="99" t="str">
        <f>IFERROR(__xludf.DUMMYFUNCTION("""COMPUTED_VALUE"""),"XLC")</f>
        <v>XLC</v>
      </c>
      <c r="EH5" s="99" t="str">
        <f>IFERROR(__xludf.DUMMYFUNCTION("""COMPUTED_VALUE"""),"XLI")</f>
        <v>XLI</v>
      </c>
      <c r="EI5" s="99" t="str">
        <f>IFERROR(__xludf.DUMMYFUNCTION("""COMPUTED_VALUE"""),"XLV")</f>
        <v>XLV</v>
      </c>
      <c r="EJ5" s="100" t="str">
        <f>IFERROR(__xludf.DUMMYFUNCTION("""COMPUTED_VALUE"""),"603939.SS")</f>
        <v>603939.SS</v>
      </c>
      <c r="EK5" s="100" t="str">
        <f>IFERROR(__xludf.DUMMYFUNCTION("""COMPUTED_VALUE"""),"603392.SS")</f>
        <v>603392.SS</v>
      </c>
      <c r="EL5" s="100" t="str">
        <f>IFERROR(__xludf.DUMMYFUNCTION("""COMPUTED_VALUE"""),"603538.SS")</f>
        <v>603538.SS</v>
      </c>
      <c r="EM5" s="100" t="str">
        <f>IFERROR(__xludf.DUMMYFUNCTION("""COMPUTED_VALUE"""),"688076.SS")</f>
        <v>688076.SS</v>
      </c>
      <c r="EN5" s="100" t="str">
        <f>IFERROR(__xludf.DUMMYFUNCTION("""COMPUTED_VALUE"""),"600519.SS")</f>
        <v>600519.SS</v>
      </c>
      <c r="EO5" s="99" t="str">
        <f>IFERROR(__xludf.DUMMYFUNCTION("""COMPUTED_VALUE"""),"IXHL")</f>
        <v>IXHL</v>
      </c>
      <c r="EP5" s="99" t="str">
        <f>IFERROR(__xludf.DUMMYFUNCTION("""COMPUTED_VALUE"""),"OXY220318P00065000")</f>
        <v>OXY220318P00065000</v>
      </c>
      <c r="EQ5" s="99" t="str">
        <f>IFERROR(__xludf.DUMMYFUNCTION("""COMPUTED_VALUE"""),"NU220414C00006000")</f>
        <v>NU220414C00006000</v>
      </c>
      <c r="ER5" s="99" t="str">
        <f>IFERROR(__xludf.DUMMYFUNCTION("""COMPUTED_VALUE"""),"ES=F")</f>
        <v>ES=F</v>
      </c>
      <c r="ES5" s="99" t="str">
        <f>IFERROR(__xludf.DUMMYFUNCTION("""COMPUTED_VALUE"""),"AEP")</f>
        <v>AEP</v>
      </c>
      <c r="ET5" s="99" t="str">
        <f>IFERROR(__xludf.DUMMYFUNCTION("""COMPUTED_VALUE"""),"BZ=F")</f>
        <v>BZ=F</v>
      </c>
      <c r="EU5" s="100" t="str">
        <f>IFERROR(__xludf.DUMMYFUNCTION("""COMPUTED_VALUE"""),"6078.HK")</f>
        <v>6078.HK</v>
      </c>
      <c r="EV5" s="100" t="str">
        <f>IFERROR(__xludf.DUMMYFUNCTION("""COMPUTED_VALUE"""),"3833.HK")</f>
        <v>3833.HK</v>
      </c>
      <c r="EW5" s="100" t="str">
        <f>IFERROR(__xludf.DUMMYFUNCTION("""COMPUTED_VALUE"""),"0968.HK")</f>
        <v>0968.HK</v>
      </c>
      <c r="EX5" s="102" t="str">
        <f>IFERROR(__xludf.DUMMYFUNCTION("""COMPUTED_VALUE"""),"TME")</f>
        <v>TME</v>
      </c>
      <c r="EY5" s="102" t="str">
        <f>IFERROR(__xludf.DUMMYFUNCTION("""COMPUTED_VALUE"""),"BNTX")</f>
        <v>BNTX</v>
      </c>
      <c r="EZ5" s="102" t="str">
        <f>IFERROR(__xludf.DUMMYFUNCTION("""COMPUTED_VALUE"""),"SI=F")</f>
        <v>SI=F</v>
      </c>
      <c r="FA5" s="103" t="str">
        <f>IFERROR(__xludf.DUMMYFUNCTION("""COMPUTED_VALUE"""),"3988.HK")</f>
        <v>3988.HK</v>
      </c>
      <c r="FB5" s="102" t="str">
        <f>IFERROR(__xludf.DUMMYFUNCTION("""COMPUTED_VALUE"""),"JPM")</f>
        <v>JPM</v>
      </c>
      <c r="FC5" s="103" t="str">
        <f>IFERROR(__xludf.DUMMYFUNCTION("""COMPUTED_VALUE"""),"002670.SZ")</f>
        <v>002670.SZ</v>
      </c>
      <c r="FD5" s="102" t="str">
        <f>IFERROR(__xludf.DUMMYFUNCTION("""COMPUTED_VALUE"""),"DVN")</f>
        <v>DVN</v>
      </c>
      <c r="FE5" s="102" t="str">
        <f>IFERROR(__xludf.DUMMYFUNCTION("""COMPUTED_VALUE"""),"OXY")</f>
        <v>OXY</v>
      </c>
      <c r="FF5" s="103" t="str">
        <f>IFERROR(__xludf.DUMMYFUNCTION("""COMPUTED_VALUE"""),"001896.SZ")</f>
        <v>001896.SZ</v>
      </c>
      <c r="FG5" s="102" t="str">
        <f>IFERROR(__xludf.DUMMYFUNCTION("""COMPUTED_VALUE"""),"ASML")</f>
        <v>ASML</v>
      </c>
      <c r="FH5" s="102" t="str">
        <f>IFERROR(__xludf.DUMMYFUNCTION("""COMPUTED_VALUE"""),"ABBV")</f>
        <v>ABBV</v>
      </c>
      <c r="FI5" s="103" t="str">
        <f>IFERROR(__xludf.DUMMYFUNCTION("""COMPUTED_VALUE"""),"0346.hk")</f>
        <v>0346.hk</v>
      </c>
      <c r="FJ5" s="103" t="str">
        <f>IFERROR(__xludf.DUMMYFUNCTION("""COMPUTED_VALUE"""),"2607.hk")</f>
        <v>2607.hk</v>
      </c>
      <c r="FK5" s="103" t="str">
        <f>IFERROR(__xludf.DUMMYFUNCTION("""COMPUTED_VALUE"""),"000568.SZ")</f>
        <v>000568.SZ</v>
      </c>
      <c r="FL5" s="104" t="str">
        <f>IFERROR(__xludf.DUMMYFUNCTION("""COMPUTED_VALUE"""),"ANTM")</f>
        <v>ANTM</v>
      </c>
      <c r="FM5" s="102" t="str">
        <f>IFERROR(__xludf.DUMMYFUNCTION("""COMPUTED_VALUE"""),"NKE")</f>
        <v>NKE</v>
      </c>
      <c r="FN5" s="102" t="str">
        <f>IFERROR(__xludf.DUMMYFUNCTION("""COMPUTED_VALUE"""),"^CMC200")</f>
        <v>^CMC200</v>
      </c>
      <c r="FO5" s="102" t="str">
        <f>IFERROR(__xludf.DUMMYFUNCTION("""COMPUTED_VALUE"""),"SHOP")</f>
        <v>SHOP</v>
      </c>
      <c r="FP5" s="105"/>
      <c r="FQ5" s="105"/>
      <c r="FR5" s="105"/>
      <c r="FS5" s="105"/>
      <c r="FT5" s="105"/>
      <c r="FU5" s="105"/>
      <c r="FV5" s="105"/>
      <c r="FW5" s="105"/>
      <c r="FX5" s="105"/>
      <c r="FY5" s="105"/>
    </row>
    <row r="6">
      <c r="A6" s="106">
        <f>IFERROR(__xludf.DUMMYFUNCTION("""COMPUTED_VALUE"""),44598.0)</f>
        <v>44598</v>
      </c>
      <c r="B6" s="107">
        <f>IFERROR(__xludf.DUMMYFUNCTION("""COMPUTED_VALUE"""),3152.79)</f>
        <v>3152.79</v>
      </c>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9"/>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c r="FG6" s="108"/>
      <c r="FH6" s="108"/>
      <c r="FI6" s="108"/>
      <c r="FJ6" s="108"/>
      <c r="FK6" s="108"/>
      <c r="FL6" s="108"/>
      <c r="FM6" s="108"/>
      <c r="FN6" s="108"/>
      <c r="FO6" s="108"/>
    </row>
    <row r="7">
      <c r="A7" s="106">
        <f>IFERROR(__xludf.DUMMYFUNCTION("""COMPUTED_VALUE"""),44599.0)</f>
        <v>44599</v>
      </c>
      <c r="B7" s="110">
        <f>IFERROR(__xludf.DUMMYFUNCTION("""COMPUTED_VALUE"""),3158.71)</f>
        <v>3158.71</v>
      </c>
      <c r="C7" s="110">
        <f>IFERROR(__xludf.DUMMYFUNCTION("""COMPUTED_VALUE"""),224.91)</f>
        <v>224.91</v>
      </c>
      <c r="D7" s="110">
        <f>IFERROR(__xludf.DUMMYFUNCTION("""COMPUTED_VALUE"""),907.34)</f>
        <v>907.34</v>
      </c>
      <c r="E7" s="110">
        <f>IFERROR(__xludf.DUMMYFUNCTION("""COMPUTED_VALUE"""),478.0)</f>
        <v>478</v>
      </c>
      <c r="F7" s="110">
        <f>IFERROR(__xludf.DUMMYFUNCTION("""COMPUTED_VALUE"""),9.9)</f>
        <v>9.9</v>
      </c>
      <c r="G7" s="110">
        <f>IFERROR(__xludf.DUMMYFUNCTION("""COMPUTED_VALUE"""),171.66)</f>
        <v>171.66</v>
      </c>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9"/>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row>
    <row r="8">
      <c r="A8" s="106">
        <f>IFERROR(__xludf.DUMMYFUNCTION("""COMPUTED_VALUE"""),44600.0)</f>
        <v>44600</v>
      </c>
      <c r="B8" s="110">
        <f>IFERROR(__xludf.DUMMYFUNCTION("""COMPUTED_VALUE"""),3228.27)</f>
        <v>3228.27</v>
      </c>
      <c r="C8" s="110">
        <f>IFERROR(__xludf.DUMMYFUNCTION("""COMPUTED_VALUE"""),220.18)</f>
        <v>220.18</v>
      </c>
      <c r="D8" s="110">
        <f>IFERROR(__xludf.DUMMYFUNCTION("""COMPUTED_VALUE"""),922.0)</f>
        <v>922</v>
      </c>
      <c r="E8" s="110">
        <f>IFERROR(__xludf.DUMMYFUNCTION("""COMPUTED_VALUE"""),470.0)</f>
        <v>470</v>
      </c>
      <c r="F8" s="110">
        <f>IFERROR(__xludf.DUMMYFUNCTION("""COMPUTED_VALUE"""),9.79)</f>
        <v>9.79</v>
      </c>
      <c r="G8" s="110">
        <f>IFERROR(__xludf.DUMMYFUNCTION("""COMPUTED_VALUE"""),174.83)</f>
        <v>174.83</v>
      </c>
      <c r="H8" s="110">
        <f>IFERROR(__xludf.DUMMYFUNCTION("""COMPUTED_VALUE"""),8.5)</f>
        <v>8.5</v>
      </c>
      <c r="I8" s="110">
        <f>IFERROR(__xludf.DUMMYFUNCTION("""COMPUTED_VALUE"""),8.95)</f>
        <v>8.95</v>
      </c>
      <c r="J8" s="110">
        <f>IFERROR(__xludf.DUMMYFUNCTION("""COMPUTED_VALUE"""),5.0)</f>
        <v>5</v>
      </c>
      <c r="K8" s="108"/>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9"/>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c r="FG8" s="108"/>
      <c r="FH8" s="108"/>
      <c r="FI8" s="108"/>
      <c r="FJ8" s="108"/>
      <c r="FK8" s="108"/>
      <c r="FL8" s="108"/>
      <c r="FM8" s="108"/>
      <c r="FN8" s="108"/>
      <c r="FO8" s="108"/>
    </row>
    <row r="9">
      <c r="A9" s="106">
        <f>IFERROR(__xludf.DUMMYFUNCTION("""COMPUTED_VALUE"""),44601.0)</f>
        <v>44601</v>
      </c>
      <c r="B9" s="110">
        <f>IFERROR(__xludf.DUMMYFUNCTION("""COMPUTED_VALUE"""),3223.79)</f>
        <v>3223.79</v>
      </c>
      <c r="C9" s="110">
        <f>IFERROR(__xludf.DUMMYFUNCTION("""COMPUTED_VALUE"""),232.0)</f>
        <v>232</v>
      </c>
      <c r="D9" s="110">
        <f>IFERROR(__xludf.DUMMYFUNCTION("""COMPUTED_VALUE"""),932.0)</f>
        <v>932</v>
      </c>
      <c r="E9" s="110">
        <f>IFERROR(__xludf.DUMMYFUNCTION("""COMPUTED_VALUE"""),482.8)</f>
        <v>482.8</v>
      </c>
      <c r="F9" s="110">
        <f>IFERROR(__xludf.DUMMYFUNCTION("""COMPUTED_VALUE"""),9.86)</f>
        <v>9.86</v>
      </c>
      <c r="G9" s="110">
        <f>IFERROR(__xludf.DUMMYFUNCTION("""COMPUTED_VALUE"""),176.28)</f>
        <v>176.28</v>
      </c>
      <c r="H9" s="110">
        <f>IFERROR(__xludf.DUMMYFUNCTION("""COMPUTED_VALUE"""),6.1)</f>
        <v>6.1</v>
      </c>
      <c r="I9" s="110">
        <f>IFERROR(__xludf.DUMMYFUNCTION("""COMPUTED_VALUE"""),4.82)</f>
        <v>4.82</v>
      </c>
      <c r="J9" s="110">
        <f>IFERROR(__xludf.DUMMYFUNCTION("""COMPUTED_VALUE"""),4.6)</f>
        <v>4.6</v>
      </c>
      <c r="K9" s="110">
        <f>IFERROR(__xludf.DUMMYFUNCTION("""COMPUTED_VALUE"""),38.75)</f>
        <v>38.75</v>
      </c>
      <c r="L9" s="110">
        <f>IFERROR(__xludf.DUMMYFUNCTION("""COMPUTED_VALUE"""),229.2)</f>
        <v>229.2</v>
      </c>
      <c r="M9" s="110">
        <f>IFERROR(__xludf.DUMMYFUNCTION("""COMPUTED_VALUE"""),44185.375)</f>
        <v>44185.375</v>
      </c>
      <c r="N9" s="110">
        <f>IFERROR(__xludf.DUMMYFUNCTION("""COMPUTED_VALUE"""),412.89)</f>
        <v>412.89</v>
      </c>
      <c r="O9" s="110">
        <f>IFERROR(__xludf.DUMMYFUNCTION("""COMPUTED_VALUE"""),311.21)</f>
        <v>311.21</v>
      </c>
      <c r="P9" s="110">
        <f>IFERROR(__xludf.DUMMYFUNCTION("""COMPUTED_VALUE"""),29.59)</f>
        <v>29.59</v>
      </c>
      <c r="Q9" s="110">
        <f>IFERROR(__xludf.DUMMYFUNCTION("""COMPUTED_VALUE"""),25.76)</f>
        <v>25.76</v>
      </c>
      <c r="R9" s="110">
        <f>IFERROR(__xludf.DUMMYFUNCTION("""COMPUTED_VALUE"""),78.29)</f>
        <v>78.29</v>
      </c>
      <c r="S9" s="110">
        <f>IFERROR(__xludf.DUMMYFUNCTION("""COMPUTED_VALUE"""),32.08)</f>
        <v>32.08</v>
      </c>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9"/>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c r="FG9" s="108"/>
      <c r="FH9" s="108"/>
      <c r="FI9" s="108"/>
      <c r="FJ9" s="108"/>
      <c r="FK9" s="108"/>
      <c r="FL9" s="108"/>
      <c r="FM9" s="108"/>
      <c r="FN9" s="108"/>
      <c r="FO9" s="108"/>
    </row>
    <row r="10">
      <c r="A10" s="106">
        <f>IFERROR(__xludf.DUMMYFUNCTION("""COMPUTED_VALUE"""),44602.0)</f>
        <v>44602</v>
      </c>
      <c r="B10" s="110">
        <f>IFERROR(__xludf.DUMMYFUNCTION("""COMPUTED_VALUE"""),3180.07)</f>
        <v>3180.07</v>
      </c>
      <c r="C10" s="110">
        <f>IFERROR(__xludf.DUMMYFUNCTION("""COMPUTED_VALUE"""),228.07)</f>
        <v>228.07</v>
      </c>
      <c r="D10" s="110">
        <f>IFERROR(__xludf.DUMMYFUNCTION("""COMPUTED_VALUE"""),904.55)</f>
        <v>904.55</v>
      </c>
      <c r="E10" s="110">
        <f>IFERROR(__xludf.DUMMYFUNCTION("""COMPUTED_VALUE"""),484.4)</f>
        <v>484.4</v>
      </c>
      <c r="F10" s="110">
        <f>IFERROR(__xludf.DUMMYFUNCTION("""COMPUTED_VALUE"""),9.86)</f>
        <v>9.86</v>
      </c>
      <c r="G10" s="110">
        <f>IFERROR(__xludf.DUMMYFUNCTION("""COMPUTED_VALUE"""),172.12)</f>
        <v>172.12</v>
      </c>
      <c r="H10" s="110">
        <f>IFERROR(__xludf.DUMMYFUNCTION("""COMPUTED_VALUE"""),5.86)</f>
        <v>5.86</v>
      </c>
      <c r="I10" s="110">
        <f>IFERROR(__xludf.DUMMYFUNCTION("""COMPUTED_VALUE"""),5.9)</f>
        <v>5.9</v>
      </c>
      <c r="J10" s="110">
        <f>IFERROR(__xludf.DUMMYFUNCTION("""COMPUTED_VALUE"""),4.7)</f>
        <v>4.7</v>
      </c>
      <c r="K10" s="110">
        <f>IFERROR(__xludf.DUMMYFUNCTION("""COMPUTED_VALUE"""),43.2)</f>
        <v>43.2</v>
      </c>
      <c r="L10" s="110">
        <f>IFERROR(__xludf.DUMMYFUNCTION("""COMPUTED_VALUE"""),233.0)</f>
        <v>233</v>
      </c>
      <c r="M10" s="110">
        <f>IFERROR(__xludf.DUMMYFUNCTION("""COMPUTED_VALUE"""),43065.125)</f>
        <v>43065.125</v>
      </c>
      <c r="N10" s="110">
        <f>IFERROR(__xludf.DUMMYFUNCTION("""COMPUTED_VALUE"""),406.27)</f>
        <v>406.27</v>
      </c>
      <c r="O10" s="110">
        <f>IFERROR(__xludf.DUMMYFUNCTION("""COMPUTED_VALUE"""),302.38)</f>
        <v>302.38</v>
      </c>
      <c r="P10" s="110">
        <f>IFERROR(__xludf.DUMMYFUNCTION("""COMPUTED_VALUE"""),29.48)</f>
        <v>29.48</v>
      </c>
      <c r="Q10" s="110">
        <f>IFERROR(__xludf.DUMMYFUNCTION("""COMPUTED_VALUE"""),25.5)</f>
        <v>25.5</v>
      </c>
      <c r="R10" s="110">
        <f>IFERROR(__xludf.DUMMYFUNCTION("""COMPUTED_VALUE"""),76.4)</f>
        <v>76.4</v>
      </c>
      <c r="S10" s="110">
        <f>IFERROR(__xludf.DUMMYFUNCTION("""COMPUTED_VALUE"""),31.0)</f>
        <v>31</v>
      </c>
      <c r="T10" s="110">
        <f>IFERROR(__xludf.DUMMYFUNCTION("""COMPUTED_VALUE"""),38.92)</f>
        <v>38.92</v>
      </c>
      <c r="U10" s="110">
        <f>IFERROR(__xludf.DUMMYFUNCTION("""COMPUTED_VALUE"""),47.07)</f>
        <v>47.07</v>
      </c>
      <c r="V10" s="110">
        <f>IFERROR(__xludf.DUMMYFUNCTION("""COMPUTED_VALUE"""),14.66)</f>
        <v>14.66</v>
      </c>
      <c r="W10" s="110">
        <f>IFERROR(__xludf.DUMMYFUNCTION("""COMPUTED_VALUE"""),256.87)</f>
        <v>256.87</v>
      </c>
      <c r="X10" s="110">
        <f>IFERROR(__xludf.DUMMYFUNCTION("""COMPUTED_VALUE"""),2772.05)</f>
        <v>2772.05</v>
      </c>
      <c r="Y10" s="108"/>
      <c r="Z10" s="108"/>
      <c r="AA10" s="108"/>
      <c r="AB10" s="108"/>
      <c r="AC10" s="108"/>
      <c r="AD10" s="108"/>
      <c r="AE10" s="108"/>
      <c r="AF10" s="108"/>
      <c r="AG10" s="108"/>
      <c r="AH10" s="108"/>
      <c r="AI10" s="108"/>
      <c r="AJ10" s="108"/>
      <c r="AK10" s="108"/>
      <c r="AL10" s="108"/>
      <c r="AM10" s="108"/>
      <c r="AN10" s="108"/>
      <c r="AO10" s="108"/>
      <c r="AP10" s="108"/>
      <c r="AQ10" s="108"/>
      <c r="AR10" s="109"/>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c r="FG10" s="108"/>
      <c r="FH10" s="108"/>
      <c r="FI10" s="108"/>
      <c r="FJ10" s="108"/>
      <c r="FK10" s="108"/>
      <c r="FL10" s="108"/>
      <c r="FM10" s="108"/>
      <c r="FN10" s="108"/>
      <c r="FO10" s="108"/>
    </row>
    <row r="11">
      <c r="A11" s="106">
        <f>IFERROR(__xludf.DUMMYFUNCTION("""COMPUTED_VALUE"""),44603.0)</f>
        <v>44603</v>
      </c>
      <c r="B11" s="110">
        <f>IFERROR(__xludf.DUMMYFUNCTION("""COMPUTED_VALUE"""),3065.87)</f>
        <v>3065.87</v>
      </c>
      <c r="C11" s="110">
        <f>IFERROR(__xludf.DUMMYFUNCTION("""COMPUTED_VALUE"""),219.55)</f>
        <v>219.55</v>
      </c>
      <c r="D11" s="110">
        <f>IFERROR(__xludf.DUMMYFUNCTION("""COMPUTED_VALUE"""),860.0)</f>
        <v>860</v>
      </c>
      <c r="E11" s="110">
        <f>IFERROR(__xludf.DUMMYFUNCTION("""COMPUTED_VALUE"""),477.0)</f>
        <v>477</v>
      </c>
      <c r="F11" s="110">
        <f>IFERROR(__xludf.DUMMYFUNCTION("""COMPUTED_VALUE"""),9.95)</f>
        <v>9.95</v>
      </c>
      <c r="G11" s="110">
        <f>IFERROR(__xludf.DUMMYFUNCTION("""COMPUTED_VALUE"""),168.64)</f>
        <v>168.64</v>
      </c>
      <c r="H11" s="110">
        <f>IFERROR(__xludf.DUMMYFUNCTION("""COMPUTED_VALUE"""),6.4)</f>
        <v>6.4</v>
      </c>
      <c r="I11" s="110">
        <f>IFERROR(__xludf.DUMMYFUNCTION("""COMPUTED_VALUE"""),8.6)</f>
        <v>8.6</v>
      </c>
      <c r="J11" s="110">
        <f>IFERROR(__xludf.DUMMYFUNCTION("""COMPUTED_VALUE"""),3.55)</f>
        <v>3.55</v>
      </c>
      <c r="K11" s="110">
        <f>IFERROR(__xludf.DUMMYFUNCTION("""COMPUTED_VALUE"""),43.2)</f>
        <v>43.2</v>
      </c>
      <c r="L11" s="110">
        <f>IFERROR(__xludf.DUMMYFUNCTION("""COMPUTED_VALUE"""),227.8)</f>
        <v>227.8</v>
      </c>
      <c r="M11" s="110">
        <f>IFERROR(__xludf.DUMMYFUNCTION("""COMPUTED_VALUE"""),42194.062)</f>
        <v>42194.062</v>
      </c>
      <c r="N11" s="110">
        <f>IFERROR(__xludf.DUMMYFUNCTION("""COMPUTED_VALUE"""),391.31)</f>
        <v>391.31</v>
      </c>
      <c r="O11" s="110">
        <f>IFERROR(__xludf.DUMMYFUNCTION("""COMPUTED_VALUE"""),295.04)</f>
        <v>295.04</v>
      </c>
      <c r="P11" s="110">
        <f>IFERROR(__xludf.DUMMYFUNCTION("""COMPUTED_VALUE"""),28.1)</f>
        <v>28.1</v>
      </c>
      <c r="Q11" s="110">
        <f>IFERROR(__xludf.DUMMYFUNCTION("""COMPUTED_VALUE"""),25.1)</f>
        <v>25.1</v>
      </c>
      <c r="R11" s="110">
        <f>IFERROR(__xludf.DUMMYFUNCTION("""COMPUTED_VALUE"""),73.98)</f>
        <v>73.98</v>
      </c>
      <c r="S11" s="110">
        <f>IFERROR(__xludf.DUMMYFUNCTION("""COMPUTED_VALUE"""),29.61)</f>
        <v>29.61</v>
      </c>
      <c r="T11" s="110">
        <f>IFERROR(__xludf.DUMMYFUNCTION("""COMPUTED_VALUE"""),37.27)</f>
        <v>37.27</v>
      </c>
      <c r="U11" s="110">
        <f>IFERROR(__xludf.DUMMYFUNCTION("""COMPUTED_VALUE"""),45.46)</f>
        <v>45.46</v>
      </c>
      <c r="V11" s="110">
        <f>IFERROR(__xludf.DUMMYFUNCTION("""COMPUTED_VALUE"""),14.44)</f>
        <v>14.44</v>
      </c>
      <c r="W11" s="110">
        <f>IFERROR(__xludf.DUMMYFUNCTION("""COMPUTED_VALUE"""),255.16)</f>
        <v>255.16</v>
      </c>
      <c r="X11" s="110">
        <f>IFERROR(__xludf.DUMMYFUNCTION("""COMPUTED_VALUE"""),2682.6)</f>
        <v>2682.6</v>
      </c>
      <c r="Y11" s="110">
        <f>IFERROR(__xludf.DUMMYFUNCTION("""COMPUTED_VALUE"""),69.3)</f>
        <v>69.3</v>
      </c>
      <c r="Z11" s="110">
        <f>IFERROR(__xludf.DUMMYFUNCTION("""COMPUTED_VALUE"""),56.7)</f>
        <v>56.7</v>
      </c>
      <c r="AA11" s="110">
        <f>IFERROR(__xludf.DUMMYFUNCTION("""COMPUTED_VALUE"""),104.92)</f>
        <v>104.92</v>
      </c>
      <c r="AB11" s="110">
        <f>IFERROR(__xludf.DUMMYFUNCTION("""COMPUTED_VALUE"""),4.93)</f>
        <v>4.93</v>
      </c>
      <c r="AC11" s="110">
        <f>IFERROR(__xludf.DUMMYFUNCTION("""COMPUTED_VALUE"""),70.41)</f>
        <v>70.41</v>
      </c>
      <c r="AD11" s="108"/>
      <c r="AE11" s="108"/>
      <c r="AF11" s="108"/>
      <c r="AG11" s="108"/>
      <c r="AH11" s="108"/>
      <c r="AI11" s="108"/>
      <c r="AJ11" s="108"/>
      <c r="AK11" s="108"/>
      <c r="AL11" s="108"/>
      <c r="AM11" s="108"/>
      <c r="AN11" s="108"/>
      <c r="AO11" s="108"/>
      <c r="AP11" s="108"/>
      <c r="AQ11" s="108"/>
      <c r="AR11" s="109"/>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row>
    <row r="12">
      <c r="A12" s="106">
        <f>IFERROR(__xludf.DUMMYFUNCTION("""COMPUTED_VALUE"""),44604.0)</f>
        <v>44604</v>
      </c>
      <c r="B12" s="110">
        <f>IFERROR(__xludf.DUMMYFUNCTION("""COMPUTED_VALUE"""),3065.87)</f>
        <v>3065.87</v>
      </c>
      <c r="C12" s="110">
        <f>IFERROR(__xludf.DUMMYFUNCTION("""COMPUTED_VALUE"""),219.55)</f>
        <v>219.55</v>
      </c>
      <c r="D12" s="110">
        <f>IFERROR(__xludf.DUMMYFUNCTION("""COMPUTED_VALUE"""),860.0)</f>
        <v>860</v>
      </c>
      <c r="E12" s="110">
        <f>IFERROR(__xludf.DUMMYFUNCTION("""COMPUTED_VALUE"""),477.0)</f>
        <v>477</v>
      </c>
      <c r="F12" s="110">
        <f>IFERROR(__xludf.DUMMYFUNCTION("""COMPUTED_VALUE"""),9.95)</f>
        <v>9.95</v>
      </c>
      <c r="G12" s="110">
        <f>IFERROR(__xludf.DUMMYFUNCTION("""COMPUTED_VALUE"""),168.64)</f>
        <v>168.64</v>
      </c>
      <c r="H12" s="110">
        <f>IFERROR(__xludf.DUMMYFUNCTION("""COMPUTED_VALUE"""),6.4)</f>
        <v>6.4</v>
      </c>
      <c r="I12" s="110">
        <f>IFERROR(__xludf.DUMMYFUNCTION("""COMPUTED_VALUE"""),8.6)</f>
        <v>8.6</v>
      </c>
      <c r="J12" s="110">
        <f>IFERROR(__xludf.DUMMYFUNCTION("""COMPUTED_VALUE"""),3.55)</f>
        <v>3.55</v>
      </c>
      <c r="K12" s="110">
        <f>IFERROR(__xludf.DUMMYFUNCTION("""COMPUTED_VALUE"""),43.2)</f>
        <v>43.2</v>
      </c>
      <c r="L12" s="110">
        <f>IFERROR(__xludf.DUMMYFUNCTION("""COMPUTED_VALUE"""),227.8)</f>
        <v>227.8</v>
      </c>
      <c r="M12" s="110">
        <f>IFERROR(__xludf.DUMMYFUNCTION("""COMPUTED_VALUE"""),42397.91)</f>
        <v>42397.91</v>
      </c>
      <c r="N12" s="110">
        <f>IFERROR(__xludf.DUMMYFUNCTION("""COMPUTED_VALUE"""),391.31)</f>
        <v>391.31</v>
      </c>
      <c r="O12" s="110">
        <f>IFERROR(__xludf.DUMMYFUNCTION("""COMPUTED_VALUE"""),295.04)</f>
        <v>295.04</v>
      </c>
      <c r="P12" s="110">
        <f>IFERROR(__xludf.DUMMYFUNCTION("""COMPUTED_VALUE"""),28.1)</f>
        <v>28.1</v>
      </c>
      <c r="Q12" s="110">
        <f>IFERROR(__xludf.DUMMYFUNCTION("""COMPUTED_VALUE"""),25.1)</f>
        <v>25.1</v>
      </c>
      <c r="R12" s="110">
        <f>IFERROR(__xludf.DUMMYFUNCTION("""COMPUTED_VALUE"""),73.98)</f>
        <v>73.98</v>
      </c>
      <c r="S12" s="110">
        <f>IFERROR(__xludf.DUMMYFUNCTION("""COMPUTED_VALUE"""),29.61)</f>
        <v>29.61</v>
      </c>
      <c r="T12" s="110">
        <f>IFERROR(__xludf.DUMMYFUNCTION("""COMPUTED_VALUE"""),37.27)</f>
        <v>37.27</v>
      </c>
      <c r="U12" s="110">
        <f>IFERROR(__xludf.DUMMYFUNCTION("""COMPUTED_VALUE"""),45.46)</f>
        <v>45.46</v>
      </c>
      <c r="V12" s="110">
        <f>IFERROR(__xludf.DUMMYFUNCTION("""COMPUTED_VALUE"""),14.44)</f>
        <v>14.44</v>
      </c>
      <c r="W12" s="110">
        <f>IFERROR(__xludf.DUMMYFUNCTION("""COMPUTED_VALUE"""),255.16)</f>
        <v>255.16</v>
      </c>
      <c r="X12" s="110">
        <f>IFERROR(__xludf.DUMMYFUNCTION("""COMPUTED_VALUE"""),2682.6)</f>
        <v>2682.6</v>
      </c>
      <c r="Y12" s="110">
        <f>IFERROR(__xludf.DUMMYFUNCTION("""COMPUTED_VALUE"""),69.3)</f>
        <v>69.3</v>
      </c>
      <c r="Z12" s="110">
        <f>IFERROR(__xludf.DUMMYFUNCTION("""COMPUTED_VALUE"""),56.7)</f>
        <v>56.7</v>
      </c>
      <c r="AA12" s="110">
        <f>IFERROR(__xludf.DUMMYFUNCTION("""COMPUTED_VALUE"""),104.92)</f>
        <v>104.92</v>
      </c>
      <c r="AB12" s="110">
        <f>IFERROR(__xludf.DUMMYFUNCTION("""COMPUTED_VALUE"""),4.93)</f>
        <v>4.93</v>
      </c>
      <c r="AC12" s="110">
        <f>IFERROR(__xludf.DUMMYFUNCTION("""COMPUTED_VALUE"""),70.41)</f>
        <v>70.41</v>
      </c>
      <c r="AD12" s="108"/>
      <c r="AE12" s="108"/>
      <c r="AF12" s="108"/>
      <c r="AG12" s="108"/>
      <c r="AH12" s="108"/>
      <c r="AI12" s="108"/>
      <c r="AJ12" s="108"/>
      <c r="AK12" s="108"/>
      <c r="AL12" s="108"/>
      <c r="AM12" s="108"/>
      <c r="AN12" s="108"/>
      <c r="AO12" s="108"/>
      <c r="AP12" s="108"/>
      <c r="AQ12" s="108"/>
      <c r="AR12" s="109"/>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row>
    <row r="13">
      <c r="A13" s="106">
        <f>IFERROR(__xludf.DUMMYFUNCTION("""COMPUTED_VALUE"""),44605.0)</f>
        <v>44605</v>
      </c>
      <c r="B13" s="110">
        <f>IFERROR(__xludf.DUMMYFUNCTION("""COMPUTED_VALUE"""),3065.87)</f>
        <v>3065.87</v>
      </c>
      <c r="C13" s="110">
        <f>IFERROR(__xludf.DUMMYFUNCTION("""COMPUTED_VALUE"""),219.55)</f>
        <v>219.55</v>
      </c>
      <c r="D13" s="110">
        <f>IFERROR(__xludf.DUMMYFUNCTION("""COMPUTED_VALUE"""),860.0)</f>
        <v>860</v>
      </c>
      <c r="E13" s="110">
        <f>IFERROR(__xludf.DUMMYFUNCTION("""COMPUTED_VALUE"""),477.0)</f>
        <v>477</v>
      </c>
      <c r="F13" s="110">
        <f>IFERROR(__xludf.DUMMYFUNCTION("""COMPUTED_VALUE"""),9.95)</f>
        <v>9.95</v>
      </c>
      <c r="G13" s="110">
        <f>IFERROR(__xludf.DUMMYFUNCTION("""COMPUTED_VALUE"""),168.64)</f>
        <v>168.64</v>
      </c>
      <c r="H13" s="110">
        <f>IFERROR(__xludf.DUMMYFUNCTION("""COMPUTED_VALUE"""),6.4)</f>
        <v>6.4</v>
      </c>
      <c r="I13" s="110">
        <f>IFERROR(__xludf.DUMMYFUNCTION("""COMPUTED_VALUE"""),8.6)</f>
        <v>8.6</v>
      </c>
      <c r="J13" s="110">
        <f>IFERROR(__xludf.DUMMYFUNCTION("""COMPUTED_VALUE"""),3.55)</f>
        <v>3.55</v>
      </c>
      <c r="K13" s="110">
        <f>IFERROR(__xludf.DUMMYFUNCTION("""COMPUTED_VALUE"""),43.2)</f>
        <v>43.2</v>
      </c>
      <c r="L13" s="110">
        <f>IFERROR(__xludf.DUMMYFUNCTION("""COMPUTED_VALUE"""),227.8)</f>
        <v>227.8</v>
      </c>
      <c r="M13" s="110">
        <f>IFERROR(__xludf.DUMMYFUNCTION("""COMPUTED_VALUE"""),42397.91)</f>
        <v>42397.91</v>
      </c>
      <c r="N13" s="110">
        <f>IFERROR(__xludf.DUMMYFUNCTION("""COMPUTED_VALUE"""),391.31)</f>
        <v>391.31</v>
      </c>
      <c r="O13" s="110">
        <f>IFERROR(__xludf.DUMMYFUNCTION("""COMPUTED_VALUE"""),295.04)</f>
        <v>295.04</v>
      </c>
      <c r="P13" s="110">
        <f>IFERROR(__xludf.DUMMYFUNCTION("""COMPUTED_VALUE"""),28.1)</f>
        <v>28.1</v>
      </c>
      <c r="Q13" s="110">
        <f>IFERROR(__xludf.DUMMYFUNCTION("""COMPUTED_VALUE"""),25.1)</f>
        <v>25.1</v>
      </c>
      <c r="R13" s="110">
        <f>IFERROR(__xludf.DUMMYFUNCTION("""COMPUTED_VALUE"""),73.98)</f>
        <v>73.98</v>
      </c>
      <c r="S13" s="110">
        <f>IFERROR(__xludf.DUMMYFUNCTION("""COMPUTED_VALUE"""),29.61)</f>
        <v>29.61</v>
      </c>
      <c r="T13" s="110">
        <f>IFERROR(__xludf.DUMMYFUNCTION("""COMPUTED_VALUE"""),37.27)</f>
        <v>37.27</v>
      </c>
      <c r="U13" s="110">
        <f>IFERROR(__xludf.DUMMYFUNCTION("""COMPUTED_VALUE"""),45.46)</f>
        <v>45.46</v>
      </c>
      <c r="V13" s="110">
        <f>IFERROR(__xludf.DUMMYFUNCTION("""COMPUTED_VALUE"""),14.44)</f>
        <v>14.44</v>
      </c>
      <c r="W13" s="110">
        <f>IFERROR(__xludf.DUMMYFUNCTION("""COMPUTED_VALUE"""),255.16)</f>
        <v>255.16</v>
      </c>
      <c r="X13" s="110">
        <f>IFERROR(__xludf.DUMMYFUNCTION("""COMPUTED_VALUE"""),2682.6)</f>
        <v>2682.6</v>
      </c>
      <c r="Y13" s="110">
        <f>IFERROR(__xludf.DUMMYFUNCTION("""COMPUTED_VALUE"""),69.3)</f>
        <v>69.3</v>
      </c>
      <c r="Z13" s="110">
        <f>IFERROR(__xludf.DUMMYFUNCTION("""COMPUTED_VALUE"""),56.7)</f>
        <v>56.7</v>
      </c>
      <c r="AA13" s="110">
        <f>IFERROR(__xludf.DUMMYFUNCTION("""COMPUTED_VALUE"""),104.92)</f>
        <v>104.92</v>
      </c>
      <c r="AB13" s="110">
        <f>IFERROR(__xludf.DUMMYFUNCTION("""COMPUTED_VALUE"""),4.93)</f>
        <v>4.93</v>
      </c>
      <c r="AC13" s="110">
        <f>IFERROR(__xludf.DUMMYFUNCTION("""COMPUTED_VALUE"""),70.41)</f>
        <v>70.41</v>
      </c>
      <c r="AD13" s="108"/>
      <c r="AE13" s="108"/>
      <c r="AF13" s="108"/>
      <c r="AG13" s="108"/>
      <c r="AH13" s="108"/>
      <c r="AI13" s="108"/>
      <c r="AJ13" s="108"/>
      <c r="AK13" s="108"/>
      <c r="AL13" s="108"/>
      <c r="AM13" s="108"/>
      <c r="AN13" s="108"/>
      <c r="AO13" s="108"/>
      <c r="AP13" s="108"/>
      <c r="AQ13" s="108"/>
      <c r="AR13" s="109"/>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c r="DE13" s="108"/>
      <c r="DF13" s="108"/>
      <c r="DG13" s="108"/>
      <c r="DH13" s="108"/>
      <c r="DI13" s="108"/>
      <c r="DJ13" s="108"/>
      <c r="DK13" s="108"/>
      <c r="DL13" s="108"/>
      <c r="DM13" s="108"/>
      <c r="DN13" s="108"/>
      <c r="DO13" s="108"/>
      <c r="DP13" s="108"/>
      <c r="DQ13" s="108"/>
      <c r="DR13" s="108"/>
      <c r="DS13" s="108"/>
      <c r="DT13" s="108"/>
      <c r="DU13" s="108"/>
      <c r="DV13" s="108"/>
      <c r="DW13" s="108"/>
      <c r="DX13" s="108"/>
      <c r="DY13" s="108"/>
      <c r="DZ13" s="108"/>
      <c r="EA13" s="108"/>
      <c r="EB13" s="108"/>
      <c r="EC13" s="108"/>
      <c r="ED13" s="108"/>
      <c r="EE13" s="108"/>
      <c r="EF13" s="108"/>
      <c r="EG13" s="108"/>
      <c r="EH13" s="108"/>
      <c r="EI13" s="108"/>
      <c r="EJ13" s="108"/>
      <c r="EK13" s="108"/>
      <c r="EL13" s="108"/>
      <c r="EM13" s="108"/>
      <c r="EN13" s="108"/>
      <c r="EO13" s="108"/>
      <c r="EP13" s="108"/>
      <c r="EQ13" s="108"/>
      <c r="ER13" s="108"/>
      <c r="ES13" s="108"/>
      <c r="ET13" s="108"/>
      <c r="EU13" s="108"/>
      <c r="EV13" s="108"/>
      <c r="EW13" s="108"/>
      <c r="EX13" s="108"/>
      <c r="EY13" s="108"/>
      <c r="EZ13" s="108"/>
      <c r="FA13" s="108"/>
      <c r="FB13" s="108"/>
      <c r="FC13" s="108"/>
      <c r="FD13" s="108"/>
      <c r="FE13" s="108"/>
      <c r="FF13" s="108"/>
      <c r="FG13" s="108"/>
      <c r="FH13" s="108"/>
      <c r="FI13" s="108"/>
      <c r="FJ13" s="108"/>
      <c r="FK13" s="108"/>
      <c r="FL13" s="108"/>
      <c r="FM13" s="108"/>
      <c r="FN13" s="108"/>
      <c r="FO13" s="108"/>
    </row>
    <row r="14">
      <c r="A14" s="106">
        <f>IFERROR(__xludf.DUMMYFUNCTION("""COMPUTED_VALUE"""),44606.0)</f>
        <v>44606</v>
      </c>
      <c r="B14" s="110">
        <f>IFERROR(__xludf.DUMMYFUNCTION("""COMPUTED_VALUE"""),3103.34)</f>
        <v>3103.34</v>
      </c>
      <c r="C14" s="110">
        <f>IFERROR(__xludf.DUMMYFUNCTION("""COMPUTED_VALUE"""),217.7)</f>
        <v>217.7</v>
      </c>
      <c r="D14" s="110">
        <f>IFERROR(__xludf.DUMMYFUNCTION("""COMPUTED_VALUE"""),875.76)</f>
        <v>875.76</v>
      </c>
      <c r="E14" s="110">
        <f>IFERROR(__xludf.DUMMYFUNCTION("""COMPUTED_VALUE"""),472.0)</f>
        <v>472</v>
      </c>
      <c r="F14" s="110">
        <f>IFERROR(__xludf.DUMMYFUNCTION("""COMPUTED_VALUE"""),9.96)</f>
        <v>9.96</v>
      </c>
      <c r="G14" s="110">
        <f>IFERROR(__xludf.DUMMYFUNCTION("""COMPUTED_VALUE"""),168.88)</f>
        <v>168.88</v>
      </c>
      <c r="H14" s="110">
        <f>IFERROR(__xludf.DUMMYFUNCTION("""COMPUTED_VALUE"""),7.35)</f>
        <v>7.35</v>
      </c>
      <c r="I14" s="110">
        <f>IFERROR(__xludf.DUMMYFUNCTION("""COMPUTED_VALUE"""),9.55)</f>
        <v>9.55</v>
      </c>
      <c r="J14" s="110">
        <f>IFERROR(__xludf.DUMMYFUNCTION("""COMPUTED_VALUE"""),3.55)</f>
        <v>3.55</v>
      </c>
      <c r="K14" s="110">
        <f>IFERROR(__xludf.DUMMYFUNCTION("""COMPUTED_VALUE"""),41.25)</f>
        <v>41.25</v>
      </c>
      <c r="L14" s="110">
        <f>IFERROR(__xludf.DUMMYFUNCTION("""COMPUTED_VALUE"""),219.6)</f>
        <v>219.6</v>
      </c>
      <c r="M14" s="110">
        <f>IFERROR(__xludf.DUMMYFUNCTION("""COMPUTED_VALUE"""),42616.605)</f>
        <v>42616.605</v>
      </c>
      <c r="N14" s="110">
        <f>IFERROR(__xludf.DUMMYFUNCTION("""COMPUTED_VALUE"""),396.57)</f>
        <v>396.57</v>
      </c>
      <c r="O14" s="110">
        <f>IFERROR(__xludf.DUMMYFUNCTION("""COMPUTED_VALUE"""),295.0)</f>
        <v>295</v>
      </c>
      <c r="P14" s="110">
        <f>IFERROR(__xludf.DUMMYFUNCTION("""COMPUTED_VALUE"""),28.07)</f>
        <v>28.07</v>
      </c>
      <c r="Q14" s="110">
        <f>IFERROR(__xludf.DUMMYFUNCTION("""COMPUTED_VALUE"""),24.99)</f>
        <v>24.99</v>
      </c>
      <c r="R14" s="110">
        <f>IFERROR(__xludf.DUMMYFUNCTION("""COMPUTED_VALUE"""),74.45)</f>
        <v>74.45</v>
      </c>
      <c r="S14" s="110">
        <f>IFERROR(__xludf.DUMMYFUNCTION("""COMPUTED_VALUE"""),29.45)</f>
        <v>29.45</v>
      </c>
      <c r="T14" s="110">
        <f>IFERROR(__xludf.DUMMYFUNCTION("""COMPUTED_VALUE"""),37.01)</f>
        <v>37.01</v>
      </c>
      <c r="U14" s="110">
        <f>IFERROR(__xludf.DUMMYFUNCTION("""COMPUTED_VALUE"""),44.65)</f>
        <v>44.65</v>
      </c>
      <c r="V14" s="110">
        <f>IFERROR(__xludf.DUMMYFUNCTION("""COMPUTED_VALUE"""),14.16)</f>
        <v>14.16</v>
      </c>
      <c r="W14" s="110">
        <f>IFERROR(__xludf.DUMMYFUNCTION("""COMPUTED_VALUE"""),253.39)</f>
        <v>253.39</v>
      </c>
      <c r="X14" s="110">
        <f>IFERROR(__xludf.DUMMYFUNCTION("""COMPUTED_VALUE"""),2706.0)</f>
        <v>2706</v>
      </c>
      <c r="Y14" s="110">
        <f>IFERROR(__xludf.DUMMYFUNCTION("""COMPUTED_VALUE"""),66.65)</f>
        <v>66.65</v>
      </c>
      <c r="Z14" s="110">
        <f>IFERROR(__xludf.DUMMYFUNCTION("""COMPUTED_VALUE"""),56.0)</f>
        <v>56</v>
      </c>
      <c r="AA14" s="110">
        <f>IFERROR(__xludf.DUMMYFUNCTION("""COMPUTED_VALUE"""),105.56)</f>
        <v>105.56</v>
      </c>
      <c r="AB14" s="110">
        <f>IFERROR(__xludf.DUMMYFUNCTION("""COMPUTED_VALUE"""),4.88)</f>
        <v>4.88</v>
      </c>
      <c r="AC14" s="110">
        <f>IFERROR(__xludf.DUMMYFUNCTION("""COMPUTED_VALUE"""),68.75)</f>
        <v>68.75</v>
      </c>
      <c r="AD14" s="110">
        <f>IFERROR(__xludf.DUMMYFUNCTION("""COMPUTED_VALUE"""),12.34)</f>
        <v>12.34</v>
      </c>
      <c r="AE14" s="110">
        <f>IFERROR(__xludf.DUMMYFUNCTION("""COMPUTED_VALUE"""),6.63)</f>
        <v>6.63</v>
      </c>
      <c r="AF14" s="110">
        <f>IFERROR(__xludf.DUMMYFUNCTION("""COMPUTED_VALUE"""),50.44)</f>
        <v>50.44</v>
      </c>
      <c r="AG14" s="108"/>
      <c r="AH14" s="108"/>
      <c r="AI14" s="108"/>
      <c r="AJ14" s="108"/>
      <c r="AK14" s="108"/>
      <c r="AL14" s="108"/>
      <c r="AM14" s="108"/>
      <c r="AN14" s="108"/>
      <c r="AO14" s="108"/>
      <c r="AP14" s="108"/>
      <c r="AQ14" s="108"/>
      <c r="AR14" s="109"/>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108"/>
      <c r="EH14" s="108"/>
      <c r="EI14" s="108"/>
      <c r="EJ14" s="108"/>
      <c r="EK14" s="108"/>
      <c r="EL14" s="108"/>
      <c r="EM14" s="108"/>
      <c r="EN14" s="108"/>
      <c r="EO14" s="108"/>
      <c r="EP14" s="108"/>
      <c r="EQ14" s="108"/>
      <c r="ER14" s="108"/>
      <c r="ES14" s="108"/>
      <c r="ET14" s="108"/>
      <c r="EU14" s="108"/>
      <c r="EV14" s="108"/>
      <c r="EW14" s="108"/>
      <c r="EX14" s="108"/>
      <c r="EY14" s="108"/>
      <c r="EZ14" s="108"/>
      <c r="FA14" s="108"/>
      <c r="FB14" s="108"/>
      <c r="FC14" s="108"/>
      <c r="FD14" s="108"/>
      <c r="FE14" s="108"/>
      <c r="FF14" s="108"/>
      <c r="FG14" s="108"/>
      <c r="FH14" s="108"/>
      <c r="FI14" s="108"/>
      <c r="FJ14" s="108"/>
      <c r="FK14" s="108"/>
      <c r="FL14" s="108"/>
      <c r="FM14" s="108"/>
      <c r="FN14" s="108"/>
      <c r="FO14" s="108"/>
    </row>
    <row r="15">
      <c r="A15" s="106">
        <f>IFERROR(__xludf.DUMMYFUNCTION("""COMPUTED_VALUE"""),44607.0)</f>
        <v>44607</v>
      </c>
      <c r="B15" s="110">
        <f>IFERROR(__xludf.DUMMYFUNCTION("""COMPUTED_VALUE"""),3130.21)</f>
        <v>3130.21</v>
      </c>
      <c r="C15" s="110">
        <f>IFERROR(__xludf.DUMMYFUNCTION("""COMPUTED_VALUE"""),221.0)</f>
        <v>221</v>
      </c>
      <c r="D15" s="110">
        <f>IFERROR(__xludf.DUMMYFUNCTION("""COMPUTED_VALUE"""),922.43)</f>
        <v>922.43</v>
      </c>
      <c r="E15" s="110">
        <f>IFERROR(__xludf.DUMMYFUNCTION("""COMPUTED_VALUE"""),470.0)</f>
        <v>470</v>
      </c>
      <c r="F15" s="110">
        <f>IFERROR(__xludf.DUMMYFUNCTION("""COMPUTED_VALUE"""),9.7)</f>
        <v>9.7</v>
      </c>
      <c r="G15" s="110">
        <f>IFERROR(__xludf.DUMMYFUNCTION("""COMPUTED_VALUE"""),172.79)</f>
        <v>172.79</v>
      </c>
      <c r="H15" s="110">
        <f>IFERROR(__xludf.DUMMYFUNCTION("""COMPUTED_VALUE"""),5.33)</f>
        <v>5.33</v>
      </c>
      <c r="I15" s="110">
        <f>IFERROR(__xludf.DUMMYFUNCTION("""COMPUTED_VALUE"""),7.3)</f>
        <v>7.3</v>
      </c>
      <c r="J15" s="110">
        <f>IFERROR(__xludf.DUMMYFUNCTION("""COMPUTED_VALUE"""),3.44)</f>
        <v>3.44</v>
      </c>
      <c r="K15" s="110">
        <f>IFERROR(__xludf.DUMMYFUNCTION("""COMPUTED_VALUE"""),40.8)</f>
        <v>40.8</v>
      </c>
      <c r="L15" s="110">
        <f>IFERROR(__xludf.DUMMYFUNCTION("""COMPUTED_VALUE"""),214.0)</f>
        <v>214</v>
      </c>
      <c r="M15" s="110">
        <f>IFERROR(__xludf.DUMMYFUNCTION("""COMPUTED_VALUE"""),44246.695)</f>
        <v>44246.695</v>
      </c>
      <c r="N15" s="110">
        <f>IFERROR(__xludf.DUMMYFUNCTION("""COMPUTED_VALUE"""),407.46)</f>
        <v>407.46</v>
      </c>
      <c r="O15" s="110">
        <f>IFERROR(__xludf.DUMMYFUNCTION("""COMPUTED_VALUE"""),300.47)</f>
        <v>300.47</v>
      </c>
      <c r="P15" s="110">
        <f>IFERROR(__xludf.DUMMYFUNCTION("""COMPUTED_VALUE"""),29.03)</f>
        <v>29.03</v>
      </c>
      <c r="Q15" s="110">
        <f>IFERROR(__xludf.DUMMYFUNCTION("""COMPUTED_VALUE"""),25.28)</f>
        <v>25.28</v>
      </c>
      <c r="R15" s="110">
        <f>IFERROR(__xludf.DUMMYFUNCTION("""COMPUTED_VALUE"""),76.13)</f>
        <v>76.13</v>
      </c>
      <c r="S15" s="110">
        <f>IFERROR(__xludf.DUMMYFUNCTION("""COMPUTED_VALUE"""),31.29)</f>
        <v>31.29</v>
      </c>
      <c r="T15" s="110">
        <f>IFERROR(__xludf.DUMMYFUNCTION("""COMPUTED_VALUE"""),40.06)</f>
        <v>40.06</v>
      </c>
      <c r="U15" s="110">
        <f>IFERROR(__xludf.DUMMYFUNCTION("""COMPUTED_VALUE"""),45.08)</f>
        <v>45.08</v>
      </c>
      <c r="V15" s="110">
        <f>IFERROR(__xludf.DUMMYFUNCTION("""COMPUTED_VALUE"""),14.05)</f>
        <v>14.05</v>
      </c>
      <c r="W15" s="110">
        <f>IFERROR(__xludf.DUMMYFUNCTION("""COMPUTED_VALUE"""),253.81)</f>
        <v>253.81</v>
      </c>
      <c r="X15" s="110">
        <f>IFERROR(__xludf.DUMMYFUNCTION("""COMPUTED_VALUE"""),2728.51)</f>
        <v>2728.51</v>
      </c>
      <c r="Y15" s="110">
        <f>IFERROR(__xludf.DUMMYFUNCTION("""COMPUTED_VALUE"""),64.3)</f>
        <v>64.3</v>
      </c>
      <c r="Z15" s="110">
        <f>IFERROR(__xludf.DUMMYFUNCTION("""COMPUTED_VALUE"""),61.65)</f>
        <v>61.65</v>
      </c>
      <c r="AA15" s="110">
        <f>IFERROR(__xludf.DUMMYFUNCTION("""COMPUTED_VALUE"""),115.35)</f>
        <v>115.35</v>
      </c>
      <c r="AB15" s="110">
        <f>IFERROR(__xludf.DUMMYFUNCTION("""COMPUTED_VALUE"""),4.75)</f>
        <v>4.75</v>
      </c>
      <c r="AC15" s="110">
        <f>IFERROR(__xludf.DUMMYFUNCTION("""COMPUTED_VALUE"""),68.03)</f>
        <v>68.03</v>
      </c>
      <c r="AD15" s="110">
        <f>IFERROR(__xludf.DUMMYFUNCTION("""COMPUTED_VALUE"""),12.43)</f>
        <v>12.43</v>
      </c>
      <c r="AE15" s="110">
        <f>IFERROR(__xludf.DUMMYFUNCTION("""COMPUTED_VALUE"""),6.4)</f>
        <v>6.4</v>
      </c>
      <c r="AF15" s="110">
        <f>IFERROR(__xludf.DUMMYFUNCTION("""COMPUTED_VALUE"""),48.49)</f>
        <v>48.49</v>
      </c>
      <c r="AG15" s="110">
        <f>IFERROR(__xludf.DUMMYFUNCTION("""COMPUTED_VALUE"""),18.88)</f>
        <v>18.88</v>
      </c>
      <c r="AH15" s="110">
        <f>IFERROR(__xludf.DUMMYFUNCTION("""COMPUTED_VALUE"""),2.09)</f>
        <v>2.09</v>
      </c>
      <c r="AI15" s="110">
        <f>IFERROR(__xludf.DUMMYFUNCTION("""COMPUTED_VALUE"""),3.49)</f>
        <v>3.49</v>
      </c>
      <c r="AJ15" s="110">
        <f>IFERROR(__xludf.DUMMYFUNCTION("""COMPUTED_VALUE"""),127.2)</f>
        <v>127.2</v>
      </c>
      <c r="AK15" s="110">
        <f>IFERROR(__xludf.DUMMYFUNCTION("""COMPUTED_VALUE"""),264.95)</f>
        <v>264.95</v>
      </c>
      <c r="AL15" s="110">
        <f>IFERROR(__xludf.DUMMYFUNCTION("""COMPUTED_VALUE"""),16.28)</f>
        <v>16.28</v>
      </c>
      <c r="AM15" s="110">
        <f>IFERROR(__xludf.DUMMYFUNCTION("""COMPUTED_VALUE"""),47.79)</f>
        <v>47.79</v>
      </c>
      <c r="AN15" s="110">
        <f>IFERROR(__xludf.DUMMYFUNCTION("""COMPUTED_VALUE"""),316.2)</f>
        <v>316.2</v>
      </c>
      <c r="AO15" s="110">
        <f>IFERROR(__xludf.DUMMYFUNCTION("""COMPUTED_VALUE"""),108.46)</f>
        <v>108.46</v>
      </c>
      <c r="AP15" s="110">
        <f>IFERROR(__xludf.DUMMYFUNCTION("""COMPUTED_VALUE"""),81.52)</f>
        <v>81.52</v>
      </c>
      <c r="AQ15" s="110">
        <f>IFERROR(__xludf.DUMMYFUNCTION("""COMPUTED_VALUE"""),61.07)</f>
        <v>61.07</v>
      </c>
      <c r="AR15" s="109">
        <f>IFERROR(__xludf.DUMMYFUNCTION("""COMPUTED_VALUE"""),104.756)</f>
        <v>104.756</v>
      </c>
      <c r="AS15" s="110">
        <f>IFERROR(__xludf.DUMMYFUNCTION("""COMPUTED_VALUE"""),14.89)</f>
        <v>14.89</v>
      </c>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c r="FJ15" s="108"/>
      <c r="FK15" s="108"/>
      <c r="FL15" s="108"/>
      <c r="FM15" s="108"/>
      <c r="FN15" s="108"/>
      <c r="FO15" s="108"/>
    </row>
    <row r="16">
      <c r="A16" s="106">
        <f>IFERROR(__xludf.DUMMYFUNCTION("""COMPUTED_VALUE"""),44608.0)</f>
        <v>44608</v>
      </c>
      <c r="B16" s="110">
        <f>IFERROR(__xludf.DUMMYFUNCTION("""COMPUTED_VALUE"""),3162.01)</f>
        <v>3162.01</v>
      </c>
      <c r="C16" s="110">
        <f>IFERROR(__xludf.DUMMYFUNCTION("""COMPUTED_VALUE"""),216.54)</f>
        <v>216.54</v>
      </c>
      <c r="D16" s="110">
        <f>IFERROR(__xludf.DUMMYFUNCTION("""COMPUTED_VALUE"""),923.39)</f>
        <v>923.39</v>
      </c>
      <c r="E16" s="110">
        <f>IFERROR(__xludf.DUMMYFUNCTION("""COMPUTED_VALUE"""),476.2)</f>
        <v>476.2</v>
      </c>
      <c r="F16" s="110">
        <f>IFERROR(__xludf.DUMMYFUNCTION("""COMPUTED_VALUE"""),9.82)</f>
        <v>9.82</v>
      </c>
      <c r="G16" s="110">
        <f>IFERROR(__xludf.DUMMYFUNCTION("""COMPUTED_VALUE"""),172.55)</f>
        <v>172.55</v>
      </c>
      <c r="H16" s="110">
        <f>IFERROR(__xludf.DUMMYFUNCTION("""COMPUTED_VALUE"""),4.9)</f>
        <v>4.9</v>
      </c>
      <c r="I16" s="110">
        <f>IFERROR(__xludf.DUMMYFUNCTION("""COMPUTED_VALUE"""),7.78)</f>
        <v>7.78</v>
      </c>
      <c r="J16" s="110">
        <f>IFERROR(__xludf.DUMMYFUNCTION("""COMPUTED_VALUE"""),3.32)</f>
        <v>3.32</v>
      </c>
      <c r="K16" s="110">
        <f>IFERROR(__xludf.DUMMYFUNCTION("""COMPUTED_VALUE"""),44.5)</f>
        <v>44.5</v>
      </c>
      <c r="L16" s="110">
        <f>IFERROR(__xludf.DUMMYFUNCTION("""COMPUTED_VALUE"""),219.4)</f>
        <v>219.4</v>
      </c>
      <c r="M16" s="110">
        <f>IFERROR(__xludf.DUMMYFUNCTION("""COMPUTED_VALUE"""),43921.59)</f>
        <v>43921.59</v>
      </c>
      <c r="N16" s="110">
        <f>IFERROR(__xludf.DUMMYFUNCTION("""COMPUTED_VALUE"""),398.08)</f>
        <v>398.08</v>
      </c>
      <c r="O16" s="110">
        <f>IFERROR(__xludf.DUMMYFUNCTION("""COMPUTED_VALUE"""),299.5)</f>
        <v>299.5</v>
      </c>
      <c r="P16" s="110">
        <f>IFERROR(__xludf.DUMMYFUNCTION("""COMPUTED_VALUE"""),28.8)</f>
        <v>28.8</v>
      </c>
      <c r="Q16" s="110">
        <f>IFERROR(__xludf.DUMMYFUNCTION("""COMPUTED_VALUE"""),25.24)</f>
        <v>25.24</v>
      </c>
      <c r="R16" s="110">
        <f>IFERROR(__xludf.DUMMYFUNCTION("""COMPUTED_VALUE"""),75.3)</f>
        <v>75.3</v>
      </c>
      <c r="S16" s="110">
        <f>IFERROR(__xludf.DUMMYFUNCTION("""COMPUTED_VALUE"""),31.12)</f>
        <v>31.12</v>
      </c>
      <c r="T16" s="110">
        <f>IFERROR(__xludf.DUMMYFUNCTION("""COMPUTED_VALUE"""),39.15)</f>
        <v>39.15</v>
      </c>
      <c r="U16" s="110">
        <f>IFERROR(__xludf.DUMMYFUNCTION("""COMPUTED_VALUE"""),45.17)</f>
        <v>45.17</v>
      </c>
      <c r="V16" s="110">
        <f>IFERROR(__xludf.DUMMYFUNCTION("""COMPUTED_VALUE"""),14.0)</f>
        <v>14</v>
      </c>
      <c r="W16" s="110">
        <f>IFERROR(__xludf.DUMMYFUNCTION("""COMPUTED_VALUE"""),253.09)</f>
        <v>253.09</v>
      </c>
      <c r="X16" s="110">
        <f>IFERROR(__xludf.DUMMYFUNCTION("""COMPUTED_VALUE"""),2749.75)</f>
        <v>2749.75</v>
      </c>
      <c r="Y16" s="110">
        <f>IFERROR(__xludf.DUMMYFUNCTION("""COMPUTED_VALUE"""),66.55)</f>
        <v>66.55</v>
      </c>
      <c r="Z16" s="110">
        <f>IFERROR(__xludf.DUMMYFUNCTION("""COMPUTED_VALUE"""),61.1)</f>
        <v>61.1</v>
      </c>
      <c r="AA16" s="110">
        <f>IFERROR(__xludf.DUMMYFUNCTION("""COMPUTED_VALUE"""),111.99)</f>
        <v>111.99</v>
      </c>
      <c r="AB16" s="110">
        <f>IFERROR(__xludf.DUMMYFUNCTION("""COMPUTED_VALUE"""),4.76)</f>
        <v>4.76</v>
      </c>
      <c r="AC16" s="110">
        <f>IFERROR(__xludf.DUMMYFUNCTION("""COMPUTED_VALUE"""),68.58)</f>
        <v>68.58</v>
      </c>
      <c r="AD16" s="110">
        <f>IFERROR(__xludf.DUMMYFUNCTION("""COMPUTED_VALUE"""),12.45)</f>
        <v>12.45</v>
      </c>
      <c r="AE16" s="110">
        <f>IFERROR(__xludf.DUMMYFUNCTION("""COMPUTED_VALUE"""),6.59)</f>
        <v>6.59</v>
      </c>
      <c r="AF16" s="110">
        <f>IFERROR(__xludf.DUMMYFUNCTION("""COMPUTED_VALUE"""),45.66)</f>
        <v>45.66</v>
      </c>
      <c r="AG16" s="110">
        <f>IFERROR(__xludf.DUMMYFUNCTION("""COMPUTED_VALUE"""),20.2)</f>
        <v>20.2</v>
      </c>
      <c r="AH16" s="110">
        <f>IFERROR(__xludf.DUMMYFUNCTION("""COMPUTED_VALUE"""),2.1)</f>
        <v>2.1</v>
      </c>
      <c r="AI16" s="110">
        <f>IFERROR(__xludf.DUMMYFUNCTION("""COMPUTED_VALUE"""),3.43)</f>
        <v>3.43</v>
      </c>
      <c r="AJ16" s="110">
        <f>IFERROR(__xludf.DUMMYFUNCTION("""COMPUTED_VALUE"""),129.8)</f>
        <v>129.8</v>
      </c>
      <c r="AK16" s="110">
        <f>IFERROR(__xludf.DUMMYFUNCTION("""COMPUTED_VALUE"""),265.11)</f>
        <v>265.11</v>
      </c>
      <c r="AL16" s="110">
        <f>IFERROR(__xludf.DUMMYFUNCTION("""COMPUTED_VALUE"""),16.6)</f>
        <v>16.6</v>
      </c>
      <c r="AM16" s="110">
        <f>IFERROR(__xludf.DUMMYFUNCTION("""COMPUTED_VALUE"""),47.68)</f>
        <v>47.68</v>
      </c>
      <c r="AN16" s="110">
        <f>IFERROR(__xludf.DUMMYFUNCTION("""COMPUTED_VALUE"""),315.65)</f>
        <v>315.65</v>
      </c>
      <c r="AO16" s="110">
        <f>IFERROR(__xludf.DUMMYFUNCTION("""COMPUTED_VALUE"""),106.52)</f>
        <v>106.52</v>
      </c>
      <c r="AP16" s="110">
        <f>IFERROR(__xludf.DUMMYFUNCTION("""COMPUTED_VALUE"""),81.46)</f>
        <v>81.46</v>
      </c>
      <c r="AQ16" s="110">
        <f>IFERROR(__xludf.DUMMYFUNCTION("""COMPUTED_VALUE"""),61.01)</f>
        <v>61.01</v>
      </c>
      <c r="AR16" s="109">
        <f>IFERROR(__xludf.DUMMYFUNCTION("""COMPUTED_VALUE"""),104.791)</f>
        <v>104.791</v>
      </c>
      <c r="AS16" s="110">
        <f>IFERROR(__xludf.DUMMYFUNCTION("""COMPUTED_VALUE"""),14.03)</f>
        <v>14.03</v>
      </c>
      <c r="AT16" s="110">
        <f>IFERROR(__xludf.DUMMYFUNCTION("""COMPUTED_VALUE"""),122.5)</f>
        <v>122.5</v>
      </c>
      <c r="AU16" s="110">
        <f>IFERROR(__xludf.DUMMYFUNCTION("""COMPUTED_VALUE"""),63.55)</f>
        <v>63.55</v>
      </c>
      <c r="AV16" s="110">
        <f>IFERROR(__xludf.DUMMYFUNCTION("""COMPUTED_VALUE"""),156.35)</f>
        <v>156.35</v>
      </c>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c r="DV16" s="108"/>
      <c r="DW16" s="108"/>
      <c r="DX16" s="108"/>
      <c r="DY16" s="108"/>
      <c r="DZ16" s="108"/>
      <c r="EA16" s="108"/>
      <c r="EB16" s="108"/>
      <c r="EC16" s="108"/>
      <c r="ED16" s="108"/>
      <c r="EE16" s="108"/>
      <c r="EF16" s="108"/>
      <c r="EG16" s="108"/>
      <c r="EH16" s="108"/>
      <c r="EI16" s="108"/>
      <c r="EJ16" s="108"/>
      <c r="EK16" s="108"/>
      <c r="EL16" s="108"/>
      <c r="EM16" s="108"/>
      <c r="EN16" s="108"/>
      <c r="EO16" s="108"/>
      <c r="EP16" s="108"/>
      <c r="EQ16" s="108"/>
      <c r="ER16" s="108"/>
      <c r="ES16" s="108"/>
      <c r="ET16" s="108"/>
      <c r="EU16" s="108"/>
      <c r="EV16" s="108"/>
      <c r="EW16" s="108"/>
      <c r="EX16" s="108"/>
      <c r="EY16" s="108"/>
      <c r="EZ16" s="108"/>
      <c r="FA16" s="108"/>
      <c r="FB16" s="108"/>
      <c r="FC16" s="108"/>
      <c r="FD16" s="108"/>
      <c r="FE16" s="108"/>
      <c r="FF16" s="108"/>
      <c r="FG16" s="108"/>
      <c r="FH16" s="108"/>
      <c r="FI16" s="108"/>
      <c r="FJ16" s="108"/>
      <c r="FK16" s="108"/>
      <c r="FL16" s="108"/>
      <c r="FM16" s="108"/>
      <c r="FN16" s="108"/>
      <c r="FO16" s="108"/>
    </row>
    <row r="17">
      <c r="A17" s="106">
        <f>IFERROR(__xludf.DUMMYFUNCTION("""COMPUTED_VALUE"""),44609.0)</f>
        <v>44609</v>
      </c>
      <c r="B17" s="110">
        <f>IFERROR(__xludf.DUMMYFUNCTION("""COMPUTED_VALUE"""),3093.05)</f>
        <v>3093.05</v>
      </c>
      <c r="C17" s="110">
        <f>IFERROR(__xludf.DUMMYFUNCTION("""COMPUTED_VALUE"""),207.71)</f>
        <v>207.71</v>
      </c>
      <c r="D17" s="110">
        <f>IFERROR(__xludf.DUMMYFUNCTION("""COMPUTED_VALUE"""),876.35)</f>
        <v>876.35</v>
      </c>
      <c r="E17" s="110">
        <f>IFERROR(__xludf.DUMMYFUNCTION("""COMPUTED_VALUE"""),479.0)</f>
        <v>479</v>
      </c>
      <c r="F17" s="110">
        <f>IFERROR(__xludf.DUMMYFUNCTION("""COMPUTED_VALUE"""),9.83)</f>
        <v>9.83</v>
      </c>
      <c r="G17" s="110">
        <f>IFERROR(__xludf.DUMMYFUNCTION("""COMPUTED_VALUE"""),168.88)</f>
        <v>168.88</v>
      </c>
      <c r="H17" s="110">
        <f>IFERROR(__xludf.DUMMYFUNCTION("""COMPUTED_VALUE"""),6.0)</f>
        <v>6</v>
      </c>
      <c r="I17" s="110">
        <f>IFERROR(__xludf.DUMMYFUNCTION("""COMPUTED_VALUE"""),12.75)</f>
        <v>12.75</v>
      </c>
      <c r="J17" s="110">
        <f>IFERROR(__xludf.DUMMYFUNCTION("""COMPUTED_VALUE"""),2.34)</f>
        <v>2.34</v>
      </c>
      <c r="K17" s="110">
        <f>IFERROR(__xludf.DUMMYFUNCTION("""COMPUTED_VALUE"""),43.55)</f>
        <v>43.55</v>
      </c>
      <c r="L17" s="110">
        <f>IFERROR(__xludf.DUMMYFUNCTION("""COMPUTED_VALUE"""),220.8)</f>
        <v>220.8</v>
      </c>
      <c r="M17" s="110">
        <f>IFERROR(__xludf.DUMMYFUNCTION("""COMPUTED_VALUE"""),40473.55)</f>
        <v>40473.55</v>
      </c>
      <c r="N17" s="110">
        <f>IFERROR(__xludf.DUMMYFUNCTION("""COMPUTED_VALUE"""),386.67)</f>
        <v>386.67</v>
      </c>
      <c r="O17" s="110">
        <f>IFERROR(__xludf.DUMMYFUNCTION("""COMPUTED_VALUE"""),290.73)</f>
        <v>290.73</v>
      </c>
      <c r="P17" s="110">
        <f>IFERROR(__xludf.DUMMYFUNCTION("""COMPUTED_VALUE"""),26.64)</f>
        <v>26.64</v>
      </c>
      <c r="Q17" s="110">
        <f>IFERROR(__xludf.DUMMYFUNCTION("""COMPUTED_VALUE"""),24.72)</f>
        <v>24.72</v>
      </c>
      <c r="R17" s="110">
        <f>IFERROR(__xludf.DUMMYFUNCTION("""COMPUTED_VALUE"""),74.55)</f>
        <v>74.55</v>
      </c>
      <c r="S17" s="110">
        <f>IFERROR(__xludf.DUMMYFUNCTION("""COMPUTED_VALUE"""),28.34)</f>
        <v>28.34</v>
      </c>
      <c r="T17" s="110">
        <f>IFERROR(__xludf.DUMMYFUNCTION("""COMPUTED_VALUE"""),39.36)</f>
        <v>39.36</v>
      </c>
      <c r="U17" s="110">
        <f>IFERROR(__xludf.DUMMYFUNCTION("""COMPUTED_VALUE"""),43.68)</f>
        <v>43.68</v>
      </c>
      <c r="V17" s="110">
        <f>IFERROR(__xludf.DUMMYFUNCTION("""COMPUTED_VALUE"""),14.31)</f>
        <v>14.31</v>
      </c>
      <c r="W17" s="110">
        <f>IFERROR(__xludf.DUMMYFUNCTION("""COMPUTED_VALUE"""),250.93)</f>
        <v>250.93</v>
      </c>
      <c r="X17" s="110">
        <f>IFERROR(__xludf.DUMMYFUNCTION("""COMPUTED_VALUE"""),2646.17)</f>
        <v>2646.17</v>
      </c>
      <c r="Y17" s="110">
        <f>IFERROR(__xludf.DUMMYFUNCTION("""COMPUTED_VALUE"""),66.6)</f>
        <v>66.6</v>
      </c>
      <c r="Z17" s="110">
        <f>IFERROR(__xludf.DUMMYFUNCTION("""COMPUTED_VALUE"""),64.8)</f>
        <v>64.8</v>
      </c>
      <c r="AA17" s="110">
        <f>IFERROR(__xludf.DUMMYFUNCTION("""COMPUTED_VALUE"""),103.81)</f>
        <v>103.81</v>
      </c>
      <c r="AB17" s="110">
        <f>IFERROR(__xludf.DUMMYFUNCTION("""COMPUTED_VALUE"""),4.79)</f>
        <v>4.79</v>
      </c>
      <c r="AC17" s="110">
        <f>IFERROR(__xludf.DUMMYFUNCTION("""COMPUTED_VALUE"""),68.47)</f>
        <v>68.47</v>
      </c>
      <c r="AD17" s="110">
        <f>IFERROR(__xludf.DUMMYFUNCTION("""COMPUTED_VALUE"""),12.27)</f>
        <v>12.27</v>
      </c>
      <c r="AE17" s="110">
        <f>IFERROR(__xludf.DUMMYFUNCTION("""COMPUTED_VALUE"""),6.31)</f>
        <v>6.31</v>
      </c>
      <c r="AF17" s="110">
        <f>IFERROR(__xludf.DUMMYFUNCTION("""COMPUTED_VALUE"""),44.08)</f>
        <v>44.08</v>
      </c>
      <c r="AG17" s="110">
        <f>IFERROR(__xludf.DUMMYFUNCTION("""COMPUTED_VALUE"""),19.5)</f>
        <v>19.5</v>
      </c>
      <c r="AH17" s="110">
        <f>IFERROR(__xludf.DUMMYFUNCTION("""COMPUTED_VALUE"""),2.11)</f>
        <v>2.11</v>
      </c>
      <c r="AI17" s="110">
        <f>IFERROR(__xludf.DUMMYFUNCTION("""COMPUTED_VALUE"""),3.5)</f>
        <v>3.5</v>
      </c>
      <c r="AJ17" s="110">
        <f>IFERROR(__xludf.DUMMYFUNCTION("""COMPUTED_VALUE"""),129.9)</f>
        <v>129.9</v>
      </c>
      <c r="AK17" s="110">
        <f>IFERROR(__xludf.DUMMYFUNCTION("""COMPUTED_VALUE"""),245.07)</f>
        <v>245.07</v>
      </c>
      <c r="AL17" s="110">
        <f>IFERROR(__xludf.DUMMYFUNCTION("""COMPUTED_VALUE"""),16.54)</f>
        <v>16.54</v>
      </c>
      <c r="AM17" s="110">
        <f>IFERROR(__xludf.DUMMYFUNCTION("""COMPUTED_VALUE"""),46.07)</f>
        <v>46.07</v>
      </c>
      <c r="AN17" s="110">
        <f>IFERROR(__xludf.DUMMYFUNCTION("""COMPUTED_VALUE"""),313.55)</f>
        <v>313.55</v>
      </c>
      <c r="AO17" s="110">
        <f>IFERROR(__xludf.DUMMYFUNCTION("""COMPUTED_VALUE"""),104.81)</f>
        <v>104.81</v>
      </c>
      <c r="AP17" s="110">
        <f>IFERROR(__xludf.DUMMYFUNCTION("""COMPUTED_VALUE"""),80.97)</f>
        <v>80.97</v>
      </c>
      <c r="AQ17" s="110">
        <f>IFERROR(__xludf.DUMMYFUNCTION("""COMPUTED_VALUE"""),60.63)</f>
        <v>60.63</v>
      </c>
      <c r="AR17" s="109">
        <f>IFERROR(__xludf.DUMMYFUNCTION("""COMPUTED_VALUE"""),104.84450000000001)</f>
        <v>104.8445</v>
      </c>
      <c r="AS17" s="110">
        <f>IFERROR(__xludf.DUMMYFUNCTION("""COMPUTED_VALUE"""),16.42)</f>
        <v>16.42</v>
      </c>
      <c r="AT17" s="110">
        <f>IFERROR(__xludf.DUMMYFUNCTION("""COMPUTED_VALUE"""),123.0)</f>
        <v>123</v>
      </c>
      <c r="AU17" s="110">
        <f>IFERROR(__xludf.DUMMYFUNCTION("""COMPUTED_VALUE"""),63.25)</f>
        <v>63.25</v>
      </c>
      <c r="AV17" s="110">
        <f>IFERROR(__xludf.DUMMYFUNCTION("""COMPUTED_VALUE"""),152.95)</f>
        <v>152.95</v>
      </c>
      <c r="AW17" s="110">
        <f>IFERROR(__xludf.DUMMYFUNCTION("""COMPUTED_VALUE"""),136.47)</f>
        <v>136.47</v>
      </c>
      <c r="AX17" s="110">
        <f>IFERROR(__xludf.DUMMYFUNCTION("""COMPUTED_VALUE"""),36.0)</f>
        <v>36</v>
      </c>
      <c r="AY17" s="110">
        <f>IFERROR(__xludf.DUMMYFUNCTION("""COMPUTED_VALUE"""),54.49)</f>
        <v>54.49</v>
      </c>
      <c r="AZ17" s="110">
        <f>IFERROR(__xludf.DUMMYFUNCTION("""COMPUTED_VALUE"""),5.25)</f>
        <v>5.25</v>
      </c>
      <c r="BA17" s="110">
        <f>IFERROR(__xludf.DUMMYFUNCTION("""COMPUTED_VALUE"""),0.3)</f>
        <v>0.3</v>
      </c>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c r="DD17" s="108"/>
      <c r="DE17" s="108"/>
      <c r="DF17" s="108"/>
      <c r="DG17" s="108"/>
      <c r="DH17" s="108"/>
      <c r="DI17" s="108"/>
      <c r="DJ17" s="108"/>
      <c r="DK17" s="108"/>
      <c r="DL17" s="108"/>
      <c r="DM17" s="108"/>
      <c r="DN17" s="108"/>
      <c r="DO17" s="108"/>
      <c r="DP17" s="108"/>
      <c r="DQ17" s="108"/>
      <c r="DR17" s="108"/>
      <c r="DS17" s="108"/>
      <c r="DT17" s="108"/>
      <c r="DU17" s="108"/>
      <c r="DV17" s="108"/>
      <c r="DW17" s="108"/>
      <c r="DX17" s="108"/>
      <c r="DY17" s="108"/>
      <c r="DZ17" s="108"/>
      <c r="EA17" s="108"/>
      <c r="EB17" s="108"/>
      <c r="EC17" s="108"/>
      <c r="ED17" s="108"/>
      <c r="EE17" s="108"/>
      <c r="EF17" s="108"/>
      <c r="EG17" s="108"/>
      <c r="EH17" s="108"/>
      <c r="EI17" s="108"/>
      <c r="EJ17" s="108"/>
      <c r="EK17" s="108"/>
      <c r="EL17" s="108"/>
      <c r="EM17" s="108"/>
      <c r="EN17" s="108"/>
      <c r="EO17" s="108"/>
      <c r="EP17" s="108"/>
      <c r="EQ17" s="108"/>
      <c r="ER17" s="108"/>
      <c r="ES17" s="108"/>
      <c r="ET17" s="108"/>
      <c r="EU17" s="108"/>
      <c r="EV17" s="108"/>
      <c r="EW17" s="108"/>
      <c r="EX17" s="108"/>
      <c r="EY17" s="108"/>
      <c r="EZ17" s="108"/>
      <c r="FA17" s="108"/>
      <c r="FB17" s="108"/>
      <c r="FC17" s="108"/>
      <c r="FD17" s="108"/>
      <c r="FE17" s="108"/>
      <c r="FF17" s="108"/>
      <c r="FG17" s="108"/>
      <c r="FH17" s="108"/>
      <c r="FI17" s="108"/>
      <c r="FJ17" s="108"/>
      <c r="FK17" s="108"/>
      <c r="FL17" s="108"/>
      <c r="FM17" s="108"/>
      <c r="FN17" s="108"/>
      <c r="FO17" s="108"/>
    </row>
    <row r="18">
      <c r="A18" s="106">
        <f>IFERROR(__xludf.DUMMYFUNCTION("""COMPUTED_VALUE"""),44610.0)</f>
        <v>44610</v>
      </c>
      <c r="B18" s="110">
        <f>IFERROR(__xludf.DUMMYFUNCTION("""COMPUTED_VALUE"""),3052.03)</f>
        <v>3052.03</v>
      </c>
      <c r="C18" s="110">
        <f>IFERROR(__xludf.DUMMYFUNCTION("""COMPUTED_VALUE"""),206.16)</f>
        <v>206.16</v>
      </c>
      <c r="D18" s="110">
        <f>IFERROR(__xludf.DUMMYFUNCTION("""COMPUTED_VALUE"""),856.98)</f>
        <v>856.98</v>
      </c>
      <c r="E18" s="110">
        <f>IFERROR(__xludf.DUMMYFUNCTION("""COMPUTED_VALUE"""),470.0)</f>
        <v>470</v>
      </c>
      <c r="F18" s="110">
        <f>IFERROR(__xludf.DUMMYFUNCTION("""COMPUTED_VALUE"""),9.87)</f>
        <v>9.87</v>
      </c>
      <c r="G18" s="110">
        <f>IFERROR(__xludf.DUMMYFUNCTION("""COMPUTED_VALUE"""),167.3)</f>
        <v>167.3</v>
      </c>
      <c r="H18" s="110">
        <f>IFERROR(__xludf.DUMMYFUNCTION("""COMPUTED_VALUE"""),7.3)</f>
        <v>7.3</v>
      </c>
      <c r="I18" s="110">
        <f>IFERROR(__xludf.DUMMYFUNCTION("""COMPUTED_VALUE"""),12.97)</f>
        <v>12.97</v>
      </c>
      <c r="J18" s="110">
        <f>IFERROR(__xludf.DUMMYFUNCTION("""COMPUTED_VALUE"""),2.22)</f>
        <v>2.22</v>
      </c>
      <c r="K18" s="110">
        <f>IFERROR(__xludf.DUMMYFUNCTION("""COMPUTED_VALUE"""),42.15)</f>
        <v>42.15</v>
      </c>
      <c r="L18" s="110">
        <f>IFERROR(__xludf.DUMMYFUNCTION("""COMPUTED_VALUE"""),188.0)</f>
        <v>188</v>
      </c>
      <c r="M18" s="110">
        <f>IFERROR(__xludf.DUMMYFUNCTION("""COMPUTED_VALUE"""),40115.457)</f>
        <v>40115.457</v>
      </c>
      <c r="N18" s="110">
        <f>IFERROR(__xludf.DUMMYFUNCTION("""COMPUTED_VALUE"""),391.29)</f>
        <v>391.29</v>
      </c>
      <c r="O18" s="110">
        <f>IFERROR(__xludf.DUMMYFUNCTION("""COMPUTED_VALUE"""),287.93)</f>
        <v>287.93</v>
      </c>
      <c r="P18" s="110">
        <f>IFERROR(__xludf.DUMMYFUNCTION("""COMPUTED_VALUE"""),25.19)</f>
        <v>25.19</v>
      </c>
      <c r="Q18" s="110">
        <f>IFERROR(__xludf.DUMMYFUNCTION("""COMPUTED_VALUE"""),24.6)</f>
        <v>24.6</v>
      </c>
      <c r="R18" s="110">
        <f>IFERROR(__xludf.DUMMYFUNCTION("""COMPUTED_VALUE"""),71.86)</f>
        <v>71.86</v>
      </c>
      <c r="S18" s="110">
        <f>IFERROR(__xludf.DUMMYFUNCTION("""COMPUTED_VALUE"""),27.3)</f>
        <v>27.3</v>
      </c>
      <c r="T18" s="110">
        <f>IFERROR(__xludf.DUMMYFUNCTION("""COMPUTED_VALUE"""),37.89)</f>
        <v>37.89</v>
      </c>
      <c r="U18" s="110">
        <f>IFERROR(__xludf.DUMMYFUNCTION("""COMPUTED_VALUE"""),43.56)</f>
        <v>43.56</v>
      </c>
      <c r="V18" s="110">
        <f>IFERROR(__xludf.DUMMYFUNCTION("""COMPUTED_VALUE"""),14.46)</f>
        <v>14.46</v>
      </c>
      <c r="W18" s="110">
        <f>IFERROR(__xludf.DUMMYFUNCTION("""COMPUTED_VALUE"""),250.6)</f>
        <v>250.6</v>
      </c>
      <c r="X18" s="110">
        <f>IFERROR(__xludf.DUMMYFUNCTION("""COMPUTED_VALUE"""),2609.35)</f>
        <v>2609.35</v>
      </c>
      <c r="Y18" s="110">
        <f>IFERROR(__xludf.DUMMYFUNCTION("""COMPUTED_VALUE"""),66.7)</f>
        <v>66.7</v>
      </c>
      <c r="Z18" s="110">
        <f>IFERROR(__xludf.DUMMYFUNCTION("""COMPUTED_VALUE"""),62.55)</f>
        <v>62.55</v>
      </c>
      <c r="AA18" s="110">
        <f>IFERROR(__xludf.DUMMYFUNCTION("""COMPUTED_VALUE"""),95.87)</f>
        <v>95.87</v>
      </c>
      <c r="AB18" s="110">
        <f>IFERROR(__xludf.DUMMYFUNCTION("""COMPUTED_VALUE"""),4.79)</f>
        <v>4.79</v>
      </c>
      <c r="AC18" s="110">
        <f>IFERROR(__xludf.DUMMYFUNCTION("""COMPUTED_VALUE"""),68.05)</f>
        <v>68.05</v>
      </c>
      <c r="AD18" s="110">
        <f>IFERROR(__xludf.DUMMYFUNCTION("""COMPUTED_VALUE"""),12.27)</f>
        <v>12.27</v>
      </c>
      <c r="AE18" s="110">
        <f>IFERROR(__xludf.DUMMYFUNCTION("""COMPUTED_VALUE"""),6.18)</f>
        <v>6.18</v>
      </c>
      <c r="AF18" s="110">
        <f>IFERROR(__xludf.DUMMYFUNCTION("""COMPUTED_VALUE"""),45.64)</f>
        <v>45.64</v>
      </c>
      <c r="AG18" s="110">
        <f>IFERROR(__xludf.DUMMYFUNCTION("""COMPUTED_VALUE"""),19.2)</f>
        <v>19.2</v>
      </c>
      <c r="AH18" s="110">
        <f>IFERROR(__xludf.DUMMYFUNCTION("""COMPUTED_VALUE"""),2.14)</f>
        <v>2.14</v>
      </c>
      <c r="AI18" s="110">
        <f>IFERROR(__xludf.DUMMYFUNCTION("""COMPUTED_VALUE"""),3.55)</f>
        <v>3.55</v>
      </c>
      <c r="AJ18" s="110">
        <f>IFERROR(__xludf.DUMMYFUNCTION("""COMPUTED_VALUE"""),124.2)</f>
        <v>124.2</v>
      </c>
      <c r="AK18" s="110">
        <f>IFERROR(__xludf.DUMMYFUNCTION("""COMPUTED_VALUE"""),236.42)</f>
        <v>236.42</v>
      </c>
      <c r="AL18" s="110">
        <f>IFERROR(__xludf.DUMMYFUNCTION("""COMPUTED_VALUE"""),16.14)</f>
        <v>16.14</v>
      </c>
      <c r="AM18" s="110">
        <f>IFERROR(__xludf.DUMMYFUNCTION("""COMPUTED_VALUE"""),45.96)</f>
        <v>45.96</v>
      </c>
      <c r="AN18" s="110">
        <f>IFERROR(__xludf.DUMMYFUNCTION("""COMPUTED_VALUE"""),314.8)</f>
        <v>314.8</v>
      </c>
      <c r="AO18" s="110">
        <f>IFERROR(__xludf.DUMMYFUNCTION("""COMPUTED_VALUE"""),104.23)</f>
        <v>104.23</v>
      </c>
      <c r="AP18" s="110">
        <f>IFERROR(__xludf.DUMMYFUNCTION("""COMPUTED_VALUE"""),81.05)</f>
        <v>81.05</v>
      </c>
      <c r="AQ18" s="110">
        <f>IFERROR(__xludf.DUMMYFUNCTION("""COMPUTED_VALUE"""),59.1)</f>
        <v>59.1</v>
      </c>
      <c r="AR18" s="109">
        <f>IFERROR(__xludf.DUMMYFUNCTION("""COMPUTED_VALUE"""),104.941)</f>
        <v>104.941</v>
      </c>
      <c r="AS18" s="110">
        <f>IFERROR(__xludf.DUMMYFUNCTION("""COMPUTED_VALUE"""),17.005)</f>
        <v>17.005</v>
      </c>
      <c r="AT18" s="110">
        <f>IFERROR(__xludf.DUMMYFUNCTION("""COMPUTED_VALUE"""),119.5)</f>
        <v>119.5</v>
      </c>
      <c r="AU18" s="110">
        <f>IFERROR(__xludf.DUMMYFUNCTION("""COMPUTED_VALUE"""),63.88)</f>
        <v>63.88</v>
      </c>
      <c r="AV18" s="110">
        <f>IFERROR(__xludf.DUMMYFUNCTION("""COMPUTED_VALUE"""),151.36)</f>
        <v>151.36</v>
      </c>
      <c r="AW18" s="110">
        <f>IFERROR(__xludf.DUMMYFUNCTION("""COMPUTED_VALUE"""),133.35)</f>
        <v>133.35</v>
      </c>
      <c r="AX18" s="110">
        <f>IFERROR(__xludf.DUMMYFUNCTION("""COMPUTED_VALUE"""),35.5)</f>
        <v>35.5</v>
      </c>
      <c r="AY18" s="110">
        <f>IFERROR(__xludf.DUMMYFUNCTION("""COMPUTED_VALUE"""),49.72)</f>
        <v>49.72</v>
      </c>
      <c r="AZ18" s="110">
        <f>IFERROR(__xludf.DUMMYFUNCTION("""COMPUTED_VALUE"""),0.0)</f>
        <v>0</v>
      </c>
      <c r="BA18" s="110">
        <f>IFERROR(__xludf.DUMMYFUNCTION("""COMPUTED_VALUE"""),0.0)</f>
        <v>0</v>
      </c>
      <c r="BB18" s="110">
        <f>IFERROR(__xludf.DUMMYFUNCTION("""COMPUTED_VALUE"""),16.66)</f>
        <v>16.66</v>
      </c>
      <c r="BC18" s="110">
        <f>IFERROR(__xludf.DUMMYFUNCTION("""COMPUTED_VALUE"""),46.0)</f>
        <v>46</v>
      </c>
      <c r="BD18" s="110">
        <f>IFERROR(__xludf.DUMMYFUNCTION("""COMPUTED_VALUE"""),232.8)</f>
        <v>232.8</v>
      </c>
      <c r="BE18" s="110">
        <f>IFERROR(__xludf.DUMMYFUNCTION("""COMPUTED_VALUE"""),156.7)</f>
        <v>156.7</v>
      </c>
      <c r="BF18" s="110">
        <f>IFERROR(__xludf.DUMMYFUNCTION("""COMPUTED_VALUE"""),17.62)</f>
        <v>17.62</v>
      </c>
      <c r="BG18" s="110">
        <f>IFERROR(__xludf.DUMMYFUNCTION("""COMPUTED_VALUE"""),482.17)</f>
        <v>482.17</v>
      </c>
      <c r="BH18" s="110">
        <f>IFERROR(__xludf.DUMMYFUNCTION("""COMPUTED_VALUE"""),298.07)</f>
        <v>298.07</v>
      </c>
      <c r="BI18" s="110">
        <f>IFERROR(__xludf.DUMMYFUNCTION("""COMPUTED_VALUE"""),220.77)</f>
        <v>220.77</v>
      </c>
      <c r="BJ18" s="110">
        <f>IFERROR(__xludf.DUMMYFUNCTION("""COMPUTED_VALUE"""),26.59)</f>
        <v>26.59</v>
      </c>
      <c r="BK18" s="110">
        <f>IFERROR(__xludf.DUMMYFUNCTION("""COMPUTED_VALUE"""),287.63)</f>
        <v>287.63</v>
      </c>
      <c r="BL18" s="110">
        <f>IFERROR(__xludf.DUMMYFUNCTION("""COMPUTED_VALUE"""),123.98)</f>
        <v>123.98</v>
      </c>
      <c r="BM18" s="110">
        <f>IFERROR(__xludf.DUMMYFUNCTION("""COMPUTED_VALUE"""),18.04)</f>
        <v>18.04</v>
      </c>
      <c r="BN18" s="110">
        <f>IFERROR(__xludf.DUMMYFUNCTION("""COMPUTED_VALUE"""),397.5)</f>
        <v>397.5</v>
      </c>
      <c r="BO18" s="110">
        <f>IFERROR(__xludf.DUMMYFUNCTION("""COMPUTED_VALUE"""),780.0)</f>
        <v>780</v>
      </c>
      <c r="BP18" s="110">
        <f>IFERROR(__xludf.DUMMYFUNCTION("""COMPUTED_VALUE"""),66.37)</f>
        <v>66.37</v>
      </c>
      <c r="BQ18" s="110">
        <f>IFERROR(__xludf.DUMMYFUNCTION("""COMPUTED_VALUE"""),11.39)</f>
        <v>11.39</v>
      </c>
      <c r="BR18" s="110">
        <f>IFERROR(__xludf.DUMMYFUNCTION("""COMPUTED_VALUE"""),39.63)</f>
        <v>39.63</v>
      </c>
      <c r="BS18" s="110">
        <f>IFERROR(__xludf.DUMMYFUNCTION("""COMPUTED_VALUE"""),1.0)</f>
        <v>1</v>
      </c>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c r="DJ18" s="108"/>
      <c r="DK18" s="108"/>
      <c r="DL18" s="108"/>
      <c r="DM18" s="108"/>
      <c r="DN18" s="108"/>
      <c r="DO18" s="108"/>
      <c r="DP18" s="108"/>
      <c r="DQ18" s="108"/>
      <c r="DR18" s="108"/>
      <c r="DS18" s="108"/>
      <c r="DT18" s="108"/>
      <c r="DU18" s="108"/>
      <c r="DV18" s="108"/>
      <c r="DW18" s="108"/>
      <c r="DX18" s="108"/>
      <c r="DY18" s="108"/>
      <c r="DZ18" s="108"/>
      <c r="EA18" s="108"/>
      <c r="EB18" s="108"/>
      <c r="EC18" s="108"/>
      <c r="ED18" s="108"/>
      <c r="EE18" s="108"/>
      <c r="EF18" s="108"/>
      <c r="EG18" s="108"/>
      <c r="EH18" s="108"/>
      <c r="EI18" s="108"/>
      <c r="EJ18" s="108"/>
      <c r="EK18" s="108"/>
      <c r="EL18" s="108"/>
      <c r="EM18" s="108"/>
      <c r="EN18" s="108"/>
      <c r="EO18" s="108"/>
      <c r="EP18" s="108"/>
      <c r="EQ18" s="108"/>
      <c r="ER18" s="108"/>
      <c r="ES18" s="108"/>
      <c r="ET18" s="108"/>
      <c r="EU18" s="108"/>
      <c r="EV18" s="108"/>
      <c r="EW18" s="108"/>
      <c r="EX18" s="108"/>
      <c r="EY18" s="108"/>
      <c r="EZ18" s="108"/>
      <c r="FA18" s="108"/>
      <c r="FB18" s="108"/>
      <c r="FC18" s="108"/>
      <c r="FD18" s="108"/>
      <c r="FE18" s="108"/>
      <c r="FF18" s="108"/>
      <c r="FG18" s="108"/>
      <c r="FH18" s="108"/>
      <c r="FI18" s="108"/>
      <c r="FJ18" s="108"/>
      <c r="FK18" s="108"/>
      <c r="FL18" s="108"/>
      <c r="FM18" s="108"/>
      <c r="FN18" s="108"/>
      <c r="FO18" s="108"/>
    </row>
    <row r="19">
      <c r="A19" s="106">
        <f>IFERROR(__xludf.DUMMYFUNCTION("""COMPUTED_VALUE"""),44611.0)</f>
        <v>44611</v>
      </c>
      <c r="B19" s="110">
        <f>IFERROR(__xludf.DUMMYFUNCTION("""COMPUTED_VALUE"""),3052.03)</f>
        <v>3052.03</v>
      </c>
      <c r="C19" s="110">
        <f>IFERROR(__xludf.DUMMYFUNCTION("""COMPUTED_VALUE"""),206.16)</f>
        <v>206.16</v>
      </c>
      <c r="D19" s="110">
        <f>IFERROR(__xludf.DUMMYFUNCTION("""COMPUTED_VALUE"""),856.98)</f>
        <v>856.98</v>
      </c>
      <c r="E19" s="110">
        <f>IFERROR(__xludf.DUMMYFUNCTION("""COMPUTED_VALUE"""),470.0)</f>
        <v>470</v>
      </c>
      <c r="F19" s="110">
        <f>IFERROR(__xludf.DUMMYFUNCTION("""COMPUTED_VALUE"""),9.87)</f>
        <v>9.87</v>
      </c>
      <c r="G19" s="110">
        <f>IFERROR(__xludf.DUMMYFUNCTION("""COMPUTED_VALUE"""),167.3)</f>
        <v>167.3</v>
      </c>
      <c r="H19" s="110">
        <f>IFERROR(__xludf.DUMMYFUNCTION("""COMPUTED_VALUE"""),7.3)</f>
        <v>7.3</v>
      </c>
      <c r="I19" s="110">
        <f>IFERROR(__xludf.DUMMYFUNCTION("""COMPUTED_VALUE"""),12.97)</f>
        <v>12.97</v>
      </c>
      <c r="J19" s="110">
        <f>IFERROR(__xludf.DUMMYFUNCTION("""COMPUTED_VALUE"""),2.22)</f>
        <v>2.22</v>
      </c>
      <c r="K19" s="110">
        <f>IFERROR(__xludf.DUMMYFUNCTION("""COMPUTED_VALUE"""),42.15)</f>
        <v>42.15</v>
      </c>
      <c r="L19" s="110">
        <f>IFERROR(__xludf.DUMMYFUNCTION("""COMPUTED_VALUE"""),188.0)</f>
        <v>188</v>
      </c>
      <c r="M19" s="110">
        <f>IFERROR(__xludf.DUMMYFUNCTION("""COMPUTED_VALUE"""),39939.14)</f>
        <v>39939.14</v>
      </c>
      <c r="N19" s="110">
        <f>IFERROR(__xludf.DUMMYFUNCTION("""COMPUTED_VALUE"""),391.29)</f>
        <v>391.29</v>
      </c>
      <c r="O19" s="110">
        <f>IFERROR(__xludf.DUMMYFUNCTION("""COMPUTED_VALUE"""),287.93)</f>
        <v>287.93</v>
      </c>
      <c r="P19" s="110">
        <f>IFERROR(__xludf.DUMMYFUNCTION("""COMPUTED_VALUE"""),25.19)</f>
        <v>25.19</v>
      </c>
      <c r="Q19" s="110">
        <f>IFERROR(__xludf.DUMMYFUNCTION("""COMPUTED_VALUE"""),24.6)</f>
        <v>24.6</v>
      </c>
      <c r="R19" s="110">
        <f>IFERROR(__xludf.DUMMYFUNCTION("""COMPUTED_VALUE"""),71.86)</f>
        <v>71.86</v>
      </c>
      <c r="S19" s="110">
        <f>IFERROR(__xludf.DUMMYFUNCTION("""COMPUTED_VALUE"""),27.3)</f>
        <v>27.3</v>
      </c>
      <c r="T19" s="110">
        <f>IFERROR(__xludf.DUMMYFUNCTION("""COMPUTED_VALUE"""),37.89)</f>
        <v>37.89</v>
      </c>
      <c r="U19" s="110">
        <f>IFERROR(__xludf.DUMMYFUNCTION("""COMPUTED_VALUE"""),43.56)</f>
        <v>43.56</v>
      </c>
      <c r="V19" s="110">
        <f>IFERROR(__xludf.DUMMYFUNCTION("""COMPUTED_VALUE"""),14.46)</f>
        <v>14.46</v>
      </c>
      <c r="W19" s="110">
        <f>IFERROR(__xludf.DUMMYFUNCTION("""COMPUTED_VALUE"""),250.6)</f>
        <v>250.6</v>
      </c>
      <c r="X19" s="110">
        <f>IFERROR(__xludf.DUMMYFUNCTION("""COMPUTED_VALUE"""),2609.35)</f>
        <v>2609.35</v>
      </c>
      <c r="Y19" s="110">
        <f>IFERROR(__xludf.DUMMYFUNCTION("""COMPUTED_VALUE"""),66.7)</f>
        <v>66.7</v>
      </c>
      <c r="Z19" s="110">
        <f>IFERROR(__xludf.DUMMYFUNCTION("""COMPUTED_VALUE"""),62.55)</f>
        <v>62.55</v>
      </c>
      <c r="AA19" s="110">
        <f>IFERROR(__xludf.DUMMYFUNCTION("""COMPUTED_VALUE"""),95.87)</f>
        <v>95.87</v>
      </c>
      <c r="AB19" s="110">
        <f>IFERROR(__xludf.DUMMYFUNCTION("""COMPUTED_VALUE"""),4.79)</f>
        <v>4.79</v>
      </c>
      <c r="AC19" s="110">
        <f>IFERROR(__xludf.DUMMYFUNCTION("""COMPUTED_VALUE"""),68.05)</f>
        <v>68.05</v>
      </c>
      <c r="AD19" s="110">
        <f>IFERROR(__xludf.DUMMYFUNCTION("""COMPUTED_VALUE"""),12.27)</f>
        <v>12.27</v>
      </c>
      <c r="AE19" s="110">
        <f>IFERROR(__xludf.DUMMYFUNCTION("""COMPUTED_VALUE"""),6.18)</f>
        <v>6.18</v>
      </c>
      <c r="AF19" s="110">
        <f>IFERROR(__xludf.DUMMYFUNCTION("""COMPUTED_VALUE"""),45.64)</f>
        <v>45.64</v>
      </c>
      <c r="AG19" s="110">
        <f>IFERROR(__xludf.DUMMYFUNCTION("""COMPUTED_VALUE"""),19.2)</f>
        <v>19.2</v>
      </c>
      <c r="AH19" s="110">
        <f>IFERROR(__xludf.DUMMYFUNCTION("""COMPUTED_VALUE"""),2.14)</f>
        <v>2.14</v>
      </c>
      <c r="AI19" s="110">
        <f>IFERROR(__xludf.DUMMYFUNCTION("""COMPUTED_VALUE"""),3.55)</f>
        <v>3.55</v>
      </c>
      <c r="AJ19" s="110">
        <f>IFERROR(__xludf.DUMMYFUNCTION("""COMPUTED_VALUE"""),124.2)</f>
        <v>124.2</v>
      </c>
      <c r="AK19" s="110">
        <f>IFERROR(__xludf.DUMMYFUNCTION("""COMPUTED_VALUE"""),236.42)</f>
        <v>236.42</v>
      </c>
      <c r="AL19" s="110">
        <f>IFERROR(__xludf.DUMMYFUNCTION("""COMPUTED_VALUE"""),16.14)</f>
        <v>16.14</v>
      </c>
      <c r="AM19" s="110">
        <f>IFERROR(__xludf.DUMMYFUNCTION("""COMPUTED_VALUE"""),45.96)</f>
        <v>45.96</v>
      </c>
      <c r="AN19" s="110">
        <f>IFERROR(__xludf.DUMMYFUNCTION("""COMPUTED_VALUE"""),314.8)</f>
        <v>314.8</v>
      </c>
      <c r="AO19" s="110">
        <f>IFERROR(__xludf.DUMMYFUNCTION("""COMPUTED_VALUE"""),104.23)</f>
        <v>104.23</v>
      </c>
      <c r="AP19" s="110">
        <f>IFERROR(__xludf.DUMMYFUNCTION("""COMPUTED_VALUE"""),81.05)</f>
        <v>81.05</v>
      </c>
      <c r="AQ19" s="110">
        <f>IFERROR(__xludf.DUMMYFUNCTION("""COMPUTED_VALUE"""),59.1)</f>
        <v>59.1</v>
      </c>
      <c r="AR19" s="109">
        <f>IFERROR(__xludf.DUMMYFUNCTION("""COMPUTED_VALUE"""),104.941)</f>
        <v>104.941</v>
      </c>
      <c r="AS19" s="110">
        <f>IFERROR(__xludf.DUMMYFUNCTION("""COMPUTED_VALUE"""),17.005)</f>
        <v>17.005</v>
      </c>
      <c r="AT19" s="110">
        <f>IFERROR(__xludf.DUMMYFUNCTION("""COMPUTED_VALUE"""),119.5)</f>
        <v>119.5</v>
      </c>
      <c r="AU19" s="110">
        <f>IFERROR(__xludf.DUMMYFUNCTION("""COMPUTED_VALUE"""),63.88)</f>
        <v>63.88</v>
      </c>
      <c r="AV19" s="110">
        <f>IFERROR(__xludf.DUMMYFUNCTION("""COMPUTED_VALUE"""),151.36)</f>
        <v>151.36</v>
      </c>
      <c r="AW19" s="110">
        <f>IFERROR(__xludf.DUMMYFUNCTION("""COMPUTED_VALUE"""),133.35)</f>
        <v>133.35</v>
      </c>
      <c r="AX19" s="110">
        <f>IFERROR(__xludf.DUMMYFUNCTION("""COMPUTED_VALUE"""),35.5)</f>
        <v>35.5</v>
      </c>
      <c r="AY19" s="110">
        <f>IFERROR(__xludf.DUMMYFUNCTION("""COMPUTED_VALUE"""),49.72)</f>
        <v>49.72</v>
      </c>
      <c r="AZ19" s="110">
        <f>IFERROR(__xludf.DUMMYFUNCTION("""COMPUTED_VALUE"""),0.0)</f>
        <v>0</v>
      </c>
      <c r="BA19" s="110">
        <f>IFERROR(__xludf.DUMMYFUNCTION("""COMPUTED_VALUE"""),0.0)</f>
        <v>0</v>
      </c>
      <c r="BB19" s="110">
        <f>IFERROR(__xludf.DUMMYFUNCTION("""COMPUTED_VALUE"""),16.66)</f>
        <v>16.66</v>
      </c>
      <c r="BC19" s="110">
        <f>IFERROR(__xludf.DUMMYFUNCTION("""COMPUTED_VALUE"""),46.0)</f>
        <v>46</v>
      </c>
      <c r="BD19" s="110">
        <f>IFERROR(__xludf.DUMMYFUNCTION("""COMPUTED_VALUE"""),232.8)</f>
        <v>232.8</v>
      </c>
      <c r="BE19" s="110">
        <f>IFERROR(__xludf.DUMMYFUNCTION("""COMPUTED_VALUE"""),156.7)</f>
        <v>156.7</v>
      </c>
      <c r="BF19" s="110">
        <f>IFERROR(__xludf.DUMMYFUNCTION("""COMPUTED_VALUE"""),17.62)</f>
        <v>17.62</v>
      </c>
      <c r="BG19" s="110">
        <f>IFERROR(__xludf.DUMMYFUNCTION("""COMPUTED_VALUE"""),482.17)</f>
        <v>482.17</v>
      </c>
      <c r="BH19" s="110">
        <f>IFERROR(__xludf.DUMMYFUNCTION("""COMPUTED_VALUE"""),298.07)</f>
        <v>298.07</v>
      </c>
      <c r="BI19" s="110">
        <f>IFERROR(__xludf.DUMMYFUNCTION("""COMPUTED_VALUE"""),220.77)</f>
        <v>220.77</v>
      </c>
      <c r="BJ19" s="110">
        <f>IFERROR(__xludf.DUMMYFUNCTION("""COMPUTED_VALUE"""),26.59)</f>
        <v>26.59</v>
      </c>
      <c r="BK19" s="110">
        <f>IFERROR(__xludf.DUMMYFUNCTION("""COMPUTED_VALUE"""),287.63)</f>
        <v>287.63</v>
      </c>
      <c r="BL19" s="110">
        <f>IFERROR(__xludf.DUMMYFUNCTION("""COMPUTED_VALUE"""),123.98)</f>
        <v>123.98</v>
      </c>
      <c r="BM19" s="110">
        <f>IFERROR(__xludf.DUMMYFUNCTION("""COMPUTED_VALUE"""),18.04)</f>
        <v>18.04</v>
      </c>
      <c r="BN19" s="110">
        <f>IFERROR(__xludf.DUMMYFUNCTION("""COMPUTED_VALUE"""),397.5)</f>
        <v>397.5</v>
      </c>
      <c r="BO19" s="110">
        <f>IFERROR(__xludf.DUMMYFUNCTION("""COMPUTED_VALUE"""),780.0)</f>
        <v>780</v>
      </c>
      <c r="BP19" s="110">
        <f>IFERROR(__xludf.DUMMYFUNCTION("""COMPUTED_VALUE"""),66.37)</f>
        <v>66.37</v>
      </c>
      <c r="BQ19" s="110">
        <f>IFERROR(__xludf.DUMMYFUNCTION("""COMPUTED_VALUE"""),11.39)</f>
        <v>11.39</v>
      </c>
      <c r="BR19" s="110">
        <f>IFERROR(__xludf.DUMMYFUNCTION("""COMPUTED_VALUE"""),39.63)</f>
        <v>39.63</v>
      </c>
      <c r="BS19" s="110">
        <f>IFERROR(__xludf.DUMMYFUNCTION("""COMPUTED_VALUE"""),1.0)</f>
        <v>1</v>
      </c>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row>
    <row r="20">
      <c r="A20" s="106">
        <f>IFERROR(__xludf.DUMMYFUNCTION("""COMPUTED_VALUE"""),44612.0)</f>
        <v>44612</v>
      </c>
      <c r="B20" s="110">
        <f>IFERROR(__xludf.DUMMYFUNCTION("""COMPUTED_VALUE"""),3052.03)</f>
        <v>3052.03</v>
      </c>
      <c r="C20" s="110">
        <f>IFERROR(__xludf.DUMMYFUNCTION("""COMPUTED_VALUE"""),206.16)</f>
        <v>206.16</v>
      </c>
      <c r="D20" s="110">
        <f>IFERROR(__xludf.DUMMYFUNCTION("""COMPUTED_VALUE"""),856.98)</f>
        <v>856.98</v>
      </c>
      <c r="E20" s="110">
        <f>IFERROR(__xludf.DUMMYFUNCTION("""COMPUTED_VALUE"""),470.0)</f>
        <v>470</v>
      </c>
      <c r="F20" s="110">
        <f>IFERROR(__xludf.DUMMYFUNCTION("""COMPUTED_VALUE"""),9.87)</f>
        <v>9.87</v>
      </c>
      <c r="G20" s="110">
        <f>IFERROR(__xludf.DUMMYFUNCTION("""COMPUTED_VALUE"""),167.3)</f>
        <v>167.3</v>
      </c>
      <c r="H20" s="110">
        <f>IFERROR(__xludf.DUMMYFUNCTION("""COMPUTED_VALUE"""),7.3)</f>
        <v>7.3</v>
      </c>
      <c r="I20" s="110">
        <f>IFERROR(__xludf.DUMMYFUNCTION("""COMPUTED_VALUE"""),12.97)</f>
        <v>12.97</v>
      </c>
      <c r="J20" s="110">
        <f>IFERROR(__xludf.DUMMYFUNCTION("""COMPUTED_VALUE"""),2.22)</f>
        <v>2.22</v>
      </c>
      <c r="K20" s="110">
        <f>IFERROR(__xludf.DUMMYFUNCTION("""COMPUTED_VALUE"""),42.15)</f>
        <v>42.15</v>
      </c>
      <c r="L20" s="110">
        <f>IFERROR(__xludf.DUMMYFUNCTION("""COMPUTED_VALUE"""),188.0)</f>
        <v>188</v>
      </c>
      <c r="M20" s="110">
        <f>IFERROR(__xludf.DUMMYFUNCTION("""COMPUTED_VALUE"""),38423.21)</f>
        <v>38423.21</v>
      </c>
      <c r="N20" s="110">
        <f>IFERROR(__xludf.DUMMYFUNCTION("""COMPUTED_VALUE"""),391.29)</f>
        <v>391.29</v>
      </c>
      <c r="O20" s="110">
        <f>IFERROR(__xludf.DUMMYFUNCTION("""COMPUTED_VALUE"""),287.93)</f>
        <v>287.93</v>
      </c>
      <c r="P20" s="110">
        <f>IFERROR(__xludf.DUMMYFUNCTION("""COMPUTED_VALUE"""),25.19)</f>
        <v>25.19</v>
      </c>
      <c r="Q20" s="110">
        <f>IFERROR(__xludf.DUMMYFUNCTION("""COMPUTED_VALUE"""),24.6)</f>
        <v>24.6</v>
      </c>
      <c r="R20" s="110">
        <f>IFERROR(__xludf.DUMMYFUNCTION("""COMPUTED_VALUE"""),71.86)</f>
        <v>71.86</v>
      </c>
      <c r="S20" s="110">
        <f>IFERROR(__xludf.DUMMYFUNCTION("""COMPUTED_VALUE"""),27.3)</f>
        <v>27.3</v>
      </c>
      <c r="T20" s="110">
        <f>IFERROR(__xludf.DUMMYFUNCTION("""COMPUTED_VALUE"""),37.89)</f>
        <v>37.89</v>
      </c>
      <c r="U20" s="110">
        <f>IFERROR(__xludf.DUMMYFUNCTION("""COMPUTED_VALUE"""),43.56)</f>
        <v>43.56</v>
      </c>
      <c r="V20" s="110">
        <f>IFERROR(__xludf.DUMMYFUNCTION("""COMPUTED_VALUE"""),14.46)</f>
        <v>14.46</v>
      </c>
      <c r="W20" s="110">
        <f>IFERROR(__xludf.DUMMYFUNCTION("""COMPUTED_VALUE"""),250.6)</f>
        <v>250.6</v>
      </c>
      <c r="X20" s="110">
        <f>IFERROR(__xludf.DUMMYFUNCTION("""COMPUTED_VALUE"""),2609.35)</f>
        <v>2609.35</v>
      </c>
      <c r="Y20" s="110">
        <f>IFERROR(__xludf.DUMMYFUNCTION("""COMPUTED_VALUE"""),66.7)</f>
        <v>66.7</v>
      </c>
      <c r="Z20" s="110">
        <f>IFERROR(__xludf.DUMMYFUNCTION("""COMPUTED_VALUE"""),62.55)</f>
        <v>62.55</v>
      </c>
      <c r="AA20" s="110">
        <f>IFERROR(__xludf.DUMMYFUNCTION("""COMPUTED_VALUE"""),95.87)</f>
        <v>95.87</v>
      </c>
      <c r="AB20" s="110">
        <f>IFERROR(__xludf.DUMMYFUNCTION("""COMPUTED_VALUE"""),4.79)</f>
        <v>4.79</v>
      </c>
      <c r="AC20" s="110">
        <f>IFERROR(__xludf.DUMMYFUNCTION("""COMPUTED_VALUE"""),68.05)</f>
        <v>68.05</v>
      </c>
      <c r="AD20" s="110">
        <f>IFERROR(__xludf.DUMMYFUNCTION("""COMPUTED_VALUE"""),12.27)</f>
        <v>12.27</v>
      </c>
      <c r="AE20" s="110">
        <f>IFERROR(__xludf.DUMMYFUNCTION("""COMPUTED_VALUE"""),6.18)</f>
        <v>6.18</v>
      </c>
      <c r="AF20" s="110">
        <f>IFERROR(__xludf.DUMMYFUNCTION("""COMPUTED_VALUE"""),45.64)</f>
        <v>45.64</v>
      </c>
      <c r="AG20" s="110">
        <f>IFERROR(__xludf.DUMMYFUNCTION("""COMPUTED_VALUE"""),19.2)</f>
        <v>19.2</v>
      </c>
      <c r="AH20" s="110">
        <f>IFERROR(__xludf.DUMMYFUNCTION("""COMPUTED_VALUE"""),2.14)</f>
        <v>2.14</v>
      </c>
      <c r="AI20" s="110">
        <f>IFERROR(__xludf.DUMMYFUNCTION("""COMPUTED_VALUE"""),3.55)</f>
        <v>3.55</v>
      </c>
      <c r="AJ20" s="110">
        <f>IFERROR(__xludf.DUMMYFUNCTION("""COMPUTED_VALUE"""),124.2)</f>
        <v>124.2</v>
      </c>
      <c r="AK20" s="110">
        <f>IFERROR(__xludf.DUMMYFUNCTION("""COMPUTED_VALUE"""),236.42)</f>
        <v>236.42</v>
      </c>
      <c r="AL20" s="110">
        <f>IFERROR(__xludf.DUMMYFUNCTION("""COMPUTED_VALUE"""),16.14)</f>
        <v>16.14</v>
      </c>
      <c r="AM20" s="110">
        <f>IFERROR(__xludf.DUMMYFUNCTION("""COMPUTED_VALUE"""),45.96)</f>
        <v>45.96</v>
      </c>
      <c r="AN20" s="110">
        <f>IFERROR(__xludf.DUMMYFUNCTION("""COMPUTED_VALUE"""),314.8)</f>
        <v>314.8</v>
      </c>
      <c r="AO20" s="110">
        <f>IFERROR(__xludf.DUMMYFUNCTION("""COMPUTED_VALUE"""),104.23)</f>
        <v>104.23</v>
      </c>
      <c r="AP20" s="110">
        <f>IFERROR(__xludf.DUMMYFUNCTION("""COMPUTED_VALUE"""),81.05)</f>
        <v>81.05</v>
      </c>
      <c r="AQ20" s="110">
        <f>IFERROR(__xludf.DUMMYFUNCTION("""COMPUTED_VALUE"""),59.1)</f>
        <v>59.1</v>
      </c>
      <c r="AR20" s="109">
        <f>IFERROR(__xludf.DUMMYFUNCTION("""COMPUTED_VALUE"""),104.941)</f>
        <v>104.941</v>
      </c>
      <c r="AS20" s="110">
        <f>IFERROR(__xludf.DUMMYFUNCTION("""COMPUTED_VALUE"""),17.005)</f>
        <v>17.005</v>
      </c>
      <c r="AT20" s="110">
        <f>IFERROR(__xludf.DUMMYFUNCTION("""COMPUTED_VALUE"""),119.5)</f>
        <v>119.5</v>
      </c>
      <c r="AU20" s="110">
        <f>IFERROR(__xludf.DUMMYFUNCTION("""COMPUTED_VALUE"""),63.88)</f>
        <v>63.88</v>
      </c>
      <c r="AV20" s="110">
        <f>IFERROR(__xludf.DUMMYFUNCTION("""COMPUTED_VALUE"""),151.36)</f>
        <v>151.36</v>
      </c>
      <c r="AW20" s="110">
        <f>IFERROR(__xludf.DUMMYFUNCTION("""COMPUTED_VALUE"""),133.35)</f>
        <v>133.35</v>
      </c>
      <c r="AX20" s="110">
        <f>IFERROR(__xludf.DUMMYFUNCTION("""COMPUTED_VALUE"""),35.5)</f>
        <v>35.5</v>
      </c>
      <c r="AY20" s="110">
        <f>IFERROR(__xludf.DUMMYFUNCTION("""COMPUTED_VALUE"""),49.72)</f>
        <v>49.72</v>
      </c>
      <c r="AZ20" s="110">
        <f>IFERROR(__xludf.DUMMYFUNCTION("""COMPUTED_VALUE"""),0.0)</f>
        <v>0</v>
      </c>
      <c r="BA20" s="110">
        <f>IFERROR(__xludf.DUMMYFUNCTION("""COMPUTED_VALUE"""),0.0)</f>
        <v>0</v>
      </c>
      <c r="BB20" s="110">
        <f>IFERROR(__xludf.DUMMYFUNCTION("""COMPUTED_VALUE"""),16.66)</f>
        <v>16.66</v>
      </c>
      <c r="BC20" s="110">
        <f>IFERROR(__xludf.DUMMYFUNCTION("""COMPUTED_VALUE"""),46.0)</f>
        <v>46</v>
      </c>
      <c r="BD20" s="110">
        <f>IFERROR(__xludf.DUMMYFUNCTION("""COMPUTED_VALUE"""),232.8)</f>
        <v>232.8</v>
      </c>
      <c r="BE20" s="110">
        <f>IFERROR(__xludf.DUMMYFUNCTION("""COMPUTED_VALUE"""),156.7)</f>
        <v>156.7</v>
      </c>
      <c r="BF20" s="110">
        <f>IFERROR(__xludf.DUMMYFUNCTION("""COMPUTED_VALUE"""),17.62)</f>
        <v>17.62</v>
      </c>
      <c r="BG20" s="110">
        <f>IFERROR(__xludf.DUMMYFUNCTION("""COMPUTED_VALUE"""),482.17)</f>
        <v>482.17</v>
      </c>
      <c r="BH20" s="110">
        <f>IFERROR(__xludf.DUMMYFUNCTION("""COMPUTED_VALUE"""),298.07)</f>
        <v>298.07</v>
      </c>
      <c r="BI20" s="110">
        <f>IFERROR(__xludf.DUMMYFUNCTION("""COMPUTED_VALUE"""),220.77)</f>
        <v>220.77</v>
      </c>
      <c r="BJ20" s="110">
        <f>IFERROR(__xludf.DUMMYFUNCTION("""COMPUTED_VALUE"""),26.59)</f>
        <v>26.59</v>
      </c>
      <c r="BK20" s="110">
        <f>IFERROR(__xludf.DUMMYFUNCTION("""COMPUTED_VALUE"""),287.63)</f>
        <v>287.63</v>
      </c>
      <c r="BL20" s="110">
        <f>IFERROR(__xludf.DUMMYFUNCTION("""COMPUTED_VALUE"""),123.98)</f>
        <v>123.98</v>
      </c>
      <c r="BM20" s="110">
        <f>IFERROR(__xludf.DUMMYFUNCTION("""COMPUTED_VALUE"""),18.04)</f>
        <v>18.04</v>
      </c>
      <c r="BN20" s="110">
        <f>IFERROR(__xludf.DUMMYFUNCTION("""COMPUTED_VALUE"""),397.5)</f>
        <v>397.5</v>
      </c>
      <c r="BO20" s="110">
        <f>IFERROR(__xludf.DUMMYFUNCTION("""COMPUTED_VALUE"""),780.0)</f>
        <v>780</v>
      </c>
      <c r="BP20" s="110">
        <f>IFERROR(__xludf.DUMMYFUNCTION("""COMPUTED_VALUE"""),66.37)</f>
        <v>66.37</v>
      </c>
      <c r="BQ20" s="110">
        <f>IFERROR(__xludf.DUMMYFUNCTION("""COMPUTED_VALUE"""),11.39)</f>
        <v>11.39</v>
      </c>
      <c r="BR20" s="110">
        <f>IFERROR(__xludf.DUMMYFUNCTION("""COMPUTED_VALUE"""),39.63)</f>
        <v>39.63</v>
      </c>
      <c r="BS20" s="110">
        <f>IFERROR(__xludf.DUMMYFUNCTION("""COMPUTED_VALUE"""),1.0)</f>
        <v>1</v>
      </c>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c r="CQ20" s="108"/>
      <c r="CR20" s="108"/>
      <c r="CS20" s="108"/>
      <c r="CT20" s="108"/>
      <c r="CU20" s="108"/>
      <c r="CV20" s="108"/>
      <c r="CW20" s="108"/>
      <c r="CX20" s="108"/>
      <c r="CY20" s="108"/>
      <c r="CZ20" s="108"/>
      <c r="DA20" s="108"/>
      <c r="DB20" s="108"/>
      <c r="DC20" s="108"/>
      <c r="DD20" s="108"/>
      <c r="DE20" s="108"/>
      <c r="DF20" s="108"/>
      <c r="DG20" s="108"/>
      <c r="DH20" s="108"/>
      <c r="DI20" s="108"/>
      <c r="DJ20" s="108"/>
      <c r="DK20" s="108"/>
      <c r="DL20" s="108"/>
      <c r="DM20" s="108"/>
      <c r="DN20" s="108"/>
      <c r="DO20" s="108"/>
      <c r="DP20" s="108"/>
      <c r="DQ20" s="108"/>
      <c r="DR20" s="108"/>
      <c r="DS20" s="108"/>
      <c r="DT20" s="108"/>
      <c r="DU20" s="108"/>
      <c r="DV20" s="108"/>
      <c r="DW20" s="108"/>
      <c r="DX20" s="108"/>
      <c r="DY20" s="108"/>
      <c r="DZ20" s="108"/>
      <c r="EA20" s="108"/>
      <c r="EB20" s="108"/>
      <c r="EC20" s="108"/>
      <c r="ED20" s="108"/>
      <c r="EE20" s="108"/>
      <c r="EF20" s="108"/>
      <c r="EG20" s="108"/>
      <c r="EH20" s="108"/>
      <c r="EI20" s="108"/>
      <c r="EJ20" s="108"/>
      <c r="EK20" s="108"/>
      <c r="EL20" s="108"/>
      <c r="EM20" s="108"/>
      <c r="EN20" s="108"/>
      <c r="EO20" s="108"/>
      <c r="EP20" s="108"/>
      <c r="EQ20" s="108"/>
      <c r="ER20" s="108"/>
      <c r="ES20" s="108"/>
      <c r="ET20" s="108"/>
      <c r="EU20" s="108"/>
      <c r="EV20" s="108"/>
      <c r="EW20" s="108"/>
      <c r="EX20" s="108"/>
      <c r="EY20" s="108"/>
      <c r="EZ20" s="108"/>
      <c r="FA20" s="108"/>
      <c r="FB20" s="108"/>
      <c r="FC20" s="108"/>
      <c r="FD20" s="108"/>
      <c r="FE20" s="108"/>
      <c r="FF20" s="108"/>
      <c r="FG20" s="108"/>
      <c r="FH20" s="108"/>
      <c r="FI20" s="108"/>
      <c r="FJ20" s="108"/>
      <c r="FK20" s="108"/>
      <c r="FL20" s="108"/>
      <c r="FM20" s="108"/>
      <c r="FN20" s="108"/>
      <c r="FO20" s="108"/>
    </row>
    <row r="21">
      <c r="A21" s="106">
        <f>IFERROR(__xludf.DUMMYFUNCTION("""COMPUTED_VALUE"""),44613.0)</f>
        <v>44613</v>
      </c>
      <c r="B21" s="110">
        <f>IFERROR(__xludf.DUMMYFUNCTION("""COMPUTED_VALUE"""),3052.03)</f>
        <v>3052.03</v>
      </c>
      <c r="C21" s="110">
        <f>IFERROR(__xludf.DUMMYFUNCTION("""COMPUTED_VALUE"""),206.16)</f>
        <v>206.16</v>
      </c>
      <c r="D21" s="110">
        <f>IFERROR(__xludf.DUMMYFUNCTION("""COMPUTED_VALUE"""),856.98)</f>
        <v>856.98</v>
      </c>
      <c r="E21" s="110">
        <f>IFERROR(__xludf.DUMMYFUNCTION("""COMPUTED_VALUE"""),445.4)</f>
        <v>445.4</v>
      </c>
      <c r="F21" s="110">
        <f>IFERROR(__xludf.DUMMYFUNCTION("""COMPUTED_VALUE"""),10.0)</f>
        <v>10</v>
      </c>
      <c r="G21" s="110">
        <f>IFERROR(__xludf.DUMMYFUNCTION("""COMPUTED_VALUE"""),167.3)</f>
        <v>167.3</v>
      </c>
      <c r="H21" s="110">
        <f>IFERROR(__xludf.DUMMYFUNCTION("""COMPUTED_VALUE"""),7.3)</f>
        <v>7.3</v>
      </c>
      <c r="I21" s="110">
        <f>IFERROR(__xludf.DUMMYFUNCTION("""COMPUTED_VALUE"""),12.97)</f>
        <v>12.97</v>
      </c>
      <c r="J21" s="110">
        <f>IFERROR(__xludf.DUMMYFUNCTION("""COMPUTED_VALUE"""),2.22)</f>
        <v>2.22</v>
      </c>
      <c r="K21" s="110">
        <f>IFERROR(__xludf.DUMMYFUNCTION("""COMPUTED_VALUE"""),42.25)</f>
        <v>42.25</v>
      </c>
      <c r="L21" s="110">
        <f>IFERROR(__xludf.DUMMYFUNCTION("""COMPUTED_VALUE"""),180.5)</f>
        <v>180.5</v>
      </c>
      <c r="M21" s="110">
        <f>IFERROR(__xludf.DUMMYFUNCTION("""COMPUTED_VALUE"""),37104.48)</f>
        <v>37104.48</v>
      </c>
      <c r="N21" s="110">
        <f>IFERROR(__xludf.DUMMYFUNCTION("""COMPUTED_VALUE"""),391.29)</f>
        <v>391.29</v>
      </c>
      <c r="O21" s="110">
        <f>IFERROR(__xludf.DUMMYFUNCTION("""COMPUTED_VALUE"""),287.93)</f>
        <v>287.93</v>
      </c>
      <c r="P21" s="110">
        <f>IFERROR(__xludf.DUMMYFUNCTION("""COMPUTED_VALUE"""),25.19)</f>
        <v>25.19</v>
      </c>
      <c r="Q21" s="110">
        <f>IFERROR(__xludf.DUMMYFUNCTION("""COMPUTED_VALUE"""),24.6)</f>
        <v>24.6</v>
      </c>
      <c r="R21" s="110">
        <f>IFERROR(__xludf.DUMMYFUNCTION("""COMPUTED_VALUE"""),71.86)</f>
        <v>71.86</v>
      </c>
      <c r="S21" s="110">
        <f>IFERROR(__xludf.DUMMYFUNCTION("""COMPUTED_VALUE"""),27.3)</f>
        <v>27.3</v>
      </c>
      <c r="T21" s="110">
        <f>IFERROR(__xludf.DUMMYFUNCTION("""COMPUTED_VALUE"""),37.89)</f>
        <v>37.89</v>
      </c>
      <c r="U21" s="110">
        <f>IFERROR(__xludf.DUMMYFUNCTION("""COMPUTED_VALUE"""),43.56)</f>
        <v>43.56</v>
      </c>
      <c r="V21" s="110">
        <f>IFERROR(__xludf.DUMMYFUNCTION("""COMPUTED_VALUE"""),14.38)</f>
        <v>14.38</v>
      </c>
      <c r="W21" s="110">
        <f>IFERROR(__xludf.DUMMYFUNCTION("""COMPUTED_VALUE"""),250.6)</f>
        <v>250.6</v>
      </c>
      <c r="X21" s="110">
        <f>IFERROR(__xludf.DUMMYFUNCTION("""COMPUTED_VALUE"""),2609.35)</f>
        <v>2609.35</v>
      </c>
      <c r="Y21" s="110">
        <f>IFERROR(__xludf.DUMMYFUNCTION("""COMPUTED_VALUE"""),67.2)</f>
        <v>67.2</v>
      </c>
      <c r="Z21" s="110">
        <f>IFERROR(__xludf.DUMMYFUNCTION("""COMPUTED_VALUE"""),62.45)</f>
        <v>62.45</v>
      </c>
      <c r="AA21" s="110">
        <f>IFERROR(__xludf.DUMMYFUNCTION("""COMPUTED_VALUE"""),95.87)</f>
        <v>95.87</v>
      </c>
      <c r="AB21" s="110">
        <f>IFERROR(__xludf.DUMMYFUNCTION("""COMPUTED_VALUE"""),4.83)</f>
        <v>4.83</v>
      </c>
      <c r="AC21" s="110">
        <f>IFERROR(__xludf.DUMMYFUNCTION("""COMPUTED_VALUE"""),68.05)</f>
        <v>68.05</v>
      </c>
      <c r="AD21" s="110">
        <f>IFERROR(__xludf.DUMMYFUNCTION("""COMPUTED_VALUE"""),12.27)</f>
        <v>12.27</v>
      </c>
      <c r="AE21" s="110">
        <f>IFERROR(__xludf.DUMMYFUNCTION("""COMPUTED_VALUE"""),6.22)</f>
        <v>6.22</v>
      </c>
      <c r="AF21" s="110">
        <f>IFERROR(__xludf.DUMMYFUNCTION("""COMPUTED_VALUE"""),44.99)</f>
        <v>44.99</v>
      </c>
      <c r="AG21" s="110">
        <f>IFERROR(__xludf.DUMMYFUNCTION("""COMPUTED_VALUE"""),19.08)</f>
        <v>19.08</v>
      </c>
      <c r="AH21" s="110">
        <f>IFERROR(__xludf.DUMMYFUNCTION("""COMPUTED_VALUE"""),2.12)</f>
        <v>2.12</v>
      </c>
      <c r="AI21" s="110">
        <f>IFERROR(__xludf.DUMMYFUNCTION("""COMPUTED_VALUE"""),3.51)</f>
        <v>3.51</v>
      </c>
      <c r="AJ21" s="110">
        <f>IFERROR(__xludf.DUMMYFUNCTION("""COMPUTED_VALUE"""),127.0)</f>
        <v>127</v>
      </c>
      <c r="AK21" s="110">
        <f>IFERROR(__xludf.DUMMYFUNCTION("""COMPUTED_VALUE"""),236.42)</f>
        <v>236.42</v>
      </c>
      <c r="AL21" s="110">
        <f>IFERROR(__xludf.DUMMYFUNCTION("""COMPUTED_VALUE"""),16.1)</f>
        <v>16.1</v>
      </c>
      <c r="AM21" s="110">
        <f>IFERROR(__xludf.DUMMYFUNCTION("""COMPUTED_VALUE"""),45.96)</f>
        <v>45.96</v>
      </c>
      <c r="AN21" s="110">
        <f>IFERROR(__xludf.DUMMYFUNCTION("""COMPUTED_VALUE"""),314.8)</f>
        <v>314.8</v>
      </c>
      <c r="AO21" s="110">
        <f>IFERROR(__xludf.DUMMYFUNCTION("""COMPUTED_VALUE"""),104.23)</f>
        <v>104.23</v>
      </c>
      <c r="AP21" s="110">
        <f>IFERROR(__xludf.DUMMYFUNCTION("""COMPUTED_VALUE"""),81.05)</f>
        <v>81.05</v>
      </c>
      <c r="AQ21" s="110">
        <f>IFERROR(__xludf.DUMMYFUNCTION("""COMPUTED_VALUE"""),59.1)</f>
        <v>59.1</v>
      </c>
      <c r="AR21" s="109">
        <f>IFERROR(__xludf.DUMMYFUNCTION("""COMPUTED_VALUE"""),104.9485)</f>
        <v>104.9485</v>
      </c>
      <c r="AS21" s="110">
        <f>IFERROR(__xludf.DUMMYFUNCTION("""COMPUTED_VALUE"""),17.005)</f>
        <v>17.005</v>
      </c>
      <c r="AT21" s="110">
        <f>IFERROR(__xludf.DUMMYFUNCTION("""COMPUTED_VALUE"""),114.9)</f>
        <v>114.9</v>
      </c>
      <c r="AU21" s="110">
        <f>IFERROR(__xludf.DUMMYFUNCTION("""COMPUTED_VALUE"""),63.88)</f>
        <v>63.88</v>
      </c>
      <c r="AV21" s="110">
        <f>IFERROR(__xludf.DUMMYFUNCTION("""COMPUTED_VALUE"""),151.36)</f>
        <v>151.36</v>
      </c>
      <c r="AW21" s="110">
        <f>IFERROR(__xludf.DUMMYFUNCTION("""COMPUTED_VALUE"""),133.35)</f>
        <v>133.35</v>
      </c>
      <c r="AX21" s="110">
        <f>IFERROR(__xludf.DUMMYFUNCTION("""COMPUTED_VALUE"""),33.6)</f>
        <v>33.6</v>
      </c>
      <c r="AY21" s="110">
        <f>IFERROR(__xludf.DUMMYFUNCTION("""COMPUTED_VALUE"""),49.72)</f>
        <v>49.72</v>
      </c>
      <c r="AZ21" s="110">
        <f>IFERROR(__xludf.DUMMYFUNCTION("""COMPUTED_VALUE"""),0.0)</f>
        <v>0</v>
      </c>
      <c r="BA21" s="110">
        <f>IFERROR(__xludf.DUMMYFUNCTION("""COMPUTED_VALUE"""),0.0)</f>
        <v>0</v>
      </c>
      <c r="BB21" s="110">
        <f>IFERROR(__xludf.DUMMYFUNCTION("""COMPUTED_VALUE"""),16.36)</f>
        <v>16.36</v>
      </c>
      <c r="BC21" s="110">
        <f>IFERROR(__xludf.DUMMYFUNCTION("""COMPUTED_VALUE"""),46.0)</f>
        <v>46</v>
      </c>
      <c r="BD21" s="110">
        <f>IFERROR(__xludf.DUMMYFUNCTION("""COMPUTED_VALUE"""),227.2)</f>
        <v>227.2</v>
      </c>
      <c r="BE21" s="110">
        <f>IFERROR(__xludf.DUMMYFUNCTION("""COMPUTED_VALUE"""),150.8)</f>
        <v>150.8</v>
      </c>
      <c r="BF21" s="110">
        <f>IFERROR(__xludf.DUMMYFUNCTION("""COMPUTED_VALUE"""),16.84)</f>
        <v>16.84</v>
      </c>
      <c r="BG21" s="110">
        <f>IFERROR(__xludf.DUMMYFUNCTION("""COMPUTED_VALUE"""),482.17)</f>
        <v>482.17</v>
      </c>
      <c r="BH21" s="110">
        <f>IFERROR(__xludf.DUMMYFUNCTION("""COMPUTED_VALUE"""),298.07)</f>
        <v>298.07</v>
      </c>
      <c r="BI21" s="110">
        <f>IFERROR(__xludf.DUMMYFUNCTION("""COMPUTED_VALUE"""),220.77)</f>
        <v>220.77</v>
      </c>
      <c r="BJ21" s="110">
        <f>IFERROR(__xludf.DUMMYFUNCTION("""COMPUTED_VALUE"""),26.59)</f>
        <v>26.59</v>
      </c>
      <c r="BK21" s="110">
        <f>IFERROR(__xludf.DUMMYFUNCTION("""COMPUTED_VALUE"""),287.63)</f>
        <v>287.63</v>
      </c>
      <c r="BL21" s="110">
        <f>IFERROR(__xludf.DUMMYFUNCTION("""COMPUTED_VALUE"""),123.98)</f>
        <v>123.98</v>
      </c>
      <c r="BM21" s="110">
        <f>IFERROR(__xludf.DUMMYFUNCTION("""COMPUTED_VALUE"""),18.04)</f>
        <v>18.04</v>
      </c>
      <c r="BN21" s="110">
        <f>IFERROR(__xludf.DUMMYFUNCTION("""COMPUTED_VALUE"""),397.5)</f>
        <v>397.5</v>
      </c>
      <c r="BO21" s="110">
        <f>IFERROR(__xludf.DUMMYFUNCTION("""COMPUTED_VALUE"""),780.0)</f>
        <v>780</v>
      </c>
      <c r="BP21" s="110">
        <f>IFERROR(__xludf.DUMMYFUNCTION("""COMPUTED_VALUE"""),66.37)</f>
        <v>66.37</v>
      </c>
      <c r="BQ21" s="110">
        <f>IFERROR(__xludf.DUMMYFUNCTION("""COMPUTED_VALUE"""),11.39)</f>
        <v>11.39</v>
      </c>
      <c r="BR21" s="110">
        <f>IFERROR(__xludf.DUMMYFUNCTION("""COMPUTED_VALUE"""),39.63)</f>
        <v>39.63</v>
      </c>
      <c r="BS21" s="110">
        <f>IFERROR(__xludf.DUMMYFUNCTION("""COMPUTED_VALUE"""),0.98)</f>
        <v>0.98</v>
      </c>
      <c r="BT21" s="110">
        <f>IFERROR(__xludf.DUMMYFUNCTION("""COMPUTED_VALUE"""),50.77)</f>
        <v>50.77</v>
      </c>
      <c r="BU21" s="110">
        <f>IFERROR(__xludf.DUMMYFUNCTION("""COMPUTED_VALUE"""),39.7)</f>
        <v>39.7</v>
      </c>
      <c r="BV21" s="110">
        <f>IFERROR(__xludf.DUMMYFUNCTION("""COMPUTED_VALUE"""),55.9)</f>
        <v>55.9</v>
      </c>
      <c r="BW21" s="108"/>
      <c r="BX21" s="108"/>
      <c r="BY21" s="108"/>
      <c r="BZ21" s="108"/>
      <c r="CA21" s="108"/>
      <c r="CB21" s="108"/>
      <c r="CC21" s="108"/>
      <c r="CD21" s="108"/>
      <c r="CE21" s="108"/>
      <c r="CF21" s="108"/>
      <c r="CG21" s="108"/>
      <c r="CH21" s="108"/>
      <c r="CI21" s="108"/>
      <c r="CJ21" s="108"/>
      <c r="CK21" s="108"/>
      <c r="CL21" s="108"/>
      <c r="CM21" s="108"/>
      <c r="CN21" s="108"/>
      <c r="CO21" s="108"/>
      <c r="CP21" s="108"/>
      <c r="CQ21" s="108"/>
      <c r="CR21" s="108"/>
      <c r="CS21" s="108"/>
      <c r="CT21" s="108"/>
      <c r="CU21" s="108"/>
      <c r="CV21" s="108"/>
      <c r="CW21" s="108"/>
      <c r="CX21" s="108"/>
      <c r="CY21" s="108"/>
      <c r="CZ21" s="108"/>
      <c r="DA21" s="108"/>
      <c r="DB21" s="108"/>
      <c r="DC21" s="108"/>
      <c r="DD21" s="108"/>
      <c r="DE21" s="108"/>
      <c r="DF21" s="108"/>
      <c r="DG21" s="108"/>
      <c r="DH21" s="108"/>
      <c r="DI21" s="108"/>
      <c r="DJ21" s="108"/>
      <c r="DK21" s="108"/>
      <c r="DL21" s="108"/>
      <c r="DM21" s="108"/>
      <c r="DN21" s="108"/>
      <c r="DO21" s="108"/>
      <c r="DP21" s="108"/>
      <c r="DQ21" s="108"/>
      <c r="DR21" s="108"/>
      <c r="DS21" s="108"/>
      <c r="DT21" s="108"/>
      <c r="DU21" s="108"/>
      <c r="DV21" s="108"/>
      <c r="DW21" s="108"/>
      <c r="DX21" s="108"/>
      <c r="DY21" s="108"/>
      <c r="DZ21" s="108"/>
      <c r="EA21" s="108"/>
      <c r="EB21" s="108"/>
      <c r="EC21" s="108"/>
      <c r="ED21" s="108"/>
      <c r="EE21" s="108"/>
      <c r="EF21" s="108"/>
      <c r="EG21" s="108"/>
      <c r="EH21" s="108"/>
      <c r="EI21" s="108"/>
      <c r="EJ21" s="108"/>
      <c r="EK21" s="108"/>
      <c r="EL21" s="108"/>
      <c r="EM21" s="108"/>
      <c r="EN21" s="108"/>
      <c r="EO21" s="108"/>
      <c r="EP21" s="108"/>
      <c r="EQ21" s="108"/>
      <c r="ER21" s="108"/>
      <c r="ES21" s="108"/>
      <c r="ET21" s="108"/>
      <c r="EU21" s="108"/>
      <c r="EV21" s="108"/>
      <c r="EW21" s="108"/>
      <c r="EX21" s="108"/>
      <c r="EY21" s="108"/>
      <c r="EZ21" s="108"/>
      <c r="FA21" s="108"/>
      <c r="FB21" s="108"/>
      <c r="FC21" s="108"/>
      <c r="FD21" s="108"/>
      <c r="FE21" s="108"/>
      <c r="FF21" s="108"/>
      <c r="FG21" s="108"/>
      <c r="FH21" s="108"/>
      <c r="FI21" s="108"/>
      <c r="FJ21" s="108"/>
      <c r="FK21" s="108"/>
      <c r="FL21" s="108"/>
      <c r="FM21" s="108"/>
      <c r="FN21" s="108"/>
      <c r="FO21" s="108"/>
    </row>
    <row r="22">
      <c r="A22" s="106">
        <f>IFERROR(__xludf.DUMMYFUNCTION("""COMPUTED_VALUE"""),44614.0)</f>
        <v>44614</v>
      </c>
      <c r="B22" s="110">
        <f>IFERROR(__xludf.DUMMYFUNCTION("""COMPUTED_VALUE"""),3003.95)</f>
        <v>3003.95</v>
      </c>
      <c r="C22" s="110">
        <f>IFERROR(__xludf.DUMMYFUNCTION("""COMPUTED_VALUE"""),202.08)</f>
        <v>202.08</v>
      </c>
      <c r="D22" s="110">
        <f>IFERROR(__xludf.DUMMYFUNCTION("""COMPUTED_VALUE"""),821.53)</f>
        <v>821.53</v>
      </c>
      <c r="E22" s="110">
        <f>IFERROR(__xludf.DUMMYFUNCTION("""COMPUTED_VALUE"""),444.8)</f>
        <v>444.8</v>
      </c>
      <c r="F22" s="110">
        <f>IFERROR(__xludf.DUMMYFUNCTION("""COMPUTED_VALUE"""),10.06)</f>
        <v>10.06</v>
      </c>
      <c r="G22" s="110">
        <f>IFERROR(__xludf.DUMMYFUNCTION("""COMPUTED_VALUE"""),164.32)</f>
        <v>164.32</v>
      </c>
      <c r="H22" s="110">
        <f>IFERROR(__xludf.DUMMYFUNCTION("""COMPUTED_VALUE"""),9.7)</f>
        <v>9.7</v>
      </c>
      <c r="I22" s="110">
        <f>IFERROR(__xludf.DUMMYFUNCTION("""COMPUTED_VALUE"""),13.13)</f>
        <v>13.13</v>
      </c>
      <c r="J22" s="110">
        <f>IFERROR(__xludf.DUMMYFUNCTION("""COMPUTED_VALUE"""),2.01)</f>
        <v>2.01</v>
      </c>
      <c r="K22" s="110">
        <f>IFERROR(__xludf.DUMMYFUNCTION("""COMPUTED_VALUE"""),41.15)</f>
        <v>41.15</v>
      </c>
      <c r="L22" s="110">
        <f>IFERROR(__xludf.DUMMYFUNCTION("""COMPUTED_VALUE"""),171.3)</f>
        <v>171.3</v>
      </c>
      <c r="M22" s="110">
        <f>IFERROR(__xludf.DUMMYFUNCTION("""COMPUTED_VALUE"""),38168.8)</f>
        <v>38168.8</v>
      </c>
      <c r="N22" s="110">
        <f>IFERROR(__xludf.DUMMYFUNCTION("""COMPUTED_VALUE"""),377.38)</f>
        <v>377.38</v>
      </c>
      <c r="O22" s="110">
        <f>IFERROR(__xludf.DUMMYFUNCTION("""COMPUTED_VALUE"""),287.72)</f>
        <v>287.72</v>
      </c>
      <c r="P22" s="110">
        <f>IFERROR(__xludf.DUMMYFUNCTION("""COMPUTED_VALUE"""),24.52)</f>
        <v>24.52</v>
      </c>
      <c r="Q22" s="110">
        <f>IFERROR(__xludf.DUMMYFUNCTION("""COMPUTED_VALUE"""),24.54)</f>
        <v>24.54</v>
      </c>
      <c r="R22" s="110">
        <f>IFERROR(__xludf.DUMMYFUNCTION("""COMPUTED_VALUE"""),70.98)</f>
        <v>70.98</v>
      </c>
      <c r="S22" s="110">
        <f>IFERROR(__xludf.DUMMYFUNCTION("""COMPUTED_VALUE"""),25.93)</f>
        <v>25.93</v>
      </c>
      <c r="T22" s="110">
        <f>IFERROR(__xludf.DUMMYFUNCTION("""COMPUTED_VALUE"""),34.77)</f>
        <v>34.77</v>
      </c>
      <c r="U22" s="110">
        <f>IFERROR(__xludf.DUMMYFUNCTION("""COMPUTED_VALUE"""),43.23)</f>
        <v>43.23</v>
      </c>
      <c r="V22" s="110">
        <f>IFERROR(__xludf.DUMMYFUNCTION("""COMPUTED_VALUE"""),14.47)</f>
        <v>14.47</v>
      </c>
      <c r="W22" s="110">
        <f>IFERROR(__xludf.DUMMYFUNCTION("""COMPUTED_VALUE"""),252.7)</f>
        <v>252.7</v>
      </c>
      <c r="X22" s="110">
        <f>IFERROR(__xludf.DUMMYFUNCTION("""COMPUTED_VALUE"""),2588.05)</f>
        <v>2588.05</v>
      </c>
      <c r="Y22" s="110">
        <f>IFERROR(__xludf.DUMMYFUNCTION("""COMPUTED_VALUE"""),64.45)</f>
        <v>64.45</v>
      </c>
      <c r="Z22" s="110">
        <f>IFERROR(__xludf.DUMMYFUNCTION("""COMPUTED_VALUE"""),59.2)</f>
        <v>59.2</v>
      </c>
      <c r="AA22" s="110">
        <f>IFERROR(__xludf.DUMMYFUNCTION("""COMPUTED_VALUE"""),94.73)</f>
        <v>94.73</v>
      </c>
      <c r="AB22" s="110">
        <f>IFERROR(__xludf.DUMMYFUNCTION("""COMPUTED_VALUE"""),4.76)</f>
        <v>4.76</v>
      </c>
      <c r="AC22" s="110">
        <f>IFERROR(__xludf.DUMMYFUNCTION("""COMPUTED_VALUE"""),66.95)</f>
        <v>66.95</v>
      </c>
      <c r="AD22" s="110">
        <f>IFERROR(__xludf.DUMMYFUNCTION("""COMPUTED_VALUE"""),12.11)</f>
        <v>12.11</v>
      </c>
      <c r="AE22" s="110">
        <f>IFERROR(__xludf.DUMMYFUNCTION("""COMPUTED_VALUE"""),5.97)</f>
        <v>5.97</v>
      </c>
      <c r="AF22" s="110">
        <f>IFERROR(__xludf.DUMMYFUNCTION("""COMPUTED_VALUE"""),47.29)</f>
        <v>47.29</v>
      </c>
      <c r="AG22" s="110">
        <f>IFERROR(__xludf.DUMMYFUNCTION("""COMPUTED_VALUE"""),18.02)</f>
        <v>18.02</v>
      </c>
      <c r="AH22" s="110">
        <f>IFERROR(__xludf.DUMMYFUNCTION("""COMPUTED_VALUE"""),2.13)</f>
        <v>2.13</v>
      </c>
      <c r="AI22" s="110">
        <f>IFERROR(__xludf.DUMMYFUNCTION("""COMPUTED_VALUE"""),3.44)</f>
        <v>3.44</v>
      </c>
      <c r="AJ22" s="110">
        <f>IFERROR(__xludf.DUMMYFUNCTION("""COMPUTED_VALUE"""),122.9)</f>
        <v>122.9</v>
      </c>
      <c r="AK22" s="110">
        <f>IFERROR(__xludf.DUMMYFUNCTION("""COMPUTED_VALUE"""),233.9)</f>
        <v>233.9</v>
      </c>
      <c r="AL22" s="110">
        <f>IFERROR(__xludf.DUMMYFUNCTION("""COMPUTED_VALUE"""),15.62)</f>
        <v>15.62</v>
      </c>
      <c r="AM22" s="110">
        <f>IFERROR(__xludf.DUMMYFUNCTION("""COMPUTED_VALUE"""),45.56)</f>
        <v>45.56</v>
      </c>
      <c r="AN22" s="110">
        <f>IFERROR(__xludf.DUMMYFUNCTION("""COMPUTED_VALUE"""),314.16)</f>
        <v>314.16</v>
      </c>
      <c r="AO22" s="110">
        <f>IFERROR(__xludf.DUMMYFUNCTION("""COMPUTED_VALUE"""),102.68)</f>
        <v>102.68</v>
      </c>
      <c r="AP22" s="110">
        <f>IFERROR(__xludf.DUMMYFUNCTION("""COMPUTED_VALUE"""),81.23)</f>
        <v>81.23</v>
      </c>
      <c r="AQ22" s="110">
        <f>IFERROR(__xludf.DUMMYFUNCTION("""COMPUTED_VALUE"""),56.34)</f>
        <v>56.34</v>
      </c>
      <c r="AR22" s="109">
        <f>IFERROR(__xludf.DUMMYFUNCTION("""COMPUTED_VALUE"""),104.9485)</f>
        <v>104.9485</v>
      </c>
      <c r="AS22" s="110">
        <f>IFERROR(__xludf.DUMMYFUNCTION("""COMPUTED_VALUE"""),16.82)</f>
        <v>16.82</v>
      </c>
      <c r="AT22" s="110">
        <f>IFERROR(__xludf.DUMMYFUNCTION("""COMPUTED_VALUE"""),111.4)</f>
        <v>111.4</v>
      </c>
      <c r="AU22" s="110">
        <f>IFERROR(__xludf.DUMMYFUNCTION("""COMPUTED_VALUE"""),63.1)</f>
        <v>63.1</v>
      </c>
      <c r="AV22" s="110">
        <f>IFERROR(__xludf.DUMMYFUNCTION("""COMPUTED_VALUE"""),148.09)</f>
        <v>148.09</v>
      </c>
      <c r="AW22" s="110">
        <f>IFERROR(__xludf.DUMMYFUNCTION("""COMPUTED_VALUE"""),130.26)</f>
        <v>130.26</v>
      </c>
      <c r="AX22" s="110">
        <f>IFERROR(__xludf.DUMMYFUNCTION("""COMPUTED_VALUE"""),30.85)</f>
        <v>30.85</v>
      </c>
      <c r="AY22" s="110">
        <f>IFERROR(__xludf.DUMMYFUNCTION("""COMPUTED_VALUE"""),48.21)</f>
        <v>48.21</v>
      </c>
      <c r="AZ22" s="110">
        <f>IFERROR(__xludf.DUMMYFUNCTION("""COMPUTED_VALUE"""),0.0)</f>
        <v>0</v>
      </c>
      <c r="BA22" s="110">
        <f>IFERROR(__xludf.DUMMYFUNCTION("""COMPUTED_VALUE"""),0.0)</f>
        <v>0</v>
      </c>
      <c r="BB22" s="110">
        <f>IFERROR(__xludf.DUMMYFUNCTION("""COMPUTED_VALUE"""),15.64)</f>
        <v>15.64</v>
      </c>
      <c r="BC22" s="110">
        <f>IFERROR(__xludf.DUMMYFUNCTION("""COMPUTED_VALUE"""),37.64)</f>
        <v>37.64</v>
      </c>
      <c r="BD22" s="110">
        <f>IFERROR(__xludf.DUMMYFUNCTION("""COMPUTED_VALUE"""),220.8)</f>
        <v>220.8</v>
      </c>
      <c r="BE22" s="110">
        <f>IFERROR(__xludf.DUMMYFUNCTION("""COMPUTED_VALUE"""),150.3)</f>
        <v>150.3</v>
      </c>
      <c r="BF22" s="110">
        <f>IFERROR(__xludf.DUMMYFUNCTION("""COMPUTED_VALUE"""),16.58)</f>
        <v>16.58</v>
      </c>
      <c r="BG22" s="110">
        <f>IFERROR(__xludf.DUMMYFUNCTION("""COMPUTED_VALUE"""),475.51)</f>
        <v>475.51</v>
      </c>
      <c r="BH22" s="110">
        <f>IFERROR(__xludf.DUMMYFUNCTION("""COMPUTED_VALUE"""),295.7)</f>
        <v>295.7</v>
      </c>
      <c r="BI22" s="110">
        <f>IFERROR(__xludf.DUMMYFUNCTION("""COMPUTED_VALUE"""),221.41)</f>
        <v>221.41</v>
      </c>
      <c r="BJ22" s="110">
        <f>IFERROR(__xludf.DUMMYFUNCTION("""COMPUTED_VALUE"""),25.51)</f>
        <v>25.51</v>
      </c>
      <c r="BK22" s="110">
        <f>IFERROR(__xludf.DUMMYFUNCTION("""COMPUTED_VALUE"""),289.47)</f>
        <v>289.47</v>
      </c>
      <c r="BL22" s="110">
        <f>IFERROR(__xludf.DUMMYFUNCTION("""COMPUTED_VALUE"""),123.51)</f>
        <v>123.51</v>
      </c>
      <c r="BM22" s="110">
        <f>IFERROR(__xludf.DUMMYFUNCTION("""COMPUTED_VALUE"""),17.29)</f>
        <v>17.29</v>
      </c>
      <c r="BN22" s="110">
        <f>IFERROR(__xludf.DUMMYFUNCTION("""COMPUTED_VALUE"""),395.4)</f>
        <v>395.4</v>
      </c>
      <c r="BO22" s="110">
        <f>IFERROR(__xludf.DUMMYFUNCTION("""COMPUTED_VALUE"""),754.08)</f>
        <v>754.08</v>
      </c>
      <c r="BP22" s="110">
        <f>IFERROR(__xludf.DUMMYFUNCTION("""COMPUTED_VALUE"""),62.39)</f>
        <v>62.39</v>
      </c>
      <c r="BQ22" s="110">
        <f>IFERROR(__xludf.DUMMYFUNCTION("""COMPUTED_VALUE"""),10.26)</f>
        <v>10.26</v>
      </c>
      <c r="BR22" s="110">
        <f>IFERROR(__xludf.DUMMYFUNCTION("""COMPUTED_VALUE"""),38.61)</f>
        <v>38.61</v>
      </c>
      <c r="BS22" s="110">
        <f>IFERROR(__xludf.DUMMYFUNCTION("""COMPUTED_VALUE"""),0.97)</f>
        <v>0.97</v>
      </c>
      <c r="BT22" s="110">
        <f>IFERROR(__xludf.DUMMYFUNCTION("""COMPUTED_VALUE"""),50.18)</f>
        <v>50.18</v>
      </c>
      <c r="BU22" s="110">
        <f>IFERROR(__xludf.DUMMYFUNCTION("""COMPUTED_VALUE"""),39.75)</f>
        <v>39.75</v>
      </c>
      <c r="BV22" s="110">
        <f>IFERROR(__xludf.DUMMYFUNCTION("""COMPUTED_VALUE"""),55.3)</f>
        <v>55.3</v>
      </c>
      <c r="BW22" s="110">
        <f>IFERROR(__xludf.DUMMYFUNCTION("""COMPUTED_VALUE"""),8.8)</f>
        <v>8.8</v>
      </c>
      <c r="BX22" s="110">
        <f>IFERROR(__xludf.DUMMYFUNCTION("""COMPUTED_VALUE"""),7.5)</f>
        <v>7.5</v>
      </c>
      <c r="BY22" s="110">
        <f>IFERROR(__xludf.DUMMYFUNCTION("""COMPUTED_VALUE"""),1.4)</f>
        <v>1.4</v>
      </c>
      <c r="BZ22" s="108"/>
      <c r="CA22" s="108"/>
      <c r="CB22" s="108"/>
      <c r="CC22" s="108"/>
      <c r="CD22" s="108"/>
      <c r="CE22" s="108"/>
      <c r="CF22" s="108"/>
      <c r="CG22" s="108"/>
      <c r="CH22" s="108"/>
      <c r="CI22" s="108"/>
      <c r="CJ22" s="108"/>
      <c r="CK22" s="108"/>
      <c r="CL22" s="108"/>
      <c r="CM22" s="108"/>
      <c r="CN22" s="108"/>
      <c r="CO22" s="108"/>
      <c r="CP22" s="108"/>
      <c r="CQ22" s="108"/>
      <c r="CR22" s="108"/>
      <c r="CS22" s="108"/>
      <c r="CT22" s="108"/>
      <c r="CU22" s="108"/>
      <c r="CV22" s="108"/>
      <c r="CW22" s="108"/>
      <c r="CX22" s="108"/>
      <c r="CY22" s="108"/>
      <c r="CZ22" s="108"/>
      <c r="DA22" s="108"/>
      <c r="DB22" s="108"/>
      <c r="DC22" s="108"/>
      <c r="DD22" s="108"/>
      <c r="DE22" s="108"/>
      <c r="DF22" s="108"/>
      <c r="DG22" s="108"/>
      <c r="DH22" s="108"/>
      <c r="DI22" s="108"/>
      <c r="DJ22" s="108"/>
      <c r="DK22" s="108"/>
      <c r="DL22" s="108"/>
      <c r="DM22" s="108"/>
      <c r="DN22" s="108"/>
      <c r="DO22" s="108"/>
      <c r="DP22" s="108"/>
      <c r="DQ22" s="108"/>
      <c r="DR22" s="108"/>
      <c r="DS22" s="108"/>
      <c r="DT22" s="108"/>
      <c r="DU22" s="108"/>
      <c r="DV22" s="108"/>
      <c r="DW22" s="108"/>
      <c r="DX22" s="108"/>
      <c r="DY22" s="108"/>
      <c r="DZ22" s="108"/>
      <c r="EA22" s="108"/>
      <c r="EB22" s="108"/>
      <c r="EC22" s="108"/>
      <c r="ED22" s="108"/>
      <c r="EE22" s="108"/>
      <c r="EF22" s="108"/>
      <c r="EG22" s="108"/>
      <c r="EH22" s="108"/>
      <c r="EI22" s="108"/>
      <c r="EJ22" s="108"/>
      <c r="EK22" s="108"/>
      <c r="EL22" s="108"/>
      <c r="EM22" s="108"/>
      <c r="EN22" s="108"/>
      <c r="EO22" s="108"/>
      <c r="EP22" s="108"/>
      <c r="EQ22" s="108"/>
      <c r="ER22" s="108"/>
      <c r="ES22" s="108"/>
      <c r="ET22" s="108"/>
      <c r="EU22" s="108"/>
      <c r="EV22" s="108"/>
      <c r="EW22" s="108"/>
      <c r="EX22" s="108"/>
      <c r="EY22" s="108"/>
      <c r="EZ22" s="108"/>
      <c r="FA22" s="108"/>
      <c r="FB22" s="108"/>
      <c r="FC22" s="108"/>
      <c r="FD22" s="108"/>
      <c r="FE22" s="108"/>
      <c r="FF22" s="108"/>
      <c r="FG22" s="108"/>
      <c r="FH22" s="108"/>
      <c r="FI22" s="108"/>
      <c r="FJ22" s="108"/>
      <c r="FK22" s="108"/>
      <c r="FL22" s="108"/>
      <c r="FM22" s="108"/>
      <c r="FN22" s="108"/>
      <c r="FO22" s="108"/>
    </row>
    <row r="23">
      <c r="A23" s="106">
        <f>IFERROR(__xludf.DUMMYFUNCTION("""COMPUTED_VALUE"""),44615.0)</f>
        <v>44615</v>
      </c>
      <c r="B23" s="110">
        <f>IFERROR(__xludf.DUMMYFUNCTION("""COMPUTED_VALUE"""),2896.54)</f>
        <v>2896.54</v>
      </c>
      <c r="C23" s="110">
        <f>IFERROR(__xludf.DUMMYFUNCTION("""COMPUTED_VALUE"""),198.45)</f>
        <v>198.45</v>
      </c>
      <c r="D23" s="110">
        <f>IFERROR(__xludf.DUMMYFUNCTION("""COMPUTED_VALUE"""),764.04)</f>
        <v>764.04</v>
      </c>
      <c r="E23" s="110">
        <f>IFERROR(__xludf.DUMMYFUNCTION("""COMPUTED_VALUE"""),445.0)</f>
        <v>445</v>
      </c>
      <c r="F23" s="110">
        <f>IFERROR(__xludf.DUMMYFUNCTION("""COMPUTED_VALUE"""),10.02)</f>
        <v>10.02</v>
      </c>
      <c r="G23" s="110">
        <f>IFERROR(__xludf.DUMMYFUNCTION("""COMPUTED_VALUE"""),160.07)</f>
        <v>160.07</v>
      </c>
      <c r="H23" s="110">
        <f>IFERROR(__xludf.DUMMYFUNCTION("""COMPUTED_VALUE"""),10.25)</f>
        <v>10.25</v>
      </c>
      <c r="I23" s="110">
        <f>IFERROR(__xludf.DUMMYFUNCTION("""COMPUTED_VALUE"""),16.0)</f>
        <v>16</v>
      </c>
      <c r="J23" s="110">
        <f>IFERROR(__xludf.DUMMYFUNCTION("""COMPUTED_VALUE"""),1.54)</f>
        <v>1.54</v>
      </c>
      <c r="K23" s="110">
        <f>IFERROR(__xludf.DUMMYFUNCTION("""COMPUTED_VALUE"""),42.45)</f>
        <v>42.45</v>
      </c>
      <c r="L23" s="110">
        <f>IFERROR(__xludf.DUMMYFUNCTION("""COMPUTED_VALUE"""),176.6)</f>
        <v>176.6</v>
      </c>
      <c r="M23" s="110">
        <f>IFERROR(__xludf.DUMMYFUNCTION("""COMPUTED_VALUE"""),37227.023)</f>
        <v>37227.023</v>
      </c>
      <c r="N23" s="110">
        <f>IFERROR(__xludf.DUMMYFUNCTION("""COMPUTED_VALUE"""),367.46)</f>
        <v>367.46</v>
      </c>
      <c r="O23" s="110">
        <f>IFERROR(__xludf.DUMMYFUNCTION("""COMPUTED_VALUE"""),280.27)</f>
        <v>280.27</v>
      </c>
      <c r="P23" s="110">
        <f>IFERROR(__xludf.DUMMYFUNCTION("""COMPUTED_VALUE"""),24.22)</f>
        <v>24.22</v>
      </c>
      <c r="Q23" s="110">
        <f>IFERROR(__xludf.DUMMYFUNCTION("""COMPUTED_VALUE"""),24.3)</f>
        <v>24.3</v>
      </c>
      <c r="R23" s="110">
        <f>IFERROR(__xludf.DUMMYFUNCTION("""COMPUTED_VALUE"""),70.54)</f>
        <v>70.54</v>
      </c>
      <c r="S23" s="110">
        <f>IFERROR(__xludf.DUMMYFUNCTION("""COMPUTED_VALUE"""),25.63)</f>
        <v>25.63</v>
      </c>
      <c r="T23" s="110">
        <f>IFERROR(__xludf.DUMMYFUNCTION("""COMPUTED_VALUE"""),34.21)</f>
        <v>34.21</v>
      </c>
      <c r="U23" s="110">
        <f>IFERROR(__xludf.DUMMYFUNCTION("""COMPUTED_VALUE"""),42.48)</f>
        <v>42.48</v>
      </c>
      <c r="V23" s="110">
        <f>IFERROR(__xludf.DUMMYFUNCTION("""COMPUTED_VALUE"""),14.43)</f>
        <v>14.43</v>
      </c>
      <c r="W23" s="110">
        <f>IFERROR(__xludf.DUMMYFUNCTION("""COMPUTED_VALUE"""),247.79)</f>
        <v>247.79</v>
      </c>
      <c r="X23" s="110">
        <f>IFERROR(__xludf.DUMMYFUNCTION("""COMPUTED_VALUE"""),2551.7)</f>
        <v>2551.7</v>
      </c>
      <c r="Y23" s="110">
        <f>IFERROR(__xludf.DUMMYFUNCTION("""COMPUTED_VALUE"""),64.15)</f>
        <v>64.15</v>
      </c>
      <c r="Z23" s="110">
        <f>IFERROR(__xludf.DUMMYFUNCTION("""COMPUTED_VALUE"""),62.1)</f>
        <v>62.1</v>
      </c>
      <c r="AA23" s="110">
        <f>IFERROR(__xludf.DUMMYFUNCTION("""COMPUTED_VALUE"""),91.34)</f>
        <v>91.34</v>
      </c>
      <c r="AB23" s="110">
        <f>IFERROR(__xludf.DUMMYFUNCTION("""COMPUTED_VALUE"""),4.74)</f>
        <v>4.74</v>
      </c>
      <c r="AC23" s="110">
        <f>IFERROR(__xludf.DUMMYFUNCTION("""COMPUTED_VALUE"""),67.64)</f>
        <v>67.64</v>
      </c>
      <c r="AD23" s="110">
        <f>IFERROR(__xludf.DUMMYFUNCTION("""COMPUTED_VALUE"""),11.95)</f>
        <v>11.95</v>
      </c>
      <c r="AE23" s="110">
        <f>IFERROR(__xludf.DUMMYFUNCTION("""COMPUTED_VALUE"""),6.13)</f>
        <v>6.13</v>
      </c>
      <c r="AF23" s="110">
        <f>IFERROR(__xludf.DUMMYFUNCTION("""COMPUTED_VALUE"""),46.54)</f>
        <v>46.54</v>
      </c>
      <c r="AG23" s="110">
        <f>IFERROR(__xludf.DUMMYFUNCTION("""COMPUTED_VALUE"""),18.32)</f>
        <v>18.32</v>
      </c>
      <c r="AH23" s="110">
        <f>IFERROR(__xludf.DUMMYFUNCTION("""COMPUTED_VALUE"""),2.14)</f>
        <v>2.14</v>
      </c>
      <c r="AI23" s="110">
        <f>IFERROR(__xludf.DUMMYFUNCTION("""COMPUTED_VALUE"""),3.46)</f>
        <v>3.46</v>
      </c>
      <c r="AJ23" s="110">
        <f>IFERROR(__xludf.DUMMYFUNCTION("""COMPUTED_VALUE"""),122.0)</f>
        <v>122</v>
      </c>
      <c r="AK23" s="110">
        <f>IFERROR(__xludf.DUMMYFUNCTION("""COMPUTED_VALUE"""),223.87)</f>
        <v>223.87</v>
      </c>
      <c r="AL23" s="110">
        <f>IFERROR(__xludf.DUMMYFUNCTION("""COMPUTED_VALUE"""),15.76)</f>
        <v>15.76</v>
      </c>
      <c r="AM23" s="110">
        <f>IFERROR(__xludf.DUMMYFUNCTION("""COMPUTED_VALUE"""),44.78)</f>
        <v>44.78</v>
      </c>
      <c r="AN23" s="110">
        <f>IFERROR(__xludf.DUMMYFUNCTION("""COMPUTED_VALUE"""),309.99)</f>
        <v>309.99</v>
      </c>
      <c r="AO23" s="110">
        <f>IFERROR(__xludf.DUMMYFUNCTION("""COMPUTED_VALUE"""),101.31)</f>
        <v>101.31</v>
      </c>
      <c r="AP23" s="110">
        <f>IFERROR(__xludf.DUMMYFUNCTION("""COMPUTED_VALUE"""),80.71)</f>
        <v>80.71</v>
      </c>
      <c r="AQ23" s="110">
        <f>IFERROR(__xludf.DUMMYFUNCTION("""COMPUTED_VALUE"""),55.82)</f>
        <v>55.82</v>
      </c>
      <c r="AR23" s="109">
        <f>IFERROR(__xludf.DUMMYFUNCTION("""COMPUTED_VALUE"""),104.6995)</f>
        <v>104.6995</v>
      </c>
      <c r="AS23" s="110">
        <f>IFERROR(__xludf.DUMMYFUNCTION("""COMPUTED_VALUE"""),18.28)</f>
        <v>18.28</v>
      </c>
      <c r="AT23" s="110">
        <f>IFERROR(__xludf.DUMMYFUNCTION("""COMPUTED_VALUE"""),112.4)</f>
        <v>112.4</v>
      </c>
      <c r="AU23" s="110">
        <f>IFERROR(__xludf.DUMMYFUNCTION("""COMPUTED_VALUE"""),62.62)</f>
        <v>62.62</v>
      </c>
      <c r="AV23" s="110">
        <f>IFERROR(__xludf.DUMMYFUNCTION("""COMPUTED_VALUE"""),145.87)</f>
        <v>145.87</v>
      </c>
      <c r="AW23" s="110">
        <f>IFERROR(__xludf.DUMMYFUNCTION("""COMPUTED_VALUE"""),127.86)</f>
        <v>127.86</v>
      </c>
      <c r="AX23" s="110">
        <f>IFERROR(__xludf.DUMMYFUNCTION("""COMPUTED_VALUE"""),30.15)</f>
        <v>30.15</v>
      </c>
      <c r="AY23" s="110">
        <f>IFERROR(__xludf.DUMMYFUNCTION("""COMPUTED_VALUE"""),45.68)</f>
        <v>45.68</v>
      </c>
      <c r="AZ23" s="110">
        <f>IFERROR(__xludf.DUMMYFUNCTION("""COMPUTED_VALUE"""),0.0)</f>
        <v>0</v>
      </c>
      <c r="BA23" s="110">
        <f>IFERROR(__xludf.DUMMYFUNCTION("""COMPUTED_VALUE"""),0.0)</f>
        <v>0</v>
      </c>
      <c r="BB23" s="110">
        <f>IFERROR(__xludf.DUMMYFUNCTION("""COMPUTED_VALUE"""),15.92)</f>
        <v>15.92</v>
      </c>
      <c r="BC23" s="110">
        <f>IFERROR(__xludf.DUMMYFUNCTION("""COMPUTED_VALUE"""),34.9)</f>
        <v>34.9</v>
      </c>
      <c r="BD23" s="110">
        <f>IFERROR(__xludf.DUMMYFUNCTION("""COMPUTED_VALUE"""),218.0)</f>
        <v>218</v>
      </c>
      <c r="BE23" s="110">
        <f>IFERROR(__xludf.DUMMYFUNCTION("""COMPUTED_VALUE"""),147.1)</f>
        <v>147.1</v>
      </c>
      <c r="BF23" s="110">
        <f>IFERROR(__xludf.DUMMYFUNCTION("""COMPUTED_VALUE"""),16.58)</f>
        <v>16.58</v>
      </c>
      <c r="BG23" s="110">
        <f>IFERROR(__xludf.DUMMYFUNCTION("""COMPUTED_VALUE"""),477.61)</f>
        <v>477.61</v>
      </c>
      <c r="BH23" s="110">
        <f>IFERROR(__xludf.DUMMYFUNCTION("""COMPUTED_VALUE"""),281.02)</f>
        <v>281.02</v>
      </c>
      <c r="BI23" s="110">
        <f>IFERROR(__xludf.DUMMYFUNCTION("""COMPUTED_VALUE"""),221.0)</f>
        <v>221</v>
      </c>
      <c r="BJ23" s="110">
        <f>IFERROR(__xludf.DUMMYFUNCTION("""COMPUTED_VALUE"""),23.97)</f>
        <v>23.97</v>
      </c>
      <c r="BK23" s="110">
        <f>IFERROR(__xludf.DUMMYFUNCTION("""COMPUTED_VALUE"""),285.53)</f>
        <v>285.53</v>
      </c>
      <c r="BL23" s="110">
        <f>IFERROR(__xludf.DUMMYFUNCTION("""COMPUTED_VALUE"""),121.44)</f>
        <v>121.44</v>
      </c>
      <c r="BM23" s="110">
        <f>IFERROR(__xludf.DUMMYFUNCTION("""COMPUTED_VALUE"""),16.95)</f>
        <v>16.95</v>
      </c>
      <c r="BN23" s="110">
        <f>IFERROR(__xludf.DUMMYFUNCTION("""COMPUTED_VALUE"""),387.31)</f>
        <v>387.31</v>
      </c>
      <c r="BO23" s="110">
        <f>IFERROR(__xludf.DUMMYFUNCTION("""COMPUTED_VALUE"""),755.0)</f>
        <v>755</v>
      </c>
      <c r="BP23" s="110">
        <f>IFERROR(__xludf.DUMMYFUNCTION("""COMPUTED_VALUE"""),57.53)</f>
        <v>57.53</v>
      </c>
      <c r="BQ23" s="110">
        <f>IFERROR(__xludf.DUMMYFUNCTION("""COMPUTED_VALUE"""),9.82)</f>
        <v>9.82</v>
      </c>
      <c r="BR23" s="110">
        <f>IFERROR(__xludf.DUMMYFUNCTION("""COMPUTED_VALUE"""),35.91)</f>
        <v>35.91</v>
      </c>
      <c r="BS23" s="110">
        <f>IFERROR(__xludf.DUMMYFUNCTION("""COMPUTED_VALUE"""),0.97)</f>
        <v>0.97</v>
      </c>
      <c r="BT23" s="110">
        <f>IFERROR(__xludf.DUMMYFUNCTION("""COMPUTED_VALUE"""),50.35)</f>
        <v>50.35</v>
      </c>
      <c r="BU23" s="110">
        <f>IFERROR(__xludf.DUMMYFUNCTION("""COMPUTED_VALUE"""),39.3)</f>
        <v>39.3</v>
      </c>
      <c r="BV23" s="110">
        <f>IFERROR(__xludf.DUMMYFUNCTION("""COMPUTED_VALUE"""),54.9)</f>
        <v>54.9</v>
      </c>
      <c r="BW23" s="110">
        <f>IFERROR(__xludf.DUMMYFUNCTION("""COMPUTED_VALUE"""),7.52)</f>
        <v>7.52</v>
      </c>
      <c r="BX23" s="110">
        <f>IFERROR(__xludf.DUMMYFUNCTION("""COMPUTED_VALUE"""),7.24)</f>
        <v>7.24</v>
      </c>
      <c r="BY23" s="110">
        <f>IFERROR(__xludf.DUMMYFUNCTION("""COMPUTED_VALUE"""),0.49)</f>
        <v>0.49</v>
      </c>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8"/>
      <c r="DD23" s="108"/>
      <c r="DE23" s="108"/>
      <c r="DF23" s="108"/>
      <c r="DG23" s="108"/>
      <c r="DH23" s="108"/>
      <c r="DI23" s="108"/>
      <c r="DJ23" s="108"/>
      <c r="DK23" s="108"/>
      <c r="DL23" s="108"/>
      <c r="DM23" s="108"/>
      <c r="DN23" s="108"/>
      <c r="DO23" s="108"/>
      <c r="DP23" s="108"/>
      <c r="DQ23" s="108"/>
      <c r="DR23" s="108"/>
      <c r="DS23" s="108"/>
      <c r="DT23" s="108"/>
      <c r="DU23" s="108"/>
      <c r="DV23" s="108"/>
      <c r="DW23" s="108"/>
      <c r="DX23" s="108"/>
      <c r="DY23" s="108"/>
      <c r="DZ23" s="108"/>
      <c r="EA23" s="108"/>
      <c r="EB23" s="108"/>
      <c r="EC23" s="108"/>
      <c r="ED23" s="108"/>
      <c r="EE23" s="108"/>
      <c r="EF23" s="108"/>
      <c r="EG23" s="108"/>
      <c r="EH23" s="108"/>
      <c r="EI23" s="108"/>
      <c r="EJ23" s="108"/>
      <c r="EK23" s="108"/>
      <c r="EL23" s="108"/>
      <c r="EM23" s="108"/>
      <c r="EN23" s="108"/>
      <c r="EO23" s="108"/>
      <c r="EP23" s="108"/>
      <c r="EQ23" s="108"/>
      <c r="ER23" s="108"/>
      <c r="ES23" s="108"/>
      <c r="ET23" s="108"/>
      <c r="EU23" s="108"/>
      <c r="EV23" s="108"/>
      <c r="EW23" s="108"/>
      <c r="EX23" s="108"/>
      <c r="EY23" s="108"/>
      <c r="EZ23" s="108"/>
      <c r="FA23" s="108"/>
      <c r="FB23" s="108"/>
      <c r="FC23" s="108"/>
      <c r="FD23" s="108"/>
      <c r="FE23" s="108"/>
      <c r="FF23" s="108"/>
      <c r="FG23" s="108"/>
      <c r="FH23" s="108"/>
      <c r="FI23" s="108"/>
      <c r="FJ23" s="108"/>
      <c r="FK23" s="108"/>
      <c r="FL23" s="108"/>
      <c r="FM23" s="108"/>
      <c r="FN23" s="108"/>
      <c r="FO23" s="108"/>
    </row>
    <row r="24">
      <c r="A24" s="106">
        <f>IFERROR(__xludf.DUMMYFUNCTION("""COMPUTED_VALUE"""),44616.0)</f>
        <v>44616</v>
      </c>
      <c r="B24" s="110">
        <f>IFERROR(__xludf.DUMMYFUNCTION("""COMPUTED_VALUE"""),3027.16)</f>
        <v>3027.16</v>
      </c>
      <c r="C24" s="110">
        <f>IFERROR(__xludf.DUMMYFUNCTION("""COMPUTED_VALUE"""),207.6)</f>
        <v>207.6</v>
      </c>
      <c r="D24" s="110">
        <f>IFERROR(__xludf.DUMMYFUNCTION("""COMPUTED_VALUE"""),800.77)</f>
        <v>800.77</v>
      </c>
      <c r="E24" s="110">
        <f>IFERROR(__xludf.DUMMYFUNCTION("""COMPUTED_VALUE"""),427.8)</f>
        <v>427.8</v>
      </c>
      <c r="F24" s="110">
        <f>IFERROR(__xludf.DUMMYFUNCTION("""COMPUTED_VALUE"""),10.12)</f>
        <v>10.12</v>
      </c>
      <c r="G24" s="110">
        <f>IFERROR(__xludf.DUMMYFUNCTION("""COMPUTED_VALUE"""),162.74)</f>
        <v>162.74</v>
      </c>
      <c r="H24" s="110">
        <f>IFERROR(__xludf.DUMMYFUNCTION("""COMPUTED_VALUE"""),9.54)</f>
        <v>9.54</v>
      </c>
      <c r="I24" s="110">
        <f>IFERROR(__xludf.DUMMYFUNCTION("""COMPUTED_VALUE"""),11.04)</f>
        <v>11.04</v>
      </c>
      <c r="J24" s="110">
        <f>IFERROR(__xludf.DUMMYFUNCTION("""COMPUTED_VALUE"""),1.01)</f>
        <v>1.01</v>
      </c>
      <c r="K24" s="110">
        <f>IFERROR(__xludf.DUMMYFUNCTION("""COMPUTED_VALUE"""),41.15)</f>
        <v>41.15</v>
      </c>
      <c r="L24" s="110">
        <f>IFERROR(__xludf.DUMMYFUNCTION("""COMPUTED_VALUE"""),170.2)</f>
        <v>170.2</v>
      </c>
      <c r="M24" s="110">
        <f>IFERROR(__xludf.DUMMYFUNCTION("""COMPUTED_VALUE"""),38618.562)</f>
        <v>38618.562</v>
      </c>
      <c r="N24" s="110">
        <f>IFERROR(__xludf.DUMMYFUNCTION("""COMPUTED_VALUE"""),390.03)</f>
        <v>390.03</v>
      </c>
      <c r="O24" s="110">
        <f>IFERROR(__xludf.DUMMYFUNCTION("""COMPUTED_VALUE"""),294.59)</f>
        <v>294.59</v>
      </c>
      <c r="P24" s="110">
        <f>IFERROR(__xludf.DUMMYFUNCTION("""COMPUTED_VALUE"""),25.44)</f>
        <v>25.44</v>
      </c>
      <c r="Q24" s="110">
        <f>IFERROR(__xludf.DUMMYFUNCTION("""COMPUTED_VALUE"""),24.46)</f>
        <v>24.46</v>
      </c>
      <c r="R24" s="110">
        <f>IFERROR(__xludf.DUMMYFUNCTION("""COMPUTED_VALUE"""),70.91)</f>
        <v>70.91</v>
      </c>
      <c r="S24" s="110">
        <f>IFERROR(__xludf.DUMMYFUNCTION("""COMPUTED_VALUE"""),26.59)</f>
        <v>26.59</v>
      </c>
      <c r="T24" s="110">
        <f>IFERROR(__xludf.DUMMYFUNCTION("""COMPUTED_VALUE"""),34.56)</f>
        <v>34.56</v>
      </c>
      <c r="U24" s="110">
        <f>IFERROR(__xludf.DUMMYFUNCTION("""COMPUTED_VALUE"""),43.51)</f>
        <v>43.51</v>
      </c>
      <c r="V24" s="110">
        <f>IFERROR(__xludf.DUMMYFUNCTION("""COMPUTED_VALUE"""),14.43)</f>
        <v>14.43</v>
      </c>
      <c r="W24" s="110">
        <f>IFERROR(__xludf.DUMMYFUNCTION("""COMPUTED_VALUE"""),245.03)</f>
        <v>245.03</v>
      </c>
      <c r="X24" s="110">
        <f>IFERROR(__xludf.DUMMYFUNCTION("""COMPUTED_VALUE"""),2653.47)</f>
        <v>2653.47</v>
      </c>
      <c r="Y24" s="110">
        <f>IFERROR(__xludf.DUMMYFUNCTION("""COMPUTED_VALUE"""),61.35)</f>
        <v>61.35</v>
      </c>
      <c r="Z24" s="110">
        <f>IFERROR(__xludf.DUMMYFUNCTION("""COMPUTED_VALUE"""),61.75)</f>
        <v>61.75</v>
      </c>
      <c r="AA24" s="110">
        <f>IFERROR(__xludf.DUMMYFUNCTION("""COMPUTED_VALUE"""),108.38)</f>
        <v>108.38</v>
      </c>
      <c r="AB24" s="110">
        <f>IFERROR(__xludf.DUMMYFUNCTION("""COMPUTED_VALUE"""),4.65)</f>
        <v>4.65</v>
      </c>
      <c r="AC24" s="110">
        <f>IFERROR(__xludf.DUMMYFUNCTION("""COMPUTED_VALUE"""),67.11)</f>
        <v>67.11</v>
      </c>
      <c r="AD24" s="110">
        <f>IFERROR(__xludf.DUMMYFUNCTION("""COMPUTED_VALUE"""),12.0)</f>
        <v>12</v>
      </c>
      <c r="AE24" s="110">
        <f>IFERROR(__xludf.DUMMYFUNCTION("""COMPUTED_VALUE"""),5.74)</f>
        <v>5.74</v>
      </c>
      <c r="AF24" s="110">
        <f>IFERROR(__xludf.DUMMYFUNCTION("""COMPUTED_VALUE"""),45.5)</f>
        <v>45.5</v>
      </c>
      <c r="AG24" s="110">
        <f>IFERROR(__xludf.DUMMYFUNCTION("""COMPUTED_VALUE"""),17.32)</f>
        <v>17.32</v>
      </c>
      <c r="AH24" s="110">
        <f>IFERROR(__xludf.DUMMYFUNCTION("""COMPUTED_VALUE"""),2.1)</f>
        <v>2.1</v>
      </c>
      <c r="AI24" s="110">
        <f>IFERROR(__xludf.DUMMYFUNCTION("""COMPUTED_VALUE"""),3.36)</f>
        <v>3.36</v>
      </c>
      <c r="AJ24" s="110">
        <f>IFERROR(__xludf.DUMMYFUNCTION("""COMPUTED_VALUE"""),117.3)</f>
        <v>117.3</v>
      </c>
      <c r="AK24" s="110">
        <f>IFERROR(__xludf.DUMMYFUNCTION("""COMPUTED_VALUE"""),237.48)</f>
        <v>237.48</v>
      </c>
      <c r="AL24" s="110">
        <f>IFERROR(__xludf.DUMMYFUNCTION("""COMPUTED_VALUE"""),14.96)</f>
        <v>14.96</v>
      </c>
      <c r="AM24" s="110">
        <f>IFERROR(__xludf.DUMMYFUNCTION("""COMPUTED_VALUE"""),43.6)</f>
        <v>43.6</v>
      </c>
      <c r="AN24" s="110">
        <f>IFERROR(__xludf.DUMMYFUNCTION("""COMPUTED_VALUE"""),308.28)</f>
        <v>308.28</v>
      </c>
      <c r="AO24" s="110">
        <f>IFERROR(__xludf.DUMMYFUNCTION("""COMPUTED_VALUE"""),101.99)</f>
        <v>101.99</v>
      </c>
      <c r="AP24" s="110">
        <f>IFERROR(__xludf.DUMMYFUNCTION("""COMPUTED_VALUE"""),81.01)</f>
        <v>81.01</v>
      </c>
      <c r="AQ24" s="110">
        <f>IFERROR(__xludf.DUMMYFUNCTION("""COMPUTED_VALUE"""),55.58)</f>
        <v>55.58</v>
      </c>
      <c r="AR24" s="109">
        <f>IFERROR(__xludf.DUMMYFUNCTION("""COMPUTED_VALUE"""),104.6535)</f>
        <v>104.6535</v>
      </c>
      <c r="AS24" s="110">
        <f>IFERROR(__xludf.DUMMYFUNCTION("""COMPUTED_VALUE"""),17.44)</f>
        <v>17.44</v>
      </c>
      <c r="AT24" s="110">
        <f>IFERROR(__xludf.DUMMYFUNCTION("""COMPUTED_VALUE"""),104.9)</f>
        <v>104.9</v>
      </c>
      <c r="AU24" s="110">
        <f>IFERROR(__xludf.DUMMYFUNCTION("""COMPUTED_VALUE"""),62.35)</f>
        <v>62.35</v>
      </c>
      <c r="AV24" s="110">
        <f>IFERROR(__xludf.DUMMYFUNCTION("""COMPUTED_VALUE"""),149.4)</f>
        <v>149.4</v>
      </c>
      <c r="AW24" s="110">
        <f>IFERROR(__xludf.DUMMYFUNCTION("""COMPUTED_VALUE"""),133.42)</f>
        <v>133.42</v>
      </c>
      <c r="AX24" s="110">
        <f>IFERROR(__xludf.DUMMYFUNCTION("""COMPUTED_VALUE"""),28.6)</f>
        <v>28.6</v>
      </c>
      <c r="AY24" s="110">
        <f>IFERROR(__xludf.DUMMYFUNCTION("""COMPUTED_VALUE"""),50.1)</f>
        <v>50.1</v>
      </c>
      <c r="AZ24" s="110">
        <f>IFERROR(__xludf.DUMMYFUNCTION("""COMPUTED_VALUE"""),0.0)</f>
        <v>0</v>
      </c>
      <c r="BA24" s="110">
        <f>IFERROR(__xludf.DUMMYFUNCTION("""COMPUTED_VALUE"""),0.0)</f>
        <v>0</v>
      </c>
      <c r="BB24" s="110">
        <f>IFERROR(__xludf.DUMMYFUNCTION("""COMPUTED_VALUE"""),15.16)</f>
        <v>15.16</v>
      </c>
      <c r="BC24" s="110">
        <f>IFERROR(__xludf.DUMMYFUNCTION("""COMPUTED_VALUE"""),36.49)</f>
        <v>36.49</v>
      </c>
      <c r="BD24" s="110">
        <f>IFERROR(__xludf.DUMMYFUNCTION("""COMPUTED_VALUE"""),204.8)</f>
        <v>204.8</v>
      </c>
      <c r="BE24" s="110">
        <f>IFERROR(__xludf.DUMMYFUNCTION("""COMPUTED_VALUE"""),144.4)</f>
        <v>144.4</v>
      </c>
      <c r="BF24" s="110">
        <f>IFERROR(__xludf.DUMMYFUNCTION("""COMPUTED_VALUE"""),15.98)</f>
        <v>15.98</v>
      </c>
      <c r="BG24" s="110">
        <f>IFERROR(__xludf.DUMMYFUNCTION("""COMPUTED_VALUE"""),539.94)</f>
        <v>539.94</v>
      </c>
      <c r="BH24" s="110">
        <f>IFERROR(__xludf.DUMMYFUNCTION("""COMPUTED_VALUE"""),301.6)</f>
        <v>301.6</v>
      </c>
      <c r="BI24" s="110">
        <f>IFERROR(__xludf.DUMMYFUNCTION("""COMPUTED_VALUE"""),219.27)</f>
        <v>219.27</v>
      </c>
      <c r="BJ24" s="110">
        <f>IFERROR(__xludf.DUMMYFUNCTION("""COMPUTED_VALUE"""),25.28)</f>
        <v>25.28</v>
      </c>
      <c r="BK24" s="110">
        <f>IFERROR(__xludf.DUMMYFUNCTION("""COMPUTED_VALUE"""),307.8)</f>
        <v>307.8</v>
      </c>
      <c r="BL24" s="110">
        <f>IFERROR(__xludf.DUMMYFUNCTION("""COMPUTED_VALUE"""),123.66)</f>
        <v>123.66</v>
      </c>
      <c r="BM24" s="110">
        <f>IFERROR(__xludf.DUMMYFUNCTION("""COMPUTED_VALUE"""),17.15)</f>
        <v>17.15</v>
      </c>
      <c r="BN24" s="110">
        <f>IFERROR(__xludf.DUMMYFUNCTION("""COMPUTED_VALUE"""),378.703)</f>
        <v>378.703</v>
      </c>
      <c r="BO24" s="110">
        <f>IFERROR(__xludf.DUMMYFUNCTION("""COMPUTED_VALUE"""),731.92)</f>
        <v>731.92</v>
      </c>
      <c r="BP24" s="110">
        <f>IFERROR(__xludf.DUMMYFUNCTION("""COMPUTED_VALUE"""),63.71)</f>
        <v>63.71</v>
      </c>
      <c r="BQ24" s="110">
        <f>IFERROR(__xludf.DUMMYFUNCTION("""COMPUTED_VALUE"""),10.33)</f>
        <v>10.33</v>
      </c>
      <c r="BR24" s="110">
        <f>IFERROR(__xludf.DUMMYFUNCTION("""COMPUTED_VALUE"""),39.94)</f>
        <v>39.94</v>
      </c>
      <c r="BS24" s="110">
        <f>IFERROR(__xludf.DUMMYFUNCTION("""COMPUTED_VALUE"""),0.94)</f>
        <v>0.94</v>
      </c>
      <c r="BT24" s="110">
        <f>IFERROR(__xludf.DUMMYFUNCTION("""COMPUTED_VALUE"""),49.3)</f>
        <v>49.3</v>
      </c>
      <c r="BU24" s="110">
        <f>IFERROR(__xludf.DUMMYFUNCTION("""COMPUTED_VALUE"""),38.05)</f>
        <v>38.05</v>
      </c>
      <c r="BV24" s="110">
        <f>IFERROR(__xludf.DUMMYFUNCTION("""COMPUTED_VALUE"""),54.0)</f>
        <v>54</v>
      </c>
      <c r="BW24" s="110">
        <f>IFERROR(__xludf.DUMMYFUNCTION("""COMPUTED_VALUE"""),7.94)</f>
        <v>7.94</v>
      </c>
      <c r="BX24" s="110">
        <f>IFERROR(__xludf.DUMMYFUNCTION("""COMPUTED_VALUE"""),7.06)</f>
        <v>7.06</v>
      </c>
      <c r="BY24" s="110">
        <f>IFERROR(__xludf.DUMMYFUNCTION("""COMPUTED_VALUE"""),0.3)</f>
        <v>0.3</v>
      </c>
      <c r="BZ24" s="110">
        <f>IFERROR(__xludf.DUMMYFUNCTION("""COMPUTED_VALUE"""),13.0)</f>
        <v>13</v>
      </c>
      <c r="CA24" s="110">
        <f>IFERROR(__xludf.DUMMYFUNCTION("""COMPUTED_VALUE"""),3.98)</f>
        <v>3.98</v>
      </c>
      <c r="CB24" s="110">
        <f>IFERROR(__xludf.DUMMYFUNCTION("""COMPUTED_VALUE"""),6.42)</f>
        <v>6.42</v>
      </c>
      <c r="CC24" s="110">
        <f>IFERROR(__xludf.DUMMYFUNCTION("""COMPUTED_VALUE"""),23.78)</f>
        <v>23.78</v>
      </c>
      <c r="CD24" s="110">
        <f>IFERROR(__xludf.DUMMYFUNCTION("""COMPUTED_VALUE"""),16.71)</f>
        <v>16.71</v>
      </c>
      <c r="CE24" s="110">
        <f>IFERROR(__xludf.DUMMYFUNCTION("""COMPUTED_VALUE"""),38.31)</f>
        <v>38.31</v>
      </c>
      <c r="CF24" s="110">
        <f>IFERROR(__xludf.DUMMYFUNCTION("""COMPUTED_VALUE"""),94.57)</f>
        <v>94.57</v>
      </c>
      <c r="CG24" s="110">
        <f>IFERROR(__xludf.DUMMYFUNCTION("""COMPUTED_VALUE"""),5.45)</f>
        <v>5.45</v>
      </c>
      <c r="CH24" s="110">
        <f>IFERROR(__xludf.DUMMYFUNCTION("""COMPUTED_VALUE"""),22.54)</f>
        <v>22.54</v>
      </c>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c r="DJ24" s="108"/>
      <c r="DK24" s="108"/>
      <c r="DL24" s="108"/>
      <c r="DM24" s="108"/>
      <c r="DN24" s="108"/>
      <c r="DO24" s="108"/>
      <c r="DP24" s="108"/>
      <c r="DQ24" s="108"/>
      <c r="DR24" s="108"/>
      <c r="DS24" s="108"/>
      <c r="DT24" s="108"/>
      <c r="DU24" s="108"/>
      <c r="DV24" s="108"/>
      <c r="DW24" s="108"/>
      <c r="DX24" s="108"/>
      <c r="DY24" s="108"/>
      <c r="DZ24" s="108"/>
      <c r="EA24" s="108"/>
      <c r="EB24" s="108"/>
      <c r="EC24" s="108"/>
      <c r="ED24" s="108"/>
      <c r="EE24" s="108"/>
      <c r="EF24" s="108"/>
      <c r="EG24" s="108"/>
      <c r="EH24" s="108"/>
      <c r="EI24" s="108"/>
      <c r="EJ24" s="108"/>
      <c r="EK24" s="108"/>
      <c r="EL24" s="108"/>
      <c r="EM24" s="108"/>
      <c r="EN24" s="108"/>
      <c r="EO24" s="108"/>
      <c r="EP24" s="108"/>
      <c r="EQ24" s="108"/>
      <c r="ER24" s="108"/>
      <c r="ES24" s="108"/>
      <c r="ET24" s="108"/>
      <c r="EU24" s="108"/>
      <c r="EV24" s="108"/>
      <c r="EW24" s="108"/>
      <c r="EX24" s="108"/>
      <c r="EY24" s="108"/>
      <c r="EZ24" s="108"/>
      <c r="FA24" s="108"/>
      <c r="FB24" s="108"/>
      <c r="FC24" s="108"/>
      <c r="FD24" s="108"/>
      <c r="FE24" s="108"/>
      <c r="FF24" s="108"/>
      <c r="FG24" s="108"/>
      <c r="FH24" s="108"/>
      <c r="FI24" s="108"/>
      <c r="FJ24" s="108"/>
      <c r="FK24" s="108"/>
      <c r="FL24" s="108"/>
      <c r="FM24" s="108"/>
      <c r="FN24" s="108"/>
      <c r="FO24" s="108"/>
    </row>
    <row r="25">
      <c r="A25" s="106">
        <f>IFERROR(__xludf.DUMMYFUNCTION("""COMPUTED_VALUE"""),44617.0)</f>
        <v>44617</v>
      </c>
      <c r="B25" s="110">
        <f>IFERROR(__xludf.DUMMYFUNCTION("""COMPUTED_VALUE"""),3075.77)</f>
        <v>3075.77</v>
      </c>
      <c r="C25" s="110">
        <f>IFERROR(__xludf.DUMMYFUNCTION("""COMPUTED_VALUE"""),210.48)</f>
        <v>210.48</v>
      </c>
      <c r="D25" s="110">
        <f>IFERROR(__xludf.DUMMYFUNCTION("""COMPUTED_VALUE"""),809.87)</f>
        <v>809.87</v>
      </c>
      <c r="E25" s="110">
        <f>IFERROR(__xludf.DUMMYFUNCTION("""COMPUTED_VALUE"""),424.0)</f>
        <v>424</v>
      </c>
      <c r="F25" s="110">
        <f>IFERROR(__xludf.DUMMYFUNCTION("""COMPUTED_VALUE"""),9.8)</f>
        <v>9.8</v>
      </c>
      <c r="G25" s="110">
        <f>IFERROR(__xludf.DUMMYFUNCTION("""COMPUTED_VALUE"""),164.85)</f>
        <v>164.85</v>
      </c>
      <c r="H25" s="110">
        <f>IFERROR(__xludf.DUMMYFUNCTION("""COMPUTED_VALUE"""),9.54)</f>
        <v>9.54</v>
      </c>
      <c r="I25" s="110">
        <f>IFERROR(__xludf.DUMMYFUNCTION("""COMPUTED_VALUE"""),9.25)</f>
        <v>9.25</v>
      </c>
      <c r="J25" s="110">
        <f>IFERROR(__xludf.DUMMYFUNCTION("""COMPUTED_VALUE"""),1.53)</f>
        <v>1.53</v>
      </c>
      <c r="K25" s="110">
        <f>IFERROR(__xludf.DUMMYFUNCTION("""COMPUTED_VALUE"""),42.55)</f>
        <v>42.55</v>
      </c>
      <c r="L25" s="110">
        <f>IFERROR(__xludf.DUMMYFUNCTION("""COMPUTED_VALUE"""),170.2)</f>
        <v>170.2</v>
      </c>
      <c r="M25" s="110">
        <f>IFERROR(__xludf.DUMMYFUNCTION("""COMPUTED_VALUE"""),39756.33)</f>
        <v>39756.33</v>
      </c>
      <c r="N25" s="110">
        <f>IFERROR(__xludf.DUMMYFUNCTION("""COMPUTED_VALUE"""),390.8)</f>
        <v>390.8</v>
      </c>
      <c r="O25" s="110">
        <f>IFERROR(__xludf.DUMMYFUNCTION("""COMPUTED_VALUE"""),297.31)</f>
        <v>297.31</v>
      </c>
      <c r="P25" s="110">
        <f>IFERROR(__xludf.DUMMYFUNCTION("""COMPUTED_VALUE"""),26.38)</f>
        <v>26.38</v>
      </c>
      <c r="Q25" s="110">
        <f>IFERROR(__xludf.DUMMYFUNCTION("""COMPUTED_VALUE"""),24.5)</f>
        <v>24.5</v>
      </c>
      <c r="R25" s="110">
        <f>IFERROR(__xludf.DUMMYFUNCTION("""COMPUTED_VALUE"""),72.5)</f>
        <v>72.5</v>
      </c>
      <c r="S25" s="110">
        <f>IFERROR(__xludf.DUMMYFUNCTION("""COMPUTED_VALUE"""),27.175)</f>
        <v>27.175</v>
      </c>
      <c r="T25" s="110">
        <f>IFERROR(__xludf.DUMMYFUNCTION("""COMPUTED_VALUE"""),35.03)</f>
        <v>35.03</v>
      </c>
      <c r="U25" s="110">
        <f>IFERROR(__xludf.DUMMYFUNCTION("""COMPUTED_VALUE"""),45.12)</f>
        <v>45.12</v>
      </c>
      <c r="V25" s="110">
        <f>IFERROR(__xludf.DUMMYFUNCTION("""COMPUTED_VALUE"""),14.91)</f>
        <v>14.91</v>
      </c>
      <c r="W25" s="110">
        <f>IFERROR(__xludf.DUMMYFUNCTION("""COMPUTED_VALUE"""),249.45)</f>
        <v>249.45</v>
      </c>
      <c r="X25" s="110">
        <f>IFERROR(__xludf.DUMMYFUNCTION("""COMPUTED_VALUE"""),2690.39)</f>
        <v>2690.39</v>
      </c>
      <c r="Y25" s="110">
        <f>IFERROR(__xludf.DUMMYFUNCTION("""COMPUTED_VALUE"""),60.6)</f>
        <v>60.6</v>
      </c>
      <c r="Z25" s="110">
        <f>IFERROR(__xludf.DUMMYFUNCTION("""COMPUTED_VALUE"""),64.2)</f>
        <v>64.2</v>
      </c>
      <c r="AA25" s="110">
        <f>IFERROR(__xludf.DUMMYFUNCTION("""COMPUTED_VALUE"""),109.27)</f>
        <v>109.27</v>
      </c>
      <c r="AB25" s="110">
        <f>IFERROR(__xludf.DUMMYFUNCTION("""COMPUTED_VALUE"""),4.58)</f>
        <v>4.58</v>
      </c>
      <c r="AC25" s="110">
        <f>IFERROR(__xludf.DUMMYFUNCTION("""COMPUTED_VALUE"""),68.88)</f>
        <v>68.88</v>
      </c>
      <c r="AD25" s="110">
        <f>IFERROR(__xludf.DUMMYFUNCTION("""COMPUTED_VALUE"""),12.2)</f>
        <v>12.2</v>
      </c>
      <c r="AE25" s="110">
        <f>IFERROR(__xludf.DUMMYFUNCTION("""COMPUTED_VALUE"""),5.72)</f>
        <v>5.72</v>
      </c>
      <c r="AF25" s="110">
        <f>IFERROR(__xludf.DUMMYFUNCTION("""COMPUTED_VALUE"""),46.54)</f>
        <v>46.54</v>
      </c>
      <c r="AG25" s="110">
        <f>IFERROR(__xludf.DUMMYFUNCTION("""COMPUTED_VALUE"""),17.56)</f>
        <v>17.56</v>
      </c>
      <c r="AH25" s="110">
        <f>IFERROR(__xludf.DUMMYFUNCTION("""COMPUTED_VALUE"""),2.09)</f>
        <v>2.09</v>
      </c>
      <c r="AI25" s="110">
        <f>IFERROR(__xludf.DUMMYFUNCTION("""COMPUTED_VALUE"""),3.43)</f>
        <v>3.43</v>
      </c>
      <c r="AJ25" s="110">
        <f>IFERROR(__xludf.DUMMYFUNCTION("""COMPUTED_VALUE"""),119.7)</f>
        <v>119.7</v>
      </c>
      <c r="AK25" s="110">
        <f>IFERROR(__xludf.DUMMYFUNCTION("""COMPUTED_VALUE"""),241.57)</f>
        <v>241.57</v>
      </c>
      <c r="AL25" s="110">
        <f>IFERROR(__xludf.DUMMYFUNCTION("""COMPUTED_VALUE"""),14.74)</f>
        <v>14.74</v>
      </c>
      <c r="AM25" s="110">
        <f>IFERROR(__xludf.DUMMYFUNCTION("""COMPUTED_VALUE"""),45.02)</f>
        <v>45.02</v>
      </c>
      <c r="AN25" s="110">
        <f>IFERROR(__xludf.DUMMYFUNCTION("""COMPUTED_VALUE"""),319.24)</f>
        <v>319.24</v>
      </c>
      <c r="AO25" s="110">
        <f>IFERROR(__xludf.DUMMYFUNCTION("""COMPUTED_VALUE"""),104.09)</f>
        <v>104.09</v>
      </c>
      <c r="AP25" s="110">
        <f>IFERROR(__xludf.DUMMYFUNCTION("""COMPUTED_VALUE"""),81.44)</f>
        <v>81.44</v>
      </c>
      <c r="AQ25" s="110">
        <f>IFERROR(__xludf.DUMMYFUNCTION("""COMPUTED_VALUE"""),54.49)</f>
        <v>54.49</v>
      </c>
      <c r="AR25" s="109">
        <f>IFERROR(__xludf.DUMMYFUNCTION("""COMPUTED_VALUE"""),104.65299999999999)</f>
        <v>104.653</v>
      </c>
      <c r="AS25" s="110">
        <f>IFERROR(__xludf.DUMMYFUNCTION("""COMPUTED_VALUE"""),16.37)</f>
        <v>16.37</v>
      </c>
      <c r="AT25" s="110">
        <f>IFERROR(__xludf.DUMMYFUNCTION("""COMPUTED_VALUE"""),105.3)</f>
        <v>105.3</v>
      </c>
      <c r="AU25" s="110">
        <f>IFERROR(__xludf.DUMMYFUNCTION("""COMPUTED_VALUE"""),62.19)</f>
        <v>62.19</v>
      </c>
      <c r="AV25" s="110">
        <f>IFERROR(__xludf.DUMMYFUNCTION("""COMPUTED_VALUE"""),149.53)</f>
        <v>149.53</v>
      </c>
      <c r="AW25" s="110">
        <f>IFERROR(__xludf.DUMMYFUNCTION("""COMPUTED_VALUE"""),135.72)</f>
        <v>135.72</v>
      </c>
      <c r="AX25" s="110">
        <f>IFERROR(__xludf.DUMMYFUNCTION("""COMPUTED_VALUE"""),28.95)</f>
        <v>28.95</v>
      </c>
      <c r="AY25" s="110">
        <f>IFERROR(__xludf.DUMMYFUNCTION("""COMPUTED_VALUE"""),50.05)</f>
        <v>50.05</v>
      </c>
      <c r="AZ25" s="110">
        <f>IFERROR(__xludf.DUMMYFUNCTION("""COMPUTED_VALUE"""),0.0)</f>
        <v>0</v>
      </c>
      <c r="BA25" s="110">
        <f>IFERROR(__xludf.DUMMYFUNCTION("""COMPUTED_VALUE"""),0.0)</f>
        <v>0</v>
      </c>
      <c r="BB25" s="110">
        <f>IFERROR(__xludf.DUMMYFUNCTION("""COMPUTED_VALUE"""),15.16)</f>
        <v>15.16</v>
      </c>
      <c r="BC25" s="110">
        <f>IFERROR(__xludf.DUMMYFUNCTION("""COMPUTED_VALUE"""),54.9)</f>
        <v>54.9</v>
      </c>
      <c r="BD25" s="110">
        <f>IFERROR(__xludf.DUMMYFUNCTION("""COMPUTED_VALUE"""),208.0)</f>
        <v>208</v>
      </c>
      <c r="BE25" s="110">
        <f>IFERROR(__xludf.DUMMYFUNCTION("""COMPUTED_VALUE"""),146.3)</f>
        <v>146.3</v>
      </c>
      <c r="BF25" s="110">
        <f>IFERROR(__xludf.DUMMYFUNCTION("""COMPUTED_VALUE"""),16.36)</f>
        <v>16.36</v>
      </c>
      <c r="BG25" s="110">
        <f>IFERROR(__xludf.DUMMYFUNCTION("""COMPUTED_VALUE"""),569.75)</f>
        <v>569.75</v>
      </c>
      <c r="BH25" s="110">
        <f>IFERROR(__xludf.DUMMYFUNCTION("""COMPUTED_VALUE"""),305.03)</f>
        <v>305.03</v>
      </c>
      <c r="BI25" s="110">
        <f>IFERROR(__xludf.DUMMYFUNCTION("""COMPUTED_VALUE"""),227.03)</f>
        <v>227.03</v>
      </c>
      <c r="BJ25" s="110">
        <f>IFERROR(__xludf.DUMMYFUNCTION("""COMPUTED_VALUE"""),26.35)</f>
        <v>26.35</v>
      </c>
      <c r="BK25" s="110">
        <f>IFERROR(__xludf.DUMMYFUNCTION("""COMPUTED_VALUE"""),311.15)</f>
        <v>311.15</v>
      </c>
      <c r="BL25" s="110">
        <f>IFERROR(__xludf.DUMMYFUNCTION("""COMPUTED_VALUE"""),125.46)</f>
        <v>125.46</v>
      </c>
      <c r="BM25" s="110">
        <f>IFERROR(__xludf.DUMMYFUNCTION("""COMPUTED_VALUE"""),17.83)</f>
        <v>17.83</v>
      </c>
      <c r="BN25" s="110">
        <f>IFERROR(__xludf.DUMMYFUNCTION("""COMPUTED_VALUE"""),388.46)</f>
        <v>388.46</v>
      </c>
      <c r="BO25" s="110">
        <f>IFERROR(__xludf.DUMMYFUNCTION("""COMPUTED_VALUE"""),755.0)</f>
        <v>755</v>
      </c>
      <c r="BP25" s="110">
        <f>IFERROR(__xludf.DUMMYFUNCTION("""COMPUTED_VALUE"""),63.43)</f>
        <v>63.43</v>
      </c>
      <c r="BQ25" s="110">
        <f>IFERROR(__xludf.DUMMYFUNCTION("""COMPUTED_VALUE"""),10.67)</f>
        <v>10.67</v>
      </c>
      <c r="BR25" s="110">
        <f>IFERROR(__xludf.DUMMYFUNCTION("""COMPUTED_VALUE"""),41.78)</f>
        <v>41.78</v>
      </c>
      <c r="BS25" s="110">
        <f>IFERROR(__xludf.DUMMYFUNCTION("""COMPUTED_VALUE"""),0.93)</f>
        <v>0.93</v>
      </c>
      <c r="BT25" s="110">
        <f>IFERROR(__xludf.DUMMYFUNCTION("""COMPUTED_VALUE"""),49.29)</f>
        <v>49.29</v>
      </c>
      <c r="BU25" s="110">
        <f>IFERROR(__xludf.DUMMYFUNCTION("""COMPUTED_VALUE"""),36.8)</f>
        <v>36.8</v>
      </c>
      <c r="BV25" s="110">
        <f>IFERROR(__xludf.DUMMYFUNCTION("""COMPUTED_VALUE"""),53.15)</f>
        <v>53.15</v>
      </c>
      <c r="BW25" s="110">
        <f>IFERROR(__xludf.DUMMYFUNCTION("""COMPUTED_VALUE"""),7.78)</f>
        <v>7.78</v>
      </c>
      <c r="BX25" s="110">
        <f>IFERROR(__xludf.DUMMYFUNCTION("""COMPUTED_VALUE"""),7.16)</f>
        <v>7.16</v>
      </c>
      <c r="BY25" s="110">
        <f>IFERROR(__xludf.DUMMYFUNCTION("""COMPUTED_VALUE"""),0.12)</f>
        <v>0.12</v>
      </c>
      <c r="BZ25" s="110">
        <f>IFERROR(__xludf.DUMMYFUNCTION("""COMPUTED_VALUE"""),12.7)</f>
        <v>12.7</v>
      </c>
      <c r="CA25" s="110">
        <f>IFERROR(__xludf.DUMMYFUNCTION("""COMPUTED_VALUE"""),4.23)</f>
        <v>4.23</v>
      </c>
      <c r="CB25" s="110">
        <f>IFERROR(__xludf.DUMMYFUNCTION("""COMPUTED_VALUE"""),6.23)</f>
        <v>6.23</v>
      </c>
      <c r="CC25" s="110">
        <f>IFERROR(__xludf.DUMMYFUNCTION("""COMPUTED_VALUE"""),22.63)</f>
        <v>22.63</v>
      </c>
      <c r="CD25" s="110">
        <f>IFERROR(__xludf.DUMMYFUNCTION("""COMPUTED_VALUE"""),16.49)</f>
        <v>16.49</v>
      </c>
      <c r="CE25" s="110">
        <f>IFERROR(__xludf.DUMMYFUNCTION("""COMPUTED_VALUE"""),36.82)</f>
        <v>36.82</v>
      </c>
      <c r="CF25" s="110">
        <f>IFERROR(__xludf.DUMMYFUNCTION("""COMPUTED_VALUE"""),91.94)</f>
        <v>91.94</v>
      </c>
      <c r="CG25" s="110">
        <f>IFERROR(__xludf.DUMMYFUNCTION("""COMPUTED_VALUE"""),6.01)</f>
        <v>6.01</v>
      </c>
      <c r="CH25" s="110">
        <f>IFERROR(__xludf.DUMMYFUNCTION("""COMPUTED_VALUE"""),22.56)</f>
        <v>22.56</v>
      </c>
      <c r="CI25" s="110">
        <f>IFERROR(__xludf.DUMMYFUNCTION("""COMPUTED_VALUE"""),48.0)</f>
        <v>48</v>
      </c>
      <c r="CJ25" s="110">
        <f>IFERROR(__xludf.DUMMYFUNCTION("""COMPUTED_VALUE"""),17.9)</f>
        <v>17.9</v>
      </c>
      <c r="CK25" s="110">
        <f>IFERROR(__xludf.DUMMYFUNCTION("""COMPUTED_VALUE"""),12.95)</f>
        <v>12.95</v>
      </c>
      <c r="CL25" s="110">
        <f>IFERROR(__xludf.DUMMYFUNCTION("""COMPUTED_VALUE"""),2689.19)</f>
        <v>2689.19</v>
      </c>
      <c r="CM25" s="110">
        <f>IFERROR(__xludf.DUMMYFUNCTION("""COMPUTED_VALUE"""),0.6)</f>
        <v>0.6</v>
      </c>
      <c r="CN25" s="108"/>
      <c r="CO25" s="108"/>
      <c r="CP25" s="108"/>
      <c r="CQ25" s="108"/>
      <c r="CR25" s="108"/>
      <c r="CS25" s="108"/>
      <c r="CT25" s="108"/>
      <c r="CU25" s="108"/>
      <c r="CV25" s="108"/>
      <c r="CW25" s="108"/>
      <c r="CX25" s="108"/>
      <c r="CY25" s="108"/>
      <c r="CZ25" s="108"/>
      <c r="DA25" s="108"/>
      <c r="DB25" s="108"/>
      <c r="DC25" s="108"/>
      <c r="DD25" s="108"/>
      <c r="DE25" s="108"/>
      <c r="DF25" s="108"/>
      <c r="DG25" s="108"/>
      <c r="DH25" s="108"/>
      <c r="DI25" s="108"/>
      <c r="DJ25" s="108"/>
      <c r="DK25" s="108"/>
      <c r="DL25" s="108"/>
      <c r="DM25" s="108"/>
      <c r="DN25" s="108"/>
      <c r="DO25" s="108"/>
      <c r="DP25" s="108"/>
      <c r="DQ25" s="108"/>
      <c r="DR25" s="108"/>
      <c r="DS25" s="108"/>
      <c r="DT25" s="108"/>
      <c r="DU25" s="108"/>
      <c r="DV25" s="108"/>
      <c r="DW25" s="108"/>
      <c r="DX25" s="108"/>
      <c r="DY25" s="108"/>
      <c r="DZ25" s="108"/>
      <c r="EA25" s="108"/>
      <c r="EB25" s="108"/>
      <c r="EC25" s="108"/>
      <c r="ED25" s="108"/>
      <c r="EE25" s="108"/>
      <c r="EF25" s="108"/>
      <c r="EG25" s="108"/>
      <c r="EH25" s="108"/>
      <c r="EI25" s="108"/>
      <c r="EJ25" s="108"/>
      <c r="EK25" s="108"/>
      <c r="EL25" s="108"/>
      <c r="EM25" s="108"/>
      <c r="EN25" s="108"/>
      <c r="EO25" s="108"/>
      <c r="EP25" s="108"/>
      <c r="EQ25" s="108"/>
      <c r="ER25" s="108"/>
      <c r="ES25" s="108"/>
      <c r="ET25" s="108"/>
      <c r="EU25" s="108"/>
      <c r="EV25" s="108"/>
      <c r="EW25" s="108"/>
      <c r="EX25" s="108"/>
      <c r="EY25" s="108"/>
      <c r="EZ25" s="108"/>
      <c r="FA25" s="108"/>
      <c r="FB25" s="108"/>
      <c r="FC25" s="108"/>
      <c r="FD25" s="108"/>
      <c r="FE25" s="108"/>
      <c r="FF25" s="108"/>
      <c r="FG25" s="108"/>
      <c r="FH25" s="108"/>
      <c r="FI25" s="108"/>
      <c r="FJ25" s="108"/>
      <c r="FK25" s="108"/>
      <c r="FL25" s="108"/>
      <c r="FM25" s="108"/>
      <c r="FN25" s="108"/>
      <c r="FO25" s="108"/>
    </row>
    <row r="26">
      <c r="A26" s="106">
        <f>IFERROR(__xludf.DUMMYFUNCTION("""COMPUTED_VALUE"""),44618.0)</f>
        <v>44618</v>
      </c>
      <c r="B26" s="110">
        <f>IFERROR(__xludf.DUMMYFUNCTION("""COMPUTED_VALUE"""),3075.77)</f>
        <v>3075.77</v>
      </c>
      <c r="C26" s="110">
        <f>IFERROR(__xludf.DUMMYFUNCTION("""COMPUTED_VALUE"""),210.48)</f>
        <v>210.48</v>
      </c>
      <c r="D26" s="110">
        <f>IFERROR(__xludf.DUMMYFUNCTION("""COMPUTED_VALUE"""),809.87)</f>
        <v>809.87</v>
      </c>
      <c r="E26" s="110">
        <f>IFERROR(__xludf.DUMMYFUNCTION("""COMPUTED_VALUE"""),424.0)</f>
        <v>424</v>
      </c>
      <c r="F26" s="110">
        <f>IFERROR(__xludf.DUMMYFUNCTION("""COMPUTED_VALUE"""),9.8)</f>
        <v>9.8</v>
      </c>
      <c r="G26" s="110">
        <f>IFERROR(__xludf.DUMMYFUNCTION("""COMPUTED_VALUE"""),164.85)</f>
        <v>164.85</v>
      </c>
      <c r="H26" s="110">
        <f>IFERROR(__xludf.DUMMYFUNCTION("""COMPUTED_VALUE"""),9.54)</f>
        <v>9.54</v>
      </c>
      <c r="I26" s="110">
        <f>IFERROR(__xludf.DUMMYFUNCTION("""COMPUTED_VALUE"""),9.25)</f>
        <v>9.25</v>
      </c>
      <c r="J26" s="110">
        <f>IFERROR(__xludf.DUMMYFUNCTION("""COMPUTED_VALUE"""),1.53)</f>
        <v>1.53</v>
      </c>
      <c r="K26" s="110">
        <f>IFERROR(__xludf.DUMMYFUNCTION("""COMPUTED_VALUE"""),42.55)</f>
        <v>42.55</v>
      </c>
      <c r="L26" s="110">
        <f>IFERROR(__xludf.DUMMYFUNCTION("""COMPUTED_VALUE"""),170.2)</f>
        <v>170.2</v>
      </c>
      <c r="M26" s="110">
        <f>IFERROR(__xludf.DUMMYFUNCTION("""COMPUTED_VALUE"""),39047.734)</f>
        <v>39047.734</v>
      </c>
      <c r="N26" s="110">
        <f>IFERROR(__xludf.DUMMYFUNCTION("""COMPUTED_VALUE"""),390.8)</f>
        <v>390.8</v>
      </c>
      <c r="O26" s="110">
        <f>IFERROR(__xludf.DUMMYFUNCTION("""COMPUTED_VALUE"""),297.31)</f>
        <v>297.31</v>
      </c>
      <c r="P26" s="110">
        <f>IFERROR(__xludf.DUMMYFUNCTION("""COMPUTED_VALUE"""),26.38)</f>
        <v>26.38</v>
      </c>
      <c r="Q26" s="110">
        <f>IFERROR(__xludf.DUMMYFUNCTION("""COMPUTED_VALUE"""),24.5)</f>
        <v>24.5</v>
      </c>
      <c r="R26" s="110">
        <f>IFERROR(__xludf.DUMMYFUNCTION("""COMPUTED_VALUE"""),72.5)</f>
        <v>72.5</v>
      </c>
      <c r="S26" s="110">
        <f>IFERROR(__xludf.DUMMYFUNCTION("""COMPUTED_VALUE"""),27.175)</f>
        <v>27.175</v>
      </c>
      <c r="T26" s="110">
        <f>IFERROR(__xludf.DUMMYFUNCTION("""COMPUTED_VALUE"""),35.03)</f>
        <v>35.03</v>
      </c>
      <c r="U26" s="110">
        <f>IFERROR(__xludf.DUMMYFUNCTION("""COMPUTED_VALUE"""),45.12)</f>
        <v>45.12</v>
      </c>
      <c r="V26" s="110">
        <f>IFERROR(__xludf.DUMMYFUNCTION("""COMPUTED_VALUE"""),14.91)</f>
        <v>14.91</v>
      </c>
      <c r="W26" s="110">
        <f>IFERROR(__xludf.DUMMYFUNCTION("""COMPUTED_VALUE"""),249.45)</f>
        <v>249.45</v>
      </c>
      <c r="X26" s="110">
        <f>IFERROR(__xludf.DUMMYFUNCTION("""COMPUTED_VALUE"""),2690.39)</f>
        <v>2690.39</v>
      </c>
      <c r="Y26" s="110">
        <f>IFERROR(__xludf.DUMMYFUNCTION("""COMPUTED_VALUE"""),60.6)</f>
        <v>60.6</v>
      </c>
      <c r="Z26" s="110">
        <f>IFERROR(__xludf.DUMMYFUNCTION("""COMPUTED_VALUE"""),64.2)</f>
        <v>64.2</v>
      </c>
      <c r="AA26" s="110">
        <f>IFERROR(__xludf.DUMMYFUNCTION("""COMPUTED_VALUE"""),109.27)</f>
        <v>109.27</v>
      </c>
      <c r="AB26" s="110">
        <f>IFERROR(__xludf.DUMMYFUNCTION("""COMPUTED_VALUE"""),4.58)</f>
        <v>4.58</v>
      </c>
      <c r="AC26" s="110">
        <f>IFERROR(__xludf.DUMMYFUNCTION("""COMPUTED_VALUE"""),68.88)</f>
        <v>68.88</v>
      </c>
      <c r="AD26" s="110">
        <f>IFERROR(__xludf.DUMMYFUNCTION("""COMPUTED_VALUE"""),12.2)</f>
        <v>12.2</v>
      </c>
      <c r="AE26" s="110">
        <f>IFERROR(__xludf.DUMMYFUNCTION("""COMPUTED_VALUE"""),5.72)</f>
        <v>5.72</v>
      </c>
      <c r="AF26" s="110">
        <f>IFERROR(__xludf.DUMMYFUNCTION("""COMPUTED_VALUE"""),46.54)</f>
        <v>46.54</v>
      </c>
      <c r="AG26" s="110">
        <f>IFERROR(__xludf.DUMMYFUNCTION("""COMPUTED_VALUE"""),17.56)</f>
        <v>17.56</v>
      </c>
      <c r="AH26" s="110">
        <f>IFERROR(__xludf.DUMMYFUNCTION("""COMPUTED_VALUE"""),2.09)</f>
        <v>2.09</v>
      </c>
      <c r="AI26" s="110">
        <f>IFERROR(__xludf.DUMMYFUNCTION("""COMPUTED_VALUE"""),3.43)</f>
        <v>3.43</v>
      </c>
      <c r="AJ26" s="110">
        <f>IFERROR(__xludf.DUMMYFUNCTION("""COMPUTED_VALUE"""),119.7)</f>
        <v>119.7</v>
      </c>
      <c r="AK26" s="110">
        <f>IFERROR(__xludf.DUMMYFUNCTION("""COMPUTED_VALUE"""),241.57)</f>
        <v>241.57</v>
      </c>
      <c r="AL26" s="110">
        <f>IFERROR(__xludf.DUMMYFUNCTION("""COMPUTED_VALUE"""),14.74)</f>
        <v>14.74</v>
      </c>
      <c r="AM26" s="110">
        <f>IFERROR(__xludf.DUMMYFUNCTION("""COMPUTED_VALUE"""),45.02)</f>
        <v>45.02</v>
      </c>
      <c r="AN26" s="110">
        <f>IFERROR(__xludf.DUMMYFUNCTION("""COMPUTED_VALUE"""),319.24)</f>
        <v>319.24</v>
      </c>
      <c r="AO26" s="110">
        <f>IFERROR(__xludf.DUMMYFUNCTION("""COMPUTED_VALUE"""),104.09)</f>
        <v>104.09</v>
      </c>
      <c r="AP26" s="110">
        <f>IFERROR(__xludf.DUMMYFUNCTION("""COMPUTED_VALUE"""),81.44)</f>
        <v>81.44</v>
      </c>
      <c r="AQ26" s="110">
        <f>IFERROR(__xludf.DUMMYFUNCTION("""COMPUTED_VALUE"""),54.49)</f>
        <v>54.49</v>
      </c>
      <c r="AR26" s="109">
        <f>IFERROR(__xludf.DUMMYFUNCTION("""COMPUTED_VALUE"""),104.65299999999999)</f>
        <v>104.653</v>
      </c>
      <c r="AS26" s="110">
        <f>IFERROR(__xludf.DUMMYFUNCTION("""COMPUTED_VALUE"""),16.37)</f>
        <v>16.37</v>
      </c>
      <c r="AT26" s="110">
        <f>IFERROR(__xludf.DUMMYFUNCTION("""COMPUTED_VALUE"""),105.3)</f>
        <v>105.3</v>
      </c>
      <c r="AU26" s="110">
        <f>IFERROR(__xludf.DUMMYFUNCTION("""COMPUTED_VALUE"""),62.19)</f>
        <v>62.19</v>
      </c>
      <c r="AV26" s="110">
        <f>IFERROR(__xludf.DUMMYFUNCTION("""COMPUTED_VALUE"""),149.53)</f>
        <v>149.53</v>
      </c>
      <c r="AW26" s="110">
        <f>IFERROR(__xludf.DUMMYFUNCTION("""COMPUTED_VALUE"""),135.72)</f>
        <v>135.72</v>
      </c>
      <c r="AX26" s="110">
        <f>IFERROR(__xludf.DUMMYFUNCTION("""COMPUTED_VALUE"""),28.95)</f>
        <v>28.95</v>
      </c>
      <c r="AY26" s="110">
        <f>IFERROR(__xludf.DUMMYFUNCTION("""COMPUTED_VALUE"""),50.05)</f>
        <v>50.05</v>
      </c>
      <c r="AZ26" s="110">
        <f>IFERROR(__xludf.DUMMYFUNCTION("""COMPUTED_VALUE"""),0.0)</f>
        <v>0</v>
      </c>
      <c r="BA26" s="110">
        <f>IFERROR(__xludf.DUMMYFUNCTION("""COMPUTED_VALUE"""),0.0)</f>
        <v>0</v>
      </c>
      <c r="BB26" s="110">
        <f>IFERROR(__xludf.DUMMYFUNCTION("""COMPUTED_VALUE"""),15.16)</f>
        <v>15.16</v>
      </c>
      <c r="BC26" s="110">
        <f>IFERROR(__xludf.DUMMYFUNCTION("""COMPUTED_VALUE"""),54.9)</f>
        <v>54.9</v>
      </c>
      <c r="BD26" s="110">
        <f>IFERROR(__xludf.DUMMYFUNCTION("""COMPUTED_VALUE"""),208.0)</f>
        <v>208</v>
      </c>
      <c r="BE26" s="110">
        <f>IFERROR(__xludf.DUMMYFUNCTION("""COMPUTED_VALUE"""),146.3)</f>
        <v>146.3</v>
      </c>
      <c r="BF26" s="110">
        <f>IFERROR(__xludf.DUMMYFUNCTION("""COMPUTED_VALUE"""),16.36)</f>
        <v>16.36</v>
      </c>
      <c r="BG26" s="110">
        <f>IFERROR(__xludf.DUMMYFUNCTION("""COMPUTED_VALUE"""),569.75)</f>
        <v>569.75</v>
      </c>
      <c r="BH26" s="110">
        <f>IFERROR(__xludf.DUMMYFUNCTION("""COMPUTED_VALUE"""),305.03)</f>
        <v>305.03</v>
      </c>
      <c r="BI26" s="110">
        <f>IFERROR(__xludf.DUMMYFUNCTION("""COMPUTED_VALUE"""),227.03)</f>
        <v>227.03</v>
      </c>
      <c r="BJ26" s="110">
        <f>IFERROR(__xludf.DUMMYFUNCTION("""COMPUTED_VALUE"""),26.35)</f>
        <v>26.35</v>
      </c>
      <c r="BK26" s="110">
        <f>IFERROR(__xludf.DUMMYFUNCTION("""COMPUTED_VALUE"""),311.15)</f>
        <v>311.15</v>
      </c>
      <c r="BL26" s="110">
        <f>IFERROR(__xludf.DUMMYFUNCTION("""COMPUTED_VALUE"""),125.46)</f>
        <v>125.46</v>
      </c>
      <c r="BM26" s="110">
        <f>IFERROR(__xludf.DUMMYFUNCTION("""COMPUTED_VALUE"""),17.83)</f>
        <v>17.83</v>
      </c>
      <c r="BN26" s="110">
        <f>IFERROR(__xludf.DUMMYFUNCTION("""COMPUTED_VALUE"""),388.46)</f>
        <v>388.46</v>
      </c>
      <c r="BO26" s="110">
        <f>IFERROR(__xludf.DUMMYFUNCTION("""COMPUTED_VALUE"""),755.0)</f>
        <v>755</v>
      </c>
      <c r="BP26" s="110">
        <f>IFERROR(__xludf.DUMMYFUNCTION("""COMPUTED_VALUE"""),63.43)</f>
        <v>63.43</v>
      </c>
      <c r="BQ26" s="110">
        <f>IFERROR(__xludf.DUMMYFUNCTION("""COMPUTED_VALUE"""),10.67)</f>
        <v>10.67</v>
      </c>
      <c r="BR26" s="110">
        <f>IFERROR(__xludf.DUMMYFUNCTION("""COMPUTED_VALUE"""),41.78)</f>
        <v>41.78</v>
      </c>
      <c r="BS26" s="110">
        <f>IFERROR(__xludf.DUMMYFUNCTION("""COMPUTED_VALUE"""),0.93)</f>
        <v>0.93</v>
      </c>
      <c r="BT26" s="110">
        <f>IFERROR(__xludf.DUMMYFUNCTION("""COMPUTED_VALUE"""),49.29)</f>
        <v>49.29</v>
      </c>
      <c r="BU26" s="110">
        <f>IFERROR(__xludf.DUMMYFUNCTION("""COMPUTED_VALUE"""),36.8)</f>
        <v>36.8</v>
      </c>
      <c r="BV26" s="110">
        <f>IFERROR(__xludf.DUMMYFUNCTION("""COMPUTED_VALUE"""),53.15)</f>
        <v>53.15</v>
      </c>
      <c r="BW26" s="110">
        <f>IFERROR(__xludf.DUMMYFUNCTION("""COMPUTED_VALUE"""),7.78)</f>
        <v>7.78</v>
      </c>
      <c r="BX26" s="110">
        <f>IFERROR(__xludf.DUMMYFUNCTION("""COMPUTED_VALUE"""),7.16)</f>
        <v>7.16</v>
      </c>
      <c r="BY26" s="110">
        <f>IFERROR(__xludf.DUMMYFUNCTION("""COMPUTED_VALUE"""),0.0)</f>
        <v>0</v>
      </c>
      <c r="BZ26" s="110">
        <f>IFERROR(__xludf.DUMMYFUNCTION("""COMPUTED_VALUE"""),12.7)</f>
        <v>12.7</v>
      </c>
      <c r="CA26" s="110">
        <f>IFERROR(__xludf.DUMMYFUNCTION("""COMPUTED_VALUE"""),4.23)</f>
        <v>4.23</v>
      </c>
      <c r="CB26" s="110">
        <f>IFERROR(__xludf.DUMMYFUNCTION("""COMPUTED_VALUE"""),6.23)</f>
        <v>6.23</v>
      </c>
      <c r="CC26" s="110">
        <f>IFERROR(__xludf.DUMMYFUNCTION("""COMPUTED_VALUE"""),22.63)</f>
        <v>22.63</v>
      </c>
      <c r="CD26" s="110">
        <f>IFERROR(__xludf.DUMMYFUNCTION("""COMPUTED_VALUE"""),16.49)</f>
        <v>16.49</v>
      </c>
      <c r="CE26" s="110">
        <f>IFERROR(__xludf.DUMMYFUNCTION("""COMPUTED_VALUE"""),36.82)</f>
        <v>36.82</v>
      </c>
      <c r="CF26" s="110">
        <f>IFERROR(__xludf.DUMMYFUNCTION("""COMPUTED_VALUE"""),91.94)</f>
        <v>91.94</v>
      </c>
      <c r="CG26" s="110">
        <f>IFERROR(__xludf.DUMMYFUNCTION("""COMPUTED_VALUE"""),6.01)</f>
        <v>6.01</v>
      </c>
      <c r="CH26" s="110">
        <f>IFERROR(__xludf.DUMMYFUNCTION("""COMPUTED_VALUE"""),22.56)</f>
        <v>22.56</v>
      </c>
      <c r="CI26" s="110">
        <f>IFERROR(__xludf.DUMMYFUNCTION("""COMPUTED_VALUE"""),48.0)</f>
        <v>48</v>
      </c>
      <c r="CJ26" s="110">
        <f>IFERROR(__xludf.DUMMYFUNCTION("""COMPUTED_VALUE"""),17.9)</f>
        <v>17.9</v>
      </c>
      <c r="CK26" s="110">
        <f>IFERROR(__xludf.DUMMYFUNCTION("""COMPUTED_VALUE"""),12.95)</f>
        <v>12.95</v>
      </c>
      <c r="CL26" s="110">
        <f>IFERROR(__xludf.DUMMYFUNCTION("""COMPUTED_VALUE"""),2689.19)</f>
        <v>2689.19</v>
      </c>
      <c r="CM26" s="110">
        <f>IFERROR(__xludf.DUMMYFUNCTION("""COMPUTED_VALUE"""),0.6)</f>
        <v>0.6</v>
      </c>
      <c r="CN26" s="108"/>
      <c r="CO26" s="108"/>
      <c r="CP26" s="108"/>
      <c r="CQ26" s="108"/>
      <c r="CR26" s="108"/>
      <c r="CS26" s="108"/>
      <c r="CT26" s="108"/>
      <c r="CU26" s="108"/>
      <c r="CV26" s="108"/>
      <c r="CW26" s="108"/>
      <c r="CX26" s="108"/>
      <c r="CY26" s="108"/>
      <c r="CZ26" s="108"/>
      <c r="DA26" s="108"/>
      <c r="DB26" s="108"/>
      <c r="DC26" s="108"/>
      <c r="DD26" s="108"/>
      <c r="DE26" s="108"/>
      <c r="DF26" s="108"/>
      <c r="DG26" s="108"/>
      <c r="DH26" s="108"/>
      <c r="DI26" s="108"/>
      <c r="DJ26" s="108"/>
      <c r="DK26" s="108"/>
      <c r="DL26" s="108"/>
      <c r="DM26" s="108"/>
      <c r="DN26" s="108"/>
      <c r="DO26" s="108"/>
      <c r="DP26" s="108"/>
      <c r="DQ26" s="108"/>
      <c r="DR26" s="108"/>
      <c r="DS26" s="108"/>
      <c r="DT26" s="108"/>
      <c r="DU26" s="108"/>
      <c r="DV26" s="108"/>
      <c r="DW26" s="108"/>
      <c r="DX26" s="108"/>
      <c r="DY26" s="108"/>
      <c r="DZ26" s="108"/>
      <c r="EA26" s="108"/>
      <c r="EB26" s="108"/>
      <c r="EC26" s="108"/>
      <c r="ED26" s="108"/>
      <c r="EE26" s="108"/>
      <c r="EF26" s="108"/>
      <c r="EG26" s="108"/>
      <c r="EH26" s="108"/>
      <c r="EI26" s="108"/>
      <c r="EJ26" s="108"/>
      <c r="EK26" s="108"/>
      <c r="EL26" s="108"/>
      <c r="EM26" s="108"/>
      <c r="EN26" s="108"/>
      <c r="EO26" s="108"/>
      <c r="EP26" s="108"/>
      <c r="EQ26" s="108"/>
      <c r="ER26" s="108"/>
      <c r="ES26" s="108"/>
      <c r="ET26" s="108"/>
      <c r="EU26" s="108"/>
      <c r="EV26" s="108"/>
      <c r="EW26" s="108"/>
      <c r="EX26" s="108"/>
      <c r="EY26" s="108"/>
      <c r="EZ26" s="108"/>
      <c r="FA26" s="108"/>
      <c r="FB26" s="108"/>
      <c r="FC26" s="108"/>
      <c r="FD26" s="108"/>
      <c r="FE26" s="108"/>
      <c r="FF26" s="108"/>
      <c r="FG26" s="108"/>
      <c r="FH26" s="108"/>
      <c r="FI26" s="108"/>
      <c r="FJ26" s="108"/>
      <c r="FK26" s="108"/>
      <c r="FL26" s="108"/>
      <c r="FM26" s="108"/>
      <c r="FN26" s="108"/>
      <c r="FO26" s="108"/>
    </row>
    <row r="27">
      <c r="A27" s="106">
        <f>IFERROR(__xludf.DUMMYFUNCTION("""COMPUTED_VALUE"""),44619.0)</f>
        <v>44619</v>
      </c>
      <c r="B27" s="110">
        <f>IFERROR(__xludf.DUMMYFUNCTION("""COMPUTED_VALUE"""),3075.77)</f>
        <v>3075.77</v>
      </c>
      <c r="C27" s="110">
        <f>IFERROR(__xludf.DUMMYFUNCTION("""COMPUTED_VALUE"""),210.48)</f>
        <v>210.48</v>
      </c>
      <c r="D27" s="110">
        <f>IFERROR(__xludf.DUMMYFUNCTION("""COMPUTED_VALUE"""),809.87)</f>
        <v>809.87</v>
      </c>
      <c r="E27" s="110">
        <f>IFERROR(__xludf.DUMMYFUNCTION("""COMPUTED_VALUE"""),424.0)</f>
        <v>424</v>
      </c>
      <c r="F27" s="110">
        <f>IFERROR(__xludf.DUMMYFUNCTION("""COMPUTED_VALUE"""),9.8)</f>
        <v>9.8</v>
      </c>
      <c r="G27" s="110">
        <f>IFERROR(__xludf.DUMMYFUNCTION("""COMPUTED_VALUE"""),164.85)</f>
        <v>164.85</v>
      </c>
      <c r="H27" s="110">
        <f>IFERROR(__xludf.DUMMYFUNCTION("""COMPUTED_VALUE"""),9.54)</f>
        <v>9.54</v>
      </c>
      <c r="I27" s="110">
        <f>IFERROR(__xludf.DUMMYFUNCTION("""COMPUTED_VALUE"""),9.25)</f>
        <v>9.25</v>
      </c>
      <c r="J27" s="110">
        <f>IFERROR(__xludf.DUMMYFUNCTION("""COMPUTED_VALUE"""),1.53)</f>
        <v>1.53</v>
      </c>
      <c r="K27" s="110">
        <f>IFERROR(__xludf.DUMMYFUNCTION("""COMPUTED_VALUE"""),42.55)</f>
        <v>42.55</v>
      </c>
      <c r="L27" s="110">
        <f>IFERROR(__xludf.DUMMYFUNCTION("""COMPUTED_VALUE"""),170.2)</f>
        <v>170.2</v>
      </c>
      <c r="M27" s="110">
        <f>IFERROR(__xludf.DUMMYFUNCTION("""COMPUTED_VALUE"""),37730.23)</f>
        <v>37730.23</v>
      </c>
      <c r="N27" s="110">
        <f>IFERROR(__xludf.DUMMYFUNCTION("""COMPUTED_VALUE"""),390.8)</f>
        <v>390.8</v>
      </c>
      <c r="O27" s="110">
        <f>IFERROR(__xludf.DUMMYFUNCTION("""COMPUTED_VALUE"""),297.31)</f>
        <v>297.31</v>
      </c>
      <c r="P27" s="110">
        <f>IFERROR(__xludf.DUMMYFUNCTION("""COMPUTED_VALUE"""),26.38)</f>
        <v>26.38</v>
      </c>
      <c r="Q27" s="110">
        <f>IFERROR(__xludf.DUMMYFUNCTION("""COMPUTED_VALUE"""),24.5)</f>
        <v>24.5</v>
      </c>
      <c r="R27" s="110">
        <f>IFERROR(__xludf.DUMMYFUNCTION("""COMPUTED_VALUE"""),72.5)</f>
        <v>72.5</v>
      </c>
      <c r="S27" s="110">
        <f>IFERROR(__xludf.DUMMYFUNCTION("""COMPUTED_VALUE"""),27.175)</f>
        <v>27.175</v>
      </c>
      <c r="T27" s="110">
        <f>IFERROR(__xludf.DUMMYFUNCTION("""COMPUTED_VALUE"""),35.03)</f>
        <v>35.03</v>
      </c>
      <c r="U27" s="110">
        <f>IFERROR(__xludf.DUMMYFUNCTION("""COMPUTED_VALUE"""),45.12)</f>
        <v>45.12</v>
      </c>
      <c r="V27" s="110">
        <f>IFERROR(__xludf.DUMMYFUNCTION("""COMPUTED_VALUE"""),14.91)</f>
        <v>14.91</v>
      </c>
      <c r="W27" s="110">
        <f>IFERROR(__xludf.DUMMYFUNCTION("""COMPUTED_VALUE"""),249.45)</f>
        <v>249.45</v>
      </c>
      <c r="X27" s="110">
        <f>IFERROR(__xludf.DUMMYFUNCTION("""COMPUTED_VALUE"""),2690.39)</f>
        <v>2690.39</v>
      </c>
      <c r="Y27" s="110">
        <f>IFERROR(__xludf.DUMMYFUNCTION("""COMPUTED_VALUE"""),60.6)</f>
        <v>60.6</v>
      </c>
      <c r="Z27" s="110">
        <f>IFERROR(__xludf.DUMMYFUNCTION("""COMPUTED_VALUE"""),64.2)</f>
        <v>64.2</v>
      </c>
      <c r="AA27" s="110">
        <f>IFERROR(__xludf.DUMMYFUNCTION("""COMPUTED_VALUE"""),109.27)</f>
        <v>109.27</v>
      </c>
      <c r="AB27" s="110">
        <f>IFERROR(__xludf.DUMMYFUNCTION("""COMPUTED_VALUE"""),4.58)</f>
        <v>4.58</v>
      </c>
      <c r="AC27" s="110">
        <f>IFERROR(__xludf.DUMMYFUNCTION("""COMPUTED_VALUE"""),68.88)</f>
        <v>68.88</v>
      </c>
      <c r="AD27" s="110">
        <f>IFERROR(__xludf.DUMMYFUNCTION("""COMPUTED_VALUE"""),12.2)</f>
        <v>12.2</v>
      </c>
      <c r="AE27" s="110">
        <f>IFERROR(__xludf.DUMMYFUNCTION("""COMPUTED_VALUE"""),5.72)</f>
        <v>5.72</v>
      </c>
      <c r="AF27" s="110">
        <f>IFERROR(__xludf.DUMMYFUNCTION("""COMPUTED_VALUE"""),46.54)</f>
        <v>46.54</v>
      </c>
      <c r="AG27" s="110">
        <f>IFERROR(__xludf.DUMMYFUNCTION("""COMPUTED_VALUE"""),17.56)</f>
        <v>17.56</v>
      </c>
      <c r="AH27" s="110">
        <f>IFERROR(__xludf.DUMMYFUNCTION("""COMPUTED_VALUE"""),2.09)</f>
        <v>2.09</v>
      </c>
      <c r="AI27" s="110">
        <f>IFERROR(__xludf.DUMMYFUNCTION("""COMPUTED_VALUE"""),3.43)</f>
        <v>3.43</v>
      </c>
      <c r="AJ27" s="110">
        <f>IFERROR(__xludf.DUMMYFUNCTION("""COMPUTED_VALUE"""),119.7)</f>
        <v>119.7</v>
      </c>
      <c r="AK27" s="110">
        <f>IFERROR(__xludf.DUMMYFUNCTION("""COMPUTED_VALUE"""),241.57)</f>
        <v>241.57</v>
      </c>
      <c r="AL27" s="110">
        <f>IFERROR(__xludf.DUMMYFUNCTION("""COMPUTED_VALUE"""),14.74)</f>
        <v>14.74</v>
      </c>
      <c r="AM27" s="110">
        <f>IFERROR(__xludf.DUMMYFUNCTION("""COMPUTED_VALUE"""),45.02)</f>
        <v>45.02</v>
      </c>
      <c r="AN27" s="110">
        <f>IFERROR(__xludf.DUMMYFUNCTION("""COMPUTED_VALUE"""),319.24)</f>
        <v>319.24</v>
      </c>
      <c r="AO27" s="110">
        <f>IFERROR(__xludf.DUMMYFUNCTION("""COMPUTED_VALUE"""),104.09)</f>
        <v>104.09</v>
      </c>
      <c r="AP27" s="110">
        <f>IFERROR(__xludf.DUMMYFUNCTION("""COMPUTED_VALUE"""),81.44)</f>
        <v>81.44</v>
      </c>
      <c r="AQ27" s="110">
        <f>IFERROR(__xludf.DUMMYFUNCTION("""COMPUTED_VALUE"""),54.49)</f>
        <v>54.49</v>
      </c>
      <c r="AR27" s="109">
        <f>IFERROR(__xludf.DUMMYFUNCTION("""COMPUTED_VALUE"""),104.835)</f>
        <v>104.835</v>
      </c>
      <c r="AS27" s="110">
        <f>IFERROR(__xludf.DUMMYFUNCTION("""COMPUTED_VALUE"""),16.37)</f>
        <v>16.37</v>
      </c>
      <c r="AT27" s="110">
        <f>IFERROR(__xludf.DUMMYFUNCTION("""COMPUTED_VALUE"""),105.3)</f>
        <v>105.3</v>
      </c>
      <c r="AU27" s="110">
        <f>IFERROR(__xludf.DUMMYFUNCTION("""COMPUTED_VALUE"""),62.19)</f>
        <v>62.19</v>
      </c>
      <c r="AV27" s="110">
        <f>IFERROR(__xludf.DUMMYFUNCTION("""COMPUTED_VALUE"""),149.53)</f>
        <v>149.53</v>
      </c>
      <c r="AW27" s="110">
        <f>IFERROR(__xludf.DUMMYFUNCTION("""COMPUTED_VALUE"""),135.72)</f>
        <v>135.72</v>
      </c>
      <c r="AX27" s="110">
        <f>IFERROR(__xludf.DUMMYFUNCTION("""COMPUTED_VALUE"""),28.95)</f>
        <v>28.95</v>
      </c>
      <c r="AY27" s="110">
        <f>IFERROR(__xludf.DUMMYFUNCTION("""COMPUTED_VALUE"""),50.05)</f>
        <v>50.05</v>
      </c>
      <c r="AZ27" s="110">
        <f>IFERROR(__xludf.DUMMYFUNCTION("""COMPUTED_VALUE"""),0.0)</f>
        <v>0</v>
      </c>
      <c r="BA27" s="110">
        <f>IFERROR(__xludf.DUMMYFUNCTION("""COMPUTED_VALUE"""),0.0)</f>
        <v>0</v>
      </c>
      <c r="BB27" s="110">
        <f>IFERROR(__xludf.DUMMYFUNCTION("""COMPUTED_VALUE"""),15.16)</f>
        <v>15.16</v>
      </c>
      <c r="BC27" s="110">
        <f>IFERROR(__xludf.DUMMYFUNCTION("""COMPUTED_VALUE"""),54.9)</f>
        <v>54.9</v>
      </c>
      <c r="BD27" s="110">
        <f>IFERROR(__xludf.DUMMYFUNCTION("""COMPUTED_VALUE"""),208.0)</f>
        <v>208</v>
      </c>
      <c r="BE27" s="110">
        <f>IFERROR(__xludf.DUMMYFUNCTION("""COMPUTED_VALUE"""),146.3)</f>
        <v>146.3</v>
      </c>
      <c r="BF27" s="110">
        <f>IFERROR(__xludf.DUMMYFUNCTION("""COMPUTED_VALUE"""),16.36)</f>
        <v>16.36</v>
      </c>
      <c r="BG27" s="110">
        <f>IFERROR(__xludf.DUMMYFUNCTION("""COMPUTED_VALUE"""),569.75)</f>
        <v>569.75</v>
      </c>
      <c r="BH27" s="110">
        <f>IFERROR(__xludf.DUMMYFUNCTION("""COMPUTED_VALUE"""),305.03)</f>
        <v>305.03</v>
      </c>
      <c r="BI27" s="110">
        <f>IFERROR(__xludf.DUMMYFUNCTION("""COMPUTED_VALUE"""),227.03)</f>
        <v>227.03</v>
      </c>
      <c r="BJ27" s="110">
        <f>IFERROR(__xludf.DUMMYFUNCTION("""COMPUTED_VALUE"""),26.35)</f>
        <v>26.35</v>
      </c>
      <c r="BK27" s="110">
        <f>IFERROR(__xludf.DUMMYFUNCTION("""COMPUTED_VALUE"""),311.15)</f>
        <v>311.15</v>
      </c>
      <c r="BL27" s="110">
        <f>IFERROR(__xludf.DUMMYFUNCTION("""COMPUTED_VALUE"""),125.46)</f>
        <v>125.46</v>
      </c>
      <c r="BM27" s="110">
        <f>IFERROR(__xludf.DUMMYFUNCTION("""COMPUTED_VALUE"""),17.83)</f>
        <v>17.83</v>
      </c>
      <c r="BN27" s="110">
        <f>IFERROR(__xludf.DUMMYFUNCTION("""COMPUTED_VALUE"""),388.46)</f>
        <v>388.46</v>
      </c>
      <c r="BO27" s="110">
        <f>IFERROR(__xludf.DUMMYFUNCTION("""COMPUTED_VALUE"""),755.0)</f>
        <v>755</v>
      </c>
      <c r="BP27" s="110">
        <f>IFERROR(__xludf.DUMMYFUNCTION("""COMPUTED_VALUE"""),63.43)</f>
        <v>63.43</v>
      </c>
      <c r="BQ27" s="110">
        <f>IFERROR(__xludf.DUMMYFUNCTION("""COMPUTED_VALUE"""),10.67)</f>
        <v>10.67</v>
      </c>
      <c r="BR27" s="110">
        <f>IFERROR(__xludf.DUMMYFUNCTION("""COMPUTED_VALUE"""),41.78)</f>
        <v>41.78</v>
      </c>
      <c r="BS27" s="110">
        <f>IFERROR(__xludf.DUMMYFUNCTION("""COMPUTED_VALUE"""),0.93)</f>
        <v>0.93</v>
      </c>
      <c r="BT27" s="110">
        <f>IFERROR(__xludf.DUMMYFUNCTION("""COMPUTED_VALUE"""),49.29)</f>
        <v>49.29</v>
      </c>
      <c r="BU27" s="110">
        <f>IFERROR(__xludf.DUMMYFUNCTION("""COMPUTED_VALUE"""),36.8)</f>
        <v>36.8</v>
      </c>
      <c r="BV27" s="110">
        <f>IFERROR(__xludf.DUMMYFUNCTION("""COMPUTED_VALUE"""),53.15)</f>
        <v>53.15</v>
      </c>
      <c r="BW27" s="110">
        <f>IFERROR(__xludf.DUMMYFUNCTION("""COMPUTED_VALUE"""),7.78)</f>
        <v>7.78</v>
      </c>
      <c r="BX27" s="110">
        <f>IFERROR(__xludf.DUMMYFUNCTION("""COMPUTED_VALUE"""),7.16)</f>
        <v>7.16</v>
      </c>
      <c r="BY27" s="110">
        <f>IFERROR(__xludf.DUMMYFUNCTION("""COMPUTED_VALUE"""),0.0)</f>
        <v>0</v>
      </c>
      <c r="BZ27" s="110">
        <f>IFERROR(__xludf.DUMMYFUNCTION("""COMPUTED_VALUE"""),12.75)</f>
        <v>12.75</v>
      </c>
      <c r="CA27" s="110">
        <f>IFERROR(__xludf.DUMMYFUNCTION("""COMPUTED_VALUE"""),4.23)</f>
        <v>4.23</v>
      </c>
      <c r="CB27" s="110">
        <f>IFERROR(__xludf.DUMMYFUNCTION("""COMPUTED_VALUE"""),6.23)</f>
        <v>6.23</v>
      </c>
      <c r="CC27" s="110">
        <f>IFERROR(__xludf.DUMMYFUNCTION("""COMPUTED_VALUE"""),22.63)</f>
        <v>22.63</v>
      </c>
      <c r="CD27" s="110">
        <f>IFERROR(__xludf.DUMMYFUNCTION("""COMPUTED_VALUE"""),16.49)</f>
        <v>16.49</v>
      </c>
      <c r="CE27" s="110">
        <f>IFERROR(__xludf.DUMMYFUNCTION("""COMPUTED_VALUE"""),36.82)</f>
        <v>36.82</v>
      </c>
      <c r="CF27" s="110">
        <f>IFERROR(__xludf.DUMMYFUNCTION("""COMPUTED_VALUE"""),91.94)</f>
        <v>91.94</v>
      </c>
      <c r="CG27" s="110">
        <f>IFERROR(__xludf.DUMMYFUNCTION("""COMPUTED_VALUE"""),6.01)</f>
        <v>6.01</v>
      </c>
      <c r="CH27" s="110">
        <f>IFERROR(__xludf.DUMMYFUNCTION("""COMPUTED_VALUE"""),22.56)</f>
        <v>22.56</v>
      </c>
      <c r="CI27" s="110">
        <f>IFERROR(__xludf.DUMMYFUNCTION("""COMPUTED_VALUE"""),48.0)</f>
        <v>48</v>
      </c>
      <c r="CJ27" s="110">
        <f>IFERROR(__xludf.DUMMYFUNCTION("""COMPUTED_VALUE"""),17.9)</f>
        <v>17.9</v>
      </c>
      <c r="CK27" s="110">
        <f>IFERROR(__xludf.DUMMYFUNCTION("""COMPUTED_VALUE"""),12.95)</f>
        <v>12.95</v>
      </c>
      <c r="CL27" s="110">
        <f>IFERROR(__xludf.DUMMYFUNCTION("""COMPUTED_VALUE"""),2689.19)</f>
        <v>2689.19</v>
      </c>
      <c r="CM27" s="110">
        <f>IFERROR(__xludf.DUMMYFUNCTION("""COMPUTED_VALUE"""),0.6)</f>
        <v>0.6</v>
      </c>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row>
    <row r="28">
      <c r="A28" s="106">
        <f>IFERROR(__xludf.DUMMYFUNCTION("""COMPUTED_VALUE"""),44620.0)</f>
        <v>44620</v>
      </c>
      <c r="B28" s="110">
        <f>IFERROR(__xludf.DUMMYFUNCTION("""COMPUTED_VALUE"""),3071.26)</f>
        <v>3071.26</v>
      </c>
      <c r="C28" s="110">
        <f>IFERROR(__xludf.DUMMYFUNCTION("""COMPUTED_VALUE"""),211.03)</f>
        <v>211.03</v>
      </c>
      <c r="D28" s="110">
        <f>IFERROR(__xludf.DUMMYFUNCTION("""COMPUTED_VALUE"""),870.43)</f>
        <v>870.43</v>
      </c>
      <c r="E28" s="110">
        <f>IFERROR(__xludf.DUMMYFUNCTION("""COMPUTED_VALUE"""),421.2)</f>
        <v>421.2</v>
      </c>
      <c r="F28" s="110">
        <f>IFERROR(__xludf.DUMMYFUNCTION("""COMPUTED_VALUE"""),9.97)</f>
        <v>9.97</v>
      </c>
      <c r="G28" s="110">
        <f>IFERROR(__xludf.DUMMYFUNCTION("""COMPUTED_VALUE"""),165.12)</f>
        <v>165.12</v>
      </c>
      <c r="H28" s="110">
        <f>IFERROR(__xludf.DUMMYFUNCTION("""COMPUTED_VALUE"""),9.3)</f>
        <v>9.3</v>
      </c>
      <c r="I28" s="110">
        <f>IFERROR(__xludf.DUMMYFUNCTION("""COMPUTED_VALUE"""),10.2)</f>
        <v>10.2</v>
      </c>
      <c r="J28" s="110">
        <f>IFERROR(__xludf.DUMMYFUNCTION("""COMPUTED_VALUE"""),1.15)</f>
        <v>1.15</v>
      </c>
      <c r="K28" s="110">
        <f>IFERROR(__xludf.DUMMYFUNCTION("""COMPUTED_VALUE"""),42.95)</f>
        <v>42.95</v>
      </c>
      <c r="L28" s="110">
        <f>IFERROR(__xludf.DUMMYFUNCTION("""COMPUTED_VALUE"""),172.2)</f>
        <v>172.2</v>
      </c>
      <c r="M28" s="110">
        <f>IFERROR(__xludf.DUMMYFUNCTION("""COMPUTED_VALUE"""),43215.414)</f>
        <v>43215.414</v>
      </c>
      <c r="N28" s="110">
        <f>IFERROR(__xludf.DUMMYFUNCTION("""COMPUTED_VALUE"""),394.52)</f>
        <v>394.52</v>
      </c>
      <c r="O28" s="110">
        <f>IFERROR(__xludf.DUMMYFUNCTION("""COMPUTED_VALUE"""),298.79)</f>
        <v>298.79</v>
      </c>
      <c r="P28" s="110">
        <f>IFERROR(__xludf.DUMMYFUNCTION("""COMPUTED_VALUE"""),25.63)</f>
        <v>25.63</v>
      </c>
      <c r="Q28" s="110">
        <f>IFERROR(__xludf.DUMMYFUNCTION("""COMPUTED_VALUE"""),24.52)</f>
        <v>24.52</v>
      </c>
      <c r="R28" s="110">
        <f>IFERROR(__xludf.DUMMYFUNCTION("""COMPUTED_VALUE"""),71.63)</f>
        <v>71.63</v>
      </c>
      <c r="S28" s="110">
        <f>IFERROR(__xludf.DUMMYFUNCTION("""COMPUTED_VALUE"""),29.39)</f>
        <v>29.39</v>
      </c>
      <c r="T28" s="110">
        <f>IFERROR(__xludf.DUMMYFUNCTION("""COMPUTED_VALUE"""),36.37)</f>
        <v>36.37</v>
      </c>
      <c r="U28" s="110">
        <f>IFERROR(__xludf.DUMMYFUNCTION("""COMPUTED_VALUE"""),44.29)</f>
        <v>44.29</v>
      </c>
      <c r="V28" s="110">
        <f>IFERROR(__xludf.DUMMYFUNCTION("""COMPUTED_VALUE"""),16.3)</f>
        <v>16.3</v>
      </c>
      <c r="W28" s="110">
        <f>IFERROR(__xludf.DUMMYFUNCTION("""COMPUTED_VALUE"""),244.77)</f>
        <v>244.77</v>
      </c>
      <c r="X28" s="110">
        <f>IFERROR(__xludf.DUMMYFUNCTION("""COMPUTED_VALUE"""),2697.82)</f>
        <v>2697.82</v>
      </c>
      <c r="Y28" s="110">
        <f>IFERROR(__xludf.DUMMYFUNCTION("""COMPUTED_VALUE"""),60.4)</f>
        <v>60.4</v>
      </c>
      <c r="Z28" s="110">
        <f>IFERROR(__xludf.DUMMYFUNCTION("""COMPUTED_VALUE"""),64.25)</f>
        <v>64.25</v>
      </c>
      <c r="AA28" s="110">
        <f>IFERROR(__xludf.DUMMYFUNCTION("""COMPUTED_VALUE"""),116.42)</f>
        <v>116.42</v>
      </c>
      <c r="AB28" s="110">
        <f>IFERROR(__xludf.DUMMYFUNCTION("""COMPUTED_VALUE"""),4.67)</f>
        <v>4.67</v>
      </c>
      <c r="AC28" s="110">
        <f>IFERROR(__xludf.DUMMYFUNCTION("""COMPUTED_VALUE"""),70.58)</f>
        <v>70.58</v>
      </c>
      <c r="AD28" s="110">
        <f>IFERROR(__xludf.DUMMYFUNCTION("""COMPUTED_VALUE"""),12.15)</f>
        <v>12.15</v>
      </c>
      <c r="AE28" s="110">
        <f>IFERROR(__xludf.DUMMYFUNCTION("""COMPUTED_VALUE"""),5.82)</f>
        <v>5.82</v>
      </c>
      <c r="AF28" s="110">
        <f>IFERROR(__xludf.DUMMYFUNCTION("""COMPUTED_VALUE"""),48.35)</f>
        <v>48.35</v>
      </c>
      <c r="AG28" s="110">
        <f>IFERROR(__xludf.DUMMYFUNCTION("""COMPUTED_VALUE"""),16.26)</f>
        <v>16.26</v>
      </c>
      <c r="AH28" s="110">
        <f>IFERROR(__xludf.DUMMYFUNCTION("""COMPUTED_VALUE"""),2.08)</f>
        <v>2.08</v>
      </c>
      <c r="AI28" s="110">
        <f>IFERROR(__xludf.DUMMYFUNCTION("""COMPUTED_VALUE"""),3.4)</f>
        <v>3.4</v>
      </c>
      <c r="AJ28" s="110">
        <f>IFERROR(__xludf.DUMMYFUNCTION("""COMPUTED_VALUE"""),118.9)</f>
        <v>118.9</v>
      </c>
      <c r="AK28" s="110">
        <f>IFERROR(__xludf.DUMMYFUNCTION("""COMPUTED_VALUE"""),243.85)</f>
        <v>243.85</v>
      </c>
      <c r="AL28" s="110">
        <f>IFERROR(__xludf.DUMMYFUNCTION("""COMPUTED_VALUE"""),14.66)</f>
        <v>14.66</v>
      </c>
      <c r="AM28" s="110">
        <f>IFERROR(__xludf.DUMMYFUNCTION("""COMPUTED_VALUE"""),44.2)</f>
        <v>44.2</v>
      </c>
      <c r="AN28" s="110">
        <f>IFERROR(__xludf.DUMMYFUNCTION("""COMPUTED_VALUE"""),321.45)</f>
        <v>321.45</v>
      </c>
      <c r="AO28" s="110">
        <f>IFERROR(__xludf.DUMMYFUNCTION("""COMPUTED_VALUE"""),102.53)</f>
        <v>102.53</v>
      </c>
      <c r="AP28" s="110">
        <f>IFERROR(__xludf.DUMMYFUNCTION("""COMPUTED_VALUE"""),81.5)</f>
        <v>81.5</v>
      </c>
      <c r="AQ28" s="110">
        <f>IFERROR(__xludf.DUMMYFUNCTION("""COMPUTED_VALUE"""),53.79)</f>
        <v>53.79</v>
      </c>
      <c r="AR28" s="109">
        <f>IFERROR(__xludf.DUMMYFUNCTION("""COMPUTED_VALUE"""),104.7675)</f>
        <v>104.7675</v>
      </c>
      <c r="AS28" s="110">
        <f>IFERROR(__xludf.DUMMYFUNCTION("""COMPUTED_VALUE"""),17.54)</f>
        <v>17.54</v>
      </c>
      <c r="AT28" s="110">
        <f>IFERROR(__xludf.DUMMYFUNCTION("""COMPUTED_VALUE"""),104.2)</f>
        <v>104.2</v>
      </c>
      <c r="AU28" s="110">
        <f>IFERROR(__xludf.DUMMYFUNCTION("""COMPUTED_VALUE"""),63.57)</f>
        <v>63.57</v>
      </c>
      <c r="AV28" s="110">
        <f>IFERROR(__xludf.DUMMYFUNCTION("""COMPUTED_VALUE"""),148.46)</f>
        <v>148.46</v>
      </c>
      <c r="AW28" s="110">
        <f>IFERROR(__xludf.DUMMYFUNCTION("""COMPUTED_VALUE"""),134.2)</f>
        <v>134.2</v>
      </c>
      <c r="AX28" s="110">
        <f>IFERROR(__xludf.DUMMYFUNCTION("""COMPUTED_VALUE"""),28.8)</f>
        <v>28.8</v>
      </c>
      <c r="AY28" s="110">
        <f>IFERROR(__xludf.DUMMYFUNCTION("""COMPUTED_VALUE"""),51.57)</f>
        <v>51.57</v>
      </c>
      <c r="AZ28" s="110">
        <f>IFERROR(__xludf.DUMMYFUNCTION("""COMPUTED_VALUE"""),0.0)</f>
        <v>0</v>
      </c>
      <c r="BA28" s="110">
        <f>IFERROR(__xludf.DUMMYFUNCTION("""COMPUTED_VALUE"""),0.0)</f>
        <v>0</v>
      </c>
      <c r="BB28" s="110">
        <f>IFERROR(__xludf.DUMMYFUNCTION("""COMPUTED_VALUE"""),14.42)</f>
        <v>14.42</v>
      </c>
      <c r="BC28" s="110">
        <f>IFERROR(__xludf.DUMMYFUNCTION("""COMPUTED_VALUE"""),47.9273)</f>
        <v>47.9273</v>
      </c>
      <c r="BD28" s="110">
        <f>IFERROR(__xludf.DUMMYFUNCTION("""COMPUTED_VALUE"""),209.0)</f>
        <v>209</v>
      </c>
      <c r="BE28" s="110">
        <f>IFERROR(__xludf.DUMMYFUNCTION("""COMPUTED_VALUE"""),152.5)</f>
        <v>152.5</v>
      </c>
      <c r="BF28" s="110">
        <f>IFERROR(__xludf.DUMMYFUNCTION("""COMPUTED_VALUE"""),15.34)</f>
        <v>15.34</v>
      </c>
      <c r="BG28" s="110">
        <f>IFERROR(__xludf.DUMMYFUNCTION("""COMPUTED_VALUE"""),594.25)</f>
        <v>594.25</v>
      </c>
      <c r="BH28" s="110">
        <f>IFERROR(__xludf.DUMMYFUNCTION("""COMPUTED_VALUE"""),305.72)</f>
        <v>305.72</v>
      </c>
      <c r="BI28" s="110">
        <f>IFERROR(__xludf.DUMMYFUNCTION("""COMPUTED_VALUE"""),226.48)</f>
        <v>226.48</v>
      </c>
      <c r="BJ28" s="110">
        <f>IFERROR(__xludf.DUMMYFUNCTION("""COMPUTED_VALUE"""),28.98)</f>
        <v>28.98</v>
      </c>
      <c r="BK28" s="110">
        <f>IFERROR(__xludf.DUMMYFUNCTION("""COMPUTED_VALUE"""),312.39)</f>
        <v>312.39</v>
      </c>
      <c r="BL28" s="110">
        <f>IFERROR(__xludf.DUMMYFUNCTION("""COMPUTED_VALUE"""),123.21)</f>
        <v>123.21</v>
      </c>
      <c r="BM28" s="110">
        <f>IFERROR(__xludf.DUMMYFUNCTION("""COMPUTED_VALUE"""),17.56)</f>
        <v>17.56</v>
      </c>
      <c r="BN28" s="110">
        <f>IFERROR(__xludf.DUMMYFUNCTION("""COMPUTED_VALUE"""),383.69)</f>
        <v>383.69</v>
      </c>
      <c r="BO28" s="110">
        <f>IFERROR(__xludf.DUMMYFUNCTION("""COMPUTED_VALUE"""),729.0)</f>
        <v>729</v>
      </c>
      <c r="BP28" s="110">
        <f>IFERROR(__xludf.DUMMYFUNCTION("""COMPUTED_VALUE"""),67.56)</f>
        <v>67.56</v>
      </c>
      <c r="BQ28" s="110">
        <f>IFERROR(__xludf.DUMMYFUNCTION("""COMPUTED_VALUE"""),11.45)</f>
        <v>11.45</v>
      </c>
      <c r="BR28" s="110">
        <f>IFERROR(__xludf.DUMMYFUNCTION("""COMPUTED_VALUE"""),41.01)</f>
        <v>41.01</v>
      </c>
      <c r="BS28" s="110">
        <f>IFERROR(__xludf.DUMMYFUNCTION("""COMPUTED_VALUE"""),0.87)</f>
        <v>0.87</v>
      </c>
      <c r="BT28" s="110">
        <f>IFERROR(__xludf.DUMMYFUNCTION("""COMPUTED_VALUE"""),48.99)</f>
        <v>48.99</v>
      </c>
      <c r="BU28" s="110">
        <f>IFERROR(__xludf.DUMMYFUNCTION("""COMPUTED_VALUE"""),38.0)</f>
        <v>38</v>
      </c>
      <c r="BV28" s="110">
        <f>IFERROR(__xludf.DUMMYFUNCTION("""COMPUTED_VALUE"""),52.8)</f>
        <v>52.8</v>
      </c>
      <c r="BW28" s="110">
        <f>IFERROR(__xludf.DUMMYFUNCTION("""COMPUTED_VALUE"""),7.65)</f>
        <v>7.65</v>
      </c>
      <c r="BX28" s="110">
        <f>IFERROR(__xludf.DUMMYFUNCTION("""COMPUTED_VALUE"""),6.93)</f>
        <v>6.93</v>
      </c>
      <c r="BY28" s="110">
        <f>IFERROR(__xludf.DUMMYFUNCTION("""COMPUTED_VALUE"""),0.0)</f>
        <v>0</v>
      </c>
      <c r="BZ28" s="110">
        <f>IFERROR(__xludf.DUMMYFUNCTION("""COMPUTED_VALUE"""),13.05)</f>
        <v>13.05</v>
      </c>
      <c r="CA28" s="110">
        <f>IFERROR(__xludf.DUMMYFUNCTION("""COMPUTED_VALUE"""),3.99)</f>
        <v>3.99</v>
      </c>
      <c r="CB28" s="110">
        <f>IFERROR(__xludf.DUMMYFUNCTION("""COMPUTED_VALUE"""),6.19)</f>
        <v>6.19</v>
      </c>
      <c r="CC28" s="110">
        <f>IFERROR(__xludf.DUMMYFUNCTION("""COMPUTED_VALUE"""),21.85)</f>
        <v>21.85</v>
      </c>
      <c r="CD28" s="110">
        <f>IFERROR(__xludf.DUMMYFUNCTION("""COMPUTED_VALUE"""),17.18)</f>
        <v>17.18</v>
      </c>
      <c r="CE28" s="110">
        <f>IFERROR(__xludf.DUMMYFUNCTION("""COMPUTED_VALUE"""),35.95)</f>
        <v>35.95</v>
      </c>
      <c r="CF28" s="110">
        <f>IFERROR(__xludf.DUMMYFUNCTION("""COMPUTED_VALUE"""),95.84)</f>
        <v>95.84</v>
      </c>
      <c r="CG28" s="110">
        <f>IFERROR(__xludf.DUMMYFUNCTION("""COMPUTED_VALUE"""),6.6)</f>
        <v>6.6</v>
      </c>
      <c r="CH28" s="110">
        <f>IFERROR(__xludf.DUMMYFUNCTION("""COMPUTED_VALUE"""),22.57)</f>
        <v>22.57</v>
      </c>
      <c r="CI28" s="110">
        <f>IFERROR(__xludf.DUMMYFUNCTION("""COMPUTED_VALUE"""),45.96)</f>
        <v>45.96</v>
      </c>
      <c r="CJ28" s="110">
        <f>IFERROR(__xludf.DUMMYFUNCTION("""COMPUTED_VALUE"""),17.9)</f>
        <v>17.9</v>
      </c>
      <c r="CK28" s="110">
        <f>IFERROR(__xludf.DUMMYFUNCTION("""COMPUTED_VALUE"""),12.73)</f>
        <v>12.73</v>
      </c>
      <c r="CL28" s="110">
        <f>IFERROR(__xludf.DUMMYFUNCTION("""COMPUTED_VALUE"""),2701.14)</f>
        <v>2701.14</v>
      </c>
      <c r="CM28" s="110">
        <f>IFERROR(__xludf.DUMMYFUNCTION("""COMPUTED_VALUE"""),1.03)</f>
        <v>1.03</v>
      </c>
      <c r="CN28" s="110">
        <f>IFERROR(__xludf.DUMMYFUNCTION("""COMPUTED_VALUE"""),237.0)</f>
        <v>237</v>
      </c>
      <c r="CO28" s="110">
        <f>IFERROR(__xludf.DUMMYFUNCTION("""COMPUTED_VALUE"""),147.4)</f>
        <v>147.4</v>
      </c>
      <c r="CP28" s="110">
        <f>IFERROR(__xludf.DUMMYFUNCTION("""COMPUTED_VALUE"""),70.47)</f>
        <v>70.47</v>
      </c>
      <c r="CQ28" s="110">
        <f>IFERROR(__xludf.DUMMYFUNCTION("""COMPUTED_VALUE"""),72100.0)</f>
        <v>72100</v>
      </c>
      <c r="CR28" s="110">
        <f>IFERROR(__xludf.DUMMYFUNCTION("""COMPUTED_VALUE"""),1.25)</f>
        <v>1.25</v>
      </c>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row>
    <row r="29">
      <c r="A29" s="106">
        <f>IFERROR(__xludf.DUMMYFUNCTION("""COMPUTED_VALUE"""),44621.0)</f>
        <v>44621</v>
      </c>
      <c r="B29" s="110">
        <f>IFERROR(__xludf.DUMMYFUNCTION("""COMPUTED_VALUE"""),3022.84)</f>
        <v>3022.84</v>
      </c>
      <c r="C29" s="110">
        <f>IFERROR(__xludf.DUMMYFUNCTION("""COMPUTED_VALUE"""),203.49)</f>
        <v>203.49</v>
      </c>
      <c r="D29" s="110">
        <f>IFERROR(__xludf.DUMMYFUNCTION("""COMPUTED_VALUE"""),864.37)</f>
        <v>864.37</v>
      </c>
      <c r="E29" s="110">
        <f>IFERROR(__xludf.DUMMYFUNCTION("""COMPUTED_VALUE"""),431.0)</f>
        <v>431</v>
      </c>
      <c r="F29" s="110">
        <f>IFERROR(__xludf.DUMMYFUNCTION("""COMPUTED_VALUE"""),10.02)</f>
        <v>10.02</v>
      </c>
      <c r="G29" s="110">
        <f>IFERROR(__xludf.DUMMYFUNCTION("""COMPUTED_VALUE"""),163.2)</f>
        <v>163.2</v>
      </c>
      <c r="H29" s="110">
        <f>IFERROR(__xludf.DUMMYFUNCTION("""COMPUTED_VALUE"""),9.3)</f>
        <v>9.3</v>
      </c>
      <c r="I29" s="110">
        <f>IFERROR(__xludf.DUMMYFUNCTION("""COMPUTED_VALUE"""),13.5)</f>
        <v>13.5</v>
      </c>
      <c r="J29" s="110">
        <f>IFERROR(__xludf.DUMMYFUNCTION("""COMPUTED_VALUE"""),0.75)</f>
        <v>0.75</v>
      </c>
      <c r="K29" s="110">
        <f>IFERROR(__xludf.DUMMYFUNCTION("""COMPUTED_VALUE"""),44.45)</f>
        <v>44.45</v>
      </c>
      <c r="L29" s="110">
        <f>IFERROR(__xludf.DUMMYFUNCTION("""COMPUTED_VALUE"""),173.4)</f>
        <v>173.4</v>
      </c>
      <c r="M29" s="110">
        <f>IFERROR(__xludf.DUMMYFUNCTION("""COMPUTED_VALUE"""),44085.594)</f>
        <v>44085.594</v>
      </c>
      <c r="N29" s="110">
        <f>IFERROR(__xludf.DUMMYFUNCTION("""COMPUTED_VALUE"""),386.24)</f>
        <v>386.24</v>
      </c>
      <c r="O29" s="110">
        <f>IFERROR(__xludf.DUMMYFUNCTION("""COMPUTED_VALUE"""),294.95)</f>
        <v>294.95</v>
      </c>
      <c r="P29" s="110">
        <f>IFERROR(__xludf.DUMMYFUNCTION("""COMPUTED_VALUE"""),23.35)</f>
        <v>23.35</v>
      </c>
      <c r="Q29" s="110">
        <f>IFERROR(__xludf.DUMMYFUNCTION("""COMPUTED_VALUE"""),24.39)</f>
        <v>24.39</v>
      </c>
      <c r="R29" s="110">
        <f>IFERROR(__xludf.DUMMYFUNCTION("""COMPUTED_VALUE"""),73.3)</f>
        <v>73.3</v>
      </c>
      <c r="S29" s="110">
        <f>IFERROR(__xludf.DUMMYFUNCTION("""COMPUTED_VALUE"""),30.75)</f>
        <v>30.75</v>
      </c>
      <c r="T29" s="110">
        <f>IFERROR(__xludf.DUMMYFUNCTION("""COMPUTED_VALUE"""),33.84)</f>
        <v>33.84</v>
      </c>
      <c r="U29" s="110">
        <f>IFERROR(__xludf.DUMMYFUNCTION("""COMPUTED_VALUE"""),41.92)</f>
        <v>41.92</v>
      </c>
      <c r="V29" s="110">
        <f>IFERROR(__xludf.DUMMYFUNCTION("""COMPUTED_VALUE"""),17.38)</f>
        <v>17.38</v>
      </c>
      <c r="W29" s="110">
        <f>IFERROR(__xludf.DUMMYFUNCTION("""COMPUTED_VALUE"""),239.63)</f>
        <v>239.63</v>
      </c>
      <c r="X29" s="110">
        <f>IFERROR(__xludf.DUMMYFUNCTION("""COMPUTED_VALUE"""),2683.36)</f>
        <v>2683.36</v>
      </c>
      <c r="Y29" s="110">
        <f>IFERROR(__xludf.DUMMYFUNCTION("""COMPUTED_VALUE"""),60.7)</f>
        <v>60.7</v>
      </c>
      <c r="Z29" s="110">
        <f>IFERROR(__xludf.DUMMYFUNCTION("""COMPUTED_VALUE"""),67.35)</f>
        <v>67.35</v>
      </c>
      <c r="AA29" s="110">
        <f>IFERROR(__xludf.DUMMYFUNCTION("""COMPUTED_VALUE"""),117.65)</f>
        <v>117.65</v>
      </c>
      <c r="AB29" s="110">
        <f>IFERROR(__xludf.DUMMYFUNCTION("""COMPUTED_VALUE"""),4.67)</f>
        <v>4.67</v>
      </c>
      <c r="AC29" s="110">
        <f>IFERROR(__xludf.DUMMYFUNCTION("""COMPUTED_VALUE"""),71.29)</f>
        <v>71.29</v>
      </c>
      <c r="AD29" s="110">
        <f>IFERROR(__xludf.DUMMYFUNCTION("""COMPUTED_VALUE"""),12.01)</f>
        <v>12.01</v>
      </c>
      <c r="AE29" s="110">
        <f>IFERROR(__xludf.DUMMYFUNCTION("""COMPUTED_VALUE"""),5.84)</f>
        <v>5.84</v>
      </c>
      <c r="AF29" s="110">
        <f>IFERROR(__xludf.DUMMYFUNCTION("""COMPUTED_VALUE"""),47.32)</f>
        <v>47.32</v>
      </c>
      <c r="AG29" s="110">
        <f>IFERROR(__xludf.DUMMYFUNCTION("""COMPUTED_VALUE"""),16.42)</f>
        <v>16.42</v>
      </c>
      <c r="AH29" s="110">
        <f>IFERROR(__xludf.DUMMYFUNCTION("""COMPUTED_VALUE"""),2.1)</f>
        <v>2.1</v>
      </c>
      <c r="AI29" s="110">
        <f>IFERROR(__xludf.DUMMYFUNCTION("""COMPUTED_VALUE"""),3.61)</f>
        <v>3.61</v>
      </c>
      <c r="AJ29" s="110">
        <f>IFERROR(__xludf.DUMMYFUNCTION("""COMPUTED_VALUE"""),120.3)</f>
        <v>120.3</v>
      </c>
      <c r="AK29" s="110">
        <f>IFERROR(__xludf.DUMMYFUNCTION("""COMPUTED_VALUE"""),234.77)</f>
        <v>234.77</v>
      </c>
      <c r="AL29" s="110">
        <f>IFERROR(__xludf.DUMMYFUNCTION("""COMPUTED_VALUE"""),14.68)</f>
        <v>14.68</v>
      </c>
      <c r="AM29" s="110">
        <f>IFERROR(__xludf.DUMMYFUNCTION("""COMPUTED_VALUE"""),42.47)</f>
        <v>42.47</v>
      </c>
      <c r="AN29" s="110">
        <f>IFERROR(__xludf.DUMMYFUNCTION("""COMPUTED_VALUE"""),316.84)</f>
        <v>316.84</v>
      </c>
      <c r="AO29" s="110">
        <f>IFERROR(__xludf.DUMMYFUNCTION("""COMPUTED_VALUE"""),100.86)</f>
        <v>100.86</v>
      </c>
      <c r="AP29" s="110">
        <f>IFERROR(__xludf.DUMMYFUNCTION("""COMPUTED_VALUE"""),80.88)</f>
        <v>80.88</v>
      </c>
      <c r="AQ29" s="110">
        <f>IFERROR(__xludf.DUMMYFUNCTION("""COMPUTED_VALUE"""),54.57)</f>
        <v>54.57</v>
      </c>
      <c r="AR29" s="109">
        <f>IFERROR(__xludf.DUMMYFUNCTION("""COMPUTED_VALUE"""),105.0855)</f>
        <v>105.0855</v>
      </c>
      <c r="AS29" s="110">
        <f>IFERROR(__xludf.DUMMYFUNCTION("""COMPUTED_VALUE"""),20.34)</f>
        <v>20.34</v>
      </c>
      <c r="AT29" s="110">
        <f>IFERROR(__xludf.DUMMYFUNCTION("""COMPUTED_VALUE"""),103.8)</f>
        <v>103.8</v>
      </c>
      <c r="AU29" s="110">
        <f>IFERROR(__xludf.DUMMYFUNCTION("""COMPUTED_VALUE"""),62.76)</f>
        <v>62.76</v>
      </c>
      <c r="AV29" s="110">
        <f>IFERROR(__xludf.DUMMYFUNCTION("""COMPUTED_VALUE"""),145.7)</f>
        <v>145.7</v>
      </c>
      <c r="AW29" s="110">
        <f>IFERROR(__xludf.DUMMYFUNCTION("""COMPUTED_VALUE"""),129.61)</f>
        <v>129.61</v>
      </c>
      <c r="AX29" s="110">
        <f>IFERROR(__xludf.DUMMYFUNCTION("""COMPUTED_VALUE"""),28.95)</f>
        <v>28.95</v>
      </c>
      <c r="AY29" s="110">
        <f>IFERROR(__xludf.DUMMYFUNCTION("""COMPUTED_VALUE"""),50.22)</f>
        <v>50.22</v>
      </c>
      <c r="AZ29" s="110">
        <f>IFERROR(__xludf.DUMMYFUNCTION("""COMPUTED_VALUE"""),0.0)</f>
        <v>0</v>
      </c>
      <c r="BA29" s="110">
        <f>IFERROR(__xludf.DUMMYFUNCTION("""COMPUTED_VALUE"""),0.0)</f>
        <v>0</v>
      </c>
      <c r="BB29" s="110">
        <f>IFERROR(__xludf.DUMMYFUNCTION("""COMPUTED_VALUE"""),14.5)</f>
        <v>14.5</v>
      </c>
      <c r="BC29" s="110">
        <f>IFERROR(__xludf.DUMMYFUNCTION("""COMPUTED_VALUE"""),52.28)</f>
        <v>52.28</v>
      </c>
      <c r="BD29" s="110">
        <f>IFERROR(__xludf.DUMMYFUNCTION("""COMPUTED_VALUE"""),204.2)</f>
        <v>204.2</v>
      </c>
      <c r="BE29" s="110">
        <f>IFERROR(__xludf.DUMMYFUNCTION("""COMPUTED_VALUE"""),151.6)</f>
        <v>151.6</v>
      </c>
      <c r="BF29" s="110">
        <f>IFERROR(__xludf.DUMMYFUNCTION("""COMPUTED_VALUE"""),16.18)</f>
        <v>16.18</v>
      </c>
      <c r="BG29" s="110">
        <f>IFERROR(__xludf.DUMMYFUNCTION("""COMPUTED_VALUE"""),576.75)</f>
        <v>576.75</v>
      </c>
      <c r="BH29" s="110">
        <f>IFERROR(__xludf.DUMMYFUNCTION("""COMPUTED_VALUE"""),307.27)</f>
        <v>307.27</v>
      </c>
      <c r="BI29" s="110">
        <f>IFERROR(__xludf.DUMMYFUNCTION("""COMPUTED_VALUE"""),225.21)</f>
        <v>225.21</v>
      </c>
      <c r="BJ29" s="110">
        <f>IFERROR(__xludf.DUMMYFUNCTION("""COMPUTED_VALUE"""),24.99)</f>
        <v>24.99</v>
      </c>
      <c r="BK29" s="110">
        <f>IFERROR(__xludf.DUMMYFUNCTION("""COMPUTED_VALUE"""),307.71)</f>
        <v>307.71</v>
      </c>
      <c r="BL29" s="110">
        <f>IFERROR(__xludf.DUMMYFUNCTION("""COMPUTED_VALUE"""),123.13)</f>
        <v>123.13</v>
      </c>
      <c r="BM29" s="110">
        <f>IFERROR(__xludf.DUMMYFUNCTION("""COMPUTED_VALUE"""),16.7)</f>
        <v>16.7</v>
      </c>
      <c r="BN29" s="110">
        <f>IFERROR(__xludf.DUMMYFUNCTION("""COMPUTED_VALUE"""),379.56)</f>
        <v>379.56</v>
      </c>
      <c r="BO29" s="110">
        <f>IFERROR(__xludf.DUMMYFUNCTION("""COMPUTED_VALUE"""),689.08)</f>
        <v>689.08</v>
      </c>
      <c r="BP29" s="110">
        <f>IFERROR(__xludf.DUMMYFUNCTION("""COMPUTED_VALUE"""),61.91)</f>
        <v>61.91</v>
      </c>
      <c r="BQ29" s="110">
        <f>IFERROR(__xludf.DUMMYFUNCTION("""COMPUTED_VALUE"""),11.2)</f>
        <v>11.2</v>
      </c>
      <c r="BR29" s="110">
        <f>IFERROR(__xludf.DUMMYFUNCTION("""COMPUTED_VALUE"""),36.58)</f>
        <v>36.58</v>
      </c>
      <c r="BS29" s="110">
        <f>IFERROR(__xludf.DUMMYFUNCTION("""COMPUTED_VALUE"""),0.84)</f>
        <v>0.84</v>
      </c>
      <c r="BT29" s="110">
        <f>IFERROR(__xludf.DUMMYFUNCTION("""COMPUTED_VALUE"""),49.9)</f>
        <v>49.9</v>
      </c>
      <c r="BU29" s="110">
        <f>IFERROR(__xludf.DUMMYFUNCTION("""COMPUTED_VALUE"""),37.6)</f>
        <v>37.6</v>
      </c>
      <c r="BV29" s="110">
        <f>IFERROR(__xludf.DUMMYFUNCTION("""COMPUTED_VALUE"""),53.15)</f>
        <v>53.15</v>
      </c>
      <c r="BW29" s="110">
        <f>IFERROR(__xludf.DUMMYFUNCTION("""COMPUTED_VALUE"""),7.92)</f>
        <v>7.92</v>
      </c>
      <c r="BX29" s="110">
        <f>IFERROR(__xludf.DUMMYFUNCTION("""COMPUTED_VALUE"""),6.89)</f>
        <v>6.89</v>
      </c>
      <c r="BY29" s="110">
        <f>IFERROR(__xludf.DUMMYFUNCTION("""COMPUTED_VALUE"""),0.0)</f>
        <v>0</v>
      </c>
      <c r="BZ29" s="110">
        <f>IFERROR(__xludf.DUMMYFUNCTION("""COMPUTED_VALUE"""),13.56)</f>
        <v>13.56</v>
      </c>
      <c r="CA29" s="110">
        <f>IFERROR(__xludf.DUMMYFUNCTION("""COMPUTED_VALUE"""),4.09)</f>
        <v>4.09</v>
      </c>
      <c r="CB29" s="110">
        <f>IFERROR(__xludf.DUMMYFUNCTION("""COMPUTED_VALUE"""),6.29)</f>
        <v>6.29</v>
      </c>
      <c r="CC29" s="110">
        <f>IFERROR(__xludf.DUMMYFUNCTION("""COMPUTED_VALUE"""),21.26)</f>
        <v>21.26</v>
      </c>
      <c r="CD29" s="110">
        <f>IFERROR(__xludf.DUMMYFUNCTION("""COMPUTED_VALUE"""),16.83)</f>
        <v>16.83</v>
      </c>
      <c r="CE29" s="110">
        <f>IFERROR(__xludf.DUMMYFUNCTION("""COMPUTED_VALUE"""),36.35)</f>
        <v>36.35</v>
      </c>
      <c r="CF29" s="110">
        <f>IFERROR(__xludf.DUMMYFUNCTION("""COMPUTED_VALUE"""),105.86)</f>
        <v>105.86</v>
      </c>
      <c r="CG29" s="110">
        <f>IFERROR(__xludf.DUMMYFUNCTION("""COMPUTED_VALUE"""),6.49)</f>
        <v>6.49</v>
      </c>
      <c r="CH29" s="110">
        <f>IFERROR(__xludf.DUMMYFUNCTION("""COMPUTED_VALUE"""),23.46)</f>
        <v>23.46</v>
      </c>
      <c r="CI29" s="110">
        <f>IFERROR(__xludf.DUMMYFUNCTION("""COMPUTED_VALUE"""),47.46)</f>
        <v>47.46</v>
      </c>
      <c r="CJ29" s="110">
        <f>IFERROR(__xludf.DUMMYFUNCTION("""COMPUTED_VALUE"""),17.9)</f>
        <v>17.9</v>
      </c>
      <c r="CK29" s="110">
        <f>IFERROR(__xludf.DUMMYFUNCTION("""COMPUTED_VALUE"""),12.85)</f>
        <v>12.85</v>
      </c>
      <c r="CL29" s="110">
        <f>IFERROR(__xludf.DUMMYFUNCTION("""COMPUTED_VALUE"""),2681.23)</f>
        <v>2681.23</v>
      </c>
      <c r="CM29" s="110">
        <f>IFERROR(__xludf.DUMMYFUNCTION("""COMPUTED_VALUE"""),1.75)</f>
        <v>1.75</v>
      </c>
      <c r="CN29" s="110">
        <f>IFERROR(__xludf.DUMMYFUNCTION("""COMPUTED_VALUE"""),250.2)</f>
        <v>250.2</v>
      </c>
      <c r="CO29" s="110">
        <f>IFERROR(__xludf.DUMMYFUNCTION("""COMPUTED_VALUE"""),148.1)</f>
        <v>148.1</v>
      </c>
      <c r="CP29" s="110">
        <f>IFERROR(__xludf.DUMMYFUNCTION("""COMPUTED_VALUE"""),68.31)</f>
        <v>68.31</v>
      </c>
      <c r="CQ29" s="110">
        <f>IFERROR(__xludf.DUMMYFUNCTION("""COMPUTED_VALUE"""),71700.0)</f>
        <v>71700</v>
      </c>
      <c r="CR29" s="110">
        <f>IFERROR(__xludf.DUMMYFUNCTION("""COMPUTED_VALUE"""),1.0)</f>
        <v>1</v>
      </c>
      <c r="CS29" s="110">
        <f>IFERROR(__xludf.DUMMYFUNCTION("""COMPUTED_VALUE"""),43.0)</f>
        <v>43</v>
      </c>
      <c r="CT29" s="110">
        <f>IFERROR(__xludf.DUMMYFUNCTION("""COMPUTED_VALUE"""),22.88)</f>
        <v>22.88</v>
      </c>
      <c r="CU29" s="110">
        <f>IFERROR(__xludf.DUMMYFUNCTION("""COMPUTED_VALUE"""),1944.0)</f>
        <v>1944</v>
      </c>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row>
    <row r="30">
      <c r="A30" s="106">
        <f>IFERROR(__xludf.DUMMYFUNCTION("""COMPUTED_VALUE"""),44622.0)</f>
        <v>44622</v>
      </c>
      <c r="B30" s="110">
        <f>IFERROR(__xludf.DUMMYFUNCTION("""COMPUTED_VALUE"""),3041.05)</f>
        <v>3041.05</v>
      </c>
      <c r="C30" s="110">
        <f>IFERROR(__xludf.DUMMYFUNCTION("""COMPUTED_VALUE"""),208.11)</f>
        <v>208.11</v>
      </c>
      <c r="D30" s="110">
        <f>IFERROR(__xludf.DUMMYFUNCTION("""COMPUTED_VALUE"""),879.89)</f>
        <v>879.89</v>
      </c>
      <c r="E30" s="110">
        <f>IFERROR(__xludf.DUMMYFUNCTION("""COMPUTED_VALUE"""),423.4)</f>
        <v>423.4</v>
      </c>
      <c r="F30" s="110">
        <f>IFERROR(__xludf.DUMMYFUNCTION("""COMPUTED_VALUE"""),10.36)</f>
        <v>10.36</v>
      </c>
      <c r="G30" s="110">
        <f>IFERROR(__xludf.DUMMYFUNCTION("""COMPUTED_VALUE"""),166.56)</f>
        <v>166.56</v>
      </c>
      <c r="H30" s="110">
        <f>IFERROR(__xludf.DUMMYFUNCTION("""COMPUTED_VALUE"""),10.45)</f>
        <v>10.45</v>
      </c>
      <c r="I30" s="110">
        <f>IFERROR(__xludf.DUMMYFUNCTION("""COMPUTED_VALUE"""),9.69)</f>
        <v>9.69</v>
      </c>
      <c r="J30" s="110">
        <f>IFERROR(__xludf.DUMMYFUNCTION("""COMPUTED_VALUE"""),0.75)</f>
        <v>0.75</v>
      </c>
      <c r="K30" s="110">
        <f>IFERROR(__xludf.DUMMYFUNCTION("""COMPUTED_VALUE"""),45.0)</f>
        <v>45</v>
      </c>
      <c r="L30" s="110">
        <f>IFERROR(__xludf.DUMMYFUNCTION("""COMPUTED_VALUE"""),176.4)</f>
        <v>176.4</v>
      </c>
      <c r="M30" s="110">
        <f>IFERROR(__xludf.DUMMYFUNCTION("""COMPUTED_VALUE"""),43969.242)</f>
        <v>43969.242</v>
      </c>
      <c r="N30" s="110">
        <f>IFERROR(__xludf.DUMMYFUNCTION("""COMPUTED_VALUE"""),380.03)</f>
        <v>380.03</v>
      </c>
      <c r="O30" s="110">
        <f>IFERROR(__xludf.DUMMYFUNCTION("""COMPUTED_VALUE"""),300.19)</f>
        <v>300.19</v>
      </c>
      <c r="P30" s="110">
        <f>IFERROR(__xludf.DUMMYFUNCTION("""COMPUTED_VALUE"""),23.12)</f>
        <v>23.12</v>
      </c>
      <c r="Q30" s="110">
        <f>IFERROR(__xludf.DUMMYFUNCTION("""COMPUTED_VALUE"""),24.58)</f>
        <v>24.58</v>
      </c>
      <c r="R30" s="110">
        <f>IFERROR(__xludf.DUMMYFUNCTION("""COMPUTED_VALUE"""),71.79)</f>
        <v>71.79</v>
      </c>
      <c r="S30" s="110">
        <f>IFERROR(__xludf.DUMMYFUNCTION("""COMPUTED_VALUE"""),30.177)</f>
        <v>30.177</v>
      </c>
      <c r="T30" s="110">
        <f>IFERROR(__xludf.DUMMYFUNCTION("""COMPUTED_VALUE"""),34.42)</f>
        <v>34.42</v>
      </c>
      <c r="U30" s="110">
        <f>IFERROR(__xludf.DUMMYFUNCTION("""COMPUTED_VALUE"""),43.73)</f>
        <v>43.73</v>
      </c>
      <c r="V30" s="110">
        <f>IFERROR(__xludf.DUMMYFUNCTION("""COMPUTED_VALUE"""),17.94)</f>
        <v>17.94</v>
      </c>
      <c r="W30" s="110">
        <f>IFERROR(__xludf.DUMMYFUNCTION("""COMPUTED_VALUE"""),240.94)</f>
        <v>240.94</v>
      </c>
      <c r="X30" s="110">
        <f>IFERROR(__xludf.DUMMYFUNCTION("""COMPUTED_VALUE"""),2695.03)</f>
        <v>2695.03</v>
      </c>
      <c r="Y30" s="110">
        <f>IFERROR(__xludf.DUMMYFUNCTION("""COMPUTED_VALUE"""),58.85)</f>
        <v>58.85</v>
      </c>
      <c r="Z30" s="110">
        <f>IFERROR(__xludf.DUMMYFUNCTION("""COMPUTED_VALUE"""),66.05)</f>
        <v>66.05</v>
      </c>
      <c r="AA30" s="110">
        <f>IFERROR(__xludf.DUMMYFUNCTION("""COMPUTED_VALUE"""),119.8)</f>
        <v>119.8</v>
      </c>
      <c r="AB30" s="110">
        <f>IFERROR(__xludf.DUMMYFUNCTION("""COMPUTED_VALUE"""),4.59)</f>
        <v>4.59</v>
      </c>
      <c r="AC30" s="110">
        <f>IFERROR(__xludf.DUMMYFUNCTION("""COMPUTED_VALUE"""),72.92)</f>
        <v>72.92</v>
      </c>
      <c r="AD30" s="110">
        <f>IFERROR(__xludf.DUMMYFUNCTION("""COMPUTED_VALUE"""),12.1)</f>
        <v>12.1</v>
      </c>
      <c r="AE30" s="110">
        <f>IFERROR(__xludf.DUMMYFUNCTION("""COMPUTED_VALUE"""),5.87)</f>
        <v>5.87</v>
      </c>
      <c r="AF30" s="110">
        <f>IFERROR(__xludf.DUMMYFUNCTION("""COMPUTED_VALUE"""),47.33)</f>
        <v>47.33</v>
      </c>
      <c r="AG30" s="110">
        <f>IFERROR(__xludf.DUMMYFUNCTION("""COMPUTED_VALUE"""),15.6)</f>
        <v>15.6</v>
      </c>
      <c r="AH30" s="110">
        <f>IFERROR(__xludf.DUMMYFUNCTION("""COMPUTED_VALUE"""),2.07)</f>
        <v>2.07</v>
      </c>
      <c r="AI30" s="110">
        <f>IFERROR(__xludf.DUMMYFUNCTION("""COMPUTED_VALUE"""),3.53)</f>
        <v>3.53</v>
      </c>
      <c r="AJ30" s="110">
        <f>IFERROR(__xludf.DUMMYFUNCTION("""COMPUTED_VALUE"""),115.6)</f>
        <v>115.6</v>
      </c>
      <c r="AK30" s="110">
        <f>IFERROR(__xludf.DUMMYFUNCTION("""COMPUTED_VALUE"""),242.2)</f>
        <v>242.2</v>
      </c>
      <c r="AL30" s="110">
        <f>IFERROR(__xludf.DUMMYFUNCTION("""COMPUTED_VALUE"""),14.82)</f>
        <v>14.82</v>
      </c>
      <c r="AM30" s="110">
        <f>IFERROR(__xludf.DUMMYFUNCTION("""COMPUTED_VALUE"""),43.16)</f>
        <v>43.16</v>
      </c>
      <c r="AN30" s="110">
        <f>IFERROR(__xludf.DUMMYFUNCTION("""COMPUTED_VALUE"""),323.64)</f>
        <v>323.64</v>
      </c>
      <c r="AO30" s="110">
        <f>IFERROR(__xludf.DUMMYFUNCTION("""COMPUTED_VALUE"""),101.74)</f>
        <v>101.74</v>
      </c>
      <c r="AP30" s="110">
        <f>IFERROR(__xludf.DUMMYFUNCTION("""COMPUTED_VALUE"""),81.48)</f>
        <v>81.48</v>
      </c>
      <c r="AQ30" s="110">
        <f>IFERROR(__xludf.DUMMYFUNCTION("""COMPUTED_VALUE"""),53.95)</f>
        <v>53.95</v>
      </c>
      <c r="AR30" s="109">
        <f>IFERROR(__xludf.DUMMYFUNCTION("""COMPUTED_VALUE"""),105.27099999999999)</f>
        <v>105.271</v>
      </c>
      <c r="AS30" s="110">
        <f>IFERROR(__xludf.DUMMYFUNCTION("""COMPUTED_VALUE"""),18.44)</f>
        <v>18.44</v>
      </c>
      <c r="AT30" s="110">
        <f>IFERROR(__xludf.DUMMYFUNCTION("""COMPUTED_VALUE"""),103.9)</f>
        <v>103.9</v>
      </c>
      <c r="AU30" s="110">
        <f>IFERROR(__xludf.DUMMYFUNCTION("""COMPUTED_VALUE"""),63.31)</f>
        <v>63.31</v>
      </c>
      <c r="AV30" s="110">
        <f>IFERROR(__xludf.DUMMYFUNCTION("""COMPUTED_VALUE"""),147.34)</f>
        <v>147.34</v>
      </c>
      <c r="AW30" s="110">
        <f>IFERROR(__xludf.DUMMYFUNCTION("""COMPUTED_VALUE"""),133.18)</f>
        <v>133.18</v>
      </c>
      <c r="AX30" s="110">
        <f>IFERROR(__xludf.DUMMYFUNCTION("""COMPUTED_VALUE"""),28.05)</f>
        <v>28.05</v>
      </c>
      <c r="AY30" s="110">
        <f>IFERROR(__xludf.DUMMYFUNCTION("""COMPUTED_VALUE"""),48.45)</f>
        <v>48.45</v>
      </c>
      <c r="AZ30" s="110">
        <f>IFERROR(__xludf.DUMMYFUNCTION("""COMPUTED_VALUE"""),0.0)</f>
        <v>0</v>
      </c>
      <c r="BA30" s="110">
        <f>IFERROR(__xludf.DUMMYFUNCTION("""COMPUTED_VALUE"""),0.0)</f>
        <v>0</v>
      </c>
      <c r="BB30" s="110">
        <f>IFERROR(__xludf.DUMMYFUNCTION("""COMPUTED_VALUE"""),14.22)</f>
        <v>14.22</v>
      </c>
      <c r="BC30" s="110">
        <f>IFERROR(__xludf.DUMMYFUNCTION("""COMPUTED_VALUE"""),49.99)</f>
        <v>49.99</v>
      </c>
      <c r="BD30" s="110">
        <f>IFERROR(__xludf.DUMMYFUNCTION("""COMPUTED_VALUE"""),199.7)</f>
        <v>199.7</v>
      </c>
      <c r="BE30" s="110">
        <f>IFERROR(__xludf.DUMMYFUNCTION("""COMPUTED_VALUE"""),146.1)</f>
        <v>146.1</v>
      </c>
      <c r="BF30" s="110">
        <f>IFERROR(__xludf.DUMMYFUNCTION("""COMPUTED_VALUE"""),15.36)</f>
        <v>15.36</v>
      </c>
      <c r="BG30" s="110">
        <f>IFERROR(__xludf.DUMMYFUNCTION("""COMPUTED_VALUE"""),582.06)</f>
        <v>582.06</v>
      </c>
      <c r="BH30" s="110">
        <f>IFERROR(__xludf.DUMMYFUNCTION("""COMPUTED_VALUE"""),309.28)</f>
        <v>309.28</v>
      </c>
      <c r="BI30" s="110">
        <f>IFERROR(__xludf.DUMMYFUNCTION("""COMPUTED_VALUE"""),228.59)</f>
        <v>228.59</v>
      </c>
      <c r="BJ30" s="110">
        <f>IFERROR(__xludf.DUMMYFUNCTION("""COMPUTED_VALUE"""),24.58)</f>
        <v>24.58</v>
      </c>
      <c r="BK30" s="110">
        <f>IFERROR(__xludf.DUMMYFUNCTION("""COMPUTED_VALUE"""),315.32)</f>
        <v>315.32</v>
      </c>
      <c r="BL30" s="110">
        <f>IFERROR(__xludf.DUMMYFUNCTION("""COMPUTED_VALUE"""),125.61)</f>
        <v>125.61</v>
      </c>
      <c r="BM30" s="110">
        <f>IFERROR(__xludf.DUMMYFUNCTION("""COMPUTED_VALUE"""),18.1)</f>
        <v>18.1</v>
      </c>
      <c r="BN30" s="110">
        <f>IFERROR(__xludf.DUMMYFUNCTION("""COMPUTED_VALUE"""),374.71)</f>
        <v>374.71</v>
      </c>
      <c r="BO30" s="110">
        <f>IFERROR(__xludf.DUMMYFUNCTION("""COMPUTED_VALUE"""),708.08)</f>
        <v>708.08</v>
      </c>
      <c r="BP30" s="110">
        <f>IFERROR(__xludf.DUMMYFUNCTION("""COMPUTED_VALUE"""),53.56)</f>
        <v>53.56</v>
      </c>
      <c r="BQ30" s="110">
        <f>IFERROR(__xludf.DUMMYFUNCTION("""COMPUTED_VALUE"""),11.58)</f>
        <v>11.58</v>
      </c>
      <c r="BR30" s="110">
        <f>IFERROR(__xludf.DUMMYFUNCTION("""COMPUTED_VALUE"""),40.12)</f>
        <v>40.12</v>
      </c>
      <c r="BS30" s="110">
        <f>IFERROR(__xludf.DUMMYFUNCTION("""COMPUTED_VALUE"""),0.86)</f>
        <v>0.86</v>
      </c>
      <c r="BT30" s="110">
        <f>IFERROR(__xludf.DUMMYFUNCTION("""COMPUTED_VALUE"""),50.0)</f>
        <v>50</v>
      </c>
      <c r="BU30" s="110">
        <f>IFERROR(__xludf.DUMMYFUNCTION("""COMPUTED_VALUE"""),36.95)</f>
        <v>36.95</v>
      </c>
      <c r="BV30" s="110">
        <f>IFERROR(__xludf.DUMMYFUNCTION("""COMPUTED_VALUE"""),52.25)</f>
        <v>52.25</v>
      </c>
      <c r="BW30" s="110">
        <f>IFERROR(__xludf.DUMMYFUNCTION("""COMPUTED_VALUE"""),7.77)</f>
        <v>7.77</v>
      </c>
      <c r="BX30" s="110">
        <f>IFERROR(__xludf.DUMMYFUNCTION("""COMPUTED_VALUE"""),6.76)</f>
        <v>6.76</v>
      </c>
      <c r="BY30" s="110">
        <f>IFERROR(__xludf.DUMMYFUNCTION("""COMPUTED_VALUE"""),0.0)</f>
        <v>0</v>
      </c>
      <c r="BZ30" s="110">
        <f>IFERROR(__xludf.DUMMYFUNCTION("""COMPUTED_VALUE"""),13.9)</f>
        <v>13.9</v>
      </c>
      <c r="CA30" s="110">
        <f>IFERROR(__xludf.DUMMYFUNCTION("""COMPUTED_VALUE"""),4.07)</f>
        <v>4.07</v>
      </c>
      <c r="CB30" s="110">
        <f>IFERROR(__xludf.DUMMYFUNCTION("""COMPUTED_VALUE"""),6.44)</f>
        <v>6.44</v>
      </c>
      <c r="CC30" s="110">
        <f>IFERROR(__xludf.DUMMYFUNCTION("""COMPUTED_VALUE"""),21.45)</f>
        <v>21.45</v>
      </c>
      <c r="CD30" s="110">
        <f>IFERROR(__xludf.DUMMYFUNCTION("""COMPUTED_VALUE"""),17.31)</f>
        <v>17.31</v>
      </c>
      <c r="CE30" s="110">
        <f>IFERROR(__xludf.DUMMYFUNCTION("""COMPUTED_VALUE"""),35.48)</f>
        <v>35.48</v>
      </c>
      <c r="CF30" s="110">
        <f>IFERROR(__xludf.DUMMYFUNCTION("""COMPUTED_VALUE"""),112.31)</f>
        <v>112.31</v>
      </c>
      <c r="CG30" s="110">
        <f>IFERROR(__xludf.DUMMYFUNCTION("""COMPUTED_VALUE"""),6.75)</f>
        <v>6.75</v>
      </c>
      <c r="CH30" s="110">
        <f>IFERROR(__xludf.DUMMYFUNCTION("""COMPUTED_VALUE"""),23.15)</f>
        <v>23.15</v>
      </c>
      <c r="CI30" s="110">
        <f>IFERROR(__xludf.DUMMYFUNCTION("""COMPUTED_VALUE"""),47.87)</f>
        <v>47.87</v>
      </c>
      <c r="CJ30" s="110">
        <f>IFERROR(__xludf.DUMMYFUNCTION("""COMPUTED_VALUE"""),27.91)</f>
        <v>27.91</v>
      </c>
      <c r="CK30" s="110">
        <f>IFERROR(__xludf.DUMMYFUNCTION("""COMPUTED_VALUE"""),13.15)</f>
        <v>13.15</v>
      </c>
      <c r="CL30" s="110">
        <f>IFERROR(__xludf.DUMMYFUNCTION("""COMPUTED_VALUE"""),2691.43)</f>
        <v>2691.43</v>
      </c>
      <c r="CM30" s="110">
        <f>IFERROR(__xludf.DUMMYFUNCTION("""COMPUTED_VALUE"""),1.56)</f>
        <v>1.56</v>
      </c>
      <c r="CN30" s="110">
        <f>IFERROR(__xludf.DUMMYFUNCTION("""COMPUTED_VALUE"""),238.6)</f>
        <v>238.6</v>
      </c>
      <c r="CO30" s="110">
        <f>IFERROR(__xludf.DUMMYFUNCTION("""COMPUTED_VALUE"""),158.1)</f>
        <v>158.1</v>
      </c>
      <c r="CP30" s="110">
        <f>IFERROR(__xludf.DUMMYFUNCTION("""COMPUTED_VALUE"""),67.56)</f>
        <v>67.56</v>
      </c>
      <c r="CQ30" s="110">
        <f>IFERROR(__xludf.DUMMYFUNCTION("""COMPUTED_VALUE"""),72700.0)</f>
        <v>72700</v>
      </c>
      <c r="CR30" s="110">
        <f>IFERROR(__xludf.DUMMYFUNCTION("""COMPUTED_VALUE"""),0.9)</f>
        <v>0.9</v>
      </c>
      <c r="CS30" s="110">
        <f>IFERROR(__xludf.DUMMYFUNCTION("""COMPUTED_VALUE"""),40.89)</f>
        <v>40.89</v>
      </c>
      <c r="CT30" s="110">
        <f>IFERROR(__xludf.DUMMYFUNCTION("""COMPUTED_VALUE"""),22.5)</f>
        <v>22.5</v>
      </c>
      <c r="CU30" s="110">
        <f>IFERROR(__xludf.DUMMYFUNCTION("""COMPUTED_VALUE"""),1932.6)</f>
        <v>1932.6</v>
      </c>
      <c r="CV30" s="108"/>
      <c r="CW30" s="108"/>
      <c r="CX30" s="108"/>
      <c r="CY30" s="108"/>
      <c r="CZ30" s="108"/>
      <c r="DA30" s="108"/>
      <c r="DB30" s="108"/>
      <c r="DC30" s="108"/>
      <c r="DD30" s="108"/>
      <c r="DE30" s="108"/>
      <c r="DF30" s="108"/>
      <c r="DG30" s="108"/>
      <c r="DH30" s="108"/>
      <c r="DI30" s="108"/>
      <c r="DJ30" s="108"/>
      <c r="DK30" s="108"/>
      <c r="DL30" s="108"/>
      <c r="DM30" s="108"/>
      <c r="DN30" s="108"/>
      <c r="DO30" s="108"/>
      <c r="DP30" s="108"/>
      <c r="DQ30" s="108"/>
      <c r="DR30" s="108"/>
      <c r="DS30" s="108"/>
      <c r="DT30" s="108"/>
      <c r="DU30" s="108"/>
      <c r="DV30" s="108"/>
      <c r="DW30" s="108"/>
      <c r="DX30" s="108"/>
      <c r="DY30" s="108"/>
      <c r="DZ30" s="108"/>
      <c r="EA30" s="108"/>
      <c r="EB30" s="108"/>
      <c r="EC30" s="108"/>
      <c r="ED30" s="108"/>
      <c r="EE30" s="108"/>
      <c r="EF30" s="108"/>
      <c r="EG30" s="108"/>
      <c r="EH30" s="108"/>
      <c r="EI30" s="108"/>
      <c r="EJ30" s="108"/>
      <c r="EK30" s="108"/>
      <c r="EL30" s="108"/>
      <c r="EM30" s="108"/>
      <c r="EN30" s="108"/>
      <c r="EO30" s="108"/>
      <c r="EP30" s="108"/>
      <c r="EQ30" s="108"/>
      <c r="ER30" s="108"/>
      <c r="ES30" s="108"/>
      <c r="ET30" s="108"/>
      <c r="EU30" s="108"/>
      <c r="EV30" s="108"/>
      <c r="EW30" s="108"/>
      <c r="EX30" s="108"/>
      <c r="EY30" s="108"/>
      <c r="EZ30" s="108"/>
      <c r="FA30" s="108"/>
      <c r="FB30" s="108"/>
      <c r="FC30" s="108"/>
      <c r="FD30" s="108"/>
      <c r="FE30" s="108"/>
      <c r="FF30" s="108"/>
      <c r="FG30" s="108"/>
      <c r="FH30" s="108"/>
      <c r="FI30" s="108"/>
      <c r="FJ30" s="108"/>
      <c r="FK30" s="108"/>
      <c r="FL30" s="108"/>
      <c r="FM30" s="108"/>
      <c r="FN30" s="108"/>
      <c r="FO30" s="108"/>
    </row>
    <row r="31">
      <c r="A31" s="106">
        <f>IFERROR(__xludf.DUMMYFUNCTION("""COMPUTED_VALUE"""),44623.0)</f>
        <v>44623</v>
      </c>
      <c r="B31" s="110">
        <f>IFERROR(__xludf.DUMMYFUNCTION("""COMPUTED_VALUE"""),2957.97)</f>
        <v>2957.97</v>
      </c>
      <c r="C31" s="110">
        <f>IFERROR(__xludf.DUMMYFUNCTION("""COMPUTED_VALUE"""),202.97)</f>
        <v>202.97</v>
      </c>
      <c r="D31" s="110">
        <f>IFERROR(__xludf.DUMMYFUNCTION("""COMPUTED_VALUE"""),839.29)</f>
        <v>839.29</v>
      </c>
      <c r="E31" s="110">
        <f>IFERROR(__xludf.DUMMYFUNCTION("""COMPUTED_VALUE"""),418.8)</f>
        <v>418.8</v>
      </c>
      <c r="F31" s="110">
        <f>IFERROR(__xludf.DUMMYFUNCTION("""COMPUTED_VALUE"""),10.64)</f>
        <v>10.64</v>
      </c>
      <c r="G31" s="110">
        <f>IFERROR(__xludf.DUMMYFUNCTION("""COMPUTED_VALUE"""),166.23)</f>
        <v>166.23</v>
      </c>
      <c r="H31" s="110">
        <f>IFERROR(__xludf.DUMMYFUNCTION("""COMPUTED_VALUE"""),12.43)</f>
        <v>12.43</v>
      </c>
      <c r="I31" s="110">
        <f>IFERROR(__xludf.DUMMYFUNCTION("""COMPUTED_VALUE"""),12.1)</f>
        <v>12.1</v>
      </c>
      <c r="J31" s="110">
        <f>IFERROR(__xludf.DUMMYFUNCTION("""COMPUTED_VALUE"""),0.57)</f>
        <v>0.57</v>
      </c>
      <c r="K31" s="110">
        <f>IFERROR(__xludf.DUMMYFUNCTION("""COMPUTED_VALUE"""),42.75)</f>
        <v>42.75</v>
      </c>
      <c r="L31" s="110">
        <f>IFERROR(__xludf.DUMMYFUNCTION("""COMPUTED_VALUE"""),174.2)</f>
        <v>174.2</v>
      </c>
      <c r="M31" s="110">
        <f>IFERROR(__xludf.DUMMYFUNCTION("""COMPUTED_VALUE"""),42222.76)</f>
        <v>42222.76</v>
      </c>
      <c r="N31" s="110">
        <f>IFERROR(__xludf.DUMMYFUNCTION("""COMPUTED_VALUE"""),368.07)</f>
        <v>368.07</v>
      </c>
      <c r="O31" s="110">
        <f>IFERROR(__xludf.DUMMYFUNCTION("""COMPUTED_VALUE"""),295.92)</f>
        <v>295.92</v>
      </c>
      <c r="P31" s="110">
        <f>IFERROR(__xludf.DUMMYFUNCTION("""COMPUTED_VALUE"""),19.48)</f>
        <v>19.48</v>
      </c>
      <c r="Q31" s="110">
        <f>IFERROR(__xludf.DUMMYFUNCTION("""COMPUTED_VALUE"""),24.46)</f>
        <v>24.46</v>
      </c>
      <c r="R31" s="110">
        <f>IFERROR(__xludf.DUMMYFUNCTION("""COMPUTED_VALUE"""),67.83)</f>
        <v>67.83</v>
      </c>
      <c r="S31" s="110">
        <f>IFERROR(__xludf.DUMMYFUNCTION("""COMPUTED_VALUE"""),28.11)</f>
        <v>28.11</v>
      </c>
      <c r="T31" s="110">
        <f>IFERROR(__xludf.DUMMYFUNCTION("""COMPUTED_VALUE"""),31.26)</f>
        <v>31.26</v>
      </c>
      <c r="U31" s="110">
        <f>IFERROR(__xludf.DUMMYFUNCTION("""COMPUTED_VALUE"""),43.35)</f>
        <v>43.35</v>
      </c>
      <c r="V31" s="110">
        <f>IFERROR(__xludf.DUMMYFUNCTION("""COMPUTED_VALUE"""),17.23)</f>
        <v>17.23</v>
      </c>
      <c r="W31" s="110">
        <f>IFERROR(__xludf.DUMMYFUNCTION("""COMPUTED_VALUE"""),236.65)</f>
        <v>236.65</v>
      </c>
      <c r="X31" s="110">
        <f>IFERROR(__xludf.DUMMYFUNCTION("""COMPUTED_VALUE"""),2686.16)</f>
        <v>2686.16</v>
      </c>
      <c r="Y31" s="110">
        <f>IFERROR(__xludf.DUMMYFUNCTION("""COMPUTED_VALUE"""),59.05)</f>
        <v>59.05</v>
      </c>
      <c r="Z31" s="110">
        <f>IFERROR(__xludf.DUMMYFUNCTION("""COMPUTED_VALUE"""),63.25)</f>
        <v>63.25</v>
      </c>
      <c r="AA31" s="110">
        <f>IFERROR(__xludf.DUMMYFUNCTION("""COMPUTED_VALUE"""),104.0)</f>
        <v>104</v>
      </c>
      <c r="AB31" s="110">
        <f>IFERROR(__xludf.DUMMYFUNCTION("""COMPUTED_VALUE"""),4.65)</f>
        <v>4.65</v>
      </c>
      <c r="AC31" s="110">
        <f>IFERROR(__xludf.DUMMYFUNCTION("""COMPUTED_VALUE"""),73.12)</f>
        <v>73.12</v>
      </c>
      <c r="AD31" s="110">
        <f>IFERROR(__xludf.DUMMYFUNCTION("""COMPUTED_VALUE"""),12.02)</f>
        <v>12.02</v>
      </c>
      <c r="AE31" s="110">
        <f>IFERROR(__xludf.DUMMYFUNCTION("""COMPUTED_VALUE"""),5.79)</f>
        <v>5.79</v>
      </c>
      <c r="AF31" s="110">
        <f>IFERROR(__xludf.DUMMYFUNCTION("""COMPUTED_VALUE"""),44.13)</f>
        <v>44.13</v>
      </c>
      <c r="AG31" s="110">
        <f>IFERROR(__xludf.DUMMYFUNCTION("""COMPUTED_VALUE"""),13.9)</f>
        <v>13.9</v>
      </c>
      <c r="AH31" s="110">
        <f>IFERROR(__xludf.DUMMYFUNCTION("""COMPUTED_VALUE"""),2.08)</f>
        <v>2.08</v>
      </c>
      <c r="AI31" s="110">
        <f>IFERROR(__xludf.DUMMYFUNCTION("""COMPUTED_VALUE"""),3.5)</f>
        <v>3.5</v>
      </c>
      <c r="AJ31" s="110">
        <f>IFERROR(__xludf.DUMMYFUNCTION("""COMPUTED_VALUE"""),115.9)</f>
        <v>115.9</v>
      </c>
      <c r="AK31" s="110">
        <f>IFERROR(__xludf.DUMMYFUNCTION("""COMPUTED_VALUE"""),237.14)</f>
        <v>237.14</v>
      </c>
      <c r="AL31" s="110">
        <f>IFERROR(__xludf.DUMMYFUNCTION("""COMPUTED_VALUE"""),14.72)</f>
        <v>14.72</v>
      </c>
      <c r="AM31" s="110">
        <f>IFERROR(__xludf.DUMMYFUNCTION("""COMPUTED_VALUE"""),42.49)</f>
        <v>42.49</v>
      </c>
      <c r="AN31" s="110">
        <f>IFERROR(__xludf.DUMMYFUNCTION("""COMPUTED_VALUE"""),327.74)</f>
        <v>327.74</v>
      </c>
      <c r="AO31" s="110">
        <f>IFERROR(__xludf.DUMMYFUNCTION("""COMPUTED_VALUE"""),100.23)</f>
        <v>100.23</v>
      </c>
      <c r="AP31" s="110">
        <f>IFERROR(__xludf.DUMMYFUNCTION("""COMPUTED_VALUE"""),81.5)</f>
        <v>81.5</v>
      </c>
      <c r="AQ31" s="110">
        <f>IFERROR(__xludf.DUMMYFUNCTION("""COMPUTED_VALUE"""),52.2)</f>
        <v>52.2</v>
      </c>
      <c r="AR31" s="109">
        <f>IFERROR(__xludf.DUMMYFUNCTION("""COMPUTED_VALUE"""),104.86449999999999)</f>
        <v>104.8645</v>
      </c>
      <c r="AS31" s="110">
        <f>IFERROR(__xludf.DUMMYFUNCTION("""COMPUTED_VALUE"""),18.64)</f>
        <v>18.64</v>
      </c>
      <c r="AT31" s="110">
        <f>IFERROR(__xludf.DUMMYFUNCTION("""COMPUTED_VALUE"""),104.4)</f>
        <v>104.4</v>
      </c>
      <c r="AU31" s="110">
        <f>IFERROR(__xludf.DUMMYFUNCTION("""COMPUTED_VALUE"""),63.59)</f>
        <v>63.59</v>
      </c>
      <c r="AV31" s="110">
        <f>IFERROR(__xludf.DUMMYFUNCTION("""COMPUTED_VALUE"""),145.57)</f>
        <v>145.57</v>
      </c>
      <c r="AW31" s="110">
        <f>IFERROR(__xludf.DUMMYFUNCTION("""COMPUTED_VALUE"""),130.64)</f>
        <v>130.64</v>
      </c>
      <c r="AX31" s="110">
        <f>IFERROR(__xludf.DUMMYFUNCTION("""COMPUTED_VALUE"""),25.5)</f>
        <v>25.5</v>
      </c>
      <c r="AY31" s="110">
        <f>IFERROR(__xludf.DUMMYFUNCTION("""COMPUTED_VALUE"""),45.24)</f>
        <v>45.24</v>
      </c>
      <c r="AZ31" s="110">
        <f>IFERROR(__xludf.DUMMYFUNCTION("""COMPUTED_VALUE"""),0.0)</f>
        <v>0</v>
      </c>
      <c r="BA31" s="110">
        <f>IFERROR(__xludf.DUMMYFUNCTION("""COMPUTED_VALUE"""),0.0)</f>
        <v>0</v>
      </c>
      <c r="BB31" s="110">
        <f>IFERROR(__xludf.DUMMYFUNCTION("""COMPUTED_VALUE"""),13.4)</f>
        <v>13.4</v>
      </c>
      <c r="BC31" s="110">
        <f>IFERROR(__xludf.DUMMYFUNCTION("""COMPUTED_VALUE"""),53.58)</f>
        <v>53.58</v>
      </c>
      <c r="BD31" s="110">
        <f>IFERROR(__xludf.DUMMYFUNCTION("""COMPUTED_VALUE"""),221.2)</f>
        <v>221.2</v>
      </c>
      <c r="BE31" s="110">
        <f>IFERROR(__xludf.DUMMYFUNCTION("""COMPUTED_VALUE"""),142.4)</f>
        <v>142.4</v>
      </c>
      <c r="BF31" s="110">
        <f>IFERROR(__xludf.DUMMYFUNCTION("""COMPUTED_VALUE"""),14.24)</f>
        <v>14.24</v>
      </c>
      <c r="BG31" s="110">
        <f>IFERROR(__xludf.DUMMYFUNCTION("""COMPUTED_VALUE"""),573.41)</f>
        <v>573.41</v>
      </c>
      <c r="BH31" s="110">
        <f>IFERROR(__xludf.DUMMYFUNCTION("""COMPUTED_VALUE"""),286.88)</f>
        <v>286.88</v>
      </c>
      <c r="BI31" s="110">
        <f>IFERROR(__xludf.DUMMYFUNCTION("""COMPUTED_VALUE"""),232.64)</f>
        <v>232.64</v>
      </c>
      <c r="BJ31" s="110">
        <f>IFERROR(__xludf.DUMMYFUNCTION("""COMPUTED_VALUE"""),22.63)</f>
        <v>22.63</v>
      </c>
      <c r="BK31" s="110">
        <f>IFERROR(__xludf.DUMMYFUNCTION("""COMPUTED_VALUE"""),308.84)</f>
        <v>308.84</v>
      </c>
      <c r="BL31" s="110">
        <f>IFERROR(__xludf.DUMMYFUNCTION("""COMPUTED_VALUE"""),123.92)</f>
        <v>123.92</v>
      </c>
      <c r="BM31" s="110">
        <f>IFERROR(__xludf.DUMMYFUNCTION("""COMPUTED_VALUE"""),17.6)</f>
        <v>17.6</v>
      </c>
      <c r="BN31" s="110">
        <f>IFERROR(__xludf.DUMMYFUNCTION("""COMPUTED_VALUE"""),367.98)</f>
        <v>367.98</v>
      </c>
      <c r="BO31" s="110">
        <f>IFERROR(__xludf.DUMMYFUNCTION("""COMPUTED_VALUE"""),689.77)</f>
        <v>689.77</v>
      </c>
      <c r="BP31" s="110">
        <f>IFERROR(__xludf.DUMMYFUNCTION("""COMPUTED_VALUE"""),50.91)</f>
        <v>50.91</v>
      </c>
      <c r="BQ31" s="110">
        <f>IFERROR(__xludf.DUMMYFUNCTION("""COMPUTED_VALUE"""),10.69)</f>
        <v>10.69</v>
      </c>
      <c r="BR31" s="110">
        <f>IFERROR(__xludf.DUMMYFUNCTION("""COMPUTED_VALUE"""),37.55)</f>
        <v>37.55</v>
      </c>
      <c r="BS31" s="110">
        <f>IFERROR(__xludf.DUMMYFUNCTION("""COMPUTED_VALUE"""),0.85)</f>
        <v>0.85</v>
      </c>
      <c r="BT31" s="110">
        <f>IFERROR(__xludf.DUMMYFUNCTION("""COMPUTED_VALUE"""),49.0)</f>
        <v>49</v>
      </c>
      <c r="BU31" s="110">
        <f>IFERROR(__xludf.DUMMYFUNCTION("""COMPUTED_VALUE"""),38.0)</f>
        <v>38</v>
      </c>
      <c r="BV31" s="110">
        <f>IFERROR(__xludf.DUMMYFUNCTION("""COMPUTED_VALUE"""),52.85)</f>
        <v>52.85</v>
      </c>
      <c r="BW31" s="110">
        <f>IFERROR(__xludf.DUMMYFUNCTION("""COMPUTED_VALUE"""),7.37)</f>
        <v>7.37</v>
      </c>
      <c r="BX31" s="110">
        <f>IFERROR(__xludf.DUMMYFUNCTION("""COMPUTED_VALUE"""),6.27)</f>
        <v>6.27</v>
      </c>
      <c r="BY31" s="110">
        <f>IFERROR(__xludf.DUMMYFUNCTION("""COMPUTED_VALUE"""),0.0)</f>
        <v>0</v>
      </c>
      <c r="BZ31" s="110">
        <f>IFERROR(__xludf.DUMMYFUNCTION("""COMPUTED_VALUE"""),14.66)</f>
        <v>14.66</v>
      </c>
      <c r="CA31" s="110">
        <f>IFERROR(__xludf.DUMMYFUNCTION("""COMPUTED_VALUE"""),4.04)</f>
        <v>4.04</v>
      </c>
      <c r="CB31" s="110">
        <f>IFERROR(__xludf.DUMMYFUNCTION("""COMPUTED_VALUE"""),6.59)</f>
        <v>6.59</v>
      </c>
      <c r="CC31" s="110">
        <f>IFERROR(__xludf.DUMMYFUNCTION("""COMPUTED_VALUE"""),21.0)</f>
        <v>21</v>
      </c>
      <c r="CD31" s="110">
        <f>IFERROR(__xludf.DUMMYFUNCTION("""COMPUTED_VALUE"""),17.42)</f>
        <v>17.42</v>
      </c>
      <c r="CE31" s="110">
        <f>IFERROR(__xludf.DUMMYFUNCTION("""COMPUTED_VALUE"""),34.65)</f>
        <v>34.65</v>
      </c>
      <c r="CF31" s="110">
        <f>IFERROR(__xludf.DUMMYFUNCTION("""COMPUTED_VALUE"""),109.73)</f>
        <v>109.73</v>
      </c>
      <c r="CG31" s="110">
        <f>IFERROR(__xludf.DUMMYFUNCTION("""COMPUTED_VALUE"""),6.82)</f>
        <v>6.82</v>
      </c>
      <c r="CH31" s="110">
        <f>IFERROR(__xludf.DUMMYFUNCTION("""COMPUTED_VALUE"""),23.57)</f>
        <v>23.57</v>
      </c>
      <c r="CI31" s="110">
        <f>IFERROR(__xludf.DUMMYFUNCTION("""COMPUTED_VALUE"""),50.96)</f>
        <v>50.96</v>
      </c>
      <c r="CJ31" s="110">
        <f>IFERROR(__xludf.DUMMYFUNCTION("""COMPUTED_VALUE"""),27.91)</f>
        <v>27.91</v>
      </c>
      <c r="CK31" s="110">
        <f>IFERROR(__xludf.DUMMYFUNCTION("""COMPUTED_VALUE"""),14.47)</f>
        <v>14.47</v>
      </c>
      <c r="CL31" s="110">
        <f>IFERROR(__xludf.DUMMYFUNCTION("""COMPUTED_VALUE"""),2677.99)</f>
        <v>2677.99</v>
      </c>
      <c r="CM31" s="110">
        <f>IFERROR(__xludf.DUMMYFUNCTION("""COMPUTED_VALUE"""),2.26)</f>
        <v>2.26</v>
      </c>
      <c r="CN31" s="110">
        <f>IFERROR(__xludf.DUMMYFUNCTION("""COMPUTED_VALUE"""),238.0)</f>
        <v>238</v>
      </c>
      <c r="CO31" s="110">
        <f>IFERROR(__xludf.DUMMYFUNCTION("""COMPUTED_VALUE"""),159.0)</f>
        <v>159</v>
      </c>
      <c r="CP31" s="110">
        <f>IFERROR(__xludf.DUMMYFUNCTION("""COMPUTED_VALUE"""),63.26)</f>
        <v>63.26</v>
      </c>
      <c r="CQ31" s="110">
        <f>IFERROR(__xludf.DUMMYFUNCTION("""COMPUTED_VALUE"""),71900.0)</f>
        <v>71900</v>
      </c>
      <c r="CR31" s="110">
        <f>IFERROR(__xludf.DUMMYFUNCTION("""COMPUTED_VALUE"""),0.52)</f>
        <v>0.52</v>
      </c>
      <c r="CS31" s="110">
        <f>IFERROR(__xludf.DUMMYFUNCTION("""COMPUTED_VALUE"""),39.03)</f>
        <v>39.03</v>
      </c>
      <c r="CT31" s="110">
        <f>IFERROR(__xludf.DUMMYFUNCTION("""COMPUTED_VALUE"""),22.64)</f>
        <v>22.64</v>
      </c>
      <c r="CU31" s="110">
        <f>IFERROR(__xludf.DUMMYFUNCTION("""COMPUTED_VALUE"""),1941.1)</f>
        <v>1941.1</v>
      </c>
      <c r="CV31" s="110">
        <f>IFERROR(__xludf.DUMMYFUNCTION("""COMPUTED_VALUE"""),2.97)</f>
        <v>2.97</v>
      </c>
      <c r="CW31" s="110">
        <f>IFERROR(__xludf.DUMMYFUNCTION("""COMPUTED_VALUE"""),3.25)</f>
        <v>3.25</v>
      </c>
      <c r="CX31" s="110">
        <f>IFERROR(__xludf.DUMMYFUNCTION("""COMPUTED_VALUE"""),6.54)</f>
        <v>6.54</v>
      </c>
      <c r="CY31" s="110">
        <f>IFERROR(__xludf.DUMMYFUNCTION("""COMPUTED_VALUE"""),0.09)</f>
        <v>0.09</v>
      </c>
      <c r="CZ31" s="108"/>
      <c r="DA31" s="108"/>
      <c r="DB31" s="108"/>
      <c r="DC31" s="108"/>
      <c r="DD31" s="108"/>
      <c r="DE31" s="108"/>
      <c r="DF31" s="108"/>
      <c r="DG31" s="108"/>
      <c r="DH31" s="108"/>
      <c r="DI31" s="108"/>
      <c r="DJ31" s="108"/>
      <c r="DK31" s="108"/>
      <c r="DL31" s="108"/>
      <c r="DM31" s="108"/>
      <c r="DN31" s="108"/>
      <c r="DO31" s="108"/>
      <c r="DP31" s="108"/>
      <c r="DQ31" s="108"/>
      <c r="DR31" s="108"/>
      <c r="DS31" s="108"/>
      <c r="DT31" s="108"/>
      <c r="DU31" s="108"/>
      <c r="DV31" s="108"/>
      <c r="DW31" s="108"/>
      <c r="DX31" s="108"/>
      <c r="DY31" s="108"/>
      <c r="DZ31" s="108"/>
      <c r="EA31" s="108"/>
      <c r="EB31" s="108"/>
      <c r="EC31" s="108"/>
      <c r="ED31" s="108"/>
      <c r="EE31" s="108"/>
      <c r="EF31" s="108"/>
      <c r="EG31" s="108"/>
      <c r="EH31" s="108"/>
      <c r="EI31" s="108"/>
      <c r="EJ31" s="108"/>
      <c r="EK31" s="108"/>
      <c r="EL31" s="108"/>
      <c r="EM31" s="108"/>
      <c r="EN31" s="108"/>
      <c r="EO31" s="108"/>
      <c r="EP31" s="108"/>
      <c r="EQ31" s="108"/>
      <c r="ER31" s="108"/>
      <c r="ES31" s="108"/>
      <c r="ET31" s="108"/>
      <c r="EU31" s="108"/>
      <c r="EV31" s="108"/>
      <c r="EW31" s="108"/>
      <c r="EX31" s="108"/>
      <c r="EY31" s="108"/>
      <c r="EZ31" s="108"/>
      <c r="FA31" s="108"/>
      <c r="FB31" s="108"/>
      <c r="FC31" s="108"/>
      <c r="FD31" s="108"/>
      <c r="FE31" s="108"/>
      <c r="FF31" s="108"/>
      <c r="FG31" s="108"/>
      <c r="FH31" s="108"/>
      <c r="FI31" s="108"/>
      <c r="FJ31" s="108"/>
      <c r="FK31" s="108"/>
      <c r="FL31" s="108"/>
      <c r="FM31" s="108"/>
      <c r="FN31" s="108"/>
      <c r="FO31" s="108"/>
    </row>
    <row r="32">
      <c r="A32" s="106">
        <f>IFERROR(__xludf.DUMMYFUNCTION("""COMPUTED_VALUE"""),44624.0)</f>
        <v>44624</v>
      </c>
      <c r="B32" s="110">
        <f>IFERROR(__xludf.DUMMYFUNCTION("""COMPUTED_VALUE"""),2912.82)</f>
        <v>2912.82</v>
      </c>
      <c r="C32" s="110">
        <f>IFERROR(__xludf.DUMMYFUNCTION("""COMPUTED_VALUE"""),200.06)</f>
        <v>200.06</v>
      </c>
      <c r="D32" s="110">
        <f>IFERROR(__xludf.DUMMYFUNCTION("""COMPUTED_VALUE"""),838.29)</f>
        <v>838.29</v>
      </c>
      <c r="E32" s="110">
        <f>IFERROR(__xludf.DUMMYFUNCTION("""COMPUTED_VALUE"""),403.2)</f>
        <v>403.2</v>
      </c>
      <c r="F32" s="110">
        <f>IFERROR(__xludf.DUMMYFUNCTION("""COMPUTED_VALUE"""),10.42)</f>
        <v>10.42</v>
      </c>
      <c r="G32" s="110">
        <f>IFERROR(__xludf.DUMMYFUNCTION("""COMPUTED_VALUE"""),163.17)</f>
        <v>163.17</v>
      </c>
      <c r="H32" s="110">
        <f>IFERROR(__xludf.DUMMYFUNCTION("""COMPUTED_VALUE"""),14.68)</f>
        <v>14.68</v>
      </c>
      <c r="I32" s="110">
        <f>IFERROR(__xludf.DUMMYFUNCTION("""COMPUTED_VALUE"""),14.5)</f>
        <v>14.5</v>
      </c>
      <c r="J32" s="110">
        <f>IFERROR(__xludf.DUMMYFUNCTION("""COMPUTED_VALUE"""),0.32)</f>
        <v>0.32</v>
      </c>
      <c r="K32" s="110">
        <f>IFERROR(__xludf.DUMMYFUNCTION("""COMPUTED_VALUE"""),40.8)</f>
        <v>40.8</v>
      </c>
      <c r="L32" s="110">
        <f>IFERROR(__xludf.DUMMYFUNCTION("""COMPUTED_VALUE"""),164.8)</f>
        <v>164.8</v>
      </c>
      <c r="M32" s="110">
        <f>IFERROR(__xludf.DUMMYFUNCTION("""COMPUTED_VALUE"""),39099.688)</f>
        <v>39099.688</v>
      </c>
      <c r="N32" s="110">
        <f>IFERROR(__xludf.DUMMYFUNCTION("""COMPUTED_VALUE"""),361.73)</f>
        <v>361.73</v>
      </c>
      <c r="O32" s="110">
        <f>IFERROR(__xludf.DUMMYFUNCTION("""COMPUTED_VALUE"""),289.86)</f>
        <v>289.86</v>
      </c>
      <c r="P32" s="110">
        <f>IFERROR(__xludf.DUMMYFUNCTION("""COMPUTED_VALUE"""),18.08)</f>
        <v>18.08</v>
      </c>
      <c r="Q32" s="110">
        <f>IFERROR(__xludf.DUMMYFUNCTION("""COMPUTED_VALUE"""),24.35)</f>
        <v>24.35</v>
      </c>
      <c r="R32" s="110">
        <f>IFERROR(__xludf.DUMMYFUNCTION("""COMPUTED_VALUE"""),63.59)</f>
        <v>63.59</v>
      </c>
      <c r="S32" s="110">
        <f>IFERROR(__xludf.DUMMYFUNCTION("""COMPUTED_VALUE"""),26.13)</f>
        <v>26.13</v>
      </c>
      <c r="T32" s="110">
        <f>IFERROR(__xludf.DUMMYFUNCTION("""COMPUTED_VALUE"""),29.53)</f>
        <v>29.53</v>
      </c>
      <c r="U32" s="110">
        <f>IFERROR(__xludf.DUMMYFUNCTION("""COMPUTED_VALUE"""),41.54)</f>
        <v>41.54</v>
      </c>
      <c r="V32" s="110">
        <f>IFERROR(__xludf.DUMMYFUNCTION("""COMPUTED_VALUE"""),16.79)</f>
        <v>16.79</v>
      </c>
      <c r="W32" s="110">
        <f>IFERROR(__xludf.DUMMYFUNCTION("""COMPUTED_VALUE"""),235.81)</f>
        <v>235.81</v>
      </c>
      <c r="X32" s="110">
        <f>IFERROR(__xludf.DUMMYFUNCTION("""COMPUTED_VALUE"""),2642.44)</f>
        <v>2642.44</v>
      </c>
      <c r="Y32" s="110">
        <f>IFERROR(__xludf.DUMMYFUNCTION("""COMPUTED_VALUE"""),58.05)</f>
        <v>58.05</v>
      </c>
      <c r="Z32" s="110">
        <f>IFERROR(__xludf.DUMMYFUNCTION("""COMPUTED_VALUE"""),61.95)</f>
        <v>61.95</v>
      </c>
      <c r="AA32" s="110">
        <f>IFERROR(__xludf.DUMMYFUNCTION("""COMPUTED_VALUE"""),100.91)</f>
        <v>100.91</v>
      </c>
      <c r="AB32" s="110">
        <f>IFERROR(__xludf.DUMMYFUNCTION("""COMPUTED_VALUE"""),4.62)</f>
        <v>4.62</v>
      </c>
      <c r="AC32" s="110">
        <f>IFERROR(__xludf.DUMMYFUNCTION("""COMPUTED_VALUE"""),75.23)</f>
        <v>75.23</v>
      </c>
      <c r="AD32" s="110">
        <f>IFERROR(__xludf.DUMMYFUNCTION("""COMPUTED_VALUE"""),11.9)</f>
        <v>11.9</v>
      </c>
      <c r="AE32" s="110">
        <f>IFERROR(__xludf.DUMMYFUNCTION("""COMPUTED_VALUE"""),5.89)</f>
        <v>5.89</v>
      </c>
      <c r="AF32" s="110">
        <f>IFERROR(__xludf.DUMMYFUNCTION("""COMPUTED_VALUE"""),41.78)</f>
        <v>41.78</v>
      </c>
      <c r="AG32" s="110">
        <f>IFERROR(__xludf.DUMMYFUNCTION("""COMPUTED_VALUE"""),13.86)</f>
        <v>13.86</v>
      </c>
      <c r="AH32" s="110">
        <f>IFERROR(__xludf.DUMMYFUNCTION("""COMPUTED_VALUE"""),2.04)</f>
        <v>2.04</v>
      </c>
      <c r="AI32" s="110">
        <f>IFERROR(__xludf.DUMMYFUNCTION("""COMPUTED_VALUE"""),3.47)</f>
        <v>3.47</v>
      </c>
      <c r="AJ32" s="110">
        <f>IFERROR(__xludf.DUMMYFUNCTION("""COMPUTED_VALUE"""),114.0)</f>
        <v>114</v>
      </c>
      <c r="AK32" s="110">
        <f>IFERROR(__xludf.DUMMYFUNCTION("""COMPUTED_VALUE"""),229.36)</f>
        <v>229.36</v>
      </c>
      <c r="AL32" s="110">
        <f>IFERROR(__xludf.DUMMYFUNCTION("""COMPUTED_VALUE"""),13.96)</f>
        <v>13.96</v>
      </c>
      <c r="AM32" s="110">
        <f>IFERROR(__xludf.DUMMYFUNCTION("""COMPUTED_VALUE"""),40.95)</f>
        <v>40.95</v>
      </c>
      <c r="AN32" s="110">
        <f>IFERROR(__xludf.DUMMYFUNCTION("""COMPUTED_VALUE"""),325.34)</f>
        <v>325.34</v>
      </c>
      <c r="AO32" s="110">
        <f>IFERROR(__xludf.DUMMYFUNCTION("""COMPUTED_VALUE"""),98.47)</f>
        <v>98.47</v>
      </c>
      <c r="AP32" s="110">
        <f>IFERROR(__xludf.DUMMYFUNCTION("""COMPUTED_VALUE"""),81.43)</f>
        <v>81.43</v>
      </c>
      <c r="AQ32" s="110">
        <f>IFERROR(__xludf.DUMMYFUNCTION("""COMPUTED_VALUE"""),50.39)</f>
        <v>50.39</v>
      </c>
      <c r="AR32" s="109">
        <f>IFERROR(__xludf.DUMMYFUNCTION("""COMPUTED_VALUE"""),104.775)</f>
        <v>104.775</v>
      </c>
      <c r="AS32" s="110">
        <f>IFERROR(__xludf.DUMMYFUNCTION("""COMPUTED_VALUE"""),19.85)</f>
        <v>19.85</v>
      </c>
      <c r="AT32" s="110">
        <f>IFERROR(__xludf.DUMMYFUNCTION("""COMPUTED_VALUE"""),99.0)</f>
        <v>99</v>
      </c>
      <c r="AU32" s="110">
        <f>IFERROR(__xludf.DUMMYFUNCTION("""COMPUTED_VALUE"""),63.35)</f>
        <v>63.35</v>
      </c>
      <c r="AV32" s="110">
        <f>IFERROR(__xludf.DUMMYFUNCTION("""COMPUTED_VALUE"""),140.72)</f>
        <v>140.72</v>
      </c>
      <c r="AW32" s="110">
        <f>IFERROR(__xludf.DUMMYFUNCTION("""COMPUTED_VALUE"""),125.74)</f>
        <v>125.74</v>
      </c>
      <c r="AX32" s="110">
        <f>IFERROR(__xludf.DUMMYFUNCTION("""COMPUTED_VALUE"""),24.7)</f>
        <v>24.7</v>
      </c>
      <c r="AY32" s="110">
        <f>IFERROR(__xludf.DUMMYFUNCTION("""COMPUTED_VALUE"""),42.29)</f>
        <v>42.29</v>
      </c>
      <c r="AZ32" s="110">
        <f>IFERROR(__xludf.DUMMYFUNCTION("""COMPUTED_VALUE"""),0.0)</f>
        <v>0</v>
      </c>
      <c r="BA32" s="110">
        <f>IFERROR(__xludf.DUMMYFUNCTION("""COMPUTED_VALUE"""),0.0)</f>
        <v>0</v>
      </c>
      <c r="BB32" s="110">
        <f>IFERROR(__xludf.DUMMYFUNCTION("""COMPUTED_VALUE"""),13.12)</f>
        <v>13.12</v>
      </c>
      <c r="BC32" s="110">
        <f>IFERROR(__xludf.DUMMYFUNCTION("""COMPUTED_VALUE"""),42.48)</f>
        <v>42.48</v>
      </c>
      <c r="BD32" s="110">
        <f>IFERROR(__xludf.DUMMYFUNCTION("""COMPUTED_VALUE"""),207.4)</f>
        <v>207.4</v>
      </c>
      <c r="BE32" s="110">
        <f>IFERROR(__xludf.DUMMYFUNCTION("""COMPUTED_VALUE"""),134.3)</f>
        <v>134.3</v>
      </c>
      <c r="BF32" s="110">
        <f>IFERROR(__xludf.DUMMYFUNCTION("""COMPUTED_VALUE"""),13.38)</f>
        <v>13.38</v>
      </c>
      <c r="BG32" s="110">
        <f>IFERROR(__xludf.DUMMYFUNCTION("""COMPUTED_VALUE"""),557.51)</f>
        <v>557.51</v>
      </c>
      <c r="BH32" s="110">
        <f>IFERROR(__xludf.DUMMYFUNCTION("""COMPUTED_VALUE"""),267.61)</f>
        <v>267.61</v>
      </c>
      <c r="BI32" s="110">
        <f>IFERROR(__xludf.DUMMYFUNCTION("""COMPUTED_VALUE"""),232.91)</f>
        <v>232.91</v>
      </c>
      <c r="BJ32" s="110">
        <f>IFERROR(__xludf.DUMMYFUNCTION("""COMPUTED_VALUE"""),22.63)</f>
        <v>22.63</v>
      </c>
      <c r="BK32" s="110">
        <f>IFERROR(__xludf.DUMMYFUNCTION("""COMPUTED_VALUE"""),309.06)</f>
        <v>309.06</v>
      </c>
      <c r="BL32" s="110">
        <f>IFERROR(__xludf.DUMMYFUNCTION("""COMPUTED_VALUE"""),123.23)</f>
        <v>123.23</v>
      </c>
      <c r="BM32" s="110">
        <f>IFERROR(__xludf.DUMMYFUNCTION("""COMPUTED_VALUE"""),16.85)</f>
        <v>16.85</v>
      </c>
      <c r="BN32" s="110">
        <f>IFERROR(__xludf.DUMMYFUNCTION("""COMPUTED_VALUE"""),359.57)</f>
        <v>359.57</v>
      </c>
      <c r="BO32" s="110">
        <f>IFERROR(__xludf.DUMMYFUNCTION("""COMPUTED_VALUE"""),641.92)</f>
        <v>641.92</v>
      </c>
      <c r="BP32" s="110">
        <f>IFERROR(__xludf.DUMMYFUNCTION("""COMPUTED_VALUE"""),47.39)</f>
        <v>47.39</v>
      </c>
      <c r="BQ32" s="110">
        <f>IFERROR(__xludf.DUMMYFUNCTION("""COMPUTED_VALUE"""),10.0)</f>
        <v>10</v>
      </c>
      <c r="BR32" s="110">
        <f>IFERROR(__xludf.DUMMYFUNCTION("""COMPUTED_VALUE"""),34.77)</f>
        <v>34.77</v>
      </c>
      <c r="BS32" s="110">
        <f>IFERROR(__xludf.DUMMYFUNCTION("""COMPUTED_VALUE"""),0.86)</f>
        <v>0.86</v>
      </c>
      <c r="BT32" s="110">
        <f>IFERROR(__xludf.DUMMYFUNCTION("""COMPUTED_VALUE"""),49.41)</f>
        <v>49.41</v>
      </c>
      <c r="BU32" s="110">
        <f>IFERROR(__xludf.DUMMYFUNCTION("""COMPUTED_VALUE"""),38.25)</f>
        <v>38.25</v>
      </c>
      <c r="BV32" s="110">
        <f>IFERROR(__xludf.DUMMYFUNCTION("""COMPUTED_VALUE"""),52.05)</f>
        <v>52.05</v>
      </c>
      <c r="BW32" s="110">
        <f>IFERROR(__xludf.DUMMYFUNCTION("""COMPUTED_VALUE"""),7.16)</f>
        <v>7.16</v>
      </c>
      <c r="BX32" s="110">
        <f>IFERROR(__xludf.DUMMYFUNCTION("""COMPUTED_VALUE"""),5.83)</f>
        <v>5.83</v>
      </c>
      <c r="BY32" s="110">
        <f>IFERROR(__xludf.DUMMYFUNCTION("""COMPUTED_VALUE"""),0.0)</f>
        <v>0</v>
      </c>
      <c r="BZ32" s="110">
        <f>IFERROR(__xludf.DUMMYFUNCTION("""COMPUTED_VALUE"""),14.74)</f>
        <v>14.74</v>
      </c>
      <c r="CA32" s="110">
        <f>IFERROR(__xludf.DUMMYFUNCTION("""COMPUTED_VALUE"""),3.9)</f>
        <v>3.9</v>
      </c>
      <c r="CB32" s="110">
        <f>IFERROR(__xludf.DUMMYFUNCTION("""COMPUTED_VALUE"""),6.16)</f>
        <v>6.16</v>
      </c>
      <c r="CC32" s="110">
        <f>IFERROR(__xludf.DUMMYFUNCTION("""COMPUTED_VALUE"""),20.07)</f>
        <v>20.07</v>
      </c>
      <c r="CD32" s="110">
        <f>IFERROR(__xludf.DUMMYFUNCTION("""COMPUTED_VALUE"""),16.79)</f>
        <v>16.79</v>
      </c>
      <c r="CE32" s="110">
        <f>IFERROR(__xludf.DUMMYFUNCTION("""COMPUTED_VALUE"""),34.81)</f>
        <v>34.81</v>
      </c>
      <c r="CF32" s="110">
        <f>IFERROR(__xludf.DUMMYFUNCTION("""COMPUTED_VALUE"""),115.0)</f>
        <v>115</v>
      </c>
      <c r="CG32" s="110">
        <f>IFERROR(__xludf.DUMMYFUNCTION("""COMPUTED_VALUE"""),5.89)</f>
        <v>5.89</v>
      </c>
      <c r="CH32" s="110">
        <f>IFERROR(__xludf.DUMMYFUNCTION("""COMPUTED_VALUE"""),24.2)</f>
        <v>24.2</v>
      </c>
      <c r="CI32" s="110">
        <f>IFERROR(__xludf.DUMMYFUNCTION("""COMPUTED_VALUE"""),53.46)</f>
        <v>53.46</v>
      </c>
      <c r="CJ32" s="110">
        <f>IFERROR(__xludf.DUMMYFUNCTION("""COMPUTED_VALUE"""),26.75)</f>
        <v>26.75</v>
      </c>
      <c r="CK32" s="110">
        <f>IFERROR(__xludf.DUMMYFUNCTION("""COMPUTED_VALUE"""),14.17)</f>
        <v>14.17</v>
      </c>
      <c r="CL32" s="110">
        <f>IFERROR(__xludf.DUMMYFUNCTION("""COMPUTED_VALUE"""),2638.13)</f>
        <v>2638.13</v>
      </c>
      <c r="CM32" s="110">
        <f>IFERROR(__xludf.DUMMYFUNCTION("""COMPUTED_VALUE"""),3.29)</f>
        <v>3.29</v>
      </c>
      <c r="CN32" s="110">
        <f>IFERROR(__xludf.DUMMYFUNCTION("""COMPUTED_VALUE"""),207.4)</f>
        <v>207.4</v>
      </c>
      <c r="CO32" s="110">
        <f>IFERROR(__xludf.DUMMYFUNCTION("""COMPUTED_VALUE"""),149.0)</f>
        <v>149</v>
      </c>
      <c r="CP32" s="110">
        <f>IFERROR(__xludf.DUMMYFUNCTION("""COMPUTED_VALUE"""),60.23)</f>
        <v>60.23</v>
      </c>
      <c r="CQ32" s="110">
        <f>IFERROR(__xludf.DUMMYFUNCTION("""COMPUTED_VALUE"""),71500.0)</f>
        <v>71500</v>
      </c>
      <c r="CR32" s="110">
        <f>IFERROR(__xludf.DUMMYFUNCTION("""COMPUTED_VALUE"""),0.52)</f>
        <v>0.52</v>
      </c>
      <c r="CS32" s="110">
        <f>IFERROR(__xludf.DUMMYFUNCTION("""COMPUTED_VALUE"""),38.27)</f>
        <v>38.27</v>
      </c>
      <c r="CT32" s="110">
        <f>IFERROR(__xludf.DUMMYFUNCTION("""COMPUTED_VALUE"""),22.06)</f>
        <v>22.06</v>
      </c>
      <c r="CU32" s="110">
        <f>IFERROR(__xludf.DUMMYFUNCTION("""COMPUTED_VALUE"""),1974.9)</f>
        <v>1974.9</v>
      </c>
      <c r="CV32" s="110">
        <f>IFERROR(__xludf.DUMMYFUNCTION("""COMPUTED_VALUE"""),2.92)</f>
        <v>2.92</v>
      </c>
      <c r="CW32" s="110">
        <f>IFERROR(__xludf.DUMMYFUNCTION("""COMPUTED_VALUE"""),3.32)</f>
        <v>3.32</v>
      </c>
      <c r="CX32" s="110">
        <f>IFERROR(__xludf.DUMMYFUNCTION("""COMPUTED_VALUE"""),9.5)</f>
        <v>9.5</v>
      </c>
      <c r="CY32" s="110">
        <f>IFERROR(__xludf.DUMMYFUNCTION("""COMPUTED_VALUE"""),0.08)</f>
        <v>0.08</v>
      </c>
      <c r="CZ32" s="110">
        <f>IFERROR(__xludf.DUMMYFUNCTION("""COMPUTED_VALUE"""),76.65)</f>
        <v>76.65</v>
      </c>
      <c r="DA32" s="110">
        <f>IFERROR(__xludf.DUMMYFUNCTION("""COMPUTED_VALUE"""),0.36)</f>
        <v>0.36</v>
      </c>
      <c r="DB32" s="110">
        <f>IFERROR(__xludf.DUMMYFUNCTION("""COMPUTED_VALUE"""),0.24)</f>
        <v>0.24</v>
      </c>
      <c r="DC32" s="108"/>
      <c r="DD32" s="108"/>
      <c r="DE32" s="108"/>
      <c r="DF32" s="108"/>
      <c r="DG32" s="108"/>
      <c r="DH32" s="108"/>
      <c r="DI32" s="108"/>
      <c r="DJ32" s="108"/>
      <c r="DK32" s="108"/>
      <c r="DL32" s="108"/>
      <c r="DM32" s="108"/>
      <c r="DN32" s="108"/>
      <c r="DO32" s="108"/>
      <c r="DP32" s="108"/>
      <c r="DQ32" s="108"/>
      <c r="DR32" s="108"/>
      <c r="DS32" s="108"/>
      <c r="DT32" s="108"/>
      <c r="DU32" s="108"/>
      <c r="DV32" s="108"/>
      <c r="DW32" s="108"/>
      <c r="DX32" s="108"/>
      <c r="DY32" s="108"/>
      <c r="DZ32" s="108"/>
      <c r="EA32" s="108"/>
      <c r="EB32" s="108"/>
      <c r="EC32" s="108"/>
      <c r="ED32" s="108"/>
      <c r="EE32" s="108"/>
      <c r="EF32" s="108"/>
      <c r="EG32" s="108"/>
      <c r="EH32" s="108"/>
      <c r="EI32" s="108"/>
      <c r="EJ32" s="108"/>
      <c r="EK32" s="108"/>
      <c r="EL32" s="108"/>
      <c r="EM32" s="108"/>
      <c r="EN32" s="108"/>
      <c r="EO32" s="108"/>
      <c r="EP32" s="108"/>
      <c r="EQ32" s="108"/>
      <c r="ER32" s="108"/>
      <c r="ES32" s="108"/>
      <c r="ET32" s="108"/>
      <c r="EU32" s="108"/>
      <c r="EV32" s="108"/>
      <c r="EW32" s="108"/>
      <c r="EX32" s="108"/>
      <c r="EY32" s="108"/>
      <c r="EZ32" s="108"/>
      <c r="FA32" s="108"/>
      <c r="FB32" s="108"/>
      <c r="FC32" s="108"/>
      <c r="FD32" s="108"/>
      <c r="FE32" s="108"/>
      <c r="FF32" s="108"/>
      <c r="FG32" s="108"/>
      <c r="FH32" s="108"/>
      <c r="FI32" s="108"/>
      <c r="FJ32" s="108"/>
      <c r="FK32" s="108"/>
      <c r="FL32" s="108"/>
      <c r="FM32" s="108"/>
      <c r="FN32" s="108"/>
      <c r="FO32" s="108"/>
    </row>
    <row r="33">
      <c r="A33" s="106">
        <f>IFERROR(__xludf.DUMMYFUNCTION("""COMPUTED_VALUE"""),44625.0)</f>
        <v>44625</v>
      </c>
      <c r="B33" s="110">
        <f>IFERROR(__xludf.DUMMYFUNCTION("""COMPUTED_VALUE"""),2912.82)</f>
        <v>2912.82</v>
      </c>
      <c r="C33" s="110">
        <f>IFERROR(__xludf.DUMMYFUNCTION("""COMPUTED_VALUE"""),200.06)</f>
        <v>200.06</v>
      </c>
      <c r="D33" s="110">
        <f>IFERROR(__xludf.DUMMYFUNCTION("""COMPUTED_VALUE"""),838.29)</f>
        <v>838.29</v>
      </c>
      <c r="E33" s="110">
        <f>IFERROR(__xludf.DUMMYFUNCTION("""COMPUTED_VALUE"""),403.2)</f>
        <v>403.2</v>
      </c>
      <c r="F33" s="110">
        <f>IFERROR(__xludf.DUMMYFUNCTION("""COMPUTED_VALUE"""),10.42)</f>
        <v>10.42</v>
      </c>
      <c r="G33" s="110">
        <f>IFERROR(__xludf.DUMMYFUNCTION("""COMPUTED_VALUE"""),163.17)</f>
        <v>163.17</v>
      </c>
      <c r="H33" s="110">
        <f>IFERROR(__xludf.DUMMYFUNCTION("""COMPUTED_VALUE"""),14.68)</f>
        <v>14.68</v>
      </c>
      <c r="I33" s="110">
        <f>IFERROR(__xludf.DUMMYFUNCTION("""COMPUTED_VALUE"""),14.5)</f>
        <v>14.5</v>
      </c>
      <c r="J33" s="110">
        <f>IFERROR(__xludf.DUMMYFUNCTION("""COMPUTED_VALUE"""),0.32)</f>
        <v>0.32</v>
      </c>
      <c r="K33" s="110">
        <f>IFERROR(__xludf.DUMMYFUNCTION("""COMPUTED_VALUE"""),40.8)</f>
        <v>40.8</v>
      </c>
      <c r="L33" s="110">
        <f>IFERROR(__xludf.DUMMYFUNCTION("""COMPUTED_VALUE"""),164.8)</f>
        <v>164.8</v>
      </c>
      <c r="M33" s="110">
        <f>IFERROR(__xludf.DUMMYFUNCTION("""COMPUTED_VALUE"""),39099.688)</f>
        <v>39099.688</v>
      </c>
      <c r="N33" s="110">
        <f>IFERROR(__xludf.DUMMYFUNCTION("""COMPUTED_VALUE"""),361.73)</f>
        <v>361.73</v>
      </c>
      <c r="O33" s="110">
        <f>IFERROR(__xludf.DUMMYFUNCTION("""COMPUTED_VALUE"""),289.86)</f>
        <v>289.86</v>
      </c>
      <c r="P33" s="110">
        <f>IFERROR(__xludf.DUMMYFUNCTION("""COMPUTED_VALUE"""),18.08)</f>
        <v>18.08</v>
      </c>
      <c r="Q33" s="110">
        <f>IFERROR(__xludf.DUMMYFUNCTION("""COMPUTED_VALUE"""),24.35)</f>
        <v>24.35</v>
      </c>
      <c r="R33" s="110">
        <f>IFERROR(__xludf.DUMMYFUNCTION("""COMPUTED_VALUE"""),63.59)</f>
        <v>63.59</v>
      </c>
      <c r="S33" s="110">
        <f>IFERROR(__xludf.DUMMYFUNCTION("""COMPUTED_VALUE"""),26.13)</f>
        <v>26.13</v>
      </c>
      <c r="T33" s="110">
        <f>IFERROR(__xludf.DUMMYFUNCTION("""COMPUTED_VALUE"""),29.53)</f>
        <v>29.53</v>
      </c>
      <c r="U33" s="110">
        <f>IFERROR(__xludf.DUMMYFUNCTION("""COMPUTED_VALUE"""),41.54)</f>
        <v>41.54</v>
      </c>
      <c r="V33" s="110">
        <f>IFERROR(__xludf.DUMMYFUNCTION("""COMPUTED_VALUE"""),16.79)</f>
        <v>16.79</v>
      </c>
      <c r="W33" s="110">
        <f>IFERROR(__xludf.DUMMYFUNCTION("""COMPUTED_VALUE"""),235.81)</f>
        <v>235.81</v>
      </c>
      <c r="X33" s="110">
        <f>IFERROR(__xludf.DUMMYFUNCTION("""COMPUTED_VALUE"""),2642.44)</f>
        <v>2642.44</v>
      </c>
      <c r="Y33" s="110">
        <f>IFERROR(__xludf.DUMMYFUNCTION("""COMPUTED_VALUE"""),58.05)</f>
        <v>58.05</v>
      </c>
      <c r="Z33" s="110">
        <f>IFERROR(__xludf.DUMMYFUNCTION("""COMPUTED_VALUE"""),61.95)</f>
        <v>61.95</v>
      </c>
      <c r="AA33" s="110">
        <f>IFERROR(__xludf.DUMMYFUNCTION("""COMPUTED_VALUE"""),100.91)</f>
        <v>100.91</v>
      </c>
      <c r="AB33" s="110">
        <f>IFERROR(__xludf.DUMMYFUNCTION("""COMPUTED_VALUE"""),4.62)</f>
        <v>4.62</v>
      </c>
      <c r="AC33" s="110">
        <f>IFERROR(__xludf.DUMMYFUNCTION("""COMPUTED_VALUE"""),75.23)</f>
        <v>75.23</v>
      </c>
      <c r="AD33" s="110">
        <f>IFERROR(__xludf.DUMMYFUNCTION("""COMPUTED_VALUE"""),11.9)</f>
        <v>11.9</v>
      </c>
      <c r="AE33" s="110">
        <f>IFERROR(__xludf.DUMMYFUNCTION("""COMPUTED_VALUE"""),5.89)</f>
        <v>5.89</v>
      </c>
      <c r="AF33" s="110">
        <f>IFERROR(__xludf.DUMMYFUNCTION("""COMPUTED_VALUE"""),41.78)</f>
        <v>41.78</v>
      </c>
      <c r="AG33" s="110">
        <f>IFERROR(__xludf.DUMMYFUNCTION("""COMPUTED_VALUE"""),13.86)</f>
        <v>13.86</v>
      </c>
      <c r="AH33" s="110">
        <f>IFERROR(__xludf.DUMMYFUNCTION("""COMPUTED_VALUE"""),2.04)</f>
        <v>2.04</v>
      </c>
      <c r="AI33" s="110">
        <f>IFERROR(__xludf.DUMMYFUNCTION("""COMPUTED_VALUE"""),3.47)</f>
        <v>3.47</v>
      </c>
      <c r="AJ33" s="110">
        <f>IFERROR(__xludf.DUMMYFUNCTION("""COMPUTED_VALUE"""),114.0)</f>
        <v>114</v>
      </c>
      <c r="AK33" s="110">
        <f>IFERROR(__xludf.DUMMYFUNCTION("""COMPUTED_VALUE"""),229.36)</f>
        <v>229.36</v>
      </c>
      <c r="AL33" s="110">
        <f>IFERROR(__xludf.DUMMYFUNCTION("""COMPUTED_VALUE"""),13.96)</f>
        <v>13.96</v>
      </c>
      <c r="AM33" s="110">
        <f>IFERROR(__xludf.DUMMYFUNCTION("""COMPUTED_VALUE"""),40.95)</f>
        <v>40.95</v>
      </c>
      <c r="AN33" s="110">
        <f>IFERROR(__xludf.DUMMYFUNCTION("""COMPUTED_VALUE"""),325.34)</f>
        <v>325.34</v>
      </c>
      <c r="AO33" s="110">
        <f>IFERROR(__xludf.DUMMYFUNCTION("""COMPUTED_VALUE"""),98.47)</f>
        <v>98.47</v>
      </c>
      <c r="AP33" s="110">
        <f>IFERROR(__xludf.DUMMYFUNCTION("""COMPUTED_VALUE"""),81.43)</f>
        <v>81.43</v>
      </c>
      <c r="AQ33" s="110">
        <f>IFERROR(__xludf.DUMMYFUNCTION("""COMPUTED_VALUE"""),50.39)</f>
        <v>50.39</v>
      </c>
      <c r="AR33" s="109">
        <f>IFERROR(__xludf.DUMMYFUNCTION("""COMPUTED_VALUE"""),104.775)</f>
        <v>104.775</v>
      </c>
      <c r="AS33" s="110">
        <f>IFERROR(__xludf.DUMMYFUNCTION("""COMPUTED_VALUE"""),19.85)</f>
        <v>19.85</v>
      </c>
      <c r="AT33" s="110">
        <f>IFERROR(__xludf.DUMMYFUNCTION("""COMPUTED_VALUE"""),99.0)</f>
        <v>99</v>
      </c>
      <c r="AU33" s="110">
        <f>IFERROR(__xludf.DUMMYFUNCTION("""COMPUTED_VALUE"""),63.35)</f>
        <v>63.35</v>
      </c>
      <c r="AV33" s="110">
        <f>IFERROR(__xludf.DUMMYFUNCTION("""COMPUTED_VALUE"""),140.72)</f>
        <v>140.72</v>
      </c>
      <c r="AW33" s="110">
        <f>IFERROR(__xludf.DUMMYFUNCTION("""COMPUTED_VALUE"""),125.74)</f>
        <v>125.74</v>
      </c>
      <c r="AX33" s="110">
        <f>IFERROR(__xludf.DUMMYFUNCTION("""COMPUTED_VALUE"""),24.7)</f>
        <v>24.7</v>
      </c>
      <c r="AY33" s="110">
        <f>IFERROR(__xludf.DUMMYFUNCTION("""COMPUTED_VALUE"""),42.29)</f>
        <v>42.29</v>
      </c>
      <c r="AZ33" s="110">
        <f>IFERROR(__xludf.DUMMYFUNCTION("""COMPUTED_VALUE"""),0.0)</f>
        <v>0</v>
      </c>
      <c r="BA33" s="110">
        <f>IFERROR(__xludf.DUMMYFUNCTION("""COMPUTED_VALUE"""),0.0)</f>
        <v>0</v>
      </c>
      <c r="BB33" s="110">
        <f>IFERROR(__xludf.DUMMYFUNCTION("""COMPUTED_VALUE"""),13.12)</f>
        <v>13.12</v>
      </c>
      <c r="BC33" s="110">
        <f>IFERROR(__xludf.DUMMYFUNCTION("""COMPUTED_VALUE"""),42.48)</f>
        <v>42.48</v>
      </c>
      <c r="BD33" s="110">
        <f>IFERROR(__xludf.DUMMYFUNCTION("""COMPUTED_VALUE"""),207.4)</f>
        <v>207.4</v>
      </c>
      <c r="BE33" s="110">
        <f>IFERROR(__xludf.DUMMYFUNCTION("""COMPUTED_VALUE"""),134.3)</f>
        <v>134.3</v>
      </c>
      <c r="BF33" s="110">
        <f>IFERROR(__xludf.DUMMYFUNCTION("""COMPUTED_VALUE"""),13.38)</f>
        <v>13.38</v>
      </c>
      <c r="BG33" s="110">
        <f>IFERROR(__xludf.DUMMYFUNCTION("""COMPUTED_VALUE"""),557.51)</f>
        <v>557.51</v>
      </c>
      <c r="BH33" s="110">
        <f>IFERROR(__xludf.DUMMYFUNCTION("""COMPUTED_VALUE"""),267.61)</f>
        <v>267.61</v>
      </c>
      <c r="BI33" s="110">
        <f>IFERROR(__xludf.DUMMYFUNCTION("""COMPUTED_VALUE"""),232.91)</f>
        <v>232.91</v>
      </c>
      <c r="BJ33" s="110">
        <f>IFERROR(__xludf.DUMMYFUNCTION("""COMPUTED_VALUE"""),22.63)</f>
        <v>22.63</v>
      </c>
      <c r="BK33" s="110">
        <f>IFERROR(__xludf.DUMMYFUNCTION("""COMPUTED_VALUE"""),309.06)</f>
        <v>309.06</v>
      </c>
      <c r="BL33" s="110">
        <f>IFERROR(__xludf.DUMMYFUNCTION("""COMPUTED_VALUE"""),123.23)</f>
        <v>123.23</v>
      </c>
      <c r="BM33" s="110">
        <f>IFERROR(__xludf.DUMMYFUNCTION("""COMPUTED_VALUE"""),16.85)</f>
        <v>16.85</v>
      </c>
      <c r="BN33" s="110">
        <f>IFERROR(__xludf.DUMMYFUNCTION("""COMPUTED_VALUE"""),359.57)</f>
        <v>359.57</v>
      </c>
      <c r="BO33" s="110">
        <f>IFERROR(__xludf.DUMMYFUNCTION("""COMPUTED_VALUE"""),641.92)</f>
        <v>641.92</v>
      </c>
      <c r="BP33" s="110">
        <f>IFERROR(__xludf.DUMMYFUNCTION("""COMPUTED_VALUE"""),47.39)</f>
        <v>47.39</v>
      </c>
      <c r="BQ33" s="110">
        <f>IFERROR(__xludf.DUMMYFUNCTION("""COMPUTED_VALUE"""),10.0)</f>
        <v>10</v>
      </c>
      <c r="BR33" s="110">
        <f>IFERROR(__xludf.DUMMYFUNCTION("""COMPUTED_VALUE"""),34.77)</f>
        <v>34.77</v>
      </c>
      <c r="BS33" s="110">
        <f>IFERROR(__xludf.DUMMYFUNCTION("""COMPUTED_VALUE"""),0.86)</f>
        <v>0.86</v>
      </c>
      <c r="BT33" s="110">
        <f>IFERROR(__xludf.DUMMYFUNCTION("""COMPUTED_VALUE"""),49.41)</f>
        <v>49.41</v>
      </c>
      <c r="BU33" s="110">
        <f>IFERROR(__xludf.DUMMYFUNCTION("""COMPUTED_VALUE"""),38.25)</f>
        <v>38.25</v>
      </c>
      <c r="BV33" s="110">
        <f>IFERROR(__xludf.DUMMYFUNCTION("""COMPUTED_VALUE"""),52.05)</f>
        <v>52.05</v>
      </c>
      <c r="BW33" s="110">
        <f>IFERROR(__xludf.DUMMYFUNCTION("""COMPUTED_VALUE"""),7.16)</f>
        <v>7.16</v>
      </c>
      <c r="BX33" s="110">
        <f>IFERROR(__xludf.DUMMYFUNCTION("""COMPUTED_VALUE"""),5.83)</f>
        <v>5.83</v>
      </c>
      <c r="BY33" s="110">
        <f>IFERROR(__xludf.DUMMYFUNCTION("""COMPUTED_VALUE"""),0.0)</f>
        <v>0</v>
      </c>
      <c r="BZ33" s="110">
        <f>IFERROR(__xludf.DUMMYFUNCTION("""COMPUTED_VALUE"""),14.74)</f>
        <v>14.74</v>
      </c>
      <c r="CA33" s="110">
        <f>IFERROR(__xludf.DUMMYFUNCTION("""COMPUTED_VALUE"""),3.9)</f>
        <v>3.9</v>
      </c>
      <c r="CB33" s="110">
        <f>IFERROR(__xludf.DUMMYFUNCTION("""COMPUTED_VALUE"""),6.16)</f>
        <v>6.16</v>
      </c>
      <c r="CC33" s="110">
        <f>IFERROR(__xludf.DUMMYFUNCTION("""COMPUTED_VALUE"""),20.07)</f>
        <v>20.07</v>
      </c>
      <c r="CD33" s="110">
        <f>IFERROR(__xludf.DUMMYFUNCTION("""COMPUTED_VALUE"""),16.79)</f>
        <v>16.79</v>
      </c>
      <c r="CE33" s="110">
        <f>IFERROR(__xludf.DUMMYFUNCTION("""COMPUTED_VALUE"""),34.81)</f>
        <v>34.81</v>
      </c>
      <c r="CF33" s="110">
        <f>IFERROR(__xludf.DUMMYFUNCTION("""COMPUTED_VALUE"""),115.0)</f>
        <v>115</v>
      </c>
      <c r="CG33" s="110">
        <f>IFERROR(__xludf.DUMMYFUNCTION("""COMPUTED_VALUE"""),5.89)</f>
        <v>5.89</v>
      </c>
      <c r="CH33" s="110">
        <f>IFERROR(__xludf.DUMMYFUNCTION("""COMPUTED_VALUE"""),24.2)</f>
        <v>24.2</v>
      </c>
      <c r="CI33" s="110">
        <f>IFERROR(__xludf.DUMMYFUNCTION("""COMPUTED_VALUE"""),53.46)</f>
        <v>53.46</v>
      </c>
      <c r="CJ33" s="110">
        <f>IFERROR(__xludf.DUMMYFUNCTION("""COMPUTED_VALUE"""),26.75)</f>
        <v>26.75</v>
      </c>
      <c r="CK33" s="110">
        <f>IFERROR(__xludf.DUMMYFUNCTION("""COMPUTED_VALUE"""),14.17)</f>
        <v>14.17</v>
      </c>
      <c r="CL33" s="110">
        <f>IFERROR(__xludf.DUMMYFUNCTION("""COMPUTED_VALUE"""),2638.13)</f>
        <v>2638.13</v>
      </c>
      <c r="CM33" s="110">
        <f>IFERROR(__xludf.DUMMYFUNCTION("""COMPUTED_VALUE"""),3.29)</f>
        <v>3.29</v>
      </c>
      <c r="CN33" s="110">
        <f>IFERROR(__xludf.DUMMYFUNCTION("""COMPUTED_VALUE"""),207.4)</f>
        <v>207.4</v>
      </c>
      <c r="CO33" s="110">
        <f>IFERROR(__xludf.DUMMYFUNCTION("""COMPUTED_VALUE"""),149.0)</f>
        <v>149</v>
      </c>
      <c r="CP33" s="110">
        <f>IFERROR(__xludf.DUMMYFUNCTION("""COMPUTED_VALUE"""),60.23)</f>
        <v>60.23</v>
      </c>
      <c r="CQ33" s="110">
        <f>IFERROR(__xludf.DUMMYFUNCTION("""COMPUTED_VALUE"""),71500.0)</f>
        <v>71500</v>
      </c>
      <c r="CR33" s="110">
        <f>IFERROR(__xludf.DUMMYFUNCTION("""COMPUTED_VALUE"""),0.52)</f>
        <v>0.52</v>
      </c>
      <c r="CS33" s="110">
        <f>IFERROR(__xludf.DUMMYFUNCTION("""COMPUTED_VALUE"""),38.27)</f>
        <v>38.27</v>
      </c>
      <c r="CT33" s="110">
        <f>IFERROR(__xludf.DUMMYFUNCTION("""COMPUTED_VALUE"""),22.06)</f>
        <v>22.06</v>
      </c>
      <c r="CU33" s="110">
        <f>IFERROR(__xludf.DUMMYFUNCTION("""COMPUTED_VALUE"""),1974.9)</f>
        <v>1974.9</v>
      </c>
      <c r="CV33" s="110">
        <f>IFERROR(__xludf.DUMMYFUNCTION("""COMPUTED_VALUE"""),2.92)</f>
        <v>2.92</v>
      </c>
      <c r="CW33" s="110">
        <f>IFERROR(__xludf.DUMMYFUNCTION("""COMPUTED_VALUE"""),3.32)</f>
        <v>3.32</v>
      </c>
      <c r="CX33" s="110">
        <f>IFERROR(__xludf.DUMMYFUNCTION("""COMPUTED_VALUE"""),9.5)</f>
        <v>9.5</v>
      </c>
      <c r="CY33" s="110">
        <f>IFERROR(__xludf.DUMMYFUNCTION("""COMPUTED_VALUE"""),0.08)</f>
        <v>0.08</v>
      </c>
      <c r="CZ33" s="110">
        <f>IFERROR(__xludf.DUMMYFUNCTION("""COMPUTED_VALUE"""),76.65)</f>
        <v>76.65</v>
      </c>
      <c r="DA33" s="110">
        <f>IFERROR(__xludf.DUMMYFUNCTION("""COMPUTED_VALUE"""),0.36)</f>
        <v>0.36</v>
      </c>
      <c r="DB33" s="110">
        <f>IFERROR(__xludf.DUMMYFUNCTION("""COMPUTED_VALUE"""),0.24)</f>
        <v>0.24</v>
      </c>
      <c r="DC33" s="108"/>
      <c r="DD33" s="108"/>
      <c r="DE33" s="108"/>
      <c r="DF33" s="108"/>
      <c r="DG33" s="108"/>
      <c r="DH33" s="108"/>
      <c r="DI33" s="108"/>
      <c r="DJ33" s="108"/>
      <c r="DK33" s="108"/>
      <c r="DL33" s="108"/>
      <c r="DM33" s="108"/>
      <c r="DN33" s="108"/>
      <c r="DO33" s="108"/>
      <c r="DP33" s="108"/>
      <c r="DQ33" s="108"/>
      <c r="DR33" s="108"/>
      <c r="DS33" s="108"/>
      <c r="DT33" s="108"/>
      <c r="DU33" s="108"/>
      <c r="DV33" s="108"/>
      <c r="DW33" s="108"/>
      <c r="DX33" s="108"/>
      <c r="DY33" s="108"/>
      <c r="DZ33" s="108"/>
      <c r="EA33" s="108"/>
      <c r="EB33" s="108"/>
      <c r="EC33" s="108"/>
      <c r="ED33" s="108"/>
      <c r="EE33" s="108"/>
      <c r="EF33" s="108"/>
      <c r="EG33" s="108"/>
      <c r="EH33" s="108"/>
      <c r="EI33" s="108"/>
      <c r="EJ33" s="108"/>
      <c r="EK33" s="108"/>
      <c r="EL33" s="108"/>
      <c r="EM33" s="108"/>
      <c r="EN33" s="108"/>
      <c r="EO33" s="108"/>
      <c r="EP33" s="108"/>
      <c r="EQ33" s="108"/>
      <c r="ER33" s="108"/>
      <c r="ES33" s="108"/>
      <c r="ET33" s="108"/>
      <c r="EU33" s="108"/>
      <c r="EV33" s="108"/>
      <c r="EW33" s="108"/>
      <c r="EX33" s="108"/>
      <c r="EY33" s="108"/>
      <c r="EZ33" s="108"/>
      <c r="FA33" s="108"/>
      <c r="FB33" s="108"/>
      <c r="FC33" s="108"/>
      <c r="FD33" s="108"/>
      <c r="FE33" s="108"/>
      <c r="FF33" s="108"/>
      <c r="FG33" s="108"/>
      <c r="FH33" s="108"/>
      <c r="FI33" s="108"/>
      <c r="FJ33" s="108"/>
      <c r="FK33" s="108"/>
      <c r="FL33" s="108"/>
      <c r="FM33" s="108"/>
      <c r="FN33" s="108"/>
      <c r="FO33" s="108"/>
    </row>
    <row r="34">
      <c r="A34" s="106">
        <f>IFERROR(__xludf.DUMMYFUNCTION("""COMPUTED_VALUE"""),44626.0)</f>
        <v>44626</v>
      </c>
      <c r="B34" s="110">
        <f>IFERROR(__xludf.DUMMYFUNCTION("""COMPUTED_VALUE"""),2912.82)</f>
        <v>2912.82</v>
      </c>
      <c r="C34" s="110">
        <f>IFERROR(__xludf.DUMMYFUNCTION("""COMPUTED_VALUE"""),200.06)</f>
        <v>200.06</v>
      </c>
      <c r="D34" s="110">
        <f>IFERROR(__xludf.DUMMYFUNCTION("""COMPUTED_VALUE"""),838.29)</f>
        <v>838.29</v>
      </c>
      <c r="E34" s="110">
        <f>IFERROR(__xludf.DUMMYFUNCTION("""COMPUTED_VALUE"""),403.2)</f>
        <v>403.2</v>
      </c>
      <c r="F34" s="110">
        <f>IFERROR(__xludf.DUMMYFUNCTION("""COMPUTED_VALUE"""),10.42)</f>
        <v>10.42</v>
      </c>
      <c r="G34" s="110">
        <f>IFERROR(__xludf.DUMMYFUNCTION("""COMPUTED_VALUE"""),163.17)</f>
        <v>163.17</v>
      </c>
      <c r="H34" s="110">
        <f>IFERROR(__xludf.DUMMYFUNCTION("""COMPUTED_VALUE"""),14.68)</f>
        <v>14.68</v>
      </c>
      <c r="I34" s="110">
        <f>IFERROR(__xludf.DUMMYFUNCTION("""COMPUTED_VALUE"""),14.5)</f>
        <v>14.5</v>
      </c>
      <c r="J34" s="110">
        <f>IFERROR(__xludf.DUMMYFUNCTION("""COMPUTED_VALUE"""),0.32)</f>
        <v>0.32</v>
      </c>
      <c r="K34" s="110">
        <f>IFERROR(__xludf.DUMMYFUNCTION("""COMPUTED_VALUE"""),40.8)</f>
        <v>40.8</v>
      </c>
      <c r="L34" s="110">
        <f>IFERROR(__xludf.DUMMYFUNCTION("""COMPUTED_VALUE"""),164.8)</f>
        <v>164.8</v>
      </c>
      <c r="M34" s="110">
        <f>IFERROR(__xludf.DUMMYFUNCTION("""COMPUTED_VALUE"""),39099.688)</f>
        <v>39099.688</v>
      </c>
      <c r="N34" s="110">
        <f>IFERROR(__xludf.DUMMYFUNCTION("""COMPUTED_VALUE"""),361.73)</f>
        <v>361.73</v>
      </c>
      <c r="O34" s="110">
        <f>IFERROR(__xludf.DUMMYFUNCTION("""COMPUTED_VALUE"""),289.86)</f>
        <v>289.86</v>
      </c>
      <c r="P34" s="110">
        <f>IFERROR(__xludf.DUMMYFUNCTION("""COMPUTED_VALUE"""),18.08)</f>
        <v>18.08</v>
      </c>
      <c r="Q34" s="110">
        <f>IFERROR(__xludf.DUMMYFUNCTION("""COMPUTED_VALUE"""),24.35)</f>
        <v>24.35</v>
      </c>
      <c r="R34" s="110">
        <f>IFERROR(__xludf.DUMMYFUNCTION("""COMPUTED_VALUE"""),63.59)</f>
        <v>63.59</v>
      </c>
      <c r="S34" s="110">
        <f>IFERROR(__xludf.DUMMYFUNCTION("""COMPUTED_VALUE"""),26.13)</f>
        <v>26.13</v>
      </c>
      <c r="T34" s="110">
        <f>IFERROR(__xludf.DUMMYFUNCTION("""COMPUTED_VALUE"""),29.53)</f>
        <v>29.53</v>
      </c>
      <c r="U34" s="110">
        <f>IFERROR(__xludf.DUMMYFUNCTION("""COMPUTED_VALUE"""),41.54)</f>
        <v>41.54</v>
      </c>
      <c r="V34" s="110">
        <f>IFERROR(__xludf.DUMMYFUNCTION("""COMPUTED_VALUE"""),16.79)</f>
        <v>16.79</v>
      </c>
      <c r="W34" s="110">
        <f>IFERROR(__xludf.DUMMYFUNCTION("""COMPUTED_VALUE"""),235.81)</f>
        <v>235.81</v>
      </c>
      <c r="X34" s="110">
        <f>IFERROR(__xludf.DUMMYFUNCTION("""COMPUTED_VALUE"""),2642.44)</f>
        <v>2642.44</v>
      </c>
      <c r="Y34" s="110">
        <f>IFERROR(__xludf.DUMMYFUNCTION("""COMPUTED_VALUE"""),58.05)</f>
        <v>58.05</v>
      </c>
      <c r="Z34" s="110">
        <f>IFERROR(__xludf.DUMMYFUNCTION("""COMPUTED_VALUE"""),61.95)</f>
        <v>61.95</v>
      </c>
      <c r="AA34" s="110">
        <f>IFERROR(__xludf.DUMMYFUNCTION("""COMPUTED_VALUE"""),100.91)</f>
        <v>100.91</v>
      </c>
      <c r="AB34" s="110">
        <f>IFERROR(__xludf.DUMMYFUNCTION("""COMPUTED_VALUE"""),4.62)</f>
        <v>4.62</v>
      </c>
      <c r="AC34" s="110">
        <f>IFERROR(__xludf.DUMMYFUNCTION("""COMPUTED_VALUE"""),75.23)</f>
        <v>75.23</v>
      </c>
      <c r="AD34" s="110">
        <f>IFERROR(__xludf.DUMMYFUNCTION("""COMPUTED_VALUE"""),11.9)</f>
        <v>11.9</v>
      </c>
      <c r="AE34" s="110">
        <f>IFERROR(__xludf.DUMMYFUNCTION("""COMPUTED_VALUE"""),5.89)</f>
        <v>5.89</v>
      </c>
      <c r="AF34" s="110">
        <f>IFERROR(__xludf.DUMMYFUNCTION("""COMPUTED_VALUE"""),41.78)</f>
        <v>41.78</v>
      </c>
      <c r="AG34" s="110">
        <f>IFERROR(__xludf.DUMMYFUNCTION("""COMPUTED_VALUE"""),13.86)</f>
        <v>13.86</v>
      </c>
      <c r="AH34" s="110">
        <f>IFERROR(__xludf.DUMMYFUNCTION("""COMPUTED_VALUE"""),2.04)</f>
        <v>2.04</v>
      </c>
      <c r="AI34" s="110">
        <f>IFERROR(__xludf.DUMMYFUNCTION("""COMPUTED_VALUE"""),3.47)</f>
        <v>3.47</v>
      </c>
      <c r="AJ34" s="110">
        <f>IFERROR(__xludf.DUMMYFUNCTION("""COMPUTED_VALUE"""),114.0)</f>
        <v>114</v>
      </c>
      <c r="AK34" s="110">
        <f>IFERROR(__xludf.DUMMYFUNCTION("""COMPUTED_VALUE"""),229.36)</f>
        <v>229.36</v>
      </c>
      <c r="AL34" s="110">
        <f>IFERROR(__xludf.DUMMYFUNCTION("""COMPUTED_VALUE"""),13.96)</f>
        <v>13.96</v>
      </c>
      <c r="AM34" s="110">
        <f>IFERROR(__xludf.DUMMYFUNCTION("""COMPUTED_VALUE"""),40.95)</f>
        <v>40.95</v>
      </c>
      <c r="AN34" s="110">
        <f>IFERROR(__xludf.DUMMYFUNCTION("""COMPUTED_VALUE"""),325.34)</f>
        <v>325.34</v>
      </c>
      <c r="AO34" s="110">
        <f>IFERROR(__xludf.DUMMYFUNCTION("""COMPUTED_VALUE"""),98.47)</f>
        <v>98.47</v>
      </c>
      <c r="AP34" s="110">
        <f>IFERROR(__xludf.DUMMYFUNCTION("""COMPUTED_VALUE"""),81.43)</f>
        <v>81.43</v>
      </c>
      <c r="AQ34" s="110">
        <f>IFERROR(__xludf.DUMMYFUNCTION("""COMPUTED_VALUE"""),50.39)</f>
        <v>50.39</v>
      </c>
      <c r="AR34" s="109">
        <f>IFERROR(__xludf.DUMMYFUNCTION("""COMPUTED_VALUE"""),104.775)</f>
        <v>104.775</v>
      </c>
      <c r="AS34" s="110">
        <f>IFERROR(__xludf.DUMMYFUNCTION("""COMPUTED_VALUE"""),19.85)</f>
        <v>19.85</v>
      </c>
      <c r="AT34" s="110">
        <f>IFERROR(__xludf.DUMMYFUNCTION("""COMPUTED_VALUE"""),99.0)</f>
        <v>99</v>
      </c>
      <c r="AU34" s="110">
        <f>IFERROR(__xludf.DUMMYFUNCTION("""COMPUTED_VALUE"""),63.35)</f>
        <v>63.35</v>
      </c>
      <c r="AV34" s="110">
        <f>IFERROR(__xludf.DUMMYFUNCTION("""COMPUTED_VALUE"""),140.72)</f>
        <v>140.72</v>
      </c>
      <c r="AW34" s="110">
        <f>IFERROR(__xludf.DUMMYFUNCTION("""COMPUTED_VALUE"""),125.74)</f>
        <v>125.74</v>
      </c>
      <c r="AX34" s="110">
        <f>IFERROR(__xludf.DUMMYFUNCTION("""COMPUTED_VALUE"""),24.7)</f>
        <v>24.7</v>
      </c>
      <c r="AY34" s="110">
        <f>IFERROR(__xludf.DUMMYFUNCTION("""COMPUTED_VALUE"""),42.29)</f>
        <v>42.29</v>
      </c>
      <c r="AZ34" s="110">
        <f>IFERROR(__xludf.DUMMYFUNCTION("""COMPUTED_VALUE"""),0.0)</f>
        <v>0</v>
      </c>
      <c r="BA34" s="110">
        <f>IFERROR(__xludf.DUMMYFUNCTION("""COMPUTED_VALUE"""),0.0)</f>
        <v>0</v>
      </c>
      <c r="BB34" s="110">
        <f>IFERROR(__xludf.DUMMYFUNCTION("""COMPUTED_VALUE"""),13.12)</f>
        <v>13.12</v>
      </c>
      <c r="BC34" s="110">
        <f>IFERROR(__xludf.DUMMYFUNCTION("""COMPUTED_VALUE"""),42.48)</f>
        <v>42.48</v>
      </c>
      <c r="BD34" s="110">
        <f>IFERROR(__xludf.DUMMYFUNCTION("""COMPUTED_VALUE"""),207.4)</f>
        <v>207.4</v>
      </c>
      <c r="BE34" s="110">
        <f>IFERROR(__xludf.DUMMYFUNCTION("""COMPUTED_VALUE"""),134.3)</f>
        <v>134.3</v>
      </c>
      <c r="BF34" s="110">
        <f>IFERROR(__xludf.DUMMYFUNCTION("""COMPUTED_VALUE"""),13.38)</f>
        <v>13.38</v>
      </c>
      <c r="BG34" s="110">
        <f>IFERROR(__xludf.DUMMYFUNCTION("""COMPUTED_VALUE"""),557.51)</f>
        <v>557.51</v>
      </c>
      <c r="BH34" s="110">
        <f>IFERROR(__xludf.DUMMYFUNCTION("""COMPUTED_VALUE"""),267.61)</f>
        <v>267.61</v>
      </c>
      <c r="BI34" s="110">
        <f>IFERROR(__xludf.DUMMYFUNCTION("""COMPUTED_VALUE"""),232.91)</f>
        <v>232.91</v>
      </c>
      <c r="BJ34" s="110">
        <f>IFERROR(__xludf.DUMMYFUNCTION("""COMPUTED_VALUE"""),22.63)</f>
        <v>22.63</v>
      </c>
      <c r="BK34" s="110">
        <f>IFERROR(__xludf.DUMMYFUNCTION("""COMPUTED_VALUE"""),309.06)</f>
        <v>309.06</v>
      </c>
      <c r="BL34" s="110">
        <f>IFERROR(__xludf.DUMMYFUNCTION("""COMPUTED_VALUE"""),123.23)</f>
        <v>123.23</v>
      </c>
      <c r="BM34" s="110">
        <f>IFERROR(__xludf.DUMMYFUNCTION("""COMPUTED_VALUE"""),16.85)</f>
        <v>16.85</v>
      </c>
      <c r="BN34" s="110">
        <f>IFERROR(__xludf.DUMMYFUNCTION("""COMPUTED_VALUE"""),359.57)</f>
        <v>359.57</v>
      </c>
      <c r="BO34" s="110">
        <f>IFERROR(__xludf.DUMMYFUNCTION("""COMPUTED_VALUE"""),641.92)</f>
        <v>641.92</v>
      </c>
      <c r="BP34" s="110">
        <f>IFERROR(__xludf.DUMMYFUNCTION("""COMPUTED_VALUE"""),47.39)</f>
        <v>47.39</v>
      </c>
      <c r="BQ34" s="110">
        <f>IFERROR(__xludf.DUMMYFUNCTION("""COMPUTED_VALUE"""),10.0)</f>
        <v>10</v>
      </c>
      <c r="BR34" s="110">
        <f>IFERROR(__xludf.DUMMYFUNCTION("""COMPUTED_VALUE"""),34.77)</f>
        <v>34.77</v>
      </c>
      <c r="BS34" s="110">
        <f>IFERROR(__xludf.DUMMYFUNCTION("""COMPUTED_VALUE"""),0.86)</f>
        <v>0.86</v>
      </c>
      <c r="BT34" s="110">
        <f>IFERROR(__xludf.DUMMYFUNCTION("""COMPUTED_VALUE"""),49.41)</f>
        <v>49.41</v>
      </c>
      <c r="BU34" s="110">
        <f>IFERROR(__xludf.DUMMYFUNCTION("""COMPUTED_VALUE"""),38.25)</f>
        <v>38.25</v>
      </c>
      <c r="BV34" s="110">
        <f>IFERROR(__xludf.DUMMYFUNCTION("""COMPUTED_VALUE"""),52.05)</f>
        <v>52.05</v>
      </c>
      <c r="BW34" s="110">
        <f>IFERROR(__xludf.DUMMYFUNCTION("""COMPUTED_VALUE"""),7.16)</f>
        <v>7.16</v>
      </c>
      <c r="BX34" s="110">
        <f>IFERROR(__xludf.DUMMYFUNCTION("""COMPUTED_VALUE"""),5.83)</f>
        <v>5.83</v>
      </c>
      <c r="BY34" s="110">
        <f>IFERROR(__xludf.DUMMYFUNCTION("""COMPUTED_VALUE"""),0.0)</f>
        <v>0</v>
      </c>
      <c r="BZ34" s="110">
        <f>IFERROR(__xludf.DUMMYFUNCTION("""COMPUTED_VALUE"""),14.74)</f>
        <v>14.74</v>
      </c>
      <c r="CA34" s="110">
        <f>IFERROR(__xludf.DUMMYFUNCTION("""COMPUTED_VALUE"""),3.9)</f>
        <v>3.9</v>
      </c>
      <c r="CB34" s="110">
        <f>IFERROR(__xludf.DUMMYFUNCTION("""COMPUTED_VALUE"""),6.16)</f>
        <v>6.16</v>
      </c>
      <c r="CC34" s="110">
        <f>IFERROR(__xludf.DUMMYFUNCTION("""COMPUTED_VALUE"""),20.07)</f>
        <v>20.07</v>
      </c>
      <c r="CD34" s="110">
        <f>IFERROR(__xludf.DUMMYFUNCTION("""COMPUTED_VALUE"""),16.79)</f>
        <v>16.79</v>
      </c>
      <c r="CE34" s="110">
        <f>IFERROR(__xludf.DUMMYFUNCTION("""COMPUTED_VALUE"""),34.81)</f>
        <v>34.81</v>
      </c>
      <c r="CF34" s="110">
        <f>IFERROR(__xludf.DUMMYFUNCTION("""COMPUTED_VALUE"""),115.0)</f>
        <v>115</v>
      </c>
      <c r="CG34" s="110">
        <f>IFERROR(__xludf.DUMMYFUNCTION("""COMPUTED_VALUE"""),5.89)</f>
        <v>5.89</v>
      </c>
      <c r="CH34" s="110">
        <f>IFERROR(__xludf.DUMMYFUNCTION("""COMPUTED_VALUE"""),24.2)</f>
        <v>24.2</v>
      </c>
      <c r="CI34" s="110">
        <f>IFERROR(__xludf.DUMMYFUNCTION("""COMPUTED_VALUE"""),53.46)</f>
        <v>53.46</v>
      </c>
      <c r="CJ34" s="110">
        <f>IFERROR(__xludf.DUMMYFUNCTION("""COMPUTED_VALUE"""),26.75)</f>
        <v>26.75</v>
      </c>
      <c r="CK34" s="110">
        <f>IFERROR(__xludf.DUMMYFUNCTION("""COMPUTED_VALUE"""),14.17)</f>
        <v>14.17</v>
      </c>
      <c r="CL34" s="110">
        <f>IFERROR(__xludf.DUMMYFUNCTION("""COMPUTED_VALUE"""),2638.13)</f>
        <v>2638.13</v>
      </c>
      <c r="CM34" s="110">
        <f>IFERROR(__xludf.DUMMYFUNCTION("""COMPUTED_VALUE"""),3.29)</f>
        <v>3.29</v>
      </c>
      <c r="CN34" s="110">
        <f>IFERROR(__xludf.DUMMYFUNCTION("""COMPUTED_VALUE"""),207.4)</f>
        <v>207.4</v>
      </c>
      <c r="CO34" s="110">
        <f>IFERROR(__xludf.DUMMYFUNCTION("""COMPUTED_VALUE"""),149.0)</f>
        <v>149</v>
      </c>
      <c r="CP34" s="110">
        <f>IFERROR(__xludf.DUMMYFUNCTION("""COMPUTED_VALUE"""),60.23)</f>
        <v>60.23</v>
      </c>
      <c r="CQ34" s="110">
        <f>IFERROR(__xludf.DUMMYFUNCTION("""COMPUTED_VALUE"""),71500.0)</f>
        <v>71500</v>
      </c>
      <c r="CR34" s="110">
        <f>IFERROR(__xludf.DUMMYFUNCTION("""COMPUTED_VALUE"""),0.52)</f>
        <v>0.52</v>
      </c>
      <c r="CS34" s="110">
        <f>IFERROR(__xludf.DUMMYFUNCTION("""COMPUTED_VALUE"""),38.27)</f>
        <v>38.27</v>
      </c>
      <c r="CT34" s="110">
        <f>IFERROR(__xludf.DUMMYFUNCTION("""COMPUTED_VALUE"""),22.06)</f>
        <v>22.06</v>
      </c>
      <c r="CU34" s="110">
        <f>IFERROR(__xludf.DUMMYFUNCTION("""COMPUTED_VALUE"""),1974.9)</f>
        <v>1974.9</v>
      </c>
      <c r="CV34" s="110">
        <f>IFERROR(__xludf.DUMMYFUNCTION("""COMPUTED_VALUE"""),2.92)</f>
        <v>2.92</v>
      </c>
      <c r="CW34" s="110">
        <f>IFERROR(__xludf.DUMMYFUNCTION("""COMPUTED_VALUE"""),3.32)</f>
        <v>3.32</v>
      </c>
      <c r="CX34" s="110">
        <f>IFERROR(__xludf.DUMMYFUNCTION("""COMPUTED_VALUE"""),9.5)</f>
        <v>9.5</v>
      </c>
      <c r="CY34" s="110">
        <f>IFERROR(__xludf.DUMMYFUNCTION("""COMPUTED_VALUE"""),0.08)</f>
        <v>0.08</v>
      </c>
      <c r="CZ34" s="110">
        <f>IFERROR(__xludf.DUMMYFUNCTION("""COMPUTED_VALUE"""),76.65)</f>
        <v>76.65</v>
      </c>
      <c r="DA34" s="110">
        <f>IFERROR(__xludf.DUMMYFUNCTION("""COMPUTED_VALUE"""),0.36)</f>
        <v>0.36</v>
      </c>
      <c r="DB34" s="110">
        <f>IFERROR(__xludf.DUMMYFUNCTION("""COMPUTED_VALUE"""),0.24)</f>
        <v>0.24</v>
      </c>
      <c r="DC34" s="108"/>
      <c r="DD34" s="108"/>
      <c r="DE34" s="108"/>
      <c r="DF34" s="108"/>
      <c r="DG34" s="108"/>
      <c r="DH34" s="108"/>
      <c r="DI34" s="108"/>
      <c r="DJ34" s="108"/>
      <c r="DK34" s="108"/>
      <c r="DL34" s="108"/>
      <c r="DM34" s="108"/>
      <c r="DN34" s="108"/>
      <c r="DO34" s="108"/>
      <c r="DP34" s="108"/>
      <c r="DQ34" s="108"/>
      <c r="DR34" s="108"/>
      <c r="DS34" s="108"/>
      <c r="DT34" s="108"/>
      <c r="DU34" s="108"/>
      <c r="DV34" s="108"/>
      <c r="DW34" s="108"/>
      <c r="DX34" s="108"/>
      <c r="DY34" s="108"/>
      <c r="DZ34" s="108"/>
      <c r="EA34" s="108"/>
      <c r="EB34" s="108"/>
      <c r="EC34" s="108"/>
      <c r="ED34" s="108"/>
      <c r="EE34" s="108"/>
      <c r="EF34" s="108"/>
      <c r="EG34" s="108"/>
      <c r="EH34" s="108"/>
      <c r="EI34" s="108"/>
      <c r="EJ34" s="108"/>
      <c r="EK34" s="108"/>
      <c r="EL34" s="108"/>
      <c r="EM34" s="108"/>
      <c r="EN34" s="108"/>
      <c r="EO34" s="108"/>
      <c r="EP34" s="108"/>
      <c r="EQ34" s="108"/>
      <c r="ER34" s="108"/>
      <c r="ES34" s="108"/>
      <c r="ET34" s="108"/>
      <c r="EU34" s="108"/>
      <c r="EV34" s="108"/>
      <c r="EW34" s="108"/>
      <c r="EX34" s="108"/>
      <c r="EY34" s="108"/>
      <c r="EZ34" s="108"/>
      <c r="FA34" s="108"/>
      <c r="FB34" s="108"/>
      <c r="FC34" s="108"/>
      <c r="FD34" s="108"/>
      <c r="FE34" s="108"/>
      <c r="FF34" s="108"/>
      <c r="FG34" s="108"/>
      <c r="FH34" s="108"/>
      <c r="FI34" s="108"/>
      <c r="FJ34" s="108"/>
      <c r="FK34" s="108"/>
      <c r="FL34" s="108"/>
      <c r="FM34" s="108"/>
      <c r="FN34" s="108"/>
      <c r="FO34" s="108"/>
    </row>
    <row r="35">
      <c r="A35" s="106">
        <f>IFERROR(__xludf.DUMMYFUNCTION("""COMPUTED_VALUE"""),44627.0)</f>
        <v>44627</v>
      </c>
      <c r="B35" s="110">
        <f>IFERROR(__xludf.DUMMYFUNCTION("""COMPUTED_VALUE"""),2749.06)</f>
        <v>2749.06</v>
      </c>
      <c r="C35" s="110">
        <f>IFERROR(__xludf.DUMMYFUNCTION("""COMPUTED_VALUE"""),187.47)</f>
        <v>187.47</v>
      </c>
      <c r="D35" s="110">
        <f>IFERROR(__xludf.DUMMYFUNCTION("""COMPUTED_VALUE"""),804.58)</f>
        <v>804.58</v>
      </c>
      <c r="E35" s="110">
        <f>IFERROR(__xludf.DUMMYFUNCTION("""COMPUTED_VALUE"""),388.0)</f>
        <v>388</v>
      </c>
      <c r="F35" s="110">
        <f>IFERROR(__xludf.DUMMYFUNCTION("""COMPUTED_VALUE"""),10.66)</f>
        <v>10.66</v>
      </c>
      <c r="G35" s="110">
        <f>IFERROR(__xludf.DUMMYFUNCTION("""COMPUTED_VALUE"""),159.3)</f>
        <v>159.3</v>
      </c>
      <c r="H35" s="110">
        <f>IFERROR(__xludf.DUMMYFUNCTION("""COMPUTED_VALUE"""),15.51)</f>
        <v>15.51</v>
      </c>
      <c r="I35" s="110">
        <f>IFERROR(__xludf.DUMMYFUNCTION("""COMPUTED_VALUE"""),23.17)</f>
        <v>23.17</v>
      </c>
      <c r="J35" s="110">
        <f>IFERROR(__xludf.DUMMYFUNCTION("""COMPUTED_VALUE"""),0.09)</f>
        <v>0.09</v>
      </c>
      <c r="K35" s="110">
        <f>IFERROR(__xludf.DUMMYFUNCTION("""COMPUTED_VALUE"""),38.8)</f>
        <v>38.8</v>
      </c>
      <c r="L35" s="110">
        <f>IFERROR(__xludf.DUMMYFUNCTION("""COMPUTED_VALUE"""),146.2)</f>
        <v>146.2</v>
      </c>
      <c r="M35" s="110">
        <f>IFERROR(__xludf.DUMMYFUNCTION("""COMPUTED_VALUE"""),38251.35)</f>
        <v>38251.35</v>
      </c>
      <c r="N35" s="110">
        <f>IFERROR(__xludf.DUMMYFUNCTION("""COMPUTED_VALUE"""),350.26)</f>
        <v>350.26</v>
      </c>
      <c r="O35" s="110">
        <f>IFERROR(__xludf.DUMMYFUNCTION("""COMPUTED_VALUE"""),278.91)</f>
        <v>278.91</v>
      </c>
      <c r="P35" s="110">
        <f>IFERROR(__xludf.DUMMYFUNCTION("""COMPUTED_VALUE"""),16.23)</f>
        <v>16.23</v>
      </c>
      <c r="Q35" s="110">
        <f>IFERROR(__xludf.DUMMYFUNCTION("""COMPUTED_VALUE"""),23.99)</f>
        <v>23.99</v>
      </c>
      <c r="R35" s="110">
        <f>IFERROR(__xludf.DUMMYFUNCTION("""COMPUTED_VALUE"""),60.52)</f>
        <v>60.52</v>
      </c>
      <c r="S35" s="110">
        <f>IFERROR(__xludf.DUMMYFUNCTION("""COMPUTED_VALUE"""),24.67)</f>
        <v>24.67</v>
      </c>
      <c r="T35" s="110">
        <f>IFERROR(__xludf.DUMMYFUNCTION("""COMPUTED_VALUE"""),27.21)</f>
        <v>27.21</v>
      </c>
      <c r="U35" s="110">
        <f>IFERROR(__xludf.DUMMYFUNCTION("""COMPUTED_VALUE"""),37.48)</f>
        <v>37.48</v>
      </c>
      <c r="V35" s="110">
        <f>IFERROR(__xludf.DUMMYFUNCTION("""COMPUTED_VALUE"""),16.58)</f>
        <v>16.58</v>
      </c>
      <c r="W35" s="110">
        <f>IFERROR(__xludf.DUMMYFUNCTION("""COMPUTED_VALUE"""),224.33)</f>
        <v>224.33</v>
      </c>
      <c r="X35" s="110">
        <f>IFERROR(__xludf.DUMMYFUNCTION("""COMPUTED_VALUE"""),2529.29)</f>
        <v>2529.29</v>
      </c>
      <c r="Y35" s="110">
        <f>IFERROR(__xludf.DUMMYFUNCTION("""COMPUTED_VALUE"""),55.05)</f>
        <v>55.05</v>
      </c>
      <c r="Z35" s="110">
        <f>IFERROR(__xludf.DUMMYFUNCTION("""COMPUTED_VALUE"""),56.25)</f>
        <v>56.25</v>
      </c>
      <c r="AA35" s="110">
        <f>IFERROR(__xludf.DUMMYFUNCTION("""COMPUTED_VALUE"""),92.16)</f>
        <v>92.16</v>
      </c>
      <c r="AB35" s="110">
        <f>IFERROR(__xludf.DUMMYFUNCTION("""COMPUTED_VALUE"""),4.53)</f>
        <v>4.53</v>
      </c>
      <c r="AC35" s="110">
        <f>IFERROR(__xludf.DUMMYFUNCTION("""COMPUTED_VALUE"""),76.34)</f>
        <v>76.34</v>
      </c>
      <c r="AD35" s="110">
        <f>IFERROR(__xludf.DUMMYFUNCTION("""COMPUTED_VALUE"""),11.9)</f>
        <v>11.9</v>
      </c>
      <c r="AE35" s="110">
        <f>IFERROR(__xludf.DUMMYFUNCTION("""COMPUTED_VALUE"""),5.83)</f>
        <v>5.83</v>
      </c>
      <c r="AF35" s="110">
        <f>IFERROR(__xludf.DUMMYFUNCTION("""COMPUTED_VALUE"""),41.05)</f>
        <v>41.05</v>
      </c>
      <c r="AG35" s="110">
        <f>IFERROR(__xludf.DUMMYFUNCTION("""COMPUTED_VALUE"""),12.88)</f>
        <v>12.88</v>
      </c>
      <c r="AH35" s="110">
        <f>IFERROR(__xludf.DUMMYFUNCTION("""COMPUTED_VALUE"""),1.97)</f>
        <v>1.97</v>
      </c>
      <c r="AI35" s="110">
        <f>IFERROR(__xludf.DUMMYFUNCTION("""COMPUTED_VALUE"""),3.38)</f>
        <v>3.38</v>
      </c>
      <c r="AJ35" s="110">
        <f>IFERROR(__xludf.DUMMYFUNCTION("""COMPUTED_VALUE"""),108.8)</f>
        <v>108.8</v>
      </c>
      <c r="AK35" s="110">
        <f>IFERROR(__xludf.DUMMYFUNCTION("""COMPUTED_VALUE"""),213.52)</f>
        <v>213.52</v>
      </c>
      <c r="AL35" s="110">
        <f>IFERROR(__xludf.DUMMYFUNCTION("""COMPUTED_VALUE"""),13.68)</f>
        <v>13.68</v>
      </c>
      <c r="AM35" s="110">
        <f>IFERROR(__xludf.DUMMYFUNCTION("""COMPUTED_VALUE"""),38.34)</f>
        <v>38.34</v>
      </c>
      <c r="AN35" s="110">
        <f>IFERROR(__xludf.DUMMYFUNCTION("""COMPUTED_VALUE"""),322.72)</f>
        <v>322.72</v>
      </c>
      <c r="AO35" s="110">
        <f>IFERROR(__xludf.DUMMYFUNCTION("""COMPUTED_VALUE"""),95.82)</f>
        <v>95.82</v>
      </c>
      <c r="AP35" s="110">
        <f>IFERROR(__xludf.DUMMYFUNCTION("""COMPUTED_VALUE"""),80.55)</f>
        <v>80.55</v>
      </c>
      <c r="AQ35" s="110">
        <f>IFERROR(__xludf.DUMMYFUNCTION("""COMPUTED_VALUE"""),48.85)</f>
        <v>48.85</v>
      </c>
      <c r="AR35" s="109">
        <f>IFERROR(__xludf.DUMMYFUNCTION("""COMPUTED_VALUE"""),104.75800000000001)</f>
        <v>104.758</v>
      </c>
      <c r="AS35" s="110">
        <f>IFERROR(__xludf.DUMMYFUNCTION("""COMPUTED_VALUE"""),22.4)</f>
        <v>22.4</v>
      </c>
      <c r="AT35" s="110">
        <f>IFERROR(__xludf.DUMMYFUNCTION("""COMPUTED_VALUE"""),96.0)</f>
        <v>96</v>
      </c>
      <c r="AU35" s="110">
        <f>IFERROR(__xludf.DUMMYFUNCTION("""COMPUTED_VALUE"""),61.58)</f>
        <v>61.58</v>
      </c>
      <c r="AV35" s="110">
        <f>IFERROR(__xludf.DUMMYFUNCTION("""COMPUTED_VALUE"""),133.5)</f>
        <v>133.5</v>
      </c>
      <c r="AW35" s="110">
        <f>IFERROR(__xludf.DUMMYFUNCTION("""COMPUTED_VALUE"""),119.22)</f>
        <v>119.22</v>
      </c>
      <c r="AX35" s="110">
        <f>IFERROR(__xludf.DUMMYFUNCTION("""COMPUTED_VALUE"""),23.5)</f>
        <v>23.5</v>
      </c>
      <c r="AY35" s="110">
        <f>IFERROR(__xludf.DUMMYFUNCTION("""COMPUTED_VALUE"""),41.3)</f>
        <v>41.3</v>
      </c>
      <c r="AZ35" s="110">
        <f>IFERROR(__xludf.DUMMYFUNCTION("""COMPUTED_VALUE"""),0.0)</f>
        <v>0</v>
      </c>
      <c r="BA35" s="110">
        <f>IFERROR(__xludf.DUMMYFUNCTION("""COMPUTED_VALUE"""),0.0)</f>
        <v>0</v>
      </c>
      <c r="BB35" s="110">
        <f>IFERROR(__xludf.DUMMYFUNCTION("""COMPUTED_VALUE"""),12.1)</f>
        <v>12.1</v>
      </c>
      <c r="BC35" s="110">
        <f>IFERROR(__xludf.DUMMYFUNCTION("""COMPUTED_VALUE"""),26.65)</f>
        <v>26.65</v>
      </c>
      <c r="BD35" s="110">
        <f>IFERROR(__xludf.DUMMYFUNCTION("""COMPUTED_VALUE"""),187.2)</f>
        <v>187.2</v>
      </c>
      <c r="BE35" s="110">
        <f>IFERROR(__xludf.DUMMYFUNCTION("""COMPUTED_VALUE"""),132.3)</f>
        <v>132.3</v>
      </c>
      <c r="BF35" s="110">
        <f>IFERROR(__xludf.DUMMYFUNCTION("""COMPUTED_VALUE"""),12.28)</f>
        <v>12.28</v>
      </c>
      <c r="BG35" s="110">
        <f>IFERROR(__xludf.DUMMYFUNCTION("""COMPUTED_VALUE"""),533.51)</f>
        <v>533.51</v>
      </c>
      <c r="BH35" s="110">
        <f>IFERROR(__xludf.DUMMYFUNCTION("""COMPUTED_VALUE"""),244.24)</f>
        <v>244.24</v>
      </c>
      <c r="BI35" s="110">
        <f>IFERROR(__xludf.DUMMYFUNCTION("""COMPUTED_VALUE"""),234.36)</f>
        <v>234.36</v>
      </c>
      <c r="BJ35" s="110">
        <f>IFERROR(__xludf.DUMMYFUNCTION("""COMPUTED_VALUE"""),23.17)</f>
        <v>23.17</v>
      </c>
      <c r="BK35" s="110">
        <f>IFERROR(__xludf.DUMMYFUNCTION("""COMPUTED_VALUE"""),295.46)</f>
        <v>295.46</v>
      </c>
      <c r="BL35" s="110">
        <f>IFERROR(__xludf.DUMMYFUNCTION("""COMPUTED_VALUE"""),122.31)</f>
        <v>122.31</v>
      </c>
      <c r="BM35" s="110">
        <f>IFERROR(__xludf.DUMMYFUNCTION("""COMPUTED_VALUE"""),15.97)</f>
        <v>15.97</v>
      </c>
      <c r="BN35" s="110">
        <f>IFERROR(__xludf.DUMMYFUNCTION("""COMPUTED_VALUE"""),346.09)</f>
        <v>346.09</v>
      </c>
      <c r="BO35" s="110">
        <f>IFERROR(__xludf.DUMMYFUNCTION("""COMPUTED_VALUE"""),609.4)</f>
        <v>609.4</v>
      </c>
      <c r="BP35" s="110">
        <f>IFERROR(__xludf.DUMMYFUNCTION("""COMPUTED_VALUE"""),42.43)</f>
        <v>42.43</v>
      </c>
      <c r="BQ35" s="110">
        <f>IFERROR(__xludf.DUMMYFUNCTION("""COMPUTED_VALUE"""),9.62)</f>
        <v>9.62</v>
      </c>
      <c r="BR35" s="110">
        <f>IFERROR(__xludf.DUMMYFUNCTION("""COMPUTED_VALUE"""),29.58)</f>
        <v>29.58</v>
      </c>
      <c r="BS35" s="110">
        <f>IFERROR(__xludf.DUMMYFUNCTION("""COMPUTED_VALUE"""),0.83)</f>
        <v>0.83</v>
      </c>
      <c r="BT35" s="110">
        <f>IFERROR(__xludf.DUMMYFUNCTION("""COMPUTED_VALUE"""),46.42)</f>
        <v>46.42</v>
      </c>
      <c r="BU35" s="110">
        <f>IFERROR(__xludf.DUMMYFUNCTION("""COMPUTED_VALUE"""),37.8)</f>
        <v>37.8</v>
      </c>
      <c r="BV35" s="110">
        <f>IFERROR(__xludf.DUMMYFUNCTION("""COMPUTED_VALUE"""),51.6)</f>
        <v>51.6</v>
      </c>
      <c r="BW35" s="110">
        <f>IFERROR(__xludf.DUMMYFUNCTION("""COMPUTED_VALUE"""),6.83)</f>
        <v>6.83</v>
      </c>
      <c r="BX35" s="110">
        <f>IFERROR(__xludf.DUMMYFUNCTION("""COMPUTED_VALUE"""),5.19)</f>
        <v>5.19</v>
      </c>
      <c r="BY35" s="110">
        <f>IFERROR(__xludf.DUMMYFUNCTION("""COMPUTED_VALUE"""),0.0)</f>
        <v>0</v>
      </c>
      <c r="BZ35" s="110">
        <f>IFERROR(__xludf.DUMMYFUNCTION("""COMPUTED_VALUE"""),15.6)</f>
        <v>15.6</v>
      </c>
      <c r="CA35" s="110">
        <f>IFERROR(__xludf.DUMMYFUNCTION("""COMPUTED_VALUE"""),3.8)</f>
        <v>3.8</v>
      </c>
      <c r="CB35" s="110">
        <f>IFERROR(__xludf.DUMMYFUNCTION("""COMPUTED_VALUE"""),6.16)</f>
        <v>6.16</v>
      </c>
      <c r="CC35" s="110">
        <f>IFERROR(__xludf.DUMMYFUNCTION("""COMPUTED_VALUE"""),21.49)</f>
        <v>21.49</v>
      </c>
      <c r="CD35" s="110">
        <f>IFERROR(__xludf.DUMMYFUNCTION("""COMPUTED_VALUE"""),16.9)</f>
        <v>16.9</v>
      </c>
      <c r="CE35" s="110">
        <f>IFERROR(__xludf.DUMMYFUNCTION("""COMPUTED_VALUE"""),35.07)</f>
        <v>35.07</v>
      </c>
      <c r="CF35" s="110">
        <f>IFERROR(__xludf.DUMMYFUNCTION("""COMPUTED_VALUE"""),120.3)</f>
        <v>120.3</v>
      </c>
      <c r="CG35" s="110">
        <f>IFERROR(__xludf.DUMMYFUNCTION("""COMPUTED_VALUE"""),5.94)</f>
        <v>5.94</v>
      </c>
      <c r="CH35" s="110">
        <f>IFERROR(__xludf.DUMMYFUNCTION("""COMPUTED_VALUE"""),24.86)</f>
        <v>24.86</v>
      </c>
      <c r="CI35" s="110">
        <f>IFERROR(__xludf.DUMMYFUNCTION("""COMPUTED_VALUE"""),55.25)</f>
        <v>55.25</v>
      </c>
      <c r="CJ35" s="110">
        <f>IFERROR(__xludf.DUMMYFUNCTION("""COMPUTED_VALUE"""),26.75)</f>
        <v>26.75</v>
      </c>
      <c r="CK35" s="110">
        <f>IFERROR(__xludf.DUMMYFUNCTION("""COMPUTED_VALUE"""),13.67)</f>
        <v>13.67</v>
      </c>
      <c r="CL35" s="110">
        <f>IFERROR(__xludf.DUMMYFUNCTION("""COMPUTED_VALUE"""),2527.57)</f>
        <v>2527.57</v>
      </c>
      <c r="CM35" s="110">
        <f>IFERROR(__xludf.DUMMYFUNCTION("""COMPUTED_VALUE"""),5.1)</f>
        <v>5.1</v>
      </c>
      <c r="CN35" s="110">
        <f>IFERROR(__xludf.DUMMYFUNCTION("""COMPUTED_VALUE"""),187.1)</f>
        <v>187.1</v>
      </c>
      <c r="CO35" s="110">
        <f>IFERROR(__xludf.DUMMYFUNCTION("""COMPUTED_VALUE"""),140.2)</f>
        <v>140.2</v>
      </c>
      <c r="CP35" s="110">
        <f>IFERROR(__xludf.DUMMYFUNCTION("""COMPUTED_VALUE"""),58.05)</f>
        <v>58.05</v>
      </c>
      <c r="CQ35" s="110">
        <f>IFERROR(__xludf.DUMMYFUNCTION("""COMPUTED_VALUE"""),69700.0)</f>
        <v>69700</v>
      </c>
      <c r="CR35" s="110">
        <f>IFERROR(__xludf.DUMMYFUNCTION("""COMPUTED_VALUE"""),0.52)</f>
        <v>0.52</v>
      </c>
      <c r="CS35" s="110">
        <f>IFERROR(__xludf.DUMMYFUNCTION("""COMPUTED_VALUE"""),36.16)</f>
        <v>36.16</v>
      </c>
      <c r="CT35" s="110">
        <f>IFERROR(__xludf.DUMMYFUNCTION("""COMPUTED_VALUE"""),21.22)</f>
        <v>21.22</v>
      </c>
      <c r="CU35" s="110">
        <f>IFERROR(__xludf.DUMMYFUNCTION("""COMPUTED_VALUE"""),1996.8)</f>
        <v>1996.8</v>
      </c>
      <c r="CV35" s="110">
        <f>IFERROR(__xludf.DUMMYFUNCTION("""COMPUTED_VALUE"""),2.73)</f>
        <v>2.73</v>
      </c>
      <c r="CW35" s="110">
        <f>IFERROR(__xludf.DUMMYFUNCTION("""COMPUTED_VALUE"""),3.33)</f>
        <v>3.33</v>
      </c>
      <c r="CX35" s="110">
        <f>IFERROR(__xludf.DUMMYFUNCTION("""COMPUTED_VALUE"""),12.19)</f>
        <v>12.19</v>
      </c>
      <c r="CY35" s="110">
        <f>IFERROR(__xludf.DUMMYFUNCTION("""COMPUTED_VALUE"""),0.08)</f>
        <v>0.08</v>
      </c>
      <c r="CZ35" s="110">
        <f>IFERROR(__xludf.DUMMYFUNCTION("""COMPUTED_VALUE"""),75.45)</f>
        <v>75.45</v>
      </c>
      <c r="DA35" s="110">
        <f>IFERROR(__xludf.DUMMYFUNCTION("""COMPUTED_VALUE"""),0.74)</f>
        <v>0.74</v>
      </c>
      <c r="DB35" s="110">
        <f>IFERROR(__xludf.DUMMYFUNCTION("""COMPUTED_VALUE"""),0.2)</f>
        <v>0.2</v>
      </c>
      <c r="DC35" s="110">
        <f>IFERROR(__xludf.DUMMYFUNCTION("""COMPUTED_VALUE"""),144.27)</f>
        <v>144.27</v>
      </c>
      <c r="DD35" s="110">
        <f>IFERROR(__xludf.DUMMYFUNCTION("""COMPUTED_VALUE"""),11.09)</f>
        <v>11.09</v>
      </c>
      <c r="DE35" s="110">
        <f>IFERROR(__xludf.DUMMYFUNCTION("""COMPUTED_VALUE"""),7.95)</f>
        <v>7.95</v>
      </c>
      <c r="DF35" s="110">
        <f>IFERROR(__xludf.DUMMYFUNCTION("""COMPUTED_VALUE"""),52.5)</f>
        <v>52.5</v>
      </c>
      <c r="DG35" s="110">
        <f>IFERROR(__xludf.DUMMYFUNCTION("""COMPUTED_VALUE"""),6.15)</f>
        <v>6.15</v>
      </c>
      <c r="DH35" s="110">
        <f>IFERROR(__xludf.DUMMYFUNCTION("""COMPUTED_VALUE"""),13.18)</f>
        <v>13.18</v>
      </c>
      <c r="DI35" s="110">
        <f>IFERROR(__xludf.DUMMYFUNCTION("""COMPUTED_VALUE"""),141.67)</f>
        <v>141.67</v>
      </c>
      <c r="DJ35" s="108"/>
      <c r="DK35" s="108"/>
      <c r="DL35" s="108"/>
      <c r="DM35" s="108"/>
      <c r="DN35" s="108"/>
      <c r="DO35" s="108"/>
      <c r="DP35" s="108"/>
      <c r="DQ35" s="108"/>
      <c r="DR35" s="108"/>
      <c r="DS35" s="108"/>
      <c r="DT35" s="108"/>
      <c r="DU35" s="108"/>
      <c r="DV35" s="108"/>
      <c r="DW35" s="108"/>
      <c r="DX35" s="108"/>
      <c r="DY35" s="108"/>
      <c r="DZ35" s="108"/>
      <c r="EA35" s="108"/>
      <c r="EB35" s="108"/>
      <c r="EC35" s="108"/>
      <c r="ED35" s="108"/>
      <c r="EE35" s="108"/>
      <c r="EF35" s="108"/>
      <c r="EG35" s="108"/>
      <c r="EH35" s="108"/>
      <c r="EI35" s="108"/>
      <c r="EJ35" s="108"/>
      <c r="EK35" s="108"/>
      <c r="EL35" s="108"/>
      <c r="EM35" s="108"/>
      <c r="EN35" s="108"/>
      <c r="EO35" s="108"/>
      <c r="EP35" s="108"/>
      <c r="EQ35" s="108"/>
      <c r="ER35" s="108"/>
      <c r="ES35" s="108"/>
      <c r="ET35" s="108"/>
      <c r="EU35" s="108"/>
      <c r="EV35" s="108"/>
      <c r="EW35" s="108"/>
      <c r="EX35" s="108"/>
      <c r="EY35" s="108"/>
      <c r="EZ35" s="108"/>
      <c r="FA35" s="108"/>
      <c r="FB35" s="108"/>
      <c r="FC35" s="108"/>
      <c r="FD35" s="108"/>
      <c r="FE35" s="108"/>
      <c r="FF35" s="108"/>
      <c r="FG35" s="108"/>
      <c r="FH35" s="108"/>
      <c r="FI35" s="108"/>
      <c r="FJ35" s="108"/>
      <c r="FK35" s="108"/>
      <c r="FL35" s="108"/>
      <c r="FM35" s="108"/>
      <c r="FN35" s="108"/>
      <c r="FO35" s="108"/>
    </row>
    <row r="36">
      <c r="A36" s="106">
        <f>IFERROR(__xludf.DUMMYFUNCTION("""COMPUTED_VALUE"""),44628.0)</f>
        <v>44628</v>
      </c>
      <c r="B36" s="110">
        <f>IFERROR(__xludf.DUMMYFUNCTION("""COMPUTED_VALUE"""),2720.29)</f>
        <v>2720.29</v>
      </c>
      <c r="C36" s="110">
        <f>IFERROR(__xludf.DUMMYFUNCTION("""COMPUTED_VALUE"""),190.29)</f>
        <v>190.29</v>
      </c>
      <c r="D36" s="110">
        <f>IFERROR(__xludf.DUMMYFUNCTION("""COMPUTED_VALUE"""),824.4)</f>
        <v>824.4</v>
      </c>
      <c r="E36" s="110">
        <f>IFERROR(__xludf.DUMMYFUNCTION("""COMPUTED_VALUE"""),383.2)</f>
        <v>383.2</v>
      </c>
      <c r="F36" s="110">
        <f>IFERROR(__xludf.DUMMYFUNCTION("""COMPUTED_VALUE"""),10.18)</f>
        <v>10.18</v>
      </c>
      <c r="G36" s="110">
        <f>IFERROR(__xludf.DUMMYFUNCTION("""COMPUTED_VALUE"""),157.44)</f>
        <v>157.44</v>
      </c>
      <c r="H36" s="110">
        <f>IFERROR(__xludf.DUMMYFUNCTION("""COMPUTED_VALUE"""),18.15)</f>
        <v>18.15</v>
      </c>
      <c r="I36" s="110">
        <f>IFERROR(__xludf.DUMMYFUNCTION("""COMPUTED_VALUE"""),19.36)</f>
        <v>19.36</v>
      </c>
      <c r="J36" s="110">
        <f>IFERROR(__xludf.DUMMYFUNCTION("""COMPUTED_VALUE"""),0.09)</f>
        <v>0.09</v>
      </c>
      <c r="K36" s="110">
        <f>IFERROR(__xludf.DUMMYFUNCTION("""COMPUTED_VALUE"""),37.6)</f>
        <v>37.6</v>
      </c>
      <c r="L36" s="110">
        <f>IFERROR(__xludf.DUMMYFUNCTION("""COMPUTED_VALUE"""),145.5)</f>
        <v>145.5</v>
      </c>
      <c r="M36" s="110">
        <f>IFERROR(__xludf.DUMMYFUNCTION("""COMPUTED_VALUE"""),39013.5)</f>
        <v>39013.5</v>
      </c>
      <c r="N36" s="110">
        <f>IFERROR(__xludf.DUMMYFUNCTION("""COMPUTED_VALUE"""),341.76)</f>
        <v>341.76</v>
      </c>
      <c r="O36" s="110">
        <f>IFERROR(__xludf.DUMMYFUNCTION("""COMPUTED_VALUE"""),275.85)</f>
        <v>275.85</v>
      </c>
      <c r="P36" s="110">
        <f>IFERROR(__xludf.DUMMYFUNCTION("""COMPUTED_VALUE"""),16.66)</f>
        <v>16.66</v>
      </c>
      <c r="Q36" s="110">
        <f>IFERROR(__xludf.DUMMYFUNCTION("""COMPUTED_VALUE"""),23.85)</f>
        <v>23.85</v>
      </c>
      <c r="R36" s="110">
        <f>IFERROR(__xludf.DUMMYFUNCTION("""COMPUTED_VALUE"""),58.69)</f>
        <v>58.69</v>
      </c>
      <c r="S36" s="110">
        <f>IFERROR(__xludf.DUMMYFUNCTION("""COMPUTED_VALUE"""),25.5)</f>
        <v>25.5</v>
      </c>
      <c r="T36" s="110">
        <f>IFERROR(__xludf.DUMMYFUNCTION("""COMPUTED_VALUE"""),25.98)</f>
        <v>25.98</v>
      </c>
      <c r="U36" s="110">
        <f>IFERROR(__xludf.DUMMYFUNCTION("""COMPUTED_VALUE"""),37.63)</f>
        <v>37.63</v>
      </c>
      <c r="V36" s="110">
        <f>IFERROR(__xludf.DUMMYFUNCTION("""COMPUTED_VALUE"""),15.77)</f>
        <v>15.77</v>
      </c>
      <c r="W36" s="110">
        <f>IFERROR(__xludf.DUMMYFUNCTION("""COMPUTED_VALUE"""),222.79)</f>
        <v>222.79</v>
      </c>
      <c r="X36" s="110">
        <f>IFERROR(__xludf.DUMMYFUNCTION("""COMPUTED_VALUE"""),2545.57)</f>
        <v>2545.57</v>
      </c>
      <c r="Y36" s="110">
        <f>IFERROR(__xludf.DUMMYFUNCTION("""COMPUTED_VALUE"""),53.95)</f>
        <v>53.95</v>
      </c>
      <c r="Z36" s="110">
        <f>IFERROR(__xludf.DUMMYFUNCTION("""COMPUTED_VALUE"""),55.9)</f>
        <v>55.9</v>
      </c>
      <c r="AA36" s="110">
        <f>IFERROR(__xludf.DUMMYFUNCTION("""COMPUTED_VALUE"""),92.15)</f>
        <v>92.15</v>
      </c>
      <c r="AB36" s="110">
        <f>IFERROR(__xludf.DUMMYFUNCTION("""COMPUTED_VALUE"""),4.52)</f>
        <v>4.52</v>
      </c>
      <c r="AC36" s="110">
        <f>IFERROR(__xludf.DUMMYFUNCTION("""COMPUTED_VALUE"""),77.54)</f>
        <v>77.54</v>
      </c>
      <c r="AD36" s="110">
        <f>IFERROR(__xludf.DUMMYFUNCTION("""COMPUTED_VALUE"""),11.57)</f>
        <v>11.57</v>
      </c>
      <c r="AE36" s="110">
        <f>IFERROR(__xludf.DUMMYFUNCTION("""COMPUTED_VALUE"""),5.52)</f>
        <v>5.52</v>
      </c>
      <c r="AF36" s="110">
        <f>IFERROR(__xludf.DUMMYFUNCTION("""COMPUTED_VALUE"""),39.6)</f>
        <v>39.6</v>
      </c>
      <c r="AG36" s="110">
        <f>IFERROR(__xludf.DUMMYFUNCTION("""COMPUTED_VALUE"""),12.26)</f>
        <v>12.26</v>
      </c>
      <c r="AH36" s="110">
        <f>IFERROR(__xludf.DUMMYFUNCTION("""COMPUTED_VALUE"""),1.97)</f>
        <v>1.97</v>
      </c>
      <c r="AI36" s="110">
        <f>IFERROR(__xludf.DUMMYFUNCTION("""COMPUTED_VALUE"""),3.23)</f>
        <v>3.23</v>
      </c>
      <c r="AJ36" s="110">
        <f>IFERROR(__xludf.DUMMYFUNCTION("""COMPUTED_VALUE"""),104.6)</f>
        <v>104.6</v>
      </c>
      <c r="AK36" s="110">
        <f>IFERROR(__xludf.DUMMYFUNCTION("""COMPUTED_VALUE"""),215.14)</f>
        <v>215.14</v>
      </c>
      <c r="AL36" s="110">
        <f>IFERROR(__xludf.DUMMYFUNCTION("""COMPUTED_VALUE"""),12.94)</f>
        <v>12.94</v>
      </c>
      <c r="AM36" s="110">
        <f>IFERROR(__xludf.DUMMYFUNCTION("""COMPUTED_VALUE"""),38.59)</f>
        <v>38.59</v>
      </c>
      <c r="AN36" s="110">
        <f>IFERROR(__xludf.DUMMYFUNCTION("""COMPUTED_VALUE"""),318.52)</f>
        <v>318.52</v>
      </c>
      <c r="AO36" s="110">
        <f>IFERROR(__xludf.DUMMYFUNCTION("""COMPUTED_VALUE"""),97.42)</f>
        <v>97.42</v>
      </c>
      <c r="AP36" s="110">
        <f>IFERROR(__xludf.DUMMYFUNCTION("""COMPUTED_VALUE"""),81.03)</f>
        <v>81.03</v>
      </c>
      <c r="AQ36" s="110">
        <f>IFERROR(__xludf.DUMMYFUNCTION("""COMPUTED_VALUE"""),48.7)</f>
        <v>48.7</v>
      </c>
      <c r="AR36" s="109">
        <f>IFERROR(__xludf.DUMMYFUNCTION("""COMPUTED_VALUE"""),104.449)</f>
        <v>104.449</v>
      </c>
      <c r="AS36" s="110">
        <f>IFERROR(__xludf.DUMMYFUNCTION("""COMPUTED_VALUE"""),22.01)</f>
        <v>22.01</v>
      </c>
      <c r="AT36" s="110">
        <f>IFERROR(__xludf.DUMMYFUNCTION("""COMPUTED_VALUE"""),96.9)</f>
        <v>96.9</v>
      </c>
      <c r="AU36" s="110">
        <f>IFERROR(__xludf.DUMMYFUNCTION("""COMPUTED_VALUE"""),60.72)</f>
        <v>60.72</v>
      </c>
      <c r="AV36" s="110">
        <f>IFERROR(__xludf.DUMMYFUNCTION("""COMPUTED_VALUE"""),131.75)</f>
        <v>131.75</v>
      </c>
      <c r="AW36" s="110">
        <f>IFERROR(__xludf.DUMMYFUNCTION("""COMPUTED_VALUE"""),124.15)</f>
        <v>124.15</v>
      </c>
      <c r="AX36" s="110">
        <f>IFERROR(__xludf.DUMMYFUNCTION("""COMPUTED_VALUE"""),20.7)</f>
        <v>20.7</v>
      </c>
      <c r="AY36" s="110">
        <f>IFERROR(__xludf.DUMMYFUNCTION("""COMPUTED_VALUE"""),41.91)</f>
        <v>41.91</v>
      </c>
      <c r="AZ36" s="110">
        <f>IFERROR(__xludf.DUMMYFUNCTION("""COMPUTED_VALUE"""),0.0)</f>
        <v>0</v>
      </c>
      <c r="BA36" s="110">
        <f>IFERROR(__xludf.DUMMYFUNCTION("""COMPUTED_VALUE"""),0.0)</f>
        <v>0</v>
      </c>
      <c r="BB36" s="110">
        <f>IFERROR(__xludf.DUMMYFUNCTION("""COMPUTED_VALUE"""),11.2)</f>
        <v>11.2</v>
      </c>
      <c r="BC36" s="110">
        <f>IFERROR(__xludf.DUMMYFUNCTION("""COMPUTED_VALUE"""),15.25)</f>
        <v>15.25</v>
      </c>
      <c r="BD36" s="110">
        <f>IFERROR(__xludf.DUMMYFUNCTION("""COMPUTED_VALUE"""),172.7)</f>
        <v>172.7</v>
      </c>
      <c r="BE36" s="110">
        <f>IFERROR(__xludf.DUMMYFUNCTION("""COMPUTED_VALUE"""),129.3)</f>
        <v>129.3</v>
      </c>
      <c r="BF36" s="110">
        <f>IFERROR(__xludf.DUMMYFUNCTION("""COMPUTED_VALUE"""),10.24)</f>
        <v>10.24</v>
      </c>
      <c r="BG36" s="110">
        <f>IFERROR(__xludf.DUMMYFUNCTION("""COMPUTED_VALUE"""),525.15)</f>
        <v>525.15</v>
      </c>
      <c r="BH36" s="110">
        <f>IFERROR(__xludf.DUMMYFUNCTION("""COMPUTED_VALUE"""),240.95)</f>
        <v>240.95</v>
      </c>
      <c r="BI36" s="110">
        <f>IFERROR(__xludf.DUMMYFUNCTION("""COMPUTED_VALUE"""),231.1)</f>
        <v>231.1</v>
      </c>
      <c r="BJ36" s="110">
        <f>IFERROR(__xludf.DUMMYFUNCTION("""COMPUTED_VALUE"""),24.24)</f>
        <v>24.24</v>
      </c>
      <c r="BK36" s="110">
        <f>IFERROR(__xludf.DUMMYFUNCTION("""COMPUTED_VALUE"""),296.35)</f>
        <v>296.35</v>
      </c>
      <c r="BL36" s="110">
        <f>IFERROR(__xludf.DUMMYFUNCTION("""COMPUTED_VALUE"""),119.28)</f>
        <v>119.28</v>
      </c>
      <c r="BM36" s="110">
        <f>IFERROR(__xludf.DUMMYFUNCTION("""COMPUTED_VALUE"""),16.03)</f>
        <v>16.03</v>
      </c>
      <c r="BN36" s="110">
        <f>IFERROR(__xludf.DUMMYFUNCTION("""COMPUTED_VALUE"""),338.0)</f>
        <v>338</v>
      </c>
      <c r="BO36" s="110">
        <f>IFERROR(__xludf.DUMMYFUNCTION("""COMPUTED_VALUE"""),618.755)</f>
        <v>618.755</v>
      </c>
      <c r="BP36" s="110">
        <f>IFERROR(__xludf.DUMMYFUNCTION("""COMPUTED_VALUE"""),42.21)</f>
        <v>42.21</v>
      </c>
      <c r="BQ36" s="110">
        <f>IFERROR(__xludf.DUMMYFUNCTION("""COMPUTED_VALUE"""),9.72)</f>
        <v>9.72</v>
      </c>
      <c r="BR36" s="110">
        <f>IFERROR(__xludf.DUMMYFUNCTION("""COMPUTED_VALUE"""),31.16)</f>
        <v>31.16</v>
      </c>
      <c r="BS36" s="110">
        <f>IFERROR(__xludf.DUMMYFUNCTION("""COMPUTED_VALUE"""),0.86)</f>
        <v>0.86</v>
      </c>
      <c r="BT36" s="110">
        <f>IFERROR(__xludf.DUMMYFUNCTION("""COMPUTED_VALUE"""),46.5)</f>
        <v>46.5</v>
      </c>
      <c r="BU36" s="110">
        <f>IFERROR(__xludf.DUMMYFUNCTION("""COMPUTED_VALUE"""),36.9)</f>
        <v>36.9</v>
      </c>
      <c r="BV36" s="110">
        <f>IFERROR(__xludf.DUMMYFUNCTION("""COMPUTED_VALUE"""),51.15)</f>
        <v>51.15</v>
      </c>
      <c r="BW36" s="110">
        <f>IFERROR(__xludf.DUMMYFUNCTION("""COMPUTED_VALUE"""),7.58)</f>
        <v>7.58</v>
      </c>
      <c r="BX36" s="110">
        <f>IFERROR(__xludf.DUMMYFUNCTION("""COMPUTED_VALUE"""),4.97)</f>
        <v>4.97</v>
      </c>
      <c r="BY36" s="110">
        <f>IFERROR(__xludf.DUMMYFUNCTION("""COMPUTED_VALUE"""),0.0)</f>
        <v>0</v>
      </c>
      <c r="BZ36" s="110">
        <f>IFERROR(__xludf.DUMMYFUNCTION("""COMPUTED_VALUE"""),15.32)</f>
        <v>15.32</v>
      </c>
      <c r="CA36" s="110">
        <f>IFERROR(__xludf.DUMMYFUNCTION("""COMPUTED_VALUE"""),3.64)</f>
        <v>3.64</v>
      </c>
      <c r="CB36" s="110">
        <f>IFERROR(__xludf.DUMMYFUNCTION("""COMPUTED_VALUE"""),5.94)</f>
        <v>5.94</v>
      </c>
      <c r="CC36" s="110">
        <f>IFERROR(__xludf.DUMMYFUNCTION("""COMPUTED_VALUE"""),21.18)</f>
        <v>21.18</v>
      </c>
      <c r="CD36" s="110">
        <f>IFERROR(__xludf.DUMMYFUNCTION("""COMPUTED_VALUE"""),16.46)</f>
        <v>16.46</v>
      </c>
      <c r="CE36" s="110">
        <f>IFERROR(__xludf.DUMMYFUNCTION("""COMPUTED_VALUE"""),31.7)</f>
        <v>31.7</v>
      </c>
      <c r="CF36" s="110">
        <f>IFERROR(__xludf.DUMMYFUNCTION("""COMPUTED_VALUE"""),124.88)</f>
        <v>124.88</v>
      </c>
      <c r="CG36" s="110">
        <f>IFERROR(__xludf.DUMMYFUNCTION("""COMPUTED_VALUE"""),5.82)</f>
        <v>5.82</v>
      </c>
      <c r="CH36" s="110">
        <f>IFERROR(__xludf.DUMMYFUNCTION("""COMPUTED_VALUE"""),25.36)</f>
        <v>25.36</v>
      </c>
      <c r="CI36" s="110">
        <f>IFERROR(__xludf.DUMMYFUNCTION("""COMPUTED_VALUE"""),54.7)</f>
        <v>54.7</v>
      </c>
      <c r="CJ36" s="110">
        <f>IFERROR(__xludf.DUMMYFUNCTION("""COMPUTED_VALUE"""),17.95)</f>
        <v>17.95</v>
      </c>
      <c r="CK36" s="110">
        <f>IFERROR(__xludf.DUMMYFUNCTION("""COMPUTED_VALUE"""),12.76)</f>
        <v>12.76</v>
      </c>
      <c r="CL36" s="110">
        <f>IFERROR(__xludf.DUMMYFUNCTION("""COMPUTED_VALUE"""),2542.09)</f>
        <v>2542.09</v>
      </c>
      <c r="CM36" s="110">
        <f>IFERROR(__xludf.DUMMYFUNCTION("""COMPUTED_VALUE"""),4.65)</f>
        <v>4.65</v>
      </c>
      <c r="CN36" s="110">
        <f>IFERROR(__xludf.DUMMYFUNCTION("""COMPUTED_VALUE"""),171.3)</f>
        <v>171.3</v>
      </c>
      <c r="CO36" s="110">
        <f>IFERROR(__xludf.DUMMYFUNCTION("""COMPUTED_VALUE"""),133.1)</f>
        <v>133.1</v>
      </c>
      <c r="CP36" s="110">
        <f>IFERROR(__xludf.DUMMYFUNCTION("""COMPUTED_VALUE"""),58.62)</f>
        <v>58.62</v>
      </c>
      <c r="CQ36" s="110">
        <f>IFERROR(__xludf.DUMMYFUNCTION("""COMPUTED_VALUE"""),69500.0)</f>
        <v>69500</v>
      </c>
      <c r="CR36" s="110">
        <f>IFERROR(__xludf.DUMMYFUNCTION("""COMPUTED_VALUE"""),0.52)</f>
        <v>0.52</v>
      </c>
      <c r="CS36" s="110">
        <f>IFERROR(__xludf.DUMMYFUNCTION("""COMPUTED_VALUE"""),36.94)</f>
        <v>36.94</v>
      </c>
      <c r="CT36" s="110">
        <f>IFERROR(__xludf.DUMMYFUNCTION("""COMPUTED_VALUE"""),20.88)</f>
        <v>20.88</v>
      </c>
      <c r="CU36" s="110">
        <f>IFERROR(__xludf.DUMMYFUNCTION("""COMPUTED_VALUE"""),2051.7)</f>
        <v>2051.7</v>
      </c>
      <c r="CV36" s="110">
        <f>IFERROR(__xludf.DUMMYFUNCTION("""COMPUTED_VALUE"""),2.65)</f>
        <v>2.65</v>
      </c>
      <c r="CW36" s="110">
        <f>IFERROR(__xludf.DUMMYFUNCTION("""COMPUTED_VALUE"""),3.05)</f>
        <v>3.05</v>
      </c>
      <c r="CX36" s="110">
        <f>IFERROR(__xludf.DUMMYFUNCTION("""COMPUTED_VALUE"""),14.6)</f>
        <v>14.6</v>
      </c>
      <c r="CY36" s="110">
        <f>IFERROR(__xludf.DUMMYFUNCTION("""COMPUTED_VALUE"""),0.05)</f>
        <v>0.05</v>
      </c>
      <c r="CZ36" s="110">
        <f>IFERROR(__xludf.DUMMYFUNCTION("""COMPUTED_VALUE"""),71.9)</f>
        <v>71.9</v>
      </c>
      <c r="DA36" s="110">
        <f>IFERROR(__xludf.DUMMYFUNCTION("""COMPUTED_VALUE"""),0.74)</f>
        <v>0.74</v>
      </c>
      <c r="DB36" s="110">
        <f>IFERROR(__xludf.DUMMYFUNCTION("""COMPUTED_VALUE"""),0.35)</f>
        <v>0.35</v>
      </c>
      <c r="DC36" s="110">
        <f>IFERROR(__xludf.DUMMYFUNCTION("""COMPUTED_VALUE"""),143.57)</f>
        <v>143.57</v>
      </c>
      <c r="DD36" s="110">
        <f>IFERROR(__xludf.DUMMYFUNCTION("""COMPUTED_VALUE"""),9.98)</f>
        <v>9.98</v>
      </c>
      <c r="DE36" s="110">
        <f>IFERROR(__xludf.DUMMYFUNCTION("""COMPUTED_VALUE"""),7.73)</f>
        <v>7.73</v>
      </c>
      <c r="DF36" s="110">
        <f>IFERROR(__xludf.DUMMYFUNCTION("""COMPUTED_VALUE"""),53.0)</f>
        <v>53</v>
      </c>
      <c r="DG36" s="110">
        <f>IFERROR(__xludf.DUMMYFUNCTION("""COMPUTED_VALUE"""),5.54)</f>
        <v>5.54</v>
      </c>
      <c r="DH36" s="110">
        <f>IFERROR(__xludf.DUMMYFUNCTION("""COMPUTED_VALUE"""),12.9)</f>
        <v>12.9</v>
      </c>
      <c r="DI36" s="110">
        <f>IFERROR(__xludf.DUMMYFUNCTION("""COMPUTED_VALUE"""),138.74)</f>
        <v>138.74</v>
      </c>
      <c r="DJ36" s="110">
        <f>IFERROR(__xludf.DUMMYFUNCTION("""COMPUTED_VALUE"""),10.89)</f>
        <v>10.89</v>
      </c>
      <c r="DK36" s="110">
        <f>IFERROR(__xludf.DUMMYFUNCTION("""COMPUTED_VALUE"""),1.85)</f>
        <v>1.85</v>
      </c>
      <c r="DL36" s="108"/>
      <c r="DM36" s="108"/>
      <c r="DN36" s="108"/>
      <c r="DO36" s="108"/>
      <c r="DP36" s="108"/>
      <c r="DQ36" s="108"/>
      <c r="DR36" s="108"/>
      <c r="DS36" s="108"/>
      <c r="DT36" s="108"/>
      <c r="DU36" s="108"/>
      <c r="DV36" s="108"/>
      <c r="DW36" s="108"/>
      <c r="DX36" s="108"/>
      <c r="DY36" s="108"/>
      <c r="DZ36" s="108"/>
      <c r="EA36" s="108"/>
      <c r="EB36" s="108"/>
      <c r="EC36" s="108"/>
      <c r="ED36" s="108"/>
      <c r="EE36" s="108"/>
      <c r="EF36" s="108"/>
      <c r="EG36" s="108"/>
      <c r="EH36" s="108"/>
      <c r="EI36" s="108"/>
      <c r="EJ36" s="108"/>
      <c r="EK36" s="108"/>
      <c r="EL36" s="108"/>
      <c r="EM36" s="108"/>
      <c r="EN36" s="108"/>
      <c r="EO36" s="108"/>
      <c r="EP36" s="108"/>
      <c r="EQ36" s="108"/>
      <c r="ER36" s="108"/>
      <c r="ES36" s="108"/>
      <c r="ET36" s="108"/>
      <c r="EU36" s="108"/>
      <c r="EV36" s="108"/>
      <c r="EW36" s="108"/>
      <c r="EX36" s="108"/>
      <c r="EY36" s="108"/>
      <c r="EZ36" s="108"/>
      <c r="FA36" s="108"/>
      <c r="FB36" s="108"/>
      <c r="FC36" s="108"/>
      <c r="FD36" s="108"/>
      <c r="FE36" s="108"/>
      <c r="FF36" s="108"/>
      <c r="FG36" s="108"/>
      <c r="FH36" s="108"/>
      <c r="FI36" s="108"/>
      <c r="FJ36" s="108"/>
      <c r="FK36" s="108"/>
      <c r="FL36" s="108"/>
      <c r="FM36" s="108"/>
      <c r="FN36" s="108"/>
      <c r="FO36" s="108"/>
    </row>
    <row r="37">
      <c r="A37" s="106">
        <f>IFERROR(__xludf.DUMMYFUNCTION("""COMPUTED_VALUE"""),44629.0)</f>
        <v>44629</v>
      </c>
      <c r="B37" s="110">
        <f>IFERROR(__xludf.DUMMYFUNCTION("""COMPUTED_VALUE"""),2785.58)</f>
        <v>2785.58</v>
      </c>
      <c r="C37" s="110">
        <f>IFERROR(__xludf.DUMMYFUNCTION("""COMPUTED_VALUE"""),198.5)</f>
        <v>198.5</v>
      </c>
      <c r="D37" s="110">
        <f>IFERROR(__xludf.DUMMYFUNCTION("""COMPUTED_VALUE"""),858.97)</f>
        <v>858.97</v>
      </c>
      <c r="E37" s="110">
        <f>IFERROR(__xludf.DUMMYFUNCTION("""COMPUTED_VALUE"""),384.8)</f>
        <v>384.8</v>
      </c>
      <c r="F37" s="110">
        <f>IFERROR(__xludf.DUMMYFUNCTION("""COMPUTED_VALUE"""),10.12)</f>
        <v>10.12</v>
      </c>
      <c r="G37" s="110">
        <f>IFERROR(__xludf.DUMMYFUNCTION("""COMPUTED_VALUE"""),162.95)</f>
        <v>162.95</v>
      </c>
      <c r="H37" s="110">
        <f>IFERROR(__xludf.DUMMYFUNCTION("""COMPUTED_VALUE"""),18.15)</f>
        <v>18.15</v>
      </c>
      <c r="I37" s="110">
        <f>IFERROR(__xludf.DUMMYFUNCTION("""COMPUTED_VALUE"""),16.37)</f>
        <v>16.37</v>
      </c>
      <c r="J37" s="110">
        <f>IFERROR(__xludf.DUMMYFUNCTION("""COMPUTED_VALUE"""),0.24)</f>
        <v>0.24</v>
      </c>
      <c r="K37" s="110">
        <f>IFERROR(__xludf.DUMMYFUNCTION("""COMPUTED_VALUE"""),37.4)</f>
        <v>37.4</v>
      </c>
      <c r="L37" s="110">
        <f>IFERROR(__xludf.DUMMYFUNCTION("""COMPUTED_VALUE"""),148.5)</f>
        <v>148.5</v>
      </c>
      <c r="M37" s="110">
        <f>IFERROR(__xludf.DUMMYFUNCTION("""COMPUTED_VALUE"""),41923.94)</f>
        <v>41923.94</v>
      </c>
      <c r="N37" s="110">
        <f>IFERROR(__xludf.DUMMYFUNCTION("""COMPUTED_VALUE"""),358.79)</f>
        <v>358.79</v>
      </c>
      <c r="O37" s="110">
        <f>IFERROR(__xludf.DUMMYFUNCTION("""COMPUTED_VALUE"""),288.5)</f>
        <v>288.5</v>
      </c>
      <c r="P37" s="110">
        <f>IFERROR(__xludf.DUMMYFUNCTION("""COMPUTED_VALUE"""),23.64)</f>
        <v>23.64</v>
      </c>
      <c r="Q37" s="110">
        <f>IFERROR(__xludf.DUMMYFUNCTION("""COMPUTED_VALUE"""),24.24)</f>
        <v>24.24</v>
      </c>
      <c r="R37" s="110">
        <f>IFERROR(__xludf.DUMMYFUNCTION("""COMPUTED_VALUE"""),62.4)</f>
        <v>62.4</v>
      </c>
      <c r="S37" s="110">
        <f>IFERROR(__xludf.DUMMYFUNCTION("""COMPUTED_VALUE"""),28.1)</f>
        <v>28.1</v>
      </c>
      <c r="T37" s="110">
        <f>IFERROR(__xludf.DUMMYFUNCTION("""COMPUTED_VALUE"""),28.72)</f>
        <v>28.72</v>
      </c>
      <c r="U37" s="110">
        <f>IFERROR(__xludf.DUMMYFUNCTION("""COMPUTED_VALUE"""),40.28)</f>
        <v>40.28</v>
      </c>
      <c r="V37" s="110">
        <f>IFERROR(__xludf.DUMMYFUNCTION("""COMPUTED_VALUE"""),15.13)</f>
        <v>15.13</v>
      </c>
      <c r="W37" s="110">
        <f>IFERROR(__xludf.DUMMYFUNCTION("""COMPUTED_VALUE"""),222.42)</f>
        <v>222.42</v>
      </c>
      <c r="X37" s="110">
        <f>IFERROR(__xludf.DUMMYFUNCTION("""COMPUTED_VALUE"""),2677.32)</f>
        <v>2677.32</v>
      </c>
      <c r="Y37" s="110">
        <f>IFERROR(__xludf.DUMMYFUNCTION("""COMPUTED_VALUE"""),53.35)</f>
        <v>53.35</v>
      </c>
      <c r="Z37" s="110">
        <f>IFERROR(__xludf.DUMMYFUNCTION("""COMPUTED_VALUE"""),52.0)</f>
        <v>52</v>
      </c>
      <c r="AA37" s="110">
        <f>IFERROR(__xludf.DUMMYFUNCTION("""COMPUTED_VALUE"""),98.46)</f>
        <v>98.46</v>
      </c>
      <c r="AB37" s="110">
        <f>IFERROR(__xludf.DUMMYFUNCTION("""COMPUTED_VALUE"""),4.51)</f>
        <v>4.51</v>
      </c>
      <c r="AC37" s="110">
        <f>IFERROR(__xludf.DUMMYFUNCTION("""COMPUTED_VALUE"""),75.15)</f>
        <v>75.15</v>
      </c>
      <c r="AD37" s="110">
        <f>IFERROR(__xludf.DUMMYFUNCTION("""COMPUTED_VALUE"""),11.81)</f>
        <v>11.81</v>
      </c>
      <c r="AE37" s="110">
        <f>IFERROR(__xludf.DUMMYFUNCTION("""COMPUTED_VALUE"""),5.68)</f>
        <v>5.68</v>
      </c>
      <c r="AF37" s="110">
        <f>IFERROR(__xludf.DUMMYFUNCTION("""COMPUTED_VALUE"""),41.99)</f>
        <v>41.99</v>
      </c>
      <c r="AG37" s="110">
        <f>IFERROR(__xludf.DUMMYFUNCTION("""COMPUTED_VALUE"""),12.36)</f>
        <v>12.36</v>
      </c>
      <c r="AH37" s="110">
        <f>IFERROR(__xludf.DUMMYFUNCTION("""COMPUTED_VALUE"""),1.98)</f>
        <v>1.98</v>
      </c>
      <c r="AI37" s="110">
        <f>IFERROR(__xludf.DUMMYFUNCTION("""COMPUTED_VALUE"""),3.29)</f>
        <v>3.29</v>
      </c>
      <c r="AJ37" s="110">
        <f>IFERROR(__xludf.DUMMYFUNCTION("""COMPUTED_VALUE"""),96.85)</f>
        <v>96.85</v>
      </c>
      <c r="AK37" s="110">
        <f>IFERROR(__xludf.DUMMYFUNCTION("""COMPUTED_VALUE"""),230.14)</f>
        <v>230.14</v>
      </c>
      <c r="AL37" s="110">
        <f>IFERROR(__xludf.DUMMYFUNCTION("""COMPUTED_VALUE"""),13.3)</f>
        <v>13.3</v>
      </c>
      <c r="AM37" s="110">
        <f>IFERROR(__xludf.DUMMYFUNCTION("""COMPUTED_VALUE"""),41.04)</f>
        <v>41.04</v>
      </c>
      <c r="AN37" s="110">
        <f>IFERROR(__xludf.DUMMYFUNCTION("""COMPUTED_VALUE"""),325.35)</f>
        <v>325.35</v>
      </c>
      <c r="AO37" s="110">
        <f>IFERROR(__xludf.DUMMYFUNCTION("""COMPUTED_VALUE"""),98.31)</f>
        <v>98.31</v>
      </c>
      <c r="AP37" s="110">
        <f>IFERROR(__xludf.DUMMYFUNCTION("""COMPUTED_VALUE"""),80.83)</f>
        <v>80.83</v>
      </c>
      <c r="AQ37" s="110">
        <f>IFERROR(__xludf.DUMMYFUNCTION("""COMPUTED_VALUE"""),50.75)</f>
        <v>50.75</v>
      </c>
      <c r="AR37" s="109">
        <f>IFERROR(__xludf.DUMMYFUNCTION("""COMPUTED_VALUE"""),104.255)</f>
        <v>104.255</v>
      </c>
      <c r="AS37" s="110">
        <f>IFERROR(__xludf.DUMMYFUNCTION("""COMPUTED_VALUE"""),20.76)</f>
        <v>20.76</v>
      </c>
      <c r="AT37" s="110">
        <f>IFERROR(__xludf.DUMMYFUNCTION("""COMPUTED_VALUE"""),96.25)</f>
        <v>96.25</v>
      </c>
      <c r="AU37" s="110">
        <f>IFERROR(__xludf.DUMMYFUNCTION("""COMPUTED_VALUE"""),63.1)</f>
        <v>63.1</v>
      </c>
      <c r="AV37" s="110">
        <f>IFERROR(__xludf.DUMMYFUNCTION("""COMPUTED_VALUE"""),133.64)</f>
        <v>133.64</v>
      </c>
      <c r="AW37" s="110">
        <f>IFERROR(__xludf.DUMMYFUNCTION("""COMPUTED_VALUE"""),128.62)</f>
        <v>128.62</v>
      </c>
      <c r="AX37" s="110">
        <f>IFERROR(__xludf.DUMMYFUNCTION("""COMPUTED_VALUE"""),21.75)</f>
        <v>21.75</v>
      </c>
      <c r="AY37" s="110">
        <f>IFERROR(__xludf.DUMMYFUNCTION("""COMPUTED_VALUE"""),44.38)</f>
        <v>44.38</v>
      </c>
      <c r="AZ37" s="110">
        <f>IFERROR(__xludf.DUMMYFUNCTION("""COMPUTED_VALUE"""),0.0)</f>
        <v>0</v>
      </c>
      <c r="BA37" s="110">
        <f>IFERROR(__xludf.DUMMYFUNCTION("""COMPUTED_VALUE"""),0.0)</f>
        <v>0</v>
      </c>
      <c r="BB37" s="110">
        <f>IFERROR(__xludf.DUMMYFUNCTION("""COMPUTED_VALUE"""),11.74)</f>
        <v>11.74</v>
      </c>
      <c r="BC37" s="110">
        <f>IFERROR(__xludf.DUMMYFUNCTION("""COMPUTED_VALUE"""),14.11)</f>
        <v>14.11</v>
      </c>
      <c r="BD37" s="110">
        <f>IFERROR(__xludf.DUMMYFUNCTION("""COMPUTED_VALUE"""),180.3)</f>
        <v>180.3</v>
      </c>
      <c r="BE37" s="110">
        <f>IFERROR(__xludf.DUMMYFUNCTION("""COMPUTED_VALUE"""),132.5)</f>
        <v>132.5</v>
      </c>
      <c r="BF37" s="110">
        <f>IFERROR(__xludf.DUMMYFUNCTION("""COMPUTED_VALUE"""),10.04)</f>
        <v>10.04</v>
      </c>
      <c r="BG37" s="110">
        <f>IFERROR(__xludf.DUMMYFUNCTION("""COMPUTED_VALUE"""),554.91)</f>
        <v>554.91</v>
      </c>
      <c r="BH37" s="110">
        <f>IFERROR(__xludf.DUMMYFUNCTION("""COMPUTED_VALUE"""),261.59)</f>
        <v>261.59</v>
      </c>
      <c r="BI37" s="110">
        <f>IFERROR(__xludf.DUMMYFUNCTION("""COMPUTED_VALUE"""),231.46)</f>
        <v>231.46</v>
      </c>
      <c r="BJ37" s="110">
        <f>IFERROR(__xludf.DUMMYFUNCTION("""COMPUTED_VALUE"""),25.26)</f>
        <v>25.26</v>
      </c>
      <c r="BK37" s="110">
        <f>IFERROR(__xludf.DUMMYFUNCTION("""COMPUTED_VALUE"""),307.79)</f>
        <v>307.79</v>
      </c>
      <c r="BL37" s="110">
        <f>IFERROR(__xludf.DUMMYFUNCTION("""COMPUTED_VALUE"""),121.96)</f>
        <v>121.96</v>
      </c>
      <c r="BM37" s="110">
        <f>IFERROR(__xludf.DUMMYFUNCTION("""COMPUTED_VALUE"""),16.365)</f>
        <v>16.365</v>
      </c>
      <c r="BN37" s="110">
        <f>IFERROR(__xludf.DUMMYFUNCTION("""COMPUTED_VALUE"""),314.05)</f>
        <v>314.05</v>
      </c>
      <c r="BO37" s="110">
        <f>IFERROR(__xludf.DUMMYFUNCTION("""COMPUTED_VALUE"""),666.3)</f>
        <v>666.3</v>
      </c>
      <c r="BP37" s="110">
        <f>IFERROR(__xludf.DUMMYFUNCTION("""COMPUTED_VALUE"""),43.95)</f>
        <v>43.95</v>
      </c>
      <c r="BQ37" s="110">
        <f>IFERROR(__xludf.DUMMYFUNCTION("""COMPUTED_VALUE"""),9.87)</f>
        <v>9.87</v>
      </c>
      <c r="BR37" s="110">
        <f>IFERROR(__xludf.DUMMYFUNCTION("""COMPUTED_VALUE"""),34.98)</f>
        <v>34.98</v>
      </c>
      <c r="BS37" s="110">
        <f>IFERROR(__xludf.DUMMYFUNCTION("""COMPUTED_VALUE"""),0.85)</f>
        <v>0.85</v>
      </c>
      <c r="BT37" s="110">
        <f>IFERROR(__xludf.DUMMYFUNCTION("""COMPUTED_VALUE"""),46.65)</f>
        <v>46.65</v>
      </c>
      <c r="BU37" s="110">
        <f>IFERROR(__xludf.DUMMYFUNCTION("""COMPUTED_VALUE"""),35.7)</f>
        <v>35.7</v>
      </c>
      <c r="BV37" s="110">
        <f>IFERROR(__xludf.DUMMYFUNCTION("""COMPUTED_VALUE"""),51.0)</f>
        <v>51</v>
      </c>
      <c r="BW37" s="110">
        <f>IFERROR(__xludf.DUMMYFUNCTION("""COMPUTED_VALUE"""),7.95)</f>
        <v>7.95</v>
      </c>
      <c r="BX37" s="110">
        <f>IFERROR(__xludf.DUMMYFUNCTION("""COMPUTED_VALUE"""),5.19)</f>
        <v>5.19</v>
      </c>
      <c r="BY37" s="110">
        <f>IFERROR(__xludf.DUMMYFUNCTION("""COMPUTED_VALUE"""),0.0)</f>
        <v>0</v>
      </c>
      <c r="BZ37" s="110">
        <f>IFERROR(__xludf.DUMMYFUNCTION("""COMPUTED_VALUE"""),14.75)</f>
        <v>14.75</v>
      </c>
      <c r="CA37" s="110">
        <f>IFERROR(__xludf.DUMMYFUNCTION("""COMPUTED_VALUE"""),3.77)</f>
        <v>3.77</v>
      </c>
      <c r="CB37" s="110">
        <f>IFERROR(__xludf.DUMMYFUNCTION("""COMPUTED_VALUE"""),6.05)</f>
        <v>6.05</v>
      </c>
      <c r="CC37" s="110">
        <f>IFERROR(__xludf.DUMMYFUNCTION("""COMPUTED_VALUE"""),20.78)</f>
        <v>20.78</v>
      </c>
      <c r="CD37" s="110">
        <f>IFERROR(__xludf.DUMMYFUNCTION("""COMPUTED_VALUE"""),15.76)</f>
        <v>15.76</v>
      </c>
      <c r="CE37" s="110">
        <f>IFERROR(__xludf.DUMMYFUNCTION("""COMPUTED_VALUE"""),30.46)</f>
        <v>30.46</v>
      </c>
      <c r="CF37" s="110">
        <f>IFERROR(__xludf.DUMMYFUNCTION("""COMPUTED_VALUE"""),109.98)</f>
        <v>109.98</v>
      </c>
      <c r="CG37" s="110">
        <f>IFERROR(__xludf.DUMMYFUNCTION("""COMPUTED_VALUE"""),5.51)</f>
        <v>5.51</v>
      </c>
      <c r="CH37" s="110">
        <f>IFERROR(__xludf.DUMMYFUNCTION("""COMPUTED_VALUE"""),24.31)</f>
        <v>24.31</v>
      </c>
      <c r="CI37" s="110">
        <f>IFERROR(__xludf.DUMMYFUNCTION("""COMPUTED_VALUE"""),51.97)</f>
        <v>51.97</v>
      </c>
      <c r="CJ37" s="110">
        <f>IFERROR(__xludf.DUMMYFUNCTION("""COMPUTED_VALUE"""),16.35)</f>
        <v>16.35</v>
      </c>
      <c r="CK37" s="110">
        <f>IFERROR(__xludf.DUMMYFUNCTION("""COMPUTED_VALUE"""),12.42)</f>
        <v>12.42</v>
      </c>
      <c r="CL37" s="110">
        <f>IFERROR(__xludf.DUMMYFUNCTION("""COMPUTED_VALUE"""),2668.4)</f>
        <v>2668.4</v>
      </c>
      <c r="CM37" s="110">
        <f>IFERROR(__xludf.DUMMYFUNCTION("""COMPUTED_VALUE"""),3.85)</f>
        <v>3.85</v>
      </c>
      <c r="CN37" s="110">
        <f>IFERROR(__xludf.DUMMYFUNCTION("""COMPUTED_VALUE"""),175.8)</f>
        <v>175.8</v>
      </c>
      <c r="CO37" s="110">
        <f>IFERROR(__xludf.DUMMYFUNCTION("""COMPUTED_VALUE"""),133.6)</f>
        <v>133.6</v>
      </c>
      <c r="CP37" s="110">
        <f>IFERROR(__xludf.DUMMYFUNCTION("""COMPUTED_VALUE"""),61.69)</f>
        <v>61.69</v>
      </c>
      <c r="CQ37" s="110">
        <f>IFERROR(__xludf.DUMMYFUNCTION("""COMPUTED_VALUE"""),69500.0)</f>
        <v>69500</v>
      </c>
      <c r="CR37" s="110">
        <f>IFERROR(__xludf.DUMMYFUNCTION("""COMPUTED_VALUE"""),0.52)</f>
        <v>0.52</v>
      </c>
      <c r="CS37" s="110">
        <f>IFERROR(__xludf.DUMMYFUNCTION("""COMPUTED_VALUE"""),37.45)</f>
        <v>37.45</v>
      </c>
      <c r="CT37" s="110">
        <f>IFERROR(__xludf.DUMMYFUNCTION("""COMPUTED_VALUE"""),20.78)</f>
        <v>20.78</v>
      </c>
      <c r="CU37" s="110">
        <f>IFERROR(__xludf.DUMMYFUNCTION("""COMPUTED_VALUE"""),1985.9)</f>
        <v>1985.9</v>
      </c>
      <c r="CV37" s="110">
        <f>IFERROR(__xludf.DUMMYFUNCTION("""COMPUTED_VALUE"""),2.58)</f>
        <v>2.58</v>
      </c>
      <c r="CW37" s="110">
        <f>IFERROR(__xludf.DUMMYFUNCTION("""COMPUTED_VALUE"""),2.94)</f>
        <v>2.94</v>
      </c>
      <c r="CX37" s="110">
        <f>IFERROR(__xludf.DUMMYFUNCTION("""COMPUTED_VALUE"""),12.23)</f>
        <v>12.23</v>
      </c>
      <c r="CY37" s="110">
        <f>IFERROR(__xludf.DUMMYFUNCTION("""COMPUTED_VALUE"""),0.05)</f>
        <v>0.05</v>
      </c>
      <c r="CZ37" s="110">
        <f>IFERROR(__xludf.DUMMYFUNCTION("""COMPUTED_VALUE"""),71.95)</f>
        <v>71.95</v>
      </c>
      <c r="DA37" s="110">
        <f>IFERROR(__xludf.DUMMYFUNCTION("""COMPUTED_VALUE"""),0.33)</f>
        <v>0.33</v>
      </c>
      <c r="DB37" s="110">
        <f>IFERROR(__xludf.DUMMYFUNCTION("""COMPUTED_VALUE"""),0.34)</f>
        <v>0.34</v>
      </c>
      <c r="DC37" s="110">
        <f>IFERROR(__xludf.DUMMYFUNCTION("""COMPUTED_VALUE"""),149.24)</f>
        <v>149.24</v>
      </c>
      <c r="DD37" s="110">
        <f>IFERROR(__xludf.DUMMYFUNCTION("""COMPUTED_VALUE"""),10.98)</f>
        <v>10.98</v>
      </c>
      <c r="DE37" s="110">
        <f>IFERROR(__xludf.DUMMYFUNCTION("""COMPUTED_VALUE"""),7.39)</f>
        <v>7.39</v>
      </c>
      <c r="DF37" s="110">
        <f>IFERROR(__xludf.DUMMYFUNCTION("""COMPUTED_VALUE"""),52.95)</f>
        <v>52.95</v>
      </c>
      <c r="DG37" s="110">
        <f>IFERROR(__xludf.DUMMYFUNCTION("""COMPUTED_VALUE"""),5.38)</f>
        <v>5.38</v>
      </c>
      <c r="DH37" s="110">
        <f>IFERROR(__xludf.DUMMYFUNCTION("""COMPUTED_VALUE"""),11.78)</f>
        <v>11.78</v>
      </c>
      <c r="DI37" s="110">
        <f>IFERROR(__xludf.DUMMYFUNCTION("""COMPUTED_VALUE"""),139.44)</f>
        <v>139.44</v>
      </c>
      <c r="DJ37" s="110">
        <f>IFERROR(__xludf.DUMMYFUNCTION("""COMPUTED_VALUE"""),11.46)</f>
        <v>11.46</v>
      </c>
      <c r="DK37" s="110">
        <f>IFERROR(__xludf.DUMMYFUNCTION("""COMPUTED_VALUE"""),1.85)</f>
        <v>1.85</v>
      </c>
      <c r="DL37" s="110">
        <f>IFERROR(__xludf.DUMMYFUNCTION("""COMPUTED_VALUE"""),26.65)</f>
        <v>26.65</v>
      </c>
      <c r="DM37" s="110">
        <f>IFERROR(__xludf.DUMMYFUNCTION("""COMPUTED_VALUE"""),448.72)</f>
        <v>448.72</v>
      </c>
      <c r="DN37" s="110">
        <f>IFERROR(__xludf.DUMMYFUNCTION("""COMPUTED_VALUE"""),148.31)</f>
        <v>148.31</v>
      </c>
      <c r="DO37" s="108"/>
      <c r="DP37" s="108"/>
      <c r="DQ37" s="108"/>
      <c r="DR37" s="108"/>
      <c r="DS37" s="108"/>
      <c r="DT37" s="108"/>
      <c r="DU37" s="108"/>
      <c r="DV37" s="108"/>
      <c r="DW37" s="108"/>
      <c r="DX37" s="108"/>
      <c r="DY37" s="108"/>
      <c r="DZ37" s="108"/>
      <c r="EA37" s="108"/>
      <c r="EB37" s="108"/>
      <c r="EC37" s="108"/>
      <c r="ED37" s="108"/>
      <c r="EE37" s="108"/>
      <c r="EF37" s="108"/>
      <c r="EG37" s="108"/>
      <c r="EH37" s="108"/>
      <c r="EI37" s="108"/>
      <c r="EJ37" s="108"/>
      <c r="EK37" s="108"/>
      <c r="EL37" s="108"/>
      <c r="EM37" s="108"/>
      <c r="EN37" s="108"/>
      <c r="EO37" s="108"/>
      <c r="EP37" s="108"/>
      <c r="EQ37" s="108"/>
      <c r="ER37" s="108"/>
      <c r="ES37" s="108"/>
      <c r="ET37" s="108"/>
      <c r="EU37" s="108"/>
      <c r="EV37" s="108"/>
      <c r="EW37" s="108"/>
      <c r="EX37" s="108"/>
      <c r="EY37" s="108"/>
      <c r="EZ37" s="108"/>
      <c r="FA37" s="108"/>
      <c r="FB37" s="108"/>
      <c r="FC37" s="108"/>
      <c r="FD37" s="108"/>
      <c r="FE37" s="108"/>
      <c r="FF37" s="108"/>
      <c r="FG37" s="108"/>
      <c r="FH37" s="108"/>
      <c r="FI37" s="108"/>
      <c r="FJ37" s="108"/>
      <c r="FK37" s="108"/>
      <c r="FL37" s="108"/>
      <c r="FM37" s="108"/>
      <c r="FN37" s="108"/>
      <c r="FO37" s="108"/>
    </row>
    <row r="38">
      <c r="A38" s="106">
        <f>IFERROR(__xludf.DUMMYFUNCTION("""COMPUTED_VALUE"""),44630.0)</f>
        <v>44630</v>
      </c>
      <c r="B38" s="110">
        <f>IFERROR(__xludf.DUMMYFUNCTION("""COMPUTED_VALUE"""),2785.58)</f>
        <v>2785.58</v>
      </c>
      <c r="C38" s="110">
        <f>IFERROR(__xludf.DUMMYFUNCTION("""COMPUTED_VALUE"""),195.21)</f>
        <v>195.21</v>
      </c>
      <c r="D38" s="110">
        <f>IFERROR(__xludf.DUMMYFUNCTION("""COMPUTED_VALUE"""),858.97)</f>
        <v>858.97</v>
      </c>
      <c r="E38" s="110">
        <f>IFERROR(__xludf.DUMMYFUNCTION("""COMPUTED_VALUE"""),385.0)</f>
        <v>385</v>
      </c>
      <c r="F38" s="110">
        <f>IFERROR(__xludf.DUMMYFUNCTION("""COMPUTED_VALUE"""),10.1)</f>
        <v>10.1</v>
      </c>
      <c r="G38" s="110">
        <f>IFERROR(__xludf.DUMMYFUNCTION("""COMPUTED_VALUE"""),162.95)</f>
        <v>162.95</v>
      </c>
      <c r="H38" s="110">
        <f>IFERROR(__xludf.DUMMYFUNCTION("""COMPUTED_VALUE"""),18.65)</f>
        <v>18.65</v>
      </c>
      <c r="I38" s="110">
        <f>IFERROR(__xludf.DUMMYFUNCTION("""COMPUTED_VALUE"""),16.27)</f>
        <v>16.27</v>
      </c>
      <c r="J38" s="110">
        <f>IFERROR(__xludf.DUMMYFUNCTION("""COMPUTED_VALUE"""),0.15)</f>
        <v>0.15</v>
      </c>
      <c r="K38" s="110">
        <f>IFERROR(__xludf.DUMMYFUNCTION("""COMPUTED_VALUE"""),38.9)</f>
        <v>38.9</v>
      </c>
      <c r="L38" s="110">
        <f>IFERROR(__xludf.DUMMYFUNCTION("""COMPUTED_VALUE"""),144.2)</f>
        <v>144.2</v>
      </c>
      <c r="M38" s="110">
        <f>IFERROR(__xludf.DUMMYFUNCTION("""COMPUTED_VALUE"""),39481.88)</f>
        <v>39481.88</v>
      </c>
      <c r="N38" s="110">
        <f>IFERROR(__xludf.DUMMYFUNCTION("""COMPUTED_VALUE"""),358.79)</f>
        <v>358.79</v>
      </c>
      <c r="O38" s="110">
        <f>IFERROR(__xludf.DUMMYFUNCTION("""COMPUTED_VALUE"""),288.5)</f>
        <v>288.5</v>
      </c>
      <c r="P38" s="110">
        <f>IFERROR(__xludf.DUMMYFUNCTION("""COMPUTED_VALUE"""),23.64)</f>
        <v>23.64</v>
      </c>
      <c r="Q38" s="110">
        <f>IFERROR(__xludf.DUMMYFUNCTION("""COMPUTED_VALUE"""),24.23)</f>
        <v>24.23</v>
      </c>
      <c r="R38" s="110">
        <f>IFERROR(__xludf.DUMMYFUNCTION("""COMPUTED_VALUE"""),62.4)</f>
        <v>62.4</v>
      </c>
      <c r="S38" s="110">
        <f>IFERROR(__xludf.DUMMYFUNCTION("""COMPUTED_VALUE"""),28.1)</f>
        <v>28.1</v>
      </c>
      <c r="T38" s="110">
        <f>IFERROR(__xludf.DUMMYFUNCTION("""COMPUTED_VALUE"""),28.65)</f>
        <v>28.65</v>
      </c>
      <c r="U38" s="110">
        <f>IFERROR(__xludf.DUMMYFUNCTION("""COMPUTED_VALUE"""),40.28)</f>
        <v>40.28</v>
      </c>
      <c r="V38" s="110">
        <f>IFERROR(__xludf.DUMMYFUNCTION("""COMPUTED_VALUE"""),15.26)</f>
        <v>15.26</v>
      </c>
      <c r="W38" s="110">
        <f>IFERROR(__xludf.DUMMYFUNCTION("""COMPUTED_VALUE"""),222.47)</f>
        <v>222.47</v>
      </c>
      <c r="X38" s="110">
        <f>IFERROR(__xludf.DUMMYFUNCTION("""COMPUTED_VALUE"""),2677.32)</f>
        <v>2677.32</v>
      </c>
      <c r="Y38" s="110">
        <f>IFERROR(__xludf.DUMMYFUNCTION("""COMPUTED_VALUE"""),55.05)</f>
        <v>55.05</v>
      </c>
      <c r="Z38" s="110">
        <f>IFERROR(__xludf.DUMMYFUNCTION("""COMPUTED_VALUE"""),54.0)</f>
        <v>54</v>
      </c>
      <c r="AA38" s="110">
        <f>IFERROR(__xludf.DUMMYFUNCTION("""COMPUTED_VALUE"""),98.4)</f>
        <v>98.4</v>
      </c>
      <c r="AB38" s="110">
        <f>IFERROR(__xludf.DUMMYFUNCTION("""COMPUTED_VALUE"""),4.57)</f>
        <v>4.57</v>
      </c>
      <c r="AC38" s="110">
        <f>IFERROR(__xludf.DUMMYFUNCTION("""COMPUTED_VALUE"""),75.17)</f>
        <v>75.17</v>
      </c>
      <c r="AD38" s="110">
        <f>IFERROR(__xludf.DUMMYFUNCTION("""COMPUTED_VALUE"""),11.81)</f>
        <v>11.81</v>
      </c>
      <c r="AE38" s="110">
        <f>IFERROR(__xludf.DUMMYFUNCTION("""COMPUTED_VALUE"""),5.72)</f>
        <v>5.72</v>
      </c>
      <c r="AF38" s="110">
        <f>IFERROR(__xludf.DUMMYFUNCTION("""COMPUTED_VALUE"""),40.71)</f>
        <v>40.71</v>
      </c>
      <c r="AG38" s="110">
        <f>IFERROR(__xludf.DUMMYFUNCTION("""COMPUTED_VALUE"""),12.64)</f>
        <v>12.64</v>
      </c>
      <c r="AH38" s="110">
        <f>IFERROR(__xludf.DUMMYFUNCTION("""COMPUTED_VALUE"""),2.01)</f>
        <v>2.01</v>
      </c>
      <c r="AI38" s="110">
        <f>IFERROR(__xludf.DUMMYFUNCTION("""COMPUTED_VALUE"""),3.26)</f>
        <v>3.26</v>
      </c>
      <c r="AJ38" s="110">
        <f>IFERROR(__xludf.DUMMYFUNCTION("""COMPUTED_VALUE"""),100.4)</f>
        <v>100.4</v>
      </c>
      <c r="AK38" s="110">
        <f>IFERROR(__xludf.DUMMYFUNCTION("""COMPUTED_VALUE"""),230.14)</f>
        <v>230.14</v>
      </c>
      <c r="AL38" s="110">
        <f>IFERROR(__xludf.DUMMYFUNCTION("""COMPUTED_VALUE"""),13.58)</f>
        <v>13.58</v>
      </c>
      <c r="AM38" s="110">
        <f>IFERROR(__xludf.DUMMYFUNCTION("""COMPUTED_VALUE"""),0.0)</f>
        <v>0</v>
      </c>
      <c r="AN38" s="110">
        <f>IFERROR(__xludf.DUMMYFUNCTION("""COMPUTED_VALUE"""),325.3)</f>
        <v>325.3</v>
      </c>
      <c r="AO38" s="110">
        <f>IFERROR(__xludf.DUMMYFUNCTION("""COMPUTED_VALUE"""),98.34)</f>
        <v>98.34</v>
      </c>
      <c r="AP38" s="110">
        <f>IFERROR(__xludf.DUMMYFUNCTION("""COMPUTED_VALUE"""),80.83)</f>
        <v>80.83</v>
      </c>
      <c r="AQ38" s="110">
        <f>IFERROR(__xludf.DUMMYFUNCTION("""COMPUTED_VALUE"""),50.75)</f>
        <v>50.75</v>
      </c>
      <c r="AR38" s="109">
        <f>IFERROR(__xludf.DUMMYFUNCTION("""COMPUTED_VALUE"""),104.03200000000001)</f>
        <v>104.032</v>
      </c>
      <c r="AS38" s="110">
        <f>IFERROR(__xludf.DUMMYFUNCTION("""COMPUTED_VALUE"""),20.75)</f>
        <v>20.75</v>
      </c>
      <c r="AT38" s="110">
        <f>IFERROR(__xludf.DUMMYFUNCTION("""COMPUTED_VALUE"""),96.1)</f>
        <v>96.1</v>
      </c>
      <c r="AU38" s="110">
        <f>IFERROR(__xludf.DUMMYFUNCTION("""COMPUTED_VALUE"""),63.1)</f>
        <v>63.1</v>
      </c>
      <c r="AV38" s="110">
        <f>IFERROR(__xludf.DUMMYFUNCTION("""COMPUTED_VALUE"""),133.65)</f>
        <v>133.65</v>
      </c>
      <c r="AW38" s="110">
        <f>IFERROR(__xludf.DUMMYFUNCTION("""COMPUTED_VALUE"""),128.62)</f>
        <v>128.62</v>
      </c>
      <c r="AX38" s="110">
        <f>IFERROR(__xludf.DUMMYFUNCTION("""COMPUTED_VALUE"""),21.25)</f>
        <v>21.25</v>
      </c>
      <c r="AY38" s="110">
        <f>IFERROR(__xludf.DUMMYFUNCTION("""COMPUTED_VALUE"""),44.38)</f>
        <v>44.38</v>
      </c>
      <c r="AZ38" s="110">
        <f>IFERROR(__xludf.DUMMYFUNCTION("""COMPUTED_VALUE"""),0.0)</f>
        <v>0</v>
      </c>
      <c r="BA38" s="110">
        <f>IFERROR(__xludf.DUMMYFUNCTION("""COMPUTED_VALUE"""),0.0)</f>
        <v>0</v>
      </c>
      <c r="BB38" s="110">
        <f>IFERROR(__xludf.DUMMYFUNCTION("""COMPUTED_VALUE"""),11.9)</f>
        <v>11.9</v>
      </c>
      <c r="BC38" s="110">
        <f>IFERROR(__xludf.DUMMYFUNCTION("""COMPUTED_VALUE"""),0.0)</f>
        <v>0</v>
      </c>
      <c r="BD38" s="110">
        <f>IFERROR(__xludf.DUMMYFUNCTION("""COMPUTED_VALUE"""),189.2)</f>
        <v>189.2</v>
      </c>
      <c r="BE38" s="110">
        <f>IFERROR(__xludf.DUMMYFUNCTION("""COMPUTED_VALUE"""),135.4)</f>
        <v>135.4</v>
      </c>
      <c r="BF38" s="110">
        <f>IFERROR(__xludf.DUMMYFUNCTION("""COMPUTED_VALUE"""),9.97)</f>
        <v>9.97</v>
      </c>
      <c r="BG38" s="110">
        <f>IFERROR(__xludf.DUMMYFUNCTION("""COMPUTED_VALUE"""),554.91)</f>
        <v>554.91</v>
      </c>
      <c r="BH38" s="110">
        <f>IFERROR(__xludf.DUMMYFUNCTION("""COMPUTED_VALUE"""),261.59)</f>
        <v>261.59</v>
      </c>
      <c r="BI38" s="110">
        <f>IFERROR(__xludf.DUMMYFUNCTION("""COMPUTED_VALUE"""),231.46)</f>
        <v>231.46</v>
      </c>
      <c r="BJ38" s="110">
        <f>IFERROR(__xludf.DUMMYFUNCTION("""COMPUTED_VALUE"""),25.26)</f>
        <v>25.26</v>
      </c>
      <c r="BK38" s="110">
        <f>IFERROR(__xludf.DUMMYFUNCTION("""COMPUTED_VALUE"""),307.79)</f>
        <v>307.79</v>
      </c>
      <c r="BL38" s="110">
        <f>IFERROR(__xludf.DUMMYFUNCTION("""COMPUTED_VALUE"""),121.96)</f>
        <v>121.96</v>
      </c>
      <c r="BM38" s="110">
        <f>IFERROR(__xludf.DUMMYFUNCTION("""COMPUTED_VALUE"""),16.37)</f>
        <v>16.37</v>
      </c>
      <c r="BN38" s="110">
        <f>IFERROR(__xludf.DUMMYFUNCTION("""COMPUTED_VALUE"""),313.8)</f>
        <v>313.8</v>
      </c>
      <c r="BO38" s="110">
        <f>IFERROR(__xludf.DUMMYFUNCTION("""COMPUTED_VALUE"""),654.01)</f>
        <v>654.01</v>
      </c>
      <c r="BP38" s="110">
        <f>IFERROR(__xludf.DUMMYFUNCTION("""COMPUTED_VALUE"""),43.95)</f>
        <v>43.95</v>
      </c>
      <c r="BQ38" s="110">
        <f>IFERROR(__xludf.DUMMYFUNCTION("""COMPUTED_VALUE"""),9.87)</f>
        <v>9.87</v>
      </c>
      <c r="BR38" s="110">
        <f>IFERROR(__xludf.DUMMYFUNCTION("""COMPUTED_VALUE"""),34.93)</f>
        <v>34.93</v>
      </c>
      <c r="BS38" s="110">
        <f>IFERROR(__xludf.DUMMYFUNCTION("""COMPUTED_VALUE"""),0.85)</f>
        <v>0.85</v>
      </c>
      <c r="BT38" s="110">
        <f>IFERROR(__xludf.DUMMYFUNCTION("""COMPUTED_VALUE"""),47.0)</f>
        <v>47</v>
      </c>
      <c r="BU38" s="110">
        <f>IFERROR(__xludf.DUMMYFUNCTION("""COMPUTED_VALUE"""),36.85)</f>
        <v>36.85</v>
      </c>
      <c r="BV38" s="110">
        <f>IFERROR(__xludf.DUMMYFUNCTION("""COMPUTED_VALUE"""),51.75)</f>
        <v>51.75</v>
      </c>
      <c r="BW38" s="110">
        <f>IFERROR(__xludf.DUMMYFUNCTION("""COMPUTED_VALUE"""),7.05)</f>
        <v>7.05</v>
      </c>
      <c r="BX38" s="110">
        <f>IFERROR(__xludf.DUMMYFUNCTION("""COMPUTED_VALUE"""),5.2)</f>
        <v>5.2</v>
      </c>
      <c r="BY38" s="110">
        <f>IFERROR(__xludf.DUMMYFUNCTION("""COMPUTED_VALUE"""),0.0)</f>
        <v>0</v>
      </c>
      <c r="BZ38" s="110">
        <f>IFERROR(__xludf.DUMMYFUNCTION("""COMPUTED_VALUE"""),14.98)</f>
        <v>14.98</v>
      </c>
      <c r="CA38" s="110">
        <f>IFERROR(__xludf.DUMMYFUNCTION("""COMPUTED_VALUE"""),3.89)</f>
        <v>3.89</v>
      </c>
      <c r="CB38" s="110">
        <f>IFERROR(__xludf.DUMMYFUNCTION("""COMPUTED_VALUE"""),5.88)</f>
        <v>5.88</v>
      </c>
      <c r="CC38" s="110">
        <f>IFERROR(__xludf.DUMMYFUNCTION("""COMPUTED_VALUE"""),20.23)</f>
        <v>20.23</v>
      </c>
      <c r="CD38" s="110">
        <f>IFERROR(__xludf.DUMMYFUNCTION("""COMPUTED_VALUE"""),15.57)</f>
        <v>15.57</v>
      </c>
      <c r="CE38" s="110">
        <f>IFERROR(__xludf.DUMMYFUNCTION("""COMPUTED_VALUE"""),30.55)</f>
        <v>30.55</v>
      </c>
      <c r="CF38" s="110">
        <f>IFERROR(__xludf.DUMMYFUNCTION("""COMPUTED_VALUE"""),105.86)</f>
        <v>105.86</v>
      </c>
      <c r="CG38" s="110">
        <f>IFERROR(__xludf.DUMMYFUNCTION("""COMPUTED_VALUE"""),5.69)</f>
        <v>5.69</v>
      </c>
      <c r="CH38" s="110">
        <f>IFERROR(__xludf.DUMMYFUNCTION("""COMPUTED_VALUE"""),24.33)</f>
        <v>24.33</v>
      </c>
      <c r="CI38" s="110">
        <f>IFERROR(__xludf.DUMMYFUNCTION("""COMPUTED_VALUE"""),53.68)</f>
        <v>53.68</v>
      </c>
      <c r="CJ38" s="110">
        <f>IFERROR(__xludf.DUMMYFUNCTION("""COMPUTED_VALUE"""),20.0)</f>
        <v>20</v>
      </c>
      <c r="CK38" s="110">
        <f>IFERROR(__xludf.DUMMYFUNCTION("""COMPUTED_VALUE"""),12.88)</f>
        <v>12.88</v>
      </c>
      <c r="CL38" s="110">
        <f>IFERROR(__xludf.DUMMYFUNCTION("""COMPUTED_VALUE"""),2668.4)</f>
        <v>2668.4</v>
      </c>
      <c r="CM38" s="110">
        <f>IFERROR(__xludf.DUMMYFUNCTION("""COMPUTED_VALUE"""),4.75)</f>
        <v>4.75</v>
      </c>
      <c r="CN38" s="110">
        <f>IFERROR(__xludf.DUMMYFUNCTION("""COMPUTED_VALUE"""),185.2)</f>
        <v>185.2</v>
      </c>
      <c r="CO38" s="110">
        <f>IFERROR(__xludf.DUMMYFUNCTION("""COMPUTED_VALUE"""),138.2)</f>
        <v>138.2</v>
      </c>
      <c r="CP38" s="110">
        <f>IFERROR(__xludf.DUMMYFUNCTION("""COMPUTED_VALUE"""),61.71)</f>
        <v>61.71</v>
      </c>
      <c r="CQ38" s="110">
        <f>IFERROR(__xludf.DUMMYFUNCTION("""COMPUTED_VALUE"""),71200.0)</f>
        <v>71200</v>
      </c>
      <c r="CR38" s="110">
        <f>IFERROR(__xludf.DUMMYFUNCTION("""COMPUTED_VALUE"""),0.208)</f>
        <v>0.208</v>
      </c>
      <c r="CS38" s="110">
        <f>IFERROR(__xludf.DUMMYFUNCTION("""COMPUTED_VALUE"""),37.16)</f>
        <v>37.16</v>
      </c>
      <c r="CT38" s="110">
        <f>IFERROR(__xludf.DUMMYFUNCTION("""COMPUTED_VALUE"""),21.1)</f>
        <v>21.1</v>
      </c>
      <c r="CU38" s="110">
        <f>IFERROR(__xludf.DUMMYFUNCTION("""COMPUTED_VALUE"""),2001.0)</f>
        <v>2001</v>
      </c>
      <c r="CV38" s="110">
        <f>IFERROR(__xludf.DUMMYFUNCTION("""COMPUTED_VALUE"""),2.86)</f>
        <v>2.86</v>
      </c>
      <c r="CW38" s="110">
        <f>IFERROR(__xludf.DUMMYFUNCTION("""COMPUTED_VALUE"""),2.91)</f>
        <v>2.91</v>
      </c>
      <c r="CX38" s="110">
        <f>IFERROR(__xludf.DUMMYFUNCTION("""COMPUTED_VALUE"""),12.23)</f>
        <v>12.23</v>
      </c>
      <c r="CY38" s="110">
        <f>IFERROR(__xludf.DUMMYFUNCTION("""COMPUTED_VALUE"""),0.01)</f>
        <v>0.01</v>
      </c>
      <c r="CZ38" s="110">
        <f>IFERROR(__xludf.DUMMYFUNCTION("""COMPUTED_VALUE"""),73.9)</f>
        <v>73.9</v>
      </c>
      <c r="DA38" s="110">
        <f>IFERROR(__xludf.DUMMYFUNCTION("""COMPUTED_VALUE"""),0.43)</f>
        <v>0.43</v>
      </c>
      <c r="DB38" s="110">
        <f>IFERROR(__xludf.DUMMYFUNCTION("""COMPUTED_VALUE"""),0.23)</f>
        <v>0.23</v>
      </c>
      <c r="DC38" s="110">
        <f>IFERROR(__xludf.DUMMYFUNCTION("""COMPUTED_VALUE"""),149.25)</f>
        <v>149.25</v>
      </c>
      <c r="DD38" s="110">
        <f>IFERROR(__xludf.DUMMYFUNCTION("""COMPUTED_VALUE"""),12.08)</f>
        <v>12.08</v>
      </c>
      <c r="DE38" s="110">
        <f>IFERROR(__xludf.DUMMYFUNCTION("""COMPUTED_VALUE"""),7.54)</f>
        <v>7.54</v>
      </c>
      <c r="DF38" s="110">
        <f>IFERROR(__xludf.DUMMYFUNCTION("""COMPUTED_VALUE"""),55.0)</f>
        <v>55</v>
      </c>
      <c r="DG38" s="110">
        <f>IFERROR(__xludf.DUMMYFUNCTION("""COMPUTED_VALUE"""),5.6)</f>
        <v>5.6</v>
      </c>
      <c r="DH38" s="110">
        <f>IFERROR(__xludf.DUMMYFUNCTION("""COMPUTED_VALUE"""),12.13)</f>
        <v>12.13</v>
      </c>
      <c r="DI38" s="110">
        <f>IFERROR(__xludf.DUMMYFUNCTION("""COMPUTED_VALUE"""),139.46)</f>
        <v>139.46</v>
      </c>
      <c r="DJ38" s="110">
        <f>IFERROR(__xludf.DUMMYFUNCTION("""COMPUTED_VALUE"""),11.46)</f>
        <v>11.46</v>
      </c>
      <c r="DK38" s="110">
        <f>IFERROR(__xludf.DUMMYFUNCTION("""COMPUTED_VALUE"""),2.15)</f>
        <v>2.15</v>
      </c>
      <c r="DL38" s="110">
        <f>IFERROR(__xludf.DUMMYFUNCTION("""COMPUTED_VALUE"""),26.95)</f>
        <v>26.95</v>
      </c>
      <c r="DM38" s="110">
        <f>IFERROR(__xludf.DUMMYFUNCTION("""COMPUTED_VALUE"""),448.72)</f>
        <v>448.72</v>
      </c>
      <c r="DN38" s="110">
        <f>IFERROR(__xludf.DUMMYFUNCTION("""COMPUTED_VALUE"""),151.8)</f>
        <v>151.8</v>
      </c>
      <c r="DO38" s="110">
        <f>IFERROR(__xludf.DUMMYFUNCTION("""COMPUTED_VALUE"""),338.0)</f>
        <v>338</v>
      </c>
      <c r="DP38" s="110">
        <f>IFERROR(__xludf.DUMMYFUNCTION("""COMPUTED_VALUE"""),8.33)</f>
        <v>8.33</v>
      </c>
      <c r="DQ38" s="108"/>
      <c r="DR38" s="108"/>
      <c r="DS38" s="108"/>
      <c r="DT38" s="108"/>
      <c r="DU38" s="108"/>
      <c r="DV38" s="108"/>
      <c r="DW38" s="108"/>
      <c r="DX38" s="108"/>
      <c r="DY38" s="108"/>
      <c r="DZ38" s="108"/>
      <c r="EA38" s="108"/>
      <c r="EB38" s="108"/>
      <c r="EC38" s="108"/>
      <c r="ED38" s="108"/>
      <c r="EE38" s="108"/>
      <c r="EF38" s="108"/>
      <c r="EG38" s="108"/>
      <c r="EH38" s="108"/>
      <c r="EI38" s="108"/>
      <c r="EJ38" s="108"/>
      <c r="EK38" s="108"/>
      <c r="EL38" s="108"/>
      <c r="EM38" s="108"/>
      <c r="EN38" s="108"/>
      <c r="EO38" s="108"/>
      <c r="EP38" s="108"/>
      <c r="EQ38" s="108"/>
      <c r="ER38" s="108"/>
      <c r="ES38" s="108"/>
      <c r="ET38" s="108"/>
      <c r="EU38" s="108"/>
      <c r="EV38" s="108"/>
      <c r="EW38" s="108"/>
      <c r="EX38" s="108"/>
      <c r="EY38" s="108"/>
      <c r="EZ38" s="108"/>
      <c r="FA38" s="108"/>
      <c r="FB38" s="108"/>
      <c r="FC38" s="108"/>
      <c r="FD38" s="108"/>
      <c r="FE38" s="108"/>
      <c r="FF38" s="108"/>
      <c r="FG38" s="108"/>
      <c r="FH38" s="108"/>
      <c r="FI38" s="108"/>
      <c r="FJ38" s="108"/>
      <c r="FK38" s="108"/>
      <c r="FL38" s="108"/>
      <c r="FM38" s="108"/>
      <c r="FN38" s="108"/>
      <c r="FO38" s="108"/>
    </row>
    <row r="39">
      <c r="A39" s="106">
        <f>IFERROR(__xludf.DUMMYFUNCTION("""COMPUTED_VALUE"""),44631.0)</f>
        <v>44631</v>
      </c>
      <c r="B39" s="110">
        <f>IFERROR(__xludf.DUMMYFUNCTION("""COMPUTED_VALUE"""),2910.49)</f>
        <v>2910.49</v>
      </c>
      <c r="C39" s="110">
        <f>IFERROR(__xludf.DUMMYFUNCTION("""COMPUTED_VALUE"""),187.61)</f>
        <v>187.61</v>
      </c>
      <c r="D39" s="110">
        <f>IFERROR(__xludf.DUMMYFUNCTION("""COMPUTED_VALUE"""),795.35)</f>
        <v>795.35</v>
      </c>
      <c r="E39" s="110">
        <f>IFERROR(__xludf.DUMMYFUNCTION("""COMPUTED_VALUE"""),367.8)</f>
        <v>367.8</v>
      </c>
      <c r="F39" s="110">
        <f>IFERROR(__xludf.DUMMYFUNCTION("""COMPUTED_VALUE"""),9.79)</f>
        <v>9.79</v>
      </c>
      <c r="G39" s="110">
        <f>IFERROR(__xludf.DUMMYFUNCTION("""COMPUTED_VALUE"""),154.73)</f>
        <v>154.73</v>
      </c>
      <c r="H39" s="110">
        <f>IFERROR(__xludf.DUMMYFUNCTION("""COMPUTED_VALUE"""),20.2)</f>
        <v>20.2</v>
      </c>
      <c r="I39" s="110">
        <f>IFERROR(__xludf.DUMMYFUNCTION("""COMPUTED_VALUE"""),21.05)</f>
        <v>21.05</v>
      </c>
      <c r="J39" s="110">
        <f>IFERROR(__xludf.DUMMYFUNCTION("""COMPUTED_VALUE"""),0.11)</f>
        <v>0.11</v>
      </c>
      <c r="K39" s="110">
        <f>IFERROR(__xludf.DUMMYFUNCTION("""COMPUTED_VALUE"""),33.6)</f>
        <v>33.6</v>
      </c>
      <c r="L39" s="110">
        <f>IFERROR(__xludf.DUMMYFUNCTION("""COMPUTED_VALUE"""),135.4)</f>
        <v>135.4</v>
      </c>
      <c r="M39" s="110">
        <f>IFERROR(__xludf.DUMMYFUNCTION("""COMPUTED_VALUE"""),38966.79)</f>
        <v>38966.79</v>
      </c>
      <c r="N39" s="110">
        <f>IFERROR(__xludf.DUMMYFUNCTION("""COMPUTED_VALUE"""),340.32)</f>
        <v>340.32</v>
      </c>
      <c r="O39" s="110">
        <f>IFERROR(__xludf.DUMMYFUNCTION("""COMPUTED_VALUE"""),280.07)</f>
        <v>280.07</v>
      </c>
      <c r="P39" s="110">
        <f>IFERROR(__xludf.DUMMYFUNCTION("""COMPUTED_VALUE"""),21.63)</f>
        <v>21.63</v>
      </c>
      <c r="Q39" s="110">
        <f>IFERROR(__xludf.DUMMYFUNCTION("""COMPUTED_VALUE"""),23.8)</f>
        <v>23.8</v>
      </c>
      <c r="R39" s="110">
        <f>IFERROR(__xludf.DUMMYFUNCTION("""COMPUTED_VALUE"""),47.99)</f>
        <v>47.99</v>
      </c>
      <c r="S39" s="110">
        <f>IFERROR(__xludf.DUMMYFUNCTION("""COMPUTED_VALUE"""),25.51)</f>
        <v>25.51</v>
      </c>
      <c r="T39" s="110">
        <f>IFERROR(__xludf.DUMMYFUNCTION("""COMPUTED_VALUE"""),22.91)</f>
        <v>22.91</v>
      </c>
      <c r="U39" s="110">
        <f>IFERROR(__xludf.DUMMYFUNCTION("""COMPUTED_VALUE"""),40.11)</f>
        <v>40.11</v>
      </c>
      <c r="V39" s="110">
        <f>IFERROR(__xludf.DUMMYFUNCTION("""COMPUTED_VALUE"""),15.38)</f>
        <v>15.38</v>
      </c>
      <c r="W39" s="110">
        <f>IFERROR(__xludf.DUMMYFUNCTION("""COMPUTED_VALUE"""),226.87)</f>
        <v>226.87</v>
      </c>
      <c r="X39" s="110">
        <f>IFERROR(__xludf.DUMMYFUNCTION("""COMPUTED_VALUE"""),2609.51)</f>
        <v>2609.51</v>
      </c>
      <c r="Y39" s="110">
        <f>IFERROR(__xludf.DUMMYFUNCTION("""COMPUTED_VALUE"""),54.85)</f>
        <v>54.85</v>
      </c>
      <c r="Z39" s="110">
        <f>IFERROR(__xludf.DUMMYFUNCTION("""COMPUTED_VALUE"""),53.25)</f>
        <v>53.25</v>
      </c>
      <c r="AA39" s="110">
        <f>IFERROR(__xludf.DUMMYFUNCTION("""COMPUTED_VALUE"""),88.72)</f>
        <v>88.72</v>
      </c>
      <c r="AB39" s="110">
        <f>IFERROR(__xludf.DUMMYFUNCTION("""COMPUTED_VALUE"""),4.58)</f>
        <v>4.58</v>
      </c>
      <c r="AC39" s="110">
        <f>IFERROR(__xludf.DUMMYFUNCTION("""COMPUTED_VALUE"""),76.85)</f>
        <v>76.85</v>
      </c>
      <c r="AD39" s="110">
        <f>IFERROR(__xludf.DUMMYFUNCTION("""COMPUTED_VALUE"""),11.74)</f>
        <v>11.74</v>
      </c>
      <c r="AE39" s="110">
        <f>IFERROR(__xludf.DUMMYFUNCTION("""COMPUTED_VALUE"""),5.75)</f>
        <v>5.75</v>
      </c>
      <c r="AF39" s="110">
        <f>IFERROR(__xludf.DUMMYFUNCTION("""COMPUTED_VALUE"""),41.17)</f>
        <v>41.17</v>
      </c>
      <c r="AG39" s="110">
        <f>IFERROR(__xludf.DUMMYFUNCTION("""COMPUTED_VALUE"""),12.68)</f>
        <v>12.68</v>
      </c>
      <c r="AH39" s="110">
        <f>IFERROR(__xludf.DUMMYFUNCTION("""COMPUTED_VALUE"""),2.01)</f>
        <v>2.01</v>
      </c>
      <c r="AI39" s="110">
        <f>IFERROR(__xludf.DUMMYFUNCTION("""COMPUTED_VALUE"""),3.28)</f>
        <v>3.28</v>
      </c>
      <c r="AJ39" s="110">
        <f>IFERROR(__xludf.DUMMYFUNCTION("""COMPUTED_VALUE"""),97.85)</f>
        <v>97.85</v>
      </c>
      <c r="AK39" s="110">
        <f>IFERROR(__xludf.DUMMYFUNCTION("""COMPUTED_VALUE"""),221.0)</f>
        <v>221</v>
      </c>
      <c r="AL39" s="110">
        <f>IFERROR(__xludf.DUMMYFUNCTION("""COMPUTED_VALUE"""),13.66)</f>
        <v>13.66</v>
      </c>
      <c r="AM39" s="110">
        <f>IFERROR(__xludf.DUMMYFUNCTION("""COMPUTED_VALUE"""),40.33)</f>
        <v>40.33</v>
      </c>
      <c r="AN39" s="110">
        <f>IFERROR(__xludf.DUMMYFUNCTION("""COMPUTED_VALUE"""),326.6)</f>
        <v>326.6</v>
      </c>
      <c r="AO39" s="110">
        <f>IFERROR(__xludf.DUMMYFUNCTION("""COMPUTED_VALUE"""),97.31)</f>
        <v>97.31</v>
      </c>
      <c r="AP39" s="110">
        <f>IFERROR(__xludf.DUMMYFUNCTION("""COMPUTED_VALUE"""),80.31)</f>
        <v>80.31</v>
      </c>
      <c r="AQ39" s="110">
        <f>IFERROR(__xludf.DUMMYFUNCTION("""COMPUTED_VALUE"""),44.76)</f>
        <v>44.76</v>
      </c>
      <c r="AR39" s="109">
        <f>IFERROR(__xludf.DUMMYFUNCTION("""COMPUTED_VALUE"""),103.7175)</f>
        <v>103.7175</v>
      </c>
      <c r="AS39" s="110">
        <f>IFERROR(__xludf.DUMMYFUNCTION("""COMPUTED_VALUE"""),19.92)</f>
        <v>19.92</v>
      </c>
      <c r="AT39" s="110">
        <f>IFERROR(__xludf.DUMMYFUNCTION("""COMPUTED_VALUE"""),90.8)</f>
        <v>90.8</v>
      </c>
      <c r="AU39" s="110">
        <f>IFERROR(__xludf.DUMMYFUNCTION("""COMPUTED_VALUE"""),62.48)</f>
        <v>62.48</v>
      </c>
      <c r="AV39" s="110">
        <f>IFERROR(__xludf.DUMMYFUNCTION("""COMPUTED_VALUE"""),131.75)</f>
        <v>131.75</v>
      </c>
      <c r="AW39" s="110">
        <f>IFERROR(__xludf.DUMMYFUNCTION("""COMPUTED_VALUE"""),123.64)</f>
        <v>123.64</v>
      </c>
      <c r="AX39" s="110">
        <f>IFERROR(__xludf.DUMMYFUNCTION("""COMPUTED_VALUE"""),20.7)</f>
        <v>20.7</v>
      </c>
      <c r="AY39" s="110">
        <f>IFERROR(__xludf.DUMMYFUNCTION("""COMPUTED_VALUE"""),39.24)</f>
        <v>39.24</v>
      </c>
      <c r="AZ39" s="110">
        <f>IFERROR(__xludf.DUMMYFUNCTION("""COMPUTED_VALUE"""),0.0)</f>
        <v>0</v>
      </c>
      <c r="BA39" s="110">
        <f>IFERROR(__xludf.DUMMYFUNCTION("""COMPUTED_VALUE"""),0.0)</f>
        <v>0</v>
      </c>
      <c r="BB39" s="110">
        <f>IFERROR(__xludf.DUMMYFUNCTION("""COMPUTED_VALUE"""),11.44)</f>
        <v>11.44</v>
      </c>
      <c r="BC39" s="110">
        <f>IFERROR(__xludf.DUMMYFUNCTION("""COMPUTED_VALUE"""),10.71)</f>
        <v>10.71</v>
      </c>
      <c r="BD39" s="110">
        <f>IFERROR(__xludf.DUMMYFUNCTION("""COMPUTED_VALUE"""),172.0)</f>
        <v>172</v>
      </c>
      <c r="BE39" s="110">
        <f>IFERROR(__xludf.DUMMYFUNCTION("""COMPUTED_VALUE"""),129.0)</f>
        <v>129</v>
      </c>
      <c r="BF39" s="110">
        <f>IFERROR(__xludf.DUMMYFUNCTION("""COMPUTED_VALUE"""),9.75)</f>
        <v>9.75</v>
      </c>
      <c r="BG39" s="110">
        <f>IFERROR(__xludf.DUMMYFUNCTION("""COMPUTED_VALUE"""),546.03)</f>
        <v>546.03</v>
      </c>
      <c r="BH39" s="110">
        <f>IFERROR(__xludf.DUMMYFUNCTION("""COMPUTED_VALUE"""),246.39)</f>
        <v>246.39</v>
      </c>
      <c r="BI39" s="110">
        <f>IFERROR(__xludf.DUMMYFUNCTION("""COMPUTED_VALUE"""),228.85)</f>
        <v>228.85</v>
      </c>
      <c r="BJ39" s="110">
        <f>IFERROR(__xludf.DUMMYFUNCTION("""COMPUTED_VALUE"""),22.92)</f>
        <v>22.92</v>
      </c>
      <c r="BK39" s="110">
        <f>IFERROR(__xludf.DUMMYFUNCTION("""COMPUTED_VALUE"""),293.69)</f>
        <v>293.69</v>
      </c>
      <c r="BL39" s="110">
        <f>IFERROR(__xludf.DUMMYFUNCTION("""COMPUTED_VALUE"""),124.57)</f>
        <v>124.57</v>
      </c>
      <c r="BM39" s="110">
        <f>IFERROR(__xludf.DUMMYFUNCTION("""COMPUTED_VALUE"""),16.04)</f>
        <v>16.04</v>
      </c>
      <c r="BN39" s="110">
        <f>IFERROR(__xludf.DUMMYFUNCTION("""COMPUTED_VALUE"""),301.52)</f>
        <v>301.52</v>
      </c>
      <c r="BO39" s="110">
        <f>IFERROR(__xludf.DUMMYFUNCTION("""COMPUTED_VALUE"""),651.0)</f>
        <v>651</v>
      </c>
      <c r="BP39" s="110">
        <f>IFERROR(__xludf.DUMMYFUNCTION("""COMPUTED_VALUE"""),38.05)</f>
        <v>38.05</v>
      </c>
      <c r="BQ39" s="110">
        <f>IFERROR(__xludf.DUMMYFUNCTION("""COMPUTED_VALUE"""),8.55)</f>
        <v>8.55</v>
      </c>
      <c r="BR39" s="110">
        <f>IFERROR(__xludf.DUMMYFUNCTION("""COMPUTED_VALUE"""),30.69)</f>
        <v>30.69</v>
      </c>
      <c r="BS39" s="110">
        <f>IFERROR(__xludf.DUMMYFUNCTION("""COMPUTED_VALUE"""),0.87)</f>
        <v>0.87</v>
      </c>
      <c r="BT39" s="110">
        <f>IFERROR(__xludf.DUMMYFUNCTION("""COMPUTED_VALUE"""),46.54)</f>
        <v>46.54</v>
      </c>
      <c r="BU39" s="110">
        <f>IFERROR(__xludf.DUMMYFUNCTION("""COMPUTED_VALUE"""),35.65)</f>
        <v>35.65</v>
      </c>
      <c r="BV39" s="110">
        <f>IFERROR(__xludf.DUMMYFUNCTION("""COMPUTED_VALUE"""),51.55)</f>
        <v>51.55</v>
      </c>
      <c r="BW39" s="110">
        <f>IFERROR(__xludf.DUMMYFUNCTION("""COMPUTED_VALUE"""),6.54)</f>
        <v>6.54</v>
      </c>
      <c r="BX39" s="110">
        <f>IFERROR(__xludf.DUMMYFUNCTION("""COMPUTED_VALUE"""),3.93)</f>
        <v>3.93</v>
      </c>
      <c r="BY39" s="110">
        <f>IFERROR(__xludf.DUMMYFUNCTION("""COMPUTED_VALUE"""),0.0)</f>
        <v>0</v>
      </c>
      <c r="BZ39" s="110">
        <f>IFERROR(__xludf.DUMMYFUNCTION("""COMPUTED_VALUE"""),15.05)</f>
        <v>15.05</v>
      </c>
      <c r="CA39" s="110">
        <f>IFERROR(__xludf.DUMMYFUNCTION("""COMPUTED_VALUE"""),3.82)</f>
        <v>3.82</v>
      </c>
      <c r="CB39" s="110">
        <f>IFERROR(__xludf.DUMMYFUNCTION("""COMPUTED_VALUE"""),5.67)</f>
        <v>5.67</v>
      </c>
      <c r="CC39" s="110">
        <f>IFERROR(__xludf.DUMMYFUNCTION("""COMPUTED_VALUE"""),18.85)</f>
        <v>18.85</v>
      </c>
      <c r="CD39" s="110">
        <f>IFERROR(__xludf.DUMMYFUNCTION("""COMPUTED_VALUE"""),14.98)</f>
        <v>14.98</v>
      </c>
      <c r="CE39" s="110">
        <f>IFERROR(__xludf.DUMMYFUNCTION("""COMPUTED_VALUE"""),30.61)</f>
        <v>30.61</v>
      </c>
      <c r="CF39" s="110">
        <f>IFERROR(__xludf.DUMMYFUNCTION("""COMPUTED_VALUE"""),109.09)</f>
        <v>109.09</v>
      </c>
      <c r="CG39" s="110">
        <f>IFERROR(__xludf.DUMMYFUNCTION("""COMPUTED_VALUE"""),5.47)</f>
        <v>5.47</v>
      </c>
      <c r="CH39" s="110">
        <f>IFERROR(__xludf.DUMMYFUNCTION("""COMPUTED_VALUE"""),24.35)</f>
        <v>24.35</v>
      </c>
      <c r="CI39" s="110">
        <f>IFERROR(__xludf.DUMMYFUNCTION("""COMPUTED_VALUE"""),57.25)</f>
        <v>57.25</v>
      </c>
      <c r="CJ39" s="110">
        <f>IFERROR(__xludf.DUMMYFUNCTION("""COMPUTED_VALUE"""),20.0)</f>
        <v>20</v>
      </c>
      <c r="CK39" s="110">
        <f>IFERROR(__xludf.DUMMYFUNCTION("""COMPUTED_VALUE"""),13.09)</f>
        <v>13.09</v>
      </c>
      <c r="CL39" s="110">
        <f>IFERROR(__xludf.DUMMYFUNCTION("""COMPUTED_VALUE"""),2597.41)</f>
        <v>2597.41</v>
      </c>
      <c r="CM39" s="110">
        <f>IFERROR(__xludf.DUMMYFUNCTION("""COMPUTED_VALUE"""),6.0)</f>
        <v>6</v>
      </c>
      <c r="CN39" s="110">
        <f>IFERROR(__xludf.DUMMYFUNCTION("""COMPUTED_VALUE"""),166.2)</f>
        <v>166.2</v>
      </c>
      <c r="CO39" s="110">
        <f>IFERROR(__xludf.DUMMYFUNCTION("""COMPUTED_VALUE"""),131.5)</f>
        <v>131.5</v>
      </c>
      <c r="CP39" s="110">
        <f>IFERROR(__xludf.DUMMYFUNCTION("""COMPUTED_VALUE"""),55.58)</f>
        <v>55.58</v>
      </c>
      <c r="CQ39" s="110">
        <f>IFERROR(__xludf.DUMMYFUNCTION("""COMPUTED_VALUE"""),70000.0)</f>
        <v>70000</v>
      </c>
      <c r="CR39" s="110">
        <f>IFERROR(__xludf.DUMMYFUNCTION("""COMPUTED_VALUE"""),0.52)</f>
        <v>0.52</v>
      </c>
      <c r="CS39" s="110">
        <f>IFERROR(__xludf.DUMMYFUNCTION("""COMPUTED_VALUE"""),35.8)</f>
        <v>35.8</v>
      </c>
      <c r="CT39" s="110">
        <f>IFERROR(__xludf.DUMMYFUNCTION("""COMPUTED_VALUE"""),20.8)</f>
        <v>20.8</v>
      </c>
      <c r="CU39" s="110">
        <f>IFERROR(__xludf.DUMMYFUNCTION("""COMPUTED_VALUE"""),1992.3)</f>
        <v>1992.3</v>
      </c>
      <c r="CV39" s="110">
        <f>IFERROR(__xludf.DUMMYFUNCTION("""COMPUTED_VALUE"""),2.74)</f>
        <v>2.74</v>
      </c>
      <c r="CW39" s="110">
        <f>IFERROR(__xludf.DUMMYFUNCTION("""COMPUTED_VALUE"""),2.75)</f>
        <v>2.75</v>
      </c>
      <c r="CX39" s="110">
        <f>IFERROR(__xludf.DUMMYFUNCTION("""COMPUTED_VALUE"""),13.69)</f>
        <v>13.69</v>
      </c>
      <c r="CY39" s="110">
        <f>IFERROR(__xludf.DUMMYFUNCTION("""COMPUTED_VALUE"""),0.04)</f>
        <v>0.04</v>
      </c>
      <c r="CZ39" s="110">
        <f>IFERROR(__xludf.DUMMYFUNCTION("""COMPUTED_VALUE"""),69.15)</f>
        <v>69.15</v>
      </c>
      <c r="DA39" s="110">
        <f>IFERROR(__xludf.DUMMYFUNCTION("""COMPUTED_VALUE"""),0.53)</f>
        <v>0.53</v>
      </c>
      <c r="DB39" s="110">
        <f>IFERROR(__xludf.DUMMYFUNCTION("""COMPUTED_VALUE"""),0.15)</f>
        <v>0.15</v>
      </c>
      <c r="DC39" s="110">
        <f>IFERROR(__xludf.DUMMYFUNCTION("""COMPUTED_VALUE"""),144.06)</f>
        <v>144.06</v>
      </c>
      <c r="DD39" s="110">
        <f>IFERROR(__xludf.DUMMYFUNCTION("""COMPUTED_VALUE"""),11.6)</f>
        <v>11.6</v>
      </c>
      <c r="DE39" s="110">
        <f>IFERROR(__xludf.DUMMYFUNCTION("""COMPUTED_VALUE"""),7.63)</f>
        <v>7.63</v>
      </c>
      <c r="DF39" s="110">
        <f>IFERROR(__xludf.DUMMYFUNCTION("""COMPUTED_VALUE"""),54.55)</f>
        <v>54.55</v>
      </c>
      <c r="DG39" s="110">
        <f>IFERROR(__xludf.DUMMYFUNCTION("""COMPUTED_VALUE"""),5.48)</f>
        <v>5.48</v>
      </c>
      <c r="DH39" s="110">
        <f>IFERROR(__xludf.DUMMYFUNCTION("""COMPUTED_VALUE"""),11.32)</f>
        <v>11.32</v>
      </c>
      <c r="DI39" s="110">
        <f>IFERROR(__xludf.DUMMYFUNCTION("""COMPUTED_VALUE"""),142.07)</f>
        <v>142.07</v>
      </c>
      <c r="DJ39" s="110">
        <f>IFERROR(__xludf.DUMMYFUNCTION("""COMPUTED_VALUE"""),11.03)</f>
        <v>11.03</v>
      </c>
      <c r="DK39" s="110">
        <f>IFERROR(__xludf.DUMMYFUNCTION("""COMPUTED_VALUE"""),2.15)</f>
        <v>2.15</v>
      </c>
      <c r="DL39" s="110">
        <f>IFERROR(__xludf.DUMMYFUNCTION("""COMPUTED_VALUE"""),27.05)</f>
        <v>27.05</v>
      </c>
      <c r="DM39" s="110">
        <f>IFERROR(__xludf.DUMMYFUNCTION("""COMPUTED_VALUE"""),439.04)</f>
        <v>439.04</v>
      </c>
      <c r="DN39" s="110">
        <f>IFERROR(__xludf.DUMMYFUNCTION("""COMPUTED_VALUE"""),145.14)</f>
        <v>145.14</v>
      </c>
      <c r="DO39" s="110">
        <f>IFERROR(__xludf.DUMMYFUNCTION("""COMPUTED_VALUE"""),346.6)</f>
        <v>346.6</v>
      </c>
      <c r="DP39" s="110">
        <f>IFERROR(__xludf.DUMMYFUNCTION("""COMPUTED_VALUE"""),8.33)</f>
        <v>8.33</v>
      </c>
      <c r="DQ39" s="110">
        <f>IFERROR(__xludf.DUMMYFUNCTION("""COMPUTED_VALUE"""),86.71)</f>
        <v>86.71</v>
      </c>
      <c r="DR39" s="110">
        <f>IFERROR(__xludf.DUMMYFUNCTION("""COMPUTED_VALUE"""),2.82)</f>
        <v>2.82</v>
      </c>
      <c r="DS39" s="108" t="str">
        <f>IFERROR(__xludf.DUMMYFUNCTION("""COMPUTED_VALUE"""),"")</f>
        <v/>
      </c>
      <c r="DT39" s="108" t="str">
        <f>IFERROR(__xludf.DUMMYFUNCTION("""COMPUTED_VALUE"""),"")</f>
        <v/>
      </c>
      <c r="DU39" s="108" t="str">
        <f>IFERROR(__xludf.DUMMYFUNCTION("""COMPUTED_VALUE"""),"")</f>
        <v/>
      </c>
      <c r="DV39" s="108" t="str">
        <f>IFERROR(__xludf.DUMMYFUNCTION("""COMPUTED_VALUE"""),"")</f>
        <v/>
      </c>
      <c r="DW39" s="108" t="str">
        <f>IFERROR(__xludf.DUMMYFUNCTION("""COMPUTED_VALUE"""),"")</f>
        <v/>
      </c>
      <c r="DX39" s="108" t="str">
        <f>IFERROR(__xludf.DUMMYFUNCTION("""COMPUTED_VALUE"""),"")</f>
        <v/>
      </c>
      <c r="DY39" s="108" t="str">
        <f>IFERROR(__xludf.DUMMYFUNCTION("""COMPUTED_VALUE"""),"")</f>
        <v/>
      </c>
      <c r="DZ39" s="108" t="str">
        <f>IFERROR(__xludf.DUMMYFUNCTION("""COMPUTED_VALUE"""),"")</f>
        <v/>
      </c>
      <c r="EA39" s="108" t="str">
        <f>IFERROR(__xludf.DUMMYFUNCTION("""COMPUTED_VALUE"""),"")</f>
        <v/>
      </c>
      <c r="EB39" s="108" t="str">
        <f>IFERROR(__xludf.DUMMYFUNCTION("""COMPUTED_VALUE"""),"")</f>
        <v/>
      </c>
      <c r="EC39" s="108" t="str">
        <f>IFERROR(__xludf.DUMMYFUNCTION("""COMPUTED_VALUE"""),"")</f>
        <v/>
      </c>
      <c r="ED39" s="108" t="str">
        <f>IFERROR(__xludf.DUMMYFUNCTION("""COMPUTED_VALUE"""),"")</f>
        <v/>
      </c>
      <c r="EE39" s="108" t="str">
        <f>IFERROR(__xludf.DUMMYFUNCTION("""COMPUTED_VALUE"""),"")</f>
        <v/>
      </c>
      <c r="EF39" s="108" t="str">
        <f>IFERROR(__xludf.DUMMYFUNCTION("""COMPUTED_VALUE"""),"")</f>
        <v/>
      </c>
      <c r="EG39" s="108" t="str">
        <f>IFERROR(__xludf.DUMMYFUNCTION("""COMPUTED_VALUE"""),"")</f>
        <v/>
      </c>
      <c r="EH39" s="108" t="str">
        <f>IFERROR(__xludf.DUMMYFUNCTION("""COMPUTED_VALUE"""),"")</f>
        <v/>
      </c>
      <c r="EI39" s="108" t="str">
        <f>IFERROR(__xludf.DUMMYFUNCTION("""COMPUTED_VALUE"""),"")</f>
        <v/>
      </c>
      <c r="EJ39" s="108" t="str">
        <f>IFERROR(__xludf.DUMMYFUNCTION("""COMPUTED_VALUE"""),"")</f>
        <v/>
      </c>
      <c r="EK39" s="108"/>
      <c r="EL39" s="108"/>
      <c r="EM39" s="108"/>
      <c r="EN39" s="108"/>
      <c r="EO39" s="108"/>
      <c r="EP39" s="108"/>
      <c r="EQ39" s="108"/>
      <c r="ER39" s="108"/>
      <c r="ES39" s="108"/>
      <c r="ET39" s="108"/>
      <c r="EU39" s="108"/>
      <c r="EV39" s="108"/>
      <c r="EW39" s="108"/>
      <c r="EX39" s="108"/>
      <c r="EY39" s="108"/>
      <c r="EZ39" s="108"/>
      <c r="FA39" s="108"/>
      <c r="FB39" s="108"/>
      <c r="FC39" s="108"/>
      <c r="FD39" s="108"/>
      <c r="FE39" s="108"/>
      <c r="FF39" s="108"/>
      <c r="FG39" s="108"/>
      <c r="FH39" s="108"/>
      <c r="FI39" s="108"/>
      <c r="FJ39" s="108"/>
      <c r="FK39" s="108"/>
      <c r="FL39" s="108"/>
      <c r="FM39" s="108"/>
      <c r="FN39" s="108"/>
      <c r="FO39" s="108"/>
    </row>
    <row r="40">
      <c r="A40" s="106">
        <f>IFERROR(__xludf.DUMMYFUNCTION("""COMPUTED_VALUE"""),44632.0)</f>
        <v>44632</v>
      </c>
      <c r="B40" s="110">
        <f>IFERROR(__xludf.DUMMYFUNCTION("""COMPUTED_VALUE"""),2910.49)</f>
        <v>2910.49</v>
      </c>
      <c r="C40" s="110">
        <f>IFERROR(__xludf.DUMMYFUNCTION("""COMPUTED_VALUE"""),187.61)</f>
        <v>187.61</v>
      </c>
      <c r="D40" s="110">
        <f>IFERROR(__xludf.DUMMYFUNCTION("""COMPUTED_VALUE"""),795.35)</f>
        <v>795.35</v>
      </c>
      <c r="E40" s="110">
        <f>IFERROR(__xludf.DUMMYFUNCTION("""COMPUTED_VALUE"""),367.8)</f>
        <v>367.8</v>
      </c>
      <c r="F40" s="110">
        <f>IFERROR(__xludf.DUMMYFUNCTION("""COMPUTED_VALUE"""),9.79)</f>
        <v>9.79</v>
      </c>
      <c r="G40" s="110">
        <f>IFERROR(__xludf.DUMMYFUNCTION("""COMPUTED_VALUE"""),154.73)</f>
        <v>154.73</v>
      </c>
      <c r="H40" s="110">
        <f>IFERROR(__xludf.DUMMYFUNCTION("""COMPUTED_VALUE"""),20.2)</f>
        <v>20.2</v>
      </c>
      <c r="I40" s="110">
        <f>IFERROR(__xludf.DUMMYFUNCTION("""COMPUTED_VALUE"""),21.05)</f>
        <v>21.05</v>
      </c>
      <c r="J40" s="110">
        <f>IFERROR(__xludf.DUMMYFUNCTION("""COMPUTED_VALUE"""),0.11)</f>
        <v>0.11</v>
      </c>
      <c r="K40" s="110">
        <f>IFERROR(__xludf.DUMMYFUNCTION("""COMPUTED_VALUE"""),33.6)</f>
        <v>33.6</v>
      </c>
      <c r="L40" s="110">
        <f>IFERROR(__xludf.DUMMYFUNCTION("""COMPUTED_VALUE"""),135.4)</f>
        <v>135.4</v>
      </c>
      <c r="M40" s="110">
        <f>IFERROR(__xludf.DUMMYFUNCTION("""COMPUTED_VALUE"""),38966.79)</f>
        <v>38966.79</v>
      </c>
      <c r="N40" s="110">
        <f>IFERROR(__xludf.DUMMYFUNCTION("""COMPUTED_VALUE"""),340.32)</f>
        <v>340.32</v>
      </c>
      <c r="O40" s="110">
        <f>IFERROR(__xludf.DUMMYFUNCTION("""COMPUTED_VALUE"""),280.07)</f>
        <v>280.07</v>
      </c>
      <c r="P40" s="110">
        <f>IFERROR(__xludf.DUMMYFUNCTION("""COMPUTED_VALUE"""),21.63)</f>
        <v>21.63</v>
      </c>
      <c r="Q40" s="110">
        <f>IFERROR(__xludf.DUMMYFUNCTION("""COMPUTED_VALUE"""),23.8)</f>
        <v>23.8</v>
      </c>
      <c r="R40" s="110">
        <f>IFERROR(__xludf.DUMMYFUNCTION("""COMPUTED_VALUE"""),47.99)</f>
        <v>47.99</v>
      </c>
      <c r="S40" s="110">
        <f>IFERROR(__xludf.DUMMYFUNCTION("""COMPUTED_VALUE"""),25.51)</f>
        <v>25.51</v>
      </c>
      <c r="T40" s="110">
        <f>IFERROR(__xludf.DUMMYFUNCTION("""COMPUTED_VALUE"""),22.91)</f>
        <v>22.91</v>
      </c>
      <c r="U40" s="110">
        <f>IFERROR(__xludf.DUMMYFUNCTION("""COMPUTED_VALUE"""),40.11)</f>
        <v>40.11</v>
      </c>
      <c r="V40" s="110">
        <f>IFERROR(__xludf.DUMMYFUNCTION("""COMPUTED_VALUE"""),15.38)</f>
        <v>15.38</v>
      </c>
      <c r="W40" s="110">
        <f>IFERROR(__xludf.DUMMYFUNCTION("""COMPUTED_VALUE"""),226.87)</f>
        <v>226.87</v>
      </c>
      <c r="X40" s="110">
        <f>IFERROR(__xludf.DUMMYFUNCTION("""COMPUTED_VALUE"""),2609.51)</f>
        <v>2609.51</v>
      </c>
      <c r="Y40" s="110">
        <f>IFERROR(__xludf.DUMMYFUNCTION("""COMPUTED_VALUE"""),54.85)</f>
        <v>54.85</v>
      </c>
      <c r="Z40" s="110">
        <f>IFERROR(__xludf.DUMMYFUNCTION("""COMPUTED_VALUE"""),53.25)</f>
        <v>53.25</v>
      </c>
      <c r="AA40" s="110">
        <f>IFERROR(__xludf.DUMMYFUNCTION("""COMPUTED_VALUE"""),88.72)</f>
        <v>88.72</v>
      </c>
      <c r="AB40" s="110">
        <f>IFERROR(__xludf.DUMMYFUNCTION("""COMPUTED_VALUE"""),4.58)</f>
        <v>4.58</v>
      </c>
      <c r="AC40" s="110">
        <f>IFERROR(__xludf.DUMMYFUNCTION("""COMPUTED_VALUE"""),76.85)</f>
        <v>76.85</v>
      </c>
      <c r="AD40" s="110">
        <f>IFERROR(__xludf.DUMMYFUNCTION("""COMPUTED_VALUE"""),11.74)</f>
        <v>11.74</v>
      </c>
      <c r="AE40" s="110">
        <f>IFERROR(__xludf.DUMMYFUNCTION("""COMPUTED_VALUE"""),5.75)</f>
        <v>5.75</v>
      </c>
      <c r="AF40" s="110">
        <f>IFERROR(__xludf.DUMMYFUNCTION("""COMPUTED_VALUE"""),41.17)</f>
        <v>41.17</v>
      </c>
      <c r="AG40" s="110">
        <f>IFERROR(__xludf.DUMMYFUNCTION("""COMPUTED_VALUE"""),12.68)</f>
        <v>12.68</v>
      </c>
      <c r="AH40" s="110">
        <f>IFERROR(__xludf.DUMMYFUNCTION("""COMPUTED_VALUE"""),2.01)</f>
        <v>2.01</v>
      </c>
      <c r="AI40" s="110">
        <f>IFERROR(__xludf.DUMMYFUNCTION("""COMPUTED_VALUE"""),3.28)</f>
        <v>3.28</v>
      </c>
      <c r="AJ40" s="110">
        <f>IFERROR(__xludf.DUMMYFUNCTION("""COMPUTED_VALUE"""),97.85)</f>
        <v>97.85</v>
      </c>
      <c r="AK40" s="110">
        <f>IFERROR(__xludf.DUMMYFUNCTION("""COMPUTED_VALUE"""),221.0)</f>
        <v>221</v>
      </c>
      <c r="AL40" s="110">
        <f>IFERROR(__xludf.DUMMYFUNCTION("""COMPUTED_VALUE"""),13.66)</f>
        <v>13.66</v>
      </c>
      <c r="AM40" s="110">
        <f>IFERROR(__xludf.DUMMYFUNCTION("""COMPUTED_VALUE"""),40.33)</f>
        <v>40.33</v>
      </c>
      <c r="AN40" s="110">
        <f>IFERROR(__xludf.DUMMYFUNCTION("""COMPUTED_VALUE"""),326.6)</f>
        <v>326.6</v>
      </c>
      <c r="AO40" s="110">
        <f>IFERROR(__xludf.DUMMYFUNCTION("""COMPUTED_VALUE"""),97.31)</f>
        <v>97.31</v>
      </c>
      <c r="AP40" s="110">
        <f>IFERROR(__xludf.DUMMYFUNCTION("""COMPUTED_VALUE"""),80.31)</f>
        <v>80.31</v>
      </c>
      <c r="AQ40" s="110">
        <f>IFERROR(__xludf.DUMMYFUNCTION("""COMPUTED_VALUE"""),44.76)</f>
        <v>44.76</v>
      </c>
      <c r="AR40" s="109">
        <f>IFERROR(__xludf.DUMMYFUNCTION("""COMPUTED_VALUE"""),104.255)</f>
        <v>104.255</v>
      </c>
      <c r="AS40" s="110">
        <f>IFERROR(__xludf.DUMMYFUNCTION("""COMPUTED_VALUE"""),19.92)</f>
        <v>19.92</v>
      </c>
      <c r="AT40" s="110">
        <f>IFERROR(__xludf.DUMMYFUNCTION("""COMPUTED_VALUE"""),90.8)</f>
        <v>90.8</v>
      </c>
      <c r="AU40" s="110">
        <f>IFERROR(__xludf.DUMMYFUNCTION("""COMPUTED_VALUE"""),62.48)</f>
        <v>62.48</v>
      </c>
      <c r="AV40" s="110">
        <f>IFERROR(__xludf.DUMMYFUNCTION("""COMPUTED_VALUE"""),131.75)</f>
        <v>131.75</v>
      </c>
      <c r="AW40" s="110">
        <f>IFERROR(__xludf.DUMMYFUNCTION("""COMPUTED_VALUE"""),123.64)</f>
        <v>123.64</v>
      </c>
      <c r="AX40" s="110">
        <f>IFERROR(__xludf.DUMMYFUNCTION("""COMPUTED_VALUE"""),20.7)</f>
        <v>20.7</v>
      </c>
      <c r="AY40" s="110">
        <f>IFERROR(__xludf.DUMMYFUNCTION("""COMPUTED_VALUE"""),39.24)</f>
        <v>39.24</v>
      </c>
      <c r="AZ40" s="110">
        <f>IFERROR(__xludf.DUMMYFUNCTION("""COMPUTED_VALUE"""),0.0)</f>
        <v>0</v>
      </c>
      <c r="BA40" s="110">
        <f>IFERROR(__xludf.DUMMYFUNCTION("""COMPUTED_VALUE"""),0.0)</f>
        <v>0</v>
      </c>
      <c r="BB40" s="110">
        <f>IFERROR(__xludf.DUMMYFUNCTION("""COMPUTED_VALUE"""),11.44)</f>
        <v>11.44</v>
      </c>
      <c r="BC40" s="110">
        <f>IFERROR(__xludf.DUMMYFUNCTION("""COMPUTED_VALUE"""),10.71)</f>
        <v>10.71</v>
      </c>
      <c r="BD40" s="110">
        <f>IFERROR(__xludf.DUMMYFUNCTION("""COMPUTED_VALUE"""),172.0)</f>
        <v>172</v>
      </c>
      <c r="BE40" s="110">
        <f>IFERROR(__xludf.DUMMYFUNCTION("""COMPUTED_VALUE"""),129.0)</f>
        <v>129</v>
      </c>
      <c r="BF40" s="110">
        <f>IFERROR(__xludf.DUMMYFUNCTION("""COMPUTED_VALUE"""),9.75)</f>
        <v>9.75</v>
      </c>
      <c r="BG40" s="110">
        <f>IFERROR(__xludf.DUMMYFUNCTION("""COMPUTED_VALUE"""),546.03)</f>
        <v>546.03</v>
      </c>
      <c r="BH40" s="110">
        <f>IFERROR(__xludf.DUMMYFUNCTION("""COMPUTED_VALUE"""),246.39)</f>
        <v>246.39</v>
      </c>
      <c r="BI40" s="110">
        <f>IFERROR(__xludf.DUMMYFUNCTION("""COMPUTED_VALUE"""),228.85)</f>
        <v>228.85</v>
      </c>
      <c r="BJ40" s="110">
        <f>IFERROR(__xludf.DUMMYFUNCTION("""COMPUTED_VALUE"""),22.92)</f>
        <v>22.92</v>
      </c>
      <c r="BK40" s="110">
        <f>IFERROR(__xludf.DUMMYFUNCTION("""COMPUTED_VALUE"""),293.69)</f>
        <v>293.69</v>
      </c>
      <c r="BL40" s="110">
        <f>IFERROR(__xludf.DUMMYFUNCTION("""COMPUTED_VALUE"""),124.57)</f>
        <v>124.57</v>
      </c>
      <c r="BM40" s="110">
        <f>IFERROR(__xludf.DUMMYFUNCTION("""COMPUTED_VALUE"""),16.04)</f>
        <v>16.04</v>
      </c>
      <c r="BN40" s="110">
        <f>IFERROR(__xludf.DUMMYFUNCTION("""COMPUTED_VALUE"""),301.52)</f>
        <v>301.52</v>
      </c>
      <c r="BO40" s="110">
        <f>IFERROR(__xludf.DUMMYFUNCTION("""COMPUTED_VALUE"""),651.0)</f>
        <v>651</v>
      </c>
      <c r="BP40" s="110">
        <f>IFERROR(__xludf.DUMMYFUNCTION("""COMPUTED_VALUE"""),38.05)</f>
        <v>38.05</v>
      </c>
      <c r="BQ40" s="110">
        <f>IFERROR(__xludf.DUMMYFUNCTION("""COMPUTED_VALUE"""),8.55)</f>
        <v>8.55</v>
      </c>
      <c r="BR40" s="110">
        <f>IFERROR(__xludf.DUMMYFUNCTION("""COMPUTED_VALUE"""),30.69)</f>
        <v>30.69</v>
      </c>
      <c r="BS40" s="110">
        <f>IFERROR(__xludf.DUMMYFUNCTION("""COMPUTED_VALUE"""),0.87)</f>
        <v>0.87</v>
      </c>
      <c r="BT40" s="110">
        <f>IFERROR(__xludf.DUMMYFUNCTION("""COMPUTED_VALUE"""),46.54)</f>
        <v>46.54</v>
      </c>
      <c r="BU40" s="110">
        <f>IFERROR(__xludf.DUMMYFUNCTION("""COMPUTED_VALUE"""),35.65)</f>
        <v>35.65</v>
      </c>
      <c r="BV40" s="110">
        <f>IFERROR(__xludf.DUMMYFUNCTION("""COMPUTED_VALUE"""),51.55)</f>
        <v>51.55</v>
      </c>
      <c r="BW40" s="110">
        <f>IFERROR(__xludf.DUMMYFUNCTION("""COMPUTED_VALUE"""),6.54)</f>
        <v>6.54</v>
      </c>
      <c r="BX40" s="110">
        <f>IFERROR(__xludf.DUMMYFUNCTION("""COMPUTED_VALUE"""),3.93)</f>
        <v>3.93</v>
      </c>
      <c r="BY40" s="110">
        <f>IFERROR(__xludf.DUMMYFUNCTION("""COMPUTED_VALUE"""),0.0)</f>
        <v>0</v>
      </c>
      <c r="BZ40" s="110">
        <f>IFERROR(__xludf.DUMMYFUNCTION("""COMPUTED_VALUE"""),15.05)</f>
        <v>15.05</v>
      </c>
      <c r="CA40" s="110">
        <f>IFERROR(__xludf.DUMMYFUNCTION("""COMPUTED_VALUE"""),3.82)</f>
        <v>3.82</v>
      </c>
      <c r="CB40" s="110">
        <f>IFERROR(__xludf.DUMMYFUNCTION("""COMPUTED_VALUE"""),5.67)</f>
        <v>5.67</v>
      </c>
      <c r="CC40" s="110">
        <f>IFERROR(__xludf.DUMMYFUNCTION("""COMPUTED_VALUE"""),18.85)</f>
        <v>18.85</v>
      </c>
      <c r="CD40" s="110">
        <f>IFERROR(__xludf.DUMMYFUNCTION("""COMPUTED_VALUE"""),14.98)</f>
        <v>14.98</v>
      </c>
      <c r="CE40" s="110">
        <f>IFERROR(__xludf.DUMMYFUNCTION("""COMPUTED_VALUE"""),30.61)</f>
        <v>30.61</v>
      </c>
      <c r="CF40" s="110">
        <f>IFERROR(__xludf.DUMMYFUNCTION("""COMPUTED_VALUE"""),109.09)</f>
        <v>109.09</v>
      </c>
      <c r="CG40" s="110">
        <f>IFERROR(__xludf.DUMMYFUNCTION("""COMPUTED_VALUE"""),5.47)</f>
        <v>5.47</v>
      </c>
      <c r="CH40" s="110">
        <f>IFERROR(__xludf.DUMMYFUNCTION("""COMPUTED_VALUE"""),24.35)</f>
        <v>24.35</v>
      </c>
      <c r="CI40" s="110">
        <f>IFERROR(__xludf.DUMMYFUNCTION("""COMPUTED_VALUE"""),57.25)</f>
        <v>57.25</v>
      </c>
      <c r="CJ40" s="110">
        <f>IFERROR(__xludf.DUMMYFUNCTION("""COMPUTED_VALUE"""),20.0)</f>
        <v>20</v>
      </c>
      <c r="CK40" s="110">
        <f>IFERROR(__xludf.DUMMYFUNCTION("""COMPUTED_VALUE"""),13.09)</f>
        <v>13.09</v>
      </c>
      <c r="CL40" s="110">
        <f>IFERROR(__xludf.DUMMYFUNCTION("""COMPUTED_VALUE"""),2597.41)</f>
        <v>2597.41</v>
      </c>
      <c r="CM40" s="110">
        <f>IFERROR(__xludf.DUMMYFUNCTION("""COMPUTED_VALUE"""),6.0)</f>
        <v>6</v>
      </c>
      <c r="CN40" s="110">
        <f>IFERROR(__xludf.DUMMYFUNCTION("""COMPUTED_VALUE"""),166.2)</f>
        <v>166.2</v>
      </c>
      <c r="CO40" s="110">
        <f>IFERROR(__xludf.DUMMYFUNCTION("""COMPUTED_VALUE"""),131.5)</f>
        <v>131.5</v>
      </c>
      <c r="CP40" s="110">
        <f>IFERROR(__xludf.DUMMYFUNCTION("""COMPUTED_VALUE"""),55.58)</f>
        <v>55.58</v>
      </c>
      <c r="CQ40" s="110">
        <f>IFERROR(__xludf.DUMMYFUNCTION("""COMPUTED_VALUE"""),70000.0)</f>
        <v>70000</v>
      </c>
      <c r="CR40" s="110">
        <f>IFERROR(__xludf.DUMMYFUNCTION("""COMPUTED_VALUE"""),0.52)</f>
        <v>0.52</v>
      </c>
      <c r="CS40" s="110">
        <f>IFERROR(__xludf.DUMMYFUNCTION("""COMPUTED_VALUE"""),35.8)</f>
        <v>35.8</v>
      </c>
      <c r="CT40" s="110">
        <f>IFERROR(__xludf.DUMMYFUNCTION("""COMPUTED_VALUE"""),20.8)</f>
        <v>20.8</v>
      </c>
      <c r="CU40" s="110">
        <f>IFERROR(__xludf.DUMMYFUNCTION("""COMPUTED_VALUE"""),1992.3)</f>
        <v>1992.3</v>
      </c>
      <c r="CV40" s="110">
        <f>IFERROR(__xludf.DUMMYFUNCTION("""COMPUTED_VALUE"""),2.74)</f>
        <v>2.74</v>
      </c>
      <c r="CW40" s="110">
        <f>IFERROR(__xludf.DUMMYFUNCTION("""COMPUTED_VALUE"""),2.75)</f>
        <v>2.75</v>
      </c>
      <c r="CX40" s="110">
        <f>IFERROR(__xludf.DUMMYFUNCTION("""COMPUTED_VALUE"""),13.69)</f>
        <v>13.69</v>
      </c>
      <c r="CY40" s="110">
        <f>IFERROR(__xludf.DUMMYFUNCTION("""COMPUTED_VALUE"""),0.04)</f>
        <v>0.04</v>
      </c>
      <c r="CZ40" s="110">
        <f>IFERROR(__xludf.DUMMYFUNCTION("""COMPUTED_VALUE"""),69.15)</f>
        <v>69.15</v>
      </c>
      <c r="DA40" s="110">
        <f>IFERROR(__xludf.DUMMYFUNCTION("""COMPUTED_VALUE"""),0.53)</f>
        <v>0.53</v>
      </c>
      <c r="DB40" s="110">
        <f>IFERROR(__xludf.DUMMYFUNCTION("""COMPUTED_VALUE"""),0.15)</f>
        <v>0.15</v>
      </c>
      <c r="DC40" s="110">
        <f>IFERROR(__xludf.DUMMYFUNCTION("""COMPUTED_VALUE"""),144.06)</f>
        <v>144.06</v>
      </c>
      <c r="DD40" s="110">
        <f>IFERROR(__xludf.DUMMYFUNCTION("""COMPUTED_VALUE"""),11.6)</f>
        <v>11.6</v>
      </c>
      <c r="DE40" s="110">
        <f>IFERROR(__xludf.DUMMYFUNCTION("""COMPUTED_VALUE"""),7.63)</f>
        <v>7.63</v>
      </c>
      <c r="DF40" s="110">
        <f>IFERROR(__xludf.DUMMYFUNCTION("""COMPUTED_VALUE"""),54.55)</f>
        <v>54.55</v>
      </c>
      <c r="DG40" s="110">
        <f>IFERROR(__xludf.DUMMYFUNCTION("""COMPUTED_VALUE"""),5.48)</f>
        <v>5.48</v>
      </c>
      <c r="DH40" s="110">
        <f>IFERROR(__xludf.DUMMYFUNCTION("""COMPUTED_VALUE"""),11.32)</f>
        <v>11.32</v>
      </c>
      <c r="DI40" s="110">
        <f>IFERROR(__xludf.DUMMYFUNCTION("""COMPUTED_VALUE"""),142.07)</f>
        <v>142.07</v>
      </c>
      <c r="DJ40" s="110">
        <f>IFERROR(__xludf.DUMMYFUNCTION("""COMPUTED_VALUE"""),11.03)</f>
        <v>11.03</v>
      </c>
      <c r="DK40" s="110">
        <f>IFERROR(__xludf.DUMMYFUNCTION("""COMPUTED_VALUE"""),2.15)</f>
        <v>2.15</v>
      </c>
      <c r="DL40" s="110">
        <f>IFERROR(__xludf.DUMMYFUNCTION("""COMPUTED_VALUE"""),27.05)</f>
        <v>27.05</v>
      </c>
      <c r="DM40" s="110">
        <f>IFERROR(__xludf.DUMMYFUNCTION("""COMPUTED_VALUE"""),439.04)</f>
        <v>439.04</v>
      </c>
      <c r="DN40" s="110">
        <f>IFERROR(__xludf.DUMMYFUNCTION("""COMPUTED_VALUE"""),145.14)</f>
        <v>145.14</v>
      </c>
      <c r="DO40" s="110">
        <f>IFERROR(__xludf.DUMMYFUNCTION("""COMPUTED_VALUE"""),346.6)</f>
        <v>346.6</v>
      </c>
      <c r="DP40" s="110">
        <f>IFERROR(__xludf.DUMMYFUNCTION("""COMPUTED_VALUE"""),8.33)</f>
        <v>8.33</v>
      </c>
      <c r="DQ40" s="110">
        <f>IFERROR(__xludf.DUMMYFUNCTION("""COMPUTED_VALUE"""),86.71)</f>
        <v>86.71</v>
      </c>
      <c r="DR40" s="110">
        <f>IFERROR(__xludf.DUMMYFUNCTION("""COMPUTED_VALUE"""),2.82)</f>
        <v>2.82</v>
      </c>
      <c r="DS40" s="108" t="str">
        <f>IFERROR(__xludf.DUMMYFUNCTION("""COMPUTED_VALUE"""),"")</f>
        <v/>
      </c>
      <c r="DT40" s="108" t="str">
        <f>IFERROR(__xludf.DUMMYFUNCTION("""COMPUTED_VALUE"""),"")</f>
        <v/>
      </c>
      <c r="DU40" s="108" t="str">
        <f>IFERROR(__xludf.DUMMYFUNCTION("""COMPUTED_VALUE"""),"")</f>
        <v/>
      </c>
      <c r="DV40" s="108" t="str">
        <f>IFERROR(__xludf.DUMMYFUNCTION("""COMPUTED_VALUE"""),"")</f>
        <v/>
      </c>
      <c r="DW40" s="108" t="str">
        <f>IFERROR(__xludf.DUMMYFUNCTION("""COMPUTED_VALUE"""),"")</f>
        <v/>
      </c>
      <c r="DX40" s="108" t="str">
        <f>IFERROR(__xludf.DUMMYFUNCTION("""COMPUTED_VALUE"""),"")</f>
        <v/>
      </c>
      <c r="DY40" s="108" t="str">
        <f>IFERROR(__xludf.DUMMYFUNCTION("""COMPUTED_VALUE"""),"")</f>
        <v/>
      </c>
      <c r="DZ40" s="108" t="str">
        <f>IFERROR(__xludf.DUMMYFUNCTION("""COMPUTED_VALUE"""),"")</f>
        <v/>
      </c>
      <c r="EA40" s="108" t="str">
        <f>IFERROR(__xludf.DUMMYFUNCTION("""COMPUTED_VALUE"""),"")</f>
        <v/>
      </c>
      <c r="EB40" s="108" t="str">
        <f>IFERROR(__xludf.DUMMYFUNCTION("""COMPUTED_VALUE"""),"")</f>
        <v/>
      </c>
      <c r="EC40" s="108" t="str">
        <f>IFERROR(__xludf.DUMMYFUNCTION("""COMPUTED_VALUE"""),"")</f>
        <v/>
      </c>
      <c r="ED40" s="108" t="str">
        <f>IFERROR(__xludf.DUMMYFUNCTION("""COMPUTED_VALUE"""),"")</f>
        <v/>
      </c>
      <c r="EE40" s="108" t="str">
        <f>IFERROR(__xludf.DUMMYFUNCTION("""COMPUTED_VALUE"""),"")</f>
        <v/>
      </c>
      <c r="EF40" s="108" t="str">
        <f>IFERROR(__xludf.DUMMYFUNCTION("""COMPUTED_VALUE"""),"")</f>
        <v/>
      </c>
      <c r="EG40" s="108" t="str">
        <f>IFERROR(__xludf.DUMMYFUNCTION("""COMPUTED_VALUE"""),"")</f>
        <v/>
      </c>
      <c r="EH40" s="108" t="str">
        <f>IFERROR(__xludf.DUMMYFUNCTION("""COMPUTED_VALUE"""),"")</f>
        <v/>
      </c>
      <c r="EI40" s="108" t="str">
        <f>IFERROR(__xludf.DUMMYFUNCTION("""COMPUTED_VALUE"""),"")</f>
        <v/>
      </c>
      <c r="EJ40" s="108" t="str">
        <f>IFERROR(__xludf.DUMMYFUNCTION("""COMPUTED_VALUE"""),"")</f>
        <v/>
      </c>
      <c r="EK40" s="108" t="str">
        <f>IFERROR(__xludf.DUMMYFUNCTION("""COMPUTED_VALUE"""),"")</f>
        <v/>
      </c>
      <c r="EL40" s="108" t="str">
        <f>IFERROR(__xludf.DUMMYFUNCTION("""COMPUTED_VALUE"""),"")</f>
        <v/>
      </c>
      <c r="EM40" s="108" t="str">
        <f>IFERROR(__xludf.DUMMYFUNCTION("""COMPUTED_VALUE"""),"")</f>
        <v/>
      </c>
      <c r="EN40" s="108" t="str">
        <f>IFERROR(__xludf.DUMMYFUNCTION("""COMPUTED_VALUE"""),"")</f>
        <v/>
      </c>
      <c r="EO40" s="108" t="str">
        <f>IFERROR(__xludf.DUMMYFUNCTION("""COMPUTED_VALUE"""),"")</f>
        <v/>
      </c>
      <c r="EP40" s="108" t="str">
        <f>IFERROR(__xludf.DUMMYFUNCTION("""COMPUTED_VALUE"""),"")</f>
        <v/>
      </c>
      <c r="EQ40" s="108" t="str">
        <f>IFERROR(__xludf.DUMMYFUNCTION("""COMPUTED_VALUE"""),"")</f>
        <v/>
      </c>
      <c r="ER40" s="108" t="str">
        <f>IFERROR(__xludf.DUMMYFUNCTION("""COMPUTED_VALUE"""),"")</f>
        <v/>
      </c>
      <c r="ES40" s="108" t="str">
        <f>IFERROR(__xludf.DUMMYFUNCTION("""COMPUTED_VALUE"""),"")</f>
        <v/>
      </c>
      <c r="ET40" s="108" t="str">
        <f>IFERROR(__xludf.DUMMYFUNCTION("""COMPUTED_VALUE"""),"")</f>
        <v/>
      </c>
      <c r="EU40" s="108" t="str">
        <f>IFERROR(__xludf.DUMMYFUNCTION("""COMPUTED_VALUE"""),"")</f>
        <v/>
      </c>
      <c r="EV40" s="108" t="str">
        <f>IFERROR(__xludf.DUMMYFUNCTION("""COMPUTED_VALUE"""),"")</f>
        <v/>
      </c>
      <c r="EW40" s="108" t="str">
        <f>IFERROR(__xludf.DUMMYFUNCTION("""COMPUTED_VALUE"""),"")</f>
        <v/>
      </c>
      <c r="EX40" s="108" t="str">
        <f>IFERROR(__xludf.DUMMYFUNCTION("""COMPUTED_VALUE"""),"")</f>
        <v/>
      </c>
      <c r="EY40" s="108" t="str">
        <f>IFERROR(__xludf.DUMMYFUNCTION("""COMPUTED_VALUE"""),"")</f>
        <v/>
      </c>
      <c r="EZ40" s="108" t="str">
        <f>IFERROR(__xludf.DUMMYFUNCTION("""COMPUTED_VALUE"""),"")</f>
        <v/>
      </c>
      <c r="FA40" s="108" t="str">
        <f>IFERROR(__xludf.DUMMYFUNCTION("""COMPUTED_VALUE"""),"")</f>
        <v/>
      </c>
      <c r="FB40" s="108" t="str">
        <f>IFERROR(__xludf.DUMMYFUNCTION("""COMPUTED_VALUE"""),"")</f>
        <v/>
      </c>
      <c r="FC40" s="108" t="str">
        <f>IFERROR(__xludf.DUMMYFUNCTION("""COMPUTED_VALUE"""),"")</f>
        <v/>
      </c>
      <c r="FD40" s="108" t="str">
        <f>IFERROR(__xludf.DUMMYFUNCTION("""COMPUTED_VALUE"""),"")</f>
        <v/>
      </c>
      <c r="FE40" s="108" t="str">
        <f>IFERROR(__xludf.DUMMYFUNCTION("""COMPUTED_VALUE"""),"")</f>
        <v/>
      </c>
      <c r="FF40" s="108" t="str">
        <f>IFERROR(__xludf.DUMMYFUNCTION("""COMPUTED_VALUE"""),"")</f>
        <v/>
      </c>
      <c r="FG40" s="108" t="str">
        <f>IFERROR(__xludf.DUMMYFUNCTION("""COMPUTED_VALUE"""),"")</f>
        <v/>
      </c>
      <c r="FH40" s="108" t="str">
        <f>IFERROR(__xludf.DUMMYFUNCTION("""COMPUTED_VALUE"""),"")</f>
        <v/>
      </c>
      <c r="FI40" s="108" t="str">
        <f>IFERROR(__xludf.DUMMYFUNCTION("""COMPUTED_VALUE"""),"")</f>
        <v/>
      </c>
      <c r="FJ40" s="108" t="str">
        <f>IFERROR(__xludf.DUMMYFUNCTION("""COMPUTED_VALUE"""),"")</f>
        <v/>
      </c>
      <c r="FK40" s="108" t="str">
        <f>IFERROR(__xludf.DUMMYFUNCTION("""COMPUTED_VALUE"""),"")</f>
        <v/>
      </c>
      <c r="FL40" s="108" t="str">
        <f>IFERROR(__xludf.DUMMYFUNCTION("""COMPUTED_VALUE"""),"")</f>
        <v/>
      </c>
      <c r="FM40" s="108" t="str">
        <f>IFERROR(__xludf.DUMMYFUNCTION("""COMPUTED_VALUE"""),"")</f>
        <v/>
      </c>
      <c r="FN40" s="108" t="str">
        <f>IFERROR(__xludf.DUMMYFUNCTION("""COMPUTED_VALUE"""),"")</f>
        <v/>
      </c>
      <c r="FO40" s="108" t="str">
        <f>IFERROR(__xludf.DUMMYFUNCTION("""COMPUTED_VALUE"""),"")</f>
        <v/>
      </c>
    </row>
    <row r="41">
      <c r="A41" s="106">
        <f>IFERROR(__xludf.DUMMYFUNCTION("""COMPUTED_VALUE"""),44633.0)</f>
        <v>44633</v>
      </c>
      <c r="B41" s="110">
        <f>IFERROR(__xludf.DUMMYFUNCTION("""COMPUTED_VALUE"""),2910.49)</f>
        <v>2910.49</v>
      </c>
      <c r="C41" s="110">
        <f>IFERROR(__xludf.DUMMYFUNCTION("""COMPUTED_VALUE"""),187.61)</f>
        <v>187.61</v>
      </c>
      <c r="D41" s="110">
        <f>IFERROR(__xludf.DUMMYFUNCTION("""COMPUTED_VALUE"""),795.35)</f>
        <v>795.35</v>
      </c>
      <c r="E41" s="110">
        <f>IFERROR(__xludf.DUMMYFUNCTION("""COMPUTED_VALUE"""),367.8)</f>
        <v>367.8</v>
      </c>
      <c r="F41" s="110">
        <f>IFERROR(__xludf.DUMMYFUNCTION("""COMPUTED_VALUE"""),9.79)</f>
        <v>9.79</v>
      </c>
      <c r="G41" s="110">
        <f>IFERROR(__xludf.DUMMYFUNCTION("""COMPUTED_VALUE"""),154.73)</f>
        <v>154.73</v>
      </c>
      <c r="H41" s="110">
        <f>IFERROR(__xludf.DUMMYFUNCTION("""COMPUTED_VALUE"""),20.2)</f>
        <v>20.2</v>
      </c>
      <c r="I41" s="110">
        <f>IFERROR(__xludf.DUMMYFUNCTION("""COMPUTED_VALUE"""),21.05)</f>
        <v>21.05</v>
      </c>
      <c r="J41" s="110">
        <f>IFERROR(__xludf.DUMMYFUNCTION("""COMPUTED_VALUE"""),0.11)</f>
        <v>0.11</v>
      </c>
      <c r="K41" s="110">
        <f>IFERROR(__xludf.DUMMYFUNCTION("""COMPUTED_VALUE"""),33.6)</f>
        <v>33.6</v>
      </c>
      <c r="L41" s="110">
        <f>IFERROR(__xludf.DUMMYFUNCTION("""COMPUTED_VALUE"""),135.4)</f>
        <v>135.4</v>
      </c>
      <c r="M41" s="110">
        <f>IFERROR(__xludf.DUMMYFUNCTION("""COMPUTED_VALUE"""),38966.79)</f>
        <v>38966.79</v>
      </c>
      <c r="N41" s="110">
        <f>IFERROR(__xludf.DUMMYFUNCTION("""COMPUTED_VALUE"""),340.32)</f>
        <v>340.32</v>
      </c>
      <c r="O41" s="110">
        <f>IFERROR(__xludf.DUMMYFUNCTION("""COMPUTED_VALUE"""),280.07)</f>
        <v>280.07</v>
      </c>
      <c r="P41" s="110">
        <f>IFERROR(__xludf.DUMMYFUNCTION("""COMPUTED_VALUE"""),21.63)</f>
        <v>21.63</v>
      </c>
      <c r="Q41" s="110">
        <f>IFERROR(__xludf.DUMMYFUNCTION("""COMPUTED_VALUE"""),23.8)</f>
        <v>23.8</v>
      </c>
      <c r="R41" s="110">
        <f>IFERROR(__xludf.DUMMYFUNCTION("""COMPUTED_VALUE"""),47.99)</f>
        <v>47.99</v>
      </c>
      <c r="S41" s="110">
        <f>IFERROR(__xludf.DUMMYFUNCTION("""COMPUTED_VALUE"""),25.51)</f>
        <v>25.51</v>
      </c>
      <c r="T41" s="110">
        <f>IFERROR(__xludf.DUMMYFUNCTION("""COMPUTED_VALUE"""),22.91)</f>
        <v>22.91</v>
      </c>
      <c r="U41" s="110">
        <f>IFERROR(__xludf.DUMMYFUNCTION("""COMPUTED_VALUE"""),40.11)</f>
        <v>40.11</v>
      </c>
      <c r="V41" s="110">
        <f>IFERROR(__xludf.DUMMYFUNCTION("""COMPUTED_VALUE"""),15.38)</f>
        <v>15.38</v>
      </c>
      <c r="W41" s="110">
        <f>IFERROR(__xludf.DUMMYFUNCTION("""COMPUTED_VALUE"""),226.87)</f>
        <v>226.87</v>
      </c>
      <c r="X41" s="110">
        <f>IFERROR(__xludf.DUMMYFUNCTION("""COMPUTED_VALUE"""),2609.51)</f>
        <v>2609.51</v>
      </c>
      <c r="Y41" s="110">
        <f>IFERROR(__xludf.DUMMYFUNCTION("""COMPUTED_VALUE"""),54.85)</f>
        <v>54.85</v>
      </c>
      <c r="Z41" s="110">
        <f>IFERROR(__xludf.DUMMYFUNCTION("""COMPUTED_VALUE"""),53.25)</f>
        <v>53.25</v>
      </c>
      <c r="AA41" s="110">
        <f>IFERROR(__xludf.DUMMYFUNCTION("""COMPUTED_VALUE"""),88.72)</f>
        <v>88.72</v>
      </c>
      <c r="AB41" s="110">
        <f>IFERROR(__xludf.DUMMYFUNCTION("""COMPUTED_VALUE"""),4.58)</f>
        <v>4.58</v>
      </c>
      <c r="AC41" s="110">
        <f>IFERROR(__xludf.DUMMYFUNCTION("""COMPUTED_VALUE"""),76.85)</f>
        <v>76.85</v>
      </c>
      <c r="AD41" s="110">
        <f>IFERROR(__xludf.DUMMYFUNCTION("""COMPUTED_VALUE"""),11.74)</f>
        <v>11.74</v>
      </c>
      <c r="AE41" s="110">
        <f>IFERROR(__xludf.DUMMYFUNCTION("""COMPUTED_VALUE"""),5.75)</f>
        <v>5.75</v>
      </c>
      <c r="AF41" s="110">
        <f>IFERROR(__xludf.DUMMYFUNCTION("""COMPUTED_VALUE"""),41.17)</f>
        <v>41.17</v>
      </c>
      <c r="AG41" s="110">
        <f>IFERROR(__xludf.DUMMYFUNCTION("""COMPUTED_VALUE"""),12.68)</f>
        <v>12.68</v>
      </c>
      <c r="AH41" s="110">
        <f>IFERROR(__xludf.DUMMYFUNCTION("""COMPUTED_VALUE"""),2.01)</f>
        <v>2.01</v>
      </c>
      <c r="AI41" s="110">
        <f>IFERROR(__xludf.DUMMYFUNCTION("""COMPUTED_VALUE"""),3.28)</f>
        <v>3.28</v>
      </c>
      <c r="AJ41" s="110">
        <f>IFERROR(__xludf.DUMMYFUNCTION("""COMPUTED_VALUE"""),97.85)</f>
        <v>97.85</v>
      </c>
      <c r="AK41" s="110">
        <f>IFERROR(__xludf.DUMMYFUNCTION("""COMPUTED_VALUE"""),221.0)</f>
        <v>221</v>
      </c>
      <c r="AL41" s="110">
        <f>IFERROR(__xludf.DUMMYFUNCTION("""COMPUTED_VALUE"""),13.66)</f>
        <v>13.66</v>
      </c>
      <c r="AM41" s="110">
        <f>IFERROR(__xludf.DUMMYFUNCTION("""COMPUTED_VALUE"""),40.33)</f>
        <v>40.33</v>
      </c>
      <c r="AN41" s="110">
        <f>IFERROR(__xludf.DUMMYFUNCTION("""COMPUTED_VALUE"""),326.6)</f>
        <v>326.6</v>
      </c>
      <c r="AO41" s="110">
        <f>IFERROR(__xludf.DUMMYFUNCTION("""COMPUTED_VALUE"""),97.31)</f>
        <v>97.31</v>
      </c>
      <c r="AP41" s="110">
        <f>IFERROR(__xludf.DUMMYFUNCTION("""COMPUTED_VALUE"""),80.31)</f>
        <v>80.31</v>
      </c>
      <c r="AQ41" s="110">
        <f>IFERROR(__xludf.DUMMYFUNCTION("""COMPUTED_VALUE"""),44.76)</f>
        <v>44.76</v>
      </c>
      <c r="AR41" s="109">
        <f>IFERROR(__xludf.DUMMYFUNCTION("""COMPUTED_VALUE"""),104.255)</f>
        <v>104.255</v>
      </c>
      <c r="AS41" s="110">
        <f>IFERROR(__xludf.DUMMYFUNCTION("""COMPUTED_VALUE"""),19.92)</f>
        <v>19.92</v>
      </c>
      <c r="AT41" s="110">
        <f>IFERROR(__xludf.DUMMYFUNCTION("""COMPUTED_VALUE"""),90.8)</f>
        <v>90.8</v>
      </c>
      <c r="AU41" s="110">
        <f>IFERROR(__xludf.DUMMYFUNCTION("""COMPUTED_VALUE"""),62.48)</f>
        <v>62.48</v>
      </c>
      <c r="AV41" s="110">
        <f>IFERROR(__xludf.DUMMYFUNCTION("""COMPUTED_VALUE"""),131.75)</f>
        <v>131.75</v>
      </c>
      <c r="AW41" s="110">
        <f>IFERROR(__xludf.DUMMYFUNCTION("""COMPUTED_VALUE"""),123.64)</f>
        <v>123.64</v>
      </c>
      <c r="AX41" s="110">
        <f>IFERROR(__xludf.DUMMYFUNCTION("""COMPUTED_VALUE"""),20.7)</f>
        <v>20.7</v>
      </c>
      <c r="AY41" s="110">
        <f>IFERROR(__xludf.DUMMYFUNCTION("""COMPUTED_VALUE"""),39.24)</f>
        <v>39.24</v>
      </c>
      <c r="AZ41" s="110">
        <f>IFERROR(__xludf.DUMMYFUNCTION("""COMPUTED_VALUE"""),0.0)</f>
        <v>0</v>
      </c>
      <c r="BA41" s="110">
        <f>IFERROR(__xludf.DUMMYFUNCTION("""COMPUTED_VALUE"""),0.0)</f>
        <v>0</v>
      </c>
      <c r="BB41" s="110">
        <f>IFERROR(__xludf.DUMMYFUNCTION("""COMPUTED_VALUE"""),11.44)</f>
        <v>11.44</v>
      </c>
      <c r="BC41" s="110">
        <f>IFERROR(__xludf.DUMMYFUNCTION("""COMPUTED_VALUE"""),10.71)</f>
        <v>10.71</v>
      </c>
      <c r="BD41" s="110">
        <f>IFERROR(__xludf.DUMMYFUNCTION("""COMPUTED_VALUE"""),172.0)</f>
        <v>172</v>
      </c>
      <c r="BE41" s="110">
        <f>IFERROR(__xludf.DUMMYFUNCTION("""COMPUTED_VALUE"""),129.0)</f>
        <v>129</v>
      </c>
      <c r="BF41" s="110">
        <f>IFERROR(__xludf.DUMMYFUNCTION("""COMPUTED_VALUE"""),9.75)</f>
        <v>9.75</v>
      </c>
      <c r="BG41" s="110">
        <f>IFERROR(__xludf.DUMMYFUNCTION("""COMPUTED_VALUE"""),546.03)</f>
        <v>546.03</v>
      </c>
      <c r="BH41" s="110">
        <f>IFERROR(__xludf.DUMMYFUNCTION("""COMPUTED_VALUE"""),246.39)</f>
        <v>246.39</v>
      </c>
      <c r="BI41" s="110">
        <f>IFERROR(__xludf.DUMMYFUNCTION("""COMPUTED_VALUE"""),228.85)</f>
        <v>228.85</v>
      </c>
      <c r="BJ41" s="110">
        <f>IFERROR(__xludf.DUMMYFUNCTION("""COMPUTED_VALUE"""),22.92)</f>
        <v>22.92</v>
      </c>
      <c r="BK41" s="110">
        <f>IFERROR(__xludf.DUMMYFUNCTION("""COMPUTED_VALUE"""),293.69)</f>
        <v>293.69</v>
      </c>
      <c r="BL41" s="110">
        <f>IFERROR(__xludf.DUMMYFUNCTION("""COMPUTED_VALUE"""),124.57)</f>
        <v>124.57</v>
      </c>
      <c r="BM41" s="110">
        <f>IFERROR(__xludf.DUMMYFUNCTION("""COMPUTED_VALUE"""),16.04)</f>
        <v>16.04</v>
      </c>
      <c r="BN41" s="110">
        <f>IFERROR(__xludf.DUMMYFUNCTION("""COMPUTED_VALUE"""),301.52)</f>
        <v>301.52</v>
      </c>
      <c r="BO41" s="110">
        <f>IFERROR(__xludf.DUMMYFUNCTION("""COMPUTED_VALUE"""),651.0)</f>
        <v>651</v>
      </c>
      <c r="BP41" s="110">
        <f>IFERROR(__xludf.DUMMYFUNCTION("""COMPUTED_VALUE"""),38.05)</f>
        <v>38.05</v>
      </c>
      <c r="BQ41" s="110">
        <f>IFERROR(__xludf.DUMMYFUNCTION("""COMPUTED_VALUE"""),8.55)</f>
        <v>8.55</v>
      </c>
      <c r="BR41" s="110">
        <f>IFERROR(__xludf.DUMMYFUNCTION("""COMPUTED_VALUE"""),30.69)</f>
        <v>30.69</v>
      </c>
      <c r="BS41" s="110">
        <f>IFERROR(__xludf.DUMMYFUNCTION("""COMPUTED_VALUE"""),0.87)</f>
        <v>0.87</v>
      </c>
      <c r="BT41" s="110">
        <f>IFERROR(__xludf.DUMMYFUNCTION("""COMPUTED_VALUE"""),46.54)</f>
        <v>46.54</v>
      </c>
      <c r="BU41" s="110">
        <f>IFERROR(__xludf.DUMMYFUNCTION("""COMPUTED_VALUE"""),35.65)</f>
        <v>35.65</v>
      </c>
      <c r="BV41" s="110">
        <f>IFERROR(__xludf.DUMMYFUNCTION("""COMPUTED_VALUE"""),51.55)</f>
        <v>51.55</v>
      </c>
      <c r="BW41" s="110">
        <f>IFERROR(__xludf.DUMMYFUNCTION("""COMPUTED_VALUE"""),6.54)</f>
        <v>6.54</v>
      </c>
      <c r="BX41" s="110">
        <f>IFERROR(__xludf.DUMMYFUNCTION("""COMPUTED_VALUE"""),3.93)</f>
        <v>3.93</v>
      </c>
      <c r="BY41" s="110">
        <f>IFERROR(__xludf.DUMMYFUNCTION("""COMPUTED_VALUE"""),0.0)</f>
        <v>0</v>
      </c>
      <c r="BZ41" s="110">
        <f>IFERROR(__xludf.DUMMYFUNCTION("""COMPUTED_VALUE"""),15.05)</f>
        <v>15.05</v>
      </c>
      <c r="CA41" s="110">
        <f>IFERROR(__xludf.DUMMYFUNCTION("""COMPUTED_VALUE"""),3.82)</f>
        <v>3.82</v>
      </c>
      <c r="CB41" s="110">
        <f>IFERROR(__xludf.DUMMYFUNCTION("""COMPUTED_VALUE"""),5.67)</f>
        <v>5.67</v>
      </c>
      <c r="CC41" s="110">
        <f>IFERROR(__xludf.DUMMYFUNCTION("""COMPUTED_VALUE"""),18.85)</f>
        <v>18.85</v>
      </c>
      <c r="CD41" s="110">
        <f>IFERROR(__xludf.DUMMYFUNCTION("""COMPUTED_VALUE"""),14.98)</f>
        <v>14.98</v>
      </c>
      <c r="CE41" s="110">
        <f>IFERROR(__xludf.DUMMYFUNCTION("""COMPUTED_VALUE"""),30.61)</f>
        <v>30.61</v>
      </c>
      <c r="CF41" s="110">
        <f>IFERROR(__xludf.DUMMYFUNCTION("""COMPUTED_VALUE"""),109.09)</f>
        <v>109.09</v>
      </c>
      <c r="CG41" s="110">
        <f>IFERROR(__xludf.DUMMYFUNCTION("""COMPUTED_VALUE"""),5.47)</f>
        <v>5.47</v>
      </c>
      <c r="CH41" s="110">
        <f>IFERROR(__xludf.DUMMYFUNCTION("""COMPUTED_VALUE"""),24.35)</f>
        <v>24.35</v>
      </c>
      <c r="CI41" s="110">
        <f>IFERROR(__xludf.DUMMYFUNCTION("""COMPUTED_VALUE"""),57.25)</f>
        <v>57.25</v>
      </c>
      <c r="CJ41" s="110">
        <f>IFERROR(__xludf.DUMMYFUNCTION("""COMPUTED_VALUE"""),20.0)</f>
        <v>20</v>
      </c>
      <c r="CK41" s="110">
        <f>IFERROR(__xludf.DUMMYFUNCTION("""COMPUTED_VALUE"""),13.09)</f>
        <v>13.09</v>
      </c>
      <c r="CL41" s="110">
        <f>IFERROR(__xludf.DUMMYFUNCTION("""COMPUTED_VALUE"""),2597.41)</f>
        <v>2597.41</v>
      </c>
      <c r="CM41" s="110">
        <f>IFERROR(__xludf.DUMMYFUNCTION("""COMPUTED_VALUE"""),6.0)</f>
        <v>6</v>
      </c>
      <c r="CN41" s="110">
        <f>IFERROR(__xludf.DUMMYFUNCTION("""COMPUTED_VALUE"""),166.2)</f>
        <v>166.2</v>
      </c>
      <c r="CO41" s="110">
        <f>IFERROR(__xludf.DUMMYFUNCTION("""COMPUTED_VALUE"""),131.5)</f>
        <v>131.5</v>
      </c>
      <c r="CP41" s="110">
        <f>IFERROR(__xludf.DUMMYFUNCTION("""COMPUTED_VALUE"""),55.58)</f>
        <v>55.58</v>
      </c>
      <c r="CQ41" s="110">
        <f>IFERROR(__xludf.DUMMYFUNCTION("""COMPUTED_VALUE"""),70000.0)</f>
        <v>70000</v>
      </c>
      <c r="CR41" s="110">
        <f>IFERROR(__xludf.DUMMYFUNCTION("""COMPUTED_VALUE"""),0.52)</f>
        <v>0.52</v>
      </c>
      <c r="CS41" s="110">
        <f>IFERROR(__xludf.DUMMYFUNCTION("""COMPUTED_VALUE"""),35.8)</f>
        <v>35.8</v>
      </c>
      <c r="CT41" s="110">
        <f>IFERROR(__xludf.DUMMYFUNCTION("""COMPUTED_VALUE"""),20.8)</f>
        <v>20.8</v>
      </c>
      <c r="CU41" s="110">
        <f>IFERROR(__xludf.DUMMYFUNCTION("""COMPUTED_VALUE"""),1992.3)</f>
        <v>1992.3</v>
      </c>
      <c r="CV41" s="110">
        <f>IFERROR(__xludf.DUMMYFUNCTION("""COMPUTED_VALUE"""),2.74)</f>
        <v>2.74</v>
      </c>
      <c r="CW41" s="110">
        <f>IFERROR(__xludf.DUMMYFUNCTION("""COMPUTED_VALUE"""),2.75)</f>
        <v>2.75</v>
      </c>
      <c r="CX41" s="110">
        <f>IFERROR(__xludf.DUMMYFUNCTION("""COMPUTED_VALUE"""),13.69)</f>
        <v>13.69</v>
      </c>
      <c r="CY41" s="110">
        <f>IFERROR(__xludf.DUMMYFUNCTION("""COMPUTED_VALUE"""),0.04)</f>
        <v>0.04</v>
      </c>
      <c r="CZ41" s="110">
        <f>IFERROR(__xludf.DUMMYFUNCTION("""COMPUTED_VALUE"""),69.15)</f>
        <v>69.15</v>
      </c>
      <c r="DA41" s="110">
        <f>IFERROR(__xludf.DUMMYFUNCTION("""COMPUTED_VALUE"""),0.53)</f>
        <v>0.53</v>
      </c>
      <c r="DB41" s="110">
        <f>IFERROR(__xludf.DUMMYFUNCTION("""COMPUTED_VALUE"""),0.15)</f>
        <v>0.15</v>
      </c>
      <c r="DC41" s="110">
        <f>IFERROR(__xludf.DUMMYFUNCTION("""COMPUTED_VALUE"""),144.06)</f>
        <v>144.06</v>
      </c>
      <c r="DD41" s="110">
        <f>IFERROR(__xludf.DUMMYFUNCTION("""COMPUTED_VALUE"""),11.6)</f>
        <v>11.6</v>
      </c>
      <c r="DE41" s="110">
        <f>IFERROR(__xludf.DUMMYFUNCTION("""COMPUTED_VALUE"""),7.63)</f>
        <v>7.63</v>
      </c>
      <c r="DF41" s="110">
        <f>IFERROR(__xludf.DUMMYFUNCTION("""COMPUTED_VALUE"""),54.55)</f>
        <v>54.55</v>
      </c>
      <c r="DG41" s="110">
        <f>IFERROR(__xludf.DUMMYFUNCTION("""COMPUTED_VALUE"""),5.48)</f>
        <v>5.48</v>
      </c>
      <c r="DH41" s="110">
        <f>IFERROR(__xludf.DUMMYFUNCTION("""COMPUTED_VALUE"""),11.32)</f>
        <v>11.32</v>
      </c>
      <c r="DI41" s="110">
        <f>IFERROR(__xludf.DUMMYFUNCTION("""COMPUTED_VALUE"""),142.07)</f>
        <v>142.07</v>
      </c>
      <c r="DJ41" s="110">
        <f>IFERROR(__xludf.DUMMYFUNCTION("""COMPUTED_VALUE"""),11.03)</f>
        <v>11.03</v>
      </c>
      <c r="DK41" s="110">
        <f>IFERROR(__xludf.DUMMYFUNCTION("""COMPUTED_VALUE"""),2.15)</f>
        <v>2.15</v>
      </c>
      <c r="DL41" s="110">
        <f>IFERROR(__xludf.DUMMYFUNCTION("""COMPUTED_VALUE"""),27.05)</f>
        <v>27.05</v>
      </c>
      <c r="DM41" s="110">
        <f>IFERROR(__xludf.DUMMYFUNCTION("""COMPUTED_VALUE"""),439.04)</f>
        <v>439.04</v>
      </c>
      <c r="DN41" s="110">
        <f>IFERROR(__xludf.DUMMYFUNCTION("""COMPUTED_VALUE"""),145.14)</f>
        <v>145.14</v>
      </c>
      <c r="DO41" s="110">
        <f>IFERROR(__xludf.DUMMYFUNCTION("""COMPUTED_VALUE"""),346.6)</f>
        <v>346.6</v>
      </c>
      <c r="DP41" s="110">
        <f>IFERROR(__xludf.DUMMYFUNCTION("""COMPUTED_VALUE"""),8.33)</f>
        <v>8.33</v>
      </c>
      <c r="DQ41" s="110">
        <f>IFERROR(__xludf.DUMMYFUNCTION("""COMPUTED_VALUE"""),86.71)</f>
        <v>86.71</v>
      </c>
      <c r="DR41" s="110">
        <f>IFERROR(__xludf.DUMMYFUNCTION("""COMPUTED_VALUE"""),2.82)</f>
        <v>2.82</v>
      </c>
      <c r="DS41" s="108"/>
      <c r="DT41" s="108" t="str">
        <f>IFERROR(__xludf.DUMMYFUNCTION("""COMPUTED_VALUE"""),"")</f>
        <v/>
      </c>
      <c r="DU41" s="108" t="str">
        <f>IFERROR(__xludf.DUMMYFUNCTION("""COMPUTED_VALUE"""),"")</f>
        <v/>
      </c>
      <c r="DV41" s="108" t="str">
        <f>IFERROR(__xludf.DUMMYFUNCTION("""COMPUTED_VALUE"""),"")</f>
        <v/>
      </c>
      <c r="DW41" s="108" t="str">
        <f>IFERROR(__xludf.DUMMYFUNCTION("""COMPUTED_VALUE"""),"")</f>
        <v/>
      </c>
      <c r="DX41" s="108" t="str">
        <f>IFERROR(__xludf.DUMMYFUNCTION("""COMPUTED_VALUE"""),"")</f>
        <v/>
      </c>
      <c r="DY41" s="108" t="str">
        <f>IFERROR(__xludf.DUMMYFUNCTION("""COMPUTED_VALUE"""),"")</f>
        <v/>
      </c>
      <c r="DZ41" s="108" t="str">
        <f>IFERROR(__xludf.DUMMYFUNCTION("""COMPUTED_VALUE"""),"")</f>
        <v/>
      </c>
      <c r="EA41" s="108" t="str">
        <f>IFERROR(__xludf.DUMMYFUNCTION("""COMPUTED_VALUE"""),"")</f>
        <v/>
      </c>
      <c r="EB41" s="108" t="str">
        <f>IFERROR(__xludf.DUMMYFUNCTION("""COMPUTED_VALUE"""),"")</f>
        <v/>
      </c>
      <c r="EC41" s="108" t="str">
        <f>IFERROR(__xludf.DUMMYFUNCTION("""COMPUTED_VALUE"""),"")</f>
        <v/>
      </c>
      <c r="ED41" s="108" t="str">
        <f>IFERROR(__xludf.DUMMYFUNCTION("""COMPUTED_VALUE"""),"")</f>
        <v/>
      </c>
      <c r="EE41" s="108" t="str">
        <f>IFERROR(__xludf.DUMMYFUNCTION("""COMPUTED_VALUE"""),"")</f>
        <v/>
      </c>
      <c r="EF41" s="108" t="str">
        <f>IFERROR(__xludf.DUMMYFUNCTION("""COMPUTED_VALUE"""),"")</f>
        <v/>
      </c>
      <c r="EG41" s="108" t="str">
        <f>IFERROR(__xludf.DUMMYFUNCTION("""COMPUTED_VALUE"""),"")</f>
        <v/>
      </c>
      <c r="EH41" s="108" t="str">
        <f>IFERROR(__xludf.DUMMYFUNCTION("""COMPUTED_VALUE"""),"")</f>
        <v/>
      </c>
      <c r="EI41" s="108" t="str">
        <f>IFERROR(__xludf.DUMMYFUNCTION("""COMPUTED_VALUE"""),"")</f>
        <v/>
      </c>
      <c r="EJ41" s="108" t="str">
        <f>IFERROR(__xludf.DUMMYFUNCTION("""COMPUTED_VALUE"""),"")</f>
        <v/>
      </c>
      <c r="EK41" s="108" t="str">
        <f>IFERROR(__xludf.DUMMYFUNCTION("""COMPUTED_VALUE"""),"")</f>
        <v/>
      </c>
      <c r="EL41" s="108" t="str">
        <f>IFERROR(__xludf.DUMMYFUNCTION("""COMPUTED_VALUE"""),"")</f>
        <v/>
      </c>
      <c r="EM41" s="108" t="str">
        <f>IFERROR(__xludf.DUMMYFUNCTION("""COMPUTED_VALUE"""),"")</f>
        <v/>
      </c>
      <c r="EN41" s="108" t="str">
        <f>IFERROR(__xludf.DUMMYFUNCTION("""COMPUTED_VALUE"""),"")</f>
        <v/>
      </c>
      <c r="EO41" s="108" t="str">
        <f>IFERROR(__xludf.DUMMYFUNCTION("""COMPUTED_VALUE"""),"")</f>
        <v/>
      </c>
      <c r="EP41" s="108" t="str">
        <f>IFERROR(__xludf.DUMMYFUNCTION("""COMPUTED_VALUE"""),"")</f>
        <v/>
      </c>
      <c r="EQ41" s="108" t="str">
        <f>IFERROR(__xludf.DUMMYFUNCTION("""COMPUTED_VALUE"""),"")</f>
        <v/>
      </c>
      <c r="ER41" s="108" t="str">
        <f>IFERROR(__xludf.DUMMYFUNCTION("""COMPUTED_VALUE"""),"")</f>
        <v/>
      </c>
      <c r="ES41" s="108" t="str">
        <f>IFERROR(__xludf.DUMMYFUNCTION("""COMPUTED_VALUE"""),"")</f>
        <v/>
      </c>
      <c r="ET41" s="108" t="str">
        <f>IFERROR(__xludf.DUMMYFUNCTION("""COMPUTED_VALUE"""),"")</f>
        <v/>
      </c>
      <c r="EU41" s="108" t="str">
        <f>IFERROR(__xludf.DUMMYFUNCTION("""COMPUTED_VALUE"""),"")</f>
        <v/>
      </c>
      <c r="EV41" s="108" t="str">
        <f>IFERROR(__xludf.DUMMYFUNCTION("""COMPUTED_VALUE"""),"")</f>
        <v/>
      </c>
      <c r="EW41" s="108" t="str">
        <f>IFERROR(__xludf.DUMMYFUNCTION("""COMPUTED_VALUE"""),"")</f>
        <v/>
      </c>
      <c r="EX41" s="108" t="str">
        <f>IFERROR(__xludf.DUMMYFUNCTION("""COMPUTED_VALUE"""),"")</f>
        <v/>
      </c>
      <c r="EY41" s="108" t="str">
        <f>IFERROR(__xludf.DUMMYFUNCTION("""COMPUTED_VALUE"""),"")</f>
        <v/>
      </c>
      <c r="EZ41" s="108" t="str">
        <f>IFERROR(__xludf.DUMMYFUNCTION("""COMPUTED_VALUE"""),"")</f>
        <v/>
      </c>
      <c r="FA41" s="108" t="str">
        <f>IFERROR(__xludf.DUMMYFUNCTION("""COMPUTED_VALUE"""),"")</f>
        <v/>
      </c>
      <c r="FB41" s="108" t="str">
        <f>IFERROR(__xludf.DUMMYFUNCTION("""COMPUTED_VALUE"""),"")</f>
        <v/>
      </c>
      <c r="FC41" s="108" t="str">
        <f>IFERROR(__xludf.DUMMYFUNCTION("""COMPUTED_VALUE"""),"")</f>
        <v/>
      </c>
      <c r="FD41" s="108" t="str">
        <f>IFERROR(__xludf.DUMMYFUNCTION("""COMPUTED_VALUE"""),"")</f>
        <v/>
      </c>
      <c r="FE41" s="108" t="str">
        <f>IFERROR(__xludf.DUMMYFUNCTION("""COMPUTED_VALUE"""),"")</f>
        <v/>
      </c>
      <c r="FF41" s="108" t="str">
        <f>IFERROR(__xludf.DUMMYFUNCTION("""COMPUTED_VALUE"""),"")</f>
        <v/>
      </c>
      <c r="FG41" s="108" t="str">
        <f>IFERROR(__xludf.DUMMYFUNCTION("""COMPUTED_VALUE"""),"")</f>
        <v/>
      </c>
      <c r="FH41" s="108" t="str">
        <f>IFERROR(__xludf.DUMMYFUNCTION("""COMPUTED_VALUE"""),"")</f>
        <v/>
      </c>
      <c r="FI41" s="108" t="str">
        <f>IFERROR(__xludf.DUMMYFUNCTION("""COMPUTED_VALUE"""),"")</f>
        <v/>
      </c>
      <c r="FJ41" s="108" t="str">
        <f>IFERROR(__xludf.DUMMYFUNCTION("""COMPUTED_VALUE"""),"")</f>
        <v/>
      </c>
      <c r="FK41" s="108" t="str">
        <f>IFERROR(__xludf.DUMMYFUNCTION("""COMPUTED_VALUE"""),"")</f>
        <v/>
      </c>
      <c r="FL41" s="108" t="str">
        <f>IFERROR(__xludf.DUMMYFUNCTION("""COMPUTED_VALUE"""),"")</f>
        <v/>
      </c>
      <c r="FM41" s="108" t="str">
        <f>IFERROR(__xludf.DUMMYFUNCTION("""COMPUTED_VALUE"""),"")</f>
        <v/>
      </c>
      <c r="FN41" s="108" t="str">
        <f>IFERROR(__xludf.DUMMYFUNCTION("""COMPUTED_VALUE"""),"")</f>
        <v/>
      </c>
      <c r="FO41" s="108" t="str">
        <f>IFERROR(__xludf.DUMMYFUNCTION("""COMPUTED_VALUE"""),"")</f>
        <v/>
      </c>
    </row>
    <row r="42">
      <c r="A42" s="106">
        <f>IFERROR(__xludf.DUMMYFUNCTION("""COMPUTED_VALUE"""),44634.0)</f>
        <v>44634</v>
      </c>
      <c r="B42" s="110">
        <f>IFERROR(__xludf.DUMMYFUNCTION("""COMPUTED_VALUE"""),2837.06)</f>
        <v>2837.06</v>
      </c>
      <c r="C42" s="110">
        <f>IFERROR(__xludf.DUMMYFUNCTION("""COMPUTED_VALUE"""),186.63)</f>
        <v>186.63</v>
      </c>
      <c r="D42" s="110">
        <f>IFERROR(__xludf.DUMMYFUNCTION("""COMPUTED_VALUE"""),766.37)</f>
        <v>766.37</v>
      </c>
      <c r="E42" s="110">
        <f>IFERROR(__xludf.DUMMYFUNCTION("""COMPUTED_VALUE"""),331.8)</f>
        <v>331.8</v>
      </c>
      <c r="F42" s="110">
        <f>IFERROR(__xludf.DUMMYFUNCTION("""COMPUTED_VALUE"""),9.47)</f>
        <v>9.47</v>
      </c>
      <c r="G42" s="110">
        <f>IFERROR(__xludf.DUMMYFUNCTION("""COMPUTED_VALUE"""),150.62)</f>
        <v>150.62</v>
      </c>
      <c r="H42" s="110">
        <f>IFERROR(__xludf.DUMMYFUNCTION("""COMPUTED_VALUE"""),22.25)</f>
        <v>22.25</v>
      </c>
      <c r="I42" s="110">
        <f>IFERROR(__xludf.DUMMYFUNCTION("""COMPUTED_VALUE"""),23.7)</f>
        <v>23.7</v>
      </c>
      <c r="J42" s="110">
        <f>IFERROR(__xludf.DUMMYFUNCTION("""COMPUTED_VALUE"""),0.16)</f>
        <v>0.16</v>
      </c>
      <c r="K42" s="110">
        <f>IFERROR(__xludf.DUMMYFUNCTION("""COMPUTED_VALUE"""),23.95)</f>
        <v>23.95</v>
      </c>
      <c r="L42" s="110">
        <f>IFERROR(__xludf.DUMMYFUNCTION("""COMPUTED_VALUE"""),112.6)</f>
        <v>112.6</v>
      </c>
      <c r="M42" s="110">
        <f>IFERROR(__xludf.DUMMYFUNCTION("""COMPUTED_VALUE"""),39519.93)</f>
        <v>39519.93</v>
      </c>
      <c r="N42" s="110">
        <f>IFERROR(__xludf.DUMMYFUNCTION("""COMPUTED_VALUE"""),331.01)</f>
        <v>331.01</v>
      </c>
      <c r="O42" s="110">
        <f>IFERROR(__xludf.DUMMYFUNCTION("""COMPUTED_VALUE"""),276.44)</f>
        <v>276.44</v>
      </c>
      <c r="P42" s="110">
        <f>IFERROR(__xludf.DUMMYFUNCTION("""COMPUTED_VALUE"""),21.03)</f>
        <v>21.03</v>
      </c>
      <c r="Q42" s="110">
        <f>IFERROR(__xludf.DUMMYFUNCTION("""COMPUTED_VALUE"""),23.58)</f>
        <v>23.58</v>
      </c>
      <c r="R42" s="110">
        <f>IFERROR(__xludf.DUMMYFUNCTION("""COMPUTED_VALUE"""),42.94)</f>
        <v>42.94</v>
      </c>
      <c r="S42" s="110">
        <f>IFERROR(__xludf.DUMMYFUNCTION("""COMPUTED_VALUE"""),25.4)</f>
        <v>25.4</v>
      </c>
      <c r="T42" s="110">
        <f>IFERROR(__xludf.DUMMYFUNCTION("""COMPUTED_VALUE"""),19.75)</f>
        <v>19.75</v>
      </c>
      <c r="U42" s="110">
        <f>IFERROR(__xludf.DUMMYFUNCTION("""COMPUTED_VALUE"""),38.8)</f>
        <v>38.8</v>
      </c>
      <c r="V42" s="110">
        <f>IFERROR(__xludf.DUMMYFUNCTION("""COMPUTED_VALUE"""),14.74)</f>
        <v>14.74</v>
      </c>
      <c r="W42" s="110">
        <f>IFERROR(__xludf.DUMMYFUNCTION("""COMPUTED_VALUE"""),226.18)</f>
        <v>226.18</v>
      </c>
      <c r="X42" s="110">
        <f>IFERROR(__xludf.DUMMYFUNCTION("""COMPUTED_VALUE"""),2534.82)</f>
        <v>2534.82</v>
      </c>
      <c r="Y42" s="110">
        <f>IFERROR(__xludf.DUMMYFUNCTION("""COMPUTED_VALUE"""),53.05)</f>
        <v>53.05</v>
      </c>
      <c r="Z42" s="110">
        <f>IFERROR(__xludf.DUMMYFUNCTION("""COMPUTED_VALUE"""),44.9)</f>
        <v>44.9</v>
      </c>
      <c r="AA42" s="110">
        <f>IFERROR(__xludf.DUMMYFUNCTION("""COMPUTED_VALUE"""),84.16)</f>
        <v>84.16</v>
      </c>
      <c r="AB42" s="110">
        <f>IFERROR(__xludf.DUMMYFUNCTION("""COMPUTED_VALUE"""),4.6)</f>
        <v>4.6</v>
      </c>
      <c r="AC42" s="110">
        <f>IFERROR(__xludf.DUMMYFUNCTION("""COMPUTED_VALUE"""),74.55)</f>
        <v>74.55</v>
      </c>
      <c r="AD42" s="110">
        <f>IFERROR(__xludf.DUMMYFUNCTION("""COMPUTED_VALUE"""),11.53)</f>
        <v>11.53</v>
      </c>
      <c r="AE42" s="110">
        <f>IFERROR(__xludf.DUMMYFUNCTION("""COMPUTED_VALUE"""),5.71)</f>
        <v>5.71</v>
      </c>
      <c r="AF42" s="110">
        <f>IFERROR(__xludf.DUMMYFUNCTION("""COMPUTED_VALUE"""),40.42)</f>
        <v>40.42</v>
      </c>
      <c r="AG42" s="110">
        <f>IFERROR(__xludf.DUMMYFUNCTION("""COMPUTED_VALUE"""),11.24)</f>
        <v>11.24</v>
      </c>
      <c r="AH42" s="110">
        <f>IFERROR(__xludf.DUMMYFUNCTION("""COMPUTED_VALUE"""),2.08)</f>
        <v>2.08</v>
      </c>
      <c r="AI42" s="110">
        <f>IFERROR(__xludf.DUMMYFUNCTION("""COMPUTED_VALUE"""),2.84)</f>
        <v>2.84</v>
      </c>
      <c r="AJ42" s="110">
        <f>IFERROR(__xludf.DUMMYFUNCTION("""COMPUTED_VALUE"""),86.6)</f>
        <v>86.6</v>
      </c>
      <c r="AK42" s="110">
        <f>IFERROR(__xludf.DUMMYFUNCTION("""COMPUTED_VALUE"""),213.3)</f>
        <v>213.3</v>
      </c>
      <c r="AL42" s="110">
        <f>IFERROR(__xludf.DUMMYFUNCTION("""COMPUTED_VALUE"""),12.48)</f>
        <v>12.48</v>
      </c>
      <c r="AM42" s="110">
        <f>IFERROR(__xludf.DUMMYFUNCTION("""COMPUTED_VALUE"""),41.2)</f>
        <v>41.2</v>
      </c>
      <c r="AN42" s="110">
        <f>IFERROR(__xludf.DUMMYFUNCTION("""COMPUTED_VALUE"""),329.98)</f>
        <v>329.98</v>
      </c>
      <c r="AO42" s="110">
        <f>IFERROR(__xludf.DUMMYFUNCTION("""COMPUTED_VALUE"""),94.79)</f>
        <v>94.79</v>
      </c>
      <c r="AP42" s="110">
        <f>IFERROR(__xludf.DUMMYFUNCTION("""COMPUTED_VALUE"""),79.55)</f>
        <v>79.55</v>
      </c>
      <c r="AQ42" s="110">
        <f>IFERROR(__xludf.DUMMYFUNCTION("""COMPUTED_VALUE"""),40.76)</f>
        <v>40.76</v>
      </c>
      <c r="AR42" s="109">
        <f>IFERROR(__xludf.DUMMYFUNCTION("""COMPUTED_VALUE"""),103.7345)</f>
        <v>103.7345</v>
      </c>
      <c r="AS42" s="110">
        <f>IFERROR(__xludf.DUMMYFUNCTION("""COMPUTED_VALUE"""),20.88)</f>
        <v>20.88</v>
      </c>
      <c r="AT42" s="110">
        <f>IFERROR(__xludf.DUMMYFUNCTION("""COMPUTED_VALUE"""),80.9)</f>
        <v>80.9</v>
      </c>
      <c r="AU42" s="110">
        <f>IFERROR(__xludf.DUMMYFUNCTION("""COMPUTED_VALUE"""),61.27)</f>
        <v>61.27</v>
      </c>
      <c r="AV42" s="110">
        <f>IFERROR(__xludf.DUMMYFUNCTION("""COMPUTED_VALUE"""),129.03)</f>
        <v>129.03</v>
      </c>
      <c r="AW42" s="110">
        <f>IFERROR(__xludf.DUMMYFUNCTION("""COMPUTED_VALUE"""),120.13)</f>
        <v>120.13</v>
      </c>
      <c r="AX42" s="110">
        <f>IFERROR(__xludf.DUMMYFUNCTION("""COMPUTED_VALUE"""),15.72)</f>
        <v>15.72</v>
      </c>
      <c r="AY42" s="110">
        <f>IFERROR(__xludf.DUMMYFUNCTION("""COMPUTED_VALUE"""),36.68)</f>
        <v>36.68</v>
      </c>
      <c r="AZ42" s="110">
        <f>IFERROR(__xludf.DUMMYFUNCTION("""COMPUTED_VALUE"""),0.0)</f>
        <v>0</v>
      </c>
      <c r="BA42" s="110">
        <f>IFERROR(__xludf.DUMMYFUNCTION("""COMPUTED_VALUE"""),0.0)</f>
        <v>0</v>
      </c>
      <c r="BB42" s="110">
        <f>IFERROR(__xludf.DUMMYFUNCTION("""COMPUTED_VALUE"""),10.56)</f>
        <v>10.56</v>
      </c>
      <c r="BC42" s="110">
        <f>IFERROR(__xludf.DUMMYFUNCTION("""COMPUTED_VALUE"""),10.7)</f>
        <v>10.7</v>
      </c>
      <c r="BD42" s="110">
        <f>IFERROR(__xludf.DUMMYFUNCTION("""COMPUTED_VALUE"""),142.6)</f>
        <v>142.6</v>
      </c>
      <c r="BE42" s="110">
        <f>IFERROR(__xludf.DUMMYFUNCTION("""COMPUTED_VALUE"""),118.5)</f>
        <v>118.5</v>
      </c>
      <c r="BF42" s="110">
        <f>IFERROR(__xludf.DUMMYFUNCTION("""COMPUTED_VALUE"""),7.65)</f>
        <v>7.65</v>
      </c>
      <c r="BG42" s="110">
        <f>IFERROR(__xludf.DUMMYFUNCTION("""COMPUTED_VALUE"""),525.31)</f>
        <v>525.31</v>
      </c>
      <c r="BH42" s="110">
        <f>IFERROR(__xludf.DUMMYFUNCTION("""COMPUTED_VALUE"""),238.66)</f>
        <v>238.66</v>
      </c>
      <c r="BI42" s="110">
        <f>IFERROR(__xludf.DUMMYFUNCTION("""COMPUTED_VALUE"""),229.21)</f>
        <v>229.21</v>
      </c>
      <c r="BJ42" s="110">
        <f>IFERROR(__xludf.DUMMYFUNCTION("""COMPUTED_VALUE"""),21.55)</f>
        <v>21.55</v>
      </c>
      <c r="BK42" s="110">
        <f>IFERROR(__xludf.DUMMYFUNCTION("""COMPUTED_VALUE"""),278.98)</f>
        <v>278.98</v>
      </c>
      <c r="BL42" s="110">
        <f>IFERROR(__xludf.DUMMYFUNCTION("""COMPUTED_VALUE"""),124.07)</f>
        <v>124.07</v>
      </c>
      <c r="BM42" s="110">
        <f>IFERROR(__xludf.DUMMYFUNCTION("""COMPUTED_VALUE"""),15.74)</f>
        <v>15.74</v>
      </c>
      <c r="BN42" s="110">
        <f>IFERROR(__xludf.DUMMYFUNCTION("""COMPUTED_VALUE"""),262.88)</f>
        <v>262.88</v>
      </c>
      <c r="BO42" s="110">
        <f>IFERROR(__xludf.DUMMYFUNCTION("""COMPUTED_VALUE"""),637.58)</f>
        <v>637.58</v>
      </c>
      <c r="BP42" s="110">
        <f>IFERROR(__xludf.DUMMYFUNCTION("""COMPUTED_VALUE"""),35.83)</f>
        <v>35.83</v>
      </c>
      <c r="BQ42" s="110">
        <f>IFERROR(__xludf.DUMMYFUNCTION("""COMPUTED_VALUE"""),7.93)</f>
        <v>7.93</v>
      </c>
      <c r="BR42" s="110">
        <f>IFERROR(__xludf.DUMMYFUNCTION("""COMPUTED_VALUE"""),27.91)</f>
        <v>27.91</v>
      </c>
      <c r="BS42" s="110">
        <f>IFERROR(__xludf.DUMMYFUNCTION("""COMPUTED_VALUE"""),0.86)</f>
        <v>0.86</v>
      </c>
      <c r="BT42" s="110">
        <f>IFERROR(__xludf.DUMMYFUNCTION("""COMPUTED_VALUE"""),45.67)</f>
        <v>45.67</v>
      </c>
      <c r="BU42" s="110">
        <f>IFERROR(__xludf.DUMMYFUNCTION("""COMPUTED_VALUE"""),33.55)</f>
        <v>33.55</v>
      </c>
      <c r="BV42" s="110">
        <f>IFERROR(__xludf.DUMMYFUNCTION("""COMPUTED_VALUE"""),50.55)</f>
        <v>50.55</v>
      </c>
      <c r="BW42" s="110">
        <f>IFERROR(__xludf.DUMMYFUNCTION("""COMPUTED_VALUE"""),5.93)</f>
        <v>5.93</v>
      </c>
      <c r="BX42" s="110">
        <f>IFERROR(__xludf.DUMMYFUNCTION("""COMPUTED_VALUE"""),3.14)</f>
        <v>3.14</v>
      </c>
      <c r="BY42" s="110">
        <f>IFERROR(__xludf.DUMMYFUNCTION("""COMPUTED_VALUE"""),0.0)</f>
        <v>0</v>
      </c>
      <c r="BZ42" s="110">
        <f>IFERROR(__xludf.DUMMYFUNCTION("""COMPUTED_VALUE"""),13.98)</f>
        <v>13.98</v>
      </c>
      <c r="CA42" s="110">
        <f>IFERROR(__xludf.DUMMYFUNCTION("""COMPUTED_VALUE"""),3.64)</f>
        <v>3.64</v>
      </c>
      <c r="CB42" s="110">
        <f>IFERROR(__xludf.DUMMYFUNCTION("""COMPUTED_VALUE"""),5.33)</f>
        <v>5.33</v>
      </c>
      <c r="CC42" s="110">
        <f>IFERROR(__xludf.DUMMYFUNCTION("""COMPUTED_VALUE"""),18.21)</f>
        <v>18.21</v>
      </c>
      <c r="CD42" s="110">
        <f>IFERROR(__xludf.DUMMYFUNCTION("""COMPUTED_VALUE"""),14.02)</f>
        <v>14.02</v>
      </c>
      <c r="CE42" s="110">
        <f>IFERROR(__xludf.DUMMYFUNCTION("""COMPUTED_VALUE"""),30.23)</f>
        <v>30.23</v>
      </c>
      <c r="CF42" s="110">
        <f>IFERROR(__xludf.DUMMYFUNCTION("""COMPUTED_VALUE"""),100.72)</f>
        <v>100.72</v>
      </c>
      <c r="CG42" s="110">
        <f>IFERROR(__xludf.DUMMYFUNCTION("""COMPUTED_VALUE"""),5.16)</f>
        <v>5.16</v>
      </c>
      <c r="CH42" s="110">
        <f>IFERROR(__xludf.DUMMYFUNCTION("""COMPUTED_VALUE"""),23.64)</f>
        <v>23.64</v>
      </c>
      <c r="CI42" s="110">
        <f>IFERROR(__xludf.DUMMYFUNCTION("""COMPUTED_VALUE"""),60.61)</f>
        <v>60.61</v>
      </c>
      <c r="CJ42" s="110">
        <f>IFERROR(__xludf.DUMMYFUNCTION("""COMPUTED_VALUE"""),14.54)</f>
        <v>14.54</v>
      </c>
      <c r="CK42" s="110">
        <f>IFERROR(__xludf.DUMMYFUNCTION("""COMPUTED_VALUE"""),12.6)</f>
        <v>12.6</v>
      </c>
      <c r="CL42" s="110">
        <f>IFERROR(__xludf.DUMMYFUNCTION("""COMPUTED_VALUE"""),2519.02)</f>
        <v>2519.02</v>
      </c>
      <c r="CM42" s="110">
        <f>IFERROR(__xludf.DUMMYFUNCTION("""COMPUTED_VALUE"""),6.39)</f>
        <v>6.39</v>
      </c>
      <c r="CN42" s="110">
        <f>IFERROR(__xludf.DUMMYFUNCTION("""COMPUTED_VALUE"""),133.9)</f>
        <v>133.9</v>
      </c>
      <c r="CO42" s="110">
        <f>IFERROR(__xludf.DUMMYFUNCTION("""COMPUTED_VALUE"""),108.1)</f>
        <v>108.1</v>
      </c>
      <c r="CP42" s="110">
        <f>IFERROR(__xludf.DUMMYFUNCTION("""COMPUTED_VALUE"""),52.29)</f>
        <v>52.29</v>
      </c>
      <c r="CQ42" s="110">
        <f>IFERROR(__xludf.DUMMYFUNCTION("""COMPUTED_VALUE"""),70000.0)</f>
        <v>70000</v>
      </c>
      <c r="CR42" s="110">
        <f>IFERROR(__xludf.DUMMYFUNCTION("""COMPUTED_VALUE"""),0.52)</f>
        <v>0.52</v>
      </c>
      <c r="CS42" s="110">
        <f>IFERROR(__xludf.DUMMYFUNCTION("""COMPUTED_VALUE"""),34.3)</f>
        <v>34.3</v>
      </c>
      <c r="CT42" s="110">
        <f>IFERROR(__xludf.DUMMYFUNCTION("""COMPUTED_VALUE"""),19.8)</f>
        <v>19.8</v>
      </c>
      <c r="CU42" s="110">
        <f>IFERROR(__xludf.DUMMYFUNCTION("""COMPUTED_VALUE"""),1952.2)</f>
        <v>1952.2</v>
      </c>
      <c r="CV42" s="110">
        <f>IFERROR(__xludf.DUMMYFUNCTION("""COMPUTED_VALUE"""),2.51)</f>
        <v>2.51</v>
      </c>
      <c r="CW42" s="110">
        <f>IFERROR(__xludf.DUMMYFUNCTION("""COMPUTED_VALUE"""),2.44)</f>
        <v>2.44</v>
      </c>
      <c r="CX42" s="110">
        <f>IFERROR(__xludf.DUMMYFUNCTION("""COMPUTED_VALUE"""),13.69)</f>
        <v>13.69</v>
      </c>
      <c r="CY42" s="110">
        <f>IFERROR(__xludf.DUMMYFUNCTION("""COMPUTED_VALUE"""),0.05)</f>
        <v>0.05</v>
      </c>
      <c r="CZ42" s="110">
        <f>IFERROR(__xludf.DUMMYFUNCTION("""COMPUTED_VALUE"""),60.2)</f>
        <v>60.2</v>
      </c>
      <c r="DA42" s="110">
        <f>IFERROR(__xludf.DUMMYFUNCTION("""COMPUTED_VALUE"""),0.69)</f>
        <v>0.69</v>
      </c>
      <c r="DB42" s="110">
        <f>IFERROR(__xludf.DUMMYFUNCTION("""COMPUTED_VALUE"""),0.08)</f>
        <v>0.08</v>
      </c>
      <c r="DC42" s="110">
        <f>IFERROR(__xludf.DUMMYFUNCTION("""COMPUTED_VALUE"""),141.39)</f>
        <v>141.39</v>
      </c>
      <c r="DD42" s="110">
        <f>IFERROR(__xludf.DUMMYFUNCTION("""COMPUTED_VALUE"""),10.44)</f>
        <v>10.44</v>
      </c>
      <c r="DE42" s="110">
        <f>IFERROR(__xludf.DUMMYFUNCTION("""COMPUTED_VALUE"""),7.78)</f>
        <v>7.78</v>
      </c>
      <c r="DF42" s="110">
        <f>IFERROR(__xludf.DUMMYFUNCTION("""COMPUTED_VALUE"""),54.3)</f>
        <v>54.3</v>
      </c>
      <c r="DG42" s="110">
        <f>IFERROR(__xludf.DUMMYFUNCTION("""COMPUTED_VALUE"""),5.3)</f>
        <v>5.3</v>
      </c>
      <c r="DH42" s="110">
        <f>IFERROR(__xludf.DUMMYFUNCTION("""COMPUTED_VALUE"""),11.6)</f>
        <v>11.6</v>
      </c>
      <c r="DI42" s="110">
        <f>IFERROR(__xludf.DUMMYFUNCTION("""COMPUTED_VALUE"""),144.05)</f>
        <v>144.05</v>
      </c>
      <c r="DJ42" s="110">
        <f>IFERROR(__xludf.DUMMYFUNCTION("""COMPUTED_VALUE"""),10.3)</f>
        <v>10.3</v>
      </c>
      <c r="DK42" s="110">
        <f>IFERROR(__xludf.DUMMYFUNCTION("""COMPUTED_VALUE"""),1.03)</f>
        <v>1.03</v>
      </c>
      <c r="DL42" s="110">
        <f>IFERROR(__xludf.DUMMYFUNCTION("""COMPUTED_VALUE"""),25.2)</f>
        <v>25.2</v>
      </c>
      <c r="DM42" s="110">
        <f>IFERROR(__xludf.DUMMYFUNCTION("""COMPUTED_VALUE"""),444.45)</f>
        <v>444.45</v>
      </c>
      <c r="DN42" s="110">
        <f>IFERROR(__xludf.DUMMYFUNCTION("""COMPUTED_VALUE"""),138.5)</f>
        <v>138.5</v>
      </c>
      <c r="DO42" s="110">
        <f>IFERROR(__xludf.DUMMYFUNCTION("""COMPUTED_VALUE"""),333.4)</f>
        <v>333.4</v>
      </c>
      <c r="DP42" s="110">
        <f>IFERROR(__xludf.DUMMYFUNCTION("""COMPUTED_VALUE"""),15.95)</f>
        <v>15.95</v>
      </c>
      <c r="DQ42" s="110">
        <f>IFERROR(__xludf.DUMMYFUNCTION("""COMPUTED_VALUE"""),77.76)</f>
        <v>77.76</v>
      </c>
      <c r="DR42" s="110">
        <f>IFERROR(__xludf.DUMMYFUNCTION("""COMPUTED_VALUE"""),4.2)</f>
        <v>4.2</v>
      </c>
      <c r="DS42" s="110">
        <f>IFERROR(__xludf.DUMMYFUNCTION("""COMPUTED_VALUE"""),2.99)</f>
        <v>2.99</v>
      </c>
      <c r="DT42" s="110">
        <f>IFERROR(__xludf.DUMMYFUNCTION("""COMPUTED_VALUE"""),4.59)</f>
        <v>4.59</v>
      </c>
      <c r="DU42" s="110">
        <f>IFERROR(__xludf.DUMMYFUNCTION("""COMPUTED_VALUE"""),52.25)</f>
        <v>52.25</v>
      </c>
      <c r="DV42" s="110">
        <f>IFERROR(__xludf.DUMMYFUNCTION("""COMPUTED_VALUE"""),11.22)</f>
        <v>11.22</v>
      </c>
      <c r="DW42" s="110">
        <f>IFERROR(__xludf.DUMMYFUNCTION("""COMPUTED_VALUE"""),0.068)</f>
        <v>0.068</v>
      </c>
      <c r="DX42" s="110">
        <f>IFERROR(__xludf.DUMMYFUNCTION("""COMPUTED_VALUE"""),24.32)</f>
        <v>24.32</v>
      </c>
      <c r="DY42" s="110">
        <f>IFERROR(__xludf.DUMMYFUNCTION("""COMPUTED_VALUE"""),753.41)</f>
        <v>753.41</v>
      </c>
      <c r="DZ42" s="110">
        <f>IFERROR(__xludf.DUMMYFUNCTION("""COMPUTED_VALUE"""),71.93)</f>
        <v>71.93</v>
      </c>
      <c r="EA42" s="110">
        <f>IFERROR(__xludf.DUMMYFUNCTION("""COMPUTED_VALUE"""),45.59)</f>
        <v>45.59</v>
      </c>
      <c r="EB42" s="110">
        <f>IFERROR(__xludf.DUMMYFUNCTION("""COMPUTED_VALUE"""),70.35)</f>
        <v>70.35</v>
      </c>
      <c r="EC42" s="110">
        <f>IFERROR(__xludf.DUMMYFUNCTION("""COMPUTED_VALUE"""),71.82)</f>
        <v>71.82</v>
      </c>
      <c r="ED42" s="110">
        <f>IFERROR(__xludf.DUMMYFUNCTION("""COMPUTED_VALUE"""),36.86)</f>
        <v>36.86</v>
      </c>
      <c r="EE42" s="110">
        <f>IFERROR(__xludf.DUMMYFUNCTION("""COMPUTED_VALUE"""),81.73)</f>
        <v>81.73</v>
      </c>
      <c r="EF42" s="110">
        <f>IFERROR(__xludf.DUMMYFUNCTION("""COMPUTED_VALUE"""),163.94)</f>
        <v>163.94</v>
      </c>
      <c r="EG42" s="110">
        <f>IFERROR(__xludf.DUMMYFUNCTION("""COMPUTED_VALUE"""),63.62)</f>
        <v>63.62</v>
      </c>
      <c r="EH42" s="110">
        <f>IFERROR(__xludf.DUMMYFUNCTION("""COMPUTED_VALUE"""),98.27)</f>
        <v>98.27</v>
      </c>
      <c r="EI42" s="110">
        <f>IFERROR(__xludf.DUMMYFUNCTION("""COMPUTED_VALUE"""),129.85)</f>
        <v>129.85</v>
      </c>
      <c r="EJ42" s="108" t="str">
        <f>IFERROR(__xludf.DUMMYFUNCTION("""COMPUTED_VALUE"""),"")</f>
        <v/>
      </c>
      <c r="EK42" s="108" t="str">
        <f>IFERROR(__xludf.DUMMYFUNCTION("""COMPUTED_VALUE"""),"")</f>
        <v/>
      </c>
      <c r="EL42" s="108" t="str">
        <f>IFERROR(__xludf.DUMMYFUNCTION("""COMPUTED_VALUE"""),"")</f>
        <v/>
      </c>
      <c r="EM42" s="108" t="str">
        <f>IFERROR(__xludf.DUMMYFUNCTION("""COMPUTED_VALUE"""),"")</f>
        <v/>
      </c>
      <c r="EN42" s="108" t="str">
        <f>IFERROR(__xludf.DUMMYFUNCTION("""COMPUTED_VALUE"""),"")</f>
        <v/>
      </c>
      <c r="EO42" s="108" t="str">
        <f>IFERROR(__xludf.DUMMYFUNCTION("""COMPUTED_VALUE"""),"")</f>
        <v/>
      </c>
      <c r="EP42" s="108" t="str">
        <f>IFERROR(__xludf.DUMMYFUNCTION("""COMPUTED_VALUE"""),"")</f>
        <v/>
      </c>
      <c r="EQ42" s="108" t="str">
        <f>IFERROR(__xludf.DUMMYFUNCTION("""COMPUTED_VALUE"""),"")</f>
        <v/>
      </c>
      <c r="ER42" s="108" t="str">
        <f>IFERROR(__xludf.DUMMYFUNCTION("""COMPUTED_VALUE"""),"")</f>
        <v/>
      </c>
      <c r="ES42" s="108" t="str">
        <f>IFERROR(__xludf.DUMMYFUNCTION("""COMPUTED_VALUE"""),"")</f>
        <v/>
      </c>
      <c r="ET42" s="108" t="str">
        <f>IFERROR(__xludf.DUMMYFUNCTION("""COMPUTED_VALUE"""),"")</f>
        <v/>
      </c>
      <c r="EU42" s="108" t="str">
        <f>IFERROR(__xludf.DUMMYFUNCTION("""COMPUTED_VALUE"""),"")</f>
        <v/>
      </c>
      <c r="EV42" s="108" t="str">
        <f>IFERROR(__xludf.DUMMYFUNCTION("""COMPUTED_VALUE"""),"")</f>
        <v/>
      </c>
      <c r="EW42" s="108" t="str">
        <f>IFERROR(__xludf.DUMMYFUNCTION("""COMPUTED_VALUE"""),"")</f>
        <v/>
      </c>
      <c r="EX42" s="108" t="str">
        <f>IFERROR(__xludf.DUMMYFUNCTION("""COMPUTED_VALUE"""),"")</f>
        <v/>
      </c>
      <c r="EY42" s="108" t="str">
        <f>IFERROR(__xludf.DUMMYFUNCTION("""COMPUTED_VALUE"""),"")</f>
        <v/>
      </c>
      <c r="EZ42" s="108" t="str">
        <f>IFERROR(__xludf.DUMMYFUNCTION("""COMPUTED_VALUE"""),"")</f>
        <v/>
      </c>
      <c r="FA42" s="108" t="str">
        <f>IFERROR(__xludf.DUMMYFUNCTION("""COMPUTED_VALUE"""),"")</f>
        <v/>
      </c>
      <c r="FB42" s="108" t="str">
        <f>IFERROR(__xludf.DUMMYFUNCTION("""COMPUTED_VALUE"""),"")</f>
        <v/>
      </c>
      <c r="FC42" s="108" t="str">
        <f>IFERROR(__xludf.DUMMYFUNCTION("""COMPUTED_VALUE"""),"")</f>
        <v/>
      </c>
      <c r="FD42" s="108" t="str">
        <f>IFERROR(__xludf.DUMMYFUNCTION("""COMPUTED_VALUE"""),"")</f>
        <v/>
      </c>
      <c r="FE42" s="108" t="str">
        <f>IFERROR(__xludf.DUMMYFUNCTION("""COMPUTED_VALUE"""),"")</f>
        <v/>
      </c>
      <c r="FF42" s="108" t="str">
        <f>IFERROR(__xludf.DUMMYFUNCTION("""COMPUTED_VALUE"""),"")</f>
        <v/>
      </c>
      <c r="FG42" s="108" t="str">
        <f>IFERROR(__xludf.DUMMYFUNCTION("""COMPUTED_VALUE"""),"")</f>
        <v/>
      </c>
      <c r="FH42" s="108" t="str">
        <f>IFERROR(__xludf.DUMMYFUNCTION("""COMPUTED_VALUE"""),"")</f>
        <v/>
      </c>
      <c r="FI42" s="108" t="str">
        <f>IFERROR(__xludf.DUMMYFUNCTION("""COMPUTED_VALUE"""),"")</f>
        <v/>
      </c>
      <c r="FJ42" s="108" t="str">
        <f>IFERROR(__xludf.DUMMYFUNCTION("""COMPUTED_VALUE"""),"")</f>
        <v/>
      </c>
      <c r="FK42" s="108" t="str">
        <f>IFERROR(__xludf.DUMMYFUNCTION("""COMPUTED_VALUE"""),"")</f>
        <v/>
      </c>
      <c r="FL42" s="108" t="str">
        <f>IFERROR(__xludf.DUMMYFUNCTION("""COMPUTED_VALUE"""),"")</f>
        <v/>
      </c>
      <c r="FM42" s="108" t="str">
        <f>IFERROR(__xludf.DUMMYFUNCTION("""COMPUTED_VALUE"""),"")</f>
        <v/>
      </c>
      <c r="FN42" s="108" t="str">
        <f>IFERROR(__xludf.DUMMYFUNCTION("""COMPUTED_VALUE"""),"")</f>
        <v/>
      </c>
      <c r="FO42" s="108" t="str">
        <f>IFERROR(__xludf.DUMMYFUNCTION("""COMPUTED_VALUE"""),"")</f>
        <v/>
      </c>
    </row>
    <row r="43">
      <c r="A43" s="106">
        <f>IFERROR(__xludf.DUMMYFUNCTION("""COMPUTED_VALUE"""),44635.0)</f>
        <v>44635</v>
      </c>
      <c r="B43" s="110">
        <f>IFERROR(__xludf.DUMMYFUNCTION("""COMPUTED_VALUE"""),2947.33)</f>
        <v>2947.33</v>
      </c>
      <c r="C43" s="110">
        <f>IFERROR(__xludf.DUMMYFUNCTION("""COMPUTED_VALUE"""),192.03)</f>
        <v>192.03</v>
      </c>
      <c r="D43" s="110">
        <f>IFERROR(__xludf.DUMMYFUNCTION("""COMPUTED_VALUE"""),801.89)</f>
        <v>801.89</v>
      </c>
      <c r="E43" s="110">
        <f>IFERROR(__xludf.DUMMYFUNCTION("""COMPUTED_VALUE"""),298.0)</f>
        <v>298</v>
      </c>
      <c r="F43" s="110">
        <f>IFERROR(__xludf.DUMMYFUNCTION("""COMPUTED_VALUE"""),8.92)</f>
        <v>8.92</v>
      </c>
      <c r="G43" s="110">
        <f>IFERROR(__xludf.DUMMYFUNCTION("""COMPUTED_VALUE"""),155.09)</f>
        <v>155.09</v>
      </c>
      <c r="H43" s="110">
        <f>IFERROR(__xludf.DUMMYFUNCTION("""COMPUTED_VALUE"""),21.2)</f>
        <v>21.2</v>
      </c>
      <c r="I43" s="110">
        <f>IFERROR(__xludf.DUMMYFUNCTION("""COMPUTED_VALUE"""),18.87)</f>
        <v>18.87</v>
      </c>
      <c r="J43" s="110">
        <f>IFERROR(__xludf.DUMMYFUNCTION("""COMPUTED_VALUE"""),0.13)</f>
        <v>0.13</v>
      </c>
      <c r="K43" s="110">
        <f>IFERROR(__xludf.DUMMYFUNCTION("""COMPUTED_VALUE"""),19.08)</f>
        <v>19.08</v>
      </c>
      <c r="L43" s="110">
        <f>IFERROR(__xludf.DUMMYFUNCTION("""COMPUTED_VALUE"""),106.0)</f>
        <v>106</v>
      </c>
      <c r="M43" s="110">
        <f>IFERROR(__xludf.DUMMYFUNCTION("""COMPUTED_VALUE"""),39237.39)</f>
        <v>39237.39</v>
      </c>
      <c r="N43" s="110">
        <f>IFERROR(__xludf.DUMMYFUNCTION("""COMPUTED_VALUE"""),343.75)</f>
        <v>343.75</v>
      </c>
      <c r="O43" s="110">
        <f>IFERROR(__xludf.DUMMYFUNCTION("""COMPUTED_VALUE"""),287.15)</f>
        <v>287.15</v>
      </c>
      <c r="P43" s="110">
        <f>IFERROR(__xludf.DUMMYFUNCTION("""COMPUTED_VALUE"""),22.73)</f>
        <v>22.73</v>
      </c>
      <c r="Q43" s="110">
        <f>IFERROR(__xludf.DUMMYFUNCTION("""COMPUTED_VALUE"""),23.75)</f>
        <v>23.75</v>
      </c>
      <c r="R43" s="110">
        <f>IFERROR(__xludf.DUMMYFUNCTION("""COMPUTED_VALUE"""),45.98)</f>
        <v>45.98</v>
      </c>
      <c r="S43" s="110">
        <f>IFERROR(__xludf.DUMMYFUNCTION("""COMPUTED_VALUE"""),26.34)</f>
        <v>26.34</v>
      </c>
      <c r="T43" s="110">
        <f>IFERROR(__xludf.DUMMYFUNCTION("""COMPUTED_VALUE"""),21.25)</f>
        <v>21.25</v>
      </c>
      <c r="U43" s="110">
        <f>IFERROR(__xludf.DUMMYFUNCTION("""COMPUTED_VALUE"""),40.09)</f>
        <v>40.09</v>
      </c>
      <c r="V43" s="110">
        <f>IFERROR(__xludf.DUMMYFUNCTION("""COMPUTED_VALUE"""),13.8)</f>
        <v>13.8</v>
      </c>
      <c r="W43" s="110">
        <f>IFERROR(__xludf.DUMMYFUNCTION("""COMPUTED_VALUE"""),232.57)</f>
        <v>232.57</v>
      </c>
      <c r="X43" s="110">
        <f>IFERROR(__xludf.DUMMYFUNCTION("""COMPUTED_VALUE"""),2593.21)</f>
        <v>2593.21</v>
      </c>
      <c r="Y43" s="110">
        <f>IFERROR(__xludf.DUMMYFUNCTION("""COMPUTED_VALUE"""),46.35)</f>
        <v>46.35</v>
      </c>
      <c r="Z43" s="110">
        <f>IFERROR(__xludf.DUMMYFUNCTION("""COMPUTED_VALUE"""),40.95)</f>
        <v>40.95</v>
      </c>
      <c r="AA43" s="110">
        <f>IFERROR(__xludf.DUMMYFUNCTION("""COMPUTED_VALUE"""),85.94)</f>
        <v>85.94</v>
      </c>
      <c r="AB43" s="110">
        <f>IFERROR(__xludf.DUMMYFUNCTION("""COMPUTED_VALUE"""),4.43)</f>
        <v>4.43</v>
      </c>
      <c r="AC43" s="110">
        <f>IFERROR(__xludf.DUMMYFUNCTION("""COMPUTED_VALUE"""),71.82)</f>
        <v>71.82</v>
      </c>
      <c r="AD43" s="110">
        <f>IFERROR(__xludf.DUMMYFUNCTION("""COMPUTED_VALUE"""),11.64)</f>
        <v>11.64</v>
      </c>
      <c r="AE43" s="110">
        <f>IFERROR(__xludf.DUMMYFUNCTION("""COMPUTED_VALUE"""),5.37)</f>
        <v>5.37</v>
      </c>
      <c r="AF43" s="110">
        <f>IFERROR(__xludf.DUMMYFUNCTION("""COMPUTED_VALUE"""),37.8)</f>
        <v>37.8</v>
      </c>
      <c r="AG43" s="110">
        <f>IFERROR(__xludf.DUMMYFUNCTION("""COMPUTED_VALUE"""),11.32)</f>
        <v>11.32</v>
      </c>
      <c r="AH43" s="110">
        <f>IFERROR(__xludf.DUMMYFUNCTION("""COMPUTED_VALUE"""),1.98)</f>
        <v>1.98</v>
      </c>
      <c r="AI43" s="110">
        <f>IFERROR(__xludf.DUMMYFUNCTION("""COMPUTED_VALUE"""),2.63)</f>
        <v>2.63</v>
      </c>
      <c r="AJ43" s="110">
        <f>IFERROR(__xludf.DUMMYFUNCTION("""COMPUTED_VALUE"""),87.55)</f>
        <v>87.55</v>
      </c>
      <c r="AK43" s="110">
        <f>IFERROR(__xludf.DUMMYFUNCTION("""COMPUTED_VALUE"""),229.73)</f>
        <v>229.73</v>
      </c>
      <c r="AL43" s="110">
        <f>IFERROR(__xludf.DUMMYFUNCTION("""COMPUTED_VALUE"""),11.5)</f>
        <v>11.5</v>
      </c>
      <c r="AM43" s="110">
        <f>IFERROR(__xludf.DUMMYFUNCTION("""COMPUTED_VALUE"""),41.5)</f>
        <v>41.5</v>
      </c>
      <c r="AN43" s="110">
        <f>IFERROR(__xludf.DUMMYFUNCTION("""COMPUTED_VALUE"""),332.55)</f>
        <v>332.55</v>
      </c>
      <c r="AO43" s="110">
        <f>IFERROR(__xludf.DUMMYFUNCTION("""COMPUTED_VALUE"""),98.1)</f>
        <v>98.1</v>
      </c>
      <c r="AP43" s="110">
        <f>IFERROR(__xludf.DUMMYFUNCTION("""COMPUTED_VALUE"""),79.51)</f>
        <v>79.51</v>
      </c>
      <c r="AQ43" s="110">
        <f>IFERROR(__xludf.DUMMYFUNCTION("""COMPUTED_VALUE"""),39.42)</f>
        <v>39.42</v>
      </c>
      <c r="AR43" s="109">
        <f>IFERROR(__xludf.DUMMYFUNCTION("""COMPUTED_VALUE"""),103.7345)</f>
        <v>103.7345</v>
      </c>
      <c r="AS43" s="110">
        <f>IFERROR(__xludf.DUMMYFUNCTION("""COMPUTED_VALUE"""),19.97)</f>
        <v>19.97</v>
      </c>
      <c r="AT43" s="110">
        <f>IFERROR(__xludf.DUMMYFUNCTION("""COMPUTED_VALUE"""),71.25)</f>
        <v>71.25</v>
      </c>
      <c r="AU43" s="110">
        <f>IFERROR(__xludf.DUMMYFUNCTION("""COMPUTED_VALUE"""),61.2)</f>
        <v>61.2</v>
      </c>
      <c r="AV43" s="110">
        <f>IFERROR(__xludf.DUMMYFUNCTION("""COMPUTED_VALUE"""),134.2)</f>
        <v>134.2</v>
      </c>
      <c r="AW43" s="110">
        <f>IFERROR(__xludf.DUMMYFUNCTION("""COMPUTED_VALUE"""),124.41)</f>
        <v>124.41</v>
      </c>
      <c r="AX43" s="110">
        <f>IFERROR(__xludf.DUMMYFUNCTION("""COMPUTED_VALUE"""),15.1)</f>
        <v>15.1</v>
      </c>
      <c r="AY43" s="110">
        <f>IFERROR(__xludf.DUMMYFUNCTION("""COMPUTED_VALUE"""),37.87)</f>
        <v>37.87</v>
      </c>
      <c r="AZ43" s="110">
        <f>IFERROR(__xludf.DUMMYFUNCTION("""COMPUTED_VALUE"""),0.0)</f>
        <v>0</v>
      </c>
      <c r="BA43" s="110">
        <f>IFERROR(__xludf.DUMMYFUNCTION("""COMPUTED_VALUE"""),0.0)</f>
        <v>0</v>
      </c>
      <c r="BB43" s="110">
        <f>IFERROR(__xludf.DUMMYFUNCTION("""COMPUTED_VALUE"""),10.3)</f>
        <v>10.3</v>
      </c>
      <c r="BC43" s="110">
        <f>IFERROR(__xludf.DUMMYFUNCTION("""COMPUTED_VALUE"""),10.05)</f>
        <v>10.05</v>
      </c>
      <c r="BD43" s="110">
        <f>IFERROR(__xludf.DUMMYFUNCTION("""COMPUTED_VALUE"""),126.2)</f>
        <v>126.2</v>
      </c>
      <c r="BE43" s="110">
        <f>IFERROR(__xludf.DUMMYFUNCTION("""COMPUTED_VALUE"""),109.4)</f>
        <v>109.4</v>
      </c>
      <c r="BF43" s="110">
        <f>IFERROR(__xludf.DUMMYFUNCTION("""COMPUTED_VALUE"""),7.01)</f>
        <v>7.01</v>
      </c>
      <c r="BG43" s="110">
        <f>IFERROR(__xludf.DUMMYFUNCTION("""COMPUTED_VALUE"""),540.06)</f>
        <v>540.06</v>
      </c>
      <c r="BH43" s="110">
        <f>IFERROR(__xludf.DUMMYFUNCTION("""COMPUTED_VALUE"""),245.17)</f>
        <v>245.17</v>
      </c>
      <c r="BI43" s="110">
        <f>IFERROR(__xludf.DUMMYFUNCTION("""COMPUTED_VALUE"""),231.56)</f>
        <v>231.56</v>
      </c>
      <c r="BJ43" s="110">
        <f>IFERROR(__xludf.DUMMYFUNCTION("""COMPUTED_VALUE"""),21.98)</f>
        <v>21.98</v>
      </c>
      <c r="BK43" s="110">
        <f>IFERROR(__xludf.DUMMYFUNCTION("""COMPUTED_VALUE"""),285.5)</f>
        <v>285.5</v>
      </c>
      <c r="BL43" s="110">
        <f>IFERROR(__xludf.DUMMYFUNCTION("""COMPUTED_VALUE"""),126.28)</f>
        <v>126.28</v>
      </c>
      <c r="BM43" s="110">
        <f>IFERROR(__xludf.DUMMYFUNCTION("""COMPUTED_VALUE"""),16.06)</f>
        <v>16.06</v>
      </c>
      <c r="BN43" s="110">
        <f>IFERROR(__xludf.DUMMYFUNCTION("""COMPUTED_VALUE"""),289.56)</f>
        <v>289.56</v>
      </c>
      <c r="BO43" s="110">
        <f>IFERROR(__xludf.DUMMYFUNCTION("""COMPUTED_VALUE"""),645.56)</f>
        <v>645.56</v>
      </c>
      <c r="BP43" s="110">
        <f>IFERROR(__xludf.DUMMYFUNCTION("""COMPUTED_VALUE"""),37.0)</f>
        <v>37</v>
      </c>
      <c r="BQ43" s="110">
        <f>IFERROR(__xludf.DUMMYFUNCTION("""COMPUTED_VALUE"""),8.2)</f>
        <v>8.2</v>
      </c>
      <c r="BR43" s="110">
        <f>IFERROR(__xludf.DUMMYFUNCTION("""COMPUTED_VALUE"""),31.51)</f>
        <v>31.51</v>
      </c>
      <c r="BS43" s="110">
        <f>IFERROR(__xludf.DUMMYFUNCTION("""COMPUTED_VALUE"""),0.83)</f>
        <v>0.83</v>
      </c>
      <c r="BT43" s="110">
        <f>IFERROR(__xludf.DUMMYFUNCTION("""COMPUTED_VALUE"""),45.4)</f>
        <v>45.4</v>
      </c>
      <c r="BU43" s="110">
        <f>IFERROR(__xludf.DUMMYFUNCTION("""COMPUTED_VALUE"""),31.0)</f>
        <v>31</v>
      </c>
      <c r="BV43" s="110">
        <f>IFERROR(__xludf.DUMMYFUNCTION("""COMPUTED_VALUE"""),48.3)</f>
        <v>48.3</v>
      </c>
      <c r="BW43" s="110">
        <f>IFERROR(__xludf.DUMMYFUNCTION("""COMPUTED_VALUE"""),5.98)</f>
        <v>5.98</v>
      </c>
      <c r="BX43" s="110">
        <f>IFERROR(__xludf.DUMMYFUNCTION("""COMPUTED_VALUE"""),3.11)</f>
        <v>3.11</v>
      </c>
      <c r="BY43" s="110">
        <f>IFERROR(__xludf.DUMMYFUNCTION("""COMPUTED_VALUE"""),0.0)</f>
        <v>0</v>
      </c>
      <c r="BZ43" s="110">
        <f>IFERROR(__xludf.DUMMYFUNCTION("""COMPUTED_VALUE"""),13.9)</f>
        <v>13.9</v>
      </c>
      <c r="CA43" s="110">
        <f>IFERROR(__xludf.DUMMYFUNCTION("""COMPUTED_VALUE"""),3.5)</f>
        <v>3.5</v>
      </c>
      <c r="CB43" s="110">
        <f>IFERROR(__xludf.DUMMYFUNCTION("""COMPUTED_VALUE"""),4.86)</f>
        <v>4.86</v>
      </c>
      <c r="CC43" s="110">
        <f>IFERROR(__xludf.DUMMYFUNCTION("""COMPUTED_VALUE"""),17.21)</f>
        <v>17.21</v>
      </c>
      <c r="CD43" s="110">
        <f>IFERROR(__xludf.DUMMYFUNCTION("""COMPUTED_VALUE"""),12.76)</f>
        <v>12.76</v>
      </c>
      <c r="CE43" s="110">
        <f>IFERROR(__xludf.DUMMYFUNCTION("""COMPUTED_VALUE"""),28.57)</f>
        <v>28.57</v>
      </c>
      <c r="CF43" s="110">
        <f>IFERROR(__xludf.DUMMYFUNCTION("""COMPUTED_VALUE"""),96.17)</f>
        <v>96.17</v>
      </c>
      <c r="CG43" s="110">
        <f>IFERROR(__xludf.DUMMYFUNCTION("""COMPUTED_VALUE"""),4.75)</f>
        <v>4.75</v>
      </c>
      <c r="CH43" s="110">
        <f>IFERROR(__xludf.DUMMYFUNCTION("""COMPUTED_VALUE"""),23.77)</f>
        <v>23.77</v>
      </c>
      <c r="CI43" s="110">
        <f>IFERROR(__xludf.DUMMYFUNCTION("""COMPUTED_VALUE"""),58.17)</f>
        <v>58.17</v>
      </c>
      <c r="CJ43" s="110">
        <f>IFERROR(__xludf.DUMMYFUNCTION("""COMPUTED_VALUE"""),14.54)</f>
        <v>14.54</v>
      </c>
      <c r="CK43" s="110">
        <f>IFERROR(__xludf.DUMMYFUNCTION("""COMPUTED_VALUE"""),11.53)</f>
        <v>11.53</v>
      </c>
      <c r="CL43" s="110">
        <f>IFERROR(__xludf.DUMMYFUNCTION("""COMPUTED_VALUE"""),2583.96)</f>
        <v>2583.96</v>
      </c>
      <c r="CM43" s="110">
        <f>IFERROR(__xludf.DUMMYFUNCTION("""COMPUTED_VALUE"""),6.7)</f>
        <v>6.7</v>
      </c>
      <c r="CN43" s="110">
        <f>IFERROR(__xludf.DUMMYFUNCTION("""COMPUTED_VALUE"""),127.6)</f>
        <v>127.6</v>
      </c>
      <c r="CO43" s="110">
        <f>IFERROR(__xludf.DUMMYFUNCTION("""COMPUTED_VALUE"""),100.0)</f>
        <v>100</v>
      </c>
      <c r="CP43" s="110">
        <f>IFERROR(__xludf.DUMMYFUNCTION("""COMPUTED_VALUE"""),54.39)</f>
        <v>54.39</v>
      </c>
      <c r="CQ43" s="110">
        <f>IFERROR(__xludf.DUMMYFUNCTION("""COMPUTED_VALUE"""),70100.0)</f>
        <v>70100</v>
      </c>
      <c r="CR43" s="110">
        <f>IFERROR(__xludf.DUMMYFUNCTION("""COMPUTED_VALUE"""),0.52)</f>
        <v>0.52</v>
      </c>
      <c r="CS43" s="110">
        <f>IFERROR(__xludf.DUMMYFUNCTION("""COMPUTED_VALUE"""),33.7)</f>
        <v>33.7</v>
      </c>
      <c r="CT43" s="110">
        <f>IFERROR(__xludf.DUMMYFUNCTION("""COMPUTED_VALUE"""),18.65)</f>
        <v>18.65</v>
      </c>
      <c r="CU43" s="110">
        <f>IFERROR(__xludf.DUMMYFUNCTION("""COMPUTED_VALUE"""),1924.6)</f>
        <v>1924.6</v>
      </c>
      <c r="CV43" s="110">
        <f>IFERROR(__xludf.DUMMYFUNCTION("""COMPUTED_VALUE"""),2.28)</f>
        <v>2.28</v>
      </c>
      <c r="CW43" s="110">
        <f>IFERROR(__xludf.DUMMYFUNCTION("""COMPUTED_VALUE"""),2.17)</f>
        <v>2.17</v>
      </c>
      <c r="CX43" s="110">
        <f>IFERROR(__xludf.DUMMYFUNCTION("""COMPUTED_VALUE"""),13.69)</f>
        <v>13.69</v>
      </c>
      <c r="CY43" s="110">
        <f>IFERROR(__xludf.DUMMYFUNCTION("""COMPUTED_VALUE"""),0.05)</f>
        <v>0.05</v>
      </c>
      <c r="CZ43" s="110">
        <f>IFERROR(__xludf.DUMMYFUNCTION("""COMPUTED_VALUE"""),56.15)</f>
        <v>56.15</v>
      </c>
      <c r="DA43" s="110">
        <f>IFERROR(__xludf.DUMMYFUNCTION("""COMPUTED_VALUE"""),0.52)</f>
        <v>0.52</v>
      </c>
      <c r="DB43" s="110">
        <f>IFERROR(__xludf.DUMMYFUNCTION("""COMPUTED_VALUE"""),0.08)</f>
        <v>0.08</v>
      </c>
      <c r="DC43" s="110">
        <f>IFERROR(__xludf.DUMMYFUNCTION("""COMPUTED_VALUE"""),146.14)</f>
        <v>146.14</v>
      </c>
      <c r="DD43" s="110">
        <f>IFERROR(__xludf.DUMMYFUNCTION("""COMPUTED_VALUE"""),9.71)</f>
        <v>9.71</v>
      </c>
      <c r="DE43" s="110">
        <f>IFERROR(__xludf.DUMMYFUNCTION("""COMPUTED_VALUE"""),7.69)</f>
        <v>7.69</v>
      </c>
      <c r="DF43" s="110">
        <f>IFERROR(__xludf.DUMMYFUNCTION("""COMPUTED_VALUE"""),52.45)</f>
        <v>52.45</v>
      </c>
      <c r="DG43" s="110">
        <f>IFERROR(__xludf.DUMMYFUNCTION("""COMPUTED_VALUE"""),4.99)</f>
        <v>4.99</v>
      </c>
      <c r="DH43" s="110">
        <f>IFERROR(__xludf.DUMMYFUNCTION("""COMPUTED_VALUE"""),11.17)</f>
        <v>11.17</v>
      </c>
      <c r="DI43" s="110">
        <f>IFERROR(__xludf.DUMMYFUNCTION("""COMPUTED_VALUE"""),145.78)</f>
        <v>145.78</v>
      </c>
      <c r="DJ43" s="110">
        <f>IFERROR(__xludf.DUMMYFUNCTION("""COMPUTED_VALUE"""),10.65)</f>
        <v>10.65</v>
      </c>
      <c r="DK43" s="110">
        <f>IFERROR(__xludf.DUMMYFUNCTION("""COMPUTED_VALUE"""),1.0)</f>
        <v>1</v>
      </c>
      <c r="DL43" s="110">
        <f>IFERROR(__xludf.DUMMYFUNCTION("""COMPUTED_VALUE"""),23.75)</f>
        <v>23.75</v>
      </c>
      <c r="DM43" s="110">
        <f>IFERROR(__xludf.DUMMYFUNCTION("""COMPUTED_VALUE"""),448.67)</f>
        <v>448.67</v>
      </c>
      <c r="DN43" s="110">
        <f>IFERROR(__xludf.DUMMYFUNCTION("""COMPUTED_VALUE"""),143.95)</f>
        <v>143.95</v>
      </c>
      <c r="DO43" s="110">
        <f>IFERROR(__xludf.DUMMYFUNCTION("""COMPUTED_VALUE"""),322.4)</f>
        <v>322.4</v>
      </c>
      <c r="DP43" s="110">
        <f>IFERROR(__xludf.DUMMYFUNCTION("""COMPUTED_VALUE"""),13.51)</f>
        <v>13.51</v>
      </c>
      <c r="DQ43" s="110">
        <f>IFERROR(__xludf.DUMMYFUNCTION("""COMPUTED_VALUE"""),76.76)</f>
        <v>76.76</v>
      </c>
      <c r="DR43" s="110">
        <f>IFERROR(__xludf.DUMMYFUNCTION("""COMPUTED_VALUE"""),2.83)</f>
        <v>2.83</v>
      </c>
      <c r="DS43" s="110">
        <f>IFERROR(__xludf.DUMMYFUNCTION("""COMPUTED_VALUE"""),2.82)</f>
        <v>2.82</v>
      </c>
      <c r="DT43" s="110">
        <f>IFERROR(__xludf.DUMMYFUNCTION("""COMPUTED_VALUE"""),4.18)</f>
        <v>4.18</v>
      </c>
      <c r="DU43" s="110">
        <f>IFERROR(__xludf.DUMMYFUNCTION("""COMPUTED_VALUE"""),52.21)</f>
        <v>52.21</v>
      </c>
      <c r="DV43" s="110">
        <f>IFERROR(__xludf.DUMMYFUNCTION("""COMPUTED_VALUE"""),10.08)</f>
        <v>10.08</v>
      </c>
      <c r="DW43" s="110">
        <f>IFERROR(__xludf.DUMMYFUNCTION("""COMPUTED_VALUE"""),0.058)</f>
        <v>0.058</v>
      </c>
      <c r="DX43" s="110">
        <f>IFERROR(__xludf.DUMMYFUNCTION("""COMPUTED_VALUE"""),24.95)</f>
        <v>24.95</v>
      </c>
      <c r="DY43" s="110">
        <f>IFERROR(__xludf.DUMMYFUNCTION("""COMPUTED_VALUE"""),753.41)</f>
        <v>753.41</v>
      </c>
      <c r="DZ43" s="110">
        <f>IFERROR(__xludf.DUMMYFUNCTION("""COMPUTED_VALUE"""),73.8)</f>
        <v>73.8</v>
      </c>
      <c r="EA43" s="110">
        <f>IFERROR(__xludf.DUMMYFUNCTION("""COMPUTED_VALUE"""),45.95)</f>
        <v>45.95</v>
      </c>
      <c r="EB43" s="110">
        <f>IFERROR(__xludf.DUMMYFUNCTION("""COMPUTED_VALUE"""),71.25)</f>
        <v>71.25</v>
      </c>
      <c r="EC43" s="110">
        <f>IFERROR(__xludf.DUMMYFUNCTION("""COMPUTED_VALUE"""),73.43)</f>
        <v>73.43</v>
      </c>
      <c r="ED43" s="110">
        <f>IFERROR(__xludf.DUMMYFUNCTION("""COMPUTED_VALUE"""),37.38)</f>
        <v>37.38</v>
      </c>
      <c r="EE43" s="110">
        <f>IFERROR(__xludf.DUMMYFUNCTION("""COMPUTED_VALUE"""),82.67)</f>
        <v>82.67</v>
      </c>
      <c r="EF43" s="110">
        <f>IFERROR(__xludf.DUMMYFUNCTION("""COMPUTED_VALUE"""),169.43)</f>
        <v>169.43</v>
      </c>
      <c r="EG43" s="110">
        <f>IFERROR(__xludf.DUMMYFUNCTION("""COMPUTED_VALUE"""),64.84)</f>
        <v>64.84</v>
      </c>
      <c r="EH43" s="110">
        <f>IFERROR(__xludf.DUMMYFUNCTION("""COMPUTED_VALUE"""),99.83)</f>
        <v>99.83</v>
      </c>
      <c r="EI43" s="110">
        <f>IFERROR(__xludf.DUMMYFUNCTION("""COMPUTED_VALUE"""),132.44)</f>
        <v>132.44</v>
      </c>
      <c r="EJ43" s="110">
        <f>IFERROR(__xludf.DUMMYFUNCTION("""COMPUTED_VALUE"""),42.46)</f>
        <v>42.46</v>
      </c>
      <c r="EK43" s="110">
        <f>IFERROR(__xludf.DUMMYFUNCTION("""COMPUTED_VALUE"""),246.0)</f>
        <v>246</v>
      </c>
      <c r="EL43" s="110">
        <f>IFERROR(__xludf.DUMMYFUNCTION("""COMPUTED_VALUE"""),55.0)</f>
        <v>55</v>
      </c>
      <c r="EM43" s="110">
        <f>IFERROR(__xludf.DUMMYFUNCTION("""COMPUTED_VALUE"""),43.15)</f>
        <v>43.15</v>
      </c>
      <c r="EN43" s="110">
        <f>IFERROR(__xludf.DUMMYFUNCTION("""COMPUTED_VALUE"""),1603.0)</f>
        <v>1603</v>
      </c>
      <c r="EO43" s="110">
        <f>IFERROR(__xludf.DUMMYFUNCTION("""COMPUTED_VALUE"""),35.5)</f>
        <v>35.5</v>
      </c>
      <c r="EP43" s="110">
        <f>IFERROR(__xludf.DUMMYFUNCTION("""COMPUTED_VALUE"""),7.65)</f>
        <v>7.65</v>
      </c>
      <c r="EQ43" s="110">
        <f>IFERROR(__xludf.DUMMYFUNCTION("""COMPUTED_VALUE"""),0.58)</f>
        <v>0.58</v>
      </c>
      <c r="ER43" s="108" t="str">
        <f>IFERROR(__xludf.DUMMYFUNCTION("""COMPUTED_VALUE"""),"")</f>
        <v/>
      </c>
      <c r="ES43" s="108" t="str">
        <f>IFERROR(__xludf.DUMMYFUNCTION("""COMPUTED_VALUE"""),"")</f>
        <v/>
      </c>
      <c r="ET43" s="108" t="str">
        <f>IFERROR(__xludf.DUMMYFUNCTION("""COMPUTED_VALUE"""),"")</f>
        <v/>
      </c>
      <c r="EU43" s="108" t="str">
        <f>IFERROR(__xludf.DUMMYFUNCTION("""COMPUTED_VALUE"""),"")</f>
        <v/>
      </c>
      <c r="EV43" s="108" t="str">
        <f>IFERROR(__xludf.DUMMYFUNCTION("""COMPUTED_VALUE"""),"")</f>
        <v/>
      </c>
      <c r="EW43" s="108" t="str">
        <f>IFERROR(__xludf.DUMMYFUNCTION("""COMPUTED_VALUE"""),"")</f>
        <v/>
      </c>
      <c r="EX43" s="108" t="str">
        <f>IFERROR(__xludf.DUMMYFUNCTION("""COMPUTED_VALUE"""),"")</f>
        <v/>
      </c>
      <c r="EY43" s="108" t="str">
        <f>IFERROR(__xludf.DUMMYFUNCTION("""COMPUTED_VALUE"""),"")</f>
        <v/>
      </c>
      <c r="EZ43" s="108" t="str">
        <f>IFERROR(__xludf.DUMMYFUNCTION("""COMPUTED_VALUE"""),"")</f>
        <v/>
      </c>
      <c r="FA43" s="108" t="str">
        <f>IFERROR(__xludf.DUMMYFUNCTION("""COMPUTED_VALUE"""),"")</f>
        <v/>
      </c>
      <c r="FB43" s="108" t="str">
        <f>IFERROR(__xludf.DUMMYFUNCTION("""COMPUTED_VALUE"""),"")</f>
        <v/>
      </c>
      <c r="FC43" s="108" t="str">
        <f>IFERROR(__xludf.DUMMYFUNCTION("""COMPUTED_VALUE"""),"")</f>
        <v/>
      </c>
      <c r="FD43" s="108" t="str">
        <f>IFERROR(__xludf.DUMMYFUNCTION("""COMPUTED_VALUE"""),"")</f>
        <v/>
      </c>
      <c r="FE43" s="108" t="str">
        <f>IFERROR(__xludf.DUMMYFUNCTION("""COMPUTED_VALUE"""),"")</f>
        <v/>
      </c>
      <c r="FF43" s="108" t="str">
        <f>IFERROR(__xludf.DUMMYFUNCTION("""COMPUTED_VALUE"""),"")</f>
        <v/>
      </c>
      <c r="FG43" s="108" t="str">
        <f>IFERROR(__xludf.DUMMYFUNCTION("""COMPUTED_VALUE"""),"")</f>
        <v/>
      </c>
      <c r="FH43" s="108" t="str">
        <f>IFERROR(__xludf.DUMMYFUNCTION("""COMPUTED_VALUE"""),"")</f>
        <v/>
      </c>
      <c r="FI43" s="108" t="str">
        <f>IFERROR(__xludf.DUMMYFUNCTION("""COMPUTED_VALUE"""),"")</f>
        <v/>
      </c>
      <c r="FJ43" s="108" t="str">
        <f>IFERROR(__xludf.DUMMYFUNCTION("""COMPUTED_VALUE"""),"")</f>
        <v/>
      </c>
      <c r="FK43" s="108" t="str">
        <f>IFERROR(__xludf.DUMMYFUNCTION("""COMPUTED_VALUE"""),"")</f>
        <v/>
      </c>
      <c r="FL43" s="108" t="str">
        <f>IFERROR(__xludf.DUMMYFUNCTION("""COMPUTED_VALUE"""),"")</f>
        <v/>
      </c>
      <c r="FM43" s="108" t="str">
        <f>IFERROR(__xludf.DUMMYFUNCTION("""COMPUTED_VALUE"""),"")</f>
        <v/>
      </c>
      <c r="FN43" s="108" t="str">
        <f>IFERROR(__xludf.DUMMYFUNCTION("""COMPUTED_VALUE"""),"")</f>
        <v/>
      </c>
      <c r="FO43" s="108" t="str">
        <f>IFERROR(__xludf.DUMMYFUNCTION("""COMPUTED_VALUE"""),"")</f>
        <v/>
      </c>
    </row>
    <row r="44">
      <c r="A44" s="106">
        <f>IFERROR(__xludf.DUMMYFUNCTION("""COMPUTED_VALUE"""),44636.0)</f>
        <v>44636</v>
      </c>
      <c r="B44" s="110">
        <f>IFERROR(__xludf.DUMMYFUNCTION("""COMPUTED_VALUE"""),3062.08)</f>
        <v>3062.08</v>
      </c>
      <c r="C44" s="110">
        <f>IFERROR(__xludf.DUMMYFUNCTION("""COMPUTED_VALUE"""),203.63)</f>
        <v>203.63</v>
      </c>
      <c r="D44" s="110">
        <f>IFERROR(__xludf.DUMMYFUNCTION("""COMPUTED_VALUE"""),840.23)</f>
        <v>840.23</v>
      </c>
      <c r="E44" s="110">
        <f>IFERROR(__xludf.DUMMYFUNCTION("""COMPUTED_VALUE"""),367.0)</f>
        <v>367</v>
      </c>
      <c r="F44" s="110">
        <f>IFERROR(__xludf.DUMMYFUNCTION("""COMPUTED_VALUE"""),9.19)</f>
        <v>9.19</v>
      </c>
      <c r="G44" s="110">
        <f>IFERROR(__xludf.DUMMYFUNCTION("""COMPUTED_VALUE"""),159.59)</f>
        <v>159.59</v>
      </c>
      <c r="H44" s="110">
        <f>IFERROR(__xludf.DUMMYFUNCTION("""COMPUTED_VALUE"""),21.2)</f>
        <v>21.2</v>
      </c>
      <c r="I44" s="110">
        <f>IFERROR(__xludf.DUMMYFUNCTION("""COMPUTED_VALUE"""),9.25)</f>
        <v>9.25</v>
      </c>
      <c r="J44" s="110">
        <f>IFERROR(__xludf.DUMMYFUNCTION("""COMPUTED_VALUE"""),0.23)</f>
        <v>0.23</v>
      </c>
      <c r="K44" s="110">
        <f>IFERROR(__xludf.DUMMYFUNCTION("""COMPUTED_VALUE"""),28.3)</f>
        <v>28.3</v>
      </c>
      <c r="L44" s="110">
        <f>IFERROR(__xludf.DUMMYFUNCTION("""COMPUTED_VALUE"""),140.0)</f>
        <v>140</v>
      </c>
      <c r="M44" s="110">
        <f>IFERROR(__xludf.DUMMYFUNCTION("""COMPUTED_VALUE"""),41014.15)</f>
        <v>41014.15</v>
      </c>
      <c r="N44" s="110">
        <f>IFERROR(__xludf.DUMMYFUNCTION("""COMPUTED_VALUE"""),357.53)</f>
        <v>357.53</v>
      </c>
      <c r="O44" s="110">
        <f>IFERROR(__xludf.DUMMYFUNCTION("""COMPUTED_VALUE"""),294.39)</f>
        <v>294.39</v>
      </c>
      <c r="P44" s="110">
        <f>IFERROR(__xludf.DUMMYFUNCTION("""COMPUTED_VALUE"""),25.56)</f>
        <v>25.56</v>
      </c>
      <c r="Q44" s="110">
        <f>IFERROR(__xludf.DUMMYFUNCTION("""COMPUTED_VALUE"""),24.25)</f>
        <v>24.25</v>
      </c>
      <c r="R44" s="110">
        <f>IFERROR(__xludf.DUMMYFUNCTION("""COMPUTED_VALUE"""),64.08)</f>
        <v>64.08</v>
      </c>
      <c r="S44" s="110">
        <f>IFERROR(__xludf.DUMMYFUNCTION("""COMPUTED_VALUE"""),27.5)</f>
        <v>27.5</v>
      </c>
      <c r="T44" s="110">
        <f>IFERROR(__xludf.DUMMYFUNCTION("""COMPUTED_VALUE"""),27.53)</f>
        <v>27.53</v>
      </c>
      <c r="U44" s="110">
        <f>IFERROR(__xludf.DUMMYFUNCTION("""COMPUTED_VALUE"""),42.17)</f>
        <v>42.17</v>
      </c>
      <c r="V44" s="110">
        <f>IFERROR(__xludf.DUMMYFUNCTION("""COMPUTED_VALUE"""),14.37)</f>
        <v>14.37</v>
      </c>
      <c r="W44" s="110">
        <f>IFERROR(__xludf.DUMMYFUNCTION("""COMPUTED_VALUE"""),238.14)</f>
        <v>238.14</v>
      </c>
      <c r="X44" s="110">
        <f>IFERROR(__xludf.DUMMYFUNCTION("""COMPUTED_VALUE"""),2673.81)</f>
        <v>2673.81</v>
      </c>
      <c r="Y44" s="110">
        <f>IFERROR(__xludf.DUMMYFUNCTION("""COMPUTED_VALUE"""),50.05)</f>
        <v>50.05</v>
      </c>
      <c r="Z44" s="110">
        <f>IFERROR(__xludf.DUMMYFUNCTION("""COMPUTED_VALUE"""),47.25)</f>
        <v>47.25</v>
      </c>
      <c r="AA44" s="110">
        <f>IFERROR(__xludf.DUMMYFUNCTION("""COMPUTED_VALUE"""),95.16)</f>
        <v>95.16</v>
      </c>
      <c r="AB44" s="110">
        <f>IFERROR(__xludf.DUMMYFUNCTION("""COMPUTED_VALUE"""),4.4)</f>
        <v>4.4</v>
      </c>
      <c r="AC44" s="110">
        <f>IFERROR(__xludf.DUMMYFUNCTION("""COMPUTED_VALUE"""),71.49)</f>
        <v>71.49</v>
      </c>
      <c r="AD44" s="110">
        <f>IFERROR(__xludf.DUMMYFUNCTION("""COMPUTED_VALUE"""),11.94)</f>
        <v>11.94</v>
      </c>
      <c r="AE44" s="110">
        <f>IFERROR(__xludf.DUMMYFUNCTION("""COMPUTED_VALUE"""),5.69)</f>
        <v>5.69</v>
      </c>
      <c r="AF44" s="110">
        <f>IFERROR(__xludf.DUMMYFUNCTION("""COMPUTED_VALUE"""),39.84)</f>
        <v>39.84</v>
      </c>
      <c r="AG44" s="110">
        <f>IFERROR(__xludf.DUMMYFUNCTION("""COMPUTED_VALUE"""),13.06)</f>
        <v>13.06</v>
      </c>
      <c r="AH44" s="110">
        <f>IFERROR(__xludf.DUMMYFUNCTION("""COMPUTED_VALUE"""),2.02)</f>
        <v>2.02</v>
      </c>
      <c r="AI44" s="110">
        <f>IFERROR(__xludf.DUMMYFUNCTION("""COMPUTED_VALUE"""),2.84)</f>
        <v>2.84</v>
      </c>
      <c r="AJ44" s="110">
        <f>IFERROR(__xludf.DUMMYFUNCTION("""COMPUTED_VALUE"""),99.95)</f>
        <v>99.95</v>
      </c>
      <c r="AK44" s="110">
        <f>IFERROR(__xludf.DUMMYFUNCTION("""COMPUTED_VALUE"""),244.96)</f>
        <v>244.96</v>
      </c>
      <c r="AL44" s="110">
        <f>IFERROR(__xludf.DUMMYFUNCTION("""COMPUTED_VALUE"""),13.4)</f>
        <v>13.4</v>
      </c>
      <c r="AM44" s="110">
        <f>IFERROR(__xludf.DUMMYFUNCTION("""COMPUTED_VALUE"""),42.8)</f>
        <v>42.8</v>
      </c>
      <c r="AN44" s="110">
        <f>IFERROR(__xludf.DUMMYFUNCTION("""COMPUTED_VALUE"""),336.11)</f>
        <v>336.11</v>
      </c>
      <c r="AO44" s="110">
        <f>IFERROR(__xludf.DUMMYFUNCTION("""COMPUTED_VALUE"""),102.75)</f>
        <v>102.75</v>
      </c>
      <c r="AP44" s="110">
        <f>IFERROR(__xludf.DUMMYFUNCTION("""COMPUTED_VALUE"""),79.12)</f>
        <v>79.12</v>
      </c>
      <c r="AQ44" s="110">
        <f>IFERROR(__xludf.DUMMYFUNCTION("""COMPUTED_VALUE"""),52.6)</f>
        <v>52.6</v>
      </c>
      <c r="AR44" s="109">
        <f>IFERROR(__xludf.DUMMYFUNCTION("""COMPUTED_VALUE"""),104.03200000000001)</f>
        <v>104.032</v>
      </c>
      <c r="AS44" s="110">
        <f>IFERROR(__xludf.DUMMYFUNCTION("""COMPUTED_VALUE"""),17.05)</f>
        <v>17.05</v>
      </c>
      <c r="AT44" s="110">
        <f>IFERROR(__xludf.DUMMYFUNCTION("""COMPUTED_VALUE"""),90.7)</f>
        <v>90.7</v>
      </c>
      <c r="AU44" s="110">
        <f>IFERROR(__xludf.DUMMYFUNCTION("""COMPUTED_VALUE"""),63.78)</f>
        <v>63.78</v>
      </c>
      <c r="AV44" s="110">
        <f>IFERROR(__xludf.DUMMYFUNCTION("""COMPUTED_VALUE"""),138.14)</f>
        <v>138.14</v>
      </c>
      <c r="AW44" s="110">
        <f>IFERROR(__xludf.DUMMYFUNCTION("""COMPUTED_VALUE"""),130.48)</f>
        <v>130.48</v>
      </c>
      <c r="AX44" s="110">
        <f>IFERROR(__xludf.DUMMYFUNCTION("""COMPUTED_VALUE"""),17.32)</f>
        <v>17.32</v>
      </c>
      <c r="AY44" s="110">
        <f>IFERROR(__xludf.DUMMYFUNCTION("""COMPUTED_VALUE"""),41.51)</f>
        <v>41.51</v>
      </c>
      <c r="AZ44" s="110">
        <f>IFERROR(__xludf.DUMMYFUNCTION("""COMPUTED_VALUE"""),0.0)</f>
        <v>0</v>
      </c>
      <c r="BA44" s="110">
        <f>IFERROR(__xludf.DUMMYFUNCTION("""COMPUTED_VALUE"""),0.0)</f>
        <v>0</v>
      </c>
      <c r="BB44" s="110">
        <f>IFERROR(__xludf.DUMMYFUNCTION("""COMPUTED_VALUE"""),11.64)</f>
        <v>11.64</v>
      </c>
      <c r="BC44" s="110">
        <f>IFERROR(__xludf.DUMMYFUNCTION("""COMPUTED_VALUE"""),9.4)</f>
        <v>9.4</v>
      </c>
      <c r="BD44" s="110">
        <f>IFERROR(__xludf.DUMMYFUNCTION("""COMPUTED_VALUE"""),171.0)</f>
        <v>171</v>
      </c>
      <c r="BE44" s="110">
        <f>IFERROR(__xludf.DUMMYFUNCTION("""COMPUTED_VALUE"""),135.0)</f>
        <v>135</v>
      </c>
      <c r="BF44" s="110">
        <f>IFERROR(__xludf.DUMMYFUNCTION("""COMPUTED_VALUE"""),8.64)</f>
        <v>8.64</v>
      </c>
      <c r="BG44" s="110">
        <f>IFERROR(__xludf.DUMMYFUNCTION("""COMPUTED_VALUE"""),553.92)</f>
        <v>553.92</v>
      </c>
      <c r="BH44" s="110">
        <f>IFERROR(__xludf.DUMMYFUNCTION("""COMPUTED_VALUE"""),280.96)</f>
        <v>280.96</v>
      </c>
      <c r="BI44" s="110">
        <f>IFERROR(__xludf.DUMMYFUNCTION("""COMPUTED_VALUE"""),231.67)</f>
        <v>231.67</v>
      </c>
      <c r="BJ44" s="110">
        <f>IFERROR(__xludf.DUMMYFUNCTION("""COMPUTED_VALUE"""),23.62)</f>
        <v>23.62</v>
      </c>
      <c r="BK44" s="110">
        <f>IFERROR(__xludf.DUMMYFUNCTION("""COMPUTED_VALUE"""),300.08)</f>
        <v>300.08</v>
      </c>
      <c r="BL44" s="110">
        <f>IFERROR(__xludf.DUMMYFUNCTION("""COMPUTED_VALUE"""),127.76)</f>
        <v>127.76</v>
      </c>
      <c r="BM44" s="110">
        <f>IFERROR(__xludf.DUMMYFUNCTION("""COMPUTED_VALUE"""),16.58)</f>
        <v>16.58</v>
      </c>
      <c r="BN44" s="110">
        <f>IFERROR(__xludf.DUMMYFUNCTION("""COMPUTED_VALUE"""),345.34)</f>
        <v>345.34</v>
      </c>
      <c r="BO44" s="110">
        <f>IFERROR(__xludf.DUMMYFUNCTION("""COMPUTED_VALUE"""),701.53)</f>
        <v>701.53</v>
      </c>
      <c r="BP44" s="110">
        <f>IFERROR(__xludf.DUMMYFUNCTION("""COMPUTED_VALUE"""),41.58)</f>
        <v>41.58</v>
      </c>
      <c r="BQ44" s="110">
        <f>IFERROR(__xludf.DUMMYFUNCTION("""COMPUTED_VALUE"""),8.57)</f>
        <v>8.57</v>
      </c>
      <c r="BR44" s="110">
        <f>IFERROR(__xludf.DUMMYFUNCTION("""COMPUTED_VALUE"""),36.3)</f>
        <v>36.3</v>
      </c>
      <c r="BS44" s="110">
        <f>IFERROR(__xludf.DUMMYFUNCTION("""COMPUTED_VALUE"""),0.84)</f>
        <v>0.84</v>
      </c>
      <c r="BT44" s="110">
        <f>IFERROR(__xludf.DUMMYFUNCTION("""COMPUTED_VALUE"""),46.59)</f>
        <v>46.59</v>
      </c>
      <c r="BU44" s="110">
        <f>IFERROR(__xludf.DUMMYFUNCTION("""COMPUTED_VALUE"""),34.7)</f>
        <v>34.7</v>
      </c>
      <c r="BV44" s="110">
        <f>IFERROR(__xludf.DUMMYFUNCTION("""COMPUTED_VALUE"""),50.2)</f>
        <v>50.2</v>
      </c>
      <c r="BW44" s="110">
        <f>IFERROR(__xludf.DUMMYFUNCTION("""COMPUTED_VALUE"""),6.88)</f>
        <v>6.88</v>
      </c>
      <c r="BX44" s="110">
        <f>IFERROR(__xludf.DUMMYFUNCTION("""COMPUTED_VALUE"""),5.12)</f>
        <v>5.12</v>
      </c>
      <c r="BY44" s="110">
        <f>IFERROR(__xludf.DUMMYFUNCTION("""COMPUTED_VALUE"""),0.0)</f>
        <v>0</v>
      </c>
      <c r="BZ44" s="110">
        <f>IFERROR(__xludf.DUMMYFUNCTION("""COMPUTED_VALUE"""),14.71)</f>
        <v>14.71</v>
      </c>
      <c r="CA44" s="110">
        <f>IFERROR(__xludf.DUMMYFUNCTION("""COMPUTED_VALUE"""),3.53)</f>
        <v>3.53</v>
      </c>
      <c r="CB44" s="110">
        <f>IFERROR(__xludf.DUMMYFUNCTION("""COMPUTED_VALUE"""),5.24)</f>
        <v>5.24</v>
      </c>
      <c r="CC44" s="110">
        <f>IFERROR(__xludf.DUMMYFUNCTION("""COMPUTED_VALUE"""),17.81)</f>
        <v>17.81</v>
      </c>
      <c r="CD44" s="110">
        <f>IFERROR(__xludf.DUMMYFUNCTION("""COMPUTED_VALUE"""),12.95)</f>
        <v>12.95</v>
      </c>
      <c r="CE44" s="110">
        <f>IFERROR(__xludf.DUMMYFUNCTION("""COMPUTED_VALUE"""),29.26)</f>
        <v>29.26</v>
      </c>
      <c r="CF44" s="110">
        <f>IFERROR(__xludf.DUMMYFUNCTION("""COMPUTED_VALUE"""),95.71)</f>
        <v>95.71</v>
      </c>
      <c r="CG44" s="110">
        <f>IFERROR(__xludf.DUMMYFUNCTION("""COMPUTED_VALUE"""),5.01)</f>
        <v>5.01</v>
      </c>
      <c r="CH44" s="110">
        <f>IFERROR(__xludf.DUMMYFUNCTION("""COMPUTED_VALUE"""),23.61)</f>
        <v>23.61</v>
      </c>
      <c r="CI44" s="110">
        <f>IFERROR(__xludf.DUMMYFUNCTION("""COMPUTED_VALUE"""),52.27)</f>
        <v>52.27</v>
      </c>
      <c r="CJ44" s="110">
        <f>IFERROR(__xludf.DUMMYFUNCTION("""COMPUTED_VALUE"""),24.24)</f>
        <v>24.24</v>
      </c>
      <c r="CK44" s="110">
        <f>IFERROR(__xludf.DUMMYFUNCTION("""COMPUTED_VALUE"""),11.81)</f>
        <v>11.81</v>
      </c>
      <c r="CL44" s="110">
        <f>IFERROR(__xludf.DUMMYFUNCTION("""COMPUTED_VALUE"""),2665.61)</f>
        <v>2665.61</v>
      </c>
      <c r="CM44" s="110">
        <f>IFERROR(__xludf.DUMMYFUNCTION("""COMPUTED_VALUE"""),4.25)</f>
        <v>4.25</v>
      </c>
      <c r="CN44" s="110">
        <f>IFERROR(__xludf.DUMMYFUNCTION("""COMPUTED_VALUE"""),179.7)</f>
        <v>179.7</v>
      </c>
      <c r="CO44" s="110">
        <f>IFERROR(__xludf.DUMMYFUNCTION("""COMPUTED_VALUE"""),120.4)</f>
        <v>120.4</v>
      </c>
      <c r="CP44" s="110">
        <f>IFERROR(__xludf.DUMMYFUNCTION("""COMPUTED_VALUE"""),60.04)</f>
        <v>60.04</v>
      </c>
      <c r="CQ44" s="110">
        <f>IFERROR(__xludf.DUMMYFUNCTION("""COMPUTED_VALUE"""),71800.0)</f>
        <v>71800</v>
      </c>
      <c r="CR44" s="110">
        <f>IFERROR(__xludf.DUMMYFUNCTION("""COMPUTED_VALUE"""),0.52)</f>
        <v>0.52</v>
      </c>
      <c r="CS44" s="110">
        <f>IFERROR(__xludf.DUMMYFUNCTION("""COMPUTED_VALUE"""),34.12)</f>
        <v>34.12</v>
      </c>
      <c r="CT44" s="110">
        <f>IFERROR(__xludf.DUMMYFUNCTION("""COMPUTED_VALUE"""),20.24)</f>
        <v>20.24</v>
      </c>
      <c r="CU44" s="110">
        <f>IFERROR(__xludf.DUMMYFUNCTION("""COMPUTED_VALUE"""),1928.6)</f>
        <v>1928.6</v>
      </c>
      <c r="CV44" s="110">
        <f>IFERROR(__xludf.DUMMYFUNCTION("""COMPUTED_VALUE"""),2.6)</f>
        <v>2.6</v>
      </c>
      <c r="CW44" s="110">
        <f>IFERROR(__xludf.DUMMYFUNCTION("""COMPUTED_VALUE"""),2.52)</f>
        <v>2.52</v>
      </c>
      <c r="CX44" s="110">
        <f>IFERROR(__xludf.DUMMYFUNCTION("""COMPUTED_VALUE"""),0.0)</f>
        <v>0</v>
      </c>
      <c r="CY44" s="110">
        <f>IFERROR(__xludf.DUMMYFUNCTION("""COMPUTED_VALUE"""),0.05)</f>
        <v>0.05</v>
      </c>
      <c r="CZ44" s="110">
        <f>IFERROR(__xludf.DUMMYFUNCTION("""COMPUTED_VALUE"""),75.6)</f>
        <v>75.6</v>
      </c>
      <c r="DA44" s="110">
        <f>IFERROR(__xludf.DUMMYFUNCTION("""COMPUTED_VALUE"""),0.26)</f>
        <v>0.26</v>
      </c>
      <c r="DB44" s="110">
        <f>IFERROR(__xludf.DUMMYFUNCTION("""COMPUTED_VALUE"""),0.1)</f>
        <v>0.1</v>
      </c>
      <c r="DC44" s="110">
        <f>IFERROR(__xludf.DUMMYFUNCTION("""COMPUTED_VALUE"""),150.89)</f>
        <v>150.89</v>
      </c>
      <c r="DD44" s="110">
        <f>IFERROR(__xludf.DUMMYFUNCTION("""COMPUTED_VALUE"""),10.03)</f>
        <v>10.03</v>
      </c>
      <c r="DE44" s="110">
        <f>IFERROR(__xludf.DUMMYFUNCTION("""COMPUTED_VALUE"""),8.11)</f>
        <v>8.11</v>
      </c>
      <c r="DF44" s="110">
        <f>IFERROR(__xludf.DUMMYFUNCTION("""COMPUTED_VALUE"""),52.75)</f>
        <v>52.75</v>
      </c>
      <c r="DG44" s="110">
        <f>IFERROR(__xludf.DUMMYFUNCTION("""COMPUTED_VALUE"""),5.49)</f>
        <v>5.49</v>
      </c>
      <c r="DH44" s="110">
        <f>IFERROR(__xludf.DUMMYFUNCTION("""COMPUTED_VALUE"""),10.93)</f>
        <v>10.93</v>
      </c>
      <c r="DI44" s="110">
        <f>IFERROR(__xludf.DUMMYFUNCTION("""COMPUTED_VALUE"""),145.35)</f>
        <v>145.35</v>
      </c>
      <c r="DJ44" s="110">
        <f>IFERROR(__xludf.DUMMYFUNCTION("""COMPUTED_VALUE"""),11.53)</f>
        <v>11.53</v>
      </c>
      <c r="DK44" s="110">
        <f>IFERROR(__xludf.DUMMYFUNCTION("""COMPUTED_VALUE"""),1.8)</f>
        <v>1.8</v>
      </c>
      <c r="DL44" s="110">
        <f>IFERROR(__xludf.DUMMYFUNCTION("""COMPUTED_VALUE"""),24.75)</f>
        <v>24.75</v>
      </c>
      <c r="DM44" s="110">
        <f>IFERROR(__xludf.DUMMYFUNCTION("""COMPUTED_VALUE"""),421.34)</f>
        <v>421.34</v>
      </c>
      <c r="DN44" s="110">
        <f>IFERROR(__xludf.DUMMYFUNCTION("""COMPUTED_VALUE"""),155.75)</f>
        <v>155.75</v>
      </c>
      <c r="DO44" s="110">
        <f>IFERROR(__xludf.DUMMYFUNCTION("""COMPUTED_VALUE"""),360.4)</f>
        <v>360.4</v>
      </c>
      <c r="DP44" s="110">
        <f>IFERROR(__xludf.DUMMYFUNCTION("""COMPUTED_VALUE"""),11.0)</f>
        <v>11</v>
      </c>
      <c r="DQ44" s="110">
        <f>IFERROR(__xludf.DUMMYFUNCTION("""COMPUTED_VALUE"""),104.98)</f>
        <v>104.98</v>
      </c>
      <c r="DR44" s="110">
        <f>IFERROR(__xludf.DUMMYFUNCTION("""COMPUTED_VALUE"""),0.63)</f>
        <v>0.63</v>
      </c>
      <c r="DS44" s="110">
        <f>IFERROR(__xludf.DUMMYFUNCTION("""COMPUTED_VALUE"""),3.06)</f>
        <v>3.06</v>
      </c>
      <c r="DT44" s="110">
        <f>IFERROR(__xludf.DUMMYFUNCTION("""COMPUTED_VALUE"""),4.39)</f>
        <v>4.39</v>
      </c>
      <c r="DU44" s="110">
        <f>IFERROR(__xludf.DUMMYFUNCTION("""COMPUTED_VALUE"""),52.92)</f>
        <v>52.92</v>
      </c>
      <c r="DV44" s="110">
        <f>IFERROR(__xludf.DUMMYFUNCTION("""COMPUTED_VALUE"""),12.22)</f>
        <v>12.22</v>
      </c>
      <c r="DW44" s="110">
        <f>IFERROR(__xludf.DUMMYFUNCTION("""COMPUTED_VALUE"""),0.06)</f>
        <v>0.06</v>
      </c>
      <c r="DX44" s="110">
        <f>IFERROR(__xludf.DUMMYFUNCTION("""COMPUTED_VALUE"""),25.66)</f>
        <v>25.66</v>
      </c>
      <c r="DY44" s="110">
        <f>IFERROR(__xludf.DUMMYFUNCTION("""COMPUTED_VALUE"""),821.61)</f>
        <v>821.61</v>
      </c>
      <c r="DZ44" s="110">
        <f>IFERROR(__xludf.DUMMYFUNCTION("""COMPUTED_VALUE"""),77.49)</f>
        <v>77.49</v>
      </c>
      <c r="EA44" s="110">
        <f>IFERROR(__xludf.DUMMYFUNCTION("""COMPUTED_VALUE"""),46.46)</f>
        <v>46.46</v>
      </c>
      <c r="EB44" s="110">
        <f>IFERROR(__xludf.DUMMYFUNCTION("""COMPUTED_VALUE"""),71.12)</f>
        <v>71.12</v>
      </c>
      <c r="EC44" s="110">
        <f>IFERROR(__xludf.DUMMYFUNCTION("""COMPUTED_VALUE"""),73.51)</f>
        <v>73.51</v>
      </c>
      <c r="ED44" s="110">
        <f>IFERROR(__xludf.DUMMYFUNCTION("""COMPUTED_VALUE"""),38.43)</f>
        <v>38.43</v>
      </c>
      <c r="EE44" s="110">
        <f>IFERROR(__xludf.DUMMYFUNCTION("""COMPUTED_VALUE"""),83.97)</f>
        <v>83.97</v>
      </c>
      <c r="EF44" s="110">
        <f>IFERROR(__xludf.DUMMYFUNCTION("""COMPUTED_VALUE"""),175.21)</f>
        <v>175.21</v>
      </c>
      <c r="EG44" s="110">
        <f>IFERROR(__xludf.DUMMYFUNCTION("""COMPUTED_VALUE"""),66.63)</f>
        <v>66.63</v>
      </c>
      <c r="EH44" s="110">
        <f>IFERROR(__xludf.DUMMYFUNCTION("""COMPUTED_VALUE"""),101.15)</f>
        <v>101.15</v>
      </c>
      <c r="EI44" s="110">
        <f>IFERROR(__xludf.DUMMYFUNCTION("""COMPUTED_VALUE"""),134.03)</f>
        <v>134.03</v>
      </c>
      <c r="EJ44" s="110">
        <f>IFERROR(__xludf.DUMMYFUNCTION("""COMPUTED_VALUE"""),42.4)</f>
        <v>42.4</v>
      </c>
      <c r="EK44" s="110">
        <f>IFERROR(__xludf.DUMMYFUNCTION("""COMPUTED_VALUE"""),249.58)</f>
        <v>249.58</v>
      </c>
      <c r="EL44" s="110">
        <f>IFERROR(__xludf.DUMMYFUNCTION("""COMPUTED_VALUE"""),59.83)</f>
        <v>59.83</v>
      </c>
      <c r="EM44" s="110">
        <f>IFERROR(__xludf.DUMMYFUNCTION("""COMPUTED_VALUE"""),40.51)</f>
        <v>40.51</v>
      </c>
      <c r="EN44" s="110">
        <f>IFERROR(__xludf.DUMMYFUNCTION("""COMPUTED_VALUE"""),1674.95)</f>
        <v>1674.95</v>
      </c>
      <c r="EO44" s="110">
        <f>IFERROR(__xludf.DUMMYFUNCTION("""COMPUTED_VALUE"""),13.8)</f>
        <v>13.8</v>
      </c>
      <c r="EP44" s="110">
        <f>IFERROR(__xludf.DUMMYFUNCTION("""COMPUTED_VALUE"""),7.65)</f>
        <v>7.65</v>
      </c>
      <c r="EQ44" s="110">
        <f>IFERROR(__xludf.DUMMYFUNCTION("""COMPUTED_VALUE"""),1.1)</f>
        <v>1.1</v>
      </c>
      <c r="ER44" s="110">
        <f>IFERROR(__xludf.DUMMYFUNCTION("""COMPUTED_VALUE"""),4364.25)</f>
        <v>4364.25</v>
      </c>
      <c r="ES44" s="110">
        <f>IFERROR(__xludf.DUMMYFUNCTION("""COMPUTED_VALUE"""),95.07)</f>
        <v>95.07</v>
      </c>
      <c r="ET44" s="110">
        <f>IFERROR(__xludf.DUMMYFUNCTION("""COMPUTED_VALUE"""),98.45)</f>
        <v>98.45</v>
      </c>
      <c r="EU44" s="110">
        <f>IFERROR(__xludf.DUMMYFUNCTION("""COMPUTED_VALUE"""),29.95)</f>
        <v>29.95</v>
      </c>
      <c r="EV44" s="110">
        <f>IFERROR(__xludf.DUMMYFUNCTION("""COMPUTED_VALUE"""),1.39)</f>
        <v>1.39</v>
      </c>
      <c r="EW44" s="110">
        <f>IFERROR(__xludf.DUMMYFUNCTION("""COMPUTED_VALUE"""),14.04)</f>
        <v>14.04</v>
      </c>
      <c r="EX44" s="108" t="str">
        <f>IFERROR(__xludf.DUMMYFUNCTION("""COMPUTED_VALUE"""),"")</f>
        <v/>
      </c>
      <c r="EY44" s="108" t="str">
        <f>IFERROR(__xludf.DUMMYFUNCTION("""COMPUTED_VALUE"""),"")</f>
        <v/>
      </c>
      <c r="EZ44" s="108" t="str">
        <f>IFERROR(__xludf.DUMMYFUNCTION("""COMPUTED_VALUE"""),"")</f>
        <v/>
      </c>
      <c r="FA44" s="108" t="str">
        <f>IFERROR(__xludf.DUMMYFUNCTION("""COMPUTED_VALUE"""),"")</f>
        <v/>
      </c>
      <c r="FB44" s="108" t="str">
        <f>IFERROR(__xludf.DUMMYFUNCTION("""COMPUTED_VALUE"""),"")</f>
        <v/>
      </c>
      <c r="FC44" s="108" t="str">
        <f>IFERROR(__xludf.DUMMYFUNCTION("""COMPUTED_VALUE"""),"")</f>
        <v/>
      </c>
      <c r="FD44" s="108" t="str">
        <f>IFERROR(__xludf.DUMMYFUNCTION("""COMPUTED_VALUE"""),"")</f>
        <v/>
      </c>
      <c r="FE44" s="108" t="str">
        <f>IFERROR(__xludf.DUMMYFUNCTION("""COMPUTED_VALUE"""),"")</f>
        <v/>
      </c>
      <c r="FF44" s="108" t="str">
        <f>IFERROR(__xludf.DUMMYFUNCTION("""COMPUTED_VALUE"""),"")</f>
        <v/>
      </c>
      <c r="FG44" s="108" t="str">
        <f>IFERROR(__xludf.DUMMYFUNCTION("""COMPUTED_VALUE"""),"")</f>
        <v/>
      </c>
      <c r="FH44" s="108" t="str">
        <f>IFERROR(__xludf.DUMMYFUNCTION("""COMPUTED_VALUE"""),"")</f>
        <v/>
      </c>
      <c r="FI44" s="108" t="str">
        <f>IFERROR(__xludf.DUMMYFUNCTION("""COMPUTED_VALUE"""),"")</f>
        <v/>
      </c>
      <c r="FJ44" s="108" t="str">
        <f>IFERROR(__xludf.DUMMYFUNCTION("""COMPUTED_VALUE"""),"")</f>
        <v/>
      </c>
      <c r="FK44" s="108" t="str">
        <f>IFERROR(__xludf.DUMMYFUNCTION("""COMPUTED_VALUE"""),"")</f>
        <v/>
      </c>
      <c r="FL44" s="108" t="str">
        <f>IFERROR(__xludf.DUMMYFUNCTION("""COMPUTED_VALUE"""),"")</f>
        <v/>
      </c>
      <c r="FM44" s="108" t="str">
        <f>IFERROR(__xludf.DUMMYFUNCTION("""COMPUTED_VALUE"""),"")</f>
        <v/>
      </c>
      <c r="FN44" s="108" t="str">
        <f>IFERROR(__xludf.DUMMYFUNCTION("""COMPUTED_VALUE"""),"")</f>
        <v/>
      </c>
      <c r="FO44" s="108" t="str">
        <f>IFERROR(__xludf.DUMMYFUNCTION("""COMPUTED_VALUE"""),"")</f>
        <v/>
      </c>
    </row>
    <row r="45">
      <c r="A45" s="106">
        <f>IFERROR(__xludf.DUMMYFUNCTION("""COMPUTED_VALUE"""),44637.0)</f>
        <v>44637</v>
      </c>
      <c r="B45" s="110">
        <f>IFERROR(__xludf.DUMMYFUNCTION("""COMPUTED_VALUE"""),3144.78)</f>
        <v>3144.78</v>
      </c>
      <c r="C45" s="110">
        <f>IFERROR(__xludf.DUMMYFUNCTION("""COMPUTED_VALUE"""),207.84)</f>
        <v>207.84</v>
      </c>
      <c r="D45" s="110">
        <f>IFERROR(__xludf.DUMMYFUNCTION("""COMPUTED_VALUE"""),871.6)</f>
        <v>871.6</v>
      </c>
      <c r="E45" s="110">
        <f>IFERROR(__xludf.DUMMYFUNCTION("""COMPUTED_VALUE"""),390.0)</f>
        <v>390</v>
      </c>
      <c r="F45" s="110">
        <f>IFERROR(__xludf.DUMMYFUNCTION("""COMPUTED_VALUE"""),9.52)</f>
        <v>9.52</v>
      </c>
      <c r="G45" s="110">
        <f>IFERROR(__xludf.DUMMYFUNCTION("""COMPUTED_VALUE"""),160.62)</f>
        <v>160.62</v>
      </c>
      <c r="H45" s="110">
        <f>IFERROR(__xludf.DUMMYFUNCTION("""COMPUTED_VALUE"""),15.4)</f>
        <v>15.4</v>
      </c>
      <c r="I45" s="110">
        <f>IFERROR(__xludf.DUMMYFUNCTION("""COMPUTED_VALUE"""),6.07)</f>
        <v>6.07</v>
      </c>
      <c r="J45" s="110">
        <f>IFERROR(__xludf.DUMMYFUNCTION("""COMPUTED_VALUE"""),0.18)</f>
        <v>0.18</v>
      </c>
      <c r="K45" s="110">
        <f>IFERROR(__xludf.DUMMYFUNCTION("""COMPUTED_VALUE"""),37.4)</f>
        <v>37.4</v>
      </c>
      <c r="L45" s="110">
        <f>IFERROR(__xludf.DUMMYFUNCTION("""COMPUTED_VALUE"""),157.2)</f>
        <v>157.2</v>
      </c>
      <c r="M45" s="110">
        <f>IFERROR(__xludf.DUMMYFUNCTION("""COMPUTED_VALUE"""),40748.19)</f>
        <v>40748.19</v>
      </c>
      <c r="N45" s="110">
        <f>IFERROR(__xludf.DUMMYFUNCTION("""COMPUTED_VALUE"""),371.4)</f>
        <v>371.4</v>
      </c>
      <c r="O45" s="110">
        <f>IFERROR(__xludf.DUMMYFUNCTION("""COMPUTED_VALUE"""),295.22)</f>
        <v>295.22</v>
      </c>
      <c r="P45" s="110">
        <f>IFERROR(__xludf.DUMMYFUNCTION("""COMPUTED_VALUE"""),29.0)</f>
        <v>29</v>
      </c>
      <c r="Q45" s="110">
        <f>IFERROR(__xludf.DUMMYFUNCTION("""COMPUTED_VALUE"""),24.54)</f>
        <v>24.54</v>
      </c>
      <c r="R45" s="110">
        <f>IFERROR(__xludf.DUMMYFUNCTION("""COMPUTED_VALUE"""),61.94)</f>
        <v>61.94</v>
      </c>
      <c r="S45" s="110">
        <f>IFERROR(__xludf.DUMMYFUNCTION("""COMPUTED_VALUE"""),27.65)</f>
        <v>27.65</v>
      </c>
      <c r="T45" s="110">
        <f>IFERROR(__xludf.DUMMYFUNCTION("""COMPUTED_VALUE"""),24.97)</f>
        <v>24.97</v>
      </c>
      <c r="U45" s="110">
        <f>IFERROR(__xludf.DUMMYFUNCTION("""COMPUTED_VALUE"""),41.94)</f>
        <v>41.94</v>
      </c>
      <c r="V45" s="110">
        <f>IFERROR(__xludf.DUMMYFUNCTION("""COMPUTED_VALUE"""),14.35)</f>
        <v>14.35</v>
      </c>
      <c r="W45" s="110">
        <f>IFERROR(__xludf.DUMMYFUNCTION("""COMPUTED_VALUE"""),237.47)</f>
        <v>237.47</v>
      </c>
      <c r="X45" s="110">
        <f>IFERROR(__xludf.DUMMYFUNCTION("""COMPUTED_VALUE"""),2692.01)</f>
        <v>2692.01</v>
      </c>
      <c r="Y45" s="110">
        <f>IFERROR(__xludf.DUMMYFUNCTION("""COMPUTED_VALUE"""),55.3)</f>
        <v>55.3</v>
      </c>
      <c r="Z45" s="110">
        <f>IFERROR(__xludf.DUMMYFUNCTION("""COMPUTED_VALUE"""),56.6)</f>
        <v>56.6</v>
      </c>
      <c r="AA45" s="110">
        <f>IFERROR(__xludf.DUMMYFUNCTION("""COMPUTED_VALUE"""),106.31)</f>
        <v>106.31</v>
      </c>
      <c r="AB45" s="110">
        <f>IFERROR(__xludf.DUMMYFUNCTION("""COMPUTED_VALUE"""),4.58)</f>
        <v>4.58</v>
      </c>
      <c r="AC45" s="110">
        <f>IFERROR(__xludf.DUMMYFUNCTION("""COMPUTED_VALUE"""),73.95)</f>
        <v>73.95</v>
      </c>
      <c r="AD45" s="110">
        <f>IFERROR(__xludf.DUMMYFUNCTION("""COMPUTED_VALUE"""),11.94)</f>
        <v>11.94</v>
      </c>
      <c r="AE45" s="110">
        <f>IFERROR(__xludf.DUMMYFUNCTION("""COMPUTED_VALUE"""),5.99)</f>
        <v>5.99</v>
      </c>
      <c r="AF45" s="110">
        <f>IFERROR(__xludf.DUMMYFUNCTION("""COMPUTED_VALUE"""),38.8)</f>
        <v>38.8</v>
      </c>
      <c r="AG45" s="110">
        <f>IFERROR(__xludf.DUMMYFUNCTION("""COMPUTED_VALUE"""),12.32)</f>
        <v>12.32</v>
      </c>
      <c r="AH45" s="110">
        <f>IFERROR(__xludf.DUMMYFUNCTION("""COMPUTED_VALUE"""),2.18)</f>
        <v>2.18</v>
      </c>
      <c r="AI45" s="110">
        <f>IFERROR(__xludf.DUMMYFUNCTION("""COMPUTED_VALUE"""),3.03)</f>
        <v>3.03</v>
      </c>
      <c r="AJ45" s="110">
        <f>IFERROR(__xludf.DUMMYFUNCTION("""COMPUTED_VALUE"""),104.5)</f>
        <v>104.5</v>
      </c>
      <c r="AK45" s="110">
        <f>IFERROR(__xludf.DUMMYFUNCTION("""COMPUTED_VALUE"""),247.66)</f>
        <v>247.66</v>
      </c>
      <c r="AL45" s="110">
        <f>IFERROR(__xludf.DUMMYFUNCTION("""COMPUTED_VALUE"""),13.94)</f>
        <v>13.94</v>
      </c>
      <c r="AM45" s="110">
        <f>IFERROR(__xludf.DUMMYFUNCTION("""COMPUTED_VALUE"""),43.03)</f>
        <v>43.03</v>
      </c>
      <c r="AN45" s="110">
        <f>IFERROR(__xludf.DUMMYFUNCTION("""COMPUTED_VALUE"""),344.97)</f>
        <v>344.97</v>
      </c>
      <c r="AO45" s="110">
        <f>IFERROR(__xludf.DUMMYFUNCTION("""COMPUTED_VALUE"""),104.62)</f>
        <v>104.62</v>
      </c>
      <c r="AP45" s="110">
        <f>IFERROR(__xludf.DUMMYFUNCTION("""COMPUTED_VALUE"""),78.89)</f>
        <v>78.89</v>
      </c>
      <c r="AQ45" s="110">
        <f>IFERROR(__xludf.DUMMYFUNCTION("""COMPUTED_VALUE"""),48.58)</f>
        <v>48.58</v>
      </c>
      <c r="AR45" s="109">
        <f>IFERROR(__xludf.DUMMYFUNCTION("""COMPUTED_VALUE"""),103.5855)</f>
        <v>103.5855</v>
      </c>
      <c r="AS45" s="110">
        <f>IFERROR(__xludf.DUMMYFUNCTION("""COMPUTED_VALUE"""),16.37)</f>
        <v>16.37</v>
      </c>
      <c r="AT45" s="110">
        <f>IFERROR(__xludf.DUMMYFUNCTION("""COMPUTED_VALUE"""),102.0)</f>
        <v>102</v>
      </c>
      <c r="AU45" s="110">
        <f>IFERROR(__xludf.DUMMYFUNCTION("""COMPUTED_VALUE"""),64.29)</f>
        <v>64.29</v>
      </c>
      <c r="AV45" s="110">
        <f>IFERROR(__xludf.DUMMYFUNCTION("""COMPUTED_VALUE"""),139.47)</f>
        <v>139.47</v>
      </c>
      <c r="AW45" s="110">
        <f>IFERROR(__xludf.DUMMYFUNCTION("""COMPUTED_VALUE"""),131.99)</f>
        <v>131.99</v>
      </c>
      <c r="AX45" s="110">
        <f>IFERROR(__xludf.DUMMYFUNCTION("""COMPUTED_VALUE"""),19.54)</f>
        <v>19.54</v>
      </c>
      <c r="AY45" s="110">
        <f>IFERROR(__xludf.DUMMYFUNCTION("""COMPUTED_VALUE"""),46.35)</f>
        <v>46.35</v>
      </c>
      <c r="AZ45" s="110">
        <f>IFERROR(__xludf.DUMMYFUNCTION("""COMPUTED_VALUE"""),0.0)</f>
        <v>0</v>
      </c>
      <c r="BA45" s="110">
        <f>IFERROR(__xludf.DUMMYFUNCTION("""COMPUTED_VALUE"""),0.0)</f>
        <v>0</v>
      </c>
      <c r="BB45" s="110">
        <f>IFERROR(__xludf.DUMMYFUNCTION("""COMPUTED_VALUE"""),11.6)</f>
        <v>11.6</v>
      </c>
      <c r="BC45" s="110">
        <f>IFERROR(__xludf.DUMMYFUNCTION("""COMPUTED_VALUE"""),9.5)</f>
        <v>9.5</v>
      </c>
      <c r="BD45" s="110">
        <f>IFERROR(__xludf.DUMMYFUNCTION("""COMPUTED_VALUE"""),179.0)</f>
        <v>179</v>
      </c>
      <c r="BE45" s="110">
        <f>IFERROR(__xludf.DUMMYFUNCTION("""COMPUTED_VALUE"""),142.3)</f>
        <v>142.3</v>
      </c>
      <c r="BF45" s="110">
        <f>IFERROR(__xludf.DUMMYFUNCTION("""COMPUTED_VALUE"""),12.34)</f>
        <v>12.34</v>
      </c>
      <c r="BG45" s="110">
        <f>IFERROR(__xludf.DUMMYFUNCTION("""COMPUTED_VALUE"""),564.16)</f>
        <v>564.16</v>
      </c>
      <c r="BH45" s="110">
        <f>IFERROR(__xludf.DUMMYFUNCTION("""COMPUTED_VALUE"""),280.13)</f>
        <v>280.13</v>
      </c>
      <c r="BI45" s="110">
        <f>IFERROR(__xludf.DUMMYFUNCTION("""COMPUTED_VALUE"""),235.86)</f>
        <v>235.86</v>
      </c>
      <c r="BJ45" s="110">
        <f>IFERROR(__xludf.DUMMYFUNCTION("""COMPUTED_VALUE"""),24.65)</f>
        <v>24.65</v>
      </c>
      <c r="BK45" s="110">
        <f>IFERROR(__xludf.DUMMYFUNCTION("""COMPUTED_VALUE"""),304.05)</f>
        <v>304.05</v>
      </c>
      <c r="BL45" s="110">
        <f>IFERROR(__xludf.DUMMYFUNCTION("""COMPUTED_VALUE"""),128.95)</f>
        <v>128.95</v>
      </c>
      <c r="BM45" s="110">
        <f>IFERROR(__xludf.DUMMYFUNCTION("""COMPUTED_VALUE"""),16.58)</f>
        <v>16.58</v>
      </c>
      <c r="BN45" s="110">
        <f>IFERROR(__xludf.DUMMYFUNCTION("""COMPUTED_VALUE"""),336.46)</f>
        <v>336.46</v>
      </c>
      <c r="BO45" s="110">
        <f>IFERROR(__xludf.DUMMYFUNCTION("""COMPUTED_VALUE"""),703.14)</f>
        <v>703.14</v>
      </c>
      <c r="BP45" s="110">
        <f>IFERROR(__xludf.DUMMYFUNCTION("""COMPUTED_VALUE"""),42.13)</f>
        <v>42.13</v>
      </c>
      <c r="BQ45" s="110">
        <f>IFERROR(__xludf.DUMMYFUNCTION("""COMPUTED_VALUE"""),8.91)</f>
        <v>8.91</v>
      </c>
      <c r="BR45" s="110">
        <f>IFERROR(__xludf.DUMMYFUNCTION("""COMPUTED_VALUE"""),36.96)</f>
        <v>36.96</v>
      </c>
      <c r="BS45" s="110">
        <f>IFERROR(__xludf.DUMMYFUNCTION("""COMPUTED_VALUE"""),0.85)</f>
        <v>0.85</v>
      </c>
      <c r="BT45" s="110">
        <f>IFERROR(__xludf.DUMMYFUNCTION("""COMPUTED_VALUE"""),47.65)</f>
        <v>47.65</v>
      </c>
      <c r="BU45" s="110">
        <f>IFERROR(__xludf.DUMMYFUNCTION("""COMPUTED_VALUE"""),37.6)</f>
        <v>37.6</v>
      </c>
      <c r="BV45" s="110">
        <f>IFERROR(__xludf.DUMMYFUNCTION("""COMPUTED_VALUE"""),51.5)</f>
        <v>51.5</v>
      </c>
      <c r="BW45" s="110">
        <f>IFERROR(__xludf.DUMMYFUNCTION("""COMPUTED_VALUE"""),7.44)</f>
        <v>7.44</v>
      </c>
      <c r="BX45" s="110">
        <f>IFERROR(__xludf.DUMMYFUNCTION("""COMPUTED_VALUE"""),4.55)</f>
        <v>4.55</v>
      </c>
      <c r="BY45" s="110">
        <f>IFERROR(__xludf.DUMMYFUNCTION("""COMPUTED_VALUE"""),0.0)</f>
        <v>0</v>
      </c>
      <c r="BZ45" s="110">
        <f>IFERROR(__xludf.DUMMYFUNCTION("""COMPUTED_VALUE"""),14.78)</f>
        <v>14.78</v>
      </c>
      <c r="CA45" s="110">
        <f>IFERROR(__xludf.DUMMYFUNCTION("""COMPUTED_VALUE"""),3.53)</f>
        <v>3.53</v>
      </c>
      <c r="CB45" s="110">
        <f>IFERROR(__xludf.DUMMYFUNCTION("""COMPUTED_VALUE"""),5.37)</f>
        <v>5.37</v>
      </c>
      <c r="CC45" s="110">
        <f>IFERROR(__xludf.DUMMYFUNCTION("""COMPUTED_VALUE"""),18.59)</f>
        <v>18.59</v>
      </c>
      <c r="CD45" s="110">
        <f>IFERROR(__xludf.DUMMYFUNCTION("""COMPUTED_VALUE"""),13.3)</f>
        <v>13.3</v>
      </c>
      <c r="CE45" s="110">
        <f>IFERROR(__xludf.DUMMYFUNCTION("""COMPUTED_VALUE"""),29.98)</f>
        <v>29.98</v>
      </c>
      <c r="CF45" s="110">
        <f>IFERROR(__xludf.DUMMYFUNCTION("""COMPUTED_VALUE"""),103.26)</f>
        <v>103.26</v>
      </c>
      <c r="CG45" s="110">
        <f>IFERROR(__xludf.DUMMYFUNCTION("""COMPUTED_VALUE"""),5.19)</f>
        <v>5.19</v>
      </c>
      <c r="CH45" s="110">
        <f>IFERROR(__xludf.DUMMYFUNCTION("""COMPUTED_VALUE"""),24.08)</f>
        <v>24.08</v>
      </c>
      <c r="CI45" s="110">
        <f>IFERROR(__xludf.DUMMYFUNCTION("""COMPUTED_VALUE"""),49.66)</f>
        <v>49.66</v>
      </c>
      <c r="CJ45" s="110">
        <f>IFERROR(__xludf.DUMMYFUNCTION("""COMPUTED_VALUE"""),28.2)</f>
        <v>28.2</v>
      </c>
      <c r="CK45" s="110">
        <f>IFERROR(__xludf.DUMMYFUNCTION("""COMPUTED_VALUE"""),12.2)</f>
        <v>12.2</v>
      </c>
      <c r="CL45" s="110">
        <f>IFERROR(__xludf.DUMMYFUNCTION("""COMPUTED_VALUE"""),2676.78)</f>
        <v>2676.78</v>
      </c>
      <c r="CM45" s="110">
        <f>IFERROR(__xludf.DUMMYFUNCTION("""COMPUTED_VALUE"""),4.01)</f>
        <v>4.01</v>
      </c>
      <c r="CN45" s="110">
        <f>IFERROR(__xludf.DUMMYFUNCTION("""COMPUTED_VALUE"""),208.4)</f>
        <v>208.4</v>
      </c>
      <c r="CO45" s="110">
        <f>IFERROR(__xludf.DUMMYFUNCTION("""COMPUTED_VALUE"""),139.9)</f>
        <v>139.9</v>
      </c>
      <c r="CP45" s="110">
        <f>IFERROR(__xludf.DUMMYFUNCTION("""COMPUTED_VALUE"""),62.93)</f>
        <v>62.93</v>
      </c>
      <c r="CQ45" s="110">
        <f>IFERROR(__xludf.DUMMYFUNCTION("""COMPUTED_VALUE"""),71200.0)</f>
        <v>71200</v>
      </c>
      <c r="CR45" s="110">
        <f>IFERROR(__xludf.DUMMYFUNCTION("""COMPUTED_VALUE"""),0.52)</f>
        <v>0.52</v>
      </c>
      <c r="CS45" s="110">
        <f>IFERROR(__xludf.DUMMYFUNCTION("""COMPUTED_VALUE"""),34.7)</f>
        <v>34.7</v>
      </c>
      <c r="CT45" s="110">
        <f>IFERROR(__xludf.DUMMYFUNCTION("""COMPUTED_VALUE"""),21.68)</f>
        <v>21.68</v>
      </c>
      <c r="CU45" s="110">
        <f>IFERROR(__xludf.DUMMYFUNCTION("""COMPUTED_VALUE"""),1938.1)</f>
        <v>1938.1</v>
      </c>
      <c r="CV45" s="110">
        <f>IFERROR(__xludf.DUMMYFUNCTION("""COMPUTED_VALUE"""),2.54)</f>
        <v>2.54</v>
      </c>
      <c r="CW45" s="110">
        <f>IFERROR(__xludf.DUMMYFUNCTION("""COMPUTED_VALUE"""),2.73)</f>
        <v>2.73</v>
      </c>
      <c r="CX45" s="110">
        <f>IFERROR(__xludf.DUMMYFUNCTION("""COMPUTED_VALUE"""),0.0)</f>
        <v>0</v>
      </c>
      <c r="CY45" s="110">
        <f>IFERROR(__xludf.DUMMYFUNCTION("""COMPUTED_VALUE"""),0.05)</f>
        <v>0.05</v>
      </c>
      <c r="CZ45" s="110">
        <f>IFERROR(__xludf.DUMMYFUNCTION("""COMPUTED_VALUE"""),74.95)</f>
        <v>74.95</v>
      </c>
      <c r="DA45" s="110">
        <f>IFERROR(__xludf.DUMMYFUNCTION("""COMPUTED_VALUE"""),0.26)</f>
        <v>0.26</v>
      </c>
      <c r="DB45" s="110">
        <f>IFERROR(__xludf.DUMMYFUNCTION("""COMPUTED_VALUE"""),0.16)</f>
        <v>0.16</v>
      </c>
      <c r="DC45" s="110">
        <f>IFERROR(__xludf.DUMMYFUNCTION("""COMPUTED_VALUE"""),151.97)</f>
        <v>151.97</v>
      </c>
      <c r="DD45" s="110">
        <f>IFERROR(__xludf.DUMMYFUNCTION("""COMPUTED_VALUE"""),10.4)</f>
        <v>10.4</v>
      </c>
      <c r="DE45" s="110">
        <f>IFERROR(__xludf.DUMMYFUNCTION("""COMPUTED_VALUE"""),7.71)</f>
        <v>7.71</v>
      </c>
      <c r="DF45" s="110">
        <f>IFERROR(__xludf.DUMMYFUNCTION("""COMPUTED_VALUE"""),55.0)</f>
        <v>55</v>
      </c>
      <c r="DG45" s="110">
        <f>IFERROR(__xludf.DUMMYFUNCTION("""COMPUTED_VALUE"""),5.58)</f>
        <v>5.58</v>
      </c>
      <c r="DH45" s="110">
        <f>IFERROR(__xludf.DUMMYFUNCTION("""COMPUTED_VALUE"""),10.9)</f>
        <v>10.9</v>
      </c>
      <c r="DI45" s="110">
        <f>IFERROR(__xludf.DUMMYFUNCTION("""COMPUTED_VALUE"""),145.01)</f>
        <v>145.01</v>
      </c>
      <c r="DJ45" s="110">
        <f>IFERROR(__xludf.DUMMYFUNCTION("""COMPUTED_VALUE"""),12.06)</f>
        <v>12.06</v>
      </c>
      <c r="DK45" s="110">
        <f>IFERROR(__xludf.DUMMYFUNCTION("""COMPUTED_VALUE"""),1.8)</f>
        <v>1.8</v>
      </c>
      <c r="DL45" s="110">
        <f>IFERROR(__xludf.DUMMYFUNCTION("""COMPUTED_VALUE"""),25.25)</f>
        <v>25.25</v>
      </c>
      <c r="DM45" s="110">
        <f>IFERROR(__xludf.DUMMYFUNCTION("""COMPUTED_VALUE"""),428.59)</f>
        <v>428.59</v>
      </c>
      <c r="DN45" s="110">
        <f>IFERROR(__xludf.DUMMYFUNCTION("""COMPUTED_VALUE"""),157.55)</f>
        <v>157.55</v>
      </c>
      <c r="DO45" s="110">
        <f>IFERROR(__xludf.DUMMYFUNCTION("""COMPUTED_VALUE"""),382.6)</f>
        <v>382.6</v>
      </c>
      <c r="DP45" s="110">
        <f>IFERROR(__xludf.DUMMYFUNCTION("""COMPUTED_VALUE"""),11.0)</f>
        <v>11</v>
      </c>
      <c r="DQ45" s="110">
        <f>IFERROR(__xludf.DUMMYFUNCTION("""COMPUTED_VALUE"""),100.37)</f>
        <v>100.37</v>
      </c>
      <c r="DR45" s="110">
        <f>IFERROR(__xludf.DUMMYFUNCTION("""COMPUTED_VALUE"""),1.0)</f>
        <v>1</v>
      </c>
      <c r="DS45" s="110">
        <f>IFERROR(__xludf.DUMMYFUNCTION("""COMPUTED_VALUE"""),3.12)</f>
        <v>3.12</v>
      </c>
      <c r="DT45" s="110">
        <f>IFERROR(__xludf.DUMMYFUNCTION("""COMPUTED_VALUE"""),4.76)</f>
        <v>4.76</v>
      </c>
      <c r="DU45" s="110">
        <f>IFERROR(__xludf.DUMMYFUNCTION("""COMPUTED_VALUE"""),54.24)</f>
        <v>54.24</v>
      </c>
      <c r="DV45" s="110">
        <f>IFERROR(__xludf.DUMMYFUNCTION("""COMPUTED_VALUE"""),13.64)</f>
        <v>13.64</v>
      </c>
      <c r="DW45" s="110">
        <f>IFERROR(__xludf.DUMMYFUNCTION("""COMPUTED_VALUE"""),0.062)</f>
        <v>0.062</v>
      </c>
      <c r="DX45" s="110">
        <f>IFERROR(__xludf.DUMMYFUNCTION("""COMPUTED_VALUE"""),25.65)</f>
        <v>25.65</v>
      </c>
      <c r="DY45" s="110">
        <f>IFERROR(__xludf.DUMMYFUNCTION("""COMPUTED_VALUE"""),843.57)</f>
        <v>843.57</v>
      </c>
      <c r="DZ45" s="110">
        <f>IFERROR(__xludf.DUMMYFUNCTION("""COMPUTED_VALUE"""),79.23)</f>
        <v>79.23</v>
      </c>
      <c r="EA45" s="110">
        <f>IFERROR(__xludf.DUMMYFUNCTION("""COMPUTED_VALUE"""),47.12)</f>
        <v>47.12</v>
      </c>
      <c r="EB45" s="110">
        <f>IFERROR(__xludf.DUMMYFUNCTION("""COMPUTED_VALUE"""),71.42)</f>
        <v>71.42</v>
      </c>
      <c r="EC45" s="110">
        <f>IFERROR(__xludf.DUMMYFUNCTION("""COMPUTED_VALUE"""),74.02)</f>
        <v>74.02</v>
      </c>
      <c r="ED45" s="110">
        <f>IFERROR(__xludf.DUMMYFUNCTION("""COMPUTED_VALUE"""),38.91)</f>
        <v>38.91</v>
      </c>
      <c r="EE45" s="110">
        <f>IFERROR(__xludf.DUMMYFUNCTION("""COMPUTED_VALUE"""),85.58)</f>
        <v>85.58</v>
      </c>
      <c r="EF45" s="110">
        <f>IFERROR(__xludf.DUMMYFUNCTION("""COMPUTED_VALUE"""),178.13)</f>
        <v>178.13</v>
      </c>
      <c r="EG45" s="110">
        <f>IFERROR(__xludf.DUMMYFUNCTION("""COMPUTED_VALUE"""),67.35)</f>
        <v>67.35</v>
      </c>
      <c r="EH45" s="110">
        <f>IFERROR(__xludf.DUMMYFUNCTION("""COMPUTED_VALUE"""),102.45)</f>
        <v>102.45</v>
      </c>
      <c r="EI45" s="110">
        <f>IFERROR(__xludf.DUMMYFUNCTION("""COMPUTED_VALUE"""),136.12)</f>
        <v>136.12</v>
      </c>
      <c r="EJ45" s="110">
        <f>IFERROR(__xludf.DUMMYFUNCTION("""COMPUTED_VALUE"""),42.56)</f>
        <v>42.56</v>
      </c>
      <c r="EK45" s="110">
        <f>IFERROR(__xludf.DUMMYFUNCTION("""COMPUTED_VALUE"""),258.5)</f>
        <v>258.5</v>
      </c>
      <c r="EL45" s="110">
        <f>IFERROR(__xludf.DUMMYFUNCTION("""COMPUTED_VALUE"""),60.8)</f>
        <v>60.8</v>
      </c>
      <c r="EM45" s="110">
        <f>IFERROR(__xludf.DUMMYFUNCTION("""COMPUTED_VALUE"""),48.61)</f>
        <v>48.61</v>
      </c>
      <c r="EN45" s="110">
        <f>IFERROR(__xludf.DUMMYFUNCTION("""COMPUTED_VALUE"""),1720.15)</f>
        <v>1720.15</v>
      </c>
      <c r="EO45" s="110">
        <f>IFERROR(__xludf.DUMMYFUNCTION("""COMPUTED_VALUE"""),11.98)</f>
        <v>11.98</v>
      </c>
      <c r="EP45" s="110">
        <f>IFERROR(__xludf.DUMMYFUNCTION("""COMPUTED_VALUE"""),7.65)</f>
        <v>7.65</v>
      </c>
      <c r="EQ45" s="110">
        <f>IFERROR(__xludf.DUMMYFUNCTION("""COMPUTED_VALUE"""),1.55)</f>
        <v>1.55</v>
      </c>
      <c r="ER45" s="110">
        <f>IFERROR(__xludf.DUMMYFUNCTION("""COMPUTED_VALUE"""),4404.5)</f>
        <v>4404.5</v>
      </c>
      <c r="ES45" s="110">
        <f>IFERROR(__xludf.DUMMYFUNCTION("""COMPUTED_VALUE"""),94.94)</f>
        <v>94.94</v>
      </c>
      <c r="ET45" s="110">
        <f>IFERROR(__xludf.DUMMYFUNCTION("""COMPUTED_VALUE"""),106.64)</f>
        <v>106.64</v>
      </c>
      <c r="EU45" s="110">
        <f>IFERROR(__xludf.DUMMYFUNCTION("""COMPUTED_VALUE"""),32.15)</f>
        <v>32.15</v>
      </c>
      <c r="EV45" s="110">
        <f>IFERROR(__xludf.DUMMYFUNCTION("""COMPUTED_VALUE"""),1.42)</f>
        <v>1.42</v>
      </c>
      <c r="EW45" s="110">
        <f>IFERROR(__xludf.DUMMYFUNCTION("""COMPUTED_VALUE"""),14.0)</f>
        <v>14</v>
      </c>
      <c r="EX45" s="108">
        <f>IFERROR(__xludf.DUMMYFUNCTION("""COMPUTED_VALUE"""),4.19)</f>
        <v>4.19</v>
      </c>
      <c r="EY45" s="108">
        <f>IFERROR(__xludf.DUMMYFUNCTION("""COMPUTED_VALUE"""),165.0)</f>
        <v>165</v>
      </c>
      <c r="EZ45" s="108">
        <f>IFERROR(__xludf.DUMMYFUNCTION("""COMPUTED_VALUE"""),25.48)</f>
        <v>25.48</v>
      </c>
      <c r="FA45" s="108">
        <f>IFERROR(__xludf.DUMMYFUNCTION("""COMPUTED_VALUE"""),2.98)</f>
        <v>2.98</v>
      </c>
      <c r="FB45" s="108">
        <f>IFERROR(__xludf.DUMMYFUNCTION("""COMPUTED_VALUE"""),140.15)</f>
        <v>140.15</v>
      </c>
      <c r="FC45" s="108">
        <f>IFERROR(__xludf.DUMMYFUNCTION("""COMPUTED_VALUE"""),10.54)</f>
        <v>10.54</v>
      </c>
      <c r="FD45" s="108" t="str">
        <f>IFERROR(__xludf.DUMMYFUNCTION("""COMPUTED_VALUE"""),"")</f>
        <v/>
      </c>
      <c r="FE45" s="108" t="str">
        <f>IFERROR(__xludf.DUMMYFUNCTION("""COMPUTED_VALUE"""),"")</f>
        <v/>
      </c>
      <c r="FF45" s="108" t="str">
        <f>IFERROR(__xludf.DUMMYFUNCTION("""COMPUTED_VALUE"""),"")</f>
        <v/>
      </c>
      <c r="FG45" s="108" t="str">
        <f>IFERROR(__xludf.DUMMYFUNCTION("""COMPUTED_VALUE"""),"")</f>
        <v/>
      </c>
      <c r="FH45" s="108" t="str">
        <f>IFERROR(__xludf.DUMMYFUNCTION("""COMPUTED_VALUE"""),"")</f>
        <v/>
      </c>
      <c r="FI45" s="108" t="str">
        <f>IFERROR(__xludf.DUMMYFUNCTION("""COMPUTED_VALUE"""),"")</f>
        <v/>
      </c>
      <c r="FJ45" s="108" t="str">
        <f>IFERROR(__xludf.DUMMYFUNCTION("""COMPUTED_VALUE"""),"")</f>
        <v/>
      </c>
      <c r="FK45" s="108" t="str">
        <f>IFERROR(__xludf.DUMMYFUNCTION("""COMPUTED_VALUE"""),"")</f>
        <v/>
      </c>
      <c r="FL45" s="108" t="str">
        <f>IFERROR(__xludf.DUMMYFUNCTION("""COMPUTED_VALUE"""),"")</f>
        <v/>
      </c>
      <c r="FM45" s="108" t="str">
        <f>IFERROR(__xludf.DUMMYFUNCTION("""COMPUTED_VALUE"""),"")</f>
        <v/>
      </c>
      <c r="FN45" s="108" t="str">
        <f>IFERROR(__xludf.DUMMYFUNCTION("""COMPUTED_VALUE"""),"")</f>
        <v/>
      </c>
      <c r="FO45" s="108" t="str">
        <f>IFERROR(__xludf.DUMMYFUNCTION("""COMPUTED_VALUE"""),"")</f>
        <v/>
      </c>
    </row>
    <row r="46">
      <c r="A46" s="106">
        <f>IFERROR(__xludf.DUMMYFUNCTION("""COMPUTED_VALUE"""),44638.0)</f>
        <v>44638</v>
      </c>
      <c r="B46" s="110">
        <f>IFERROR(__xludf.DUMMYFUNCTION("""COMPUTED_VALUE"""),3225.01)</f>
        <v>3225.01</v>
      </c>
      <c r="C46" s="110">
        <f>IFERROR(__xludf.DUMMYFUNCTION("""COMPUTED_VALUE"""),216.49)</f>
        <v>216.49</v>
      </c>
      <c r="D46" s="110">
        <f>IFERROR(__xludf.DUMMYFUNCTION("""COMPUTED_VALUE"""),905.39)</f>
        <v>905.39</v>
      </c>
      <c r="E46" s="110">
        <f>IFERROR(__xludf.DUMMYFUNCTION("""COMPUTED_VALUE"""),381.0)</f>
        <v>381</v>
      </c>
      <c r="F46" s="110">
        <f>IFERROR(__xludf.DUMMYFUNCTION("""COMPUTED_VALUE"""),9.84)</f>
        <v>9.84</v>
      </c>
      <c r="G46" s="110">
        <f>IFERROR(__xludf.DUMMYFUNCTION("""COMPUTED_VALUE"""),163.98)</f>
        <v>163.98</v>
      </c>
      <c r="H46" s="110">
        <f>IFERROR(__xludf.DUMMYFUNCTION("""COMPUTED_VALUE"""),10.1)</f>
        <v>10.1</v>
      </c>
      <c r="I46" s="110">
        <f>IFERROR(__xludf.DUMMYFUNCTION("""COMPUTED_VALUE"""),1.96)</f>
        <v>1.96</v>
      </c>
      <c r="J46" s="110">
        <f>IFERROR(__xludf.DUMMYFUNCTION("""COMPUTED_VALUE"""),0.12)</f>
        <v>0.12</v>
      </c>
      <c r="K46" s="110">
        <f>IFERROR(__xludf.DUMMYFUNCTION("""COMPUTED_VALUE"""),37.35)</f>
        <v>37.35</v>
      </c>
      <c r="L46" s="110">
        <f>IFERROR(__xludf.DUMMYFUNCTION("""COMPUTED_VALUE"""),153.3)</f>
        <v>153.3</v>
      </c>
      <c r="M46" s="110">
        <f>IFERROR(__xludf.DUMMYFUNCTION("""COMPUTED_VALUE"""),41885.73)</f>
        <v>41885.73</v>
      </c>
      <c r="N46" s="110">
        <f>IFERROR(__xludf.DUMMYFUNCTION("""COMPUTED_VALUE"""),380.6)</f>
        <v>380.6</v>
      </c>
      <c r="O46" s="110">
        <f>IFERROR(__xludf.DUMMYFUNCTION("""COMPUTED_VALUE"""),300.43)</f>
        <v>300.43</v>
      </c>
      <c r="P46" s="110">
        <f>IFERROR(__xludf.DUMMYFUNCTION("""COMPUTED_VALUE"""),28.95)</f>
        <v>28.95</v>
      </c>
      <c r="Q46" s="110">
        <f>IFERROR(__xludf.DUMMYFUNCTION("""COMPUTED_VALUE"""),24.71)</f>
        <v>24.71</v>
      </c>
      <c r="R46" s="110">
        <f>IFERROR(__xludf.DUMMYFUNCTION("""COMPUTED_VALUE"""),65.13)</f>
        <v>65.13</v>
      </c>
      <c r="S46" s="110">
        <f>IFERROR(__xludf.DUMMYFUNCTION("""COMPUTED_VALUE"""),28.7)</f>
        <v>28.7</v>
      </c>
      <c r="T46" s="110">
        <f>IFERROR(__xludf.DUMMYFUNCTION("""COMPUTED_VALUE"""),28.77)</f>
        <v>28.77</v>
      </c>
      <c r="U46" s="110">
        <f>IFERROR(__xludf.DUMMYFUNCTION("""COMPUTED_VALUE"""),42.17)</f>
        <v>42.17</v>
      </c>
      <c r="V46" s="110">
        <f>IFERROR(__xludf.DUMMYFUNCTION("""COMPUTED_VALUE"""),14.98)</f>
        <v>14.98</v>
      </c>
      <c r="W46" s="110">
        <f>IFERROR(__xludf.DUMMYFUNCTION("""COMPUTED_VALUE"""),238.92)</f>
        <v>238.92</v>
      </c>
      <c r="X46" s="110">
        <f>IFERROR(__xludf.DUMMYFUNCTION("""COMPUTED_VALUE"""),2736.03)</f>
        <v>2736.03</v>
      </c>
      <c r="Y46" s="110">
        <f>IFERROR(__xludf.DUMMYFUNCTION("""COMPUTED_VALUE"""),57.95)</f>
        <v>57.95</v>
      </c>
      <c r="Z46" s="110">
        <f>IFERROR(__xludf.DUMMYFUNCTION("""COMPUTED_VALUE"""),53.55)</f>
        <v>53.55</v>
      </c>
      <c r="AA46" s="110">
        <f>IFERROR(__xludf.DUMMYFUNCTION("""COMPUTED_VALUE"""),109.84)</f>
        <v>109.84</v>
      </c>
      <c r="AB46" s="110">
        <f>IFERROR(__xludf.DUMMYFUNCTION("""COMPUTED_VALUE"""),4.63)</f>
        <v>4.63</v>
      </c>
      <c r="AC46" s="110">
        <f>IFERROR(__xludf.DUMMYFUNCTION("""COMPUTED_VALUE"""),73.88)</f>
        <v>73.88</v>
      </c>
      <c r="AD46" s="110">
        <f>IFERROR(__xludf.DUMMYFUNCTION("""COMPUTED_VALUE"""),12.16)</f>
        <v>12.16</v>
      </c>
      <c r="AE46" s="110">
        <f>IFERROR(__xludf.DUMMYFUNCTION("""COMPUTED_VALUE"""),5.94)</f>
        <v>5.94</v>
      </c>
      <c r="AF46" s="110">
        <f>IFERROR(__xludf.DUMMYFUNCTION("""COMPUTED_VALUE"""),39.74)</f>
        <v>39.74</v>
      </c>
      <c r="AG46" s="110">
        <f>IFERROR(__xludf.DUMMYFUNCTION("""COMPUTED_VALUE"""),12.58)</f>
        <v>12.58</v>
      </c>
      <c r="AH46" s="110">
        <f>IFERROR(__xludf.DUMMYFUNCTION("""COMPUTED_VALUE"""),2.1)</f>
        <v>2.1</v>
      </c>
      <c r="AI46" s="110">
        <f>IFERROR(__xludf.DUMMYFUNCTION("""COMPUTED_VALUE"""),3.34)</f>
        <v>3.34</v>
      </c>
      <c r="AJ46" s="110">
        <f>IFERROR(__xludf.DUMMYFUNCTION("""COMPUTED_VALUE"""),100.8)</f>
        <v>100.8</v>
      </c>
      <c r="AK46" s="110">
        <f>IFERROR(__xludf.DUMMYFUNCTION("""COMPUTED_VALUE"""),264.53)</f>
        <v>264.53</v>
      </c>
      <c r="AL46" s="110">
        <f>IFERROR(__xludf.DUMMYFUNCTION("""COMPUTED_VALUE"""),13.52)</f>
        <v>13.52</v>
      </c>
      <c r="AM46" s="110">
        <f>IFERROR(__xludf.DUMMYFUNCTION("""COMPUTED_VALUE"""),42.9)</f>
        <v>42.9</v>
      </c>
      <c r="AN46" s="110">
        <f>IFERROR(__xludf.DUMMYFUNCTION("""COMPUTED_VALUE"""),342.41)</f>
        <v>342.41</v>
      </c>
      <c r="AO46" s="110">
        <f>IFERROR(__xludf.DUMMYFUNCTION("""COMPUTED_VALUE"""),106.12)</f>
        <v>106.12</v>
      </c>
      <c r="AP46" s="110">
        <f>IFERROR(__xludf.DUMMYFUNCTION("""COMPUTED_VALUE"""),78.76)</f>
        <v>78.76</v>
      </c>
      <c r="AQ46" s="110">
        <f>IFERROR(__xludf.DUMMYFUNCTION("""COMPUTED_VALUE"""),51.7)</f>
        <v>51.7</v>
      </c>
      <c r="AR46" s="109">
        <f>IFERROR(__xludf.DUMMYFUNCTION("""COMPUTED_VALUE"""),103.7175)</f>
        <v>103.7175</v>
      </c>
      <c r="AS46" s="110">
        <f>IFERROR(__xludf.DUMMYFUNCTION("""COMPUTED_VALUE"""),15.33)</f>
        <v>15.33</v>
      </c>
      <c r="AT46" s="110">
        <f>IFERROR(__xludf.DUMMYFUNCTION("""COMPUTED_VALUE"""),98.35)</f>
        <v>98.35</v>
      </c>
      <c r="AU46" s="110">
        <f>IFERROR(__xludf.DUMMYFUNCTION("""COMPUTED_VALUE"""),64.56)</f>
        <v>64.56</v>
      </c>
      <c r="AV46" s="110">
        <f>IFERROR(__xludf.DUMMYFUNCTION("""COMPUTED_VALUE"""),140.3)</f>
        <v>140.3</v>
      </c>
      <c r="AW46" s="110">
        <f>IFERROR(__xludf.DUMMYFUNCTION("""COMPUTED_VALUE"""),135.14)</f>
        <v>135.14</v>
      </c>
      <c r="AX46" s="110">
        <f>IFERROR(__xludf.DUMMYFUNCTION("""COMPUTED_VALUE"""),18.8)</f>
        <v>18.8</v>
      </c>
      <c r="AY46" s="110">
        <f>IFERROR(__xludf.DUMMYFUNCTION("""COMPUTED_VALUE"""),49.62)</f>
        <v>49.62</v>
      </c>
      <c r="AZ46" s="110">
        <f>IFERROR(__xludf.DUMMYFUNCTION("""COMPUTED_VALUE"""),0.0)</f>
        <v>0</v>
      </c>
      <c r="BA46" s="110">
        <f>IFERROR(__xludf.DUMMYFUNCTION("""COMPUTED_VALUE"""),0.0)</f>
        <v>0</v>
      </c>
      <c r="BB46" s="110">
        <f>IFERROR(__xludf.DUMMYFUNCTION("""COMPUTED_VALUE"""),11.94)</f>
        <v>11.94</v>
      </c>
      <c r="BC46" s="110">
        <f>IFERROR(__xludf.DUMMYFUNCTION("""COMPUTED_VALUE"""),9.15)</f>
        <v>9.15</v>
      </c>
      <c r="BD46" s="110">
        <f>IFERROR(__xludf.DUMMYFUNCTION("""COMPUTED_VALUE"""),178.6)</f>
        <v>178.6</v>
      </c>
      <c r="BE46" s="110">
        <f>IFERROR(__xludf.DUMMYFUNCTION("""COMPUTED_VALUE"""),138.6)</f>
        <v>138.6</v>
      </c>
      <c r="BF46" s="110">
        <f>IFERROR(__xludf.DUMMYFUNCTION("""COMPUTED_VALUE"""),11.34)</f>
        <v>11.34</v>
      </c>
      <c r="BG46" s="110">
        <f>IFERROR(__xludf.DUMMYFUNCTION("""COMPUTED_VALUE"""),577.02)</f>
        <v>577.02</v>
      </c>
      <c r="BH46" s="110">
        <f>IFERROR(__xludf.DUMMYFUNCTION("""COMPUTED_VALUE"""),294.73)</f>
        <v>294.73</v>
      </c>
      <c r="BI46" s="110">
        <f>IFERROR(__xludf.DUMMYFUNCTION("""COMPUTED_VALUE"""),236.25)</f>
        <v>236.25</v>
      </c>
      <c r="BJ46" s="110">
        <f>IFERROR(__xludf.DUMMYFUNCTION("""COMPUTED_VALUE"""),25.67)</f>
        <v>25.67</v>
      </c>
      <c r="BK46" s="110">
        <f>IFERROR(__xludf.DUMMYFUNCTION("""COMPUTED_VALUE"""),318.21)</f>
        <v>318.21</v>
      </c>
      <c r="BL46" s="110">
        <f>IFERROR(__xludf.DUMMYFUNCTION("""COMPUTED_VALUE"""),127.18)</f>
        <v>127.18</v>
      </c>
      <c r="BM46" s="110">
        <f>IFERROR(__xludf.DUMMYFUNCTION("""COMPUTED_VALUE"""),16.86)</f>
        <v>16.86</v>
      </c>
      <c r="BN46" s="110">
        <f>IFERROR(__xludf.DUMMYFUNCTION("""COMPUTED_VALUE"""),334.07)</f>
        <v>334.07</v>
      </c>
      <c r="BO46" s="110">
        <f>IFERROR(__xludf.DUMMYFUNCTION("""COMPUTED_VALUE"""),713.92)</f>
        <v>713.92</v>
      </c>
      <c r="BP46" s="110">
        <f>IFERROR(__xludf.DUMMYFUNCTION("""COMPUTED_VALUE"""),45.6)</f>
        <v>45.6</v>
      </c>
      <c r="BQ46" s="110">
        <f>IFERROR(__xludf.DUMMYFUNCTION("""COMPUTED_VALUE"""),9.87)</f>
        <v>9.87</v>
      </c>
      <c r="BR46" s="110">
        <f>IFERROR(__xludf.DUMMYFUNCTION("""COMPUTED_VALUE"""),39.17)</f>
        <v>39.17</v>
      </c>
      <c r="BS46" s="110">
        <f>IFERROR(__xludf.DUMMYFUNCTION("""COMPUTED_VALUE"""),0.96)</f>
        <v>0.96</v>
      </c>
      <c r="BT46" s="110">
        <f>IFERROR(__xludf.DUMMYFUNCTION("""COMPUTED_VALUE"""),47.38)</f>
        <v>47.38</v>
      </c>
      <c r="BU46" s="110">
        <f>IFERROR(__xludf.DUMMYFUNCTION("""COMPUTED_VALUE"""),37.2)</f>
        <v>37.2</v>
      </c>
      <c r="BV46" s="110">
        <f>IFERROR(__xludf.DUMMYFUNCTION("""COMPUTED_VALUE"""),52.9)</f>
        <v>52.9</v>
      </c>
      <c r="BW46" s="110">
        <f>IFERROR(__xludf.DUMMYFUNCTION("""COMPUTED_VALUE"""),7.86)</f>
        <v>7.86</v>
      </c>
      <c r="BX46" s="110">
        <f>IFERROR(__xludf.DUMMYFUNCTION("""COMPUTED_VALUE"""),5.24)</f>
        <v>5.24</v>
      </c>
      <c r="BY46" s="110">
        <f>IFERROR(__xludf.DUMMYFUNCTION("""COMPUTED_VALUE"""),0.0)</f>
        <v>0</v>
      </c>
      <c r="BZ46" s="110">
        <f>IFERROR(__xludf.DUMMYFUNCTION("""COMPUTED_VALUE"""),15.04)</f>
        <v>15.04</v>
      </c>
      <c r="CA46" s="110">
        <f>IFERROR(__xludf.DUMMYFUNCTION("""COMPUTED_VALUE"""),3.66)</f>
        <v>3.66</v>
      </c>
      <c r="CB46" s="110">
        <f>IFERROR(__xludf.DUMMYFUNCTION("""COMPUTED_VALUE"""),5.49)</f>
        <v>5.49</v>
      </c>
      <c r="CC46" s="110">
        <f>IFERROR(__xludf.DUMMYFUNCTION("""COMPUTED_VALUE"""),18.63)</f>
        <v>18.63</v>
      </c>
      <c r="CD46" s="110">
        <f>IFERROR(__xludf.DUMMYFUNCTION("""COMPUTED_VALUE"""),13.55)</f>
        <v>13.55</v>
      </c>
      <c r="CE46" s="110">
        <f>IFERROR(__xludf.DUMMYFUNCTION("""COMPUTED_VALUE"""),29.87)</f>
        <v>29.87</v>
      </c>
      <c r="CF46" s="110">
        <f>IFERROR(__xludf.DUMMYFUNCTION("""COMPUTED_VALUE"""),105.1)</f>
        <v>105.1</v>
      </c>
      <c r="CG46" s="110">
        <f>IFERROR(__xludf.DUMMYFUNCTION("""COMPUTED_VALUE"""),5.07)</f>
        <v>5.07</v>
      </c>
      <c r="CH46" s="110">
        <f>IFERROR(__xludf.DUMMYFUNCTION("""COMPUTED_VALUE"""),23.87)</f>
        <v>23.87</v>
      </c>
      <c r="CI46" s="110">
        <f>IFERROR(__xludf.DUMMYFUNCTION("""COMPUTED_VALUE"""),47.37)</f>
        <v>47.37</v>
      </c>
      <c r="CJ46" s="110">
        <f>IFERROR(__xludf.DUMMYFUNCTION("""COMPUTED_VALUE"""),33.0)</f>
        <v>33</v>
      </c>
      <c r="CK46" s="110">
        <f>IFERROR(__xludf.DUMMYFUNCTION("""COMPUTED_VALUE"""),12.35)</f>
        <v>12.35</v>
      </c>
      <c r="CL46" s="110">
        <f>IFERROR(__xludf.DUMMYFUNCTION("""COMPUTED_VALUE"""),2722.51)</f>
        <v>2722.51</v>
      </c>
      <c r="CM46" s="110">
        <f>IFERROR(__xludf.DUMMYFUNCTION("""COMPUTED_VALUE"""),3.25)</f>
        <v>3.25</v>
      </c>
      <c r="CN46" s="110">
        <f>IFERROR(__xludf.DUMMYFUNCTION("""COMPUTED_VALUE"""),190.1)</f>
        <v>190.1</v>
      </c>
      <c r="CO46" s="110">
        <f>IFERROR(__xludf.DUMMYFUNCTION("""COMPUTED_VALUE"""),149.4)</f>
        <v>149.4</v>
      </c>
      <c r="CP46" s="110">
        <f>IFERROR(__xludf.DUMMYFUNCTION("""COMPUTED_VALUE"""),65.77)</f>
        <v>65.77</v>
      </c>
      <c r="CQ46" s="110">
        <f>IFERROR(__xludf.DUMMYFUNCTION("""COMPUTED_VALUE"""),70700.0)</f>
        <v>70700</v>
      </c>
      <c r="CR46" s="110">
        <f>IFERROR(__xludf.DUMMYFUNCTION("""COMPUTED_VALUE"""),0.52)</f>
        <v>0.52</v>
      </c>
      <c r="CS46" s="110">
        <f>IFERROR(__xludf.DUMMYFUNCTION("""COMPUTED_VALUE"""),34.9)</f>
        <v>34.9</v>
      </c>
      <c r="CT46" s="110">
        <f>IFERROR(__xludf.DUMMYFUNCTION("""COMPUTED_VALUE"""),21.66)</f>
        <v>21.66</v>
      </c>
      <c r="CU46" s="110">
        <f>IFERROR(__xludf.DUMMYFUNCTION("""COMPUTED_VALUE"""),1921.5)</f>
        <v>1921.5</v>
      </c>
      <c r="CV46" s="110">
        <f>IFERROR(__xludf.DUMMYFUNCTION("""COMPUTED_VALUE"""),2.63)</f>
        <v>2.63</v>
      </c>
      <c r="CW46" s="110">
        <f>IFERROR(__xludf.DUMMYFUNCTION("""COMPUTED_VALUE"""),2.88)</f>
        <v>2.88</v>
      </c>
      <c r="CX46" s="110">
        <f>IFERROR(__xludf.DUMMYFUNCTION("""COMPUTED_VALUE"""),0.0)</f>
        <v>0</v>
      </c>
      <c r="CY46" s="110">
        <f>IFERROR(__xludf.DUMMYFUNCTION("""COMPUTED_VALUE"""),0.1)</f>
        <v>0.1</v>
      </c>
      <c r="CZ46" s="110">
        <f>IFERROR(__xludf.DUMMYFUNCTION("""COMPUTED_VALUE"""),76.4)</f>
        <v>76.4</v>
      </c>
      <c r="DA46" s="110">
        <f>IFERROR(__xludf.DUMMYFUNCTION("""COMPUTED_VALUE"""),0.07)</f>
        <v>0.07</v>
      </c>
      <c r="DB46" s="110">
        <f>IFERROR(__xludf.DUMMYFUNCTION("""COMPUTED_VALUE"""),0.29)</f>
        <v>0.29</v>
      </c>
      <c r="DC46" s="110">
        <f>IFERROR(__xludf.DUMMYFUNCTION("""COMPUTED_VALUE"""),155.07)</f>
        <v>155.07</v>
      </c>
      <c r="DD46" s="110">
        <f>IFERROR(__xludf.DUMMYFUNCTION("""COMPUTED_VALUE"""),11.01)</f>
        <v>11.01</v>
      </c>
      <c r="DE46" s="110">
        <f>IFERROR(__xludf.DUMMYFUNCTION("""COMPUTED_VALUE"""),7.77)</f>
        <v>7.77</v>
      </c>
      <c r="DF46" s="110">
        <f>IFERROR(__xludf.DUMMYFUNCTION("""COMPUTED_VALUE"""),57.1)</f>
        <v>57.1</v>
      </c>
      <c r="DG46" s="110">
        <f>IFERROR(__xludf.DUMMYFUNCTION("""COMPUTED_VALUE"""),5.67)</f>
        <v>5.67</v>
      </c>
      <c r="DH46" s="110">
        <f>IFERROR(__xludf.DUMMYFUNCTION("""COMPUTED_VALUE"""),10.95)</f>
        <v>10.95</v>
      </c>
      <c r="DI46" s="110">
        <f>IFERROR(__xludf.DUMMYFUNCTION("""COMPUTED_VALUE"""),145.44)</f>
        <v>145.44</v>
      </c>
      <c r="DJ46" s="110">
        <f>IFERROR(__xludf.DUMMYFUNCTION("""COMPUTED_VALUE"""),12.49)</f>
        <v>12.49</v>
      </c>
      <c r="DK46" s="110">
        <f>IFERROR(__xludf.DUMMYFUNCTION("""COMPUTED_VALUE"""),2.85)</f>
        <v>2.85</v>
      </c>
      <c r="DL46" s="110">
        <f>IFERROR(__xludf.DUMMYFUNCTION("""COMPUTED_VALUE"""),25.3)</f>
        <v>25.3</v>
      </c>
      <c r="DM46" s="110">
        <f>IFERROR(__xludf.DUMMYFUNCTION("""COMPUTED_VALUE"""),426.18)</f>
        <v>426.18</v>
      </c>
      <c r="DN46" s="110">
        <f>IFERROR(__xludf.DUMMYFUNCTION("""COMPUTED_VALUE"""),167.0)</f>
        <v>167</v>
      </c>
      <c r="DO46" s="110">
        <f>IFERROR(__xludf.DUMMYFUNCTION("""COMPUTED_VALUE"""),378.6)</f>
        <v>378.6</v>
      </c>
      <c r="DP46" s="110">
        <f>IFERROR(__xludf.DUMMYFUNCTION("""COMPUTED_VALUE"""),6.33)</f>
        <v>6.33</v>
      </c>
      <c r="DQ46" s="110">
        <f>IFERROR(__xludf.DUMMYFUNCTION("""COMPUTED_VALUE"""),108.3)</f>
        <v>108.3</v>
      </c>
      <c r="DR46" s="110">
        <f>IFERROR(__xludf.DUMMYFUNCTION("""COMPUTED_VALUE"""),0.4)</f>
        <v>0.4</v>
      </c>
      <c r="DS46" s="110">
        <f>IFERROR(__xludf.DUMMYFUNCTION("""COMPUTED_VALUE"""),3.52)</f>
        <v>3.52</v>
      </c>
      <c r="DT46" s="110">
        <f>IFERROR(__xludf.DUMMYFUNCTION("""COMPUTED_VALUE"""),4.91)</f>
        <v>4.91</v>
      </c>
      <c r="DU46" s="110">
        <f>IFERROR(__xludf.DUMMYFUNCTION("""COMPUTED_VALUE"""),54.51)</f>
        <v>54.51</v>
      </c>
      <c r="DV46" s="110">
        <f>IFERROR(__xludf.DUMMYFUNCTION("""COMPUTED_VALUE"""),13.86)</f>
        <v>13.86</v>
      </c>
      <c r="DW46" s="110">
        <f>IFERROR(__xludf.DUMMYFUNCTION("""COMPUTED_VALUE"""),0.062)</f>
        <v>0.062</v>
      </c>
      <c r="DX46" s="110">
        <f>IFERROR(__xludf.DUMMYFUNCTION("""COMPUTED_VALUE"""),26.43)</f>
        <v>26.43</v>
      </c>
      <c r="DY46" s="110">
        <f>IFERROR(__xludf.DUMMYFUNCTION("""COMPUTED_VALUE"""),872.25)</f>
        <v>872.25</v>
      </c>
      <c r="DZ46" s="110">
        <f>IFERROR(__xludf.DUMMYFUNCTION("""COMPUTED_VALUE"""),82.3)</f>
        <v>82.3</v>
      </c>
      <c r="EA46" s="110">
        <f>IFERROR(__xludf.DUMMYFUNCTION("""COMPUTED_VALUE"""),47.23)</f>
        <v>47.23</v>
      </c>
      <c r="EB46" s="110">
        <f>IFERROR(__xludf.DUMMYFUNCTION("""COMPUTED_VALUE"""),70.81)</f>
        <v>70.81</v>
      </c>
      <c r="EC46" s="110">
        <f>IFERROR(__xludf.DUMMYFUNCTION("""COMPUTED_VALUE"""),74.19)</f>
        <v>74.19</v>
      </c>
      <c r="ED46" s="110">
        <f>IFERROR(__xludf.DUMMYFUNCTION("""COMPUTED_VALUE"""),39.0)</f>
        <v>39</v>
      </c>
      <c r="EE46" s="110">
        <f>IFERROR(__xludf.DUMMYFUNCTION("""COMPUTED_VALUE"""),86.1)</f>
        <v>86.1</v>
      </c>
      <c r="EF46" s="110">
        <f>IFERROR(__xludf.DUMMYFUNCTION("""COMPUTED_VALUE"""),181.88)</f>
        <v>181.88</v>
      </c>
      <c r="EG46" s="110">
        <f>IFERROR(__xludf.DUMMYFUNCTION("""COMPUTED_VALUE"""),68.23)</f>
        <v>68.23</v>
      </c>
      <c r="EH46" s="110">
        <f>IFERROR(__xludf.DUMMYFUNCTION("""COMPUTED_VALUE"""),102.84)</f>
        <v>102.84</v>
      </c>
      <c r="EI46" s="110">
        <f>IFERROR(__xludf.DUMMYFUNCTION("""COMPUTED_VALUE"""),136.99)</f>
        <v>136.99</v>
      </c>
      <c r="EJ46" s="110">
        <f>IFERROR(__xludf.DUMMYFUNCTION("""COMPUTED_VALUE"""),42.3)</f>
        <v>42.3</v>
      </c>
      <c r="EK46" s="110">
        <f>IFERROR(__xludf.DUMMYFUNCTION("""COMPUTED_VALUE"""),275.99)</f>
        <v>275.99</v>
      </c>
      <c r="EL46" s="110">
        <f>IFERROR(__xludf.DUMMYFUNCTION("""COMPUTED_VALUE"""),58.4)</f>
        <v>58.4</v>
      </c>
      <c r="EM46" s="110">
        <f>IFERROR(__xludf.DUMMYFUNCTION("""COMPUTED_VALUE"""),50.2)</f>
        <v>50.2</v>
      </c>
      <c r="EN46" s="110">
        <f>IFERROR(__xludf.DUMMYFUNCTION("""COMPUTED_VALUE"""),1707.79)</f>
        <v>1707.79</v>
      </c>
      <c r="EO46" s="110">
        <f>IFERROR(__xludf.DUMMYFUNCTION("""COMPUTED_VALUE"""),12.3)</f>
        <v>12.3</v>
      </c>
      <c r="EP46" s="110">
        <f>IFERROR(__xludf.DUMMYFUNCTION("""COMPUTED_VALUE"""),7.65)</f>
        <v>7.65</v>
      </c>
      <c r="EQ46" s="110">
        <f>IFERROR(__xludf.DUMMYFUNCTION("""COMPUTED_VALUE"""),2.0)</f>
        <v>2</v>
      </c>
      <c r="ER46" s="110">
        <f>IFERROR(__xludf.DUMMYFUNCTION("""COMPUTED_VALUE"""),4400.5)</f>
        <v>4400.5</v>
      </c>
      <c r="ES46" s="110">
        <f>IFERROR(__xludf.DUMMYFUNCTION("""COMPUTED_VALUE"""),94.07)</f>
        <v>94.07</v>
      </c>
      <c r="ET46" s="110">
        <f>IFERROR(__xludf.DUMMYFUNCTION("""COMPUTED_VALUE"""),107.75)</f>
        <v>107.75</v>
      </c>
      <c r="EU46" s="110">
        <f>IFERROR(__xludf.DUMMYFUNCTION("""COMPUTED_VALUE"""),31.7)</f>
        <v>31.7</v>
      </c>
      <c r="EV46" s="110">
        <f>IFERROR(__xludf.DUMMYFUNCTION("""COMPUTED_VALUE"""),1.38)</f>
        <v>1.38</v>
      </c>
      <c r="EW46" s="110">
        <f>IFERROR(__xludf.DUMMYFUNCTION("""COMPUTED_VALUE"""),14.1)</f>
        <v>14.1</v>
      </c>
      <c r="EX46" s="108">
        <f>IFERROR(__xludf.DUMMYFUNCTION("""COMPUTED_VALUE"""),5.06)</f>
        <v>5.06</v>
      </c>
      <c r="EY46" s="108">
        <f>IFERROR(__xludf.DUMMYFUNCTION("""COMPUTED_VALUE"""),174.46)</f>
        <v>174.46</v>
      </c>
      <c r="EZ46" s="108">
        <f>IFERROR(__xludf.DUMMYFUNCTION("""COMPUTED_VALUE"""),25.135)</f>
        <v>25.135</v>
      </c>
      <c r="FA46" s="108">
        <f>IFERROR(__xludf.DUMMYFUNCTION("""COMPUTED_VALUE"""),2.97)</f>
        <v>2.97</v>
      </c>
      <c r="FB46" s="108">
        <f>IFERROR(__xludf.DUMMYFUNCTION("""COMPUTED_VALUE"""),140.1)</f>
        <v>140.1</v>
      </c>
      <c r="FC46" s="108">
        <f>IFERROR(__xludf.DUMMYFUNCTION("""COMPUTED_VALUE"""),9.9)</f>
        <v>9.9</v>
      </c>
      <c r="FD46" s="108">
        <f>IFERROR(__xludf.DUMMYFUNCTION("""COMPUTED_VALUE"""),58.27)</f>
        <v>58.27</v>
      </c>
      <c r="FE46" s="108">
        <f>IFERROR(__xludf.DUMMYFUNCTION("""COMPUTED_VALUE"""),56.24)</f>
        <v>56.24</v>
      </c>
      <c r="FF46" s="108">
        <f>IFERROR(__xludf.DUMMYFUNCTION("""COMPUTED_VALUE"""),6.16)</f>
        <v>6.16</v>
      </c>
      <c r="FG46" s="108">
        <f>IFERROR(__xludf.DUMMYFUNCTION("""COMPUTED_VALUE"""),679.86)</f>
        <v>679.86</v>
      </c>
      <c r="FH46" s="108">
        <f>IFERROR(__xludf.DUMMYFUNCTION("""COMPUTED_VALUE"""),159.2)</f>
        <v>159.2</v>
      </c>
      <c r="FI46" s="108">
        <f>IFERROR(__xludf.DUMMYFUNCTION("""COMPUTED_VALUE"""),0.065)</f>
        <v>0.065</v>
      </c>
      <c r="FJ46" s="108">
        <f>IFERROR(__xludf.DUMMYFUNCTION("""COMPUTED_VALUE"""),16.2)</f>
        <v>16.2</v>
      </c>
      <c r="FK46" s="108">
        <f>IFERROR(__xludf.DUMMYFUNCTION("""COMPUTED_VALUE"""),203.88)</f>
        <v>203.88</v>
      </c>
      <c r="FL46" s="108" t="str">
        <f>IFERROR(__xludf.DUMMYFUNCTION("""COMPUTED_VALUE"""),"")</f>
        <v/>
      </c>
      <c r="FM46" s="108" t="str">
        <f>IFERROR(__xludf.DUMMYFUNCTION("""COMPUTED_VALUE"""),"")</f>
        <v/>
      </c>
      <c r="FN46" s="108" t="str">
        <f>IFERROR(__xludf.DUMMYFUNCTION("""COMPUTED_VALUE"""),"")</f>
        <v/>
      </c>
      <c r="FO46" s="108" t="str">
        <f>IFERROR(__xludf.DUMMYFUNCTION("""COMPUTED_VALUE"""),"")</f>
        <v/>
      </c>
    </row>
    <row r="47">
      <c r="A47" s="106">
        <f>IFERROR(__xludf.DUMMYFUNCTION("""COMPUTED_VALUE"""),44639.0)</f>
        <v>44639</v>
      </c>
      <c r="B47" s="110">
        <f>IFERROR(__xludf.DUMMYFUNCTION("""COMPUTED_VALUE"""),3225.01)</f>
        <v>3225.01</v>
      </c>
      <c r="C47" s="110">
        <f>IFERROR(__xludf.DUMMYFUNCTION("""COMPUTED_VALUE"""),216.49)</f>
        <v>216.49</v>
      </c>
      <c r="D47" s="110">
        <f>IFERROR(__xludf.DUMMYFUNCTION("""COMPUTED_VALUE"""),905.39)</f>
        <v>905.39</v>
      </c>
      <c r="E47" s="110">
        <f>IFERROR(__xludf.DUMMYFUNCTION("""COMPUTED_VALUE"""),381.0)</f>
        <v>381</v>
      </c>
      <c r="F47" s="110">
        <f>IFERROR(__xludf.DUMMYFUNCTION("""COMPUTED_VALUE"""),9.84)</f>
        <v>9.84</v>
      </c>
      <c r="G47" s="110">
        <f>IFERROR(__xludf.DUMMYFUNCTION("""COMPUTED_VALUE"""),163.98)</f>
        <v>163.98</v>
      </c>
      <c r="H47" s="110">
        <f>IFERROR(__xludf.DUMMYFUNCTION("""COMPUTED_VALUE"""),10.1)</f>
        <v>10.1</v>
      </c>
      <c r="I47" s="110">
        <f>IFERROR(__xludf.DUMMYFUNCTION("""COMPUTED_VALUE"""),1.96)</f>
        <v>1.96</v>
      </c>
      <c r="J47" s="110">
        <f>IFERROR(__xludf.DUMMYFUNCTION("""COMPUTED_VALUE"""),0.12)</f>
        <v>0.12</v>
      </c>
      <c r="K47" s="110">
        <f>IFERROR(__xludf.DUMMYFUNCTION("""COMPUTED_VALUE"""),37.35)</f>
        <v>37.35</v>
      </c>
      <c r="L47" s="110">
        <f>IFERROR(__xludf.DUMMYFUNCTION("""COMPUTED_VALUE"""),153.3)</f>
        <v>153.3</v>
      </c>
      <c r="M47" s="110">
        <f>IFERROR(__xludf.DUMMYFUNCTION("""COMPUTED_VALUE"""),41885.73)</f>
        <v>41885.73</v>
      </c>
      <c r="N47" s="110">
        <f>IFERROR(__xludf.DUMMYFUNCTION("""COMPUTED_VALUE"""),380.6)</f>
        <v>380.6</v>
      </c>
      <c r="O47" s="110">
        <f>IFERROR(__xludf.DUMMYFUNCTION("""COMPUTED_VALUE"""),300.43)</f>
        <v>300.43</v>
      </c>
      <c r="P47" s="110">
        <f>IFERROR(__xludf.DUMMYFUNCTION("""COMPUTED_VALUE"""),28.95)</f>
        <v>28.95</v>
      </c>
      <c r="Q47" s="110">
        <f>IFERROR(__xludf.DUMMYFUNCTION("""COMPUTED_VALUE"""),24.71)</f>
        <v>24.71</v>
      </c>
      <c r="R47" s="110">
        <f>IFERROR(__xludf.DUMMYFUNCTION("""COMPUTED_VALUE"""),65.13)</f>
        <v>65.13</v>
      </c>
      <c r="S47" s="110">
        <f>IFERROR(__xludf.DUMMYFUNCTION("""COMPUTED_VALUE"""),28.7)</f>
        <v>28.7</v>
      </c>
      <c r="T47" s="110">
        <f>IFERROR(__xludf.DUMMYFUNCTION("""COMPUTED_VALUE"""),28.77)</f>
        <v>28.77</v>
      </c>
      <c r="U47" s="110">
        <f>IFERROR(__xludf.DUMMYFUNCTION("""COMPUTED_VALUE"""),42.17)</f>
        <v>42.17</v>
      </c>
      <c r="V47" s="110">
        <f>IFERROR(__xludf.DUMMYFUNCTION("""COMPUTED_VALUE"""),14.98)</f>
        <v>14.98</v>
      </c>
      <c r="W47" s="110">
        <f>IFERROR(__xludf.DUMMYFUNCTION("""COMPUTED_VALUE"""),238.92)</f>
        <v>238.92</v>
      </c>
      <c r="X47" s="110">
        <f>IFERROR(__xludf.DUMMYFUNCTION("""COMPUTED_VALUE"""),2736.03)</f>
        <v>2736.03</v>
      </c>
      <c r="Y47" s="110">
        <f>IFERROR(__xludf.DUMMYFUNCTION("""COMPUTED_VALUE"""),57.95)</f>
        <v>57.95</v>
      </c>
      <c r="Z47" s="110">
        <f>IFERROR(__xludf.DUMMYFUNCTION("""COMPUTED_VALUE"""),53.55)</f>
        <v>53.55</v>
      </c>
      <c r="AA47" s="110">
        <f>IFERROR(__xludf.DUMMYFUNCTION("""COMPUTED_VALUE"""),109.84)</f>
        <v>109.84</v>
      </c>
      <c r="AB47" s="110">
        <f>IFERROR(__xludf.DUMMYFUNCTION("""COMPUTED_VALUE"""),4.63)</f>
        <v>4.63</v>
      </c>
      <c r="AC47" s="110">
        <f>IFERROR(__xludf.DUMMYFUNCTION("""COMPUTED_VALUE"""),73.88)</f>
        <v>73.88</v>
      </c>
      <c r="AD47" s="110">
        <f>IFERROR(__xludf.DUMMYFUNCTION("""COMPUTED_VALUE"""),12.16)</f>
        <v>12.16</v>
      </c>
      <c r="AE47" s="110">
        <f>IFERROR(__xludf.DUMMYFUNCTION("""COMPUTED_VALUE"""),5.94)</f>
        <v>5.94</v>
      </c>
      <c r="AF47" s="110">
        <f>IFERROR(__xludf.DUMMYFUNCTION("""COMPUTED_VALUE"""),39.74)</f>
        <v>39.74</v>
      </c>
      <c r="AG47" s="110">
        <f>IFERROR(__xludf.DUMMYFUNCTION("""COMPUTED_VALUE"""),12.58)</f>
        <v>12.58</v>
      </c>
      <c r="AH47" s="110">
        <f>IFERROR(__xludf.DUMMYFUNCTION("""COMPUTED_VALUE"""),2.1)</f>
        <v>2.1</v>
      </c>
      <c r="AI47" s="110">
        <f>IFERROR(__xludf.DUMMYFUNCTION("""COMPUTED_VALUE"""),3.34)</f>
        <v>3.34</v>
      </c>
      <c r="AJ47" s="110">
        <f>IFERROR(__xludf.DUMMYFUNCTION("""COMPUTED_VALUE"""),100.8)</f>
        <v>100.8</v>
      </c>
      <c r="AK47" s="110">
        <f>IFERROR(__xludf.DUMMYFUNCTION("""COMPUTED_VALUE"""),264.53)</f>
        <v>264.53</v>
      </c>
      <c r="AL47" s="110">
        <f>IFERROR(__xludf.DUMMYFUNCTION("""COMPUTED_VALUE"""),13.52)</f>
        <v>13.52</v>
      </c>
      <c r="AM47" s="110">
        <f>IFERROR(__xludf.DUMMYFUNCTION("""COMPUTED_VALUE"""),42.9)</f>
        <v>42.9</v>
      </c>
      <c r="AN47" s="110">
        <f>IFERROR(__xludf.DUMMYFUNCTION("""COMPUTED_VALUE"""),342.41)</f>
        <v>342.41</v>
      </c>
      <c r="AO47" s="110">
        <f>IFERROR(__xludf.DUMMYFUNCTION("""COMPUTED_VALUE"""),106.12)</f>
        <v>106.12</v>
      </c>
      <c r="AP47" s="110">
        <f>IFERROR(__xludf.DUMMYFUNCTION("""COMPUTED_VALUE"""),78.76)</f>
        <v>78.76</v>
      </c>
      <c r="AQ47" s="110">
        <f>IFERROR(__xludf.DUMMYFUNCTION("""COMPUTED_VALUE"""),51.7)</f>
        <v>51.7</v>
      </c>
      <c r="AR47" s="109">
        <f>IFERROR(__xludf.DUMMYFUNCTION("""COMPUTED_VALUE"""),103.7175)</f>
        <v>103.7175</v>
      </c>
      <c r="AS47" s="110">
        <f>IFERROR(__xludf.DUMMYFUNCTION("""COMPUTED_VALUE"""),15.33)</f>
        <v>15.33</v>
      </c>
      <c r="AT47" s="110">
        <f>IFERROR(__xludf.DUMMYFUNCTION("""COMPUTED_VALUE"""),98.35)</f>
        <v>98.35</v>
      </c>
      <c r="AU47" s="110">
        <f>IFERROR(__xludf.DUMMYFUNCTION("""COMPUTED_VALUE"""),64.56)</f>
        <v>64.56</v>
      </c>
      <c r="AV47" s="110">
        <f>IFERROR(__xludf.DUMMYFUNCTION("""COMPUTED_VALUE"""),140.3)</f>
        <v>140.3</v>
      </c>
      <c r="AW47" s="110">
        <f>IFERROR(__xludf.DUMMYFUNCTION("""COMPUTED_VALUE"""),135.14)</f>
        <v>135.14</v>
      </c>
      <c r="AX47" s="110">
        <f>IFERROR(__xludf.DUMMYFUNCTION("""COMPUTED_VALUE"""),18.8)</f>
        <v>18.8</v>
      </c>
      <c r="AY47" s="110">
        <f>IFERROR(__xludf.DUMMYFUNCTION("""COMPUTED_VALUE"""),49.62)</f>
        <v>49.62</v>
      </c>
      <c r="AZ47" s="110">
        <f>IFERROR(__xludf.DUMMYFUNCTION("""COMPUTED_VALUE"""),0.0)</f>
        <v>0</v>
      </c>
      <c r="BA47" s="110">
        <f>IFERROR(__xludf.DUMMYFUNCTION("""COMPUTED_VALUE"""),0.0)</f>
        <v>0</v>
      </c>
      <c r="BB47" s="110">
        <f>IFERROR(__xludf.DUMMYFUNCTION("""COMPUTED_VALUE"""),11.94)</f>
        <v>11.94</v>
      </c>
      <c r="BC47" s="110">
        <f>IFERROR(__xludf.DUMMYFUNCTION("""COMPUTED_VALUE"""),9.15)</f>
        <v>9.15</v>
      </c>
      <c r="BD47" s="110">
        <f>IFERROR(__xludf.DUMMYFUNCTION("""COMPUTED_VALUE"""),178.6)</f>
        <v>178.6</v>
      </c>
      <c r="BE47" s="110">
        <f>IFERROR(__xludf.DUMMYFUNCTION("""COMPUTED_VALUE"""),138.6)</f>
        <v>138.6</v>
      </c>
      <c r="BF47" s="110">
        <f>IFERROR(__xludf.DUMMYFUNCTION("""COMPUTED_VALUE"""),11.34)</f>
        <v>11.34</v>
      </c>
      <c r="BG47" s="110">
        <f>IFERROR(__xludf.DUMMYFUNCTION("""COMPUTED_VALUE"""),577.02)</f>
        <v>577.02</v>
      </c>
      <c r="BH47" s="110">
        <f>IFERROR(__xludf.DUMMYFUNCTION("""COMPUTED_VALUE"""),294.73)</f>
        <v>294.73</v>
      </c>
      <c r="BI47" s="110">
        <f>IFERROR(__xludf.DUMMYFUNCTION("""COMPUTED_VALUE"""),236.25)</f>
        <v>236.25</v>
      </c>
      <c r="BJ47" s="110">
        <f>IFERROR(__xludf.DUMMYFUNCTION("""COMPUTED_VALUE"""),25.67)</f>
        <v>25.67</v>
      </c>
      <c r="BK47" s="110">
        <f>IFERROR(__xludf.DUMMYFUNCTION("""COMPUTED_VALUE"""),318.21)</f>
        <v>318.21</v>
      </c>
      <c r="BL47" s="110">
        <f>IFERROR(__xludf.DUMMYFUNCTION("""COMPUTED_VALUE"""),127.18)</f>
        <v>127.18</v>
      </c>
      <c r="BM47" s="110">
        <f>IFERROR(__xludf.DUMMYFUNCTION("""COMPUTED_VALUE"""),16.86)</f>
        <v>16.86</v>
      </c>
      <c r="BN47" s="110">
        <f>IFERROR(__xludf.DUMMYFUNCTION("""COMPUTED_VALUE"""),334.07)</f>
        <v>334.07</v>
      </c>
      <c r="BO47" s="110">
        <f>IFERROR(__xludf.DUMMYFUNCTION("""COMPUTED_VALUE"""),713.92)</f>
        <v>713.92</v>
      </c>
      <c r="BP47" s="110">
        <f>IFERROR(__xludf.DUMMYFUNCTION("""COMPUTED_VALUE"""),45.6)</f>
        <v>45.6</v>
      </c>
      <c r="BQ47" s="110">
        <f>IFERROR(__xludf.DUMMYFUNCTION("""COMPUTED_VALUE"""),9.87)</f>
        <v>9.87</v>
      </c>
      <c r="BR47" s="110">
        <f>IFERROR(__xludf.DUMMYFUNCTION("""COMPUTED_VALUE"""),39.17)</f>
        <v>39.17</v>
      </c>
      <c r="BS47" s="110">
        <f>IFERROR(__xludf.DUMMYFUNCTION("""COMPUTED_VALUE"""),0.96)</f>
        <v>0.96</v>
      </c>
      <c r="BT47" s="110">
        <f>IFERROR(__xludf.DUMMYFUNCTION("""COMPUTED_VALUE"""),47.38)</f>
        <v>47.38</v>
      </c>
      <c r="BU47" s="110">
        <f>IFERROR(__xludf.DUMMYFUNCTION("""COMPUTED_VALUE"""),37.2)</f>
        <v>37.2</v>
      </c>
      <c r="BV47" s="110">
        <f>IFERROR(__xludf.DUMMYFUNCTION("""COMPUTED_VALUE"""),52.9)</f>
        <v>52.9</v>
      </c>
      <c r="BW47" s="110">
        <f>IFERROR(__xludf.DUMMYFUNCTION("""COMPUTED_VALUE"""),7.86)</f>
        <v>7.86</v>
      </c>
      <c r="BX47" s="110">
        <f>IFERROR(__xludf.DUMMYFUNCTION("""COMPUTED_VALUE"""),5.24)</f>
        <v>5.24</v>
      </c>
      <c r="BY47" s="110">
        <f>IFERROR(__xludf.DUMMYFUNCTION("""COMPUTED_VALUE"""),0.0)</f>
        <v>0</v>
      </c>
      <c r="BZ47" s="110">
        <f>IFERROR(__xludf.DUMMYFUNCTION("""COMPUTED_VALUE"""),15.04)</f>
        <v>15.04</v>
      </c>
      <c r="CA47" s="110">
        <f>IFERROR(__xludf.DUMMYFUNCTION("""COMPUTED_VALUE"""),3.66)</f>
        <v>3.66</v>
      </c>
      <c r="CB47" s="110">
        <f>IFERROR(__xludf.DUMMYFUNCTION("""COMPUTED_VALUE"""),5.49)</f>
        <v>5.49</v>
      </c>
      <c r="CC47" s="110">
        <f>IFERROR(__xludf.DUMMYFUNCTION("""COMPUTED_VALUE"""),18.63)</f>
        <v>18.63</v>
      </c>
      <c r="CD47" s="110">
        <f>IFERROR(__xludf.DUMMYFUNCTION("""COMPUTED_VALUE"""),13.55)</f>
        <v>13.55</v>
      </c>
      <c r="CE47" s="110">
        <f>IFERROR(__xludf.DUMMYFUNCTION("""COMPUTED_VALUE"""),29.87)</f>
        <v>29.87</v>
      </c>
      <c r="CF47" s="110">
        <f>IFERROR(__xludf.DUMMYFUNCTION("""COMPUTED_VALUE"""),105.1)</f>
        <v>105.1</v>
      </c>
      <c r="CG47" s="110">
        <f>IFERROR(__xludf.DUMMYFUNCTION("""COMPUTED_VALUE"""),5.07)</f>
        <v>5.07</v>
      </c>
      <c r="CH47" s="110">
        <f>IFERROR(__xludf.DUMMYFUNCTION("""COMPUTED_VALUE"""),23.87)</f>
        <v>23.87</v>
      </c>
      <c r="CI47" s="110">
        <f>IFERROR(__xludf.DUMMYFUNCTION("""COMPUTED_VALUE"""),47.37)</f>
        <v>47.37</v>
      </c>
      <c r="CJ47" s="110">
        <f>IFERROR(__xludf.DUMMYFUNCTION("""COMPUTED_VALUE"""),33.0)</f>
        <v>33</v>
      </c>
      <c r="CK47" s="110">
        <f>IFERROR(__xludf.DUMMYFUNCTION("""COMPUTED_VALUE"""),12.35)</f>
        <v>12.35</v>
      </c>
      <c r="CL47" s="110">
        <f>IFERROR(__xludf.DUMMYFUNCTION("""COMPUTED_VALUE"""),2722.51)</f>
        <v>2722.51</v>
      </c>
      <c r="CM47" s="110">
        <f>IFERROR(__xludf.DUMMYFUNCTION("""COMPUTED_VALUE"""),3.25)</f>
        <v>3.25</v>
      </c>
      <c r="CN47" s="110">
        <f>IFERROR(__xludf.DUMMYFUNCTION("""COMPUTED_VALUE"""),190.1)</f>
        <v>190.1</v>
      </c>
      <c r="CO47" s="110">
        <f>IFERROR(__xludf.DUMMYFUNCTION("""COMPUTED_VALUE"""),149.4)</f>
        <v>149.4</v>
      </c>
      <c r="CP47" s="110">
        <f>IFERROR(__xludf.DUMMYFUNCTION("""COMPUTED_VALUE"""),65.77)</f>
        <v>65.77</v>
      </c>
      <c r="CQ47" s="110">
        <f>IFERROR(__xludf.DUMMYFUNCTION("""COMPUTED_VALUE"""),70700.0)</f>
        <v>70700</v>
      </c>
      <c r="CR47" s="110">
        <f>IFERROR(__xludf.DUMMYFUNCTION("""COMPUTED_VALUE"""),0.52)</f>
        <v>0.52</v>
      </c>
      <c r="CS47" s="110">
        <f>IFERROR(__xludf.DUMMYFUNCTION("""COMPUTED_VALUE"""),34.9)</f>
        <v>34.9</v>
      </c>
      <c r="CT47" s="110">
        <f>IFERROR(__xludf.DUMMYFUNCTION("""COMPUTED_VALUE"""),21.66)</f>
        <v>21.66</v>
      </c>
      <c r="CU47" s="110">
        <f>IFERROR(__xludf.DUMMYFUNCTION("""COMPUTED_VALUE"""),1921.5)</f>
        <v>1921.5</v>
      </c>
      <c r="CV47" s="110">
        <f>IFERROR(__xludf.DUMMYFUNCTION("""COMPUTED_VALUE"""),2.63)</f>
        <v>2.63</v>
      </c>
      <c r="CW47" s="110">
        <f>IFERROR(__xludf.DUMMYFUNCTION("""COMPUTED_VALUE"""),2.88)</f>
        <v>2.88</v>
      </c>
      <c r="CX47" s="110">
        <f>IFERROR(__xludf.DUMMYFUNCTION("""COMPUTED_VALUE"""),0.0)</f>
        <v>0</v>
      </c>
      <c r="CY47" s="110">
        <f>IFERROR(__xludf.DUMMYFUNCTION("""COMPUTED_VALUE"""),0.1)</f>
        <v>0.1</v>
      </c>
      <c r="CZ47" s="110">
        <f>IFERROR(__xludf.DUMMYFUNCTION("""COMPUTED_VALUE"""),76.4)</f>
        <v>76.4</v>
      </c>
      <c r="DA47" s="110">
        <f>IFERROR(__xludf.DUMMYFUNCTION("""COMPUTED_VALUE"""),0.07)</f>
        <v>0.07</v>
      </c>
      <c r="DB47" s="110">
        <f>IFERROR(__xludf.DUMMYFUNCTION("""COMPUTED_VALUE"""),0.29)</f>
        <v>0.29</v>
      </c>
      <c r="DC47" s="110">
        <f>IFERROR(__xludf.DUMMYFUNCTION("""COMPUTED_VALUE"""),155.07)</f>
        <v>155.07</v>
      </c>
      <c r="DD47" s="110">
        <f>IFERROR(__xludf.DUMMYFUNCTION("""COMPUTED_VALUE"""),11.01)</f>
        <v>11.01</v>
      </c>
      <c r="DE47" s="110">
        <f>IFERROR(__xludf.DUMMYFUNCTION("""COMPUTED_VALUE"""),7.77)</f>
        <v>7.77</v>
      </c>
      <c r="DF47" s="110">
        <f>IFERROR(__xludf.DUMMYFUNCTION("""COMPUTED_VALUE"""),57.1)</f>
        <v>57.1</v>
      </c>
      <c r="DG47" s="110">
        <f>IFERROR(__xludf.DUMMYFUNCTION("""COMPUTED_VALUE"""),5.67)</f>
        <v>5.67</v>
      </c>
      <c r="DH47" s="110">
        <f>IFERROR(__xludf.DUMMYFUNCTION("""COMPUTED_VALUE"""),10.95)</f>
        <v>10.95</v>
      </c>
      <c r="DI47" s="110">
        <f>IFERROR(__xludf.DUMMYFUNCTION("""COMPUTED_VALUE"""),145.44)</f>
        <v>145.44</v>
      </c>
      <c r="DJ47" s="110">
        <f>IFERROR(__xludf.DUMMYFUNCTION("""COMPUTED_VALUE"""),12.49)</f>
        <v>12.49</v>
      </c>
      <c r="DK47" s="110">
        <f>IFERROR(__xludf.DUMMYFUNCTION("""COMPUTED_VALUE"""),2.85)</f>
        <v>2.85</v>
      </c>
      <c r="DL47" s="110">
        <f>IFERROR(__xludf.DUMMYFUNCTION("""COMPUTED_VALUE"""),25.3)</f>
        <v>25.3</v>
      </c>
      <c r="DM47" s="110">
        <f>IFERROR(__xludf.DUMMYFUNCTION("""COMPUTED_VALUE"""),426.18)</f>
        <v>426.18</v>
      </c>
      <c r="DN47" s="110">
        <f>IFERROR(__xludf.DUMMYFUNCTION("""COMPUTED_VALUE"""),167.0)</f>
        <v>167</v>
      </c>
      <c r="DO47" s="110">
        <f>IFERROR(__xludf.DUMMYFUNCTION("""COMPUTED_VALUE"""),378.6)</f>
        <v>378.6</v>
      </c>
      <c r="DP47" s="110">
        <f>IFERROR(__xludf.DUMMYFUNCTION("""COMPUTED_VALUE"""),6.33)</f>
        <v>6.33</v>
      </c>
      <c r="DQ47" s="110">
        <f>IFERROR(__xludf.DUMMYFUNCTION("""COMPUTED_VALUE"""),108.3)</f>
        <v>108.3</v>
      </c>
      <c r="DR47" s="110">
        <f>IFERROR(__xludf.DUMMYFUNCTION("""COMPUTED_VALUE"""),0.4)</f>
        <v>0.4</v>
      </c>
      <c r="DS47" s="110">
        <f>IFERROR(__xludf.DUMMYFUNCTION("""COMPUTED_VALUE"""),3.52)</f>
        <v>3.52</v>
      </c>
      <c r="DT47" s="110">
        <f>IFERROR(__xludf.DUMMYFUNCTION("""COMPUTED_VALUE"""),4.91)</f>
        <v>4.91</v>
      </c>
      <c r="DU47" s="110">
        <f>IFERROR(__xludf.DUMMYFUNCTION("""COMPUTED_VALUE"""),54.51)</f>
        <v>54.51</v>
      </c>
      <c r="DV47" s="110">
        <f>IFERROR(__xludf.DUMMYFUNCTION("""COMPUTED_VALUE"""),13.86)</f>
        <v>13.86</v>
      </c>
      <c r="DW47" s="110">
        <f>IFERROR(__xludf.DUMMYFUNCTION("""COMPUTED_VALUE"""),0.062)</f>
        <v>0.062</v>
      </c>
      <c r="DX47" s="110">
        <f>IFERROR(__xludf.DUMMYFUNCTION("""COMPUTED_VALUE"""),26.43)</f>
        <v>26.43</v>
      </c>
      <c r="DY47" s="110">
        <f>IFERROR(__xludf.DUMMYFUNCTION("""COMPUTED_VALUE"""),872.25)</f>
        <v>872.25</v>
      </c>
      <c r="DZ47" s="110">
        <f>IFERROR(__xludf.DUMMYFUNCTION("""COMPUTED_VALUE"""),82.3)</f>
        <v>82.3</v>
      </c>
      <c r="EA47" s="110">
        <f>IFERROR(__xludf.DUMMYFUNCTION("""COMPUTED_VALUE"""),47.23)</f>
        <v>47.23</v>
      </c>
      <c r="EB47" s="110">
        <f>IFERROR(__xludf.DUMMYFUNCTION("""COMPUTED_VALUE"""),70.81)</f>
        <v>70.81</v>
      </c>
      <c r="EC47" s="110">
        <f>IFERROR(__xludf.DUMMYFUNCTION("""COMPUTED_VALUE"""),74.19)</f>
        <v>74.19</v>
      </c>
      <c r="ED47" s="110">
        <f>IFERROR(__xludf.DUMMYFUNCTION("""COMPUTED_VALUE"""),39.0)</f>
        <v>39</v>
      </c>
      <c r="EE47" s="110">
        <f>IFERROR(__xludf.DUMMYFUNCTION("""COMPUTED_VALUE"""),86.1)</f>
        <v>86.1</v>
      </c>
      <c r="EF47" s="110">
        <f>IFERROR(__xludf.DUMMYFUNCTION("""COMPUTED_VALUE"""),181.88)</f>
        <v>181.88</v>
      </c>
      <c r="EG47" s="110">
        <f>IFERROR(__xludf.DUMMYFUNCTION("""COMPUTED_VALUE"""),68.23)</f>
        <v>68.23</v>
      </c>
      <c r="EH47" s="110">
        <f>IFERROR(__xludf.DUMMYFUNCTION("""COMPUTED_VALUE"""),102.84)</f>
        <v>102.84</v>
      </c>
      <c r="EI47" s="110">
        <f>IFERROR(__xludf.DUMMYFUNCTION("""COMPUTED_VALUE"""),136.99)</f>
        <v>136.99</v>
      </c>
      <c r="EJ47" s="110">
        <f>IFERROR(__xludf.DUMMYFUNCTION("""COMPUTED_VALUE"""),42.3)</f>
        <v>42.3</v>
      </c>
      <c r="EK47" s="110">
        <f>IFERROR(__xludf.DUMMYFUNCTION("""COMPUTED_VALUE"""),275.99)</f>
        <v>275.99</v>
      </c>
      <c r="EL47" s="110">
        <f>IFERROR(__xludf.DUMMYFUNCTION("""COMPUTED_VALUE"""),58.4)</f>
        <v>58.4</v>
      </c>
      <c r="EM47" s="110">
        <f>IFERROR(__xludf.DUMMYFUNCTION("""COMPUTED_VALUE"""),50.2)</f>
        <v>50.2</v>
      </c>
      <c r="EN47" s="110">
        <f>IFERROR(__xludf.DUMMYFUNCTION("""COMPUTED_VALUE"""),1707.79)</f>
        <v>1707.79</v>
      </c>
      <c r="EO47" s="110">
        <f>IFERROR(__xludf.DUMMYFUNCTION("""COMPUTED_VALUE"""),12.3)</f>
        <v>12.3</v>
      </c>
      <c r="EP47" s="110">
        <f>IFERROR(__xludf.DUMMYFUNCTION("""COMPUTED_VALUE"""),7.65)</f>
        <v>7.65</v>
      </c>
      <c r="EQ47" s="110">
        <f>IFERROR(__xludf.DUMMYFUNCTION("""COMPUTED_VALUE"""),2.0)</f>
        <v>2</v>
      </c>
      <c r="ER47" s="110">
        <f>IFERROR(__xludf.DUMMYFUNCTION("""COMPUTED_VALUE"""),4400.5)</f>
        <v>4400.5</v>
      </c>
      <c r="ES47" s="110">
        <f>IFERROR(__xludf.DUMMYFUNCTION("""COMPUTED_VALUE"""),94.07)</f>
        <v>94.07</v>
      </c>
      <c r="ET47" s="110">
        <f>IFERROR(__xludf.DUMMYFUNCTION("""COMPUTED_VALUE"""),107.75)</f>
        <v>107.75</v>
      </c>
      <c r="EU47" s="110">
        <f>IFERROR(__xludf.DUMMYFUNCTION("""COMPUTED_VALUE"""),31.7)</f>
        <v>31.7</v>
      </c>
      <c r="EV47" s="110">
        <f>IFERROR(__xludf.DUMMYFUNCTION("""COMPUTED_VALUE"""),1.38)</f>
        <v>1.38</v>
      </c>
      <c r="EW47" s="110">
        <f>IFERROR(__xludf.DUMMYFUNCTION("""COMPUTED_VALUE"""),14.1)</f>
        <v>14.1</v>
      </c>
      <c r="EX47" s="108">
        <f>IFERROR(__xludf.DUMMYFUNCTION("""COMPUTED_VALUE"""),5.06)</f>
        <v>5.06</v>
      </c>
      <c r="EY47" s="108">
        <f>IFERROR(__xludf.DUMMYFUNCTION("""COMPUTED_VALUE"""),174.46)</f>
        <v>174.46</v>
      </c>
      <c r="EZ47" s="108">
        <f>IFERROR(__xludf.DUMMYFUNCTION("""COMPUTED_VALUE"""),25.135)</f>
        <v>25.135</v>
      </c>
      <c r="FA47" s="108">
        <f>IFERROR(__xludf.DUMMYFUNCTION("""COMPUTED_VALUE"""),2.97)</f>
        <v>2.97</v>
      </c>
      <c r="FB47" s="108">
        <f>IFERROR(__xludf.DUMMYFUNCTION("""COMPUTED_VALUE"""),140.1)</f>
        <v>140.1</v>
      </c>
      <c r="FC47" s="108">
        <f>IFERROR(__xludf.DUMMYFUNCTION("""COMPUTED_VALUE"""),9.9)</f>
        <v>9.9</v>
      </c>
      <c r="FD47" s="108">
        <f>IFERROR(__xludf.DUMMYFUNCTION("""COMPUTED_VALUE"""),58.27)</f>
        <v>58.27</v>
      </c>
      <c r="FE47" s="108">
        <f>IFERROR(__xludf.DUMMYFUNCTION("""COMPUTED_VALUE"""),56.24)</f>
        <v>56.24</v>
      </c>
      <c r="FF47" s="108">
        <f>IFERROR(__xludf.DUMMYFUNCTION("""COMPUTED_VALUE"""),6.16)</f>
        <v>6.16</v>
      </c>
      <c r="FG47" s="108">
        <f>IFERROR(__xludf.DUMMYFUNCTION("""COMPUTED_VALUE"""),679.86)</f>
        <v>679.86</v>
      </c>
      <c r="FH47" s="108">
        <f>IFERROR(__xludf.DUMMYFUNCTION("""COMPUTED_VALUE"""),159.2)</f>
        <v>159.2</v>
      </c>
      <c r="FI47" s="108">
        <f>IFERROR(__xludf.DUMMYFUNCTION("""COMPUTED_VALUE"""),0.065)</f>
        <v>0.065</v>
      </c>
      <c r="FJ47" s="108">
        <f>IFERROR(__xludf.DUMMYFUNCTION("""COMPUTED_VALUE"""),16.2)</f>
        <v>16.2</v>
      </c>
      <c r="FK47" s="108">
        <f>IFERROR(__xludf.DUMMYFUNCTION("""COMPUTED_VALUE"""),203.88)</f>
        <v>203.88</v>
      </c>
      <c r="FL47" s="108" t="str">
        <f>IFERROR(__xludf.DUMMYFUNCTION("""COMPUTED_VALUE"""),"")</f>
        <v/>
      </c>
      <c r="FM47" s="108" t="str">
        <f>IFERROR(__xludf.DUMMYFUNCTION("""COMPUTED_VALUE"""),"")</f>
        <v/>
      </c>
      <c r="FN47" s="108" t="str">
        <f>IFERROR(__xludf.DUMMYFUNCTION("""COMPUTED_VALUE"""),"")</f>
        <v/>
      </c>
      <c r="FO47" s="108" t="str">
        <f>IFERROR(__xludf.DUMMYFUNCTION("""COMPUTED_VALUE"""),"")</f>
        <v/>
      </c>
    </row>
    <row r="48">
      <c r="A48" s="106">
        <f>IFERROR(__xludf.DUMMYFUNCTION("""COMPUTED_VALUE"""),44640.0)</f>
        <v>44640</v>
      </c>
      <c r="B48" s="110">
        <f>IFERROR(__xludf.DUMMYFUNCTION("""COMPUTED_VALUE"""),3225.01)</f>
        <v>3225.01</v>
      </c>
      <c r="C48" s="110">
        <f>IFERROR(__xludf.DUMMYFUNCTION("""COMPUTED_VALUE"""),216.49)</f>
        <v>216.49</v>
      </c>
      <c r="D48" s="110">
        <f>IFERROR(__xludf.DUMMYFUNCTION("""COMPUTED_VALUE"""),905.39)</f>
        <v>905.39</v>
      </c>
      <c r="E48" s="110">
        <f>IFERROR(__xludf.DUMMYFUNCTION("""COMPUTED_VALUE"""),381.0)</f>
        <v>381</v>
      </c>
      <c r="F48" s="110">
        <f>IFERROR(__xludf.DUMMYFUNCTION("""COMPUTED_VALUE"""),9.84)</f>
        <v>9.84</v>
      </c>
      <c r="G48" s="110">
        <f>IFERROR(__xludf.DUMMYFUNCTION("""COMPUTED_VALUE"""),163.98)</f>
        <v>163.98</v>
      </c>
      <c r="H48" s="110">
        <f>IFERROR(__xludf.DUMMYFUNCTION("""COMPUTED_VALUE"""),10.1)</f>
        <v>10.1</v>
      </c>
      <c r="I48" s="110">
        <f>IFERROR(__xludf.DUMMYFUNCTION("""COMPUTED_VALUE"""),1.96)</f>
        <v>1.96</v>
      </c>
      <c r="J48" s="110">
        <f>IFERROR(__xludf.DUMMYFUNCTION("""COMPUTED_VALUE"""),0.12)</f>
        <v>0.12</v>
      </c>
      <c r="K48" s="110">
        <f>IFERROR(__xludf.DUMMYFUNCTION("""COMPUTED_VALUE"""),37.35)</f>
        <v>37.35</v>
      </c>
      <c r="L48" s="110">
        <f>IFERROR(__xludf.DUMMYFUNCTION("""COMPUTED_VALUE"""),153.3)</f>
        <v>153.3</v>
      </c>
      <c r="M48" s="110">
        <f>IFERROR(__xludf.DUMMYFUNCTION("""COMPUTED_VALUE"""),41885.73)</f>
        <v>41885.73</v>
      </c>
      <c r="N48" s="110">
        <f>IFERROR(__xludf.DUMMYFUNCTION("""COMPUTED_VALUE"""),380.6)</f>
        <v>380.6</v>
      </c>
      <c r="O48" s="110">
        <f>IFERROR(__xludf.DUMMYFUNCTION("""COMPUTED_VALUE"""),300.43)</f>
        <v>300.43</v>
      </c>
      <c r="P48" s="110">
        <f>IFERROR(__xludf.DUMMYFUNCTION("""COMPUTED_VALUE"""),28.95)</f>
        <v>28.95</v>
      </c>
      <c r="Q48" s="110">
        <f>IFERROR(__xludf.DUMMYFUNCTION("""COMPUTED_VALUE"""),24.71)</f>
        <v>24.71</v>
      </c>
      <c r="R48" s="110">
        <f>IFERROR(__xludf.DUMMYFUNCTION("""COMPUTED_VALUE"""),65.13)</f>
        <v>65.13</v>
      </c>
      <c r="S48" s="110">
        <f>IFERROR(__xludf.DUMMYFUNCTION("""COMPUTED_VALUE"""),28.7)</f>
        <v>28.7</v>
      </c>
      <c r="T48" s="110">
        <f>IFERROR(__xludf.DUMMYFUNCTION("""COMPUTED_VALUE"""),28.77)</f>
        <v>28.77</v>
      </c>
      <c r="U48" s="110">
        <f>IFERROR(__xludf.DUMMYFUNCTION("""COMPUTED_VALUE"""),42.17)</f>
        <v>42.17</v>
      </c>
      <c r="V48" s="110">
        <f>IFERROR(__xludf.DUMMYFUNCTION("""COMPUTED_VALUE"""),14.98)</f>
        <v>14.98</v>
      </c>
      <c r="W48" s="110">
        <f>IFERROR(__xludf.DUMMYFUNCTION("""COMPUTED_VALUE"""),238.92)</f>
        <v>238.92</v>
      </c>
      <c r="X48" s="110">
        <f>IFERROR(__xludf.DUMMYFUNCTION("""COMPUTED_VALUE"""),2736.03)</f>
        <v>2736.03</v>
      </c>
      <c r="Y48" s="110">
        <f>IFERROR(__xludf.DUMMYFUNCTION("""COMPUTED_VALUE"""),57.95)</f>
        <v>57.95</v>
      </c>
      <c r="Z48" s="110">
        <f>IFERROR(__xludf.DUMMYFUNCTION("""COMPUTED_VALUE"""),53.55)</f>
        <v>53.55</v>
      </c>
      <c r="AA48" s="110">
        <f>IFERROR(__xludf.DUMMYFUNCTION("""COMPUTED_VALUE"""),109.84)</f>
        <v>109.84</v>
      </c>
      <c r="AB48" s="110">
        <f>IFERROR(__xludf.DUMMYFUNCTION("""COMPUTED_VALUE"""),4.63)</f>
        <v>4.63</v>
      </c>
      <c r="AC48" s="110">
        <f>IFERROR(__xludf.DUMMYFUNCTION("""COMPUTED_VALUE"""),73.88)</f>
        <v>73.88</v>
      </c>
      <c r="AD48" s="110">
        <f>IFERROR(__xludf.DUMMYFUNCTION("""COMPUTED_VALUE"""),12.16)</f>
        <v>12.16</v>
      </c>
      <c r="AE48" s="110">
        <f>IFERROR(__xludf.DUMMYFUNCTION("""COMPUTED_VALUE"""),5.94)</f>
        <v>5.94</v>
      </c>
      <c r="AF48" s="110">
        <f>IFERROR(__xludf.DUMMYFUNCTION("""COMPUTED_VALUE"""),39.74)</f>
        <v>39.74</v>
      </c>
      <c r="AG48" s="110">
        <f>IFERROR(__xludf.DUMMYFUNCTION("""COMPUTED_VALUE"""),12.58)</f>
        <v>12.58</v>
      </c>
      <c r="AH48" s="110">
        <f>IFERROR(__xludf.DUMMYFUNCTION("""COMPUTED_VALUE"""),2.1)</f>
        <v>2.1</v>
      </c>
      <c r="AI48" s="110">
        <f>IFERROR(__xludf.DUMMYFUNCTION("""COMPUTED_VALUE"""),3.34)</f>
        <v>3.34</v>
      </c>
      <c r="AJ48" s="110">
        <f>IFERROR(__xludf.DUMMYFUNCTION("""COMPUTED_VALUE"""),100.8)</f>
        <v>100.8</v>
      </c>
      <c r="AK48" s="110">
        <f>IFERROR(__xludf.DUMMYFUNCTION("""COMPUTED_VALUE"""),264.53)</f>
        <v>264.53</v>
      </c>
      <c r="AL48" s="110">
        <f>IFERROR(__xludf.DUMMYFUNCTION("""COMPUTED_VALUE"""),13.52)</f>
        <v>13.52</v>
      </c>
      <c r="AM48" s="110">
        <f>IFERROR(__xludf.DUMMYFUNCTION("""COMPUTED_VALUE"""),42.9)</f>
        <v>42.9</v>
      </c>
      <c r="AN48" s="110">
        <f>IFERROR(__xludf.DUMMYFUNCTION("""COMPUTED_VALUE"""),342.41)</f>
        <v>342.41</v>
      </c>
      <c r="AO48" s="110">
        <f>IFERROR(__xludf.DUMMYFUNCTION("""COMPUTED_VALUE"""),106.12)</f>
        <v>106.12</v>
      </c>
      <c r="AP48" s="110">
        <f>IFERROR(__xludf.DUMMYFUNCTION("""COMPUTED_VALUE"""),78.76)</f>
        <v>78.76</v>
      </c>
      <c r="AQ48" s="110">
        <f>IFERROR(__xludf.DUMMYFUNCTION("""COMPUTED_VALUE"""),51.7)</f>
        <v>51.7</v>
      </c>
      <c r="AR48" s="109">
        <f>IFERROR(__xludf.DUMMYFUNCTION("""COMPUTED_VALUE"""),103.7175)</f>
        <v>103.7175</v>
      </c>
      <c r="AS48" s="110">
        <f>IFERROR(__xludf.DUMMYFUNCTION("""COMPUTED_VALUE"""),15.33)</f>
        <v>15.33</v>
      </c>
      <c r="AT48" s="110">
        <f>IFERROR(__xludf.DUMMYFUNCTION("""COMPUTED_VALUE"""),98.35)</f>
        <v>98.35</v>
      </c>
      <c r="AU48" s="110">
        <f>IFERROR(__xludf.DUMMYFUNCTION("""COMPUTED_VALUE"""),64.56)</f>
        <v>64.56</v>
      </c>
      <c r="AV48" s="110">
        <f>IFERROR(__xludf.DUMMYFUNCTION("""COMPUTED_VALUE"""),140.3)</f>
        <v>140.3</v>
      </c>
      <c r="AW48" s="110">
        <f>IFERROR(__xludf.DUMMYFUNCTION("""COMPUTED_VALUE"""),135.14)</f>
        <v>135.14</v>
      </c>
      <c r="AX48" s="110">
        <f>IFERROR(__xludf.DUMMYFUNCTION("""COMPUTED_VALUE"""),18.8)</f>
        <v>18.8</v>
      </c>
      <c r="AY48" s="110">
        <f>IFERROR(__xludf.DUMMYFUNCTION("""COMPUTED_VALUE"""),49.62)</f>
        <v>49.62</v>
      </c>
      <c r="AZ48" s="110">
        <f>IFERROR(__xludf.DUMMYFUNCTION("""COMPUTED_VALUE"""),0.0)</f>
        <v>0</v>
      </c>
      <c r="BA48" s="110">
        <f>IFERROR(__xludf.DUMMYFUNCTION("""COMPUTED_VALUE"""),0.0)</f>
        <v>0</v>
      </c>
      <c r="BB48" s="110">
        <f>IFERROR(__xludf.DUMMYFUNCTION("""COMPUTED_VALUE"""),11.94)</f>
        <v>11.94</v>
      </c>
      <c r="BC48" s="110">
        <f>IFERROR(__xludf.DUMMYFUNCTION("""COMPUTED_VALUE"""),9.15)</f>
        <v>9.15</v>
      </c>
      <c r="BD48" s="110">
        <f>IFERROR(__xludf.DUMMYFUNCTION("""COMPUTED_VALUE"""),178.6)</f>
        <v>178.6</v>
      </c>
      <c r="BE48" s="110">
        <f>IFERROR(__xludf.DUMMYFUNCTION("""COMPUTED_VALUE"""),138.6)</f>
        <v>138.6</v>
      </c>
      <c r="BF48" s="110">
        <f>IFERROR(__xludf.DUMMYFUNCTION("""COMPUTED_VALUE"""),11.34)</f>
        <v>11.34</v>
      </c>
      <c r="BG48" s="110">
        <f>IFERROR(__xludf.DUMMYFUNCTION("""COMPUTED_VALUE"""),577.02)</f>
        <v>577.02</v>
      </c>
      <c r="BH48" s="110">
        <f>IFERROR(__xludf.DUMMYFUNCTION("""COMPUTED_VALUE"""),294.73)</f>
        <v>294.73</v>
      </c>
      <c r="BI48" s="110">
        <f>IFERROR(__xludf.DUMMYFUNCTION("""COMPUTED_VALUE"""),236.25)</f>
        <v>236.25</v>
      </c>
      <c r="BJ48" s="110">
        <f>IFERROR(__xludf.DUMMYFUNCTION("""COMPUTED_VALUE"""),25.67)</f>
        <v>25.67</v>
      </c>
      <c r="BK48" s="110">
        <f>IFERROR(__xludf.DUMMYFUNCTION("""COMPUTED_VALUE"""),318.21)</f>
        <v>318.21</v>
      </c>
      <c r="BL48" s="110">
        <f>IFERROR(__xludf.DUMMYFUNCTION("""COMPUTED_VALUE"""),127.18)</f>
        <v>127.18</v>
      </c>
      <c r="BM48" s="110">
        <f>IFERROR(__xludf.DUMMYFUNCTION("""COMPUTED_VALUE"""),16.86)</f>
        <v>16.86</v>
      </c>
      <c r="BN48" s="110">
        <f>IFERROR(__xludf.DUMMYFUNCTION("""COMPUTED_VALUE"""),334.07)</f>
        <v>334.07</v>
      </c>
      <c r="BO48" s="110">
        <f>IFERROR(__xludf.DUMMYFUNCTION("""COMPUTED_VALUE"""),713.92)</f>
        <v>713.92</v>
      </c>
      <c r="BP48" s="110">
        <f>IFERROR(__xludf.DUMMYFUNCTION("""COMPUTED_VALUE"""),45.6)</f>
        <v>45.6</v>
      </c>
      <c r="BQ48" s="110">
        <f>IFERROR(__xludf.DUMMYFUNCTION("""COMPUTED_VALUE"""),9.87)</f>
        <v>9.87</v>
      </c>
      <c r="BR48" s="110">
        <f>IFERROR(__xludf.DUMMYFUNCTION("""COMPUTED_VALUE"""),39.17)</f>
        <v>39.17</v>
      </c>
      <c r="BS48" s="110">
        <f>IFERROR(__xludf.DUMMYFUNCTION("""COMPUTED_VALUE"""),0.96)</f>
        <v>0.96</v>
      </c>
      <c r="BT48" s="110">
        <f>IFERROR(__xludf.DUMMYFUNCTION("""COMPUTED_VALUE"""),47.38)</f>
        <v>47.38</v>
      </c>
      <c r="BU48" s="110">
        <f>IFERROR(__xludf.DUMMYFUNCTION("""COMPUTED_VALUE"""),37.2)</f>
        <v>37.2</v>
      </c>
      <c r="BV48" s="110">
        <f>IFERROR(__xludf.DUMMYFUNCTION("""COMPUTED_VALUE"""),52.9)</f>
        <v>52.9</v>
      </c>
      <c r="BW48" s="110">
        <f>IFERROR(__xludf.DUMMYFUNCTION("""COMPUTED_VALUE"""),7.86)</f>
        <v>7.86</v>
      </c>
      <c r="BX48" s="110">
        <f>IFERROR(__xludf.DUMMYFUNCTION("""COMPUTED_VALUE"""),5.24)</f>
        <v>5.24</v>
      </c>
      <c r="BY48" s="110">
        <f>IFERROR(__xludf.DUMMYFUNCTION("""COMPUTED_VALUE"""),0.0)</f>
        <v>0</v>
      </c>
      <c r="BZ48" s="110">
        <f>IFERROR(__xludf.DUMMYFUNCTION("""COMPUTED_VALUE"""),15.04)</f>
        <v>15.04</v>
      </c>
      <c r="CA48" s="110">
        <f>IFERROR(__xludf.DUMMYFUNCTION("""COMPUTED_VALUE"""),3.66)</f>
        <v>3.66</v>
      </c>
      <c r="CB48" s="110">
        <f>IFERROR(__xludf.DUMMYFUNCTION("""COMPUTED_VALUE"""),5.49)</f>
        <v>5.49</v>
      </c>
      <c r="CC48" s="110">
        <f>IFERROR(__xludf.DUMMYFUNCTION("""COMPUTED_VALUE"""),18.63)</f>
        <v>18.63</v>
      </c>
      <c r="CD48" s="110">
        <f>IFERROR(__xludf.DUMMYFUNCTION("""COMPUTED_VALUE"""),13.55)</f>
        <v>13.55</v>
      </c>
      <c r="CE48" s="110">
        <f>IFERROR(__xludf.DUMMYFUNCTION("""COMPUTED_VALUE"""),29.87)</f>
        <v>29.87</v>
      </c>
      <c r="CF48" s="110">
        <f>IFERROR(__xludf.DUMMYFUNCTION("""COMPUTED_VALUE"""),105.1)</f>
        <v>105.1</v>
      </c>
      <c r="CG48" s="110">
        <f>IFERROR(__xludf.DUMMYFUNCTION("""COMPUTED_VALUE"""),5.07)</f>
        <v>5.07</v>
      </c>
      <c r="CH48" s="110">
        <f>IFERROR(__xludf.DUMMYFUNCTION("""COMPUTED_VALUE"""),23.87)</f>
        <v>23.87</v>
      </c>
      <c r="CI48" s="110">
        <f>IFERROR(__xludf.DUMMYFUNCTION("""COMPUTED_VALUE"""),47.37)</f>
        <v>47.37</v>
      </c>
      <c r="CJ48" s="110">
        <f>IFERROR(__xludf.DUMMYFUNCTION("""COMPUTED_VALUE"""),33.0)</f>
        <v>33</v>
      </c>
      <c r="CK48" s="110">
        <f>IFERROR(__xludf.DUMMYFUNCTION("""COMPUTED_VALUE"""),12.35)</f>
        <v>12.35</v>
      </c>
      <c r="CL48" s="110">
        <f>IFERROR(__xludf.DUMMYFUNCTION("""COMPUTED_VALUE"""),2722.51)</f>
        <v>2722.51</v>
      </c>
      <c r="CM48" s="110">
        <f>IFERROR(__xludf.DUMMYFUNCTION("""COMPUTED_VALUE"""),3.25)</f>
        <v>3.25</v>
      </c>
      <c r="CN48" s="110">
        <f>IFERROR(__xludf.DUMMYFUNCTION("""COMPUTED_VALUE"""),190.1)</f>
        <v>190.1</v>
      </c>
      <c r="CO48" s="110">
        <f>IFERROR(__xludf.DUMMYFUNCTION("""COMPUTED_VALUE"""),149.4)</f>
        <v>149.4</v>
      </c>
      <c r="CP48" s="110">
        <f>IFERROR(__xludf.DUMMYFUNCTION("""COMPUTED_VALUE"""),65.77)</f>
        <v>65.77</v>
      </c>
      <c r="CQ48" s="110">
        <f>IFERROR(__xludf.DUMMYFUNCTION("""COMPUTED_VALUE"""),70700.0)</f>
        <v>70700</v>
      </c>
      <c r="CR48" s="110">
        <f>IFERROR(__xludf.DUMMYFUNCTION("""COMPUTED_VALUE"""),0.52)</f>
        <v>0.52</v>
      </c>
      <c r="CS48" s="110">
        <f>IFERROR(__xludf.DUMMYFUNCTION("""COMPUTED_VALUE"""),34.9)</f>
        <v>34.9</v>
      </c>
      <c r="CT48" s="110">
        <f>IFERROR(__xludf.DUMMYFUNCTION("""COMPUTED_VALUE"""),21.66)</f>
        <v>21.66</v>
      </c>
      <c r="CU48" s="110">
        <f>IFERROR(__xludf.DUMMYFUNCTION("""COMPUTED_VALUE"""),1921.5)</f>
        <v>1921.5</v>
      </c>
      <c r="CV48" s="110">
        <f>IFERROR(__xludf.DUMMYFUNCTION("""COMPUTED_VALUE"""),2.63)</f>
        <v>2.63</v>
      </c>
      <c r="CW48" s="110">
        <f>IFERROR(__xludf.DUMMYFUNCTION("""COMPUTED_VALUE"""),2.88)</f>
        <v>2.88</v>
      </c>
      <c r="CX48" s="110">
        <f>IFERROR(__xludf.DUMMYFUNCTION("""COMPUTED_VALUE"""),0.0)</f>
        <v>0</v>
      </c>
      <c r="CY48" s="110">
        <f>IFERROR(__xludf.DUMMYFUNCTION("""COMPUTED_VALUE"""),0.1)</f>
        <v>0.1</v>
      </c>
      <c r="CZ48" s="110">
        <f>IFERROR(__xludf.DUMMYFUNCTION("""COMPUTED_VALUE"""),76.4)</f>
        <v>76.4</v>
      </c>
      <c r="DA48" s="110">
        <f>IFERROR(__xludf.DUMMYFUNCTION("""COMPUTED_VALUE"""),0.07)</f>
        <v>0.07</v>
      </c>
      <c r="DB48" s="110">
        <f>IFERROR(__xludf.DUMMYFUNCTION("""COMPUTED_VALUE"""),0.29)</f>
        <v>0.29</v>
      </c>
      <c r="DC48" s="110">
        <f>IFERROR(__xludf.DUMMYFUNCTION("""COMPUTED_VALUE"""),155.07)</f>
        <v>155.07</v>
      </c>
      <c r="DD48" s="110">
        <f>IFERROR(__xludf.DUMMYFUNCTION("""COMPUTED_VALUE"""),11.01)</f>
        <v>11.01</v>
      </c>
      <c r="DE48" s="110">
        <f>IFERROR(__xludf.DUMMYFUNCTION("""COMPUTED_VALUE"""),7.77)</f>
        <v>7.77</v>
      </c>
      <c r="DF48" s="110">
        <f>IFERROR(__xludf.DUMMYFUNCTION("""COMPUTED_VALUE"""),57.1)</f>
        <v>57.1</v>
      </c>
      <c r="DG48" s="110">
        <f>IFERROR(__xludf.DUMMYFUNCTION("""COMPUTED_VALUE"""),5.67)</f>
        <v>5.67</v>
      </c>
      <c r="DH48" s="110">
        <f>IFERROR(__xludf.DUMMYFUNCTION("""COMPUTED_VALUE"""),10.95)</f>
        <v>10.95</v>
      </c>
      <c r="DI48" s="110">
        <f>IFERROR(__xludf.DUMMYFUNCTION("""COMPUTED_VALUE"""),145.44)</f>
        <v>145.44</v>
      </c>
      <c r="DJ48" s="110">
        <f>IFERROR(__xludf.DUMMYFUNCTION("""COMPUTED_VALUE"""),12.49)</f>
        <v>12.49</v>
      </c>
      <c r="DK48" s="110">
        <f>IFERROR(__xludf.DUMMYFUNCTION("""COMPUTED_VALUE"""),2.85)</f>
        <v>2.85</v>
      </c>
      <c r="DL48" s="110">
        <f>IFERROR(__xludf.DUMMYFUNCTION("""COMPUTED_VALUE"""),25.3)</f>
        <v>25.3</v>
      </c>
      <c r="DM48" s="110">
        <f>IFERROR(__xludf.DUMMYFUNCTION("""COMPUTED_VALUE"""),426.18)</f>
        <v>426.18</v>
      </c>
      <c r="DN48" s="110">
        <f>IFERROR(__xludf.DUMMYFUNCTION("""COMPUTED_VALUE"""),167.0)</f>
        <v>167</v>
      </c>
      <c r="DO48" s="110">
        <f>IFERROR(__xludf.DUMMYFUNCTION("""COMPUTED_VALUE"""),378.6)</f>
        <v>378.6</v>
      </c>
      <c r="DP48" s="110">
        <f>IFERROR(__xludf.DUMMYFUNCTION("""COMPUTED_VALUE"""),6.33)</f>
        <v>6.33</v>
      </c>
      <c r="DQ48" s="110">
        <f>IFERROR(__xludf.DUMMYFUNCTION("""COMPUTED_VALUE"""),108.3)</f>
        <v>108.3</v>
      </c>
      <c r="DR48" s="110">
        <f>IFERROR(__xludf.DUMMYFUNCTION("""COMPUTED_VALUE"""),0.4)</f>
        <v>0.4</v>
      </c>
      <c r="DS48" s="110">
        <f>IFERROR(__xludf.DUMMYFUNCTION("""COMPUTED_VALUE"""),3.52)</f>
        <v>3.52</v>
      </c>
      <c r="DT48" s="110">
        <f>IFERROR(__xludf.DUMMYFUNCTION("""COMPUTED_VALUE"""),4.91)</f>
        <v>4.91</v>
      </c>
      <c r="DU48" s="110">
        <f>IFERROR(__xludf.DUMMYFUNCTION("""COMPUTED_VALUE"""),54.51)</f>
        <v>54.51</v>
      </c>
      <c r="DV48" s="110">
        <f>IFERROR(__xludf.DUMMYFUNCTION("""COMPUTED_VALUE"""),13.86)</f>
        <v>13.86</v>
      </c>
      <c r="DW48" s="110">
        <f>IFERROR(__xludf.DUMMYFUNCTION("""COMPUTED_VALUE"""),0.062)</f>
        <v>0.062</v>
      </c>
      <c r="DX48" s="110">
        <f>IFERROR(__xludf.DUMMYFUNCTION("""COMPUTED_VALUE"""),26.43)</f>
        <v>26.43</v>
      </c>
      <c r="DY48" s="110">
        <f>IFERROR(__xludf.DUMMYFUNCTION("""COMPUTED_VALUE"""),872.25)</f>
        <v>872.25</v>
      </c>
      <c r="DZ48" s="110">
        <f>IFERROR(__xludf.DUMMYFUNCTION("""COMPUTED_VALUE"""),82.3)</f>
        <v>82.3</v>
      </c>
      <c r="EA48" s="110">
        <f>IFERROR(__xludf.DUMMYFUNCTION("""COMPUTED_VALUE"""),47.23)</f>
        <v>47.23</v>
      </c>
      <c r="EB48" s="110">
        <f>IFERROR(__xludf.DUMMYFUNCTION("""COMPUTED_VALUE"""),70.81)</f>
        <v>70.81</v>
      </c>
      <c r="EC48" s="110">
        <f>IFERROR(__xludf.DUMMYFUNCTION("""COMPUTED_VALUE"""),74.19)</f>
        <v>74.19</v>
      </c>
      <c r="ED48" s="110">
        <f>IFERROR(__xludf.DUMMYFUNCTION("""COMPUTED_VALUE"""),39.0)</f>
        <v>39</v>
      </c>
      <c r="EE48" s="110">
        <f>IFERROR(__xludf.DUMMYFUNCTION("""COMPUTED_VALUE"""),86.1)</f>
        <v>86.1</v>
      </c>
      <c r="EF48" s="110">
        <f>IFERROR(__xludf.DUMMYFUNCTION("""COMPUTED_VALUE"""),181.88)</f>
        <v>181.88</v>
      </c>
      <c r="EG48" s="110">
        <f>IFERROR(__xludf.DUMMYFUNCTION("""COMPUTED_VALUE"""),68.23)</f>
        <v>68.23</v>
      </c>
      <c r="EH48" s="110">
        <f>IFERROR(__xludf.DUMMYFUNCTION("""COMPUTED_VALUE"""),102.84)</f>
        <v>102.84</v>
      </c>
      <c r="EI48" s="110">
        <f>IFERROR(__xludf.DUMMYFUNCTION("""COMPUTED_VALUE"""),136.99)</f>
        <v>136.99</v>
      </c>
      <c r="EJ48" s="110">
        <f>IFERROR(__xludf.DUMMYFUNCTION("""COMPUTED_VALUE"""),42.3)</f>
        <v>42.3</v>
      </c>
      <c r="EK48" s="110">
        <f>IFERROR(__xludf.DUMMYFUNCTION("""COMPUTED_VALUE"""),275.99)</f>
        <v>275.99</v>
      </c>
      <c r="EL48" s="110">
        <f>IFERROR(__xludf.DUMMYFUNCTION("""COMPUTED_VALUE"""),58.4)</f>
        <v>58.4</v>
      </c>
      <c r="EM48" s="110">
        <f>IFERROR(__xludf.DUMMYFUNCTION("""COMPUTED_VALUE"""),50.2)</f>
        <v>50.2</v>
      </c>
      <c r="EN48" s="110">
        <f>IFERROR(__xludf.DUMMYFUNCTION("""COMPUTED_VALUE"""),1707.79)</f>
        <v>1707.79</v>
      </c>
      <c r="EO48" s="110">
        <f>IFERROR(__xludf.DUMMYFUNCTION("""COMPUTED_VALUE"""),12.3)</f>
        <v>12.3</v>
      </c>
      <c r="EP48" s="110">
        <f>IFERROR(__xludf.DUMMYFUNCTION("""COMPUTED_VALUE"""),7.65)</f>
        <v>7.65</v>
      </c>
      <c r="EQ48" s="110">
        <f>IFERROR(__xludf.DUMMYFUNCTION("""COMPUTED_VALUE"""),2.0)</f>
        <v>2</v>
      </c>
      <c r="ER48" s="110">
        <f>IFERROR(__xludf.DUMMYFUNCTION("""COMPUTED_VALUE"""),4400.5)</f>
        <v>4400.5</v>
      </c>
      <c r="ES48" s="110">
        <f>IFERROR(__xludf.DUMMYFUNCTION("""COMPUTED_VALUE"""),94.07)</f>
        <v>94.07</v>
      </c>
      <c r="ET48" s="110">
        <f>IFERROR(__xludf.DUMMYFUNCTION("""COMPUTED_VALUE"""),107.75)</f>
        <v>107.75</v>
      </c>
      <c r="EU48" s="110">
        <f>IFERROR(__xludf.DUMMYFUNCTION("""COMPUTED_VALUE"""),31.7)</f>
        <v>31.7</v>
      </c>
      <c r="EV48" s="110">
        <f>IFERROR(__xludf.DUMMYFUNCTION("""COMPUTED_VALUE"""),1.38)</f>
        <v>1.38</v>
      </c>
      <c r="EW48" s="110">
        <f>IFERROR(__xludf.DUMMYFUNCTION("""COMPUTED_VALUE"""),14.1)</f>
        <v>14.1</v>
      </c>
      <c r="EX48" s="108">
        <f>IFERROR(__xludf.DUMMYFUNCTION("""COMPUTED_VALUE"""),5.06)</f>
        <v>5.06</v>
      </c>
      <c r="EY48" s="108">
        <f>IFERROR(__xludf.DUMMYFUNCTION("""COMPUTED_VALUE"""),174.46)</f>
        <v>174.46</v>
      </c>
      <c r="EZ48" s="108">
        <f>IFERROR(__xludf.DUMMYFUNCTION("""COMPUTED_VALUE"""),25.135)</f>
        <v>25.135</v>
      </c>
      <c r="FA48" s="108">
        <f>IFERROR(__xludf.DUMMYFUNCTION("""COMPUTED_VALUE"""),2.97)</f>
        <v>2.97</v>
      </c>
      <c r="FB48" s="108">
        <f>IFERROR(__xludf.DUMMYFUNCTION("""COMPUTED_VALUE"""),140.1)</f>
        <v>140.1</v>
      </c>
      <c r="FC48" s="108">
        <f>IFERROR(__xludf.DUMMYFUNCTION("""COMPUTED_VALUE"""),9.9)</f>
        <v>9.9</v>
      </c>
      <c r="FD48" s="108">
        <f>IFERROR(__xludf.DUMMYFUNCTION("""COMPUTED_VALUE"""),58.27)</f>
        <v>58.27</v>
      </c>
      <c r="FE48" s="108">
        <f>IFERROR(__xludf.DUMMYFUNCTION("""COMPUTED_VALUE"""),56.24)</f>
        <v>56.24</v>
      </c>
      <c r="FF48" s="108">
        <f>IFERROR(__xludf.DUMMYFUNCTION("""COMPUTED_VALUE"""),6.16)</f>
        <v>6.16</v>
      </c>
      <c r="FG48" s="108">
        <f>IFERROR(__xludf.DUMMYFUNCTION("""COMPUTED_VALUE"""),679.86)</f>
        <v>679.86</v>
      </c>
      <c r="FH48" s="108">
        <f>IFERROR(__xludf.DUMMYFUNCTION("""COMPUTED_VALUE"""),159.2)</f>
        <v>159.2</v>
      </c>
      <c r="FI48" s="108">
        <f>IFERROR(__xludf.DUMMYFUNCTION("""COMPUTED_VALUE"""),0.065)</f>
        <v>0.065</v>
      </c>
      <c r="FJ48" s="108">
        <f>IFERROR(__xludf.DUMMYFUNCTION("""COMPUTED_VALUE"""),16.2)</f>
        <v>16.2</v>
      </c>
      <c r="FK48" s="108">
        <f>IFERROR(__xludf.DUMMYFUNCTION("""COMPUTED_VALUE"""),203.88)</f>
        <v>203.88</v>
      </c>
      <c r="FL48" s="108" t="str">
        <f>IFERROR(__xludf.DUMMYFUNCTION("""COMPUTED_VALUE"""),"")</f>
        <v/>
      </c>
      <c r="FM48" s="108" t="str">
        <f>IFERROR(__xludf.DUMMYFUNCTION("""COMPUTED_VALUE"""),"")</f>
        <v/>
      </c>
      <c r="FN48" s="108" t="str">
        <f>IFERROR(__xludf.DUMMYFUNCTION("""COMPUTED_VALUE"""),"")</f>
        <v/>
      </c>
      <c r="FO48" s="108" t="str">
        <f>IFERROR(__xludf.DUMMYFUNCTION("""COMPUTED_VALUE"""),"")</f>
        <v/>
      </c>
    </row>
    <row r="49">
      <c r="A49" s="106">
        <f>IFERROR(__xludf.DUMMYFUNCTION("""COMPUTED_VALUE"""),44641.0)</f>
        <v>44641</v>
      </c>
      <c r="B49" s="110">
        <f>IFERROR(__xludf.DUMMYFUNCTION("""COMPUTED_VALUE"""),3229.83)</f>
        <v>3229.83</v>
      </c>
      <c r="C49" s="110">
        <f>IFERROR(__xludf.DUMMYFUNCTION("""COMPUTED_VALUE"""),211.49)</f>
        <v>211.49</v>
      </c>
      <c r="D49" s="110">
        <f>IFERROR(__xludf.DUMMYFUNCTION("""COMPUTED_VALUE"""),921.16)</f>
        <v>921.16</v>
      </c>
      <c r="E49" s="110">
        <f>IFERROR(__xludf.DUMMYFUNCTION("""COMPUTED_VALUE"""),372.4)</f>
        <v>372.4</v>
      </c>
      <c r="F49" s="110">
        <f>IFERROR(__xludf.DUMMYFUNCTION("""COMPUTED_VALUE"""),9.92)</f>
        <v>9.92</v>
      </c>
      <c r="G49" s="110">
        <f>IFERROR(__xludf.DUMMYFUNCTION("""COMPUTED_VALUE"""),165.38)</f>
        <v>165.38</v>
      </c>
      <c r="H49" s="110">
        <f>IFERROR(__xludf.DUMMYFUNCTION("""COMPUTED_VALUE"""),10.1)</f>
        <v>10.1</v>
      </c>
      <c r="I49" s="110">
        <f>IFERROR(__xludf.DUMMYFUNCTION("""COMPUTED_VALUE"""),3.25)</f>
        <v>3.25</v>
      </c>
      <c r="J49" s="110">
        <f>IFERROR(__xludf.DUMMYFUNCTION("""COMPUTED_VALUE"""),0.05)</f>
        <v>0.05</v>
      </c>
      <c r="K49" s="110">
        <f>IFERROR(__xludf.DUMMYFUNCTION("""COMPUTED_VALUE"""),35.0)</f>
        <v>35</v>
      </c>
      <c r="L49" s="110">
        <f>IFERROR(__xludf.DUMMYFUNCTION("""COMPUTED_VALUE"""),143.9)</f>
        <v>143.9</v>
      </c>
      <c r="M49" s="110">
        <f>IFERROR(__xludf.DUMMYFUNCTION("""COMPUTED_VALUE"""),41142.95)</f>
        <v>41142.95</v>
      </c>
      <c r="N49" s="110">
        <f>IFERROR(__xludf.DUMMYFUNCTION("""COMPUTED_VALUE"""),374.59)</f>
        <v>374.59</v>
      </c>
      <c r="O49" s="110">
        <f>IFERROR(__xludf.DUMMYFUNCTION("""COMPUTED_VALUE"""),299.16)</f>
        <v>299.16</v>
      </c>
      <c r="P49" s="110">
        <f>IFERROR(__xludf.DUMMYFUNCTION("""COMPUTED_VALUE"""),28.94)</f>
        <v>28.94</v>
      </c>
      <c r="Q49" s="110">
        <f>IFERROR(__xludf.DUMMYFUNCTION("""COMPUTED_VALUE"""),24.7)</f>
        <v>24.7</v>
      </c>
      <c r="R49" s="110">
        <f>IFERROR(__xludf.DUMMYFUNCTION("""COMPUTED_VALUE"""),61.44)</f>
        <v>61.44</v>
      </c>
      <c r="S49" s="110">
        <f>IFERROR(__xludf.DUMMYFUNCTION("""COMPUTED_VALUE"""),27.69)</f>
        <v>27.69</v>
      </c>
      <c r="T49" s="110">
        <f>IFERROR(__xludf.DUMMYFUNCTION("""COMPUTED_VALUE"""),27.32)</f>
        <v>27.32</v>
      </c>
      <c r="U49" s="110">
        <f>IFERROR(__xludf.DUMMYFUNCTION("""COMPUTED_VALUE"""),41.83)</f>
        <v>41.83</v>
      </c>
      <c r="V49" s="110">
        <f>IFERROR(__xludf.DUMMYFUNCTION("""COMPUTED_VALUE"""),14.73)</f>
        <v>14.73</v>
      </c>
      <c r="W49" s="110">
        <f>IFERROR(__xludf.DUMMYFUNCTION("""COMPUTED_VALUE"""),235.32)</f>
        <v>235.32</v>
      </c>
      <c r="X49" s="110">
        <f>IFERROR(__xludf.DUMMYFUNCTION("""COMPUTED_VALUE"""),2729.57)</f>
        <v>2729.57</v>
      </c>
      <c r="Y49" s="110">
        <f>IFERROR(__xludf.DUMMYFUNCTION("""COMPUTED_VALUE"""),54.7)</f>
        <v>54.7</v>
      </c>
      <c r="Z49" s="110">
        <f>IFERROR(__xludf.DUMMYFUNCTION("""COMPUTED_VALUE"""),55.6)</f>
        <v>55.6</v>
      </c>
      <c r="AA49" s="110">
        <f>IFERROR(__xludf.DUMMYFUNCTION("""COMPUTED_VALUE"""),104.45)</f>
        <v>104.45</v>
      </c>
      <c r="AB49" s="110">
        <f>IFERROR(__xludf.DUMMYFUNCTION("""COMPUTED_VALUE"""),4.59)</f>
        <v>4.59</v>
      </c>
      <c r="AC49" s="110">
        <f>IFERROR(__xludf.DUMMYFUNCTION("""COMPUTED_VALUE"""),76.13)</f>
        <v>76.13</v>
      </c>
      <c r="AD49" s="110">
        <f>IFERROR(__xludf.DUMMYFUNCTION("""COMPUTED_VALUE"""),12.08)</f>
        <v>12.08</v>
      </c>
      <c r="AE49" s="110">
        <f>IFERROR(__xludf.DUMMYFUNCTION("""COMPUTED_VALUE"""),6.07)</f>
        <v>6.07</v>
      </c>
      <c r="AF49" s="110">
        <f>IFERROR(__xludf.DUMMYFUNCTION("""COMPUTED_VALUE"""),39.71)</f>
        <v>39.71</v>
      </c>
      <c r="AG49" s="110">
        <f>IFERROR(__xludf.DUMMYFUNCTION("""COMPUTED_VALUE"""),12.24)</f>
        <v>12.24</v>
      </c>
      <c r="AH49" s="110">
        <f>IFERROR(__xludf.DUMMYFUNCTION("""COMPUTED_VALUE"""),2.11)</f>
        <v>2.11</v>
      </c>
      <c r="AI49" s="110">
        <f>IFERROR(__xludf.DUMMYFUNCTION("""COMPUTED_VALUE"""),3.27)</f>
        <v>3.27</v>
      </c>
      <c r="AJ49" s="110">
        <f>IFERROR(__xludf.DUMMYFUNCTION("""COMPUTED_VALUE"""),100.5)</f>
        <v>100.5</v>
      </c>
      <c r="AK49" s="110">
        <f>IFERROR(__xludf.DUMMYFUNCTION("""COMPUTED_VALUE"""),267.34)</f>
        <v>267.34</v>
      </c>
      <c r="AL49" s="110">
        <f>IFERROR(__xludf.DUMMYFUNCTION("""COMPUTED_VALUE"""),13.38)</f>
        <v>13.38</v>
      </c>
      <c r="AM49" s="110">
        <f>IFERROR(__xludf.DUMMYFUNCTION("""COMPUTED_VALUE"""),42.84)</f>
        <v>42.84</v>
      </c>
      <c r="AN49" s="110">
        <f>IFERROR(__xludf.DUMMYFUNCTION("""COMPUTED_VALUE"""),349.66)</f>
        <v>349.66</v>
      </c>
      <c r="AO49" s="110">
        <f>IFERROR(__xludf.DUMMYFUNCTION("""COMPUTED_VALUE"""),104.45)</f>
        <v>104.45</v>
      </c>
      <c r="AP49" s="110">
        <f>IFERROR(__xludf.DUMMYFUNCTION("""COMPUTED_VALUE"""),78.84)</f>
        <v>78.84</v>
      </c>
      <c r="AQ49" s="110">
        <f>IFERROR(__xludf.DUMMYFUNCTION("""COMPUTED_VALUE"""),48.01)</f>
        <v>48.01</v>
      </c>
      <c r="AR49" s="109">
        <f>IFERROR(__xludf.DUMMYFUNCTION("""COMPUTED_VALUE"""),103.8095)</f>
        <v>103.8095</v>
      </c>
      <c r="AS49" s="110">
        <f>IFERROR(__xludf.DUMMYFUNCTION("""COMPUTED_VALUE"""),15.09)</f>
        <v>15.09</v>
      </c>
      <c r="AT49" s="110">
        <f>IFERROR(__xludf.DUMMYFUNCTION("""COMPUTED_VALUE"""),99.1)</f>
        <v>99.1</v>
      </c>
      <c r="AU49" s="110">
        <f>IFERROR(__xludf.DUMMYFUNCTION("""COMPUTED_VALUE"""),64.28)</f>
        <v>64.28</v>
      </c>
      <c r="AV49" s="110">
        <f>IFERROR(__xludf.DUMMYFUNCTION("""COMPUTED_VALUE"""),138.62)</f>
        <v>138.62</v>
      </c>
      <c r="AW49" s="110">
        <f>IFERROR(__xludf.DUMMYFUNCTION("""COMPUTED_VALUE"""),134.2)</f>
        <v>134.2</v>
      </c>
      <c r="AX49" s="110">
        <f>IFERROR(__xludf.DUMMYFUNCTION("""COMPUTED_VALUE"""),19.74)</f>
        <v>19.74</v>
      </c>
      <c r="AY49" s="110">
        <f>IFERROR(__xludf.DUMMYFUNCTION("""COMPUTED_VALUE"""),46.62)</f>
        <v>46.62</v>
      </c>
      <c r="AZ49" s="110">
        <f>IFERROR(__xludf.DUMMYFUNCTION("""COMPUTED_VALUE"""),0.0)</f>
        <v>0</v>
      </c>
      <c r="BA49" s="110">
        <f>IFERROR(__xludf.DUMMYFUNCTION("""COMPUTED_VALUE"""),0.0)</f>
        <v>0</v>
      </c>
      <c r="BB49" s="110">
        <f>IFERROR(__xludf.DUMMYFUNCTION("""COMPUTED_VALUE"""),11.42)</f>
        <v>11.42</v>
      </c>
      <c r="BC49" s="110">
        <f>IFERROR(__xludf.DUMMYFUNCTION("""COMPUTED_VALUE"""),9.33)</f>
        <v>9.33</v>
      </c>
      <c r="BD49" s="110">
        <f>IFERROR(__xludf.DUMMYFUNCTION("""COMPUTED_VALUE"""),172.5)</f>
        <v>172.5</v>
      </c>
      <c r="BE49" s="110">
        <f>IFERROR(__xludf.DUMMYFUNCTION("""COMPUTED_VALUE"""),134.2)</f>
        <v>134.2</v>
      </c>
      <c r="BF49" s="110">
        <f>IFERROR(__xludf.DUMMYFUNCTION("""COMPUTED_VALUE"""),11.08)</f>
        <v>11.08</v>
      </c>
      <c r="BG49" s="110">
        <f>IFERROR(__xludf.DUMMYFUNCTION("""COMPUTED_VALUE"""),577.2)</f>
        <v>577.2</v>
      </c>
      <c r="BH49" s="110">
        <f>IFERROR(__xludf.DUMMYFUNCTION("""COMPUTED_VALUE"""),288.31)</f>
        <v>288.31</v>
      </c>
      <c r="BI49" s="110">
        <f>IFERROR(__xludf.DUMMYFUNCTION("""COMPUTED_VALUE"""),236.32)</f>
        <v>236.32</v>
      </c>
      <c r="BJ49" s="110">
        <f>IFERROR(__xludf.DUMMYFUNCTION("""COMPUTED_VALUE"""),25.39)</f>
        <v>25.39</v>
      </c>
      <c r="BK49" s="110">
        <f>IFERROR(__xludf.DUMMYFUNCTION("""COMPUTED_VALUE"""),314.31)</f>
        <v>314.31</v>
      </c>
      <c r="BL49" s="110">
        <f>IFERROR(__xludf.DUMMYFUNCTION("""COMPUTED_VALUE"""),125.97)</f>
        <v>125.97</v>
      </c>
      <c r="BM49" s="110">
        <f>IFERROR(__xludf.DUMMYFUNCTION("""COMPUTED_VALUE"""),16.48)</f>
        <v>16.48</v>
      </c>
      <c r="BN49" s="110">
        <f>IFERROR(__xludf.DUMMYFUNCTION("""COMPUTED_VALUE"""),322.32)</f>
        <v>322.32</v>
      </c>
      <c r="BO49" s="110">
        <f>IFERROR(__xludf.DUMMYFUNCTION("""COMPUTED_VALUE"""),689.22)</f>
        <v>689.22</v>
      </c>
      <c r="BP49" s="110">
        <f>IFERROR(__xludf.DUMMYFUNCTION("""COMPUTED_VALUE"""),43.56)</f>
        <v>43.56</v>
      </c>
      <c r="BQ49" s="110">
        <f>IFERROR(__xludf.DUMMYFUNCTION("""COMPUTED_VALUE"""),9.57)</f>
        <v>9.57</v>
      </c>
      <c r="BR49" s="110">
        <f>IFERROR(__xludf.DUMMYFUNCTION("""COMPUTED_VALUE"""),39.0)</f>
        <v>39</v>
      </c>
      <c r="BS49" s="110">
        <f>IFERROR(__xludf.DUMMYFUNCTION("""COMPUTED_VALUE"""),0.95)</f>
        <v>0.95</v>
      </c>
      <c r="BT49" s="110">
        <f>IFERROR(__xludf.DUMMYFUNCTION("""COMPUTED_VALUE"""),48.4)</f>
        <v>48.4</v>
      </c>
      <c r="BU49" s="110">
        <f>IFERROR(__xludf.DUMMYFUNCTION("""COMPUTED_VALUE"""),35.9)</f>
        <v>35.9</v>
      </c>
      <c r="BV49" s="110">
        <f>IFERROR(__xludf.DUMMYFUNCTION("""COMPUTED_VALUE"""),53.05)</f>
        <v>53.05</v>
      </c>
      <c r="BW49" s="110">
        <f>IFERROR(__xludf.DUMMYFUNCTION("""COMPUTED_VALUE"""),7.56)</f>
        <v>7.56</v>
      </c>
      <c r="BX49" s="110">
        <f>IFERROR(__xludf.DUMMYFUNCTION("""COMPUTED_VALUE"""),4.59)</f>
        <v>4.59</v>
      </c>
      <c r="BY49" s="110">
        <f>IFERROR(__xludf.DUMMYFUNCTION("""COMPUTED_VALUE"""),0.0)</f>
        <v>0</v>
      </c>
      <c r="BZ49" s="110">
        <f>IFERROR(__xludf.DUMMYFUNCTION("""COMPUTED_VALUE"""),15.13)</f>
        <v>15.13</v>
      </c>
      <c r="CA49" s="110">
        <f>IFERROR(__xludf.DUMMYFUNCTION("""COMPUTED_VALUE"""),3.6)</f>
        <v>3.6</v>
      </c>
      <c r="CB49" s="110">
        <f>IFERROR(__xludf.DUMMYFUNCTION("""COMPUTED_VALUE"""),5.42)</f>
        <v>5.42</v>
      </c>
      <c r="CC49" s="110">
        <f>IFERROR(__xludf.DUMMYFUNCTION("""COMPUTED_VALUE"""),18.9)</f>
        <v>18.9</v>
      </c>
      <c r="CD49" s="110">
        <f>IFERROR(__xludf.DUMMYFUNCTION("""COMPUTED_VALUE"""),13.65)</f>
        <v>13.65</v>
      </c>
      <c r="CE49" s="110">
        <f>IFERROR(__xludf.DUMMYFUNCTION("""COMPUTED_VALUE"""),30.34)</f>
        <v>30.34</v>
      </c>
      <c r="CF49" s="110">
        <f>IFERROR(__xludf.DUMMYFUNCTION("""COMPUTED_VALUE"""),113.61)</f>
        <v>113.61</v>
      </c>
      <c r="CG49" s="110">
        <f>IFERROR(__xludf.DUMMYFUNCTION("""COMPUTED_VALUE"""),5.08)</f>
        <v>5.08</v>
      </c>
      <c r="CH49" s="110">
        <f>IFERROR(__xludf.DUMMYFUNCTION("""COMPUTED_VALUE"""),24.3)</f>
        <v>24.3</v>
      </c>
      <c r="CI49" s="110">
        <f>IFERROR(__xludf.DUMMYFUNCTION("""COMPUTED_VALUE"""),48.62)</f>
        <v>48.62</v>
      </c>
      <c r="CJ49" s="110">
        <f>IFERROR(__xludf.DUMMYFUNCTION("""COMPUTED_VALUE"""),33.0)</f>
        <v>33</v>
      </c>
      <c r="CK49" s="110">
        <f>IFERROR(__xludf.DUMMYFUNCTION("""COMPUTED_VALUE"""),12.32)</f>
        <v>12.32</v>
      </c>
      <c r="CL49" s="110">
        <f>IFERROR(__xludf.DUMMYFUNCTION("""COMPUTED_VALUE"""),2722.03)</f>
        <v>2722.03</v>
      </c>
      <c r="CM49" s="110">
        <f>IFERROR(__xludf.DUMMYFUNCTION("""COMPUTED_VALUE"""),3.25)</f>
        <v>3.25</v>
      </c>
      <c r="CN49" s="110">
        <f>IFERROR(__xludf.DUMMYFUNCTION("""COMPUTED_VALUE"""),194.7)</f>
        <v>194.7</v>
      </c>
      <c r="CO49" s="110">
        <f>IFERROR(__xludf.DUMMYFUNCTION("""COMPUTED_VALUE"""),140.6)</f>
        <v>140.6</v>
      </c>
      <c r="CP49" s="110">
        <f>IFERROR(__xludf.DUMMYFUNCTION("""COMPUTED_VALUE"""),63.98)</f>
        <v>63.98</v>
      </c>
      <c r="CQ49" s="110">
        <f>IFERROR(__xludf.DUMMYFUNCTION("""COMPUTED_VALUE"""),70100.0)</f>
        <v>70100</v>
      </c>
      <c r="CR49" s="110">
        <f>IFERROR(__xludf.DUMMYFUNCTION("""COMPUTED_VALUE"""),0.52)</f>
        <v>0.52</v>
      </c>
      <c r="CS49" s="110">
        <f>IFERROR(__xludf.DUMMYFUNCTION("""COMPUTED_VALUE"""),35.09)</f>
        <v>35.09</v>
      </c>
      <c r="CT49" s="110">
        <f>IFERROR(__xludf.DUMMYFUNCTION("""COMPUTED_VALUE"""),21.4)</f>
        <v>21.4</v>
      </c>
      <c r="CU49" s="110">
        <f>IFERROR(__xludf.DUMMYFUNCTION("""COMPUTED_VALUE"""),1931.2)</f>
        <v>1931.2</v>
      </c>
      <c r="CV49" s="110">
        <f>IFERROR(__xludf.DUMMYFUNCTION("""COMPUTED_VALUE"""),2.53)</f>
        <v>2.53</v>
      </c>
      <c r="CW49" s="110">
        <f>IFERROR(__xludf.DUMMYFUNCTION("""COMPUTED_VALUE"""),2.79)</f>
        <v>2.79</v>
      </c>
      <c r="CX49" s="110">
        <f>IFERROR(__xludf.DUMMYFUNCTION("""COMPUTED_VALUE"""),0.0)</f>
        <v>0</v>
      </c>
      <c r="CY49" s="110">
        <f>IFERROR(__xludf.DUMMYFUNCTION("""COMPUTED_VALUE"""),0.05)</f>
        <v>0.05</v>
      </c>
      <c r="CZ49" s="110">
        <f>IFERROR(__xludf.DUMMYFUNCTION("""COMPUTED_VALUE"""),71.8)</f>
        <v>71.8</v>
      </c>
      <c r="DA49" s="110">
        <f>IFERROR(__xludf.DUMMYFUNCTION("""COMPUTED_VALUE"""),0.05)</f>
        <v>0.05</v>
      </c>
      <c r="DB49" s="110">
        <f>IFERROR(__xludf.DUMMYFUNCTION("""COMPUTED_VALUE"""),0.12)</f>
        <v>0.12</v>
      </c>
      <c r="DC49" s="110">
        <f>IFERROR(__xludf.DUMMYFUNCTION("""COMPUTED_VALUE"""),154.49)</f>
        <v>154.49</v>
      </c>
      <c r="DD49" s="110">
        <f>IFERROR(__xludf.DUMMYFUNCTION("""COMPUTED_VALUE"""),12.11)</f>
        <v>12.11</v>
      </c>
      <c r="DE49" s="110">
        <f>IFERROR(__xludf.DUMMYFUNCTION("""COMPUTED_VALUE"""),7.53)</f>
        <v>7.53</v>
      </c>
      <c r="DF49" s="110">
        <f>IFERROR(__xludf.DUMMYFUNCTION("""COMPUTED_VALUE"""),57.35)</f>
        <v>57.35</v>
      </c>
      <c r="DG49" s="110">
        <f>IFERROR(__xludf.DUMMYFUNCTION("""COMPUTED_VALUE"""),5.8)</f>
        <v>5.8</v>
      </c>
      <c r="DH49" s="110">
        <f>IFERROR(__xludf.DUMMYFUNCTION("""COMPUTED_VALUE"""),10.71)</f>
        <v>10.71</v>
      </c>
      <c r="DI49" s="110">
        <f>IFERROR(__xludf.DUMMYFUNCTION("""COMPUTED_VALUE"""),144.23)</f>
        <v>144.23</v>
      </c>
      <c r="DJ49" s="110">
        <f>IFERROR(__xludf.DUMMYFUNCTION("""COMPUTED_VALUE"""),12.17)</f>
        <v>12.17</v>
      </c>
      <c r="DK49" s="110">
        <f>IFERROR(__xludf.DUMMYFUNCTION("""COMPUTED_VALUE"""),2.85)</f>
        <v>2.85</v>
      </c>
      <c r="DL49" s="110">
        <f>IFERROR(__xludf.DUMMYFUNCTION("""COMPUTED_VALUE"""),24.65)</f>
        <v>24.65</v>
      </c>
      <c r="DM49" s="110">
        <f>IFERROR(__xludf.DUMMYFUNCTION("""COMPUTED_VALUE"""),440.0)</f>
        <v>440</v>
      </c>
      <c r="DN49" s="110">
        <f>IFERROR(__xludf.DUMMYFUNCTION("""COMPUTED_VALUE"""),161.8)</f>
        <v>161.8</v>
      </c>
      <c r="DO49" s="110">
        <f>IFERROR(__xludf.DUMMYFUNCTION("""COMPUTED_VALUE"""),374.2)</f>
        <v>374.2</v>
      </c>
      <c r="DP49" s="110">
        <f>IFERROR(__xludf.DUMMYFUNCTION("""COMPUTED_VALUE"""),5.85)</f>
        <v>5.85</v>
      </c>
      <c r="DQ49" s="110">
        <f>IFERROR(__xludf.DUMMYFUNCTION("""COMPUTED_VALUE"""),103.59)</f>
        <v>103.59</v>
      </c>
      <c r="DR49" s="110">
        <f>IFERROR(__xludf.DUMMYFUNCTION("""COMPUTED_VALUE"""),0.65)</f>
        <v>0.65</v>
      </c>
      <c r="DS49" s="110">
        <f>IFERROR(__xludf.DUMMYFUNCTION("""COMPUTED_VALUE"""),3.52)</f>
        <v>3.52</v>
      </c>
      <c r="DT49" s="110">
        <f>IFERROR(__xludf.DUMMYFUNCTION("""COMPUTED_VALUE"""),5.05)</f>
        <v>5.05</v>
      </c>
      <c r="DU49" s="110">
        <f>IFERROR(__xludf.DUMMYFUNCTION("""COMPUTED_VALUE"""),54.19)</f>
        <v>54.19</v>
      </c>
      <c r="DV49" s="110">
        <f>IFERROR(__xludf.DUMMYFUNCTION("""COMPUTED_VALUE"""),12.74)</f>
        <v>12.74</v>
      </c>
      <c r="DW49" s="110">
        <f>IFERROR(__xludf.DUMMYFUNCTION("""COMPUTED_VALUE"""),0.066)</f>
        <v>0.066</v>
      </c>
      <c r="DX49" s="110">
        <f>IFERROR(__xludf.DUMMYFUNCTION("""COMPUTED_VALUE"""),25.85)</f>
        <v>25.85</v>
      </c>
      <c r="DY49" s="110">
        <f>IFERROR(__xludf.DUMMYFUNCTION("""COMPUTED_VALUE"""),872.25)</f>
        <v>872.25</v>
      </c>
      <c r="DZ49" s="110">
        <f>IFERROR(__xludf.DUMMYFUNCTION("""COMPUTED_VALUE"""),78.56)</f>
        <v>78.56</v>
      </c>
      <c r="EA49" s="110">
        <f>IFERROR(__xludf.DUMMYFUNCTION("""COMPUTED_VALUE"""),46.72)</f>
        <v>46.72</v>
      </c>
      <c r="EB49" s="110">
        <f>IFERROR(__xludf.DUMMYFUNCTION("""COMPUTED_VALUE"""),70.81)</f>
        <v>70.81</v>
      </c>
      <c r="EC49" s="110">
        <f>IFERROR(__xludf.DUMMYFUNCTION("""COMPUTED_VALUE"""),73.95)</f>
        <v>73.95</v>
      </c>
      <c r="ED49" s="110">
        <f>IFERROR(__xludf.DUMMYFUNCTION("""COMPUTED_VALUE"""),38.81)</f>
        <v>38.81</v>
      </c>
      <c r="EE49" s="110">
        <f>IFERROR(__xludf.DUMMYFUNCTION("""COMPUTED_VALUE"""),86.49)</f>
        <v>86.49</v>
      </c>
      <c r="EF49" s="110">
        <f>IFERROR(__xludf.DUMMYFUNCTION("""COMPUTED_VALUE"""),180.08)</f>
        <v>180.08</v>
      </c>
      <c r="EG49" s="110">
        <f>IFERROR(__xludf.DUMMYFUNCTION("""COMPUTED_VALUE"""),67.42)</f>
        <v>67.42</v>
      </c>
      <c r="EH49" s="110">
        <f>IFERROR(__xludf.DUMMYFUNCTION("""COMPUTED_VALUE"""),102.73)</f>
        <v>102.73</v>
      </c>
      <c r="EI49" s="110">
        <f>IFERROR(__xludf.DUMMYFUNCTION("""COMPUTED_VALUE"""),136.46)</f>
        <v>136.46</v>
      </c>
      <c r="EJ49" s="110">
        <f>IFERROR(__xludf.DUMMYFUNCTION("""COMPUTED_VALUE"""),42.74)</f>
        <v>42.74</v>
      </c>
      <c r="EK49" s="110">
        <f>IFERROR(__xludf.DUMMYFUNCTION("""COMPUTED_VALUE"""),276.4)</f>
        <v>276.4</v>
      </c>
      <c r="EL49" s="110">
        <f>IFERROR(__xludf.DUMMYFUNCTION("""COMPUTED_VALUE"""),61.88)</f>
        <v>61.88</v>
      </c>
      <c r="EM49" s="110">
        <f>IFERROR(__xludf.DUMMYFUNCTION("""COMPUTED_VALUE"""),49.92)</f>
        <v>49.92</v>
      </c>
      <c r="EN49" s="110">
        <f>IFERROR(__xludf.DUMMYFUNCTION("""COMPUTED_VALUE"""),1704.3)</f>
        <v>1704.3</v>
      </c>
      <c r="EO49" s="110">
        <f>IFERROR(__xludf.DUMMYFUNCTION("""COMPUTED_VALUE"""),11.78)</f>
        <v>11.78</v>
      </c>
      <c r="EP49" s="110">
        <f>IFERROR(__xludf.DUMMYFUNCTION("""COMPUTED_VALUE"""),7.65)</f>
        <v>7.65</v>
      </c>
      <c r="EQ49" s="110">
        <f>IFERROR(__xludf.DUMMYFUNCTION("""COMPUTED_VALUE"""),1.55)</f>
        <v>1.55</v>
      </c>
      <c r="ER49" s="110">
        <f>IFERROR(__xludf.DUMMYFUNCTION("""COMPUTED_VALUE"""),4438.25)</f>
        <v>4438.25</v>
      </c>
      <c r="ES49" s="110">
        <f>IFERROR(__xludf.DUMMYFUNCTION("""COMPUTED_VALUE"""),94.69)</f>
        <v>94.69</v>
      </c>
      <c r="ET49" s="110">
        <f>IFERROR(__xludf.DUMMYFUNCTION("""COMPUTED_VALUE"""),118.02)</f>
        <v>118.02</v>
      </c>
      <c r="EU49" s="110">
        <f>IFERROR(__xludf.DUMMYFUNCTION("""COMPUTED_VALUE"""),29.95)</f>
        <v>29.95</v>
      </c>
      <c r="EV49" s="110">
        <f>IFERROR(__xludf.DUMMYFUNCTION("""COMPUTED_VALUE"""),1.35)</f>
        <v>1.35</v>
      </c>
      <c r="EW49" s="110">
        <f>IFERROR(__xludf.DUMMYFUNCTION("""COMPUTED_VALUE"""),13.94)</f>
        <v>13.94</v>
      </c>
      <c r="EX49" s="108">
        <f>IFERROR(__xludf.DUMMYFUNCTION("""COMPUTED_VALUE"""),4.65)</f>
        <v>4.65</v>
      </c>
      <c r="EY49" s="108">
        <f>IFERROR(__xludf.DUMMYFUNCTION("""COMPUTED_VALUE"""),170.12)</f>
        <v>170.12</v>
      </c>
      <c r="EZ49" s="108">
        <f>IFERROR(__xludf.DUMMYFUNCTION("""COMPUTED_VALUE"""),25.36)</f>
        <v>25.36</v>
      </c>
      <c r="FA49" s="108">
        <f>IFERROR(__xludf.DUMMYFUNCTION("""COMPUTED_VALUE"""),2.96)</f>
        <v>2.96</v>
      </c>
      <c r="FB49" s="108">
        <f>IFERROR(__xludf.DUMMYFUNCTION("""COMPUTED_VALUE"""),139.65)</f>
        <v>139.65</v>
      </c>
      <c r="FC49" s="108">
        <f>IFERROR(__xludf.DUMMYFUNCTION("""COMPUTED_VALUE"""),9.47)</f>
        <v>9.47</v>
      </c>
      <c r="FD49" s="108">
        <f>IFERROR(__xludf.DUMMYFUNCTION("""COMPUTED_VALUE"""),61.44)</f>
        <v>61.44</v>
      </c>
      <c r="FE49" s="108">
        <f>IFERROR(__xludf.DUMMYFUNCTION("""COMPUTED_VALUE"""),60.96)</f>
        <v>60.96</v>
      </c>
      <c r="FF49" s="108">
        <f>IFERROR(__xludf.DUMMYFUNCTION("""COMPUTED_VALUE"""),6.44)</f>
        <v>6.44</v>
      </c>
      <c r="FG49" s="108">
        <f>IFERROR(__xludf.DUMMYFUNCTION("""COMPUTED_VALUE"""),682.91)</f>
        <v>682.91</v>
      </c>
      <c r="FH49" s="108">
        <f>IFERROR(__xludf.DUMMYFUNCTION("""COMPUTED_VALUE"""),160.05)</f>
        <v>160.05</v>
      </c>
      <c r="FI49" s="108">
        <f>IFERROR(__xludf.DUMMYFUNCTION("""COMPUTED_VALUE"""),0.064)</f>
        <v>0.064</v>
      </c>
      <c r="FJ49" s="108">
        <f>IFERROR(__xludf.DUMMYFUNCTION("""COMPUTED_VALUE"""),16.58)</f>
        <v>16.58</v>
      </c>
      <c r="FK49" s="108">
        <f>IFERROR(__xludf.DUMMYFUNCTION("""COMPUTED_VALUE"""),205.4)</f>
        <v>205.4</v>
      </c>
      <c r="FL49" s="108">
        <f>IFERROR(__xludf.DUMMYFUNCTION("""COMPUTED_VALUE"""),476.0)</f>
        <v>476</v>
      </c>
      <c r="FM49" s="108">
        <f>IFERROR(__xludf.DUMMYFUNCTION("""COMPUTED_VALUE"""),130.19)</f>
        <v>130.19</v>
      </c>
      <c r="FN49" s="108">
        <f>IFERROR(__xludf.DUMMYFUNCTION("""COMPUTED_VALUE"""),943.98)</f>
        <v>943.98</v>
      </c>
      <c r="FO49" s="108">
        <f>IFERROR(__xludf.DUMMYFUNCTION("""COMPUTED_VALUE"""),683.45)</f>
        <v>683.45</v>
      </c>
    </row>
    <row r="50">
      <c r="A50" s="106">
        <f>IFERROR(__xludf.DUMMYFUNCTION("""COMPUTED_VALUE"""),44642.0)</f>
        <v>44642</v>
      </c>
      <c r="B50" s="110">
        <f>IFERROR(__xludf.DUMMYFUNCTION("""COMPUTED_VALUE"""),3297.78)</f>
        <v>3297.78</v>
      </c>
      <c r="C50" s="110">
        <f>IFERROR(__xludf.DUMMYFUNCTION("""COMPUTED_VALUE"""),216.65)</f>
        <v>216.65</v>
      </c>
      <c r="D50" s="110">
        <f>IFERROR(__xludf.DUMMYFUNCTION("""COMPUTED_VALUE"""),993.98)</f>
        <v>993.98</v>
      </c>
      <c r="E50" s="110">
        <f>IFERROR(__xludf.DUMMYFUNCTION("""COMPUTED_VALUE"""),388.0)</f>
        <v>388</v>
      </c>
      <c r="F50" s="110">
        <f>IFERROR(__xludf.DUMMYFUNCTION("""COMPUTED_VALUE"""),10.36)</f>
        <v>10.36</v>
      </c>
      <c r="G50" s="110">
        <f>IFERROR(__xludf.DUMMYFUNCTION("""COMPUTED_VALUE"""),168.82)</f>
        <v>168.82</v>
      </c>
      <c r="H50" s="110">
        <f>IFERROR(__xludf.DUMMYFUNCTION("""COMPUTED_VALUE"""),10.1)</f>
        <v>10.1</v>
      </c>
      <c r="I50" s="110">
        <f>IFERROR(__xludf.DUMMYFUNCTION("""COMPUTED_VALUE"""),1.07)</f>
        <v>1.07</v>
      </c>
      <c r="J50" s="110">
        <f>IFERROR(__xludf.DUMMYFUNCTION("""COMPUTED_VALUE"""),0.19)</f>
        <v>0.19</v>
      </c>
      <c r="K50" s="110">
        <f>IFERROR(__xludf.DUMMYFUNCTION("""COMPUTED_VALUE"""),39.55)</f>
        <v>39.55</v>
      </c>
      <c r="L50" s="110">
        <f>IFERROR(__xludf.DUMMYFUNCTION("""COMPUTED_VALUE"""),153.0)</f>
        <v>153</v>
      </c>
      <c r="M50" s="110">
        <f>IFERROR(__xludf.DUMMYFUNCTION("""COMPUTED_VALUE"""),42068.76)</f>
        <v>42068.76</v>
      </c>
      <c r="N50" s="110">
        <f>IFERROR(__xludf.DUMMYFUNCTION("""COMPUTED_VALUE"""),382.92)</f>
        <v>382.92</v>
      </c>
      <c r="O50" s="110">
        <f>IFERROR(__xludf.DUMMYFUNCTION("""COMPUTED_VALUE"""),304.06)</f>
        <v>304.06</v>
      </c>
      <c r="P50" s="110">
        <f>IFERROR(__xludf.DUMMYFUNCTION("""COMPUTED_VALUE"""),28.58)</f>
        <v>28.58</v>
      </c>
      <c r="Q50" s="110">
        <f>IFERROR(__xludf.DUMMYFUNCTION("""COMPUTED_VALUE"""),24.76)</f>
        <v>24.76</v>
      </c>
      <c r="R50" s="110">
        <f>IFERROR(__xludf.DUMMYFUNCTION("""COMPUTED_VALUE"""),64.73)</f>
        <v>64.73</v>
      </c>
      <c r="S50" s="110">
        <f>IFERROR(__xludf.DUMMYFUNCTION("""COMPUTED_VALUE"""),28.75)</f>
        <v>28.75</v>
      </c>
      <c r="T50" s="110">
        <f>IFERROR(__xludf.DUMMYFUNCTION("""COMPUTED_VALUE"""),29.01)</f>
        <v>29.01</v>
      </c>
      <c r="U50" s="110">
        <f>IFERROR(__xludf.DUMMYFUNCTION("""COMPUTED_VALUE"""),41.97)</f>
        <v>41.97</v>
      </c>
      <c r="V50" s="110">
        <f>IFERROR(__xludf.DUMMYFUNCTION("""COMPUTED_VALUE"""),14.82)</f>
        <v>14.82</v>
      </c>
      <c r="W50" s="110">
        <f>IFERROR(__xludf.DUMMYFUNCTION("""COMPUTED_VALUE"""),238.12)</f>
        <v>238.12</v>
      </c>
      <c r="X50" s="110">
        <f>IFERROR(__xludf.DUMMYFUNCTION("""COMPUTED_VALUE"""),2805.55)</f>
        <v>2805.55</v>
      </c>
      <c r="Y50" s="110">
        <f>IFERROR(__xludf.DUMMYFUNCTION("""COMPUTED_VALUE"""),55.9)</f>
        <v>55.9</v>
      </c>
      <c r="Z50" s="110">
        <f>IFERROR(__xludf.DUMMYFUNCTION("""COMPUTED_VALUE"""),58.35)</f>
        <v>58.35</v>
      </c>
      <c r="AA50" s="110">
        <f>IFERROR(__xludf.DUMMYFUNCTION("""COMPUTED_VALUE"""),114.86)</f>
        <v>114.86</v>
      </c>
      <c r="AB50" s="110">
        <f>IFERROR(__xludf.DUMMYFUNCTION("""COMPUTED_VALUE"""),4.63)</f>
        <v>4.63</v>
      </c>
      <c r="AC50" s="110">
        <f>IFERROR(__xludf.DUMMYFUNCTION("""COMPUTED_VALUE"""),75.57)</f>
        <v>75.57</v>
      </c>
      <c r="AD50" s="110">
        <f>IFERROR(__xludf.DUMMYFUNCTION("""COMPUTED_VALUE"""),12.18)</f>
        <v>12.18</v>
      </c>
      <c r="AE50" s="110">
        <f>IFERROR(__xludf.DUMMYFUNCTION("""COMPUTED_VALUE"""),6.38)</f>
        <v>6.38</v>
      </c>
      <c r="AF50" s="110">
        <f>IFERROR(__xludf.DUMMYFUNCTION("""COMPUTED_VALUE"""),41.9)</f>
        <v>41.9</v>
      </c>
      <c r="AG50" s="110">
        <f>IFERROR(__xludf.DUMMYFUNCTION("""COMPUTED_VALUE"""),12.86)</f>
        <v>12.86</v>
      </c>
      <c r="AH50" s="110">
        <f>IFERROR(__xludf.DUMMYFUNCTION("""COMPUTED_VALUE"""),2.11)</f>
        <v>2.11</v>
      </c>
      <c r="AI50" s="110">
        <f>IFERROR(__xludf.DUMMYFUNCTION("""COMPUTED_VALUE"""),3.38)</f>
        <v>3.38</v>
      </c>
      <c r="AJ50" s="110">
        <f>IFERROR(__xludf.DUMMYFUNCTION("""COMPUTED_VALUE"""),105.4)</f>
        <v>105.4</v>
      </c>
      <c r="AK50" s="110">
        <f>IFERROR(__xludf.DUMMYFUNCTION("""COMPUTED_VALUE"""),265.24)</f>
        <v>265.24</v>
      </c>
      <c r="AL50" s="110">
        <f>IFERROR(__xludf.DUMMYFUNCTION("""COMPUTED_VALUE"""),14.2)</f>
        <v>14.2</v>
      </c>
      <c r="AM50" s="110">
        <f>IFERROR(__xludf.DUMMYFUNCTION("""COMPUTED_VALUE"""),44.18)</f>
        <v>44.18</v>
      </c>
      <c r="AN50" s="110">
        <f>IFERROR(__xludf.DUMMYFUNCTION("""COMPUTED_VALUE"""),349.93)</f>
        <v>349.93</v>
      </c>
      <c r="AO50" s="110">
        <f>IFERROR(__xludf.DUMMYFUNCTION("""COMPUTED_VALUE"""),105.73)</f>
        <v>105.73</v>
      </c>
      <c r="AP50" s="110">
        <f>IFERROR(__xludf.DUMMYFUNCTION("""COMPUTED_VALUE"""),79.3)</f>
        <v>79.3</v>
      </c>
      <c r="AQ50" s="110">
        <f>IFERROR(__xludf.DUMMYFUNCTION("""COMPUTED_VALUE"""),50.61)</f>
        <v>50.61</v>
      </c>
      <c r="AR50" s="109">
        <f>IFERROR(__xludf.DUMMYFUNCTION("""COMPUTED_VALUE"""),103.8095)</f>
        <v>103.8095</v>
      </c>
      <c r="AS50" s="110">
        <f>IFERROR(__xludf.DUMMYFUNCTION("""COMPUTED_VALUE"""),14.72)</f>
        <v>14.72</v>
      </c>
      <c r="AT50" s="110">
        <f>IFERROR(__xludf.DUMMYFUNCTION("""COMPUTED_VALUE"""),110.2)</f>
        <v>110.2</v>
      </c>
      <c r="AU50" s="110">
        <f>IFERROR(__xludf.DUMMYFUNCTION("""COMPUTED_VALUE"""),64.6)</f>
        <v>64.6</v>
      </c>
      <c r="AV50" s="110">
        <f>IFERROR(__xludf.DUMMYFUNCTION("""COMPUTED_VALUE"""),140.11)</f>
        <v>140.11</v>
      </c>
      <c r="AW50" s="110">
        <f>IFERROR(__xludf.DUMMYFUNCTION("""COMPUTED_VALUE"""),135.48)</f>
        <v>135.48</v>
      </c>
      <c r="AX50" s="110">
        <f>IFERROR(__xludf.DUMMYFUNCTION("""COMPUTED_VALUE"""),20.75)</f>
        <v>20.75</v>
      </c>
      <c r="AY50" s="110">
        <f>IFERROR(__xludf.DUMMYFUNCTION("""COMPUTED_VALUE"""),50.51)</f>
        <v>50.51</v>
      </c>
      <c r="AZ50" s="110">
        <f>IFERROR(__xludf.DUMMYFUNCTION("""COMPUTED_VALUE"""),0.0)</f>
        <v>0</v>
      </c>
      <c r="BA50" s="110">
        <f>IFERROR(__xludf.DUMMYFUNCTION("""COMPUTED_VALUE"""),0.0)</f>
        <v>0</v>
      </c>
      <c r="BB50" s="110">
        <f>IFERROR(__xludf.DUMMYFUNCTION("""COMPUTED_VALUE"""),11.78)</f>
        <v>11.78</v>
      </c>
      <c r="BC50" s="110">
        <f>IFERROR(__xludf.DUMMYFUNCTION("""COMPUTED_VALUE"""),8.76)</f>
        <v>8.76</v>
      </c>
      <c r="BD50" s="110">
        <f>IFERROR(__xludf.DUMMYFUNCTION("""COMPUTED_VALUE"""),187.4)</f>
        <v>187.4</v>
      </c>
      <c r="BE50" s="110">
        <f>IFERROR(__xludf.DUMMYFUNCTION("""COMPUTED_VALUE"""),145.6)</f>
        <v>145.6</v>
      </c>
      <c r="BF50" s="110">
        <f>IFERROR(__xludf.DUMMYFUNCTION("""COMPUTED_VALUE"""),11.08)</f>
        <v>11.08</v>
      </c>
      <c r="BG50" s="110">
        <f>IFERROR(__xludf.DUMMYFUNCTION("""COMPUTED_VALUE"""),597.42)</f>
        <v>597.42</v>
      </c>
      <c r="BH50" s="110">
        <f>IFERROR(__xludf.DUMMYFUNCTION("""COMPUTED_VALUE"""),298.51)</f>
        <v>298.51</v>
      </c>
      <c r="BI50" s="110">
        <f>IFERROR(__xludf.DUMMYFUNCTION("""COMPUTED_VALUE"""),236.47)</f>
        <v>236.47</v>
      </c>
      <c r="BJ50" s="110">
        <f>IFERROR(__xludf.DUMMYFUNCTION("""COMPUTED_VALUE"""),26.65)</f>
        <v>26.65</v>
      </c>
      <c r="BK50" s="110">
        <f>IFERROR(__xludf.DUMMYFUNCTION("""COMPUTED_VALUE"""),325.22)</f>
        <v>325.22</v>
      </c>
      <c r="BL50" s="110">
        <f>IFERROR(__xludf.DUMMYFUNCTION("""COMPUTED_VALUE"""),125.69)</f>
        <v>125.69</v>
      </c>
      <c r="BM50" s="110">
        <f>IFERROR(__xludf.DUMMYFUNCTION("""COMPUTED_VALUE"""),17.09)</f>
        <v>17.09</v>
      </c>
      <c r="BN50" s="110">
        <f>IFERROR(__xludf.DUMMYFUNCTION("""COMPUTED_VALUE"""),339.95)</f>
        <v>339.95</v>
      </c>
      <c r="BO50" s="110">
        <f>IFERROR(__xludf.DUMMYFUNCTION("""COMPUTED_VALUE"""),709.92)</f>
        <v>709.92</v>
      </c>
      <c r="BP50" s="110">
        <f>IFERROR(__xludf.DUMMYFUNCTION("""COMPUTED_VALUE"""),46.93)</f>
        <v>46.93</v>
      </c>
      <c r="BQ50" s="110">
        <f>IFERROR(__xludf.DUMMYFUNCTION("""COMPUTED_VALUE"""),9.72)</f>
        <v>9.72</v>
      </c>
      <c r="BR50" s="110">
        <f>IFERROR(__xludf.DUMMYFUNCTION("""COMPUTED_VALUE"""),39.59)</f>
        <v>39.59</v>
      </c>
      <c r="BS50" s="110">
        <f>IFERROR(__xludf.DUMMYFUNCTION("""COMPUTED_VALUE"""),0.99)</f>
        <v>0.99</v>
      </c>
      <c r="BT50" s="110">
        <f>IFERROR(__xludf.DUMMYFUNCTION("""COMPUTED_VALUE"""),48.21)</f>
        <v>48.21</v>
      </c>
      <c r="BU50" s="110">
        <f>IFERROR(__xludf.DUMMYFUNCTION("""COMPUTED_VALUE"""),37.3)</f>
        <v>37.3</v>
      </c>
      <c r="BV50" s="110">
        <f>IFERROR(__xludf.DUMMYFUNCTION("""COMPUTED_VALUE"""),54.1)</f>
        <v>54.1</v>
      </c>
      <c r="BW50" s="110">
        <f>IFERROR(__xludf.DUMMYFUNCTION("""COMPUTED_VALUE"""),8.02)</f>
        <v>8.02</v>
      </c>
      <c r="BX50" s="110">
        <f>IFERROR(__xludf.DUMMYFUNCTION("""COMPUTED_VALUE"""),5.15)</f>
        <v>5.15</v>
      </c>
      <c r="BY50" s="110">
        <f>IFERROR(__xludf.DUMMYFUNCTION("""COMPUTED_VALUE"""),0.0)</f>
        <v>0</v>
      </c>
      <c r="BZ50" s="110">
        <f>IFERROR(__xludf.DUMMYFUNCTION("""COMPUTED_VALUE"""),14.71)</f>
        <v>14.71</v>
      </c>
      <c r="CA50" s="110">
        <f>IFERROR(__xludf.DUMMYFUNCTION("""COMPUTED_VALUE"""),3.64)</f>
        <v>3.64</v>
      </c>
      <c r="CB50" s="110">
        <f>IFERROR(__xludf.DUMMYFUNCTION("""COMPUTED_VALUE"""),5.49)</f>
        <v>5.49</v>
      </c>
      <c r="CC50" s="110">
        <f>IFERROR(__xludf.DUMMYFUNCTION("""COMPUTED_VALUE"""),18.79)</f>
        <v>18.79</v>
      </c>
      <c r="CD50" s="110">
        <f>IFERROR(__xludf.DUMMYFUNCTION("""COMPUTED_VALUE"""),14.04)</f>
        <v>14.04</v>
      </c>
      <c r="CE50" s="110">
        <f>IFERROR(__xludf.DUMMYFUNCTION("""COMPUTED_VALUE"""),30.06)</f>
        <v>30.06</v>
      </c>
      <c r="CF50" s="110">
        <f>IFERROR(__xludf.DUMMYFUNCTION("""COMPUTED_VALUE"""),111.3)</f>
        <v>111.3</v>
      </c>
      <c r="CG50" s="110">
        <f>IFERROR(__xludf.DUMMYFUNCTION("""COMPUTED_VALUE"""),5.27)</f>
        <v>5.27</v>
      </c>
      <c r="CH50" s="110">
        <f>IFERROR(__xludf.DUMMYFUNCTION("""COMPUTED_VALUE"""),24.23)</f>
        <v>24.23</v>
      </c>
      <c r="CI50" s="110">
        <f>IFERROR(__xludf.DUMMYFUNCTION("""COMPUTED_VALUE"""),46.34)</f>
        <v>46.34</v>
      </c>
      <c r="CJ50" s="110">
        <f>IFERROR(__xludf.DUMMYFUNCTION("""COMPUTED_VALUE"""),33.0)</f>
        <v>33</v>
      </c>
      <c r="CK50" s="110">
        <f>IFERROR(__xludf.DUMMYFUNCTION("""COMPUTED_VALUE"""),12.16)</f>
        <v>12.16</v>
      </c>
      <c r="CL50" s="110">
        <f>IFERROR(__xludf.DUMMYFUNCTION("""COMPUTED_VALUE"""),2797.36)</f>
        <v>2797.36</v>
      </c>
      <c r="CM50" s="110">
        <f>IFERROR(__xludf.DUMMYFUNCTION("""COMPUTED_VALUE"""),3.25)</f>
        <v>3.25</v>
      </c>
      <c r="CN50" s="110">
        <f>IFERROR(__xludf.DUMMYFUNCTION("""COMPUTED_VALUE"""),208.0)</f>
        <v>208</v>
      </c>
      <c r="CO50" s="110">
        <f>IFERROR(__xludf.DUMMYFUNCTION("""COMPUTED_VALUE"""),148.7)</f>
        <v>148.7</v>
      </c>
      <c r="CP50" s="110">
        <f>IFERROR(__xludf.DUMMYFUNCTION("""COMPUTED_VALUE"""),66.97)</f>
        <v>66.97</v>
      </c>
      <c r="CQ50" s="110">
        <f>IFERROR(__xludf.DUMMYFUNCTION("""COMPUTED_VALUE"""),70800.0)</f>
        <v>70800</v>
      </c>
      <c r="CR50" s="110">
        <f>IFERROR(__xludf.DUMMYFUNCTION("""COMPUTED_VALUE"""),0.52)</f>
        <v>0.52</v>
      </c>
      <c r="CS50" s="110">
        <f>IFERROR(__xludf.DUMMYFUNCTION("""COMPUTED_VALUE"""),34.92)</f>
        <v>34.92</v>
      </c>
      <c r="CT50" s="110">
        <f>IFERROR(__xludf.DUMMYFUNCTION("""COMPUTED_VALUE"""),22.08)</f>
        <v>22.08</v>
      </c>
      <c r="CU50" s="110">
        <f>IFERROR(__xludf.DUMMYFUNCTION("""COMPUTED_VALUE"""),1917.9)</f>
        <v>1917.9</v>
      </c>
      <c r="CV50" s="110">
        <f>IFERROR(__xludf.DUMMYFUNCTION("""COMPUTED_VALUE"""),2.54)</f>
        <v>2.54</v>
      </c>
      <c r="CW50" s="110">
        <f>IFERROR(__xludf.DUMMYFUNCTION("""COMPUTED_VALUE"""),2.91)</f>
        <v>2.91</v>
      </c>
      <c r="CX50" s="110">
        <f>IFERROR(__xludf.DUMMYFUNCTION("""COMPUTED_VALUE"""),0.0)</f>
        <v>0</v>
      </c>
      <c r="CY50" s="110">
        <f>IFERROR(__xludf.DUMMYFUNCTION("""COMPUTED_VALUE"""),0.05)</f>
        <v>0.05</v>
      </c>
      <c r="CZ50" s="110">
        <f>IFERROR(__xludf.DUMMYFUNCTION("""COMPUTED_VALUE"""),75.45)</f>
        <v>75.45</v>
      </c>
      <c r="DA50" s="110">
        <f>IFERROR(__xludf.DUMMYFUNCTION("""COMPUTED_VALUE"""),0.02)</f>
        <v>0.02</v>
      </c>
      <c r="DB50" s="110">
        <f>IFERROR(__xludf.DUMMYFUNCTION("""COMPUTED_VALUE"""),0.23)</f>
        <v>0.23</v>
      </c>
      <c r="DC50" s="110">
        <f>IFERROR(__xludf.DUMMYFUNCTION("""COMPUTED_VALUE"""),156.71)</f>
        <v>156.71</v>
      </c>
      <c r="DD50" s="110">
        <f>IFERROR(__xludf.DUMMYFUNCTION("""COMPUTED_VALUE"""),11.79)</f>
        <v>11.79</v>
      </c>
      <c r="DE50" s="110">
        <f>IFERROR(__xludf.DUMMYFUNCTION("""COMPUTED_VALUE"""),7.33)</f>
        <v>7.33</v>
      </c>
      <c r="DF50" s="110">
        <f>IFERROR(__xludf.DUMMYFUNCTION("""COMPUTED_VALUE"""),57.55)</f>
        <v>57.55</v>
      </c>
      <c r="DG50" s="110">
        <f>IFERROR(__xludf.DUMMYFUNCTION("""COMPUTED_VALUE"""),6.38)</f>
        <v>6.38</v>
      </c>
      <c r="DH50" s="110">
        <f>IFERROR(__xludf.DUMMYFUNCTION("""COMPUTED_VALUE"""),10.44)</f>
        <v>10.44</v>
      </c>
      <c r="DI50" s="110">
        <f>IFERROR(__xludf.DUMMYFUNCTION("""COMPUTED_VALUE"""),143.8)</f>
        <v>143.8</v>
      </c>
      <c r="DJ50" s="110">
        <f>IFERROR(__xludf.DUMMYFUNCTION("""COMPUTED_VALUE"""),12.52)</f>
        <v>12.52</v>
      </c>
      <c r="DK50" s="110">
        <f>IFERROR(__xludf.DUMMYFUNCTION("""COMPUTED_VALUE"""),2.85)</f>
        <v>2.85</v>
      </c>
      <c r="DL50" s="110">
        <f>IFERROR(__xludf.DUMMYFUNCTION("""COMPUTED_VALUE"""),25.15)</f>
        <v>25.15</v>
      </c>
      <c r="DM50" s="110">
        <f>IFERROR(__xludf.DUMMYFUNCTION("""COMPUTED_VALUE"""),440.59)</f>
        <v>440.59</v>
      </c>
      <c r="DN50" s="110">
        <f>IFERROR(__xludf.DUMMYFUNCTION("""COMPUTED_VALUE"""),166.44)</f>
        <v>166.44</v>
      </c>
      <c r="DO50" s="110">
        <f>IFERROR(__xludf.DUMMYFUNCTION("""COMPUTED_VALUE"""),380.0)</f>
        <v>380</v>
      </c>
      <c r="DP50" s="110">
        <f>IFERROR(__xludf.DUMMYFUNCTION("""COMPUTED_VALUE"""),3.55)</f>
        <v>3.55</v>
      </c>
      <c r="DQ50" s="110">
        <f>IFERROR(__xludf.DUMMYFUNCTION("""COMPUTED_VALUE"""),114.99)</f>
        <v>114.99</v>
      </c>
      <c r="DR50" s="110">
        <f>IFERROR(__xludf.DUMMYFUNCTION("""COMPUTED_VALUE"""),0.19)</f>
        <v>0.19</v>
      </c>
      <c r="DS50" s="110">
        <f>IFERROR(__xludf.DUMMYFUNCTION("""COMPUTED_VALUE"""),3.52)</f>
        <v>3.52</v>
      </c>
      <c r="DT50" s="110">
        <f>IFERROR(__xludf.DUMMYFUNCTION("""COMPUTED_VALUE"""),5.46)</f>
        <v>5.46</v>
      </c>
      <c r="DU50" s="110">
        <f>IFERROR(__xludf.DUMMYFUNCTION("""COMPUTED_VALUE"""),53.04)</f>
        <v>53.04</v>
      </c>
      <c r="DV50" s="110">
        <f>IFERROR(__xludf.DUMMYFUNCTION("""COMPUTED_VALUE"""),12.78)</f>
        <v>12.78</v>
      </c>
      <c r="DW50" s="110">
        <f>IFERROR(__xludf.DUMMYFUNCTION("""COMPUTED_VALUE"""),0.067)</f>
        <v>0.067</v>
      </c>
      <c r="DX50" s="110">
        <f>IFERROR(__xludf.DUMMYFUNCTION("""COMPUTED_VALUE"""),26.58)</f>
        <v>26.58</v>
      </c>
      <c r="DY50" s="110">
        <f>IFERROR(__xludf.DUMMYFUNCTION("""COMPUTED_VALUE"""),872.25)</f>
        <v>872.25</v>
      </c>
      <c r="DZ50" s="110">
        <f>IFERROR(__xludf.DUMMYFUNCTION("""COMPUTED_VALUE"""),83.8)</f>
        <v>83.8</v>
      </c>
      <c r="EA50" s="110">
        <f>IFERROR(__xludf.DUMMYFUNCTION("""COMPUTED_VALUE"""),46.75)</f>
        <v>46.75</v>
      </c>
      <c r="EB50" s="110">
        <f>IFERROR(__xludf.DUMMYFUNCTION("""COMPUTED_VALUE"""),70.91)</f>
        <v>70.91</v>
      </c>
      <c r="EC50" s="110">
        <f>IFERROR(__xludf.DUMMYFUNCTION("""COMPUTED_VALUE"""),74.5)</f>
        <v>74.5</v>
      </c>
      <c r="ED50" s="110">
        <f>IFERROR(__xludf.DUMMYFUNCTION("""COMPUTED_VALUE"""),39.44)</f>
        <v>39.44</v>
      </c>
      <c r="EE50" s="110">
        <f>IFERROR(__xludf.DUMMYFUNCTION("""COMPUTED_VALUE"""),86.96)</f>
        <v>86.96</v>
      </c>
      <c r="EF50" s="110">
        <f>IFERROR(__xludf.DUMMYFUNCTION("""COMPUTED_VALUE"""),184.55)</f>
        <v>184.55</v>
      </c>
      <c r="EG50" s="110">
        <f>IFERROR(__xludf.DUMMYFUNCTION("""COMPUTED_VALUE"""),68.68)</f>
        <v>68.68</v>
      </c>
      <c r="EH50" s="110">
        <f>IFERROR(__xludf.DUMMYFUNCTION("""COMPUTED_VALUE"""),103.29)</f>
        <v>103.29</v>
      </c>
      <c r="EI50" s="110">
        <f>IFERROR(__xludf.DUMMYFUNCTION("""COMPUTED_VALUE"""),136.49)</f>
        <v>136.49</v>
      </c>
      <c r="EJ50" s="110">
        <f>IFERROR(__xludf.DUMMYFUNCTION("""COMPUTED_VALUE"""),41.45)</f>
        <v>41.45</v>
      </c>
      <c r="EK50" s="110">
        <f>IFERROR(__xludf.DUMMYFUNCTION("""COMPUTED_VALUE"""),271.43)</f>
        <v>271.43</v>
      </c>
      <c r="EL50" s="110">
        <f>IFERROR(__xludf.DUMMYFUNCTION("""COMPUTED_VALUE"""),56.76)</f>
        <v>56.76</v>
      </c>
      <c r="EM50" s="110">
        <f>IFERROR(__xludf.DUMMYFUNCTION("""COMPUTED_VALUE"""),43.69)</f>
        <v>43.69</v>
      </c>
      <c r="EN50" s="110">
        <f>IFERROR(__xludf.DUMMYFUNCTION("""COMPUTED_VALUE"""),1695.0)</f>
        <v>1695</v>
      </c>
      <c r="EO50" s="110">
        <f>IFERROR(__xludf.DUMMYFUNCTION("""COMPUTED_VALUE"""),11.78)</f>
        <v>11.78</v>
      </c>
      <c r="EP50" s="110">
        <f>IFERROR(__xludf.DUMMYFUNCTION("""COMPUTED_VALUE"""),7.65)</f>
        <v>7.65</v>
      </c>
      <c r="EQ50" s="110">
        <f>IFERROR(__xludf.DUMMYFUNCTION("""COMPUTED_VALUE"""),2.05)</f>
        <v>2.05</v>
      </c>
      <c r="ER50" s="110">
        <f>IFERROR(__xludf.DUMMYFUNCTION("""COMPUTED_VALUE"""),4503.25)</f>
        <v>4503.25</v>
      </c>
      <c r="ES50" s="110">
        <f>IFERROR(__xludf.DUMMYFUNCTION("""COMPUTED_VALUE"""),95.25)</f>
        <v>95.25</v>
      </c>
      <c r="ET50" s="110">
        <f>IFERROR(__xludf.DUMMYFUNCTION("""COMPUTED_VALUE"""),114.93)</f>
        <v>114.93</v>
      </c>
      <c r="EU50" s="110">
        <f>IFERROR(__xludf.DUMMYFUNCTION("""COMPUTED_VALUE"""),29.9)</f>
        <v>29.9</v>
      </c>
      <c r="EV50" s="110">
        <f>IFERROR(__xludf.DUMMYFUNCTION("""COMPUTED_VALUE"""),1.45)</f>
        <v>1.45</v>
      </c>
      <c r="EW50" s="110">
        <f>IFERROR(__xludf.DUMMYFUNCTION("""COMPUTED_VALUE"""),13.78)</f>
        <v>13.78</v>
      </c>
      <c r="EX50" s="108">
        <f>IFERROR(__xludf.DUMMYFUNCTION("""COMPUTED_VALUE"""),5.1)</f>
        <v>5.1</v>
      </c>
      <c r="EY50" s="108">
        <f>IFERROR(__xludf.DUMMYFUNCTION("""COMPUTED_VALUE"""),174.63)</f>
        <v>174.63</v>
      </c>
      <c r="EZ50" s="108">
        <f>IFERROR(__xludf.DUMMYFUNCTION("""COMPUTED_VALUE"""),24.82)</f>
        <v>24.82</v>
      </c>
      <c r="FA50" s="108">
        <f>IFERROR(__xludf.DUMMYFUNCTION("""COMPUTED_VALUE"""),2.99)</f>
        <v>2.99</v>
      </c>
      <c r="FB50" s="108">
        <f>IFERROR(__xludf.DUMMYFUNCTION("""COMPUTED_VALUE"""),142.62)</f>
        <v>142.62</v>
      </c>
      <c r="FC50" s="108">
        <f>IFERROR(__xludf.DUMMYFUNCTION("""COMPUTED_VALUE"""),9.37)</f>
        <v>9.37</v>
      </c>
      <c r="FD50" s="108">
        <f>IFERROR(__xludf.DUMMYFUNCTION("""COMPUTED_VALUE"""),60.63)</f>
        <v>60.63</v>
      </c>
      <c r="FE50" s="108">
        <f>IFERROR(__xludf.DUMMYFUNCTION("""COMPUTED_VALUE"""),59.64)</f>
        <v>59.64</v>
      </c>
      <c r="FF50" s="108">
        <f>IFERROR(__xludf.DUMMYFUNCTION("""COMPUTED_VALUE"""),6.28)</f>
        <v>6.28</v>
      </c>
      <c r="FG50" s="108">
        <f>IFERROR(__xludf.DUMMYFUNCTION("""COMPUTED_VALUE"""),688.74)</f>
        <v>688.74</v>
      </c>
      <c r="FH50" s="108">
        <f>IFERROR(__xludf.DUMMYFUNCTION("""COMPUTED_VALUE"""),160.01)</f>
        <v>160.01</v>
      </c>
      <c r="FI50" s="108">
        <f>IFERROR(__xludf.DUMMYFUNCTION("""COMPUTED_VALUE"""),0.065)</f>
        <v>0.065</v>
      </c>
      <c r="FJ50" s="108">
        <f>IFERROR(__xludf.DUMMYFUNCTION("""COMPUTED_VALUE"""),15.52)</f>
        <v>15.52</v>
      </c>
      <c r="FK50" s="108">
        <f>IFERROR(__xludf.DUMMYFUNCTION("""COMPUTED_VALUE"""),202.36)</f>
        <v>202.36</v>
      </c>
      <c r="FL50" s="108">
        <f>IFERROR(__xludf.DUMMYFUNCTION("""COMPUTED_VALUE"""),471.54)</f>
        <v>471.54</v>
      </c>
      <c r="FM50" s="108">
        <f>IFERROR(__xludf.DUMMYFUNCTION("""COMPUTED_VALUE"""),133.09)</f>
        <v>133.09</v>
      </c>
      <c r="FN50" s="108">
        <f>IFERROR(__xludf.DUMMYFUNCTION("""COMPUTED_VALUE"""),964.34)</f>
        <v>964.34</v>
      </c>
      <c r="FO50" s="108">
        <f>IFERROR(__xludf.DUMMYFUNCTION("""COMPUTED_VALUE"""),727.01)</f>
        <v>727.01</v>
      </c>
    </row>
    <row r="51">
      <c r="A51" s="106">
        <f>IFERROR(__xludf.DUMMYFUNCTION("""COMPUTED_VALUE"""),44643.0)</f>
        <v>44643</v>
      </c>
      <c r="B51" s="110">
        <f>IFERROR(__xludf.DUMMYFUNCTION("""COMPUTED_VALUE"""),3268.16)</f>
        <v>3268.16</v>
      </c>
      <c r="C51" s="110">
        <f>IFERROR(__xludf.DUMMYFUNCTION("""COMPUTED_VALUE"""),213.46)</f>
        <v>213.46</v>
      </c>
      <c r="D51" s="110">
        <f>IFERROR(__xludf.DUMMYFUNCTION("""COMPUTED_VALUE"""),999.11)</f>
        <v>999.11</v>
      </c>
      <c r="E51" s="110">
        <f>IFERROR(__xludf.DUMMYFUNCTION("""COMPUTED_VALUE"""),389.0)</f>
        <v>389</v>
      </c>
      <c r="F51" s="110">
        <f>IFERROR(__xludf.DUMMYFUNCTION("""COMPUTED_VALUE"""),10.2)</f>
        <v>10.2</v>
      </c>
      <c r="G51" s="110">
        <f>IFERROR(__xludf.DUMMYFUNCTION("""COMPUTED_VALUE"""),170.21)</f>
        <v>170.21</v>
      </c>
      <c r="H51" s="110">
        <f>IFERROR(__xludf.DUMMYFUNCTION("""COMPUTED_VALUE"""),0.0)</f>
        <v>0</v>
      </c>
      <c r="I51" s="110">
        <f>IFERROR(__xludf.DUMMYFUNCTION("""COMPUTED_VALUE"""),1.43)</f>
        <v>1.43</v>
      </c>
      <c r="J51" s="110">
        <f>IFERROR(__xludf.DUMMYFUNCTION("""COMPUTED_VALUE"""),0.04)</f>
        <v>0.04</v>
      </c>
      <c r="K51" s="110">
        <f>IFERROR(__xludf.DUMMYFUNCTION("""COMPUTED_VALUE"""),40.2)</f>
        <v>40.2</v>
      </c>
      <c r="L51" s="110">
        <f>IFERROR(__xludf.DUMMYFUNCTION("""COMPUTED_VALUE"""),156.2)</f>
        <v>156.2</v>
      </c>
      <c r="M51" s="110">
        <f>IFERROR(__xludf.DUMMYFUNCTION("""COMPUTED_VALUE"""),42977.3)</f>
        <v>42977.3</v>
      </c>
      <c r="N51" s="110">
        <f>IFERROR(__xludf.DUMMYFUNCTION("""COMPUTED_VALUE"""),374.49)</f>
        <v>374.49</v>
      </c>
      <c r="O51" s="110">
        <f>IFERROR(__xludf.DUMMYFUNCTION("""COMPUTED_VALUE"""),299.49)</f>
        <v>299.49</v>
      </c>
      <c r="P51" s="110">
        <f>IFERROR(__xludf.DUMMYFUNCTION("""COMPUTED_VALUE"""),28.31)</f>
        <v>28.31</v>
      </c>
      <c r="Q51" s="110">
        <f>IFERROR(__xludf.DUMMYFUNCTION("""COMPUTED_VALUE"""),24.54)</f>
        <v>24.54</v>
      </c>
      <c r="R51" s="110">
        <f>IFERROR(__xludf.DUMMYFUNCTION("""COMPUTED_VALUE"""),64.29)</f>
        <v>64.29</v>
      </c>
      <c r="S51" s="110">
        <f>IFERROR(__xludf.DUMMYFUNCTION("""COMPUTED_VALUE"""),28.61)</f>
        <v>28.61</v>
      </c>
      <c r="T51" s="110">
        <f>IFERROR(__xludf.DUMMYFUNCTION("""COMPUTED_VALUE"""),29.08)</f>
        <v>29.08</v>
      </c>
      <c r="U51" s="110">
        <f>IFERROR(__xludf.DUMMYFUNCTION("""COMPUTED_VALUE"""),41.41)</f>
        <v>41.41</v>
      </c>
      <c r="V51" s="110">
        <f>IFERROR(__xludf.DUMMYFUNCTION("""COMPUTED_VALUE"""),14.8)</f>
        <v>14.8</v>
      </c>
      <c r="W51" s="110">
        <f>IFERROR(__xludf.DUMMYFUNCTION("""COMPUTED_VALUE"""),236.12)</f>
        <v>236.12</v>
      </c>
      <c r="X51" s="110">
        <f>IFERROR(__xludf.DUMMYFUNCTION("""COMPUTED_VALUE"""),2770.07)</f>
        <v>2770.07</v>
      </c>
      <c r="Y51" s="110">
        <f>IFERROR(__xludf.DUMMYFUNCTION("""COMPUTED_VALUE"""),56.7)</f>
        <v>56.7</v>
      </c>
      <c r="Z51" s="110">
        <f>IFERROR(__xludf.DUMMYFUNCTION("""COMPUTED_VALUE"""),65.3)</f>
        <v>65.3</v>
      </c>
      <c r="AA51" s="110">
        <f>IFERROR(__xludf.DUMMYFUNCTION("""COMPUTED_VALUE"""),117.59)</f>
        <v>117.59</v>
      </c>
      <c r="AB51" s="110">
        <f>IFERROR(__xludf.DUMMYFUNCTION("""COMPUTED_VALUE"""),4.63)</f>
        <v>4.63</v>
      </c>
      <c r="AC51" s="110">
        <f>IFERROR(__xludf.DUMMYFUNCTION("""COMPUTED_VALUE"""),76.87)</f>
        <v>76.87</v>
      </c>
      <c r="AD51" s="110">
        <f>IFERROR(__xludf.DUMMYFUNCTION("""COMPUTED_VALUE"""),12.09)</f>
        <v>12.09</v>
      </c>
      <c r="AE51" s="110">
        <f>IFERROR(__xludf.DUMMYFUNCTION("""COMPUTED_VALUE"""),6.24)</f>
        <v>6.24</v>
      </c>
      <c r="AF51" s="110">
        <f>IFERROR(__xludf.DUMMYFUNCTION("""COMPUTED_VALUE"""),41.58)</f>
        <v>41.58</v>
      </c>
      <c r="AG51" s="110">
        <f>IFERROR(__xludf.DUMMYFUNCTION("""COMPUTED_VALUE"""),13.08)</f>
        <v>13.08</v>
      </c>
      <c r="AH51" s="110">
        <f>IFERROR(__xludf.DUMMYFUNCTION("""COMPUTED_VALUE"""),2.15)</f>
        <v>2.15</v>
      </c>
      <c r="AI51" s="110">
        <f>IFERROR(__xludf.DUMMYFUNCTION("""COMPUTED_VALUE"""),3.36)</f>
        <v>3.36</v>
      </c>
      <c r="AJ51" s="110">
        <f>IFERROR(__xludf.DUMMYFUNCTION("""COMPUTED_VALUE"""),97.9)</f>
        <v>97.9</v>
      </c>
      <c r="AK51" s="110">
        <f>IFERROR(__xludf.DUMMYFUNCTION("""COMPUTED_VALUE"""),256.34)</f>
        <v>256.34</v>
      </c>
      <c r="AL51" s="110">
        <f>IFERROR(__xludf.DUMMYFUNCTION("""COMPUTED_VALUE"""),14.78)</f>
        <v>14.78</v>
      </c>
      <c r="AM51" s="110">
        <f>IFERROR(__xludf.DUMMYFUNCTION("""COMPUTED_VALUE"""),43.09)</f>
        <v>43.09</v>
      </c>
      <c r="AN51" s="110">
        <f>IFERROR(__xludf.DUMMYFUNCTION("""COMPUTED_VALUE"""),348.16)</f>
        <v>348.16</v>
      </c>
      <c r="AO51" s="110">
        <f>IFERROR(__xludf.DUMMYFUNCTION("""COMPUTED_VALUE"""),104.15)</f>
        <v>104.15</v>
      </c>
      <c r="AP51" s="110">
        <f>IFERROR(__xludf.DUMMYFUNCTION("""COMPUTED_VALUE"""),79.07)</f>
        <v>79.07</v>
      </c>
      <c r="AQ51" s="110">
        <f>IFERROR(__xludf.DUMMYFUNCTION("""COMPUTED_VALUE"""),47.86)</f>
        <v>47.86</v>
      </c>
      <c r="AR51" s="109">
        <f>IFERROR(__xludf.DUMMYFUNCTION("""COMPUTED_VALUE"""),103.4525)</f>
        <v>103.4525</v>
      </c>
      <c r="AS51" s="110">
        <f>IFERROR(__xludf.DUMMYFUNCTION("""COMPUTED_VALUE"""),14.65)</f>
        <v>14.65</v>
      </c>
      <c r="AT51" s="110">
        <f>IFERROR(__xludf.DUMMYFUNCTION("""COMPUTED_VALUE"""),117.6)</f>
        <v>117.6</v>
      </c>
      <c r="AU51" s="110">
        <f>IFERROR(__xludf.DUMMYFUNCTION("""COMPUTED_VALUE"""),65.72)</f>
        <v>65.72</v>
      </c>
      <c r="AV51" s="110">
        <f>IFERROR(__xludf.DUMMYFUNCTION("""COMPUTED_VALUE"""),137.64)</f>
        <v>137.64</v>
      </c>
      <c r="AW51" s="110">
        <f>IFERROR(__xludf.DUMMYFUNCTION("""COMPUTED_VALUE"""),131.42)</f>
        <v>131.42</v>
      </c>
      <c r="AX51" s="110">
        <f>IFERROR(__xludf.DUMMYFUNCTION("""COMPUTED_VALUE"""),20.9)</f>
        <v>20.9</v>
      </c>
      <c r="AY51" s="110">
        <f>IFERROR(__xludf.DUMMYFUNCTION("""COMPUTED_VALUE"""),50.71)</f>
        <v>50.71</v>
      </c>
      <c r="AZ51" s="110">
        <f>IFERROR(__xludf.DUMMYFUNCTION("""COMPUTED_VALUE"""),0.0)</f>
        <v>0</v>
      </c>
      <c r="BA51" s="110">
        <f>IFERROR(__xludf.DUMMYFUNCTION("""COMPUTED_VALUE"""),0.0)</f>
        <v>0</v>
      </c>
      <c r="BB51" s="110">
        <f>IFERROR(__xludf.DUMMYFUNCTION("""COMPUTED_VALUE"""),11.96)</f>
        <v>11.96</v>
      </c>
      <c r="BC51" s="110">
        <f>IFERROR(__xludf.DUMMYFUNCTION("""COMPUTED_VALUE"""),8.65)</f>
        <v>8.65</v>
      </c>
      <c r="BD51" s="110">
        <f>IFERROR(__xludf.DUMMYFUNCTION("""COMPUTED_VALUE"""),191.1)</f>
        <v>191.1</v>
      </c>
      <c r="BE51" s="110">
        <f>IFERROR(__xludf.DUMMYFUNCTION("""COMPUTED_VALUE"""),151.3)</f>
        <v>151.3</v>
      </c>
      <c r="BF51" s="110">
        <f>IFERROR(__xludf.DUMMYFUNCTION("""COMPUTED_VALUE"""),11.52)</f>
        <v>11.52</v>
      </c>
      <c r="BG51" s="110">
        <f>IFERROR(__xludf.DUMMYFUNCTION("""COMPUTED_VALUE"""),604.04)</f>
        <v>604.04</v>
      </c>
      <c r="BH51" s="110">
        <f>IFERROR(__xludf.DUMMYFUNCTION("""COMPUTED_VALUE"""),289.41)</f>
        <v>289.41</v>
      </c>
      <c r="BI51" s="110">
        <f>IFERROR(__xludf.DUMMYFUNCTION("""COMPUTED_VALUE"""),234.18)</f>
        <v>234.18</v>
      </c>
      <c r="BJ51" s="110">
        <f>IFERROR(__xludf.DUMMYFUNCTION("""COMPUTED_VALUE"""),25.9)</f>
        <v>25.9</v>
      </c>
      <c r="BK51" s="110">
        <f>IFERROR(__xludf.DUMMYFUNCTION("""COMPUTED_VALUE"""),316.44)</f>
        <v>316.44</v>
      </c>
      <c r="BL51" s="110">
        <f>IFERROR(__xludf.DUMMYFUNCTION("""COMPUTED_VALUE"""),124.83)</f>
        <v>124.83</v>
      </c>
      <c r="BM51" s="110">
        <f>IFERROR(__xludf.DUMMYFUNCTION("""COMPUTED_VALUE"""),16.68)</f>
        <v>16.68</v>
      </c>
      <c r="BN51" s="110">
        <f>IFERROR(__xludf.DUMMYFUNCTION("""COMPUTED_VALUE"""),308.83)</f>
        <v>308.83</v>
      </c>
      <c r="BO51" s="110">
        <f>IFERROR(__xludf.DUMMYFUNCTION("""COMPUTED_VALUE"""),685.55)</f>
        <v>685.55</v>
      </c>
      <c r="BP51" s="110">
        <f>IFERROR(__xludf.DUMMYFUNCTION("""COMPUTED_VALUE"""),45.87)</f>
        <v>45.87</v>
      </c>
      <c r="BQ51" s="110">
        <f>IFERROR(__xludf.DUMMYFUNCTION("""COMPUTED_VALUE"""),9.37)</f>
        <v>9.37</v>
      </c>
      <c r="BR51" s="110">
        <f>IFERROR(__xludf.DUMMYFUNCTION("""COMPUTED_VALUE"""),36.69)</f>
        <v>36.69</v>
      </c>
      <c r="BS51" s="110">
        <f>IFERROR(__xludf.DUMMYFUNCTION("""COMPUTED_VALUE"""),1.0)</f>
        <v>1</v>
      </c>
      <c r="BT51" s="110">
        <f>IFERROR(__xludf.DUMMYFUNCTION("""COMPUTED_VALUE"""),47.89)</f>
        <v>47.89</v>
      </c>
      <c r="BU51" s="110">
        <f>IFERROR(__xludf.DUMMYFUNCTION("""COMPUTED_VALUE"""),36.75)</f>
        <v>36.75</v>
      </c>
      <c r="BV51" s="110">
        <f>IFERROR(__xludf.DUMMYFUNCTION("""COMPUTED_VALUE"""),54.35)</f>
        <v>54.35</v>
      </c>
      <c r="BW51" s="110">
        <f>IFERROR(__xludf.DUMMYFUNCTION("""COMPUTED_VALUE"""),7.91)</f>
        <v>7.91</v>
      </c>
      <c r="BX51" s="110">
        <f>IFERROR(__xludf.DUMMYFUNCTION("""COMPUTED_VALUE"""),5.09)</f>
        <v>5.09</v>
      </c>
      <c r="BY51" s="110">
        <f>IFERROR(__xludf.DUMMYFUNCTION("""COMPUTED_VALUE"""),0.0)</f>
        <v>0</v>
      </c>
      <c r="BZ51" s="110">
        <f>IFERROR(__xludf.DUMMYFUNCTION("""COMPUTED_VALUE"""),14.9)</f>
        <v>14.9</v>
      </c>
      <c r="CA51" s="110">
        <f>IFERROR(__xludf.DUMMYFUNCTION("""COMPUTED_VALUE"""),4.0)</f>
        <v>4</v>
      </c>
      <c r="CB51" s="110">
        <f>IFERROR(__xludf.DUMMYFUNCTION("""COMPUTED_VALUE"""),5.53)</f>
        <v>5.53</v>
      </c>
      <c r="CC51" s="110">
        <f>IFERROR(__xludf.DUMMYFUNCTION("""COMPUTED_VALUE"""),18.26)</f>
        <v>18.26</v>
      </c>
      <c r="CD51" s="110">
        <f>IFERROR(__xludf.DUMMYFUNCTION("""COMPUTED_VALUE"""),13.85)</f>
        <v>13.85</v>
      </c>
      <c r="CE51" s="110">
        <f>IFERROR(__xludf.DUMMYFUNCTION("""COMPUTED_VALUE"""),30.4)</f>
        <v>30.4</v>
      </c>
      <c r="CF51" s="110">
        <f>IFERROR(__xludf.DUMMYFUNCTION("""COMPUTED_VALUE"""),115.83)</f>
        <v>115.83</v>
      </c>
      <c r="CG51" s="110">
        <f>IFERROR(__xludf.DUMMYFUNCTION("""COMPUTED_VALUE"""),5.15)</f>
        <v>5.15</v>
      </c>
      <c r="CH51" s="110">
        <f>IFERROR(__xludf.DUMMYFUNCTION("""COMPUTED_VALUE"""),24.57)</f>
        <v>24.57</v>
      </c>
      <c r="CI51" s="110">
        <f>IFERROR(__xludf.DUMMYFUNCTION("""COMPUTED_VALUE"""),47.17)</f>
        <v>47.17</v>
      </c>
      <c r="CJ51" s="110">
        <f>IFERROR(__xludf.DUMMYFUNCTION("""COMPUTED_VALUE"""),0.0)</f>
        <v>0</v>
      </c>
      <c r="CK51" s="110">
        <f>IFERROR(__xludf.DUMMYFUNCTION("""COMPUTED_VALUE"""),12.23)</f>
        <v>12.23</v>
      </c>
      <c r="CL51" s="110">
        <f>IFERROR(__xludf.DUMMYFUNCTION("""COMPUTED_VALUE"""),2765.51)</f>
        <v>2765.51</v>
      </c>
      <c r="CM51" s="110">
        <f>IFERROR(__xludf.DUMMYFUNCTION("""COMPUTED_VALUE"""),0.0)</f>
        <v>0</v>
      </c>
      <c r="CN51" s="110">
        <f>IFERROR(__xludf.DUMMYFUNCTION("""COMPUTED_VALUE"""),229.0)</f>
        <v>229</v>
      </c>
      <c r="CO51" s="110">
        <f>IFERROR(__xludf.DUMMYFUNCTION("""COMPUTED_VALUE"""),153.8)</f>
        <v>153.8</v>
      </c>
      <c r="CP51" s="110">
        <f>IFERROR(__xludf.DUMMYFUNCTION("""COMPUTED_VALUE"""),65.67)</f>
        <v>65.67</v>
      </c>
      <c r="CQ51" s="110">
        <f>IFERROR(__xludf.DUMMYFUNCTION("""COMPUTED_VALUE"""),69900.0)</f>
        <v>69900</v>
      </c>
      <c r="CR51" s="110">
        <f>IFERROR(__xludf.DUMMYFUNCTION("""COMPUTED_VALUE"""),0.52)</f>
        <v>0.52</v>
      </c>
      <c r="CS51" s="110">
        <f>IFERROR(__xludf.DUMMYFUNCTION("""COMPUTED_VALUE"""),35.19)</f>
        <v>35.19</v>
      </c>
      <c r="CT51" s="110">
        <f>IFERROR(__xludf.DUMMYFUNCTION("""COMPUTED_VALUE"""),22.32)</f>
        <v>22.32</v>
      </c>
      <c r="CU51" s="110">
        <f>IFERROR(__xludf.DUMMYFUNCTION("""COMPUTED_VALUE"""),1947.3)</f>
        <v>1947.3</v>
      </c>
      <c r="CV51" s="110">
        <f>IFERROR(__xludf.DUMMYFUNCTION("""COMPUTED_VALUE"""),2.56)</f>
        <v>2.56</v>
      </c>
      <c r="CW51" s="110">
        <f>IFERROR(__xludf.DUMMYFUNCTION("""COMPUTED_VALUE"""),2.95)</f>
        <v>2.95</v>
      </c>
      <c r="CX51" s="110">
        <f>IFERROR(__xludf.DUMMYFUNCTION("""COMPUTED_VALUE"""),0.0)</f>
        <v>0</v>
      </c>
      <c r="CY51" s="110">
        <f>IFERROR(__xludf.DUMMYFUNCTION("""COMPUTED_VALUE"""),0.05)</f>
        <v>0.05</v>
      </c>
      <c r="CZ51" s="110">
        <f>IFERROR(__xludf.DUMMYFUNCTION("""COMPUTED_VALUE"""),80.2)</f>
        <v>80.2</v>
      </c>
      <c r="DA51" s="110">
        <f>IFERROR(__xludf.DUMMYFUNCTION("""COMPUTED_VALUE"""),0.02)</f>
        <v>0.02</v>
      </c>
      <c r="DB51" s="110">
        <f>IFERROR(__xludf.DUMMYFUNCTION("""COMPUTED_VALUE"""),0.2)</f>
        <v>0.2</v>
      </c>
      <c r="DC51" s="110">
        <f>IFERROR(__xludf.DUMMYFUNCTION("""COMPUTED_VALUE"""),154.3)</f>
        <v>154.3</v>
      </c>
      <c r="DD51" s="110">
        <f>IFERROR(__xludf.DUMMYFUNCTION("""COMPUTED_VALUE"""),11.36)</f>
        <v>11.36</v>
      </c>
      <c r="DE51" s="110">
        <f>IFERROR(__xludf.DUMMYFUNCTION("""COMPUTED_VALUE"""),7.14)</f>
        <v>7.14</v>
      </c>
      <c r="DF51" s="110">
        <f>IFERROR(__xludf.DUMMYFUNCTION("""COMPUTED_VALUE"""),57.75)</f>
        <v>57.75</v>
      </c>
      <c r="DG51" s="110">
        <f>IFERROR(__xludf.DUMMYFUNCTION("""COMPUTED_VALUE"""),5.8)</f>
        <v>5.8</v>
      </c>
      <c r="DH51" s="110">
        <f>IFERROR(__xludf.DUMMYFUNCTION("""COMPUTED_VALUE"""),10.33)</f>
        <v>10.33</v>
      </c>
      <c r="DI51" s="110">
        <f>IFERROR(__xludf.DUMMYFUNCTION("""COMPUTED_VALUE"""),141.95)</f>
        <v>141.95</v>
      </c>
      <c r="DJ51" s="110">
        <f>IFERROR(__xludf.DUMMYFUNCTION("""COMPUTED_VALUE"""),12.19)</f>
        <v>12.19</v>
      </c>
      <c r="DK51" s="110">
        <f>IFERROR(__xludf.DUMMYFUNCTION("""COMPUTED_VALUE"""),0.0)</f>
        <v>0</v>
      </c>
      <c r="DL51" s="110">
        <f>IFERROR(__xludf.DUMMYFUNCTION("""COMPUTED_VALUE"""),25.55)</f>
        <v>25.55</v>
      </c>
      <c r="DM51" s="110">
        <f>IFERROR(__xludf.DUMMYFUNCTION("""COMPUTED_VALUE"""),445.25)</f>
        <v>445.25</v>
      </c>
      <c r="DN51" s="110">
        <f>IFERROR(__xludf.DUMMYFUNCTION("""COMPUTED_VALUE"""),164.16)</f>
        <v>164.16</v>
      </c>
      <c r="DO51" s="110">
        <f>IFERROR(__xludf.DUMMYFUNCTION("""COMPUTED_VALUE"""),382.8)</f>
        <v>382.8</v>
      </c>
      <c r="DP51" s="110">
        <f>IFERROR(__xludf.DUMMYFUNCTION("""COMPUTED_VALUE"""),4.45)</f>
        <v>4.45</v>
      </c>
      <c r="DQ51" s="110">
        <f>IFERROR(__xludf.DUMMYFUNCTION("""COMPUTED_VALUE"""),117.24)</f>
        <v>117.24</v>
      </c>
      <c r="DR51" s="110">
        <f>IFERROR(__xludf.DUMMYFUNCTION("""COMPUTED_VALUE"""),0.1)</f>
        <v>0.1</v>
      </c>
      <c r="DS51" s="110">
        <f>IFERROR(__xludf.DUMMYFUNCTION("""COMPUTED_VALUE"""),3.52)</f>
        <v>3.52</v>
      </c>
      <c r="DT51" s="110">
        <f>IFERROR(__xludf.DUMMYFUNCTION("""COMPUTED_VALUE"""),5.47)</f>
        <v>5.47</v>
      </c>
      <c r="DU51" s="110">
        <f>IFERROR(__xludf.DUMMYFUNCTION("""COMPUTED_VALUE"""),52.19)</f>
        <v>52.19</v>
      </c>
      <c r="DV51" s="110">
        <f>IFERROR(__xludf.DUMMYFUNCTION("""COMPUTED_VALUE"""),13.24)</f>
        <v>13.24</v>
      </c>
      <c r="DW51" s="110">
        <f>IFERROR(__xludf.DUMMYFUNCTION("""COMPUTED_VALUE"""),0.067)</f>
        <v>0.067</v>
      </c>
      <c r="DX51" s="110">
        <f>IFERROR(__xludf.DUMMYFUNCTION("""COMPUTED_VALUE"""),26.5)</f>
        <v>26.5</v>
      </c>
      <c r="DY51" s="110">
        <f>IFERROR(__xludf.DUMMYFUNCTION("""COMPUTED_VALUE"""),0.0)</f>
        <v>0</v>
      </c>
      <c r="DZ51" s="110">
        <f>IFERROR(__xludf.DUMMYFUNCTION("""COMPUTED_VALUE"""),80.18)</f>
        <v>80.18</v>
      </c>
      <c r="EA51" s="110">
        <f>IFERROR(__xludf.DUMMYFUNCTION("""COMPUTED_VALUE"""),46.22)</f>
        <v>46.22</v>
      </c>
      <c r="EB51" s="110">
        <f>IFERROR(__xludf.DUMMYFUNCTION("""COMPUTED_VALUE"""),71.01)</f>
        <v>71.01</v>
      </c>
      <c r="EC51" s="110">
        <f>IFERROR(__xludf.DUMMYFUNCTION("""COMPUTED_VALUE"""),73.9)</f>
        <v>73.9</v>
      </c>
      <c r="ED51" s="110">
        <f>IFERROR(__xludf.DUMMYFUNCTION("""COMPUTED_VALUE"""),38.71)</f>
        <v>38.71</v>
      </c>
      <c r="EE51" s="110">
        <f>IFERROR(__xludf.DUMMYFUNCTION("""COMPUTED_VALUE"""),86.56)</f>
        <v>86.56</v>
      </c>
      <c r="EF51" s="110">
        <f>IFERROR(__xludf.DUMMYFUNCTION("""COMPUTED_VALUE"""),182.26)</f>
        <v>182.26</v>
      </c>
      <c r="EG51" s="110">
        <f>IFERROR(__xludf.DUMMYFUNCTION("""COMPUTED_VALUE"""),67.74)</f>
        <v>67.74</v>
      </c>
      <c r="EH51" s="110">
        <f>IFERROR(__xludf.DUMMYFUNCTION("""COMPUTED_VALUE"""),102.3)</f>
        <v>102.3</v>
      </c>
      <c r="EI51" s="110">
        <f>IFERROR(__xludf.DUMMYFUNCTION("""COMPUTED_VALUE"""),134.04)</f>
        <v>134.04</v>
      </c>
      <c r="EJ51" s="110">
        <f>IFERROR(__xludf.DUMMYFUNCTION("""COMPUTED_VALUE"""),41.45)</f>
        <v>41.45</v>
      </c>
      <c r="EK51" s="110">
        <f>IFERROR(__xludf.DUMMYFUNCTION("""COMPUTED_VALUE"""),271.97)</f>
        <v>271.97</v>
      </c>
      <c r="EL51" s="110">
        <f>IFERROR(__xludf.DUMMYFUNCTION("""COMPUTED_VALUE"""),59.4)</f>
        <v>59.4</v>
      </c>
      <c r="EM51" s="110">
        <f>IFERROR(__xludf.DUMMYFUNCTION("""COMPUTED_VALUE"""),43.32)</f>
        <v>43.32</v>
      </c>
      <c r="EN51" s="110">
        <f>IFERROR(__xludf.DUMMYFUNCTION("""COMPUTED_VALUE"""),1752.19)</f>
        <v>1752.19</v>
      </c>
      <c r="EO51" s="110">
        <f>IFERROR(__xludf.DUMMYFUNCTION("""COMPUTED_VALUE"""),11.78)</f>
        <v>11.78</v>
      </c>
      <c r="EP51" s="110">
        <f>IFERROR(__xludf.DUMMYFUNCTION("""COMPUTED_VALUE"""),0.0)</f>
        <v>0</v>
      </c>
      <c r="EQ51" s="110">
        <f>IFERROR(__xludf.DUMMYFUNCTION("""COMPUTED_VALUE"""),2.1)</f>
        <v>2.1</v>
      </c>
      <c r="ER51" s="110">
        <f>IFERROR(__xludf.DUMMYFUNCTION("""COMPUTED_VALUE"""),4451.0)</f>
        <v>4451</v>
      </c>
      <c r="ES51" s="110">
        <f>IFERROR(__xludf.DUMMYFUNCTION("""COMPUTED_VALUE"""),96.01)</f>
        <v>96.01</v>
      </c>
      <c r="ET51" s="110">
        <f>IFERROR(__xludf.DUMMYFUNCTION("""COMPUTED_VALUE"""),122.65)</f>
        <v>122.65</v>
      </c>
      <c r="EU51" s="110">
        <f>IFERROR(__xludf.DUMMYFUNCTION("""COMPUTED_VALUE"""),31.65)</f>
        <v>31.65</v>
      </c>
      <c r="EV51" s="110">
        <f>IFERROR(__xludf.DUMMYFUNCTION("""COMPUTED_VALUE"""),1.48)</f>
        <v>1.48</v>
      </c>
      <c r="EW51" s="110">
        <f>IFERROR(__xludf.DUMMYFUNCTION("""COMPUTED_VALUE"""),14.06)</f>
        <v>14.06</v>
      </c>
      <c r="EX51" s="108">
        <f>IFERROR(__xludf.DUMMYFUNCTION("""COMPUTED_VALUE"""),5.37)</f>
        <v>5.37</v>
      </c>
      <c r="EY51" s="108">
        <f>IFERROR(__xludf.DUMMYFUNCTION("""COMPUTED_VALUE"""),166.33)</f>
        <v>166.33</v>
      </c>
      <c r="EZ51" s="108">
        <f>IFERROR(__xludf.DUMMYFUNCTION("""COMPUTED_VALUE"""),25.355)</f>
        <v>25.355</v>
      </c>
      <c r="FA51" s="108">
        <f>IFERROR(__xludf.DUMMYFUNCTION("""COMPUTED_VALUE"""),3.0)</f>
        <v>3</v>
      </c>
      <c r="FB51" s="108">
        <f>IFERROR(__xludf.DUMMYFUNCTION("""COMPUTED_VALUE"""),139.78)</f>
        <v>139.78</v>
      </c>
      <c r="FC51" s="108">
        <f>IFERROR(__xludf.DUMMYFUNCTION("""COMPUTED_VALUE"""),9.2)</f>
        <v>9.2</v>
      </c>
      <c r="FD51" s="108">
        <f>IFERROR(__xludf.DUMMYFUNCTION("""COMPUTED_VALUE"""),61.67)</f>
        <v>61.67</v>
      </c>
      <c r="FE51" s="108">
        <f>IFERROR(__xludf.DUMMYFUNCTION("""COMPUTED_VALUE"""),59.84)</f>
        <v>59.84</v>
      </c>
      <c r="FF51" s="108">
        <f>IFERROR(__xludf.DUMMYFUNCTION("""COMPUTED_VALUE"""),6.25)</f>
        <v>6.25</v>
      </c>
      <c r="FG51" s="108">
        <f>IFERROR(__xludf.DUMMYFUNCTION("""COMPUTED_VALUE"""),665.36)</f>
        <v>665.36</v>
      </c>
      <c r="FH51" s="108">
        <f>IFERROR(__xludf.DUMMYFUNCTION("""COMPUTED_VALUE"""),158.42)</f>
        <v>158.42</v>
      </c>
      <c r="FI51" s="108">
        <f>IFERROR(__xludf.DUMMYFUNCTION("""COMPUTED_VALUE"""),0.065)</f>
        <v>0.065</v>
      </c>
      <c r="FJ51" s="108">
        <f>IFERROR(__xludf.DUMMYFUNCTION("""COMPUTED_VALUE"""),15.38)</f>
        <v>15.38</v>
      </c>
      <c r="FK51" s="108">
        <f>IFERROR(__xludf.DUMMYFUNCTION("""COMPUTED_VALUE"""),204.8)</f>
        <v>204.8</v>
      </c>
      <c r="FL51" s="108">
        <f>IFERROR(__xludf.DUMMYFUNCTION("""COMPUTED_VALUE"""),462.17)</f>
        <v>462.17</v>
      </c>
      <c r="FM51" s="108">
        <f>IFERROR(__xludf.DUMMYFUNCTION("""COMPUTED_VALUE"""),133.0)</f>
        <v>133</v>
      </c>
      <c r="FN51" s="108">
        <f>IFERROR(__xludf.DUMMYFUNCTION("""COMPUTED_VALUE"""),990.82)</f>
        <v>990.82</v>
      </c>
      <c r="FO51" s="108">
        <f>IFERROR(__xludf.DUMMYFUNCTION("""COMPUTED_VALUE"""),703.59)</f>
        <v>703.59</v>
      </c>
    </row>
    <row r="52">
      <c r="A52" s="106">
        <f>IFERROR(__xludf.DUMMYFUNCTION("""COMPUTED_VALUE"""),44644.0)</f>
        <v>44644</v>
      </c>
      <c r="B52" s="110">
        <f>IFERROR(__xludf.DUMMYFUNCTION("""COMPUTED_VALUE"""),3272.99)</f>
        <v>3272.99</v>
      </c>
      <c r="C52" s="110">
        <f>IFERROR(__xludf.DUMMYFUNCTION("""COMPUTED_VALUE"""),219.57)</f>
        <v>219.57</v>
      </c>
      <c r="D52" s="110">
        <f>IFERROR(__xludf.DUMMYFUNCTION("""COMPUTED_VALUE"""),1013.92)</f>
        <v>1013.92</v>
      </c>
      <c r="E52" s="110">
        <f>IFERROR(__xludf.DUMMYFUNCTION("""COMPUTED_VALUE"""),366.0)</f>
        <v>366</v>
      </c>
      <c r="F52" s="110">
        <f>IFERROR(__xludf.DUMMYFUNCTION("""COMPUTED_VALUE"""),10.34)</f>
        <v>10.34</v>
      </c>
      <c r="G52" s="110">
        <f>IFERROR(__xludf.DUMMYFUNCTION("""COMPUTED_VALUE"""),174.07)</f>
        <v>174.07</v>
      </c>
      <c r="H52" s="110">
        <f>IFERROR(__xludf.DUMMYFUNCTION("""COMPUTED_VALUE"""),0.0)</f>
        <v>0</v>
      </c>
      <c r="I52" s="110">
        <f>IFERROR(__xludf.DUMMYFUNCTION("""COMPUTED_VALUE"""),0.09)</f>
        <v>0.09</v>
      </c>
      <c r="J52" s="110">
        <f>IFERROR(__xludf.DUMMYFUNCTION("""COMPUTED_VALUE"""),0.02)</f>
        <v>0.02</v>
      </c>
      <c r="K52" s="110">
        <f>IFERROR(__xludf.DUMMYFUNCTION("""COMPUTED_VALUE"""),40.4)</f>
        <v>40.4</v>
      </c>
      <c r="L52" s="110">
        <f>IFERROR(__xludf.DUMMYFUNCTION("""COMPUTED_VALUE"""),147.0)</f>
        <v>147</v>
      </c>
      <c r="M52" s="110">
        <f>IFERROR(__xludf.DUMMYFUNCTION("""COMPUTED_VALUE"""),43888.69)</f>
        <v>43888.69</v>
      </c>
      <c r="N52" s="110">
        <f>IFERROR(__xludf.DUMMYFUNCTION("""COMPUTED_VALUE"""),375.71)</f>
        <v>375.71</v>
      </c>
      <c r="O52" s="110">
        <f>IFERROR(__xludf.DUMMYFUNCTION("""COMPUTED_VALUE"""),304.1)</f>
        <v>304.1</v>
      </c>
      <c r="P52" s="110">
        <f>IFERROR(__xludf.DUMMYFUNCTION("""COMPUTED_VALUE"""),28.9)</f>
        <v>28.9</v>
      </c>
      <c r="Q52" s="110">
        <f>IFERROR(__xludf.DUMMYFUNCTION("""COMPUTED_VALUE"""),24.56)</f>
        <v>24.56</v>
      </c>
      <c r="R52" s="110">
        <f>IFERROR(__xludf.DUMMYFUNCTION("""COMPUTED_VALUE"""),61.52)</f>
        <v>61.52</v>
      </c>
      <c r="S52" s="110">
        <f>IFERROR(__xludf.DUMMYFUNCTION("""COMPUTED_VALUE"""),30.51)</f>
        <v>30.51</v>
      </c>
      <c r="T52" s="110">
        <f>IFERROR(__xludf.DUMMYFUNCTION("""COMPUTED_VALUE"""),29.26)</f>
        <v>29.26</v>
      </c>
      <c r="U52" s="110">
        <f>IFERROR(__xludf.DUMMYFUNCTION("""COMPUTED_VALUE"""),42.16)</f>
        <v>42.16</v>
      </c>
      <c r="V52" s="110">
        <f>IFERROR(__xludf.DUMMYFUNCTION("""COMPUTED_VALUE"""),14.85)</f>
        <v>14.85</v>
      </c>
      <c r="W52" s="110">
        <f>IFERROR(__xludf.DUMMYFUNCTION("""COMPUTED_VALUE"""),240.26)</f>
        <v>240.26</v>
      </c>
      <c r="X52" s="110">
        <f>IFERROR(__xludf.DUMMYFUNCTION("""COMPUTED_VALUE"""),2826.24)</f>
        <v>2826.24</v>
      </c>
      <c r="Y52" s="110">
        <f>IFERROR(__xludf.DUMMYFUNCTION("""COMPUTED_VALUE"""),56.85)</f>
        <v>56.85</v>
      </c>
      <c r="Z52" s="110">
        <f>IFERROR(__xludf.DUMMYFUNCTION("""COMPUTED_VALUE"""),69.4)</f>
        <v>69.4</v>
      </c>
      <c r="AA52" s="110">
        <f>IFERROR(__xludf.DUMMYFUNCTION("""COMPUTED_VALUE"""),122.39)</f>
        <v>122.39</v>
      </c>
      <c r="AB52" s="110">
        <f>IFERROR(__xludf.DUMMYFUNCTION("""COMPUTED_VALUE"""),4.66)</f>
        <v>4.66</v>
      </c>
      <c r="AC52" s="110">
        <f>IFERROR(__xludf.DUMMYFUNCTION("""COMPUTED_VALUE"""),77.02)</f>
        <v>77.02</v>
      </c>
      <c r="AD52" s="110">
        <f>IFERROR(__xludf.DUMMYFUNCTION("""COMPUTED_VALUE"""),12.09)</f>
        <v>12.09</v>
      </c>
      <c r="AE52" s="110">
        <f>IFERROR(__xludf.DUMMYFUNCTION("""COMPUTED_VALUE"""),5.99)</f>
        <v>5.99</v>
      </c>
      <c r="AF52" s="110">
        <f>IFERROR(__xludf.DUMMYFUNCTION("""COMPUTED_VALUE"""),39.76)</f>
        <v>39.76</v>
      </c>
      <c r="AG52" s="110">
        <f>IFERROR(__xludf.DUMMYFUNCTION("""COMPUTED_VALUE"""),12.94)</f>
        <v>12.94</v>
      </c>
      <c r="AH52" s="110">
        <f>IFERROR(__xludf.DUMMYFUNCTION("""COMPUTED_VALUE"""),2.14)</f>
        <v>2.14</v>
      </c>
      <c r="AI52" s="110">
        <f>IFERROR(__xludf.DUMMYFUNCTION("""COMPUTED_VALUE"""),3.34)</f>
        <v>3.34</v>
      </c>
      <c r="AJ52" s="110">
        <f>IFERROR(__xludf.DUMMYFUNCTION("""COMPUTED_VALUE"""),101.7)</f>
        <v>101.7</v>
      </c>
      <c r="AK52" s="110">
        <f>IFERROR(__xludf.DUMMYFUNCTION("""COMPUTED_VALUE"""),281.5)</f>
        <v>281.5</v>
      </c>
      <c r="AL52" s="110">
        <f>IFERROR(__xludf.DUMMYFUNCTION("""COMPUTED_VALUE"""),14.5)</f>
        <v>14.5</v>
      </c>
      <c r="AM52" s="110">
        <f>IFERROR(__xludf.DUMMYFUNCTION("""COMPUTED_VALUE"""),43.07)</f>
        <v>43.07</v>
      </c>
      <c r="AN52" s="110">
        <f>IFERROR(__xludf.DUMMYFUNCTION("""COMPUTED_VALUE"""),352.37)</f>
        <v>352.37</v>
      </c>
      <c r="AO52" s="110">
        <f>IFERROR(__xludf.DUMMYFUNCTION("""COMPUTED_VALUE"""),107.37)</f>
        <v>107.37</v>
      </c>
      <c r="AP52" s="110">
        <f>IFERROR(__xludf.DUMMYFUNCTION("""COMPUTED_VALUE"""),79.62)</f>
        <v>79.62</v>
      </c>
      <c r="AQ52" s="110">
        <f>IFERROR(__xludf.DUMMYFUNCTION("""COMPUTED_VALUE"""),46.21)</f>
        <v>46.21</v>
      </c>
      <c r="AR52" s="109">
        <f>IFERROR(__xludf.DUMMYFUNCTION("""COMPUTED_VALUE"""),103.45150000000001)</f>
        <v>103.4515</v>
      </c>
      <c r="AS52" s="110">
        <f>IFERROR(__xludf.DUMMYFUNCTION("""COMPUTED_VALUE"""),14.14)</f>
        <v>14.14</v>
      </c>
      <c r="AT52" s="110">
        <f>IFERROR(__xludf.DUMMYFUNCTION("""COMPUTED_VALUE"""),113.8)</f>
        <v>113.8</v>
      </c>
      <c r="AU52" s="110">
        <f>IFERROR(__xludf.DUMMYFUNCTION("""COMPUTED_VALUE"""),66.22)</f>
        <v>66.22</v>
      </c>
      <c r="AV52" s="110">
        <f>IFERROR(__xludf.DUMMYFUNCTION("""COMPUTED_VALUE"""),138.96)</f>
        <v>138.96</v>
      </c>
      <c r="AW52" s="110">
        <f>IFERROR(__xludf.DUMMYFUNCTION("""COMPUTED_VALUE"""),138.59)</f>
        <v>138.59</v>
      </c>
      <c r="AX52" s="110">
        <f>IFERROR(__xludf.DUMMYFUNCTION("""COMPUTED_VALUE"""),20.8)</f>
        <v>20.8</v>
      </c>
      <c r="AY52" s="110">
        <f>IFERROR(__xludf.DUMMYFUNCTION("""COMPUTED_VALUE"""),50.79)</f>
        <v>50.79</v>
      </c>
      <c r="AZ52" s="110">
        <f>IFERROR(__xludf.DUMMYFUNCTION("""COMPUTED_VALUE"""),0.0)</f>
        <v>0</v>
      </c>
      <c r="BA52" s="110">
        <f>IFERROR(__xludf.DUMMYFUNCTION("""COMPUTED_VALUE"""),0.0)</f>
        <v>0</v>
      </c>
      <c r="BB52" s="110">
        <f>IFERROR(__xludf.DUMMYFUNCTION("""COMPUTED_VALUE"""),12.08)</f>
        <v>12.08</v>
      </c>
      <c r="BC52" s="110">
        <f>IFERROR(__xludf.DUMMYFUNCTION("""COMPUTED_VALUE"""),7.95)</f>
        <v>7.95</v>
      </c>
      <c r="BD52" s="110">
        <f>IFERROR(__xludf.DUMMYFUNCTION("""COMPUTED_VALUE"""),205.6)</f>
        <v>205.6</v>
      </c>
      <c r="BE52" s="110">
        <f>IFERROR(__xludf.DUMMYFUNCTION("""COMPUTED_VALUE"""),148.2)</f>
        <v>148.2</v>
      </c>
      <c r="BF52" s="110">
        <f>IFERROR(__xludf.DUMMYFUNCTION("""COMPUTED_VALUE"""),10.98)</f>
        <v>10.98</v>
      </c>
      <c r="BG52" s="110">
        <f>IFERROR(__xludf.DUMMYFUNCTION("""COMPUTED_VALUE"""),622.16)</f>
        <v>622.16</v>
      </c>
      <c r="BH52" s="110">
        <f>IFERROR(__xludf.DUMMYFUNCTION("""COMPUTED_VALUE"""),294.13)</f>
        <v>294.13</v>
      </c>
      <c r="BI52" s="110">
        <f>IFERROR(__xludf.DUMMYFUNCTION("""COMPUTED_VALUE"""),236.87)</f>
        <v>236.87</v>
      </c>
      <c r="BJ52" s="110">
        <f>IFERROR(__xludf.DUMMYFUNCTION("""COMPUTED_VALUE"""),26.25)</f>
        <v>26.25</v>
      </c>
      <c r="BK52" s="110">
        <f>IFERROR(__xludf.DUMMYFUNCTION("""COMPUTED_VALUE"""),325.56)</f>
        <v>325.56</v>
      </c>
      <c r="BL52" s="110">
        <f>IFERROR(__xludf.DUMMYFUNCTION("""COMPUTED_VALUE"""),125.69)</f>
        <v>125.69</v>
      </c>
      <c r="BM52" s="110">
        <f>IFERROR(__xludf.DUMMYFUNCTION("""COMPUTED_VALUE"""),16.83)</f>
        <v>16.83</v>
      </c>
      <c r="BN52" s="110">
        <f>IFERROR(__xludf.DUMMYFUNCTION("""COMPUTED_VALUE"""),323.08)</f>
        <v>323.08</v>
      </c>
      <c r="BO52" s="110">
        <f>IFERROR(__xludf.DUMMYFUNCTION("""COMPUTED_VALUE"""),688.0)</f>
        <v>688</v>
      </c>
      <c r="BP52" s="110">
        <f>IFERROR(__xludf.DUMMYFUNCTION("""COMPUTED_VALUE"""),48.66)</f>
        <v>48.66</v>
      </c>
      <c r="BQ52" s="110">
        <f>IFERROR(__xludf.DUMMYFUNCTION("""COMPUTED_VALUE"""),9.47)</f>
        <v>9.47</v>
      </c>
      <c r="BR52" s="110">
        <f>IFERROR(__xludf.DUMMYFUNCTION("""COMPUTED_VALUE"""),42.15)</f>
        <v>42.15</v>
      </c>
      <c r="BS52" s="110">
        <f>IFERROR(__xludf.DUMMYFUNCTION("""COMPUTED_VALUE"""),1.0)</f>
        <v>1</v>
      </c>
      <c r="BT52" s="110">
        <f>IFERROR(__xludf.DUMMYFUNCTION("""COMPUTED_VALUE"""),47.49)</f>
        <v>47.49</v>
      </c>
      <c r="BU52" s="110">
        <f>IFERROR(__xludf.DUMMYFUNCTION("""COMPUTED_VALUE"""),36.45)</f>
        <v>36.45</v>
      </c>
      <c r="BV52" s="110">
        <f>IFERROR(__xludf.DUMMYFUNCTION("""COMPUTED_VALUE"""),56.0)</f>
        <v>56</v>
      </c>
      <c r="BW52" s="110">
        <f>IFERROR(__xludf.DUMMYFUNCTION("""COMPUTED_VALUE"""),8.15)</f>
        <v>8.15</v>
      </c>
      <c r="BX52" s="110">
        <f>IFERROR(__xludf.DUMMYFUNCTION("""COMPUTED_VALUE"""),4.94)</f>
        <v>4.94</v>
      </c>
      <c r="BY52" s="110">
        <f>IFERROR(__xludf.DUMMYFUNCTION("""COMPUTED_VALUE"""),0.0)</f>
        <v>0</v>
      </c>
      <c r="BZ52" s="110">
        <f>IFERROR(__xludf.DUMMYFUNCTION("""COMPUTED_VALUE"""),14.91)</f>
        <v>14.91</v>
      </c>
      <c r="CA52" s="110">
        <f>IFERROR(__xludf.DUMMYFUNCTION("""COMPUTED_VALUE"""),4.01)</f>
        <v>4.01</v>
      </c>
      <c r="CB52" s="110">
        <f>IFERROR(__xludf.DUMMYFUNCTION("""COMPUTED_VALUE"""),5.36)</f>
        <v>5.36</v>
      </c>
      <c r="CC52" s="110">
        <f>IFERROR(__xludf.DUMMYFUNCTION("""COMPUTED_VALUE"""),18.28)</f>
        <v>18.28</v>
      </c>
      <c r="CD52" s="110">
        <f>IFERROR(__xludf.DUMMYFUNCTION("""COMPUTED_VALUE"""),13.81)</f>
        <v>13.81</v>
      </c>
      <c r="CE52" s="110">
        <f>IFERROR(__xludf.DUMMYFUNCTION("""COMPUTED_VALUE"""),29.44)</f>
        <v>29.44</v>
      </c>
      <c r="CF52" s="110">
        <f>IFERROR(__xludf.DUMMYFUNCTION("""COMPUTED_VALUE"""),111.49)</f>
        <v>111.49</v>
      </c>
      <c r="CG52" s="110">
        <f>IFERROR(__xludf.DUMMYFUNCTION("""COMPUTED_VALUE"""),5.0)</f>
        <v>5</v>
      </c>
      <c r="CH52" s="110">
        <f>IFERROR(__xludf.DUMMYFUNCTION("""COMPUTED_VALUE"""),24.5)</f>
        <v>24.5</v>
      </c>
      <c r="CI52" s="110">
        <f>IFERROR(__xludf.DUMMYFUNCTION("""COMPUTED_VALUE"""),46.63)</f>
        <v>46.63</v>
      </c>
      <c r="CJ52" s="110">
        <f>IFERROR(__xludf.DUMMYFUNCTION("""COMPUTED_VALUE"""),0.0)</f>
        <v>0</v>
      </c>
      <c r="CK52" s="110">
        <f>IFERROR(__xludf.DUMMYFUNCTION("""COMPUTED_VALUE"""),11.96)</f>
        <v>11.96</v>
      </c>
      <c r="CL52" s="110">
        <f>IFERROR(__xludf.DUMMYFUNCTION("""COMPUTED_VALUE"""),2831.44)</f>
        <v>2831.44</v>
      </c>
      <c r="CM52" s="110">
        <f>IFERROR(__xludf.DUMMYFUNCTION("""COMPUTED_VALUE"""),0.0)</f>
        <v>0</v>
      </c>
      <c r="CN52" s="110">
        <f>IFERROR(__xludf.DUMMYFUNCTION("""COMPUTED_VALUE"""),244.2)</f>
        <v>244.2</v>
      </c>
      <c r="CO52" s="110">
        <f>IFERROR(__xludf.DUMMYFUNCTION("""COMPUTED_VALUE"""),150.0)</f>
        <v>150</v>
      </c>
      <c r="CP52" s="110">
        <f>IFERROR(__xludf.DUMMYFUNCTION("""COMPUTED_VALUE"""),66.4)</f>
        <v>66.4</v>
      </c>
      <c r="CQ52" s="110">
        <f>IFERROR(__xludf.DUMMYFUNCTION("""COMPUTED_VALUE"""),69800.0)</f>
        <v>69800</v>
      </c>
      <c r="CR52" s="110">
        <f>IFERROR(__xludf.DUMMYFUNCTION("""COMPUTED_VALUE"""),0.52)</f>
        <v>0.52</v>
      </c>
      <c r="CS52" s="110">
        <f>IFERROR(__xludf.DUMMYFUNCTION("""COMPUTED_VALUE"""),34.39)</f>
        <v>34.39</v>
      </c>
      <c r="CT52" s="110">
        <f>IFERROR(__xludf.DUMMYFUNCTION("""COMPUTED_VALUE"""),22.14)</f>
        <v>22.14</v>
      </c>
      <c r="CU52" s="110">
        <f>IFERROR(__xludf.DUMMYFUNCTION("""COMPUTED_VALUE"""),1961.9)</f>
        <v>1961.9</v>
      </c>
      <c r="CV52" s="110">
        <f>IFERROR(__xludf.DUMMYFUNCTION("""COMPUTED_VALUE"""),2.52)</f>
        <v>2.52</v>
      </c>
      <c r="CW52" s="110">
        <f>IFERROR(__xludf.DUMMYFUNCTION("""COMPUTED_VALUE"""),2.99)</f>
        <v>2.99</v>
      </c>
      <c r="CX52" s="110">
        <f>IFERROR(__xludf.DUMMYFUNCTION("""COMPUTED_VALUE"""),0.0)</f>
        <v>0</v>
      </c>
      <c r="CY52" s="110">
        <f>IFERROR(__xludf.DUMMYFUNCTION("""COMPUTED_VALUE"""),0.05)</f>
        <v>0.05</v>
      </c>
      <c r="CZ52" s="110">
        <f>IFERROR(__xludf.DUMMYFUNCTION("""COMPUTED_VALUE"""),76.95)</f>
        <v>76.95</v>
      </c>
      <c r="DA52" s="110">
        <f>IFERROR(__xludf.DUMMYFUNCTION("""COMPUTED_VALUE"""),0.02)</f>
        <v>0.02</v>
      </c>
      <c r="DB52" s="110">
        <f>IFERROR(__xludf.DUMMYFUNCTION("""COMPUTED_VALUE"""),0.21)</f>
        <v>0.21</v>
      </c>
      <c r="DC52" s="110">
        <f>IFERROR(__xludf.DUMMYFUNCTION("""COMPUTED_VALUE"""),158.35)</f>
        <v>158.35</v>
      </c>
      <c r="DD52" s="110">
        <f>IFERROR(__xludf.DUMMYFUNCTION("""COMPUTED_VALUE"""),11.95)</f>
        <v>11.95</v>
      </c>
      <c r="DE52" s="110">
        <f>IFERROR(__xludf.DUMMYFUNCTION("""COMPUTED_VALUE"""),7.23)</f>
        <v>7.23</v>
      </c>
      <c r="DF52" s="110">
        <f>IFERROR(__xludf.DUMMYFUNCTION("""COMPUTED_VALUE"""),58.15)</f>
        <v>58.15</v>
      </c>
      <c r="DG52" s="110">
        <f>IFERROR(__xludf.DUMMYFUNCTION("""COMPUTED_VALUE"""),6.38)</f>
        <v>6.38</v>
      </c>
      <c r="DH52" s="110">
        <f>IFERROR(__xludf.DUMMYFUNCTION("""COMPUTED_VALUE"""),10.0)</f>
        <v>10</v>
      </c>
      <c r="DI52" s="110">
        <f>IFERROR(__xludf.DUMMYFUNCTION("""COMPUTED_VALUE"""),142.83)</f>
        <v>142.83</v>
      </c>
      <c r="DJ52" s="110">
        <f>IFERROR(__xludf.DUMMYFUNCTION("""COMPUTED_VALUE"""),12.66)</f>
        <v>12.66</v>
      </c>
      <c r="DK52" s="110">
        <f>IFERROR(__xludf.DUMMYFUNCTION("""COMPUTED_VALUE"""),0.0)</f>
        <v>0</v>
      </c>
      <c r="DL52" s="110">
        <f>IFERROR(__xludf.DUMMYFUNCTION("""COMPUTED_VALUE"""),25.95)</f>
        <v>25.95</v>
      </c>
      <c r="DM52" s="110">
        <f>IFERROR(__xludf.DUMMYFUNCTION("""COMPUTED_VALUE"""),449.73)</f>
        <v>449.73</v>
      </c>
      <c r="DN52" s="110">
        <f>IFERROR(__xludf.DUMMYFUNCTION("""COMPUTED_VALUE"""),170.83)</f>
        <v>170.83</v>
      </c>
      <c r="DO52" s="110">
        <f>IFERROR(__xludf.DUMMYFUNCTION("""COMPUTED_VALUE"""),384.0)</f>
        <v>384</v>
      </c>
      <c r="DP52" s="110">
        <f>IFERROR(__xludf.DUMMYFUNCTION("""COMPUTED_VALUE"""),3.05)</f>
        <v>3.05</v>
      </c>
      <c r="DQ52" s="110">
        <f>IFERROR(__xludf.DUMMYFUNCTION("""COMPUTED_VALUE"""),115.15)</f>
        <v>115.15</v>
      </c>
      <c r="DR52" s="110">
        <f>IFERROR(__xludf.DUMMYFUNCTION("""COMPUTED_VALUE"""),0.17)</f>
        <v>0.17</v>
      </c>
      <c r="DS52" s="110">
        <f>IFERROR(__xludf.DUMMYFUNCTION("""COMPUTED_VALUE"""),3.52)</f>
        <v>3.52</v>
      </c>
      <c r="DT52" s="110">
        <f>IFERROR(__xludf.DUMMYFUNCTION("""COMPUTED_VALUE"""),5.63)</f>
        <v>5.63</v>
      </c>
      <c r="DU52" s="110">
        <f>IFERROR(__xludf.DUMMYFUNCTION("""COMPUTED_VALUE"""),52.59)</f>
        <v>52.59</v>
      </c>
      <c r="DV52" s="110">
        <f>IFERROR(__xludf.DUMMYFUNCTION("""COMPUTED_VALUE"""),14.48)</f>
        <v>14.48</v>
      </c>
      <c r="DW52" s="110">
        <f>IFERROR(__xludf.DUMMYFUNCTION("""COMPUTED_VALUE"""),0.07)</f>
        <v>0.07</v>
      </c>
      <c r="DX52" s="110">
        <f>IFERROR(__xludf.DUMMYFUNCTION("""COMPUTED_VALUE"""),27.63)</f>
        <v>27.63</v>
      </c>
      <c r="DY52" s="110">
        <f>IFERROR(__xludf.DUMMYFUNCTION("""COMPUTED_VALUE"""),0.0)</f>
        <v>0</v>
      </c>
      <c r="DZ52" s="110">
        <f>IFERROR(__xludf.DUMMYFUNCTION("""COMPUTED_VALUE"""),81.45)</f>
        <v>81.45</v>
      </c>
      <c r="EA52" s="110">
        <f>IFERROR(__xludf.DUMMYFUNCTION("""COMPUTED_VALUE"""),46.58)</f>
        <v>46.58</v>
      </c>
      <c r="EB52" s="110">
        <f>IFERROR(__xludf.DUMMYFUNCTION("""COMPUTED_VALUE"""),71.74)</f>
        <v>71.74</v>
      </c>
      <c r="EC52" s="110">
        <f>IFERROR(__xludf.DUMMYFUNCTION("""COMPUTED_VALUE"""),74.42)</f>
        <v>74.42</v>
      </c>
      <c r="ED52" s="110">
        <f>IFERROR(__xludf.DUMMYFUNCTION("""COMPUTED_VALUE"""),38.96)</f>
        <v>38.96</v>
      </c>
      <c r="EE52" s="110">
        <f>IFERROR(__xludf.DUMMYFUNCTION("""COMPUTED_VALUE"""),88.3)</f>
        <v>88.3</v>
      </c>
      <c r="EF52" s="110">
        <f>IFERROR(__xludf.DUMMYFUNCTION("""COMPUTED_VALUE"""),183.68)</f>
        <v>183.68</v>
      </c>
      <c r="EG52" s="110">
        <f>IFERROR(__xludf.DUMMYFUNCTION("""COMPUTED_VALUE"""),68.85)</f>
        <v>68.85</v>
      </c>
      <c r="EH52" s="110">
        <f>IFERROR(__xludf.DUMMYFUNCTION("""COMPUTED_VALUE"""),103.08)</f>
        <v>103.08</v>
      </c>
      <c r="EI52" s="110">
        <f>IFERROR(__xludf.DUMMYFUNCTION("""COMPUTED_VALUE"""),135.58)</f>
        <v>135.58</v>
      </c>
      <c r="EJ52" s="110">
        <f>IFERROR(__xludf.DUMMYFUNCTION("""COMPUTED_VALUE"""),42.01)</f>
        <v>42.01</v>
      </c>
      <c r="EK52" s="110">
        <f>IFERROR(__xludf.DUMMYFUNCTION("""COMPUTED_VALUE"""),275.28)</f>
        <v>275.28</v>
      </c>
      <c r="EL52" s="110">
        <f>IFERROR(__xludf.DUMMYFUNCTION("""COMPUTED_VALUE"""),62.46)</f>
        <v>62.46</v>
      </c>
      <c r="EM52" s="110">
        <f>IFERROR(__xludf.DUMMYFUNCTION("""COMPUTED_VALUE"""),43.36)</f>
        <v>43.36</v>
      </c>
      <c r="EN52" s="110">
        <f>IFERROR(__xludf.DUMMYFUNCTION("""COMPUTED_VALUE"""),1720.93)</f>
        <v>1720.93</v>
      </c>
      <c r="EO52" s="110">
        <f>IFERROR(__xludf.DUMMYFUNCTION("""COMPUTED_VALUE"""),11.91)</f>
        <v>11.91</v>
      </c>
      <c r="EP52" s="110">
        <f>IFERROR(__xludf.DUMMYFUNCTION("""COMPUTED_VALUE"""),0.0)</f>
        <v>0</v>
      </c>
      <c r="EQ52" s="110">
        <f>IFERROR(__xludf.DUMMYFUNCTION("""COMPUTED_VALUE"""),2.05)</f>
        <v>2.05</v>
      </c>
      <c r="ER52" s="110">
        <f>IFERROR(__xludf.DUMMYFUNCTION("""COMPUTED_VALUE"""),4513.5)</f>
        <v>4513.5</v>
      </c>
      <c r="ES52" s="110">
        <f>IFERROR(__xludf.DUMMYFUNCTION("""COMPUTED_VALUE"""),96.44)</f>
        <v>96.44</v>
      </c>
      <c r="ET52" s="110">
        <f>IFERROR(__xludf.DUMMYFUNCTION("""COMPUTED_VALUE"""),117.93)</f>
        <v>117.93</v>
      </c>
      <c r="EU52" s="110">
        <f>IFERROR(__xludf.DUMMYFUNCTION("""COMPUTED_VALUE"""),32.95)</f>
        <v>32.95</v>
      </c>
      <c r="EV52" s="110">
        <f>IFERROR(__xludf.DUMMYFUNCTION("""COMPUTED_VALUE"""),1.65)</f>
        <v>1.65</v>
      </c>
      <c r="EW52" s="110">
        <f>IFERROR(__xludf.DUMMYFUNCTION("""COMPUTED_VALUE"""),13.94)</f>
        <v>13.94</v>
      </c>
      <c r="EX52" s="108">
        <f>IFERROR(__xludf.DUMMYFUNCTION("""COMPUTED_VALUE"""),5.22)</f>
        <v>5.22</v>
      </c>
      <c r="EY52" s="108">
        <f>IFERROR(__xludf.DUMMYFUNCTION("""COMPUTED_VALUE"""),170.41)</f>
        <v>170.41</v>
      </c>
      <c r="EZ52" s="108">
        <f>IFERROR(__xludf.DUMMYFUNCTION("""COMPUTED_VALUE"""),25.845)</f>
        <v>25.845</v>
      </c>
      <c r="FA52" s="108">
        <f>IFERROR(__xludf.DUMMYFUNCTION("""COMPUTED_VALUE"""),3.01)</f>
        <v>3.01</v>
      </c>
      <c r="FB52" s="108">
        <f>IFERROR(__xludf.DUMMYFUNCTION("""COMPUTED_VALUE"""),140.69)</f>
        <v>140.69</v>
      </c>
      <c r="FC52" s="108">
        <f>IFERROR(__xludf.DUMMYFUNCTION("""COMPUTED_VALUE"""),9.21)</f>
        <v>9.21</v>
      </c>
      <c r="FD52" s="108">
        <f>IFERROR(__xludf.DUMMYFUNCTION("""COMPUTED_VALUE"""),61.54)</f>
        <v>61.54</v>
      </c>
      <c r="FE52" s="108">
        <f>IFERROR(__xludf.DUMMYFUNCTION("""COMPUTED_VALUE"""),57.75)</f>
        <v>57.75</v>
      </c>
      <c r="FF52" s="108">
        <f>IFERROR(__xludf.DUMMYFUNCTION("""COMPUTED_VALUE"""),6.12)</f>
        <v>6.12</v>
      </c>
      <c r="FG52" s="108">
        <f>IFERROR(__xludf.DUMMYFUNCTION("""COMPUTED_VALUE"""),690.54)</f>
        <v>690.54</v>
      </c>
      <c r="FH52" s="108">
        <f>IFERROR(__xludf.DUMMYFUNCTION("""COMPUTED_VALUE"""),160.28)</f>
        <v>160.28</v>
      </c>
      <c r="FI52" s="108">
        <f>IFERROR(__xludf.DUMMYFUNCTION("""COMPUTED_VALUE"""),0.069)</f>
        <v>0.069</v>
      </c>
      <c r="FJ52" s="108">
        <f>IFERROR(__xludf.DUMMYFUNCTION("""COMPUTED_VALUE"""),16.1)</f>
        <v>16.1</v>
      </c>
      <c r="FK52" s="108">
        <f>IFERROR(__xludf.DUMMYFUNCTION("""COMPUTED_VALUE"""),199.9)</f>
        <v>199.9</v>
      </c>
      <c r="FL52" s="108">
        <f>IFERROR(__xludf.DUMMYFUNCTION("""COMPUTED_VALUE"""),473.73)</f>
        <v>473.73</v>
      </c>
      <c r="FM52" s="108">
        <f>IFERROR(__xludf.DUMMYFUNCTION("""COMPUTED_VALUE"""),132.08)</f>
        <v>132.08</v>
      </c>
      <c r="FN52" s="108">
        <f>IFERROR(__xludf.DUMMYFUNCTION("""COMPUTED_VALUE"""),1012.18)</f>
        <v>1012.18</v>
      </c>
      <c r="FO52" s="108">
        <f>IFERROR(__xludf.DUMMYFUNCTION("""COMPUTED_VALUE"""),705.0)</f>
        <v>705</v>
      </c>
    </row>
    <row r="53">
      <c r="A53" s="106">
        <f>IFERROR(__xludf.DUMMYFUNCTION("""COMPUTED_VALUE"""),44645.0)</f>
        <v>44645</v>
      </c>
      <c r="B53" s="110">
        <f>IFERROR(__xludf.DUMMYFUNCTION("""COMPUTED_VALUE"""),3295.47)</f>
        <v>3295.47</v>
      </c>
      <c r="C53" s="110">
        <f>IFERROR(__xludf.DUMMYFUNCTION("""COMPUTED_VALUE"""),221.82)</f>
        <v>221.82</v>
      </c>
      <c r="D53" s="110">
        <f>IFERROR(__xludf.DUMMYFUNCTION("""COMPUTED_VALUE"""),1010.64)</f>
        <v>1010.64</v>
      </c>
      <c r="E53" s="110">
        <f>IFERROR(__xludf.DUMMYFUNCTION("""COMPUTED_VALUE"""),356.4)</f>
        <v>356.4</v>
      </c>
      <c r="F53" s="110">
        <f>IFERROR(__xludf.DUMMYFUNCTION("""COMPUTED_VALUE"""),10.26)</f>
        <v>10.26</v>
      </c>
      <c r="G53" s="110">
        <f>IFERROR(__xludf.DUMMYFUNCTION("""COMPUTED_VALUE"""),174.72)</f>
        <v>174.72</v>
      </c>
      <c r="H53" s="110">
        <f>IFERROR(__xludf.DUMMYFUNCTION("""COMPUTED_VALUE"""),0.0)</f>
        <v>0</v>
      </c>
      <c r="I53" s="110">
        <f>IFERROR(__xludf.DUMMYFUNCTION("""COMPUTED_VALUE"""),0.01)</f>
        <v>0.01</v>
      </c>
      <c r="J53" s="110">
        <f>IFERROR(__xludf.DUMMYFUNCTION("""COMPUTED_VALUE"""),0.01)</f>
        <v>0.01</v>
      </c>
      <c r="K53" s="110">
        <f>IFERROR(__xludf.DUMMYFUNCTION("""COMPUTED_VALUE"""),38.2)</f>
        <v>38.2</v>
      </c>
      <c r="L53" s="110">
        <f>IFERROR(__xludf.DUMMYFUNCTION("""COMPUTED_VALUE"""),135.0)</f>
        <v>135</v>
      </c>
      <c r="M53" s="110">
        <f>IFERROR(__xludf.DUMMYFUNCTION("""COMPUTED_VALUE"""),44504.98)</f>
        <v>44504.98</v>
      </c>
      <c r="N53" s="110">
        <f>IFERROR(__xludf.DUMMYFUNCTION("""COMPUTED_VALUE"""),373.85)</f>
        <v>373.85</v>
      </c>
      <c r="O53" s="110">
        <f>IFERROR(__xludf.DUMMYFUNCTION("""COMPUTED_VALUE"""),303.68)</f>
        <v>303.68</v>
      </c>
      <c r="P53" s="110">
        <f>IFERROR(__xludf.DUMMYFUNCTION("""COMPUTED_VALUE"""),28.17)</f>
        <v>28.17</v>
      </c>
      <c r="Q53" s="110">
        <f>IFERROR(__xludf.DUMMYFUNCTION("""COMPUTED_VALUE"""),24.6)</f>
        <v>24.6</v>
      </c>
      <c r="R53" s="110">
        <f>IFERROR(__xludf.DUMMYFUNCTION("""COMPUTED_VALUE"""),59.92)</f>
        <v>59.92</v>
      </c>
      <c r="S53" s="110">
        <f>IFERROR(__xludf.DUMMYFUNCTION("""COMPUTED_VALUE"""),30.17)</f>
        <v>30.17</v>
      </c>
      <c r="T53" s="110">
        <f>IFERROR(__xludf.DUMMYFUNCTION("""COMPUTED_VALUE"""),27.05)</f>
        <v>27.05</v>
      </c>
      <c r="U53" s="110">
        <f>IFERROR(__xludf.DUMMYFUNCTION("""COMPUTED_VALUE"""),42.2)</f>
        <v>42.2</v>
      </c>
      <c r="V53" s="110">
        <f>IFERROR(__xludf.DUMMYFUNCTION("""COMPUTED_VALUE"""),14.54)</f>
        <v>14.54</v>
      </c>
      <c r="W53" s="110">
        <f>IFERROR(__xludf.DUMMYFUNCTION("""COMPUTED_VALUE"""),241.58)</f>
        <v>241.58</v>
      </c>
      <c r="X53" s="110">
        <f>IFERROR(__xludf.DUMMYFUNCTION("""COMPUTED_VALUE"""),2830.43)</f>
        <v>2830.43</v>
      </c>
      <c r="Y53" s="110">
        <f>IFERROR(__xludf.DUMMYFUNCTION("""COMPUTED_VALUE"""),55.45)</f>
        <v>55.45</v>
      </c>
      <c r="Z53" s="110">
        <f>IFERROR(__xludf.DUMMYFUNCTION("""COMPUTED_VALUE"""),63.6)</f>
        <v>63.6</v>
      </c>
      <c r="AA53" s="110">
        <f>IFERROR(__xludf.DUMMYFUNCTION("""COMPUTED_VALUE"""),119.63)</f>
        <v>119.63</v>
      </c>
      <c r="AB53" s="110">
        <f>IFERROR(__xludf.DUMMYFUNCTION("""COMPUTED_VALUE"""),4.69)</f>
        <v>4.69</v>
      </c>
      <c r="AC53" s="110">
        <f>IFERROR(__xludf.DUMMYFUNCTION("""COMPUTED_VALUE"""),78.75)</f>
        <v>78.75</v>
      </c>
      <c r="AD53" s="110">
        <f>IFERROR(__xludf.DUMMYFUNCTION("""COMPUTED_VALUE"""),12.18)</f>
        <v>12.18</v>
      </c>
      <c r="AE53" s="110">
        <f>IFERROR(__xludf.DUMMYFUNCTION("""COMPUTED_VALUE"""),6.05)</f>
        <v>6.05</v>
      </c>
      <c r="AF53" s="110">
        <f>IFERROR(__xludf.DUMMYFUNCTION("""COMPUTED_VALUE"""),39.91)</f>
        <v>39.91</v>
      </c>
      <c r="AG53" s="110">
        <f>IFERROR(__xludf.DUMMYFUNCTION("""COMPUTED_VALUE"""),11.78)</f>
        <v>11.78</v>
      </c>
      <c r="AH53" s="110">
        <f>IFERROR(__xludf.DUMMYFUNCTION("""COMPUTED_VALUE"""),2.15)</f>
        <v>2.15</v>
      </c>
      <c r="AI53" s="110">
        <f>IFERROR(__xludf.DUMMYFUNCTION("""COMPUTED_VALUE"""),3.28)</f>
        <v>3.28</v>
      </c>
      <c r="AJ53" s="110">
        <f>IFERROR(__xludf.DUMMYFUNCTION("""COMPUTED_VALUE"""),97.4)</f>
        <v>97.4</v>
      </c>
      <c r="AK53" s="110">
        <f>IFERROR(__xludf.DUMMYFUNCTION("""COMPUTED_VALUE"""),276.92)</f>
        <v>276.92</v>
      </c>
      <c r="AL53" s="110">
        <f>IFERROR(__xludf.DUMMYFUNCTION("""COMPUTED_VALUE"""),14.42)</f>
        <v>14.42</v>
      </c>
      <c r="AM53" s="110">
        <f>IFERROR(__xludf.DUMMYFUNCTION("""COMPUTED_VALUE"""),43.73)</f>
        <v>43.73</v>
      </c>
      <c r="AN53" s="110">
        <f>IFERROR(__xludf.DUMMYFUNCTION("""COMPUTED_VALUE"""),358.76)</f>
        <v>358.76</v>
      </c>
      <c r="AO53" s="110">
        <f>IFERROR(__xludf.DUMMYFUNCTION("""COMPUTED_VALUE"""),106.29)</f>
        <v>106.29</v>
      </c>
      <c r="AP53" s="110">
        <f>IFERROR(__xludf.DUMMYFUNCTION("""COMPUTED_VALUE"""),79.6)</f>
        <v>79.6</v>
      </c>
      <c r="AQ53" s="110">
        <f>IFERROR(__xludf.DUMMYFUNCTION("""COMPUTED_VALUE"""),45.68)</f>
        <v>45.68</v>
      </c>
      <c r="AR53" s="109">
        <f>IFERROR(__xludf.DUMMYFUNCTION("""COMPUTED_VALUE"""),103.494)</f>
        <v>103.494</v>
      </c>
      <c r="AS53" s="110">
        <f>IFERROR(__xludf.DUMMYFUNCTION("""COMPUTED_VALUE"""),13.59)</f>
        <v>13.59</v>
      </c>
      <c r="AT53" s="110">
        <f>IFERROR(__xludf.DUMMYFUNCTION("""COMPUTED_VALUE"""),107.4)</f>
        <v>107.4</v>
      </c>
      <c r="AU53" s="110">
        <f>IFERROR(__xludf.DUMMYFUNCTION("""COMPUTED_VALUE"""),67.11)</f>
        <v>67.11</v>
      </c>
      <c r="AV53" s="110">
        <f>IFERROR(__xludf.DUMMYFUNCTION("""COMPUTED_VALUE"""),139.14)</f>
        <v>139.14</v>
      </c>
      <c r="AW53" s="110">
        <f>IFERROR(__xludf.DUMMYFUNCTION("""COMPUTED_VALUE"""),137.06)</f>
        <v>137.06</v>
      </c>
      <c r="AX53" s="110">
        <f>IFERROR(__xludf.DUMMYFUNCTION("""COMPUTED_VALUE"""),19.5)</f>
        <v>19.5</v>
      </c>
      <c r="AY53" s="110">
        <f>IFERROR(__xludf.DUMMYFUNCTION("""COMPUTED_VALUE"""),47.07)</f>
        <v>47.07</v>
      </c>
      <c r="AZ53" s="110">
        <f>IFERROR(__xludf.DUMMYFUNCTION("""COMPUTED_VALUE"""),0.0)</f>
        <v>0</v>
      </c>
      <c r="BA53" s="110">
        <f>IFERROR(__xludf.DUMMYFUNCTION("""COMPUTED_VALUE"""),0.0)</f>
        <v>0</v>
      </c>
      <c r="BB53" s="110">
        <f>IFERROR(__xludf.DUMMYFUNCTION("""COMPUTED_VALUE"""),11.58)</f>
        <v>11.58</v>
      </c>
      <c r="BC53" s="110">
        <f>IFERROR(__xludf.DUMMYFUNCTION("""COMPUTED_VALUE"""),7.99)</f>
        <v>7.99</v>
      </c>
      <c r="BD53" s="110">
        <f>IFERROR(__xludf.DUMMYFUNCTION("""COMPUTED_VALUE"""),186.5)</f>
        <v>186.5</v>
      </c>
      <c r="BE53" s="110">
        <f>IFERROR(__xludf.DUMMYFUNCTION("""COMPUTED_VALUE"""),141.0)</f>
        <v>141</v>
      </c>
      <c r="BF53" s="110">
        <f>IFERROR(__xludf.DUMMYFUNCTION("""COMPUTED_VALUE"""),10.2)</f>
        <v>10.2</v>
      </c>
      <c r="BG53" s="110">
        <f>IFERROR(__xludf.DUMMYFUNCTION("""COMPUTED_VALUE"""),622.4)</f>
        <v>622.4</v>
      </c>
      <c r="BH53" s="110">
        <f>IFERROR(__xludf.DUMMYFUNCTION("""COMPUTED_VALUE"""),284.21)</f>
        <v>284.21</v>
      </c>
      <c r="BI53" s="110">
        <f>IFERROR(__xludf.DUMMYFUNCTION("""COMPUTED_VALUE"""),238.79)</f>
        <v>238.79</v>
      </c>
      <c r="BJ53" s="110">
        <f>IFERROR(__xludf.DUMMYFUNCTION("""COMPUTED_VALUE"""),25.16)</f>
        <v>25.16</v>
      </c>
      <c r="BK53" s="110">
        <f>IFERROR(__xludf.DUMMYFUNCTION("""COMPUTED_VALUE"""),318.91)</f>
        <v>318.91</v>
      </c>
      <c r="BL53" s="110">
        <f>IFERROR(__xludf.DUMMYFUNCTION("""COMPUTED_VALUE"""),124.29)</f>
        <v>124.29</v>
      </c>
      <c r="BM53" s="110">
        <f>IFERROR(__xludf.DUMMYFUNCTION("""COMPUTED_VALUE"""),16.47)</f>
        <v>16.47</v>
      </c>
      <c r="BN53" s="110">
        <f>IFERROR(__xludf.DUMMYFUNCTION("""COMPUTED_VALUE"""),314.5)</f>
        <v>314.5</v>
      </c>
      <c r="BO53" s="110">
        <f>IFERROR(__xludf.DUMMYFUNCTION("""COMPUTED_VALUE"""),688.08)</f>
        <v>688.08</v>
      </c>
      <c r="BP53" s="110">
        <f>IFERROR(__xludf.DUMMYFUNCTION("""COMPUTED_VALUE"""),46.16)</f>
        <v>46.16</v>
      </c>
      <c r="BQ53" s="110">
        <f>IFERROR(__xludf.DUMMYFUNCTION("""COMPUTED_VALUE"""),9.01)</f>
        <v>9.01</v>
      </c>
      <c r="BR53" s="110">
        <f>IFERROR(__xludf.DUMMYFUNCTION("""COMPUTED_VALUE"""),42.01)</f>
        <v>42.01</v>
      </c>
      <c r="BS53" s="110">
        <f>IFERROR(__xludf.DUMMYFUNCTION("""COMPUTED_VALUE"""),0.99)</f>
        <v>0.99</v>
      </c>
      <c r="BT53" s="110">
        <f>IFERROR(__xludf.DUMMYFUNCTION("""COMPUTED_VALUE"""),46.48)</f>
        <v>46.48</v>
      </c>
      <c r="BU53" s="110">
        <f>IFERROR(__xludf.DUMMYFUNCTION("""COMPUTED_VALUE"""),36.1)</f>
        <v>36.1</v>
      </c>
      <c r="BV53" s="110">
        <f>IFERROR(__xludf.DUMMYFUNCTION("""COMPUTED_VALUE"""),55.05)</f>
        <v>55.05</v>
      </c>
      <c r="BW53" s="110">
        <f>IFERROR(__xludf.DUMMYFUNCTION("""COMPUTED_VALUE"""),7.95)</f>
        <v>7.95</v>
      </c>
      <c r="BX53" s="110">
        <f>IFERROR(__xludf.DUMMYFUNCTION("""COMPUTED_VALUE"""),4.72)</f>
        <v>4.72</v>
      </c>
      <c r="BY53" s="110">
        <f>IFERROR(__xludf.DUMMYFUNCTION("""COMPUTED_VALUE"""),0.0)</f>
        <v>0</v>
      </c>
      <c r="BZ53" s="110">
        <f>IFERROR(__xludf.DUMMYFUNCTION("""COMPUTED_VALUE"""),15.44)</f>
        <v>15.44</v>
      </c>
      <c r="CA53" s="110">
        <f>IFERROR(__xludf.DUMMYFUNCTION("""COMPUTED_VALUE"""),3.84)</f>
        <v>3.84</v>
      </c>
      <c r="CB53" s="110">
        <f>IFERROR(__xludf.DUMMYFUNCTION("""COMPUTED_VALUE"""),5.37)</f>
        <v>5.37</v>
      </c>
      <c r="CC53" s="110">
        <f>IFERROR(__xludf.DUMMYFUNCTION("""COMPUTED_VALUE"""),17.86)</f>
        <v>17.86</v>
      </c>
      <c r="CD53" s="110">
        <f>IFERROR(__xludf.DUMMYFUNCTION("""COMPUTED_VALUE"""),13.79)</f>
        <v>13.79</v>
      </c>
      <c r="CE53" s="110">
        <f>IFERROR(__xludf.DUMMYFUNCTION("""COMPUTED_VALUE"""),29.18)</f>
        <v>29.18</v>
      </c>
      <c r="CF53" s="110">
        <f>IFERROR(__xludf.DUMMYFUNCTION("""COMPUTED_VALUE"""),112.63)</f>
        <v>112.63</v>
      </c>
      <c r="CG53" s="110">
        <f>IFERROR(__xludf.DUMMYFUNCTION("""COMPUTED_VALUE"""),4.92)</f>
        <v>4.92</v>
      </c>
      <c r="CH53" s="110">
        <f>IFERROR(__xludf.DUMMYFUNCTION("""COMPUTED_VALUE"""),24.54)</f>
        <v>24.54</v>
      </c>
      <c r="CI53" s="110">
        <f>IFERROR(__xludf.DUMMYFUNCTION("""COMPUTED_VALUE"""),48.01)</f>
        <v>48.01</v>
      </c>
      <c r="CJ53" s="110">
        <f>IFERROR(__xludf.DUMMYFUNCTION("""COMPUTED_VALUE"""),0.0)</f>
        <v>0</v>
      </c>
      <c r="CK53" s="110">
        <f>IFERROR(__xludf.DUMMYFUNCTION("""COMPUTED_VALUE"""),12.14)</f>
        <v>12.14</v>
      </c>
      <c r="CL53" s="110">
        <f>IFERROR(__xludf.DUMMYFUNCTION("""COMPUTED_VALUE"""),2833.46)</f>
        <v>2833.46</v>
      </c>
      <c r="CM53" s="110">
        <f>IFERROR(__xludf.DUMMYFUNCTION("""COMPUTED_VALUE"""),0.0)</f>
        <v>0</v>
      </c>
      <c r="CN53" s="110">
        <f>IFERROR(__xludf.DUMMYFUNCTION("""COMPUTED_VALUE"""),218.6)</f>
        <v>218.6</v>
      </c>
      <c r="CO53" s="110">
        <f>IFERROR(__xludf.DUMMYFUNCTION("""COMPUTED_VALUE"""),142.0)</f>
        <v>142</v>
      </c>
      <c r="CP53" s="110">
        <f>IFERROR(__xludf.DUMMYFUNCTION("""COMPUTED_VALUE"""),64.51)</f>
        <v>64.51</v>
      </c>
      <c r="CQ53" s="110">
        <f>IFERROR(__xludf.DUMMYFUNCTION("""COMPUTED_VALUE"""),69800.0)</f>
        <v>69800</v>
      </c>
      <c r="CR53" s="110">
        <f>IFERROR(__xludf.DUMMYFUNCTION("""COMPUTED_VALUE"""),0.52)</f>
        <v>0.52</v>
      </c>
      <c r="CS53" s="110">
        <f>IFERROR(__xludf.DUMMYFUNCTION("""COMPUTED_VALUE"""),33.59)</f>
        <v>33.59</v>
      </c>
      <c r="CT53" s="110">
        <f>IFERROR(__xludf.DUMMYFUNCTION("""COMPUTED_VALUE"""),21.58)</f>
        <v>21.58</v>
      </c>
      <c r="CU53" s="110">
        <f>IFERROR(__xludf.DUMMYFUNCTION("""COMPUTED_VALUE"""),1958.0)</f>
        <v>1958</v>
      </c>
      <c r="CV53" s="110">
        <f>IFERROR(__xludf.DUMMYFUNCTION("""COMPUTED_VALUE"""),2.43)</f>
        <v>2.43</v>
      </c>
      <c r="CW53" s="110">
        <f>IFERROR(__xludf.DUMMYFUNCTION("""COMPUTED_VALUE"""),3.28)</f>
        <v>3.28</v>
      </c>
      <c r="CX53" s="110">
        <f>IFERROR(__xludf.DUMMYFUNCTION("""COMPUTED_VALUE"""),0.0)</f>
        <v>0</v>
      </c>
      <c r="CY53" s="110">
        <f>IFERROR(__xludf.DUMMYFUNCTION("""COMPUTED_VALUE"""),0.05)</f>
        <v>0.05</v>
      </c>
      <c r="CZ53" s="110">
        <f>IFERROR(__xludf.DUMMYFUNCTION("""COMPUTED_VALUE"""),70.75)</f>
        <v>70.75</v>
      </c>
      <c r="DA53" s="110">
        <f>IFERROR(__xludf.DUMMYFUNCTION("""COMPUTED_VALUE"""),0.02)</f>
        <v>0.02</v>
      </c>
      <c r="DB53" s="110">
        <f>IFERROR(__xludf.DUMMYFUNCTION("""COMPUTED_VALUE"""),0.14)</f>
        <v>0.14</v>
      </c>
      <c r="DC53" s="110">
        <f>IFERROR(__xludf.DUMMYFUNCTION("""COMPUTED_VALUE"""),158.22)</f>
        <v>158.22</v>
      </c>
      <c r="DD53" s="110">
        <f>IFERROR(__xludf.DUMMYFUNCTION("""COMPUTED_VALUE"""),11.06)</f>
        <v>11.06</v>
      </c>
      <c r="DE53" s="110">
        <f>IFERROR(__xludf.DUMMYFUNCTION("""COMPUTED_VALUE"""),7.33)</f>
        <v>7.33</v>
      </c>
      <c r="DF53" s="110">
        <f>IFERROR(__xludf.DUMMYFUNCTION("""COMPUTED_VALUE"""),58.25)</f>
        <v>58.25</v>
      </c>
      <c r="DG53" s="110">
        <f>IFERROR(__xludf.DUMMYFUNCTION("""COMPUTED_VALUE"""),5.97)</f>
        <v>5.97</v>
      </c>
      <c r="DH53" s="110">
        <f>IFERROR(__xludf.DUMMYFUNCTION("""COMPUTED_VALUE"""),9.85)</f>
        <v>9.85</v>
      </c>
      <c r="DI53" s="110">
        <f>IFERROR(__xludf.DUMMYFUNCTION("""COMPUTED_VALUE"""),143.45)</f>
        <v>143.45</v>
      </c>
      <c r="DJ53" s="110">
        <f>IFERROR(__xludf.DUMMYFUNCTION("""COMPUTED_VALUE"""),12.13)</f>
        <v>12.13</v>
      </c>
      <c r="DK53" s="110">
        <f>IFERROR(__xludf.DUMMYFUNCTION("""COMPUTED_VALUE"""),0.0)</f>
        <v>0</v>
      </c>
      <c r="DL53" s="110">
        <f>IFERROR(__xludf.DUMMYFUNCTION("""COMPUTED_VALUE"""),26.0)</f>
        <v>26</v>
      </c>
      <c r="DM53" s="110">
        <f>IFERROR(__xludf.DUMMYFUNCTION("""COMPUTED_VALUE"""),453.66)</f>
        <v>453.66</v>
      </c>
      <c r="DN53" s="110">
        <f>IFERROR(__xludf.DUMMYFUNCTION("""COMPUTED_VALUE"""),167.22)</f>
        <v>167.22</v>
      </c>
      <c r="DO53" s="110">
        <f>IFERROR(__xludf.DUMMYFUNCTION("""COMPUTED_VALUE"""),373.6)</f>
        <v>373.6</v>
      </c>
      <c r="DP53" s="110">
        <f>IFERROR(__xludf.DUMMYFUNCTION("""COMPUTED_VALUE"""),3.05)</f>
        <v>3.05</v>
      </c>
      <c r="DQ53" s="110">
        <f>IFERROR(__xludf.DUMMYFUNCTION("""COMPUTED_VALUE"""),112.99)</f>
        <v>112.99</v>
      </c>
      <c r="DR53" s="110">
        <f>IFERROR(__xludf.DUMMYFUNCTION("""COMPUTED_VALUE"""),0.14)</f>
        <v>0.14</v>
      </c>
      <c r="DS53" s="110">
        <f>IFERROR(__xludf.DUMMYFUNCTION("""COMPUTED_VALUE"""),3.52)</f>
        <v>3.52</v>
      </c>
      <c r="DT53" s="110">
        <f>IFERROR(__xludf.DUMMYFUNCTION("""COMPUTED_VALUE"""),5.47)</f>
        <v>5.47</v>
      </c>
      <c r="DU53" s="110">
        <f>IFERROR(__xludf.DUMMYFUNCTION("""COMPUTED_VALUE"""),52.78)</f>
        <v>52.78</v>
      </c>
      <c r="DV53" s="110">
        <f>IFERROR(__xludf.DUMMYFUNCTION("""COMPUTED_VALUE"""),13.36)</f>
        <v>13.36</v>
      </c>
      <c r="DW53" s="110">
        <f>IFERROR(__xludf.DUMMYFUNCTION("""COMPUTED_VALUE"""),0.07)</f>
        <v>0.07</v>
      </c>
      <c r="DX53" s="110">
        <f>IFERROR(__xludf.DUMMYFUNCTION("""COMPUTED_VALUE"""),27.94)</f>
        <v>27.94</v>
      </c>
      <c r="DY53" s="110">
        <f>IFERROR(__xludf.DUMMYFUNCTION("""COMPUTED_VALUE"""),0.0)</f>
        <v>0</v>
      </c>
      <c r="DZ53" s="110">
        <f>IFERROR(__xludf.DUMMYFUNCTION("""COMPUTED_VALUE"""),74.13)</f>
        <v>74.13</v>
      </c>
      <c r="EA53" s="110">
        <f>IFERROR(__xludf.DUMMYFUNCTION("""COMPUTED_VALUE"""),47.13)</f>
        <v>47.13</v>
      </c>
      <c r="EB53" s="110">
        <f>IFERROR(__xludf.DUMMYFUNCTION("""COMPUTED_VALUE"""),72.78)</f>
        <v>72.78</v>
      </c>
      <c r="EC53" s="110">
        <f>IFERROR(__xludf.DUMMYFUNCTION("""COMPUTED_VALUE"""),75.04)</f>
        <v>75.04</v>
      </c>
      <c r="ED53" s="110">
        <f>IFERROR(__xludf.DUMMYFUNCTION("""COMPUTED_VALUE"""),39.52)</f>
        <v>39.52</v>
      </c>
      <c r="EE53" s="110">
        <f>IFERROR(__xludf.DUMMYFUNCTION("""COMPUTED_VALUE"""),89.29)</f>
        <v>89.29</v>
      </c>
      <c r="EF53" s="110">
        <f>IFERROR(__xludf.DUMMYFUNCTION("""COMPUTED_VALUE"""),183.36)</f>
        <v>183.36</v>
      </c>
      <c r="EG53" s="110">
        <f>IFERROR(__xludf.DUMMYFUNCTION("""COMPUTED_VALUE"""),69.18)</f>
        <v>69.18</v>
      </c>
      <c r="EH53" s="110">
        <f>IFERROR(__xludf.DUMMYFUNCTION("""COMPUTED_VALUE"""),103.72)</f>
        <v>103.72</v>
      </c>
      <c r="EI53" s="110">
        <f>IFERROR(__xludf.DUMMYFUNCTION("""COMPUTED_VALUE"""),136.27)</f>
        <v>136.27</v>
      </c>
      <c r="EJ53" s="110">
        <f>IFERROR(__xludf.DUMMYFUNCTION("""COMPUTED_VALUE"""),41.03)</f>
        <v>41.03</v>
      </c>
      <c r="EK53" s="110">
        <f>IFERROR(__xludf.DUMMYFUNCTION("""COMPUTED_VALUE"""),270.99)</f>
        <v>270.99</v>
      </c>
      <c r="EL53" s="110">
        <f>IFERROR(__xludf.DUMMYFUNCTION("""COMPUTED_VALUE"""),66.87)</f>
        <v>66.87</v>
      </c>
      <c r="EM53" s="110">
        <f>IFERROR(__xludf.DUMMYFUNCTION("""COMPUTED_VALUE"""),42.8)</f>
        <v>42.8</v>
      </c>
      <c r="EN53" s="110">
        <f>IFERROR(__xludf.DUMMYFUNCTION("""COMPUTED_VALUE"""),1690.0)</f>
        <v>1690</v>
      </c>
      <c r="EO53" s="110">
        <f>IFERROR(__xludf.DUMMYFUNCTION("""COMPUTED_VALUE"""),11.14)</f>
        <v>11.14</v>
      </c>
      <c r="EP53" s="110">
        <f>IFERROR(__xludf.DUMMYFUNCTION("""COMPUTED_VALUE"""),0.0)</f>
        <v>0</v>
      </c>
      <c r="EQ53" s="110">
        <f>IFERROR(__xludf.DUMMYFUNCTION("""COMPUTED_VALUE"""),1.89)</f>
        <v>1.89</v>
      </c>
      <c r="ER53" s="110">
        <f>IFERROR(__xludf.DUMMYFUNCTION("""COMPUTED_VALUE"""),4535.75)</f>
        <v>4535.75</v>
      </c>
      <c r="ES53" s="110">
        <f>IFERROR(__xludf.DUMMYFUNCTION("""COMPUTED_VALUE"""),96.84)</f>
        <v>96.84</v>
      </c>
      <c r="ET53" s="110">
        <f>IFERROR(__xludf.DUMMYFUNCTION("""COMPUTED_VALUE"""),119.32)</f>
        <v>119.32</v>
      </c>
      <c r="EU53" s="110">
        <f>IFERROR(__xludf.DUMMYFUNCTION("""COMPUTED_VALUE"""),31.1)</f>
        <v>31.1</v>
      </c>
      <c r="EV53" s="110">
        <f>IFERROR(__xludf.DUMMYFUNCTION("""COMPUTED_VALUE"""),1.6)</f>
        <v>1.6</v>
      </c>
      <c r="EW53" s="110">
        <f>IFERROR(__xludf.DUMMYFUNCTION("""COMPUTED_VALUE"""),13.36)</f>
        <v>13.36</v>
      </c>
      <c r="EX53" s="108">
        <f>IFERROR(__xludf.DUMMYFUNCTION("""COMPUTED_VALUE"""),4.96)</f>
        <v>4.96</v>
      </c>
      <c r="EY53" s="108">
        <f>IFERROR(__xludf.DUMMYFUNCTION("""COMPUTED_VALUE"""),161.1)</f>
        <v>161.1</v>
      </c>
      <c r="EZ53" s="108">
        <f>IFERROR(__xludf.DUMMYFUNCTION("""COMPUTED_VALUE"""),25.73)</f>
        <v>25.73</v>
      </c>
      <c r="FA53" s="108">
        <f>IFERROR(__xludf.DUMMYFUNCTION("""COMPUTED_VALUE"""),3.03)</f>
        <v>3.03</v>
      </c>
      <c r="FB53" s="108">
        <f>IFERROR(__xludf.DUMMYFUNCTION("""COMPUTED_VALUE"""),141.92)</f>
        <v>141.92</v>
      </c>
      <c r="FC53" s="108">
        <f>IFERROR(__xludf.DUMMYFUNCTION("""COMPUTED_VALUE"""),8.82)</f>
        <v>8.82</v>
      </c>
      <c r="FD53" s="108">
        <f>IFERROR(__xludf.DUMMYFUNCTION("""COMPUTED_VALUE"""),62.5)</f>
        <v>62.5</v>
      </c>
      <c r="FE53" s="108">
        <f>IFERROR(__xludf.DUMMYFUNCTION("""COMPUTED_VALUE"""),58.71)</f>
        <v>58.71</v>
      </c>
      <c r="FF53" s="108">
        <f>IFERROR(__xludf.DUMMYFUNCTION("""COMPUTED_VALUE"""),5.96)</f>
        <v>5.96</v>
      </c>
      <c r="FG53" s="108">
        <f>IFERROR(__xludf.DUMMYFUNCTION("""COMPUTED_VALUE"""),687.36)</f>
        <v>687.36</v>
      </c>
      <c r="FH53" s="108">
        <f>IFERROR(__xludf.DUMMYFUNCTION("""COMPUTED_VALUE"""),161.33)</f>
        <v>161.33</v>
      </c>
      <c r="FI53" s="108">
        <f>IFERROR(__xludf.DUMMYFUNCTION("""COMPUTED_VALUE"""),0.064)</f>
        <v>0.064</v>
      </c>
      <c r="FJ53" s="108">
        <f>IFERROR(__xludf.DUMMYFUNCTION("""COMPUTED_VALUE"""),15.3)</f>
        <v>15.3</v>
      </c>
      <c r="FK53" s="108">
        <f>IFERROR(__xludf.DUMMYFUNCTION("""COMPUTED_VALUE"""),190.22)</f>
        <v>190.22</v>
      </c>
      <c r="FL53" s="108">
        <f>IFERROR(__xludf.DUMMYFUNCTION("""COMPUTED_VALUE"""),480.76)</f>
        <v>480.76</v>
      </c>
      <c r="FM53" s="108">
        <f>IFERROR(__xludf.DUMMYFUNCTION("""COMPUTED_VALUE"""),133.7)</f>
        <v>133.7</v>
      </c>
      <c r="FN53" s="108">
        <f>IFERROR(__xludf.DUMMYFUNCTION("""COMPUTED_VALUE"""),1019.88)</f>
        <v>1019.88</v>
      </c>
      <c r="FO53" s="108">
        <f>IFERROR(__xludf.DUMMYFUNCTION("""COMPUTED_VALUE"""),679.53)</f>
        <v>679.53</v>
      </c>
    </row>
    <row r="54">
      <c r="A54" s="106">
        <f>IFERROR(__xludf.DUMMYFUNCTION("""COMPUTED_VALUE"""),44646.0)</f>
        <v>44646</v>
      </c>
      <c r="B54" s="110">
        <f>IFERROR(__xludf.DUMMYFUNCTION("""COMPUTED_VALUE"""),3295.47)</f>
        <v>3295.47</v>
      </c>
      <c r="C54" s="110">
        <f>IFERROR(__xludf.DUMMYFUNCTION("""COMPUTED_VALUE"""),221.82)</f>
        <v>221.82</v>
      </c>
      <c r="D54" s="110">
        <f>IFERROR(__xludf.DUMMYFUNCTION("""COMPUTED_VALUE"""),1010.64)</f>
        <v>1010.64</v>
      </c>
      <c r="E54" s="110">
        <f>IFERROR(__xludf.DUMMYFUNCTION("""COMPUTED_VALUE"""),356.4)</f>
        <v>356.4</v>
      </c>
      <c r="F54" s="110">
        <f>IFERROR(__xludf.DUMMYFUNCTION("""COMPUTED_VALUE"""),10.26)</f>
        <v>10.26</v>
      </c>
      <c r="G54" s="110">
        <f>IFERROR(__xludf.DUMMYFUNCTION("""COMPUTED_VALUE"""),174.72)</f>
        <v>174.72</v>
      </c>
      <c r="H54" s="110">
        <f>IFERROR(__xludf.DUMMYFUNCTION("""COMPUTED_VALUE"""),0.0)</f>
        <v>0</v>
      </c>
      <c r="I54" s="110">
        <f>IFERROR(__xludf.DUMMYFUNCTION("""COMPUTED_VALUE"""),0.01)</f>
        <v>0.01</v>
      </c>
      <c r="J54" s="110">
        <f>IFERROR(__xludf.DUMMYFUNCTION("""COMPUTED_VALUE"""),0.01)</f>
        <v>0.01</v>
      </c>
      <c r="K54" s="110">
        <f>IFERROR(__xludf.DUMMYFUNCTION("""COMPUTED_VALUE"""),38.2)</f>
        <v>38.2</v>
      </c>
      <c r="L54" s="110">
        <f>IFERROR(__xludf.DUMMYFUNCTION("""COMPUTED_VALUE"""),135.0)</f>
        <v>135</v>
      </c>
      <c r="M54" s="110">
        <f>IFERROR(__xludf.DUMMYFUNCTION("""COMPUTED_VALUE"""),44504.98)</f>
        <v>44504.98</v>
      </c>
      <c r="N54" s="110">
        <f>IFERROR(__xludf.DUMMYFUNCTION("""COMPUTED_VALUE"""),373.85)</f>
        <v>373.85</v>
      </c>
      <c r="O54" s="110">
        <f>IFERROR(__xludf.DUMMYFUNCTION("""COMPUTED_VALUE"""),303.68)</f>
        <v>303.68</v>
      </c>
      <c r="P54" s="110">
        <f>IFERROR(__xludf.DUMMYFUNCTION("""COMPUTED_VALUE"""),28.17)</f>
        <v>28.17</v>
      </c>
      <c r="Q54" s="110">
        <f>IFERROR(__xludf.DUMMYFUNCTION("""COMPUTED_VALUE"""),24.6)</f>
        <v>24.6</v>
      </c>
      <c r="R54" s="110">
        <f>IFERROR(__xludf.DUMMYFUNCTION("""COMPUTED_VALUE"""),59.92)</f>
        <v>59.92</v>
      </c>
      <c r="S54" s="110">
        <f>IFERROR(__xludf.DUMMYFUNCTION("""COMPUTED_VALUE"""),30.17)</f>
        <v>30.17</v>
      </c>
      <c r="T54" s="110">
        <f>IFERROR(__xludf.DUMMYFUNCTION("""COMPUTED_VALUE"""),27.05)</f>
        <v>27.05</v>
      </c>
      <c r="U54" s="110">
        <f>IFERROR(__xludf.DUMMYFUNCTION("""COMPUTED_VALUE"""),42.2)</f>
        <v>42.2</v>
      </c>
      <c r="V54" s="110">
        <f>IFERROR(__xludf.DUMMYFUNCTION("""COMPUTED_VALUE"""),14.54)</f>
        <v>14.54</v>
      </c>
      <c r="W54" s="110">
        <f>IFERROR(__xludf.DUMMYFUNCTION("""COMPUTED_VALUE"""),241.58)</f>
        <v>241.58</v>
      </c>
      <c r="X54" s="110">
        <f>IFERROR(__xludf.DUMMYFUNCTION("""COMPUTED_VALUE"""),2830.43)</f>
        <v>2830.43</v>
      </c>
      <c r="Y54" s="110">
        <f>IFERROR(__xludf.DUMMYFUNCTION("""COMPUTED_VALUE"""),55.45)</f>
        <v>55.45</v>
      </c>
      <c r="Z54" s="110">
        <f>IFERROR(__xludf.DUMMYFUNCTION("""COMPUTED_VALUE"""),63.6)</f>
        <v>63.6</v>
      </c>
      <c r="AA54" s="110">
        <f>IFERROR(__xludf.DUMMYFUNCTION("""COMPUTED_VALUE"""),119.63)</f>
        <v>119.63</v>
      </c>
      <c r="AB54" s="110">
        <f>IFERROR(__xludf.DUMMYFUNCTION("""COMPUTED_VALUE"""),4.69)</f>
        <v>4.69</v>
      </c>
      <c r="AC54" s="110">
        <f>IFERROR(__xludf.DUMMYFUNCTION("""COMPUTED_VALUE"""),78.75)</f>
        <v>78.75</v>
      </c>
      <c r="AD54" s="110">
        <f>IFERROR(__xludf.DUMMYFUNCTION("""COMPUTED_VALUE"""),12.18)</f>
        <v>12.18</v>
      </c>
      <c r="AE54" s="110">
        <f>IFERROR(__xludf.DUMMYFUNCTION("""COMPUTED_VALUE"""),6.05)</f>
        <v>6.05</v>
      </c>
      <c r="AF54" s="110">
        <f>IFERROR(__xludf.DUMMYFUNCTION("""COMPUTED_VALUE"""),39.91)</f>
        <v>39.91</v>
      </c>
      <c r="AG54" s="110">
        <f>IFERROR(__xludf.DUMMYFUNCTION("""COMPUTED_VALUE"""),11.78)</f>
        <v>11.78</v>
      </c>
      <c r="AH54" s="110">
        <f>IFERROR(__xludf.DUMMYFUNCTION("""COMPUTED_VALUE"""),2.15)</f>
        <v>2.15</v>
      </c>
      <c r="AI54" s="110">
        <f>IFERROR(__xludf.DUMMYFUNCTION("""COMPUTED_VALUE"""),3.28)</f>
        <v>3.28</v>
      </c>
      <c r="AJ54" s="110">
        <f>IFERROR(__xludf.DUMMYFUNCTION("""COMPUTED_VALUE"""),97.4)</f>
        <v>97.4</v>
      </c>
      <c r="AK54" s="110">
        <f>IFERROR(__xludf.DUMMYFUNCTION("""COMPUTED_VALUE"""),276.92)</f>
        <v>276.92</v>
      </c>
      <c r="AL54" s="110">
        <f>IFERROR(__xludf.DUMMYFUNCTION("""COMPUTED_VALUE"""),14.42)</f>
        <v>14.42</v>
      </c>
      <c r="AM54" s="110">
        <f>IFERROR(__xludf.DUMMYFUNCTION("""COMPUTED_VALUE"""),43.73)</f>
        <v>43.73</v>
      </c>
      <c r="AN54" s="110">
        <f>IFERROR(__xludf.DUMMYFUNCTION("""COMPUTED_VALUE"""),358.76)</f>
        <v>358.76</v>
      </c>
      <c r="AO54" s="110">
        <f>IFERROR(__xludf.DUMMYFUNCTION("""COMPUTED_VALUE"""),106.29)</f>
        <v>106.29</v>
      </c>
      <c r="AP54" s="110">
        <f>IFERROR(__xludf.DUMMYFUNCTION("""COMPUTED_VALUE"""),79.6)</f>
        <v>79.6</v>
      </c>
      <c r="AQ54" s="110">
        <f>IFERROR(__xludf.DUMMYFUNCTION("""COMPUTED_VALUE"""),45.68)</f>
        <v>45.68</v>
      </c>
      <c r="AR54" s="109">
        <f>IFERROR(__xludf.DUMMYFUNCTION("""COMPUTED_VALUE"""),103.494)</f>
        <v>103.494</v>
      </c>
      <c r="AS54" s="110">
        <f>IFERROR(__xludf.DUMMYFUNCTION("""COMPUTED_VALUE"""),13.59)</f>
        <v>13.59</v>
      </c>
      <c r="AT54" s="110">
        <f>IFERROR(__xludf.DUMMYFUNCTION("""COMPUTED_VALUE"""),107.4)</f>
        <v>107.4</v>
      </c>
      <c r="AU54" s="110">
        <f>IFERROR(__xludf.DUMMYFUNCTION("""COMPUTED_VALUE"""),67.11)</f>
        <v>67.11</v>
      </c>
      <c r="AV54" s="110">
        <f>IFERROR(__xludf.DUMMYFUNCTION("""COMPUTED_VALUE"""),139.14)</f>
        <v>139.14</v>
      </c>
      <c r="AW54" s="110">
        <f>IFERROR(__xludf.DUMMYFUNCTION("""COMPUTED_VALUE"""),137.06)</f>
        <v>137.06</v>
      </c>
      <c r="AX54" s="110">
        <f>IFERROR(__xludf.DUMMYFUNCTION("""COMPUTED_VALUE"""),19.5)</f>
        <v>19.5</v>
      </c>
      <c r="AY54" s="110">
        <f>IFERROR(__xludf.DUMMYFUNCTION("""COMPUTED_VALUE"""),47.07)</f>
        <v>47.07</v>
      </c>
      <c r="AZ54" s="110">
        <f>IFERROR(__xludf.DUMMYFUNCTION("""COMPUTED_VALUE"""),0.0)</f>
        <v>0</v>
      </c>
      <c r="BA54" s="110">
        <f>IFERROR(__xludf.DUMMYFUNCTION("""COMPUTED_VALUE"""),0.0)</f>
        <v>0</v>
      </c>
      <c r="BB54" s="110">
        <f>IFERROR(__xludf.DUMMYFUNCTION("""COMPUTED_VALUE"""),11.58)</f>
        <v>11.58</v>
      </c>
      <c r="BC54" s="110">
        <f>IFERROR(__xludf.DUMMYFUNCTION("""COMPUTED_VALUE"""),7.99)</f>
        <v>7.99</v>
      </c>
      <c r="BD54" s="110">
        <f>IFERROR(__xludf.DUMMYFUNCTION("""COMPUTED_VALUE"""),186.5)</f>
        <v>186.5</v>
      </c>
      <c r="BE54" s="110">
        <f>IFERROR(__xludf.DUMMYFUNCTION("""COMPUTED_VALUE"""),141.0)</f>
        <v>141</v>
      </c>
      <c r="BF54" s="110">
        <f>IFERROR(__xludf.DUMMYFUNCTION("""COMPUTED_VALUE"""),10.2)</f>
        <v>10.2</v>
      </c>
      <c r="BG54" s="110">
        <f>IFERROR(__xludf.DUMMYFUNCTION("""COMPUTED_VALUE"""),622.4)</f>
        <v>622.4</v>
      </c>
      <c r="BH54" s="110">
        <f>IFERROR(__xludf.DUMMYFUNCTION("""COMPUTED_VALUE"""),284.21)</f>
        <v>284.21</v>
      </c>
      <c r="BI54" s="110">
        <f>IFERROR(__xludf.DUMMYFUNCTION("""COMPUTED_VALUE"""),238.79)</f>
        <v>238.79</v>
      </c>
      <c r="BJ54" s="110">
        <f>IFERROR(__xludf.DUMMYFUNCTION("""COMPUTED_VALUE"""),25.16)</f>
        <v>25.16</v>
      </c>
      <c r="BK54" s="110">
        <f>IFERROR(__xludf.DUMMYFUNCTION("""COMPUTED_VALUE"""),318.91)</f>
        <v>318.91</v>
      </c>
      <c r="BL54" s="110">
        <f>IFERROR(__xludf.DUMMYFUNCTION("""COMPUTED_VALUE"""),124.29)</f>
        <v>124.29</v>
      </c>
      <c r="BM54" s="110">
        <f>IFERROR(__xludf.DUMMYFUNCTION("""COMPUTED_VALUE"""),16.47)</f>
        <v>16.47</v>
      </c>
      <c r="BN54" s="110">
        <f>IFERROR(__xludf.DUMMYFUNCTION("""COMPUTED_VALUE"""),314.5)</f>
        <v>314.5</v>
      </c>
      <c r="BO54" s="110">
        <f>IFERROR(__xludf.DUMMYFUNCTION("""COMPUTED_VALUE"""),688.08)</f>
        <v>688.08</v>
      </c>
      <c r="BP54" s="110">
        <f>IFERROR(__xludf.DUMMYFUNCTION("""COMPUTED_VALUE"""),46.16)</f>
        <v>46.16</v>
      </c>
      <c r="BQ54" s="110">
        <f>IFERROR(__xludf.DUMMYFUNCTION("""COMPUTED_VALUE"""),9.01)</f>
        <v>9.01</v>
      </c>
      <c r="BR54" s="110">
        <f>IFERROR(__xludf.DUMMYFUNCTION("""COMPUTED_VALUE"""),42.01)</f>
        <v>42.01</v>
      </c>
      <c r="BS54" s="110">
        <f>IFERROR(__xludf.DUMMYFUNCTION("""COMPUTED_VALUE"""),0.99)</f>
        <v>0.99</v>
      </c>
      <c r="BT54" s="110">
        <f>IFERROR(__xludf.DUMMYFUNCTION("""COMPUTED_VALUE"""),46.48)</f>
        <v>46.48</v>
      </c>
      <c r="BU54" s="110">
        <f>IFERROR(__xludf.DUMMYFUNCTION("""COMPUTED_VALUE"""),36.1)</f>
        <v>36.1</v>
      </c>
      <c r="BV54" s="110">
        <f>IFERROR(__xludf.DUMMYFUNCTION("""COMPUTED_VALUE"""),55.05)</f>
        <v>55.05</v>
      </c>
      <c r="BW54" s="110">
        <f>IFERROR(__xludf.DUMMYFUNCTION("""COMPUTED_VALUE"""),7.95)</f>
        <v>7.95</v>
      </c>
      <c r="BX54" s="110">
        <f>IFERROR(__xludf.DUMMYFUNCTION("""COMPUTED_VALUE"""),4.72)</f>
        <v>4.72</v>
      </c>
      <c r="BY54" s="110">
        <f>IFERROR(__xludf.DUMMYFUNCTION("""COMPUTED_VALUE"""),0.0)</f>
        <v>0</v>
      </c>
      <c r="BZ54" s="110">
        <f>IFERROR(__xludf.DUMMYFUNCTION("""COMPUTED_VALUE"""),15.44)</f>
        <v>15.44</v>
      </c>
      <c r="CA54" s="110">
        <f>IFERROR(__xludf.DUMMYFUNCTION("""COMPUTED_VALUE"""),3.84)</f>
        <v>3.84</v>
      </c>
      <c r="CB54" s="110">
        <f>IFERROR(__xludf.DUMMYFUNCTION("""COMPUTED_VALUE"""),5.37)</f>
        <v>5.37</v>
      </c>
      <c r="CC54" s="110">
        <f>IFERROR(__xludf.DUMMYFUNCTION("""COMPUTED_VALUE"""),17.86)</f>
        <v>17.86</v>
      </c>
      <c r="CD54" s="110">
        <f>IFERROR(__xludf.DUMMYFUNCTION("""COMPUTED_VALUE"""),13.79)</f>
        <v>13.79</v>
      </c>
      <c r="CE54" s="110">
        <f>IFERROR(__xludf.DUMMYFUNCTION("""COMPUTED_VALUE"""),29.18)</f>
        <v>29.18</v>
      </c>
      <c r="CF54" s="110">
        <f>IFERROR(__xludf.DUMMYFUNCTION("""COMPUTED_VALUE"""),112.63)</f>
        <v>112.63</v>
      </c>
      <c r="CG54" s="110">
        <f>IFERROR(__xludf.DUMMYFUNCTION("""COMPUTED_VALUE"""),4.92)</f>
        <v>4.92</v>
      </c>
      <c r="CH54" s="110">
        <f>IFERROR(__xludf.DUMMYFUNCTION("""COMPUTED_VALUE"""),24.54)</f>
        <v>24.54</v>
      </c>
      <c r="CI54" s="110">
        <f>IFERROR(__xludf.DUMMYFUNCTION("""COMPUTED_VALUE"""),48.01)</f>
        <v>48.01</v>
      </c>
      <c r="CJ54" s="110">
        <f>IFERROR(__xludf.DUMMYFUNCTION("""COMPUTED_VALUE"""),0.0)</f>
        <v>0</v>
      </c>
      <c r="CK54" s="110">
        <f>IFERROR(__xludf.DUMMYFUNCTION("""COMPUTED_VALUE"""),12.14)</f>
        <v>12.14</v>
      </c>
      <c r="CL54" s="110">
        <f>IFERROR(__xludf.DUMMYFUNCTION("""COMPUTED_VALUE"""),2833.46)</f>
        <v>2833.46</v>
      </c>
      <c r="CM54" s="110">
        <f>IFERROR(__xludf.DUMMYFUNCTION("""COMPUTED_VALUE"""),0.0)</f>
        <v>0</v>
      </c>
      <c r="CN54" s="110">
        <f>IFERROR(__xludf.DUMMYFUNCTION("""COMPUTED_VALUE"""),218.6)</f>
        <v>218.6</v>
      </c>
      <c r="CO54" s="110">
        <f>IFERROR(__xludf.DUMMYFUNCTION("""COMPUTED_VALUE"""),142.0)</f>
        <v>142</v>
      </c>
      <c r="CP54" s="110">
        <f>IFERROR(__xludf.DUMMYFUNCTION("""COMPUTED_VALUE"""),64.51)</f>
        <v>64.51</v>
      </c>
      <c r="CQ54" s="110">
        <f>IFERROR(__xludf.DUMMYFUNCTION("""COMPUTED_VALUE"""),69800.0)</f>
        <v>69800</v>
      </c>
      <c r="CR54" s="110">
        <f>IFERROR(__xludf.DUMMYFUNCTION("""COMPUTED_VALUE"""),0.52)</f>
        <v>0.52</v>
      </c>
      <c r="CS54" s="110">
        <f>IFERROR(__xludf.DUMMYFUNCTION("""COMPUTED_VALUE"""),33.59)</f>
        <v>33.59</v>
      </c>
      <c r="CT54" s="110">
        <f>IFERROR(__xludf.DUMMYFUNCTION("""COMPUTED_VALUE"""),21.58)</f>
        <v>21.58</v>
      </c>
      <c r="CU54" s="110">
        <f>IFERROR(__xludf.DUMMYFUNCTION("""COMPUTED_VALUE"""),1958.0)</f>
        <v>1958</v>
      </c>
      <c r="CV54" s="110">
        <f>IFERROR(__xludf.DUMMYFUNCTION("""COMPUTED_VALUE"""),2.43)</f>
        <v>2.43</v>
      </c>
      <c r="CW54" s="110">
        <f>IFERROR(__xludf.DUMMYFUNCTION("""COMPUTED_VALUE"""),3.28)</f>
        <v>3.28</v>
      </c>
      <c r="CX54" s="110">
        <f>IFERROR(__xludf.DUMMYFUNCTION("""COMPUTED_VALUE"""),0.0)</f>
        <v>0</v>
      </c>
      <c r="CY54" s="110">
        <f>IFERROR(__xludf.DUMMYFUNCTION("""COMPUTED_VALUE"""),0.05)</f>
        <v>0.05</v>
      </c>
      <c r="CZ54" s="110">
        <f>IFERROR(__xludf.DUMMYFUNCTION("""COMPUTED_VALUE"""),70.75)</f>
        <v>70.75</v>
      </c>
      <c r="DA54" s="110">
        <f>IFERROR(__xludf.DUMMYFUNCTION("""COMPUTED_VALUE"""),0.02)</f>
        <v>0.02</v>
      </c>
      <c r="DB54" s="110">
        <f>IFERROR(__xludf.DUMMYFUNCTION("""COMPUTED_VALUE"""),0.14)</f>
        <v>0.14</v>
      </c>
      <c r="DC54" s="110">
        <f>IFERROR(__xludf.DUMMYFUNCTION("""COMPUTED_VALUE"""),158.22)</f>
        <v>158.22</v>
      </c>
      <c r="DD54" s="110">
        <f>IFERROR(__xludf.DUMMYFUNCTION("""COMPUTED_VALUE"""),11.06)</f>
        <v>11.06</v>
      </c>
      <c r="DE54" s="110">
        <f>IFERROR(__xludf.DUMMYFUNCTION("""COMPUTED_VALUE"""),7.33)</f>
        <v>7.33</v>
      </c>
      <c r="DF54" s="110">
        <f>IFERROR(__xludf.DUMMYFUNCTION("""COMPUTED_VALUE"""),58.25)</f>
        <v>58.25</v>
      </c>
      <c r="DG54" s="110">
        <f>IFERROR(__xludf.DUMMYFUNCTION("""COMPUTED_VALUE"""),5.97)</f>
        <v>5.97</v>
      </c>
      <c r="DH54" s="110">
        <f>IFERROR(__xludf.DUMMYFUNCTION("""COMPUTED_VALUE"""),9.85)</f>
        <v>9.85</v>
      </c>
      <c r="DI54" s="110">
        <f>IFERROR(__xludf.DUMMYFUNCTION("""COMPUTED_VALUE"""),143.45)</f>
        <v>143.45</v>
      </c>
      <c r="DJ54" s="110">
        <f>IFERROR(__xludf.DUMMYFUNCTION("""COMPUTED_VALUE"""),12.13)</f>
        <v>12.13</v>
      </c>
      <c r="DK54" s="110">
        <f>IFERROR(__xludf.DUMMYFUNCTION("""COMPUTED_VALUE"""),0.0)</f>
        <v>0</v>
      </c>
      <c r="DL54" s="110">
        <f>IFERROR(__xludf.DUMMYFUNCTION("""COMPUTED_VALUE"""),26.0)</f>
        <v>26</v>
      </c>
      <c r="DM54" s="110">
        <f>IFERROR(__xludf.DUMMYFUNCTION("""COMPUTED_VALUE"""),453.66)</f>
        <v>453.66</v>
      </c>
      <c r="DN54" s="110">
        <f>IFERROR(__xludf.DUMMYFUNCTION("""COMPUTED_VALUE"""),167.22)</f>
        <v>167.22</v>
      </c>
      <c r="DO54" s="110">
        <f>IFERROR(__xludf.DUMMYFUNCTION("""COMPUTED_VALUE"""),373.6)</f>
        <v>373.6</v>
      </c>
      <c r="DP54" s="110">
        <f>IFERROR(__xludf.DUMMYFUNCTION("""COMPUTED_VALUE"""),3.05)</f>
        <v>3.05</v>
      </c>
      <c r="DQ54" s="110">
        <f>IFERROR(__xludf.DUMMYFUNCTION("""COMPUTED_VALUE"""),112.99)</f>
        <v>112.99</v>
      </c>
      <c r="DR54" s="110">
        <f>IFERROR(__xludf.DUMMYFUNCTION("""COMPUTED_VALUE"""),0.14)</f>
        <v>0.14</v>
      </c>
      <c r="DS54" s="110">
        <f>IFERROR(__xludf.DUMMYFUNCTION("""COMPUTED_VALUE"""),3.52)</f>
        <v>3.52</v>
      </c>
      <c r="DT54" s="110">
        <f>IFERROR(__xludf.DUMMYFUNCTION("""COMPUTED_VALUE"""),5.47)</f>
        <v>5.47</v>
      </c>
      <c r="DU54" s="110">
        <f>IFERROR(__xludf.DUMMYFUNCTION("""COMPUTED_VALUE"""),52.78)</f>
        <v>52.78</v>
      </c>
      <c r="DV54" s="110">
        <f>IFERROR(__xludf.DUMMYFUNCTION("""COMPUTED_VALUE"""),13.36)</f>
        <v>13.36</v>
      </c>
      <c r="DW54" s="110">
        <f>IFERROR(__xludf.DUMMYFUNCTION("""COMPUTED_VALUE"""),0.07)</f>
        <v>0.07</v>
      </c>
      <c r="DX54" s="110">
        <f>IFERROR(__xludf.DUMMYFUNCTION("""COMPUTED_VALUE"""),27.94)</f>
        <v>27.94</v>
      </c>
      <c r="DY54" s="110">
        <f>IFERROR(__xludf.DUMMYFUNCTION("""COMPUTED_VALUE"""),0.0)</f>
        <v>0</v>
      </c>
      <c r="DZ54" s="110">
        <f>IFERROR(__xludf.DUMMYFUNCTION("""COMPUTED_VALUE"""),74.13)</f>
        <v>74.13</v>
      </c>
      <c r="EA54" s="110">
        <f>IFERROR(__xludf.DUMMYFUNCTION("""COMPUTED_VALUE"""),47.13)</f>
        <v>47.13</v>
      </c>
      <c r="EB54" s="110">
        <f>IFERROR(__xludf.DUMMYFUNCTION("""COMPUTED_VALUE"""),72.78)</f>
        <v>72.78</v>
      </c>
      <c r="EC54" s="110">
        <f>IFERROR(__xludf.DUMMYFUNCTION("""COMPUTED_VALUE"""),75.04)</f>
        <v>75.04</v>
      </c>
      <c r="ED54" s="110">
        <f>IFERROR(__xludf.DUMMYFUNCTION("""COMPUTED_VALUE"""),39.52)</f>
        <v>39.52</v>
      </c>
      <c r="EE54" s="110">
        <f>IFERROR(__xludf.DUMMYFUNCTION("""COMPUTED_VALUE"""),89.29)</f>
        <v>89.29</v>
      </c>
      <c r="EF54" s="110">
        <f>IFERROR(__xludf.DUMMYFUNCTION("""COMPUTED_VALUE"""),183.36)</f>
        <v>183.36</v>
      </c>
      <c r="EG54" s="110">
        <f>IFERROR(__xludf.DUMMYFUNCTION("""COMPUTED_VALUE"""),69.18)</f>
        <v>69.18</v>
      </c>
      <c r="EH54" s="110">
        <f>IFERROR(__xludf.DUMMYFUNCTION("""COMPUTED_VALUE"""),103.72)</f>
        <v>103.72</v>
      </c>
      <c r="EI54" s="110">
        <f>IFERROR(__xludf.DUMMYFUNCTION("""COMPUTED_VALUE"""),136.27)</f>
        <v>136.27</v>
      </c>
      <c r="EJ54" s="110">
        <f>IFERROR(__xludf.DUMMYFUNCTION("""COMPUTED_VALUE"""),41.03)</f>
        <v>41.03</v>
      </c>
      <c r="EK54" s="110">
        <f>IFERROR(__xludf.DUMMYFUNCTION("""COMPUTED_VALUE"""),270.99)</f>
        <v>270.99</v>
      </c>
      <c r="EL54" s="110">
        <f>IFERROR(__xludf.DUMMYFUNCTION("""COMPUTED_VALUE"""),66.87)</f>
        <v>66.87</v>
      </c>
      <c r="EM54" s="110">
        <f>IFERROR(__xludf.DUMMYFUNCTION("""COMPUTED_VALUE"""),42.8)</f>
        <v>42.8</v>
      </c>
      <c r="EN54" s="110">
        <f>IFERROR(__xludf.DUMMYFUNCTION("""COMPUTED_VALUE"""),1690.0)</f>
        <v>1690</v>
      </c>
      <c r="EO54" s="110">
        <f>IFERROR(__xludf.DUMMYFUNCTION("""COMPUTED_VALUE"""),11.14)</f>
        <v>11.14</v>
      </c>
      <c r="EP54" s="110">
        <f>IFERROR(__xludf.DUMMYFUNCTION("""COMPUTED_VALUE"""),0.0)</f>
        <v>0</v>
      </c>
      <c r="EQ54" s="110">
        <f>IFERROR(__xludf.DUMMYFUNCTION("""COMPUTED_VALUE"""),1.89)</f>
        <v>1.89</v>
      </c>
      <c r="ER54" s="110">
        <f>IFERROR(__xludf.DUMMYFUNCTION("""COMPUTED_VALUE"""),4535.75)</f>
        <v>4535.75</v>
      </c>
      <c r="ES54" s="110">
        <f>IFERROR(__xludf.DUMMYFUNCTION("""COMPUTED_VALUE"""),96.84)</f>
        <v>96.84</v>
      </c>
      <c r="ET54" s="110">
        <f>IFERROR(__xludf.DUMMYFUNCTION("""COMPUTED_VALUE"""),119.32)</f>
        <v>119.32</v>
      </c>
      <c r="EU54" s="110">
        <f>IFERROR(__xludf.DUMMYFUNCTION("""COMPUTED_VALUE"""),31.1)</f>
        <v>31.1</v>
      </c>
      <c r="EV54" s="110">
        <f>IFERROR(__xludf.DUMMYFUNCTION("""COMPUTED_VALUE"""),1.6)</f>
        <v>1.6</v>
      </c>
      <c r="EW54" s="110">
        <f>IFERROR(__xludf.DUMMYFUNCTION("""COMPUTED_VALUE"""),13.36)</f>
        <v>13.36</v>
      </c>
      <c r="EX54" s="108">
        <f>IFERROR(__xludf.DUMMYFUNCTION("""COMPUTED_VALUE"""),4.96)</f>
        <v>4.96</v>
      </c>
      <c r="EY54" s="108">
        <f>IFERROR(__xludf.DUMMYFUNCTION("""COMPUTED_VALUE"""),161.1)</f>
        <v>161.1</v>
      </c>
      <c r="EZ54" s="108">
        <f>IFERROR(__xludf.DUMMYFUNCTION("""COMPUTED_VALUE"""),25.73)</f>
        <v>25.73</v>
      </c>
      <c r="FA54" s="108">
        <f>IFERROR(__xludf.DUMMYFUNCTION("""COMPUTED_VALUE"""),3.03)</f>
        <v>3.03</v>
      </c>
      <c r="FB54" s="108">
        <f>IFERROR(__xludf.DUMMYFUNCTION("""COMPUTED_VALUE"""),141.92)</f>
        <v>141.92</v>
      </c>
      <c r="FC54" s="108">
        <f>IFERROR(__xludf.DUMMYFUNCTION("""COMPUTED_VALUE"""),8.82)</f>
        <v>8.82</v>
      </c>
      <c r="FD54" s="108">
        <f>IFERROR(__xludf.DUMMYFUNCTION("""COMPUTED_VALUE"""),62.5)</f>
        <v>62.5</v>
      </c>
      <c r="FE54" s="108">
        <f>IFERROR(__xludf.DUMMYFUNCTION("""COMPUTED_VALUE"""),58.71)</f>
        <v>58.71</v>
      </c>
      <c r="FF54" s="108">
        <f>IFERROR(__xludf.DUMMYFUNCTION("""COMPUTED_VALUE"""),5.96)</f>
        <v>5.96</v>
      </c>
      <c r="FG54" s="108">
        <f>IFERROR(__xludf.DUMMYFUNCTION("""COMPUTED_VALUE"""),687.36)</f>
        <v>687.36</v>
      </c>
      <c r="FH54" s="108">
        <f>IFERROR(__xludf.DUMMYFUNCTION("""COMPUTED_VALUE"""),161.33)</f>
        <v>161.33</v>
      </c>
      <c r="FI54" s="108">
        <f>IFERROR(__xludf.DUMMYFUNCTION("""COMPUTED_VALUE"""),0.064)</f>
        <v>0.064</v>
      </c>
      <c r="FJ54" s="108">
        <f>IFERROR(__xludf.DUMMYFUNCTION("""COMPUTED_VALUE"""),15.3)</f>
        <v>15.3</v>
      </c>
      <c r="FK54" s="108">
        <f>IFERROR(__xludf.DUMMYFUNCTION("""COMPUTED_VALUE"""),190.22)</f>
        <v>190.22</v>
      </c>
      <c r="FL54" s="108">
        <f>IFERROR(__xludf.DUMMYFUNCTION("""COMPUTED_VALUE"""),480.76)</f>
        <v>480.76</v>
      </c>
      <c r="FM54" s="108">
        <f>IFERROR(__xludf.DUMMYFUNCTION("""COMPUTED_VALUE"""),133.7)</f>
        <v>133.7</v>
      </c>
      <c r="FN54" s="108">
        <f>IFERROR(__xludf.DUMMYFUNCTION("""COMPUTED_VALUE"""),1019.88)</f>
        <v>1019.88</v>
      </c>
      <c r="FO54" s="108">
        <f>IFERROR(__xludf.DUMMYFUNCTION("""COMPUTED_VALUE"""),679.53)</f>
        <v>679.53</v>
      </c>
    </row>
    <row r="55">
      <c r="A55" s="106">
        <f>IFERROR(__xludf.DUMMYFUNCTION("""COMPUTED_VALUE"""),44647.0)</f>
        <v>44647</v>
      </c>
      <c r="B55" s="110">
        <f>IFERROR(__xludf.DUMMYFUNCTION("""COMPUTED_VALUE"""),3295.47)</f>
        <v>3295.47</v>
      </c>
      <c r="C55" s="110">
        <f>IFERROR(__xludf.DUMMYFUNCTION("""COMPUTED_VALUE"""),221.82)</f>
        <v>221.82</v>
      </c>
      <c r="D55" s="110">
        <f>IFERROR(__xludf.DUMMYFUNCTION("""COMPUTED_VALUE"""),1010.64)</f>
        <v>1010.64</v>
      </c>
      <c r="E55" s="110">
        <f>IFERROR(__xludf.DUMMYFUNCTION("""COMPUTED_VALUE"""),356.4)</f>
        <v>356.4</v>
      </c>
      <c r="F55" s="110">
        <f>IFERROR(__xludf.DUMMYFUNCTION("""COMPUTED_VALUE"""),10.26)</f>
        <v>10.26</v>
      </c>
      <c r="G55" s="110">
        <f>IFERROR(__xludf.DUMMYFUNCTION("""COMPUTED_VALUE"""),174.72)</f>
        <v>174.72</v>
      </c>
      <c r="H55" s="110">
        <f>IFERROR(__xludf.DUMMYFUNCTION("""COMPUTED_VALUE"""),0.0)</f>
        <v>0</v>
      </c>
      <c r="I55" s="110">
        <f>IFERROR(__xludf.DUMMYFUNCTION("""COMPUTED_VALUE"""),0.01)</f>
        <v>0.01</v>
      </c>
      <c r="J55" s="110">
        <f>IFERROR(__xludf.DUMMYFUNCTION("""COMPUTED_VALUE"""),0.01)</f>
        <v>0.01</v>
      </c>
      <c r="K55" s="110">
        <f>IFERROR(__xludf.DUMMYFUNCTION("""COMPUTED_VALUE"""),38.2)</f>
        <v>38.2</v>
      </c>
      <c r="L55" s="110">
        <f>IFERROR(__xludf.DUMMYFUNCTION("""COMPUTED_VALUE"""),135.0)</f>
        <v>135</v>
      </c>
      <c r="M55" s="110">
        <f>IFERROR(__xludf.DUMMYFUNCTION("""COMPUTED_VALUE"""),44504.98)</f>
        <v>44504.98</v>
      </c>
      <c r="N55" s="110">
        <f>IFERROR(__xludf.DUMMYFUNCTION("""COMPUTED_VALUE"""),373.85)</f>
        <v>373.85</v>
      </c>
      <c r="O55" s="110">
        <f>IFERROR(__xludf.DUMMYFUNCTION("""COMPUTED_VALUE"""),303.68)</f>
        <v>303.68</v>
      </c>
      <c r="P55" s="110">
        <f>IFERROR(__xludf.DUMMYFUNCTION("""COMPUTED_VALUE"""),28.17)</f>
        <v>28.17</v>
      </c>
      <c r="Q55" s="110">
        <f>IFERROR(__xludf.DUMMYFUNCTION("""COMPUTED_VALUE"""),24.6)</f>
        <v>24.6</v>
      </c>
      <c r="R55" s="110">
        <f>IFERROR(__xludf.DUMMYFUNCTION("""COMPUTED_VALUE"""),59.92)</f>
        <v>59.92</v>
      </c>
      <c r="S55" s="110">
        <f>IFERROR(__xludf.DUMMYFUNCTION("""COMPUTED_VALUE"""),30.17)</f>
        <v>30.17</v>
      </c>
      <c r="T55" s="110">
        <f>IFERROR(__xludf.DUMMYFUNCTION("""COMPUTED_VALUE"""),27.05)</f>
        <v>27.05</v>
      </c>
      <c r="U55" s="110">
        <f>IFERROR(__xludf.DUMMYFUNCTION("""COMPUTED_VALUE"""),42.2)</f>
        <v>42.2</v>
      </c>
      <c r="V55" s="110">
        <f>IFERROR(__xludf.DUMMYFUNCTION("""COMPUTED_VALUE"""),14.54)</f>
        <v>14.54</v>
      </c>
      <c r="W55" s="110">
        <f>IFERROR(__xludf.DUMMYFUNCTION("""COMPUTED_VALUE"""),241.58)</f>
        <v>241.58</v>
      </c>
      <c r="X55" s="110">
        <f>IFERROR(__xludf.DUMMYFUNCTION("""COMPUTED_VALUE"""),2830.43)</f>
        <v>2830.43</v>
      </c>
      <c r="Y55" s="110">
        <f>IFERROR(__xludf.DUMMYFUNCTION("""COMPUTED_VALUE"""),55.45)</f>
        <v>55.45</v>
      </c>
      <c r="Z55" s="110">
        <f>IFERROR(__xludf.DUMMYFUNCTION("""COMPUTED_VALUE"""),63.6)</f>
        <v>63.6</v>
      </c>
      <c r="AA55" s="110">
        <f>IFERROR(__xludf.DUMMYFUNCTION("""COMPUTED_VALUE"""),119.63)</f>
        <v>119.63</v>
      </c>
      <c r="AB55" s="110">
        <f>IFERROR(__xludf.DUMMYFUNCTION("""COMPUTED_VALUE"""),4.69)</f>
        <v>4.69</v>
      </c>
      <c r="AC55" s="110">
        <f>IFERROR(__xludf.DUMMYFUNCTION("""COMPUTED_VALUE"""),78.75)</f>
        <v>78.75</v>
      </c>
      <c r="AD55" s="110">
        <f>IFERROR(__xludf.DUMMYFUNCTION("""COMPUTED_VALUE"""),12.18)</f>
        <v>12.18</v>
      </c>
      <c r="AE55" s="110">
        <f>IFERROR(__xludf.DUMMYFUNCTION("""COMPUTED_VALUE"""),6.05)</f>
        <v>6.05</v>
      </c>
      <c r="AF55" s="110">
        <f>IFERROR(__xludf.DUMMYFUNCTION("""COMPUTED_VALUE"""),39.91)</f>
        <v>39.91</v>
      </c>
      <c r="AG55" s="110">
        <f>IFERROR(__xludf.DUMMYFUNCTION("""COMPUTED_VALUE"""),11.78)</f>
        <v>11.78</v>
      </c>
      <c r="AH55" s="110">
        <f>IFERROR(__xludf.DUMMYFUNCTION("""COMPUTED_VALUE"""),2.15)</f>
        <v>2.15</v>
      </c>
      <c r="AI55" s="110">
        <f>IFERROR(__xludf.DUMMYFUNCTION("""COMPUTED_VALUE"""),3.28)</f>
        <v>3.28</v>
      </c>
      <c r="AJ55" s="110">
        <f>IFERROR(__xludf.DUMMYFUNCTION("""COMPUTED_VALUE"""),97.4)</f>
        <v>97.4</v>
      </c>
      <c r="AK55" s="110">
        <f>IFERROR(__xludf.DUMMYFUNCTION("""COMPUTED_VALUE"""),276.92)</f>
        <v>276.92</v>
      </c>
      <c r="AL55" s="110">
        <f>IFERROR(__xludf.DUMMYFUNCTION("""COMPUTED_VALUE"""),14.42)</f>
        <v>14.42</v>
      </c>
      <c r="AM55" s="110">
        <f>IFERROR(__xludf.DUMMYFUNCTION("""COMPUTED_VALUE"""),43.73)</f>
        <v>43.73</v>
      </c>
      <c r="AN55" s="110">
        <f>IFERROR(__xludf.DUMMYFUNCTION("""COMPUTED_VALUE"""),358.76)</f>
        <v>358.76</v>
      </c>
      <c r="AO55" s="110">
        <f>IFERROR(__xludf.DUMMYFUNCTION("""COMPUTED_VALUE"""),106.29)</f>
        <v>106.29</v>
      </c>
      <c r="AP55" s="110">
        <f>IFERROR(__xludf.DUMMYFUNCTION("""COMPUTED_VALUE"""),79.6)</f>
        <v>79.6</v>
      </c>
      <c r="AQ55" s="110">
        <f>IFERROR(__xludf.DUMMYFUNCTION("""COMPUTED_VALUE"""),45.68)</f>
        <v>45.68</v>
      </c>
      <c r="AR55" s="109">
        <f>IFERROR(__xludf.DUMMYFUNCTION("""COMPUTED_VALUE"""),103.494)</f>
        <v>103.494</v>
      </c>
      <c r="AS55" s="110">
        <f>IFERROR(__xludf.DUMMYFUNCTION("""COMPUTED_VALUE"""),13.59)</f>
        <v>13.59</v>
      </c>
      <c r="AT55" s="110">
        <f>IFERROR(__xludf.DUMMYFUNCTION("""COMPUTED_VALUE"""),107.4)</f>
        <v>107.4</v>
      </c>
      <c r="AU55" s="110">
        <f>IFERROR(__xludf.DUMMYFUNCTION("""COMPUTED_VALUE"""),67.11)</f>
        <v>67.11</v>
      </c>
      <c r="AV55" s="110">
        <f>IFERROR(__xludf.DUMMYFUNCTION("""COMPUTED_VALUE"""),139.14)</f>
        <v>139.14</v>
      </c>
      <c r="AW55" s="110">
        <f>IFERROR(__xludf.DUMMYFUNCTION("""COMPUTED_VALUE"""),137.06)</f>
        <v>137.06</v>
      </c>
      <c r="AX55" s="110">
        <f>IFERROR(__xludf.DUMMYFUNCTION("""COMPUTED_VALUE"""),19.5)</f>
        <v>19.5</v>
      </c>
      <c r="AY55" s="110">
        <f>IFERROR(__xludf.DUMMYFUNCTION("""COMPUTED_VALUE"""),47.07)</f>
        <v>47.07</v>
      </c>
      <c r="AZ55" s="110">
        <f>IFERROR(__xludf.DUMMYFUNCTION("""COMPUTED_VALUE"""),0.0)</f>
        <v>0</v>
      </c>
      <c r="BA55" s="110">
        <f>IFERROR(__xludf.DUMMYFUNCTION("""COMPUTED_VALUE"""),0.0)</f>
        <v>0</v>
      </c>
      <c r="BB55" s="110">
        <f>IFERROR(__xludf.DUMMYFUNCTION("""COMPUTED_VALUE"""),11.58)</f>
        <v>11.58</v>
      </c>
      <c r="BC55" s="110">
        <f>IFERROR(__xludf.DUMMYFUNCTION("""COMPUTED_VALUE"""),7.99)</f>
        <v>7.99</v>
      </c>
      <c r="BD55" s="110">
        <f>IFERROR(__xludf.DUMMYFUNCTION("""COMPUTED_VALUE"""),186.5)</f>
        <v>186.5</v>
      </c>
      <c r="BE55" s="110">
        <f>IFERROR(__xludf.DUMMYFUNCTION("""COMPUTED_VALUE"""),141.0)</f>
        <v>141</v>
      </c>
      <c r="BF55" s="110">
        <f>IFERROR(__xludf.DUMMYFUNCTION("""COMPUTED_VALUE"""),10.2)</f>
        <v>10.2</v>
      </c>
      <c r="BG55" s="110">
        <f>IFERROR(__xludf.DUMMYFUNCTION("""COMPUTED_VALUE"""),622.4)</f>
        <v>622.4</v>
      </c>
      <c r="BH55" s="110">
        <f>IFERROR(__xludf.DUMMYFUNCTION("""COMPUTED_VALUE"""),284.21)</f>
        <v>284.21</v>
      </c>
      <c r="BI55" s="110">
        <f>IFERROR(__xludf.DUMMYFUNCTION("""COMPUTED_VALUE"""),238.79)</f>
        <v>238.79</v>
      </c>
      <c r="BJ55" s="110">
        <f>IFERROR(__xludf.DUMMYFUNCTION("""COMPUTED_VALUE"""),25.16)</f>
        <v>25.16</v>
      </c>
      <c r="BK55" s="110">
        <f>IFERROR(__xludf.DUMMYFUNCTION("""COMPUTED_VALUE"""),318.91)</f>
        <v>318.91</v>
      </c>
      <c r="BL55" s="110">
        <f>IFERROR(__xludf.DUMMYFUNCTION("""COMPUTED_VALUE"""),124.29)</f>
        <v>124.29</v>
      </c>
      <c r="BM55" s="110">
        <f>IFERROR(__xludf.DUMMYFUNCTION("""COMPUTED_VALUE"""),16.47)</f>
        <v>16.47</v>
      </c>
      <c r="BN55" s="110">
        <f>IFERROR(__xludf.DUMMYFUNCTION("""COMPUTED_VALUE"""),314.5)</f>
        <v>314.5</v>
      </c>
      <c r="BO55" s="110">
        <f>IFERROR(__xludf.DUMMYFUNCTION("""COMPUTED_VALUE"""),688.08)</f>
        <v>688.08</v>
      </c>
      <c r="BP55" s="110">
        <f>IFERROR(__xludf.DUMMYFUNCTION("""COMPUTED_VALUE"""),46.16)</f>
        <v>46.16</v>
      </c>
      <c r="BQ55" s="110">
        <f>IFERROR(__xludf.DUMMYFUNCTION("""COMPUTED_VALUE"""),9.01)</f>
        <v>9.01</v>
      </c>
      <c r="BR55" s="110">
        <f>IFERROR(__xludf.DUMMYFUNCTION("""COMPUTED_VALUE"""),42.01)</f>
        <v>42.01</v>
      </c>
      <c r="BS55" s="110">
        <f>IFERROR(__xludf.DUMMYFUNCTION("""COMPUTED_VALUE"""),0.99)</f>
        <v>0.99</v>
      </c>
      <c r="BT55" s="110">
        <f>IFERROR(__xludf.DUMMYFUNCTION("""COMPUTED_VALUE"""),46.48)</f>
        <v>46.48</v>
      </c>
      <c r="BU55" s="110">
        <f>IFERROR(__xludf.DUMMYFUNCTION("""COMPUTED_VALUE"""),36.1)</f>
        <v>36.1</v>
      </c>
      <c r="BV55" s="110">
        <f>IFERROR(__xludf.DUMMYFUNCTION("""COMPUTED_VALUE"""),55.05)</f>
        <v>55.05</v>
      </c>
      <c r="BW55" s="110">
        <f>IFERROR(__xludf.DUMMYFUNCTION("""COMPUTED_VALUE"""),7.95)</f>
        <v>7.95</v>
      </c>
      <c r="BX55" s="110">
        <f>IFERROR(__xludf.DUMMYFUNCTION("""COMPUTED_VALUE"""),4.72)</f>
        <v>4.72</v>
      </c>
      <c r="BY55" s="110">
        <f>IFERROR(__xludf.DUMMYFUNCTION("""COMPUTED_VALUE"""),0.0)</f>
        <v>0</v>
      </c>
      <c r="BZ55" s="110">
        <f>IFERROR(__xludf.DUMMYFUNCTION("""COMPUTED_VALUE"""),15.44)</f>
        <v>15.44</v>
      </c>
      <c r="CA55" s="110">
        <f>IFERROR(__xludf.DUMMYFUNCTION("""COMPUTED_VALUE"""),3.84)</f>
        <v>3.84</v>
      </c>
      <c r="CB55" s="110">
        <f>IFERROR(__xludf.DUMMYFUNCTION("""COMPUTED_VALUE"""),5.37)</f>
        <v>5.37</v>
      </c>
      <c r="CC55" s="110">
        <f>IFERROR(__xludf.DUMMYFUNCTION("""COMPUTED_VALUE"""),17.86)</f>
        <v>17.86</v>
      </c>
      <c r="CD55" s="110">
        <f>IFERROR(__xludf.DUMMYFUNCTION("""COMPUTED_VALUE"""),13.79)</f>
        <v>13.79</v>
      </c>
      <c r="CE55" s="110">
        <f>IFERROR(__xludf.DUMMYFUNCTION("""COMPUTED_VALUE"""),29.18)</f>
        <v>29.18</v>
      </c>
      <c r="CF55" s="110">
        <f>IFERROR(__xludf.DUMMYFUNCTION("""COMPUTED_VALUE"""),112.63)</f>
        <v>112.63</v>
      </c>
      <c r="CG55" s="110">
        <f>IFERROR(__xludf.DUMMYFUNCTION("""COMPUTED_VALUE"""),4.92)</f>
        <v>4.92</v>
      </c>
      <c r="CH55" s="110">
        <f>IFERROR(__xludf.DUMMYFUNCTION("""COMPUTED_VALUE"""),24.54)</f>
        <v>24.54</v>
      </c>
      <c r="CI55" s="110">
        <f>IFERROR(__xludf.DUMMYFUNCTION("""COMPUTED_VALUE"""),48.01)</f>
        <v>48.01</v>
      </c>
      <c r="CJ55" s="110">
        <f>IFERROR(__xludf.DUMMYFUNCTION("""COMPUTED_VALUE"""),0.0)</f>
        <v>0</v>
      </c>
      <c r="CK55" s="110">
        <f>IFERROR(__xludf.DUMMYFUNCTION("""COMPUTED_VALUE"""),12.14)</f>
        <v>12.14</v>
      </c>
      <c r="CL55" s="110">
        <f>IFERROR(__xludf.DUMMYFUNCTION("""COMPUTED_VALUE"""),2833.46)</f>
        <v>2833.46</v>
      </c>
      <c r="CM55" s="110">
        <f>IFERROR(__xludf.DUMMYFUNCTION("""COMPUTED_VALUE"""),0.0)</f>
        <v>0</v>
      </c>
      <c r="CN55" s="110">
        <f>IFERROR(__xludf.DUMMYFUNCTION("""COMPUTED_VALUE"""),218.6)</f>
        <v>218.6</v>
      </c>
      <c r="CO55" s="110">
        <f>IFERROR(__xludf.DUMMYFUNCTION("""COMPUTED_VALUE"""),142.0)</f>
        <v>142</v>
      </c>
      <c r="CP55" s="110">
        <f>IFERROR(__xludf.DUMMYFUNCTION("""COMPUTED_VALUE"""),64.51)</f>
        <v>64.51</v>
      </c>
      <c r="CQ55" s="110">
        <f>IFERROR(__xludf.DUMMYFUNCTION("""COMPUTED_VALUE"""),69800.0)</f>
        <v>69800</v>
      </c>
      <c r="CR55" s="110">
        <f>IFERROR(__xludf.DUMMYFUNCTION("""COMPUTED_VALUE"""),0.52)</f>
        <v>0.52</v>
      </c>
      <c r="CS55" s="110">
        <f>IFERROR(__xludf.DUMMYFUNCTION("""COMPUTED_VALUE"""),33.59)</f>
        <v>33.59</v>
      </c>
      <c r="CT55" s="110">
        <f>IFERROR(__xludf.DUMMYFUNCTION("""COMPUTED_VALUE"""),21.58)</f>
        <v>21.58</v>
      </c>
      <c r="CU55" s="110">
        <f>IFERROR(__xludf.DUMMYFUNCTION("""COMPUTED_VALUE"""),1958.0)</f>
        <v>1958</v>
      </c>
      <c r="CV55" s="110">
        <f>IFERROR(__xludf.DUMMYFUNCTION("""COMPUTED_VALUE"""),2.43)</f>
        <v>2.43</v>
      </c>
      <c r="CW55" s="110">
        <f>IFERROR(__xludf.DUMMYFUNCTION("""COMPUTED_VALUE"""),3.28)</f>
        <v>3.28</v>
      </c>
      <c r="CX55" s="110">
        <f>IFERROR(__xludf.DUMMYFUNCTION("""COMPUTED_VALUE"""),0.0)</f>
        <v>0</v>
      </c>
      <c r="CY55" s="110">
        <f>IFERROR(__xludf.DUMMYFUNCTION("""COMPUTED_VALUE"""),0.05)</f>
        <v>0.05</v>
      </c>
      <c r="CZ55" s="110">
        <f>IFERROR(__xludf.DUMMYFUNCTION("""COMPUTED_VALUE"""),70.75)</f>
        <v>70.75</v>
      </c>
      <c r="DA55" s="110">
        <f>IFERROR(__xludf.DUMMYFUNCTION("""COMPUTED_VALUE"""),0.02)</f>
        <v>0.02</v>
      </c>
      <c r="DB55" s="110">
        <f>IFERROR(__xludf.DUMMYFUNCTION("""COMPUTED_VALUE"""),0.14)</f>
        <v>0.14</v>
      </c>
      <c r="DC55" s="110">
        <f>IFERROR(__xludf.DUMMYFUNCTION("""COMPUTED_VALUE"""),158.22)</f>
        <v>158.22</v>
      </c>
      <c r="DD55" s="110">
        <f>IFERROR(__xludf.DUMMYFUNCTION("""COMPUTED_VALUE"""),11.06)</f>
        <v>11.06</v>
      </c>
      <c r="DE55" s="110">
        <f>IFERROR(__xludf.DUMMYFUNCTION("""COMPUTED_VALUE"""),7.33)</f>
        <v>7.33</v>
      </c>
      <c r="DF55" s="110">
        <f>IFERROR(__xludf.DUMMYFUNCTION("""COMPUTED_VALUE"""),58.25)</f>
        <v>58.25</v>
      </c>
      <c r="DG55" s="110">
        <f>IFERROR(__xludf.DUMMYFUNCTION("""COMPUTED_VALUE"""),5.97)</f>
        <v>5.97</v>
      </c>
      <c r="DH55" s="110">
        <f>IFERROR(__xludf.DUMMYFUNCTION("""COMPUTED_VALUE"""),9.85)</f>
        <v>9.85</v>
      </c>
      <c r="DI55" s="110">
        <f>IFERROR(__xludf.DUMMYFUNCTION("""COMPUTED_VALUE"""),143.45)</f>
        <v>143.45</v>
      </c>
      <c r="DJ55" s="110">
        <f>IFERROR(__xludf.DUMMYFUNCTION("""COMPUTED_VALUE"""),12.13)</f>
        <v>12.13</v>
      </c>
      <c r="DK55" s="110">
        <f>IFERROR(__xludf.DUMMYFUNCTION("""COMPUTED_VALUE"""),0.0)</f>
        <v>0</v>
      </c>
      <c r="DL55" s="110">
        <f>IFERROR(__xludf.DUMMYFUNCTION("""COMPUTED_VALUE"""),26.0)</f>
        <v>26</v>
      </c>
      <c r="DM55" s="110">
        <f>IFERROR(__xludf.DUMMYFUNCTION("""COMPUTED_VALUE"""),453.66)</f>
        <v>453.66</v>
      </c>
      <c r="DN55" s="110">
        <f>IFERROR(__xludf.DUMMYFUNCTION("""COMPUTED_VALUE"""),167.22)</f>
        <v>167.22</v>
      </c>
      <c r="DO55" s="110">
        <f>IFERROR(__xludf.DUMMYFUNCTION("""COMPUTED_VALUE"""),373.6)</f>
        <v>373.6</v>
      </c>
      <c r="DP55" s="110">
        <f>IFERROR(__xludf.DUMMYFUNCTION("""COMPUTED_VALUE"""),3.05)</f>
        <v>3.05</v>
      </c>
      <c r="DQ55" s="110">
        <f>IFERROR(__xludf.DUMMYFUNCTION("""COMPUTED_VALUE"""),112.99)</f>
        <v>112.99</v>
      </c>
      <c r="DR55" s="110">
        <f>IFERROR(__xludf.DUMMYFUNCTION("""COMPUTED_VALUE"""),0.14)</f>
        <v>0.14</v>
      </c>
      <c r="DS55" s="110">
        <f>IFERROR(__xludf.DUMMYFUNCTION("""COMPUTED_VALUE"""),3.52)</f>
        <v>3.52</v>
      </c>
      <c r="DT55" s="110">
        <f>IFERROR(__xludf.DUMMYFUNCTION("""COMPUTED_VALUE"""),5.47)</f>
        <v>5.47</v>
      </c>
      <c r="DU55" s="110">
        <f>IFERROR(__xludf.DUMMYFUNCTION("""COMPUTED_VALUE"""),52.78)</f>
        <v>52.78</v>
      </c>
      <c r="DV55" s="110">
        <f>IFERROR(__xludf.DUMMYFUNCTION("""COMPUTED_VALUE"""),13.36)</f>
        <v>13.36</v>
      </c>
      <c r="DW55" s="110">
        <f>IFERROR(__xludf.DUMMYFUNCTION("""COMPUTED_VALUE"""),0.07)</f>
        <v>0.07</v>
      </c>
      <c r="DX55" s="110">
        <f>IFERROR(__xludf.DUMMYFUNCTION("""COMPUTED_VALUE"""),27.94)</f>
        <v>27.94</v>
      </c>
      <c r="DY55" s="110">
        <f>IFERROR(__xludf.DUMMYFUNCTION("""COMPUTED_VALUE"""),0.0)</f>
        <v>0</v>
      </c>
      <c r="DZ55" s="110">
        <f>IFERROR(__xludf.DUMMYFUNCTION("""COMPUTED_VALUE"""),74.13)</f>
        <v>74.13</v>
      </c>
      <c r="EA55" s="110">
        <f>IFERROR(__xludf.DUMMYFUNCTION("""COMPUTED_VALUE"""),47.13)</f>
        <v>47.13</v>
      </c>
      <c r="EB55" s="110">
        <f>IFERROR(__xludf.DUMMYFUNCTION("""COMPUTED_VALUE"""),72.78)</f>
        <v>72.78</v>
      </c>
      <c r="EC55" s="110">
        <f>IFERROR(__xludf.DUMMYFUNCTION("""COMPUTED_VALUE"""),75.04)</f>
        <v>75.04</v>
      </c>
      <c r="ED55" s="110">
        <f>IFERROR(__xludf.DUMMYFUNCTION("""COMPUTED_VALUE"""),39.52)</f>
        <v>39.52</v>
      </c>
      <c r="EE55" s="110">
        <f>IFERROR(__xludf.DUMMYFUNCTION("""COMPUTED_VALUE"""),89.29)</f>
        <v>89.29</v>
      </c>
      <c r="EF55" s="110">
        <f>IFERROR(__xludf.DUMMYFUNCTION("""COMPUTED_VALUE"""),183.36)</f>
        <v>183.36</v>
      </c>
      <c r="EG55" s="110">
        <f>IFERROR(__xludf.DUMMYFUNCTION("""COMPUTED_VALUE"""),69.18)</f>
        <v>69.18</v>
      </c>
      <c r="EH55" s="110">
        <f>IFERROR(__xludf.DUMMYFUNCTION("""COMPUTED_VALUE"""),103.72)</f>
        <v>103.72</v>
      </c>
      <c r="EI55" s="110">
        <f>IFERROR(__xludf.DUMMYFUNCTION("""COMPUTED_VALUE"""),136.27)</f>
        <v>136.27</v>
      </c>
      <c r="EJ55" s="110">
        <f>IFERROR(__xludf.DUMMYFUNCTION("""COMPUTED_VALUE"""),41.03)</f>
        <v>41.03</v>
      </c>
      <c r="EK55" s="110">
        <f>IFERROR(__xludf.DUMMYFUNCTION("""COMPUTED_VALUE"""),270.99)</f>
        <v>270.99</v>
      </c>
      <c r="EL55" s="110">
        <f>IFERROR(__xludf.DUMMYFUNCTION("""COMPUTED_VALUE"""),66.87)</f>
        <v>66.87</v>
      </c>
      <c r="EM55" s="110">
        <f>IFERROR(__xludf.DUMMYFUNCTION("""COMPUTED_VALUE"""),42.8)</f>
        <v>42.8</v>
      </c>
      <c r="EN55" s="110">
        <f>IFERROR(__xludf.DUMMYFUNCTION("""COMPUTED_VALUE"""),1690.0)</f>
        <v>1690</v>
      </c>
      <c r="EO55" s="110">
        <f>IFERROR(__xludf.DUMMYFUNCTION("""COMPUTED_VALUE"""),11.14)</f>
        <v>11.14</v>
      </c>
      <c r="EP55" s="110">
        <f>IFERROR(__xludf.DUMMYFUNCTION("""COMPUTED_VALUE"""),0.0)</f>
        <v>0</v>
      </c>
      <c r="EQ55" s="110">
        <f>IFERROR(__xludf.DUMMYFUNCTION("""COMPUTED_VALUE"""),1.89)</f>
        <v>1.89</v>
      </c>
      <c r="ER55" s="110">
        <f>IFERROR(__xludf.DUMMYFUNCTION("""COMPUTED_VALUE"""),4535.75)</f>
        <v>4535.75</v>
      </c>
      <c r="ES55" s="110">
        <f>IFERROR(__xludf.DUMMYFUNCTION("""COMPUTED_VALUE"""),96.84)</f>
        <v>96.84</v>
      </c>
      <c r="ET55" s="110">
        <f>IFERROR(__xludf.DUMMYFUNCTION("""COMPUTED_VALUE"""),119.32)</f>
        <v>119.32</v>
      </c>
      <c r="EU55" s="110">
        <f>IFERROR(__xludf.DUMMYFUNCTION("""COMPUTED_VALUE"""),31.1)</f>
        <v>31.1</v>
      </c>
      <c r="EV55" s="110">
        <f>IFERROR(__xludf.DUMMYFUNCTION("""COMPUTED_VALUE"""),1.6)</f>
        <v>1.6</v>
      </c>
      <c r="EW55" s="110">
        <f>IFERROR(__xludf.DUMMYFUNCTION("""COMPUTED_VALUE"""),13.36)</f>
        <v>13.36</v>
      </c>
      <c r="EX55" s="108">
        <f>IFERROR(__xludf.DUMMYFUNCTION("""COMPUTED_VALUE"""),4.96)</f>
        <v>4.96</v>
      </c>
      <c r="EY55" s="108">
        <f>IFERROR(__xludf.DUMMYFUNCTION("""COMPUTED_VALUE"""),161.1)</f>
        <v>161.1</v>
      </c>
      <c r="EZ55" s="108">
        <f>IFERROR(__xludf.DUMMYFUNCTION("""COMPUTED_VALUE"""),25.73)</f>
        <v>25.73</v>
      </c>
      <c r="FA55" s="108">
        <f>IFERROR(__xludf.DUMMYFUNCTION("""COMPUTED_VALUE"""),3.03)</f>
        <v>3.03</v>
      </c>
      <c r="FB55" s="108">
        <f>IFERROR(__xludf.DUMMYFUNCTION("""COMPUTED_VALUE"""),141.92)</f>
        <v>141.92</v>
      </c>
      <c r="FC55" s="108">
        <f>IFERROR(__xludf.DUMMYFUNCTION("""COMPUTED_VALUE"""),8.82)</f>
        <v>8.82</v>
      </c>
      <c r="FD55" s="108">
        <f>IFERROR(__xludf.DUMMYFUNCTION("""COMPUTED_VALUE"""),62.5)</f>
        <v>62.5</v>
      </c>
      <c r="FE55" s="108">
        <f>IFERROR(__xludf.DUMMYFUNCTION("""COMPUTED_VALUE"""),58.71)</f>
        <v>58.71</v>
      </c>
      <c r="FF55" s="108">
        <f>IFERROR(__xludf.DUMMYFUNCTION("""COMPUTED_VALUE"""),5.96)</f>
        <v>5.96</v>
      </c>
      <c r="FG55" s="108">
        <f>IFERROR(__xludf.DUMMYFUNCTION("""COMPUTED_VALUE"""),687.36)</f>
        <v>687.36</v>
      </c>
      <c r="FH55" s="108">
        <f>IFERROR(__xludf.DUMMYFUNCTION("""COMPUTED_VALUE"""),161.33)</f>
        <v>161.33</v>
      </c>
      <c r="FI55" s="108">
        <f>IFERROR(__xludf.DUMMYFUNCTION("""COMPUTED_VALUE"""),0.064)</f>
        <v>0.064</v>
      </c>
      <c r="FJ55" s="108">
        <f>IFERROR(__xludf.DUMMYFUNCTION("""COMPUTED_VALUE"""),15.3)</f>
        <v>15.3</v>
      </c>
      <c r="FK55" s="108">
        <f>IFERROR(__xludf.DUMMYFUNCTION("""COMPUTED_VALUE"""),190.22)</f>
        <v>190.22</v>
      </c>
      <c r="FL55" s="108">
        <f>IFERROR(__xludf.DUMMYFUNCTION("""COMPUTED_VALUE"""),480.76)</f>
        <v>480.76</v>
      </c>
      <c r="FM55" s="108">
        <f>IFERROR(__xludf.DUMMYFUNCTION("""COMPUTED_VALUE"""),133.7)</f>
        <v>133.7</v>
      </c>
      <c r="FN55" s="108">
        <f>IFERROR(__xludf.DUMMYFUNCTION("""COMPUTED_VALUE"""),1019.88)</f>
        <v>1019.88</v>
      </c>
      <c r="FO55" s="108">
        <f>IFERROR(__xludf.DUMMYFUNCTION("""COMPUTED_VALUE"""),679.53)</f>
        <v>679.53</v>
      </c>
    </row>
    <row r="56">
      <c r="A56" s="106">
        <f>IFERROR(__xludf.DUMMYFUNCTION("""COMPUTED_VALUE"""),44648.0)</f>
        <v>44648</v>
      </c>
      <c r="B56" s="110">
        <f>IFERROR(__xludf.DUMMYFUNCTION("""COMPUTED_VALUE"""),3379.81)</f>
        <v>3379.81</v>
      </c>
      <c r="C56" s="110">
        <f>IFERROR(__xludf.DUMMYFUNCTION("""COMPUTED_VALUE"""),223.59)</f>
        <v>223.59</v>
      </c>
      <c r="D56" s="110">
        <f>IFERROR(__xludf.DUMMYFUNCTION("""COMPUTED_VALUE"""),1091.84)</f>
        <v>1091.84</v>
      </c>
      <c r="E56" s="110">
        <f>IFERROR(__xludf.DUMMYFUNCTION("""COMPUTED_VALUE"""),366.4)</f>
        <v>366.4</v>
      </c>
      <c r="F56" s="110">
        <f>IFERROR(__xludf.DUMMYFUNCTION("""COMPUTED_VALUE"""),10.64)</f>
        <v>10.64</v>
      </c>
      <c r="G56" s="110">
        <f>IFERROR(__xludf.DUMMYFUNCTION("""COMPUTED_VALUE"""),175.6)</f>
        <v>175.6</v>
      </c>
      <c r="H56" s="110">
        <f>IFERROR(__xludf.DUMMYFUNCTION("""COMPUTED_VALUE"""),0.0)</f>
        <v>0</v>
      </c>
      <c r="I56" s="110">
        <f>IFERROR(__xludf.DUMMYFUNCTION("""COMPUTED_VALUE"""),0.01)</f>
        <v>0.01</v>
      </c>
      <c r="J56" s="110">
        <f>IFERROR(__xludf.DUMMYFUNCTION("""COMPUTED_VALUE"""),0.01)</f>
        <v>0.01</v>
      </c>
      <c r="K56" s="110">
        <f>IFERROR(__xludf.DUMMYFUNCTION("""COMPUTED_VALUE"""),36.3)</f>
        <v>36.3</v>
      </c>
      <c r="L56" s="110">
        <f>IFERROR(__xludf.DUMMYFUNCTION("""COMPUTED_VALUE"""),150.6)</f>
        <v>150.6</v>
      </c>
      <c r="M56" s="110">
        <f>IFERROR(__xludf.DUMMYFUNCTION("""COMPUTED_VALUE"""),47868.71)</f>
        <v>47868.71</v>
      </c>
      <c r="N56" s="110">
        <f>IFERROR(__xludf.DUMMYFUNCTION("""COMPUTED_VALUE"""),378.51)</f>
        <v>378.51</v>
      </c>
      <c r="O56" s="110">
        <f>IFERROR(__xludf.DUMMYFUNCTION("""COMPUTED_VALUE"""),310.7)</f>
        <v>310.7</v>
      </c>
      <c r="P56" s="110">
        <f>IFERROR(__xludf.DUMMYFUNCTION("""COMPUTED_VALUE"""),28.99)</f>
        <v>28.99</v>
      </c>
      <c r="Q56" s="110">
        <f>IFERROR(__xludf.DUMMYFUNCTION("""COMPUTED_VALUE"""),24.65)</f>
        <v>24.65</v>
      </c>
      <c r="R56" s="110">
        <f>IFERROR(__xludf.DUMMYFUNCTION("""COMPUTED_VALUE"""),59.77)</f>
        <v>59.77</v>
      </c>
      <c r="S56" s="110">
        <f>IFERROR(__xludf.DUMMYFUNCTION("""COMPUTED_VALUE"""),32.81)</f>
        <v>32.81</v>
      </c>
      <c r="T56" s="110">
        <f>IFERROR(__xludf.DUMMYFUNCTION("""COMPUTED_VALUE"""),27.13)</f>
        <v>27.13</v>
      </c>
      <c r="U56" s="110">
        <f>IFERROR(__xludf.DUMMYFUNCTION("""COMPUTED_VALUE"""),42.19)</f>
        <v>42.19</v>
      </c>
      <c r="V56" s="110">
        <f>IFERROR(__xludf.DUMMYFUNCTION("""COMPUTED_VALUE"""),14.45)</f>
        <v>14.45</v>
      </c>
      <c r="W56" s="110">
        <f>IFERROR(__xludf.DUMMYFUNCTION("""COMPUTED_VALUE"""),242.94)</f>
        <v>242.94</v>
      </c>
      <c r="X56" s="110">
        <f>IFERROR(__xludf.DUMMYFUNCTION("""COMPUTED_VALUE"""),2839.0)</f>
        <v>2839</v>
      </c>
      <c r="Y56" s="110">
        <f>IFERROR(__xludf.DUMMYFUNCTION("""COMPUTED_VALUE"""),55.4)</f>
        <v>55.4</v>
      </c>
      <c r="Z56" s="110">
        <f>IFERROR(__xludf.DUMMYFUNCTION("""COMPUTED_VALUE"""),65.05)</f>
        <v>65.05</v>
      </c>
      <c r="AA56" s="110">
        <f>IFERROR(__xludf.DUMMYFUNCTION("""COMPUTED_VALUE"""),126.28)</f>
        <v>126.28</v>
      </c>
      <c r="AB56" s="110">
        <f>IFERROR(__xludf.DUMMYFUNCTION("""COMPUTED_VALUE"""),4.69)</f>
        <v>4.69</v>
      </c>
      <c r="AC56" s="110">
        <f>IFERROR(__xludf.DUMMYFUNCTION("""COMPUTED_VALUE"""),76.8)</f>
        <v>76.8</v>
      </c>
      <c r="AD56" s="110">
        <f>IFERROR(__xludf.DUMMYFUNCTION("""COMPUTED_VALUE"""),12.18)</f>
        <v>12.18</v>
      </c>
      <c r="AE56" s="110">
        <f>IFERROR(__xludf.DUMMYFUNCTION("""COMPUTED_VALUE"""),6.37)</f>
        <v>6.37</v>
      </c>
      <c r="AF56" s="110">
        <f>IFERROR(__xludf.DUMMYFUNCTION("""COMPUTED_VALUE"""),39.5)</f>
        <v>39.5</v>
      </c>
      <c r="AG56" s="110">
        <f>IFERROR(__xludf.DUMMYFUNCTION("""COMPUTED_VALUE"""),11.7)</f>
        <v>11.7</v>
      </c>
      <c r="AH56" s="110">
        <f>IFERROR(__xludf.DUMMYFUNCTION("""COMPUTED_VALUE"""),2.09)</f>
        <v>2.09</v>
      </c>
      <c r="AI56" s="110">
        <f>IFERROR(__xludf.DUMMYFUNCTION("""COMPUTED_VALUE"""),3.3)</f>
        <v>3.3</v>
      </c>
      <c r="AJ56" s="110">
        <f>IFERROR(__xludf.DUMMYFUNCTION("""COMPUTED_VALUE"""),96.1)</f>
        <v>96.1</v>
      </c>
      <c r="AK56" s="110">
        <f>IFERROR(__xludf.DUMMYFUNCTION("""COMPUTED_VALUE"""),282.19)</f>
        <v>282.19</v>
      </c>
      <c r="AL56" s="110">
        <f>IFERROR(__xludf.DUMMYFUNCTION("""COMPUTED_VALUE"""),14.48)</f>
        <v>14.48</v>
      </c>
      <c r="AM56" s="110">
        <f>IFERROR(__xludf.DUMMYFUNCTION("""COMPUTED_VALUE"""),43.55)</f>
        <v>43.55</v>
      </c>
      <c r="AN56" s="110">
        <f>IFERROR(__xludf.DUMMYFUNCTION("""COMPUTED_VALUE"""),359.57)</f>
        <v>359.57</v>
      </c>
      <c r="AO56" s="110">
        <f>IFERROR(__xludf.DUMMYFUNCTION("""COMPUTED_VALUE"""),105.03)</f>
        <v>105.03</v>
      </c>
      <c r="AP56" s="110">
        <f>IFERROR(__xludf.DUMMYFUNCTION("""COMPUTED_VALUE"""),80.01)</f>
        <v>80.01</v>
      </c>
      <c r="AQ56" s="110">
        <f>IFERROR(__xludf.DUMMYFUNCTION("""COMPUTED_VALUE"""),47.42)</f>
        <v>47.42</v>
      </c>
      <c r="AR56" s="109">
        <f>IFERROR(__xludf.DUMMYFUNCTION("""COMPUTED_VALUE"""),102.971)</f>
        <v>102.971</v>
      </c>
      <c r="AS56" s="110">
        <f>IFERROR(__xludf.DUMMYFUNCTION("""COMPUTED_VALUE"""),13.25)</f>
        <v>13.25</v>
      </c>
      <c r="AT56" s="110">
        <f>IFERROR(__xludf.DUMMYFUNCTION("""COMPUTED_VALUE"""),111.1)</f>
        <v>111.1</v>
      </c>
      <c r="AU56" s="110">
        <f>IFERROR(__xludf.DUMMYFUNCTION("""COMPUTED_VALUE"""),67.16)</f>
        <v>67.16</v>
      </c>
      <c r="AV56" s="110">
        <f>IFERROR(__xludf.DUMMYFUNCTION("""COMPUTED_VALUE"""),138.72)</f>
        <v>138.72</v>
      </c>
      <c r="AW56" s="110">
        <f>IFERROR(__xludf.DUMMYFUNCTION("""COMPUTED_VALUE"""),137.66)</f>
        <v>137.66</v>
      </c>
      <c r="AX56" s="110">
        <f>IFERROR(__xludf.DUMMYFUNCTION("""COMPUTED_VALUE"""),20.2)</f>
        <v>20.2</v>
      </c>
      <c r="AY56" s="110">
        <f>IFERROR(__xludf.DUMMYFUNCTION("""COMPUTED_VALUE"""),48.4)</f>
        <v>48.4</v>
      </c>
      <c r="AZ56" s="110">
        <f>IFERROR(__xludf.DUMMYFUNCTION("""COMPUTED_VALUE"""),0.0)</f>
        <v>0</v>
      </c>
      <c r="BA56" s="110">
        <f>IFERROR(__xludf.DUMMYFUNCTION("""COMPUTED_VALUE"""),0.0)</f>
        <v>0</v>
      </c>
      <c r="BB56" s="110">
        <f>IFERROR(__xludf.DUMMYFUNCTION("""COMPUTED_VALUE"""),11.6)</f>
        <v>11.6</v>
      </c>
      <c r="BC56" s="110">
        <f>IFERROR(__xludf.DUMMYFUNCTION("""COMPUTED_VALUE"""),7.91)</f>
        <v>7.91</v>
      </c>
      <c r="BD56" s="110">
        <f>IFERROR(__xludf.DUMMYFUNCTION("""COMPUTED_VALUE"""),176.3)</f>
        <v>176.3</v>
      </c>
      <c r="BE56" s="110">
        <f>IFERROR(__xludf.DUMMYFUNCTION("""COMPUTED_VALUE"""),148.6)</f>
        <v>148.6</v>
      </c>
      <c r="BF56" s="110">
        <f>IFERROR(__xludf.DUMMYFUNCTION("""COMPUTED_VALUE"""),9.99)</f>
        <v>9.99</v>
      </c>
      <c r="BG56" s="110">
        <f>IFERROR(__xludf.DUMMYFUNCTION("""COMPUTED_VALUE"""),625.25)</f>
        <v>625.25</v>
      </c>
      <c r="BH56" s="110">
        <f>IFERROR(__xludf.DUMMYFUNCTION("""COMPUTED_VALUE"""),302.31)</f>
        <v>302.31</v>
      </c>
      <c r="BI56" s="110">
        <f>IFERROR(__xludf.DUMMYFUNCTION("""COMPUTED_VALUE"""),240.47)</f>
        <v>240.47</v>
      </c>
      <c r="BJ56" s="110">
        <f>IFERROR(__xludf.DUMMYFUNCTION("""COMPUTED_VALUE"""),25.38)</f>
        <v>25.38</v>
      </c>
      <c r="BK56" s="110">
        <f>IFERROR(__xludf.DUMMYFUNCTION("""COMPUTED_VALUE"""),332.38)</f>
        <v>332.38</v>
      </c>
      <c r="BL56" s="110">
        <f>IFERROR(__xludf.DUMMYFUNCTION("""COMPUTED_VALUE"""),126.49)</f>
        <v>126.49</v>
      </c>
      <c r="BM56" s="110">
        <f>IFERROR(__xludf.DUMMYFUNCTION("""COMPUTED_VALUE"""),16.67)</f>
        <v>16.67</v>
      </c>
      <c r="BN56" s="110">
        <f>IFERROR(__xludf.DUMMYFUNCTION("""COMPUTED_VALUE"""),308.73)</f>
        <v>308.73</v>
      </c>
      <c r="BO56" s="110">
        <f>IFERROR(__xludf.DUMMYFUNCTION("""COMPUTED_VALUE"""),718.0)</f>
        <v>718</v>
      </c>
      <c r="BP56" s="110">
        <f>IFERROR(__xludf.DUMMYFUNCTION("""COMPUTED_VALUE"""),45.98)</f>
        <v>45.98</v>
      </c>
      <c r="BQ56" s="110">
        <f>IFERROR(__xludf.DUMMYFUNCTION("""COMPUTED_VALUE"""),9.25)</f>
        <v>9.25</v>
      </c>
      <c r="BR56" s="110">
        <f>IFERROR(__xludf.DUMMYFUNCTION("""COMPUTED_VALUE"""),42.71)</f>
        <v>42.71</v>
      </c>
      <c r="BS56" s="110">
        <f>IFERROR(__xludf.DUMMYFUNCTION("""COMPUTED_VALUE"""),0.97)</f>
        <v>0.97</v>
      </c>
      <c r="BT56" s="110">
        <f>IFERROR(__xludf.DUMMYFUNCTION("""COMPUTED_VALUE"""),45.84)</f>
        <v>45.84</v>
      </c>
      <c r="BU56" s="110">
        <f>IFERROR(__xludf.DUMMYFUNCTION("""COMPUTED_VALUE"""),35.8)</f>
        <v>35.8</v>
      </c>
      <c r="BV56" s="110">
        <f>IFERROR(__xludf.DUMMYFUNCTION("""COMPUTED_VALUE"""),55.3)</f>
        <v>55.3</v>
      </c>
      <c r="BW56" s="110">
        <f>IFERROR(__xludf.DUMMYFUNCTION("""COMPUTED_VALUE"""),8.06)</f>
        <v>8.06</v>
      </c>
      <c r="BX56" s="110">
        <f>IFERROR(__xludf.DUMMYFUNCTION("""COMPUTED_VALUE"""),4.89)</f>
        <v>4.89</v>
      </c>
      <c r="BY56" s="110">
        <f>IFERROR(__xludf.DUMMYFUNCTION("""COMPUTED_VALUE"""),0.0)</f>
        <v>0</v>
      </c>
      <c r="BZ56" s="110">
        <f>IFERROR(__xludf.DUMMYFUNCTION("""COMPUTED_VALUE"""),15.95)</f>
        <v>15.95</v>
      </c>
      <c r="CA56" s="110">
        <f>IFERROR(__xludf.DUMMYFUNCTION("""COMPUTED_VALUE"""),3.71)</f>
        <v>3.71</v>
      </c>
      <c r="CB56" s="110">
        <f>IFERROR(__xludf.DUMMYFUNCTION("""COMPUTED_VALUE"""),5.43)</f>
        <v>5.43</v>
      </c>
      <c r="CC56" s="110">
        <f>IFERROR(__xludf.DUMMYFUNCTION("""COMPUTED_VALUE"""),17.57)</f>
        <v>17.57</v>
      </c>
      <c r="CD56" s="110">
        <f>IFERROR(__xludf.DUMMYFUNCTION("""COMPUTED_VALUE"""),14.21)</f>
        <v>14.21</v>
      </c>
      <c r="CE56" s="110">
        <f>IFERROR(__xludf.DUMMYFUNCTION("""COMPUTED_VALUE"""),28.86)</f>
        <v>28.86</v>
      </c>
      <c r="CF56" s="110">
        <f>IFERROR(__xludf.DUMMYFUNCTION("""COMPUTED_VALUE"""),103.46)</f>
        <v>103.46</v>
      </c>
      <c r="CG56" s="110">
        <f>IFERROR(__xludf.DUMMYFUNCTION("""COMPUTED_VALUE"""),4.83)</f>
        <v>4.83</v>
      </c>
      <c r="CH56" s="110">
        <f>IFERROR(__xludf.DUMMYFUNCTION("""COMPUTED_VALUE"""),24.23)</f>
        <v>24.23</v>
      </c>
      <c r="CI56" s="110">
        <f>IFERROR(__xludf.DUMMYFUNCTION("""COMPUTED_VALUE"""),46.08)</f>
        <v>46.08</v>
      </c>
      <c r="CJ56" s="110">
        <f>IFERROR(__xludf.DUMMYFUNCTION("""COMPUTED_VALUE"""),0.0)</f>
        <v>0</v>
      </c>
      <c r="CK56" s="110">
        <f>IFERROR(__xludf.DUMMYFUNCTION("""COMPUTED_VALUE"""),11.98)</f>
        <v>11.98</v>
      </c>
      <c r="CL56" s="110">
        <f>IFERROR(__xludf.DUMMYFUNCTION("""COMPUTED_VALUE"""),2829.11)</f>
        <v>2829.11</v>
      </c>
      <c r="CM56" s="110">
        <f>IFERROR(__xludf.DUMMYFUNCTION("""COMPUTED_VALUE"""),0.0)</f>
        <v>0</v>
      </c>
      <c r="CN56" s="110">
        <f>IFERROR(__xludf.DUMMYFUNCTION("""COMPUTED_VALUE"""),224.0)</f>
        <v>224</v>
      </c>
      <c r="CO56" s="110">
        <f>IFERROR(__xludf.DUMMYFUNCTION("""COMPUTED_VALUE"""),142.5)</f>
        <v>142.5</v>
      </c>
      <c r="CP56" s="110">
        <f>IFERROR(__xludf.DUMMYFUNCTION("""COMPUTED_VALUE"""),67.06)</f>
        <v>67.06</v>
      </c>
      <c r="CQ56" s="110">
        <f>IFERROR(__xludf.DUMMYFUNCTION("""COMPUTED_VALUE"""),69700.0)</f>
        <v>69700</v>
      </c>
      <c r="CR56" s="110">
        <f>IFERROR(__xludf.DUMMYFUNCTION("""COMPUTED_VALUE"""),0.52)</f>
        <v>0.52</v>
      </c>
      <c r="CS56" s="110">
        <f>IFERROR(__xludf.DUMMYFUNCTION("""COMPUTED_VALUE"""),32.75)</f>
        <v>32.75</v>
      </c>
      <c r="CT56" s="110">
        <f>IFERROR(__xludf.DUMMYFUNCTION("""COMPUTED_VALUE"""),21.88)</f>
        <v>21.88</v>
      </c>
      <c r="CU56" s="110">
        <f>IFERROR(__xludf.DUMMYFUNCTION("""COMPUTED_VALUE"""),1922.3)</f>
        <v>1922.3</v>
      </c>
      <c r="CV56" s="110">
        <f>IFERROR(__xludf.DUMMYFUNCTION("""COMPUTED_VALUE"""),2.5)</f>
        <v>2.5</v>
      </c>
      <c r="CW56" s="110">
        <f>IFERROR(__xludf.DUMMYFUNCTION("""COMPUTED_VALUE"""),3.21)</f>
        <v>3.21</v>
      </c>
      <c r="CX56" s="110">
        <f>IFERROR(__xludf.DUMMYFUNCTION("""COMPUTED_VALUE"""),0.0)</f>
        <v>0</v>
      </c>
      <c r="CY56" s="110">
        <f>IFERROR(__xludf.DUMMYFUNCTION("""COMPUTED_VALUE"""),0.05)</f>
        <v>0.05</v>
      </c>
      <c r="CZ56" s="110">
        <f>IFERROR(__xludf.DUMMYFUNCTION("""COMPUTED_VALUE"""),75.05)</f>
        <v>75.05</v>
      </c>
      <c r="DA56" s="110">
        <f>IFERROR(__xludf.DUMMYFUNCTION("""COMPUTED_VALUE"""),0.02)</f>
        <v>0.02</v>
      </c>
      <c r="DB56" s="110">
        <f>IFERROR(__xludf.DUMMYFUNCTION("""COMPUTED_VALUE"""),0.15)</f>
        <v>0.15</v>
      </c>
      <c r="DC56" s="110">
        <f>IFERROR(__xludf.DUMMYFUNCTION("""COMPUTED_VALUE"""),160.1)</f>
        <v>160.1</v>
      </c>
      <c r="DD56" s="110">
        <f>IFERROR(__xludf.DUMMYFUNCTION("""COMPUTED_VALUE"""),10.43)</f>
        <v>10.43</v>
      </c>
      <c r="DE56" s="110">
        <f>IFERROR(__xludf.DUMMYFUNCTION("""COMPUTED_VALUE"""),7.21)</f>
        <v>7.21</v>
      </c>
      <c r="DF56" s="110">
        <f>IFERROR(__xludf.DUMMYFUNCTION("""COMPUTED_VALUE"""),58.35)</f>
        <v>58.35</v>
      </c>
      <c r="DG56" s="110">
        <f>IFERROR(__xludf.DUMMYFUNCTION("""COMPUTED_VALUE"""),6.57)</f>
        <v>6.57</v>
      </c>
      <c r="DH56" s="110">
        <f>IFERROR(__xludf.DUMMYFUNCTION("""COMPUTED_VALUE"""),10.05)</f>
        <v>10.05</v>
      </c>
      <c r="DI56" s="110">
        <f>IFERROR(__xludf.DUMMYFUNCTION("""COMPUTED_VALUE"""),146.0)</f>
        <v>146</v>
      </c>
      <c r="DJ56" s="110">
        <f>IFERROR(__xludf.DUMMYFUNCTION("""COMPUTED_VALUE"""),12.46)</f>
        <v>12.46</v>
      </c>
      <c r="DK56" s="110">
        <f>IFERROR(__xludf.DUMMYFUNCTION("""COMPUTED_VALUE"""),0.0)</f>
        <v>0</v>
      </c>
      <c r="DL56" s="110">
        <f>IFERROR(__xludf.DUMMYFUNCTION("""COMPUTED_VALUE"""),25.1)</f>
        <v>25.1</v>
      </c>
      <c r="DM56" s="110">
        <f>IFERROR(__xludf.DUMMYFUNCTION("""COMPUTED_VALUE"""),444.98)</f>
        <v>444.98</v>
      </c>
      <c r="DN56" s="110">
        <f>IFERROR(__xludf.DUMMYFUNCTION("""COMPUTED_VALUE"""),167.65)</f>
        <v>167.65</v>
      </c>
      <c r="DO56" s="110">
        <f>IFERROR(__xludf.DUMMYFUNCTION("""COMPUTED_VALUE"""),372.4)</f>
        <v>372.4</v>
      </c>
      <c r="DP56" s="110">
        <f>IFERROR(__xludf.DUMMYFUNCTION("""COMPUTED_VALUE"""),1.75)</f>
        <v>1.75</v>
      </c>
      <c r="DQ56" s="110">
        <f>IFERROR(__xludf.DUMMYFUNCTION("""COMPUTED_VALUE"""),115.09)</f>
        <v>115.09</v>
      </c>
      <c r="DR56" s="110">
        <f>IFERROR(__xludf.DUMMYFUNCTION("""COMPUTED_VALUE"""),0.05)</f>
        <v>0.05</v>
      </c>
      <c r="DS56" s="110">
        <f>IFERROR(__xludf.DUMMYFUNCTION("""COMPUTED_VALUE"""),3.52)</f>
        <v>3.52</v>
      </c>
      <c r="DT56" s="110">
        <f>IFERROR(__xludf.DUMMYFUNCTION("""COMPUTED_VALUE"""),5.83)</f>
        <v>5.83</v>
      </c>
      <c r="DU56" s="110">
        <f>IFERROR(__xludf.DUMMYFUNCTION("""COMPUTED_VALUE"""),53.28)</f>
        <v>53.28</v>
      </c>
      <c r="DV56" s="110">
        <f>IFERROR(__xludf.DUMMYFUNCTION("""COMPUTED_VALUE"""),14.1)</f>
        <v>14.1</v>
      </c>
      <c r="DW56" s="110">
        <f>IFERROR(__xludf.DUMMYFUNCTION("""COMPUTED_VALUE"""),0.07)</f>
        <v>0.07</v>
      </c>
      <c r="DX56" s="110">
        <f>IFERROR(__xludf.DUMMYFUNCTION("""COMPUTED_VALUE"""),30.13)</f>
        <v>30.13</v>
      </c>
      <c r="DY56" s="110">
        <f>IFERROR(__xludf.DUMMYFUNCTION("""COMPUTED_VALUE"""),0.0)</f>
        <v>0</v>
      </c>
      <c r="DZ56" s="110">
        <f>IFERROR(__xludf.DUMMYFUNCTION("""COMPUTED_VALUE"""),73.85)</f>
        <v>73.85</v>
      </c>
      <c r="EA56" s="110">
        <f>IFERROR(__xludf.DUMMYFUNCTION("""COMPUTED_VALUE"""),47.73)</f>
        <v>47.73</v>
      </c>
      <c r="EB56" s="110">
        <f>IFERROR(__xludf.DUMMYFUNCTION("""COMPUTED_VALUE"""),73.25)</f>
        <v>73.25</v>
      </c>
      <c r="EC56" s="110">
        <f>IFERROR(__xludf.DUMMYFUNCTION("""COMPUTED_VALUE"""),75.35)</f>
        <v>75.35</v>
      </c>
      <c r="ED56" s="110">
        <f>IFERROR(__xludf.DUMMYFUNCTION("""COMPUTED_VALUE"""),39.41)</f>
        <v>39.41</v>
      </c>
      <c r="EE56" s="110">
        <f>IFERROR(__xludf.DUMMYFUNCTION("""COMPUTED_VALUE"""),88.89)</f>
        <v>88.89</v>
      </c>
      <c r="EF56" s="110">
        <f>IFERROR(__xludf.DUMMYFUNCTION("""COMPUTED_VALUE"""),188.25)</f>
        <v>188.25</v>
      </c>
      <c r="EG56" s="110">
        <f>IFERROR(__xludf.DUMMYFUNCTION("""COMPUTED_VALUE"""),69.4)</f>
        <v>69.4</v>
      </c>
      <c r="EH56" s="110">
        <f>IFERROR(__xludf.DUMMYFUNCTION("""COMPUTED_VALUE"""),103.75)</f>
        <v>103.75</v>
      </c>
      <c r="EI56" s="110">
        <f>IFERROR(__xludf.DUMMYFUNCTION("""COMPUTED_VALUE"""),137.26)</f>
        <v>137.26</v>
      </c>
      <c r="EJ56" s="110">
        <f>IFERROR(__xludf.DUMMYFUNCTION("""COMPUTED_VALUE"""),39.7)</f>
        <v>39.7</v>
      </c>
      <c r="EK56" s="110">
        <f>IFERROR(__xludf.DUMMYFUNCTION("""COMPUTED_VALUE"""),271.8)</f>
        <v>271.8</v>
      </c>
      <c r="EL56" s="110">
        <f>IFERROR(__xludf.DUMMYFUNCTION("""COMPUTED_VALUE"""),73.56)</f>
        <v>73.56</v>
      </c>
      <c r="EM56" s="110">
        <f>IFERROR(__xludf.DUMMYFUNCTION("""COMPUTED_VALUE"""),40.9)</f>
        <v>40.9</v>
      </c>
      <c r="EN56" s="110">
        <f>IFERROR(__xludf.DUMMYFUNCTION("""COMPUTED_VALUE"""),1660.8)</f>
        <v>1660.8</v>
      </c>
      <c r="EO56" s="110">
        <f>IFERROR(__xludf.DUMMYFUNCTION("""COMPUTED_VALUE"""),10.33)</f>
        <v>10.33</v>
      </c>
      <c r="EP56" s="110">
        <f>IFERROR(__xludf.DUMMYFUNCTION("""COMPUTED_VALUE"""),0.0)</f>
        <v>0</v>
      </c>
      <c r="EQ56" s="110">
        <f>IFERROR(__xludf.DUMMYFUNCTION("""COMPUTED_VALUE"""),1.95)</f>
        <v>1.95</v>
      </c>
      <c r="ER56" s="110">
        <f>IFERROR(__xludf.DUMMYFUNCTION("""COMPUTED_VALUE"""),4570.5)</f>
        <v>4570.5</v>
      </c>
      <c r="ES56" s="110">
        <f>IFERROR(__xludf.DUMMYFUNCTION("""COMPUTED_VALUE"""),97.61)</f>
        <v>97.61</v>
      </c>
      <c r="ET56" s="110">
        <f>IFERROR(__xludf.DUMMYFUNCTION("""COMPUTED_VALUE"""),109.67)</f>
        <v>109.67</v>
      </c>
      <c r="EU56" s="110">
        <f>IFERROR(__xludf.DUMMYFUNCTION("""COMPUTED_VALUE"""),30.3)</f>
        <v>30.3</v>
      </c>
      <c r="EV56" s="110">
        <f>IFERROR(__xludf.DUMMYFUNCTION("""COMPUTED_VALUE"""),1.47)</f>
        <v>1.47</v>
      </c>
      <c r="EW56" s="110">
        <f>IFERROR(__xludf.DUMMYFUNCTION("""COMPUTED_VALUE"""),13.4)</f>
        <v>13.4</v>
      </c>
      <c r="EX56" s="108">
        <f>IFERROR(__xludf.DUMMYFUNCTION("""COMPUTED_VALUE"""),5.22)</f>
        <v>5.22</v>
      </c>
      <c r="EY56" s="108">
        <f>IFERROR(__xludf.DUMMYFUNCTION("""COMPUTED_VALUE"""),166.35)</f>
        <v>166.35</v>
      </c>
      <c r="EZ56" s="108">
        <f>IFERROR(__xludf.DUMMYFUNCTION("""COMPUTED_VALUE"""),25.03)</f>
        <v>25.03</v>
      </c>
      <c r="FA56" s="108">
        <f>IFERROR(__xludf.DUMMYFUNCTION("""COMPUTED_VALUE"""),3.03)</f>
        <v>3.03</v>
      </c>
      <c r="FB56" s="108">
        <f>IFERROR(__xludf.DUMMYFUNCTION("""COMPUTED_VALUE"""),140.87)</f>
        <v>140.87</v>
      </c>
      <c r="FC56" s="108">
        <f>IFERROR(__xludf.DUMMYFUNCTION("""COMPUTED_VALUE"""),8.77)</f>
        <v>8.77</v>
      </c>
      <c r="FD56" s="108">
        <f>IFERROR(__xludf.DUMMYFUNCTION("""COMPUTED_VALUE"""),60.45)</f>
        <v>60.45</v>
      </c>
      <c r="FE56" s="108">
        <f>IFERROR(__xludf.DUMMYFUNCTION("""COMPUTED_VALUE"""),56.64)</f>
        <v>56.64</v>
      </c>
      <c r="FF56" s="108">
        <f>IFERROR(__xludf.DUMMYFUNCTION("""COMPUTED_VALUE"""),5.93)</f>
        <v>5.93</v>
      </c>
      <c r="FG56" s="108">
        <f>IFERROR(__xludf.DUMMYFUNCTION("""COMPUTED_VALUE"""),694.83)</f>
        <v>694.83</v>
      </c>
      <c r="FH56" s="108">
        <f>IFERROR(__xludf.DUMMYFUNCTION("""COMPUTED_VALUE"""),161.97)</f>
        <v>161.97</v>
      </c>
      <c r="FI56" s="108">
        <f>IFERROR(__xludf.DUMMYFUNCTION("""COMPUTED_VALUE"""),0.06)</f>
        <v>0.06</v>
      </c>
      <c r="FJ56" s="108">
        <f>IFERROR(__xludf.DUMMYFUNCTION("""COMPUTED_VALUE"""),15.2)</f>
        <v>15.2</v>
      </c>
      <c r="FK56" s="108">
        <f>IFERROR(__xludf.DUMMYFUNCTION("""COMPUTED_VALUE"""),181.9)</f>
        <v>181.9</v>
      </c>
      <c r="FL56" s="108">
        <f>IFERROR(__xludf.DUMMYFUNCTION("""COMPUTED_VALUE"""),484.79)</f>
        <v>484.79</v>
      </c>
      <c r="FM56" s="108">
        <f>IFERROR(__xludf.DUMMYFUNCTION("""COMPUTED_VALUE"""),134.81)</f>
        <v>134.81</v>
      </c>
      <c r="FN56" s="108">
        <f>IFERROR(__xludf.DUMMYFUNCTION("""COMPUTED_VALUE"""),1105.59)</f>
        <v>1105.59</v>
      </c>
      <c r="FO56" s="108">
        <f>IFERROR(__xludf.DUMMYFUNCTION("""COMPUTED_VALUE"""),701.6)</f>
        <v>701.6</v>
      </c>
    </row>
    <row r="57">
      <c r="A57" s="106">
        <f>IFERROR(__xludf.DUMMYFUNCTION("""COMPUTED_VALUE"""),44649.0)</f>
        <v>44649</v>
      </c>
      <c r="B57" s="110">
        <f>IFERROR(__xludf.DUMMYFUNCTION("""COMPUTED_VALUE"""),3386.3)</f>
        <v>3386.3</v>
      </c>
      <c r="C57" s="110">
        <f>IFERROR(__xludf.DUMMYFUNCTION("""COMPUTED_VALUE"""),229.86)</f>
        <v>229.86</v>
      </c>
      <c r="D57" s="110">
        <f>IFERROR(__xludf.DUMMYFUNCTION("""COMPUTED_VALUE"""),1099.57)</f>
        <v>1099.57</v>
      </c>
      <c r="E57" s="110">
        <f>IFERROR(__xludf.DUMMYFUNCTION("""COMPUTED_VALUE"""),377.2)</f>
        <v>377.2</v>
      </c>
      <c r="F57" s="110">
        <f>IFERROR(__xludf.DUMMYFUNCTION("""COMPUTED_VALUE"""),10.92)</f>
        <v>10.92</v>
      </c>
      <c r="G57" s="110">
        <f>IFERROR(__xludf.DUMMYFUNCTION("""COMPUTED_VALUE"""),178.96)</f>
        <v>178.96</v>
      </c>
      <c r="H57" s="110">
        <f>IFERROR(__xludf.DUMMYFUNCTION("""COMPUTED_VALUE"""),0.0)</f>
        <v>0</v>
      </c>
      <c r="I57" s="110">
        <f>IFERROR(__xludf.DUMMYFUNCTION("""COMPUTED_VALUE"""),0.01)</f>
        <v>0.01</v>
      </c>
      <c r="J57" s="110">
        <f>IFERROR(__xludf.DUMMYFUNCTION("""COMPUTED_VALUE"""),0.01)</f>
        <v>0.01</v>
      </c>
      <c r="K57" s="110">
        <f>IFERROR(__xludf.DUMMYFUNCTION("""COMPUTED_VALUE"""),38.55)</f>
        <v>38.55</v>
      </c>
      <c r="L57" s="110">
        <f>IFERROR(__xludf.DUMMYFUNCTION("""COMPUTED_VALUE"""),159.3)</f>
        <v>159.3</v>
      </c>
      <c r="M57" s="110">
        <f>IFERROR(__xludf.DUMMYFUNCTION("""COMPUTED_VALUE"""),47480.2)</f>
        <v>47480.2</v>
      </c>
      <c r="N57" s="110">
        <f>IFERROR(__xludf.DUMMYFUNCTION("""COMPUTED_VALUE"""),391.82)</f>
        <v>391.82</v>
      </c>
      <c r="O57" s="110">
        <f>IFERROR(__xludf.DUMMYFUNCTION("""COMPUTED_VALUE"""),315.41)</f>
        <v>315.41</v>
      </c>
      <c r="P57" s="110">
        <f>IFERROR(__xludf.DUMMYFUNCTION("""COMPUTED_VALUE"""),29.08)</f>
        <v>29.08</v>
      </c>
      <c r="Q57" s="110">
        <f>IFERROR(__xludf.DUMMYFUNCTION("""COMPUTED_VALUE"""),25.07)</f>
        <v>25.07</v>
      </c>
      <c r="R57" s="110">
        <f>IFERROR(__xludf.DUMMYFUNCTION("""COMPUTED_VALUE"""),62.73)</f>
        <v>62.73</v>
      </c>
      <c r="S57" s="110">
        <f>IFERROR(__xludf.DUMMYFUNCTION("""COMPUTED_VALUE"""),32.87)</f>
        <v>32.87</v>
      </c>
      <c r="T57" s="110">
        <f>IFERROR(__xludf.DUMMYFUNCTION("""COMPUTED_VALUE"""),28.2)</f>
        <v>28.2</v>
      </c>
      <c r="U57" s="110">
        <f>IFERROR(__xludf.DUMMYFUNCTION("""COMPUTED_VALUE"""),43.61)</f>
        <v>43.61</v>
      </c>
      <c r="V57" s="110">
        <f>IFERROR(__xludf.DUMMYFUNCTION("""COMPUTED_VALUE"""),14.46)</f>
        <v>14.46</v>
      </c>
      <c r="W57" s="110">
        <f>IFERROR(__xludf.DUMMYFUNCTION("""COMPUTED_VALUE"""),248.17)</f>
        <v>248.17</v>
      </c>
      <c r="X57" s="110">
        <f>IFERROR(__xludf.DUMMYFUNCTION("""COMPUTED_VALUE"""),2865.0)</f>
        <v>2865</v>
      </c>
      <c r="Y57" s="110">
        <f>IFERROR(__xludf.DUMMYFUNCTION("""COMPUTED_VALUE"""),55.45)</f>
        <v>55.45</v>
      </c>
      <c r="Z57" s="110">
        <f>IFERROR(__xludf.DUMMYFUNCTION("""COMPUTED_VALUE"""),67.85)</f>
        <v>67.85</v>
      </c>
      <c r="AA57" s="110">
        <f>IFERROR(__xludf.DUMMYFUNCTION("""COMPUTED_VALUE"""),130.02)</f>
        <v>130.02</v>
      </c>
      <c r="AB57" s="110">
        <f>IFERROR(__xludf.DUMMYFUNCTION("""COMPUTED_VALUE"""),4.72)</f>
        <v>4.72</v>
      </c>
      <c r="AC57" s="110">
        <f>IFERROR(__xludf.DUMMYFUNCTION("""COMPUTED_VALUE"""),76.6)</f>
        <v>76.6</v>
      </c>
      <c r="AD57" s="110">
        <f>IFERROR(__xludf.DUMMYFUNCTION("""COMPUTED_VALUE"""),12.22)</f>
        <v>12.22</v>
      </c>
      <c r="AE57" s="110">
        <f>IFERROR(__xludf.DUMMYFUNCTION("""COMPUTED_VALUE"""),6.21)</f>
        <v>6.21</v>
      </c>
      <c r="AF57" s="110">
        <f>IFERROR(__xludf.DUMMYFUNCTION("""COMPUTED_VALUE"""),40.96)</f>
        <v>40.96</v>
      </c>
      <c r="AG57" s="110">
        <f>IFERROR(__xludf.DUMMYFUNCTION("""COMPUTED_VALUE"""),12.22)</f>
        <v>12.22</v>
      </c>
      <c r="AH57" s="110">
        <f>IFERROR(__xludf.DUMMYFUNCTION("""COMPUTED_VALUE"""),2.09)</f>
        <v>2.09</v>
      </c>
      <c r="AI57" s="110">
        <f>IFERROR(__xludf.DUMMYFUNCTION("""COMPUTED_VALUE"""),3.55)</f>
        <v>3.55</v>
      </c>
      <c r="AJ57" s="110">
        <f>IFERROR(__xludf.DUMMYFUNCTION("""COMPUTED_VALUE"""),98.2)</f>
        <v>98.2</v>
      </c>
      <c r="AK57" s="110">
        <f>IFERROR(__xludf.DUMMYFUNCTION("""COMPUTED_VALUE"""),286.56)</f>
        <v>286.56</v>
      </c>
      <c r="AL57" s="110">
        <f>IFERROR(__xludf.DUMMYFUNCTION("""COMPUTED_VALUE"""),14.12)</f>
        <v>14.12</v>
      </c>
      <c r="AM57" s="110">
        <f>IFERROR(__xludf.DUMMYFUNCTION("""COMPUTED_VALUE"""),43.44)</f>
        <v>43.44</v>
      </c>
      <c r="AN57" s="110">
        <f>IFERROR(__xludf.DUMMYFUNCTION("""COMPUTED_VALUE"""),355.12)</f>
        <v>355.12</v>
      </c>
      <c r="AO57" s="110">
        <f>IFERROR(__xludf.DUMMYFUNCTION("""COMPUTED_VALUE"""),105.8)</f>
        <v>105.8</v>
      </c>
      <c r="AP57" s="110">
        <f>IFERROR(__xludf.DUMMYFUNCTION("""COMPUTED_VALUE"""),80.75)</f>
        <v>80.75</v>
      </c>
      <c r="AQ57" s="110">
        <f>IFERROR(__xludf.DUMMYFUNCTION("""COMPUTED_VALUE"""),49.38)</f>
        <v>49.38</v>
      </c>
      <c r="AR57" s="109">
        <f>IFERROR(__xludf.DUMMYFUNCTION("""COMPUTED_VALUE"""),102.95949999999999)</f>
        <v>102.9595</v>
      </c>
      <c r="AS57" s="110">
        <f>IFERROR(__xludf.DUMMYFUNCTION("""COMPUTED_VALUE"""),12.33)</f>
        <v>12.33</v>
      </c>
      <c r="AT57" s="110">
        <f>IFERROR(__xludf.DUMMYFUNCTION("""COMPUTED_VALUE"""),113.5)</f>
        <v>113.5</v>
      </c>
      <c r="AU57" s="110">
        <f>IFERROR(__xludf.DUMMYFUNCTION("""COMPUTED_VALUE"""),67.6)</f>
        <v>67.6</v>
      </c>
      <c r="AV57" s="110">
        <f>IFERROR(__xludf.DUMMYFUNCTION("""COMPUTED_VALUE"""),142.38)</f>
        <v>142.38</v>
      </c>
      <c r="AW57" s="110">
        <f>IFERROR(__xludf.DUMMYFUNCTION("""COMPUTED_VALUE"""),141.44)</f>
        <v>141.44</v>
      </c>
      <c r="AX57" s="110">
        <f>IFERROR(__xludf.DUMMYFUNCTION("""COMPUTED_VALUE"""),21.05)</f>
        <v>21.05</v>
      </c>
      <c r="AY57" s="110">
        <f>IFERROR(__xludf.DUMMYFUNCTION("""COMPUTED_VALUE"""),50.92)</f>
        <v>50.92</v>
      </c>
      <c r="AZ57" s="110">
        <f>IFERROR(__xludf.DUMMYFUNCTION("""COMPUTED_VALUE"""),0.0)</f>
        <v>0</v>
      </c>
      <c r="BA57" s="110">
        <f>IFERROR(__xludf.DUMMYFUNCTION("""COMPUTED_VALUE"""),0.0)</f>
        <v>0</v>
      </c>
      <c r="BB57" s="110">
        <f>IFERROR(__xludf.DUMMYFUNCTION("""COMPUTED_VALUE"""),12.12)</f>
        <v>12.12</v>
      </c>
      <c r="BC57" s="110">
        <f>IFERROR(__xludf.DUMMYFUNCTION("""COMPUTED_VALUE"""),8.27)</f>
        <v>8.27</v>
      </c>
      <c r="BD57" s="110">
        <f>IFERROR(__xludf.DUMMYFUNCTION("""COMPUTED_VALUE"""),188.8)</f>
        <v>188.8</v>
      </c>
      <c r="BE57" s="110">
        <f>IFERROR(__xludf.DUMMYFUNCTION("""COMPUTED_VALUE"""),146.6)</f>
        <v>146.6</v>
      </c>
      <c r="BF57" s="110">
        <f>IFERROR(__xludf.DUMMYFUNCTION("""COMPUTED_VALUE"""),10.36)</f>
        <v>10.36</v>
      </c>
      <c r="BG57" s="110">
        <f>IFERROR(__xludf.DUMMYFUNCTION("""COMPUTED_VALUE"""),616.51)</f>
        <v>616.51</v>
      </c>
      <c r="BH57" s="110">
        <f>IFERROR(__xludf.DUMMYFUNCTION("""COMPUTED_VALUE"""),311.64)</f>
        <v>311.64</v>
      </c>
      <c r="BI57" s="110">
        <f>IFERROR(__xludf.DUMMYFUNCTION("""COMPUTED_VALUE"""),241.54)</f>
        <v>241.54</v>
      </c>
      <c r="BJ57" s="110">
        <f>IFERROR(__xludf.DUMMYFUNCTION("""COMPUTED_VALUE"""),27.36)</f>
        <v>27.36</v>
      </c>
      <c r="BK57" s="110">
        <f>IFERROR(__xludf.DUMMYFUNCTION("""COMPUTED_VALUE"""),341.0)</f>
        <v>341</v>
      </c>
      <c r="BL57" s="110">
        <f>IFERROR(__xludf.DUMMYFUNCTION("""COMPUTED_VALUE"""),128.43)</f>
        <v>128.43</v>
      </c>
      <c r="BM57" s="110">
        <f>IFERROR(__xludf.DUMMYFUNCTION("""COMPUTED_VALUE"""),17.75)</f>
        <v>17.75</v>
      </c>
      <c r="BN57" s="110">
        <f>IFERROR(__xludf.DUMMYFUNCTION("""COMPUTED_VALUE"""),316.59)</f>
        <v>316.59</v>
      </c>
      <c r="BO57" s="110">
        <f>IFERROR(__xludf.DUMMYFUNCTION("""COMPUTED_VALUE"""),745.53)</f>
        <v>745.53</v>
      </c>
      <c r="BP57" s="110">
        <f>IFERROR(__xludf.DUMMYFUNCTION("""COMPUTED_VALUE"""),53.88)</f>
        <v>53.88</v>
      </c>
      <c r="BQ57" s="110">
        <f>IFERROR(__xludf.DUMMYFUNCTION("""COMPUTED_VALUE"""),10.14)</f>
        <v>10.14</v>
      </c>
      <c r="BR57" s="110">
        <f>IFERROR(__xludf.DUMMYFUNCTION("""COMPUTED_VALUE"""),45.58)</f>
        <v>45.58</v>
      </c>
      <c r="BS57" s="110">
        <f>IFERROR(__xludf.DUMMYFUNCTION("""COMPUTED_VALUE"""),1.02)</f>
        <v>1.02</v>
      </c>
      <c r="BT57" s="110">
        <f>IFERROR(__xludf.DUMMYFUNCTION("""COMPUTED_VALUE"""),45.96)</f>
        <v>45.96</v>
      </c>
      <c r="BU57" s="110">
        <f>IFERROR(__xludf.DUMMYFUNCTION("""COMPUTED_VALUE"""),35.3)</f>
        <v>35.3</v>
      </c>
      <c r="BV57" s="110">
        <f>IFERROR(__xludf.DUMMYFUNCTION("""COMPUTED_VALUE"""),55.3)</f>
        <v>55.3</v>
      </c>
      <c r="BW57" s="110">
        <f>IFERROR(__xludf.DUMMYFUNCTION("""COMPUTED_VALUE"""),8.36)</f>
        <v>8.36</v>
      </c>
      <c r="BX57" s="110">
        <f>IFERROR(__xludf.DUMMYFUNCTION("""COMPUTED_VALUE"""),5.23)</f>
        <v>5.23</v>
      </c>
      <c r="BY57" s="110">
        <f>IFERROR(__xludf.DUMMYFUNCTION("""COMPUTED_VALUE"""),0.0)</f>
        <v>0</v>
      </c>
      <c r="BZ57" s="110">
        <f>IFERROR(__xludf.DUMMYFUNCTION("""COMPUTED_VALUE"""),15.8)</f>
        <v>15.8</v>
      </c>
      <c r="CA57" s="110">
        <f>IFERROR(__xludf.DUMMYFUNCTION("""COMPUTED_VALUE"""),3.62)</f>
        <v>3.62</v>
      </c>
      <c r="CB57" s="110">
        <f>IFERROR(__xludf.DUMMYFUNCTION("""COMPUTED_VALUE"""),5.27)</f>
        <v>5.27</v>
      </c>
      <c r="CC57" s="110">
        <f>IFERROR(__xludf.DUMMYFUNCTION("""COMPUTED_VALUE"""),17.13)</f>
        <v>17.13</v>
      </c>
      <c r="CD57" s="110">
        <f>IFERROR(__xludf.DUMMYFUNCTION("""COMPUTED_VALUE"""),13.94)</f>
        <v>13.94</v>
      </c>
      <c r="CE57" s="110">
        <f>IFERROR(__xludf.DUMMYFUNCTION("""COMPUTED_VALUE"""),28.13)</f>
        <v>28.13</v>
      </c>
      <c r="CF57" s="110">
        <f>IFERROR(__xludf.DUMMYFUNCTION("""COMPUTED_VALUE"""),105.16)</f>
        <v>105.16</v>
      </c>
      <c r="CG57" s="110">
        <f>IFERROR(__xludf.DUMMYFUNCTION("""COMPUTED_VALUE"""),4.68)</f>
        <v>4.68</v>
      </c>
      <c r="CH57" s="110">
        <f>IFERROR(__xludf.DUMMYFUNCTION("""COMPUTED_VALUE"""),24.53)</f>
        <v>24.53</v>
      </c>
      <c r="CI57" s="110">
        <f>IFERROR(__xludf.DUMMYFUNCTION("""COMPUTED_VALUE"""),43.09)</f>
        <v>43.09</v>
      </c>
      <c r="CJ57" s="110">
        <f>IFERROR(__xludf.DUMMYFUNCTION("""COMPUTED_VALUE"""),0.0)</f>
        <v>0</v>
      </c>
      <c r="CK57" s="110">
        <f>IFERROR(__xludf.DUMMYFUNCTION("""COMPUTED_VALUE"""),12.08)</f>
        <v>12.08</v>
      </c>
      <c r="CL57" s="110">
        <f>IFERROR(__xludf.DUMMYFUNCTION("""COMPUTED_VALUE"""),2850.11)</f>
        <v>2850.11</v>
      </c>
      <c r="CM57" s="110">
        <f>IFERROR(__xludf.DUMMYFUNCTION("""COMPUTED_VALUE"""),0.0)</f>
        <v>0</v>
      </c>
      <c r="CN57" s="110">
        <f>IFERROR(__xludf.DUMMYFUNCTION("""COMPUTED_VALUE"""),225.8)</f>
        <v>225.8</v>
      </c>
      <c r="CO57" s="110">
        <f>IFERROR(__xludf.DUMMYFUNCTION("""COMPUTED_VALUE"""),146.0)</f>
        <v>146</v>
      </c>
      <c r="CP57" s="110">
        <f>IFERROR(__xludf.DUMMYFUNCTION("""COMPUTED_VALUE"""),71.39)</f>
        <v>71.39</v>
      </c>
      <c r="CQ57" s="110">
        <f>IFERROR(__xludf.DUMMYFUNCTION("""COMPUTED_VALUE"""),70200.0)</f>
        <v>70200</v>
      </c>
      <c r="CR57" s="110">
        <f>IFERROR(__xludf.DUMMYFUNCTION("""COMPUTED_VALUE"""),0.52)</f>
        <v>0.52</v>
      </c>
      <c r="CS57" s="110">
        <f>IFERROR(__xludf.DUMMYFUNCTION("""COMPUTED_VALUE"""),30.75)</f>
        <v>30.75</v>
      </c>
      <c r="CT57" s="110">
        <f>IFERROR(__xludf.DUMMYFUNCTION("""COMPUTED_VALUE"""),22.12)</f>
        <v>22.12</v>
      </c>
      <c r="CU57" s="110">
        <f>IFERROR(__xludf.DUMMYFUNCTION("""COMPUTED_VALUE"""),1918.4)</f>
        <v>1918.4</v>
      </c>
      <c r="CV57" s="110">
        <f>IFERROR(__xludf.DUMMYFUNCTION("""COMPUTED_VALUE"""),2.56)</f>
        <v>2.56</v>
      </c>
      <c r="CW57" s="110">
        <f>IFERROR(__xludf.DUMMYFUNCTION("""COMPUTED_VALUE"""),3.14)</f>
        <v>3.14</v>
      </c>
      <c r="CX57" s="110">
        <f>IFERROR(__xludf.DUMMYFUNCTION("""COMPUTED_VALUE"""),0.0)</f>
        <v>0</v>
      </c>
      <c r="CY57" s="110">
        <f>IFERROR(__xludf.DUMMYFUNCTION("""COMPUTED_VALUE"""),0.03)</f>
        <v>0.03</v>
      </c>
      <c r="CZ57" s="110">
        <f>IFERROR(__xludf.DUMMYFUNCTION("""COMPUTED_VALUE"""),78.5)</f>
        <v>78.5</v>
      </c>
      <c r="DA57" s="110">
        <f>IFERROR(__xludf.DUMMYFUNCTION("""COMPUTED_VALUE"""),0.02)</f>
        <v>0.02</v>
      </c>
      <c r="DB57" s="110">
        <f>IFERROR(__xludf.DUMMYFUNCTION("""COMPUTED_VALUE"""),0.15)</f>
        <v>0.15</v>
      </c>
      <c r="DC57" s="110">
        <f>IFERROR(__xludf.DUMMYFUNCTION("""COMPUTED_VALUE"""),163.5)</f>
        <v>163.5</v>
      </c>
      <c r="DD57" s="110">
        <f>IFERROR(__xludf.DUMMYFUNCTION("""COMPUTED_VALUE"""),10.72)</f>
        <v>10.72</v>
      </c>
      <c r="DE57" s="110">
        <f>IFERROR(__xludf.DUMMYFUNCTION("""COMPUTED_VALUE"""),7.26)</f>
        <v>7.26</v>
      </c>
      <c r="DF57" s="110">
        <f>IFERROR(__xludf.DUMMYFUNCTION("""COMPUTED_VALUE"""),58.2)</f>
        <v>58.2</v>
      </c>
      <c r="DG57" s="110">
        <f>IFERROR(__xludf.DUMMYFUNCTION("""COMPUTED_VALUE"""),6.42)</f>
        <v>6.42</v>
      </c>
      <c r="DH57" s="110">
        <f>IFERROR(__xludf.DUMMYFUNCTION("""COMPUTED_VALUE"""),10.27)</f>
        <v>10.27</v>
      </c>
      <c r="DI57" s="110">
        <f>IFERROR(__xludf.DUMMYFUNCTION("""COMPUTED_VALUE"""),147.23)</f>
        <v>147.23</v>
      </c>
      <c r="DJ57" s="110">
        <f>IFERROR(__xludf.DUMMYFUNCTION("""COMPUTED_VALUE"""),13.11)</f>
        <v>13.11</v>
      </c>
      <c r="DK57" s="110">
        <f>IFERROR(__xludf.DUMMYFUNCTION("""COMPUTED_VALUE"""),0.0)</f>
        <v>0</v>
      </c>
      <c r="DL57" s="110">
        <f>IFERROR(__xludf.DUMMYFUNCTION("""COMPUTED_VALUE"""),24.8)</f>
        <v>24.8</v>
      </c>
      <c r="DM57" s="110">
        <f>IFERROR(__xludf.DUMMYFUNCTION("""COMPUTED_VALUE"""),437.15)</f>
        <v>437.15</v>
      </c>
      <c r="DN57" s="110">
        <f>IFERROR(__xludf.DUMMYFUNCTION("""COMPUTED_VALUE"""),175.52)</f>
        <v>175.52</v>
      </c>
      <c r="DO57" s="110">
        <f>IFERROR(__xludf.DUMMYFUNCTION("""COMPUTED_VALUE"""),372.0)</f>
        <v>372</v>
      </c>
      <c r="DP57" s="110">
        <f>IFERROR(__xludf.DUMMYFUNCTION("""COMPUTED_VALUE"""),0.89)</f>
        <v>0.89</v>
      </c>
      <c r="DQ57" s="110">
        <f>IFERROR(__xludf.DUMMYFUNCTION("""COMPUTED_VALUE"""),116.71)</f>
        <v>116.71</v>
      </c>
      <c r="DR57" s="110">
        <f>IFERROR(__xludf.DUMMYFUNCTION("""COMPUTED_VALUE"""),0.05)</f>
        <v>0.05</v>
      </c>
      <c r="DS57" s="110">
        <f>IFERROR(__xludf.DUMMYFUNCTION("""COMPUTED_VALUE"""),3.52)</f>
        <v>3.52</v>
      </c>
      <c r="DT57" s="110">
        <f>IFERROR(__xludf.DUMMYFUNCTION("""COMPUTED_VALUE"""),5.96)</f>
        <v>5.96</v>
      </c>
      <c r="DU57" s="110">
        <f>IFERROR(__xludf.DUMMYFUNCTION("""COMPUTED_VALUE"""),52.74)</f>
        <v>52.74</v>
      </c>
      <c r="DV57" s="110">
        <f>IFERROR(__xludf.DUMMYFUNCTION("""COMPUTED_VALUE"""),15.26)</f>
        <v>15.26</v>
      </c>
      <c r="DW57" s="110">
        <f>IFERROR(__xludf.DUMMYFUNCTION("""COMPUTED_VALUE"""),0.07)</f>
        <v>0.07</v>
      </c>
      <c r="DX57" s="110">
        <f>IFERROR(__xludf.DUMMYFUNCTION("""COMPUTED_VALUE"""),29.98)</f>
        <v>29.98</v>
      </c>
      <c r="DY57" s="110">
        <f>IFERROR(__xludf.DUMMYFUNCTION("""COMPUTED_VALUE"""),0.0)</f>
        <v>0</v>
      </c>
      <c r="DZ57" s="110">
        <f>IFERROR(__xludf.DUMMYFUNCTION("""COMPUTED_VALUE"""),78.83)</f>
        <v>78.83</v>
      </c>
      <c r="EA57" s="110">
        <f>IFERROR(__xludf.DUMMYFUNCTION("""COMPUTED_VALUE"""),49.13)</f>
        <v>49.13</v>
      </c>
      <c r="EB57" s="110">
        <f>IFERROR(__xludf.DUMMYFUNCTION("""COMPUTED_VALUE"""),73.93)</f>
        <v>73.93</v>
      </c>
      <c r="EC57" s="110">
        <f>IFERROR(__xludf.DUMMYFUNCTION("""COMPUTED_VALUE"""),76.02)</f>
        <v>76.02</v>
      </c>
      <c r="ED57" s="110">
        <f>IFERROR(__xludf.DUMMYFUNCTION("""COMPUTED_VALUE"""),39.5)</f>
        <v>39.5</v>
      </c>
      <c r="EE57" s="110">
        <f>IFERROR(__xludf.DUMMYFUNCTION("""COMPUTED_VALUE"""),89.64)</f>
        <v>89.64</v>
      </c>
      <c r="EF57" s="110">
        <f>IFERROR(__xludf.DUMMYFUNCTION("""COMPUTED_VALUE"""),191.53)</f>
        <v>191.53</v>
      </c>
      <c r="EG57" s="110">
        <f>IFERROR(__xludf.DUMMYFUNCTION("""COMPUTED_VALUE"""),70.61)</f>
        <v>70.61</v>
      </c>
      <c r="EH57" s="110">
        <f>IFERROR(__xludf.DUMMYFUNCTION("""COMPUTED_VALUE"""),104.71)</f>
        <v>104.71</v>
      </c>
      <c r="EI57" s="110">
        <f>IFERROR(__xludf.DUMMYFUNCTION("""COMPUTED_VALUE"""),138.07)</f>
        <v>138.07</v>
      </c>
      <c r="EJ57" s="110">
        <f>IFERROR(__xludf.DUMMYFUNCTION("""COMPUTED_VALUE"""),39.2)</f>
        <v>39.2</v>
      </c>
      <c r="EK57" s="110">
        <f>IFERROR(__xludf.DUMMYFUNCTION("""COMPUTED_VALUE"""),274.66)</f>
        <v>274.66</v>
      </c>
      <c r="EL57" s="110">
        <f>IFERROR(__xludf.DUMMYFUNCTION("""COMPUTED_VALUE"""),75.77)</f>
        <v>75.77</v>
      </c>
      <c r="EM57" s="110">
        <f>IFERROR(__xludf.DUMMYFUNCTION("""COMPUTED_VALUE"""),39.96)</f>
        <v>39.96</v>
      </c>
      <c r="EN57" s="110">
        <f>IFERROR(__xludf.DUMMYFUNCTION("""COMPUTED_VALUE"""),1667.0)</f>
        <v>1667</v>
      </c>
      <c r="EO57" s="110">
        <f>IFERROR(__xludf.DUMMYFUNCTION("""COMPUTED_VALUE"""),9.5)</f>
        <v>9.5</v>
      </c>
      <c r="EP57" s="110">
        <f>IFERROR(__xludf.DUMMYFUNCTION("""COMPUTED_VALUE"""),0.0)</f>
        <v>0</v>
      </c>
      <c r="EQ57" s="110">
        <f>IFERROR(__xludf.DUMMYFUNCTION("""COMPUTED_VALUE"""),2.4)</f>
        <v>2.4</v>
      </c>
      <c r="ER57" s="110">
        <f>IFERROR(__xludf.DUMMYFUNCTION("""COMPUTED_VALUE"""),4621.25)</f>
        <v>4621.25</v>
      </c>
      <c r="ES57" s="110">
        <f>IFERROR(__xludf.DUMMYFUNCTION("""COMPUTED_VALUE"""),98.69)</f>
        <v>98.69</v>
      </c>
      <c r="ET57" s="110">
        <f>IFERROR(__xludf.DUMMYFUNCTION("""COMPUTED_VALUE"""),111.45)</f>
        <v>111.45</v>
      </c>
      <c r="EU57" s="110">
        <f>IFERROR(__xludf.DUMMYFUNCTION("""COMPUTED_VALUE"""),30.5)</f>
        <v>30.5</v>
      </c>
      <c r="EV57" s="110">
        <f>IFERROR(__xludf.DUMMYFUNCTION("""COMPUTED_VALUE"""),1.45)</f>
        <v>1.45</v>
      </c>
      <c r="EW57" s="110">
        <f>IFERROR(__xludf.DUMMYFUNCTION("""COMPUTED_VALUE"""),13.66)</f>
        <v>13.66</v>
      </c>
      <c r="EX57" s="108">
        <f>IFERROR(__xludf.DUMMYFUNCTION("""COMPUTED_VALUE"""),5.21)</f>
        <v>5.21</v>
      </c>
      <c r="EY57" s="108">
        <f>IFERROR(__xludf.DUMMYFUNCTION("""COMPUTED_VALUE"""),172.39)</f>
        <v>172.39</v>
      </c>
      <c r="EZ57" s="108">
        <f>IFERROR(__xludf.DUMMYFUNCTION("""COMPUTED_VALUE"""),24.91)</f>
        <v>24.91</v>
      </c>
      <c r="FA57" s="108">
        <f>IFERROR(__xludf.DUMMYFUNCTION("""COMPUTED_VALUE"""),3.05)</f>
        <v>3.05</v>
      </c>
      <c r="FB57" s="108">
        <f>IFERROR(__xludf.DUMMYFUNCTION("""COMPUTED_VALUE"""),141.18)</f>
        <v>141.18</v>
      </c>
      <c r="FC57" s="108">
        <f>IFERROR(__xludf.DUMMYFUNCTION("""COMPUTED_VALUE"""),8.57)</f>
        <v>8.57</v>
      </c>
      <c r="FD57" s="108">
        <f>IFERROR(__xludf.DUMMYFUNCTION("""COMPUTED_VALUE"""),60.51)</f>
        <v>60.51</v>
      </c>
      <c r="FE57" s="108">
        <f>IFERROR(__xludf.DUMMYFUNCTION("""COMPUTED_VALUE"""),56.79)</f>
        <v>56.79</v>
      </c>
      <c r="FF57" s="108">
        <f>IFERROR(__xludf.DUMMYFUNCTION("""COMPUTED_VALUE"""),5.88)</f>
        <v>5.88</v>
      </c>
      <c r="FG57" s="108">
        <f>IFERROR(__xludf.DUMMYFUNCTION("""COMPUTED_VALUE"""),709.14)</f>
        <v>709.14</v>
      </c>
      <c r="FH57" s="108">
        <f>IFERROR(__xludf.DUMMYFUNCTION("""COMPUTED_VALUE"""),162.18)</f>
        <v>162.18</v>
      </c>
      <c r="FI57" s="108">
        <f>IFERROR(__xludf.DUMMYFUNCTION("""COMPUTED_VALUE"""),0.06)</f>
        <v>0.06</v>
      </c>
      <c r="FJ57" s="108">
        <f>IFERROR(__xludf.DUMMYFUNCTION("""COMPUTED_VALUE"""),15.68)</f>
        <v>15.68</v>
      </c>
      <c r="FK57" s="108">
        <f>IFERROR(__xludf.DUMMYFUNCTION("""COMPUTED_VALUE"""),178.77)</f>
        <v>178.77</v>
      </c>
      <c r="FL57" s="108">
        <f>IFERROR(__xludf.DUMMYFUNCTION("""COMPUTED_VALUE"""),491.03)</f>
        <v>491.03</v>
      </c>
      <c r="FM57" s="108">
        <f>IFERROR(__xludf.DUMMYFUNCTION("""COMPUTED_VALUE"""),139.14)</f>
        <v>139.14</v>
      </c>
      <c r="FN57" s="108">
        <f>IFERROR(__xludf.DUMMYFUNCTION("""COMPUTED_VALUE"""),1101.61)</f>
        <v>1101.61</v>
      </c>
      <c r="FO57" s="108">
        <f>IFERROR(__xludf.DUMMYFUNCTION("""COMPUTED_VALUE"""),743.98)</f>
        <v>743.98</v>
      </c>
    </row>
    <row r="58">
      <c r="A58" s="106">
        <f>IFERROR(__xludf.DUMMYFUNCTION("""COMPUTED_VALUE"""),44650.0)</f>
        <v>44650</v>
      </c>
      <c r="B58" s="110">
        <f>IFERROR(__xludf.DUMMYFUNCTION("""COMPUTED_VALUE"""),3326.02)</f>
        <v>3326.02</v>
      </c>
      <c r="C58" s="110">
        <f>IFERROR(__xludf.DUMMYFUNCTION("""COMPUTED_VALUE"""),227.85)</f>
        <v>227.85</v>
      </c>
      <c r="D58" s="110">
        <f>IFERROR(__xludf.DUMMYFUNCTION("""COMPUTED_VALUE"""),1093.99)</f>
        <v>1093.99</v>
      </c>
      <c r="E58" s="110">
        <f>IFERROR(__xludf.DUMMYFUNCTION("""COMPUTED_VALUE"""),380.6)</f>
        <v>380.6</v>
      </c>
      <c r="F58" s="110">
        <f>IFERROR(__xludf.DUMMYFUNCTION("""COMPUTED_VALUE"""),11.12)</f>
        <v>11.12</v>
      </c>
      <c r="G58" s="110">
        <f>IFERROR(__xludf.DUMMYFUNCTION("""COMPUTED_VALUE"""),177.77)</f>
        <v>177.77</v>
      </c>
      <c r="H58" s="110">
        <f>IFERROR(__xludf.DUMMYFUNCTION("""COMPUTED_VALUE"""),0.0)</f>
        <v>0</v>
      </c>
      <c r="I58" s="110">
        <f>IFERROR(__xludf.DUMMYFUNCTION("""COMPUTED_VALUE"""),0.01)</f>
        <v>0.01</v>
      </c>
      <c r="J58" s="110">
        <f>IFERROR(__xludf.DUMMYFUNCTION("""COMPUTED_VALUE"""),0.01)</f>
        <v>0.01</v>
      </c>
      <c r="K58" s="110">
        <f>IFERROR(__xludf.DUMMYFUNCTION("""COMPUTED_VALUE"""),40.55)</f>
        <v>40.55</v>
      </c>
      <c r="L58" s="110">
        <f>IFERROR(__xludf.DUMMYFUNCTION("""COMPUTED_VALUE"""),160.1)</f>
        <v>160.1</v>
      </c>
      <c r="M58" s="110">
        <f>IFERROR(__xludf.DUMMYFUNCTION("""COMPUTED_VALUE"""),47090.04)</f>
        <v>47090.04</v>
      </c>
      <c r="N58" s="110">
        <f>IFERROR(__xludf.DUMMYFUNCTION("""COMPUTED_VALUE"""),381.47)</f>
        <v>381.47</v>
      </c>
      <c r="O58" s="110">
        <f>IFERROR(__xludf.DUMMYFUNCTION("""COMPUTED_VALUE"""),313.86)</f>
        <v>313.86</v>
      </c>
      <c r="P58" s="110">
        <f>IFERROR(__xludf.DUMMYFUNCTION("""COMPUTED_VALUE"""),29.2)</f>
        <v>29.2</v>
      </c>
      <c r="Q58" s="110">
        <f>IFERROR(__xludf.DUMMYFUNCTION("""COMPUTED_VALUE"""),24.88)</f>
        <v>24.88</v>
      </c>
      <c r="R58" s="110">
        <f>IFERROR(__xludf.DUMMYFUNCTION("""COMPUTED_VALUE"""),61.49)</f>
        <v>61.49</v>
      </c>
      <c r="S58" s="110">
        <f>IFERROR(__xludf.DUMMYFUNCTION("""COMPUTED_VALUE"""),32.06)</f>
        <v>32.06</v>
      </c>
      <c r="T58" s="110">
        <f>IFERROR(__xludf.DUMMYFUNCTION("""COMPUTED_VALUE"""),28.44)</f>
        <v>28.44</v>
      </c>
      <c r="U58" s="110">
        <f>IFERROR(__xludf.DUMMYFUNCTION("""COMPUTED_VALUE"""),43.16)</f>
        <v>43.16</v>
      </c>
      <c r="V58" s="110">
        <f>IFERROR(__xludf.DUMMYFUNCTION("""COMPUTED_VALUE"""),14.56)</f>
        <v>14.56</v>
      </c>
      <c r="W58" s="110">
        <f>IFERROR(__xludf.DUMMYFUNCTION("""COMPUTED_VALUE"""),249.03)</f>
        <v>249.03</v>
      </c>
      <c r="X58" s="110">
        <f>IFERROR(__xludf.DUMMYFUNCTION("""COMPUTED_VALUE"""),2852.89)</f>
        <v>2852.89</v>
      </c>
      <c r="Y58" s="110">
        <f>IFERROR(__xludf.DUMMYFUNCTION("""COMPUTED_VALUE"""),56.4)</f>
        <v>56.4</v>
      </c>
      <c r="Z58" s="110">
        <f>IFERROR(__xludf.DUMMYFUNCTION("""COMPUTED_VALUE"""),69.2)</f>
        <v>69.2</v>
      </c>
      <c r="AA58" s="110">
        <f>IFERROR(__xludf.DUMMYFUNCTION("""COMPUTED_VALUE"""),124.4)</f>
        <v>124.4</v>
      </c>
      <c r="AB58" s="110">
        <f>IFERROR(__xludf.DUMMYFUNCTION("""COMPUTED_VALUE"""),4.76)</f>
        <v>4.76</v>
      </c>
      <c r="AC58" s="110">
        <f>IFERROR(__xludf.DUMMYFUNCTION("""COMPUTED_VALUE"""),77.49)</f>
        <v>77.49</v>
      </c>
      <c r="AD58" s="110">
        <f>IFERROR(__xludf.DUMMYFUNCTION("""COMPUTED_VALUE"""),12.38)</f>
        <v>12.38</v>
      </c>
      <c r="AE58" s="110">
        <f>IFERROR(__xludf.DUMMYFUNCTION("""COMPUTED_VALUE"""),6.27)</f>
        <v>6.27</v>
      </c>
      <c r="AF58" s="110">
        <f>IFERROR(__xludf.DUMMYFUNCTION("""COMPUTED_VALUE"""),40.64)</f>
        <v>40.64</v>
      </c>
      <c r="AG58" s="110">
        <f>IFERROR(__xludf.DUMMYFUNCTION("""COMPUTED_VALUE"""),13.46)</f>
        <v>13.46</v>
      </c>
      <c r="AH58" s="110">
        <f>IFERROR(__xludf.DUMMYFUNCTION("""COMPUTED_VALUE"""),2.16)</f>
        <v>2.16</v>
      </c>
      <c r="AI58" s="110">
        <f>IFERROR(__xludf.DUMMYFUNCTION("""COMPUTED_VALUE"""),3.54)</f>
        <v>3.54</v>
      </c>
      <c r="AJ58" s="110">
        <f>IFERROR(__xludf.DUMMYFUNCTION("""COMPUTED_VALUE"""),100.5)</f>
        <v>100.5</v>
      </c>
      <c r="AK58" s="110">
        <f>IFERROR(__xludf.DUMMYFUNCTION("""COMPUTED_VALUE"""),276.9)</f>
        <v>276.9</v>
      </c>
      <c r="AL58" s="110">
        <f>IFERROR(__xludf.DUMMYFUNCTION("""COMPUTED_VALUE"""),14.16)</f>
        <v>14.16</v>
      </c>
      <c r="AM58" s="110">
        <f>IFERROR(__xludf.DUMMYFUNCTION("""COMPUTED_VALUE"""),43.0)</f>
        <v>43</v>
      </c>
      <c r="AN58" s="110">
        <f>IFERROR(__xludf.DUMMYFUNCTION("""COMPUTED_VALUE"""),357.61)</f>
        <v>357.61</v>
      </c>
      <c r="AO58" s="110">
        <f>IFERROR(__xludf.DUMMYFUNCTION("""COMPUTED_VALUE"""),105.19)</f>
        <v>105.19</v>
      </c>
      <c r="AP58" s="110">
        <f>IFERROR(__xludf.DUMMYFUNCTION("""COMPUTED_VALUE"""),80.36)</f>
        <v>80.36</v>
      </c>
      <c r="AQ58" s="110">
        <f>IFERROR(__xludf.DUMMYFUNCTION("""COMPUTED_VALUE"""),48.33)</f>
        <v>48.33</v>
      </c>
      <c r="AR58" s="109">
        <f>IFERROR(__xludf.DUMMYFUNCTION("""COMPUTED_VALUE"""),103.299)</f>
        <v>103.299</v>
      </c>
      <c r="AS58" s="110">
        <f>IFERROR(__xludf.DUMMYFUNCTION("""COMPUTED_VALUE"""),12.53)</f>
        <v>12.53</v>
      </c>
      <c r="AT58" s="110">
        <f>IFERROR(__xludf.DUMMYFUNCTION("""COMPUTED_VALUE"""),113.9)</f>
        <v>113.9</v>
      </c>
      <c r="AU58" s="110">
        <f>IFERROR(__xludf.DUMMYFUNCTION("""COMPUTED_VALUE"""),64.19)</f>
        <v>64.19</v>
      </c>
      <c r="AV58" s="110">
        <f>IFERROR(__xludf.DUMMYFUNCTION("""COMPUTED_VALUE"""),140.96)</f>
        <v>140.96</v>
      </c>
      <c r="AW58" s="110">
        <f>IFERROR(__xludf.DUMMYFUNCTION("""COMPUTED_VALUE"""),135.8)</f>
        <v>135.8</v>
      </c>
      <c r="AX58" s="110">
        <f>IFERROR(__xludf.DUMMYFUNCTION("""COMPUTED_VALUE"""),21.8)</f>
        <v>21.8</v>
      </c>
      <c r="AY58" s="110">
        <f>IFERROR(__xludf.DUMMYFUNCTION("""COMPUTED_VALUE"""),48.12)</f>
        <v>48.12</v>
      </c>
      <c r="AZ58" s="110">
        <f>IFERROR(__xludf.DUMMYFUNCTION("""COMPUTED_VALUE"""),0.0)</f>
        <v>0</v>
      </c>
      <c r="BA58" s="110">
        <f>IFERROR(__xludf.DUMMYFUNCTION("""COMPUTED_VALUE"""),0.0)</f>
        <v>0</v>
      </c>
      <c r="BB58" s="110">
        <f>IFERROR(__xludf.DUMMYFUNCTION("""COMPUTED_VALUE"""),12.66)</f>
        <v>12.66</v>
      </c>
      <c r="BC58" s="110">
        <f>IFERROR(__xludf.DUMMYFUNCTION("""COMPUTED_VALUE"""),8.55)</f>
        <v>8.55</v>
      </c>
      <c r="BD58" s="110">
        <f>IFERROR(__xludf.DUMMYFUNCTION("""COMPUTED_VALUE"""),191.4)</f>
        <v>191.4</v>
      </c>
      <c r="BE58" s="110">
        <f>IFERROR(__xludf.DUMMYFUNCTION("""COMPUTED_VALUE"""),145.6)</f>
        <v>145.6</v>
      </c>
      <c r="BF58" s="110">
        <f>IFERROR(__xludf.DUMMYFUNCTION("""COMPUTED_VALUE"""),10.8)</f>
        <v>10.8</v>
      </c>
      <c r="BG58" s="110">
        <f>IFERROR(__xludf.DUMMYFUNCTION("""COMPUTED_VALUE"""),615.75)</f>
        <v>615.75</v>
      </c>
      <c r="BH58" s="110">
        <f>IFERROR(__xludf.DUMMYFUNCTION("""COMPUTED_VALUE"""),302.64)</f>
        <v>302.64</v>
      </c>
      <c r="BI58" s="110">
        <f>IFERROR(__xludf.DUMMYFUNCTION("""COMPUTED_VALUE"""),242.57)</f>
        <v>242.57</v>
      </c>
      <c r="BJ58" s="110">
        <f>IFERROR(__xludf.DUMMYFUNCTION("""COMPUTED_VALUE"""),26.5)</f>
        <v>26.5</v>
      </c>
      <c r="BK58" s="110">
        <f>IFERROR(__xludf.DUMMYFUNCTION("""COMPUTED_VALUE"""),332.59)</f>
        <v>332.59</v>
      </c>
      <c r="BL58" s="110">
        <f>IFERROR(__xludf.DUMMYFUNCTION("""COMPUTED_VALUE"""),128.61)</f>
        <v>128.61</v>
      </c>
      <c r="BM58" s="110">
        <f>IFERROR(__xludf.DUMMYFUNCTION("""COMPUTED_VALUE"""),17.27)</f>
        <v>17.27</v>
      </c>
      <c r="BN58" s="110">
        <f>IFERROR(__xludf.DUMMYFUNCTION("""COMPUTED_VALUE"""),316.52)</f>
        <v>316.52</v>
      </c>
      <c r="BO58" s="110">
        <f>IFERROR(__xludf.DUMMYFUNCTION("""COMPUTED_VALUE"""),734.0)</f>
        <v>734</v>
      </c>
      <c r="BP58" s="110">
        <f>IFERROR(__xludf.DUMMYFUNCTION("""COMPUTED_VALUE"""),52.01)</f>
        <v>52.01</v>
      </c>
      <c r="BQ58" s="110">
        <f>IFERROR(__xludf.DUMMYFUNCTION("""COMPUTED_VALUE"""),9.77)</f>
        <v>9.77</v>
      </c>
      <c r="BR58" s="110">
        <f>IFERROR(__xludf.DUMMYFUNCTION("""COMPUTED_VALUE"""),41.35)</f>
        <v>41.35</v>
      </c>
      <c r="BS58" s="110">
        <f>IFERROR(__xludf.DUMMYFUNCTION("""COMPUTED_VALUE"""),0.99)</f>
        <v>0.99</v>
      </c>
      <c r="BT58" s="110">
        <f>IFERROR(__xludf.DUMMYFUNCTION("""COMPUTED_VALUE"""),47.26)</f>
        <v>47.26</v>
      </c>
      <c r="BU58" s="110">
        <f>IFERROR(__xludf.DUMMYFUNCTION("""COMPUTED_VALUE"""),37.05)</f>
        <v>37.05</v>
      </c>
      <c r="BV58" s="110">
        <f>IFERROR(__xludf.DUMMYFUNCTION("""COMPUTED_VALUE"""),54.6)</f>
        <v>54.6</v>
      </c>
      <c r="BW58" s="110">
        <f>IFERROR(__xludf.DUMMYFUNCTION("""COMPUTED_VALUE"""),8.06)</f>
        <v>8.06</v>
      </c>
      <c r="BX58" s="110">
        <f>IFERROR(__xludf.DUMMYFUNCTION("""COMPUTED_VALUE"""),5.16)</f>
        <v>5.16</v>
      </c>
      <c r="BY58" s="110">
        <f>IFERROR(__xludf.DUMMYFUNCTION("""COMPUTED_VALUE"""),0.0)</f>
        <v>0</v>
      </c>
      <c r="BZ58" s="110">
        <f>IFERROR(__xludf.DUMMYFUNCTION("""COMPUTED_VALUE"""),16.3)</f>
        <v>16.3</v>
      </c>
      <c r="CA58" s="110">
        <f>IFERROR(__xludf.DUMMYFUNCTION("""COMPUTED_VALUE"""),3.68)</f>
        <v>3.68</v>
      </c>
      <c r="CB58" s="110">
        <f>IFERROR(__xludf.DUMMYFUNCTION("""COMPUTED_VALUE"""),5.23)</f>
        <v>5.23</v>
      </c>
      <c r="CC58" s="110">
        <f>IFERROR(__xludf.DUMMYFUNCTION("""COMPUTED_VALUE"""),17.5)</f>
        <v>17.5</v>
      </c>
      <c r="CD58" s="110">
        <f>IFERROR(__xludf.DUMMYFUNCTION("""COMPUTED_VALUE"""),13.76)</f>
        <v>13.76</v>
      </c>
      <c r="CE58" s="110">
        <f>IFERROR(__xludf.DUMMYFUNCTION("""COMPUTED_VALUE"""),28.36)</f>
        <v>28.36</v>
      </c>
      <c r="CF58" s="110">
        <f>IFERROR(__xludf.DUMMYFUNCTION("""COMPUTED_VALUE"""),107.54)</f>
        <v>107.54</v>
      </c>
      <c r="CG58" s="110">
        <f>IFERROR(__xludf.DUMMYFUNCTION("""COMPUTED_VALUE"""),4.64)</f>
        <v>4.64</v>
      </c>
      <c r="CH58" s="110">
        <f>IFERROR(__xludf.DUMMYFUNCTION("""COMPUTED_VALUE"""),24.85)</f>
        <v>24.85</v>
      </c>
      <c r="CI58" s="110">
        <f>IFERROR(__xludf.DUMMYFUNCTION("""COMPUTED_VALUE"""),44.69)</f>
        <v>44.69</v>
      </c>
      <c r="CJ58" s="110">
        <f>IFERROR(__xludf.DUMMYFUNCTION("""COMPUTED_VALUE"""),0.0)</f>
        <v>0</v>
      </c>
      <c r="CK58" s="110">
        <f>IFERROR(__xludf.DUMMYFUNCTION("""COMPUTED_VALUE"""),12.36)</f>
        <v>12.36</v>
      </c>
      <c r="CL58" s="110">
        <f>IFERROR(__xludf.DUMMYFUNCTION("""COMPUTED_VALUE"""),2838.77)</f>
        <v>2838.77</v>
      </c>
      <c r="CM58" s="110">
        <f>IFERROR(__xludf.DUMMYFUNCTION("""COMPUTED_VALUE"""),0.0)</f>
        <v>0</v>
      </c>
      <c r="CN58" s="110">
        <f>IFERROR(__xludf.DUMMYFUNCTION("""COMPUTED_VALUE"""),220.2)</f>
        <v>220.2</v>
      </c>
      <c r="CO58" s="110">
        <f>IFERROR(__xludf.DUMMYFUNCTION("""COMPUTED_VALUE"""),146.2)</f>
        <v>146.2</v>
      </c>
      <c r="CP58" s="110">
        <f>IFERROR(__xludf.DUMMYFUNCTION("""COMPUTED_VALUE"""),68.68)</f>
        <v>68.68</v>
      </c>
      <c r="CQ58" s="110">
        <f>IFERROR(__xludf.DUMMYFUNCTION("""COMPUTED_VALUE"""),69900.0)</f>
        <v>69900</v>
      </c>
      <c r="CR58" s="110">
        <f>IFERROR(__xludf.DUMMYFUNCTION("""COMPUTED_VALUE"""),0.52)</f>
        <v>0.52</v>
      </c>
      <c r="CS58" s="110">
        <f>IFERROR(__xludf.DUMMYFUNCTION("""COMPUTED_VALUE"""),32.42)</f>
        <v>32.42</v>
      </c>
      <c r="CT58" s="110">
        <f>IFERROR(__xludf.DUMMYFUNCTION("""COMPUTED_VALUE"""),22.4)</f>
        <v>22.4</v>
      </c>
      <c r="CU58" s="110">
        <f>IFERROR(__xludf.DUMMYFUNCTION("""COMPUTED_VALUE"""),1934.2)</f>
        <v>1934.2</v>
      </c>
      <c r="CV58" s="110">
        <f>IFERROR(__xludf.DUMMYFUNCTION("""COMPUTED_VALUE"""),2.89)</f>
        <v>2.89</v>
      </c>
      <c r="CW58" s="110">
        <f>IFERROR(__xludf.DUMMYFUNCTION("""COMPUTED_VALUE"""),3.17)</f>
        <v>3.17</v>
      </c>
      <c r="CX58" s="110">
        <f>IFERROR(__xludf.DUMMYFUNCTION("""COMPUTED_VALUE"""),0.0)</f>
        <v>0</v>
      </c>
      <c r="CY58" s="110">
        <f>IFERROR(__xludf.DUMMYFUNCTION("""COMPUTED_VALUE"""),0.03)</f>
        <v>0.03</v>
      </c>
      <c r="CZ58" s="110">
        <f>IFERROR(__xludf.DUMMYFUNCTION("""COMPUTED_VALUE"""),73.6)</f>
        <v>73.6</v>
      </c>
      <c r="DA58" s="110">
        <f>IFERROR(__xludf.DUMMYFUNCTION("""COMPUTED_VALUE"""),0.02)</f>
        <v>0.02</v>
      </c>
      <c r="DB58" s="110">
        <f>IFERROR(__xludf.DUMMYFUNCTION("""COMPUTED_VALUE"""),0.14)</f>
        <v>0.14</v>
      </c>
      <c r="DC58" s="110">
        <f>IFERROR(__xludf.DUMMYFUNCTION("""COMPUTED_VALUE"""),161.33)</f>
        <v>161.33</v>
      </c>
      <c r="DD58" s="110">
        <f>IFERROR(__xludf.DUMMYFUNCTION("""COMPUTED_VALUE"""),10.47)</f>
        <v>10.47</v>
      </c>
      <c r="DE58" s="110">
        <f>IFERROR(__xludf.DUMMYFUNCTION("""COMPUTED_VALUE"""),7.3)</f>
        <v>7.3</v>
      </c>
      <c r="DF58" s="110">
        <f>IFERROR(__xludf.DUMMYFUNCTION("""COMPUTED_VALUE"""),58.75)</f>
        <v>58.75</v>
      </c>
      <c r="DG58" s="110">
        <f>IFERROR(__xludf.DUMMYFUNCTION("""COMPUTED_VALUE"""),6.16)</f>
        <v>6.16</v>
      </c>
      <c r="DH58" s="110">
        <f>IFERROR(__xludf.DUMMYFUNCTION("""COMPUTED_VALUE"""),9.93)</f>
        <v>9.93</v>
      </c>
      <c r="DI58" s="110">
        <f>IFERROR(__xludf.DUMMYFUNCTION("""COMPUTED_VALUE"""),149.87)</f>
        <v>149.87</v>
      </c>
      <c r="DJ58" s="110">
        <f>IFERROR(__xludf.DUMMYFUNCTION("""COMPUTED_VALUE"""),13.08)</f>
        <v>13.08</v>
      </c>
      <c r="DK58" s="110">
        <f>IFERROR(__xludf.DUMMYFUNCTION("""COMPUTED_VALUE"""),0.0)</f>
        <v>0</v>
      </c>
      <c r="DL58" s="110">
        <f>IFERROR(__xludf.DUMMYFUNCTION("""COMPUTED_VALUE"""),25.4)</f>
        <v>25.4</v>
      </c>
      <c r="DM58" s="110">
        <f>IFERROR(__xludf.DUMMYFUNCTION("""COMPUTED_VALUE"""),445.95)</f>
        <v>445.95</v>
      </c>
      <c r="DN58" s="110">
        <f>IFERROR(__xludf.DUMMYFUNCTION("""COMPUTED_VALUE"""),173.63)</f>
        <v>173.63</v>
      </c>
      <c r="DO58" s="110">
        <f>IFERROR(__xludf.DUMMYFUNCTION("""COMPUTED_VALUE"""),376.2)</f>
        <v>376.2</v>
      </c>
      <c r="DP58" s="110">
        <f>IFERROR(__xludf.DUMMYFUNCTION("""COMPUTED_VALUE"""),1.09)</f>
        <v>1.09</v>
      </c>
      <c r="DQ58" s="110">
        <f>IFERROR(__xludf.DUMMYFUNCTION("""COMPUTED_VALUE"""),116.58)</f>
        <v>116.58</v>
      </c>
      <c r="DR58" s="110">
        <f>IFERROR(__xludf.DUMMYFUNCTION("""COMPUTED_VALUE"""),0.05)</f>
        <v>0.05</v>
      </c>
      <c r="DS58" s="110">
        <f>IFERROR(__xludf.DUMMYFUNCTION("""COMPUTED_VALUE"""),3.14)</f>
        <v>3.14</v>
      </c>
      <c r="DT58" s="110">
        <f>IFERROR(__xludf.DUMMYFUNCTION("""COMPUTED_VALUE"""),5.85)</f>
        <v>5.85</v>
      </c>
      <c r="DU58" s="110">
        <f>IFERROR(__xludf.DUMMYFUNCTION("""COMPUTED_VALUE"""),52.44)</f>
        <v>52.44</v>
      </c>
      <c r="DV58" s="110">
        <f>IFERROR(__xludf.DUMMYFUNCTION("""COMPUTED_VALUE"""),15.42)</f>
        <v>15.42</v>
      </c>
      <c r="DW58" s="110">
        <f>IFERROR(__xludf.DUMMYFUNCTION("""COMPUTED_VALUE"""),0.07)</f>
        <v>0.07</v>
      </c>
      <c r="DX58" s="110">
        <f>IFERROR(__xludf.DUMMYFUNCTION("""COMPUTED_VALUE"""),29.5)</f>
        <v>29.5</v>
      </c>
      <c r="DY58" s="110">
        <f>IFERROR(__xludf.DUMMYFUNCTION("""COMPUTED_VALUE"""),0.0)</f>
        <v>0</v>
      </c>
      <c r="DZ58" s="110">
        <f>IFERROR(__xludf.DUMMYFUNCTION("""COMPUTED_VALUE"""),74.75)</f>
        <v>74.75</v>
      </c>
      <c r="EA58" s="110">
        <f>IFERROR(__xludf.DUMMYFUNCTION("""COMPUTED_VALUE"""),48.86)</f>
        <v>48.86</v>
      </c>
      <c r="EB58" s="110">
        <f>IFERROR(__xludf.DUMMYFUNCTION("""COMPUTED_VALUE"""),74.55)</f>
        <v>74.55</v>
      </c>
      <c r="EC58" s="110">
        <f>IFERROR(__xludf.DUMMYFUNCTION("""COMPUTED_VALUE"""),76.08)</f>
        <v>76.08</v>
      </c>
      <c r="ED58" s="110">
        <f>IFERROR(__xludf.DUMMYFUNCTION("""COMPUTED_VALUE"""),39.23)</f>
        <v>39.23</v>
      </c>
      <c r="EE58" s="110">
        <f>IFERROR(__xludf.DUMMYFUNCTION("""COMPUTED_VALUE"""),89.34)</f>
        <v>89.34</v>
      </c>
      <c r="EF58" s="110">
        <f>IFERROR(__xludf.DUMMYFUNCTION("""COMPUTED_VALUE"""),188.62)</f>
        <v>188.62</v>
      </c>
      <c r="EG58" s="110">
        <f>IFERROR(__xludf.DUMMYFUNCTION("""COMPUTED_VALUE"""),70.1)</f>
        <v>70.1</v>
      </c>
      <c r="EH58" s="110">
        <f>IFERROR(__xludf.DUMMYFUNCTION("""COMPUTED_VALUE"""),104.59)</f>
        <v>104.59</v>
      </c>
      <c r="EI58" s="110">
        <f>IFERROR(__xludf.DUMMYFUNCTION("""COMPUTED_VALUE"""),138.34)</f>
        <v>138.34</v>
      </c>
      <c r="EJ58" s="110">
        <f>IFERROR(__xludf.DUMMYFUNCTION("""COMPUTED_VALUE"""),40.18)</f>
        <v>40.18</v>
      </c>
      <c r="EK58" s="110">
        <f>IFERROR(__xludf.DUMMYFUNCTION("""COMPUTED_VALUE"""),274.0)</f>
        <v>274</v>
      </c>
      <c r="EL58" s="110">
        <f>IFERROR(__xludf.DUMMYFUNCTION("""COMPUTED_VALUE"""),83.35)</f>
        <v>83.35</v>
      </c>
      <c r="EM58" s="110">
        <f>IFERROR(__xludf.DUMMYFUNCTION("""COMPUTED_VALUE"""),40.13)</f>
        <v>40.13</v>
      </c>
      <c r="EN58" s="110">
        <f>IFERROR(__xludf.DUMMYFUNCTION("""COMPUTED_VALUE"""),1730.1)</f>
        <v>1730.1</v>
      </c>
      <c r="EO58" s="110">
        <f>IFERROR(__xludf.DUMMYFUNCTION("""COMPUTED_VALUE"""),9.35)</f>
        <v>9.35</v>
      </c>
      <c r="EP58" s="110">
        <f>IFERROR(__xludf.DUMMYFUNCTION("""COMPUTED_VALUE"""),0.0)</f>
        <v>0</v>
      </c>
      <c r="EQ58" s="110">
        <f>IFERROR(__xludf.DUMMYFUNCTION("""COMPUTED_VALUE"""),2.2)</f>
        <v>2.2</v>
      </c>
      <c r="ER58" s="110">
        <f>IFERROR(__xludf.DUMMYFUNCTION("""COMPUTED_VALUE"""),4600.25)</f>
        <v>4600.25</v>
      </c>
      <c r="ES58" s="110">
        <f>IFERROR(__xludf.DUMMYFUNCTION("""COMPUTED_VALUE"""),99.42)</f>
        <v>99.42</v>
      </c>
      <c r="ET58" s="110">
        <f>IFERROR(__xludf.DUMMYFUNCTION("""COMPUTED_VALUE"""),112.72)</f>
        <v>112.72</v>
      </c>
      <c r="EU58" s="110">
        <f>IFERROR(__xludf.DUMMYFUNCTION("""COMPUTED_VALUE"""),34.3)</f>
        <v>34.3</v>
      </c>
      <c r="EV58" s="110">
        <f>IFERROR(__xludf.DUMMYFUNCTION("""COMPUTED_VALUE"""),1.47)</f>
        <v>1.47</v>
      </c>
      <c r="EW58" s="110">
        <f>IFERROR(__xludf.DUMMYFUNCTION("""COMPUTED_VALUE"""),14.14)</f>
        <v>14.14</v>
      </c>
      <c r="EX58" s="108">
        <f>IFERROR(__xludf.DUMMYFUNCTION("""COMPUTED_VALUE"""),4.98)</f>
        <v>4.98</v>
      </c>
      <c r="EY58" s="108">
        <f>IFERROR(__xludf.DUMMYFUNCTION("""COMPUTED_VALUE"""),174.78)</f>
        <v>174.78</v>
      </c>
      <c r="EZ58" s="108">
        <f>IFERROR(__xludf.DUMMYFUNCTION("""COMPUTED_VALUE"""),25.035)</f>
        <v>25.035</v>
      </c>
      <c r="FA58" s="108">
        <f>IFERROR(__xludf.DUMMYFUNCTION("""COMPUTED_VALUE"""),3.12)</f>
        <v>3.12</v>
      </c>
      <c r="FB58" s="108">
        <f>IFERROR(__xludf.DUMMYFUNCTION("""COMPUTED_VALUE"""),140.54)</f>
        <v>140.54</v>
      </c>
      <c r="FC58" s="108">
        <f>IFERROR(__xludf.DUMMYFUNCTION("""COMPUTED_VALUE"""),9.18)</f>
        <v>9.18</v>
      </c>
      <c r="FD58" s="108">
        <f>IFERROR(__xludf.DUMMYFUNCTION("""COMPUTED_VALUE"""),60.56)</f>
        <v>60.56</v>
      </c>
      <c r="FE58" s="108">
        <f>IFERROR(__xludf.DUMMYFUNCTION("""COMPUTED_VALUE"""),57.48)</f>
        <v>57.48</v>
      </c>
      <c r="FF58" s="108">
        <f>IFERROR(__xludf.DUMMYFUNCTION("""COMPUTED_VALUE"""),5.88)</f>
        <v>5.88</v>
      </c>
      <c r="FG58" s="108">
        <f>IFERROR(__xludf.DUMMYFUNCTION("""COMPUTED_VALUE"""),684.56)</f>
        <v>684.56</v>
      </c>
      <c r="FH58" s="108">
        <f>IFERROR(__xludf.DUMMYFUNCTION("""COMPUTED_VALUE"""),163.75)</f>
        <v>163.75</v>
      </c>
      <c r="FI58" s="108">
        <f>IFERROR(__xludf.DUMMYFUNCTION("""COMPUTED_VALUE"""),0.057)</f>
        <v>0.057</v>
      </c>
      <c r="FJ58" s="108">
        <f>IFERROR(__xludf.DUMMYFUNCTION("""COMPUTED_VALUE"""),15.3)</f>
        <v>15.3</v>
      </c>
      <c r="FK58" s="108">
        <f>IFERROR(__xludf.DUMMYFUNCTION("""COMPUTED_VALUE"""),188.02)</f>
        <v>188.02</v>
      </c>
      <c r="FL58" s="108">
        <f>IFERROR(__xludf.DUMMYFUNCTION("""COMPUTED_VALUE"""),502.48)</f>
        <v>502.48</v>
      </c>
      <c r="FM58" s="108">
        <f>IFERROR(__xludf.DUMMYFUNCTION("""COMPUTED_VALUE"""),138.54)</f>
        <v>138.54</v>
      </c>
      <c r="FN58" s="108">
        <f>IFERROR(__xludf.DUMMYFUNCTION("""COMPUTED_VALUE"""),1093.78)</f>
        <v>1093.78</v>
      </c>
      <c r="FO58" s="108">
        <f>IFERROR(__xludf.DUMMYFUNCTION("""COMPUTED_VALUE"""),705.6)</f>
        <v>705.6</v>
      </c>
    </row>
    <row r="59">
      <c r="A59" s="106">
        <f>IFERROR(__xludf.DUMMYFUNCTION("""COMPUTED_VALUE"""),44651.0)</f>
        <v>44651</v>
      </c>
      <c r="B59" s="110">
        <f>IFERROR(__xludf.DUMMYFUNCTION("""COMPUTED_VALUE"""),3259.95)</f>
        <v>3259.95</v>
      </c>
      <c r="C59" s="110">
        <f>IFERROR(__xludf.DUMMYFUNCTION("""COMPUTED_VALUE"""),222.36)</f>
        <v>222.36</v>
      </c>
      <c r="D59" s="110">
        <f>IFERROR(__xludf.DUMMYFUNCTION("""COMPUTED_VALUE"""),1077.6)</f>
        <v>1077.6</v>
      </c>
      <c r="E59" s="110">
        <f>IFERROR(__xludf.DUMMYFUNCTION("""COMPUTED_VALUE"""),374.2)</f>
        <v>374.2</v>
      </c>
      <c r="F59" s="110">
        <f>IFERROR(__xludf.DUMMYFUNCTION("""COMPUTED_VALUE"""),10.74)</f>
        <v>10.74</v>
      </c>
      <c r="G59" s="110">
        <f>IFERROR(__xludf.DUMMYFUNCTION("""COMPUTED_VALUE"""),174.61)</f>
        <v>174.61</v>
      </c>
      <c r="H59" s="110">
        <f>IFERROR(__xludf.DUMMYFUNCTION("""COMPUTED_VALUE"""),0.0)</f>
        <v>0</v>
      </c>
      <c r="I59" s="110">
        <f>IFERROR(__xludf.DUMMYFUNCTION("""COMPUTED_VALUE"""),0.0)</f>
        <v>0</v>
      </c>
      <c r="J59" s="110">
        <f>IFERROR(__xludf.DUMMYFUNCTION("""COMPUTED_VALUE"""),0.0)</f>
        <v>0</v>
      </c>
      <c r="K59" s="110">
        <f>IFERROR(__xludf.DUMMYFUNCTION("""COMPUTED_VALUE"""),39.95)</f>
        <v>39.95</v>
      </c>
      <c r="L59" s="110">
        <f>IFERROR(__xludf.DUMMYFUNCTION("""COMPUTED_VALUE"""),155.6)</f>
        <v>155.6</v>
      </c>
      <c r="M59" s="110">
        <f>IFERROR(__xludf.DUMMYFUNCTION("""COMPUTED_VALUE"""),45687.21)</f>
        <v>45687.21</v>
      </c>
      <c r="N59" s="110">
        <f>IFERROR(__xludf.DUMMYFUNCTION("""COMPUTED_VALUE"""),374.59)</f>
        <v>374.59</v>
      </c>
      <c r="O59" s="110">
        <f>IFERROR(__xludf.DUMMYFUNCTION("""COMPUTED_VALUE"""),308.31)</f>
        <v>308.31</v>
      </c>
      <c r="P59" s="110">
        <f>IFERROR(__xludf.DUMMYFUNCTION("""COMPUTED_VALUE"""),28.98)</f>
        <v>28.98</v>
      </c>
      <c r="Q59" s="110">
        <f>IFERROR(__xludf.DUMMYFUNCTION("""COMPUTED_VALUE"""),24.55)</f>
        <v>24.55</v>
      </c>
      <c r="R59" s="110">
        <f>IFERROR(__xludf.DUMMYFUNCTION("""COMPUTED_VALUE"""),57.87)</f>
        <v>57.87</v>
      </c>
      <c r="S59" s="110">
        <f>IFERROR(__xludf.DUMMYFUNCTION("""COMPUTED_VALUE"""),30.54)</f>
        <v>30.54</v>
      </c>
      <c r="T59" s="110">
        <f>IFERROR(__xludf.DUMMYFUNCTION("""COMPUTED_VALUE"""),27.59)</f>
        <v>27.59</v>
      </c>
      <c r="U59" s="110">
        <f>IFERROR(__xludf.DUMMYFUNCTION("""COMPUTED_VALUE"""),41.94)</f>
        <v>41.94</v>
      </c>
      <c r="V59" s="110">
        <f>IFERROR(__xludf.DUMMYFUNCTION("""COMPUTED_VALUE"""),13.76)</f>
        <v>13.76</v>
      </c>
      <c r="W59" s="110">
        <f>IFERROR(__xludf.DUMMYFUNCTION("""COMPUTED_VALUE"""),247.28)</f>
        <v>247.28</v>
      </c>
      <c r="X59" s="110">
        <f>IFERROR(__xludf.DUMMYFUNCTION("""COMPUTED_VALUE"""),2792.99)</f>
        <v>2792.99</v>
      </c>
      <c r="Y59" s="110">
        <f>IFERROR(__xludf.DUMMYFUNCTION("""COMPUTED_VALUE"""),55.65)</f>
        <v>55.65</v>
      </c>
      <c r="Z59" s="110">
        <f>IFERROR(__xludf.DUMMYFUNCTION("""COMPUTED_VALUE"""),65.05)</f>
        <v>65.05</v>
      </c>
      <c r="AA59" s="110">
        <f>IFERROR(__xludf.DUMMYFUNCTION("""COMPUTED_VALUE"""),119.7)</f>
        <v>119.7</v>
      </c>
      <c r="AB59" s="110">
        <f>IFERROR(__xludf.DUMMYFUNCTION("""COMPUTED_VALUE"""),4.81)</f>
        <v>4.81</v>
      </c>
      <c r="AC59" s="110">
        <f>IFERROR(__xludf.DUMMYFUNCTION("""COMPUTED_VALUE"""),76.44)</f>
        <v>76.44</v>
      </c>
      <c r="AD59" s="110">
        <f>IFERROR(__xludf.DUMMYFUNCTION("""COMPUTED_VALUE"""),12.35)</f>
        <v>12.35</v>
      </c>
      <c r="AE59" s="110">
        <f>IFERROR(__xludf.DUMMYFUNCTION("""COMPUTED_VALUE"""),6.44)</f>
        <v>6.44</v>
      </c>
      <c r="AF59" s="110">
        <f>IFERROR(__xludf.DUMMYFUNCTION("""COMPUTED_VALUE"""),39.95)</f>
        <v>39.95</v>
      </c>
      <c r="AG59" s="110">
        <f>IFERROR(__xludf.DUMMYFUNCTION("""COMPUTED_VALUE"""),12.56)</f>
        <v>12.56</v>
      </c>
      <c r="AH59" s="110">
        <f>IFERROR(__xludf.DUMMYFUNCTION("""COMPUTED_VALUE"""),2.14)</f>
        <v>2.14</v>
      </c>
      <c r="AI59" s="110">
        <f>IFERROR(__xludf.DUMMYFUNCTION("""COMPUTED_VALUE"""),3.49)</f>
        <v>3.49</v>
      </c>
      <c r="AJ59" s="110">
        <f>IFERROR(__xludf.DUMMYFUNCTION("""COMPUTED_VALUE"""),98.4)</f>
        <v>98.4</v>
      </c>
      <c r="AK59" s="110">
        <f>IFERROR(__xludf.DUMMYFUNCTION("""COMPUTED_VALUE"""),272.86)</f>
        <v>272.86</v>
      </c>
      <c r="AL59" s="110">
        <f>IFERROR(__xludf.DUMMYFUNCTION("""COMPUTED_VALUE"""),13.94)</f>
        <v>13.94</v>
      </c>
      <c r="AM59" s="110">
        <f>IFERROR(__xludf.DUMMYFUNCTION("""COMPUTED_VALUE"""),41.22)</f>
        <v>41.22</v>
      </c>
      <c r="AN59" s="110">
        <f>IFERROR(__xludf.DUMMYFUNCTION("""COMPUTED_VALUE"""),352.91)</f>
        <v>352.91</v>
      </c>
      <c r="AO59" s="110">
        <f>IFERROR(__xludf.DUMMYFUNCTION("""COMPUTED_VALUE"""),102.71)</f>
        <v>102.71</v>
      </c>
      <c r="AP59" s="110">
        <f>IFERROR(__xludf.DUMMYFUNCTION("""COMPUTED_VALUE"""),80.11)</f>
        <v>80.11</v>
      </c>
      <c r="AQ59" s="110">
        <f>IFERROR(__xludf.DUMMYFUNCTION("""COMPUTED_VALUE"""),46.42)</f>
        <v>46.42</v>
      </c>
      <c r="AR59" s="109">
        <f>IFERROR(__xludf.DUMMYFUNCTION("""COMPUTED_VALUE"""),103.35499999999999)</f>
        <v>103.355</v>
      </c>
      <c r="AS59" s="110">
        <f>IFERROR(__xludf.DUMMYFUNCTION("""COMPUTED_VALUE"""),13.46)</f>
        <v>13.46</v>
      </c>
      <c r="AT59" s="110">
        <f>IFERROR(__xludf.DUMMYFUNCTION("""COMPUTED_VALUE"""),112.1)</f>
        <v>112.1</v>
      </c>
      <c r="AU59" s="110">
        <f>IFERROR(__xludf.DUMMYFUNCTION("""COMPUTED_VALUE"""),62.91)</f>
        <v>62.91</v>
      </c>
      <c r="AV59" s="110">
        <f>IFERROR(__xludf.DUMMYFUNCTION("""COMPUTED_VALUE"""),137.16)</f>
        <v>137.16</v>
      </c>
      <c r="AW59" s="110">
        <f>IFERROR(__xludf.DUMMYFUNCTION("""COMPUTED_VALUE"""),131.8)</f>
        <v>131.8</v>
      </c>
      <c r="AX59" s="110">
        <f>IFERROR(__xludf.DUMMYFUNCTION("""COMPUTED_VALUE"""),18.8)</f>
        <v>18.8</v>
      </c>
      <c r="AY59" s="110">
        <f>IFERROR(__xludf.DUMMYFUNCTION("""COMPUTED_VALUE"""),46.24)</f>
        <v>46.24</v>
      </c>
      <c r="AZ59" s="110">
        <f>IFERROR(__xludf.DUMMYFUNCTION("""COMPUTED_VALUE"""),0.0)</f>
        <v>0</v>
      </c>
      <c r="BA59" s="110">
        <f>IFERROR(__xludf.DUMMYFUNCTION("""COMPUTED_VALUE"""),0.0)</f>
        <v>0</v>
      </c>
      <c r="BB59" s="110">
        <f>IFERROR(__xludf.DUMMYFUNCTION("""COMPUTED_VALUE"""),12.36)</f>
        <v>12.36</v>
      </c>
      <c r="BC59" s="110">
        <f>IFERROR(__xludf.DUMMYFUNCTION("""COMPUTED_VALUE"""),9.94)</f>
        <v>9.94</v>
      </c>
      <c r="BD59" s="110">
        <f>IFERROR(__xludf.DUMMYFUNCTION("""COMPUTED_VALUE"""),188.6)</f>
        <v>188.6</v>
      </c>
      <c r="BE59" s="110">
        <f>IFERROR(__xludf.DUMMYFUNCTION("""COMPUTED_VALUE"""),143.8)</f>
        <v>143.8</v>
      </c>
      <c r="BF59" s="110">
        <f>IFERROR(__xludf.DUMMYFUNCTION("""COMPUTED_VALUE"""),10.78)</f>
        <v>10.78</v>
      </c>
      <c r="BG59" s="110">
        <f>IFERROR(__xludf.DUMMYFUNCTION("""COMPUTED_VALUE"""),622.51)</f>
        <v>622.51</v>
      </c>
      <c r="BH59" s="110">
        <f>IFERROR(__xludf.DUMMYFUNCTION("""COMPUTED_VALUE"""),293.83)</f>
        <v>293.83</v>
      </c>
      <c r="BI59" s="110">
        <f>IFERROR(__xludf.DUMMYFUNCTION("""COMPUTED_VALUE"""),241.82)</f>
        <v>241.82</v>
      </c>
      <c r="BJ59" s="110">
        <f>IFERROR(__xludf.DUMMYFUNCTION("""COMPUTED_VALUE"""),25.4)</f>
        <v>25.4</v>
      </c>
      <c r="BK59" s="110">
        <f>IFERROR(__xludf.DUMMYFUNCTION("""COMPUTED_VALUE"""),333.27)</f>
        <v>333.27</v>
      </c>
      <c r="BL59" s="110">
        <f>IFERROR(__xludf.DUMMYFUNCTION("""COMPUTED_VALUE"""),128.35)</f>
        <v>128.35</v>
      </c>
      <c r="BM59" s="110">
        <f>IFERROR(__xludf.DUMMYFUNCTION("""COMPUTED_VALUE"""),16.91)</f>
        <v>16.91</v>
      </c>
      <c r="BN59" s="110">
        <f>IFERROR(__xludf.DUMMYFUNCTION("""COMPUTED_VALUE"""),309.27)</f>
        <v>309.27</v>
      </c>
      <c r="BO59" s="110">
        <f>IFERROR(__xludf.DUMMYFUNCTION("""COMPUTED_VALUE"""),719.51)</f>
        <v>719.51</v>
      </c>
      <c r="BP59" s="110">
        <f>IFERROR(__xludf.DUMMYFUNCTION("""COMPUTED_VALUE"""),50.24)</f>
        <v>50.24</v>
      </c>
      <c r="BQ59" s="110">
        <f>IFERROR(__xludf.DUMMYFUNCTION("""COMPUTED_VALUE"""),9.45)</f>
        <v>9.45</v>
      </c>
      <c r="BR59" s="110">
        <f>IFERROR(__xludf.DUMMYFUNCTION("""COMPUTED_VALUE"""),38.78)</f>
        <v>38.78</v>
      </c>
      <c r="BS59" s="110">
        <f>IFERROR(__xludf.DUMMYFUNCTION("""COMPUTED_VALUE"""),0.97)</f>
        <v>0.97</v>
      </c>
      <c r="BT59" s="110">
        <f>IFERROR(__xludf.DUMMYFUNCTION("""COMPUTED_VALUE"""),46.57)</f>
        <v>46.57</v>
      </c>
      <c r="BU59" s="110">
        <f>IFERROR(__xludf.DUMMYFUNCTION("""COMPUTED_VALUE"""),36.5)</f>
        <v>36.5</v>
      </c>
      <c r="BV59" s="110">
        <f>IFERROR(__xludf.DUMMYFUNCTION("""COMPUTED_VALUE"""),54.15)</f>
        <v>54.15</v>
      </c>
      <c r="BW59" s="110">
        <f>IFERROR(__xludf.DUMMYFUNCTION("""COMPUTED_VALUE"""),7.72)</f>
        <v>7.72</v>
      </c>
      <c r="BX59" s="110">
        <f>IFERROR(__xludf.DUMMYFUNCTION("""COMPUTED_VALUE"""),4.62)</f>
        <v>4.62</v>
      </c>
      <c r="BY59" s="110">
        <f>IFERROR(__xludf.DUMMYFUNCTION("""COMPUTED_VALUE"""),0.0)</f>
        <v>0</v>
      </c>
      <c r="BZ59" s="110">
        <f>IFERROR(__xludf.DUMMYFUNCTION("""COMPUTED_VALUE"""),16.18)</f>
        <v>16.18</v>
      </c>
      <c r="CA59" s="110">
        <f>IFERROR(__xludf.DUMMYFUNCTION("""COMPUTED_VALUE"""),3.59)</f>
        <v>3.59</v>
      </c>
      <c r="CB59" s="110">
        <f>IFERROR(__xludf.DUMMYFUNCTION("""COMPUTED_VALUE"""),5.21)</f>
        <v>5.21</v>
      </c>
      <c r="CC59" s="110">
        <f>IFERROR(__xludf.DUMMYFUNCTION("""COMPUTED_VALUE"""),17.14)</f>
        <v>17.14</v>
      </c>
      <c r="CD59" s="110">
        <f>IFERROR(__xludf.DUMMYFUNCTION("""COMPUTED_VALUE"""),13.64)</f>
        <v>13.64</v>
      </c>
      <c r="CE59" s="110">
        <f>IFERROR(__xludf.DUMMYFUNCTION("""COMPUTED_VALUE"""),28.0)</f>
        <v>28</v>
      </c>
      <c r="CF59" s="110">
        <f>IFERROR(__xludf.DUMMYFUNCTION("""COMPUTED_VALUE"""),100.69)</f>
        <v>100.69</v>
      </c>
      <c r="CG59" s="110">
        <f>IFERROR(__xludf.DUMMYFUNCTION("""COMPUTED_VALUE"""),4.53)</f>
        <v>4.53</v>
      </c>
      <c r="CH59" s="110">
        <f>IFERROR(__xludf.DUMMYFUNCTION("""COMPUTED_VALUE"""),24.53)</f>
        <v>24.53</v>
      </c>
      <c r="CI59" s="110">
        <f>IFERROR(__xludf.DUMMYFUNCTION("""COMPUTED_VALUE"""),46.26)</f>
        <v>46.26</v>
      </c>
      <c r="CJ59" s="110">
        <f>IFERROR(__xludf.DUMMYFUNCTION("""COMPUTED_VALUE"""),0.0)</f>
        <v>0</v>
      </c>
      <c r="CK59" s="110">
        <f>IFERROR(__xludf.DUMMYFUNCTION("""COMPUTED_VALUE"""),12.72)</f>
        <v>12.72</v>
      </c>
      <c r="CL59" s="110">
        <f>IFERROR(__xludf.DUMMYFUNCTION("""COMPUTED_VALUE"""),2781.35)</f>
        <v>2781.35</v>
      </c>
      <c r="CM59" s="110">
        <f>IFERROR(__xludf.DUMMYFUNCTION("""COMPUTED_VALUE"""),0.0)</f>
        <v>0</v>
      </c>
      <c r="CN59" s="110">
        <f>IFERROR(__xludf.DUMMYFUNCTION("""COMPUTED_VALUE"""),216.4)</f>
        <v>216.4</v>
      </c>
      <c r="CO59" s="110">
        <f>IFERROR(__xludf.DUMMYFUNCTION("""COMPUTED_VALUE"""),141.5)</f>
        <v>141.5</v>
      </c>
      <c r="CP59" s="110">
        <f>IFERROR(__xludf.DUMMYFUNCTION("""COMPUTED_VALUE"""),66.29)</f>
        <v>66.29</v>
      </c>
      <c r="CQ59" s="110">
        <f>IFERROR(__xludf.DUMMYFUNCTION("""COMPUTED_VALUE"""),69600.0)</f>
        <v>69600</v>
      </c>
      <c r="CR59" s="110">
        <f>IFERROR(__xludf.DUMMYFUNCTION("""COMPUTED_VALUE"""),0.52)</f>
        <v>0.52</v>
      </c>
      <c r="CS59" s="110">
        <f>IFERROR(__xludf.DUMMYFUNCTION("""COMPUTED_VALUE"""),31.7)</f>
        <v>31.7</v>
      </c>
      <c r="CT59" s="110">
        <f>IFERROR(__xludf.DUMMYFUNCTION("""COMPUTED_VALUE"""),22.28)</f>
        <v>22.28</v>
      </c>
      <c r="CU59" s="110">
        <f>IFERROR(__xludf.DUMMYFUNCTION("""COMPUTED_VALUE"""),1940.3)</f>
        <v>1940.3</v>
      </c>
      <c r="CV59" s="110">
        <f>IFERROR(__xludf.DUMMYFUNCTION("""COMPUTED_VALUE"""),2.69)</f>
        <v>2.69</v>
      </c>
      <c r="CW59" s="110">
        <f>IFERROR(__xludf.DUMMYFUNCTION("""COMPUTED_VALUE"""),3.16)</f>
        <v>3.16</v>
      </c>
      <c r="CX59" s="110">
        <f>IFERROR(__xludf.DUMMYFUNCTION("""COMPUTED_VALUE"""),0.0)</f>
        <v>0</v>
      </c>
      <c r="CY59" s="110">
        <f>IFERROR(__xludf.DUMMYFUNCTION("""COMPUTED_VALUE"""),0.02)</f>
        <v>0.02</v>
      </c>
      <c r="CZ59" s="110">
        <f>IFERROR(__xludf.DUMMYFUNCTION("""COMPUTED_VALUE"""),74.2)</f>
        <v>74.2</v>
      </c>
      <c r="DA59" s="110">
        <f>IFERROR(__xludf.DUMMYFUNCTION("""COMPUTED_VALUE"""),0.02)</f>
        <v>0.02</v>
      </c>
      <c r="DB59" s="110">
        <f>IFERROR(__xludf.DUMMYFUNCTION("""COMPUTED_VALUE"""),0.09)</f>
        <v>0.09</v>
      </c>
      <c r="DC59" s="110">
        <f>IFERROR(__xludf.DUMMYFUNCTION("""COMPUTED_VALUE"""),158.93)</f>
        <v>158.93</v>
      </c>
      <c r="DD59" s="110">
        <f>IFERROR(__xludf.DUMMYFUNCTION("""COMPUTED_VALUE"""),10.17)</f>
        <v>10.17</v>
      </c>
      <c r="DE59" s="110">
        <f>IFERROR(__xludf.DUMMYFUNCTION("""COMPUTED_VALUE"""),7.24)</f>
        <v>7.24</v>
      </c>
      <c r="DF59" s="110">
        <f>IFERROR(__xludf.DUMMYFUNCTION("""COMPUTED_VALUE"""),57.55)</f>
        <v>57.55</v>
      </c>
      <c r="DG59" s="110">
        <f>IFERROR(__xludf.DUMMYFUNCTION("""COMPUTED_VALUE"""),5.99)</f>
        <v>5.99</v>
      </c>
      <c r="DH59" s="110">
        <f>IFERROR(__xludf.DUMMYFUNCTION("""COMPUTED_VALUE"""),9.55)</f>
        <v>9.55</v>
      </c>
      <c r="DI59" s="110">
        <f>IFERROR(__xludf.DUMMYFUNCTION("""COMPUTED_VALUE"""),148.92)</f>
        <v>148.92</v>
      </c>
      <c r="DJ59" s="110">
        <f>IFERROR(__xludf.DUMMYFUNCTION("""COMPUTED_VALUE"""),12.9)</f>
        <v>12.9</v>
      </c>
      <c r="DK59" s="110">
        <f>IFERROR(__xludf.DUMMYFUNCTION("""COMPUTED_VALUE"""),0.0)</f>
        <v>0</v>
      </c>
      <c r="DL59" s="110">
        <f>IFERROR(__xludf.DUMMYFUNCTION("""COMPUTED_VALUE"""),24.8)</f>
        <v>24.8</v>
      </c>
      <c r="DM59" s="110">
        <f>IFERROR(__xludf.DUMMYFUNCTION("""COMPUTED_VALUE"""),441.4)</f>
        <v>441.4</v>
      </c>
      <c r="DN59" s="110">
        <f>IFERROR(__xludf.DUMMYFUNCTION("""COMPUTED_VALUE"""),171.76)</f>
        <v>171.76</v>
      </c>
      <c r="DO59" s="110">
        <f>IFERROR(__xludf.DUMMYFUNCTION("""COMPUTED_VALUE"""),371.4)</f>
        <v>371.4</v>
      </c>
      <c r="DP59" s="110">
        <f>IFERROR(__xludf.DUMMYFUNCTION("""COMPUTED_VALUE"""),1.64)</f>
        <v>1.64</v>
      </c>
      <c r="DQ59" s="110">
        <f>IFERROR(__xludf.DUMMYFUNCTION("""COMPUTED_VALUE"""),108.8)</f>
        <v>108.8</v>
      </c>
      <c r="DR59" s="110">
        <f>IFERROR(__xludf.DUMMYFUNCTION("""COMPUTED_VALUE"""),0.05)</f>
        <v>0.05</v>
      </c>
      <c r="DS59" s="110">
        <f>IFERROR(__xludf.DUMMYFUNCTION("""COMPUTED_VALUE"""),3.2)</f>
        <v>3.2</v>
      </c>
      <c r="DT59" s="110">
        <f>IFERROR(__xludf.DUMMYFUNCTION("""COMPUTED_VALUE"""),5.89)</f>
        <v>5.89</v>
      </c>
      <c r="DU59" s="110">
        <f>IFERROR(__xludf.DUMMYFUNCTION("""COMPUTED_VALUE"""),51.77)</f>
        <v>51.77</v>
      </c>
      <c r="DV59" s="110">
        <f>IFERROR(__xludf.DUMMYFUNCTION("""COMPUTED_VALUE"""),15.36)</f>
        <v>15.36</v>
      </c>
      <c r="DW59" s="110">
        <f>IFERROR(__xludf.DUMMYFUNCTION("""COMPUTED_VALUE"""),0.066)</f>
        <v>0.066</v>
      </c>
      <c r="DX59" s="110">
        <f>IFERROR(__xludf.DUMMYFUNCTION("""COMPUTED_VALUE"""),28.56)</f>
        <v>28.56</v>
      </c>
      <c r="DY59" s="110">
        <f>IFERROR(__xludf.DUMMYFUNCTION("""COMPUTED_VALUE"""),0.0)</f>
        <v>0</v>
      </c>
      <c r="DZ59" s="110">
        <f>IFERROR(__xludf.DUMMYFUNCTION("""COMPUTED_VALUE"""),73.65)</f>
        <v>73.65</v>
      </c>
      <c r="EA59" s="110">
        <f>IFERROR(__xludf.DUMMYFUNCTION("""COMPUTED_VALUE"""),48.32)</f>
        <v>48.32</v>
      </c>
      <c r="EB59" s="110">
        <f>IFERROR(__xludf.DUMMYFUNCTION("""COMPUTED_VALUE"""),74.46)</f>
        <v>74.46</v>
      </c>
      <c r="EC59" s="110">
        <f>IFERROR(__xludf.DUMMYFUNCTION("""COMPUTED_VALUE"""),75.89)</f>
        <v>75.89</v>
      </c>
      <c r="ED59" s="110">
        <f>IFERROR(__xludf.DUMMYFUNCTION("""COMPUTED_VALUE"""),38.32)</f>
        <v>38.32</v>
      </c>
      <c r="EE59" s="110">
        <f>IFERROR(__xludf.DUMMYFUNCTION("""COMPUTED_VALUE"""),88.15)</f>
        <v>88.15</v>
      </c>
      <c r="EF59" s="110">
        <f>IFERROR(__xludf.DUMMYFUNCTION("""COMPUTED_VALUE"""),185.0)</f>
        <v>185</v>
      </c>
      <c r="EG59" s="110">
        <f>IFERROR(__xludf.DUMMYFUNCTION("""COMPUTED_VALUE"""),68.78)</f>
        <v>68.78</v>
      </c>
      <c r="EH59" s="110">
        <f>IFERROR(__xludf.DUMMYFUNCTION("""COMPUTED_VALUE"""),102.98)</f>
        <v>102.98</v>
      </c>
      <c r="EI59" s="110">
        <f>IFERROR(__xludf.DUMMYFUNCTION("""COMPUTED_VALUE"""),136.99)</f>
        <v>136.99</v>
      </c>
      <c r="EJ59" s="110">
        <f>IFERROR(__xludf.DUMMYFUNCTION("""COMPUTED_VALUE"""),40.0)</f>
        <v>40</v>
      </c>
      <c r="EK59" s="110">
        <f>IFERROR(__xludf.DUMMYFUNCTION("""COMPUTED_VALUE"""),278.0)</f>
        <v>278</v>
      </c>
      <c r="EL59" s="110">
        <f>IFERROR(__xludf.DUMMYFUNCTION("""COMPUTED_VALUE"""),75.02)</f>
        <v>75.02</v>
      </c>
      <c r="EM59" s="110">
        <f>IFERROR(__xludf.DUMMYFUNCTION("""COMPUTED_VALUE"""),40.4)</f>
        <v>40.4</v>
      </c>
      <c r="EN59" s="110">
        <f>IFERROR(__xludf.DUMMYFUNCTION("""COMPUTED_VALUE"""),1719.0)</f>
        <v>1719</v>
      </c>
      <c r="EO59" s="110">
        <f>IFERROR(__xludf.DUMMYFUNCTION("""COMPUTED_VALUE"""),9.16)</f>
        <v>9.16</v>
      </c>
      <c r="EP59" s="110">
        <f>IFERROR(__xludf.DUMMYFUNCTION("""COMPUTED_VALUE"""),0.0)</f>
        <v>0</v>
      </c>
      <c r="EQ59" s="110">
        <f>IFERROR(__xludf.DUMMYFUNCTION("""COMPUTED_VALUE"""),1.8)</f>
        <v>1.8</v>
      </c>
      <c r="ER59" s="110">
        <f>IFERROR(__xludf.DUMMYFUNCTION("""COMPUTED_VALUE"""),4541.75)</f>
        <v>4541.75</v>
      </c>
      <c r="ES59" s="110">
        <f>IFERROR(__xludf.DUMMYFUNCTION("""COMPUTED_VALUE"""),99.77)</f>
        <v>99.77</v>
      </c>
      <c r="ET59" s="110">
        <f>IFERROR(__xludf.DUMMYFUNCTION("""COMPUTED_VALUE"""),107.75)</f>
        <v>107.75</v>
      </c>
      <c r="EU59" s="110">
        <f>IFERROR(__xludf.DUMMYFUNCTION("""COMPUTED_VALUE"""),30.55)</f>
        <v>30.55</v>
      </c>
      <c r="EV59" s="110">
        <f>IFERROR(__xludf.DUMMYFUNCTION("""COMPUTED_VALUE"""),1.4)</f>
        <v>1.4</v>
      </c>
      <c r="EW59" s="110">
        <f>IFERROR(__xludf.DUMMYFUNCTION("""COMPUTED_VALUE"""),13.82)</f>
        <v>13.82</v>
      </c>
      <c r="EX59" s="108">
        <f>IFERROR(__xludf.DUMMYFUNCTION("""COMPUTED_VALUE"""),4.87)</f>
        <v>4.87</v>
      </c>
      <c r="EY59" s="108">
        <f>IFERROR(__xludf.DUMMYFUNCTION("""COMPUTED_VALUE"""),170.56)</f>
        <v>170.56</v>
      </c>
      <c r="EZ59" s="108">
        <f>IFERROR(__xludf.DUMMYFUNCTION("""COMPUTED_VALUE"""),24.92)</f>
        <v>24.92</v>
      </c>
      <c r="FA59" s="108">
        <f>IFERROR(__xludf.DUMMYFUNCTION("""COMPUTED_VALUE"""),3.15)</f>
        <v>3.15</v>
      </c>
      <c r="FB59" s="108">
        <f>IFERROR(__xludf.DUMMYFUNCTION("""COMPUTED_VALUE"""),136.32)</f>
        <v>136.32</v>
      </c>
      <c r="FC59" s="108">
        <f>IFERROR(__xludf.DUMMYFUNCTION("""COMPUTED_VALUE"""),9.09)</f>
        <v>9.09</v>
      </c>
      <c r="FD59" s="108">
        <f>IFERROR(__xludf.DUMMYFUNCTION("""COMPUTED_VALUE"""),59.13)</f>
        <v>59.13</v>
      </c>
      <c r="FE59" s="108">
        <f>IFERROR(__xludf.DUMMYFUNCTION("""COMPUTED_VALUE"""),56.74)</f>
        <v>56.74</v>
      </c>
      <c r="FF59" s="108">
        <f>IFERROR(__xludf.DUMMYFUNCTION("""COMPUTED_VALUE"""),5.76)</f>
        <v>5.76</v>
      </c>
      <c r="FG59" s="108">
        <f>IFERROR(__xludf.DUMMYFUNCTION("""COMPUTED_VALUE"""),667.93)</f>
        <v>667.93</v>
      </c>
      <c r="FH59" s="108">
        <f>IFERROR(__xludf.DUMMYFUNCTION("""COMPUTED_VALUE"""),162.11)</f>
        <v>162.11</v>
      </c>
      <c r="FI59" s="108">
        <f>IFERROR(__xludf.DUMMYFUNCTION("""COMPUTED_VALUE"""),0.057)</f>
        <v>0.057</v>
      </c>
      <c r="FJ59" s="108">
        <f>IFERROR(__xludf.DUMMYFUNCTION("""COMPUTED_VALUE"""),15.1)</f>
        <v>15.1</v>
      </c>
      <c r="FK59" s="108">
        <f>IFERROR(__xludf.DUMMYFUNCTION("""COMPUTED_VALUE"""),185.88)</f>
        <v>185.88</v>
      </c>
      <c r="FL59" s="108">
        <f>IFERROR(__xludf.DUMMYFUNCTION("""COMPUTED_VALUE"""),491.22)</f>
        <v>491.22</v>
      </c>
      <c r="FM59" s="108">
        <f>IFERROR(__xludf.DUMMYFUNCTION("""COMPUTED_VALUE"""),134.56)</f>
        <v>134.56</v>
      </c>
      <c r="FN59" s="108">
        <f>IFERROR(__xludf.DUMMYFUNCTION("""COMPUTED_VALUE"""),1063.97)</f>
        <v>1063.97</v>
      </c>
      <c r="FO59" s="108">
        <f>IFERROR(__xludf.DUMMYFUNCTION("""COMPUTED_VALUE"""),675.96)</f>
        <v>675.96</v>
      </c>
    </row>
    <row r="60">
      <c r="A60" s="106">
        <f>IFERROR(__xludf.DUMMYFUNCTION("""COMPUTED_VALUE"""),44652.0)</f>
        <v>44652</v>
      </c>
      <c r="B60" s="110">
        <f>IFERROR(__xludf.DUMMYFUNCTION("""COMPUTED_VALUE"""),3271.2)</f>
        <v>3271.2</v>
      </c>
      <c r="C60" s="110">
        <f>IFERROR(__xludf.DUMMYFUNCTION("""COMPUTED_VALUE"""),224.85)</f>
        <v>224.85</v>
      </c>
      <c r="D60" s="110">
        <f>IFERROR(__xludf.DUMMYFUNCTION("""COMPUTED_VALUE"""),1084.59)</f>
        <v>1084.59</v>
      </c>
      <c r="E60" s="110">
        <f>IFERROR(__xludf.DUMMYFUNCTION("""COMPUTED_VALUE"""),378.8)</f>
        <v>378.8</v>
      </c>
      <c r="F60" s="110">
        <f>IFERROR(__xludf.DUMMYFUNCTION("""COMPUTED_VALUE"""),10.94)</f>
        <v>10.94</v>
      </c>
      <c r="G60" s="110">
        <f>IFERROR(__xludf.DUMMYFUNCTION("""COMPUTED_VALUE"""),174.31)</f>
        <v>174.31</v>
      </c>
      <c r="H60" s="110">
        <f>IFERROR(__xludf.DUMMYFUNCTION("""COMPUTED_VALUE"""),0.0)</f>
        <v>0</v>
      </c>
      <c r="I60" s="110">
        <f>IFERROR(__xludf.DUMMYFUNCTION("""COMPUTED_VALUE"""),0.0)</f>
        <v>0</v>
      </c>
      <c r="J60" s="110">
        <f>IFERROR(__xludf.DUMMYFUNCTION("""COMPUTED_VALUE"""),0.0)</f>
        <v>0</v>
      </c>
      <c r="K60" s="110">
        <f>IFERROR(__xludf.DUMMYFUNCTION("""COMPUTED_VALUE"""),39.35)</f>
        <v>39.35</v>
      </c>
      <c r="L60" s="110">
        <f>IFERROR(__xludf.DUMMYFUNCTION("""COMPUTED_VALUE"""),155.5)</f>
        <v>155.5</v>
      </c>
      <c r="M60" s="110">
        <f>IFERROR(__xludf.DUMMYFUNCTION("""COMPUTED_VALUE"""),46337.48)</f>
        <v>46337.48</v>
      </c>
      <c r="N60" s="110">
        <f>IFERROR(__xludf.DUMMYFUNCTION("""COMPUTED_VALUE"""),373.47)</f>
        <v>373.47</v>
      </c>
      <c r="O60" s="110">
        <f>IFERROR(__xludf.DUMMYFUNCTION("""COMPUTED_VALUE"""),309.42)</f>
        <v>309.42</v>
      </c>
      <c r="P60" s="110">
        <f>IFERROR(__xludf.DUMMYFUNCTION("""COMPUTED_VALUE"""),27.95)</f>
        <v>27.95</v>
      </c>
      <c r="Q60" s="110">
        <f>IFERROR(__xludf.DUMMYFUNCTION("""COMPUTED_VALUE"""),24.52)</f>
        <v>24.52</v>
      </c>
      <c r="R60" s="110">
        <f>IFERROR(__xludf.DUMMYFUNCTION("""COMPUTED_VALUE"""),59.09)</f>
        <v>59.09</v>
      </c>
      <c r="S60" s="110">
        <f>IFERROR(__xludf.DUMMYFUNCTION("""COMPUTED_VALUE"""),32.05)</f>
        <v>32.05</v>
      </c>
      <c r="T60" s="110">
        <f>IFERROR(__xludf.DUMMYFUNCTION("""COMPUTED_VALUE"""),29.19)</f>
        <v>29.19</v>
      </c>
      <c r="U60" s="110">
        <f>IFERROR(__xludf.DUMMYFUNCTION("""COMPUTED_VALUE"""),41.87)</f>
        <v>41.87</v>
      </c>
      <c r="V60" s="110">
        <f>IFERROR(__xludf.DUMMYFUNCTION("""COMPUTED_VALUE"""),14.02)</f>
        <v>14.02</v>
      </c>
      <c r="W60" s="110">
        <f>IFERROR(__xludf.DUMMYFUNCTION("""COMPUTED_VALUE"""),249.25)</f>
        <v>249.25</v>
      </c>
      <c r="X60" s="110">
        <f>IFERROR(__xludf.DUMMYFUNCTION("""COMPUTED_VALUE"""),2814.0)</f>
        <v>2814</v>
      </c>
      <c r="Y60" s="110">
        <f>IFERROR(__xludf.DUMMYFUNCTION("""COMPUTED_VALUE"""),56.5)</f>
        <v>56.5</v>
      </c>
      <c r="Z60" s="110">
        <f>IFERROR(__xludf.DUMMYFUNCTION("""COMPUTED_VALUE"""),65.85)</f>
        <v>65.85</v>
      </c>
      <c r="AA60" s="110">
        <f>IFERROR(__xludf.DUMMYFUNCTION("""COMPUTED_VALUE"""),123.5)</f>
        <v>123.5</v>
      </c>
      <c r="AB60" s="110">
        <f>IFERROR(__xludf.DUMMYFUNCTION("""COMPUTED_VALUE"""),4.84)</f>
        <v>4.84</v>
      </c>
      <c r="AC60" s="110">
        <f>IFERROR(__xludf.DUMMYFUNCTION("""COMPUTED_VALUE"""),77.06)</f>
        <v>77.06</v>
      </c>
      <c r="AD60" s="110">
        <f>IFERROR(__xludf.DUMMYFUNCTION("""COMPUTED_VALUE"""),12.2)</f>
        <v>12.2</v>
      </c>
      <c r="AE60" s="110">
        <f>IFERROR(__xludf.DUMMYFUNCTION("""COMPUTED_VALUE"""),6.91)</f>
        <v>6.91</v>
      </c>
      <c r="AF60" s="110">
        <f>IFERROR(__xludf.DUMMYFUNCTION("""COMPUTED_VALUE"""),40.28)</f>
        <v>40.28</v>
      </c>
      <c r="AG60" s="110">
        <f>IFERROR(__xludf.DUMMYFUNCTION("""COMPUTED_VALUE"""),12.54)</f>
        <v>12.54</v>
      </c>
      <c r="AH60" s="110">
        <f>IFERROR(__xludf.DUMMYFUNCTION("""COMPUTED_VALUE"""),2.14)</f>
        <v>2.14</v>
      </c>
      <c r="AI60" s="110">
        <f>IFERROR(__xludf.DUMMYFUNCTION("""COMPUTED_VALUE"""),3.59)</f>
        <v>3.59</v>
      </c>
      <c r="AJ60" s="110">
        <f>IFERROR(__xludf.DUMMYFUNCTION("""COMPUTED_VALUE"""),97.3)</f>
        <v>97.3</v>
      </c>
      <c r="AK60" s="110">
        <f>IFERROR(__xludf.DUMMYFUNCTION("""COMPUTED_VALUE"""),267.12)</f>
        <v>267.12</v>
      </c>
      <c r="AL60" s="110">
        <f>IFERROR(__xludf.DUMMYFUNCTION("""COMPUTED_VALUE"""),13.78)</f>
        <v>13.78</v>
      </c>
      <c r="AM60" s="110">
        <f>IFERROR(__xludf.DUMMYFUNCTION("""COMPUTED_VALUE"""),40.9)</f>
        <v>40.9</v>
      </c>
      <c r="AN60" s="110">
        <f>IFERROR(__xludf.DUMMYFUNCTION("""COMPUTED_VALUE"""),351.88)</f>
        <v>351.88</v>
      </c>
      <c r="AO60" s="110">
        <f>IFERROR(__xludf.DUMMYFUNCTION("""COMPUTED_VALUE"""),102.92)</f>
        <v>102.92</v>
      </c>
      <c r="AP60" s="110">
        <f>IFERROR(__xludf.DUMMYFUNCTION("""COMPUTED_VALUE"""),80.82)</f>
        <v>80.82</v>
      </c>
      <c r="AQ60" s="110">
        <f>IFERROR(__xludf.DUMMYFUNCTION("""COMPUTED_VALUE"""),49.14)</f>
        <v>49.14</v>
      </c>
      <c r="AR60" s="109">
        <f>IFERROR(__xludf.DUMMYFUNCTION("""COMPUTED_VALUE"""),103.00200000000001)</f>
        <v>103.002</v>
      </c>
      <c r="AS60" s="110">
        <f>IFERROR(__xludf.DUMMYFUNCTION("""COMPUTED_VALUE"""),12.75)</f>
        <v>12.75</v>
      </c>
      <c r="AT60" s="110">
        <f>IFERROR(__xludf.DUMMYFUNCTION("""COMPUTED_VALUE"""),109.7)</f>
        <v>109.7</v>
      </c>
      <c r="AU60" s="110">
        <f>IFERROR(__xludf.DUMMYFUNCTION("""COMPUTED_VALUE"""),64.84)</f>
        <v>64.84</v>
      </c>
      <c r="AV60" s="110">
        <f>IFERROR(__xludf.DUMMYFUNCTION("""COMPUTED_VALUE"""),137.0)</f>
        <v>137</v>
      </c>
      <c r="AW60" s="110">
        <f>IFERROR(__xludf.DUMMYFUNCTION("""COMPUTED_VALUE"""),127.41)</f>
        <v>127.41</v>
      </c>
      <c r="AX60" s="110">
        <f>IFERROR(__xludf.DUMMYFUNCTION("""COMPUTED_VALUE"""),19.06)</f>
        <v>19.06</v>
      </c>
      <c r="AY60" s="110">
        <f>IFERROR(__xludf.DUMMYFUNCTION("""COMPUTED_VALUE"""),46.02)</f>
        <v>46.02</v>
      </c>
      <c r="AZ60" s="110">
        <f>IFERROR(__xludf.DUMMYFUNCTION("""COMPUTED_VALUE"""),0.0)</f>
        <v>0</v>
      </c>
      <c r="BA60" s="110">
        <f>IFERROR(__xludf.DUMMYFUNCTION("""COMPUTED_VALUE"""),0.0)</f>
        <v>0</v>
      </c>
      <c r="BB60" s="110">
        <f>IFERROR(__xludf.DUMMYFUNCTION("""COMPUTED_VALUE"""),12.38)</f>
        <v>12.38</v>
      </c>
      <c r="BC60" s="110">
        <f>IFERROR(__xludf.DUMMYFUNCTION("""COMPUTED_VALUE"""),8.34)</f>
        <v>8.34</v>
      </c>
      <c r="BD60" s="110">
        <f>IFERROR(__xludf.DUMMYFUNCTION("""COMPUTED_VALUE"""),186.7)</f>
        <v>186.7</v>
      </c>
      <c r="BE60" s="110">
        <f>IFERROR(__xludf.DUMMYFUNCTION("""COMPUTED_VALUE"""),146.6)</f>
        <v>146.6</v>
      </c>
      <c r="BF60" s="110">
        <f>IFERROR(__xludf.DUMMYFUNCTION("""COMPUTED_VALUE"""),10.8)</f>
        <v>10.8</v>
      </c>
      <c r="BG60" s="110">
        <f>IFERROR(__xludf.DUMMYFUNCTION("""COMPUTED_VALUE"""),611.11)</f>
        <v>611.11</v>
      </c>
      <c r="BH60" s="110">
        <f>IFERROR(__xludf.DUMMYFUNCTION("""COMPUTED_VALUE"""),305.75)</f>
        <v>305.75</v>
      </c>
      <c r="BI60" s="110">
        <f>IFERROR(__xludf.DUMMYFUNCTION("""COMPUTED_VALUE"""),243.12)</f>
        <v>243.12</v>
      </c>
      <c r="BJ60" s="110">
        <f>IFERROR(__xludf.DUMMYFUNCTION("""COMPUTED_VALUE"""),24.55)</f>
        <v>24.55</v>
      </c>
      <c r="BK60" s="110">
        <f>IFERROR(__xludf.DUMMYFUNCTION("""COMPUTED_VALUE"""),334.98)</f>
        <v>334.98</v>
      </c>
      <c r="BL60" s="110">
        <f>IFERROR(__xludf.DUMMYFUNCTION("""COMPUTED_VALUE"""),130.76)</f>
        <v>130.76</v>
      </c>
      <c r="BM60" s="110">
        <f>IFERROR(__xludf.DUMMYFUNCTION("""COMPUTED_VALUE"""),16.65)</f>
        <v>16.65</v>
      </c>
      <c r="BN60" s="110">
        <f>IFERROR(__xludf.DUMMYFUNCTION("""COMPUTED_VALUE"""),310.31)</f>
        <v>310.31</v>
      </c>
      <c r="BO60" s="110">
        <f>IFERROR(__xludf.DUMMYFUNCTION("""COMPUTED_VALUE"""),725.21)</f>
        <v>725.21</v>
      </c>
      <c r="BP60" s="110">
        <f>IFERROR(__xludf.DUMMYFUNCTION("""COMPUTED_VALUE"""),46.44)</f>
        <v>46.44</v>
      </c>
      <c r="BQ60" s="110">
        <f>IFERROR(__xludf.DUMMYFUNCTION("""COMPUTED_VALUE"""),9.33)</f>
        <v>9.33</v>
      </c>
      <c r="BR60" s="110">
        <f>IFERROR(__xludf.DUMMYFUNCTION("""COMPUTED_VALUE"""),36.29)</f>
        <v>36.29</v>
      </c>
      <c r="BS60" s="110">
        <f>IFERROR(__xludf.DUMMYFUNCTION("""COMPUTED_VALUE"""),0.96)</f>
        <v>0.96</v>
      </c>
      <c r="BT60" s="110">
        <f>IFERROR(__xludf.DUMMYFUNCTION("""COMPUTED_VALUE"""),46.38)</f>
        <v>46.38</v>
      </c>
      <c r="BU60" s="110">
        <f>IFERROR(__xludf.DUMMYFUNCTION("""COMPUTED_VALUE"""),37.3)</f>
        <v>37.3</v>
      </c>
      <c r="BV60" s="110">
        <f>IFERROR(__xludf.DUMMYFUNCTION("""COMPUTED_VALUE"""),54.5)</f>
        <v>54.5</v>
      </c>
      <c r="BW60" s="110">
        <f>IFERROR(__xludf.DUMMYFUNCTION("""COMPUTED_VALUE"""),8.06)</f>
        <v>8.06</v>
      </c>
      <c r="BX60" s="110">
        <f>IFERROR(__xludf.DUMMYFUNCTION("""COMPUTED_VALUE"""),5.12)</f>
        <v>5.12</v>
      </c>
      <c r="BY60" s="110">
        <f>IFERROR(__xludf.DUMMYFUNCTION("""COMPUTED_VALUE"""),0.0)</f>
        <v>0</v>
      </c>
      <c r="BZ60" s="110">
        <f>IFERROR(__xludf.DUMMYFUNCTION("""COMPUTED_VALUE"""),16.66)</f>
        <v>16.66</v>
      </c>
      <c r="CA60" s="110">
        <f>IFERROR(__xludf.DUMMYFUNCTION("""COMPUTED_VALUE"""),3.62)</f>
        <v>3.62</v>
      </c>
      <c r="CB60" s="110">
        <f>IFERROR(__xludf.DUMMYFUNCTION("""COMPUTED_VALUE"""),5.16)</f>
        <v>5.16</v>
      </c>
      <c r="CC60" s="110">
        <f>IFERROR(__xludf.DUMMYFUNCTION("""COMPUTED_VALUE"""),17.2)</f>
        <v>17.2</v>
      </c>
      <c r="CD60" s="110">
        <f>IFERROR(__xludf.DUMMYFUNCTION("""COMPUTED_VALUE"""),13.57)</f>
        <v>13.57</v>
      </c>
      <c r="CE60" s="110">
        <f>IFERROR(__xludf.DUMMYFUNCTION("""COMPUTED_VALUE"""),27.7)</f>
        <v>27.7</v>
      </c>
      <c r="CF60" s="110">
        <f>IFERROR(__xludf.DUMMYFUNCTION("""COMPUTED_VALUE"""),99.42)</f>
        <v>99.42</v>
      </c>
      <c r="CG60" s="110">
        <f>IFERROR(__xludf.DUMMYFUNCTION("""COMPUTED_VALUE"""),4.53)</f>
        <v>4.53</v>
      </c>
      <c r="CH60" s="110">
        <f>IFERROR(__xludf.DUMMYFUNCTION("""COMPUTED_VALUE"""),24.94)</f>
        <v>24.94</v>
      </c>
      <c r="CI60" s="110">
        <f>IFERROR(__xludf.DUMMYFUNCTION("""COMPUTED_VALUE"""),45.36)</f>
        <v>45.36</v>
      </c>
      <c r="CJ60" s="110">
        <f>IFERROR(__xludf.DUMMYFUNCTION("""COMPUTED_VALUE"""),0.0)</f>
        <v>0</v>
      </c>
      <c r="CK60" s="110">
        <f>IFERROR(__xludf.DUMMYFUNCTION("""COMPUTED_VALUE"""),12.83)</f>
        <v>12.83</v>
      </c>
      <c r="CL60" s="110">
        <f>IFERROR(__xludf.DUMMYFUNCTION("""COMPUTED_VALUE"""),2803.01)</f>
        <v>2803.01</v>
      </c>
      <c r="CM60" s="110">
        <f>IFERROR(__xludf.DUMMYFUNCTION("""COMPUTED_VALUE"""),0.0)</f>
        <v>0</v>
      </c>
      <c r="CN60" s="110">
        <f>IFERROR(__xludf.DUMMYFUNCTION("""COMPUTED_VALUE"""),213.0)</f>
        <v>213</v>
      </c>
      <c r="CO60" s="110">
        <f>IFERROR(__xludf.DUMMYFUNCTION("""COMPUTED_VALUE"""),135.2)</f>
        <v>135.2</v>
      </c>
      <c r="CP60" s="110">
        <f>IFERROR(__xludf.DUMMYFUNCTION("""COMPUTED_VALUE"""),67.54)</f>
        <v>67.54</v>
      </c>
      <c r="CQ60" s="110">
        <f>IFERROR(__xludf.DUMMYFUNCTION("""COMPUTED_VALUE"""),69100.0)</f>
        <v>69100</v>
      </c>
      <c r="CR60" s="110">
        <f>IFERROR(__xludf.DUMMYFUNCTION("""COMPUTED_VALUE"""),0.52)</f>
        <v>0.52</v>
      </c>
      <c r="CS60" s="110">
        <f>IFERROR(__xludf.DUMMYFUNCTION("""COMPUTED_VALUE"""),31.3)</f>
        <v>31.3</v>
      </c>
      <c r="CT60" s="110">
        <f>IFERROR(__xludf.DUMMYFUNCTION("""COMPUTED_VALUE"""),22.26)</f>
        <v>22.26</v>
      </c>
      <c r="CU60" s="110">
        <f>IFERROR(__xludf.DUMMYFUNCTION("""COMPUTED_VALUE"""),1923.5)</f>
        <v>1923.5</v>
      </c>
      <c r="CV60" s="110">
        <f>IFERROR(__xludf.DUMMYFUNCTION("""COMPUTED_VALUE"""),2.67)</f>
        <v>2.67</v>
      </c>
      <c r="CW60" s="110">
        <f>IFERROR(__xludf.DUMMYFUNCTION("""COMPUTED_VALUE"""),3.18)</f>
        <v>3.18</v>
      </c>
      <c r="CX60" s="110">
        <f>IFERROR(__xludf.DUMMYFUNCTION("""COMPUTED_VALUE"""),0.0)</f>
        <v>0</v>
      </c>
      <c r="CY60" s="110">
        <f>IFERROR(__xludf.DUMMYFUNCTION("""COMPUTED_VALUE"""),0.02)</f>
        <v>0.02</v>
      </c>
      <c r="CZ60" s="110">
        <f>IFERROR(__xludf.DUMMYFUNCTION("""COMPUTED_VALUE"""),73.1)</f>
        <v>73.1</v>
      </c>
      <c r="DA60" s="110">
        <f>IFERROR(__xludf.DUMMYFUNCTION("""COMPUTED_VALUE"""),0.02)</f>
        <v>0.02</v>
      </c>
      <c r="DB60" s="110">
        <f>IFERROR(__xludf.DUMMYFUNCTION("""COMPUTED_VALUE"""),0.1)</f>
        <v>0.1</v>
      </c>
      <c r="DC60" s="110">
        <f>IFERROR(__xludf.DUMMYFUNCTION("""COMPUTED_VALUE"""),158.46)</f>
        <v>158.46</v>
      </c>
      <c r="DD60" s="110">
        <f>IFERROR(__xludf.DUMMYFUNCTION("""COMPUTED_VALUE"""),9.7)</f>
        <v>9.7</v>
      </c>
      <c r="DE60" s="110">
        <f>IFERROR(__xludf.DUMMYFUNCTION("""COMPUTED_VALUE"""),7.3)</f>
        <v>7.3</v>
      </c>
      <c r="DF60" s="110">
        <f>IFERROR(__xludf.DUMMYFUNCTION("""COMPUTED_VALUE"""),57.95)</f>
        <v>57.95</v>
      </c>
      <c r="DG60" s="110">
        <f>IFERROR(__xludf.DUMMYFUNCTION("""COMPUTED_VALUE"""),5.79)</f>
        <v>5.79</v>
      </c>
      <c r="DH60" s="110">
        <f>IFERROR(__xludf.DUMMYFUNCTION("""COMPUTED_VALUE"""),9.51)</f>
        <v>9.51</v>
      </c>
      <c r="DI60" s="110">
        <f>IFERROR(__xludf.DUMMYFUNCTION("""COMPUTED_VALUE"""),151.01)</f>
        <v>151.01</v>
      </c>
      <c r="DJ60" s="110">
        <f>IFERROR(__xludf.DUMMYFUNCTION("""COMPUTED_VALUE"""),13.02)</f>
        <v>13.02</v>
      </c>
      <c r="DK60" s="110">
        <f>IFERROR(__xludf.DUMMYFUNCTION("""COMPUTED_VALUE"""),0.0)</f>
        <v>0</v>
      </c>
      <c r="DL60" s="110">
        <f>IFERROR(__xludf.DUMMYFUNCTION("""COMPUTED_VALUE"""),24.4)</f>
        <v>24.4</v>
      </c>
      <c r="DM60" s="110">
        <f>IFERROR(__xludf.DUMMYFUNCTION("""COMPUTED_VALUE"""),445.98)</f>
        <v>445.98</v>
      </c>
      <c r="DN60" s="110">
        <f>IFERROR(__xludf.DUMMYFUNCTION("""COMPUTED_VALUE"""),173.07)</f>
        <v>173.07</v>
      </c>
      <c r="DO60" s="110">
        <f>IFERROR(__xludf.DUMMYFUNCTION("""COMPUTED_VALUE"""),366.0)</f>
        <v>366</v>
      </c>
      <c r="DP60" s="110">
        <f>IFERROR(__xludf.DUMMYFUNCTION("""COMPUTED_VALUE"""),1.21)</f>
        <v>1.21</v>
      </c>
      <c r="DQ60" s="110">
        <f>IFERROR(__xludf.DUMMYFUNCTION("""COMPUTED_VALUE"""),110.2)</f>
        <v>110.2</v>
      </c>
      <c r="DR60" s="110">
        <f>IFERROR(__xludf.DUMMYFUNCTION("""COMPUTED_VALUE"""),0.05)</f>
        <v>0.05</v>
      </c>
      <c r="DS60" s="110">
        <f>IFERROR(__xludf.DUMMYFUNCTION("""COMPUTED_VALUE"""),3.2)</f>
        <v>3.2</v>
      </c>
      <c r="DT60" s="110">
        <f>IFERROR(__xludf.DUMMYFUNCTION("""COMPUTED_VALUE"""),5.97)</f>
        <v>5.97</v>
      </c>
      <c r="DU60" s="110">
        <f>IFERROR(__xludf.DUMMYFUNCTION("""COMPUTED_VALUE"""),51.57)</f>
        <v>51.57</v>
      </c>
      <c r="DV60" s="110">
        <f>IFERROR(__xludf.DUMMYFUNCTION("""COMPUTED_VALUE"""),14.86)</f>
        <v>14.86</v>
      </c>
      <c r="DW60" s="110">
        <f>IFERROR(__xludf.DUMMYFUNCTION("""COMPUTED_VALUE"""),0.066)</f>
        <v>0.066</v>
      </c>
      <c r="DX60" s="110">
        <f>IFERROR(__xludf.DUMMYFUNCTION("""COMPUTED_VALUE"""),29.11)</f>
        <v>29.11</v>
      </c>
      <c r="DY60" s="110">
        <f>IFERROR(__xludf.DUMMYFUNCTION("""COMPUTED_VALUE"""),0.0)</f>
        <v>0</v>
      </c>
      <c r="DZ60" s="110">
        <f>IFERROR(__xludf.DUMMYFUNCTION("""COMPUTED_VALUE"""),74.32)</f>
        <v>74.32</v>
      </c>
      <c r="EA60" s="110">
        <f>IFERROR(__xludf.DUMMYFUNCTION("""COMPUTED_VALUE"""),49.28)</f>
        <v>49.28</v>
      </c>
      <c r="EB60" s="110">
        <f>IFERROR(__xludf.DUMMYFUNCTION("""COMPUTED_VALUE"""),75.5)</f>
        <v>75.5</v>
      </c>
      <c r="EC60" s="110">
        <f>IFERROR(__xludf.DUMMYFUNCTION("""COMPUTED_VALUE"""),76.65)</f>
        <v>76.65</v>
      </c>
      <c r="ED60" s="110">
        <f>IFERROR(__xludf.DUMMYFUNCTION("""COMPUTED_VALUE"""),38.22)</f>
        <v>38.22</v>
      </c>
      <c r="EE60" s="110">
        <f>IFERROR(__xludf.DUMMYFUNCTION("""COMPUTED_VALUE"""),89.08)</f>
        <v>89.08</v>
      </c>
      <c r="EF60" s="110">
        <f>IFERROR(__xludf.DUMMYFUNCTION("""COMPUTED_VALUE"""),185.23)</f>
        <v>185.23</v>
      </c>
      <c r="EG60" s="110">
        <f>IFERROR(__xludf.DUMMYFUNCTION("""COMPUTED_VALUE"""),69.29)</f>
        <v>69.29</v>
      </c>
      <c r="EH60" s="110">
        <f>IFERROR(__xludf.DUMMYFUNCTION("""COMPUTED_VALUE"""),102.18)</f>
        <v>102.18</v>
      </c>
      <c r="EI60" s="110">
        <f>IFERROR(__xludf.DUMMYFUNCTION("""COMPUTED_VALUE"""),138.07)</f>
        <v>138.07</v>
      </c>
      <c r="EJ60" s="110">
        <f>IFERROR(__xludf.DUMMYFUNCTION("""COMPUTED_VALUE"""),39.38)</f>
        <v>39.38</v>
      </c>
      <c r="EK60" s="110">
        <f>IFERROR(__xludf.DUMMYFUNCTION("""COMPUTED_VALUE"""),277.02)</f>
        <v>277.02</v>
      </c>
      <c r="EL60" s="110">
        <f>IFERROR(__xludf.DUMMYFUNCTION("""COMPUTED_VALUE"""),67.52)</f>
        <v>67.52</v>
      </c>
      <c r="EM60" s="110">
        <f>IFERROR(__xludf.DUMMYFUNCTION("""COMPUTED_VALUE"""),38.01)</f>
        <v>38.01</v>
      </c>
      <c r="EN60" s="110">
        <f>IFERROR(__xludf.DUMMYFUNCTION("""COMPUTED_VALUE"""),1780.01)</f>
        <v>1780.01</v>
      </c>
      <c r="EO60" s="110">
        <f>IFERROR(__xludf.DUMMYFUNCTION("""COMPUTED_VALUE"""),8.96)</f>
        <v>8.96</v>
      </c>
      <c r="EP60" s="110">
        <f>IFERROR(__xludf.DUMMYFUNCTION("""COMPUTED_VALUE"""),0.0)</f>
        <v>0</v>
      </c>
      <c r="EQ60" s="110">
        <f>IFERROR(__xludf.DUMMYFUNCTION("""COMPUTED_VALUE"""),2.15)</f>
        <v>2.15</v>
      </c>
      <c r="ER60" s="110">
        <f>IFERROR(__xludf.DUMMYFUNCTION("""COMPUTED_VALUE"""),4538.5)</f>
        <v>4538.5</v>
      </c>
      <c r="ES60" s="110">
        <f>IFERROR(__xludf.DUMMYFUNCTION("""COMPUTED_VALUE"""),101.51)</f>
        <v>101.51</v>
      </c>
      <c r="ET60" s="110">
        <f>IFERROR(__xludf.DUMMYFUNCTION("""COMPUTED_VALUE"""),107.75)</f>
        <v>107.75</v>
      </c>
      <c r="EU60" s="110">
        <f>IFERROR(__xludf.DUMMYFUNCTION("""COMPUTED_VALUE"""),30.65)</f>
        <v>30.65</v>
      </c>
      <c r="EV60" s="110">
        <f>IFERROR(__xludf.DUMMYFUNCTION("""COMPUTED_VALUE"""),1.39)</f>
        <v>1.39</v>
      </c>
      <c r="EW60" s="110">
        <f>IFERROR(__xludf.DUMMYFUNCTION("""COMPUTED_VALUE"""),13.78)</f>
        <v>13.78</v>
      </c>
      <c r="EX60" s="108">
        <f>IFERROR(__xludf.DUMMYFUNCTION("""COMPUTED_VALUE"""),5.0)</f>
        <v>5</v>
      </c>
      <c r="EY60" s="108">
        <f>IFERROR(__xludf.DUMMYFUNCTION("""COMPUTED_VALUE"""),178.78)</f>
        <v>178.78</v>
      </c>
      <c r="EZ60" s="108">
        <f>IFERROR(__xludf.DUMMYFUNCTION("""COMPUTED_VALUE"""),24.755)</f>
        <v>24.755</v>
      </c>
      <c r="FA60" s="108">
        <f>IFERROR(__xludf.DUMMYFUNCTION("""COMPUTED_VALUE"""),3.15)</f>
        <v>3.15</v>
      </c>
      <c r="FB60" s="108">
        <f>IFERROR(__xludf.DUMMYFUNCTION("""COMPUTED_VALUE"""),135.31)</f>
        <v>135.31</v>
      </c>
      <c r="FC60" s="108">
        <f>IFERROR(__xludf.DUMMYFUNCTION("""COMPUTED_VALUE"""),9.3)</f>
        <v>9.3</v>
      </c>
      <c r="FD60" s="108">
        <f>IFERROR(__xludf.DUMMYFUNCTION("""COMPUTED_VALUE"""),60.35)</f>
        <v>60.35</v>
      </c>
      <c r="FE60" s="108">
        <f>IFERROR(__xludf.DUMMYFUNCTION("""COMPUTED_VALUE"""),58.11)</f>
        <v>58.11</v>
      </c>
      <c r="FF60" s="108">
        <f>IFERROR(__xludf.DUMMYFUNCTION("""COMPUTED_VALUE"""),5.79)</f>
        <v>5.79</v>
      </c>
      <c r="FG60" s="108">
        <f>IFERROR(__xludf.DUMMYFUNCTION("""COMPUTED_VALUE"""),667.73)</f>
        <v>667.73</v>
      </c>
      <c r="FH60" s="108">
        <f>IFERROR(__xludf.DUMMYFUNCTION("""COMPUTED_VALUE"""),162.68)</f>
        <v>162.68</v>
      </c>
      <c r="FI60" s="108">
        <f>IFERROR(__xludf.DUMMYFUNCTION("""COMPUTED_VALUE"""),0.057)</f>
        <v>0.057</v>
      </c>
      <c r="FJ60" s="108">
        <f>IFERROR(__xludf.DUMMYFUNCTION("""COMPUTED_VALUE"""),14.9)</f>
        <v>14.9</v>
      </c>
      <c r="FK60" s="108">
        <f>IFERROR(__xludf.DUMMYFUNCTION("""COMPUTED_VALUE"""),190.7)</f>
        <v>190.7</v>
      </c>
      <c r="FL60" s="108">
        <f>IFERROR(__xludf.DUMMYFUNCTION("""COMPUTED_VALUE"""),499.33)</f>
        <v>499.33</v>
      </c>
      <c r="FM60" s="108">
        <f>IFERROR(__xludf.DUMMYFUNCTION("""COMPUTED_VALUE"""),133.52)</f>
        <v>133.52</v>
      </c>
      <c r="FN60" s="108">
        <f>IFERROR(__xludf.DUMMYFUNCTION("""COMPUTED_VALUE"""),1085.8)</f>
        <v>1085.8</v>
      </c>
      <c r="FO60" s="108">
        <f>IFERROR(__xludf.DUMMYFUNCTION("""COMPUTED_VALUE"""),693.0)</f>
        <v>693</v>
      </c>
    </row>
    <row r="61">
      <c r="A61" s="106">
        <f>IFERROR(__xludf.DUMMYFUNCTION("""COMPUTED_VALUE"""),44653.0)</f>
        <v>44653</v>
      </c>
      <c r="B61" s="110">
        <f>IFERROR(__xludf.DUMMYFUNCTION("""COMPUTED_VALUE"""),3271.2)</f>
        <v>3271.2</v>
      </c>
      <c r="C61" s="110">
        <f>IFERROR(__xludf.DUMMYFUNCTION("""COMPUTED_VALUE"""),224.85)</f>
        <v>224.85</v>
      </c>
      <c r="D61" s="110">
        <f>IFERROR(__xludf.DUMMYFUNCTION("""COMPUTED_VALUE"""),1084.59)</f>
        <v>1084.59</v>
      </c>
      <c r="E61" s="110">
        <f>IFERROR(__xludf.DUMMYFUNCTION("""COMPUTED_VALUE"""),378.8)</f>
        <v>378.8</v>
      </c>
      <c r="F61" s="110">
        <f>IFERROR(__xludf.DUMMYFUNCTION("""COMPUTED_VALUE"""),10.94)</f>
        <v>10.94</v>
      </c>
      <c r="G61" s="110">
        <f>IFERROR(__xludf.DUMMYFUNCTION("""COMPUTED_VALUE"""),174.31)</f>
        <v>174.31</v>
      </c>
      <c r="H61" s="110">
        <f>IFERROR(__xludf.DUMMYFUNCTION("""COMPUTED_VALUE"""),0.0)</f>
        <v>0</v>
      </c>
      <c r="I61" s="110">
        <f>IFERROR(__xludf.DUMMYFUNCTION("""COMPUTED_VALUE"""),0.0)</f>
        <v>0</v>
      </c>
      <c r="J61" s="110">
        <f>IFERROR(__xludf.DUMMYFUNCTION("""COMPUTED_VALUE"""),0.0)</f>
        <v>0</v>
      </c>
      <c r="K61" s="110">
        <f>IFERROR(__xludf.DUMMYFUNCTION("""COMPUTED_VALUE"""),39.35)</f>
        <v>39.35</v>
      </c>
      <c r="L61" s="110">
        <f>IFERROR(__xludf.DUMMYFUNCTION("""COMPUTED_VALUE"""),155.5)</f>
        <v>155.5</v>
      </c>
      <c r="M61" s="110">
        <f>IFERROR(__xludf.DUMMYFUNCTION("""COMPUTED_VALUE"""),46337.48)</f>
        <v>46337.48</v>
      </c>
      <c r="N61" s="110">
        <f>IFERROR(__xludf.DUMMYFUNCTION("""COMPUTED_VALUE"""),373.47)</f>
        <v>373.47</v>
      </c>
      <c r="O61" s="110">
        <f>IFERROR(__xludf.DUMMYFUNCTION("""COMPUTED_VALUE"""),309.42)</f>
        <v>309.42</v>
      </c>
      <c r="P61" s="110">
        <f>IFERROR(__xludf.DUMMYFUNCTION("""COMPUTED_VALUE"""),27.95)</f>
        <v>27.95</v>
      </c>
      <c r="Q61" s="110">
        <f>IFERROR(__xludf.DUMMYFUNCTION("""COMPUTED_VALUE"""),24.52)</f>
        <v>24.52</v>
      </c>
      <c r="R61" s="110">
        <f>IFERROR(__xludf.DUMMYFUNCTION("""COMPUTED_VALUE"""),59.09)</f>
        <v>59.09</v>
      </c>
      <c r="S61" s="110">
        <f>IFERROR(__xludf.DUMMYFUNCTION("""COMPUTED_VALUE"""),32.05)</f>
        <v>32.05</v>
      </c>
      <c r="T61" s="110">
        <f>IFERROR(__xludf.DUMMYFUNCTION("""COMPUTED_VALUE"""),29.19)</f>
        <v>29.19</v>
      </c>
      <c r="U61" s="110">
        <f>IFERROR(__xludf.DUMMYFUNCTION("""COMPUTED_VALUE"""),41.87)</f>
        <v>41.87</v>
      </c>
      <c r="V61" s="110">
        <f>IFERROR(__xludf.DUMMYFUNCTION("""COMPUTED_VALUE"""),14.02)</f>
        <v>14.02</v>
      </c>
      <c r="W61" s="110">
        <f>IFERROR(__xludf.DUMMYFUNCTION("""COMPUTED_VALUE"""),249.25)</f>
        <v>249.25</v>
      </c>
      <c r="X61" s="110">
        <f>IFERROR(__xludf.DUMMYFUNCTION("""COMPUTED_VALUE"""),2814.0)</f>
        <v>2814</v>
      </c>
      <c r="Y61" s="110">
        <f>IFERROR(__xludf.DUMMYFUNCTION("""COMPUTED_VALUE"""),56.5)</f>
        <v>56.5</v>
      </c>
      <c r="Z61" s="110">
        <f>IFERROR(__xludf.DUMMYFUNCTION("""COMPUTED_VALUE"""),65.85)</f>
        <v>65.85</v>
      </c>
      <c r="AA61" s="110">
        <f>IFERROR(__xludf.DUMMYFUNCTION("""COMPUTED_VALUE"""),123.5)</f>
        <v>123.5</v>
      </c>
      <c r="AB61" s="110">
        <f>IFERROR(__xludf.DUMMYFUNCTION("""COMPUTED_VALUE"""),4.84)</f>
        <v>4.84</v>
      </c>
      <c r="AC61" s="110">
        <f>IFERROR(__xludf.DUMMYFUNCTION("""COMPUTED_VALUE"""),77.06)</f>
        <v>77.06</v>
      </c>
      <c r="AD61" s="110">
        <f>IFERROR(__xludf.DUMMYFUNCTION("""COMPUTED_VALUE"""),12.2)</f>
        <v>12.2</v>
      </c>
      <c r="AE61" s="110">
        <f>IFERROR(__xludf.DUMMYFUNCTION("""COMPUTED_VALUE"""),6.91)</f>
        <v>6.91</v>
      </c>
      <c r="AF61" s="110">
        <f>IFERROR(__xludf.DUMMYFUNCTION("""COMPUTED_VALUE"""),40.28)</f>
        <v>40.28</v>
      </c>
      <c r="AG61" s="110">
        <f>IFERROR(__xludf.DUMMYFUNCTION("""COMPUTED_VALUE"""),12.54)</f>
        <v>12.54</v>
      </c>
      <c r="AH61" s="110">
        <f>IFERROR(__xludf.DUMMYFUNCTION("""COMPUTED_VALUE"""),2.14)</f>
        <v>2.14</v>
      </c>
      <c r="AI61" s="110">
        <f>IFERROR(__xludf.DUMMYFUNCTION("""COMPUTED_VALUE"""),3.59)</f>
        <v>3.59</v>
      </c>
      <c r="AJ61" s="110">
        <f>IFERROR(__xludf.DUMMYFUNCTION("""COMPUTED_VALUE"""),97.3)</f>
        <v>97.3</v>
      </c>
      <c r="AK61" s="110">
        <f>IFERROR(__xludf.DUMMYFUNCTION("""COMPUTED_VALUE"""),267.12)</f>
        <v>267.12</v>
      </c>
      <c r="AL61" s="110">
        <f>IFERROR(__xludf.DUMMYFUNCTION("""COMPUTED_VALUE"""),13.78)</f>
        <v>13.78</v>
      </c>
      <c r="AM61" s="110">
        <f>IFERROR(__xludf.DUMMYFUNCTION("""COMPUTED_VALUE"""),40.9)</f>
        <v>40.9</v>
      </c>
      <c r="AN61" s="110">
        <f>IFERROR(__xludf.DUMMYFUNCTION("""COMPUTED_VALUE"""),351.88)</f>
        <v>351.88</v>
      </c>
      <c r="AO61" s="110">
        <f>IFERROR(__xludf.DUMMYFUNCTION("""COMPUTED_VALUE"""),102.92)</f>
        <v>102.92</v>
      </c>
      <c r="AP61" s="110">
        <f>IFERROR(__xludf.DUMMYFUNCTION("""COMPUTED_VALUE"""),80.82)</f>
        <v>80.82</v>
      </c>
      <c r="AQ61" s="110">
        <f>IFERROR(__xludf.DUMMYFUNCTION("""COMPUTED_VALUE"""),49.14)</f>
        <v>49.14</v>
      </c>
      <c r="AR61" s="109">
        <f>IFERROR(__xludf.DUMMYFUNCTION("""COMPUTED_VALUE"""),103.00200000000001)</f>
        <v>103.002</v>
      </c>
      <c r="AS61" s="110">
        <f>IFERROR(__xludf.DUMMYFUNCTION("""COMPUTED_VALUE"""),12.75)</f>
        <v>12.75</v>
      </c>
      <c r="AT61" s="110">
        <f>IFERROR(__xludf.DUMMYFUNCTION("""COMPUTED_VALUE"""),109.7)</f>
        <v>109.7</v>
      </c>
      <c r="AU61" s="110">
        <f>IFERROR(__xludf.DUMMYFUNCTION("""COMPUTED_VALUE"""),64.84)</f>
        <v>64.84</v>
      </c>
      <c r="AV61" s="110">
        <f>IFERROR(__xludf.DUMMYFUNCTION("""COMPUTED_VALUE"""),137.0)</f>
        <v>137</v>
      </c>
      <c r="AW61" s="110">
        <f>IFERROR(__xludf.DUMMYFUNCTION("""COMPUTED_VALUE"""),127.41)</f>
        <v>127.41</v>
      </c>
      <c r="AX61" s="110">
        <f>IFERROR(__xludf.DUMMYFUNCTION("""COMPUTED_VALUE"""),19.06)</f>
        <v>19.06</v>
      </c>
      <c r="AY61" s="110">
        <f>IFERROR(__xludf.DUMMYFUNCTION("""COMPUTED_VALUE"""),46.02)</f>
        <v>46.02</v>
      </c>
      <c r="AZ61" s="110">
        <f>IFERROR(__xludf.DUMMYFUNCTION("""COMPUTED_VALUE"""),0.0)</f>
        <v>0</v>
      </c>
      <c r="BA61" s="110">
        <f>IFERROR(__xludf.DUMMYFUNCTION("""COMPUTED_VALUE"""),0.0)</f>
        <v>0</v>
      </c>
      <c r="BB61" s="110">
        <f>IFERROR(__xludf.DUMMYFUNCTION("""COMPUTED_VALUE"""),12.38)</f>
        <v>12.38</v>
      </c>
      <c r="BC61" s="110">
        <f>IFERROR(__xludf.DUMMYFUNCTION("""COMPUTED_VALUE"""),8.34)</f>
        <v>8.34</v>
      </c>
      <c r="BD61" s="110">
        <f>IFERROR(__xludf.DUMMYFUNCTION("""COMPUTED_VALUE"""),186.7)</f>
        <v>186.7</v>
      </c>
      <c r="BE61" s="110">
        <f>IFERROR(__xludf.DUMMYFUNCTION("""COMPUTED_VALUE"""),146.6)</f>
        <v>146.6</v>
      </c>
      <c r="BF61" s="110">
        <f>IFERROR(__xludf.DUMMYFUNCTION("""COMPUTED_VALUE"""),10.8)</f>
        <v>10.8</v>
      </c>
      <c r="BG61" s="110">
        <f>IFERROR(__xludf.DUMMYFUNCTION("""COMPUTED_VALUE"""),611.11)</f>
        <v>611.11</v>
      </c>
      <c r="BH61" s="110">
        <f>IFERROR(__xludf.DUMMYFUNCTION("""COMPUTED_VALUE"""),305.75)</f>
        <v>305.75</v>
      </c>
      <c r="BI61" s="110">
        <f>IFERROR(__xludf.DUMMYFUNCTION("""COMPUTED_VALUE"""),243.12)</f>
        <v>243.12</v>
      </c>
      <c r="BJ61" s="110">
        <f>IFERROR(__xludf.DUMMYFUNCTION("""COMPUTED_VALUE"""),24.55)</f>
        <v>24.55</v>
      </c>
      <c r="BK61" s="110">
        <f>IFERROR(__xludf.DUMMYFUNCTION("""COMPUTED_VALUE"""),334.98)</f>
        <v>334.98</v>
      </c>
      <c r="BL61" s="110">
        <f>IFERROR(__xludf.DUMMYFUNCTION("""COMPUTED_VALUE"""),130.76)</f>
        <v>130.76</v>
      </c>
      <c r="BM61" s="110">
        <f>IFERROR(__xludf.DUMMYFUNCTION("""COMPUTED_VALUE"""),16.65)</f>
        <v>16.65</v>
      </c>
      <c r="BN61" s="110">
        <f>IFERROR(__xludf.DUMMYFUNCTION("""COMPUTED_VALUE"""),310.31)</f>
        <v>310.31</v>
      </c>
      <c r="BO61" s="110">
        <f>IFERROR(__xludf.DUMMYFUNCTION("""COMPUTED_VALUE"""),725.21)</f>
        <v>725.21</v>
      </c>
      <c r="BP61" s="110">
        <f>IFERROR(__xludf.DUMMYFUNCTION("""COMPUTED_VALUE"""),46.44)</f>
        <v>46.44</v>
      </c>
      <c r="BQ61" s="110">
        <f>IFERROR(__xludf.DUMMYFUNCTION("""COMPUTED_VALUE"""),9.33)</f>
        <v>9.33</v>
      </c>
      <c r="BR61" s="110">
        <f>IFERROR(__xludf.DUMMYFUNCTION("""COMPUTED_VALUE"""),36.29)</f>
        <v>36.29</v>
      </c>
      <c r="BS61" s="110">
        <f>IFERROR(__xludf.DUMMYFUNCTION("""COMPUTED_VALUE"""),0.96)</f>
        <v>0.96</v>
      </c>
      <c r="BT61" s="110">
        <f>IFERROR(__xludf.DUMMYFUNCTION("""COMPUTED_VALUE"""),46.38)</f>
        <v>46.38</v>
      </c>
      <c r="BU61" s="110">
        <f>IFERROR(__xludf.DUMMYFUNCTION("""COMPUTED_VALUE"""),37.3)</f>
        <v>37.3</v>
      </c>
      <c r="BV61" s="110">
        <f>IFERROR(__xludf.DUMMYFUNCTION("""COMPUTED_VALUE"""),54.5)</f>
        <v>54.5</v>
      </c>
      <c r="BW61" s="110">
        <f>IFERROR(__xludf.DUMMYFUNCTION("""COMPUTED_VALUE"""),8.06)</f>
        <v>8.06</v>
      </c>
      <c r="BX61" s="110">
        <f>IFERROR(__xludf.DUMMYFUNCTION("""COMPUTED_VALUE"""),5.12)</f>
        <v>5.12</v>
      </c>
      <c r="BY61" s="110">
        <f>IFERROR(__xludf.DUMMYFUNCTION("""COMPUTED_VALUE"""),0.0)</f>
        <v>0</v>
      </c>
      <c r="BZ61" s="110">
        <f>IFERROR(__xludf.DUMMYFUNCTION("""COMPUTED_VALUE"""),16.66)</f>
        <v>16.66</v>
      </c>
      <c r="CA61" s="110">
        <f>IFERROR(__xludf.DUMMYFUNCTION("""COMPUTED_VALUE"""),3.62)</f>
        <v>3.62</v>
      </c>
      <c r="CB61" s="110">
        <f>IFERROR(__xludf.DUMMYFUNCTION("""COMPUTED_VALUE"""),5.16)</f>
        <v>5.16</v>
      </c>
      <c r="CC61" s="110">
        <f>IFERROR(__xludf.DUMMYFUNCTION("""COMPUTED_VALUE"""),17.2)</f>
        <v>17.2</v>
      </c>
      <c r="CD61" s="110">
        <f>IFERROR(__xludf.DUMMYFUNCTION("""COMPUTED_VALUE"""),13.57)</f>
        <v>13.57</v>
      </c>
      <c r="CE61" s="110">
        <f>IFERROR(__xludf.DUMMYFUNCTION("""COMPUTED_VALUE"""),27.7)</f>
        <v>27.7</v>
      </c>
      <c r="CF61" s="110">
        <f>IFERROR(__xludf.DUMMYFUNCTION("""COMPUTED_VALUE"""),99.42)</f>
        <v>99.42</v>
      </c>
      <c r="CG61" s="110">
        <f>IFERROR(__xludf.DUMMYFUNCTION("""COMPUTED_VALUE"""),4.53)</f>
        <v>4.53</v>
      </c>
      <c r="CH61" s="110">
        <f>IFERROR(__xludf.DUMMYFUNCTION("""COMPUTED_VALUE"""),24.94)</f>
        <v>24.94</v>
      </c>
      <c r="CI61" s="110">
        <f>IFERROR(__xludf.DUMMYFUNCTION("""COMPUTED_VALUE"""),45.36)</f>
        <v>45.36</v>
      </c>
      <c r="CJ61" s="110">
        <f>IFERROR(__xludf.DUMMYFUNCTION("""COMPUTED_VALUE"""),0.0)</f>
        <v>0</v>
      </c>
      <c r="CK61" s="110">
        <f>IFERROR(__xludf.DUMMYFUNCTION("""COMPUTED_VALUE"""),12.83)</f>
        <v>12.83</v>
      </c>
      <c r="CL61" s="110">
        <f>IFERROR(__xludf.DUMMYFUNCTION("""COMPUTED_VALUE"""),2803.01)</f>
        <v>2803.01</v>
      </c>
      <c r="CM61" s="110">
        <f>IFERROR(__xludf.DUMMYFUNCTION("""COMPUTED_VALUE"""),0.0)</f>
        <v>0</v>
      </c>
      <c r="CN61" s="110">
        <f>IFERROR(__xludf.DUMMYFUNCTION("""COMPUTED_VALUE"""),213.0)</f>
        <v>213</v>
      </c>
      <c r="CO61" s="110">
        <f>IFERROR(__xludf.DUMMYFUNCTION("""COMPUTED_VALUE"""),135.2)</f>
        <v>135.2</v>
      </c>
      <c r="CP61" s="110">
        <f>IFERROR(__xludf.DUMMYFUNCTION("""COMPUTED_VALUE"""),67.54)</f>
        <v>67.54</v>
      </c>
      <c r="CQ61" s="110">
        <f>IFERROR(__xludf.DUMMYFUNCTION("""COMPUTED_VALUE"""),69100.0)</f>
        <v>69100</v>
      </c>
      <c r="CR61" s="110">
        <f>IFERROR(__xludf.DUMMYFUNCTION("""COMPUTED_VALUE"""),0.52)</f>
        <v>0.52</v>
      </c>
      <c r="CS61" s="110">
        <f>IFERROR(__xludf.DUMMYFUNCTION("""COMPUTED_VALUE"""),31.3)</f>
        <v>31.3</v>
      </c>
      <c r="CT61" s="110">
        <f>IFERROR(__xludf.DUMMYFUNCTION("""COMPUTED_VALUE"""),22.26)</f>
        <v>22.26</v>
      </c>
      <c r="CU61" s="110">
        <f>IFERROR(__xludf.DUMMYFUNCTION("""COMPUTED_VALUE"""),1923.5)</f>
        <v>1923.5</v>
      </c>
      <c r="CV61" s="110">
        <f>IFERROR(__xludf.DUMMYFUNCTION("""COMPUTED_VALUE"""),2.67)</f>
        <v>2.67</v>
      </c>
      <c r="CW61" s="110">
        <f>IFERROR(__xludf.DUMMYFUNCTION("""COMPUTED_VALUE"""),3.18)</f>
        <v>3.18</v>
      </c>
      <c r="CX61" s="110">
        <f>IFERROR(__xludf.DUMMYFUNCTION("""COMPUTED_VALUE"""),0.0)</f>
        <v>0</v>
      </c>
      <c r="CY61" s="110">
        <f>IFERROR(__xludf.DUMMYFUNCTION("""COMPUTED_VALUE"""),0.02)</f>
        <v>0.02</v>
      </c>
      <c r="CZ61" s="110">
        <f>IFERROR(__xludf.DUMMYFUNCTION("""COMPUTED_VALUE"""),73.1)</f>
        <v>73.1</v>
      </c>
      <c r="DA61" s="110">
        <f>IFERROR(__xludf.DUMMYFUNCTION("""COMPUTED_VALUE"""),0.02)</f>
        <v>0.02</v>
      </c>
      <c r="DB61" s="110">
        <f>IFERROR(__xludf.DUMMYFUNCTION("""COMPUTED_VALUE"""),0.1)</f>
        <v>0.1</v>
      </c>
      <c r="DC61" s="110">
        <f>IFERROR(__xludf.DUMMYFUNCTION("""COMPUTED_VALUE"""),158.46)</f>
        <v>158.46</v>
      </c>
      <c r="DD61" s="110">
        <f>IFERROR(__xludf.DUMMYFUNCTION("""COMPUTED_VALUE"""),9.7)</f>
        <v>9.7</v>
      </c>
      <c r="DE61" s="110">
        <f>IFERROR(__xludf.DUMMYFUNCTION("""COMPUTED_VALUE"""),7.3)</f>
        <v>7.3</v>
      </c>
      <c r="DF61" s="110">
        <f>IFERROR(__xludf.DUMMYFUNCTION("""COMPUTED_VALUE"""),57.95)</f>
        <v>57.95</v>
      </c>
      <c r="DG61" s="110">
        <f>IFERROR(__xludf.DUMMYFUNCTION("""COMPUTED_VALUE"""),5.79)</f>
        <v>5.79</v>
      </c>
      <c r="DH61" s="110">
        <f>IFERROR(__xludf.DUMMYFUNCTION("""COMPUTED_VALUE"""),9.51)</f>
        <v>9.51</v>
      </c>
      <c r="DI61" s="110">
        <f>IFERROR(__xludf.DUMMYFUNCTION("""COMPUTED_VALUE"""),151.01)</f>
        <v>151.01</v>
      </c>
      <c r="DJ61" s="110">
        <f>IFERROR(__xludf.DUMMYFUNCTION("""COMPUTED_VALUE"""),13.02)</f>
        <v>13.02</v>
      </c>
      <c r="DK61" s="110">
        <f>IFERROR(__xludf.DUMMYFUNCTION("""COMPUTED_VALUE"""),0.0)</f>
        <v>0</v>
      </c>
      <c r="DL61" s="110">
        <f>IFERROR(__xludf.DUMMYFUNCTION("""COMPUTED_VALUE"""),24.4)</f>
        <v>24.4</v>
      </c>
      <c r="DM61" s="110">
        <f>IFERROR(__xludf.DUMMYFUNCTION("""COMPUTED_VALUE"""),445.98)</f>
        <v>445.98</v>
      </c>
      <c r="DN61" s="110">
        <f>IFERROR(__xludf.DUMMYFUNCTION("""COMPUTED_VALUE"""),173.07)</f>
        <v>173.07</v>
      </c>
      <c r="DO61" s="110">
        <f>IFERROR(__xludf.DUMMYFUNCTION("""COMPUTED_VALUE"""),366.0)</f>
        <v>366</v>
      </c>
      <c r="DP61" s="110">
        <f>IFERROR(__xludf.DUMMYFUNCTION("""COMPUTED_VALUE"""),1.21)</f>
        <v>1.21</v>
      </c>
      <c r="DQ61" s="110">
        <f>IFERROR(__xludf.DUMMYFUNCTION("""COMPUTED_VALUE"""),110.2)</f>
        <v>110.2</v>
      </c>
      <c r="DR61" s="110">
        <f>IFERROR(__xludf.DUMMYFUNCTION("""COMPUTED_VALUE"""),0.05)</f>
        <v>0.05</v>
      </c>
      <c r="DS61" s="110">
        <f>IFERROR(__xludf.DUMMYFUNCTION("""COMPUTED_VALUE"""),3.2)</f>
        <v>3.2</v>
      </c>
      <c r="DT61" s="110">
        <f>IFERROR(__xludf.DUMMYFUNCTION("""COMPUTED_VALUE"""),5.97)</f>
        <v>5.97</v>
      </c>
      <c r="DU61" s="110">
        <f>IFERROR(__xludf.DUMMYFUNCTION("""COMPUTED_VALUE"""),51.57)</f>
        <v>51.57</v>
      </c>
      <c r="DV61" s="110">
        <f>IFERROR(__xludf.DUMMYFUNCTION("""COMPUTED_VALUE"""),14.86)</f>
        <v>14.86</v>
      </c>
      <c r="DW61" s="110">
        <f>IFERROR(__xludf.DUMMYFUNCTION("""COMPUTED_VALUE"""),0.066)</f>
        <v>0.066</v>
      </c>
      <c r="DX61" s="110">
        <f>IFERROR(__xludf.DUMMYFUNCTION("""COMPUTED_VALUE"""),29.11)</f>
        <v>29.11</v>
      </c>
      <c r="DY61" s="110">
        <f>IFERROR(__xludf.DUMMYFUNCTION("""COMPUTED_VALUE"""),0.0)</f>
        <v>0</v>
      </c>
      <c r="DZ61" s="110">
        <f>IFERROR(__xludf.DUMMYFUNCTION("""COMPUTED_VALUE"""),74.32)</f>
        <v>74.32</v>
      </c>
      <c r="EA61" s="110">
        <f>IFERROR(__xludf.DUMMYFUNCTION("""COMPUTED_VALUE"""),49.28)</f>
        <v>49.28</v>
      </c>
      <c r="EB61" s="110">
        <f>IFERROR(__xludf.DUMMYFUNCTION("""COMPUTED_VALUE"""),75.5)</f>
        <v>75.5</v>
      </c>
      <c r="EC61" s="110">
        <f>IFERROR(__xludf.DUMMYFUNCTION("""COMPUTED_VALUE"""),76.65)</f>
        <v>76.65</v>
      </c>
      <c r="ED61" s="110">
        <f>IFERROR(__xludf.DUMMYFUNCTION("""COMPUTED_VALUE"""),38.22)</f>
        <v>38.22</v>
      </c>
      <c r="EE61" s="110">
        <f>IFERROR(__xludf.DUMMYFUNCTION("""COMPUTED_VALUE"""),89.08)</f>
        <v>89.08</v>
      </c>
      <c r="EF61" s="110">
        <f>IFERROR(__xludf.DUMMYFUNCTION("""COMPUTED_VALUE"""),185.23)</f>
        <v>185.23</v>
      </c>
      <c r="EG61" s="110">
        <f>IFERROR(__xludf.DUMMYFUNCTION("""COMPUTED_VALUE"""),69.29)</f>
        <v>69.29</v>
      </c>
      <c r="EH61" s="110">
        <f>IFERROR(__xludf.DUMMYFUNCTION("""COMPUTED_VALUE"""),102.18)</f>
        <v>102.18</v>
      </c>
      <c r="EI61" s="110">
        <f>IFERROR(__xludf.DUMMYFUNCTION("""COMPUTED_VALUE"""),138.07)</f>
        <v>138.07</v>
      </c>
      <c r="EJ61" s="110">
        <f>IFERROR(__xludf.DUMMYFUNCTION("""COMPUTED_VALUE"""),39.38)</f>
        <v>39.38</v>
      </c>
      <c r="EK61" s="110">
        <f>IFERROR(__xludf.DUMMYFUNCTION("""COMPUTED_VALUE"""),277.02)</f>
        <v>277.02</v>
      </c>
      <c r="EL61" s="110">
        <f>IFERROR(__xludf.DUMMYFUNCTION("""COMPUTED_VALUE"""),67.52)</f>
        <v>67.52</v>
      </c>
      <c r="EM61" s="110">
        <f>IFERROR(__xludf.DUMMYFUNCTION("""COMPUTED_VALUE"""),38.01)</f>
        <v>38.01</v>
      </c>
      <c r="EN61" s="110">
        <f>IFERROR(__xludf.DUMMYFUNCTION("""COMPUTED_VALUE"""),1780.01)</f>
        <v>1780.01</v>
      </c>
      <c r="EO61" s="110">
        <f>IFERROR(__xludf.DUMMYFUNCTION("""COMPUTED_VALUE"""),8.96)</f>
        <v>8.96</v>
      </c>
      <c r="EP61" s="110">
        <f>IFERROR(__xludf.DUMMYFUNCTION("""COMPUTED_VALUE"""),0.0)</f>
        <v>0</v>
      </c>
      <c r="EQ61" s="110">
        <f>IFERROR(__xludf.DUMMYFUNCTION("""COMPUTED_VALUE"""),2.15)</f>
        <v>2.15</v>
      </c>
      <c r="ER61" s="110">
        <f>IFERROR(__xludf.DUMMYFUNCTION("""COMPUTED_VALUE"""),4538.5)</f>
        <v>4538.5</v>
      </c>
      <c r="ES61" s="110">
        <f>IFERROR(__xludf.DUMMYFUNCTION("""COMPUTED_VALUE"""),101.51)</f>
        <v>101.51</v>
      </c>
      <c r="ET61" s="110">
        <f>IFERROR(__xludf.DUMMYFUNCTION("""COMPUTED_VALUE"""),107.75)</f>
        <v>107.75</v>
      </c>
      <c r="EU61" s="110">
        <f>IFERROR(__xludf.DUMMYFUNCTION("""COMPUTED_VALUE"""),30.65)</f>
        <v>30.65</v>
      </c>
      <c r="EV61" s="110">
        <f>IFERROR(__xludf.DUMMYFUNCTION("""COMPUTED_VALUE"""),1.39)</f>
        <v>1.39</v>
      </c>
      <c r="EW61" s="110">
        <f>IFERROR(__xludf.DUMMYFUNCTION("""COMPUTED_VALUE"""),13.78)</f>
        <v>13.78</v>
      </c>
      <c r="EX61" s="108">
        <f>IFERROR(__xludf.DUMMYFUNCTION("""COMPUTED_VALUE"""),5.0)</f>
        <v>5</v>
      </c>
      <c r="EY61" s="108">
        <f>IFERROR(__xludf.DUMMYFUNCTION("""COMPUTED_VALUE"""),178.78)</f>
        <v>178.78</v>
      </c>
      <c r="EZ61" s="108">
        <f>IFERROR(__xludf.DUMMYFUNCTION("""COMPUTED_VALUE"""),24.755)</f>
        <v>24.755</v>
      </c>
      <c r="FA61" s="108">
        <f>IFERROR(__xludf.DUMMYFUNCTION("""COMPUTED_VALUE"""),3.15)</f>
        <v>3.15</v>
      </c>
      <c r="FB61" s="108">
        <f>IFERROR(__xludf.DUMMYFUNCTION("""COMPUTED_VALUE"""),135.31)</f>
        <v>135.31</v>
      </c>
      <c r="FC61" s="108">
        <f>IFERROR(__xludf.DUMMYFUNCTION("""COMPUTED_VALUE"""),9.3)</f>
        <v>9.3</v>
      </c>
      <c r="FD61" s="108">
        <f>IFERROR(__xludf.DUMMYFUNCTION("""COMPUTED_VALUE"""),60.35)</f>
        <v>60.35</v>
      </c>
      <c r="FE61" s="108">
        <f>IFERROR(__xludf.DUMMYFUNCTION("""COMPUTED_VALUE"""),58.11)</f>
        <v>58.11</v>
      </c>
      <c r="FF61" s="108">
        <f>IFERROR(__xludf.DUMMYFUNCTION("""COMPUTED_VALUE"""),5.79)</f>
        <v>5.79</v>
      </c>
      <c r="FG61" s="108">
        <f>IFERROR(__xludf.DUMMYFUNCTION("""COMPUTED_VALUE"""),667.73)</f>
        <v>667.73</v>
      </c>
      <c r="FH61" s="108">
        <f>IFERROR(__xludf.DUMMYFUNCTION("""COMPUTED_VALUE"""),162.68)</f>
        <v>162.68</v>
      </c>
      <c r="FI61" s="108">
        <f>IFERROR(__xludf.DUMMYFUNCTION("""COMPUTED_VALUE"""),0.057)</f>
        <v>0.057</v>
      </c>
      <c r="FJ61" s="108">
        <f>IFERROR(__xludf.DUMMYFUNCTION("""COMPUTED_VALUE"""),14.9)</f>
        <v>14.9</v>
      </c>
      <c r="FK61" s="108">
        <f>IFERROR(__xludf.DUMMYFUNCTION("""COMPUTED_VALUE"""),190.7)</f>
        <v>190.7</v>
      </c>
      <c r="FL61" s="108">
        <f>IFERROR(__xludf.DUMMYFUNCTION("""COMPUTED_VALUE"""),499.33)</f>
        <v>499.33</v>
      </c>
      <c r="FM61" s="108">
        <f>IFERROR(__xludf.DUMMYFUNCTION("""COMPUTED_VALUE"""),133.52)</f>
        <v>133.52</v>
      </c>
      <c r="FN61" s="108">
        <f>IFERROR(__xludf.DUMMYFUNCTION("""COMPUTED_VALUE"""),1085.8)</f>
        <v>1085.8</v>
      </c>
      <c r="FO61" s="108">
        <f>IFERROR(__xludf.DUMMYFUNCTION("""COMPUTED_VALUE"""),693.0)</f>
        <v>693</v>
      </c>
    </row>
    <row r="62">
      <c r="A62" s="106">
        <f>IFERROR(__xludf.DUMMYFUNCTION("""COMPUTED_VALUE"""),44654.0)</f>
        <v>44654</v>
      </c>
      <c r="B62" s="110">
        <f>IFERROR(__xludf.DUMMYFUNCTION("""COMPUTED_VALUE"""),3271.2)</f>
        <v>3271.2</v>
      </c>
      <c r="C62" s="110">
        <f>IFERROR(__xludf.DUMMYFUNCTION("""COMPUTED_VALUE"""),224.85)</f>
        <v>224.85</v>
      </c>
      <c r="D62" s="110">
        <f>IFERROR(__xludf.DUMMYFUNCTION("""COMPUTED_VALUE"""),1084.59)</f>
        <v>1084.59</v>
      </c>
      <c r="E62" s="110">
        <f>IFERROR(__xludf.DUMMYFUNCTION("""COMPUTED_VALUE"""),378.8)</f>
        <v>378.8</v>
      </c>
      <c r="F62" s="110">
        <f>IFERROR(__xludf.DUMMYFUNCTION("""COMPUTED_VALUE"""),10.94)</f>
        <v>10.94</v>
      </c>
      <c r="G62" s="110">
        <f>IFERROR(__xludf.DUMMYFUNCTION("""COMPUTED_VALUE"""),174.31)</f>
        <v>174.31</v>
      </c>
      <c r="H62" s="110">
        <f>IFERROR(__xludf.DUMMYFUNCTION("""COMPUTED_VALUE"""),0.0)</f>
        <v>0</v>
      </c>
      <c r="I62" s="110">
        <f>IFERROR(__xludf.DUMMYFUNCTION("""COMPUTED_VALUE"""),0.0)</f>
        <v>0</v>
      </c>
      <c r="J62" s="110">
        <f>IFERROR(__xludf.DUMMYFUNCTION("""COMPUTED_VALUE"""),0.0)</f>
        <v>0</v>
      </c>
      <c r="K62" s="110">
        <f>IFERROR(__xludf.DUMMYFUNCTION("""COMPUTED_VALUE"""),39.35)</f>
        <v>39.35</v>
      </c>
      <c r="L62" s="110">
        <f>IFERROR(__xludf.DUMMYFUNCTION("""COMPUTED_VALUE"""),155.5)</f>
        <v>155.5</v>
      </c>
      <c r="M62" s="110">
        <f>IFERROR(__xludf.DUMMYFUNCTION("""COMPUTED_VALUE"""),46337.48)</f>
        <v>46337.48</v>
      </c>
      <c r="N62" s="110">
        <f>IFERROR(__xludf.DUMMYFUNCTION("""COMPUTED_VALUE"""),373.47)</f>
        <v>373.47</v>
      </c>
      <c r="O62" s="110">
        <f>IFERROR(__xludf.DUMMYFUNCTION("""COMPUTED_VALUE"""),309.42)</f>
        <v>309.42</v>
      </c>
      <c r="P62" s="110">
        <f>IFERROR(__xludf.DUMMYFUNCTION("""COMPUTED_VALUE"""),27.95)</f>
        <v>27.95</v>
      </c>
      <c r="Q62" s="110">
        <f>IFERROR(__xludf.DUMMYFUNCTION("""COMPUTED_VALUE"""),24.52)</f>
        <v>24.52</v>
      </c>
      <c r="R62" s="110">
        <f>IFERROR(__xludf.DUMMYFUNCTION("""COMPUTED_VALUE"""),59.09)</f>
        <v>59.09</v>
      </c>
      <c r="S62" s="110">
        <f>IFERROR(__xludf.DUMMYFUNCTION("""COMPUTED_VALUE"""),32.05)</f>
        <v>32.05</v>
      </c>
      <c r="T62" s="110">
        <f>IFERROR(__xludf.DUMMYFUNCTION("""COMPUTED_VALUE"""),29.19)</f>
        <v>29.19</v>
      </c>
      <c r="U62" s="110">
        <f>IFERROR(__xludf.DUMMYFUNCTION("""COMPUTED_VALUE"""),41.87)</f>
        <v>41.87</v>
      </c>
      <c r="V62" s="110">
        <f>IFERROR(__xludf.DUMMYFUNCTION("""COMPUTED_VALUE"""),14.02)</f>
        <v>14.02</v>
      </c>
      <c r="W62" s="110">
        <f>IFERROR(__xludf.DUMMYFUNCTION("""COMPUTED_VALUE"""),249.25)</f>
        <v>249.25</v>
      </c>
      <c r="X62" s="110">
        <f>IFERROR(__xludf.DUMMYFUNCTION("""COMPUTED_VALUE"""),2814.0)</f>
        <v>2814</v>
      </c>
      <c r="Y62" s="110">
        <f>IFERROR(__xludf.DUMMYFUNCTION("""COMPUTED_VALUE"""),56.5)</f>
        <v>56.5</v>
      </c>
      <c r="Z62" s="110">
        <f>IFERROR(__xludf.DUMMYFUNCTION("""COMPUTED_VALUE"""),65.85)</f>
        <v>65.85</v>
      </c>
      <c r="AA62" s="110">
        <f>IFERROR(__xludf.DUMMYFUNCTION("""COMPUTED_VALUE"""),123.5)</f>
        <v>123.5</v>
      </c>
      <c r="AB62" s="110">
        <f>IFERROR(__xludf.DUMMYFUNCTION("""COMPUTED_VALUE"""),4.84)</f>
        <v>4.84</v>
      </c>
      <c r="AC62" s="110">
        <f>IFERROR(__xludf.DUMMYFUNCTION("""COMPUTED_VALUE"""),77.06)</f>
        <v>77.06</v>
      </c>
      <c r="AD62" s="110">
        <f>IFERROR(__xludf.DUMMYFUNCTION("""COMPUTED_VALUE"""),12.2)</f>
        <v>12.2</v>
      </c>
      <c r="AE62" s="110">
        <f>IFERROR(__xludf.DUMMYFUNCTION("""COMPUTED_VALUE"""),6.91)</f>
        <v>6.91</v>
      </c>
      <c r="AF62" s="110">
        <f>IFERROR(__xludf.DUMMYFUNCTION("""COMPUTED_VALUE"""),40.28)</f>
        <v>40.28</v>
      </c>
      <c r="AG62" s="110">
        <f>IFERROR(__xludf.DUMMYFUNCTION("""COMPUTED_VALUE"""),12.54)</f>
        <v>12.54</v>
      </c>
      <c r="AH62" s="110">
        <f>IFERROR(__xludf.DUMMYFUNCTION("""COMPUTED_VALUE"""),2.14)</f>
        <v>2.14</v>
      </c>
      <c r="AI62" s="110">
        <f>IFERROR(__xludf.DUMMYFUNCTION("""COMPUTED_VALUE"""),3.59)</f>
        <v>3.59</v>
      </c>
      <c r="AJ62" s="110">
        <f>IFERROR(__xludf.DUMMYFUNCTION("""COMPUTED_VALUE"""),97.3)</f>
        <v>97.3</v>
      </c>
      <c r="AK62" s="110">
        <f>IFERROR(__xludf.DUMMYFUNCTION("""COMPUTED_VALUE"""),267.12)</f>
        <v>267.12</v>
      </c>
      <c r="AL62" s="110">
        <f>IFERROR(__xludf.DUMMYFUNCTION("""COMPUTED_VALUE"""),13.78)</f>
        <v>13.78</v>
      </c>
      <c r="AM62" s="110">
        <f>IFERROR(__xludf.DUMMYFUNCTION("""COMPUTED_VALUE"""),40.9)</f>
        <v>40.9</v>
      </c>
      <c r="AN62" s="110">
        <f>IFERROR(__xludf.DUMMYFUNCTION("""COMPUTED_VALUE"""),351.88)</f>
        <v>351.88</v>
      </c>
      <c r="AO62" s="110">
        <f>IFERROR(__xludf.DUMMYFUNCTION("""COMPUTED_VALUE"""),102.92)</f>
        <v>102.92</v>
      </c>
      <c r="AP62" s="110">
        <f>IFERROR(__xludf.DUMMYFUNCTION("""COMPUTED_VALUE"""),80.82)</f>
        <v>80.82</v>
      </c>
      <c r="AQ62" s="110">
        <f>IFERROR(__xludf.DUMMYFUNCTION("""COMPUTED_VALUE"""),49.14)</f>
        <v>49.14</v>
      </c>
      <c r="AR62" s="109">
        <f>IFERROR(__xludf.DUMMYFUNCTION("""COMPUTED_VALUE"""),103.00200000000001)</f>
        <v>103.002</v>
      </c>
      <c r="AS62" s="110">
        <f>IFERROR(__xludf.DUMMYFUNCTION("""COMPUTED_VALUE"""),12.75)</f>
        <v>12.75</v>
      </c>
      <c r="AT62" s="110">
        <f>IFERROR(__xludf.DUMMYFUNCTION("""COMPUTED_VALUE"""),109.7)</f>
        <v>109.7</v>
      </c>
      <c r="AU62" s="110">
        <f>IFERROR(__xludf.DUMMYFUNCTION("""COMPUTED_VALUE"""),64.84)</f>
        <v>64.84</v>
      </c>
      <c r="AV62" s="110">
        <f>IFERROR(__xludf.DUMMYFUNCTION("""COMPUTED_VALUE"""),137.0)</f>
        <v>137</v>
      </c>
      <c r="AW62" s="110">
        <f>IFERROR(__xludf.DUMMYFUNCTION("""COMPUTED_VALUE"""),127.41)</f>
        <v>127.41</v>
      </c>
      <c r="AX62" s="110">
        <f>IFERROR(__xludf.DUMMYFUNCTION("""COMPUTED_VALUE"""),19.06)</f>
        <v>19.06</v>
      </c>
      <c r="AY62" s="110">
        <f>IFERROR(__xludf.DUMMYFUNCTION("""COMPUTED_VALUE"""),46.02)</f>
        <v>46.02</v>
      </c>
      <c r="AZ62" s="110">
        <f>IFERROR(__xludf.DUMMYFUNCTION("""COMPUTED_VALUE"""),0.0)</f>
        <v>0</v>
      </c>
      <c r="BA62" s="110">
        <f>IFERROR(__xludf.DUMMYFUNCTION("""COMPUTED_VALUE"""),0.0)</f>
        <v>0</v>
      </c>
      <c r="BB62" s="110">
        <f>IFERROR(__xludf.DUMMYFUNCTION("""COMPUTED_VALUE"""),12.38)</f>
        <v>12.38</v>
      </c>
      <c r="BC62" s="110">
        <f>IFERROR(__xludf.DUMMYFUNCTION("""COMPUTED_VALUE"""),8.34)</f>
        <v>8.34</v>
      </c>
      <c r="BD62" s="110">
        <f>IFERROR(__xludf.DUMMYFUNCTION("""COMPUTED_VALUE"""),186.7)</f>
        <v>186.7</v>
      </c>
      <c r="BE62" s="110">
        <f>IFERROR(__xludf.DUMMYFUNCTION("""COMPUTED_VALUE"""),146.6)</f>
        <v>146.6</v>
      </c>
      <c r="BF62" s="110">
        <f>IFERROR(__xludf.DUMMYFUNCTION("""COMPUTED_VALUE"""),10.8)</f>
        <v>10.8</v>
      </c>
      <c r="BG62" s="110">
        <f>IFERROR(__xludf.DUMMYFUNCTION("""COMPUTED_VALUE"""),611.11)</f>
        <v>611.11</v>
      </c>
      <c r="BH62" s="110">
        <f>IFERROR(__xludf.DUMMYFUNCTION("""COMPUTED_VALUE"""),305.75)</f>
        <v>305.75</v>
      </c>
      <c r="BI62" s="110">
        <f>IFERROR(__xludf.DUMMYFUNCTION("""COMPUTED_VALUE"""),243.12)</f>
        <v>243.12</v>
      </c>
      <c r="BJ62" s="110">
        <f>IFERROR(__xludf.DUMMYFUNCTION("""COMPUTED_VALUE"""),24.55)</f>
        <v>24.55</v>
      </c>
      <c r="BK62" s="110">
        <f>IFERROR(__xludf.DUMMYFUNCTION("""COMPUTED_VALUE"""),334.98)</f>
        <v>334.98</v>
      </c>
      <c r="BL62" s="110">
        <f>IFERROR(__xludf.DUMMYFUNCTION("""COMPUTED_VALUE"""),130.76)</f>
        <v>130.76</v>
      </c>
      <c r="BM62" s="110">
        <f>IFERROR(__xludf.DUMMYFUNCTION("""COMPUTED_VALUE"""),16.65)</f>
        <v>16.65</v>
      </c>
      <c r="BN62" s="110">
        <f>IFERROR(__xludf.DUMMYFUNCTION("""COMPUTED_VALUE"""),310.31)</f>
        <v>310.31</v>
      </c>
      <c r="BO62" s="110">
        <f>IFERROR(__xludf.DUMMYFUNCTION("""COMPUTED_VALUE"""),725.21)</f>
        <v>725.21</v>
      </c>
      <c r="BP62" s="110">
        <f>IFERROR(__xludf.DUMMYFUNCTION("""COMPUTED_VALUE"""),46.44)</f>
        <v>46.44</v>
      </c>
      <c r="BQ62" s="110">
        <f>IFERROR(__xludf.DUMMYFUNCTION("""COMPUTED_VALUE"""),9.33)</f>
        <v>9.33</v>
      </c>
      <c r="BR62" s="110">
        <f>IFERROR(__xludf.DUMMYFUNCTION("""COMPUTED_VALUE"""),36.29)</f>
        <v>36.29</v>
      </c>
      <c r="BS62" s="110">
        <f>IFERROR(__xludf.DUMMYFUNCTION("""COMPUTED_VALUE"""),0.96)</f>
        <v>0.96</v>
      </c>
      <c r="BT62" s="110">
        <f>IFERROR(__xludf.DUMMYFUNCTION("""COMPUTED_VALUE"""),46.38)</f>
        <v>46.38</v>
      </c>
      <c r="BU62" s="110">
        <f>IFERROR(__xludf.DUMMYFUNCTION("""COMPUTED_VALUE"""),37.3)</f>
        <v>37.3</v>
      </c>
      <c r="BV62" s="110">
        <f>IFERROR(__xludf.DUMMYFUNCTION("""COMPUTED_VALUE"""),54.5)</f>
        <v>54.5</v>
      </c>
      <c r="BW62" s="110">
        <f>IFERROR(__xludf.DUMMYFUNCTION("""COMPUTED_VALUE"""),8.06)</f>
        <v>8.06</v>
      </c>
      <c r="BX62" s="110">
        <f>IFERROR(__xludf.DUMMYFUNCTION("""COMPUTED_VALUE"""),5.12)</f>
        <v>5.12</v>
      </c>
      <c r="BY62" s="110">
        <f>IFERROR(__xludf.DUMMYFUNCTION("""COMPUTED_VALUE"""),0.0)</f>
        <v>0</v>
      </c>
      <c r="BZ62" s="110">
        <f>IFERROR(__xludf.DUMMYFUNCTION("""COMPUTED_VALUE"""),16.66)</f>
        <v>16.66</v>
      </c>
      <c r="CA62" s="110">
        <f>IFERROR(__xludf.DUMMYFUNCTION("""COMPUTED_VALUE"""),3.62)</f>
        <v>3.62</v>
      </c>
      <c r="CB62" s="110">
        <f>IFERROR(__xludf.DUMMYFUNCTION("""COMPUTED_VALUE"""),5.16)</f>
        <v>5.16</v>
      </c>
      <c r="CC62" s="110">
        <f>IFERROR(__xludf.DUMMYFUNCTION("""COMPUTED_VALUE"""),17.2)</f>
        <v>17.2</v>
      </c>
      <c r="CD62" s="110">
        <f>IFERROR(__xludf.DUMMYFUNCTION("""COMPUTED_VALUE"""),13.57)</f>
        <v>13.57</v>
      </c>
      <c r="CE62" s="110">
        <f>IFERROR(__xludf.DUMMYFUNCTION("""COMPUTED_VALUE"""),27.7)</f>
        <v>27.7</v>
      </c>
      <c r="CF62" s="110">
        <f>IFERROR(__xludf.DUMMYFUNCTION("""COMPUTED_VALUE"""),99.42)</f>
        <v>99.42</v>
      </c>
      <c r="CG62" s="110">
        <f>IFERROR(__xludf.DUMMYFUNCTION("""COMPUTED_VALUE"""),4.53)</f>
        <v>4.53</v>
      </c>
      <c r="CH62" s="110">
        <f>IFERROR(__xludf.DUMMYFUNCTION("""COMPUTED_VALUE"""),24.94)</f>
        <v>24.94</v>
      </c>
      <c r="CI62" s="110">
        <f>IFERROR(__xludf.DUMMYFUNCTION("""COMPUTED_VALUE"""),45.36)</f>
        <v>45.36</v>
      </c>
      <c r="CJ62" s="110">
        <f>IFERROR(__xludf.DUMMYFUNCTION("""COMPUTED_VALUE"""),0.0)</f>
        <v>0</v>
      </c>
      <c r="CK62" s="110">
        <f>IFERROR(__xludf.DUMMYFUNCTION("""COMPUTED_VALUE"""),12.83)</f>
        <v>12.83</v>
      </c>
      <c r="CL62" s="110">
        <f>IFERROR(__xludf.DUMMYFUNCTION("""COMPUTED_VALUE"""),2803.01)</f>
        <v>2803.01</v>
      </c>
      <c r="CM62" s="110">
        <f>IFERROR(__xludf.DUMMYFUNCTION("""COMPUTED_VALUE"""),0.0)</f>
        <v>0</v>
      </c>
      <c r="CN62" s="110">
        <f>IFERROR(__xludf.DUMMYFUNCTION("""COMPUTED_VALUE"""),213.0)</f>
        <v>213</v>
      </c>
      <c r="CO62" s="110">
        <f>IFERROR(__xludf.DUMMYFUNCTION("""COMPUTED_VALUE"""),135.2)</f>
        <v>135.2</v>
      </c>
      <c r="CP62" s="110">
        <f>IFERROR(__xludf.DUMMYFUNCTION("""COMPUTED_VALUE"""),67.54)</f>
        <v>67.54</v>
      </c>
      <c r="CQ62" s="110">
        <f>IFERROR(__xludf.DUMMYFUNCTION("""COMPUTED_VALUE"""),69100.0)</f>
        <v>69100</v>
      </c>
      <c r="CR62" s="110">
        <f>IFERROR(__xludf.DUMMYFUNCTION("""COMPUTED_VALUE"""),0.52)</f>
        <v>0.52</v>
      </c>
      <c r="CS62" s="110">
        <f>IFERROR(__xludf.DUMMYFUNCTION("""COMPUTED_VALUE"""),31.3)</f>
        <v>31.3</v>
      </c>
      <c r="CT62" s="110">
        <f>IFERROR(__xludf.DUMMYFUNCTION("""COMPUTED_VALUE"""),22.26)</f>
        <v>22.26</v>
      </c>
      <c r="CU62" s="110">
        <f>IFERROR(__xludf.DUMMYFUNCTION("""COMPUTED_VALUE"""),1923.5)</f>
        <v>1923.5</v>
      </c>
      <c r="CV62" s="110">
        <f>IFERROR(__xludf.DUMMYFUNCTION("""COMPUTED_VALUE"""),2.67)</f>
        <v>2.67</v>
      </c>
      <c r="CW62" s="110">
        <f>IFERROR(__xludf.DUMMYFUNCTION("""COMPUTED_VALUE"""),3.18)</f>
        <v>3.18</v>
      </c>
      <c r="CX62" s="110">
        <f>IFERROR(__xludf.DUMMYFUNCTION("""COMPUTED_VALUE"""),0.0)</f>
        <v>0</v>
      </c>
      <c r="CY62" s="110">
        <f>IFERROR(__xludf.DUMMYFUNCTION("""COMPUTED_VALUE"""),0.02)</f>
        <v>0.02</v>
      </c>
      <c r="CZ62" s="110">
        <f>IFERROR(__xludf.DUMMYFUNCTION("""COMPUTED_VALUE"""),73.1)</f>
        <v>73.1</v>
      </c>
      <c r="DA62" s="110">
        <f>IFERROR(__xludf.DUMMYFUNCTION("""COMPUTED_VALUE"""),0.02)</f>
        <v>0.02</v>
      </c>
      <c r="DB62" s="110">
        <f>IFERROR(__xludf.DUMMYFUNCTION("""COMPUTED_VALUE"""),0.1)</f>
        <v>0.1</v>
      </c>
      <c r="DC62" s="110">
        <f>IFERROR(__xludf.DUMMYFUNCTION("""COMPUTED_VALUE"""),158.46)</f>
        <v>158.46</v>
      </c>
      <c r="DD62" s="110">
        <f>IFERROR(__xludf.DUMMYFUNCTION("""COMPUTED_VALUE"""),9.7)</f>
        <v>9.7</v>
      </c>
      <c r="DE62" s="110">
        <f>IFERROR(__xludf.DUMMYFUNCTION("""COMPUTED_VALUE"""),7.3)</f>
        <v>7.3</v>
      </c>
      <c r="DF62" s="110">
        <f>IFERROR(__xludf.DUMMYFUNCTION("""COMPUTED_VALUE"""),57.95)</f>
        <v>57.95</v>
      </c>
      <c r="DG62" s="110">
        <f>IFERROR(__xludf.DUMMYFUNCTION("""COMPUTED_VALUE"""),5.79)</f>
        <v>5.79</v>
      </c>
      <c r="DH62" s="110">
        <f>IFERROR(__xludf.DUMMYFUNCTION("""COMPUTED_VALUE"""),9.51)</f>
        <v>9.51</v>
      </c>
      <c r="DI62" s="110">
        <f>IFERROR(__xludf.DUMMYFUNCTION("""COMPUTED_VALUE"""),151.01)</f>
        <v>151.01</v>
      </c>
      <c r="DJ62" s="110">
        <f>IFERROR(__xludf.DUMMYFUNCTION("""COMPUTED_VALUE"""),13.02)</f>
        <v>13.02</v>
      </c>
      <c r="DK62" s="110">
        <f>IFERROR(__xludf.DUMMYFUNCTION("""COMPUTED_VALUE"""),0.0)</f>
        <v>0</v>
      </c>
      <c r="DL62" s="110">
        <f>IFERROR(__xludf.DUMMYFUNCTION("""COMPUTED_VALUE"""),24.4)</f>
        <v>24.4</v>
      </c>
      <c r="DM62" s="110">
        <f>IFERROR(__xludf.DUMMYFUNCTION("""COMPUTED_VALUE"""),445.98)</f>
        <v>445.98</v>
      </c>
      <c r="DN62" s="110">
        <f>IFERROR(__xludf.DUMMYFUNCTION("""COMPUTED_VALUE"""),173.07)</f>
        <v>173.07</v>
      </c>
      <c r="DO62" s="110">
        <f>IFERROR(__xludf.DUMMYFUNCTION("""COMPUTED_VALUE"""),366.0)</f>
        <v>366</v>
      </c>
      <c r="DP62" s="110">
        <f>IFERROR(__xludf.DUMMYFUNCTION("""COMPUTED_VALUE"""),1.21)</f>
        <v>1.21</v>
      </c>
      <c r="DQ62" s="110">
        <f>IFERROR(__xludf.DUMMYFUNCTION("""COMPUTED_VALUE"""),110.2)</f>
        <v>110.2</v>
      </c>
      <c r="DR62" s="110">
        <f>IFERROR(__xludf.DUMMYFUNCTION("""COMPUTED_VALUE"""),0.05)</f>
        <v>0.05</v>
      </c>
      <c r="DS62" s="110">
        <f>IFERROR(__xludf.DUMMYFUNCTION("""COMPUTED_VALUE"""),3.2)</f>
        <v>3.2</v>
      </c>
      <c r="DT62" s="110">
        <f>IFERROR(__xludf.DUMMYFUNCTION("""COMPUTED_VALUE"""),5.97)</f>
        <v>5.97</v>
      </c>
      <c r="DU62" s="110">
        <f>IFERROR(__xludf.DUMMYFUNCTION("""COMPUTED_VALUE"""),51.57)</f>
        <v>51.57</v>
      </c>
      <c r="DV62" s="110">
        <f>IFERROR(__xludf.DUMMYFUNCTION("""COMPUTED_VALUE"""),14.86)</f>
        <v>14.86</v>
      </c>
      <c r="DW62" s="110">
        <f>IFERROR(__xludf.DUMMYFUNCTION("""COMPUTED_VALUE"""),0.066)</f>
        <v>0.066</v>
      </c>
      <c r="DX62" s="110">
        <f>IFERROR(__xludf.DUMMYFUNCTION("""COMPUTED_VALUE"""),29.11)</f>
        <v>29.11</v>
      </c>
      <c r="DY62" s="110">
        <f>IFERROR(__xludf.DUMMYFUNCTION("""COMPUTED_VALUE"""),0.0)</f>
        <v>0</v>
      </c>
      <c r="DZ62" s="110">
        <f>IFERROR(__xludf.DUMMYFUNCTION("""COMPUTED_VALUE"""),74.32)</f>
        <v>74.32</v>
      </c>
      <c r="EA62" s="110">
        <f>IFERROR(__xludf.DUMMYFUNCTION("""COMPUTED_VALUE"""),49.28)</f>
        <v>49.28</v>
      </c>
      <c r="EB62" s="110">
        <f>IFERROR(__xludf.DUMMYFUNCTION("""COMPUTED_VALUE"""),75.5)</f>
        <v>75.5</v>
      </c>
      <c r="EC62" s="110">
        <f>IFERROR(__xludf.DUMMYFUNCTION("""COMPUTED_VALUE"""),76.65)</f>
        <v>76.65</v>
      </c>
      <c r="ED62" s="110">
        <f>IFERROR(__xludf.DUMMYFUNCTION("""COMPUTED_VALUE"""),38.22)</f>
        <v>38.22</v>
      </c>
      <c r="EE62" s="110">
        <f>IFERROR(__xludf.DUMMYFUNCTION("""COMPUTED_VALUE"""),89.08)</f>
        <v>89.08</v>
      </c>
      <c r="EF62" s="110">
        <f>IFERROR(__xludf.DUMMYFUNCTION("""COMPUTED_VALUE"""),185.23)</f>
        <v>185.23</v>
      </c>
      <c r="EG62" s="110">
        <f>IFERROR(__xludf.DUMMYFUNCTION("""COMPUTED_VALUE"""),69.29)</f>
        <v>69.29</v>
      </c>
      <c r="EH62" s="110">
        <f>IFERROR(__xludf.DUMMYFUNCTION("""COMPUTED_VALUE"""),102.18)</f>
        <v>102.18</v>
      </c>
      <c r="EI62" s="110">
        <f>IFERROR(__xludf.DUMMYFUNCTION("""COMPUTED_VALUE"""),138.07)</f>
        <v>138.07</v>
      </c>
      <c r="EJ62" s="110">
        <f>IFERROR(__xludf.DUMMYFUNCTION("""COMPUTED_VALUE"""),39.38)</f>
        <v>39.38</v>
      </c>
      <c r="EK62" s="110">
        <f>IFERROR(__xludf.DUMMYFUNCTION("""COMPUTED_VALUE"""),277.02)</f>
        <v>277.02</v>
      </c>
      <c r="EL62" s="110">
        <f>IFERROR(__xludf.DUMMYFUNCTION("""COMPUTED_VALUE"""),67.52)</f>
        <v>67.52</v>
      </c>
      <c r="EM62" s="110">
        <f>IFERROR(__xludf.DUMMYFUNCTION("""COMPUTED_VALUE"""),38.01)</f>
        <v>38.01</v>
      </c>
      <c r="EN62" s="110">
        <f>IFERROR(__xludf.DUMMYFUNCTION("""COMPUTED_VALUE"""),1780.01)</f>
        <v>1780.01</v>
      </c>
      <c r="EO62" s="110">
        <f>IFERROR(__xludf.DUMMYFUNCTION("""COMPUTED_VALUE"""),8.96)</f>
        <v>8.96</v>
      </c>
      <c r="EP62" s="110">
        <f>IFERROR(__xludf.DUMMYFUNCTION("""COMPUTED_VALUE"""),0.0)</f>
        <v>0</v>
      </c>
      <c r="EQ62" s="110">
        <f>IFERROR(__xludf.DUMMYFUNCTION("""COMPUTED_VALUE"""),2.15)</f>
        <v>2.15</v>
      </c>
      <c r="ER62" s="110">
        <f>IFERROR(__xludf.DUMMYFUNCTION("""COMPUTED_VALUE"""),4538.5)</f>
        <v>4538.5</v>
      </c>
      <c r="ES62" s="110">
        <f>IFERROR(__xludf.DUMMYFUNCTION("""COMPUTED_VALUE"""),101.51)</f>
        <v>101.51</v>
      </c>
      <c r="ET62" s="110">
        <f>IFERROR(__xludf.DUMMYFUNCTION("""COMPUTED_VALUE"""),107.75)</f>
        <v>107.75</v>
      </c>
      <c r="EU62" s="110">
        <f>IFERROR(__xludf.DUMMYFUNCTION("""COMPUTED_VALUE"""),30.65)</f>
        <v>30.65</v>
      </c>
      <c r="EV62" s="110">
        <f>IFERROR(__xludf.DUMMYFUNCTION("""COMPUTED_VALUE"""),1.39)</f>
        <v>1.39</v>
      </c>
      <c r="EW62" s="110">
        <f>IFERROR(__xludf.DUMMYFUNCTION("""COMPUTED_VALUE"""),13.78)</f>
        <v>13.78</v>
      </c>
      <c r="EX62" s="108">
        <f>IFERROR(__xludf.DUMMYFUNCTION("""COMPUTED_VALUE"""),5.0)</f>
        <v>5</v>
      </c>
      <c r="EY62" s="108">
        <f>IFERROR(__xludf.DUMMYFUNCTION("""COMPUTED_VALUE"""),178.78)</f>
        <v>178.78</v>
      </c>
      <c r="EZ62" s="108">
        <f>IFERROR(__xludf.DUMMYFUNCTION("""COMPUTED_VALUE"""),24.755)</f>
        <v>24.755</v>
      </c>
      <c r="FA62" s="108">
        <f>IFERROR(__xludf.DUMMYFUNCTION("""COMPUTED_VALUE"""),3.15)</f>
        <v>3.15</v>
      </c>
      <c r="FB62" s="108">
        <f>IFERROR(__xludf.DUMMYFUNCTION("""COMPUTED_VALUE"""),135.31)</f>
        <v>135.31</v>
      </c>
      <c r="FC62" s="108">
        <f>IFERROR(__xludf.DUMMYFUNCTION("""COMPUTED_VALUE"""),9.3)</f>
        <v>9.3</v>
      </c>
      <c r="FD62" s="108">
        <f>IFERROR(__xludf.DUMMYFUNCTION("""COMPUTED_VALUE"""),60.35)</f>
        <v>60.35</v>
      </c>
      <c r="FE62" s="108">
        <f>IFERROR(__xludf.DUMMYFUNCTION("""COMPUTED_VALUE"""),58.11)</f>
        <v>58.11</v>
      </c>
      <c r="FF62" s="108">
        <f>IFERROR(__xludf.DUMMYFUNCTION("""COMPUTED_VALUE"""),5.79)</f>
        <v>5.79</v>
      </c>
      <c r="FG62" s="108">
        <f>IFERROR(__xludf.DUMMYFUNCTION("""COMPUTED_VALUE"""),667.73)</f>
        <v>667.73</v>
      </c>
      <c r="FH62" s="108">
        <f>IFERROR(__xludf.DUMMYFUNCTION("""COMPUTED_VALUE"""),162.68)</f>
        <v>162.68</v>
      </c>
      <c r="FI62" s="108">
        <f>IFERROR(__xludf.DUMMYFUNCTION("""COMPUTED_VALUE"""),0.057)</f>
        <v>0.057</v>
      </c>
      <c r="FJ62" s="108">
        <f>IFERROR(__xludf.DUMMYFUNCTION("""COMPUTED_VALUE"""),14.9)</f>
        <v>14.9</v>
      </c>
      <c r="FK62" s="108">
        <f>IFERROR(__xludf.DUMMYFUNCTION("""COMPUTED_VALUE"""),190.7)</f>
        <v>190.7</v>
      </c>
      <c r="FL62" s="108">
        <f>IFERROR(__xludf.DUMMYFUNCTION("""COMPUTED_VALUE"""),499.33)</f>
        <v>499.33</v>
      </c>
      <c r="FM62" s="108">
        <f>IFERROR(__xludf.DUMMYFUNCTION("""COMPUTED_VALUE"""),133.52)</f>
        <v>133.52</v>
      </c>
      <c r="FN62" s="108">
        <f>IFERROR(__xludf.DUMMYFUNCTION("""COMPUTED_VALUE"""),1085.8)</f>
        <v>1085.8</v>
      </c>
      <c r="FO62" s="108">
        <f>IFERROR(__xludf.DUMMYFUNCTION("""COMPUTED_VALUE"""),693.0)</f>
        <v>693</v>
      </c>
    </row>
    <row r="63">
      <c r="A63" s="106">
        <f>IFERROR(__xludf.DUMMYFUNCTION("""COMPUTED_VALUE"""),44655.0)</f>
        <v>44655</v>
      </c>
      <c r="B63" s="110">
        <f>IFERROR(__xludf.DUMMYFUNCTION("""COMPUTED_VALUE"""),3366.93)</f>
        <v>3366.93</v>
      </c>
      <c r="C63" s="110">
        <f>IFERROR(__xludf.DUMMYFUNCTION("""COMPUTED_VALUE"""),233.89)</f>
        <v>233.89</v>
      </c>
      <c r="D63" s="110">
        <f>IFERROR(__xludf.DUMMYFUNCTION("""COMPUTED_VALUE"""),1145.45)</f>
        <v>1145.45</v>
      </c>
      <c r="E63" s="110">
        <f>IFERROR(__xludf.DUMMYFUNCTION("""COMPUTED_VALUE"""),390.0)</f>
        <v>390</v>
      </c>
      <c r="F63" s="110">
        <f>IFERROR(__xludf.DUMMYFUNCTION("""COMPUTED_VALUE"""),11.12)</f>
        <v>11.12</v>
      </c>
      <c r="G63" s="110">
        <f>IFERROR(__xludf.DUMMYFUNCTION("""COMPUTED_VALUE"""),178.44)</f>
        <v>178.44</v>
      </c>
      <c r="H63" s="110">
        <f>IFERROR(__xludf.DUMMYFUNCTION("""COMPUTED_VALUE"""),0.0)</f>
        <v>0</v>
      </c>
      <c r="I63" s="110">
        <f>IFERROR(__xludf.DUMMYFUNCTION("""COMPUTED_VALUE"""),0.0)</f>
        <v>0</v>
      </c>
      <c r="J63" s="110">
        <f>IFERROR(__xludf.DUMMYFUNCTION("""COMPUTED_VALUE"""),0.0)</f>
        <v>0</v>
      </c>
      <c r="K63" s="110">
        <f>IFERROR(__xludf.DUMMYFUNCTION("""COMPUTED_VALUE"""),42.35)</f>
        <v>42.35</v>
      </c>
      <c r="L63" s="110">
        <f>IFERROR(__xludf.DUMMYFUNCTION("""COMPUTED_VALUE"""),167.0)</f>
        <v>167</v>
      </c>
      <c r="M63" s="110">
        <f>IFERROR(__xludf.DUMMYFUNCTION("""COMPUTED_VALUE"""),46515.54)</f>
        <v>46515.54</v>
      </c>
      <c r="N63" s="110">
        <f>IFERROR(__xludf.DUMMYFUNCTION("""COMPUTED_VALUE"""),391.5)</f>
        <v>391.5</v>
      </c>
      <c r="O63" s="110">
        <f>IFERROR(__xludf.DUMMYFUNCTION("""COMPUTED_VALUE"""),314.97)</f>
        <v>314.97</v>
      </c>
      <c r="P63" s="110">
        <f>IFERROR(__xludf.DUMMYFUNCTION("""COMPUTED_VALUE"""),29.53)</f>
        <v>29.53</v>
      </c>
      <c r="Q63" s="110">
        <f>IFERROR(__xludf.DUMMYFUNCTION("""COMPUTED_VALUE"""),24.94)</f>
        <v>24.94</v>
      </c>
      <c r="R63" s="110">
        <f>IFERROR(__xludf.DUMMYFUNCTION("""COMPUTED_VALUE"""),63.31)</f>
        <v>63.31</v>
      </c>
      <c r="S63" s="110">
        <f>IFERROR(__xludf.DUMMYFUNCTION("""COMPUTED_VALUE"""),32.08)</f>
        <v>32.08</v>
      </c>
      <c r="T63" s="110">
        <f>IFERROR(__xludf.DUMMYFUNCTION("""COMPUTED_VALUE"""),31.4)</f>
        <v>31.4</v>
      </c>
      <c r="U63" s="110">
        <f>IFERROR(__xludf.DUMMYFUNCTION("""COMPUTED_VALUE"""),42.5)</f>
        <v>42.5</v>
      </c>
      <c r="V63" s="110">
        <f>IFERROR(__xludf.DUMMYFUNCTION("""COMPUTED_VALUE"""),14.02)</f>
        <v>14.02</v>
      </c>
      <c r="W63" s="110">
        <f>IFERROR(__xludf.DUMMYFUNCTION("""COMPUTED_VALUE"""),246.83)</f>
        <v>246.83</v>
      </c>
      <c r="X63" s="110">
        <f>IFERROR(__xludf.DUMMYFUNCTION("""COMPUTED_VALUE"""),2872.85)</f>
        <v>2872.85</v>
      </c>
      <c r="Y63" s="110">
        <f>IFERROR(__xludf.DUMMYFUNCTION("""COMPUTED_VALUE"""),59.25)</f>
        <v>59.25</v>
      </c>
      <c r="Z63" s="110">
        <f>IFERROR(__xludf.DUMMYFUNCTION("""COMPUTED_VALUE"""),69.55)</f>
        <v>69.55</v>
      </c>
      <c r="AA63" s="110">
        <f>IFERROR(__xludf.DUMMYFUNCTION("""COMPUTED_VALUE"""),126.9)</f>
        <v>126.9</v>
      </c>
      <c r="AB63" s="110">
        <f>IFERROR(__xludf.DUMMYFUNCTION("""COMPUTED_VALUE"""),4.86)</f>
        <v>4.86</v>
      </c>
      <c r="AC63" s="110">
        <f>IFERROR(__xludf.DUMMYFUNCTION("""COMPUTED_VALUE"""),77.16)</f>
        <v>77.16</v>
      </c>
      <c r="AD63" s="110">
        <f>IFERROR(__xludf.DUMMYFUNCTION("""COMPUTED_VALUE"""),12.32)</f>
        <v>12.32</v>
      </c>
      <c r="AE63" s="110">
        <f>IFERROR(__xludf.DUMMYFUNCTION("""COMPUTED_VALUE"""),6.91)</f>
        <v>6.91</v>
      </c>
      <c r="AF63" s="110">
        <f>IFERROR(__xludf.DUMMYFUNCTION("""COMPUTED_VALUE"""),41.83)</f>
        <v>41.83</v>
      </c>
      <c r="AG63" s="110">
        <f>IFERROR(__xludf.DUMMYFUNCTION("""COMPUTED_VALUE"""),12.9)</f>
        <v>12.9</v>
      </c>
      <c r="AH63" s="110">
        <f>IFERROR(__xludf.DUMMYFUNCTION("""COMPUTED_VALUE"""),2.18)</f>
        <v>2.18</v>
      </c>
      <c r="AI63" s="110">
        <f>IFERROR(__xludf.DUMMYFUNCTION("""COMPUTED_VALUE"""),3.75)</f>
        <v>3.75</v>
      </c>
      <c r="AJ63" s="110">
        <f>IFERROR(__xludf.DUMMYFUNCTION("""COMPUTED_VALUE"""),98.5)</f>
        <v>98.5</v>
      </c>
      <c r="AK63" s="110">
        <f>IFERROR(__xludf.DUMMYFUNCTION("""COMPUTED_VALUE"""),273.6)</f>
        <v>273.6</v>
      </c>
      <c r="AL63" s="110">
        <f>IFERROR(__xludf.DUMMYFUNCTION("""COMPUTED_VALUE"""),14.04)</f>
        <v>14.04</v>
      </c>
      <c r="AM63" s="110">
        <f>IFERROR(__xludf.DUMMYFUNCTION("""COMPUTED_VALUE"""),40.83)</f>
        <v>40.83</v>
      </c>
      <c r="AN63" s="110">
        <f>IFERROR(__xludf.DUMMYFUNCTION("""COMPUTED_VALUE"""),345.43)</f>
        <v>345.43</v>
      </c>
      <c r="AO63" s="110">
        <f>IFERROR(__xludf.DUMMYFUNCTION("""COMPUTED_VALUE"""),105.04)</f>
        <v>105.04</v>
      </c>
      <c r="AP63" s="110">
        <f>IFERROR(__xludf.DUMMYFUNCTION("""COMPUTED_VALUE"""),80.73)</f>
        <v>80.73</v>
      </c>
      <c r="AQ63" s="110">
        <f>IFERROR(__xludf.DUMMYFUNCTION("""COMPUTED_VALUE"""),50.36)</f>
        <v>50.36</v>
      </c>
      <c r="AR63" s="109">
        <f>IFERROR(__xludf.DUMMYFUNCTION("""COMPUTED_VALUE"""),102.8905)</f>
        <v>102.8905</v>
      </c>
      <c r="AS63" s="110">
        <f>IFERROR(__xludf.DUMMYFUNCTION("""COMPUTED_VALUE"""),11.78)</f>
        <v>11.78</v>
      </c>
      <c r="AT63" s="110">
        <f>IFERROR(__xludf.DUMMYFUNCTION("""COMPUTED_VALUE"""),113.7)</f>
        <v>113.7</v>
      </c>
      <c r="AU63" s="110">
        <f>IFERROR(__xludf.DUMMYFUNCTION("""COMPUTED_VALUE"""),65.35)</f>
        <v>65.35</v>
      </c>
      <c r="AV63" s="110">
        <f>IFERROR(__xludf.DUMMYFUNCTION("""COMPUTED_VALUE"""),138.58)</f>
        <v>138.58</v>
      </c>
      <c r="AW63" s="110">
        <f>IFERROR(__xludf.DUMMYFUNCTION("""COMPUTED_VALUE"""),129.44)</f>
        <v>129.44</v>
      </c>
      <c r="AX63" s="110">
        <f>IFERROR(__xludf.DUMMYFUNCTION("""COMPUTED_VALUE"""),19.34)</f>
        <v>19.34</v>
      </c>
      <c r="AY63" s="110">
        <f>IFERROR(__xludf.DUMMYFUNCTION("""COMPUTED_VALUE"""),50.02)</f>
        <v>50.02</v>
      </c>
      <c r="AZ63" s="110">
        <f>IFERROR(__xludf.DUMMYFUNCTION("""COMPUTED_VALUE"""),0.0)</f>
        <v>0</v>
      </c>
      <c r="BA63" s="110">
        <f>IFERROR(__xludf.DUMMYFUNCTION("""COMPUTED_VALUE"""),0.0)</f>
        <v>0</v>
      </c>
      <c r="BB63" s="110">
        <f>IFERROR(__xludf.DUMMYFUNCTION("""COMPUTED_VALUE"""),12.46)</f>
        <v>12.46</v>
      </c>
      <c r="BC63" s="110">
        <f>IFERROR(__xludf.DUMMYFUNCTION("""COMPUTED_VALUE"""),8.06)</f>
        <v>8.06</v>
      </c>
      <c r="BD63" s="110">
        <f>IFERROR(__xludf.DUMMYFUNCTION("""COMPUTED_VALUE"""),198.1)</f>
        <v>198.1</v>
      </c>
      <c r="BE63" s="110">
        <f>IFERROR(__xludf.DUMMYFUNCTION("""COMPUTED_VALUE"""),156.3)</f>
        <v>156.3</v>
      </c>
      <c r="BF63" s="110">
        <f>IFERROR(__xludf.DUMMYFUNCTION("""COMPUTED_VALUE"""),12.18)</f>
        <v>12.18</v>
      </c>
      <c r="BG63" s="110">
        <f>IFERROR(__xludf.DUMMYFUNCTION("""COMPUTED_VALUE"""),628.1)</f>
        <v>628.1</v>
      </c>
      <c r="BH63" s="110">
        <f>IFERROR(__xludf.DUMMYFUNCTION("""COMPUTED_VALUE"""),317.18)</f>
        <v>317.18</v>
      </c>
      <c r="BI63" s="110">
        <f>IFERROR(__xludf.DUMMYFUNCTION("""COMPUTED_VALUE"""),244.87)</f>
        <v>244.87</v>
      </c>
      <c r="BJ63" s="110">
        <f>IFERROR(__xludf.DUMMYFUNCTION("""COMPUTED_VALUE"""),25.21)</f>
        <v>25.21</v>
      </c>
      <c r="BK63" s="110">
        <f>IFERROR(__xludf.DUMMYFUNCTION("""COMPUTED_VALUE"""),340.15)</f>
        <v>340.15</v>
      </c>
      <c r="BL63" s="110">
        <f>IFERROR(__xludf.DUMMYFUNCTION("""COMPUTED_VALUE"""),132.59)</f>
        <v>132.59</v>
      </c>
      <c r="BM63" s="110">
        <f>IFERROR(__xludf.DUMMYFUNCTION("""COMPUTED_VALUE"""),16.66)</f>
        <v>16.66</v>
      </c>
      <c r="BN63" s="110">
        <f>IFERROR(__xludf.DUMMYFUNCTION("""COMPUTED_VALUE"""),315.0)</f>
        <v>315</v>
      </c>
      <c r="BO63" s="110">
        <f>IFERROR(__xludf.DUMMYFUNCTION("""COMPUTED_VALUE"""),728.69)</f>
        <v>728.69</v>
      </c>
      <c r="BP63" s="110">
        <f>IFERROR(__xludf.DUMMYFUNCTION("""COMPUTED_VALUE"""),46.53)</f>
        <v>46.53</v>
      </c>
      <c r="BQ63" s="110">
        <f>IFERROR(__xludf.DUMMYFUNCTION("""COMPUTED_VALUE"""),9.77)</f>
        <v>9.77</v>
      </c>
      <c r="BR63" s="110">
        <f>IFERROR(__xludf.DUMMYFUNCTION("""COMPUTED_VALUE"""),37.96)</f>
        <v>37.96</v>
      </c>
      <c r="BS63" s="110">
        <f>IFERROR(__xludf.DUMMYFUNCTION("""COMPUTED_VALUE"""),1.01)</f>
        <v>1.01</v>
      </c>
      <c r="BT63" s="110">
        <f>IFERROR(__xludf.DUMMYFUNCTION("""COMPUTED_VALUE"""),46.38)</f>
        <v>46.38</v>
      </c>
      <c r="BU63" s="110">
        <f>IFERROR(__xludf.DUMMYFUNCTION("""COMPUTED_VALUE"""),38.6)</f>
        <v>38.6</v>
      </c>
      <c r="BV63" s="110">
        <f>IFERROR(__xludf.DUMMYFUNCTION("""COMPUTED_VALUE"""),54.9)</f>
        <v>54.9</v>
      </c>
      <c r="BW63" s="110">
        <f>IFERROR(__xludf.DUMMYFUNCTION("""COMPUTED_VALUE"""),8.07)</f>
        <v>8.07</v>
      </c>
      <c r="BX63" s="110">
        <f>IFERROR(__xludf.DUMMYFUNCTION("""COMPUTED_VALUE"""),5.65)</f>
        <v>5.65</v>
      </c>
      <c r="BY63" s="110">
        <f>IFERROR(__xludf.DUMMYFUNCTION("""COMPUTED_VALUE"""),0.0)</f>
        <v>0</v>
      </c>
      <c r="BZ63" s="110">
        <f>IFERROR(__xludf.DUMMYFUNCTION("""COMPUTED_VALUE"""),16.59)</f>
        <v>16.59</v>
      </c>
      <c r="CA63" s="110">
        <f>IFERROR(__xludf.DUMMYFUNCTION("""COMPUTED_VALUE"""),3.62)</f>
        <v>3.62</v>
      </c>
      <c r="CB63" s="110">
        <f>IFERROR(__xludf.DUMMYFUNCTION("""COMPUTED_VALUE"""),5.16)</f>
        <v>5.16</v>
      </c>
      <c r="CC63" s="110">
        <f>IFERROR(__xludf.DUMMYFUNCTION("""COMPUTED_VALUE"""),17.2)</f>
        <v>17.2</v>
      </c>
      <c r="CD63" s="110">
        <f>IFERROR(__xludf.DUMMYFUNCTION("""COMPUTED_VALUE"""),13.57)</f>
        <v>13.57</v>
      </c>
      <c r="CE63" s="110">
        <f>IFERROR(__xludf.DUMMYFUNCTION("""COMPUTED_VALUE"""),27.7)</f>
        <v>27.7</v>
      </c>
      <c r="CF63" s="110">
        <f>IFERROR(__xludf.DUMMYFUNCTION("""COMPUTED_VALUE"""),105.02)</f>
        <v>105.02</v>
      </c>
      <c r="CG63" s="110">
        <f>IFERROR(__xludf.DUMMYFUNCTION("""COMPUTED_VALUE"""),4.53)</f>
        <v>4.53</v>
      </c>
      <c r="CH63" s="110">
        <f>IFERROR(__xludf.DUMMYFUNCTION("""COMPUTED_VALUE"""),24.86)</f>
        <v>24.86</v>
      </c>
      <c r="CI63" s="110">
        <f>IFERROR(__xludf.DUMMYFUNCTION("""COMPUTED_VALUE"""),43.39)</f>
        <v>43.39</v>
      </c>
      <c r="CJ63" s="110">
        <f>IFERROR(__xludf.DUMMYFUNCTION("""COMPUTED_VALUE"""),0.0)</f>
        <v>0</v>
      </c>
      <c r="CK63" s="110">
        <f>IFERROR(__xludf.DUMMYFUNCTION("""COMPUTED_VALUE"""),12.83)</f>
        <v>12.83</v>
      </c>
      <c r="CL63" s="110">
        <f>IFERROR(__xludf.DUMMYFUNCTION("""COMPUTED_VALUE"""),2859.43)</f>
        <v>2859.43</v>
      </c>
      <c r="CM63" s="110">
        <f>IFERROR(__xludf.DUMMYFUNCTION("""COMPUTED_VALUE"""),0.0)</f>
        <v>0</v>
      </c>
      <c r="CN63" s="110">
        <f>IFERROR(__xludf.DUMMYFUNCTION("""COMPUTED_VALUE"""),241.4)</f>
        <v>241.4</v>
      </c>
      <c r="CO63" s="110">
        <f>IFERROR(__xludf.DUMMYFUNCTION("""COMPUTED_VALUE"""),145.7)</f>
        <v>145.7</v>
      </c>
      <c r="CP63" s="110">
        <f>IFERROR(__xludf.DUMMYFUNCTION("""COMPUTED_VALUE"""),70.5)</f>
        <v>70.5</v>
      </c>
      <c r="CQ63" s="110">
        <f>IFERROR(__xludf.DUMMYFUNCTION("""COMPUTED_VALUE"""),69100.0)</f>
        <v>69100</v>
      </c>
      <c r="CR63" s="110">
        <f>IFERROR(__xludf.DUMMYFUNCTION("""COMPUTED_VALUE"""),0.52)</f>
        <v>0.52</v>
      </c>
      <c r="CS63" s="110">
        <f>IFERROR(__xludf.DUMMYFUNCTION("""COMPUTED_VALUE"""),31.3)</f>
        <v>31.3</v>
      </c>
      <c r="CT63" s="110">
        <f>IFERROR(__xludf.DUMMYFUNCTION("""COMPUTED_VALUE"""),22.7)</f>
        <v>22.7</v>
      </c>
      <c r="CU63" s="110">
        <f>IFERROR(__xludf.DUMMYFUNCTION("""COMPUTED_VALUE"""),1930.4)</f>
        <v>1930.4</v>
      </c>
      <c r="CV63" s="110">
        <f>IFERROR(__xludf.DUMMYFUNCTION("""COMPUTED_VALUE"""),2.68)</f>
        <v>2.68</v>
      </c>
      <c r="CW63" s="110">
        <f>IFERROR(__xludf.DUMMYFUNCTION("""COMPUTED_VALUE"""),3.37)</f>
        <v>3.37</v>
      </c>
      <c r="CX63" s="110">
        <f>IFERROR(__xludf.DUMMYFUNCTION("""COMPUTED_VALUE"""),0.0)</f>
        <v>0</v>
      </c>
      <c r="CY63" s="110">
        <f>IFERROR(__xludf.DUMMYFUNCTION("""COMPUTED_VALUE"""),0.02)</f>
        <v>0.02</v>
      </c>
      <c r="CZ63" s="110">
        <f>IFERROR(__xludf.DUMMYFUNCTION("""COMPUTED_VALUE"""),79.5)</f>
        <v>79.5</v>
      </c>
      <c r="DA63" s="110">
        <f>IFERROR(__xludf.DUMMYFUNCTION("""COMPUTED_VALUE"""),0.02)</f>
        <v>0.02</v>
      </c>
      <c r="DB63" s="110">
        <f>IFERROR(__xludf.DUMMYFUNCTION("""COMPUTED_VALUE"""),0.09)</f>
        <v>0.09</v>
      </c>
      <c r="DC63" s="110">
        <f>IFERROR(__xludf.DUMMYFUNCTION("""COMPUTED_VALUE"""),161.47)</f>
        <v>161.47</v>
      </c>
      <c r="DD63" s="110">
        <f>IFERROR(__xludf.DUMMYFUNCTION("""COMPUTED_VALUE"""),9.7)</f>
        <v>9.7</v>
      </c>
      <c r="DE63" s="110">
        <f>IFERROR(__xludf.DUMMYFUNCTION("""COMPUTED_VALUE"""),7.31)</f>
        <v>7.31</v>
      </c>
      <c r="DF63" s="110">
        <f>IFERROR(__xludf.DUMMYFUNCTION("""COMPUTED_VALUE"""),57.6)</f>
        <v>57.6</v>
      </c>
      <c r="DG63" s="110">
        <f>IFERROR(__xludf.DUMMYFUNCTION("""COMPUTED_VALUE"""),5.79)</f>
        <v>5.79</v>
      </c>
      <c r="DH63" s="110">
        <f>IFERROR(__xludf.DUMMYFUNCTION("""COMPUTED_VALUE"""),9.51)</f>
        <v>9.51</v>
      </c>
      <c r="DI63" s="110">
        <f>IFERROR(__xludf.DUMMYFUNCTION("""COMPUTED_VALUE"""),151.04)</f>
        <v>151.04</v>
      </c>
      <c r="DJ63" s="110">
        <f>IFERROR(__xludf.DUMMYFUNCTION("""COMPUTED_VALUE"""),14.49)</f>
        <v>14.49</v>
      </c>
      <c r="DK63" s="110">
        <f>IFERROR(__xludf.DUMMYFUNCTION("""COMPUTED_VALUE"""),0.0)</f>
        <v>0</v>
      </c>
      <c r="DL63" s="110">
        <f>IFERROR(__xludf.DUMMYFUNCTION("""COMPUTED_VALUE"""),25.0)</f>
        <v>25</v>
      </c>
      <c r="DM63" s="110">
        <f>IFERROR(__xludf.DUMMYFUNCTION("""COMPUTED_VALUE"""),444.01)</f>
        <v>444.01</v>
      </c>
      <c r="DN63" s="110">
        <f>IFERROR(__xludf.DUMMYFUNCTION("""COMPUTED_VALUE"""),177.02)</f>
        <v>177.02</v>
      </c>
      <c r="DO63" s="110">
        <f>IFERROR(__xludf.DUMMYFUNCTION("""COMPUTED_VALUE"""),370.8)</f>
        <v>370.8</v>
      </c>
      <c r="DP63" s="110">
        <f>IFERROR(__xludf.DUMMYFUNCTION("""COMPUTED_VALUE"""),0.26)</f>
        <v>0.26</v>
      </c>
      <c r="DQ63" s="110">
        <f>IFERROR(__xludf.DUMMYFUNCTION("""COMPUTED_VALUE"""),117.5)</f>
        <v>117.5</v>
      </c>
      <c r="DR63" s="110">
        <f>IFERROR(__xludf.DUMMYFUNCTION("""COMPUTED_VALUE"""),0.05)</f>
        <v>0.05</v>
      </c>
      <c r="DS63" s="110">
        <f>IFERROR(__xludf.DUMMYFUNCTION("""COMPUTED_VALUE"""),3.2)</f>
        <v>3.2</v>
      </c>
      <c r="DT63" s="110">
        <f>IFERROR(__xludf.DUMMYFUNCTION("""COMPUTED_VALUE"""),5.92)</f>
        <v>5.92</v>
      </c>
      <c r="DU63" s="110">
        <f>IFERROR(__xludf.DUMMYFUNCTION("""COMPUTED_VALUE"""),50.94)</f>
        <v>50.94</v>
      </c>
      <c r="DV63" s="110">
        <f>IFERROR(__xludf.DUMMYFUNCTION("""COMPUTED_VALUE"""),15.26)</f>
        <v>15.26</v>
      </c>
      <c r="DW63" s="110">
        <f>IFERROR(__xludf.DUMMYFUNCTION("""COMPUTED_VALUE"""),0.066)</f>
        <v>0.066</v>
      </c>
      <c r="DX63" s="110">
        <f>IFERROR(__xludf.DUMMYFUNCTION("""COMPUTED_VALUE"""),28.78)</f>
        <v>28.78</v>
      </c>
      <c r="DY63" s="110">
        <f>IFERROR(__xludf.DUMMYFUNCTION("""COMPUTED_VALUE"""),0.0)</f>
        <v>0</v>
      </c>
      <c r="DZ63" s="110">
        <f>IFERROR(__xludf.DUMMYFUNCTION("""COMPUTED_VALUE"""),75.29)</f>
        <v>75.29</v>
      </c>
      <c r="EA63" s="110">
        <f>IFERROR(__xludf.DUMMYFUNCTION("""COMPUTED_VALUE"""),49.13)</f>
        <v>49.13</v>
      </c>
      <c r="EB63" s="110">
        <f>IFERROR(__xludf.DUMMYFUNCTION("""COMPUTED_VALUE"""),74.92)</f>
        <v>74.92</v>
      </c>
      <c r="EC63" s="110">
        <f>IFERROR(__xludf.DUMMYFUNCTION("""COMPUTED_VALUE"""),76.41)</f>
        <v>76.41</v>
      </c>
      <c r="ED63" s="110">
        <f>IFERROR(__xludf.DUMMYFUNCTION("""COMPUTED_VALUE"""),38.05)</f>
        <v>38.05</v>
      </c>
      <c r="EE63" s="110">
        <f>IFERROR(__xludf.DUMMYFUNCTION("""COMPUTED_VALUE"""),89.1)</f>
        <v>89.1</v>
      </c>
      <c r="EF63" s="110">
        <f>IFERROR(__xludf.DUMMYFUNCTION("""COMPUTED_VALUE"""),189.39)</f>
        <v>189.39</v>
      </c>
      <c r="EG63" s="110">
        <f>IFERROR(__xludf.DUMMYFUNCTION("""COMPUTED_VALUE"""),71.2)</f>
        <v>71.2</v>
      </c>
      <c r="EH63" s="110">
        <f>IFERROR(__xludf.DUMMYFUNCTION("""COMPUTED_VALUE"""),102.05)</f>
        <v>102.05</v>
      </c>
      <c r="EI63" s="110">
        <f>IFERROR(__xludf.DUMMYFUNCTION("""COMPUTED_VALUE"""),136.92)</f>
        <v>136.92</v>
      </c>
      <c r="EJ63" s="110">
        <f>IFERROR(__xludf.DUMMYFUNCTION("""COMPUTED_VALUE"""),39.38)</f>
        <v>39.38</v>
      </c>
      <c r="EK63" s="110">
        <f>IFERROR(__xludf.DUMMYFUNCTION("""COMPUTED_VALUE"""),277.02)</f>
        <v>277.02</v>
      </c>
      <c r="EL63" s="110">
        <f>IFERROR(__xludf.DUMMYFUNCTION("""COMPUTED_VALUE"""),67.52)</f>
        <v>67.52</v>
      </c>
      <c r="EM63" s="110">
        <f>IFERROR(__xludf.DUMMYFUNCTION("""COMPUTED_VALUE"""),38.01)</f>
        <v>38.01</v>
      </c>
      <c r="EN63" s="110">
        <f>IFERROR(__xludf.DUMMYFUNCTION("""COMPUTED_VALUE"""),1780.01)</f>
        <v>1780.01</v>
      </c>
      <c r="EO63" s="110">
        <f>IFERROR(__xludf.DUMMYFUNCTION("""COMPUTED_VALUE"""),9.14)</f>
        <v>9.14</v>
      </c>
      <c r="EP63" s="110">
        <f>IFERROR(__xludf.DUMMYFUNCTION("""COMPUTED_VALUE"""),0.0)</f>
        <v>0</v>
      </c>
      <c r="EQ63" s="110">
        <f>IFERROR(__xludf.DUMMYFUNCTION("""COMPUTED_VALUE"""),2.1)</f>
        <v>2.1</v>
      </c>
      <c r="ER63" s="110">
        <f>IFERROR(__xludf.DUMMYFUNCTION("""COMPUTED_VALUE"""),4572.75)</f>
        <v>4572.75</v>
      </c>
      <c r="ES63" s="110">
        <f>IFERROR(__xludf.DUMMYFUNCTION("""COMPUTED_VALUE"""),100.65)</f>
        <v>100.65</v>
      </c>
      <c r="ET63" s="110">
        <f>IFERROR(__xludf.DUMMYFUNCTION("""COMPUTED_VALUE"""),109.37)</f>
        <v>109.37</v>
      </c>
      <c r="EU63" s="110">
        <f>IFERROR(__xludf.DUMMYFUNCTION("""COMPUTED_VALUE"""),34.05)</f>
        <v>34.05</v>
      </c>
      <c r="EV63" s="110">
        <f>IFERROR(__xludf.DUMMYFUNCTION("""COMPUTED_VALUE"""),1.38)</f>
        <v>1.38</v>
      </c>
      <c r="EW63" s="110">
        <f>IFERROR(__xludf.DUMMYFUNCTION("""COMPUTED_VALUE"""),14.2)</f>
        <v>14.2</v>
      </c>
      <c r="EX63" s="108">
        <f>IFERROR(__xludf.DUMMYFUNCTION("""COMPUTED_VALUE"""),5.36)</f>
        <v>5.36</v>
      </c>
      <c r="EY63" s="108">
        <f>IFERROR(__xludf.DUMMYFUNCTION("""COMPUTED_VALUE"""),186.24)</f>
        <v>186.24</v>
      </c>
      <c r="EZ63" s="108">
        <f>IFERROR(__xludf.DUMMYFUNCTION("""COMPUTED_VALUE"""),24.585)</f>
        <v>24.585</v>
      </c>
      <c r="FA63" s="108">
        <f>IFERROR(__xludf.DUMMYFUNCTION("""COMPUTED_VALUE"""),3.15)</f>
        <v>3.15</v>
      </c>
      <c r="FB63" s="108">
        <f>IFERROR(__xludf.DUMMYFUNCTION("""COMPUTED_VALUE"""),135.91)</f>
        <v>135.91</v>
      </c>
      <c r="FC63" s="108">
        <f>IFERROR(__xludf.DUMMYFUNCTION("""COMPUTED_VALUE"""),9.3)</f>
        <v>9.3</v>
      </c>
      <c r="FD63" s="108">
        <f>IFERROR(__xludf.DUMMYFUNCTION("""COMPUTED_VALUE"""),60.85)</f>
        <v>60.85</v>
      </c>
      <c r="FE63" s="108">
        <f>IFERROR(__xludf.DUMMYFUNCTION("""COMPUTED_VALUE"""),57.79)</f>
        <v>57.79</v>
      </c>
      <c r="FF63" s="108">
        <f>IFERROR(__xludf.DUMMYFUNCTION("""COMPUTED_VALUE"""),5.79)</f>
        <v>5.79</v>
      </c>
      <c r="FG63" s="108">
        <f>IFERROR(__xludf.DUMMYFUNCTION("""COMPUTED_VALUE"""),680.83)</f>
        <v>680.83</v>
      </c>
      <c r="FH63" s="108">
        <f>IFERROR(__xludf.DUMMYFUNCTION("""COMPUTED_VALUE"""),161.89)</f>
        <v>161.89</v>
      </c>
      <c r="FI63" s="108">
        <f>IFERROR(__xludf.DUMMYFUNCTION("""COMPUTED_VALUE"""),0.06)</f>
        <v>0.06</v>
      </c>
      <c r="FJ63" s="108">
        <f>IFERROR(__xludf.DUMMYFUNCTION("""COMPUTED_VALUE"""),15.4)</f>
        <v>15.4</v>
      </c>
      <c r="FK63" s="108">
        <f>IFERROR(__xludf.DUMMYFUNCTION("""COMPUTED_VALUE"""),190.7)</f>
        <v>190.7</v>
      </c>
      <c r="FL63" s="108">
        <f>IFERROR(__xludf.DUMMYFUNCTION("""COMPUTED_VALUE"""),489.34)</f>
        <v>489.34</v>
      </c>
      <c r="FM63" s="108">
        <f>IFERROR(__xludf.DUMMYFUNCTION("""COMPUTED_VALUE"""),134.34)</f>
        <v>134.34</v>
      </c>
      <c r="FN63" s="108">
        <f>IFERROR(__xludf.DUMMYFUNCTION("""COMPUTED_VALUE"""),1093.53)</f>
        <v>1093.53</v>
      </c>
      <c r="FO63" s="108">
        <f>IFERROR(__xludf.DUMMYFUNCTION("""COMPUTED_VALUE"""),727.29)</f>
        <v>727.29</v>
      </c>
    </row>
    <row r="64">
      <c r="A64" s="106">
        <f>IFERROR(__xludf.DUMMYFUNCTION("""COMPUTED_VALUE"""),44656.0)</f>
        <v>44656</v>
      </c>
      <c r="B64" s="110">
        <f>IFERROR(__xludf.DUMMYFUNCTION("""COMPUTED_VALUE"""),3281.1)</f>
        <v>3281.1</v>
      </c>
      <c r="C64" s="110">
        <f>IFERROR(__xludf.DUMMYFUNCTION("""COMPUTED_VALUE"""),231.84)</f>
        <v>231.84</v>
      </c>
      <c r="D64" s="110">
        <f>IFERROR(__xludf.DUMMYFUNCTION("""COMPUTED_VALUE"""),1091.26)</f>
        <v>1091.26</v>
      </c>
      <c r="E64" s="110">
        <f>IFERROR(__xludf.DUMMYFUNCTION("""COMPUTED_VALUE"""),390.0)</f>
        <v>390</v>
      </c>
      <c r="F64" s="110">
        <f>IFERROR(__xludf.DUMMYFUNCTION("""COMPUTED_VALUE"""),11.12)</f>
        <v>11.12</v>
      </c>
      <c r="G64" s="110">
        <f>IFERROR(__xludf.DUMMYFUNCTION("""COMPUTED_VALUE"""),175.06)</f>
        <v>175.06</v>
      </c>
      <c r="H64" s="110">
        <f>IFERROR(__xludf.DUMMYFUNCTION("""COMPUTED_VALUE"""),0.0)</f>
        <v>0</v>
      </c>
      <c r="I64" s="110">
        <f>IFERROR(__xludf.DUMMYFUNCTION("""COMPUTED_VALUE"""),0.0)</f>
        <v>0</v>
      </c>
      <c r="J64" s="110">
        <f>IFERROR(__xludf.DUMMYFUNCTION("""COMPUTED_VALUE"""),0.0)</f>
        <v>0</v>
      </c>
      <c r="K64" s="110">
        <f>IFERROR(__xludf.DUMMYFUNCTION("""COMPUTED_VALUE"""),42.35)</f>
        <v>42.35</v>
      </c>
      <c r="L64" s="110">
        <f>IFERROR(__xludf.DUMMYFUNCTION("""COMPUTED_VALUE"""),167.0)</f>
        <v>167</v>
      </c>
      <c r="M64" s="110">
        <f>IFERROR(__xludf.DUMMYFUNCTION("""COMPUTED_VALUE"""),45284.75)</f>
        <v>45284.75</v>
      </c>
      <c r="N64" s="110">
        <f>IFERROR(__xludf.DUMMYFUNCTION("""COMPUTED_VALUE"""),380.15)</f>
        <v>380.15</v>
      </c>
      <c r="O64" s="110">
        <f>IFERROR(__xludf.DUMMYFUNCTION("""COMPUTED_VALUE"""),310.88)</f>
        <v>310.88</v>
      </c>
      <c r="P64" s="110">
        <f>IFERROR(__xludf.DUMMYFUNCTION("""COMPUTED_VALUE"""),28.05)</f>
        <v>28.05</v>
      </c>
      <c r="Q64" s="110">
        <f>IFERROR(__xludf.DUMMYFUNCTION("""COMPUTED_VALUE"""),24.48)</f>
        <v>24.48</v>
      </c>
      <c r="R64" s="110">
        <f>IFERROR(__xludf.DUMMYFUNCTION("""COMPUTED_VALUE"""),60.92)</f>
        <v>60.92</v>
      </c>
      <c r="S64" s="110">
        <f>IFERROR(__xludf.DUMMYFUNCTION("""COMPUTED_VALUE"""),32.13)</f>
        <v>32.13</v>
      </c>
      <c r="T64" s="110">
        <f>IFERROR(__xludf.DUMMYFUNCTION("""COMPUTED_VALUE"""),29.41)</f>
        <v>29.41</v>
      </c>
      <c r="U64" s="110">
        <f>IFERROR(__xludf.DUMMYFUNCTION("""COMPUTED_VALUE"""),41.66)</f>
        <v>41.66</v>
      </c>
      <c r="V64" s="110">
        <f>IFERROR(__xludf.DUMMYFUNCTION("""COMPUTED_VALUE"""),14.02)</f>
        <v>14.02</v>
      </c>
      <c r="W64" s="110">
        <f>IFERROR(__xludf.DUMMYFUNCTION("""COMPUTED_VALUE"""),248.51)</f>
        <v>248.51</v>
      </c>
      <c r="X64" s="110">
        <f>IFERROR(__xludf.DUMMYFUNCTION("""COMPUTED_VALUE"""),2821.26)</f>
        <v>2821.26</v>
      </c>
      <c r="Y64" s="110">
        <f>IFERROR(__xludf.DUMMYFUNCTION("""COMPUTED_VALUE"""),59.25)</f>
        <v>59.25</v>
      </c>
      <c r="Z64" s="110">
        <f>IFERROR(__xludf.DUMMYFUNCTION("""COMPUTED_VALUE"""),69.55)</f>
        <v>69.55</v>
      </c>
      <c r="AA64" s="110">
        <f>IFERROR(__xludf.DUMMYFUNCTION("""COMPUTED_VALUE"""),120.44)</f>
        <v>120.44</v>
      </c>
      <c r="AB64" s="110">
        <f>IFERROR(__xludf.DUMMYFUNCTION("""COMPUTED_VALUE"""),4.86)</f>
        <v>4.86</v>
      </c>
      <c r="AC64" s="110">
        <f>IFERROR(__xludf.DUMMYFUNCTION("""COMPUTED_VALUE"""),75.95)</f>
        <v>75.95</v>
      </c>
      <c r="AD64" s="110">
        <f>IFERROR(__xludf.DUMMYFUNCTION("""COMPUTED_VALUE"""),12.18)</f>
        <v>12.18</v>
      </c>
      <c r="AE64" s="110">
        <f>IFERROR(__xludf.DUMMYFUNCTION("""COMPUTED_VALUE"""),6.91)</f>
        <v>6.91</v>
      </c>
      <c r="AF64" s="110">
        <f>IFERROR(__xludf.DUMMYFUNCTION("""COMPUTED_VALUE"""),42.49)</f>
        <v>42.49</v>
      </c>
      <c r="AG64" s="110">
        <f>IFERROR(__xludf.DUMMYFUNCTION("""COMPUTED_VALUE"""),12.9)</f>
        <v>12.9</v>
      </c>
      <c r="AH64" s="110">
        <f>IFERROR(__xludf.DUMMYFUNCTION("""COMPUTED_VALUE"""),2.18)</f>
        <v>2.18</v>
      </c>
      <c r="AI64" s="110">
        <f>IFERROR(__xludf.DUMMYFUNCTION("""COMPUTED_VALUE"""),3.75)</f>
        <v>3.75</v>
      </c>
      <c r="AJ64" s="110">
        <f>IFERROR(__xludf.DUMMYFUNCTION("""COMPUTED_VALUE"""),98.5)</f>
        <v>98.5</v>
      </c>
      <c r="AK64" s="110">
        <f>IFERROR(__xludf.DUMMYFUNCTION("""COMPUTED_VALUE"""),259.31)</f>
        <v>259.31</v>
      </c>
      <c r="AL64" s="110">
        <f>IFERROR(__xludf.DUMMYFUNCTION("""COMPUTED_VALUE"""),14.04)</f>
        <v>14.04</v>
      </c>
      <c r="AM64" s="110">
        <f>IFERROR(__xludf.DUMMYFUNCTION("""COMPUTED_VALUE"""),40.14)</f>
        <v>40.14</v>
      </c>
      <c r="AN64" s="110">
        <f>IFERROR(__xludf.DUMMYFUNCTION("""COMPUTED_VALUE"""),344.8)</f>
        <v>344.8</v>
      </c>
      <c r="AO64" s="110">
        <f>IFERROR(__xludf.DUMMYFUNCTION("""COMPUTED_VALUE"""),101.1)</f>
        <v>101.1</v>
      </c>
      <c r="AP64" s="110">
        <f>IFERROR(__xludf.DUMMYFUNCTION("""COMPUTED_VALUE"""),80.38)</f>
        <v>80.38</v>
      </c>
      <c r="AQ64" s="110">
        <f>IFERROR(__xludf.DUMMYFUNCTION("""COMPUTED_VALUE"""),48.62)</f>
        <v>48.62</v>
      </c>
      <c r="AR64" s="109">
        <f>IFERROR(__xludf.DUMMYFUNCTION("""COMPUTED_VALUE"""),102.862)</f>
        <v>102.862</v>
      </c>
      <c r="AS64" s="110">
        <f>IFERROR(__xludf.DUMMYFUNCTION("""COMPUTED_VALUE"""),13.22)</f>
        <v>13.22</v>
      </c>
      <c r="AT64" s="110">
        <f>IFERROR(__xludf.DUMMYFUNCTION("""COMPUTED_VALUE"""),113.7)</f>
        <v>113.7</v>
      </c>
      <c r="AU64" s="110">
        <f>IFERROR(__xludf.DUMMYFUNCTION("""COMPUTED_VALUE"""),63.34)</f>
        <v>63.34</v>
      </c>
      <c r="AV64" s="110">
        <f>IFERROR(__xludf.DUMMYFUNCTION("""COMPUTED_VALUE"""),135.62)</f>
        <v>135.62</v>
      </c>
      <c r="AW64" s="110">
        <f>IFERROR(__xludf.DUMMYFUNCTION("""COMPUTED_VALUE"""),121.71)</f>
        <v>121.71</v>
      </c>
      <c r="AX64" s="110">
        <f>IFERROR(__xludf.DUMMYFUNCTION("""COMPUTED_VALUE"""),19.34)</f>
        <v>19.34</v>
      </c>
      <c r="AY64" s="110">
        <f>IFERROR(__xludf.DUMMYFUNCTION("""COMPUTED_VALUE"""),49.03)</f>
        <v>49.03</v>
      </c>
      <c r="AZ64" s="110">
        <f>IFERROR(__xludf.DUMMYFUNCTION("""COMPUTED_VALUE"""),0.0)</f>
        <v>0</v>
      </c>
      <c r="BA64" s="110">
        <f>IFERROR(__xludf.DUMMYFUNCTION("""COMPUTED_VALUE"""),0.0)</f>
        <v>0</v>
      </c>
      <c r="BB64" s="110">
        <f>IFERROR(__xludf.DUMMYFUNCTION("""COMPUTED_VALUE"""),12.46)</f>
        <v>12.46</v>
      </c>
      <c r="BC64" s="110">
        <f>IFERROR(__xludf.DUMMYFUNCTION("""COMPUTED_VALUE"""),8.79)</f>
        <v>8.79</v>
      </c>
      <c r="BD64" s="110">
        <f>IFERROR(__xludf.DUMMYFUNCTION("""COMPUTED_VALUE"""),198.1)</f>
        <v>198.1</v>
      </c>
      <c r="BE64" s="110">
        <f>IFERROR(__xludf.DUMMYFUNCTION("""COMPUTED_VALUE"""),156.3)</f>
        <v>156.3</v>
      </c>
      <c r="BF64" s="110">
        <f>IFERROR(__xludf.DUMMYFUNCTION("""COMPUTED_VALUE"""),12.18)</f>
        <v>12.18</v>
      </c>
      <c r="BG64" s="110">
        <f>IFERROR(__xludf.DUMMYFUNCTION("""COMPUTED_VALUE"""),621.14)</f>
        <v>621.14</v>
      </c>
      <c r="BH64" s="110">
        <f>IFERROR(__xludf.DUMMYFUNCTION("""COMPUTED_VALUE"""),299.86)</f>
        <v>299.86</v>
      </c>
      <c r="BI64" s="110">
        <f>IFERROR(__xludf.DUMMYFUNCTION("""COMPUTED_VALUE"""),244.56)</f>
        <v>244.56</v>
      </c>
      <c r="BJ64" s="110">
        <f>IFERROR(__xludf.DUMMYFUNCTION("""COMPUTED_VALUE"""),23.73)</f>
        <v>23.73</v>
      </c>
      <c r="BK64" s="110">
        <f>IFERROR(__xludf.DUMMYFUNCTION("""COMPUTED_VALUE"""),327.71)</f>
        <v>327.71</v>
      </c>
      <c r="BL64" s="110">
        <f>IFERROR(__xludf.DUMMYFUNCTION("""COMPUTED_VALUE"""),131.96)</f>
        <v>131.96</v>
      </c>
      <c r="BM64" s="110">
        <f>IFERROR(__xludf.DUMMYFUNCTION("""COMPUTED_VALUE"""),15.82)</f>
        <v>15.82</v>
      </c>
      <c r="BN64" s="110">
        <f>IFERROR(__xludf.DUMMYFUNCTION("""COMPUTED_VALUE"""),309.94)</f>
        <v>309.94</v>
      </c>
      <c r="BO64" s="110">
        <f>IFERROR(__xludf.DUMMYFUNCTION("""COMPUTED_VALUE"""),720.0)</f>
        <v>720</v>
      </c>
      <c r="BP64" s="110">
        <f>IFERROR(__xludf.DUMMYFUNCTION("""COMPUTED_VALUE"""),42.19)</f>
        <v>42.19</v>
      </c>
      <c r="BQ64" s="110">
        <f>IFERROR(__xludf.DUMMYFUNCTION("""COMPUTED_VALUE"""),9.12)</f>
        <v>9.12</v>
      </c>
      <c r="BR64" s="110">
        <f>IFERROR(__xludf.DUMMYFUNCTION("""COMPUTED_VALUE"""),32.88)</f>
        <v>32.88</v>
      </c>
      <c r="BS64" s="110">
        <f>IFERROR(__xludf.DUMMYFUNCTION("""COMPUTED_VALUE"""),1.01)</f>
        <v>1.01</v>
      </c>
      <c r="BT64" s="110">
        <f>IFERROR(__xludf.DUMMYFUNCTION("""COMPUTED_VALUE"""),46.38)</f>
        <v>46.38</v>
      </c>
      <c r="BU64" s="110">
        <f>IFERROR(__xludf.DUMMYFUNCTION("""COMPUTED_VALUE"""),38.6)</f>
        <v>38.6</v>
      </c>
      <c r="BV64" s="110">
        <f>IFERROR(__xludf.DUMMYFUNCTION("""COMPUTED_VALUE"""),54.9)</f>
        <v>54.9</v>
      </c>
      <c r="BW64" s="110">
        <f>IFERROR(__xludf.DUMMYFUNCTION("""COMPUTED_VALUE"""),7.85)</f>
        <v>7.85</v>
      </c>
      <c r="BX64" s="110">
        <f>IFERROR(__xludf.DUMMYFUNCTION("""COMPUTED_VALUE"""),5.22)</f>
        <v>5.22</v>
      </c>
      <c r="BY64" s="110">
        <f>IFERROR(__xludf.DUMMYFUNCTION("""COMPUTED_VALUE"""),0.0)</f>
        <v>0</v>
      </c>
      <c r="BZ64" s="110">
        <f>IFERROR(__xludf.DUMMYFUNCTION("""COMPUTED_VALUE"""),16.59)</f>
        <v>16.59</v>
      </c>
      <c r="CA64" s="110">
        <f>IFERROR(__xludf.DUMMYFUNCTION("""COMPUTED_VALUE"""),3.62)</f>
        <v>3.62</v>
      </c>
      <c r="CB64" s="110">
        <f>IFERROR(__xludf.DUMMYFUNCTION("""COMPUTED_VALUE"""),5.16)</f>
        <v>5.16</v>
      </c>
      <c r="CC64" s="110">
        <f>IFERROR(__xludf.DUMMYFUNCTION("""COMPUTED_VALUE"""),17.2)</f>
        <v>17.2</v>
      </c>
      <c r="CD64" s="110">
        <f>IFERROR(__xludf.DUMMYFUNCTION("""COMPUTED_VALUE"""),13.57)</f>
        <v>13.57</v>
      </c>
      <c r="CE64" s="110">
        <f>IFERROR(__xludf.DUMMYFUNCTION("""COMPUTED_VALUE"""),27.7)</f>
        <v>27.7</v>
      </c>
      <c r="CF64" s="110">
        <f>IFERROR(__xludf.DUMMYFUNCTION("""COMPUTED_VALUE"""),100.9)</f>
        <v>100.9</v>
      </c>
      <c r="CG64" s="110">
        <f>IFERROR(__xludf.DUMMYFUNCTION("""COMPUTED_VALUE"""),4.53)</f>
        <v>4.53</v>
      </c>
      <c r="CH64" s="110">
        <f>IFERROR(__xludf.DUMMYFUNCTION("""COMPUTED_VALUE"""),24.46)</f>
        <v>24.46</v>
      </c>
      <c r="CI64" s="110">
        <f>IFERROR(__xludf.DUMMYFUNCTION("""COMPUTED_VALUE"""),45.88)</f>
        <v>45.88</v>
      </c>
      <c r="CJ64" s="110">
        <f>IFERROR(__xludf.DUMMYFUNCTION("""COMPUTED_VALUE"""),0.0)</f>
        <v>0</v>
      </c>
      <c r="CK64" s="110">
        <f>IFERROR(__xludf.DUMMYFUNCTION("""COMPUTED_VALUE"""),12.83)</f>
        <v>12.83</v>
      </c>
      <c r="CL64" s="110">
        <f>IFERROR(__xludf.DUMMYFUNCTION("""COMPUTED_VALUE"""),2811.82)</f>
        <v>2811.82</v>
      </c>
      <c r="CM64" s="110">
        <f>IFERROR(__xludf.DUMMYFUNCTION("""COMPUTED_VALUE"""),0.0)</f>
        <v>0</v>
      </c>
      <c r="CN64" s="110">
        <f>IFERROR(__xludf.DUMMYFUNCTION("""COMPUTED_VALUE"""),241.4)</f>
        <v>241.4</v>
      </c>
      <c r="CO64" s="110">
        <f>IFERROR(__xludf.DUMMYFUNCTION("""COMPUTED_VALUE"""),145.7)</f>
        <v>145.7</v>
      </c>
      <c r="CP64" s="110">
        <f>IFERROR(__xludf.DUMMYFUNCTION("""COMPUTED_VALUE"""),66.48)</f>
        <v>66.48</v>
      </c>
      <c r="CQ64" s="110">
        <f>IFERROR(__xludf.DUMMYFUNCTION("""COMPUTED_VALUE"""),69200.0)</f>
        <v>69200</v>
      </c>
      <c r="CR64" s="110">
        <f>IFERROR(__xludf.DUMMYFUNCTION("""COMPUTED_VALUE"""),0.52)</f>
        <v>0.52</v>
      </c>
      <c r="CS64" s="110">
        <f>IFERROR(__xludf.DUMMYFUNCTION("""COMPUTED_VALUE"""),31.3)</f>
        <v>31.3</v>
      </c>
      <c r="CT64" s="110">
        <f>IFERROR(__xludf.DUMMYFUNCTION("""COMPUTED_VALUE"""),22.7)</f>
        <v>22.7</v>
      </c>
      <c r="CU64" s="110">
        <f>IFERROR(__xludf.DUMMYFUNCTION("""COMPUTED_VALUE"""),1922.9)</f>
        <v>1922.9</v>
      </c>
      <c r="CV64" s="110">
        <f>IFERROR(__xludf.DUMMYFUNCTION("""COMPUTED_VALUE"""),2.68)</f>
        <v>2.68</v>
      </c>
      <c r="CW64" s="110">
        <f>IFERROR(__xludf.DUMMYFUNCTION("""COMPUTED_VALUE"""),3.37)</f>
        <v>3.37</v>
      </c>
      <c r="CX64" s="110">
        <f>IFERROR(__xludf.DUMMYFUNCTION("""COMPUTED_VALUE"""),0.0)</f>
        <v>0</v>
      </c>
      <c r="CY64" s="110">
        <f>IFERROR(__xludf.DUMMYFUNCTION("""COMPUTED_VALUE"""),0.01)</f>
        <v>0.01</v>
      </c>
      <c r="CZ64" s="110">
        <f>IFERROR(__xludf.DUMMYFUNCTION("""COMPUTED_VALUE"""),79.5)</f>
        <v>79.5</v>
      </c>
      <c r="DA64" s="110">
        <f>IFERROR(__xludf.DUMMYFUNCTION("""COMPUTED_VALUE"""),0.02)</f>
        <v>0.02</v>
      </c>
      <c r="DB64" s="110">
        <f>IFERROR(__xludf.DUMMYFUNCTION("""COMPUTED_VALUE"""),0.05)</f>
        <v>0.05</v>
      </c>
      <c r="DC64" s="110">
        <f>IFERROR(__xludf.DUMMYFUNCTION("""COMPUTED_VALUE"""),158.07)</f>
        <v>158.07</v>
      </c>
      <c r="DD64" s="110">
        <f>IFERROR(__xludf.DUMMYFUNCTION("""COMPUTED_VALUE"""),9.7)</f>
        <v>9.7</v>
      </c>
      <c r="DE64" s="110">
        <f>IFERROR(__xludf.DUMMYFUNCTION("""COMPUTED_VALUE"""),7.31)</f>
        <v>7.31</v>
      </c>
      <c r="DF64" s="110">
        <f>IFERROR(__xludf.DUMMYFUNCTION("""COMPUTED_VALUE"""),57.6)</f>
        <v>57.6</v>
      </c>
      <c r="DG64" s="110">
        <f>IFERROR(__xludf.DUMMYFUNCTION("""COMPUTED_VALUE"""),5.79)</f>
        <v>5.79</v>
      </c>
      <c r="DH64" s="110">
        <f>IFERROR(__xludf.DUMMYFUNCTION("""COMPUTED_VALUE"""),9.51)</f>
        <v>9.51</v>
      </c>
      <c r="DI64" s="110">
        <f>IFERROR(__xludf.DUMMYFUNCTION("""COMPUTED_VALUE"""),151.47)</f>
        <v>151.47</v>
      </c>
      <c r="DJ64" s="110">
        <f>IFERROR(__xludf.DUMMYFUNCTION("""COMPUTED_VALUE"""),13.91)</f>
        <v>13.91</v>
      </c>
      <c r="DK64" s="110">
        <f>IFERROR(__xludf.DUMMYFUNCTION("""COMPUTED_VALUE"""),0.0)</f>
        <v>0</v>
      </c>
      <c r="DL64" s="110">
        <f>IFERROR(__xludf.DUMMYFUNCTION("""COMPUTED_VALUE"""),25.0)</f>
        <v>25</v>
      </c>
      <c r="DM64" s="110">
        <f>IFERROR(__xludf.DUMMYFUNCTION("""COMPUTED_VALUE"""),447.24)</f>
        <v>447.24</v>
      </c>
      <c r="DN64" s="110">
        <f>IFERROR(__xludf.DUMMYFUNCTION("""COMPUTED_VALUE"""),171.21)</f>
        <v>171.21</v>
      </c>
      <c r="DO64" s="110">
        <f>IFERROR(__xludf.DUMMYFUNCTION("""COMPUTED_VALUE"""),370.8)</f>
        <v>370.8</v>
      </c>
      <c r="DP64" s="110">
        <f>IFERROR(__xludf.DUMMYFUNCTION("""COMPUTED_VALUE"""),1.02)</f>
        <v>1.02</v>
      </c>
      <c r="DQ64" s="110">
        <f>IFERROR(__xludf.DUMMYFUNCTION("""COMPUTED_VALUE"""),111.0)</f>
        <v>111</v>
      </c>
      <c r="DR64" s="110">
        <f>IFERROR(__xludf.DUMMYFUNCTION("""COMPUTED_VALUE"""),0.05)</f>
        <v>0.05</v>
      </c>
      <c r="DS64" s="110">
        <f>IFERROR(__xludf.DUMMYFUNCTION("""COMPUTED_VALUE"""),3.2)</f>
        <v>3.2</v>
      </c>
      <c r="DT64" s="110">
        <f>IFERROR(__xludf.DUMMYFUNCTION("""COMPUTED_VALUE"""),5.92)</f>
        <v>5.92</v>
      </c>
      <c r="DU64" s="110">
        <f>IFERROR(__xludf.DUMMYFUNCTION("""COMPUTED_VALUE"""),51.24)</f>
        <v>51.24</v>
      </c>
      <c r="DV64" s="110">
        <f>IFERROR(__xludf.DUMMYFUNCTION("""COMPUTED_VALUE"""),15.26)</f>
        <v>15.26</v>
      </c>
      <c r="DW64" s="110">
        <f>IFERROR(__xludf.DUMMYFUNCTION("""COMPUTED_VALUE"""),0.066)</f>
        <v>0.066</v>
      </c>
      <c r="DX64" s="110">
        <f>IFERROR(__xludf.DUMMYFUNCTION("""COMPUTED_VALUE"""),28.84)</f>
        <v>28.84</v>
      </c>
      <c r="DY64" s="110">
        <f>IFERROR(__xludf.DUMMYFUNCTION("""COMPUTED_VALUE"""),0.0)</f>
        <v>0</v>
      </c>
      <c r="DZ64" s="110">
        <f>IFERROR(__xludf.DUMMYFUNCTION("""COMPUTED_VALUE"""),65.23)</f>
        <v>65.23</v>
      </c>
      <c r="EA64" s="110">
        <f>IFERROR(__xludf.DUMMYFUNCTION("""COMPUTED_VALUE"""),49.17)</f>
        <v>49.17</v>
      </c>
      <c r="EB64" s="110">
        <f>IFERROR(__xludf.DUMMYFUNCTION("""COMPUTED_VALUE"""),75.39)</f>
        <v>75.39</v>
      </c>
      <c r="EC64" s="110">
        <f>IFERROR(__xludf.DUMMYFUNCTION("""COMPUTED_VALUE"""),76.48)</f>
        <v>76.48</v>
      </c>
      <c r="ED64" s="110">
        <f>IFERROR(__xludf.DUMMYFUNCTION("""COMPUTED_VALUE"""),37.81)</f>
        <v>37.81</v>
      </c>
      <c r="EE64" s="110">
        <f>IFERROR(__xludf.DUMMYFUNCTION("""COMPUTED_VALUE"""),88.39)</f>
        <v>88.39</v>
      </c>
      <c r="EF64" s="110">
        <f>IFERROR(__xludf.DUMMYFUNCTION("""COMPUTED_VALUE"""),184.95)</f>
        <v>184.95</v>
      </c>
      <c r="EG64" s="110">
        <f>IFERROR(__xludf.DUMMYFUNCTION("""COMPUTED_VALUE"""),70.29)</f>
        <v>70.29</v>
      </c>
      <c r="EH64" s="110">
        <f>IFERROR(__xludf.DUMMYFUNCTION("""COMPUTED_VALUE"""),100.6)</f>
        <v>100.6</v>
      </c>
      <c r="EI64" s="110">
        <f>IFERROR(__xludf.DUMMYFUNCTION("""COMPUTED_VALUE"""),137.21)</f>
        <v>137.21</v>
      </c>
      <c r="EJ64" s="110">
        <f>IFERROR(__xludf.DUMMYFUNCTION("""COMPUTED_VALUE"""),39.38)</f>
        <v>39.38</v>
      </c>
      <c r="EK64" s="110">
        <f>IFERROR(__xludf.DUMMYFUNCTION("""COMPUTED_VALUE"""),277.02)</f>
        <v>277.02</v>
      </c>
      <c r="EL64" s="110">
        <f>IFERROR(__xludf.DUMMYFUNCTION("""COMPUTED_VALUE"""),67.52)</f>
        <v>67.52</v>
      </c>
      <c r="EM64" s="110">
        <f>IFERROR(__xludf.DUMMYFUNCTION("""COMPUTED_VALUE"""),38.01)</f>
        <v>38.01</v>
      </c>
      <c r="EN64" s="110">
        <f>IFERROR(__xludf.DUMMYFUNCTION("""COMPUTED_VALUE"""),1780.01)</f>
        <v>1780.01</v>
      </c>
      <c r="EO64" s="110">
        <f>IFERROR(__xludf.DUMMYFUNCTION("""COMPUTED_VALUE"""),9.13)</f>
        <v>9.13</v>
      </c>
      <c r="EP64" s="110">
        <f>IFERROR(__xludf.DUMMYFUNCTION("""COMPUTED_VALUE"""),0.0)</f>
        <v>0</v>
      </c>
      <c r="EQ64" s="110">
        <f>IFERROR(__xludf.DUMMYFUNCTION("""COMPUTED_VALUE"""),1.85)</f>
        <v>1.85</v>
      </c>
      <c r="ER64" s="110">
        <f>IFERROR(__xludf.DUMMYFUNCTION("""COMPUTED_VALUE"""),4521.25)</f>
        <v>4521.25</v>
      </c>
      <c r="ES64" s="110">
        <f>IFERROR(__xludf.DUMMYFUNCTION("""COMPUTED_VALUE"""),101.31)</f>
        <v>101.31</v>
      </c>
      <c r="ET64" s="110">
        <f>IFERROR(__xludf.DUMMYFUNCTION("""COMPUTED_VALUE"""),105.07)</f>
        <v>105.07</v>
      </c>
      <c r="EU64" s="110">
        <f>IFERROR(__xludf.DUMMYFUNCTION("""COMPUTED_VALUE"""),34.05)</f>
        <v>34.05</v>
      </c>
      <c r="EV64" s="110">
        <f>IFERROR(__xludf.DUMMYFUNCTION("""COMPUTED_VALUE"""),1.38)</f>
        <v>1.38</v>
      </c>
      <c r="EW64" s="110">
        <f>IFERROR(__xludf.DUMMYFUNCTION("""COMPUTED_VALUE"""),14.2)</f>
        <v>14.2</v>
      </c>
      <c r="EX64" s="108">
        <f>IFERROR(__xludf.DUMMYFUNCTION("""COMPUTED_VALUE"""),5.19)</f>
        <v>5.19</v>
      </c>
      <c r="EY64" s="108">
        <f>IFERROR(__xludf.DUMMYFUNCTION("""COMPUTED_VALUE"""),180.82)</f>
        <v>180.82</v>
      </c>
      <c r="EZ64" s="108">
        <f>IFERROR(__xludf.DUMMYFUNCTION("""COMPUTED_VALUE"""),24.38)</f>
        <v>24.38</v>
      </c>
      <c r="FA64" s="108">
        <f>IFERROR(__xludf.DUMMYFUNCTION("""COMPUTED_VALUE"""),3.15)</f>
        <v>3.15</v>
      </c>
      <c r="FB64" s="108">
        <f>IFERROR(__xludf.DUMMYFUNCTION("""COMPUTED_VALUE"""),133.34)</f>
        <v>133.34</v>
      </c>
      <c r="FC64" s="108">
        <f>IFERROR(__xludf.DUMMYFUNCTION("""COMPUTED_VALUE"""),9.3)</f>
        <v>9.3</v>
      </c>
      <c r="FD64" s="108">
        <f>IFERROR(__xludf.DUMMYFUNCTION("""COMPUTED_VALUE"""),58.47)</f>
        <v>58.47</v>
      </c>
      <c r="FE64" s="108">
        <f>IFERROR(__xludf.DUMMYFUNCTION("""COMPUTED_VALUE"""),55.72)</f>
        <v>55.72</v>
      </c>
      <c r="FF64" s="108">
        <f>IFERROR(__xludf.DUMMYFUNCTION("""COMPUTED_VALUE"""),5.79)</f>
        <v>5.79</v>
      </c>
      <c r="FG64" s="108">
        <f>IFERROR(__xludf.DUMMYFUNCTION("""COMPUTED_VALUE"""),646.46)</f>
        <v>646.46</v>
      </c>
      <c r="FH64" s="108">
        <f>IFERROR(__xludf.DUMMYFUNCTION("""COMPUTED_VALUE"""),163.43)</f>
        <v>163.43</v>
      </c>
      <c r="FI64" s="108">
        <f>IFERROR(__xludf.DUMMYFUNCTION("""COMPUTED_VALUE"""),0.06)</f>
        <v>0.06</v>
      </c>
      <c r="FJ64" s="108">
        <f>IFERROR(__xludf.DUMMYFUNCTION("""COMPUTED_VALUE"""),15.4)</f>
        <v>15.4</v>
      </c>
      <c r="FK64" s="108">
        <f>IFERROR(__xludf.DUMMYFUNCTION("""COMPUTED_VALUE"""),190.7)</f>
        <v>190.7</v>
      </c>
      <c r="FL64" s="108">
        <f>IFERROR(__xludf.DUMMYFUNCTION("""COMPUTED_VALUE"""),494.78)</f>
        <v>494.78</v>
      </c>
      <c r="FM64" s="108">
        <f>IFERROR(__xludf.DUMMYFUNCTION("""COMPUTED_VALUE"""),132.3)</f>
        <v>132.3</v>
      </c>
      <c r="FN64" s="108">
        <f>IFERROR(__xludf.DUMMYFUNCTION("""COMPUTED_VALUE"""),1060.78)</f>
        <v>1060.78</v>
      </c>
      <c r="FO64" s="108">
        <f>IFERROR(__xludf.DUMMYFUNCTION("""COMPUTED_VALUE"""),702.92)</f>
        <v>702.92</v>
      </c>
    </row>
    <row r="65">
      <c r="A65" s="106">
        <f>IFERROR(__xludf.DUMMYFUNCTION("""COMPUTED_VALUE"""),44657.0)</f>
        <v>44657</v>
      </c>
      <c r="B65" s="110">
        <f>IFERROR(__xludf.DUMMYFUNCTION("""COMPUTED_VALUE"""),3175.12)</f>
        <v>3175.12</v>
      </c>
      <c r="C65" s="110">
        <f>IFERROR(__xludf.DUMMYFUNCTION("""COMPUTED_VALUE"""),223.3)</f>
        <v>223.3</v>
      </c>
      <c r="D65" s="110">
        <f>IFERROR(__xludf.DUMMYFUNCTION("""COMPUTED_VALUE"""),1045.76)</f>
        <v>1045.76</v>
      </c>
      <c r="E65" s="110">
        <f>IFERROR(__xludf.DUMMYFUNCTION("""COMPUTED_VALUE"""),381.0)</f>
        <v>381</v>
      </c>
      <c r="F65" s="110">
        <f>IFERROR(__xludf.DUMMYFUNCTION("""COMPUTED_VALUE"""),11.7)</f>
        <v>11.7</v>
      </c>
      <c r="G65" s="110">
        <f>IFERROR(__xludf.DUMMYFUNCTION("""COMPUTED_VALUE"""),171.83)</f>
        <v>171.83</v>
      </c>
      <c r="H65" s="110">
        <f>IFERROR(__xludf.DUMMYFUNCTION("""COMPUTED_VALUE"""),0.0)</f>
        <v>0</v>
      </c>
      <c r="I65" s="110">
        <f>IFERROR(__xludf.DUMMYFUNCTION("""COMPUTED_VALUE"""),0.0)</f>
        <v>0</v>
      </c>
      <c r="J65" s="110">
        <f>IFERROR(__xludf.DUMMYFUNCTION("""COMPUTED_VALUE"""),0.0)</f>
        <v>0</v>
      </c>
      <c r="K65" s="110">
        <f>IFERROR(__xludf.DUMMYFUNCTION("""COMPUTED_VALUE"""),40.35)</f>
        <v>40.35</v>
      </c>
      <c r="L65" s="110">
        <f>IFERROR(__xludf.DUMMYFUNCTION("""COMPUTED_VALUE"""),160.9)</f>
        <v>160.9</v>
      </c>
      <c r="M65" s="110">
        <f>IFERROR(__xludf.DUMMYFUNCTION("""COMPUTED_VALUE"""),43638.73)</f>
        <v>43638.73</v>
      </c>
      <c r="N65" s="110">
        <f>IFERROR(__xludf.DUMMYFUNCTION("""COMPUTED_VALUE"""),368.35)</f>
        <v>368.35</v>
      </c>
      <c r="O65" s="110">
        <f>IFERROR(__xludf.DUMMYFUNCTION("""COMPUTED_VALUE"""),299.5)</f>
        <v>299.5</v>
      </c>
      <c r="P65" s="110">
        <f>IFERROR(__xludf.DUMMYFUNCTION("""COMPUTED_VALUE"""),27.17)</f>
        <v>27.17</v>
      </c>
      <c r="Q65" s="110">
        <f>IFERROR(__xludf.DUMMYFUNCTION("""COMPUTED_VALUE"""),23.97)</f>
        <v>23.97</v>
      </c>
      <c r="R65" s="110">
        <f>IFERROR(__xludf.DUMMYFUNCTION("""COMPUTED_VALUE"""),59.07)</f>
        <v>59.07</v>
      </c>
      <c r="S65" s="110">
        <f>IFERROR(__xludf.DUMMYFUNCTION("""COMPUTED_VALUE"""),30.21)</f>
        <v>30.21</v>
      </c>
      <c r="T65" s="110">
        <f>IFERROR(__xludf.DUMMYFUNCTION("""COMPUTED_VALUE"""),28.95)</f>
        <v>28.95</v>
      </c>
      <c r="U65" s="110">
        <f>IFERROR(__xludf.DUMMYFUNCTION("""COMPUTED_VALUE"""),39.74)</f>
        <v>39.74</v>
      </c>
      <c r="V65" s="110">
        <f>IFERROR(__xludf.DUMMYFUNCTION("""COMPUTED_VALUE"""),13.95)</f>
        <v>13.95</v>
      </c>
      <c r="W65" s="110">
        <f>IFERROR(__xludf.DUMMYFUNCTION("""COMPUTED_VALUE"""),251.46)</f>
        <v>251.46</v>
      </c>
      <c r="X65" s="110">
        <f>IFERROR(__xludf.DUMMYFUNCTION("""COMPUTED_VALUE"""),2743.52)</f>
        <v>2743.52</v>
      </c>
      <c r="Y65" s="110">
        <f>IFERROR(__xludf.DUMMYFUNCTION("""COMPUTED_VALUE"""),58.45)</f>
        <v>58.45</v>
      </c>
      <c r="Z65" s="110">
        <f>IFERROR(__xludf.DUMMYFUNCTION("""COMPUTED_VALUE"""),68.6)</f>
        <v>68.6</v>
      </c>
      <c r="AA65" s="110">
        <f>IFERROR(__xludf.DUMMYFUNCTION("""COMPUTED_VALUE"""),109.63)</f>
        <v>109.63</v>
      </c>
      <c r="AB65" s="110">
        <f>IFERROR(__xludf.DUMMYFUNCTION("""COMPUTED_VALUE"""),4.81)</f>
        <v>4.81</v>
      </c>
      <c r="AC65" s="110">
        <f>IFERROR(__xludf.DUMMYFUNCTION("""COMPUTED_VALUE"""),76.4)</f>
        <v>76.4</v>
      </c>
      <c r="AD65" s="110">
        <f>IFERROR(__xludf.DUMMYFUNCTION("""COMPUTED_VALUE"""),12.18)</f>
        <v>12.18</v>
      </c>
      <c r="AE65" s="110">
        <f>IFERROR(__xludf.DUMMYFUNCTION("""COMPUTED_VALUE"""),6.97)</f>
        <v>6.97</v>
      </c>
      <c r="AF65" s="110">
        <f>IFERROR(__xludf.DUMMYFUNCTION("""COMPUTED_VALUE"""),39.94)</f>
        <v>39.94</v>
      </c>
      <c r="AG65" s="110">
        <f>IFERROR(__xludf.DUMMYFUNCTION("""COMPUTED_VALUE"""),12.08)</f>
        <v>12.08</v>
      </c>
      <c r="AH65" s="110">
        <f>IFERROR(__xludf.DUMMYFUNCTION("""COMPUTED_VALUE"""),2.16)</f>
        <v>2.16</v>
      </c>
      <c r="AI65" s="110">
        <f>IFERROR(__xludf.DUMMYFUNCTION("""COMPUTED_VALUE"""),3.69)</f>
        <v>3.69</v>
      </c>
      <c r="AJ65" s="110">
        <f>IFERROR(__xludf.DUMMYFUNCTION("""COMPUTED_VALUE"""),93.45)</f>
        <v>93.45</v>
      </c>
      <c r="AK65" s="110">
        <f>IFERROR(__xludf.DUMMYFUNCTION("""COMPUTED_VALUE"""),244.07)</f>
        <v>244.07</v>
      </c>
      <c r="AL65" s="110">
        <f>IFERROR(__xludf.DUMMYFUNCTION("""COMPUTED_VALUE"""),13.66)</f>
        <v>13.66</v>
      </c>
      <c r="AM65" s="110">
        <f>IFERROR(__xludf.DUMMYFUNCTION("""COMPUTED_VALUE"""),39.7)</f>
        <v>39.7</v>
      </c>
      <c r="AN65" s="110">
        <f>IFERROR(__xludf.DUMMYFUNCTION("""COMPUTED_VALUE"""),344.71)</f>
        <v>344.71</v>
      </c>
      <c r="AO65" s="110">
        <f>IFERROR(__xludf.DUMMYFUNCTION("""COMPUTED_VALUE"""),99.37)</f>
        <v>99.37</v>
      </c>
      <c r="AP65" s="110">
        <f>IFERROR(__xludf.DUMMYFUNCTION("""COMPUTED_VALUE"""),80.11)</f>
        <v>80.11</v>
      </c>
      <c r="AQ65" s="110">
        <f>IFERROR(__xludf.DUMMYFUNCTION("""COMPUTED_VALUE"""),47.56)</f>
        <v>47.56</v>
      </c>
      <c r="AR65" s="109">
        <f>IFERROR(__xludf.DUMMYFUNCTION("""COMPUTED_VALUE"""),102.63)</f>
        <v>102.63</v>
      </c>
      <c r="AS65" s="110">
        <f>IFERROR(__xludf.DUMMYFUNCTION("""COMPUTED_VALUE"""),13.64)</f>
        <v>13.64</v>
      </c>
      <c r="AT65" s="110">
        <f>IFERROR(__xludf.DUMMYFUNCTION("""COMPUTED_VALUE"""),107.6)</f>
        <v>107.6</v>
      </c>
      <c r="AU65" s="110">
        <f>IFERROR(__xludf.DUMMYFUNCTION("""COMPUTED_VALUE"""),63.87)</f>
        <v>63.87</v>
      </c>
      <c r="AV65" s="110">
        <f>IFERROR(__xludf.DUMMYFUNCTION("""COMPUTED_VALUE"""),132.57)</f>
        <v>132.57</v>
      </c>
      <c r="AW65" s="110">
        <f>IFERROR(__xludf.DUMMYFUNCTION("""COMPUTED_VALUE"""),119.33)</f>
        <v>119.33</v>
      </c>
      <c r="AX65" s="110">
        <f>IFERROR(__xludf.DUMMYFUNCTION("""COMPUTED_VALUE"""),18.26)</f>
        <v>18.26</v>
      </c>
      <c r="AY65" s="110">
        <f>IFERROR(__xludf.DUMMYFUNCTION("""COMPUTED_VALUE"""),45.89)</f>
        <v>45.89</v>
      </c>
      <c r="AZ65" s="110">
        <f>IFERROR(__xludf.DUMMYFUNCTION("""COMPUTED_VALUE"""),0.0)</f>
        <v>0</v>
      </c>
      <c r="BA65" s="110">
        <f>IFERROR(__xludf.DUMMYFUNCTION("""COMPUTED_VALUE"""),0.0)</f>
        <v>0</v>
      </c>
      <c r="BB65" s="110">
        <f>IFERROR(__xludf.DUMMYFUNCTION("""COMPUTED_VALUE"""),12.14)</f>
        <v>12.14</v>
      </c>
      <c r="BC65" s="110">
        <f>IFERROR(__xludf.DUMMYFUNCTION("""COMPUTED_VALUE"""),8.17)</f>
        <v>8.17</v>
      </c>
      <c r="BD65" s="110">
        <f>IFERROR(__xludf.DUMMYFUNCTION("""COMPUTED_VALUE"""),187.4)</f>
        <v>187.4</v>
      </c>
      <c r="BE65" s="110">
        <f>IFERROR(__xludf.DUMMYFUNCTION("""COMPUTED_VALUE"""),151.3)</f>
        <v>151.3</v>
      </c>
      <c r="BF65" s="110">
        <f>IFERROR(__xludf.DUMMYFUNCTION("""COMPUTED_VALUE"""),11.72)</f>
        <v>11.72</v>
      </c>
      <c r="BG65" s="110">
        <f>IFERROR(__xludf.DUMMYFUNCTION("""COMPUTED_VALUE"""),606.8)</f>
        <v>606.8</v>
      </c>
      <c r="BH65" s="110">
        <f>IFERROR(__xludf.DUMMYFUNCTION("""COMPUTED_VALUE"""),286.96)</f>
        <v>286.96</v>
      </c>
      <c r="BI65" s="110">
        <f>IFERROR(__xludf.DUMMYFUNCTION("""COMPUTED_VALUE"""),249.93)</f>
        <v>249.93</v>
      </c>
      <c r="BJ65" s="110">
        <f>IFERROR(__xludf.DUMMYFUNCTION("""COMPUTED_VALUE"""),22.99)</f>
        <v>22.99</v>
      </c>
      <c r="BK65" s="110">
        <f>IFERROR(__xludf.DUMMYFUNCTION("""COMPUTED_VALUE"""),324.85)</f>
        <v>324.85</v>
      </c>
      <c r="BL65" s="110">
        <f>IFERROR(__xludf.DUMMYFUNCTION("""COMPUTED_VALUE"""),133.71)</f>
        <v>133.71</v>
      </c>
      <c r="BM65" s="110">
        <f>IFERROR(__xludf.DUMMYFUNCTION("""COMPUTED_VALUE"""),15.39)</f>
        <v>15.39</v>
      </c>
      <c r="BN65" s="110">
        <f>IFERROR(__xludf.DUMMYFUNCTION("""COMPUTED_VALUE"""),296.87)</f>
        <v>296.87</v>
      </c>
      <c r="BO65" s="110">
        <f>IFERROR(__xludf.DUMMYFUNCTION("""COMPUTED_VALUE"""),689.0)</f>
        <v>689</v>
      </c>
      <c r="BP65" s="110">
        <f>IFERROR(__xludf.DUMMYFUNCTION("""COMPUTED_VALUE"""),40.1)</f>
        <v>40.1</v>
      </c>
      <c r="BQ65" s="110">
        <f>IFERROR(__xludf.DUMMYFUNCTION("""COMPUTED_VALUE"""),8.75)</f>
        <v>8.75</v>
      </c>
      <c r="BR65" s="110">
        <f>IFERROR(__xludf.DUMMYFUNCTION("""COMPUTED_VALUE"""),30.51)</f>
        <v>30.51</v>
      </c>
      <c r="BS65" s="110">
        <f>IFERROR(__xludf.DUMMYFUNCTION("""COMPUTED_VALUE"""),1.11)</f>
        <v>1.11</v>
      </c>
      <c r="BT65" s="110">
        <f>IFERROR(__xludf.DUMMYFUNCTION("""COMPUTED_VALUE"""),45.6)</f>
        <v>45.6</v>
      </c>
      <c r="BU65" s="110">
        <f>IFERROR(__xludf.DUMMYFUNCTION("""COMPUTED_VALUE"""),39.0)</f>
        <v>39</v>
      </c>
      <c r="BV65" s="110">
        <f>IFERROR(__xludf.DUMMYFUNCTION("""COMPUTED_VALUE"""),55.35)</f>
        <v>55.35</v>
      </c>
      <c r="BW65" s="110">
        <f>IFERROR(__xludf.DUMMYFUNCTION("""COMPUTED_VALUE"""),7.51)</f>
        <v>7.51</v>
      </c>
      <c r="BX65" s="110">
        <f>IFERROR(__xludf.DUMMYFUNCTION("""COMPUTED_VALUE"""),4.89)</f>
        <v>4.89</v>
      </c>
      <c r="BY65" s="110">
        <f>IFERROR(__xludf.DUMMYFUNCTION("""COMPUTED_VALUE"""),0.0)</f>
        <v>0</v>
      </c>
      <c r="BZ65" s="110">
        <f>IFERROR(__xludf.DUMMYFUNCTION("""COMPUTED_VALUE"""),16.74)</f>
        <v>16.74</v>
      </c>
      <c r="CA65" s="110">
        <f>IFERROR(__xludf.DUMMYFUNCTION("""COMPUTED_VALUE"""),3.87)</f>
        <v>3.87</v>
      </c>
      <c r="CB65" s="110">
        <f>IFERROR(__xludf.DUMMYFUNCTION("""COMPUTED_VALUE"""),5.37)</f>
        <v>5.37</v>
      </c>
      <c r="CC65" s="110">
        <f>IFERROR(__xludf.DUMMYFUNCTION("""COMPUTED_VALUE"""),17.44)</f>
        <v>17.44</v>
      </c>
      <c r="CD65" s="110">
        <f>IFERROR(__xludf.DUMMYFUNCTION("""COMPUTED_VALUE"""),13.95)</f>
        <v>13.95</v>
      </c>
      <c r="CE65" s="110">
        <f>IFERROR(__xludf.DUMMYFUNCTION("""COMPUTED_VALUE"""),27.94)</f>
        <v>27.94</v>
      </c>
      <c r="CF65" s="110">
        <f>IFERROR(__xludf.DUMMYFUNCTION("""COMPUTED_VALUE"""),97.57)</f>
        <v>97.57</v>
      </c>
      <c r="CG65" s="110">
        <f>IFERROR(__xludf.DUMMYFUNCTION("""COMPUTED_VALUE"""),4.7)</f>
        <v>4.7</v>
      </c>
      <c r="CH65" s="110">
        <f>IFERROR(__xludf.DUMMYFUNCTION("""COMPUTED_VALUE"""),24.61)</f>
        <v>24.61</v>
      </c>
      <c r="CI65" s="110">
        <f>IFERROR(__xludf.DUMMYFUNCTION("""COMPUTED_VALUE"""),47.94)</f>
        <v>47.94</v>
      </c>
      <c r="CJ65" s="110">
        <f>IFERROR(__xludf.DUMMYFUNCTION("""COMPUTED_VALUE"""),0.0)</f>
        <v>0</v>
      </c>
      <c r="CK65" s="110">
        <f>IFERROR(__xludf.DUMMYFUNCTION("""COMPUTED_VALUE"""),13.19)</f>
        <v>13.19</v>
      </c>
      <c r="CL65" s="110">
        <f>IFERROR(__xludf.DUMMYFUNCTION("""COMPUTED_VALUE"""),2730.96)</f>
        <v>2730.96</v>
      </c>
      <c r="CM65" s="110">
        <f>IFERROR(__xludf.DUMMYFUNCTION("""COMPUTED_VALUE"""),0.0)</f>
        <v>0</v>
      </c>
      <c r="CN65" s="110">
        <f>IFERROR(__xludf.DUMMYFUNCTION("""COMPUTED_VALUE"""),243.8)</f>
        <v>243.8</v>
      </c>
      <c r="CO65" s="110">
        <f>IFERROR(__xludf.DUMMYFUNCTION("""COMPUTED_VALUE"""),142.6)</f>
        <v>142.6</v>
      </c>
      <c r="CP65" s="110">
        <f>IFERROR(__xludf.DUMMYFUNCTION("""COMPUTED_VALUE"""),63.4)</f>
        <v>63.4</v>
      </c>
      <c r="CQ65" s="110">
        <f>IFERROR(__xludf.DUMMYFUNCTION("""COMPUTED_VALUE"""),68500.0)</f>
        <v>68500</v>
      </c>
      <c r="CR65" s="110">
        <f>IFERROR(__xludf.DUMMYFUNCTION("""COMPUTED_VALUE"""),0.52)</f>
        <v>0.52</v>
      </c>
      <c r="CS65" s="110">
        <f>IFERROR(__xludf.DUMMYFUNCTION("""COMPUTED_VALUE"""),30.22)</f>
        <v>30.22</v>
      </c>
      <c r="CT65" s="110">
        <f>IFERROR(__xludf.DUMMYFUNCTION("""COMPUTED_VALUE"""),22.26)</f>
        <v>22.26</v>
      </c>
      <c r="CU65" s="110">
        <f>IFERROR(__xludf.DUMMYFUNCTION("""COMPUTED_VALUE"""),1926.4)</f>
        <v>1926.4</v>
      </c>
      <c r="CV65" s="110">
        <f>IFERROR(__xludf.DUMMYFUNCTION("""COMPUTED_VALUE"""),2.57)</f>
        <v>2.57</v>
      </c>
      <c r="CW65" s="110">
        <f>IFERROR(__xludf.DUMMYFUNCTION("""COMPUTED_VALUE"""),3.51)</f>
        <v>3.51</v>
      </c>
      <c r="CX65" s="110">
        <f>IFERROR(__xludf.DUMMYFUNCTION("""COMPUTED_VALUE"""),0.0)</f>
        <v>0</v>
      </c>
      <c r="CY65" s="110">
        <f>IFERROR(__xludf.DUMMYFUNCTION("""COMPUTED_VALUE"""),0.01)</f>
        <v>0.01</v>
      </c>
      <c r="CZ65" s="110">
        <f>IFERROR(__xludf.DUMMYFUNCTION("""COMPUTED_VALUE"""),75.3)</f>
        <v>75.3</v>
      </c>
      <c r="DA65" s="110">
        <f>IFERROR(__xludf.DUMMYFUNCTION("""COMPUTED_VALUE"""),0.02)</f>
        <v>0.02</v>
      </c>
      <c r="DB65" s="110">
        <f>IFERROR(__xludf.DUMMYFUNCTION("""COMPUTED_VALUE"""),0.03)</f>
        <v>0.03</v>
      </c>
      <c r="DC65" s="110">
        <f>IFERROR(__xludf.DUMMYFUNCTION("""COMPUTED_VALUE"""),154.33)</f>
        <v>154.33</v>
      </c>
      <c r="DD65" s="110">
        <f>IFERROR(__xludf.DUMMYFUNCTION("""COMPUTED_VALUE"""),10.67)</f>
        <v>10.67</v>
      </c>
      <c r="DE65" s="110">
        <f>IFERROR(__xludf.DUMMYFUNCTION("""COMPUTED_VALUE"""),7.37)</f>
        <v>7.37</v>
      </c>
      <c r="DF65" s="110">
        <f>IFERROR(__xludf.DUMMYFUNCTION("""COMPUTED_VALUE"""),56.95)</f>
        <v>56.95</v>
      </c>
      <c r="DG65" s="110">
        <f>IFERROR(__xludf.DUMMYFUNCTION("""COMPUTED_VALUE"""),5.85)</f>
        <v>5.85</v>
      </c>
      <c r="DH65" s="110">
        <f>IFERROR(__xludf.DUMMYFUNCTION("""COMPUTED_VALUE"""),10.46)</f>
        <v>10.46</v>
      </c>
      <c r="DI65" s="110">
        <f>IFERROR(__xludf.DUMMYFUNCTION("""COMPUTED_VALUE"""),154.99)</f>
        <v>154.99</v>
      </c>
      <c r="DJ65" s="110">
        <f>IFERROR(__xludf.DUMMYFUNCTION("""COMPUTED_VALUE"""),13.26)</f>
        <v>13.26</v>
      </c>
      <c r="DK65" s="110">
        <f>IFERROR(__xludf.DUMMYFUNCTION("""COMPUTED_VALUE"""),0.0)</f>
        <v>0</v>
      </c>
      <c r="DL65" s="110">
        <f>IFERROR(__xludf.DUMMYFUNCTION("""COMPUTED_VALUE"""),25.25)</f>
        <v>25.25</v>
      </c>
      <c r="DM65" s="110">
        <f>IFERROR(__xludf.DUMMYFUNCTION("""COMPUTED_VALUE"""),454.58)</f>
        <v>454.58</v>
      </c>
      <c r="DN65" s="110">
        <f>IFERROR(__xludf.DUMMYFUNCTION("""COMPUTED_VALUE"""),164.66)</f>
        <v>164.66</v>
      </c>
      <c r="DO65" s="110">
        <f>IFERROR(__xludf.DUMMYFUNCTION("""COMPUTED_VALUE"""),358.4)</f>
        <v>358.4</v>
      </c>
      <c r="DP65" s="110">
        <f>IFERROR(__xludf.DUMMYFUNCTION("""COMPUTED_VALUE"""),2.79)</f>
        <v>2.79</v>
      </c>
      <c r="DQ65" s="110">
        <f>IFERROR(__xludf.DUMMYFUNCTION("""COMPUTED_VALUE"""),107.68)</f>
        <v>107.68</v>
      </c>
      <c r="DR65" s="110">
        <f>IFERROR(__xludf.DUMMYFUNCTION("""COMPUTED_VALUE"""),0.05)</f>
        <v>0.05</v>
      </c>
      <c r="DS65" s="110">
        <f>IFERROR(__xludf.DUMMYFUNCTION("""COMPUTED_VALUE"""),3.2)</f>
        <v>3.2</v>
      </c>
      <c r="DT65" s="110">
        <f>IFERROR(__xludf.DUMMYFUNCTION("""COMPUTED_VALUE"""),5.87)</f>
        <v>5.87</v>
      </c>
      <c r="DU65" s="110">
        <f>IFERROR(__xludf.DUMMYFUNCTION("""COMPUTED_VALUE"""),52.87)</f>
        <v>52.87</v>
      </c>
      <c r="DV65" s="110">
        <f>IFERROR(__xludf.DUMMYFUNCTION("""COMPUTED_VALUE"""),15.28)</f>
        <v>15.28</v>
      </c>
      <c r="DW65" s="110">
        <f>IFERROR(__xludf.DUMMYFUNCTION("""COMPUTED_VALUE"""),0.066)</f>
        <v>0.066</v>
      </c>
      <c r="DX65" s="110">
        <f>IFERROR(__xludf.DUMMYFUNCTION("""COMPUTED_VALUE"""),27.34)</f>
        <v>27.34</v>
      </c>
      <c r="DY65" s="110">
        <f>IFERROR(__xludf.DUMMYFUNCTION("""COMPUTED_VALUE"""),0.0)</f>
        <v>0</v>
      </c>
      <c r="DZ65" s="110">
        <f>IFERROR(__xludf.DUMMYFUNCTION("""COMPUTED_VALUE"""),62.44)</f>
        <v>62.44</v>
      </c>
      <c r="EA65" s="110">
        <f>IFERROR(__xludf.DUMMYFUNCTION("""COMPUTED_VALUE"""),49.9)</f>
        <v>49.9</v>
      </c>
      <c r="EB65" s="110">
        <f>IFERROR(__xludf.DUMMYFUNCTION("""COMPUTED_VALUE"""),76.89)</f>
        <v>76.89</v>
      </c>
      <c r="EC65" s="110">
        <f>IFERROR(__xludf.DUMMYFUNCTION("""COMPUTED_VALUE"""),77.45)</f>
        <v>77.45</v>
      </c>
      <c r="ED65" s="110">
        <f>IFERROR(__xludf.DUMMYFUNCTION("""COMPUTED_VALUE"""),37.55)</f>
        <v>37.55</v>
      </c>
      <c r="EE65" s="110">
        <f>IFERROR(__xludf.DUMMYFUNCTION("""COMPUTED_VALUE"""),87.37)</f>
        <v>87.37</v>
      </c>
      <c r="EF65" s="110">
        <f>IFERROR(__xludf.DUMMYFUNCTION("""COMPUTED_VALUE"""),180.23)</f>
        <v>180.23</v>
      </c>
      <c r="EG65" s="110">
        <f>IFERROR(__xludf.DUMMYFUNCTION("""COMPUTED_VALUE"""),68.98)</f>
        <v>68.98</v>
      </c>
      <c r="EH65" s="110">
        <f>IFERROR(__xludf.DUMMYFUNCTION("""COMPUTED_VALUE"""),99.82)</f>
        <v>99.82</v>
      </c>
      <c r="EI65" s="110">
        <f>IFERROR(__xludf.DUMMYFUNCTION("""COMPUTED_VALUE"""),139.3)</f>
        <v>139.3</v>
      </c>
      <c r="EJ65" s="110">
        <f>IFERROR(__xludf.DUMMYFUNCTION("""COMPUTED_VALUE"""),38.97)</f>
        <v>38.97</v>
      </c>
      <c r="EK65" s="110">
        <f>IFERROR(__xludf.DUMMYFUNCTION("""COMPUTED_VALUE"""),279.0)</f>
        <v>279</v>
      </c>
      <c r="EL65" s="110">
        <f>IFERROR(__xludf.DUMMYFUNCTION("""COMPUTED_VALUE"""),70.64)</f>
        <v>70.64</v>
      </c>
      <c r="EM65" s="110">
        <f>IFERROR(__xludf.DUMMYFUNCTION("""COMPUTED_VALUE"""),39.76)</f>
        <v>39.76</v>
      </c>
      <c r="EN65" s="110">
        <f>IFERROR(__xludf.DUMMYFUNCTION("""COMPUTED_VALUE"""),1765.0)</f>
        <v>1765</v>
      </c>
      <c r="EO65" s="110">
        <f>IFERROR(__xludf.DUMMYFUNCTION("""COMPUTED_VALUE"""),8.92)</f>
        <v>8.92</v>
      </c>
      <c r="EP65" s="110">
        <f>IFERROR(__xludf.DUMMYFUNCTION("""COMPUTED_VALUE"""),0.0)</f>
        <v>0</v>
      </c>
      <c r="EQ65" s="110">
        <f>IFERROR(__xludf.DUMMYFUNCTION("""COMPUTED_VALUE"""),1.4)</f>
        <v>1.4</v>
      </c>
      <c r="ER65" s="110">
        <f>IFERROR(__xludf.DUMMYFUNCTION("""COMPUTED_VALUE"""),4475.75)</f>
        <v>4475.75</v>
      </c>
      <c r="ES65" s="110">
        <f>IFERROR(__xludf.DUMMYFUNCTION("""COMPUTED_VALUE"""),104.49)</f>
        <v>104.49</v>
      </c>
      <c r="ET65" s="110">
        <f>IFERROR(__xludf.DUMMYFUNCTION("""COMPUTED_VALUE"""),102.1)</f>
        <v>102.1</v>
      </c>
      <c r="EU65" s="110">
        <f>IFERROR(__xludf.DUMMYFUNCTION("""COMPUTED_VALUE"""),33.85)</f>
        <v>33.85</v>
      </c>
      <c r="EV65" s="110">
        <f>IFERROR(__xludf.DUMMYFUNCTION("""COMPUTED_VALUE"""),1.39)</f>
        <v>1.39</v>
      </c>
      <c r="EW65" s="110">
        <f>IFERROR(__xludf.DUMMYFUNCTION("""COMPUTED_VALUE"""),13.86)</f>
        <v>13.86</v>
      </c>
      <c r="EX65" s="108">
        <f>IFERROR(__xludf.DUMMYFUNCTION("""COMPUTED_VALUE"""),5.06)</f>
        <v>5.06</v>
      </c>
      <c r="EY65" s="108">
        <f>IFERROR(__xludf.DUMMYFUNCTION("""COMPUTED_VALUE"""),166.65)</f>
        <v>166.65</v>
      </c>
      <c r="EZ65" s="108">
        <f>IFERROR(__xludf.DUMMYFUNCTION("""COMPUTED_VALUE"""),24.53)</f>
        <v>24.53</v>
      </c>
      <c r="FA65" s="108">
        <f>IFERROR(__xludf.DUMMYFUNCTION("""COMPUTED_VALUE"""),3.13)</f>
        <v>3.13</v>
      </c>
      <c r="FB65" s="108">
        <f>IFERROR(__xludf.DUMMYFUNCTION("""COMPUTED_VALUE"""),131.49)</f>
        <v>131.49</v>
      </c>
      <c r="FC65" s="108">
        <f>IFERROR(__xludf.DUMMYFUNCTION("""COMPUTED_VALUE"""),9.25)</f>
        <v>9.25</v>
      </c>
      <c r="FD65" s="108">
        <f>IFERROR(__xludf.DUMMYFUNCTION("""COMPUTED_VALUE"""),58.34)</f>
        <v>58.34</v>
      </c>
      <c r="FE65" s="108">
        <f>IFERROR(__xludf.DUMMYFUNCTION("""COMPUTED_VALUE"""),56.1)</f>
        <v>56.1</v>
      </c>
      <c r="FF65" s="108">
        <f>IFERROR(__xludf.DUMMYFUNCTION("""COMPUTED_VALUE"""),5.86)</f>
        <v>5.86</v>
      </c>
      <c r="FG65" s="108">
        <f>IFERROR(__xludf.DUMMYFUNCTION("""COMPUTED_VALUE"""),628.51)</f>
        <v>628.51</v>
      </c>
      <c r="FH65" s="108">
        <f>IFERROR(__xludf.DUMMYFUNCTION("""COMPUTED_VALUE"""),168.91)</f>
        <v>168.91</v>
      </c>
      <c r="FI65" s="108">
        <f>IFERROR(__xludf.DUMMYFUNCTION("""COMPUTED_VALUE"""),0.059)</f>
        <v>0.059</v>
      </c>
      <c r="FJ65" s="108">
        <f>IFERROR(__xludf.DUMMYFUNCTION("""COMPUTED_VALUE"""),14.68)</f>
        <v>14.68</v>
      </c>
      <c r="FK65" s="108">
        <f>IFERROR(__xludf.DUMMYFUNCTION("""COMPUTED_VALUE"""),187.5)</f>
        <v>187.5</v>
      </c>
      <c r="FL65" s="108">
        <f>IFERROR(__xludf.DUMMYFUNCTION("""COMPUTED_VALUE"""),506.87)</f>
        <v>506.87</v>
      </c>
      <c r="FM65" s="108">
        <f>IFERROR(__xludf.DUMMYFUNCTION("""COMPUTED_VALUE"""),128.36)</f>
        <v>128.36</v>
      </c>
      <c r="FN65" s="108">
        <f>IFERROR(__xludf.DUMMYFUNCTION("""COMPUTED_VALUE"""),1020.23)</f>
        <v>1020.23</v>
      </c>
      <c r="FO65" s="108">
        <f>IFERROR(__xludf.DUMMYFUNCTION("""COMPUTED_VALUE"""),656.58)</f>
        <v>656.58</v>
      </c>
    </row>
    <row r="66">
      <c r="A66" s="106">
        <f>IFERROR(__xludf.DUMMYFUNCTION("""COMPUTED_VALUE"""),44658.0)</f>
        <v>44658</v>
      </c>
      <c r="B66" s="110">
        <f>IFERROR(__xludf.DUMMYFUNCTION("""COMPUTED_VALUE"""),3153.03)</f>
        <v>3153.03</v>
      </c>
      <c r="C66" s="110">
        <f>IFERROR(__xludf.DUMMYFUNCTION("""COMPUTED_VALUE"""),222.86)</f>
        <v>222.86</v>
      </c>
      <c r="D66" s="110">
        <f>IFERROR(__xludf.DUMMYFUNCTION("""COMPUTED_VALUE"""),1057.26)</f>
        <v>1057.26</v>
      </c>
      <c r="E66" s="110">
        <f>IFERROR(__xludf.DUMMYFUNCTION("""COMPUTED_VALUE"""),374.4)</f>
        <v>374.4</v>
      </c>
      <c r="F66" s="110">
        <f>IFERROR(__xludf.DUMMYFUNCTION("""COMPUTED_VALUE"""),11.36)</f>
        <v>11.36</v>
      </c>
      <c r="G66" s="110">
        <f>IFERROR(__xludf.DUMMYFUNCTION("""COMPUTED_VALUE"""),171.97)</f>
        <v>171.97</v>
      </c>
      <c r="H66" s="110">
        <f>IFERROR(__xludf.DUMMYFUNCTION("""COMPUTED_VALUE"""),0.0)</f>
        <v>0</v>
      </c>
      <c r="I66" s="110">
        <f>IFERROR(__xludf.DUMMYFUNCTION("""COMPUTED_VALUE"""),0.0)</f>
        <v>0</v>
      </c>
      <c r="J66" s="110">
        <f>IFERROR(__xludf.DUMMYFUNCTION("""COMPUTED_VALUE"""),0.0)</f>
        <v>0</v>
      </c>
      <c r="K66" s="110">
        <f>IFERROR(__xludf.DUMMYFUNCTION("""COMPUTED_VALUE"""),37.15)</f>
        <v>37.15</v>
      </c>
      <c r="L66" s="110">
        <f>IFERROR(__xludf.DUMMYFUNCTION("""COMPUTED_VALUE"""),159.3)</f>
        <v>159.3</v>
      </c>
      <c r="M66" s="110">
        <f>IFERROR(__xludf.DUMMYFUNCTION("""COMPUTED_VALUE"""),43492.95)</f>
        <v>43492.95</v>
      </c>
      <c r="N66" s="110">
        <f>IFERROR(__xludf.DUMMYFUNCTION("""COMPUTED_VALUE"""),362.36)</f>
        <v>362.36</v>
      </c>
      <c r="O66" s="110">
        <f>IFERROR(__xludf.DUMMYFUNCTION("""COMPUTED_VALUE"""),301.11)</f>
        <v>301.11</v>
      </c>
      <c r="P66" s="110">
        <f>IFERROR(__xludf.DUMMYFUNCTION("""COMPUTED_VALUE"""),26.62)</f>
        <v>26.62</v>
      </c>
      <c r="Q66" s="110">
        <f>IFERROR(__xludf.DUMMYFUNCTION("""COMPUTED_VALUE"""),23.95)</f>
        <v>23.95</v>
      </c>
      <c r="R66" s="110">
        <f>IFERROR(__xludf.DUMMYFUNCTION("""COMPUTED_VALUE"""),57.09)</f>
        <v>57.09</v>
      </c>
      <c r="S66" s="110">
        <f>IFERROR(__xludf.DUMMYFUNCTION("""COMPUTED_VALUE"""),30.54)</f>
        <v>30.54</v>
      </c>
      <c r="T66" s="110">
        <f>IFERROR(__xludf.DUMMYFUNCTION("""COMPUTED_VALUE"""),28.26)</f>
        <v>28.26</v>
      </c>
      <c r="U66" s="110">
        <f>IFERROR(__xludf.DUMMYFUNCTION("""COMPUTED_VALUE"""),39.23)</f>
        <v>39.23</v>
      </c>
      <c r="V66" s="110">
        <f>IFERROR(__xludf.DUMMYFUNCTION("""COMPUTED_VALUE"""),13.57)</f>
        <v>13.57</v>
      </c>
      <c r="W66" s="110">
        <f>IFERROR(__xludf.DUMMYFUNCTION("""COMPUTED_VALUE"""),254.4)</f>
        <v>254.4</v>
      </c>
      <c r="X66" s="110">
        <f>IFERROR(__xludf.DUMMYFUNCTION("""COMPUTED_VALUE"""),2728.71)</f>
        <v>2728.71</v>
      </c>
      <c r="Y66" s="110">
        <f>IFERROR(__xludf.DUMMYFUNCTION("""COMPUTED_VALUE"""),57.3)</f>
        <v>57.3</v>
      </c>
      <c r="Z66" s="110">
        <f>IFERROR(__xludf.DUMMYFUNCTION("""COMPUTED_VALUE"""),65.0)</f>
        <v>65</v>
      </c>
      <c r="AA66" s="110">
        <f>IFERROR(__xludf.DUMMYFUNCTION("""COMPUTED_VALUE"""),112.4)</f>
        <v>112.4</v>
      </c>
      <c r="AB66" s="110">
        <f>IFERROR(__xludf.DUMMYFUNCTION("""COMPUTED_VALUE"""),4.79)</f>
        <v>4.79</v>
      </c>
      <c r="AC66" s="110">
        <f>IFERROR(__xludf.DUMMYFUNCTION("""COMPUTED_VALUE"""),77.42)</f>
        <v>77.42</v>
      </c>
      <c r="AD66" s="110">
        <f>IFERROR(__xludf.DUMMYFUNCTION("""COMPUTED_VALUE"""),12.08)</f>
        <v>12.08</v>
      </c>
      <c r="AE66" s="110">
        <f>IFERROR(__xludf.DUMMYFUNCTION("""COMPUTED_VALUE"""),6.93)</f>
        <v>6.93</v>
      </c>
      <c r="AF66" s="110">
        <f>IFERROR(__xludf.DUMMYFUNCTION("""COMPUTED_VALUE"""),39.62)</f>
        <v>39.62</v>
      </c>
      <c r="AG66" s="110">
        <f>IFERROR(__xludf.DUMMYFUNCTION("""COMPUTED_VALUE"""),11.94)</f>
        <v>11.94</v>
      </c>
      <c r="AH66" s="110">
        <f>IFERROR(__xludf.DUMMYFUNCTION("""COMPUTED_VALUE"""),2.15)</f>
        <v>2.15</v>
      </c>
      <c r="AI66" s="110">
        <f>IFERROR(__xludf.DUMMYFUNCTION("""COMPUTED_VALUE"""),3.52)</f>
        <v>3.52</v>
      </c>
      <c r="AJ66" s="110">
        <f>IFERROR(__xludf.DUMMYFUNCTION("""COMPUTED_VALUE"""),94.3)</f>
        <v>94.3</v>
      </c>
      <c r="AK66" s="110">
        <f>IFERROR(__xludf.DUMMYFUNCTION("""COMPUTED_VALUE"""),242.06)</f>
        <v>242.06</v>
      </c>
      <c r="AL66" s="110">
        <f>IFERROR(__xludf.DUMMYFUNCTION("""COMPUTED_VALUE"""),13.42)</f>
        <v>13.42</v>
      </c>
      <c r="AM66" s="110">
        <f>IFERROR(__xludf.DUMMYFUNCTION("""COMPUTED_VALUE"""),39.4)</f>
        <v>39.4</v>
      </c>
      <c r="AN66" s="110">
        <f>IFERROR(__xludf.DUMMYFUNCTION("""COMPUTED_VALUE"""),346.67)</f>
        <v>346.67</v>
      </c>
      <c r="AO66" s="110">
        <f>IFERROR(__xludf.DUMMYFUNCTION("""COMPUTED_VALUE"""),98.25)</f>
        <v>98.25</v>
      </c>
      <c r="AP66" s="110">
        <f>IFERROR(__xludf.DUMMYFUNCTION("""COMPUTED_VALUE"""),80.14)</f>
        <v>80.14</v>
      </c>
      <c r="AQ66" s="110">
        <f>IFERROR(__xludf.DUMMYFUNCTION("""COMPUTED_VALUE"""),47.18)</f>
        <v>47.18</v>
      </c>
      <c r="AR66" s="109">
        <f>IFERROR(__xludf.DUMMYFUNCTION("""COMPUTED_VALUE"""),102.853)</f>
        <v>102.853</v>
      </c>
      <c r="AS66" s="110">
        <f>IFERROR(__xludf.DUMMYFUNCTION("""COMPUTED_VALUE"""),13.19)</f>
        <v>13.19</v>
      </c>
      <c r="AT66" s="110">
        <f>IFERROR(__xludf.DUMMYFUNCTION("""COMPUTED_VALUE"""),105.2)</f>
        <v>105.2</v>
      </c>
      <c r="AU66" s="110">
        <f>IFERROR(__xludf.DUMMYFUNCTION("""COMPUTED_VALUE"""),64.1)</f>
        <v>64.1</v>
      </c>
      <c r="AV66" s="110">
        <f>IFERROR(__xludf.DUMMYFUNCTION("""COMPUTED_VALUE"""),131.87)</f>
        <v>131.87</v>
      </c>
      <c r="AW66" s="110">
        <f>IFERROR(__xludf.DUMMYFUNCTION("""COMPUTED_VALUE"""),122.4)</f>
        <v>122.4</v>
      </c>
      <c r="AX66" s="110">
        <f>IFERROR(__xludf.DUMMYFUNCTION("""COMPUTED_VALUE"""),16.96)</f>
        <v>16.96</v>
      </c>
      <c r="AY66" s="110">
        <f>IFERROR(__xludf.DUMMYFUNCTION("""COMPUTED_VALUE"""),44.59)</f>
        <v>44.59</v>
      </c>
      <c r="AZ66" s="110">
        <f>IFERROR(__xludf.DUMMYFUNCTION("""COMPUTED_VALUE"""),0.0)</f>
        <v>0</v>
      </c>
      <c r="BA66" s="110">
        <f>IFERROR(__xludf.DUMMYFUNCTION("""COMPUTED_VALUE"""),0.0)</f>
        <v>0</v>
      </c>
      <c r="BB66" s="110">
        <f>IFERROR(__xludf.DUMMYFUNCTION("""COMPUTED_VALUE"""),11.86)</f>
        <v>11.86</v>
      </c>
      <c r="BC66" s="110">
        <f>IFERROR(__xludf.DUMMYFUNCTION("""COMPUTED_VALUE"""),7.94)</f>
        <v>7.94</v>
      </c>
      <c r="BD66" s="110">
        <f>IFERROR(__xludf.DUMMYFUNCTION("""COMPUTED_VALUE"""),187.7)</f>
        <v>187.7</v>
      </c>
      <c r="BE66" s="110">
        <f>IFERROR(__xludf.DUMMYFUNCTION("""COMPUTED_VALUE"""),148.6)</f>
        <v>148.6</v>
      </c>
      <c r="BF66" s="110">
        <f>IFERROR(__xludf.DUMMYFUNCTION("""COMPUTED_VALUE"""),10.8)</f>
        <v>10.8</v>
      </c>
      <c r="BG66" s="110">
        <f>IFERROR(__xludf.DUMMYFUNCTION("""COMPUTED_VALUE"""),615.92)</f>
        <v>615.92</v>
      </c>
      <c r="BH66" s="110">
        <f>IFERROR(__xludf.DUMMYFUNCTION("""COMPUTED_VALUE"""),293.49)</f>
        <v>293.49</v>
      </c>
      <c r="BI66" s="110">
        <f>IFERROR(__xludf.DUMMYFUNCTION("""COMPUTED_VALUE"""),251.73)</f>
        <v>251.73</v>
      </c>
      <c r="BJ66" s="110">
        <f>IFERROR(__xludf.DUMMYFUNCTION("""COMPUTED_VALUE"""),22.39)</f>
        <v>22.39</v>
      </c>
      <c r="BK66" s="110">
        <f>IFERROR(__xludf.DUMMYFUNCTION("""COMPUTED_VALUE"""),326.93)</f>
        <v>326.93</v>
      </c>
      <c r="BL66" s="110">
        <f>IFERROR(__xludf.DUMMYFUNCTION("""COMPUTED_VALUE"""),133.42)</f>
        <v>133.42</v>
      </c>
      <c r="BM66" s="110">
        <f>IFERROR(__xludf.DUMMYFUNCTION("""COMPUTED_VALUE"""),14.95)</f>
        <v>14.95</v>
      </c>
      <c r="BN66" s="110">
        <f>IFERROR(__xludf.DUMMYFUNCTION("""COMPUTED_VALUE"""),296.53)</f>
        <v>296.53</v>
      </c>
      <c r="BO66" s="110">
        <f>IFERROR(__xludf.DUMMYFUNCTION("""COMPUTED_VALUE"""),692.0)</f>
        <v>692</v>
      </c>
      <c r="BP66" s="110">
        <f>IFERROR(__xludf.DUMMYFUNCTION("""COMPUTED_VALUE"""),40.06)</f>
        <v>40.06</v>
      </c>
      <c r="BQ66" s="110">
        <f>IFERROR(__xludf.DUMMYFUNCTION("""COMPUTED_VALUE"""),8.11)</f>
        <v>8.11</v>
      </c>
      <c r="BR66" s="110">
        <f>IFERROR(__xludf.DUMMYFUNCTION("""COMPUTED_VALUE"""),30.5)</f>
        <v>30.5</v>
      </c>
      <c r="BS66" s="110">
        <f>IFERROR(__xludf.DUMMYFUNCTION("""COMPUTED_VALUE"""),1.2)</f>
        <v>1.2</v>
      </c>
      <c r="BT66" s="110">
        <f>IFERROR(__xludf.DUMMYFUNCTION("""COMPUTED_VALUE"""),45.05)</f>
        <v>45.05</v>
      </c>
      <c r="BU66" s="110">
        <f>IFERROR(__xludf.DUMMYFUNCTION("""COMPUTED_VALUE"""),38.15)</f>
        <v>38.15</v>
      </c>
      <c r="BV66" s="110">
        <f>IFERROR(__xludf.DUMMYFUNCTION("""COMPUTED_VALUE"""),55.3)</f>
        <v>55.3</v>
      </c>
      <c r="BW66" s="110">
        <f>IFERROR(__xludf.DUMMYFUNCTION("""COMPUTED_VALUE"""),7.3)</f>
        <v>7.3</v>
      </c>
      <c r="BX66" s="110">
        <f>IFERROR(__xludf.DUMMYFUNCTION("""COMPUTED_VALUE"""),4.685)</f>
        <v>4.685</v>
      </c>
      <c r="BY66" s="110">
        <f>IFERROR(__xludf.DUMMYFUNCTION("""COMPUTED_VALUE"""),0.0)</f>
        <v>0</v>
      </c>
      <c r="BZ66" s="110">
        <f>IFERROR(__xludf.DUMMYFUNCTION("""COMPUTED_VALUE"""),16.69)</f>
        <v>16.69</v>
      </c>
      <c r="CA66" s="110">
        <f>IFERROR(__xludf.DUMMYFUNCTION("""COMPUTED_VALUE"""),3.72)</f>
        <v>3.72</v>
      </c>
      <c r="CB66" s="110">
        <f>IFERROR(__xludf.DUMMYFUNCTION("""COMPUTED_VALUE"""),5.24)</f>
        <v>5.24</v>
      </c>
      <c r="CC66" s="110">
        <f>IFERROR(__xludf.DUMMYFUNCTION("""COMPUTED_VALUE"""),18.45)</f>
        <v>18.45</v>
      </c>
      <c r="CD66" s="110">
        <f>IFERROR(__xludf.DUMMYFUNCTION("""COMPUTED_VALUE"""),13.39)</f>
        <v>13.39</v>
      </c>
      <c r="CE66" s="110">
        <f>IFERROR(__xludf.DUMMYFUNCTION("""COMPUTED_VALUE"""),27.29)</f>
        <v>27.29</v>
      </c>
      <c r="CF66" s="110">
        <f>IFERROR(__xludf.DUMMYFUNCTION("""COMPUTED_VALUE"""),96.97)</f>
        <v>96.97</v>
      </c>
      <c r="CG66" s="110">
        <f>IFERROR(__xludf.DUMMYFUNCTION("""COMPUTED_VALUE"""),4.49)</f>
        <v>4.49</v>
      </c>
      <c r="CH66" s="110">
        <f>IFERROR(__xludf.DUMMYFUNCTION("""COMPUTED_VALUE"""),24.88)</f>
        <v>24.88</v>
      </c>
      <c r="CI66" s="110">
        <f>IFERROR(__xludf.DUMMYFUNCTION("""COMPUTED_VALUE"""),48.45)</f>
        <v>48.45</v>
      </c>
      <c r="CJ66" s="110">
        <f>IFERROR(__xludf.DUMMYFUNCTION("""COMPUTED_VALUE"""),0.0)</f>
        <v>0</v>
      </c>
      <c r="CK66" s="110">
        <f>IFERROR(__xludf.DUMMYFUNCTION("""COMPUTED_VALUE"""),13.15)</f>
        <v>13.15</v>
      </c>
      <c r="CL66" s="110">
        <f>IFERROR(__xludf.DUMMYFUNCTION("""COMPUTED_VALUE"""),2716.28)</f>
        <v>2716.28</v>
      </c>
      <c r="CM66" s="110">
        <f>IFERROR(__xludf.DUMMYFUNCTION("""COMPUTED_VALUE"""),0.0)</f>
        <v>0</v>
      </c>
      <c r="CN66" s="110">
        <f>IFERROR(__xludf.DUMMYFUNCTION("""COMPUTED_VALUE"""),232.6)</f>
        <v>232.6</v>
      </c>
      <c r="CO66" s="110">
        <f>IFERROR(__xludf.DUMMYFUNCTION("""COMPUTED_VALUE"""),137.5)</f>
        <v>137.5</v>
      </c>
      <c r="CP66" s="110">
        <f>IFERROR(__xludf.DUMMYFUNCTION("""COMPUTED_VALUE"""),62.69)</f>
        <v>62.69</v>
      </c>
      <c r="CQ66" s="110">
        <f>IFERROR(__xludf.DUMMYFUNCTION("""COMPUTED_VALUE"""),68000.0)</f>
        <v>68000</v>
      </c>
      <c r="CR66" s="110">
        <f>IFERROR(__xludf.DUMMYFUNCTION("""COMPUTED_VALUE"""),0.52)</f>
        <v>0.52</v>
      </c>
      <c r="CS66" s="110">
        <f>IFERROR(__xludf.DUMMYFUNCTION("""COMPUTED_VALUE"""),30.08)</f>
        <v>30.08</v>
      </c>
      <c r="CT66" s="110">
        <f>IFERROR(__xludf.DUMMYFUNCTION("""COMPUTED_VALUE"""),22.02)</f>
        <v>22.02</v>
      </c>
      <c r="CU66" s="110">
        <f>IFERROR(__xludf.DUMMYFUNCTION("""COMPUTED_VALUE"""),1933.8)</f>
        <v>1933.8</v>
      </c>
      <c r="CV66" s="110">
        <f>IFERROR(__xludf.DUMMYFUNCTION("""COMPUTED_VALUE"""),2.53)</f>
        <v>2.53</v>
      </c>
      <c r="CW66" s="110">
        <f>IFERROR(__xludf.DUMMYFUNCTION("""COMPUTED_VALUE"""),3.83)</f>
        <v>3.83</v>
      </c>
      <c r="CX66" s="110">
        <f>IFERROR(__xludf.DUMMYFUNCTION("""COMPUTED_VALUE"""),0.0)</f>
        <v>0</v>
      </c>
      <c r="CY66" s="110">
        <f>IFERROR(__xludf.DUMMYFUNCTION("""COMPUTED_VALUE"""),0.03)</f>
        <v>0.03</v>
      </c>
      <c r="CZ66" s="110">
        <f>IFERROR(__xludf.DUMMYFUNCTION("""COMPUTED_VALUE"""),72.0)</f>
        <v>72</v>
      </c>
      <c r="DA66" s="110">
        <f>IFERROR(__xludf.DUMMYFUNCTION("""COMPUTED_VALUE"""),0.0)</f>
        <v>0</v>
      </c>
      <c r="DB66" s="110">
        <f>IFERROR(__xludf.DUMMYFUNCTION("""COMPUTED_VALUE"""),0.03)</f>
        <v>0.03</v>
      </c>
      <c r="DC66" s="110">
        <f>IFERROR(__xludf.DUMMYFUNCTION("""COMPUTED_VALUE"""),154.48)</f>
        <v>154.48</v>
      </c>
      <c r="DD66" s="110">
        <f>IFERROR(__xludf.DUMMYFUNCTION("""COMPUTED_VALUE"""),11.74)</f>
        <v>11.74</v>
      </c>
      <c r="DE66" s="110">
        <f>IFERROR(__xludf.DUMMYFUNCTION("""COMPUTED_VALUE"""),7.08)</f>
        <v>7.08</v>
      </c>
      <c r="DF66" s="110">
        <f>IFERROR(__xludf.DUMMYFUNCTION("""COMPUTED_VALUE"""),55.9)</f>
        <v>55.9</v>
      </c>
      <c r="DG66" s="110">
        <f>IFERROR(__xludf.DUMMYFUNCTION("""COMPUTED_VALUE"""),5.64)</f>
        <v>5.64</v>
      </c>
      <c r="DH66" s="110">
        <f>IFERROR(__xludf.DUMMYFUNCTION("""COMPUTED_VALUE"""),9.66)</f>
        <v>9.66</v>
      </c>
      <c r="DI66" s="110">
        <f>IFERROR(__xludf.DUMMYFUNCTION("""COMPUTED_VALUE"""),156.54)</f>
        <v>156.54</v>
      </c>
      <c r="DJ66" s="110">
        <f>IFERROR(__xludf.DUMMYFUNCTION("""COMPUTED_VALUE"""),13.09)</f>
        <v>13.09</v>
      </c>
      <c r="DK66" s="110">
        <f>IFERROR(__xludf.DUMMYFUNCTION("""COMPUTED_VALUE"""),0.0)</f>
        <v>0</v>
      </c>
      <c r="DL66" s="110">
        <f>IFERROR(__xludf.DUMMYFUNCTION("""COMPUTED_VALUE"""),25.0)</f>
        <v>25</v>
      </c>
      <c r="DM66" s="110">
        <f>IFERROR(__xludf.DUMMYFUNCTION("""COMPUTED_VALUE"""),465.37)</f>
        <v>465.37</v>
      </c>
      <c r="DN66" s="110">
        <f>IFERROR(__xludf.DUMMYFUNCTION("""COMPUTED_VALUE"""),165.91)</f>
        <v>165.91</v>
      </c>
      <c r="DO66" s="110">
        <f>IFERROR(__xludf.DUMMYFUNCTION("""COMPUTED_VALUE"""),354.8)</f>
        <v>354.8</v>
      </c>
      <c r="DP66" s="110">
        <f>IFERROR(__xludf.DUMMYFUNCTION("""COMPUTED_VALUE"""),1.87)</f>
        <v>1.87</v>
      </c>
      <c r="DQ66" s="110">
        <f>IFERROR(__xludf.DUMMYFUNCTION("""COMPUTED_VALUE"""),104.3)</f>
        <v>104.3</v>
      </c>
      <c r="DR66" s="110">
        <f>IFERROR(__xludf.DUMMYFUNCTION("""COMPUTED_VALUE"""),0.0)</f>
        <v>0</v>
      </c>
      <c r="DS66" s="110">
        <f>IFERROR(__xludf.DUMMYFUNCTION("""COMPUTED_VALUE"""),3.2)</f>
        <v>3.2</v>
      </c>
      <c r="DT66" s="110">
        <f>IFERROR(__xludf.DUMMYFUNCTION("""COMPUTED_VALUE"""),5.77)</f>
        <v>5.77</v>
      </c>
      <c r="DU66" s="110">
        <f>IFERROR(__xludf.DUMMYFUNCTION("""COMPUTED_VALUE"""),55.17)</f>
        <v>55.17</v>
      </c>
      <c r="DV66" s="110">
        <f>IFERROR(__xludf.DUMMYFUNCTION("""COMPUTED_VALUE"""),14.18)</f>
        <v>14.18</v>
      </c>
      <c r="DW66" s="110">
        <f>IFERROR(__xludf.DUMMYFUNCTION("""COMPUTED_VALUE"""),0.063)</f>
        <v>0.063</v>
      </c>
      <c r="DX66" s="110">
        <f>IFERROR(__xludf.DUMMYFUNCTION("""COMPUTED_VALUE"""),27.11)</f>
        <v>27.11</v>
      </c>
      <c r="DY66" s="110">
        <f>IFERROR(__xludf.DUMMYFUNCTION("""COMPUTED_VALUE"""),0.0)</f>
        <v>0</v>
      </c>
      <c r="DZ66" s="110">
        <f>IFERROR(__xludf.DUMMYFUNCTION("""COMPUTED_VALUE"""),59.44)</f>
        <v>59.44</v>
      </c>
      <c r="EA66" s="110">
        <f>IFERROR(__xludf.DUMMYFUNCTION("""COMPUTED_VALUE"""),49.52)</f>
        <v>49.52</v>
      </c>
      <c r="EB66" s="110">
        <f>IFERROR(__xludf.DUMMYFUNCTION("""COMPUTED_VALUE"""),76.74)</f>
        <v>76.74</v>
      </c>
      <c r="EC66" s="110">
        <f>IFERROR(__xludf.DUMMYFUNCTION("""COMPUTED_VALUE"""),78.4)</f>
        <v>78.4</v>
      </c>
      <c r="ED66" s="110">
        <f>IFERROR(__xludf.DUMMYFUNCTION("""COMPUTED_VALUE"""),37.51)</f>
        <v>37.51</v>
      </c>
      <c r="EE66" s="110">
        <f>IFERROR(__xludf.DUMMYFUNCTION("""COMPUTED_VALUE"""),87.93)</f>
        <v>87.93</v>
      </c>
      <c r="EF66" s="110">
        <f>IFERROR(__xludf.DUMMYFUNCTION("""COMPUTED_VALUE"""),181.05)</f>
        <v>181.05</v>
      </c>
      <c r="EG66" s="110">
        <f>IFERROR(__xludf.DUMMYFUNCTION("""COMPUTED_VALUE"""),68.37)</f>
        <v>68.37</v>
      </c>
      <c r="EH66" s="110">
        <f>IFERROR(__xludf.DUMMYFUNCTION("""COMPUTED_VALUE"""),100.18)</f>
        <v>100.18</v>
      </c>
      <c r="EI66" s="110">
        <f>IFERROR(__xludf.DUMMYFUNCTION("""COMPUTED_VALUE"""),141.99)</f>
        <v>141.99</v>
      </c>
      <c r="EJ66" s="110">
        <f>IFERROR(__xludf.DUMMYFUNCTION("""COMPUTED_VALUE"""),37.38)</f>
        <v>37.38</v>
      </c>
      <c r="EK66" s="110">
        <f>IFERROR(__xludf.DUMMYFUNCTION("""COMPUTED_VALUE"""),276.83)</f>
        <v>276.83</v>
      </c>
      <c r="EL66" s="110">
        <f>IFERROR(__xludf.DUMMYFUNCTION("""COMPUTED_VALUE"""),63.58)</f>
        <v>63.58</v>
      </c>
      <c r="EM66" s="110">
        <f>IFERROR(__xludf.DUMMYFUNCTION("""COMPUTED_VALUE"""),34.64)</f>
        <v>34.64</v>
      </c>
      <c r="EN66" s="110">
        <f>IFERROR(__xludf.DUMMYFUNCTION("""COMPUTED_VALUE"""),1765.0)</f>
        <v>1765</v>
      </c>
      <c r="EO66" s="110">
        <f>IFERROR(__xludf.DUMMYFUNCTION("""COMPUTED_VALUE"""),8.49)</f>
        <v>8.49</v>
      </c>
      <c r="EP66" s="110">
        <f>IFERROR(__xludf.DUMMYFUNCTION("""COMPUTED_VALUE"""),0.0)</f>
        <v>0</v>
      </c>
      <c r="EQ66" s="110">
        <f>IFERROR(__xludf.DUMMYFUNCTION("""COMPUTED_VALUE"""),1.4)</f>
        <v>1.4</v>
      </c>
      <c r="ER66" s="110">
        <f>IFERROR(__xludf.DUMMYFUNCTION("""COMPUTED_VALUE"""),4512.0)</f>
        <v>4512</v>
      </c>
      <c r="ES66" s="110">
        <f>IFERROR(__xludf.DUMMYFUNCTION("""COMPUTED_VALUE"""),103.38)</f>
        <v>103.38</v>
      </c>
      <c r="ET66" s="110">
        <f>IFERROR(__xludf.DUMMYFUNCTION("""COMPUTED_VALUE"""),101.25)</f>
        <v>101.25</v>
      </c>
      <c r="EU66" s="110">
        <f>IFERROR(__xludf.DUMMYFUNCTION("""COMPUTED_VALUE"""),33.35)</f>
        <v>33.35</v>
      </c>
      <c r="EV66" s="110">
        <f>IFERROR(__xludf.DUMMYFUNCTION("""COMPUTED_VALUE"""),1.35)</f>
        <v>1.35</v>
      </c>
      <c r="EW66" s="110">
        <f>IFERROR(__xludf.DUMMYFUNCTION("""COMPUTED_VALUE"""),13.56)</f>
        <v>13.56</v>
      </c>
      <c r="EX66" s="108">
        <f>IFERROR(__xludf.DUMMYFUNCTION("""COMPUTED_VALUE"""),4.795)</f>
        <v>4.795</v>
      </c>
      <c r="EY66" s="108">
        <f>IFERROR(__xludf.DUMMYFUNCTION("""COMPUTED_VALUE"""),169.23)</f>
        <v>169.23</v>
      </c>
      <c r="EZ66" s="108">
        <f>IFERROR(__xludf.DUMMYFUNCTION("""COMPUTED_VALUE"""),24.7)</f>
        <v>24.7</v>
      </c>
      <c r="FA66" s="108">
        <f>IFERROR(__xludf.DUMMYFUNCTION("""COMPUTED_VALUE"""),3.14)</f>
        <v>3.14</v>
      </c>
      <c r="FB66" s="108">
        <f>IFERROR(__xludf.DUMMYFUNCTION("""COMPUTED_VALUE"""),131.07)</f>
        <v>131.07</v>
      </c>
      <c r="FC66" s="108">
        <f>IFERROR(__xludf.DUMMYFUNCTION("""COMPUTED_VALUE"""),9.36)</f>
        <v>9.36</v>
      </c>
      <c r="FD66" s="108">
        <f>IFERROR(__xludf.DUMMYFUNCTION("""COMPUTED_VALUE"""),60.23)</f>
        <v>60.23</v>
      </c>
      <c r="FE66" s="108">
        <f>IFERROR(__xludf.DUMMYFUNCTION("""COMPUTED_VALUE"""),57.66)</f>
        <v>57.66</v>
      </c>
      <c r="FF66" s="108">
        <f>IFERROR(__xludf.DUMMYFUNCTION("""COMPUTED_VALUE"""),5.64)</f>
        <v>5.64</v>
      </c>
      <c r="FG66" s="108">
        <f>IFERROR(__xludf.DUMMYFUNCTION("""COMPUTED_VALUE"""),624.85)</f>
        <v>624.85</v>
      </c>
      <c r="FH66" s="108">
        <f>IFERROR(__xludf.DUMMYFUNCTION("""COMPUTED_VALUE"""),173.31)</f>
        <v>173.31</v>
      </c>
      <c r="FI66" s="108">
        <f>IFERROR(__xludf.DUMMYFUNCTION("""COMPUTED_VALUE"""),0.057)</f>
        <v>0.057</v>
      </c>
      <c r="FJ66" s="108">
        <f>IFERROR(__xludf.DUMMYFUNCTION("""COMPUTED_VALUE"""),13.76)</f>
        <v>13.76</v>
      </c>
      <c r="FK66" s="108">
        <f>IFERROR(__xludf.DUMMYFUNCTION("""COMPUTED_VALUE"""),187.77)</f>
        <v>187.77</v>
      </c>
      <c r="FL66" s="108">
        <f>IFERROR(__xludf.DUMMYFUNCTION("""COMPUTED_VALUE"""),515.9)</f>
        <v>515.9</v>
      </c>
      <c r="FM66" s="108">
        <f>IFERROR(__xludf.DUMMYFUNCTION("""COMPUTED_VALUE"""),129.32)</f>
        <v>129.32</v>
      </c>
      <c r="FN66" s="108">
        <f>IFERROR(__xludf.DUMMYFUNCTION("""COMPUTED_VALUE"""),1014.9)</f>
        <v>1014.9</v>
      </c>
      <c r="FO66" s="108">
        <f>IFERROR(__xludf.DUMMYFUNCTION("""COMPUTED_VALUE"""),643.26)</f>
        <v>643.26</v>
      </c>
    </row>
    <row r="67">
      <c r="A67" s="106">
        <f>IFERROR(__xludf.DUMMYFUNCTION("""COMPUTED_VALUE"""),44659.0)</f>
        <v>44659</v>
      </c>
      <c r="B67" s="110">
        <f>IFERROR(__xludf.DUMMYFUNCTION("""COMPUTED_VALUE"""),3089.21)</f>
        <v>3089.21</v>
      </c>
      <c r="C67" s="110">
        <f>IFERROR(__xludf.DUMMYFUNCTION("""COMPUTED_VALUE"""),222.33)</f>
        <v>222.33</v>
      </c>
      <c r="D67" s="110">
        <f>IFERROR(__xludf.DUMMYFUNCTION("""COMPUTED_VALUE"""),1025.49)</f>
        <v>1025.49</v>
      </c>
      <c r="E67" s="110">
        <f>IFERROR(__xludf.DUMMYFUNCTION("""COMPUTED_VALUE"""),369.6)</f>
        <v>369.6</v>
      </c>
      <c r="F67" s="110">
        <f>IFERROR(__xludf.DUMMYFUNCTION("""COMPUTED_VALUE"""),11.66)</f>
        <v>11.66</v>
      </c>
      <c r="G67" s="110">
        <f>IFERROR(__xludf.DUMMYFUNCTION("""COMPUTED_VALUE"""),170.09)</f>
        <v>170.09</v>
      </c>
      <c r="H67" s="110">
        <f>IFERROR(__xludf.DUMMYFUNCTION("""COMPUTED_VALUE"""),0.0)</f>
        <v>0</v>
      </c>
      <c r="I67" s="110">
        <f>IFERROR(__xludf.DUMMYFUNCTION("""COMPUTED_VALUE"""),0.0)</f>
        <v>0</v>
      </c>
      <c r="J67" s="110">
        <f>IFERROR(__xludf.DUMMYFUNCTION("""COMPUTED_VALUE"""),0.0)</f>
        <v>0</v>
      </c>
      <c r="K67" s="110">
        <f>IFERROR(__xludf.DUMMYFUNCTION("""COMPUTED_VALUE"""),35.35)</f>
        <v>35.35</v>
      </c>
      <c r="L67" s="110">
        <f>IFERROR(__xludf.DUMMYFUNCTION("""COMPUTED_VALUE"""),156.5)</f>
        <v>156.5</v>
      </c>
      <c r="M67" s="110">
        <f>IFERROR(__xludf.DUMMYFUNCTION("""COMPUTED_VALUE"""),42789.0)</f>
        <v>42789</v>
      </c>
      <c r="N67" s="110">
        <f>IFERROR(__xludf.DUMMYFUNCTION("""COMPUTED_VALUE"""),355.88)</f>
        <v>355.88</v>
      </c>
      <c r="O67" s="110">
        <f>IFERROR(__xludf.DUMMYFUNCTION("""COMPUTED_VALUE"""),296.97)</f>
        <v>296.97</v>
      </c>
      <c r="P67" s="110">
        <f>IFERROR(__xludf.DUMMYFUNCTION("""COMPUTED_VALUE"""),25.78)</f>
        <v>25.78</v>
      </c>
      <c r="Q67" s="110">
        <f>IFERROR(__xludf.DUMMYFUNCTION("""COMPUTED_VALUE"""),23.65)</f>
        <v>23.65</v>
      </c>
      <c r="R67" s="110">
        <f>IFERROR(__xludf.DUMMYFUNCTION("""COMPUTED_VALUE"""),56.54)</f>
        <v>56.54</v>
      </c>
      <c r="S67" s="110">
        <f>IFERROR(__xludf.DUMMYFUNCTION("""COMPUTED_VALUE"""),29.82)</f>
        <v>29.82</v>
      </c>
      <c r="T67" s="110">
        <f>IFERROR(__xludf.DUMMYFUNCTION("""COMPUTED_VALUE"""),27.19)</f>
        <v>27.19</v>
      </c>
      <c r="U67" s="110">
        <f>IFERROR(__xludf.DUMMYFUNCTION("""COMPUTED_VALUE"""),39.2)</f>
        <v>39.2</v>
      </c>
      <c r="V67" s="110">
        <f>IFERROR(__xludf.DUMMYFUNCTION("""COMPUTED_VALUE"""),13.76)</f>
        <v>13.76</v>
      </c>
      <c r="W67" s="110">
        <f>IFERROR(__xludf.DUMMYFUNCTION("""COMPUTED_VALUE"""),251.46)</f>
        <v>251.46</v>
      </c>
      <c r="X67" s="110">
        <f>IFERROR(__xludf.DUMMYFUNCTION("""COMPUTED_VALUE"""),2680.21)</f>
        <v>2680.21</v>
      </c>
      <c r="Y67" s="110">
        <f>IFERROR(__xludf.DUMMYFUNCTION("""COMPUTED_VALUE"""),59.0)</f>
        <v>59</v>
      </c>
      <c r="Z67" s="110">
        <f>IFERROR(__xludf.DUMMYFUNCTION("""COMPUTED_VALUE"""),65.25)</f>
        <v>65.25</v>
      </c>
      <c r="AA67" s="110">
        <f>IFERROR(__xludf.DUMMYFUNCTION("""COMPUTED_VALUE"""),109.77)</f>
        <v>109.77</v>
      </c>
      <c r="AB67" s="110">
        <f>IFERROR(__xludf.DUMMYFUNCTION("""COMPUTED_VALUE"""),4.78)</f>
        <v>4.78</v>
      </c>
      <c r="AC67" s="110">
        <f>IFERROR(__xludf.DUMMYFUNCTION("""COMPUTED_VALUE"""),79.53)</f>
        <v>79.53</v>
      </c>
      <c r="AD67" s="110">
        <f>IFERROR(__xludf.DUMMYFUNCTION("""COMPUTED_VALUE"""),12.1)</f>
        <v>12.1</v>
      </c>
      <c r="AE67" s="110">
        <f>IFERROR(__xludf.DUMMYFUNCTION("""COMPUTED_VALUE"""),6.5)</f>
        <v>6.5</v>
      </c>
      <c r="AF67" s="110">
        <f>IFERROR(__xludf.DUMMYFUNCTION("""COMPUTED_VALUE"""),39.29)</f>
        <v>39.29</v>
      </c>
      <c r="AG67" s="110">
        <f>IFERROR(__xludf.DUMMYFUNCTION("""COMPUTED_VALUE"""),12.14)</f>
        <v>12.14</v>
      </c>
      <c r="AH67" s="110">
        <f>IFERROR(__xludf.DUMMYFUNCTION("""COMPUTED_VALUE"""),2.23)</f>
        <v>2.23</v>
      </c>
      <c r="AI67" s="110">
        <f>IFERROR(__xludf.DUMMYFUNCTION("""COMPUTED_VALUE"""),3.42)</f>
        <v>3.42</v>
      </c>
      <c r="AJ67" s="110">
        <f>IFERROR(__xludf.DUMMYFUNCTION("""COMPUTED_VALUE"""),89.35)</f>
        <v>89.35</v>
      </c>
      <c r="AK67" s="110">
        <f>IFERROR(__xludf.DUMMYFUNCTION("""COMPUTED_VALUE"""),231.19)</f>
        <v>231.19</v>
      </c>
      <c r="AL67" s="110">
        <f>IFERROR(__xludf.DUMMYFUNCTION("""COMPUTED_VALUE"""),13.2)</f>
        <v>13.2</v>
      </c>
      <c r="AM67" s="110">
        <f>IFERROR(__xludf.DUMMYFUNCTION("""COMPUTED_VALUE"""),39.67)</f>
        <v>39.67</v>
      </c>
      <c r="AN67" s="110">
        <f>IFERROR(__xludf.DUMMYFUNCTION("""COMPUTED_VALUE"""),353.1)</f>
        <v>353.1</v>
      </c>
      <c r="AO67" s="110">
        <f>IFERROR(__xludf.DUMMYFUNCTION("""COMPUTED_VALUE"""),98.27)</f>
        <v>98.27</v>
      </c>
      <c r="AP67" s="110">
        <f>IFERROR(__xludf.DUMMYFUNCTION("""COMPUTED_VALUE"""),80.09)</f>
        <v>80.09</v>
      </c>
      <c r="AQ67" s="110">
        <f>IFERROR(__xludf.DUMMYFUNCTION("""COMPUTED_VALUE"""),46.73)</f>
        <v>46.73</v>
      </c>
      <c r="AR67" s="109">
        <f>IFERROR(__xludf.DUMMYFUNCTION("""COMPUTED_VALUE"""),102.697)</f>
        <v>102.697</v>
      </c>
      <c r="AS67" s="110">
        <f>IFERROR(__xludf.DUMMYFUNCTION("""COMPUTED_VALUE"""),13.1)</f>
        <v>13.1</v>
      </c>
      <c r="AT67" s="110">
        <f>IFERROR(__xludf.DUMMYFUNCTION("""COMPUTED_VALUE"""),103.8)</f>
        <v>103.8</v>
      </c>
      <c r="AU67" s="110">
        <f>IFERROR(__xludf.DUMMYFUNCTION("""COMPUTED_VALUE"""),64.22)</f>
        <v>64.22</v>
      </c>
      <c r="AV67" s="110">
        <f>IFERROR(__xludf.DUMMYFUNCTION("""COMPUTED_VALUE"""),131.87)</f>
        <v>131.87</v>
      </c>
      <c r="AW67" s="110">
        <f>IFERROR(__xludf.DUMMYFUNCTION("""COMPUTED_VALUE"""),119.96)</f>
        <v>119.96</v>
      </c>
      <c r="AX67" s="110">
        <f>IFERROR(__xludf.DUMMYFUNCTION("""COMPUTED_VALUE"""),17.36)</f>
        <v>17.36</v>
      </c>
      <c r="AY67" s="110">
        <f>IFERROR(__xludf.DUMMYFUNCTION("""COMPUTED_VALUE"""),43.1)</f>
        <v>43.1</v>
      </c>
      <c r="AZ67" s="110">
        <f>IFERROR(__xludf.DUMMYFUNCTION("""COMPUTED_VALUE"""),0.0)</f>
        <v>0</v>
      </c>
      <c r="BA67" s="110">
        <f>IFERROR(__xludf.DUMMYFUNCTION("""COMPUTED_VALUE"""),0.0)</f>
        <v>0</v>
      </c>
      <c r="BB67" s="110">
        <f>IFERROR(__xludf.DUMMYFUNCTION("""COMPUTED_VALUE"""),12.0)</f>
        <v>12</v>
      </c>
      <c r="BC67" s="110">
        <f>IFERROR(__xludf.DUMMYFUNCTION("""COMPUTED_VALUE"""),7.19)</f>
        <v>7.19</v>
      </c>
      <c r="BD67" s="110">
        <f>IFERROR(__xludf.DUMMYFUNCTION("""COMPUTED_VALUE"""),177.4)</f>
        <v>177.4</v>
      </c>
      <c r="BE67" s="110">
        <f>IFERROR(__xludf.DUMMYFUNCTION("""COMPUTED_VALUE"""),147.4)</f>
        <v>147.4</v>
      </c>
      <c r="BF67" s="110">
        <f>IFERROR(__xludf.DUMMYFUNCTION("""COMPUTED_VALUE"""),10.52)</f>
        <v>10.52</v>
      </c>
      <c r="BG67" s="110">
        <f>IFERROR(__xludf.DUMMYFUNCTION("""COMPUTED_VALUE"""),608.23)</f>
        <v>608.23</v>
      </c>
      <c r="BH67" s="110">
        <f>IFERROR(__xludf.DUMMYFUNCTION("""COMPUTED_VALUE"""),272.02)</f>
        <v>272.02</v>
      </c>
      <c r="BI67" s="110">
        <f>IFERROR(__xludf.DUMMYFUNCTION("""COMPUTED_VALUE"""),252.02)</f>
        <v>252.02</v>
      </c>
      <c r="BJ67" s="110">
        <f>IFERROR(__xludf.DUMMYFUNCTION("""COMPUTED_VALUE"""),21.67)</f>
        <v>21.67</v>
      </c>
      <c r="BK67" s="110">
        <f>IFERROR(__xludf.DUMMYFUNCTION("""COMPUTED_VALUE"""),319.83)</f>
        <v>319.83</v>
      </c>
      <c r="BL67" s="110">
        <f>IFERROR(__xludf.DUMMYFUNCTION("""COMPUTED_VALUE"""),132.84)</f>
        <v>132.84</v>
      </c>
      <c r="BM67" s="110">
        <f>IFERROR(__xludf.DUMMYFUNCTION("""COMPUTED_VALUE"""),15.05)</f>
        <v>15.05</v>
      </c>
      <c r="BN67" s="110">
        <f>IFERROR(__xludf.DUMMYFUNCTION("""COMPUTED_VALUE"""),283.6)</f>
        <v>283.6</v>
      </c>
      <c r="BO67" s="110">
        <f>IFERROR(__xludf.DUMMYFUNCTION("""COMPUTED_VALUE"""),679.11)</f>
        <v>679.11</v>
      </c>
      <c r="BP67" s="110">
        <f>IFERROR(__xludf.DUMMYFUNCTION("""COMPUTED_VALUE"""),38.8)</f>
        <v>38.8</v>
      </c>
      <c r="BQ67" s="110">
        <f>IFERROR(__xludf.DUMMYFUNCTION("""COMPUTED_VALUE"""),7.87)</f>
        <v>7.87</v>
      </c>
      <c r="BR67" s="110">
        <f>IFERROR(__xludf.DUMMYFUNCTION("""COMPUTED_VALUE"""),28.29)</f>
        <v>28.29</v>
      </c>
      <c r="BS67" s="110">
        <f>IFERROR(__xludf.DUMMYFUNCTION("""COMPUTED_VALUE"""),1.29)</f>
        <v>1.29</v>
      </c>
      <c r="BT67" s="110">
        <f>IFERROR(__xludf.DUMMYFUNCTION("""COMPUTED_VALUE"""),44.87)</f>
        <v>44.87</v>
      </c>
      <c r="BU67" s="110">
        <f>IFERROR(__xludf.DUMMYFUNCTION("""COMPUTED_VALUE"""),39.4)</f>
        <v>39.4</v>
      </c>
      <c r="BV67" s="110">
        <f>IFERROR(__xludf.DUMMYFUNCTION("""COMPUTED_VALUE"""),55.45)</f>
        <v>55.45</v>
      </c>
      <c r="BW67" s="110">
        <f>IFERROR(__xludf.DUMMYFUNCTION("""COMPUTED_VALUE"""),7.28)</f>
        <v>7.28</v>
      </c>
      <c r="BX67" s="110">
        <f>IFERROR(__xludf.DUMMYFUNCTION("""COMPUTED_VALUE"""),4.69)</f>
        <v>4.69</v>
      </c>
      <c r="BY67" s="110">
        <f>IFERROR(__xludf.DUMMYFUNCTION("""COMPUTED_VALUE"""),0.0)</f>
        <v>0</v>
      </c>
      <c r="BZ67" s="110">
        <f>IFERROR(__xludf.DUMMYFUNCTION("""COMPUTED_VALUE"""),16.92)</f>
        <v>16.92</v>
      </c>
      <c r="CA67" s="110">
        <f>IFERROR(__xludf.DUMMYFUNCTION("""COMPUTED_VALUE"""),3.66)</f>
        <v>3.66</v>
      </c>
      <c r="CB67" s="110">
        <f>IFERROR(__xludf.DUMMYFUNCTION("""COMPUTED_VALUE"""),5.1)</f>
        <v>5.1</v>
      </c>
      <c r="CC67" s="110">
        <f>IFERROR(__xludf.DUMMYFUNCTION("""COMPUTED_VALUE"""),19.11)</f>
        <v>19.11</v>
      </c>
      <c r="CD67" s="110">
        <f>IFERROR(__xludf.DUMMYFUNCTION("""COMPUTED_VALUE"""),13.3)</f>
        <v>13.3</v>
      </c>
      <c r="CE67" s="110">
        <f>IFERROR(__xludf.DUMMYFUNCTION("""COMPUTED_VALUE"""),26.61)</f>
        <v>26.61</v>
      </c>
      <c r="CF67" s="110">
        <f>IFERROR(__xludf.DUMMYFUNCTION("""COMPUTED_VALUE"""),98.03)</f>
        <v>98.03</v>
      </c>
      <c r="CG67" s="110">
        <f>IFERROR(__xludf.DUMMYFUNCTION("""COMPUTED_VALUE"""),4.41)</f>
        <v>4.41</v>
      </c>
      <c r="CH67" s="110">
        <f>IFERROR(__xludf.DUMMYFUNCTION("""COMPUTED_VALUE"""),25.41)</f>
        <v>25.41</v>
      </c>
      <c r="CI67" s="110">
        <f>IFERROR(__xludf.DUMMYFUNCTION("""COMPUTED_VALUE"""),50.03)</f>
        <v>50.03</v>
      </c>
      <c r="CJ67" s="110">
        <f>IFERROR(__xludf.DUMMYFUNCTION("""COMPUTED_VALUE"""),0.0)</f>
        <v>0</v>
      </c>
      <c r="CK67" s="110">
        <f>IFERROR(__xludf.DUMMYFUNCTION("""COMPUTED_VALUE"""),13.23)</f>
        <v>13.23</v>
      </c>
      <c r="CL67" s="110">
        <f>IFERROR(__xludf.DUMMYFUNCTION("""COMPUTED_VALUE"""),2665.75)</f>
        <v>2665.75</v>
      </c>
      <c r="CM67" s="110">
        <f>IFERROR(__xludf.DUMMYFUNCTION("""COMPUTED_VALUE"""),0.0)</f>
        <v>0</v>
      </c>
      <c r="CN67" s="110">
        <f>IFERROR(__xludf.DUMMYFUNCTION("""COMPUTED_VALUE"""),215.4)</f>
        <v>215.4</v>
      </c>
      <c r="CO67" s="110">
        <f>IFERROR(__xludf.DUMMYFUNCTION("""COMPUTED_VALUE"""),135.3)</f>
        <v>135.3</v>
      </c>
      <c r="CP67" s="110">
        <f>IFERROR(__xludf.DUMMYFUNCTION("""COMPUTED_VALUE"""),60.65)</f>
        <v>60.65</v>
      </c>
      <c r="CQ67" s="110">
        <f>IFERROR(__xludf.DUMMYFUNCTION("""COMPUTED_VALUE"""),67800.0)</f>
        <v>67800</v>
      </c>
      <c r="CR67" s="110">
        <f>IFERROR(__xludf.DUMMYFUNCTION("""COMPUTED_VALUE"""),0.52)</f>
        <v>0.52</v>
      </c>
      <c r="CS67" s="110">
        <f>IFERROR(__xludf.DUMMYFUNCTION("""COMPUTED_VALUE"""),29.34)</f>
        <v>29.34</v>
      </c>
      <c r="CT67" s="110">
        <f>IFERROR(__xludf.DUMMYFUNCTION("""COMPUTED_VALUE"""),22.1)</f>
        <v>22.1</v>
      </c>
      <c r="CU67" s="110">
        <f>IFERROR(__xludf.DUMMYFUNCTION("""COMPUTED_VALUE"""),1949.1)</f>
        <v>1949.1</v>
      </c>
      <c r="CV67" s="110">
        <f>IFERROR(__xludf.DUMMYFUNCTION("""COMPUTED_VALUE"""),2.51)</f>
        <v>2.51</v>
      </c>
      <c r="CW67" s="110">
        <f>IFERROR(__xludf.DUMMYFUNCTION("""COMPUTED_VALUE"""),3.82)</f>
        <v>3.82</v>
      </c>
      <c r="CX67" s="110">
        <f>IFERROR(__xludf.DUMMYFUNCTION("""COMPUTED_VALUE"""),0.0)</f>
        <v>0</v>
      </c>
      <c r="CY67" s="110">
        <f>IFERROR(__xludf.DUMMYFUNCTION("""COMPUTED_VALUE"""),0.03)</f>
        <v>0.03</v>
      </c>
      <c r="CZ67" s="110">
        <f>IFERROR(__xludf.DUMMYFUNCTION("""COMPUTED_VALUE"""),70.25)</f>
        <v>70.25</v>
      </c>
      <c r="DA67" s="110">
        <f>IFERROR(__xludf.DUMMYFUNCTION("""COMPUTED_VALUE"""),0.0)</f>
        <v>0</v>
      </c>
      <c r="DB67" s="110">
        <f>IFERROR(__xludf.DUMMYFUNCTION("""COMPUTED_VALUE"""),0.04)</f>
        <v>0.04</v>
      </c>
      <c r="DC67" s="110">
        <f>IFERROR(__xludf.DUMMYFUNCTION("""COMPUTED_VALUE"""),152.41)</f>
        <v>152.41</v>
      </c>
      <c r="DD67" s="110">
        <f>IFERROR(__xludf.DUMMYFUNCTION("""COMPUTED_VALUE"""),12.91)</f>
        <v>12.91</v>
      </c>
      <c r="DE67" s="110">
        <f>IFERROR(__xludf.DUMMYFUNCTION("""COMPUTED_VALUE"""),6.91)</f>
        <v>6.91</v>
      </c>
      <c r="DF67" s="110">
        <f>IFERROR(__xludf.DUMMYFUNCTION("""COMPUTED_VALUE"""),56.5)</f>
        <v>56.5</v>
      </c>
      <c r="DG67" s="110">
        <f>IFERROR(__xludf.DUMMYFUNCTION("""COMPUTED_VALUE"""),5.52)</f>
        <v>5.52</v>
      </c>
      <c r="DH67" s="110">
        <f>IFERROR(__xludf.DUMMYFUNCTION("""COMPUTED_VALUE"""),8.96)</f>
        <v>8.96</v>
      </c>
      <c r="DI67" s="110">
        <f>IFERROR(__xludf.DUMMYFUNCTION("""COMPUTED_VALUE"""),157.41)</f>
        <v>157.41</v>
      </c>
      <c r="DJ67" s="110">
        <f>IFERROR(__xludf.DUMMYFUNCTION("""COMPUTED_VALUE"""),12.48)</f>
        <v>12.48</v>
      </c>
      <c r="DK67" s="110">
        <f>IFERROR(__xludf.DUMMYFUNCTION("""COMPUTED_VALUE"""),0.0)</f>
        <v>0</v>
      </c>
      <c r="DL67" s="110">
        <f>IFERROR(__xludf.DUMMYFUNCTION("""COMPUTED_VALUE"""),24.05)</f>
        <v>24.05</v>
      </c>
      <c r="DM67" s="110">
        <f>IFERROR(__xludf.DUMMYFUNCTION("""COMPUTED_VALUE"""),461.52)</f>
        <v>461.52</v>
      </c>
      <c r="DN67" s="110">
        <f>IFERROR(__xludf.DUMMYFUNCTION("""COMPUTED_VALUE"""),162.56)</f>
        <v>162.56</v>
      </c>
      <c r="DO67" s="110">
        <f>IFERROR(__xludf.DUMMYFUNCTION("""COMPUTED_VALUE"""),355.4)</f>
        <v>355.4</v>
      </c>
      <c r="DP67" s="110">
        <f>IFERROR(__xludf.DUMMYFUNCTION("""COMPUTED_VALUE"""),4.4)</f>
        <v>4.4</v>
      </c>
      <c r="DQ67" s="110">
        <f>IFERROR(__xludf.DUMMYFUNCTION("""COMPUTED_VALUE"""),103.53)</f>
        <v>103.53</v>
      </c>
      <c r="DR67" s="110">
        <f>IFERROR(__xludf.DUMMYFUNCTION("""COMPUTED_VALUE"""),0.0)</f>
        <v>0</v>
      </c>
      <c r="DS67" s="110">
        <f>IFERROR(__xludf.DUMMYFUNCTION("""COMPUTED_VALUE"""),3.2)</f>
        <v>3.2</v>
      </c>
      <c r="DT67" s="110">
        <f>IFERROR(__xludf.DUMMYFUNCTION("""COMPUTED_VALUE"""),6.0)</f>
        <v>6</v>
      </c>
      <c r="DU67" s="110">
        <f>IFERROR(__xludf.DUMMYFUNCTION("""COMPUTED_VALUE"""),55.17)</f>
        <v>55.17</v>
      </c>
      <c r="DV67" s="110">
        <f>IFERROR(__xludf.DUMMYFUNCTION("""COMPUTED_VALUE"""),14.12)</f>
        <v>14.12</v>
      </c>
      <c r="DW67" s="110">
        <f>IFERROR(__xludf.DUMMYFUNCTION("""COMPUTED_VALUE"""),0.064)</f>
        <v>0.064</v>
      </c>
      <c r="DX67" s="110">
        <f>IFERROR(__xludf.DUMMYFUNCTION("""COMPUTED_VALUE"""),26.68)</f>
        <v>26.68</v>
      </c>
      <c r="DY67" s="110">
        <f>IFERROR(__xludf.DUMMYFUNCTION("""COMPUTED_VALUE"""),0.0)</f>
        <v>0</v>
      </c>
      <c r="DZ67" s="110">
        <f>IFERROR(__xludf.DUMMYFUNCTION("""COMPUTED_VALUE"""),60.63)</f>
        <v>60.63</v>
      </c>
      <c r="EA67" s="110">
        <f>IFERROR(__xludf.DUMMYFUNCTION("""COMPUTED_VALUE"""),49.67)</f>
        <v>49.67</v>
      </c>
      <c r="EB67" s="110">
        <f>IFERROR(__xludf.DUMMYFUNCTION("""COMPUTED_VALUE"""),76.96)</f>
        <v>76.96</v>
      </c>
      <c r="EC67" s="110">
        <f>IFERROR(__xludf.DUMMYFUNCTION("""COMPUTED_VALUE"""),78.72)</f>
        <v>78.72</v>
      </c>
      <c r="ED67" s="110">
        <f>IFERROR(__xludf.DUMMYFUNCTION("""COMPUTED_VALUE"""),37.89)</f>
        <v>37.89</v>
      </c>
      <c r="EE67" s="110">
        <f>IFERROR(__xludf.DUMMYFUNCTION("""COMPUTED_VALUE"""),88.48)</f>
        <v>88.48</v>
      </c>
      <c r="EF67" s="110">
        <f>IFERROR(__xludf.DUMMYFUNCTION("""COMPUTED_VALUE"""),179.48)</f>
        <v>179.48</v>
      </c>
      <c r="EG67" s="110">
        <f>IFERROR(__xludf.DUMMYFUNCTION("""COMPUTED_VALUE"""),68.08)</f>
        <v>68.08</v>
      </c>
      <c r="EH67" s="110">
        <f>IFERROR(__xludf.DUMMYFUNCTION("""COMPUTED_VALUE"""),99.6)</f>
        <v>99.6</v>
      </c>
      <c r="EI67" s="110">
        <f>IFERROR(__xludf.DUMMYFUNCTION("""COMPUTED_VALUE"""),142.83)</f>
        <v>142.83</v>
      </c>
      <c r="EJ67" s="110">
        <f>IFERROR(__xludf.DUMMYFUNCTION("""COMPUTED_VALUE"""),36.35)</f>
        <v>36.35</v>
      </c>
      <c r="EK67" s="110">
        <f>IFERROR(__xludf.DUMMYFUNCTION("""COMPUTED_VALUE"""),274.79)</f>
        <v>274.79</v>
      </c>
      <c r="EL67" s="110">
        <f>IFERROR(__xludf.DUMMYFUNCTION("""COMPUTED_VALUE"""),57.22)</f>
        <v>57.22</v>
      </c>
      <c r="EM67" s="110">
        <f>IFERROR(__xludf.DUMMYFUNCTION("""COMPUTED_VALUE"""),33.7)</f>
        <v>33.7</v>
      </c>
      <c r="EN67" s="110">
        <f>IFERROR(__xludf.DUMMYFUNCTION("""COMPUTED_VALUE"""),1784.0)</f>
        <v>1784</v>
      </c>
      <c r="EO67" s="110">
        <f>IFERROR(__xludf.DUMMYFUNCTION("""COMPUTED_VALUE"""),8.54)</f>
        <v>8.54</v>
      </c>
      <c r="EP67" s="110">
        <f>IFERROR(__xludf.DUMMYFUNCTION("""COMPUTED_VALUE"""),0.0)</f>
        <v>0</v>
      </c>
      <c r="EQ67" s="110">
        <f>IFERROR(__xludf.DUMMYFUNCTION("""COMPUTED_VALUE"""),1.15)</f>
        <v>1.15</v>
      </c>
      <c r="ER67" s="110">
        <f>IFERROR(__xludf.DUMMYFUNCTION("""COMPUTED_VALUE"""),4484.75)</f>
        <v>4484.75</v>
      </c>
      <c r="ES67" s="110">
        <f>IFERROR(__xludf.DUMMYFUNCTION("""COMPUTED_VALUE"""),102.99)</f>
        <v>102.99</v>
      </c>
      <c r="ET67" s="110">
        <f>IFERROR(__xludf.DUMMYFUNCTION("""COMPUTED_VALUE"""),102.67)</f>
        <v>102.67</v>
      </c>
      <c r="EU67" s="110">
        <f>IFERROR(__xludf.DUMMYFUNCTION("""COMPUTED_VALUE"""),34.55)</f>
        <v>34.55</v>
      </c>
      <c r="EV67" s="110">
        <f>IFERROR(__xludf.DUMMYFUNCTION("""COMPUTED_VALUE"""),1.4)</f>
        <v>1.4</v>
      </c>
      <c r="EW67" s="110">
        <f>IFERROR(__xludf.DUMMYFUNCTION("""COMPUTED_VALUE"""),13.7)</f>
        <v>13.7</v>
      </c>
      <c r="EX67" s="108">
        <f>IFERROR(__xludf.DUMMYFUNCTION("""COMPUTED_VALUE"""),4.91)</f>
        <v>4.91</v>
      </c>
      <c r="EY67" s="108">
        <f>IFERROR(__xludf.DUMMYFUNCTION("""COMPUTED_VALUE"""),170.26)</f>
        <v>170.26</v>
      </c>
      <c r="EZ67" s="108">
        <f>IFERROR(__xludf.DUMMYFUNCTION("""COMPUTED_VALUE"""),24.88)</f>
        <v>24.88</v>
      </c>
      <c r="FA67" s="108">
        <f>IFERROR(__xludf.DUMMYFUNCTION("""COMPUTED_VALUE"""),3.14)</f>
        <v>3.14</v>
      </c>
      <c r="FB67" s="108">
        <f>IFERROR(__xludf.DUMMYFUNCTION("""COMPUTED_VALUE"""),133.49)</f>
        <v>133.49</v>
      </c>
      <c r="FC67" s="108">
        <f>IFERROR(__xludf.DUMMYFUNCTION("""COMPUTED_VALUE"""),10.19)</f>
        <v>10.19</v>
      </c>
      <c r="FD67" s="108">
        <f>IFERROR(__xludf.DUMMYFUNCTION("""COMPUTED_VALUE"""),62.37)</f>
        <v>62.37</v>
      </c>
      <c r="FE67" s="108">
        <f>IFERROR(__xludf.DUMMYFUNCTION("""COMPUTED_VALUE"""),61.8)</f>
        <v>61.8</v>
      </c>
      <c r="FF67" s="108">
        <f>IFERROR(__xludf.DUMMYFUNCTION("""COMPUTED_VALUE"""),5.6)</f>
        <v>5.6</v>
      </c>
      <c r="FG67" s="108">
        <f>IFERROR(__xludf.DUMMYFUNCTION("""COMPUTED_VALUE"""),610.93)</f>
        <v>610.93</v>
      </c>
      <c r="FH67" s="108">
        <f>IFERROR(__xludf.DUMMYFUNCTION("""COMPUTED_VALUE"""),174.96)</f>
        <v>174.96</v>
      </c>
      <c r="FI67" s="108">
        <f>IFERROR(__xludf.DUMMYFUNCTION("""COMPUTED_VALUE"""),0.058)</f>
        <v>0.058</v>
      </c>
      <c r="FJ67" s="108">
        <f>IFERROR(__xludf.DUMMYFUNCTION("""COMPUTED_VALUE"""),13.62)</f>
        <v>13.62</v>
      </c>
      <c r="FK67" s="108">
        <f>IFERROR(__xludf.DUMMYFUNCTION("""COMPUTED_VALUE"""),188.67)</f>
        <v>188.67</v>
      </c>
      <c r="FL67" s="108">
        <f>IFERROR(__xludf.DUMMYFUNCTION("""COMPUTED_VALUE"""),520.67)</f>
        <v>520.67</v>
      </c>
      <c r="FM67" s="108">
        <f>IFERROR(__xludf.DUMMYFUNCTION("""COMPUTED_VALUE"""),128.15)</f>
        <v>128.15</v>
      </c>
      <c r="FN67" s="108">
        <f>IFERROR(__xludf.DUMMYFUNCTION("""COMPUTED_VALUE"""),1003.12)</f>
        <v>1003.12</v>
      </c>
      <c r="FO67" s="108">
        <f>IFERROR(__xludf.DUMMYFUNCTION("""COMPUTED_VALUE"""),603.18)</f>
        <v>603.18</v>
      </c>
    </row>
    <row r="68">
      <c r="A68" s="106">
        <f>IFERROR(__xludf.DUMMYFUNCTION("""COMPUTED_VALUE"""),44660.0)</f>
        <v>44660</v>
      </c>
      <c r="B68" s="110">
        <f>IFERROR(__xludf.DUMMYFUNCTION("""COMPUTED_VALUE"""),3089.21)</f>
        <v>3089.21</v>
      </c>
      <c r="C68" s="110">
        <f>IFERROR(__xludf.DUMMYFUNCTION("""COMPUTED_VALUE"""),222.33)</f>
        <v>222.33</v>
      </c>
      <c r="D68" s="110">
        <f>IFERROR(__xludf.DUMMYFUNCTION("""COMPUTED_VALUE"""),1025.49)</f>
        <v>1025.49</v>
      </c>
      <c r="E68" s="110">
        <f>IFERROR(__xludf.DUMMYFUNCTION("""COMPUTED_VALUE"""),369.6)</f>
        <v>369.6</v>
      </c>
      <c r="F68" s="110">
        <f>IFERROR(__xludf.DUMMYFUNCTION("""COMPUTED_VALUE"""),11.66)</f>
        <v>11.66</v>
      </c>
      <c r="G68" s="110">
        <f>IFERROR(__xludf.DUMMYFUNCTION("""COMPUTED_VALUE"""),170.09)</f>
        <v>170.09</v>
      </c>
      <c r="H68" s="110">
        <f>IFERROR(__xludf.DUMMYFUNCTION("""COMPUTED_VALUE"""),0.0)</f>
        <v>0</v>
      </c>
      <c r="I68" s="110">
        <f>IFERROR(__xludf.DUMMYFUNCTION("""COMPUTED_VALUE"""),0.0)</f>
        <v>0</v>
      </c>
      <c r="J68" s="110">
        <f>IFERROR(__xludf.DUMMYFUNCTION("""COMPUTED_VALUE"""),0.0)</f>
        <v>0</v>
      </c>
      <c r="K68" s="110">
        <f>IFERROR(__xludf.DUMMYFUNCTION("""COMPUTED_VALUE"""),35.35)</f>
        <v>35.35</v>
      </c>
      <c r="L68" s="110">
        <f>IFERROR(__xludf.DUMMYFUNCTION("""COMPUTED_VALUE"""),156.5)</f>
        <v>156.5</v>
      </c>
      <c r="M68" s="110">
        <f>IFERROR(__xludf.DUMMYFUNCTION("""COMPUTED_VALUE"""),42789.0)</f>
        <v>42789</v>
      </c>
      <c r="N68" s="110">
        <f>IFERROR(__xludf.DUMMYFUNCTION("""COMPUTED_VALUE"""),355.88)</f>
        <v>355.88</v>
      </c>
      <c r="O68" s="110">
        <f>IFERROR(__xludf.DUMMYFUNCTION("""COMPUTED_VALUE"""),296.97)</f>
        <v>296.97</v>
      </c>
      <c r="P68" s="110">
        <f>IFERROR(__xludf.DUMMYFUNCTION("""COMPUTED_VALUE"""),25.78)</f>
        <v>25.78</v>
      </c>
      <c r="Q68" s="110">
        <f>IFERROR(__xludf.DUMMYFUNCTION("""COMPUTED_VALUE"""),23.65)</f>
        <v>23.65</v>
      </c>
      <c r="R68" s="110">
        <f>IFERROR(__xludf.DUMMYFUNCTION("""COMPUTED_VALUE"""),56.54)</f>
        <v>56.54</v>
      </c>
      <c r="S68" s="110">
        <f>IFERROR(__xludf.DUMMYFUNCTION("""COMPUTED_VALUE"""),29.82)</f>
        <v>29.82</v>
      </c>
      <c r="T68" s="110">
        <f>IFERROR(__xludf.DUMMYFUNCTION("""COMPUTED_VALUE"""),27.19)</f>
        <v>27.19</v>
      </c>
      <c r="U68" s="110">
        <f>IFERROR(__xludf.DUMMYFUNCTION("""COMPUTED_VALUE"""),39.2)</f>
        <v>39.2</v>
      </c>
      <c r="V68" s="110">
        <f>IFERROR(__xludf.DUMMYFUNCTION("""COMPUTED_VALUE"""),13.76)</f>
        <v>13.76</v>
      </c>
      <c r="W68" s="110">
        <f>IFERROR(__xludf.DUMMYFUNCTION("""COMPUTED_VALUE"""),251.46)</f>
        <v>251.46</v>
      </c>
      <c r="X68" s="110">
        <f>IFERROR(__xludf.DUMMYFUNCTION("""COMPUTED_VALUE"""),2680.21)</f>
        <v>2680.21</v>
      </c>
      <c r="Y68" s="110">
        <f>IFERROR(__xludf.DUMMYFUNCTION("""COMPUTED_VALUE"""),59.0)</f>
        <v>59</v>
      </c>
      <c r="Z68" s="110">
        <f>IFERROR(__xludf.DUMMYFUNCTION("""COMPUTED_VALUE"""),65.25)</f>
        <v>65.25</v>
      </c>
      <c r="AA68" s="110">
        <f>IFERROR(__xludf.DUMMYFUNCTION("""COMPUTED_VALUE"""),109.77)</f>
        <v>109.77</v>
      </c>
      <c r="AB68" s="110">
        <f>IFERROR(__xludf.DUMMYFUNCTION("""COMPUTED_VALUE"""),4.78)</f>
        <v>4.78</v>
      </c>
      <c r="AC68" s="110">
        <f>IFERROR(__xludf.DUMMYFUNCTION("""COMPUTED_VALUE"""),79.53)</f>
        <v>79.53</v>
      </c>
      <c r="AD68" s="110">
        <f>IFERROR(__xludf.DUMMYFUNCTION("""COMPUTED_VALUE"""),12.1)</f>
        <v>12.1</v>
      </c>
      <c r="AE68" s="110">
        <f>IFERROR(__xludf.DUMMYFUNCTION("""COMPUTED_VALUE"""),6.5)</f>
        <v>6.5</v>
      </c>
      <c r="AF68" s="110">
        <f>IFERROR(__xludf.DUMMYFUNCTION("""COMPUTED_VALUE"""),39.29)</f>
        <v>39.29</v>
      </c>
      <c r="AG68" s="110">
        <f>IFERROR(__xludf.DUMMYFUNCTION("""COMPUTED_VALUE"""),12.14)</f>
        <v>12.14</v>
      </c>
      <c r="AH68" s="110">
        <f>IFERROR(__xludf.DUMMYFUNCTION("""COMPUTED_VALUE"""),2.23)</f>
        <v>2.23</v>
      </c>
      <c r="AI68" s="110">
        <f>IFERROR(__xludf.DUMMYFUNCTION("""COMPUTED_VALUE"""),3.42)</f>
        <v>3.42</v>
      </c>
      <c r="AJ68" s="110">
        <f>IFERROR(__xludf.DUMMYFUNCTION("""COMPUTED_VALUE"""),89.35)</f>
        <v>89.35</v>
      </c>
      <c r="AK68" s="110">
        <f>IFERROR(__xludf.DUMMYFUNCTION("""COMPUTED_VALUE"""),231.19)</f>
        <v>231.19</v>
      </c>
      <c r="AL68" s="110">
        <f>IFERROR(__xludf.DUMMYFUNCTION("""COMPUTED_VALUE"""),13.2)</f>
        <v>13.2</v>
      </c>
      <c r="AM68" s="110">
        <f>IFERROR(__xludf.DUMMYFUNCTION("""COMPUTED_VALUE"""),39.67)</f>
        <v>39.67</v>
      </c>
      <c r="AN68" s="110">
        <f>IFERROR(__xludf.DUMMYFUNCTION("""COMPUTED_VALUE"""),353.1)</f>
        <v>353.1</v>
      </c>
      <c r="AO68" s="110">
        <f>IFERROR(__xludf.DUMMYFUNCTION("""COMPUTED_VALUE"""),98.27)</f>
        <v>98.27</v>
      </c>
      <c r="AP68" s="110">
        <f>IFERROR(__xludf.DUMMYFUNCTION("""COMPUTED_VALUE"""),80.09)</f>
        <v>80.09</v>
      </c>
      <c r="AQ68" s="110">
        <f>IFERROR(__xludf.DUMMYFUNCTION("""COMPUTED_VALUE"""),46.73)</f>
        <v>46.73</v>
      </c>
      <c r="AR68" s="109">
        <f>IFERROR(__xludf.DUMMYFUNCTION("""COMPUTED_VALUE"""),102.697)</f>
        <v>102.697</v>
      </c>
      <c r="AS68" s="110">
        <f>IFERROR(__xludf.DUMMYFUNCTION("""COMPUTED_VALUE"""),13.1)</f>
        <v>13.1</v>
      </c>
      <c r="AT68" s="110">
        <f>IFERROR(__xludf.DUMMYFUNCTION("""COMPUTED_VALUE"""),103.8)</f>
        <v>103.8</v>
      </c>
      <c r="AU68" s="110">
        <f>IFERROR(__xludf.DUMMYFUNCTION("""COMPUTED_VALUE"""),64.22)</f>
        <v>64.22</v>
      </c>
      <c r="AV68" s="110">
        <f>IFERROR(__xludf.DUMMYFUNCTION("""COMPUTED_VALUE"""),131.87)</f>
        <v>131.87</v>
      </c>
      <c r="AW68" s="110">
        <f>IFERROR(__xludf.DUMMYFUNCTION("""COMPUTED_VALUE"""),119.96)</f>
        <v>119.96</v>
      </c>
      <c r="AX68" s="110">
        <f>IFERROR(__xludf.DUMMYFUNCTION("""COMPUTED_VALUE"""),17.36)</f>
        <v>17.36</v>
      </c>
      <c r="AY68" s="110">
        <f>IFERROR(__xludf.DUMMYFUNCTION("""COMPUTED_VALUE"""),43.1)</f>
        <v>43.1</v>
      </c>
      <c r="AZ68" s="110">
        <f>IFERROR(__xludf.DUMMYFUNCTION("""COMPUTED_VALUE"""),0.0)</f>
        <v>0</v>
      </c>
      <c r="BA68" s="110">
        <f>IFERROR(__xludf.DUMMYFUNCTION("""COMPUTED_VALUE"""),0.0)</f>
        <v>0</v>
      </c>
      <c r="BB68" s="110">
        <f>IFERROR(__xludf.DUMMYFUNCTION("""COMPUTED_VALUE"""),12.0)</f>
        <v>12</v>
      </c>
      <c r="BC68" s="110">
        <f>IFERROR(__xludf.DUMMYFUNCTION("""COMPUTED_VALUE"""),7.19)</f>
        <v>7.19</v>
      </c>
      <c r="BD68" s="110">
        <f>IFERROR(__xludf.DUMMYFUNCTION("""COMPUTED_VALUE"""),177.4)</f>
        <v>177.4</v>
      </c>
      <c r="BE68" s="110">
        <f>IFERROR(__xludf.DUMMYFUNCTION("""COMPUTED_VALUE"""),147.4)</f>
        <v>147.4</v>
      </c>
      <c r="BF68" s="110">
        <f>IFERROR(__xludf.DUMMYFUNCTION("""COMPUTED_VALUE"""),10.52)</f>
        <v>10.52</v>
      </c>
      <c r="BG68" s="110">
        <f>IFERROR(__xludf.DUMMYFUNCTION("""COMPUTED_VALUE"""),608.23)</f>
        <v>608.23</v>
      </c>
      <c r="BH68" s="110">
        <f>IFERROR(__xludf.DUMMYFUNCTION("""COMPUTED_VALUE"""),272.02)</f>
        <v>272.02</v>
      </c>
      <c r="BI68" s="110">
        <f>IFERROR(__xludf.DUMMYFUNCTION("""COMPUTED_VALUE"""),252.02)</f>
        <v>252.02</v>
      </c>
      <c r="BJ68" s="110">
        <f>IFERROR(__xludf.DUMMYFUNCTION("""COMPUTED_VALUE"""),21.67)</f>
        <v>21.67</v>
      </c>
      <c r="BK68" s="110">
        <f>IFERROR(__xludf.DUMMYFUNCTION("""COMPUTED_VALUE"""),319.83)</f>
        <v>319.83</v>
      </c>
      <c r="BL68" s="110">
        <f>IFERROR(__xludf.DUMMYFUNCTION("""COMPUTED_VALUE"""),132.84)</f>
        <v>132.84</v>
      </c>
      <c r="BM68" s="110">
        <f>IFERROR(__xludf.DUMMYFUNCTION("""COMPUTED_VALUE"""),15.05)</f>
        <v>15.05</v>
      </c>
      <c r="BN68" s="110">
        <f>IFERROR(__xludf.DUMMYFUNCTION("""COMPUTED_VALUE"""),283.6)</f>
        <v>283.6</v>
      </c>
      <c r="BO68" s="110">
        <f>IFERROR(__xludf.DUMMYFUNCTION("""COMPUTED_VALUE"""),679.11)</f>
        <v>679.11</v>
      </c>
      <c r="BP68" s="110">
        <f>IFERROR(__xludf.DUMMYFUNCTION("""COMPUTED_VALUE"""),38.8)</f>
        <v>38.8</v>
      </c>
      <c r="BQ68" s="110">
        <f>IFERROR(__xludf.DUMMYFUNCTION("""COMPUTED_VALUE"""),7.87)</f>
        <v>7.87</v>
      </c>
      <c r="BR68" s="110">
        <f>IFERROR(__xludf.DUMMYFUNCTION("""COMPUTED_VALUE"""),28.29)</f>
        <v>28.29</v>
      </c>
      <c r="BS68" s="110">
        <f>IFERROR(__xludf.DUMMYFUNCTION("""COMPUTED_VALUE"""),1.29)</f>
        <v>1.29</v>
      </c>
      <c r="BT68" s="110">
        <f>IFERROR(__xludf.DUMMYFUNCTION("""COMPUTED_VALUE"""),44.87)</f>
        <v>44.87</v>
      </c>
      <c r="BU68" s="110">
        <f>IFERROR(__xludf.DUMMYFUNCTION("""COMPUTED_VALUE"""),39.4)</f>
        <v>39.4</v>
      </c>
      <c r="BV68" s="110">
        <f>IFERROR(__xludf.DUMMYFUNCTION("""COMPUTED_VALUE"""),55.45)</f>
        <v>55.45</v>
      </c>
      <c r="BW68" s="110">
        <f>IFERROR(__xludf.DUMMYFUNCTION("""COMPUTED_VALUE"""),7.28)</f>
        <v>7.28</v>
      </c>
      <c r="BX68" s="110">
        <f>IFERROR(__xludf.DUMMYFUNCTION("""COMPUTED_VALUE"""),4.69)</f>
        <v>4.69</v>
      </c>
      <c r="BY68" s="110">
        <f>IFERROR(__xludf.DUMMYFUNCTION("""COMPUTED_VALUE"""),0.0)</f>
        <v>0</v>
      </c>
      <c r="BZ68" s="110">
        <f>IFERROR(__xludf.DUMMYFUNCTION("""COMPUTED_VALUE"""),16.92)</f>
        <v>16.92</v>
      </c>
      <c r="CA68" s="110">
        <f>IFERROR(__xludf.DUMMYFUNCTION("""COMPUTED_VALUE"""),3.66)</f>
        <v>3.66</v>
      </c>
      <c r="CB68" s="110">
        <f>IFERROR(__xludf.DUMMYFUNCTION("""COMPUTED_VALUE"""),5.1)</f>
        <v>5.1</v>
      </c>
      <c r="CC68" s="110">
        <f>IFERROR(__xludf.DUMMYFUNCTION("""COMPUTED_VALUE"""),19.11)</f>
        <v>19.11</v>
      </c>
      <c r="CD68" s="110">
        <f>IFERROR(__xludf.DUMMYFUNCTION("""COMPUTED_VALUE"""),13.3)</f>
        <v>13.3</v>
      </c>
      <c r="CE68" s="110">
        <f>IFERROR(__xludf.DUMMYFUNCTION("""COMPUTED_VALUE"""),26.61)</f>
        <v>26.61</v>
      </c>
      <c r="CF68" s="110">
        <f>IFERROR(__xludf.DUMMYFUNCTION("""COMPUTED_VALUE"""),98.03)</f>
        <v>98.03</v>
      </c>
      <c r="CG68" s="110">
        <f>IFERROR(__xludf.DUMMYFUNCTION("""COMPUTED_VALUE"""),4.41)</f>
        <v>4.41</v>
      </c>
      <c r="CH68" s="110">
        <f>IFERROR(__xludf.DUMMYFUNCTION("""COMPUTED_VALUE"""),25.41)</f>
        <v>25.41</v>
      </c>
      <c r="CI68" s="110">
        <f>IFERROR(__xludf.DUMMYFUNCTION("""COMPUTED_VALUE"""),50.03)</f>
        <v>50.03</v>
      </c>
      <c r="CJ68" s="110">
        <f>IFERROR(__xludf.DUMMYFUNCTION("""COMPUTED_VALUE"""),0.0)</f>
        <v>0</v>
      </c>
      <c r="CK68" s="110">
        <f>IFERROR(__xludf.DUMMYFUNCTION("""COMPUTED_VALUE"""),13.23)</f>
        <v>13.23</v>
      </c>
      <c r="CL68" s="110">
        <f>IFERROR(__xludf.DUMMYFUNCTION("""COMPUTED_VALUE"""),2665.75)</f>
        <v>2665.75</v>
      </c>
      <c r="CM68" s="110">
        <f>IFERROR(__xludf.DUMMYFUNCTION("""COMPUTED_VALUE"""),0.0)</f>
        <v>0</v>
      </c>
      <c r="CN68" s="110">
        <f>IFERROR(__xludf.DUMMYFUNCTION("""COMPUTED_VALUE"""),215.4)</f>
        <v>215.4</v>
      </c>
      <c r="CO68" s="110">
        <f>IFERROR(__xludf.DUMMYFUNCTION("""COMPUTED_VALUE"""),135.3)</f>
        <v>135.3</v>
      </c>
      <c r="CP68" s="110">
        <f>IFERROR(__xludf.DUMMYFUNCTION("""COMPUTED_VALUE"""),60.65)</f>
        <v>60.65</v>
      </c>
      <c r="CQ68" s="110">
        <f>IFERROR(__xludf.DUMMYFUNCTION("""COMPUTED_VALUE"""),67800.0)</f>
        <v>67800</v>
      </c>
      <c r="CR68" s="110">
        <f>IFERROR(__xludf.DUMMYFUNCTION("""COMPUTED_VALUE"""),0.52)</f>
        <v>0.52</v>
      </c>
      <c r="CS68" s="110">
        <f>IFERROR(__xludf.DUMMYFUNCTION("""COMPUTED_VALUE"""),29.34)</f>
        <v>29.34</v>
      </c>
      <c r="CT68" s="110">
        <f>IFERROR(__xludf.DUMMYFUNCTION("""COMPUTED_VALUE"""),22.1)</f>
        <v>22.1</v>
      </c>
      <c r="CU68" s="110">
        <f>IFERROR(__xludf.DUMMYFUNCTION("""COMPUTED_VALUE"""),1949.1)</f>
        <v>1949.1</v>
      </c>
      <c r="CV68" s="110">
        <f>IFERROR(__xludf.DUMMYFUNCTION("""COMPUTED_VALUE"""),2.51)</f>
        <v>2.51</v>
      </c>
      <c r="CW68" s="110">
        <f>IFERROR(__xludf.DUMMYFUNCTION("""COMPUTED_VALUE"""),3.82)</f>
        <v>3.82</v>
      </c>
      <c r="CX68" s="110">
        <f>IFERROR(__xludf.DUMMYFUNCTION("""COMPUTED_VALUE"""),0.0)</f>
        <v>0</v>
      </c>
      <c r="CY68" s="110">
        <f>IFERROR(__xludf.DUMMYFUNCTION("""COMPUTED_VALUE"""),0.03)</f>
        <v>0.03</v>
      </c>
      <c r="CZ68" s="110">
        <f>IFERROR(__xludf.DUMMYFUNCTION("""COMPUTED_VALUE"""),70.25)</f>
        <v>70.25</v>
      </c>
      <c r="DA68" s="110">
        <f>IFERROR(__xludf.DUMMYFUNCTION("""COMPUTED_VALUE"""),0.0)</f>
        <v>0</v>
      </c>
      <c r="DB68" s="110">
        <f>IFERROR(__xludf.DUMMYFUNCTION("""COMPUTED_VALUE"""),0.04)</f>
        <v>0.04</v>
      </c>
      <c r="DC68" s="110">
        <f>IFERROR(__xludf.DUMMYFUNCTION("""COMPUTED_VALUE"""),152.41)</f>
        <v>152.41</v>
      </c>
      <c r="DD68" s="110">
        <f>IFERROR(__xludf.DUMMYFUNCTION("""COMPUTED_VALUE"""),12.91)</f>
        <v>12.91</v>
      </c>
      <c r="DE68" s="110">
        <f>IFERROR(__xludf.DUMMYFUNCTION("""COMPUTED_VALUE"""),6.91)</f>
        <v>6.91</v>
      </c>
      <c r="DF68" s="110">
        <f>IFERROR(__xludf.DUMMYFUNCTION("""COMPUTED_VALUE"""),56.5)</f>
        <v>56.5</v>
      </c>
      <c r="DG68" s="110">
        <f>IFERROR(__xludf.DUMMYFUNCTION("""COMPUTED_VALUE"""),5.52)</f>
        <v>5.52</v>
      </c>
      <c r="DH68" s="110">
        <f>IFERROR(__xludf.DUMMYFUNCTION("""COMPUTED_VALUE"""),8.96)</f>
        <v>8.96</v>
      </c>
      <c r="DI68" s="110">
        <f>IFERROR(__xludf.DUMMYFUNCTION("""COMPUTED_VALUE"""),157.41)</f>
        <v>157.41</v>
      </c>
      <c r="DJ68" s="110">
        <f>IFERROR(__xludf.DUMMYFUNCTION("""COMPUTED_VALUE"""),12.48)</f>
        <v>12.48</v>
      </c>
      <c r="DK68" s="110">
        <f>IFERROR(__xludf.DUMMYFUNCTION("""COMPUTED_VALUE"""),0.0)</f>
        <v>0</v>
      </c>
      <c r="DL68" s="110">
        <f>IFERROR(__xludf.DUMMYFUNCTION("""COMPUTED_VALUE"""),24.05)</f>
        <v>24.05</v>
      </c>
      <c r="DM68" s="110">
        <f>IFERROR(__xludf.DUMMYFUNCTION("""COMPUTED_VALUE"""),461.52)</f>
        <v>461.52</v>
      </c>
      <c r="DN68" s="110">
        <f>IFERROR(__xludf.DUMMYFUNCTION("""COMPUTED_VALUE"""),162.56)</f>
        <v>162.56</v>
      </c>
      <c r="DO68" s="110">
        <f>IFERROR(__xludf.DUMMYFUNCTION("""COMPUTED_VALUE"""),355.4)</f>
        <v>355.4</v>
      </c>
      <c r="DP68" s="110">
        <f>IFERROR(__xludf.DUMMYFUNCTION("""COMPUTED_VALUE"""),4.4)</f>
        <v>4.4</v>
      </c>
      <c r="DQ68" s="110">
        <f>IFERROR(__xludf.DUMMYFUNCTION("""COMPUTED_VALUE"""),103.53)</f>
        <v>103.53</v>
      </c>
      <c r="DR68" s="110">
        <f>IFERROR(__xludf.DUMMYFUNCTION("""COMPUTED_VALUE"""),0.0)</f>
        <v>0</v>
      </c>
      <c r="DS68" s="110">
        <f>IFERROR(__xludf.DUMMYFUNCTION("""COMPUTED_VALUE"""),3.2)</f>
        <v>3.2</v>
      </c>
      <c r="DT68" s="110">
        <f>IFERROR(__xludf.DUMMYFUNCTION("""COMPUTED_VALUE"""),6.0)</f>
        <v>6</v>
      </c>
      <c r="DU68" s="110">
        <f>IFERROR(__xludf.DUMMYFUNCTION("""COMPUTED_VALUE"""),55.17)</f>
        <v>55.17</v>
      </c>
      <c r="DV68" s="110">
        <f>IFERROR(__xludf.DUMMYFUNCTION("""COMPUTED_VALUE"""),14.12)</f>
        <v>14.12</v>
      </c>
      <c r="DW68" s="110">
        <f>IFERROR(__xludf.DUMMYFUNCTION("""COMPUTED_VALUE"""),0.064)</f>
        <v>0.064</v>
      </c>
      <c r="DX68" s="110">
        <f>IFERROR(__xludf.DUMMYFUNCTION("""COMPUTED_VALUE"""),26.68)</f>
        <v>26.68</v>
      </c>
      <c r="DY68" s="110">
        <f>IFERROR(__xludf.DUMMYFUNCTION("""COMPUTED_VALUE"""),0.0)</f>
        <v>0</v>
      </c>
      <c r="DZ68" s="110">
        <f>IFERROR(__xludf.DUMMYFUNCTION("""COMPUTED_VALUE"""),60.63)</f>
        <v>60.63</v>
      </c>
      <c r="EA68" s="110">
        <f>IFERROR(__xludf.DUMMYFUNCTION("""COMPUTED_VALUE"""),49.67)</f>
        <v>49.67</v>
      </c>
      <c r="EB68" s="110">
        <f>IFERROR(__xludf.DUMMYFUNCTION("""COMPUTED_VALUE"""),76.96)</f>
        <v>76.96</v>
      </c>
      <c r="EC68" s="110">
        <f>IFERROR(__xludf.DUMMYFUNCTION("""COMPUTED_VALUE"""),78.72)</f>
        <v>78.72</v>
      </c>
      <c r="ED68" s="110">
        <f>IFERROR(__xludf.DUMMYFUNCTION("""COMPUTED_VALUE"""),37.89)</f>
        <v>37.89</v>
      </c>
      <c r="EE68" s="110">
        <f>IFERROR(__xludf.DUMMYFUNCTION("""COMPUTED_VALUE"""),88.48)</f>
        <v>88.48</v>
      </c>
      <c r="EF68" s="110">
        <f>IFERROR(__xludf.DUMMYFUNCTION("""COMPUTED_VALUE"""),179.48)</f>
        <v>179.48</v>
      </c>
      <c r="EG68" s="110">
        <f>IFERROR(__xludf.DUMMYFUNCTION("""COMPUTED_VALUE"""),68.08)</f>
        <v>68.08</v>
      </c>
      <c r="EH68" s="110">
        <f>IFERROR(__xludf.DUMMYFUNCTION("""COMPUTED_VALUE"""),99.6)</f>
        <v>99.6</v>
      </c>
      <c r="EI68" s="110">
        <f>IFERROR(__xludf.DUMMYFUNCTION("""COMPUTED_VALUE"""),142.83)</f>
        <v>142.83</v>
      </c>
      <c r="EJ68" s="110">
        <f>IFERROR(__xludf.DUMMYFUNCTION("""COMPUTED_VALUE"""),36.35)</f>
        <v>36.35</v>
      </c>
      <c r="EK68" s="110">
        <f>IFERROR(__xludf.DUMMYFUNCTION("""COMPUTED_VALUE"""),274.79)</f>
        <v>274.79</v>
      </c>
      <c r="EL68" s="110">
        <f>IFERROR(__xludf.DUMMYFUNCTION("""COMPUTED_VALUE"""),57.22)</f>
        <v>57.22</v>
      </c>
      <c r="EM68" s="110">
        <f>IFERROR(__xludf.DUMMYFUNCTION("""COMPUTED_VALUE"""),33.7)</f>
        <v>33.7</v>
      </c>
      <c r="EN68" s="110">
        <f>IFERROR(__xludf.DUMMYFUNCTION("""COMPUTED_VALUE"""),1784.0)</f>
        <v>1784</v>
      </c>
      <c r="EO68" s="110">
        <f>IFERROR(__xludf.DUMMYFUNCTION("""COMPUTED_VALUE"""),8.54)</f>
        <v>8.54</v>
      </c>
      <c r="EP68" s="110">
        <f>IFERROR(__xludf.DUMMYFUNCTION("""COMPUTED_VALUE"""),0.0)</f>
        <v>0</v>
      </c>
      <c r="EQ68" s="110">
        <f>IFERROR(__xludf.DUMMYFUNCTION("""COMPUTED_VALUE"""),1.15)</f>
        <v>1.15</v>
      </c>
      <c r="ER68" s="110">
        <f>IFERROR(__xludf.DUMMYFUNCTION("""COMPUTED_VALUE"""),4484.75)</f>
        <v>4484.75</v>
      </c>
      <c r="ES68" s="110">
        <f>IFERROR(__xludf.DUMMYFUNCTION("""COMPUTED_VALUE"""),102.99)</f>
        <v>102.99</v>
      </c>
      <c r="ET68" s="110">
        <f>IFERROR(__xludf.DUMMYFUNCTION("""COMPUTED_VALUE"""),102.67)</f>
        <v>102.67</v>
      </c>
      <c r="EU68" s="110">
        <f>IFERROR(__xludf.DUMMYFUNCTION("""COMPUTED_VALUE"""),34.55)</f>
        <v>34.55</v>
      </c>
      <c r="EV68" s="110">
        <f>IFERROR(__xludf.DUMMYFUNCTION("""COMPUTED_VALUE"""),1.4)</f>
        <v>1.4</v>
      </c>
      <c r="EW68" s="110">
        <f>IFERROR(__xludf.DUMMYFUNCTION("""COMPUTED_VALUE"""),13.7)</f>
        <v>13.7</v>
      </c>
      <c r="EX68" s="108">
        <f>IFERROR(__xludf.DUMMYFUNCTION("""COMPUTED_VALUE"""),4.91)</f>
        <v>4.91</v>
      </c>
      <c r="EY68" s="108">
        <f>IFERROR(__xludf.DUMMYFUNCTION("""COMPUTED_VALUE"""),170.26)</f>
        <v>170.26</v>
      </c>
      <c r="EZ68" s="108">
        <f>IFERROR(__xludf.DUMMYFUNCTION("""COMPUTED_VALUE"""),24.88)</f>
        <v>24.88</v>
      </c>
      <c r="FA68" s="108">
        <f>IFERROR(__xludf.DUMMYFUNCTION("""COMPUTED_VALUE"""),3.14)</f>
        <v>3.14</v>
      </c>
      <c r="FB68" s="108">
        <f>IFERROR(__xludf.DUMMYFUNCTION("""COMPUTED_VALUE"""),133.49)</f>
        <v>133.49</v>
      </c>
      <c r="FC68" s="108">
        <f>IFERROR(__xludf.DUMMYFUNCTION("""COMPUTED_VALUE"""),10.19)</f>
        <v>10.19</v>
      </c>
      <c r="FD68" s="108">
        <f>IFERROR(__xludf.DUMMYFUNCTION("""COMPUTED_VALUE"""),62.37)</f>
        <v>62.37</v>
      </c>
      <c r="FE68" s="108">
        <f>IFERROR(__xludf.DUMMYFUNCTION("""COMPUTED_VALUE"""),61.8)</f>
        <v>61.8</v>
      </c>
      <c r="FF68" s="108">
        <f>IFERROR(__xludf.DUMMYFUNCTION("""COMPUTED_VALUE"""),5.6)</f>
        <v>5.6</v>
      </c>
      <c r="FG68" s="108">
        <f>IFERROR(__xludf.DUMMYFUNCTION("""COMPUTED_VALUE"""),610.93)</f>
        <v>610.93</v>
      </c>
      <c r="FH68" s="108">
        <f>IFERROR(__xludf.DUMMYFUNCTION("""COMPUTED_VALUE"""),174.96)</f>
        <v>174.96</v>
      </c>
      <c r="FI68" s="108">
        <f>IFERROR(__xludf.DUMMYFUNCTION("""COMPUTED_VALUE"""),0.058)</f>
        <v>0.058</v>
      </c>
      <c r="FJ68" s="108">
        <f>IFERROR(__xludf.DUMMYFUNCTION("""COMPUTED_VALUE"""),13.62)</f>
        <v>13.62</v>
      </c>
      <c r="FK68" s="108">
        <f>IFERROR(__xludf.DUMMYFUNCTION("""COMPUTED_VALUE"""),188.67)</f>
        <v>188.67</v>
      </c>
      <c r="FL68" s="108">
        <f>IFERROR(__xludf.DUMMYFUNCTION("""COMPUTED_VALUE"""),520.67)</f>
        <v>520.67</v>
      </c>
      <c r="FM68" s="108">
        <f>IFERROR(__xludf.DUMMYFUNCTION("""COMPUTED_VALUE"""),128.15)</f>
        <v>128.15</v>
      </c>
      <c r="FN68" s="108">
        <f>IFERROR(__xludf.DUMMYFUNCTION("""COMPUTED_VALUE"""),1003.12)</f>
        <v>1003.12</v>
      </c>
      <c r="FO68" s="108">
        <f>IFERROR(__xludf.DUMMYFUNCTION("""COMPUTED_VALUE"""),603.18)</f>
        <v>603.18</v>
      </c>
    </row>
    <row r="69">
      <c r="A69" s="106">
        <f>IFERROR(__xludf.DUMMYFUNCTION("""COMPUTED_VALUE"""),44661.0)</f>
        <v>44661</v>
      </c>
      <c r="B69" s="110">
        <f>IFERROR(__xludf.DUMMYFUNCTION("""COMPUTED_VALUE"""),3089.21)</f>
        <v>3089.21</v>
      </c>
      <c r="C69" s="110">
        <f>IFERROR(__xludf.DUMMYFUNCTION("""COMPUTED_VALUE"""),222.33)</f>
        <v>222.33</v>
      </c>
      <c r="D69" s="110">
        <f>IFERROR(__xludf.DUMMYFUNCTION("""COMPUTED_VALUE"""),1025.49)</f>
        <v>1025.49</v>
      </c>
      <c r="E69" s="110">
        <f>IFERROR(__xludf.DUMMYFUNCTION("""COMPUTED_VALUE"""),369.6)</f>
        <v>369.6</v>
      </c>
      <c r="F69" s="110">
        <f>IFERROR(__xludf.DUMMYFUNCTION("""COMPUTED_VALUE"""),11.66)</f>
        <v>11.66</v>
      </c>
      <c r="G69" s="110">
        <f>IFERROR(__xludf.DUMMYFUNCTION("""COMPUTED_VALUE"""),170.09)</f>
        <v>170.09</v>
      </c>
      <c r="H69" s="110">
        <f>IFERROR(__xludf.DUMMYFUNCTION("""COMPUTED_VALUE"""),0.0)</f>
        <v>0</v>
      </c>
      <c r="I69" s="110">
        <f>IFERROR(__xludf.DUMMYFUNCTION("""COMPUTED_VALUE"""),0.0)</f>
        <v>0</v>
      </c>
      <c r="J69" s="110">
        <f>IFERROR(__xludf.DUMMYFUNCTION("""COMPUTED_VALUE"""),0.0)</f>
        <v>0</v>
      </c>
      <c r="K69" s="110">
        <f>IFERROR(__xludf.DUMMYFUNCTION("""COMPUTED_VALUE"""),35.35)</f>
        <v>35.35</v>
      </c>
      <c r="L69" s="110">
        <f>IFERROR(__xludf.DUMMYFUNCTION("""COMPUTED_VALUE"""),156.5)</f>
        <v>156.5</v>
      </c>
      <c r="M69" s="110">
        <f>IFERROR(__xludf.DUMMYFUNCTION("""COMPUTED_VALUE"""),42789.0)</f>
        <v>42789</v>
      </c>
      <c r="N69" s="110">
        <f>IFERROR(__xludf.DUMMYFUNCTION("""COMPUTED_VALUE"""),355.88)</f>
        <v>355.88</v>
      </c>
      <c r="O69" s="110">
        <f>IFERROR(__xludf.DUMMYFUNCTION("""COMPUTED_VALUE"""),296.97)</f>
        <v>296.97</v>
      </c>
      <c r="P69" s="110">
        <f>IFERROR(__xludf.DUMMYFUNCTION("""COMPUTED_VALUE"""),25.78)</f>
        <v>25.78</v>
      </c>
      <c r="Q69" s="110">
        <f>IFERROR(__xludf.DUMMYFUNCTION("""COMPUTED_VALUE"""),23.65)</f>
        <v>23.65</v>
      </c>
      <c r="R69" s="110">
        <f>IFERROR(__xludf.DUMMYFUNCTION("""COMPUTED_VALUE"""),56.54)</f>
        <v>56.54</v>
      </c>
      <c r="S69" s="110">
        <f>IFERROR(__xludf.DUMMYFUNCTION("""COMPUTED_VALUE"""),29.82)</f>
        <v>29.82</v>
      </c>
      <c r="T69" s="110">
        <f>IFERROR(__xludf.DUMMYFUNCTION("""COMPUTED_VALUE"""),27.19)</f>
        <v>27.19</v>
      </c>
      <c r="U69" s="110">
        <f>IFERROR(__xludf.DUMMYFUNCTION("""COMPUTED_VALUE"""),39.2)</f>
        <v>39.2</v>
      </c>
      <c r="V69" s="110">
        <f>IFERROR(__xludf.DUMMYFUNCTION("""COMPUTED_VALUE"""),13.76)</f>
        <v>13.76</v>
      </c>
      <c r="W69" s="110">
        <f>IFERROR(__xludf.DUMMYFUNCTION("""COMPUTED_VALUE"""),251.46)</f>
        <v>251.46</v>
      </c>
      <c r="X69" s="110">
        <f>IFERROR(__xludf.DUMMYFUNCTION("""COMPUTED_VALUE"""),2680.21)</f>
        <v>2680.21</v>
      </c>
      <c r="Y69" s="110">
        <f>IFERROR(__xludf.DUMMYFUNCTION("""COMPUTED_VALUE"""),59.0)</f>
        <v>59</v>
      </c>
      <c r="Z69" s="110">
        <f>IFERROR(__xludf.DUMMYFUNCTION("""COMPUTED_VALUE"""),65.25)</f>
        <v>65.25</v>
      </c>
      <c r="AA69" s="110">
        <f>IFERROR(__xludf.DUMMYFUNCTION("""COMPUTED_VALUE"""),109.77)</f>
        <v>109.77</v>
      </c>
      <c r="AB69" s="110">
        <f>IFERROR(__xludf.DUMMYFUNCTION("""COMPUTED_VALUE"""),4.78)</f>
        <v>4.78</v>
      </c>
      <c r="AC69" s="110">
        <f>IFERROR(__xludf.DUMMYFUNCTION("""COMPUTED_VALUE"""),79.53)</f>
        <v>79.53</v>
      </c>
      <c r="AD69" s="110">
        <f>IFERROR(__xludf.DUMMYFUNCTION("""COMPUTED_VALUE"""),12.1)</f>
        <v>12.1</v>
      </c>
      <c r="AE69" s="110">
        <f>IFERROR(__xludf.DUMMYFUNCTION("""COMPUTED_VALUE"""),6.5)</f>
        <v>6.5</v>
      </c>
      <c r="AF69" s="110">
        <f>IFERROR(__xludf.DUMMYFUNCTION("""COMPUTED_VALUE"""),39.29)</f>
        <v>39.29</v>
      </c>
      <c r="AG69" s="110">
        <f>IFERROR(__xludf.DUMMYFUNCTION("""COMPUTED_VALUE"""),12.14)</f>
        <v>12.14</v>
      </c>
      <c r="AH69" s="110">
        <f>IFERROR(__xludf.DUMMYFUNCTION("""COMPUTED_VALUE"""),2.23)</f>
        <v>2.23</v>
      </c>
      <c r="AI69" s="110">
        <f>IFERROR(__xludf.DUMMYFUNCTION("""COMPUTED_VALUE"""),3.42)</f>
        <v>3.42</v>
      </c>
      <c r="AJ69" s="110">
        <f>IFERROR(__xludf.DUMMYFUNCTION("""COMPUTED_VALUE"""),89.35)</f>
        <v>89.35</v>
      </c>
      <c r="AK69" s="110">
        <f>IFERROR(__xludf.DUMMYFUNCTION("""COMPUTED_VALUE"""),231.19)</f>
        <v>231.19</v>
      </c>
      <c r="AL69" s="110">
        <f>IFERROR(__xludf.DUMMYFUNCTION("""COMPUTED_VALUE"""),13.2)</f>
        <v>13.2</v>
      </c>
      <c r="AM69" s="110">
        <f>IFERROR(__xludf.DUMMYFUNCTION("""COMPUTED_VALUE"""),39.67)</f>
        <v>39.67</v>
      </c>
      <c r="AN69" s="110">
        <f>IFERROR(__xludf.DUMMYFUNCTION("""COMPUTED_VALUE"""),353.1)</f>
        <v>353.1</v>
      </c>
      <c r="AO69" s="110">
        <f>IFERROR(__xludf.DUMMYFUNCTION("""COMPUTED_VALUE"""),98.27)</f>
        <v>98.27</v>
      </c>
      <c r="AP69" s="110">
        <f>IFERROR(__xludf.DUMMYFUNCTION("""COMPUTED_VALUE"""),80.09)</f>
        <v>80.09</v>
      </c>
      <c r="AQ69" s="110">
        <f>IFERROR(__xludf.DUMMYFUNCTION("""COMPUTED_VALUE"""),46.73)</f>
        <v>46.73</v>
      </c>
      <c r="AR69" s="109">
        <f>IFERROR(__xludf.DUMMYFUNCTION("""COMPUTED_VALUE"""),102.697)</f>
        <v>102.697</v>
      </c>
      <c r="AS69" s="110">
        <f>IFERROR(__xludf.DUMMYFUNCTION("""COMPUTED_VALUE"""),13.1)</f>
        <v>13.1</v>
      </c>
      <c r="AT69" s="110">
        <f>IFERROR(__xludf.DUMMYFUNCTION("""COMPUTED_VALUE"""),103.8)</f>
        <v>103.8</v>
      </c>
      <c r="AU69" s="110">
        <f>IFERROR(__xludf.DUMMYFUNCTION("""COMPUTED_VALUE"""),64.22)</f>
        <v>64.22</v>
      </c>
      <c r="AV69" s="110">
        <f>IFERROR(__xludf.DUMMYFUNCTION("""COMPUTED_VALUE"""),131.87)</f>
        <v>131.87</v>
      </c>
      <c r="AW69" s="110">
        <f>IFERROR(__xludf.DUMMYFUNCTION("""COMPUTED_VALUE"""),119.96)</f>
        <v>119.96</v>
      </c>
      <c r="AX69" s="110">
        <f>IFERROR(__xludf.DUMMYFUNCTION("""COMPUTED_VALUE"""),17.36)</f>
        <v>17.36</v>
      </c>
      <c r="AY69" s="110">
        <f>IFERROR(__xludf.DUMMYFUNCTION("""COMPUTED_VALUE"""),43.1)</f>
        <v>43.1</v>
      </c>
      <c r="AZ69" s="110">
        <f>IFERROR(__xludf.DUMMYFUNCTION("""COMPUTED_VALUE"""),0.0)</f>
        <v>0</v>
      </c>
      <c r="BA69" s="110">
        <f>IFERROR(__xludf.DUMMYFUNCTION("""COMPUTED_VALUE"""),0.0)</f>
        <v>0</v>
      </c>
      <c r="BB69" s="110">
        <f>IFERROR(__xludf.DUMMYFUNCTION("""COMPUTED_VALUE"""),12.0)</f>
        <v>12</v>
      </c>
      <c r="BC69" s="110">
        <f>IFERROR(__xludf.DUMMYFUNCTION("""COMPUTED_VALUE"""),7.19)</f>
        <v>7.19</v>
      </c>
      <c r="BD69" s="110">
        <f>IFERROR(__xludf.DUMMYFUNCTION("""COMPUTED_VALUE"""),177.4)</f>
        <v>177.4</v>
      </c>
      <c r="BE69" s="110">
        <f>IFERROR(__xludf.DUMMYFUNCTION("""COMPUTED_VALUE"""),147.4)</f>
        <v>147.4</v>
      </c>
      <c r="BF69" s="110">
        <f>IFERROR(__xludf.DUMMYFUNCTION("""COMPUTED_VALUE"""),10.52)</f>
        <v>10.52</v>
      </c>
      <c r="BG69" s="110">
        <f>IFERROR(__xludf.DUMMYFUNCTION("""COMPUTED_VALUE"""),608.23)</f>
        <v>608.23</v>
      </c>
      <c r="BH69" s="110">
        <f>IFERROR(__xludf.DUMMYFUNCTION("""COMPUTED_VALUE"""),272.02)</f>
        <v>272.02</v>
      </c>
      <c r="BI69" s="110">
        <f>IFERROR(__xludf.DUMMYFUNCTION("""COMPUTED_VALUE"""),252.02)</f>
        <v>252.02</v>
      </c>
      <c r="BJ69" s="110">
        <f>IFERROR(__xludf.DUMMYFUNCTION("""COMPUTED_VALUE"""),21.67)</f>
        <v>21.67</v>
      </c>
      <c r="BK69" s="110">
        <f>IFERROR(__xludf.DUMMYFUNCTION("""COMPUTED_VALUE"""),319.83)</f>
        <v>319.83</v>
      </c>
      <c r="BL69" s="110">
        <f>IFERROR(__xludf.DUMMYFUNCTION("""COMPUTED_VALUE"""),132.84)</f>
        <v>132.84</v>
      </c>
      <c r="BM69" s="110">
        <f>IFERROR(__xludf.DUMMYFUNCTION("""COMPUTED_VALUE"""),15.05)</f>
        <v>15.05</v>
      </c>
      <c r="BN69" s="110">
        <f>IFERROR(__xludf.DUMMYFUNCTION("""COMPUTED_VALUE"""),283.6)</f>
        <v>283.6</v>
      </c>
      <c r="BO69" s="110">
        <f>IFERROR(__xludf.DUMMYFUNCTION("""COMPUTED_VALUE"""),679.11)</f>
        <v>679.11</v>
      </c>
      <c r="BP69" s="110">
        <f>IFERROR(__xludf.DUMMYFUNCTION("""COMPUTED_VALUE"""),38.8)</f>
        <v>38.8</v>
      </c>
      <c r="BQ69" s="110">
        <f>IFERROR(__xludf.DUMMYFUNCTION("""COMPUTED_VALUE"""),7.87)</f>
        <v>7.87</v>
      </c>
      <c r="BR69" s="110">
        <f>IFERROR(__xludf.DUMMYFUNCTION("""COMPUTED_VALUE"""),28.29)</f>
        <v>28.29</v>
      </c>
      <c r="BS69" s="110">
        <f>IFERROR(__xludf.DUMMYFUNCTION("""COMPUTED_VALUE"""),1.29)</f>
        <v>1.29</v>
      </c>
      <c r="BT69" s="110">
        <f>IFERROR(__xludf.DUMMYFUNCTION("""COMPUTED_VALUE"""),44.87)</f>
        <v>44.87</v>
      </c>
      <c r="BU69" s="110">
        <f>IFERROR(__xludf.DUMMYFUNCTION("""COMPUTED_VALUE"""),39.4)</f>
        <v>39.4</v>
      </c>
      <c r="BV69" s="110">
        <f>IFERROR(__xludf.DUMMYFUNCTION("""COMPUTED_VALUE"""),55.45)</f>
        <v>55.45</v>
      </c>
      <c r="BW69" s="110">
        <f>IFERROR(__xludf.DUMMYFUNCTION("""COMPUTED_VALUE"""),7.28)</f>
        <v>7.28</v>
      </c>
      <c r="BX69" s="110">
        <f>IFERROR(__xludf.DUMMYFUNCTION("""COMPUTED_VALUE"""),4.69)</f>
        <v>4.69</v>
      </c>
      <c r="BY69" s="110">
        <f>IFERROR(__xludf.DUMMYFUNCTION("""COMPUTED_VALUE"""),0.0)</f>
        <v>0</v>
      </c>
      <c r="BZ69" s="110">
        <f>IFERROR(__xludf.DUMMYFUNCTION("""COMPUTED_VALUE"""),16.92)</f>
        <v>16.92</v>
      </c>
      <c r="CA69" s="110">
        <f>IFERROR(__xludf.DUMMYFUNCTION("""COMPUTED_VALUE"""),3.66)</f>
        <v>3.66</v>
      </c>
      <c r="CB69" s="110">
        <f>IFERROR(__xludf.DUMMYFUNCTION("""COMPUTED_VALUE"""),5.1)</f>
        <v>5.1</v>
      </c>
      <c r="CC69" s="110">
        <f>IFERROR(__xludf.DUMMYFUNCTION("""COMPUTED_VALUE"""),19.11)</f>
        <v>19.11</v>
      </c>
      <c r="CD69" s="110">
        <f>IFERROR(__xludf.DUMMYFUNCTION("""COMPUTED_VALUE"""),13.3)</f>
        <v>13.3</v>
      </c>
      <c r="CE69" s="110">
        <f>IFERROR(__xludf.DUMMYFUNCTION("""COMPUTED_VALUE"""),26.61)</f>
        <v>26.61</v>
      </c>
      <c r="CF69" s="110">
        <f>IFERROR(__xludf.DUMMYFUNCTION("""COMPUTED_VALUE"""),98.03)</f>
        <v>98.03</v>
      </c>
      <c r="CG69" s="110">
        <f>IFERROR(__xludf.DUMMYFUNCTION("""COMPUTED_VALUE"""),4.41)</f>
        <v>4.41</v>
      </c>
      <c r="CH69" s="110">
        <f>IFERROR(__xludf.DUMMYFUNCTION("""COMPUTED_VALUE"""),25.41)</f>
        <v>25.41</v>
      </c>
      <c r="CI69" s="110">
        <f>IFERROR(__xludf.DUMMYFUNCTION("""COMPUTED_VALUE"""),50.03)</f>
        <v>50.03</v>
      </c>
      <c r="CJ69" s="110">
        <f>IFERROR(__xludf.DUMMYFUNCTION("""COMPUTED_VALUE"""),0.0)</f>
        <v>0</v>
      </c>
      <c r="CK69" s="110">
        <f>IFERROR(__xludf.DUMMYFUNCTION("""COMPUTED_VALUE"""),13.23)</f>
        <v>13.23</v>
      </c>
      <c r="CL69" s="110">
        <f>IFERROR(__xludf.DUMMYFUNCTION("""COMPUTED_VALUE"""),2665.75)</f>
        <v>2665.75</v>
      </c>
      <c r="CM69" s="110">
        <f>IFERROR(__xludf.DUMMYFUNCTION("""COMPUTED_VALUE"""),0.0)</f>
        <v>0</v>
      </c>
      <c r="CN69" s="110">
        <f>IFERROR(__xludf.DUMMYFUNCTION("""COMPUTED_VALUE"""),215.4)</f>
        <v>215.4</v>
      </c>
      <c r="CO69" s="110">
        <f>IFERROR(__xludf.DUMMYFUNCTION("""COMPUTED_VALUE"""),135.3)</f>
        <v>135.3</v>
      </c>
      <c r="CP69" s="110">
        <f>IFERROR(__xludf.DUMMYFUNCTION("""COMPUTED_VALUE"""),60.65)</f>
        <v>60.65</v>
      </c>
      <c r="CQ69" s="110">
        <f>IFERROR(__xludf.DUMMYFUNCTION("""COMPUTED_VALUE"""),67800.0)</f>
        <v>67800</v>
      </c>
      <c r="CR69" s="110">
        <f>IFERROR(__xludf.DUMMYFUNCTION("""COMPUTED_VALUE"""),0.52)</f>
        <v>0.52</v>
      </c>
      <c r="CS69" s="110">
        <f>IFERROR(__xludf.DUMMYFUNCTION("""COMPUTED_VALUE"""),29.34)</f>
        <v>29.34</v>
      </c>
      <c r="CT69" s="110">
        <f>IFERROR(__xludf.DUMMYFUNCTION("""COMPUTED_VALUE"""),22.1)</f>
        <v>22.1</v>
      </c>
      <c r="CU69" s="110">
        <f>IFERROR(__xludf.DUMMYFUNCTION("""COMPUTED_VALUE"""),1949.1)</f>
        <v>1949.1</v>
      </c>
      <c r="CV69" s="110">
        <f>IFERROR(__xludf.DUMMYFUNCTION("""COMPUTED_VALUE"""),2.51)</f>
        <v>2.51</v>
      </c>
      <c r="CW69" s="110">
        <f>IFERROR(__xludf.DUMMYFUNCTION("""COMPUTED_VALUE"""),3.82)</f>
        <v>3.82</v>
      </c>
      <c r="CX69" s="110">
        <f>IFERROR(__xludf.DUMMYFUNCTION("""COMPUTED_VALUE"""),0.0)</f>
        <v>0</v>
      </c>
      <c r="CY69" s="110">
        <f>IFERROR(__xludf.DUMMYFUNCTION("""COMPUTED_VALUE"""),0.03)</f>
        <v>0.03</v>
      </c>
      <c r="CZ69" s="110">
        <f>IFERROR(__xludf.DUMMYFUNCTION("""COMPUTED_VALUE"""),70.25)</f>
        <v>70.25</v>
      </c>
      <c r="DA69" s="110">
        <f>IFERROR(__xludf.DUMMYFUNCTION("""COMPUTED_VALUE"""),0.0)</f>
        <v>0</v>
      </c>
      <c r="DB69" s="110">
        <f>IFERROR(__xludf.DUMMYFUNCTION("""COMPUTED_VALUE"""),0.04)</f>
        <v>0.04</v>
      </c>
      <c r="DC69" s="110">
        <f>IFERROR(__xludf.DUMMYFUNCTION("""COMPUTED_VALUE"""),152.41)</f>
        <v>152.41</v>
      </c>
      <c r="DD69" s="110">
        <f>IFERROR(__xludf.DUMMYFUNCTION("""COMPUTED_VALUE"""),12.91)</f>
        <v>12.91</v>
      </c>
      <c r="DE69" s="110">
        <f>IFERROR(__xludf.DUMMYFUNCTION("""COMPUTED_VALUE"""),6.91)</f>
        <v>6.91</v>
      </c>
      <c r="DF69" s="110">
        <f>IFERROR(__xludf.DUMMYFUNCTION("""COMPUTED_VALUE"""),56.5)</f>
        <v>56.5</v>
      </c>
      <c r="DG69" s="110">
        <f>IFERROR(__xludf.DUMMYFUNCTION("""COMPUTED_VALUE"""),5.52)</f>
        <v>5.52</v>
      </c>
      <c r="DH69" s="110">
        <f>IFERROR(__xludf.DUMMYFUNCTION("""COMPUTED_VALUE"""),8.96)</f>
        <v>8.96</v>
      </c>
      <c r="DI69" s="110">
        <f>IFERROR(__xludf.DUMMYFUNCTION("""COMPUTED_VALUE"""),157.41)</f>
        <v>157.41</v>
      </c>
      <c r="DJ69" s="110">
        <f>IFERROR(__xludf.DUMMYFUNCTION("""COMPUTED_VALUE"""),12.48)</f>
        <v>12.48</v>
      </c>
      <c r="DK69" s="110">
        <f>IFERROR(__xludf.DUMMYFUNCTION("""COMPUTED_VALUE"""),0.0)</f>
        <v>0</v>
      </c>
      <c r="DL69" s="110">
        <f>IFERROR(__xludf.DUMMYFUNCTION("""COMPUTED_VALUE"""),24.05)</f>
        <v>24.05</v>
      </c>
      <c r="DM69" s="110">
        <f>IFERROR(__xludf.DUMMYFUNCTION("""COMPUTED_VALUE"""),461.52)</f>
        <v>461.52</v>
      </c>
      <c r="DN69" s="110">
        <f>IFERROR(__xludf.DUMMYFUNCTION("""COMPUTED_VALUE"""),162.56)</f>
        <v>162.56</v>
      </c>
      <c r="DO69" s="110">
        <f>IFERROR(__xludf.DUMMYFUNCTION("""COMPUTED_VALUE"""),355.4)</f>
        <v>355.4</v>
      </c>
      <c r="DP69" s="110">
        <f>IFERROR(__xludf.DUMMYFUNCTION("""COMPUTED_VALUE"""),4.4)</f>
        <v>4.4</v>
      </c>
      <c r="DQ69" s="110">
        <f>IFERROR(__xludf.DUMMYFUNCTION("""COMPUTED_VALUE"""),103.53)</f>
        <v>103.53</v>
      </c>
      <c r="DR69" s="110">
        <f>IFERROR(__xludf.DUMMYFUNCTION("""COMPUTED_VALUE"""),0.0)</f>
        <v>0</v>
      </c>
      <c r="DS69" s="110">
        <f>IFERROR(__xludf.DUMMYFUNCTION("""COMPUTED_VALUE"""),3.2)</f>
        <v>3.2</v>
      </c>
      <c r="DT69" s="110">
        <f>IFERROR(__xludf.DUMMYFUNCTION("""COMPUTED_VALUE"""),6.0)</f>
        <v>6</v>
      </c>
      <c r="DU69" s="110">
        <f>IFERROR(__xludf.DUMMYFUNCTION("""COMPUTED_VALUE"""),55.17)</f>
        <v>55.17</v>
      </c>
      <c r="DV69" s="110">
        <f>IFERROR(__xludf.DUMMYFUNCTION("""COMPUTED_VALUE"""),14.12)</f>
        <v>14.12</v>
      </c>
      <c r="DW69" s="110">
        <f>IFERROR(__xludf.DUMMYFUNCTION("""COMPUTED_VALUE"""),0.064)</f>
        <v>0.064</v>
      </c>
      <c r="DX69" s="110">
        <f>IFERROR(__xludf.DUMMYFUNCTION("""COMPUTED_VALUE"""),26.68)</f>
        <v>26.68</v>
      </c>
      <c r="DY69" s="110">
        <f>IFERROR(__xludf.DUMMYFUNCTION("""COMPUTED_VALUE"""),0.0)</f>
        <v>0</v>
      </c>
      <c r="DZ69" s="110">
        <f>IFERROR(__xludf.DUMMYFUNCTION("""COMPUTED_VALUE"""),60.63)</f>
        <v>60.63</v>
      </c>
      <c r="EA69" s="110">
        <f>IFERROR(__xludf.DUMMYFUNCTION("""COMPUTED_VALUE"""),49.67)</f>
        <v>49.67</v>
      </c>
      <c r="EB69" s="110">
        <f>IFERROR(__xludf.DUMMYFUNCTION("""COMPUTED_VALUE"""),76.96)</f>
        <v>76.96</v>
      </c>
      <c r="EC69" s="110">
        <f>IFERROR(__xludf.DUMMYFUNCTION("""COMPUTED_VALUE"""),78.72)</f>
        <v>78.72</v>
      </c>
      <c r="ED69" s="110">
        <f>IFERROR(__xludf.DUMMYFUNCTION("""COMPUTED_VALUE"""),37.89)</f>
        <v>37.89</v>
      </c>
      <c r="EE69" s="110">
        <f>IFERROR(__xludf.DUMMYFUNCTION("""COMPUTED_VALUE"""),88.48)</f>
        <v>88.48</v>
      </c>
      <c r="EF69" s="110">
        <f>IFERROR(__xludf.DUMMYFUNCTION("""COMPUTED_VALUE"""),179.48)</f>
        <v>179.48</v>
      </c>
      <c r="EG69" s="110">
        <f>IFERROR(__xludf.DUMMYFUNCTION("""COMPUTED_VALUE"""),68.08)</f>
        <v>68.08</v>
      </c>
      <c r="EH69" s="110">
        <f>IFERROR(__xludf.DUMMYFUNCTION("""COMPUTED_VALUE"""),99.6)</f>
        <v>99.6</v>
      </c>
      <c r="EI69" s="110">
        <f>IFERROR(__xludf.DUMMYFUNCTION("""COMPUTED_VALUE"""),142.83)</f>
        <v>142.83</v>
      </c>
      <c r="EJ69" s="110">
        <f>IFERROR(__xludf.DUMMYFUNCTION("""COMPUTED_VALUE"""),36.35)</f>
        <v>36.35</v>
      </c>
      <c r="EK69" s="110">
        <f>IFERROR(__xludf.DUMMYFUNCTION("""COMPUTED_VALUE"""),274.79)</f>
        <v>274.79</v>
      </c>
      <c r="EL69" s="110">
        <f>IFERROR(__xludf.DUMMYFUNCTION("""COMPUTED_VALUE"""),57.22)</f>
        <v>57.22</v>
      </c>
      <c r="EM69" s="110">
        <f>IFERROR(__xludf.DUMMYFUNCTION("""COMPUTED_VALUE"""),33.7)</f>
        <v>33.7</v>
      </c>
      <c r="EN69" s="110">
        <f>IFERROR(__xludf.DUMMYFUNCTION("""COMPUTED_VALUE"""),1784.0)</f>
        <v>1784</v>
      </c>
      <c r="EO69" s="110">
        <f>IFERROR(__xludf.DUMMYFUNCTION("""COMPUTED_VALUE"""),8.54)</f>
        <v>8.54</v>
      </c>
      <c r="EP69" s="110">
        <f>IFERROR(__xludf.DUMMYFUNCTION("""COMPUTED_VALUE"""),0.0)</f>
        <v>0</v>
      </c>
      <c r="EQ69" s="110">
        <f>IFERROR(__xludf.DUMMYFUNCTION("""COMPUTED_VALUE"""),1.15)</f>
        <v>1.15</v>
      </c>
      <c r="ER69" s="110">
        <f>IFERROR(__xludf.DUMMYFUNCTION("""COMPUTED_VALUE"""),4484.75)</f>
        <v>4484.75</v>
      </c>
      <c r="ES69" s="110">
        <f>IFERROR(__xludf.DUMMYFUNCTION("""COMPUTED_VALUE"""),102.99)</f>
        <v>102.99</v>
      </c>
      <c r="ET69" s="110">
        <f>IFERROR(__xludf.DUMMYFUNCTION("""COMPUTED_VALUE"""),102.67)</f>
        <v>102.67</v>
      </c>
      <c r="EU69" s="110">
        <f>IFERROR(__xludf.DUMMYFUNCTION("""COMPUTED_VALUE"""),34.55)</f>
        <v>34.55</v>
      </c>
      <c r="EV69" s="110">
        <f>IFERROR(__xludf.DUMMYFUNCTION("""COMPUTED_VALUE"""),1.4)</f>
        <v>1.4</v>
      </c>
      <c r="EW69" s="110">
        <f>IFERROR(__xludf.DUMMYFUNCTION("""COMPUTED_VALUE"""),13.7)</f>
        <v>13.7</v>
      </c>
      <c r="EX69" s="108">
        <f>IFERROR(__xludf.DUMMYFUNCTION("""COMPUTED_VALUE"""),4.91)</f>
        <v>4.91</v>
      </c>
      <c r="EY69" s="108">
        <f>IFERROR(__xludf.DUMMYFUNCTION("""COMPUTED_VALUE"""),170.26)</f>
        <v>170.26</v>
      </c>
      <c r="EZ69" s="108">
        <f>IFERROR(__xludf.DUMMYFUNCTION("""COMPUTED_VALUE"""),24.88)</f>
        <v>24.88</v>
      </c>
      <c r="FA69" s="108">
        <f>IFERROR(__xludf.DUMMYFUNCTION("""COMPUTED_VALUE"""),3.14)</f>
        <v>3.14</v>
      </c>
      <c r="FB69" s="108">
        <f>IFERROR(__xludf.DUMMYFUNCTION("""COMPUTED_VALUE"""),133.49)</f>
        <v>133.49</v>
      </c>
      <c r="FC69" s="108">
        <f>IFERROR(__xludf.DUMMYFUNCTION("""COMPUTED_VALUE"""),10.19)</f>
        <v>10.19</v>
      </c>
      <c r="FD69" s="108">
        <f>IFERROR(__xludf.DUMMYFUNCTION("""COMPUTED_VALUE"""),62.37)</f>
        <v>62.37</v>
      </c>
      <c r="FE69" s="108">
        <f>IFERROR(__xludf.DUMMYFUNCTION("""COMPUTED_VALUE"""),61.8)</f>
        <v>61.8</v>
      </c>
      <c r="FF69" s="108">
        <f>IFERROR(__xludf.DUMMYFUNCTION("""COMPUTED_VALUE"""),5.6)</f>
        <v>5.6</v>
      </c>
      <c r="FG69" s="108">
        <f>IFERROR(__xludf.DUMMYFUNCTION("""COMPUTED_VALUE"""),610.93)</f>
        <v>610.93</v>
      </c>
      <c r="FH69" s="108">
        <f>IFERROR(__xludf.DUMMYFUNCTION("""COMPUTED_VALUE"""),174.96)</f>
        <v>174.96</v>
      </c>
      <c r="FI69" s="108">
        <f>IFERROR(__xludf.DUMMYFUNCTION("""COMPUTED_VALUE"""),0.058)</f>
        <v>0.058</v>
      </c>
      <c r="FJ69" s="108">
        <f>IFERROR(__xludf.DUMMYFUNCTION("""COMPUTED_VALUE"""),13.62)</f>
        <v>13.62</v>
      </c>
      <c r="FK69" s="108">
        <f>IFERROR(__xludf.DUMMYFUNCTION("""COMPUTED_VALUE"""),188.67)</f>
        <v>188.67</v>
      </c>
      <c r="FL69" s="108">
        <f>IFERROR(__xludf.DUMMYFUNCTION("""COMPUTED_VALUE"""),520.67)</f>
        <v>520.67</v>
      </c>
      <c r="FM69" s="108">
        <f>IFERROR(__xludf.DUMMYFUNCTION("""COMPUTED_VALUE"""),128.15)</f>
        <v>128.15</v>
      </c>
      <c r="FN69" s="108">
        <f>IFERROR(__xludf.DUMMYFUNCTION("""COMPUTED_VALUE"""),1003.12)</f>
        <v>1003.12</v>
      </c>
      <c r="FO69" s="108">
        <f>IFERROR(__xludf.DUMMYFUNCTION("""COMPUTED_VALUE"""),603.18)</f>
        <v>603.18</v>
      </c>
    </row>
    <row r="70">
      <c r="A70" s="106">
        <f>IFERROR(__xludf.DUMMYFUNCTION("""COMPUTED_VALUE"""),44662.0)</f>
        <v>44662</v>
      </c>
      <c r="B70" s="110">
        <f>IFERROR(__xludf.DUMMYFUNCTION("""COMPUTED_VALUE"""),3022.44)</f>
        <v>3022.44</v>
      </c>
      <c r="C70" s="110">
        <f>IFERROR(__xludf.DUMMYFUNCTION("""COMPUTED_VALUE"""),216.46)</f>
        <v>216.46</v>
      </c>
      <c r="D70" s="110">
        <f>IFERROR(__xludf.DUMMYFUNCTION("""COMPUTED_VALUE"""),975.93)</f>
        <v>975.93</v>
      </c>
      <c r="E70" s="110">
        <f>IFERROR(__xludf.DUMMYFUNCTION("""COMPUTED_VALUE"""),353.6)</f>
        <v>353.6</v>
      </c>
      <c r="F70" s="110">
        <f>IFERROR(__xludf.DUMMYFUNCTION("""COMPUTED_VALUE"""),11.16)</f>
        <v>11.16</v>
      </c>
      <c r="G70" s="110">
        <f>IFERROR(__xludf.DUMMYFUNCTION("""COMPUTED_VALUE"""),165.75)</f>
        <v>165.75</v>
      </c>
      <c r="H70" s="110">
        <f>IFERROR(__xludf.DUMMYFUNCTION("""COMPUTED_VALUE"""),0.0)</f>
        <v>0</v>
      </c>
      <c r="I70" s="110">
        <f>IFERROR(__xludf.DUMMYFUNCTION("""COMPUTED_VALUE"""),0.0)</f>
        <v>0</v>
      </c>
      <c r="J70" s="110">
        <f>IFERROR(__xludf.DUMMYFUNCTION("""COMPUTED_VALUE"""),0.0)</f>
        <v>0</v>
      </c>
      <c r="K70" s="110">
        <f>IFERROR(__xludf.DUMMYFUNCTION("""COMPUTED_VALUE"""),31.8)</f>
        <v>31.8</v>
      </c>
      <c r="L70" s="110">
        <f>IFERROR(__xludf.DUMMYFUNCTION("""COMPUTED_VALUE"""),147.5)</f>
        <v>147.5</v>
      </c>
      <c r="M70" s="110">
        <f>IFERROR(__xludf.DUMMYFUNCTION("""COMPUTED_VALUE"""),39853.41)</f>
        <v>39853.41</v>
      </c>
      <c r="N70" s="110">
        <f>IFERROR(__xludf.DUMMYFUNCTION("""COMPUTED_VALUE"""),348.0)</f>
        <v>348</v>
      </c>
      <c r="O70" s="110">
        <f>IFERROR(__xludf.DUMMYFUNCTION("""COMPUTED_VALUE"""),285.26)</f>
        <v>285.26</v>
      </c>
      <c r="P70" s="110">
        <f>IFERROR(__xludf.DUMMYFUNCTION("""COMPUTED_VALUE"""),25.54)</f>
        <v>25.54</v>
      </c>
      <c r="Q70" s="110">
        <f>IFERROR(__xludf.DUMMYFUNCTION("""COMPUTED_VALUE"""),23.1)</f>
        <v>23.1</v>
      </c>
      <c r="R70" s="110">
        <f>IFERROR(__xludf.DUMMYFUNCTION("""COMPUTED_VALUE"""),56.83)</f>
        <v>56.83</v>
      </c>
      <c r="S70" s="110">
        <f>IFERROR(__xludf.DUMMYFUNCTION("""COMPUTED_VALUE"""),27.78)</f>
        <v>27.78</v>
      </c>
      <c r="T70" s="110">
        <f>IFERROR(__xludf.DUMMYFUNCTION("""COMPUTED_VALUE"""),26.6)</f>
        <v>26.6</v>
      </c>
      <c r="U70" s="110">
        <f>IFERROR(__xludf.DUMMYFUNCTION("""COMPUTED_VALUE"""),39.51)</f>
        <v>39.51</v>
      </c>
      <c r="V70" s="110">
        <f>IFERROR(__xludf.DUMMYFUNCTION("""COMPUTED_VALUE"""),13.06)</f>
        <v>13.06</v>
      </c>
      <c r="W70" s="110">
        <f>IFERROR(__xludf.DUMMYFUNCTION("""COMPUTED_VALUE"""),250.45)</f>
        <v>250.45</v>
      </c>
      <c r="X70" s="110">
        <f>IFERROR(__xludf.DUMMYFUNCTION("""COMPUTED_VALUE"""),2595.93)</f>
        <v>2595.93</v>
      </c>
      <c r="Y70" s="110">
        <f>IFERROR(__xludf.DUMMYFUNCTION("""COMPUTED_VALUE"""),55.75)</f>
        <v>55.75</v>
      </c>
      <c r="Z70" s="110">
        <f>IFERROR(__xludf.DUMMYFUNCTION("""COMPUTED_VALUE"""),61.65)</f>
        <v>61.65</v>
      </c>
      <c r="AA70" s="110">
        <f>IFERROR(__xludf.DUMMYFUNCTION("""COMPUTED_VALUE"""),109.64)</f>
        <v>109.64</v>
      </c>
      <c r="AB70" s="110">
        <f>IFERROR(__xludf.DUMMYFUNCTION("""COMPUTED_VALUE"""),4.78)</f>
        <v>4.78</v>
      </c>
      <c r="AC70" s="110">
        <f>IFERROR(__xludf.DUMMYFUNCTION("""COMPUTED_VALUE"""),77.14)</f>
        <v>77.14</v>
      </c>
      <c r="AD70" s="110">
        <f>IFERROR(__xludf.DUMMYFUNCTION("""COMPUTED_VALUE"""),12.05)</f>
        <v>12.05</v>
      </c>
      <c r="AE70" s="110">
        <f>IFERROR(__xludf.DUMMYFUNCTION("""COMPUTED_VALUE"""),6.19)</f>
        <v>6.19</v>
      </c>
      <c r="AF70" s="110">
        <f>IFERROR(__xludf.DUMMYFUNCTION("""COMPUTED_VALUE"""),39.29)</f>
        <v>39.29</v>
      </c>
      <c r="AG70" s="110">
        <f>IFERROR(__xludf.DUMMYFUNCTION("""COMPUTED_VALUE"""),10.56)</f>
        <v>10.56</v>
      </c>
      <c r="AH70" s="110">
        <f>IFERROR(__xludf.DUMMYFUNCTION("""COMPUTED_VALUE"""),2.16)</f>
        <v>2.16</v>
      </c>
      <c r="AI70" s="110">
        <f>IFERROR(__xludf.DUMMYFUNCTION("""COMPUTED_VALUE"""),3.4)</f>
        <v>3.4</v>
      </c>
      <c r="AJ70" s="110">
        <f>IFERROR(__xludf.DUMMYFUNCTION("""COMPUTED_VALUE"""),85.25)</f>
        <v>85.25</v>
      </c>
      <c r="AK70" s="110">
        <f>IFERROR(__xludf.DUMMYFUNCTION("""COMPUTED_VALUE"""),219.17)</f>
        <v>219.17</v>
      </c>
      <c r="AL70" s="110">
        <f>IFERROR(__xludf.DUMMYFUNCTION("""COMPUTED_VALUE"""),12.36)</f>
        <v>12.36</v>
      </c>
      <c r="AM70" s="110">
        <f>IFERROR(__xludf.DUMMYFUNCTION("""COMPUTED_VALUE"""),39.59)</f>
        <v>39.59</v>
      </c>
      <c r="AN70" s="110">
        <f>IFERROR(__xludf.DUMMYFUNCTION("""COMPUTED_VALUE"""),352.02)</f>
        <v>352.02</v>
      </c>
      <c r="AO70" s="110">
        <f>IFERROR(__xludf.DUMMYFUNCTION("""COMPUTED_VALUE"""),92.83)</f>
        <v>92.83</v>
      </c>
      <c r="AP70" s="110">
        <f>IFERROR(__xludf.DUMMYFUNCTION("""COMPUTED_VALUE"""),79.48)</f>
        <v>79.48</v>
      </c>
      <c r="AQ70" s="110">
        <f>IFERROR(__xludf.DUMMYFUNCTION("""COMPUTED_VALUE"""),46.97)</f>
        <v>46.97</v>
      </c>
      <c r="AR70" s="109">
        <f>IFERROR(__xludf.DUMMYFUNCTION("""COMPUTED_VALUE"""),102.541)</f>
        <v>102.541</v>
      </c>
      <c r="AS70" s="110">
        <f>IFERROR(__xludf.DUMMYFUNCTION("""COMPUTED_VALUE"""),14.17)</f>
        <v>14.17</v>
      </c>
      <c r="AT70" s="110">
        <f>IFERROR(__xludf.DUMMYFUNCTION("""COMPUTED_VALUE"""),98.5)</f>
        <v>98.5</v>
      </c>
      <c r="AU70" s="110">
        <f>IFERROR(__xludf.DUMMYFUNCTION("""COMPUTED_VALUE"""),63.36)</f>
        <v>63.36</v>
      </c>
      <c r="AV70" s="110">
        <f>IFERROR(__xludf.DUMMYFUNCTION("""COMPUTED_VALUE"""),130.65)</f>
        <v>130.65</v>
      </c>
      <c r="AW70" s="110">
        <f>IFERROR(__xludf.DUMMYFUNCTION("""COMPUTED_VALUE"""),116.24)</f>
        <v>116.24</v>
      </c>
      <c r="AX70" s="110">
        <f>IFERROR(__xludf.DUMMYFUNCTION("""COMPUTED_VALUE"""),16.44)</f>
        <v>16.44</v>
      </c>
      <c r="AY70" s="110">
        <f>IFERROR(__xludf.DUMMYFUNCTION("""COMPUTED_VALUE"""),44.02)</f>
        <v>44.02</v>
      </c>
      <c r="AZ70" s="110">
        <f>IFERROR(__xludf.DUMMYFUNCTION("""COMPUTED_VALUE"""),0.0)</f>
        <v>0</v>
      </c>
      <c r="BA70" s="110">
        <f>IFERROR(__xludf.DUMMYFUNCTION("""COMPUTED_VALUE"""),0.0)</f>
        <v>0</v>
      </c>
      <c r="BB70" s="110">
        <f>IFERROR(__xludf.DUMMYFUNCTION("""COMPUTED_VALUE"""),11.14)</f>
        <v>11.14</v>
      </c>
      <c r="BC70" s="110">
        <f>IFERROR(__xludf.DUMMYFUNCTION("""COMPUTED_VALUE"""),7.12)</f>
        <v>7.12</v>
      </c>
      <c r="BD70" s="110">
        <f>IFERROR(__xludf.DUMMYFUNCTION("""COMPUTED_VALUE"""),167.1)</f>
        <v>167.1</v>
      </c>
      <c r="BE70" s="110">
        <f>IFERROR(__xludf.DUMMYFUNCTION("""COMPUTED_VALUE"""),142.4)</f>
        <v>142.4</v>
      </c>
      <c r="BF70" s="110">
        <f>IFERROR(__xludf.DUMMYFUNCTION("""COMPUTED_VALUE"""),9.49)</f>
        <v>9.49</v>
      </c>
      <c r="BG70" s="110">
        <f>IFERROR(__xludf.DUMMYFUNCTION("""COMPUTED_VALUE"""),610.9)</f>
        <v>610.9</v>
      </c>
      <c r="BH70" s="110">
        <f>IFERROR(__xludf.DUMMYFUNCTION("""COMPUTED_VALUE"""),271.63)</f>
        <v>271.63</v>
      </c>
      <c r="BI70" s="110">
        <f>IFERROR(__xludf.DUMMYFUNCTION("""COMPUTED_VALUE"""),250.87)</f>
        <v>250.87</v>
      </c>
      <c r="BJ70" s="110">
        <f>IFERROR(__xludf.DUMMYFUNCTION("""COMPUTED_VALUE"""),21.7)</f>
        <v>21.7</v>
      </c>
      <c r="BK70" s="110">
        <f>IFERROR(__xludf.DUMMYFUNCTION("""COMPUTED_VALUE"""),309.77)</f>
        <v>309.77</v>
      </c>
      <c r="BL70" s="110">
        <f>IFERROR(__xludf.DUMMYFUNCTION("""COMPUTED_VALUE"""),130.42)</f>
        <v>130.42</v>
      </c>
      <c r="BM70" s="110">
        <f>IFERROR(__xludf.DUMMYFUNCTION("""COMPUTED_VALUE"""),15.28)</f>
        <v>15.28</v>
      </c>
      <c r="BN70" s="110">
        <f>IFERROR(__xludf.DUMMYFUNCTION("""COMPUTED_VALUE"""),272.95)</f>
        <v>272.95</v>
      </c>
      <c r="BO70" s="110">
        <f>IFERROR(__xludf.DUMMYFUNCTION("""COMPUTED_VALUE"""),670.5)</f>
        <v>670.5</v>
      </c>
      <c r="BP70" s="110">
        <f>IFERROR(__xludf.DUMMYFUNCTION("""COMPUTED_VALUE"""),39.5)</f>
        <v>39.5</v>
      </c>
      <c r="BQ70" s="110">
        <f>IFERROR(__xludf.DUMMYFUNCTION("""COMPUTED_VALUE"""),7.72)</f>
        <v>7.72</v>
      </c>
      <c r="BR70" s="110">
        <f>IFERROR(__xludf.DUMMYFUNCTION("""COMPUTED_VALUE"""),26.49)</f>
        <v>26.49</v>
      </c>
      <c r="BS70" s="110">
        <f>IFERROR(__xludf.DUMMYFUNCTION("""COMPUTED_VALUE"""),1.52)</f>
        <v>1.52</v>
      </c>
      <c r="BT70" s="110">
        <f>IFERROR(__xludf.DUMMYFUNCTION("""COMPUTED_VALUE"""),42.6)</f>
        <v>42.6</v>
      </c>
      <c r="BU70" s="110">
        <f>IFERROR(__xludf.DUMMYFUNCTION("""COMPUTED_VALUE"""),38.1)</f>
        <v>38.1</v>
      </c>
      <c r="BV70" s="110">
        <f>IFERROR(__xludf.DUMMYFUNCTION("""COMPUTED_VALUE"""),54.6)</f>
        <v>54.6</v>
      </c>
      <c r="BW70" s="110">
        <f>IFERROR(__xludf.DUMMYFUNCTION("""COMPUTED_VALUE"""),7.4)</f>
        <v>7.4</v>
      </c>
      <c r="BX70" s="110">
        <f>IFERROR(__xludf.DUMMYFUNCTION("""COMPUTED_VALUE"""),4.37)</f>
        <v>4.37</v>
      </c>
      <c r="BY70" s="110">
        <f>IFERROR(__xludf.DUMMYFUNCTION("""COMPUTED_VALUE"""),0.0)</f>
        <v>0</v>
      </c>
      <c r="BZ70" s="110">
        <f>IFERROR(__xludf.DUMMYFUNCTION("""COMPUTED_VALUE"""),15.99)</f>
        <v>15.99</v>
      </c>
      <c r="CA70" s="110">
        <f>IFERROR(__xludf.DUMMYFUNCTION("""COMPUTED_VALUE"""),3.56)</f>
        <v>3.56</v>
      </c>
      <c r="CB70" s="110">
        <f>IFERROR(__xludf.DUMMYFUNCTION("""COMPUTED_VALUE"""),5.01)</f>
        <v>5.01</v>
      </c>
      <c r="CC70" s="110">
        <f>IFERROR(__xludf.DUMMYFUNCTION("""COMPUTED_VALUE"""),18.61)</f>
        <v>18.61</v>
      </c>
      <c r="CD70" s="110">
        <f>IFERROR(__xludf.DUMMYFUNCTION("""COMPUTED_VALUE"""),13.21)</f>
        <v>13.21</v>
      </c>
      <c r="CE70" s="110">
        <f>IFERROR(__xludf.DUMMYFUNCTION("""COMPUTED_VALUE"""),25.59)</f>
        <v>25.59</v>
      </c>
      <c r="CF70" s="110">
        <f>IFERROR(__xludf.DUMMYFUNCTION("""COMPUTED_VALUE"""),94.86)</f>
        <v>94.86</v>
      </c>
      <c r="CG70" s="110">
        <f>IFERROR(__xludf.DUMMYFUNCTION("""COMPUTED_VALUE"""),4.25)</f>
        <v>4.25</v>
      </c>
      <c r="CH70" s="110">
        <f>IFERROR(__xludf.DUMMYFUNCTION("""COMPUTED_VALUE"""),25.4)</f>
        <v>25.4</v>
      </c>
      <c r="CI70" s="110">
        <f>IFERROR(__xludf.DUMMYFUNCTION("""COMPUTED_VALUE"""),50.6)</f>
        <v>50.6</v>
      </c>
      <c r="CJ70" s="110">
        <f>IFERROR(__xludf.DUMMYFUNCTION("""COMPUTED_VALUE"""),0.0)</f>
        <v>0</v>
      </c>
      <c r="CK70" s="110">
        <f>IFERROR(__xludf.DUMMYFUNCTION("""COMPUTED_VALUE"""),13.62)</f>
        <v>13.62</v>
      </c>
      <c r="CL70" s="110">
        <f>IFERROR(__xludf.DUMMYFUNCTION("""COMPUTED_VALUE"""),2576.47)</f>
        <v>2576.47</v>
      </c>
      <c r="CM70" s="110">
        <f>IFERROR(__xludf.DUMMYFUNCTION("""COMPUTED_VALUE"""),0.0)</f>
        <v>0</v>
      </c>
      <c r="CN70" s="110">
        <f>IFERROR(__xludf.DUMMYFUNCTION("""COMPUTED_VALUE"""),186.9)</f>
        <v>186.9</v>
      </c>
      <c r="CO70" s="110">
        <f>IFERROR(__xludf.DUMMYFUNCTION("""COMPUTED_VALUE"""),128.2)</f>
        <v>128.2</v>
      </c>
      <c r="CP70" s="110">
        <f>IFERROR(__xludf.DUMMYFUNCTION("""COMPUTED_VALUE"""),59.9)</f>
        <v>59.9</v>
      </c>
      <c r="CQ70" s="110">
        <f>IFERROR(__xludf.DUMMYFUNCTION("""COMPUTED_VALUE"""),67900.0)</f>
        <v>67900</v>
      </c>
      <c r="CR70" s="110">
        <f>IFERROR(__xludf.DUMMYFUNCTION("""COMPUTED_VALUE"""),0.52)</f>
        <v>0.52</v>
      </c>
      <c r="CS70" s="110">
        <f>IFERROR(__xludf.DUMMYFUNCTION("""COMPUTED_VALUE"""),27.85)</f>
        <v>27.85</v>
      </c>
      <c r="CT70" s="110">
        <f>IFERROR(__xludf.DUMMYFUNCTION("""COMPUTED_VALUE"""),21.42)</f>
        <v>21.42</v>
      </c>
      <c r="CU70" s="110">
        <f>IFERROR(__xludf.DUMMYFUNCTION("""COMPUTED_VALUE"""),1957.6)</f>
        <v>1957.6</v>
      </c>
      <c r="CV70" s="110">
        <f>IFERROR(__xludf.DUMMYFUNCTION("""COMPUTED_VALUE"""),2.41)</f>
        <v>2.41</v>
      </c>
      <c r="CW70" s="110">
        <f>IFERROR(__xludf.DUMMYFUNCTION("""COMPUTED_VALUE"""),3.66)</f>
        <v>3.66</v>
      </c>
      <c r="CX70" s="110">
        <f>IFERROR(__xludf.DUMMYFUNCTION("""COMPUTED_VALUE"""),0.0)</f>
        <v>0</v>
      </c>
      <c r="CY70" s="110">
        <f>IFERROR(__xludf.DUMMYFUNCTION("""COMPUTED_VALUE"""),0.03)</f>
        <v>0.03</v>
      </c>
      <c r="CZ70" s="110">
        <f>IFERROR(__xludf.DUMMYFUNCTION("""COMPUTED_VALUE"""),65.4)</f>
        <v>65.4</v>
      </c>
      <c r="DA70" s="110">
        <f>IFERROR(__xludf.DUMMYFUNCTION("""COMPUTED_VALUE"""),0.0)</f>
        <v>0</v>
      </c>
      <c r="DB70" s="110">
        <f>IFERROR(__xludf.DUMMYFUNCTION("""COMPUTED_VALUE"""),0.03)</f>
        <v>0.03</v>
      </c>
      <c r="DC70" s="110">
        <f>IFERROR(__xludf.DUMMYFUNCTION("""COMPUTED_VALUE"""),148.62)</f>
        <v>148.62</v>
      </c>
      <c r="DD70" s="110">
        <f>IFERROR(__xludf.DUMMYFUNCTION("""COMPUTED_VALUE"""),14.2)</f>
        <v>14.2</v>
      </c>
      <c r="DE70" s="110">
        <f>IFERROR(__xludf.DUMMYFUNCTION("""COMPUTED_VALUE"""),6.94)</f>
        <v>6.94</v>
      </c>
      <c r="DF70" s="110">
        <f>IFERROR(__xludf.DUMMYFUNCTION("""COMPUTED_VALUE"""),56.95)</f>
        <v>56.95</v>
      </c>
      <c r="DG70" s="110">
        <f>IFERROR(__xludf.DUMMYFUNCTION("""COMPUTED_VALUE"""),5.38)</f>
        <v>5.38</v>
      </c>
      <c r="DH70" s="110">
        <f>IFERROR(__xludf.DUMMYFUNCTION("""COMPUTED_VALUE"""),8.72)</f>
        <v>8.72</v>
      </c>
      <c r="DI70" s="110">
        <f>IFERROR(__xludf.DUMMYFUNCTION("""COMPUTED_VALUE"""),154.29)</f>
        <v>154.29</v>
      </c>
      <c r="DJ70" s="110">
        <f>IFERROR(__xludf.DUMMYFUNCTION("""COMPUTED_VALUE"""),12.24)</f>
        <v>12.24</v>
      </c>
      <c r="DK70" s="110">
        <f>IFERROR(__xludf.DUMMYFUNCTION("""COMPUTED_VALUE"""),0.0)</f>
        <v>0</v>
      </c>
      <c r="DL70" s="110">
        <f>IFERROR(__xludf.DUMMYFUNCTION("""COMPUTED_VALUE"""),23.0)</f>
        <v>23</v>
      </c>
      <c r="DM70" s="110">
        <f>IFERROR(__xludf.DUMMYFUNCTION("""COMPUTED_VALUE"""),464.25)</f>
        <v>464.25</v>
      </c>
      <c r="DN70" s="110">
        <f>IFERROR(__xludf.DUMMYFUNCTION("""COMPUTED_VALUE"""),160.25)</f>
        <v>160.25</v>
      </c>
      <c r="DO70" s="110">
        <f>IFERROR(__xludf.DUMMYFUNCTION("""COMPUTED_VALUE"""),343.2)</f>
        <v>343.2</v>
      </c>
      <c r="DP70" s="110">
        <f>IFERROR(__xludf.DUMMYFUNCTION("""COMPUTED_VALUE"""),4.4)</f>
        <v>4.4</v>
      </c>
      <c r="DQ70" s="110">
        <f>IFERROR(__xludf.DUMMYFUNCTION("""COMPUTED_VALUE"""),101.55)</f>
        <v>101.55</v>
      </c>
      <c r="DR70" s="110">
        <f>IFERROR(__xludf.DUMMYFUNCTION("""COMPUTED_VALUE"""),0.0)</f>
        <v>0</v>
      </c>
      <c r="DS70" s="110">
        <f>IFERROR(__xludf.DUMMYFUNCTION("""COMPUTED_VALUE"""),3.2)</f>
        <v>3.2</v>
      </c>
      <c r="DT70" s="110">
        <f>IFERROR(__xludf.DUMMYFUNCTION("""COMPUTED_VALUE"""),5.92)</f>
        <v>5.92</v>
      </c>
      <c r="DU70" s="110">
        <f>IFERROR(__xludf.DUMMYFUNCTION("""COMPUTED_VALUE"""),53.93)</f>
        <v>53.93</v>
      </c>
      <c r="DV70" s="110">
        <f>IFERROR(__xludf.DUMMYFUNCTION("""COMPUTED_VALUE"""),12.76)</f>
        <v>12.76</v>
      </c>
      <c r="DW70" s="110">
        <f>IFERROR(__xludf.DUMMYFUNCTION("""COMPUTED_VALUE"""),0.064)</f>
        <v>0.064</v>
      </c>
      <c r="DX70" s="110">
        <f>IFERROR(__xludf.DUMMYFUNCTION("""COMPUTED_VALUE"""),24.91)</f>
        <v>24.91</v>
      </c>
      <c r="DY70" s="110">
        <f>IFERROR(__xludf.DUMMYFUNCTION("""COMPUTED_VALUE"""),0.0)</f>
        <v>0</v>
      </c>
      <c r="DZ70" s="110">
        <f>IFERROR(__xludf.DUMMYFUNCTION("""COMPUTED_VALUE"""),57.54)</f>
        <v>57.54</v>
      </c>
      <c r="EA70" s="110">
        <f>IFERROR(__xludf.DUMMYFUNCTION("""COMPUTED_VALUE"""),48.99)</f>
        <v>48.99</v>
      </c>
      <c r="EB70" s="110">
        <f>IFERROR(__xludf.DUMMYFUNCTION("""COMPUTED_VALUE"""),75.91)</f>
        <v>75.91</v>
      </c>
      <c r="EC70" s="110">
        <f>IFERROR(__xludf.DUMMYFUNCTION("""COMPUTED_VALUE"""),78.4)</f>
        <v>78.4</v>
      </c>
      <c r="ED70" s="110">
        <f>IFERROR(__xludf.DUMMYFUNCTION("""COMPUTED_VALUE"""),37.74)</f>
        <v>37.74</v>
      </c>
      <c r="EE70" s="110">
        <f>IFERROR(__xludf.DUMMYFUNCTION("""COMPUTED_VALUE"""),88.04)</f>
        <v>88.04</v>
      </c>
      <c r="EF70" s="110">
        <f>IFERROR(__xludf.DUMMYFUNCTION("""COMPUTED_VALUE"""),176.19)</f>
        <v>176.19</v>
      </c>
      <c r="EG70" s="110">
        <f>IFERROR(__xludf.DUMMYFUNCTION("""COMPUTED_VALUE"""),67.2)</f>
        <v>67.2</v>
      </c>
      <c r="EH70" s="110">
        <f>IFERROR(__xludf.DUMMYFUNCTION("""COMPUTED_VALUE"""),99.28)</f>
        <v>99.28</v>
      </c>
      <c r="EI70" s="110">
        <f>IFERROR(__xludf.DUMMYFUNCTION("""COMPUTED_VALUE"""),140.06)</f>
        <v>140.06</v>
      </c>
      <c r="EJ70" s="110">
        <f>IFERROR(__xludf.DUMMYFUNCTION("""COMPUTED_VALUE"""),35.66)</f>
        <v>35.66</v>
      </c>
      <c r="EK70" s="110">
        <f>IFERROR(__xludf.DUMMYFUNCTION("""COMPUTED_VALUE"""),277.27)</f>
        <v>277.27</v>
      </c>
      <c r="EL70" s="110">
        <f>IFERROR(__xludf.DUMMYFUNCTION("""COMPUTED_VALUE"""),54.89)</f>
        <v>54.89</v>
      </c>
      <c r="EM70" s="110">
        <f>IFERROR(__xludf.DUMMYFUNCTION("""COMPUTED_VALUE"""),32.51)</f>
        <v>32.51</v>
      </c>
      <c r="EN70" s="110">
        <f>IFERROR(__xludf.DUMMYFUNCTION("""COMPUTED_VALUE"""),1720.0)</f>
        <v>1720</v>
      </c>
      <c r="EO70" s="110">
        <f>IFERROR(__xludf.DUMMYFUNCTION("""COMPUTED_VALUE"""),7.84)</f>
        <v>7.84</v>
      </c>
      <c r="EP70" s="110">
        <f>IFERROR(__xludf.DUMMYFUNCTION("""COMPUTED_VALUE"""),0.0)</f>
        <v>0</v>
      </c>
      <c r="EQ70" s="110">
        <f>IFERROR(__xludf.DUMMYFUNCTION("""COMPUTED_VALUE"""),1.41)</f>
        <v>1.41</v>
      </c>
      <c r="ER70" s="110">
        <f>IFERROR(__xludf.DUMMYFUNCTION("""COMPUTED_VALUE"""),4409.25)</f>
        <v>4409.25</v>
      </c>
      <c r="ES70" s="110">
        <f>IFERROR(__xludf.DUMMYFUNCTION("""COMPUTED_VALUE"""),101.4)</f>
        <v>101.4</v>
      </c>
      <c r="ET70" s="110">
        <f>IFERROR(__xludf.DUMMYFUNCTION("""COMPUTED_VALUE"""),98.97)</f>
        <v>98.97</v>
      </c>
      <c r="EU70" s="110">
        <f>IFERROR(__xludf.DUMMYFUNCTION("""COMPUTED_VALUE"""),31.75)</f>
        <v>31.75</v>
      </c>
      <c r="EV70" s="110">
        <f>IFERROR(__xludf.DUMMYFUNCTION("""COMPUTED_VALUE"""),1.3)</f>
        <v>1.3</v>
      </c>
      <c r="EW70" s="110">
        <f>IFERROR(__xludf.DUMMYFUNCTION("""COMPUTED_VALUE"""),13.46)</f>
        <v>13.46</v>
      </c>
      <c r="EX70" s="108">
        <f>IFERROR(__xludf.DUMMYFUNCTION("""COMPUTED_VALUE"""),4.96)</f>
        <v>4.96</v>
      </c>
      <c r="EY70" s="108">
        <f>IFERROR(__xludf.DUMMYFUNCTION("""COMPUTED_VALUE"""),170.55)</f>
        <v>170.55</v>
      </c>
      <c r="EZ70" s="108">
        <f>IFERROR(__xludf.DUMMYFUNCTION("""COMPUTED_VALUE"""),25.22)</f>
        <v>25.22</v>
      </c>
      <c r="FA70" s="108">
        <f>IFERROR(__xludf.DUMMYFUNCTION("""COMPUTED_VALUE"""),3.14)</f>
        <v>3.14</v>
      </c>
      <c r="FB70" s="108">
        <f>IFERROR(__xludf.DUMMYFUNCTION("""COMPUTED_VALUE"""),133.0)</f>
        <v>133</v>
      </c>
      <c r="FC70" s="108">
        <f>IFERROR(__xludf.DUMMYFUNCTION("""COMPUTED_VALUE"""),9.4)</f>
        <v>9.4</v>
      </c>
      <c r="FD70" s="108">
        <f>IFERROR(__xludf.DUMMYFUNCTION("""COMPUTED_VALUE"""),60.03)</f>
        <v>60.03</v>
      </c>
      <c r="FE70" s="108">
        <f>IFERROR(__xludf.DUMMYFUNCTION("""COMPUTED_VALUE"""),57.92)</f>
        <v>57.92</v>
      </c>
      <c r="FF70" s="108">
        <f>IFERROR(__xludf.DUMMYFUNCTION("""COMPUTED_VALUE"""),5.86)</f>
        <v>5.86</v>
      </c>
      <c r="FG70" s="108">
        <f>IFERROR(__xludf.DUMMYFUNCTION("""COMPUTED_VALUE"""),597.74)</f>
        <v>597.74</v>
      </c>
      <c r="FH70" s="108">
        <f>IFERROR(__xludf.DUMMYFUNCTION("""COMPUTED_VALUE"""),169.83)</f>
        <v>169.83</v>
      </c>
      <c r="FI70" s="108">
        <f>IFERROR(__xludf.DUMMYFUNCTION("""COMPUTED_VALUE"""),0.058)</f>
        <v>0.058</v>
      </c>
      <c r="FJ70" s="108">
        <f>IFERROR(__xludf.DUMMYFUNCTION("""COMPUTED_VALUE"""),13.26)</f>
        <v>13.26</v>
      </c>
      <c r="FK70" s="108">
        <f>IFERROR(__xludf.DUMMYFUNCTION("""COMPUTED_VALUE"""),180.1)</f>
        <v>180.1</v>
      </c>
      <c r="FL70" s="108">
        <f>IFERROR(__xludf.DUMMYFUNCTION("""COMPUTED_VALUE"""),510.64)</f>
        <v>510.64</v>
      </c>
      <c r="FM70" s="108">
        <f>IFERROR(__xludf.DUMMYFUNCTION("""COMPUTED_VALUE"""),124.98)</f>
        <v>124.98</v>
      </c>
      <c r="FN70" s="108">
        <f>IFERROR(__xludf.DUMMYFUNCTION("""COMPUTED_VALUE"""),931.31)</f>
        <v>931.31</v>
      </c>
      <c r="FO70" s="108">
        <f>IFERROR(__xludf.DUMMYFUNCTION("""COMPUTED_VALUE"""),617.38)</f>
        <v>617.38</v>
      </c>
    </row>
    <row r="71">
      <c r="A71" s="106">
        <f>IFERROR(__xludf.DUMMYFUNCTION("""COMPUTED_VALUE"""),44663.0)</f>
        <v>44663</v>
      </c>
      <c r="B71" s="110">
        <f>IFERROR(__xludf.DUMMYFUNCTION("""COMPUTED_VALUE"""),3015.75)</f>
        <v>3015.75</v>
      </c>
      <c r="C71" s="110">
        <f>IFERROR(__xludf.DUMMYFUNCTION("""COMPUTED_VALUE"""),214.14)</f>
        <v>214.14</v>
      </c>
      <c r="D71" s="110">
        <f>IFERROR(__xludf.DUMMYFUNCTION("""COMPUTED_VALUE"""),986.95)</f>
        <v>986.95</v>
      </c>
      <c r="E71" s="110">
        <f>IFERROR(__xludf.DUMMYFUNCTION("""COMPUTED_VALUE"""),366.4)</f>
        <v>366.4</v>
      </c>
      <c r="F71" s="110">
        <f>IFERROR(__xludf.DUMMYFUNCTION("""COMPUTED_VALUE"""),11.06)</f>
        <v>11.06</v>
      </c>
      <c r="G71" s="110">
        <f>IFERROR(__xludf.DUMMYFUNCTION("""COMPUTED_VALUE"""),167.66)</f>
        <v>167.66</v>
      </c>
      <c r="H71" s="110">
        <f>IFERROR(__xludf.DUMMYFUNCTION("""COMPUTED_VALUE"""),0.0)</f>
        <v>0</v>
      </c>
      <c r="I71" s="110">
        <f>IFERROR(__xludf.DUMMYFUNCTION("""COMPUTED_VALUE"""),0.0)</f>
        <v>0</v>
      </c>
      <c r="J71" s="110">
        <f>IFERROR(__xludf.DUMMYFUNCTION("""COMPUTED_VALUE"""),0.0)</f>
        <v>0</v>
      </c>
      <c r="K71" s="110">
        <f>IFERROR(__xludf.DUMMYFUNCTION("""COMPUTED_VALUE"""),34.25)</f>
        <v>34.25</v>
      </c>
      <c r="L71" s="110">
        <f>IFERROR(__xludf.DUMMYFUNCTION("""COMPUTED_VALUE"""),153.9)</f>
        <v>153.9</v>
      </c>
      <c r="M71" s="110">
        <f>IFERROR(__xludf.DUMMYFUNCTION("""COMPUTED_VALUE"""),39549.3)</f>
        <v>39549.3</v>
      </c>
      <c r="N71" s="110">
        <f>IFERROR(__xludf.DUMMYFUNCTION("""COMPUTED_VALUE"""),344.1)</f>
        <v>344.1</v>
      </c>
      <c r="O71" s="110">
        <f>IFERROR(__xludf.DUMMYFUNCTION("""COMPUTED_VALUE"""),282.06)</f>
        <v>282.06</v>
      </c>
      <c r="P71" s="110">
        <f>IFERROR(__xludf.DUMMYFUNCTION("""COMPUTED_VALUE"""),25.39)</f>
        <v>25.39</v>
      </c>
      <c r="Q71" s="110">
        <f>IFERROR(__xludf.DUMMYFUNCTION("""COMPUTED_VALUE"""),23.02)</f>
        <v>23.02</v>
      </c>
      <c r="R71" s="110">
        <f>IFERROR(__xludf.DUMMYFUNCTION("""COMPUTED_VALUE"""),56.48)</f>
        <v>56.48</v>
      </c>
      <c r="S71" s="110">
        <f>IFERROR(__xludf.DUMMYFUNCTION("""COMPUTED_VALUE"""),27.38)</f>
        <v>27.38</v>
      </c>
      <c r="T71" s="110">
        <f>IFERROR(__xludf.DUMMYFUNCTION("""COMPUTED_VALUE"""),25.78)</f>
        <v>25.78</v>
      </c>
      <c r="U71" s="110">
        <f>IFERROR(__xludf.DUMMYFUNCTION("""COMPUTED_VALUE"""),39.55)</f>
        <v>39.55</v>
      </c>
      <c r="V71" s="110">
        <f>IFERROR(__xludf.DUMMYFUNCTION("""COMPUTED_VALUE"""),13.4)</f>
        <v>13.4</v>
      </c>
      <c r="W71" s="110">
        <f>IFERROR(__xludf.DUMMYFUNCTION("""COMPUTED_VALUE"""),249.17)</f>
        <v>249.17</v>
      </c>
      <c r="X71" s="110">
        <f>IFERROR(__xludf.DUMMYFUNCTION("""COMPUTED_VALUE"""),2567.49)</f>
        <v>2567.49</v>
      </c>
      <c r="Y71" s="110">
        <f>IFERROR(__xludf.DUMMYFUNCTION("""COMPUTED_VALUE"""),55.45)</f>
        <v>55.45</v>
      </c>
      <c r="Z71" s="110">
        <f>IFERROR(__xludf.DUMMYFUNCTION("""COMPUTED_VALUE"""),62.65)</f>
        <v>62.65</v>
      </c>
      <c r="AA71" s="110">
        <f>IFERROR(__xludf.DUMMYFUNCTION("""COMPUTED_VALUE"""),113.92)</f>
        <v>113.92</v>
      </c>
      <c r="AB71" s="110">
        <f>IFERROR(__xludf.DUMMYFUNCTION("""COMPUTED_VALUE"""),4.75)</f>
        <v>4.75</v>
      </c>
      <c r="AC71" s="110">
        <f>IFERROR(__xludf.DUMMYFUNCTION("""COMPUTED_VALUE"""),78.42)</f>
        <v>78.42</v>
      </c>
      <c r="AD71" s="110">
        <f>IFERROR(__xludf.DUMMYFUNCTION("""COMPUTED_VALUE"""),11.9)</f>
        <v>11.9</v>
      </c>
      <c r="AE71" s="110">
        <f>IFERROR(__xludf.DUMMYFUNCTION("""COMPUTED_VALUE"""),6.17)</f>
        <v>6.17</v>
      </c>
      <c r="AF71" s="110">
        <f>IFERROR(__xludf.DUMMYFUNCTION("""COMPUTED_VALUE"""),39.32)</f>
        <v>39.32</v>
      </c>
      <c r="AG71" s="110">
        <f>IFERROR(__xludf.DUMMYFUNCTION("""COMPUTED_VALUE"""),10.96)</f>
        <v>10.96</v>
      </c>
      <c r="AH71" s="110">
        <f>IFERROR(__xludf.DUMMYFUNCTION("""COMPUTED_VALUE"""),2.14)</f>
        <v>2.14</v>
      </c>
      <c r="AI71" s="110">
        <f>IFERROR(__xludf.DUMMYFUNCTION("""COMPUTED_VALUE"""),3.34)</f>
        <v>3.34</v>
      </c>
      <c r="AJ71" s="110">
        <f>IFERROR(__xludf.DUMMYFUNCTION("""COMPUTED_VALUE"""),91.1)</f>
        <v>91.1</v>
      </c>
      <c r="AK71" s="110">
        <f>IFERROR(__xludf.DUMMYFUNCTION("""COMPUTED_VALUE"""),215.04)</f>
        <v>215.04</v>
      </c>
      <c r="AL71" s="110">
        <f>IFERROR(__xludf.DUMMYFUNCTION("""COMPUTED_VALUE"""),12.32)</f>
        <v>12.32</v>
      </c>
      <c r="AM71" s="110">
        <f>IFERROR(__xludf.DUMMYFUNCTION("""COMPUTED_VALUE"""),39.17)</f>
        <v>39.17</v>
      </c>
      <c r="AN71" s="110">
        <f>IFERROR(__xludf.DUMMYFUNCTION("""COMPUTED_VALUE"""),349.74)</f>
        <v>349.74</v>
      </c>
      <c r="AO71" s="110">
        <f>IFERROR(__xludf.DUMMYFUNCTION("""COMPUTED_VALUE"""),90.83)</f>
        <v>90.83</v>
      </c>
      <c r="AP71" s="110">
        <f>IFERROR(__xludf.DUMMYFUNCTION("""COMPUTED_VALUE"""),79.54)</f>
        <v>79.54</v>
      </c>
      <c r="AQ71" s="110">
        <f>IFERROR(__xludf.DUMMYFUNCTION("""COMPUTED_VALUE"""),46.32)</f>
        <v>46.32</v>
      </c>
      <c r="AR71" s="109">
        <f>IFERROR(__xludf.DUMMYFUNCTION("""COMPUTED_VALUE"""),102.39949999999999)</f>
        <v>102.3995</v>
      </c>
      <c r="AS71" s="110">
        <f>IFERROR(__xludf.DUMMYFUNCTION("""COMPUTED_VALUE"""),14.4)</f>
        <v>14.4</v>
      </c>
      <c r="AT71" s="110">
        <f>IFERROR(__xludf.DUMMYFUNCTION("""COMPUTED_VALUE"""),99.0)</f>
        <v>99</v>
      </c>
      <c r="AU71" s="110">
        <f>IFERROR(__xludf.DUMMYFUNCTION("""COMPUTED_VALUE"""),63.69)</f>
        <v>63.69</v>
      </c>
      <c r="AV71" s="110">
        <f>IFERROR(__xludf.DUMMYFUNCTION("""COMPUTED_VALUE"""),130.84)</f>
        <v>130.84</v>
      </c>
      <c r="AW71" s="110">
        <f>IFERROR(__xludf.DUMMYFUNCTION("""COMPUTED_VALUE"""),114.56)</f>
        <v>114.56</v>
      </c>
      <c r="AX71" s="110">
        <f>IFERROR(__xludf.DUMMYFUNCTION("""COMPUTED_VALUE"""),16.18)</f>
        <v>16.18</v>
      </c>
      <c r="AY71" s="110">
        <f>IFERROR(__xludf.DUMMYFUNCTION("""COMPUTED_VALUE"""),43.0)</f>
        <v>43</v>
      </c>
      <c r="AZ71" s="110">
        <f>IFERROR(__xludf.DUMMYFUNCTION("""COMPUTED_VALUE"""),0.0)</f>
        <v>0</v>
      </c>
      <c r="BA71" s="110">
        <f>IFERROR(__xludf.DUMMYFUNCTION("""COMPUTED_VALUE"""),0.0)</f>
        <v>0</v>
      </c>
      <c r="BB71" s="110">
        <f>IFERROR(__xludf.DUMMYFUNCTION("""COMPUTED_VALUE"""),11.24)</f>
        <v>11.24</v>
      </c>
      <c r="BC71" s="110">
        <f>IFERROR(__xludf.DUMMYFUNCTION("""COMPUTED_VALUE"""),6.64)</f>
        <v>6.64</v>
      </c>
      <c r="BD71" s="110">
        <f>IFERROR(__xludf.DUMMYFUNCTION("""COMPUTED_VALUE"""),175.9)</f>
        <v>175.9</v>
      </c>
      <c r="BE71" s="110">
        <f>IFERROR(__xludf.DUMMYFUNCTION("""COMPUTED_VALUE"""),148.4)</f>
        <v>148.4</v>
      </c>
      <c r="BF71" s="110">
        <f>IFERROR(__xludf.DUMMYFUNCTION("""COMPUTED_VALUE"""),9.7)</f>
        <v>9.7</v>
      </c>
      <c r="BG71" s="110">
        <f>IFERROR(__xludf.DUMMYFUNCTION("""COMPUTED_VALUE"""),611.89)</f>
        <v>611.89</v>
      </c>
      <c r="BH71" s="110">
        <f>IFERROR(__xludf.DUMMYFUNCTION("""COMPUTED_VALUE"""),268.32)</f>
        <v>268.32</v>
      </c>
      <c r="BI71" s="110">
        <f>IFERROR(__xludf.DUMMYFUNCTION("""COMPUTED_VALUE"""),250.04)</f>
        <v>250.04</v>
      </c>
      <c r="BJ71" s="110">
        <f>IFERROR(__xludf.DUMMYFUNCTION("""COMPUTED_VALUE"""),21.29)</f>
        <v>21.29</v>
      </c>
      <c r="BK71" s="110">
        <f>IFERROR(__xludf.DUMMYFUNCTION("""COMPUTED_VALUE"""),310.83)</f>
        <v>310.83</v>
      </c>
      <c r="BL71" s="110">
        <f>IFERROR(__xludf.DUMMYFUNCTION("""COMPUTED_VALUE"""),131.44)</f>
        <v>131.44</v>
      </c>
      <c r="BM71" s="110">
        <f>IFERROR(__xludf.DUMMYFUNCTION("""COMPUTED_VALUE"""),15.36)</f>
        <v>15.36</v>
      </c>
      <c r="BN71" s="110">
        <f>IFERROR(__xludf.DUMMYFUNCTION("""COMPUTED_VALUE"""),288.5)</f>
        <v>288.5</v>
      </c>
      <c r="BO71" s="110">
        <f>IFERROR(__xludf.DUMMYFUNCTION("""COMPUTED_VALUE"""),688.96)</f>
        <v>688.96</v>
      </c>
      <c r="BP71" s="110">
        <f>IFERROR(__xludf.DUMMYFUNCTION("""COMPUTED_VALUE"""),38.15)</f>
        <v>38.15</v>
      </c>
      <c r="BQ71" s="110">
        <f>IFERROR(__xludf.DUMMYFUNCTION("""COMPUTED_VALUE"""),7.48)</f>
        <v>7.48</v>
      </c>
      <c r="BR71" s="110">
        <f>IFERROR(__xludf.DUMMYFUNCTION("""COMPUTED_VALUE"""),26.24)</f>
        <v>26.24</v>
      </c>
      <c r="BS71" s="110">
        <f>IFERROR(__xludf.DUMMYFUNCTION("""COMPUTED_VALUE"""),1.85)</f>
        <v>1.85</v>
      </c>
      <c r="BT71" s="110">
        <f>IFERROR(__xludf.DUMMYFUNCTION("""COMPUTED_VALUE"""),42.4)</f>
        <v>42.4</v>
      </c>
      <c r="BU71" s="110">
        <f>IFERROR(__xludf.DUMMYFUNCTION("""COMPUTED_VALUE"""),37.9)</f>
        <v>37.9</v>
      </c>
      <c r="BV71" s="110">
        <f>IFERROR(__xludf.DUMMYFUNCTION("""COMPUTED_VALUE"""),54.65)</f>
        <v>54.65</v>
      </c>
      <c r="BW71" s="110">
        <f>IFERROR(__xludf.DUMMYFUNCTION("""COMPUTED_VALUE"""),7.05)</f>
        <v>7.05</v>
      </c>
      <c r="BX71" s="110">
        <f>IFERROR(__xludf.DUMMYFUNCTION("""COMPUTED_VALUE"""),4.3)</f>
        <v>4.3</v>
      </c>
      <c r="BY71" s="110">
        <f>IFERROR(__xludf.DUMMYFUNCTION("""COMPUTED_VALUE"""),0.0)</f>
        <v>0</v>
      </c>
      <c r="BZ71" s="110">
        <f>IFERROR(__xludf.DUMMYFUNCTION("""COMPUTED_VALUE"""),16.9)</f>
        <v>16.9</v>
      </c>
      <c r="CA71" s="110">
        <f>IFERROR(__xludf.DUMMYFUNCTION("""COMPUTED_VALUE"""),3.66)</f>
        <v>3.66</v>
      </c>
      <c r="CB71" s="110">
        <f>IFERROR(__xludf.DUMMYFUNCTION("""COMPUTED_VALUE"""),5.15)</f>
        <v>5.15</v>
      </c>
      <c r="CC71" s="110">
        <f>IFERROR(__xludf.DUMMYFUNCTION("""COMPUTED_VALUE"""),18.29)</f>
        <v>18.29</v>
      </c>
      <c r="CD71" s="110">
        <f>IFERROR(__xludf.DUMMYFUNCTION("""COMPUTED_VALUE"""),13.16)</f>
        <v>13.16</v>
      </c>
      <c r="CE71" s="110">
        <f>IFERROR(__xludf.DUMMYFUNCTION("""COMPUTED_VALUE"""),26.8)</f>
        <v>26.8</v>
      </c>
      <c r="CF71" s="110">
        <f>IFERROR(__xludf.DUMMYFUNCTION("""COMPUTED_VALUE"""),100.77)</f>
        <v>100.77</v>
      </c>
      <c r="CG71" s="110">
        <f>IFERROR(__xludf.DUMMYFUNCTION("""COMPUTED_VALUE"""),4.34)</f>
        <v>4.34</v>
      </c>
      <c r="CH71" s="110">
        <f>IFERROR(__xludf.DUMMYFUNCTION("""COMPUTED_VALUE"""),25.44)</f>
        <v>25.44</v>
      </c>
      <c r="CI71" s="110">
        <f>IFERROR(__xludf.DUMMYFUNCTION("""COMPUTED_VALUE"""),50.67)</f>
        <v>50.67</v>
      </c>
      <c r="CJ71" s="110">
        <f>IFERROR(__xludf.DUMMYFUNCTION("""COMPUTED_VALUE"""),0.0)</f>
        <v>0</v>
      </c>
      <c r="CK71" s="110">
        <f>IFERROR(__xludf.DUMMYFUNCTION("""COMPUTED_VALUE"""),14.08)</f>
        <v>14.08</v>
      </c>
      <c r="CL71" s="110">
        <f>IFERROR(__xludf.DUMMYFUNCTION("""COMPUTED_VALUE"""),2554.29)</f>
        <v>2554.29</v>
      </c>
      <c r="CM71" s="110">
        <f>IFERROR(__xludf.DUMMYFUNCTION("""COMPUTED_VALUE"""),0.0)</f>
        <v>0</v>
      </c>
      <c r="CN71" s="110">
        <f>IFERROR(__xludf.DUMMYFUNCTION("""COMPUTED_VALUE"""),210.8)</f>
        <v>210.8</v>
      </c>
      <c r="CO71" s="110">
        <f>IFERROR(__xludf.DUMMYFUNCTION("""COMPUTED_VALUE"""),129.4)</f>
        <v>129.4</v>
      </c>
      <c r="CP71" s="110">
        <f>IFERROR(__xludf.DUMMYFUNCTION("""COMPUTED_VALUE"""),59.8)</f>
        <v>59.8</v>
      </c>
      <c r="CQ71" s="110">
        <f>IFERROR(__xludf.DUMMYFUNCTION("""COMPUTED_VALUE"""),67000.0)</f>
        <v>67000</v>
      </c>
      <c r="CR71" s="110">
        <f>IFERROR(__xludf.DUMMYFUNCTION("""COMPUTED_VALUE"""),0.52)</f>
        <v>0.52</v>
      </c>
      <c r="CS71" s="110">
        <f>IFERROR(__xludf.DUMMYFUNCTION("""COMPUTED_VALUE"""),28.88)</f>
        <v>28.88</v>
      </c>
      <c r="CT71" s="110">
        <f>IFERROR(__xludf.DUMMYFUNCTION("""COMPUTED_VALUE"""),21.52)</f>
        <v>21.52</v>
      </c>
      <c r="CU71" s="110">
        <f>IFERROR(__xludf.DUMMYFUNCTION("""COMPUTED_VALUE"""),1966.6)</f>
        <v>1966.6</v>
      </c>
      <c r="CV71" s="110">
        <f>IFERROR(__xludf.DUMMYFUNCTION("""COMPUTED_VALUE"""),2.43)</f>
        <v>2.43</v>
      </c>
      <c r="CW71" s="110">
        <f>IFERROR(__xludf.DUMMYFUNCTION("""COMPUTED_VALUE"""),3.55)</f>
        <v>3.55</v>
      </c>
      <c r="CX71" s="110">
        <f>IFERROR(__xludf.DUMMYFUNCTION("""COMPUTED_VALUE"""),0.0)</f>
        <v>0</v>
      </c>
      <c r="CY71" s="110">
        <f>IFERROR(__xludf.DUMMYFUNCTION("""COMPUTED_VALUE"""),0.03)</f>
        <v>0.03</v>
      </c>
      <c r="CZ71" s="110">
        <f>IFERROR(__xludf.DUMMYFUNCTION("""COMPUTED_VALUE"""),60.65)</f>
        <v>60.65</v>
      </c>
      <c r="DA71" s="110">
        <f>IFERROR(__xludf.DUMMYFUNCTION("""COMPUTED_VALUE"""),0.0)</f>
        <v>0</v>
      </c>
      <c r="DB71" s="110">
        <f>IFERROR(__xludf.DUMMYFUNCTION("""COMPUTED_VALUE"""),0.05)</f>
        <v>0.05</v>
      </c>
      <c r="DC71" s="110">
        <f>IFERROR(__xludf.DUMMYFUNCTION("""COMPUTED_VALUE"""),147.91)</f>
        <v>147.91</v>
      </c>
      <c r="DD71" s="110">
        <f>IFERROR(__xludf.DUMMYFUNCTION("""COMPUTED_VALUE"""),15.62)</f>
        <v>15.62</v>
      </c>
      <c r="DE71" s="110">
        <f>IFERROR(__xludf.DUMMYFUNCTION("""COMPUTED_VALUE"""),6.88)</f>
        <v>6.88</v>
      </c>
      <c r="DF71" s="110">
        <f>IFERROR(__xludf.DUMMYFUNCTION("""COMPUTED_VALUE"""),56.4)</f>
        <v>56.4</v>
      </c>
      <c r="DG71" s="110">
        <f>IFERROR(__xludf.DUMMYFUNCTION("""COMPUTED_VALUE"""),5.54)</f>
        <v>5.54</v>
      </c>
      <c r="DH71" s="110">
        <f>IFERROR(__xludf.DUMMYFUNCTION("""COMPUTED_VALUE"""),8.97)</f>
        <v>8.97</v>
      </c>
      <c r="DI71" s="110">
        <f>IFERROR(__xludf.DUMMYFUNCTION("""COMPUTED_VALUE"""),153.23)</f>
        <v>153.23</v>
      </c>
      <c r="DJ71" s="110">
        <f>IFERROR(__xludf.DUMMYFUNCTION("""COMPUTED_VALUE"""),12.12)</f>
        <v>12.12</v>
      </c>
      <c r="DK71" s="110">
        <f>IFERROR(__xludf.DUMMYFUNCTION("""COMPUTED_VALUE"""),0.0)</f>
        <v>0</v>
      </c>
      <c r="DL71" s="110">
        <f>IFERROR(__xludf.DUMMYFUNCTION("""COMPUTED_VALUE"""),23.1)</f>
        <v>23.1</v>
      </c>
      <c r="DM71" s="110">
        <f>IFERROR(__xludf.DUMMYFUNCTION("""COMPUTED_VALUE"""),467.55)</f>
        <v>467.55</v>
      </c>
      <c r="DN71" s="110">
        <f>IFERROR(__xludf.DUMMYFUNCTION("""COMPUTED_VALUE"""),160.11)</f>
        <v>160.11</v>
      </c>
      <c r="DO71" s="110">
        <f>IFERROR(__xludf.DUMMYFUNCTION("""COMPUTED_VALUE"""),343.4)</f>
        <v>343.4</v>
      </c>
      <c r="DP71" s="110">
        <f>IFERROR(__xludf.DUMMYFUNCTION("""COMPUTED_VALUE"""),4.4)</f>
        <v>4.4</v>
      </c>
      <c r="DQ71" s="110">
        <f>IFERROR(__xludf.DUMMYFUNCTION("""COMPUTED_VALUE"""),99.75)</f>
        <v>99.75</v>
      </c>
      <c r="DR71" s="110">
        <f>IFERROR(__xludf.DUMMYFUNCTION("""COMPUTED_VALUE"""),0.0)</f>
        <v>0</v>
      </c>
      <c r="DS71" s="110">
        <f>IFERROR(__xludf.DUMMYFUNCTION("""COMPUTED_VALUE"""),3.2)</f>
        <v>3.2</v>
      </c>
      <c r="DT71" s="110">
        <f>IFERROR(__xludf.DUMMYFUNCTION("""COMPUTED_VALUE"""),6.75)</f>
        <v>6.75</v>
      </c>
      <c r="DU71" s="110">
        <f>IFERROR(__xludf.DUMMYFUNCTION("""COMPUTED_VALUE"""),53.11)</f>
        <v>53.11</v>
      </c>
      <c r="DV71" s="110">
        <f>IFERROR(__xludf.DUMMYFUNCTION("""COMPUTED_VALUE"""),14.02)</f>
        <v>14.02</v>
      </c>
      <c r="DW71" s="110">
        <f>IFERROR(__xludf.DUMMYFUNCTION("""COMPUTED_VALUE"""),0.07)</f>
        <v>0.07</v>
      </c>
      <c r="DX71" s="110">
        <f>IFERROR(__xludf.DUMMYFUNCTION("""COMPUTED_VALUE"""),24.49)</f>
        <v>24.49</v>
      </c>
      <c r="DY71" s="110">
        <f>IFERROR(__xludf.DUMMYFUNCTION("""COMPUTED_VALUE"""),0.0)</f>
        <v>0</v>
      </c>
      <c r="DZ71" s="110">
        <f>IFERROR(__xludf.DUMMYFUNCTION("""COMPUTED_VALUE"""),58.1)</f>
        <v>58.1</v>
      </c>
      <c r="EA71" s="110">
        <f>IFERROR(__xludf.DUMMYFUNCTION("""COMPUTED_VALUE"""),48.84)</f>
        <v>48.84</v>
      </c>
      <c r="EB71" s="110">
        <f>IFERROR(__xludf.DUMMYFUNCTION("""COMPUTED_VALUE"""),76.2)</f>
        <v>76.2</v>
      </c>
      <c r="EC71" s="110">
        <f>IFERROR(__xludf.DUMMYFUNCTION("""COMPUTED_VALUE"""),78.42)</f>
        <v>78.42</v>
      </c>
      <c r="ED71" s="110">
        <f>IFERROR(__xludf.DUMMYFUNCTION("""COMPUTED_VALUE"""),37.31)</f>
        <v>37.31</v>
      </c>
      <c r="EE71" s="110">
        <f>IFERROR(__xludf.DUMMYFUNCTION("""COMPUTED_VALUE"""),88.06)</f>
        <v>88.06</v>
      </c>
      <c r="EF71" s="110">
        <f>IFERROR(__xludf.DUMMYFUNCTION("""COMPUTED_VALUE"""),176.59)</f>
        <v>176.59</v>
      </c>
      <c r="EG71" s="110">
        <f>IFERROR(__xludf.DUMMYFUNCTION("""COMPUTED_VALUE"""),66.65)</f>
        <v>66.65</v>
      </c>
      <c r="EH71" s="110">
        <f>IFERROR(__xludf.DUMMYFUNCTION("""COMPUTED_VALUE"""),99.12)</f>
        <v>99.12</v>
      </c>
      <c r="EI71" s="110">
        <f>IFERROR(__xludf.DUMMYFUNCTION("""COMPUTED_VALUE"""),138.55)</f>
        <v>138.55</v>
      </c>
      <c r="EJ71" s="110">
        <f>IFERROR(__xludf.DUMMYFUNCTION("""COMPUTED_VALUE"""),37.53)</f>
        <v>37.53</v>
      </c>
      <c r="EK71" s="110">
        <f>IFERROR(__xludf.DUMMYFUNCTION("""COMPUTED_VALUE"""),290.0)</f>
        <v>290</v>
      </c>
      <c r="EL71" s="110">
        <f>IFERROR(__xludf.DUMMYFUNCTION("""COMPUTED_VALUE"""),56.9)</f>
        <v>56.9</v>
      </c>
      <c r="EM71" s="110">
        <f>IFERROR(__xludf.DUMMYFUNCTION("""COMPUTED_VALUE"""),32.18)</f>
        <v>32.18</v>
      </c>
      <c r="EN71" s="110">
        <f>IFERROR(__xludf.DUMMYFUNCTION("""COMPUTED_VALUE"""),1782.0)</f>
        <v>1782</v>
      </c>
      <c r="EO71" s="110">
        <f>IFERROR(__xludf.DUMMYFUNCTION("""COMPUTED_VALUE"""),7.88)</f>
        <v>7.88</v>
      </c>
      <c r="EP71" s="110">
        <f>IFERROR(__xludf.DUMMYFUNCTION("""COMPUTED_VALUE"""),0.0)</f>
        <v>0</v>
      </c>
      <c r="EQ71" s="110">
        <f>IFERROR(__xludf.DUMMYFUNCTION("""COMPUTED_VALUE"""),1.05)</f>
        <v>1.05</v>
      </c>
      <c r="ER71" s="110">
        <f>IFERROR(__xludf.DUMMYFUNCTION("""COMPUTED_VALUE"""),4394.5)</f>
        <v>4394.5</v>
      </c>
      <c r="ES71" s="110">
        <f>IFERROR(__xludf.DUMMYFUNCTION("""COMPUTED_VALUE"""),102.31)</f>
        <v>102.31</v>
      </c>
      <c r="ET71" s="110">
        <f>IFERROR(__xludf.DUMMYFUNCTION("""COMPUTED_VALUE"""),104.73)</f>
        <v>104.73</v>
      </c>
      <c r="EU71" s="110">
        <f>IFERROR(__xludf.DUMMYFUNCTION("""COMPUTED_VALUE"""),32.7)</f>
        <v>32.7</v>
      </c>
      <c r="EV71" s="110">
        <f>IFERROR(__xludf.DUMMYFUNCTION("""COMPUTED_VALUE"""),1.33)</f>
        <v>1.33</v>
      </c>
      <c r="EW71" s="110">
        <f>IFERROR(__xludf.DUMMYFUNCTION("""COMPUTED_VALUE"""),13.5)</f>
        <v>13.5</v>
      </c>
      <c r="EX71" s="108">
        <f>IFERROR(__xludf.DUMMYFUNCTION("""COMPUTED_VALUE"""),4.88)</f>
        <v>4.88</v>
      </c>
      <c r="EY71" s="108">
        <f>IFERROR(__xludf.DUMMYFUNCTION("""COMPUTED_VALUE"""),169.13)</f>
        <v>169.13</v>
      </c>
      <c r="EZ71" s="108">
        <f>IFERROR(__xludf.DUMMYFUNCTION("""COMPUTED_VALUE"""),25.6)</f>
        <v>25.6</v>
      </c>
      <c r="FA71" s="108">
        <f>IFERROR(__xludf.DUMMYFUNCTION("""COMPUTED_VALUE"""),3.12)</f>
        <v>3.12</v>
      </c>
      <c r="FB71" s="108">
        <f>IFERROR(__xludf.DUMMYFUNCTION("""COMPUTED_VALUE"""),131.54)</f>
        <v>131.54</v>
      </c>
      <c r="FC71" s="108">
        <f>IFERROR(__xludf.DUMMYFUNCTION("""COMPUTED_VALUE"""),10.07)</f>
        <v>10.07</v>
      </c>
      <c r="FD71" s="108">
        <f>IFERROR(__xludf.DUMMYFUNCTION("""COMPUTED_VALUE"""),62.26)</f>
        <v>62.26</v>
      </c>
      <c r="FE71" s="108">
        <f>IFERROR(__xludf.DUMMYFUNCTION("""COMPUTED_VALUE"""),59.14)</f>
        <v>59.14</v>
      </c>
      <c r="FF71" s="108">
        <f>IFERROR(__xludf.DUMMYFUNCTION("""COMPUTED_VALUE"""),5.74)</f>
        <v>5.74</v>
      </c>
      <c r="FG71" s="108">
        <f>IFERROR(__xludf.DUMMYFUNCTION("""COMPUTED_VALUE"""),594.0)</f>
        <v>594</v>
      </c>
      <c r="FH71" s="108">
        <f>IFERROR(__xludf.DUMMYFUNCTION("""COMPUTED_VALUE"""),167.31)</f>
        <v>167.31</v>
      </c>
      <c r="FI71" s="108">
        <f>IFERROR(__xludf.DUMMYFUNCTION("""COMPUTED_VALUE"""),0.055)</f>
        <v>0.055</v>
      </c>
      <c r="FJ71" s="108">
        <f>IFERROR(__xludf.DUMMYFUNCTION("""COMPUTED_VALUE"""),13.22)</f>
        <v>13.22</v>
      </c>
      <c r="FK71" s="108">
        <f>IFERROR(__xludf.DUMMYFUNCTION("""COMPUTED_VALUE"""),193.0)</f>
        <v>193</v>
      </c>
      <c r="FL71" s="108">
        <f>IFERROR(__xludf.DUMMYFUNCTION("""COMPUTED_VALUE"""),509.61)</f>
        <v>509.61</v>
      </c>
      <c r="FM71" s="108">
        <f>IFERROR(__xludf.DUMMYFUNCTION("""COMPUTED_VALUE"""),125.04)</f>
        <v>125.04</v>
      </c>
      <c r="FN71" s="108">
        <f>IFERROR(__xludf.DUMMYFUNCTION("""COMPUTED_VALUE"""),926.79)</f>
        <v>926.79</v>
      </c>
      <c r="FO71" s="108">
        <f>IFERROR(__xludf.DUMMYFUNCTION("""COMPUTED_VALUE"""),591.06)</f>
        <v>591.06</v>
      </c>
    </row>
    <row r="72">
      <c r="A72" s="106">
        <f>IFERROR(__xludf.DUMMYFUNCTION("""COMPUTED_VALUE"""),44664.0)</f>
        <v>44664</v>
      </c>
      <c r="B72" s="110">
        <f>IFERROR(__xludf.DUMMYFUNCTION("""COMPUTED_VALUE"""),3110.82)</f>
        <v>3110.82</v>
      </c>
      <c r="C72" s="110">
        <f>IFERROR(__xludf.DUMMYFUNCTION("""COMPUTED_VALUE"""),214.99)</f>
        <v>214.99</v>
      </c>
      <c r="D72" s="110">
        <f>IFERROR(__xludf.DUMMYFUNCTION("""COMPUTED_VALUE"""),1022.37)</f>
        <v>1022.37</v>
      </c>
      <c r="E72" s="110">
        <f>IFERROR(__xludf.DUMMYFUNCTION("""COMPUTED_VALUE"""),373.6)</f>
        <v>373.6</v>
      </c>
      <c r="F72" s="110">
        <f>IFERROR(__xludf.DUMMYFUNCTION("""COMPUTED_VALUE"""),11.46)</f>
        <v>11.46</v>
      </c>
      <c r="G72" s="110">
        <f>IFERROR(__xludf.DUMMYFUNCTION("""COMPUTED_VALUE"""),170.4)</f>
        <v>170.4</v>
      </c>
      <c r="H72" s="110">
        <f>IFERROR(__xludf.DUMMYFUNCTION("""COMPUTED_VALUE"""),0.0)</f>
        <v>0</v>
      </c>
      <c r="I72" s="110">
        <f>IFERROR(__xludf.DUMMYFUNCTION("""COMPUTED_VALUE"""),0.0)</f>
        <v>0</v>
      </c>
      <c r="J72" s="110">
        <f>IFERROR(__xludf.DUMMYFUNCTION("""COMPUTED_VALUE"""),0.0)</f>
        <v>0</v>
      </c>
      <c r="K72" s="110">
        <f>IFERROR(__xludf.DUMMYFUNCTION("""COMPUTED_VALUE"""),35.6)</f>
        <v>35.6</v>
      </c>
      <c r="L72" s="110">
        <f>IFERROR(__xludf.DUMMYFUNCTION("""COMPUTED_VALUE"""),154.1)</f>
        <v>154.1</v>
      </c>
      <c r="M72" s="110">
        <f>IFERROR(__xludf.DUMMYFUNCTION("""COMPUTED_VALUE"""),41054.41)</f>
        <v>41054.41</v>
      </c>
      <c r="N72" s="110">
        <f>IFERROR(__xludf.DUMMYFUNCTION("""COMPUTED_VALUE"""),350.43)</f>
        <v>350.43</v>
      </c>
      <c r="O72" s="110">
        <f>IFERROR(__xludf.DUMMYFUNCTION("""COMPUTED_VALUE"""),287.62)</f>
        <v>287.62</v>
      </c>
      <c r="P72" s="110">
        <f>IFERROR(__xludf.DUMMYFUNCTION("""COMPUTED_VALUE"""),26.66)</f>
        <v>26.66</v>
      </c>
      <c r="Q72" s="110">
        <f>IFERROR(__xludf.DUMMYFUNCTION("""COMPUTED_VALUE"""),23.43)</f>
        <v>23.43</v>
      </c>
      <c r="R72" s="110">
        <f>IFERROR(__xludf.DUMMYFUNCTION("""COMPUTED_VALUE"""),58.28)</f>
        <v>58.28</v>
      </c>
      <c r="S72" s="110">
        <f>IFERROR(__xludf.DUMMYFUNCTION("""COMPUTED_VALUE"""),29.12)</f>
        <v>29.12</v>
      </c>
      <c r="T72" s="110">
        <f>IFERROR(__xludf.DUMMYFUNCTION("""COMPUTED_VALUE"""),27.65)</f>
        <v>27.65</v>
      </c>
      <c r="U72" s="110">
        <f>IFERROR(__xludf.DUMMYFUNCTION("""COMPUTED_VALUE"""),41.31)</f>
        <v>41.31</v>
      </c>
      <c r="V72" s="110">
        <f>IFERROR(__xludf.DUMMYFUNCTION("""COMPUTED_VALUE"""),14.18)</f>
        <v>14.18</v>
      </c>
      <c r="W72" s="110">
        <f>IFERROR(__xludf.DUMMYFUNCTION("""COMPUTED_VALUE"""),251.45)</f>
        <v>251.45</v>
      </c>
      <c r="X72" s="110">
        <f>IFERROR(__xludf.DUMMYFUNCTION("""COMPUTED_VALUE"""),2605.72)</f>
        <v>2605.72</v>
      </c>
      <c r="Y72" s="110">
        <f>IFERROR(__xludf.DUMMYFUNCTION("""COMPUTED_VALUE"""),55.3)</f>
        <v>55.3</v>
      </c>
      <c r="Z72" s="110">
        <f>IFERROR(__xludf.DUMMYFUNCTION("""COMPUTED_VALUE"""),61.4)</f>
        <v>61.4</v>
      </c>
      <c r="AA72" s="110">
        <f>IFERROR(__xludf.DUMMYFUNCTION("""COMPUTED_VALUE"""),121.55)</f>
        <v>121.55</v>
      </c>
      <c r="AB72" s="110">
        <f>IFERROR(__xludf.DUMMYFUNCTION("""COMPUTED_VALUE"""),4.75)</f>
        <v>4.75</v>
      </c>
      <c r="AC72" s="110">
        <f>IFERROR(__xludf.DUMMYFUNCTION("""COMPUTED_VALUE"""),79.6)</f>
        <v>79.6</v>
      </c>
      <c r="AD72" s="110">
        <f>IFERROR(__xludf.DUMMYFUNCTION("""COMPUTED_VALUE"""),11.87)</f>
        <v>11.87</v>
      </c>
      <c r="AE72" s="110">
        <f>IFERROR(__xludf.DUMMYFUNCTION("""COMPUTED_VALUE"""),5.79)</f>
        <v>5.79</v>
      </c>
      <c r="AF72" s="110">
        <f>IFERROR(__xludf.DUMMYFUNCTION("""COMPUTED_VALUE"""),37.77)</f>
        <v>37.77</v>
      </c>
      <c r="AG72" s="110">
        <f>IFERROR(__xludf.DUMMYFUNCTION("""COMPUTED_VALUE"""),11.24)</f>
        <v>11.24</v>
      </c>
      <c r="AH72" s="110">
        <f>IFERROR(__xludf.DUMMYFUNCTION("""COMPUTED_VALUE"""),2.15)</f>
        <v>2.15</v>
      </c>
      <c r="AI72" s="110">
        <f>IFERROR(__xludf.DUMMYFUNCTION("""COMPUTED_VALUE"""),3.39)</f>
        <v>3.39</v>
      </c>
      <c r="AJ72" s="110">
        <f>IFERROR(__xludf.DUMMYFUNCTION("""COMPUTED_VALUE"""),89.3)</f>
        <v>89.3</v>
      </c>
      <c r="AK72" s="110">
        <f>IFERROR(__xludf.DUMMYFUNCTION("""COMPUTED_VALUE"""),222.03)</f>
        <v>222.03</v>
      </c>
      <c r="AL72" s="110">
        <f>IFERROR(__xludf.DUMMYFUNCTION("""COMPUTED_VALUE"""),12.36)</f>
        <v>12.36</v>
      </c>
      <c r="AM72" s="110">
        <f>IFERROR(__xludf.DUMMYFUNCTION("""COMPUTED_VALUE"""),38.85)</f>
        <v>38.85</v>
      </c>
      <c r="AN72" s="110">
        <f>IFERROR(__xludf.DUMMYFUNCTION("""COMPUTED_VALUE"""),346.07)</f>
        <v>346.07</v>
      </c>
      <c r="AO72" s="110">
        <f>IFERROR(__xludf.DUMMYFUNCTION("""COMPUTED_VALUE"""),91.79)</f>
        <v>91.79</v>
      </c>
      <c r="AP72" s="110">
        <f>IFERROR(__xludf.DUMMYFUNCTION("""COMPUTED_VALUE"""),79.1)</f>
        <v>79.1</v>
      </c>
      <c r="AQ72" s="110">
        <f>IFERROR(__xludf.DUMMYFUNCTION("""COMPUTED_VALUE"""),48.03)</f>
        <v>48.03</v>
      </c>
      <c r="AR72" s="109">
        <f>IFERROR(__xludf.DUMMYFUNCTION("""COMPUTED_VALUE"""),102.5925)</f>
        <v>102.5925</v>
      </c>
      <c r="AS72" s="110">
        <f>IFERROR(__xludf.DUMMYFUNCTION("""COMPUTED_VALUE"""),12.93)</f>
        <v>12.93</v>
      </c>
      <c r="AT72" s="110">
        <f>IFERROR(__xludf.DUMMYFUNCTION("""COMPUTED_VALUE"""),98.5)</f>
        <v>98.5</v>
      </c>
      <c r="AU72" s="110">
        <f>IFERROR(__xludf.DUMMYFUNCTION("""COMPUTED_VALUE"""),64.46)</f>
        <v>64.46</v>
      </c>
      <c r="AV72" s="110">
        <f>IFERROR(__xludf.DUMMYFUNCTION("""COMPUTED_VALUE"""),132.38)</f>
        <v>132.38</v>
      </c>
      <c r="AW72" s="110">
        <f>IFERROR(__xludf.DUMMYFUNCTION("""COMPUTED_VALUE"""),116.86)</f>
        <v>116.86</v>
      </c>
      <c r="AX72" s="110">
        <f>IFERROR(__xludf.DUMMYFUNCTION("""COMPUTED_VALUE"""),16.64)</f>
        <v>16.64</v>
      </c>
      <c r="AY72" s="110">
        <f>IFERROR(__xludf.DUMMYFUNCTION("""COMPUTED_VALUE"""),45.01)</f>
        <v>45.01</v>
      </c>
      <c r="AZ72" s="110">
        <f>IFERROR(__xludf.DUMMYFUNCTION("""COMPUTED_VALUE"""),0.0)</f>
        <v>0</v>
      </c>
      <c r="BA72" s="110">
        <f>IFERROR(__xludf.DUMMYFUNCTION("""COMPUTED_VALUE"""),0.0)</f>
        <v>0</v>
      </c>
      <c r="BB72" s="110">
        <f>IFERROR(__xludf.DUMMYFUNCTION("""COMPUTED_VALUE"""),11.22)</f>
        <v>11.22</v>
      </c>
      <c r="BC72" s="110">
        <f>IFERROR(__xludf.DUMMYFUNCTION("""COMPUTED_VALUE"""),6.71)</f>
        <v>6.71</v>
      </c>
      <c r="BD72" s="110">
        <f>IFERROR(__xludf.DUMMYFUNCTION("""COMPUTED_VALUE"""),180.7)</f>
        <v>180.7</v>
      </c>
      <c r="BE72" s="110">
        <f>IFERROR(__xludf.DUMMYFUNCTION("""COMPUTED_VALUE"""),149.2)</f>
        <v>149.2</v>
      </c>
      <c r="BF72" s="110">
        <f>IFERROR(__xludf.DUMMYFUNCTION("""COMPUTED_VALUE"""),9.71)</f>
        <v>9.71</v>
      </c>
      <c r="BG72" s="110">
        <f>IFERROR(__xludf.DUMMYFUNCTION("""COMPUTED_VALUE"""),629.01)</f>
        <v>629.01</v>
      </c>
      <c r="BH72" s="110">
        <f>IFERROR(__xludf.DUMMYFUNCTION("""COMPUTED_VALUE"""),280.33)</f>
        <v>280.33</v>
      </c>
      <c r="BI72" s="110">
        <f>IFERROR(__xludf.DUMMYFUNCTION("""COMPUTED_VALUE"""),253.51)</f>
        <v>253.51</v>
      </c>
      <c r="BJ72" s="110">
        <f>IFERROR(__xludf.DUMMYFUNCTION("""COMPUTED_VALUE"""),22.05)</f>
        <v>22.05</v>
      </c>
      <c r="BK72" s="110">
        <f>IFERROR(__xludf.DUMMYFUNCTION("""COMPUTED_VALUE"""),306.72)</f>
        <v>306.72</v>
      </c>
      <c r="BL72" s="110">
        <f>IFERROR(__xludf.DUMMYFUNCTION("""COMPUTED_VALUE"""),134.85)</f>
        <v>134.85</v>
      </c>
      <c r="BM72" s="110">
        <f>IFERROR(__xludf.DUMMYFUNCTION("""COMPUTED_VALUE"""),15.52)</f>
        <v>15.52</v>
      </c>
      <c r="BN72" s="110">
        <f>IFERROR(__xludf.DUMMYFUNCTION("""COMPUTED_VALUE"""),288.61)</f>
        <v>288.61</v>
      </c>
      <c r="BO72" s="110">
        <f>IFERROR(__xludf.DUMMYFUNCTION("""COMPUTED_VALUE"""),693.54)</f>
        <v>693.54</v>
      </c>
      <c r="BP72" s="110">
        <f>IFERROR(__xludf.DUMMYFUNCTION("""COMPUTED_VALUE"""),41.15)</f>
        <v>41.15</v>
      </c>
      <c r="BQ72" s="110">
        <f>IFERROR(__xludf.DUMMYFUNCTION("""COMPUTED_VALUE"""),7.61)</f>
        <v>7.61</v>
      </c>
      <c r="BR72" s="110">
        <f>IFERROR(__xludf.DUMMYFUNCTION("""COMPUTED_VALUE"""),28.05)</f>
        <v>28.05</v>
      </c>
      <c r="BS72" s="110">
        <f>IFERROR(__xludf.DUMMYFUNCTION("""COMPUTED_VALUE"""),1.49)</f>
        <v>1.49</v>
      </c>
      <c r="BT72" s="110">
        <f>IFERROR(__xludf.DUMMYFUNCTION("""COMPUTED_VALUE"""),41.71)</f>
        <v>41.71</v>
      </c>
      <c r="BU72" s="110">
        <f>IFERROR(__xludf.DUMMYFUNCTION("""COMPUTED_VALUE"""),38.75)</f>
        <v>38.75</v>
      </c>
      <c r="BV72" s="110">
        <f>IFERROR(__xludf.DUMMYFUNCTION("""COMPUTED_VALUE"""),55.5)</f>
        <v>55.5</v>
      </c>
      <c r="BW72" s="110">
        <f>IFERROR(__xludf.DUMMYFUNCTION("""COMPUTED_VALUE"""),7.17)</f>
        <v>7.17</v>
      </c>
      <c r="BX72" s="110">
        <f>IFERROR(__xludf.DUMMYFUNCTION("""COMPUTED_VALUE"""),4.54)</f>
        <v>4.54</v>
      </c>
      <c r="BY72" s="110">
        <f>IFERROR(__xludf.DUMMYFUNCTION("""COMPUTED_VALUE"""),0.0)</f>
        <v>0</v>
      </c>
      <c r="BZ72" s="110">
        <f>IFERROR(__xludf.DUMMYFUNCTION("""COMPUTED_VALUE"""),16.66)</f>
        <v>16.66</v>
      </c>
      <c r="CA72" s="110">
        <f>IFERROR(__xludf.DUMMYFUNCTION("""COMPUTED_VALUE"""),3.56)</f>
        <v>3.56</v>
      </c>
      <c r="CB72" s="110">
        <f>IFERROR(__xludf.DUMMYFUNCTION("""COMPUTED_VALUE"""),5.19)</f>
        <v>5.19</v>
      </c>
      <c r="CC72" s="110">
        <f>IFERROR(__xludf.DUMMYFUNCTION("""COMPUTED_VALUE"""),17.99)</f>
        <v>17.99</v>
      </c>
      <c r="CD72" s="110">
        <f>IFERROR(__xludf.DUMMYFUNCTION("""COMPUTED_VALUE"""),13.35)</f>
        <v>13.35</v>
      </c>
      <c r="CE72" s="110">
        <f>IFERROR(__xludf.DUMMYFUNCTION("""COMPUTED_VALUE"""),26.08)</f>
        <v>26.08</v>
      </c>
      <c r="CF72" s="110">
        <f>IFERROR(__xludf.DUMMYFUNCTION("""COMPUTED_VALUE"""),104.31)</f>
        <v>104.31</v>
      </c>
      <c r="CG72" s="110">
        <f>IFERROR(__xludf.DUMMYFUNCTION("""COMPUTED_VALUE"""),4.35)</f>
        <v>4.35</v>
      </c>
      <c r="CH72" s="110">
        <f>IFERROR(__xludf.DUMMYFUNCTION("""COMPUTED_VALUE"""),25.62)</f>
        <v>25.62</v>
      </c>
      <c r="CI72" s="110">
        <f>IFERROR(__xludf.DUMMYFUNCTION("""COMPUTED_VALUE"""),49.14)</f>
        <v>49.14</v>
      </c>
      <c r="CJ72" s="110">
        <f>IFERROR(__xludf.DUMMYFUNCTION("""COMPUTED_VALUE"""),0.0)</f>
        <v>0</v>
      </c>
      <c r="CK72" s="110">
        <f>IFERROR(__xludf.DUMMYFUNCTION("""COMPUTED_VALUE"""),14.56)</f>
        <v>14.56</v>
      </c>
      <c r="CL72" s="110">
        <f>IFERROR(__xludf.DUMMYFUNCTION("""COMPUTED_VALUE"""),2597.88)</f>
        <v>2597.88</v>
      </c>
      <c r="CM72" s="110">
        <f>IFERROR(__xludf.DUMMYFUNCTION("""COMPUTED_VALUE"""),0.0)</f>
        <v>0</v>
      </c>
      <c r="CN72" s="110">
        <f>IFERROR(__xludf.DUMMYFUNCTION("""COMPUTED_VALUE"""),202.6)</f>
        <v>202.6</v>
      </c>
      <c r="CO72" s="110">
        <f>IFERROR(__xludf.DUMMYFUNCTION("""COMPUTED_VALUE"""),128.9)</f>
        <v>128.9</v>
      </c>
      <c r="CP72" s="110">
        <f>IFERROR(__xludf.DUMMYFUNCTION("""COMPUTED_VALUE"""),61.71)</f>
        <v>61.71</v>
      </c>
      <c r="CQ72" s="110">
        <f>IFERROR(__xludf.DUMMYFUNCTION("""COMPUTED_VALUE"""),68700.0)</f>
        <v>68700</v>
      </c>
      <c r="CR72" s="110">
        <f>IFERROR(__xludf.DUMMYFUNCTION("""COMPUTED_VALUE"""),0.52)</f>
        <v>0.52</v>
      </c>
      <c r="CS72" s="110">
        <f>IFERROR(__xludf.DUMMYFUNCTION("""COMPUTED_VALUE"""),28.23)</f>
        <v>28.23</v>
      </c>
      <c r="CT72" s="110">
        <f>IFERROR(__xludf.DUMMYFUNCTION("""COMPUTED_VALUE"""),21.58)</f>
        <v>21.58</v>
      </c>
      <c r="CU72" s="110">
        <f>IFERROR(__xludf.DUMMYFUNCTION("""COMPUTED_VALUE"""),1980.7)</f>
        <v>1980.7</v>
      </c>
      <c r="CV72" s="110">
        <f>IFERROR(__xludf.DUMMYFUNCTION("""COMPUTED_VALUE"""),2.51)</f>
        <v>2.51</v>
      </c>
      <c r="CW72" s="110">
        <f>IFERROR(__xludf.DUMMYFUNCTION("""COMPUTED_VALUE"""),3.75)</f>
        <v>3.75</v>
      </c>
      <c r="CX72" s="110">
        <f>IFERROR(__xludf.DUMMYFUNCTION("""COMPUTED_VALUE"""),0.0)</f>
        <v>0</v>
      </c>
      <c r="CY72" s="110">
        <f>IFERROR(__xludf.DUMMYFUNCTION("""COMPUTED_VALUE"""),0.03)</f>
        <v>0.03</v>
      </c>
      <c r="CZ72" s="110">
        <f>IFERROR(__xludf.DUMMYFUNCTION("""COMPUTED_VALUE"""),64.0)</f>
        <v>64</v>
      </c>
      <c r="DA72" s="110">
        <f>IFERROR(__xludf.DUMMYFUNCTION("""COMPUTED_VALUE"""),0.0)</f>
        <v>0</v>
      </c>
      <c r="DB72" s="110">
        <f>IFERROR(__xludf.DUMMYFUNCTION("""COMPUTED_VALUE"""),0.05)</f>
        <v>0.05</v>
      </c>
      <c r="DC72" s="110">
        <f>IFERROR(__xludf.DUMMYFUNCTION("""COMPUTED_VALUE"""),150.27)</f>
        <v>150.27</v>
      </c>
      <c r="DD72" s="110">
        <f>IFERROR(__xludf.DUMMYFUNCTION("""COMPUTED_VALUE"""),17.18)</f>
        <v>17.18</v>
      </c>
      <c r="DE72" s="110">
        <f>IFERROR(__xludf.DUMMYFUNCTION("""COMPUTED_VALUE"""),6.71)</f>
        <v>6.71</v>
      </c>
      <c r="DF72" s="110">
        <f>IFERROR(__xludf.DUMMYFUNCTION("""COMPUTED_VALUE"""),56.7)</f>
        <v>56.7</v>
      </c>
      <c r="DG72" s="110">
        <f>IFERROR(__xludf.DUMMYFUNCTION("""COMPUTED_VALUE"""),5.34)</f>
        <v>5.34</v>
      </c>
      <c r="DH72" s="110">
        <f>IFERROR(__xludf.DUMMYFUNCTION("""COMPUTED_VALUE"""),8.63)</f>
        <v>8.63</v>
      </c>
      <c r="DI72" s="110">
        <f>IFERROR(__xludf.DUMMYFUNCTION("""COMPUTED_VALUE"""),157.28)</f>
        <v>157.28</v>
      </c>
      <c r="DJ72" s="110">
        <f>IFERROR(__xludf.DUMMYFUNCTION("""COMPUTED_VALUE"""),12.69)</f>
        <v>12.69</v>
      </c>
      <c r="DK72" s="110">
        <f>IFERROR(__xludf.DUMMYFUNCTION("""COMPUTED_VALUE"""),0.0)</f>
        <v>0</v>
      </c>
      <c r="DL72" s="110">
        <f>IFERROR(__xludf.DUMMYFUNCTION("""COMPUTED_VALUE"""),22.8)</f>
        <v>22.8</v>
      </c>
      <c r="DM72" s="110">
        <f>IFERROR(__xludf.DUMMYFUNCTION("""COMPUTED_VALUE"""),469.2)</f>
        <v>469.2</v>
      </c>
      <c r="DN72" s="110">
        <f>IFERROR(__xludf.DUMMYFUNCTION("""COMPUTED_VALUE"""),171.85)</f>
        <v>171.85</v>
      </c>
      <c r="DO72" s="110">
        <f>IFERROR(__xludf.DUMMYFUNCTION("""COMPUTED_VALUE"""),340.8)</f>
        <v>340.8</v>
      </c>
      <c r="DP72" s="110">
        <f>IFERROR(__xludf.DUMMYFUNCTION("""COMPUTED_VALUE"""),4.4)</f>
        <v>4.4</v>
      </c>
      <c r="DQ72" s="110">
        <f>IFERROR(__xludf.DUMMYFUNCTION("""COMPUTED_VALUE"""),100.09)</f>
        <v>100.09</v>
      </c>
      <c r="DR72" s="110">
        <f>IFERROR(__xludf.DUMMYFUNCTION("""COMPUTED_VALUE"""),0.0)</f>
        <v>0</v>
      </c>
      <c r="DS72" s="110">
        <f>IFERROR(__xludf.DUMMYFUNCTION("""COMPUTED_VALUE"""),3.2)</f>
        <v>3.2</v>
      </c>
      <c r="DT72" s="110">
        <f>IFERROR(__xludf.DUMMYFUNCTION("""COMPUTED_VALUE"""),7.14)</f>
        <v>7.14</v>
      </c>
      <c r="DU72" s="110">
        <f>IFERROR(__xludf.DUMMYFUNCTION("""COMPUTED_VALUE"""),53.11)</f>
        <v>53.11</v>
      </c>
      <c r="DV72" s="110">
        <f>IFERROR(__xludf.DUMMYFUNCTION("""COMPUTED_VALUE"""),14.68)</f>
        <v>14.68</v>
      </c>
      <c r="DW72" s="110">
        <f>IFERROR(__xludf.DUMMYFUNCTION("""COMPUTED_VALUE"""),0.07)</f>
        <v>0.07</v>
      </c>
      <c r="DX72" s="110">
        <f>IFERROR(__xludf.DUMMYFUNCTION("""COMPUTED_VALUE"""),25.68)</f>
        <v>25.68</v>
      </c>
      <c r="DY72" s="110">
        <f>IFERROR(__xludf.DUMMYFUNCTION("""COMPUTED_VALUE"""),0.0)</f>
        <v>0</v>
      </c>
      <c r="DZ72" s="110">
        <f>IFERROR(__xludf.DUMMYFUNCTION("""COMPUTED_VALUE"""),62.17)</f>
        <v>62.17</v>
      </c>
      <c r="EA72" s="110">
        <f>IFERROR(__xludf.DUMMYFUNCTION("""COMPUTED_VALUE"""),49.04)</f>
        <v>49.04</v>
      </c>
      <c r="EB72" s="110">
        <f>IFERROR(__xludf.DUMMYFUNCTION("""COMPUTED_VALUE"""),76.08)</f>
        <v>76.08</v>
      </c>
      <c r="EC72" s="110">
        <f>IFERROR(__xludf.DUMMYFUNCTION("""COMPUTED_VALUE"""),78.86)</f>
        <v>78.86</v>
      </c>
      <c r="ED72" s="110">
        <f>IFERROR(__xludf.DUMMYFUNCTION("""COMPUTED_VALUE"""),37.29)</f>
        <v>37.29</v>
      </c>
      <c r="EE72" s="110">
        <f>IFERROR(__xludf.DUMMYFUNCTION("""COMPUTED_VALUE"""),89.37)</f>
        <v>89.37</v>
      </c>
      <c r="EF72" s="110">
        <f>IFERROR(__xludf.DUMMYFUNCTION("""COMPUTED_VALUE"""),180.95)</f>
        <v>180.95</v>
      </c>
      <c r="EG72" s="110">
        <f>IFERROR(__xludf.DUMMYFUNCTION("""COMPUTED_VALUE"""),67.61)</f>
        <v>67.61</v>
      </c>
      <c r="EH72" s="110">
        <f>IFERROR(__xludf.DUMMYFUNCTION("""COMPUTED_VALUE"""),100.07)</f>
        <v>100.07</v>
      </c>
      <c r="EI72" s="110">
        <f>IFERROR(__xludf.DUMMYFUNCTION("""COMPUTED_VALUE"""),139.31)</f>
        <v>139.31</v>
      </c>
      <c r="EJ72" s="110">
        <f>IFERROR(__xludf.DUMMYFUNCTION("""COMPUTED_VALUE"""),36.4)</f>
        <v>36.4</v>
      </c>
      <c r="EK72" s="110">
        <f>IFERROR(__xludf.DUMMYFUNCTION("""COMPUTED_VALUE"""),284.49)</f>
        <v>284.49</v>
      </c>
      <c r="EL72" s="110">
        <f>IFERROR(__xludf.DUMMYFUNCTION("""COMPUTED_VALUE"""),51.21)</f>
        <v>51.21</v>
      </c>
      <c r="EM72" s="110">
        <f>IFERROR(__xludf.DUMMYFUNCTION("""COMPUTED_VALUE"""),30.72)</f>
        <v>30.72</v>
      </c>
      <c r="EN72" s="110">
        <f>IFERROR(__xludf.DUMMYFUNCTION("""COMPUTED_VALUE"""),1769.0)</f>
        <v>1769</v>
      </c>
      <c r="EO72" s="110">
        <f>IFERROR(__xludf.DUMMYFUNCTION("""COMPUTED_VALUE"""),8.27)</f>
        <v>8.27</v>
      </c>
      <c r="EP72" s="110">
        <f>IFERROR(__xludf.DUMMYFUNCTION("""COMPUTED_VALUE"""),0.0)</f>
        <v>0</v>
      </c>
      <c r="EQ72" s="110">
        <f>IFERROR(__xludf.DUMMYFUNCTION("""COMPUTED_VALUE"""),1.15)</f>
        <v>1.15</v>
      </c>
      <c r="ER72" s="110">
        <f>IFERROR(__xludf.DUMMYFUNCTION("""COMPUTED_VALUE"""),4439.25)</f>
        <v>4439.25</v>
      </c>
      <c r="ES72" s="110">
        <f>IFERROR(__xludf.DUMMYFUNCTION("""COMPUTED_VALUE"""),102.25)</f>
        <v>102.25</v>
      </c>
      <c r="ET72" s="110">
        <f>IFERROR(__xludf.DUMMYFUNCTION("""COMPUTED_VALUE"""),108.88)</f>
        <v>108.88</v>
      </c>
      <c r="EU72" s="110">
        <f>IFERROR(__xludf.DUMMYFUNCTION("""COMPUTED_VALUE"""),31.85)</f>
        <v>31.85</v>
      </c>
      <c r="EV72" s="110">
        <f>IFERROR(__xludf.DUMMYFUNCTION("""COMPUTED_VALUE"""),1.39)</f>
        <v>1.39</v>
      </c>
      <c r="EW72" s="110">
        <f>IFERROR(__xludf.DUMMYFUNCTION("""COMPUTED_VALUE"""),13.62)</f>
        <v>13.62</v>
      </c>
      <c r="EX72" s="108">
        <f>IFERROR(__xludf.DUMMYFUNCTION("""COMPUTED_VALUE"""),5.0)</f>
        <v>5</v>
      </c>
      <c r="EY72" s="108">
        <f>IFERROR(__xludf.DUMMYFUNCTION("""COMPUTED_VALUE"""),179.38)</f>
        <v>179.38</v>
      </c>
      <c r="EZ72" s="108">
        <f>IFERROR(__xludf.DUMMYFUNCTION("""COMPUTED_VALUE"""),25.925)</f>
        <v>25.925</v>
      </c>
      <c r="FA72" s="108">
        <f>IFERROR(__xludf.DUMMYFUNCTION("""COMPUTED_VALUE"""),3.13)</f>
        <v>3.13</v>
      </c>
      <c r="FB72" s="108">
        <f>IFERROR(__xludf.DUMMYFUNCTION("""COMPUTED_VALUE"""),127.28)</f>
        <v>127.28</v>
      </c>
      <c r="FC72" s="108">
        <f>IFERROR(__xludf.DUMMYFUNCTION("""COMPUTED_VALUE"""),9.83)</f>
        <v>9.83</v>
      </c>
      <c r="FD72" s="108">
        <f>IFERROR(__xludf.DUMMYFUNCTION("""COMPUTED_VALUE"""),63.73)</f>
        <v>63.73</v>
      </c>
      <c r="FE72" s="108">
        <f>IFERROR(__xludf.DUMMYFUNCTION("""COMPUTED_VALUE"""),59.62)</f>
        <v>59.62</v>
      </c>
      <c r="FF72" s="108">
        <f>IFERROR(__xludf.DUMMYFUNCTION("""COMPUTED_VALUE"""),5.5)</f>
        <v>5.5</v>
      </c>
      <c r="FG72" s="108">
        <f>IFERROR(__xludf.DUMMYFUNCTION("""COMPUTED_VALUE"""),612.76)</f>
        <v>612.76</v>
      </c>
      <c r="FH72" s="108">
        <f>IFERROR(__xludf.DUMMYFUNCTION("""COMPUTED_VALUE"""),158.87)</f>
        <v>158.87</v>
      </c>
      <c r="FI72" s="108">
        <f>IFERROR(__xludf.DUMMYFUNCTION("""COMPUTED_VALUE"""),0.059)</f>
        <v>0.059</v>
      </c>
      <c r="FJ72" s="108">
        <f>IFERROR(__xludf.DUMMYFUNCTION("""COMPUTED_VALUE"""),12.92)</f>
        <v>12.92</v>
      </c>
      <c r="FK72" s="108">
        <f>IFERROR(__xludf.DUMMYFUNCTION("""COMPUTED_VALUE"""),192.7)</f>
        <v>192.7</v>
      </c>
      <c r="FL72" s="108">
        <f>IFERROR(__xludf.DUMMYFUNCTION("""COMPUTED_VALUE"""),512.46)</f>
        <v>512.46</v>
      </c>
      <c r="FM72" s="108">
        <f>IFERROR(__xludf.DUMMYFUNCTION("""COMPUTED_VALUE"""),127.48)</f>
        <v>127.48</v>
      </c>
      <c r="FN72" s="108">
        <f>IFERROR(__xludf.DUMMYFUNCTION("""COMPUTED_VALUE"""),960.27)</f>
        <v>960.27</v>
      </c>
      <c r="FO72" s="108">
        <f>IFERROR(__xludf.DUMMYFUNCTION("""COMPUTED_VALUE"""),604.45)</f>
        <v>604.45</v>
      </c>
    </row>
    <row r="73">
      <c r="A73" s="106" t="str">
        <f>IFERROR(__xludf.DUMMYFUNCTION("""COMPUTED_VALUE"""),"")</f>
        <v/>
      </c>
      <c r="B73" s="110" t="str">
        <f>IFERROR(__xludf.DUMMYFUNCTION("""COMPUTED_VALUE"""),"")</f>
        <v/>
      </c>
      <c r="C73" s="110" t="str">
        <f>IFERROR(__xludf.DUMMYFUNCTION("""COMPUTED_VALUE"""),"")</f>
        <v/>
      </c>
      <c r="D73" s="110" t="str">
        <f>IFERROR(__xludf.DUMMYFUNCTION("""COMPUTED_VALUE"""),"")</f>
        <v/>
      </c>
      <c r="E73" s="110" t="str">
        <f>IFERROR(__xludf.DUMMYFUNCTION("""COMPUTED_VALUE"""),"")</f>
        <v/>
      </c>
      <c r="F73" s="110" t="str">
        <f>IFERROR(__xludf.DUMMYFUNCTION("""COMPUTED_VALUE"""),"")</f>
        <v/>
      </c>
      <c r="G73" s="110" t="str">
        <f>IFERROR(__xludf.DUMMYFUNCTION("""COMPUTED_VALUE"""),"")</f>
        <v/>
      </c>
      <c r="H73" s="110" t="str">
        <f>IFERROR(__xludf.DUMMYFUNCTION("""COMPUTED_VALUE"""),"")</f>
        <v/>
      </c>
      <c r="I73" s="110" t="str">
        <f>IFERROR(__xludf.DUMMYFUNCTION("""COMPUTED_VALUE"""),"")</f>
        <v/>
      </c>
      <c r="J73" s="110" t="str">
        <f>IFERROR(__xludf.DUMMYFUNCTION("""COMPUTED_VALUE"""),"")</f>
        <v/>
      </c>
      <c r="K73" s="110" t="str">
        <f>IFERROR(__xludf.DUMMYFUNCTION("""COMPUTED_VALUE"""),"")</f>
        <v/>
      </c>
      <c r="L73" s="110" t="str">
        <f>IFERROR(__xludf.DUMMYFUNCTION("""COMPUTED_VALUE"""),"")</f>
        <v/>
      </c>
      <c r="M73" s="110" t="str">
        <f>IFERROR(__xludf.DUMMYFUNCTION("""COMPUTED_VALUE"""),"")</f>
        <v/>
      </c>
      <c r="N73" s="110" t="str">
        <f>IFERROR(__xludf.DUMMYFUNCTION("""COMPUTED_VALUE"""),"")</f>
        <v/>
      </c>
      <c r="O73" s="110" t="str">
        <f>IFERROR(__xludf.DUMMYFUNCTION("""COMPUTED_VALUE"""),"")</f>
        <v/>
      </c>
      <c r="P73" s="110" t="str">
        <f>IFERROR(__xludf.DUMMYFUNCTION("""COMPUTED_VALUE"""),"")</f>
        <v/>
      </c>
      <c r="Q73" s="110" t="str">
        <f>IFERROR(__xludf.DUMMYFUNCTION("""COMPUTED_VALUE"""),"")</f>
        <v/>
      </c>
      <c r="R73" s="110" t="str">
        <f>IFERROR(__xludf.DUMMYFUNCTION("""COMPUTED_VALUE"""),"")</f>
        <v/>
      </c>
      <c r="S73" s="110" t="str">
        <f>IFERROR(__xludf.DUMMYFUNCTION("""COMPUTED_VALUE"""),"")</f>
        <v/>
      </c>
      <c r="T73" s="110" t="str">
        <f>IFERROR(__xludf.DUMMYFUNCTION("""COMPUTED_VALUE"""),"")</f>
        <v/>
      </c>
      <c r="U73" s="110" t="str">
        <f>IFERROR(__xludf.DUMMYFUNCTION("""COMPUTED_VALUE"""),"")</f>
        <v/>
      </c>
      <c r="V73" s="110" t="str">
        <f>IFERROR(__xludf.DUMMYFUNCTION("""COMPUTED_VALUE"""),"")</f>
        <v/>
      </c>
      <c r="W73" s="110" t="str">
        <f>IFERROR(__xludf.DUMMYFUNCTION("""COMPUTED_VALUE"""),"")</f>
        <v/>
      </c>
      <c r="X73" s="110" t="str">
        <f>IFERROR(__xludf.DUMMYFUNCTION("""COMPUTED_VALUE"""),"")</f>
        <v/>
      </c>
      <c r="Y73" s="110" t="str">
        <f>IFERROR(__xludf.DUMMYFUNCTION("""COMPUTED_VALUE"""),"")</f>
        <v/>
      </c>
      <c r="Z73" s="110" t="str">
        <f>IFERROR(__xludf.DUMMYFUNCTION("""COMPUTED_VALUE"""),"")</f>
        <v/>
      </c>
      <c r="AA73" s="110" t="str">
        <f>IFERROR(__xludf.DUMMYFUNCTION("""COMPUTED_VALUE"""),"")</f>
        <v/>
      </c>
      <c r="AB73" s="110" t="str">
        <f>IFERROR(__xludf.DUMMYFUNCTION("""COMPUTED_VALUE"""),"")</f>
        <v/>
      </c>
      <c r="AC73" s="110" t="str">
        <f>IFERROR(__xludf.DUMMYFUNCTION("""COMPUTED_VALUE"""),"")</f>
        <v/>
      </c>
      <c r="AD73" s="110" t="str">
        <f>IFERROR(__xludf.DUMMYFUNCTION("""COMPUTED_VALUE"""),"")</f>
        <v/>
      </c>
      <c r="AE73" s="110" t="str">
        <f>IFERROR(__xludf.DUMMYFUNCTION("""COMPUTED_VALUE"""),"")</f>
        <v/>
      </c>
      <c r="AF73" s="110" t="str">
        <f>IFERROR(__xludf.DUMMYFUNCTION("""COMPUTED_VALUE"""),"")</f>
        <v/>
      </c>
      <c r="AG73" s="110" t="str">
        <f>IFERROR(__xludf.DUMMYFUNCTION("""COMPUTED_VALUE"""),"")</f>
        <v/>
      </c>
      <c r="AH73" s="110" t="str">
        <f>IFERROR(__xludf.DUMMYFUNCTION("""COMPUTED_VALUE"""),"")</f>
        <v/>
      </c>
      <c r="AI73" s="110" t="str">
        <f>IFERROR(__xludf.DUMMYFUNCTION("""COMPUTED_VALUE"""),"")</f>
        <v/>
      </c>
      <c r="AJ73" s="110" t="str">
        <f>IFERROR(__xludf.DUMMYFUNCTION("""COMPUTED_VALUE"""),"")</f>
        <v/>
      </c>
      <c r="AK73" s="110" t="str">
        <f>IFERROR(__xludf.DUMMYFUNCTION("""COMPUTED_VALUE"""),"")</f>
        <v/>
      </c>
      <c r="AL73" s="110" t="str">
        <f>IFERROR(__xludf.DUMMYFUNCTION("""COMPUTED_VALUE"""),"")</f>
        <v/>
      </c>
      <c r="AM73" s="110" t="str">
        <f>IFERROR(__xludf.DUMMYFUNCTION("""COMPUTED_VALUE"""),"")</f>
        <v/>
      </c>
      <c r="AN73" s="110" t="str">
        <f>IFERROR(__xludf.DUMMYFUNCTION("""COMPUTED_VALUE"""),"")</f>
        <v/>
      </c>
      <c r="AO73" s="110" t="str">
        <f>IFERROR(__xludf.DUMMYFUNCTION("""COMPUTED_VALUE"""),"")</f>
        <v/>
      </c>
      <c r="AP73" s="110" t="str">
        <f>IFERROR(__xludf.DUMMYFUNCTION("""COMPUTED_VALUE"""),"")</f>
        <v/>
      </c>
      <c r="AQ73" s="110" t="str">
        <f>IFERROR(__xludf.DUMMYFUNCTION("""COMPUTED_VALUE"""),"")</f>
        <v/>
      </c>
      <c r="AR73" s="109" t="str">
        <f>IFERROR(__xludf.DUMMYFUNCTION("""COMPUTED_VALUE"""),"")</f>
        <v/>
      </c>
      <c r="AS73" s="110" t="str">
        <f>IFERROR(__xludf.DUMMYFUNCTION("""COMPUTED_VALUE"""),"")</f>
        <v/>
      </c>
      <c r="AT73" s="110" t="str">
        <f>IFERROR(__xludf.DUMMYFUNCTION("""COMPUTED_VALUE"""),"")</f>
        <v/>
      </c>
      <c r="AU73" s="110" t="str">
        <f>IFERROR(__xludf.DUMMYFUNCTION("""COMPUTED_VALUE"""),"")</f>
        <v/>
      </c>
      <c r="AV73" s="110" t="str">
        <f>IFERROR(__xludf.DUMMYFUNCTION("""COMPUTED_VALUE"""),"")</f>
        <v/>
      </c>
      <c r="AW73" s="110" t="str">
        <f>IFERROR(__xludf.DUMMYFUNCTION("""COMPUTED_VALUE"""),"")</f>
        <v/>
      </c>
      <c r="AX73" s="110" t="str">
        <f>IFERROR(__xludf.DUMMYFUNCTION("""COMPUTED_VALUE"""),"")</f>
        <v/>
      </c>
      <c r="AY73" s="110" t="str">
        <f>IFERROR(__xludf.DUMMYFUNCTION("""COMPUTED_VALUE"""),"")</f>
        <v/>
      </c>
      <c r="AZ73" s="110" t="str">
        <f>IFERROR(__xludf.DUMMYFUNCTION("""COMPUTED_VALUE"""),"")</f>
        <v/>
      </c>
      <c r="BA73" s="110" t="str">
        <f>IFERROR(__xludf.DUMMYFUNCTION("""COMPUTED_VALUE"""),"")</f>
        <v/>
      </c>
      <c r="BB73" s="110" t="str">
        <f>IFERROR(__xludf.DUMMYFUNCTION("""COMPUTED_VALUE"""),"")</f>
        <v/>
      </c>
      <c r="BC73" s="110" t="str">
        <f>IFERROR(__xludf.DUMMYFUNCTION("""COMPUTED_VALUE"""),"")</f>
        <v/>
      </c>
      <c r="BD73" s="110" t="str">
        <f>IFERROR(__xludf.DUMMYFUNCTION("""COMPUTED_VALUE"""),"")</f>
        <v/>
      </c>
      <c r="BE73" s="110" t="str">
        <f>IFERROR(__xludf.DUMMYFUNCTION("""COMPUTED_VALUE"""),"")</f>
        <v/>
      </c>
      <c r="BF73" s="110" t="str">
        <f>IFERROR(__xludf.DUMMYFUNCTION("""COMPUTED_VALUE"""),"")</f>
        <v/>
      </c>
      <c r="BG73" s="110" t="str">
        <f>IFERROR(__xludf.DUMMYFUNCTION("""COMPUTED_VALUE"""),"")</f>
        <v/>
      </c>
      <c r="BH73" s="110" t="str">
        <f>IFERROR(__xludf.DUMMYFUNCTION("""COMPUTED_VALUE"""),"")</f>
        <v/>
      </c>
      <c r="BI73" s="110" t="str">
        <f>IFERROR(__xludf.DUMMYFUNCTION("""COMPUTED_VALUE"""),"")</f>
        <v/>
      </c>
      <c r="BJ73" s="110" t="str">
        <f>IFERROR(__xludf.DUMMYFUNCTION("""COMPUTED_VALUE"""),"")</f>
        <v/>
      </c>
      <c r="BK73" s="110" t="str">
        <f>IFERROR(__xludf.DUMMYFUNCTION("""COMPUTED_VALUE"""),"")</f>
        <v/>
      </c>
      <c r="BL73" s="110" t="str">
        <f>IFERROR(__xludf.DUMMYFUNCTION("""COMPUTED_VALUE"""),"")</f>
        <v/>
      </c>
      <c r="BM73" s="110" t="str">
        <f>IFERROR(__xludf.DUMMYFUNCTION("""COMPUTED_VALUE"""),"")</f>
        <v/>
      </c>
      <c r="BN73" s="110" t="str">
        <f>IFERROR(__xludf.DUMMYFUNCTION("""COMPUTED_VALUE"""),"")</f>
        <v/>
      </c>
      <c r="BO73" s="110" t="str">
        <f>IFERROR(__xludf.DUMMYFUNCTION("""COMPUTED_VALUE"""),"")</f>
        <v/>
      </c>
      <c r="BP73" s="110" t="str">
        <f>IFERROR(__xludf.DUMMYFUNCTION("""COMPUTED_VALUE"""),"")</f>
        <v/>
      </c>
      <c r="BQ73" s="110" t="str">
        <f>IFERROR(__xludf.DUMMYFUNCTION("""COMPUTED_VALUE"""),"")</f>
        <v/>
      </c>
      <c r="BR73" s="110" t="str">
        <f>IFERROR(__xludf.DUMMYFUNCTION("""COMPUTED_VALUE"""),"")</f>
        <v/>
      </c>
      <c r="BS73" s="110" t="str">
        <f>IFERROR(__xludf.DUMMYFUNCTION("""COMPUTED_VALUE"""),"")</f>
        <v/>
      </c>
      <c r="BT73" s="110" t="str">
        <f>IFERROR(__xludf.DUMMYFUNCTION("""COMPUTED_VALUE"""),"")</f>
        <v/>
      </c>
      <c r="BU73" s="110" t="str">
        <f>IFERROR(__xludf.DUMMYFUNCTION("""COMPUTED_VALUE"""),"")</f>
        <v/>
      </c>
      <c r="BV73" s="110" t="str">
        <f>IFERROR(__xludf.DUMMYFUNCTION("""COMPUTED_VALUE"""),"")</f>
        <v/>
      </c>
      <c r="BW73" s="110" t="str">
        <f>IFERROR(__xludf.DUMMYFUNCTION("""COMPUTED_VALUE"""),"")</f>
        <v/>
      </c>
      <c r="BX73" s="110" t="str">
        <f>IFERROR(__xludf.DUMMYFUNCTION("""COMPUTED_VALUE"""),"")</f>
        <v/>
      </c>
      <c r="BY73" s="110" t="str">
        <f>IFERROR(__xludf.DUMMYFUNCTION("""COMPUTED_VALUE"""),"")</f>
        <v/>
      </c>
      <c r="BZ73" s="110" t="str">
        <f>IFERROR(__xludf.DUMMYFUNCTION("""COMPUTED_VALUE"""),"")</f>
        <v/>
      </c>
      <c r="CA73" s="110" t="str">
        <f>IFERROR(__xludf.DUMMYFUNCTION("""COMPUTED_VALUE"""),"")</f>
        <v/>
      </c>
      <c r="CB73" s="110" t="str">
        <f>IFERROR(__xludf.DUMMYFUNCTION("""COMPUTED_VALUE"""),"")</f>
        <v/>
      </c>
      <c r="CC73" s="110" t="str">
        <f>IFERROR(__xludf.DUMMYFUNCTION("""COMPUTED_VALUE"""),"")</f>
        <v/>
      </c>
      <c r="CD73" s="110" t="str">
        <f>IFERROR(__xludf.DUMMYFUNCTION("""COMPUTED_VALUE"""),"")</f>
        <v/>
      </c>
      <c r="CE73" s="110" t="str">
        <f>IFERROR(__xludf.DUMMYFUNCTION("""COMPUTED_VALUE"""),"")</f>
        <v/>
      </c>
      <c r="CF73" s="110" t="str">
        <f>IFERROR(__xludf.DUMMYFUNCTION("""COMPUTED_VALUE"""),"")</f>
        <v/>
      </c>
      <c r="CG73" s="110" t="str">
        <f>IFERROR(__xludf.DUMMYFUNCTION("""COMPUTED_VALUE"""),"")</f>
        <v/>
      </c>
      <c r="CH73" s="110" t="str">
        <f>IFERROR(__xludf.DUMMYFUNCTION("""COMPUTED_VALUE"""),"")</f>
        <v/>
      </c>
      <c r="CI73" s="110" t="str">
        <f>IFERROR(__xludf.DUMMYFUNCTION("""COMPUTED_VALUE"""),"")</f>
        <v/>
      </c>
      <c r="CJ73" s="110" t="str">
        <f>IFERROR(__xludf.DUMMYFUNCTION("""COMPUTED_VALUE"""),"")</f>
        <v/>
      </c>
      <c r="CK73" s="110" t="str">
        <f>IFERROR(__xludf.DUMMYFUNCTION("""COMPUTED_VALUE"""),"")</f>
        <v/>
      </c>
      <c r="CL73" s="110" t="str">
        <f>IFERROR(__xludf.DUMMYFUNCTION("""COMPUTED_VALUE"""),"")</f>
        <v/>
      </c>
      <c r="CM73" s="110" t="str">
        <f>IFERROR(__xludf.DUMMYFUNCTION("""COMPUTED_VALUE"""),"")</f>
        <v/>
      </c>
      <c r="CN73" s="110" t="str">
        <f>IFERROR(__xludf.DUMMYFUNCTION("""COMPUTED_VALUE"""),"")</f>
        <v/>
      </c>
      <c r="CO73" s="110" t="str">
        <f>IFERROR(__xludf.DUMMYFUNCTION("""COMPUTED_VALUE"""),"")</f>
        <v/>
      </c>
      <c r="CP73" s="110" t="str">
        <f>IFERROR(__xludf.DUMMYFUNCTION("""COMPUTED_VALUE"""),"")</f>
        <v/>
      </c>
      <c r="CQ73" s="110" t="str">
        <f>IFERROR(__xludf.DUMMYFUNCTION("""COMPUTED_VALUE"""),"")</f>
        <v/>
      </c>
      <c r="CR73" s="110" t="str">
        <f>IFERROR(__xludf.DUMMYFUNCTION("""COMPUTED_VALUE"""),"")</f>
        <v/>
      </c>
      <c r="CS73" s="110" t="str">
        <f>IFERROR(__xludf.DUMMYFUNCTION("""COMPUTED_VALUE"""),"")</f>
        <v/>
      </c>
      <c r="CT73" s="110" t="str">
        <f>IFERROR(__xludf.DUMMYFUNCTION("""COMPUTED_VALUE"""),"")</f>
        <v/>
      </c>
      <c r="CU73" s="110" t="str">
        <f>IFERROR(__xludf.DUMMYFUNCTION("""COMPUTED_VALUE"""),"")</f>
        <v/>
      </c>
      <c r="CV73" s="110" t="str">
        <f>IFERROR(__xludf.DUMMYFUNCTION("""COMPUTED_VALUE"""),"")</f>
        <v/>
      </c>
      <c r="CW73" s="110" t="str">
        <f>IFERROR(__xludf.DUMMYFUNCTION("""COMPUTED_VALUE"""),"")</f>
        <v/>
      </c>
      <c r="CX73" s="110" t="str">
        <f>IFERROR(__xludf.DUMMYFUNCTION("""COMPUTED_VALUE"""),"")</f>
        <v/>
      </c>
      <c r="CY73" s="110" t="str">
        <f>IFERROR(__xludf.DUMMYFUNCTION("""COMPUTED_VALUE"""),"")</f>
        <v/>
      </c>
      <c r="CZ73" s="110" t="str">
        <f>IFERROR(__xludf.DUMMYFUNCTION("""COMPUTED_VALUE"""),"")</f>
        <v/>
      </c>
      <c r="DA73" s="110" t="str">
        <f>IFERROR(__xludf.DUMMYFUNCTION("""COMPUTED_VALUE"""),"")</f>
        <v/>
      </c>
      <c r="DB73" s="110" t="str">
        <f>IFERROR(__xludf.DUMMYFUNCTION("""COMPUTED_VALUE"""),"")</f>
        <v/>
      </c>
      <c r="DC73" s="110" t="str">
        <f>IFERROR(__xludf.DUMMYFUNCTION("""COMPUTED_VALUE"""),"")</f>
        <v/>
      </c>
      <c r="DD73" s="110" t="str">
        <f>IFERROR(__xludf.DUMMYFUNCTION("""COMPUTED_VALUE"""),"")</f>
        <v/>
      </c>
      <c r="DE73" s="110" t="str">
        <f>IFERROR(__xludf.DUMMYFUNCTION("""COMPUTED_VALUE"""),"")</f>
        <v/>
      </c>
      <c r="DF73" s="110" t="str">
        <f>IFERROR(__xludf.DUMMYFUNCTION("""COMPUTED_VALUE"""),"")</f>
        <v/>
      </c>
      <c r="DG73" s="110" t="str">
        <f>IFERROR(__xludf.DUMMYFUNCTION("""COMPUTED_VALUE"""),"")</f>
        <v/>
      </c>
      <c r="DH73" s="110" t="str">
        <f>IFERROR(__xludf.DUMMYFUNCTION("""COMPUTED_VALUE"""),"")</f>
        <v/>
      </c>
      <c r="DI73" s="110" t="str">
        <f>IFERROR(__xludf.DUMMYFUNCTION("""COMPUTED_VALUE"""),"")</f>
        <v/>
      </c>
      <c r="DJ73" s="110" t="str">
        <f>IFERROR(__xludf.DUMMYFUNCTION("""COMPUTED_VALUE"""),"")</f>
        <v/>
      </c>
      <c r="DK73" s="110" t="str">
        <f>IFERROR(__xludf.DUMMYFUNCTION("""COMPUTED_VALUE"""),"")</f>
        <v/>
      </c>
      <c r="DL73" s="110" t="str">
        <f>IFERROR(__xludf.DUMMYFUNCTION("""COMPUTED_VALUE"""),"")</f>
        <v/>
      </c>
      <c r="DM73" s="110" t="str">
        <f>IFERROR(__xludf.DUMMYFUNCTION("""COMPUTED_VALUE"""),"")</f>
        <v/>
      </c>
      <c r="DN73" s="110" t="str">
        <f>IFERROR(__xludf.DUMMYFUNCTION("""COMPUTED_VALUE"""),"")</f>
        <v/>
      </c>
      <c r="DO73" s="110" t="str">
        <f>IFERROR(__xludf.DUMMYFUNCTION("""COMPUTED_VALUE"""),"")</f>
        <v/>
      </c>
      <c r="DP73" s="110" t="str">
        <f>IFERROR(__xludf.DUMMYFUNCTION("""COMPUTED_VALUE"""),"")</f>
        <v/>
      </c>
      <c r="DQ73" s="110" t="str">
        <f>IFERROR(__xludf.DUMMYFUNCTION("""COMPUTED_VALUE"""),"")</f>
        <v/>
      </c>
      <c r="DR73" s="110" t="str">
        <f>IFERROR(__xludf.DUMMYFUNCTION("""COMPUTED_VALUE"""),"")</f>
        <v/>
      </c>
      <c r="DS73" s="110" t="str">
        <f>IFERROR(__xludf.DUMMYFUNCTION("""COMPUTED_VALUE"""),"")</f>
        <v/>
      </c>
      <c r="DT73" s="110" t="str">
        <f>IFERROR(__xludf.DUMMYFUNCTION("""COMPUTED_VALUE"""),"")</f>
        <v/>
      </c>
      <c r="DU73" s="110" t="str">
        <f>IFERROR(__xludf.DUMMYFUNCTION("""COMPUTED_VALUE"""),"")</f>
        <v/>
      </c>
      <c r="DV73" s="110" t="str">
        <f>IFERROR(__xludf.DUMMYFUNCTION("""COMPUTED_VALUE"""),"")</f>
        <v/>
      </c>
      <c r="DW73" s="110" t="str">
        <f>IFERROR(__xludf.DUMMYFUNCTION("""COMPUTED_VALUE"""),"")</f>
        <v/>
      </c>
      <c r="DX73" s="110" t="str">
        <f>IFERROR(__xludf.DUMMYFUNCTION("""COMPUTED_VALUE"""),"")</f>
        <v/>
      </c>
      <c r="DY73" s="110" t="str">
        <f>IFERROR(__xludf.DUMMYFUNCTION("""COMPUTED_VALUE"""),"")</f>
        <v/>
      </c>
      <c r="DZ73" s="110" t="str">
        <f>IFERROR(__xludf.DUMMYFUNCTION("""COMPUTED_VALUE"""),"")</f>
        <v/>
      </c>
      <c r="EA73" s="110" t="str">
        <f>IFERROR(__xludf.DUMMYFUNCTION("""COMPUTED_VALUE"""),"")</f>
        <v/>
      </c>
      <c r="EB73" s="110" t="str">
        <f>IFERROR(__xludf.DUMMYFUNCTION("""COMPUTED_VALUE"""),"")</f>
        <v/>
      </c>
      <c r="EC73" s="110" t="str">
        <f>IFERROR(__xludf.DUMMYFUNCTION("""COMPUTED_VALUE"""),"")</f>
        <v/>
      </c>
      <c r="ED73" s="110" t="str">
        <f>IFERROR(__xludf.DUMMYFUNCTION("""COMPUTED_VALUE"""),"")</f>
        <v/>
      </c>
      <c r="EE73" s="110" t="str">
        <f>IFERROR(__xludf.DUMMYFUNCTION("""COMPUTED_VALUE"""),"")</f>
        <v/>
      </c>
      <c r="EF73" s="110" t="str">
        <f>IFERROR(__xludf.DUMMYFUNCTION("""COMPUTED_VALUE"""),"")</f>
        <v/>
      </c>
      <c r="EG73" s="110" t="str">
        <f>IFERROR(__xludf.DUMMYFUNCTION("""COMPUTED_VALUE"""),"")</f>
        <v/>
      </c>
      <c r="EH73" s="110" t="str">
        <f>IFERROR(__xludf.DUMMYFUNCTION("""COMPUTED_VALUE"""),"")</f>
        <v/>
      </c>
      <c r="EI73" s="110" t="str">
        <f>IFERROR(__xludf.DUMMYFUNCTION("""COMPUTED_VALUE"""),"")</f>
        <v/>
      </c>
      <c r="EJ73" s="110" t="str">
        <f>IFERROR(__xludf.DUMMYFUNCTION("""COMPUTED_VALUE"""),"")</f>
        <v/>
      </c>
      <c r="EK73" s="110" t="str">
        <f>IFERROR(__xludf.DUMMYFUNCTION("""COMPUTED_VALUE"""),"")</f>
        <v/>
      </c>
      <c r="EL73" s="110" t="str">
        <f>IFERROR(__xludf.DUMMYFUNCTION("""COMPUTED_VALUE"""),"")</f>
        <v/>
      </c>
      <c r="EM73" s="110" t="str">
        <f>IFERROR(__xludf.DUMMYFUNCTION("""COMPUTED_VALUE"""),"")</f>
        <v/>
      </c>
      <c r="EN73" s="110" t="str">
        <f>IFERROR(__xludf.DUMMYFUNCTION("""COMPUTED_VALUE"""),"")</f>
        <v/>
      </c>
      <c r="EO73" s="110" t="str">
        <f>IFERROR(__xludf.DUMMYFUNCTION("""COMPUTED_VALUE"""),"")</f>
        <v/>
      </c>
      <c r="EP73" s="110" t="str">
        <f>IFERROR(__xludf.DUMMYFUNCTION("""COMPUTED_VALUE"""),"")</f>
        <v/>
      </c>
      <c r="EQ73" s="110" t="str">
        <f>IFERROR(__xludf.DUMMYFUNCTION("""COMPUTED_VALUE"""),"")</f>
        <v/>
      </c>
      <c r="ER73" s="110" t="str">
        <f>IFERROR(__xludf.DUMMYFUNCTION("""COMPUTED_VALUE"""),"")</f>
        <v/>
      </c>
      <c r="ES73" s="110" t="str">
        <f>IFERROR(__xludf.DUMMYFUNCTION("""COMPUTED_VALUE"""),"")</f>
        <v/>
      </c>
      <c r="ET73" s="110" t="str">
        <f>IFERROR(__xludf.DUMMYFUNCTION("""COMPUTED_VALUE"""),"")</f>
        <v/>
      </c>
      <c r="EU73" s="110" t="str">
        <f>IFERROR(__xludf.DUMMYFUNCTION("""COMPUTED_VALUE"""),"")</f>
        <v/>
      </c>
      <c r="EV73" s="110" t="str">
        <f>IFERROR(__xludf.DUMMYFUNCTION("""COMPUTED_VALUE"""),"")</f>
        <v/>
      </c>
      <c r="EW73" s="110" t="str">
        <f>IFERROR(__xludf.DUMMYFUNCTION("""COMPUTED_VALUE"""),"")</f>
        <v/>
      </c>
      <c r="EX73" s="108" t="str">
        <f>IFERROR(__xludf.DUMMYFUNCTION("""COMPUTED_VALUE"""),"")</f>
        <v/>
      </c>
      <c r="EY73" s="108" t="str">
        <f>IFERROR(__xludf.DUMMYFUNCTION("""COMPUTED_VALUE"""),"")</f>
        <v/>
      </c>
      <c r="EZ73" s="108" t="str">
        <f>IFERROR(__xludf.DUMMYFUNCTION("""COMPUTED_VALUE"""),"")</f>
        <v/>
      </c>
      <c r="FA73" s="108" t="str">
        <f>IFERROR(__xludf.DUMMYFUNCTION("""COMPUTED_VALUE"""),"")</f>
        <v/>
      </c>
      <c r="FB73" s="108" t="str">
        <f>IFERROR(__xludf.DUMMYFUNCTION("""COMPUTED_VALUE"""),"")</f>
        <v/>
      </c>
      <c r="FC73" s="108" t="str">
        <f>IFERROR(__xludf.DUMMYFUNCTION("""COMPUTED_VALUE"""),"")</f>
        <v/>
      </c>
      <c r="FD73" s="108" t="str">
        <f>IFERROR(__xludf.DUMMYFUNCTION("""COMPUTED_VALUE"""),"")</f>
        <v/>
      </c>
      <c r="FE73" s="108" t="str">
        <f>IFERROR(__xludf.DUMMYFUNCTION("""COMPUTED_VALUE"""),"")</f>
        <v/>
      </c>
      <c r="FF73" s="108" t="str">
        <f>IFERROR(__xludf.DUMMYFUNCTION("""COMPUTED_VALUE"""),"")</f>
        <v/>
      </c>
      <c r="FG73" s="108" t="str">
        <f>IFERROR(__xludf.DUMMYFUNCTION("""COMPUTED_VALUE"""),"")</f>
        <v/>
      </c>
      <c r="FH73" s="108" t="str">
        <f>IFERROR(__xludf.DUMMYFUNCTION("""COMPUTED_VALUE"""),"")</f>
        <v/>
      </c>
      <c r="FI73" s="108" t="str">
        <f>IFERROR(__xludf.DUMMYFUNCTION("""COMPUTED_VALUE"""),"")</f>
        <v/>
      </c>
      <c r="FJ73" s="108" t="str">
        <f>IFERROR(__xludf.DUMMYFUNCTION("""COMPUTED_VALUE"""),"")</f>
        <v/>
      </c>
      <c r="FK73" s="108" t="str">
        <f>IFERROR(__xludf.DUMMYFUNCTION("""COMPUTED_VALUE"""),"")</f>
        <v/>
      </c>
      <c r="FL73" s="108" t="str">
        <f>IFERROR(__xludf.DUMMYFUNCTION("""COMPUTED_VALUE"""),"")</f>
        <v/>
      </c>
      <c r="FM73" s="108" t="str">
        <f>IFERROR(__xludf.DUMMYFUNCTION("""COMPUTED_VALUE"""),"")</f>
        <v/>
      </c>
      <c r="FN73" s="108" t="str">
        <f>IFERROR(__xludf.DUMMYFUNCTION("""COMPUTED_VALUE"""),"")</f>
        <v/>
      </c>
      <c r="FO73" s="108" t="str">
        <f>IFERROR(__xludf.DUMMYFUNCTION("""COMPUTED_VALUE"""),"")</f>
        <v/>
      </c>
    </row>
    <row r="74">
      <c r="A74" s="106" t="str">
        <f>IFERROR(__xludf.DUMMYFUNCTION("""COMPUTED_VALUE"""),"")</f>
        <v/>
      </c>
      <c r="B74" s="110" t="str">
        <f>IFERROR(__xludf.DUMMYFUNCTION("""COMPUTED_VALUE"""),"")</f>
        <v/>
      </c>
      <c r="C74" s="110" t="str">
        <f>IFERROR(__xludf.DUMMYFUNCTION("""COMPUTED_VALUE"""),"")</f>
        <v/>
      </c>
      <c r="D74" s="110" t="str">
        <f>IFERROR(__xludf.DUMMYFUNCTION("""COMPUTED_VALUE"""),"")</f>
        <v/>
      </c>
      <c r="E74" s="110" t="str">
        <f>IFERROR(__xludf.DUMMYFUNCTION("""COMPUTED_VALUE"""),"")</f>
        <v/>
      </c>
      <c r="F74" s="110" t="str">
        <f>IFERROR(__xludf.DUMMYFUNCTION("""COMPUTED_VALUE"""),"")</f>
        <v/>
      </c>
      <c r="G74" s="110" t="str">
        <f>IFERROR(__xludf.DUMMYFUNCTION("""COMPUTED_VALUE"""),"")</f>
        <v/>
      </c>
      <c r="H74" s="110" t="str">
        <f>IFERROR(__xludf.DUMMYFUNCTION("""COMPUTED_VALUE"""),"")</f>
        <v/>
      </c>
      <c r="I74" s="110" t="str">
        <f>IFERROR(__xludf.DUMMYFUNCTION("""COMPUTED_VALUE"""),"")</f>
        <v/>
      </c>
      <c r="J74" s="110" t="str">
        <f>IFERROR(__xludf.DUMMYFUNCTION("""COMPUTED_VALUE"""),"")</f>
        <v/>
      </c>
      <c r="K74" s="110" t="str">
        <f>IFERROR(__xludf.DUMMYFUNCTION("""COMPUTED_VALUE"""),"")</f>
        <v/>
      </c>
      <c r="L74" s="110" t="str">
        <f>IFERROR(__xludf.DUMMYFUNCTION("""COMPUTED_VALUE"""),"")</f>
        <v/>
      </c>
      <c r="M74" s="110" t="str">
        <f>IFERROR(__xludf.DUMMYFUNCTION("""COMPUTED_VALUE"""),"")</f>
        <v/>
      </c>
      <c r="N74" s="110" t="str">
        <f>IFERROR(__xludf.DUMMYFUNCTION("""COMPUTED_VALUE"""),"")</f>
        <v/>
      </c>
      <c r="O74" s="110" t="str">
        <f>IFERROR(__xludf.DUMMYFUNCTION("""COMPUTED_VALUE"""),"")</f>
        <v/>
      </c>
      <c r="P74" s="110" t="str">
        <f>IFERROR(__xludf.DUMMYFUNCTION("""COMPUTED_VALUE"""),"")</f>
        <v/>
      </c>
      <c r="Q74" s="110" t="str">
        <f>IFERROR(__xludf.DUMMYFUNCTION("""COMPUTED_VALUE"""),"")</f>
        <v/>
      </c>
      <c r="R74" s="110" t="str">
        <f>IFERROR(__xludf.DUMMYFUNCTION("""COMPUTED_VALUE"""),"")</f>
        <v/>
      </c>
      <c r="S74" s="110" t="str">
        <f>IFERROR(__xludf.DUMMYFUNCTION("""COMPUTED_VALUE"""),"")</f>
        <v/>
      </c>
      <c r="T74" s="110" t="str">
        <f>IFERROR(__xludf.DUMMYFUNCTION("""COMPUTED_VALUE"""),"")</f>
        <v/>
      </c>
      <c r="U74" s="110" t="str">
        <f>IFERROR(__xludf.DUMMYFUNCTION("""COMPUTED_VALUE"""),"")</f>
        <v/>
      </c>
      <c r="V74" s="110" t="str">
        <f>IFERROR(__xludf.DUMMYFUNCTION("""COMPUTED_VALUE"""),"")</f>
        <v/>
      </c>
      <c r="W74" s="110" t="str">
        <f>IFERROR(__xludf.DUMMYFUNCTION("""COMPUTED_VALUE"""),"")</f>
        <v/>
      </c>
      <c r="X74" s="110" t="str">
        <f>IFERROR(__xludf.DUMMYFUNCTION("""COMPUTED_VALUE"""),"")</f>
        <v/>
      </c>
      <c r="Y74" s="110" t="str">
        <f>IFERROR(__xludf.DUMMYFUNCTION("""COMPUTED_VALUE"""),"")</f>
        <v/>
      </c>
      <c r="Z74" s="110" t="str">
        <f>IFERROR(__xludf.DUMMYFUNCTION("""COMPUTED_VALUE"""),"")</f>
        <v/>
      </c>
      <c r="AA74" s="110" t="str">
        <f>IFERROR(__xludf.DUMMYFUNCTION("""COMPUTED_VALUE"""),"")</f>
        <v/>
      </c>
      <c r="AB74" s="110" t="str">
        <f>IFERROR(__xludf.DUMMYFUNCTION("""COMPUTED_VALUE"""),"")</f>
        <v/>
      </c>
      <c r="AC74" s="110" t="str">
        <f>IFERROR(__xludf.DUMMYFUNCTION("""COMPUTED_VALUE"""),"")</f>
        <v/>
      </c>
      <c r="AD74" s="110" t="str">
        <f>IFERROR(__xludf.DUMMYFUNCTION("""COMPUTED_VALUE"""),"")</f>
        <v/>
      </c>
      <c r="AE74" s="110" t="str">
        <f>IFERROR(__xludf.DUMMYFUNCTION("""COMPUTED_VALUE"""),"")</f>
        <v/>
      </c>
      <c r="AF74" s="110" t="str">
        <f>IFERROR(__xludf.DUMMYFUNCTION("""COMPUTED_VALUE"""),"")</f>
        <v/>
      </c>
      <c r="AG74" s="110" t="str">
        <f>IFERROR(__xludf.DUMMYFUNCTION("""COMPUTED_VALUE"""),"")</f>
        <v/>
      </c>
      <c r="AH74" s="110" t="str">
        <f>IFERROR(__xludf.DUMMYFUNCTION("""COMPUTED_VALUE"""),"")</f>
        <v/>
      </c>
      <c r="AI74" s="110" t="str">
        <f>IFERROR(__xludf.DUMMYFUNCTION("""COMPUTED_VALUE"""),"")</f>
        <v/>
      </c>
      <c r="AJ74" s="110" t="str">
        <f>IFERROR(__xludf.DUMMYFUNCTION("""COMPUTED_VALUE"""),"")</f>
        <v/>
      </c>
      <c r="AK74" s="110" t="str">
        <f>IFERROR(__xludf.DUMMYFUNCTION("""COMPUTED_VALUE"""),"")</f>
        <v/>
      </c>
      <c r="AL74" s="110" t="str">
        <f>IFERROR(__xludf.DUMMYFUNCTION("""COMPUTED_VALUE"""),"")</f>
        <v/>
      </c>
      <c r="AM74" s="110" t="str">
        <f>IFERROR(__xludf.DUMMYFUNCTION("""COMPUTED_VALUE"""),"")</f>
        <v/>
      </c>
      <c r="AN74" s="110" t="str">
        <f>IFERROR(__xludf.DUMMYFUNCTION("""COMPUTED_VALUE"""),"")</f>
        <v/>
      </c>
      <c r="AO74" s="110" t="str">
        <f>IFERROR(__xludf.DUMMYFUNCTION("""COMPUTED_VALUE"""),"")</f>
        <v/>
      </c>
      <c r="AP74" s="110" t="str">
        <f>IFERROR(__xludf.DUMMYFUNCTION("""COMPUTED_VALUE"""),"")</f>
        <v/>
      </c>
      <c r="AQ74" s="110" t="str">
        <f>IFERROR(__xludf.DUMMYFUNCTION("""COMPUTED_VALUE"""),"")</f>
        <v/>
      </c>
      <c r="AR74" s="109" t="str">
        <f>IFERROR(__xludf.DUMMYFUNCTION("""COMPUTED_VALUE"""),"")</f>
        <v/>
      </c>
      <c r="AS74" s="110" t="str">
        <f>IFERROR(__xludf.DUMMYFUNCTION("""COMPUTED_VALUE"""),"")</f>
        <v/>
      </c>
      <c r="AT74" s="110" t="str">
        <f>IFERROR(__xludf.DUMMYFUNCTION("""COMPUTED_VALUE"""),"")</f>
        <v/>
      </c>
      <c r="AU74" s="110" t="str">
        <f>IFERROR(__xludf.DUMMYFUNCTION("""COMPUTED_VALUE"""),"")</f>
        <v/>
      </c>
      <c r="AV74" s="110" t="str">
        <f>IFERROR(__xludf.DUMMYFUNCTION("""COMPUTED_VALUE"""),"")</f>
        <v/>
      </c>
      <c r="AW74" s="110" t="str">
        <f>IFERROR(__xludf.DUMMYFUNCTION("""COMPUTED_VALUE"""),"")</f>
        <v/>
      </c>
      <c r="AX74" s="110" t="str">
        <f>IFERROR(__xludf.DUMMYFUNCTION("""COMPUTED_VALUE"""),"")</f>
        <v/>
      </c>
      <c r="AY74" s="110" t="str">
        <f>IFERROR(__xludf.DUMMYFUNCTION("""COMPUTED_VALUE"""),"")</f>
        <v/>
      </c>
      <c r="AZ74" s="110" t="str">
        <f>IFERROR(__xludf.DUMMYFUNCTION("""COMPUTED_VALUE"""),"")</f>
        <v/>
      </c>
      <c r="BA74" s="110" t="str">
        <f>IFERROR(__xludf.DUMMYFUNCTION("""COMPUTED_VALUE"""),"")</f>
        <v/>
      </c>
      <c r="BB74" s="110" t="str">
        <f>IFERROR(__xludf.DUMMYFUNCTION("""COMPUTED_VALUE"""),"")</f>
        <v/>
      </c>
      <c r="BC74" s="110" t="str">
        <f>IFERROR(__xludf.DUMMYFUNCTION("""COMPUTED_VALUE"""),"")</f>
        <v/>
      </c>
      <c r="BD74" s="110" t="str">
        <f>IFERROR(__xludf.DUMMYFUNCTION("""COMPUTED_VALUE"""),"")</f>
        <v/>
      </c>
      <c r="BE74" s="110" t="str">
        <f>IFERROR(__xludf.DUMMYFUNCTION("""COMPUTED_VALUE"""),"")</f>
        <v/>
      </c>
      <c r="BF74" s="110" t="str">
        <f>IFERROR(__xludf.DUMMYFUNCTION("""COMPUTED_VALUE"""),"")</f>
        <v/>
      </c>
      <c r="BG74" s="110" t="str">
        <f>IFERROR(__xludf.DUMMYFUNCTION("""COMPUTED_VALUE"""),"")</f>
        <v/>
      </c>
      <c r="BH74" s="110" t="str">
        <f>IFERROR(__xludf.DUMMYFUNCTION("""COMPUTED_VALUE"""),"")</f>
        <v/>
      </c>
      <c r="BI74" s="110" t="str">
        <f>IFERROR(__xludf.DUMMYFUNCTION("""COMPUTED_VALUE"""),"")</f>
        <v/>
      </c>
      <c r="BJ74" s="110" t="str">
        <f>IFERROR(__xludf.DUMMYFUNCTION("""COMPUTED_VALUE"""),"")</f>
        <v/>
      </c>
      <c r="BK74" s="110" t="str">
        <f>IFERROR(__xludf.DUMMYFUNCTION("""COMPUTED_VALUE"""),"")</f>
        <v/>
      </c>
      <c r="BL74" s="110" t="str">
        <f>IFERROR(__xludf.DUMMYFUNCTION("""COMPUTED_VALUE"""),"")</f>
        <v/>
      </c>
      <c r="BM74" s="110" t="str">
        <f>IFERROR(__xludf.DUMMYFUNCTION("""COMPUTED_VALUE"""),"")</f>
        <v/>
      </c>
      <c r="BN74" s="110" t="str">
        <f>IFERROR(__xludf.DUMMYFUNCTION("""COMPUTED_VALUE"""),"")</f>
        <v/>
      </c>
      <c r="BO74" s="110" t="str">
        <f>IFERROR(__xludf.DUMMYFUNCTION("""COMPUTED_VALUE"""),"")</f>
        <v/>
      </c>
      <c r="BP74" s="110" t="str">
        <f>IFERROR(__xludf.DUMMYFUNCTION("""COMPUTED_VALUE"""),"")</f>
        <v/>
      </c>
      <c r="BQ74" s="110" t="str">
        <f>IFERROR(__xludf.DUMMYFUNCTION("""COMPUTED_VALUE"""),"")</f>
        <v/>
      </c>
      <c r="BR74" s="110" t="str">
        <f>IFERROR(__xludf.DUMMYFUNCTION("""COMPUTED_VALUE"""),"")</f>
        <v/>
      </c>
      <c r="BS74" s="110" t="str">
        <f>IFERROR(__xludf.DUMMYFUNCTION("""COMPUTED_VALUE"""),"")</f>
        <v/>
      </c>
      <c r="BT74" s="110" t="str">
        <f>IFERROR(__xludf.DUMMYFUNCTION("""COMPUTED_VALUE"""),"")</f>
        <v/>
      </c>
      <c r="BU74" s="110" t="str">
        <f>IFERROR(__xludf.DUMMYFUNCTION("""COMPUTED_VALUE"""),"")</f>
        <v/>
      </c>
      <c r="BV74" s="110" t="str">
        <f>IFERROR(__xludf.DUMMYFUNCTION("""COMPUTED_VALUE"""),"")</f>
        <v/>
      </c>
      <c r="BW74" s="110" t="str">
        <f>IFERROR(__xludf.DUMMYFUNCTION("""COMPUTED_VALUE"""),"")</f>
        <v/>
      </c>
      <c r="BX74" s="110" t="str">
        <f>IFERROR(__xludf.DUMMYFUNCTION("""COMPUTED_VALUE"""),"")</f>
        <v/>
      </c>
      <c r="BY74" s="110" t="str">
        <f>IFERROR(__xludf.DUMMYFUNCTION("""COMPUTED_VALUE"""),"")</f>
        <v/>
      </c>
      <c r="BZ74" s="110" t="str">
        <f>IFERROR(__xludf.DUMMYFUNCTION("""COMPUTED_VALUE"""),"")</f>
        <v/>
      </c>
      <c r="CA74" s="110" t="str">
        <f>IFERROR(__xludf.DUMMYFUNCTION("""COMPUTED_VALUE"""),"")</f>
        <v/>
      </c>
      <c r="CB74" s="110" t="str">
        <f>IFERROR(__xludf.DUMMYFUNCTION("""COMPUTED_VALUE"""),"")</f>
        <v/>
      </c>
      <c r="CC74" s="110" t="str">
        <f>IFERROR(__xludf.DUMMYFUNCTION("""COMPUTED_VALUE"""),"")</f>
        <v/>
      </c>
      <c r="CD74" s="110" t="str">
        <f>IFERROR(__xludf.DUMMYFUNCTION("""COMPUTED_VALUE"""),"")</f>
        <v/>
      </c>
      <c r="CE74" s="110" t="str">
        <f>IFERROR(__xludf.DUMMYFUNCTION("""COMPUTED_VALUE"""),"")</f>
        <v/>
      </c>
      <c r="CF74" s="110" t="str">
        <f>IFERROR(__xludf.DUMMYFUNCTION("""COMPUTED_VALUE"""),"")</f>
        <v/>
      </c>
      <c r="CG74" s="110" t="str">
        <f>IFERROR(__xludf.DUMMYFUNCTION("""COMPUTED_VALUE"""),"")</f>
        <v/>
      </c>
      <c r="CH74" s="110" t="str">
        <f>IFERROR(__xludf.DUMMYFUNCTION("""COMPUTED_VALUE"""),"")</f>
        <v/>
      </c>
      <c r="CI74" s="110" t="str">
        <f>IFERROR(__xludf.DUMMYFUNCTION("""COMPUTED_VALUE"""),"")</f>
        <v/>
      </c>
      <c r="CJ74" s="110" t="str">
        <f>IFERROR(__xludf.DUMMYFUNCTION("""COMPUTED_VALUE"""),"")</f>
        <v/>
      </c>
      <c r="CK74" s="110" t="str">
        <f>IFERROR(__xludf.DUMMYFUNCTION("""COMPUTED_VALUE"""),"")</f>
        <v/>
      </c>
      <c r="CL74" s="110" t="str">
        <f>IFERROR(__xludf.DUMMYFUNCTION("""COMPUTED_VALUE"""),"")</f>
        <v/>
      </c>
      <c r="CM74" s="110" t="str">
        <f>IFERROR(__xludf.DUMMYFUNCTION("""COMPUTED_VALUE"""),"")</f>
        <v/>
      </c>
      <c r="CN74" s="110" t="str">
        <f>IFERROR(__xludf.DUMMYFUNCTION("""COMPUTED_VALUE"""),"")</f>
        <v/>
      </c>
      <c r="CO74" s="110" t="str">
        <f>IFERROR(__xludf.DUMMYFUNCTION("""COMPUTED_VALUE"""),"")</f>
        <v/>
      </c>
      <c r="CP74" s="110" t="str">
        <f>IFERROR(__xludf.DUMMYFUNCTION("""COMPUTED_VALUE"""),"")</f>
        <v/>
      </c>
      <c r="CQ74" s="110" t="str">
        <f>IFERROR(__xludf.DUMMYFUNCTION("""COMPUTED_VALUE"""),"")</f>
        <v/>
      </c>
      <c r="CR74" s="110" t="str">
        <f>IFERROR(__xludf.DUMMYFUNCTION("""COMPUTED_VALUE"""),"")</f>
        <v/>
      </c>
      <c r="CS74" s="110" t="str">
        <f>IFERROR(__xludf.DUMMYFUNCTION("""COMPUTED_VALUE"""),"")</f>
        <v/>
      </c>
      <c r="CT74" s="110" t="str">
        <f>IFERROR(__xludf.DUMMYFUNCTION("""COMPUTED_VALUE"""),"")</f>
        <v/>
      </c>
      <c r="CU74" s="110" t="str">
        <f>IFERROR(__xludf.DUMMYFUNCTION("""COMPUTED_VALUE"""),"")</f>
        <v/>
      </c>
      <c r="CV74" s="110" t="str">
        <f>IFERROR(__xludf.DUMMYFUNCTION("""COMPUTED_VALUE"""),"")</f>
        <v/>
      </c>
      <c r="CW74" s="110" t="str">
        <f>IFERROR(__xludf.DUMMYFUNCTION("""COMPUTED_VALUE"""),"")</f>
        <v/>
      </c>
      <c r="CX74" s="110" t="str">
        <f>IFERROR(__xludf.DUMMYFUNCTION("""COMPUTED_VALUE"""),"")</f>
        <v/>
      </c>
      <c r="CY74" s="110" t="str">
        <f>IFERROR(__xludf.DUMMYFUNCTION("""COMPUTED_VALUE"""),"")</f>
        <v/>
      </c>
      <c r="CZ74" s="110" t="str">
        <f>IFERROR(__xludf.DUMMYFUNCTION("""COMPUTED_VALUE"""),"")</f>
        <v/>
      </c>
      <c r="DA74" s="110" t="str">
        <f>IFERROR(__xludf.DUMMYFUNCTION("""COMPUTED_VALUE"""),"")</f>
        <v/>
      </c>
      <c r="DB74" s="110" t="str">
        <f>IFERROR(__xludf.DUMMYFUNCTION("""COMPUTED_VALUE"""),"")</f>
        <v/>
      </c>
      <c r="DC74" s="110" t="str">
        <f>IFERROR(__xludf.DUMMYFUNCTION("""COMPUTED_VALUE"""),"")</f>
        <v/>
      </c>
      <c r="DD74" s="110" t="str">
        <f>IFERROR(__xludf.DUMMYFUNCTION("""COMPUTED_VALUE"""),"")</f>
        <v/>
      </c>
      <c r="DE74" s="110" t="str">
        <f>IFERROR(__xludf.DUMMYFUNCTION("""COMPUTED_VALUE"""),"")</f>
        <v/>
      </c>
      <c r="DF74" s="110" t="str">
        <f>IFERROR(__xludf.DUMMYFUNCTION("""COMPUTED_VALUE"""),"")</f>
        <v/>
      </c>
      <c r="DG74" s="110" t="str">
        <f>IFERROR(__xludf.DUMMYFUNCTION("""COMPUTED_VALUE"""),"")</f>
        <v/>
      </c>
      <c r="DH74" s="110" t="str">
        <f>IFERROR(__xludf.DUMMYFUNCTION("""COMPUTED_VALUE"""),"")</f>
        <v/>
      </c>
      <c r="DI74" s="110" t="str">
        <f>IFERROR(__xludf.DUMMYFUNCTION("""COMPUTED_VALUE"""),"")</f>
        <v/>
      </c>
      <c r="DJ74" s="110" t="str">
        <f>IFERROR(__xludf.DUMMYFUNCTION("""COMPUTED_VALUE"""),"")</f>
        <v/>
      </c>
      <c r="DK74" s="110" t="str">
        <f>IFERROR(__xludf.DUMMYFUNCTION("""COMPUTED_VALUE"""),"")</f>
        <v/>
      </c>
      <c r="DL74" s="110" t="str">
        <f>IFERROR(__xludf.DUMMYFUNCTION("""COMPUTED_VALUE"""),"")</f>
        <v/>
      </c>
      <c r="DM74" s="110" t="str">
        <f>IFERROR(__xludf.DUMMYFUNCTION("""COMPUTED_VALUE"""),"")</f>
        <v/>
      </c>
      <c r="DN74" s="110" t="str">
        <f>IFERROR(__xludf.DUMMYFUNCTION("""COMPUTED_VALUE"""),"")</f>
        <v/>
      </c>
      <c r="DO74" s="110" t="str">
        <f>IFERROR(__xludf.DUMMYFUNCTION("""COMPUTED_VALUE"""),"")</f>
        <v/>
      </c>
      <c r="DP74" s="110" t="str">
        <f>IFERROR(__xludf.DUMMYFUNCTION("""COMPUTED_VALUE"""),"")</f>
        <v/>
      </c>
      <c r="DQ74" s="110" t="str">
        <f>IFERROR(__xludf.DUMMYFUNCTION("""COMPUTED_VALUE"""),"")</f>
        <v/>
      </c>
      <c r="DR74" s="110" t="str">
        <f>IFERROR(__xludf.DUMMYFUNCTION("""COMPUTED_VALUE"""),"")</f>
        <v/>
      </c>
      <c r="DS74" s="110" t="str">
        <f>IFERROR(__xludf.DUMMYFUNCTION("""COMPUTED_VALUE"""),"")</f>
        <v/>
      </c>
      <c r="DT74" s="110" t="str">
        <f>IFERROR(__xludf.DUMMYFUNCTION("""COMPUTED_VALUE"""),"")</f>
        <v/>
      </c>
      <c r="DU74" s="110" t="str">
        <f>IFERROR(__xludf.DUMMYFUNCTION("""COMPUTED_VALUE"""),"")</f>
        <v/>
      </c>
      <c r="DV74" s="110" t="str">
        <f>IFERROR(__xludf.DUMMYFUNCTION("""COMPUTED_VALUE"""),"")</f>
        <v/>
      </c>
      <c r="DW74" s="110" t="str">
        <f>IFERROR(__xludf.DUMMYFUNCTION("""COMPUTED_VALUE"""),"")</f>
        <v/>
      </c>
      <c r="DX74" s="110" t="str">
        <f>IFERROR(__xludf.DUMMYFUNCTION("""COMPUTED_VALUE"""),"")</f>
        <v/>
      </c>
      <c r="DY74" s="110" t="str">
        <f>IFERROR(__xludf.DUMMYFUNCTION("""COMPUTED_VALUE"""),"")</f>
        <v/>
      </c>
      <c r="DZ74" s="110" t="str">
        <f>IFERROR(__xludf.DUMMYFUNCTION("""COMPUTED_VALUE"""),"")</f>
        <v/>
      </c>
      <c r="EA74" s="110" t="str">
        <f>IFERROR(__xludf.DUMMYFUNCTION("""COMPUTED_VALUE"""),"")</f>
        <v/>
      </c>
      <c r="EB74" s="110" t="str">
        <f>IFERROR(__xludf.DUMMYFUNCTION("""COMPUTED_VALUE"""),"")</f>
        <v/>
      </c>
      <c r="EC74" s="110" t="str">
        <f>IFERROR(__xludf.DUMMYFUNCTION("""COMPUTED_VALUE"""),"")</f>
        <v/>
      </c>
      <c r="ED74" s="110" t="str">
        <f>IFERROR(__xludf.DUMMYFUNCTION("""COMPUTED_VALUE"""),"")</f>
        <v/>
      </c>
      <c r="EE74" s="110" t="str">
        <f>IFERROR(__xludf.DUMMYFUNCTION("""COMPUTED_VALUE"""),"")</f>
        <v/>
      </c>
      <c r="EF74" s="110" t="str">
        <f>IFERROR(__xludf.DUMMYFUNCTION("""COMPUTED_VALUE"""),"")</f>
        <v/>
      </c>
      <c r="EG74" s="110" t="str">
        <f>IFERROR(__xludf.DUMMYFUNCTION("""COMPUTED_VALUE"""),"")</f>
        <v/>
      </c>
      <c r="EH74" s="110" t="str">
        <f>IFERROR(__xludf.DUMMYFUNCTION("""COMPUTED_VALUE"""),"")</f>
        <v/>
      </c>
      <c r="EI74" s="110" t="str">
        <f>IFERROR(__xludf.DUMMYFUNCTION("""COMPUTED_VALUE"""),"")</f>
        <v/>
      </c>
      <c r="EJ74" s="110" t="str">
        <f>IFERROR(__xludf.DUMMYFUNCTION("""COMPUTED_VALUE"""),"")</f>
        <v/>
      </c>
      <c r="EK74" s="110" t="str">
        <f>IFERROR(__xludf.DUMMYFUNCTION("""COMPUTED_VALUE"""),"")</f>
        <v/>
      </c>
      <c r="EL74" s="110" t="str">
        <f>IFERROR(__xludf.DUMMYFUNCTION("""COMPUTED_VALUE"""),"")</f>
        <v/>
      </c>
      <c r="EM74" s="110" t="str">
        <f>IFERROR(__xludf.DUMMYFUNCTION("""COMPUTED_VALUE"""),"")</f>
        <v/>
      </c>
      <c r="EN74" s="110" t="str">
        <f>IFERROR(__xludf.DUMMYFUNCTION("""COMPUTED_VALUE"""),"")</f>
        <v/>
      </c>
      <c r="EO74" s="110" t="str">
        <f>IFERROR(__xludf.DUMMYFUNCTION("""COMPUTED_VALUE"""),"")</f>
        <v/>
      </c>
      <c r="EP74" s="110" t="str">
        <f>IFERROR(__xludf.DUMMYFUNCTION("""COMPUTED_VALUE"""),"")</f>
        <v/>
      </c>
      <c r="EQ74" s="110" t="str">
        <f>IFERROR(__xludf.DUMMYFUNCTION("""COMPUTED_VALUE"""),"")</f>
        <v/>
      </c>
      <c r="ER74" s="110" t="str">
        <f>IFERROR(__xludf.DUMMYFUNCTION("""COMPUTED_VALUE"""),"")</f>
        <v/>
      </c>
      <c r="ES74" s="110" t="str">
        <f>IFERROR(__xludf.DUMMYFUNCTION("""COMPUTED_VALUE"""),"")</f>
        <v/>
      </c>
      <c r="ET74" s="110" t="str">
        <f>IFERROR(__xludf.DUMMYFUNCTION("""COMPUTED_VALUE"""),"")</f>
        <v/>
      </c>
      <c r="EU74" s="110" t="str">
        <f>IFERROR(__xludf.DUMMYFUNCTION("""COMPUTED_VALUE"""),"")</f>
        <v/>
      </c>
      <c r="EV74" s="110" t="str">
        <f>IFERROR(__xludf.DUMMYFUNCTION("""COMPUTED_VALUE"""),"")</f>
        <v/>
      </c>
      <c r="EW74" s="110" t="str">
        <f>IFERROR(__xludf.DUMMYFUNCTION("""COMPUTED_VALUE"""),"")</f>
        <v/>
      </c>
      <c r="EX74" s="108" t="str">
        <f>IFERROR(__xludf.DUMMYFUNCTION("""COMPUTED_VALUE"""),"")</f>
        <v/>
      </c>
      <c r="EY74" s="108" t="str">
        <f>IFERROR(__xludf.DUMMYFUNCTION("""COMPUTED_VALUE"""),"")</f>
        <v/>
      </c>
      <c r="EZ74" s="108" t="str">
        <f>IFERROR(__xludf.DUMMYFUNCTION("""COMPUTED_VALUE"""),"")</f>
        <v/>
      </c>
      <c r="FA74" s="108" t="str">
        <f>IFERROR(__xludf.DUMMYFUNCTION("""COMPUTED_VALUE"""),"")</f>
        <v/>
      </c>
      <c r="FB74" s="108" t="str">
        <f>IFERROR(__xludf.DUMMYFUNCTION("""COMPUTED_VALUE"""),"")</f>
        <v/>
      </c>
      <c r="FC74" s="108" t="str">
        <f>IFERROR(__xludf.DUMMYFUNCTION("""COMPUTED_VALUE"""),"")</f>
        <v/>
      </c>
      <c r="FD74" s="108" t="str">
        <f>IFERROR(__xludf.DUMMYFUNCTION("""COMPUTED_VALUE"""),"")</f>
        <v/>
      </c>
      <c r="FE74" s="108" t="str">
        <f>IFERROR(__xludf.DUMMYFUNCTION("""COMPUTED_VALUE"""),"")</f>
        <v/>
      </c>
      <c r="FF74" s="108" t="str">
        <f>IFERROR(__xludf.DUMMYFUNCTION("""COMPUTED_VALUE"""),"")</f>
        <v/>
      </c>
      <c r="FG74" s="108" t="str">
        <f>IFERROR(__xludf.DUMMYFUNCTION("""COMPUTED_VALUE"""),"")</f>
        <v/>
      </c>
      <c r="FH74" s="108" t="str">
        <f>IFERROR(__xludf.DUMMYFUNCTION("""COMPUTED_VALUE"""),"")</f>
        <v/>
      </c>
      <c r="FI74" s="108" t="str">
        <f>IFERROR(__xludf.DUMMYFUNCTION("""COMPUTED_VALUE"""),"")</f>
        <v/>
      </c>
      <c r="FJ74" s="108" t="str">
        <f>IFERROR(__xludf.DUMMYFUNCTION("""COMPUTED_VALUE"""),"")</f>
        <v/>
      </c>
      <c r="FK74" s="108" t="str">
        <f>IFERROR(__xludf.DUMMYFUNCTION("""COMPUTED_VALUE"""),"")</f>
        <v/>
      </c>
      <c r="FL74" s="108" t="str">
        <f>IFERROR(__xludf.DUMMYFUNCTION("""COMPUTED_VALUE"""),"")</f>
        <v/>
      </c>
      <c r="FM74" s="108" t="str">
        <f>IFERROR(__xludf.DUMMYFUNCTION("""COMPUTED_VALUE"""),"")</f>
        <v/>
      </c>
      <c r="FN74" s="108" t="str">
        <f>IFERROR(__xludf.DUMMYFUNCTION("""COMPUTED_VALUE"""),"")</f>
        <v/>
      </c>
      <c r="FO74" s="108" t="str">
        <f>IFERROR(__xludf.DUMMYFUNCTION("""COMPUTED_VALUE"""),"")</f>
        <v/>
      </c>
    </row>
    <row r="75">
      <c r="A75" s="106" t="str">
        <f>IFERROR(__xludf.DUMMYFUNCTION("""COMPUTED_VALUE"""),"")</f>
        <v/>
      </c>
      <c r="B75" s="110" t="str">
        <f>IFERROR(__xludf.DUMMYFUNCTION("""COMPUTED_VALUE"""),"")</f>
        <v/>
      </c>
      <c r="C75" s="110" t="str">
        <f>IFERROR(__xludf.DUMMYFUNCTION("""COMPUTED_VALUE"""),"")</f>
        <v/>
      </c>
      <c r="D75" s="110" t="str">
        <f>IFERROR(__xludf.DUMMYFUNCTION("""COMPUTED_VALUE"""),"")</f>
        <v/>
      </c>
      <c r="E75" s="110" t="str">
        <f>IFERROR(__xludf.DUMMYFUNCTION("""COMPUTED_VALUE"""),"")</f>
        <v/>
      </c>
      <c r="F75" s="110" t="str">
        <f>IFERROR(__xludf.DUMMYFUNCTION("""COMPUTED_VALUE"""),"")</f>
        <v/>
      </c>
      <c r="G75" s="110" t="str">
        <f>IFERROR(__xludf.DUMMYFUNCTION("""COMPUTED_VALUE"""),"")</f>
        <v/>
      </c>
      <c r="H75" s="110" t="str">
        <f>IFERROR(__xludf.DUMMYFUNCTION("""COMPUTED_VALUE"""),"")</f>
        <v/>
      </c>
      <c r="I75" s="110" t="str">
        <f>IFERROR(__xludf.DUMMYFUNCTION("""COMPUTED_VALUE"""),"")</f>
        <v/>
      </c>
      <c r="J75" s="110" t="str">
        <f>IFERROR(__xludf.DUMMYFUNCTION("""COMPUTED_VALUE"""),"")</f>
        <v/>
      </c>
      <c r="K75" s="110" t="str">
        <f>IFERROR(__xludf.DUMMYFUNCTION("""COMPUTED_VALUE"""),"")</f>
        <v/>
      </c>
      <c r="L75" s="110" t="str">
        <f>IFERROR(__xludf.DUMMYFUNCTION("""COMPUTED_VALUE"""),"")</f>
        <v/>
      </c>
      <c r="M75" s="110" t="str">
        <f>IFERROR(__xludf.DUMMYFUNCTION("""COMPUTED_VALUE"""),"")</f>
        <v/>
      </c>
      <c r="N75" s="110" t="str">
        <f>IFERROR(__xludf.DUMMYFUNCTION("""COMPUTED_VALUE"""),"")</f>
        <v/>
      </c>
      <c r="O75" s="110" t="str">
        <f>IFERROR(__xludf.DUMMYFUNCTION("""COMPUTED_VALUE"""),"")</f>
        <v/>
      </c>
      <c r="P75" s="110" t="str">
        <f>IFERROR(__xludf.DUMMYFUNCTION("""COMPUTED_VALUE"""),"")</f>
        <v/>
      </c>
      <c r="Q75" s="110" t="str">
        <f>IFERROR(__xludf.DUMMYFUNCTION("""COMPUTED_VALUE"""),"")</f>
        <v/>
      </c>
      <c r="R75" s="110" t="str">
        <f>IFERROR(__xludf.DUMMYFUNCTION("""COMPUTED_VALUE"""),"")</f>
        <v/>
      </c>
      <c r="S75" s="110" t="str">
        <f>IFERROR(__xludf.DUMMYFUNCTION("""COMPUTED_VALUE"""),"")</f>
        <v/>
      </c>
      <c r="T75" s="110" t="str">
        <f>IFERROR(__xludf.DUMMYFUNCTION("""COMPUTED_VALUE"""),"")</f>
        <v/>
      </c>
      <c r="U75" s="110" t="str">
        <f>IFERROR(__xludf.DUMMYFUNCTION("""COMPUTED_VALUE"""),"")</f>
        <v/>
      </c>
      <c r="V75" s="110" t="str">
        <f>IFERROR(__xludf.DUMMYFUNCTION("""COMPUTED_VALUE"""),"")</f>
        <v/>
      </c>
      <c r="W75" s="110" t="str">
        <f>IFERROR(__xludf.DUMMYFUNCTION("""COMPUTED_VALUE"""),"")</f>
        <v/>
      </c>
      <c r="X75" s="110" t="str">
        <f>IFERROR(__xludf.DUMMYFUNCTION("""COMPUTED_VALUE"""),"")</f>
        <v/>
      </c>
      <c r="Y75" s="110" t="str">
        <f>IFERROR(__xludf.DUMMYFUNCTION("""COMPUTED_VALUE"""),"")</f>
        <v/>
      </c>
      <c r="Z75" s="110" t="str">
        <f>IFERROR(__xludf.DUMMYFUNCTION("""COMPUTED_VALUE"""),"")</f>
        <v/>
      </c>
      <c r="AA75" s="110" t="str">
        <f>IFERROR(__xludf.DUMMYFUNCTION("""COMPUTED_VALUE"""),"")</f>
        <v/>
      </c>
      <c r="AB75" s="110" t="str">
        <f>IFERROR(__xludf.DUMMYFUNCTION("""COMPUTED_VALUE"""),"")</f>
        <v/>
      </c>
      <c r="AC75" s="110" t="str">
        <f>IFERROR(__xludf.DUMMYFUNCTION("""COMPUTED_VALUE"""),"")</f>
        <v/>
      </c>
      <c r="AD75" s="110" t="str">
        <f>IFERROR(__xludf.DUMMYFUNCTION("""COMPUTED_VALUE"""),"")</f>
        <v/>
      </c>
      <c r="AE75" s="110" t="str">
        <f>IFERROR(__xludf.DUMMYFUNCTION("""COMPUTED_VALUE"""),"")</f>
        <v/>
      </c>
      <c r="AF75" s="110" t="str">
        <f>IFERROR(__xludf.DUMMYFUNCTION("""COMPUTED_VALUE"""),"")</f>
        <v/>
      </c>
      <c r="AG75" s="110" t="str">
        <f>IFERROR(__xludf.DUMMYFUNCTION("""COMPUTED_VALUE"""),"")</f>
        <v/>
      </c>
      <c r="AH75" s="110" t="str">
        <f>IFERROR(__xludf.DUMMYFUNCTION("""COMPUTED_VALUE"""),"")</f>
        <v/>
      </c>
      <c r="AI75" s="110" t="str">
        <f>IFERROR(__xludf.DUMMYFUNCTION("""COMPUTED_VALUE"""),"")</f>
        <v/>
      </c>
      <c r="AJ75" s="110" t="str">
        <f>IFERROR(__xludf.DUMMYFUNCTION("""COMPUTED_VALUE"""),"")</f>
        <v/>
      </c>
      <c r="AK75" s="110" t="str">
        <f>IFERROR(__xludf.DUMMYFUNCTION("""COMPUTED_VALUE"""),"")</f>
        <v/>
      </c>
      <c r="AL75" s="110" t="str">
        <f>IFERROR(__xludf.DUMMYFUNCTION("""COMPUTED_VALUE"""),"")</f>
        <v/>
      </c>
      <c r="AM75" s="110" t="str">
        <f>IFERROR(__xludf.DUMMYFUNCTION("""COMPUTED_VALUE"""),"")</f>
        <v/>
      </c>
      <c r="AN75" s="110" t="str">
        <f>IFERROR(__xludf.DUMMYFUNCTION("""COMPUTED_VALUE"""),"")</f>
        <v/>
      </c>
      <c r="AO75" s="110" t="str">
        <f>IFERROR(__xludf.DUMMYFUNCTION("""COMPUTED_VALUE"""),"")</f>
        <v/>
      </c>
      <c r="AP75" s="110" t="str">
        <f>IFERROR(__xludf.DUMMYFUNCTION("""COMPUTED_VALUE"""),"")</f>
        <v/>
      </c>
      <c r="AQ75" s="110" t="str">
        <f>IFERROR(__xludf.DUMMYFUNCTION("""COMPUTED_VALUE"""),"")</f>
        <v/>
      </c>
      <c r="AR75" s="109" t="str">
        <f>IFERROR(__xludf.DUMMYFUNCTION("""COMPUTED_VALUE"""),"")</f>
        <v/>
      </c>
      <c r="AS75" s="110" t="str">
        <f>IFERROR(__xludf.DUMMYFUNCTION("""COMPUTED_VALUE"""),"")</f>
        <v/>
      </c>
      <c r="AT75" s="110" t="str">
        <f>IFERROR(__xludf.DUMMYFUNCTION("""COMPUTED_VALUE"""),"")</f>
        <v/>
      </c>
      <c r="AU75" s="110" t="str">
        <f>IFERROR(__xludf.DUMMYFUNCTION("""COMPUTED_VALUE"""),"")</f>
        <v/>
      </c>
      <c r="AV75" s="110" t="str">
        <f>IFERROR(__xludf.DUMMYFUNCTION("""COMPUTED_VALUE"""),"")</f>
        <v/>
      </c>
      <c r="AW75" s="110" t="str">
        <f>IFERROR(__xludf.DUMMYFUNCTION("""COMPUTED_VALUE"""),"")</f>
        <v/>
      </c>
      <c r="AX75" s="110" t="str">
        <f>IFERROR(__xludf.DUMMYFUNCTION("""COMPUTED_VALUE"""),"")</f>
        <v/>
      </c>
      <c r="AY75" s="110" t="str">
        <f>IFERROR(__xludf.DUMMYFUNCTION("""COMPUTED_VALUE"""),"")</f>
        <v/>
      </c>
      <c r="AZ75" s="110" t="str">
        <f>IFERROR(__xludf.DUMMYFUNCTION("""COMPUTED_VALUE"""),"")</f>
        <v/>
      </c>
      <c r="BA75" s="110" t="str">
        <f>IFERROR(__xludf.DUMMYFUNCTION("""COMPUTED_VALUE"""),"")</f>
        <v/>
      </c>
      <c r="BB75" s="110" t="str">
        <f>IFERROR(__xludf.DUMMYFUNCTION("""COMPUTED_VALUE"""),"")</f>
        <v/>
      </c>
      <c r="BC75" s="110" t="str">
        <f>IFERROR(__xludf.DUMMYFUNCTION("""COMPUTED_VALUE"""),"")</f>
        <v/>
      </c>
      <c r="BD75" s="110" t="str">
        <f>IFERROR(__xludf.DUMMYFUNCTION("""COMPUTED_VALUE"""),"")</f>
        <v/>
      </c>
      <c r="BE75" s="110" t="str">
        <f>IFERROR(__xludf.DUMMYFUNCTION("""COMPUTED_VALUE"""),"")</f>
        <v/>
      </c>
      <c r="BF75" s="110" t="str">
        <f>IFERROR(__xludf.DUMMYFUNCTION("""COMPUTED_VALUE"""),"")</f>
        <v/>
      </c>
      <c r="BG75" s="110" t="str">
        <f>IFERROR(__xludf.DUMMYFUNCTION("""COMPUTED_VALUE"""),"")</f>
        <v/>
      </c>
      <c r="BH75" s="110" t="str">
        <f>IFERROR(__xludf.DUMMYFUNCTION("""COMPUTED_VALUE"""),"")</f>
        <v/>
      </c>
      <c r="BI75" s="110" t="str">
        <f>IFERROR(__xludf.DUMMYFUNCTION("""COMPUTED_VALUE"""),"")</f>
        <v/>
      </c>
      <c r="BJ75" s="110" t="str">
        <f>IFERROR(__xludf.DUMMYFUNCTION("""COMPUTED_VALUE"""),"")</f>
        <v/>
      </c>
      <c r="BK75" s="110" t="str">
        <f>IFERROR(__xludf.DUMMYFUNCTION("""COMPUTED_VALUE"""),"")</f>
        <v/>
      </c>
      <c r="BL75" s="110" t="str">
        <f>IFERROR(__xludf.DUMMYFUNCTION("""COMPUTED_VALUE"""),"")</f>
        <v/>
      </c>
      <c r="BM75" s="110" t="str">
        <f>IFERROR(__xludf.DUMMYFUNCTION("""COMPUTED_VALUE"""),"")</f>
        <v/>
      </c>
      <c r="BN75" s="110" t="str">
        <f>IFERROR(__xludf.DUMMYFUNCTION("""COMPUTED_VALUE"""),"")</f>
        <v/>
      </c>
      <c r="BO75" s="110" t="str">
        <f>IFERROR(__xludf.DUMMYFUNCTION("""COMPUTED_VALUE"""),"")</f>
        <v/>
      </c>
      <c r="BP75" s="110" t="str">
        <f>IFERROR(__xludf.DUMMYFUNCTION("""COMPUTED_VALUE"""),"")</f>
        <v/>
      </c>
      <c r="BQ75" s="110" t="str">
        <f>IFERROR(__xludf.DUMMYFUNCTION("""COMPUTED_VALUE"""),"")</f>
        <v/>
      </c>
      <c r="BR75" s="110" t="str">
        <f>IFERROR(__xludf.DUMMYFUNCTION("""COMPUTED_VALUE"""),"")</f>
        <v/>
      </c>
      <c r="BS75" s="110" t="str">
        <f>IFERROR(__xludf.DUMMYFUNCTION("""COMPUTED_VALUE"""),"")</f>
        <v/>
      </c>
      <c r="BT75" s="110" t="str">
        <f>IFERROR(__xludf.DUMMYFUNCTION("""COMPUTED_VALUE"""),"")</f>
        <v/>
      </c>
      <c r="BU75" s="110" t="str">
        <f>IFERROR(__xludf.DUMMYFUNCTION("""COMPUTED_VALUE"""),"")</f>
        <v/>
      </c>
      <c r="BV75" s="110" t="str">
        <f>IFERROR(__xludf.DUMMYFUNCTION("""COMPUTED_VALUE"""),"")</f>
        <v/>
      </c>
      <c r="BW75" s="110" t="str">
        <f>IFERROR(__xludf.DUMMYFUNCTION("""COMPUTED_VALUE"""),"")</f>
        <v/>
      </c>
      <c r="BX75" s="110" t="str">
        <f>IFERROR(__xludf.DUMMYFUNCTION("""COMPUTED_VALUE"""),"")</f>
        <v/>
      </c>
      <c r="BY75" s="110" t="str">
        <f>IFERROR(__xludf.DUMMYFUNCTION("""COMPUTED_VALUE"""),"")</f>
        <v/>
      </c>
      <c r="BZ75" s="110" t="str">
        <f>IFERROR(__xludf.DUMMYFUNCTION("""COMPUTED_VALUE"""),"")</f>
        <v/>
      </c>
      <c r="CA75" s="110" t="str">
        <f>IFERROR(__xludf.DUMMYFUNCTION("""COMPUTED_VALUE"""),"")</f>
        <v/>
      </c>
      <c r="CB75" s="110" t="str">
        <f>IFERROR(__xludf.DUMMYFUNCTION("""COMPUTED_VALUE"""),"")</f>
        <v/>
      </c>
      <c r="CC75" s="110" t="str">
        <f>IFERROR(__xludf.DUMMYFUNCTION("""COMPUTED_VALUE"""),"")</f>
        <v/>
      </c>
      <c r="CD75" s="110" t="str">
        <f>IFERROR(__xludf.DUMMYFUNCTION("""COMPUTED_VALUE"""),"")</f>
        <v/>
      </c>
      <c r="CE75" s="110" t="str">
        <f>IFERROR(__xludf.DUMMYFUNCTION("""COMPUTED_VALUE"""),"")</f>
        <v/>
      </c>
      <c r="CF75" s="110" t="str">
        <f>IFERROR(__xludf.DUMMYFUNCTION("""COMPUTED_VALUE"""),"")</f>
        <v/>
      </c>
      <c r="CG75" s="110" t="str">
        <f>IFERROR(__xludf.DUMMYFUNCTION("""COMPUTED_VALUE"""),"")</f>
        <v/>
      </c>
      <c r="CH75" s="110" t="str">
        <f>IFERROR(__xludf.DUMMYFUNCTION("""COMPUTED_VALUE"""),"")</f>
        <v/>
      </c>
      <c r="CI75" s="110" t="str">
        <f>IFERROR(__xludf.DUMMYFUNCTION("""COMPUTED_VALUE"""),"")</f>
        <v/>
      </c>
      <c r="CJ75" s="110" t="str">
        <f>IFERROR(__xludf.DUMMYFUNCTION("""COMPUTED_VALUE"""),"")</f>
        <v/>
      </c>
      <c r="CK75" s="110" t="str">
        <f>IFERROR(__xludf.DUMMYFUNCTION("""COMPUTED_VALUE"""),"")</f>
        <v/>
      </c>
      <c r="CL75" s="110" t="str">
        <f>IFERROR(__xludf.DUMMYFUNCTION("""COMPUTED_VALUE"""),"")</f>
        <v/>
      </c>
      <c r="CM75" s="110" t="str">
        <f>IFERROR(__xludf.DUMMYFUNCTION("""COMPUTED_VALUE"""),"")</f>
        <v/>
      </c>
      <c r="CN75" s="110" t="str">
        <f>IFERROR(__xludf.DUMMYFUNCTION("""COMPUTED_VALUE"""),"")</f>
        <v/>
      </c>
      <c r="CO75" s="110" t="str">
        <f>IFERROR(__xludf.DUMMYFUNCTION("""COMPUTED_VALUE"""),"")</f>
        <v/>
      </c>
      <c r="CP75" s="110" t="str">
        <f>IFERROR(__xludf.DUMMYFUNCTION("""COMPUTED_VALUE"""),"")</f>
        <v/>
      </c>
      <c r="CQ75" s="110" t="str">
        <f>IFERROR(__xludf.DUMMYFUNCTION("""COMPUTED_VALUE"""),"")</f>
        <v/>
      </c>
      <c r="CR75" s="110" t="str">
        <f>IFERROR(__xludf.DUMMYFUNCTION("""COMPUTED_VALUE"""),"")</f>
        <v/>
      </c>
      <c r="CS75" s="110" t="str">
        <f>IFERROR(__xludf.DUMMYFUNCTION("""COMPUTED_VALUE"""),"")</f>
        <v/>
      </c>
      <c r="CT75" s="110" t="str">
        <f>IFERROR(__xludf.DUMMYFUNCTION("""COMPUTED_VALUE"""),"")</f>
        <v/>
      </c>
      <c r="CU75" s="110" t="str">
        <f>IFERROR(__xludf.DUMMYFUNCTION("""COMPUTED_VALUE"""),"")</f>
        <v/>
      </c>
      <c r="CV75" s="110" t="str">
        <f>IFERROR(__xludf.DUMMYFUNCTION("""COMPUTED_VALUE"""),"")</f>
        <v/>
      </c>
      <c r="CW75" s="110" t="str">
        <f>IFERROR(__xludf.DUMMYFUNCTION("""COMPUTED_VALUE"""),"")</f>
        <v/>
      </c>
      <c r="CX75" s="110" t="str">
        <f>IFERROR(__xludf.DUMMYFUNCTION("""COMPUTED_VALUE"""),"")</f>
        <v/>
      </c>
      <c r="CY75" s="110" t="str">
        <f>IFERROR(__xludf.DUMMYFUNCTION("""COMPUTED_VALUE"""),"")</f>
        <v/>
      </c>
      <c r="CZ75" s="110" t="str">
        <f>IFERROR(__xludf.DUMMYFUNCTION("""COMPUTED_VALUE"""),"")</f>
        <v/>
      </c>
      <c r="DA75" s="110" t="str">
        <f>IFERROR(__xludf.DUMMYFUNCTION("""COMPUTED_VALUE"""),"")</f>
        <v/>
      </c>
      <c r="DB75" s="110" t="str">
        <f>IFERROR(__xludf.DUMMYFUNCTION("""COMPUTED_VALUE"""),"")</f>
        <v/>
      </c>
      <c r="DC75" s="110" t="str">
        <f>IFERROR(__xludf.DUMMYFUNCTION("""COMPUTED_VALUE"""),"")</f>
        <v/>
      </c>
      <c r="DD75" s="110" t="str">
        <f>IFERROR(__xludf.DUMMYFUNCTION("""COMPUTED_VALUE"""),"")</f>
        <v/>
      </c>
      <c r="DE75" s="110" t="str">
        <f>IFERROR(__xludf.DUMMYFUNCTION("""COMPUTED_VALUE"""),"")</f>
        <v/>
      </c>
      <c r="DF75" s="110" t="str">
        <f>IFERROR(__xludf.DUMMYFUNCTION("""COMPUTED_VALUE"""),"")</f>
        <v/>
      </c>
      <c r="DG75" s="110" t="str">
        <f>IFERROR(__xludf.DUMMYFUNCTION("""COMPUTED_VALUE"""),"")</f>
        <v/>
      </c>
      <c r="DH75" s="110" t="str">
        <f>IFERROR(__xludf.DUMMYFUNCTION("""COMPUTED_VALUE"""),"")</f>
        <v/>
      </c>
      <c r="DI75" s="110" t="str">
        <f>IFERROR(__xludf.DUMMYFUNCTION("""COMPUTED_VALUE"""),"")</f>
        <v/>
      </c>
      <c r="DJ75" s="110" t="str">
        <f>IFERROR(__xludf.DUMMYFUNCTION("""COMPUTED_VALUE"""),"")</f>
        <v/>
      </c>
      <c r="DK75" s="110" t="str">
        <f>IFERROR(__xludf.DUMMYFUNCTION("""COMPUTED_VALUE"""),"")</f>
        <v/>
      </c>
      <c r="DL75" s="110" t="str">
        <f>IFERROR(__xludf.DUMMYFUNCTION("""COMPUTED_VALUE"""),"")</f>
        <v/>
      </c>
      <c r="DM75" s="110" t="str">
        <f>IFERROR(__xludf.DUMMYFUNCTION("""COMPUTED_VALUE"""),"")</f>
        <v/>
      </c>
      <c r="DN75" s="110" t="str">
        <f>IFERROR(__xludf.DUMMYFUNCTION("""COMPUTED_VALUE"""),"")</f>
        <v/>
      </c>
      <c r="DO75" s="110" t="str">
        <f>IFERROR(__xludf.DUMMYFUNCTION("""COMPUTED_VALUE"""),"")</f>
        <v/>
      </c>
      <c r="DP75" s="110" t="str">
        <f>IFERROR(__xludf.DUMMYFUNCTION("""COMPUTED_VALUE"""),"")</f>
        <v/>
      </c>
      <c r="DQ75" s="110" t="str">
        <f>IFERROR(__xludf.DUMMYFUNCTION("""COMPUTED_VALUE"""),"")</f>
        <v/>
      </c>
      <c r="DR75" s="110" t="str">
        <f>IFERROR(__xludf.DUMMYFUNCTION("""COMPUTED_VALUE"""),"")</f>
        <v/>
      </c>
      <c r="DS75" s="110" t="str">
        <f>IFERROR(__xludf.DUMMYFUNCTION("""COMPUTED_VALUE"""),"")</f>
        <v/>
      </c>
      <c r="DT75" s="110" t="str">
        <f>IFERROR(__xludf.DUMMYFUNCTION("""COMPUTED_VALUE"""),"")</f>
        <v/>
      </c>
      <c r="DU75" s="110" t="str">
        <f>IFERROR(__xludf.DUMMYFUNCTION("""COMPUTED_VALUE"""),"")</f>
        <v/>
      </c>
      <c r="DV75" s="110" t="str">
        <f>IFERROR(__xludf.DUMMYFUNCTION("""COMPUTED_VALUE"""),"")</f>
        <v/>
      </c>
      <c r="DW75" s="110" t="str">
        <f>IFERROR(__xludf.DUMMYFUNCTION("""COMPUTED_VALUE"""),"")</f>
        <v/>
      </c>
      <c r="DX75" s="110" t="str">
        <f>IFERROR(__xludf.DUMMYFUNCTION("""COMPUTED_VALUE"""),"")</f>
        <v/>
      </c>
      <c r="DY75" s="110" t="str">
        <f>IFERROR(__xludf.DUMMYFUNCTION("""COMPUTED_VALUE"""),"")</f>
        <v/>
      </c>
      <c r="DZ75" s="110" t="str">
        <f>IFERROR(__xludf.DUMMYFUNCTION("""COMPUTED_VALUE"""),"")</f>
        <v/>
      </c>
      <c r="EA75" s="110" t="str">
        <f>IFERROR(__xludf.DUMMYFUNCTION("""COMPUTED_VALUE"""),"")</f>
        <v/>
      </c>
      <c r="EB75" s="110" t="str">
        <f>IFERROR(__xludf.DUMMYFUNCTION("""COMPUTED_VALUE"""),"")</f>
        <v/>
      </c>
      <c r="EC75" s="110" t="str">
        <f>IFERROR(__xludf.DUMMYFUNCTION("""COMPUTED_VALUE"""),"")</f>
        <v/>
      </c>
      <c r="ED75" s="110" t="str">
        <f>IFERROR(__xludf.DUMMYFUNCTION("""COMPUTED_VALUE"""),"")</f>
        <v/>
      </c>
      <c r="EE75" s="110" t="str">
        <f>IFERROR(__xludf.DUMMYFUNCTION("""COMPUTED_VALUE"""),"")</f>
        <v/>
      </c>
      <c r="EF75" s="110" t="str">
        <f>IFERROR(__xludf.DUMMYFUNCTION("""COMPUTED_VALUE"""),"")</f>
        <v/>
      </c>
      <c r="EG75" s="110" t="str">
        <f>IFERROR(__xludf.DUMMYFUNCTION("""COMPUTED_VALUE"""),"")</f>
        <v/>
      </c>
      <c r="EH75" s="110" t="str">
        <f>IFERROR(__xludf.DUMMYFUNCTION("""COMPUTED_VALUE"""),"")</f>
        <v/>
      </c>
      <c r="EI75" s="110" t="str">
        <f>IFERROR(__xludf.DUMMYFUNCTION("""COMPUTED_VALUE"""),"")</f>
        <v/>
      </c>
      <c r="EJ75" s="110" t="str">
        <f>IFERROR(__xludf.DUMMYFUNCTION("""COMPUTED_VALUE"""),"")</f>
        <v/>
      </c>
      <c r="EK75" s="110" t="str">
        <f>IFERROR(__xludf.DUMMYFUNCTION("""COMPUTED_VALUE"""),"")</f>
        <v/>
      </c>
      <c r="EL75" s="110" t="str">
        <f>IFERROR(__xludf.DUMMYFUNCTION("""COMPUTED_VALUE"""),"")</f>
        <v/>
      </c>
      <c r="EM75" s="110" t="str">
        <f>IFERROR(__xludf.DUMMYFUNCTION("""COMPUTED_VALUE"""),"")</f>
        <v/>
      </c>
      <c r="EN75" s="110" t="str">
        <f>IFERROR(__xludf.DUMMYFUNCTION("""COMPUTED_VALUE"""),"")</f>
        <v/>
      </c>
      <c r="EO75" s="110" t="str">
        <f>IFERROR(__xludf.DUMMYFUNCTION("""COMPUTED_VALUE"""),"")</f>
        <v/>
      </c>
      <c r="EP75" s="110" t="str">
        <f>IFERROR(__xludf.DUMMYFUNCTION("""COMPUTED_VALUE"""),"")</f>
        <v/>
      </c>
      <c r="EQ75" s="110" t="str">
        <f>IFERROR(__xludf.DUMMYFUNCTION("""COMPUTED_VALUE"""),"")</f>
        <v/>
      </c>
      <c r="ER75" s="110" t="str">
        <f>IFERROR(__xludf.DUMMYFUNCTION("""COMPUTED_VALUE"""),"")</f>
        <v/>
      </c>
      <c r="ES75" s="110" t="str">
        <f>IFERROR(__xludf.DUMMYFUNCTION("""COMPUTED_VALUE"""),"")</f>
        <v/>
      </c>
      <c r="ET75" s="110" t="str">
        <f>IFERROR(__xludf.DUMMYFUNCTION("""COMPUTED_VALUE"""),"")</f>
        <v/>
      </c>
      <c r="EU75" s="110" t="str">
        <f>IFERROR(__xludf.DUMMYFUNCTION("""COMPUTED_VALUE"""),"")</f>
        <v/>
      </c>
      <c r="EV75" s="110" t="str">
        <f>IFERROR(__xludf.DUMMYFUNCTION("""COMPUTED_VALUE"""),"")</f>
        <v/>
      </c>
      <c r="EW75" s="110" t="str">
        <f>IFERROR(__xludf.DUMMYFUNCTION("""COMPUTED_VALUE"""),"")</f>
        <v/>
      </c>
      <c r="EX75" s="108" t="str">
        <f>IFERROR(__xludf.DUMMYFUNCTION("""COMPUTED_VALUE"""),"")</f>
        <v/>
      </c>
      <c r="EY75" s="108" t="str">
        <f>IFERROR(__xludf.DUMMYFUNCTION("""COMPUTED_VALUE"""),"")</f>
        <v/>
      </c>
      <c r="EZ75" s="108" t="str">
        <f>IFERROR(__xludf.DUMMYFUNCTION("""COMPUTED_VALUE"""),"")</f>
        <v/>
      </c>
      <c r="FA75" s="108" t="str">
        <f>IFERROR(__xludf.DUMMYFUNCTION("""COMPUTED_VALUE"""),"")</f>
        <v/>
      </c>
      <c r="FB75" s="108" t="str">
        <f>IFERROR(__xludf.DUMMYFUNCTION("""COMPUTED_VALUE"""),"")</f>
        <v/>
      </c>
      <c r="FC75" s="108" t="str">
        <f>IFERROR(__xludf.DUMMYFUNCTION("""COMPUTED_VALUE"""),"")</f>
        <v/>
      </c>
      <c r="FD75" s="108" t="str">
        <f>IFERROR(__xludf.DUMMYFUNCTION("""COMPUTED_VALUE"""),"")</f>
        <v/>
      </c>
      <c r="FE75" s="108" t="str">
        <f>IFERROR(__xludf.DUMMYFUNCTION("""COMPUTED_VALUE"""),"")</f>
        <v/>
      </c>
      <c r="FF75" s="108" t="str">
        <f>IFERROR(__xludf.DUMMYFUNCTION("""COMPUTED_VALUE"""),"")</f>
        <v/>
      </c>
      <c r="FG75" s="108" t="str">
        <f>IFERROR(__xludf.DUMMYFUNCTION("""COMPUTED_VALUE"""),"")</f>
        <v/>
      </c>
      <c r="FH75" s="108" t="str">
        <f>IFERROR(__xludf.DUMMYFUNCTION("""COMPUTED_VALUE"""),"")</f>
        <v/>
      </c>
      <c r="FI75" s="108" t="str">
        <f>IFERROR(__xludf.DUMMYFUNCTION("""COMPUTED_VALUE"""),"")</f>
        <v/>
      </c>
      <c r="FJ75" s="108" t="str">
        <f>IFERROR(__xludf.DUMMYFUNCTION("""COMPUTED_VALUE"""),"")</f>
        <v/>
      </c>
      <c r="FK75" s="108" t="str">
        <f>IFERROR(__xludf.DUMMYFUNCTION("""COMPUTED_VALUE"""),"")</f>
        <v/>
      </c>
      <c r="FL75" s="108" t="str">
        <f>IFERROR(__xludf.DUMMYFUNCTION("""COMPUTED_VALUE"""),"")</f>
        <v/>
      </c>
      <c r="FM75" s="108" t="str">
        <f>IFERROR(__xludf.DUMMYFUNCTION("""COMPUTED_VALUE"""),"")</f>
        <v/>
      </c>
      <c r="FN75" s="108" t="str">
        <f>IFERROR(__xludf.DUMMYFUNCTION("""COMPUTED_VALUE"""),"")</f>
        <v/>
      </c>
      <c r="FO75" s="108" t="str">
        <f>IFERROR(__xludf.DUMMYFUNCTION("""COMPUTED_VALUE"""),"")</f>
        <v/>
      </c>
    </row>
    <row r="76">
      <c r="A76" s="106" t="str">
        <f>IFERROR(__xludf.DUMMYFUNCTION("""COMPUTED_VALUE"""),"")</f>
        <v/>
      </c>
      <c r="B76" s="110" t="str">
        <f>IFERROR(__xludf.DUMMYFUNCTION("""COMPUTED_VALUE"""),"")</f>
        <v/>
      </c>
      <c r="C76" s="110" t="str">
        <f>IFERROR(__xludf.DUMMYFUNCTION("""COMPUTED_VALUE"""),"")</f>
        <v/>
      </c>
      <c r="D76" s="110" t="str">
        <f>IFERROR(__xludf.DUMMYFUNCTION("""COMPUTED_VALUE"""),"")</f>
        <v/>
      </c>
      <c r="E76" s="110" t="str">
        <f>IFERROR(__xludf.DUMMYFUNCTION("""COMPUTED_VALUE"""),"")</f>
        <v/>
      </c>
      <c r="F76" s="110" t="str">
        <f>IFERROR(__xludf.DUMMYFUNCTION("""COMPUTED_VALUE"""),"")</f>
        <v/>
      </c>
      <c r="G76" s="110" t="str">
        <f>IFERROR(__xludf.DUMMYFUNCTION("""COMPUTED_VALUE"""),"")</f>
        <v/>
      </c>
      <c r="H76" s="110" t="str">
        <f>IFERROR(__xludf.DUMMYFUNCTION("""COMPUTED_VALUE"""),"")</f>
        <v/>
      </c>
      <c r="I76" s="110" t="str">
        <f>IFERROR(__xludf.DUMMYFUNCTION("""COMPUTED_VALUE"""),"")</f>
        <v/>
      </c>
      <c r="J76" s="110" t="str">
        <f>IFERROR(__xludf.DUMMYFUNCTION("""COMPUTED_VALUE"""),"")</f>
        <v/>
      </c>
      <c r="K76" s="110" t="str">
        <f>IFERROR(__xludf.DUMMYFUNCTION("""COMPUTED_VALUE"""),"")</f>
        <v/>
      </c>
      <c r="L76" s="110" t="str">
        <f>IFERROR(__xludf.DUMMYFUNCTION("""COMPUTED_VALUE"""),"")</f>
        <v/>
      </c>
      <c r="M76" s="110" t="str">
        <f>IFERROR(__xludf.DUMMYFUNCTION("""COMPUTED_VALUE"""),"")</f>
        <v/>
      </c>
      <c r="N76" s="110" t="str">
        <f>IFERROR(__xludf.DUMMYFUNCTION("""COMPUTED_VALUE"""),"")</f>
        <v/>
      </c>
      <c r="O76" s="110" t="str">
        <f>IFERROR(__xludf.DUMMYFUNCTION("""COMPUTED_VALUE"""),"")</f>
        <v/>
      </c>
      <c r="P76" s="110" t="str">
        <f>IFERROR(__xludf.DUMMYFUNCTION("""COMPUTED_VALUE"""),"")</f>
        <v/>
      </c>
      <c r="Q76" s="110" t="str">
        <f>IFERROR(__xludf.DUMMYFUNCTION("""COMPUTED_VALUE"""),"")</f>
        <v/>
      </c>
      <c r="R76" s="110" t="str">
        <f>IFERROR(__xludf.DUMMYFUNCTION("""COMPUTED_VALUE"""),"")</f>
        <v/>
      </c>
      <c r="S76" s="110" t="str">
        <f>IFERROR(__xludf.DUMMYFUNCTION("""COMPUTED_VALUE"""),"")</f>
        <v/>
      </c>
      <c r="T76" s="110" t="str">
        <f>IFERROR(__xludf.DUMMYFUNCTION("""COMPUTED_VALUE"""),"")</f>
        <v/>
      </c>
      <c r="U76" s="110" t="str">
        <f>IFERROR(__xludf.DUMMYFUNCTION("""COMPUTED_VALUE"""),"")</f>
        <v/>
      </c>
      <c r="V76" s="110" t="str">
        <f>IFERROR(__xludf.DUMMYFUNCTION("""COMPUTED_VALUE"""),"")</f>
        <v/>
      </c>
      <c r="W76" s="110" t="str">
        <f>IFERROR(__xludf.DUMMYFUNCTION("""COMPUTED_VALUE"""),"")</f>
        <v/>
      </c>
      <c r="X76" s="110" t="str">
        <f>IFERROR(__xludf.DUMMYFUNCTION("""COMPUTED_VALUE"""),"")</f>
        <v/>
      </c>
      <c r="Y76" s="110" t="str">
        <f>IFERROR(__xludf.DUMMYFUNCTION("""COMPUTED_VALUE"""),"")</f>
        <v/>
      </c>
      <c r="Z76" s="110" t="str">
        <f>IFERROR(__xludf.DUMMYFUNCTION("""COMPUTED_VALUE"""),"")</f>
        <v/>
      </c>
      <c r="AA76" s="110" t="str">
        <f>IFERROR(__xludf.DUMMYFUNCTION("""COMPUTED_VALUE"""),"")</f>
        <v/>
      </c>
      <c r="AB76" s="110" t="str">
        <f>IFERROR(__xludf.DUMMYFUNCTION("""COMPUTED_VALUE"""),"")</f>
        <v/>
      </c>
      <c r="AC76" s="110" t="str">
        <f>IFERROR(__xludf.DUMMYFUNCTION("""COMPUTED_VALUE"""),"")</f>
        <v/>
      </c>
      <c r="AD76" s="110" t="str">
        <f>IFERROR(__xludf.DUMMYFUNCTION("""COMPUTED_VALUE"""),"")</f>
        <v/>
      </c>
      <c r="AE76" s="110" t="str">
        <f>IFERROR(__xludf.DUMMYFUNCTION("""COMPUTED_VALUE"""),"")</f>
        <v/>
      </c>
      <c r="AF76" s="110" t="str">
        <f>IFERROR(__xludf.DUMMYFUNCTION("""COMPUTED_VALUE"""),"")</f>
        <v/>
      </c>
      <c r="AG76" s="110" t="str">
        <f>IFERROR(__xludf.DUMMYFUNCTION("""COMPUTED_VALUE"""),"")</f>
        <v/>
      </c>
      <c r="AH76" s="110" t="str">
        <f>IFERROR(__xludf.DUMMYFUNCTION("""COMPUTED_VALUE"""),"")</f>
        <v/>
      </c>
      <c r="AI76" s="110" t="str">
        <f>IFERROR(__xludf.DUMMYFUNCTION("""COMPUTED_VALUE"""),"")</f>
        <v/>
      </c>
      <c r="AJ76" s="110" t="str">
        <f>IFERROR(__xludf.DUMMYFUNCTION("""COMPUTED_VALUE"""),"")</f>
        <v/>
      </c>
      <c r="AK76" s="110" t="str">
        <f>IFERROR(__xludf.DUMMYFUNCTION("""COMPUTED_VALUE"""),"")</f>
        <v/>
      </c>
      <c r="AL76" s="110" t="str">
        <f>IFERROR(__xludf.DUMMYFUNCTION("""COMPUTED_VALUE"""),"")</f>
        <v/>
      </c>
      <c r="AM76" s="110" t="str">
        <f>IFERROR(__xludf.DUMMYFUNCTION("""COMPUTED_VALUE"""),"")</f>
        <v/>
      </c>
      <c r="AN76" s="110" t="str">
        <f>IFERROR(__xludf.DUMMYFUNCTION("""COMPUTED_VALUE"""),"")</f>
        <v/>
      </c>
      <c r="AO76" s="110" t="str">
        <f>IFERROR(__xludf.DUMMYFUNCTION("""COMPUTED_VALUE"""),"")</f>
        <v/>
      </c>
      <c r="AP76" s="110" t="str">
        <f>IFERROR(__xludf.DUMMYFUNCTION("""COMPUTED_VALUE"""),"")</f>
        <v/>
      </c>
      <c r="AQ76" s="110" t="str">
        <f>IFERROR(__xludf.DUMMYFUNCTION("""COMPUTED_VALUE"""),"")</f>
        <v/>
      </c>
      <c r="AR76" s="109" t="str">
        <f>IFERROR(__xludf.DUMMYFUNCTION("""COMPUTED_VALUE"""),"")</f>
        <v/>
      </c>
      <c r="AS76" s="110" t="str">
        <f>IFERROR(__xludf.DUMMYFUNCTION("""COMPUTED_VALUE"""),"")</f>
        <v/>
      </c>
      <c r="AT76" s="110" t="str">
        <f>IFERROR(__xludf.DUMMYFUNCTION("""COMPUTED_VALUE"""),"")</f>
        <v/>
      </c>
      <c r="AU76" s="110" t="str">
        <f>IFERROR(__xludf.DUMMYFUNCTION("""COMPUTED_VALUE"""),"")</f>
        <v/>
      </c>
      <c r="AV76" s="110" t="str">
        <f>IFERROR(__xludf.DUMMYFUNCTION("""COMPUTED_VALUE"""),"")</f>
        <v/>
      </c>
      <c r="AW76" s="110" t="str">
        <f>IFERROR(__xludf.DUMMYFUNCTION("""COMPUTED_VALUE"""),"")</f>
        <v/>
      </c>
      <c r="AX76" s="110" t="str">
        <f>IFERROR(__xludf.DUMMYFUNCTION("""COMPUTED_VALUE"""),"")</f>
        <v/>
      </c>
      <c r="AY76" s="110" t="str">
        <f>IFERROR(__xludf.DUMMYFUNCTION("""COMPUTED_VALUE"""),"")</f>
        <v/>
      </c>
      <c r="AZ76" s="110" t="str">
        <f>IFERROR(__xludf.DUMMYFUNCTION("""COMPUTED_VALUE"""),"")</f>
        <v/>
      </c>
      <c r="BA76" s="110" t="str">
        <f>IFERROR(__xludf.DUMMYFUNCTION("""COMPUTED_VALUE"""),"")</f>
        <v/>
      </c>
      <c r="BB76" s="110" t="str">
        <f>IFERROR(__xludf.DUMMYFUNCTION("""COMPUTED_VALUE"""),"")</f>
        <v/>
      </c>
      <c r="BC76" s="110" t="str">
        <f>IFERROR(__xludf.DUMMYFUNCTION("""COMPUTED_VALUE"""),"")</f>
        <v/>
      </c>
      <c r="BD76" s="110" t="str">
        <f>IFERROR(__xludf.DUMMYFUNCTION("""COMPUTED_VALUE"""),"")</f>
        <v/>
      </c>
      <c r="BE76" s="110" t="str">
        <f>IFERROR(__xludf.DUMMYFUNCTION("""COMPUTED_VALUE"""),"")</f>
        <v/>
      </c>
      <c r="BF76" s="110" t="str">
        <f>IFERROR(__xludf.DUMMYFUNCTION("""COMPUTED_VALUE"""),"")</f>
        <v/>
      </c>
      <c r="BG76" s="110" t="str">
        <f>IFERROR(__xludf.DUMMYFUNCTION("""COMPUTED_VALUE"""),"")</f>
        <v/>
      </c>
      <c r="BH76" s="110" t="str">
        <f>IFERROR(__xludf.DUMMYFUNCTION("""COMPUTED_VALUE"""),"")</f>
        <v/>
      </c>
      <c r="BI76" s="110" t="str">
        <f>IFERROR(__xludf.DUMMYFUNCTION("""COMPUTED_VALUE"""),"")</f>
        <v/>
      </c>
      <c r="BJ76" s="110" t="str">
        <f>IFERROR(__xludf.DUMMYFUNCTION("""COMPUTED_VALUE"""),"")</f>
        <v/>
      </c>
      <c r="BK76" s="110" t="str">
        <f>IFERROR(__xludf.DUMMYFUNCTION("""COMPUTED_VALUE"""),"")</f>
        <v/>
      </c>
      <c r="BL76" s="110" t="str">
        <f>IFERROR(__xludf.DUMMYFUNCTION("""COMPUTED_VALUE"""),"")</f>
        <v/>
      </c>
      <c r="BM76" s="110" t="str">
        <f>IFERROR(__xludf.DUMMYFUNCTION("""COMPUTED_VALUE"""),"")</f>
        <v/>
      </c>
      <c r="BN76" s="110" t="str">
        <f>IFERROR(__xludf.DUMMYFUNCTION("""COMPUTED_VALUE"""),"")</f>
        <v/>
      </c>
      <c r="BO76" s="110" t="str">
        <f>IFERROR(__xludf.DUMMYFUNCTION("""COMPUTED_VALUE"""),"")</f>
        <v/>
      </c>
      <c r="BP76" s="110" t="str">
        <f>IFERROR(__xludf.DUMMYFUNCTION("""COMPUTED_VALUE"""),"")</f>
        <v/>
      </c>
      <c r="BQ76" s="110" t="str">
        <f>IFERROR(__xludf.DUMMYFUNCTION("""COMPUTED_VALUE"""),"")</f>
        <v/>
      </c>
      <c r="BR76" s="110" t="str">
        <f>IFERROR(__xludf.DUMMYFUNCTION("""COMPUTED_VALUE"""),"")</f>
        <v/>
      </c>
      <c r="BS76" s="110" t="str">
        <f>IFERROR(__xludf.DUMMYFUNCTION("""COMPUTED_VALUE"""),"")</f>
        <v/>
      </c>
      <c r="BT76" s="110" t="str">
        <f>IFERROR(__xludf.DUMMYFUNCTION("""COMPUTED_VALUE"""),"")</f>
        <v/>
      </c>
      <c r="BU76" s="110" t="str">
        <f>IFERROR(__xludf.DUMMYFUNCTION("""COMPUTED_VALUE"""),"")</f>
        <v/>
      </c>
      <c r="BV76" s="110" t="str">
        <f>IFERROR(__xludf.DUMMYFUNCTION("""COMPUTED_VALUE"""),"")</f>
        <v/>
      </c>
      <c r="BW76" s="110" t="str">
        <f>IFERROR(__xludf.DUMMYFUNCTION("""COMPUTED_VALUE"""),"")</f>
        <v/>
      </c>
      <c r="BX76" s="110" t="str">
        <f>IFERROR(__xludf.DUMMYFUNCTION("""COMPUTED_VALUE"""),"")</f>
        <v/>
      </c>
      <c r="BY76" s="110" t="str">
        <f>IFERROR(__xludf.DUMMYFUNCTION("""COMPUTED_VALUE"""),"")</f>
        <v/>
      </c>
      <c r="BZ76" s="110" t="str">
        <f>IFERROR(__xludf.DUMMYFUNCTION("""COMPUTED_VALUE"""),"")</f>
        <v/>
      </c>
      <c r="CA76" s="110" t="str">
        <f>IFERROR(__xludf.DUMMYFUNCTION("""COMPUTED_VALUE"""),"")</f>
        <v/>
      </c>
      <c r="CB76" s="110" t="str">
        <f>IFERROR(__xludf.DUMMYFUNCTION("""COMPUTED_VALUE"""),"")</f>
        <v/>
      </c>
      <c r="CC76" s="110" t="str">
        <f>IFERROR(__xludf.DUMMYFUNCTION("""COMPUTED_VALUE"""),"")</f>
        <v/>
      </c>
      <c r="CD76" s="110" t="str">
        <f>IFERROR(__xludf.DUMMYFUNCTION("""COMPUTED_VALUE"""),"")</f>
        <v/>
      </c>
      <c r="CE76" s="110" t="str">
        <f>IFERROR(__xludf.DUMMYFUNCTION("""COMPUTED_VALUE"""),"")</f>
        <v/>
      </c>
      <c r="CF76" s="110" t="str">
        <f>IFERROR(__xludf.DUMMYFUNCTION("""COMPUTED_VALUE"""),"")</f>
        <v/>
      </c>
      <c r="CG76" s="110" t="str">
        <f>IFERROR(__xludf.DUMMYFUNCTION("""COMPUTED_VALUE"""),"")</f>
        <v/>
      </c>
      <c r="CH76" s="110" t="str">
        <f>IFERROR(__xludf.DUMMYFUNCTION("""COMPUTED_VALUE"""),"")</f>
        <v/>
      </c>
      <c r="CI76" s="110" t="str">
        <f>IFERROR(__xludf.DUMMYFUNCTION("""COMPUTED_VALUE"""),"")</f>
        <v/>
      </c>
      <c r="CJ76" s="110" t="str">
        <f>IFERROR(__xludf.DUMMYFUNCTION("""COMPUTED_VALUE"""),"")</f>
        <v/>
      </c>
      <c r="CK76" s="110" t="str">
        <f>IFERROR(__xludf.DUMMYFUNCTION("""COMPUTED_VALUE"""),"")</f>
        <v/>
      </c>
      <c r="CL76" s="110" t="str">
        <f>IFERROR(__xludf.DUMMYFUNCTION("""COMPUTED_VALUE"""),"")</f>
        <v/>
      </c>
      <c r="CM76" s="110" t="str">
        <f>IFERROR(__xludf.DUMMYFUNCTION("""COMPUTED_VALUE"""),"")</f>
        <v/>
      </c>
      <c r="CN76" s="110" t="str">
        <f>IFERROR(__xludf.DUMMYFUNCTION("""COMPUTED_VALUE"""),"")</f>
        <v/>
      </c>
      <c r="CO76" s="110" t="str">
        <f>IFERROR(__xludf.DUMMYFUNCTION("""COMPUTED_VALUE"""),"")</f>
        <v/>
      </c>
      <c r="CP76" s="110" t="str">
        <f>IFERROR(__xludf.DUMMYFUNCTION("""COMPUTED_VALUE"""),"")</f>
        <v/>
      </c>
      <c r="CQ76" s="110" t="str">
        <f>IFERROR(__xludf.DUMMYFUNCTION("""COMPUTED_VALUE"""),"")</f>
        <v/>
      </c>
      <c r="CR76" s="110" t="str">
        <f>IFERROR(__xludf.DUMMYFUNCTION("""COMPUTED_VALUE"""),"")</f>
        <v/>
      </c>
      <c r="CS76" s="110" t="str">
        <f>IFERROR(__xludf.DUMMYFUNCTION("""COMPUTED_VALUE"""),"")</f>
        <v/>
      </c>
      <c r="CT76" s="110" t="str">
        <f>IFERROR(__xludf.DUMMYFUNCTION("""COMPUTED_VALUE"""),"")</f>
        <v/>
      </c>
      <c r="CU76" s="110" t="str">
        <f>IFERROR(__xludf.DUMMYFUNCTION("""COMPUTED_VALUE"""),"")</f>
        <v/>
      </c>
      <c r="CV76" s="110" t="str">
        <f>IFERROR(__xludf.DUMMYFUNCTION("""COMPUTED_VALUE"""),"")</f>
        <v/>
      </c>
      <c r="CW76" s="110" t="str">
        <f>IFERROR(__xludf.DUMMYFUNCTION("""COMPUTED_VALUE"""),"")</f>
        <v/>
      </c>
      <c r="CX76" s="110" t="str">
        <f>IFERROR(__xludf.DUMMYFUNCTION("""COMPUTED_VALUE"""),"")</f>
        <v/>
      </c>
      <c r="CY76" s="110" t="str">
        <f>IFERROR(__xludf.DUMMYFUNCTION("""COMPUTED_VALUE"""),"")</f>
        <v/>
      </c>
      <c r="CZ76" s="110" t="str">
        <f>IFERROR(__xludf.DUMMYFUNCTION("""COMPUTED_VALUE"""),"")</f>
        <v/>
      </c>
      <c r="DA76" s="110" t="str">
        <f>IFERROR(__xludf.DUMMYFUNCTION("""COMPUTED_VALUE"""),"")</f>
        <v/>
      </c>
      <c r="DB76" s="110" t="str">
        <f>IFERROR(__xludf.DUMMYFUNCTION("""COMPUTED_VALUE"""),"")</f>
        <v/>
      </c>
      <c r="DC76" s="110" t="str">
        <f>IFERROR(__xludf.DUMMYFUNCTION("""COMPUTED_VALUE"""),"")</f>
        <v/>
      </c>
      <c r="DD76" s="110" t="str">
        <f>IFERROR(__xludf.DUMMYFUNCTION("""COMPUTED_VALUE"""),"")</f>
        <v/>
      </c>
      <c r="DE76" s="110" t="str">
        <f>IFERROR(__xludf.DUMMYFUNCTION("""COMPUTED_VALUE"""),"")</f>
        <v/>
      </c>
      <c r="DF76" s="110" t="str">
        <f>IFERROR(__xludf.DUMMYFUNCTION("""COMPUTED_VALUE"""),"")</f>
        <v/>
      </c>
      <c r="DG76" s="110" t="str">
        <f>IFERROR(__xludf.DUMMYFUNCTION("""COMPUTED_VALUE"""),"")</f>
        <v/>
      </c>
      <c r="DH76" s="110" t="str">
        <f>IFERROR(__xludf.DUMMYFUNCTION("""COMPUTED_VALUE"""),"")</f>
        <v/>
      </c>
      <c r="DI76" s="110" t="str">
        <f>IFERROR(__xludf.DUMMYFUNCTION("""COMPUTED_VALUE"""),"")</f>
        <v/>
      </c>
      <c r="DJ76" s="110" t="str">
        <f>IFERROR(__xludf.DUMMYFUNCTION("""COMPUTED_VALUE"""),"")</f>
        <v/>
      </c>
      <c r="DK76" s="110" t="str">
        <f>IFERROR(__xludf.DUMMYFUNCTION("""COMPUTED_VALUE"""),"")</f>
        <v/>
      </c>
      <c r="DL76" s="110" t="str">
        <f>IFERROR(__xludf.DUMMYFUNCTION("""COMPUTED_VALUE"""),"")</f>
        <v/>
      </c>
      <c r="DM76" s="110" t="str">
        <f>IFERROR(__xludf.DUMMYFUNCTION("""COMPUTED_VALUE"""),"")</f>
        <v/>
      </c>
      <c r="DN76" s="110" t="str">
        <f>IFERROR(__xludf.DUMMYFUNCTION("""COMPUTED_VALUE"""),"")</f>
        <v/>
      </c>
      <c r="DO76" s="110" t="str">
        <f>IFERROR(__xludf.DUMMYFUNCTION("""COMPUTED_VALUE"""),"")</f>
        <v/>
      </c>
      <c r="DP76" s="110" t="str">
        <f>IFERROR(__xludf.DUMMYFUNCTION("""COMPUTED_VALUE"""),"")</f>
        <v/>
      </c>
      <c r="DQ76" s="110" t="str">
        <f>IFERROR(__xludf.DUMMYFUNCTION("""COMPUTED_VALUE"""),"")</f>
        <v/>
      </c>
      <c r="DR76" s="110" t="str">
        <f>IFERROR(__xludf.DUMMYFUNCTION("""COMPUTED_VALUE"""),"")</f>
        <v/>
      </c>
      <c r="DS76" s="110" t="str">
        <f>IFERROR(__xludf.DUMMYFUNCTION("""COMPUTED_VALUE"""),"")</f>
        <v/>
      </c>
      <c r="DT76" s="110" t="str">
        <f>IFERROR(__xludf.DUMMYFUNCTION("""COMPUTED_VALUE"""),"")</f>
        <v/>
      </c>
      <c r="DU76" s="110" t="str">
        <f>IFERROR(__xludf.DUMMYFUNCTION("""COMPUTED_VALUE"""),"")</f>
        <v/>
      </c>
      <c r="DV76" s="110" t="str">
        <f>IFERROR(__xludf.DUMMYFUNCTION("""COMPUTED_VALUE"""),"")</f>
        <v/>
      </c>
      <c r="DW76" s="110" t="str">
        <f>IFERROR(__xludf.DUMMYFUNCTION("""COMPUTED_VALUE"""),"")</f>
        <v/>
      </c>
      <c r="DX76" s="110" t="str">
        <f>IFERROR(__xludf.DUMMYFUNCTION("""COMPUTED_VALUE"""),"")</f>
        <v/>
      </c>
      <c r="DY76" s="110" t="str">
        <f>IFERROR(__xludf.DUMMYFUNCTION("""COMPUTED_VALUE"""),"")</f>
        <v/>
      </c>
      <c r="DZ76" s="110" t="str">
        <f>IFERROR(__xludf.DUMMYFUNCTION("""COMPUTED_VALUE"""),"")</f>
        <v/>
      </c>
      <c r="EA76" s="110" t="str">
        <f>IFERROR(__xludf.DUMMYFUNCTION("""COMPUTED_VALUE"""),"")</f>
        <v/>
      </c>
      <c r="EB76" s="110" t="str">
        <f>IFERROR(__xludf.DUMMYFUNCTION("""COMPUTED_VALUE"""),"")</f>
        <v/>
      </c>
      <c r="EC76" s="110" t="str">
        <f>IFERROR(__xludf.DUMMYFUNCTION("""COMPUTED_VALUE"""),"")</f>
        <v/>
      </c>
      <c r="ED76" s="110" t="str">
        <f>IFERROR(__xludf.DUMMYFUNCTION("""COMPUTED_VALUE"""),"")</f>
        <v/>
      </c>
      <c r="EE76" s="110" t="str">
        <f>IFERROR(__xludf.DUMMYFUNCTION("""COMPUTED_VALUE"""),"")</f>
        <v/>
      </c>
      <c r="EF76" s="110" t="str">
        <f>IFERROR(__xludf.DUMMYFUNCTION("""COMPUTED_VALUE"""),"")</f>
        <v/>
      </c>
      <c r="EG76" s="110" t="str">
        <f>IFERROR(__xludf.DUMMYFUNCTION("""COMPUTED_VALUE"""),"")</f>
        <v/>
      </c>
      <c r="EH76" s="110" t="str">
        <f>IFERROR(__xludf.DUMMYFUNCTION("""COMPUTED_VALUE"""),"")</f>
        <v/>
      </c>
      <c r="EI76" s="110" t="str">
        <f>IFERROR(__xludf.DUMMYFUNCTION("""COMPUTED_VALUE"""),"")</f>
        <v/>
      </c>
      <c r="EJ76" s="110" t="str">
        <f>IFERROR(__xludf.DUMMYFUNCTION("""COMPUTED_VALUE"""),"")</f>
        <v/>
      </c>
      <c r="EK76" s="110" t="str">
        <f>IFERROR(__xludf.DUMMYFUNCTION("""COMPUTED_VALUE"""),"")</f>
        <v/>
      </c>
      <c r="EL76" s="110" t="str">
        <f>IFERROR(__xludf.DUMMYFUNCTION("""COMPUTED_VALUE"""),"")</f>
        <v/>
      </c>
      <c r="EM76" s="110" t="str">
        <f>IFERROR(__xludf.DUMMYFUNCTION("""COMPUTED_VALUE"""),"")</f>
        <v/>
      </c>
      <c r="EN76" s="110" t="str">
        <f>IFERROR(__xludf.DUMMYFUNCTION("""COMPUTED_VALUE"""),"")</f>
        <v/>
      </c>
      <c r="EO76" s="110" t="str">
        <f>IFERROR(__xludf.DUMMYFUNCTION("""COMPUTED_VALUE"""),"")</f>
        <v/>
      </c>
      <c r="EP76" s="110" t="str">
        <f>IFERROR(__xludf.DUMMYFUNCTION("""COMPUTED_VALUE"""),"")</f>
        <v/>
      </c>
      <c r="EQ76" s="110" t="str">
        <f>IFERROR(__xludf.DUMMYFUNCTION("""COMPUTED_VALUE"""),"")</f>
        <v/>
      </c>
      <c r="ER76" s="110" t="str">
        <f>IFERROR(__xludf.DUMMYFUNCTION("""COMPUTED_VALUE"""),"")</f>
        <v/>
      </c>
      <c r="ES76" s="110" t="str">
        <f>IFERROR(__xludf.DUMMYFUNCTION("""COMPUTED_VALUE"""),"")</f>
        <v/>
      </c>
      <c r="ET76" s="110" t="str">
        <f>IFERROR(__xludf.DUMMYFUNCTION("""COMPUTED_VALUE"""),"")</f>
        <v/>
      </c>
      <c r="EU76" s="110" t="str">
        <f>IFERROR(__xludf.DUMMYFUNCTION("""COMPUTED_VALUE"""),"")</f>
        <v/>
      </c>
      <c r="EV76" s="110" t="str">
        <f>IFERROR(__xludf.DUMMYFUNCTION("""COMPUTED_VALUE"""),"")</f>
        <v/>
      </c>
      <c r="EW76" s="110" t="str">
        <f>IFERROR(__xludf.DUMMYFUNCTION("""COMPUTED_VALUE"""),"")</f>
        <v/>
      </c>
      <c r="EX76" s="108" t="str">
        <f>IFERROR(__xludf.DUMMYFUNCTION("""COMPUTED_VALUE"""),"")</f>
        <v/>
      </c>
      <c r="EY76" s="108" t="str">
        <f>IFERROR(__xludf.DUMMYFUNCTION("""COMPUTED_VALUE"""),"")</f>
        <v/>
      </c>
      <c r="EZ76" s="108" t="str">
        <f>IFERROR(__xludf.DUMMYFUNCTION("""COMPUTED_VALUE"""),"")</f>
        <v/>
      </c>
      <c r="FA76" s="108" t="str">
        <f>IFERROR(__xludf.DUMMYFUNCTION("""COMPUTED_VALUE"""),"")</f>
        <v/>
      </c>
      <c r="FB76" s="108" t="str">
        <f>IFERROR(__xludf.DUMMYFUNCTION("""COMPUTED_VALUE"""),"")</f>
        <v/>
      </c>
      <c r="FC76" s="108" t="str">
        <f>IFERROR(__xludf.DUMMYFUNCTION("""COMPUTED_VALUE"""),"")</f>
        <v/>
      </c>
      <c r="FD76" s="108" t="str">
        <f>IFERROR(__xludf.DUMMYFUNCTION("""COMPUTED_VALUE"""),"")</f>
        <v/>
      </c>
      <c r="FE76" s="108" t="str">
        <f>IFERROR(__xludf.DUMMYFUNCTION("""COMPUTED_VALUE"""),"")</f>
        <v/>
      </c>
      <c r="FF76" s="108" t="str">
        <f>IFERROR(__xludf.DUMMYFUNCTION("""COMPUTED_VALUE"""),"")</f>
        <v/>
      </c>
      <c r="FG76" s="108" t="str">
        <f>IFERROR(__xludf.DUMMYFUNCTION("""COMPUTED_VALUE"""),"")</f>
        <v/>
      </c>
      <c r="FH76" s="108" t="str">
        <f>IFERROR(__xludf.DUMMYFUNCTION("""COMPUTED_VALUE"""),"")</f>
        <v/>
      </c>
      <c r="FI76" s="108" t="str">
        <f>IFERROR(__xludf.DUMMYFUNCTION("""COMPUTED_VALUE"""),"")</f>
        <v/>
      </c>
      <c r="FJ76" s="108" t="str">
        <f>IFERROR(__xludf.DUMMYFUNCTION("""COMPUTED_VALUE"""),"")</f>
        <v/>
      </c>
      <c r="FK76" s="108" t="str">
        <f>IFERROR(__xludf.DUMMYFUNCTION("""COMPUTED_VALUE"""),"")</f>
        <v/>
      </c>
      <c r="FL76" s="108" t="str">
        <f>IFERROR(__xludf.DUMMYFUNCTION("""COMPUTED_VALUE"""),"")</f>
        <v/>
      </c>
      <c r="FM76" s="108" t="str">
        <f>IFERROR(__xludf.DUMMYFUNCTION("""COMPUTED_VALUE"""),"")</f>
        <v/>
      </c>
      <c r="FN76" s="108" t="str">
        <f>IFERROR(__xludf.DUMMYFUNCTION("""COMPUTED_VALUE"""),"")</f>
        <v/>
      </c>
      <c r="FO76" s="108" t="str">
        <f>IFERROR(__xludf.DUMMYFUNCTION("""COMPUTED_VALUE"""),"")</f>
        <v/>
      </c>
    </row>
    <row r="77">
      <c r="A77" s="106" t="str">
        <f>IFERROR(__xludf.DUMMYFUNCTION("""COMPUTED_VALUE"""),"")</f>
        <v/>
      </c>
      <c r="B77" s="110" t="str">
        <f>IFERROR(__xludf.DUMMYFUNCTION("""COMPUTED_VALUE"""),"")</f>
        <v/>
      </c>
      <c r="C77" s="110" t="str">
        <f>IFERROR(__xludf.DUMMYFUNCTION("""COMPUTED_VALUE"""),"")</f>
        <v/>
      </c>
      <c r="D77" s="110" t="str">
        <f>IFERROR(__xludf.DUMMYFUNCTION("""COMPUTED_VALUE"""),"")</f>
        <v/>
      </c>
      <c r="E77" s="110" t="str">
        <f>IFERROR(__xludf.DUMMYFUNCTION("""COMPUTED_VALUE"""),"")</f>
        <v/>
      </c>
      <c r="F77" s="110" t="str">
        <f>IFERROR(__xludf.DUMMYFUNCTION("""COMPUTED_VALUE"""),"")</f>
        <v/>
      </c>
      <c r="G77" s="110" t="str">
        <f>IFERROR(__xludf.DUMMYFUNCTION("""COMPUTED_VALUE"""),"")</f>
        <v/>
      </c>
      <c r="H77" s="110" t="str">
        <f>IFERROR(__xludf.DUMMYFUNCTION("""COMPUTED_VALUE"""),"")</f>
        <v/>
      </c>
      <c r="I77" s="110" t="str">
        <f>IFERROR(__xludf.DUMMYFUNCTION("""COMPUTED_VALUE"""),"")</f>
        <v/>
      </c>
      <c r="J77" s="110" t="str">
        <f>IFERROR(__xludf.DUMMYFUNCTION("""COMPUTED_VALUE"""),"")</f>
        <v/>
      </c>
      <c r="K77" s="110" t="str">
        <f>IFERROR(__xludf.DUMMYFUNCTION("""COMPUTED_VALUE"""),"")</f>
        <v/>
      </c>
      <c r="L77" s="110" t="str">
        <f>IFERROR(__xludf.DUMMYFUNCTION("""COMPUTED_VALUE"""),"")</f>
        <v/>
      </c>
      <c r="M77" s="110" t="str">
        <f>IFERROR(__xludf.DUMMYFUNCTION("""COMPUTED_VALUE"""),"")</f>
        <v/>
      </c>
      <c r="N77" s="110" t="str">
        <f>IFERROR(__xludf.DUMMYFUNCTION("""COMPUTED_VALUE"""),"")</f>
        <v/>
      </c>
      <c r="O77" s="110" t="str">
        <f>IFERROR(__xludf.DUMMYFUNCTION("""COMPUTED_VALUE"""),"")</f>
        <v/>
      </c>
      <c r="P77" s="110" t="str">
        <f>IFERROR(__xludf.DUMMYFUNCTION("""COMPUTED_VALUE"""),"")</f>
        <v/>
      </c>
      <c r="Q77" s="110" t="str">
        <f>IFERROR(__xludf.DUMMYFUNCTION("""COMPUTED_VALUE"""),"")</f>
        <v/>
      </c>
      <c r="R77" s="110" t="str">
        <f>IFERROR(__xludf.DUMMYFUNCTION("""COMPUTED_VALUE"""),"")</f>
        <v/>
      </c>
      <c r="S77" s="110" t="str">
        <f>IFERROR(__xludf.DUMMYFUNCTION("""COMPUTED_VALUE"""),"")</f>
        <v/>
      </c>
      <c r="T77" s="110" t="str">
        <f>IFERROR(__xludf.DUMMYFUNCTION("""COMPUTED_VALUE"""),"")</f>
        <v/>
      </c>
      <c r="U77" s="110" t="str">
        <f>IFERROR(__xludf.DUMMYFUNCTION("""COMPUTED_VALUE"""),"")</f>
        <v/>
      </c>
      <c r="V77" s="110" t="str">
        <f>IFERROR(__xludf.DUMMYFUNCTION("""COMPUTED_VALUE"""),"")</f>
        <v/>
      </c>
      <c r="W77" s="110" t="str">
        <f>IFERROR(__xludf.DUMMYFUNCTION("""COMPUTED_VALUE"""),"")</f>
        <v/>
      </c>
      <c r="X77" s="110" t="str">
        <f>IFERROR(__xludf.DUMMYFUNCTION("""COMPUTED_VALUE"""),"")</f>
        <v/>
      </c>
      <c r="Y77" s="110" t="str">
        <f>IFERROR(__xludf.DUMMYFUNCTION("""COMPUTED_VALUE"""),"")</f>
        <v/>
      </c>
      <c r="Z77" s="110" t="str">
        <f>IFERROR(__xludf.DUMMYFUNCTION("""COMPUTED_VALUE"""),"")</f>
        <v/>
      </c>
      <c r="AA77" s="110" t="str">
        <f>IFERROR(__xludf.DUMMYFUNCTION("""COMPUTED_VALUE"""),"")</f>
        <v/>
      </c>
      <c r="AB77" s="110" t="str">
        <f>IFERROR(__xludf.DUMMYFUNCTION("""COMPUTED_VALUE"""),"")</f>
        <v/>
      </c>
      <c r="AC77" s="110" t="str">
        <f>IFERROR(__xludf.DUMMYFUNCTION("""COMPUTED_VALUE"""),"")</f>
        <v/>
      </c>
      <c r="AD77" s="110" t="str">
        <f>IFERROR(__xludf.DUMMYFUNCTION("""COMPUTED_VALUE"""),"")</f>
        <v/>
      </c>
      <c r="AE77" s="110" t="str">
        <f>IFERROR(__xludf.DUMMYFUNCTION("""COMPUTED_VALUE"""),"")</f>
        <v/>
      </c>
      <c r="AF77" s="110" t="str">
        <f>IFERROR(__xludf.DUMMYFUNCTION("""COMPUTED_VALUE"""),"")</f>
        <v/>
      </c>
      <c r="AG77" s="110" t="str">
        <f>IFERROR(__xludf.DUMMYFUNCTION("""COMPUTED_VALUE"""),"")</f>
        <v/>
      </c>
      <c r="AH77" s="110" t="str">
        <f>IFERROR(__xludf.DUMMYFUNCTION("""COMPUTED_VALUE"""),"")</f>
        <v/>
      </c>
      <c r="AI77" s="110" t="str">
        <f>IFERROR(__xludf.DUMMYFUNCTION("""COMPUTED_VALUE"""),"")</f>
        <v/>
      </c>
      <c r="AJ77" s="110" t="str">
        <f>IFERROR(__xludf.DUMMYFUNCTION("""COMPUTED_VALUE"""),"")</f>
        <v/>
      </c>
      <c r="AK77" s="110" t="str">
        <f>IFERROR(__xludf.DUMMYFUNCTION("""COMPUTED_VALUE"""),"")</f>
        <v/>
      </c>
      <c r="AL77" s="110" t="str">
        <f>IFERROR(__xludf.DUMMYFUNCTION("""COMPUTED_VALUE"""),"")</f>
        <v/>
      </c>
      <c r="AM77" s="110" t="str">
        <f>IFERROR(__xludf.DUMMYFUNCTION("""COMPUTED_VALUE"""),"")</f>
        <v/>
      </c>
      <c r="AN77" s="110" t="str">
        <f>IFERROR(__xludf.DUMMYFUNCTION("""COMPUTED_VALUE"""),"")</f>
        <v/>
      </c>
      <c r="AO77" s="110" t="str">
        <f>IFERROR(__xludf.DUMMYFUNCTION("""COMPUTED_VALUE"""),"")</f>
        <v/>
      </c>
      <c r="AP77" s="110" t="str">
        <f>IFERROR(__xludf.DUMMYFUNCTION("""COMPUTED_VALUE"""),"")</f>
        <v/>
      </c>
      <c r="AQ77" s="110" t="str">
        <f>IFERROR(__xludf.DUMMYFUNCTION("""COMPUTED_VALUE"""),"")</f>
        <v/>
      </c>
      <c r="AR77" s="109" t="str">
        <f>IFERROR(__xludf.DUMMYFUNCTION("""COMPUTED_VALUE"""),"")</f>
        <v/>
      </c>
      <c r="AS77" s="110" t="str">
        <f>IFERROR(__xludf.DUMMYFUNCTION("""COMPUTED_VALUE"""),"")</f>
        <v/>
      </c>
      <c r="AT77" s="110" t="str">
        <f>IFERROR(__xludf.DUMMYFUNCTION("""COMPUTED_VALUE"""),"")</f>
        <v/>
      </c>
      <c r="AU77" s="110" t="str">
        <f>IFERROR(__xludf.DUMMYFUNCTION("""COMPUTED_VALUE"""),"")</f>
        <v/>
      </c>
      <c r="AV77" s="110" t="str">
        <f>IFERROR(__xludf.DUMMYFUNCTION("""COMPUTED_VALUE"""),"")</f>
        <v/>
      </c>
      <c r="AW77" s="110" t="str">
        <f>IFERROR(__xludf.DUMMYFUNCTION("""COMPUTED_VALUE"""),"")</f>
        <v/>
      </c>
      <c r="AX77" s="110" t="str">
        <f>IFERROR(__xludf.DUMMYFUNCTION("""COMPUTED_VALUE"""),"")</f>
        <v/>
      </c>
      <c r="AY77" s="110" t="str">
        <f>IFERROR(__xludf.DUMMYFUNCTION("""COMPUTED_VALUE"""),"")</f>
        <v/>
      </c>
      <c r="AZ77" s="110" t="str">
        <f>IFERROR(__xludf.DUMMYFUNCTION("""COMPUTED_VALUE"""),"")</f>
        <v/>
      </c>
      <c r="BA77" s="110" t="str">
        <f>IFERROR(__xludf.DUMMYFUNCTION("""COMPUTED_VALUE"""),"")</f>
        <v/>
      </c>
      <c r="BB77" s="110" t="str">
        <f>IFERROR(__xludf.DUMMYFUNCTION("""COMPUTED_VALUE"""),"")</f>
        <v/>
      </c>
      <c r="BC77" s="110" t="str">
        <f>IFERROR(__xludf.DUMMYFUNCTION("""COMPUTED_VALUE"""),"")</f>
        <v/>
      </c>
      <c r="BD77" s="110" t="str">
        <f>IFERROR(__xludf.DUMMYFUNCTION("""COMPUTED_VALUE"""),"")</f>
        <v/>
      </c>
      <c r="BE77" s="110" t="str">
        <f>IFERROR(__xludf.DUMMYFUNCTION("""COMPUTED_VALUE"""),"")</f>
        <v/>
      </c>
      <c r="BF77" s="110" t="str">
        <f>IFERROR(__xludf.DUMMYFUNCTION("""COMPUTED_VALUE"""),"")</f>
        <v/>
      </c>
      <c r="BG77" s="110" t="str">
        <f>IFERROR(__xludf.DUMMYFUNCTION("""COMPUTED_VALUE"""),"")</f>
        <v/>
      </c>
      <c r="BH77" s="110" t="str">
        <f>IFERROR(__xludf.DUMMYFUNCTION("""COMPUTED_VALUE"""),"")</f>
        <v/>
      </c>
      <c r="BI77" s="110" t="str">
        <f>IFERROR(__xludf.DUMMYFUNCTION("""COMPUTED_VALUE"""),"")</f>
        <v/>
      </c>
      <c r="BJ77" s="110" t="str">
        <f>IFERROR(__xludf.DUMMYFUNCTION("""COMPUTED_VALUE"""),"")</f>
        <v/>
      </c>
      <c r="BK77" s="110" t="str">
        <f>IFERROR(__xludf.DUMMYFUNCTION("""COMPUTED_VALUE"""),"")</f>
        <v/>
      </c>
      <c r="BL77" s="110" t="str">
        <f>IFERROR(__xludf.DUMMYFUNCTION("""COMPUTED_VALUE"""),"")</f>
        <v/>
      </c>
      <c r="BM77" s="110" t="str">
        <f>IFERROR(__xludf.DUMMYFUNCTION("""COMPUTED_VALUE"""),"")</f>
        <v/>
      </c>
      <c r="BN77" s="110" t="str">
        <f>IFERROR(__xludf.DUMMYFUNCTION("""COMPUTED_VALUE"""),"")</f>
        <v/>
      </c>
      <c r="BO77" s="110" t="str">
        <f>IFERROR(__xludf.DUMMYFUNCTION("""COMPUTED_VALUE"""),"")</f>
        <v/>
      </c>
      <c r="BP77" s="110" t="str">
        <f>IFERROR(__xludf.DUMMYFUNCTION("""COMPUTED_VALUE"""),"")</f>
        <v/>
      </c>
      <c r="BQ77" s="110" t="str">
        <f>IFERROR(__xludf.DUMMYFUNCTION("""COMPUTED_VALUE"""),"")</f>
        <v/>
      </c>
      <c r="BR77" s="110" t="str">
        <f>IFERROR(__xludf.DUMMYFUNCTION("""COMPUTED_VALUE"""),"")</f>
        <v/>
      </c>
      <c r="BS77" s="110" t="str">
        <f>IFERROR(__xludf.DUMMYFUNCTION("""COMPUTED_VALUE"""),"")</f>
        <v/>
      </c>
      <c r="BT77" s="110" t="str">
        <f>IFERROR(__xludf.DUMMYFUNCTION("""COMPUTED_VALUE"""),"")</f>
        <v/>
      </c>
      <c r="BU77" s="110" t="str">
        <f>IFERROR(__xludf.DUMMYFUNCTION("""COMPUTED_VALUE"""),"")</f>
        <v/>
      </c>
      <c r="BV77" s="110" t="str">
        <f>IFERROR(__xludf.DUMMYFUNCTION("""COMPUTED_VALUE"""),"")</f>
        <v/>
      </c>
      <c r="BW77" s="110" t="str">
        <f>IFERROR(__xludf.DUMMYFUNCTION("""COMPUTED_VALUE"""),"")</f>
        <v/>
      </c>
      <c r="BX77" s="110" t="str">
        <f>IFERROR(__xludf.DUMMYFUNCTION("""COMPUTED_VALUE"""),"")</f>
        <v/>
      </c>
      <c r="BY77" s="110" t="str">
        <f>IFERROR(__xludf.DUMMYFUNCTION("""COMPUTED_VALUE"""),"")</f>
        <v/>
      </c>
      <c r="BZ77" s="110" t="str">
        <f>IFERROR(__xludf.DUMMYFUNCTION("""COMPUTED_VALUE"""),"")</f>
        <v/>
      </c>
      <c r="CA77" s="110" t="str">
        <f>IFERROR(__xludf.DUMMYFUNCTION("""COMPUTED_VALUE"""),"")</f>
        <v/>
      </c>
      <c r="CB77" s="110" t="str">
        <f>IFERROR(__xludf.DUMMYFUNCTION("""COMPUTED_VALUE"""),"")</f>
        <v/>
      </c>
      <c r="CC77" s="110" t="str">
        <f>IFERROR(__xludf.DUMMYFUNCTION("""COMPUTED_VALUE"""),"")</f>
        <v/>
      </c>
      <c r="CD77" s="110" t="str">
        <f>IFERROR(__xludf.DUMMYFUNCTION("""COMPUTED_VALUE"""),"")</f>
        <v/>
      </c>
      <c r="CE77" s="110" t="str">
        <f>IFERROR(__xludf.DUMMYFUNCTION("""COMPUTED_VALUE"""),"")</f>
        <v/>
      </c>
      <c r="CF77" s="110" t="str">
        <f>IFERROR(__xludf.DUMMYFUNCTION("""COMPUTED_VALUE"""),"")</f>
        <v/>
      </c>
      <c r="CG77" s="110" t="str">
        <f>IFERROR(__xludf.DUMMYFUNCTION("""COMPUTED_VALUE"""),"")</f>
        <v/>
      </c>
      <c r="CH77" s="110" t="str">
        <f>IFERROR(__xludf.DUMMYFUNCTION("""COMPUTED_VALUE"""),"")</f>
        <v/>
      </c>
      <c r="CI77" s="110" t="str">
        <f>IFERROR(__xludf.DUMMYFUNCTION("""COMPUTED_VALUE"""),"")</f>
        <v/>
      </c>
      <c r="CJ77" s="110" t="str">
        <f>IFERROR(__xludf.DUMMYFUNCTION("""COMPUTED_VALUE"""),"")</f>
        <v/>
      </c>
      <c r="CK77" s="110" t="str">
        <f>IFERROR(__xludf.DUMMYFUNCTION("""COMPUTED_VALUE"""),"")</f>
        <v/>
      </c>
      <c r="CL77" s="110" t="str">
        <f>IFERROR(__xludf.DUMMYFUNCTION("""COMPUTED_VALUE"""),"")</f>
        <v/>
      </c>
      <c r="CM77" s="110" t="str">
        <f>IFERROR(__xludf.DUMMYFUNCTION("""COMPUTED_VALUE"""),"")</f>
        <v/>
      </c>
      <c r="CN77" s="110" t="str">
        <f>IFERROR(__xludf.DUMMYFUNCTION("""COMPUTED_VALUE"""),"")</f>
        <v/>
      </c>
      <c r="CO77" s="110" t="str">
        <f>IFERROR(__xludf.DUMMYFUNCTION("""COMPUTED_VALUE"""),"")</f>
        <v/>
      </c>
      <c r="CP77" s="110" t="str">
        <f>IFERROR(__xludf.DUMMYFUNCTION("""COMPUTED_VALUE"""),"")</f>
        <v/>
      </c>
      <c r="CQ77" s="110" t="str">
        <f>IFERROR(__xludf.DUMMYFUNCTION("""COMPUTED_VALUE"""),"")</f>
        <v/>
      </c>
      <c r="CR77" s="110" t="str">
        <f>IFERROR(__xludf.DUMMYFUNCTION("""COMPUTED_VALUE"""),"")</f>
        <v/>
      </c>
      <c r="CS77" s="110" t="str">
        <f>IFERROR(__xludf.DUMMYFUNCTION("""COMPUTED_VALUE"""),"")</f>
        <v/>
      </c>
      <c r="CT77" s="110" t="str">
        <f>IFERROR(__xludf.DUMMYFUNCTION("""COMPUTED_VALUE"""),"")</f>
        <v/>
      </c>
      <c r="CU77" s="110" t="str">
        <f>IFERROR(__xludf.DUMMYFUNCTION("""COMPUTED_VALUE"""),"")</f>
        <v/>
      </c>
      <c r="CV77" s="110" t="str">
        <f>IFERROR(__xludf.DUMMYFUNCTION("""COMPUTED_VALUE"""),"")</f>
        <v/>
      </c>
      <c r="CW77" s="110" t="str">
        <f>IFERROR(__xludf.DUMMYFUNCTION("""COMPUTED_VALUE"""),"")</f>
        <v/>
      </c>
      <c r="CX77" s="110" t="str">
        <f>IFERROR(__xludf.DUMMYFUNCTION("""COMPUTED_VALUE"""),"")</f>
        <v/>
      </c>
      <c r="CY77" s="110" t="str">
        <f>IFERROR(__xludf.DUMMYFUNCTION("""COMPUTED_VALUE"""),"")</f>
        <v/>
      </c>
      <c r="CZ77" s="110" t="str">
        <f>IFERROR(__xludf.DUMMYFUNCTION("""COMPUTED_VALUE"""),"")</f>
        <v/>
      </c>
      <c r="DA77" s="110" t="str">
        <f>IFERROR(__xludf.DUMMYFUNCTION("""COMPUTED_VALUE"""),"")</f>
        <v/>
      </c>
      <c r="DB77" s="110" t="str">
        <f>IFERROR(__xludf.DUMMYFUNCTION("""COMPUTED_VALUE"""),"")</f>
        <v/>
      </c>
      <c r="DC77" s="110" t="str">
        <f>IFERROR(__xludf.DUMMYFUNCTION("""COMPUTED_VALUE"""),"")</f>
        <v/>
      </c>
      <c r="DD77" s="110" t="str">
        <f>IFERROR(__xludf.DUMMYFUNCTION("""COMPUTED_VALUE"""),"")</f>
        <v/>
      </c>
      <c r="DE77" s="110" t="str">
        <f>IFERROR(__xludf.DUMMYFUNCTION("""COMPUTED_VALUE"""),"")</f>
        <v/>
      </c>
      <c r="DF77" s="110" t="str">
        <f>IFERROR(__xludf.DUMMYFUNCTION("""COMPUTED_VALUE"""),"")</f>
        <v/>
      </c>
      <c r="DG77" s="110" t="str">
        <f>IFERROR(__xludf.DUMMYFUNCTION("""COMPUTED_VALUE"""),"")</f>
        <v/>
      </c>
      <c r="DH77" s="110" t="str">
        <f>IFERROR(__xludf.DUMMYFUNCTION("""COMPUTED_VALUE"""),"")</f>
        <v/>
      </c>
      <c r="DI77" s="110" t="str">
        <f>IFERROR(__xludf.DUMMYFUNCTION("""COMPUTED_VALUE"""),"")</f>
        <v/>
      </c>
      <c r="DJ77" s="110" t="str">
        <f>IFERROR(__xludf.DUMMYFUNCTION("""COMPUTED_VALUE"""),"")</f>
        <v/>
      </c>
      <c r="DK77" s="110" t="str">
        <f>IFERROR(__xludf.DUMMYFUNCTION("""COMPUTED_VALUE"""),"")</f>
        <v/>
      </c>
      <c r="DL77" s="110" t="str">
        <f>IFERROR(__xludf.DUMMYFUNCTION("""COMPUTED_VALUE"""),"")</f>
        <v/>
      </c>
      <c r="DM77" s="110" t="str">
        <f>IFERROR(__xludf.DUMMYFUNCTION("""COMPUTED_VALUE"""),"")</f>
        <v/>
      </c>
      <c r="DN77" s="110" t="str">
        <f>IFERROR(__xludf.DUMMYFUNCTION("""COMPUTED_VALUE"""),"")</f>
        <v/>
      </c>
      <c r="DO77" s="110" t="str">
        <f>IFERROR(__xludf.DUMMYFUNCTION("""COMPUTED_VALUE"""),"")</f>
        <v/>
      </c>
      <c r="DP77" s="110" t="str">
        <f>IFERROR(__xludf.DUMMYFUNCTION("""COMPUTED_VALUE"""),"")</f>
        <v/>
      </c>
      <c r="DQ77" s="110" t="str">
        <f>IFERROR(__xludf.DUMMYFUNCTION("""COMPUTED_VALUE"""),"")</f>
        <v/>
      </c>
      <c r="DR77" s="110" t="str">
        <f>IFERROR(__xludf.DUMMYFUNCTION("""COMPUTED_VALUE"""),"")</f>
        <v/>
      </c>
      <c r="DS77" s="110" t="str">
        <f>IFERROR(__xludf.DUMMYFUNCTION("""COMPUTED_VALUE"""),"")</f>
        <v/>
      </c>
      <c r="DT77" s="110" t="str">
        <f>IFERROR(__xludf.DUMMYFUNCTION("""COMPUTED_VALUE"""),"")</f>
        <v/>
      </c>
      <c r="DU77" s="110" t="str">
        <f>IFERROR(__xludf.DUMMYFUNCTION("""COMPUTED_VALUE"""),"")</f>
        <v/>
      </c>
      <c r="DV77" s="110" t="str">
        <f>IFERROR(__xludf.DUMMYFUNCTION("""COMPUTED_VALUE"""),"")</f>
        <v/>
      </c>
      <c r="DW77" s="110" t="str">
        <f>IFERROR(__xludf.DUMMYFUNCTION("""COMPUTED_VALUE"""),"")</f>
        <v/>
      </c>
      <c r="DX77" s="110" t="str">
        <f>IFERROR(__xludf.DUMMYFUNCTION("""COMPUTED_VALUE"""),"")</f>
        <v/>
      </c>
      <c r="DY77" s="110" t="str">
        <f>IFERROR(__xludf.DUMMYFUNCTION("""COMPUTED_VALUE"""),"")</f>
        <v/>
      </c>
      <c r="DZ77" s="110" t="str">
        <f>IFERROR(__xludf.DUMMYFUNCTION("""COMPUTED_VALUE"""),"")</f>
        <v/>
      </c>
      <c r="EA77" s="110" t="str">
        <f>IFERROR(__xludf.DUMMYFUNCTION("""COMPUTED_VALUE"""),"")</f>
        <v/>
      </c>
      <c r="EB77" s="110" t="str">
        <f>IFERROR(__xludf.DUMMYFUNCTION("""COMPUTED_VALUE"""),"")</f>
        <v/>
      </c>
      <c r="EC77" s="110" t="str">
        <f>IFERROR(__xludf.DUMMYFUNCTION("""COMPUTED_VALUE"""),"")</f>
        <v/>
      </c>
      <c r="ED77" s="110" t="str">
        <f>IFERROR(__xludf.DUMMYFUNCTION("""COMPUTED_VALUE"""),"")</f>
        <v/>
      </c>
      <c r="EE77" s="110" t="str">
        <f>IFERROR(__xludf.DUMMYFUNCTION("""COMPUTED_VALUE"""),"")</f>
        <v/>
      </c>
      <c r="EF77" s="110" t="str">
        <f>IFERROR(__xludf.DUMMYFUNCTION("""COMPUTED_VALUE"""),"")</f>
        <v/>
      </c>
      <c r="EG77" s="110" t="str">
        <f>IFERROR(__xludf.DUMMYFUNCTION("""COMPUTED_VALUE"""),"")</f>
        <v/>
      </c>
      <c r="EH77" s="110" t="str">
        <f>IFERROR(__xludf.DUMMYFUNCTION("""COMPUTED_VALUE"""),"")</f>
        <v/>
      </c>
      <c r="EI77" s="110" t="str">
        <f>IFERROR(__xludf.DUMMYFUNCTION("""COMPUTED_VALUE"""),"")</f>
        <v/>
      </c>
      <c r="EJ77" s="110" t="str">
        <f>IFERROR(__xludf.DUMMYFUNCTION("""COMPUTED_VALUE"""),"")</f>
        <v/>
      </c>
      <c r="EK77" s="110" t="str">
        <f>IFERROR(__xludf.DUMMYFUNCTION("""COMPUTED_VALUE"""),"")</f>
        <v/>
      </c>
      <c r="EL77" s="110" t="str">
        <f>IFERROR(__xludf.DUMMYFUNCTION("""COMPUTED_VALUE"""),"")</f>
        <v/>
      </c>
      <c r="EM77" s="110" t="str">
        <f>IFERROR(__xludf.DUMMYFUNCTION("""COMPUTED_VALUE"""),"")</f>
        <v/>
      </c>
      <c r="EN77" s="110" t="str">
        <f>IFERROR(__xludf.DUMMYFUNCTION("""COMPUTED_VALUE"""),"")</f>
        <v/>
      </c>
      <c r="EO77" s="110" t="str">
        <f>IFERROR(__xludf.DUMMYFUNCTION("""COMPUTED_VALUE"""),"")</f>
        <v/>
      </c>
      <c r="EP77" s="110" t="str">
        <f>IFERROR(__xludf.DUMMYFUNCTION("""COMPUTED_VALUE"""),"")</f>
        <v/>
      </c>
      <c r="EQ77" s="110" t="str">
        <f>IFERROR(__xludf.DUMMYFUNCTION("""COMPUTED_VALUE"""),"")</f>
        <v/>
      </c>
      <c r="ER77" s="110" t="str">
        <f>IFERROR(__xludf.DUMMYFUNCTION("""COMPUTED_VALUE"""),"")</f>
        <v/>
      </c>
      <c r="ES77" s="110" t="str">
        <f>IFERROR(__xludf.DUMMYFUNCTION("""COMPUTED_VALUE"""),"")</f>
        <v/>
      </c>
      <c r="ET77" s="110" t="str">
        <f>IFERROR(__xludf.DUMMYFUNCTION("""COMPUTED_VALUE"""),"")</f>
        <v/>
      </c>
      <c r="EU77" s="110" t="str">
        <f>IFERROR(__xludf.DUMMYFUNCTION("""COMPUTED_VALUE"""),"")</f>
        <v/>
      </c>
      <c r="EV77" s="110" t="str">
        <f>IFERROR(__xludf.DUMMYFUNCTION("""COMPUTED_VALUE"""),"")</f>
        <v/>
      </c>
      <c r="EW77" s="110" t="str">
        <f>IFERROR(__xludf.DUMMYFUNCTION("""COMPUTED_VALUE"""),"")</f>
        <v/>
      </c>
      <c r="EX77" s="108" t="str">
        <f>IFERROR(__xludf.DUMMYFUNCTION("""COMPUTED_VALUE"""),"")</f>
        <v/>
      </c>
      <c r="EY77" s="108" t="str">
        <f>IFERROR(__xludf.DUMMYFUNCTION("""COMPUTED_VALUE"""),"")</f>
        <v/>
      </c>
      <c r="EZ77" s="108" t="str">
        <f>IFERROR(__xludf.DUMMYFUNCTION("""COMPUTED_VALUE"""),"")</f>
        <v/>
      </c>
      <c r="FA77" s="108" t="str">
        <f>IFERROR(__xludf.DUMMYFUNCTION("""COMPUTED_VALUE"""),"")</f>
        <v/>
      </c>
      <c r="FB77" s="108" t="str">
        <f>IFERROR(__xludf.DUMMYFUNCTION("""COMPUTED_VALUE"""),"")</f>
        <v/>
      </c>
      <c r="FC77" s="108" t="str">
        <f>IFERROR(__xludf.DUMMYFUNCTION("""COMPUTED_VALUE"""),"")</f>
        <v/>
      </c>
      <c r="FD77" s="108" t="str">
        <f>IFERROR(__xludf.DUMMYFUNCTION("""COMPUTED_VALUE"""),"")</f>
        <v/>
      </c>
      <c r="FE77" s="108" t="str">
        <f>IFERROR(__xludf.DUMMYFUNCTION("""COMPUTED_VALUE"""),"")</f>
        <v/>
      </c>
      <c r="FF77" s="108" t="str">
        <f>IFERROR(__xludf.DUMMYFUNCTION("""COMPUTED_VALUE"""),"")</f>
        <v/>
      </c>
      <c r="FG77" s="108" t="str">
        <f>IFERROR(__xludf.DUMMYFUNCTION("""COMPUTED_VALUE"""),"")</f>
        <v/>
      </c>
      <c r="FH77" s="108" t="str">
        <f>IFERROR(__xludf.DUMMYFUNCTION("""COMPUTED_VALUE"""),"")</f>
        <v/>
      </c>
      <c r="FI77" s="108" t="str">
        <f>IFERROR(__xludf.DUMMYFUNCTION("""COMPUTED_VALUE"""),"")</f>
        <v/>
      </c>
      <c r="FJ77" s="108" t="str">
        <f>IFERROR(__xludf.DUMMYFUNCTION("""COMPUTED_VALUE"""),"")</f>
        <v/>
      </c>
      <c r="FK77" s="108" t="str">
        <f>IFERROR(__xludf.DUMMYFUNCTION("""COMPUTED_VALUE"""),"")</f>
        <v/>
      </c>
      <c r="FL77" s="108" t="str">
        <f>IFERROR(__xludf.DUMMYFUNCTION("""COMPUTED_VALUE"""),"")</f>
        <v/>
      </c>
      <c r="FM77" s="108" t="str">
        <f>IFERROR(__xludf.DUMMYFUNCTION("""COMPUTED_VALUE"""),"")</f>
        <v/>
      </c>
      <c r="FN77" s="108" t="str">
        <f>IFERROR(__xludf.DUMMYFUNCTION("""COMPUTED_VALUE"""),"")</f>
        <v/>
      </c>
      <c r="FO77" s="108" t="str">
        <f>IFERROR(__xludf.DUMMYFUNCTION("""COMPUTED_VALUE"""),"")</f>
        <v/>
      </c>
    </row>
    <row r="78">
      <c r="A78" s="106" t="str">
        <f>IFERROR(__xludf.DUMMYFUNCTION("""COMPUTED_VALUE"""),"")</f>
        <v/>
      </c>
      <c r="B78" s="110" t="str">
        <f>IFERROR(__xludf.DUMMYFUNCTION("""COMPUTED_VALUE"""),"")</f>
        <v/>
      </c>
      <c r="C78" s="110" t="str">
        <f>IFERROR(__xludf.DUMMYFUNCTION("""COMPUTED_VALUE"""),"")</f>
        <v/>
      </c>
      <c r="D78" s="110" t="str">
        <f>IFERROR(__xludf.DUMMYFUNCTION("""COMPUTED_VALUE"""),"")</f>
        <v/>
      </c>
      <c r="E78" s="110" t="str">
        <f>IFERROR(__xludf.DUMMYFUNCTION("""COMPUTED_VALUE"""),"")</f>
        <v/>
      </c>
      <c r="F78" s="110" t="str">
        <f>IFERROR(__xludf.DUMMYFUNCTION("""COMPUTED_VALUE"""),"")</f>
        <v/>
      </c>
      <c r="G78" s="110" t="str">
        <f>IFERROR(__xludf.DUMMYFUNCTION("""COMPUTED_VALUE"""),"")</f>
        <v/>
      </c>
      <c r="H78" s="110" t="str">
        <f>IFERROR(__xludf.DUMMYFUNCTION("""COMPUTED_VALUE"""),"")</f>
        <v/>
      </c>
      <c r="I78" s="110" t="str">
        <f>IFERROR(__xludf.DUMMYFUNCTION("""COMPUTED_VALUE"""),"")</f>
        <v/>
      </c>
      <c r="J78" s="110" t="str">
        <f>IFERROR(__xludf.DUMMYFUNCTION("""COMPUTED_VALUE"""),"")</f>
        <v/>
      </c>
      <c r="K78" s="110" t="str">
        <f>IFERROR(__xludf.DUMMYFUNCTION("""COMPUTED_VALUE"""),"")</f>
        <v/>
      </c>
      <c r="L78" s="110" t="str">
        <f>IFERROR(__xludf.DUMMYFUNCTION("""COMPUTED_VALUE"""),"")</f>
        <v/>
      </c>
      <c r="M78" s="110" t="str">
        <f>IFERROR(__xludf.DUMMYFUNCTION("""COMPUTED_VALUE"""),"")</f>
        <v/>
      </c>
      <c r="N78" s="110" t="str">
        <f>IFERROR(__xludf.DUMMYFUNCTION("""COMPUTED_VALUE"""),"")</f>
        <v/>
      </c>
      <c r="O78" s="110" t="str">
        <f>IFERROR(__xludf.DUMMYFUNCTION("""COMPUTED_VALUE"""),"")</f>
        <v/>
      </c>
      <c r="P78" s="110" t="str">
        <f>IFERROR(__xludf.DUMMYFUNCTION("""COMPUTED_VALUE"""),"")</f>
        <v/>
      </c>
      <c r="Q78" s="110" t="str">
        <f>IFERROR(__xludf.DUMMYFUNCTION("""COMPUTED_VALUE"""),"")</f>
        <v/>
      </c>
      <c r="R78" s="110" t="str">
        <f>IFERROR(__xludf.DUMMYFUNCTION("""COMPUTED_VALUE"""),"")</f>
        <v/>
      </c>
      <c r="S78" s="110" t="str">
        <f>IFERROR(__xludf.DUMMYFUNCTION("""COMPUTED_VALUE"""),"")</f>
        <v/>
      </c>
      <c r="T78" s="110" t="str">
        <f>IFERROR(__xludf.DUMMYFUNCTION("""COMPUTED_VALUE"""),"")</f>
        <v/>
      </c>
      <c r="U78" s="110" t="str">
        <f>IFERROR(__xludf.DUMMYFUNCTION("""COMPUTED_VALUE"""),"")</f>
        <v/>
      </c>
      <c r="V78" s="110" t="str">
        <f>IFERROR(__xludf.DUMMYFUNCTION("""COMPUTED_VALUE"""),"")</f>
        <v/>
      </c>
      <c r="W78" s="110" t="str">
        <f>IFERROR(__xludf.DUMMYFUNCTION("""COMPUTED_VALUE"""),"")</f>
        <v/>
      </c>
      <c r="X78" s="110" t="str">
        <f>IFERROR(__xludf.DUMMYFUNCTION("""COMPUTED_VALUE"""),"")</f>
        <v/>
      </c>
      <c r="Y78" s="110" t="str">
        <f>IFERROR(__xludf.DUMMYFUNCTION("""COMPUTED_VALUE"""),"")</f>
        <v/>
      </c>
      <c r="Z78" s="110" t="str">
        <f>IFERROR(__xludf.DUMMYFUNCTION("""COMPUTED_VALUE"""),"")</f>
        <v/>
      </c>
      <c r="AA78" s="110" t="str">
        <f>IFERROR(__xludf.DUMMYFUNCTION("""COMPUTED_VALUE"""),"")</f>
        <v/>
      </c>
      <c r="AB78" s="110" t="str">
        <f>IFERROR(__xludf.DUMMYFUNCTION("""COMPUTED_VALUE"""),"")</f>
        <v/>
      </c>
      <c r="AC78" s="110" t="str">
        <f>IFERROR(__xludf.DUMMYFUNCTION("""COMPUTED_VALUE"""),"")</f>
        <v/>
      </c>
      <c r="AD78" s="110" t="str">
        <f>IFERROR(__xludf.DUMMYFUNCTION("""COMPUTED_VALUE"""),"")</f>
        <v/>
      </c>
      <c r="AE78" s="110" t="str">
        <f>IFERROR(__xludf.DUMMYFUNCTION("""COMPUTED_VALUE"""),"")</f>
        <v/>
      </c>
      <c r="AF78" s="110" t="str">
        <f>IFERROR(__xludf.DUMMYFUNCTION("""COMPUTED_VALUE"""),"")</f>
        <v/>
      </c>
      <c r="AG78" s="110" t="str">
        <f>IFERROR(__xludf.DUMMYFUNCTION("""COMPUTED_VALUE"""),"")</f>
        <v/>
      </c>
      <c r="AH78" s="110" t="str">
        <f>IFERROR(__xludf.DUMMYFUNCTION("""COMPUTED_VALUE"""),"")</f>
        <v/>
      </c>
      <c r="AI78" s="110" t="str">
        <f>IFERROR(__xludf.DUMMYFUNCTION("""COMPUTED_VALUE"""),"")</f>
        <v/>
      </c>
      <c r="AJ78" s="110" t="str">
        <f>IFERROR(__xludf.DUMMYFUNCTION("""COMPUTED_VALUE"""),"")</f>
        <v/>
      </c>
      <c r="AK78" s="110" t="str">
        <f>IFERROR(__xludf.DUMMYFUNCTION("""COMPUTED_VALUE"""),"")</f>
        <v/>
      </c>
      <c r="AL78" s="110" t="str">
        <f>IFERROR(__xludf.DUMMYFUNCTION("""COMPUTED_VALUE"""),"")</f>
        <v/>
      </c>
      <c r="AM78" s="110" t="str">
        <f>IFERROR(__xludf.DUMMYFUNCTION("""COMPUTED_VALUE"""),"")</f>
        <v/>
      </c>
      <c r="AN78" s="110" t="str">
        <f>IFERROR(__xludf.DUMMYFUNCTION("""COMPUTED_VALUE"""),"")</f>
        <v/>
      </c>
      <c r="AO78" s="110" t="str">
        <f>IFERROR(__xludf.DUMMYFUNCTION("""COMPUTED_VALUE"""),"")</f>
        <v/>
      </c>
      <c r="AP78" s="110" t="str">
        <f>IFERROR(__xludf.DUMMYFUNCTION("""COMPUTED_VALUE"""),"")</f>
        <v/>
      </c>
      <c r="AQ78" s="110" t="str">
        <f>IFERROR(__xludf.DUMMYFUNCTION("""COMPUTED_VALUE"""),"")</f>
        <v/>
      </c>
      <c r="AR78" s="109" t="str">
        <f>IFERROR(__xludf.DUMMYFUNCTION("""COMPUTED_VALUE"""),"")</f>
        <v/>
      </c>
      <c r="AS78" s="110" t="str">
        <f>IFERROR(__xludf.DUMMYFUNCTION("""COMPUTED_VALUE"""),"")</f>
        <v/>
      </c>
      <c r="AT78" s="110" t="str">
        <f>IFERROR(__xludf.DUMMYFUNCTION("""COMPUTED_VALUE"""),"")</f>
        <v/>
      </c>
      <c r="AU78" s="110" t="str">
        <f>IFERROR(__xludf.DUMMYFUNCTION("""COMPUTED_VALUE"""),"")</f>
        <v/>
      </c>
      <c r="AV78" s="110" t="str">
        <f>IFERROR(__xludf.DUMMYFUNCTION("""COMPUTED_VALUE"""),"")</f>
        <v/>
      </c>
      <c r="AW78" s="110" t="str">
        <f>IFERROR(__xludf.DUMMYFUNCTION("""COMPUTED_VALUE"""),"")</f>
        <v/>
      </c>
      <c r="AX78" s="110" t="str">
        <f>IFERROR(__xludf.DUMMYFUNCTION("""COMPUTED_VALUE"""),"")</f>
        <v/>
      </c>
      <c r="AY78" s="110" t="str">
        <f>IFERROR(__xludf.DUMMYFUNCTION("""COMPUTED_VALUE"""),"")</f>
        <v/>
      </c>
      <c r="AZ78" s="110" t="str">
        <f>IFERROR(__xludf.DUMMYFUNCTION("""COMPUTED_VALUE"""),"")</f>
        <v/>
      </c>
      <c r="BA78" s="110" t="str">
        <f>IFERROR(__xludf.DUMMYFUNCTION("""COMPUTED_VALUE"""),"")</f>
        <v/>
      </c>
      <c r="BB78" s="110" t="str">
        <f>IFERROR(__xludf.DUMMYFUNCTION("""COMPUTED_VALUE"""),"")</f>
        <v/>
      </c>
      <c r="BC78" s="110" t="str">
        <f>IFERROR(__xludf.DUMMYFUNCTION("""COMPUTED_VALUE"""),"")</f>
        <v/>
      </c>
      <c r="BD78" s="110" t="str">
        <f>IFERROR(__xludf.DUMMYFUNCTION("""COMPUTED_VALUE"""),"")</f>
        <v/>
      </c>
      <c r="BE78" s="110" t="str">
        <f>IFERROR(__xludf.DUMMYFUNCTION("""COMPUTED_VALUE"""),"")</f>
        <v/>
      </c>
      <c r="BF78" s="110" t="str">
        <f>IFERROR(__xludf.DUMMYFUNCTION("""COMPUTED_VALUE"""),"")</f>
        <v/>
      </c>
      <c r="BG78" s="110" t="str">
        <f>IFERROR(__xludf.DUMMYFUNCTION("""COMPUTED_VALUE"""),"")</f>
        <v/>
      </c>
      <c r="BH78" s="110" t="str">
        <f>IFERROR(__xludf.DUMMYFUNCTION("""COMPUTED_VALUE"""),"")</f>
        <v/>
      </c>
      <c r="BI78" s="110" t="str">
        <f>IFERROR(__xludf.DUMMYFUNCTION("""COMPUTED_VALUE"""),"")</f>
        <v/>
      </c>
      <c r="BJ78" s="110" t="str">
        <f>IFERROR(__xludf.DUMMYFUNCTION("""COMPUTED_VALUE"""),"")</f>
        <v/>
      </c>
      <c r="BK78" s="110" t="str">
        <f>IFERROR(__xludf.DUMMYFUNCTION("""COMPUTED_VALUE"""),"")</f>
        <v/>
      </c>
      <c r="BL78" s="110" t="str">
        <f>IFERROR(__xludf.DUMMYFUNCTION("""COMPUTED_VALUE"""),"")</f>
        <v/>
      </c>
      <c r="BM78" s="110" t="str">
        <f>IFERROR(__xludf.DUMMYFUNCTION("""COMPUTED_VALUE"""),"")</f>
        <v/>
      </c>
      <c r="BN78" s="110" t="str">
        <f>IFERROR(__xludf.DUMMYFUNCTION("""COMPUTED_VALUE"""),"")</f>
        <v/>
      </c>
      <c r="BO78" s="110" t="str">
        <f>IFERROR(__xludf.DUMMYFUNCTION("""COMPUTED_VALUE"""),"")</f>
        <v/>
      </c>
      <c r="BP78" s="110" t="str">
        <f>IFERROR(__xludf.DUMMYFUNCTION("""COMPUTED_VALUE"""),"")</f>
        <v/>
      </c>
      <c r="BQ78" s="110" t="str">
        <f>IFERROR(__xludf.DUMMYFUNCTION("""COMPUTED_VALUE"""),"")</f>
        <v/>
      </c>
      <c r="BR78" s="110" t="str">
        <f>IFERROR(__xludf.DUMMYFUNCTION("""COMPUTED_VALUE"""),"")</f>
        <v/>
      </c>
      <c r="BS78" s="110" t="str">
        <f>IFERROR(__xludf.DUMMYFUNCTION("""COMPUTED_VALUE"""),"")</f>
        <v/>
      </c>
      <c r="BT78" s="110" t="str">
        <f>IFERROR(__xludf.DUMMYFUNCTION("""COMPUTED_VALUE"""),"")</f>
        <v/>
      </c>
      <c r="BU78" s="110" t="str">
        <f>IFERROR(__xludf.DUMMYFUNCTION("""COMPUTED_VALUE"""),"")</f>
        <v/>
      </c>
      <c r="BV78" s="110" t="str">
        <f>IFERROR(__xludf.DUMMYFUNCTION("""COMPUTED_VALUE"""),"")</f>
        <v/>
      </c>
      <c r="BW78" s="110" t="str">
        <f>IFERROR(__xludf.DUMMYFUNCTION("""COMPUTED_VALUE"""),"")</f>
        <v/>
      </c>
      <c r="BX78" s="110" t="str">
        <f>IFERROR(__xludf.DUMMYFUNCTION("""COMPUTED_VALUE"""),"")</f>
        <v/>
      </c>
      <c r="BY78" s="110" t="str">
        <f>IFERROR(__xludf.DUMMYFUNCTION("""COMPUTED_VALUE"""),"")</f>
        <v/>
      </c>
      <c r="BZ78" s="110" t="str">
        <f>IFERROR(__xludf.DUMMYFUNCTION("""COMPUTED_VALUE"""),"")</f>
        <v/>
      </c>
      <c r="CA78" s="110" t="str">
        <f>IFERROR(__xludf.DUMMYFUNCTION("""COMPUTED_VALUE"""),"")</f>
        <v/>
      </c>
      <c r="CB78" s="110" t="str">
        <f>IFERROR(__xludf.DUMMYFUNCTION("""COMPUTED_VALUE"""),"")</f>
        <v/>
      </c>
      <c r="CC78" s="110" t="str">
        <f>IFERROR(__xludf.DUMMYFUNCTION("""COMPUTED_VALUE"""),"")</f>
        <v/>
      </c>
      <c r="CD78" s="110" t="str">
        <f>IFERROR(__xludf.DUMMYFUNCTION("""COMPUTED_VALUE"""),"")</f>
        <v/>
      </c>
      <c r="CE78" s="110" t="str">
        <f>IFERROR(__xludf.DUMMYFUNCTION("""COMPUTED_VALUE"""),"")</f>
        <v/>
      </c>
      <c r="CF78" s="110" t="str">
        <f>IFERROR(__xludf.DUMMYFUNCTION("""COMPUTED_VALUE"""),"")</f>
        <v/>
      </c>
      <c r="CG78" s="110" t="str">
        <f>IFERROR(__xludf.DUMMYFUNCTION("""COMPUTED_VALUE"""),"")</f>
        <v/>
      </c>
      <c r="CH78" s="110" t="str">
        <f>IFERROR(__xludf.DUMMYFUNCTION("""COMPUTED_VALUE"""),"")</f>
        <v/>
      </c>
      <c r="CI78" s="110" t="str">
        <f>IFERROR(__xludf.DUMMYFUNCTION("""COMPUTED_VALUE"""),"")</f>
        <v/>
      </c>
      <c r="CJ78" s="110" t="str">
        <f>IFERROR(__xludf.DUMMYFUNCTION("""COMPUTED_VALUE"""),"")</f>
        <v/>
      </c>
      <c r="CK78" s="110" t="str">
        <f>IFERROR(__xludf.DUMMYFUNCTION("""COMPUTED_VALUE"""),"")</f>
        <v/>
      </c>
      <c r="CL78" s="110" t="str">
        <f>IFERROR(__xludf.DUMMYFUNCTION("""COMPUTED_VALUE"""),"")</f>
        <v/>
      </c>
      <c r="CM78" s="110" t="str">
        <f>IFERROR(__xludf.DUMMYFUNCTION("""COMPUTED_VALUE"""),"")</f>
        <v/>
      </c>
      <c r="CN78" s="110" t="str">
        <f>IFERROR(__xludf.DUMMYFUNCTION("""COMPUTED_VALUE"""),"")</f>
        <v/>
      </c>
      <c r="CO78" s="110" t="str">
        <f>IFERROR(__xludf.DUMMYFUNCTION("""COMPUTED_VALUE"""),"")</f>
        <v/>
      </c>
      <c r="CP78" s="110" t="str">
        <f>IFERROR(__xludf.DUMMYFUNCTION("""COMPUTED_VALUE"""),"")</f>
        <v/>
      </c>
      <c r="CQ78" s="110" t="str">
        <f>IFERROR(__xludf.DUMMYFUNCTION("""COMPUTED_VALUE"""),"")</f>
        <v/>
      </c>
      <c r="CR78" s="110" t="str">
        <f>IFERROR(__xludf.DUMMYFUNCTION("""COMPUTED_VALUE"""),"")</f>
        <v/>
      </c>
      <c r="CS78" s="110" t="str">
        <f>IFERROR(__xludf.DUMMYFUNCTION("""COMPUTED_VALUE"""),"")</f>
        <v/>
      </c>
      <c r="CT78" s="110" t="str">
        <f>IFERROR(__xludf.DUMMYFUNCTION("""COMPUTED_VALUE"""),"")</f>
        <v/>
      </c>
      <c r="CU78" s="110" t="str">
        <f>IFERROR(__xludf.DUMMYFUNCTION("""COMPUTED_VALUE"""),"")</f>
        <v/>
      </c>
      <c r="CV78" s="110" t="str">
        <f>IFERROR(__xludf.DUMMYFUNCTION("""COMPUTED_VALUE"""),"")</f>
        <v/>
      </c>
      <c r="CW78" s="110" t="str">
        <f>IFERROR(__xludf.DUMMYFUNCTION("""COMPUTED_VALUE"""),"")</f>
        <v/>
      </c>
      <c r="CX78" s="110" t="str">
        <f>IFERROR(__xludf.DUMMYFUNCTION("""COMPUTED_VALUE"""),"")</f>
        <v/>
      </c>
      <c r="CY78" s="110" t="str">
        <f>IFERROR(__xludf.DUMMYFUNCTION("""COMPUTED_VALUE"""),"")</f>
        <v/>
      </c>
      <c r="CZ78" s="110" t="str">
        <f>IFERROR(__xludf.DUMMYFUNCTION("""COMPUTED_VALUE"""),"")</f>
        <v/>
      </c>
      <c r="DA78" s="110" t="str">
        <f>IFERROR(__xludf.DUMMYFUNCTION("""COMPUTED_VALUE"""),"")</f>
        <v/>
      </c>
      <c r="DB78" s="110" t="str">
        <f>IFERROR(__xludf.DUMMYFUNCTION("""COMPUTED_VALUE"""),"")</f>
        <v/>
      </c>
      <c r="DC78" s="110" t="str">
        <f>IFERROR(__xludf.DUMMYFUNCTION("""COMPUTED_VALUE"""),"")</f>
        <v/>
      </c>
      <c r="DD78" s="110" t="str">
        <f>IFERROR(__xludf.DUMMYFUNCTION("""COMPUTED_VALUE"""),"")</f>
        <v/>
      </c>
      <c r="DE78" s="110" t="str">
        <f>IFERROR(__xludf.DUMMYFUNCTION("""COMPUTED_VALUE"""),"")</f>
        <v/>
      </c>
      <c r="DF78" s="110" t="str">
        <f>IFERROR(__xludf.DUMMYFUNCTION("""COMPUTED_VALUE"""),"")</f>
        <v/>
      </c>
      <c r="DG78" s="110" t="str">
        <f>IFERROR(__xludf.DUMMYFUNCTION("""COMPUTED_VALUE"""),"")</f>
        <v/>
      </c>
      <c r="DH78" s="110" t="str">
        <f>IFERROR(__xludf.DUMMYFUNCTION("""COMPUTED_VALUE"""),"")</f>
        <v/>
      </c>
      <c r="DI78" s="110" t="str">
        <f>IFERROR(__xludf.DUMMYFUNCTION("""COMPUTED_VALUE"""),"")</f>
        <v/>
      </c>
      <c r="DJ78" s="110" t="str">
        <f>IFERROR(__xludf.DUMMYFUNCTION("""COMPUTED_VALUE"""),"")</f>
        <v/>
      </c>
      <c r="DK78" s="110" t="str">
        <f>IFERROR(__xludf.DUMMYFUNCTION("""COMPUTED_VALUE"""),"")</f>
        <v/>
      </c>
      <c r="DL78" s="110" t="str">
        <f>IFERROR(__xludf.DUMMYFUNCTION("""COMPUTED_VALUE"""),"")</f>
        <v/>
      </c>
      <c r="DM78" s="110" t="str">
        <f>IFERROR(__xludf.DUMMYFUNCTION("""COMPUTED_VALUE"""),"")</f>
        <v/>
      </c>
      <c r="DN78" s="110" t="str">
        <f>IFERROR(__xludf.DUMMYFUNCTION("""COMPUTED_VALUE"""),"")</f>
        <v/>
      </c>
      <c r="DO78" s="110" t="str">
        <f>IFERROR(__xludf.DUMMYFUNCTION("""COMPUTED_VALUE"""),"")</f>
        <v/>
      </c>
      <c r="DP78" s="110" t="str">
        <f>IFERROR(__xludf.DUMMYFUNCTION("""COMPUTED_VALUE"""),"")</f>
        <v/>
      </c>
      <c r="DQ78" s="110" t="str">
        <f>IFERROR(__xludf.DUMMYFUNCTION("""COMPUTED_VALUE"""),"")</f>
        <v/>
      </c>
      <c r="DR78" s="110" t="str">
        <f>IFERROR(__xludf.DUMMYFUNCTION("""COMPUTED_VALUE"""),"")</f>
        <v/>
      </c>
      <c r="DS78" s="110" t="str">
        <f>IFERROR(__xludf.DUMMYFUNCTION("""COMPUTED_VALUE"""),"")</f>
        <v/>
      </c>
      <c r="DT78" s="110" t="str">
        <f>IFERROR(__xludf.DUMMYFUNCTION("""COMPUTED_VALUE"""),"")</f>
        <v/>
      </c>
      <c r="DU78" s="110" t="str">
        <f>IFERROR(__xludf.DUMMYFUNCTION("""COMPUTED_VALUE"""),"")</f>
        <v/>
      </c>
      <c r="DV78" s="110" t="str">
        <f>IFERROR(__xludf.DUMMYFUNCTION("""COMPUTED_VALUE"""),"")</f>
        <v/>
      </c>
      <c r="DW78" s="110" t="str">
        <f>IFERROR(__xludf.DUMMYFUNCTION("""COMPUTED_VALUE"""),"")</f>
        <v/>
      </c>
      <c r="DX78" s="110" t="str">
        <f>IFERROR(__xludf.DUMMYFUNCTION("""COMPUTED_VALUE"""),"")</f>
        <v/>
      </c>
      <c r="DY78" s="110" t="str">
        <f>IFERROR(__xludf.DUMMYFUNCTION("""COMPUTED_VALUE"""),"")</f>
        <v/>
      </c>
      <c r="DZ78" s="110" t="str">
        <f>IFERROR(__xludf.DUMMYFUNCTION("""COMPUTED_VALUE"""),"")</f>
        <v/>
      </c>
      <c r="EA78" s="110" t="str">
        <f>IFERROR(__xludf.DUMMYFUNCTION("""COMPUTED_VALUE"""),"")</f>
        <v/>
      </c>
      <c r="EB78" s="110" t="str">
        <f>IFERROR(__xludf.DUMMYFUNCTION("""COMPUTED_VALUE"""),"")</f>
        <v/>
      </c>
      <c r="EC78" s="110" t="str">
        <f>IFERROR(__xludf.DUMMYFUNCTION("""COMPUTED_VALUE"""),"")</f>
        <v/>
      </c>
      <c r="ED78" s="110" t="str">
        <f>IFERROR(__xludf.DUMMYFUNCTION("""COMPUTED_VALUE"""),"")</f>
        <v/>
      </c>
      <c r="EE78" s="110" t="str">
        <f>IFERROR(__xludf.DUMMYFUNCTION("""COMPUTED_VALUE"""),"")</f>
        <v/>
      </c>
      <c r="EF78" s="110" t="str">
        <f>IFERROR(__xludf.DUMMYFUNCTION("""COMPUTED_VALUE"""),"")</f>
        <v/>
      </c>
      <c r="EG78" s="110" t="str">
        <f>IFERROR(__xludf.DUMMYFUNCTION("""COMPUTED_VALUE"""),"")</f>
        <v/>
      </c>
      <c r="EH78" s="110" t="str">
        <f>IFERROR(__xludf.DUMMYFUNCTION("""COMPUTED_VALUE"""),"")</f>
        <v/>
      </c>
      <c r="EI78" s="110" t="str">
        <f>IFERROR(__xludf.DUMMYFUNCTION("""COMPUTED_VALUE"""),"")</f>
        <v/>
      </c>
      <c r="EJ78" s="110" t="str">
        <f>IFERROR(__xludf.DUMMYFUNCTION("""COMPUTED_VALUE"""),"")</f>
        <v/>
      </c>
      <c r="EK78" s="110" t="str">
        <f>IFERROR(__xludf.DUMMYFUNCTION("""COMPUTED_VALUE"""),"")</f>
        <v/>
      </c>
      <c r="EL78" s="110" t="str">
        <f>IFERROR(__xludf.DUMMYFUNCTION("""COMPUTED_VALUE"""),"")</f>
        <v/>
      </c>
      <c r="EM78" s="110" t="str">
        <f>IFERROR(__xludf.DUMMYFUNCTION("""COMPUTED_VALUE"""),"")</f>
        <v/>
      </c>
      <c r="EN78" s="110" t="str">
        <f>IFERROR(__xludf.DUMMYFUNCTION("""COMPUTED_VALUE"""),"")</f>
        <v/>
      </c>
      <c r="EO78" s="110" t="str">
        <f>IFERROR(__xludf.DUMMYFUNCTION("""COMPUTED_VALUE"""),"")</f>
        <v/>
      </c>
      <c r="EP78" s="110" t="str">
        <f>IFERROR(__xludf.DUMMYFUNCTION("""COMPUTED_VALUE"""),"")</f>
        <v/>
      </c>
      <c r="EQ78" s="110" t="str">
        <f>IFERROR(__xludf.DUMMYFUNCTION("""COMPUTED_VALUE"""),"")</f>
        <v/>
      </c>
      <c r="ER78" s="110" t="str">
        <f>IFERROR(__xludf.DUMMYFUNCTION("""COMPUTED_VALUE"""),"")</f>
        <v/>
      </c>
      <c r="ES78" s="110" t="str">
        <f>IFERROR(__xludf.DUMMYFUNCTION("""COMPUTED_VALUE"""),"")</f>
        <v/>
      </c>
      <c r="ET78" s="110" t="str">
        <f>IFERROR(__xludf.DUMMYFUNCTION("""COMPUTED_VALUE"""),"")</f>
        <v/>
      </c>
      <c r="EU78" s="110" t="str">
        <f>IFERROR(__xludf.DUMMYFUNCTION("""COMPUTED_VALUE"""),"")</f>
        <v/>
      </c>
      <c r="EV78" s="110" t="str">
        <f>IFERROR(__xludf.DUMMYFUNCTION("""COMPUTED_VALUE"""),"")</f>
        <v/>
      </c>
      <c r="EW78" s="110" t="str">
        <f>IFERROR(__xludf.DUMMYFUNCTION("""COMPUTED_VALUE"""),"")</f>
        <v/>
      </c>
      <c r="EX78" s="108" t="str">
        <f>IFERROR(__xludf.DUMMYFUNCTION("""COMPUTED_VALUE"""),"")</f>
        <v/>
      </c>
      <c r="EY78" s="108" t="str">
        <f>IFERROR(__xludf.DUMMYFUNCTION("""COMPUTED_VALUE"""),"")</f>
        <v/>
      </c>
      <c r="EZ78" s="108" t="str">
        <f>IFERROR(__xludf.DUMMYFUNCTION("""COMPUTED_VALUE"""),"")</f>
        <v/>
      </c>
      <c r="FA78" s="108" t="str">
        <f>IFERROR(__xludf.DUMMYFUNCTION("""COMPUTED_VALUE"""),"")</f>
        <v/>
      </c>
      <c r="FB78" s="108" t="str">
        <f>IFERROR(__xludf.DUMMYFUNCTION("""COMPUTED_VALUE"""),"")</f>
        <v/>
      </c>
      <c r="FC78" s="108" t="str">
        <f>IFERROR(__xludf.DUMMYFUNCTION("""COMPUTED_VALUE"""),"")</f>
        <v/>
      </c>
      <c r="FD78" s="108" t="str">
        <f>IFERROR(__xludf.DUMMYFUNCTION("""COMPUTED_VALUE"""),"")</f>
        <v/>
      </c>
      <c r="FE78" s="108" t="str">
        <f>IFERROR(__xludf.DUMMYFUNCTION("""COMPUTED_VALUE"""),"")</f>
        <v/>
      </c>
      <c r="FF78" s="108" t="str">
        <f>IFERROR(__xludf.DUMMYFUNCTION("""COMPUTED_VALUE"""),"")</f>
        <v/>
      </c>
      <c r="FG78" s="108" t="str">
        <f>IFERROR(__xludf.DUMMYFUNCTION("""COMPUTED_VALUE"""),"")</f>
        <v/>
      </c>
      <c r="FH78" s="108" t="str">
        <f>IFERROR(__xludf.DUMMYFUNCTION("""COMPUTED_VALUE"""),"")</f>
        <v/>
      </c>
      <c r="FI78" s="108" t="str">
        <f>IFERROR(__xludf.DUMMYFUNCTION("""COMPUTED_VALUE"""),"")</f>
        <v/>
      </c>
      <c r="FJ78" s="108" t="str">
        <f>IFERROR(__xludf.DUMMYFUNCTION("""COMPUTED_VALUE"""),"")</f>
        <v/>
      </c>
      <c r="FK78" s="108" t="str">
        <f>IFERROR(__xludf.DUMMYFUNCTION("""COMPUTED_VALUE"""),"")</f>
        <v/>
      </c>
      <c r="FL78" s="108" t="str">
        <f>IFERROR(__xludf.DUMMYFUNCTION("""COMPUTED_VALUE"""),"")</f>
        <v/>
      </c>
      <c r="FM78" s="108" t="str">
        <f>IFERROR(__xludf.DUMMYFUNCTION("""COMPUTED_VALUE"""),"")</f>
        <v/>
      </c>
      <c r="FN78" s="108" t="str">
        <f>IFERROR(__xludf.DUMMYFUNCTION("""COMPUTED_VALUE"""),"")</f>
        <v/>
      </c>
      <c r="FO78" s="108" t="str">
        <f>IFERROR(__xludf.DUMMYFUNCTION("""COMPUTED_VALUE"""),"")</f>
        <v/>
      </c>
    </row>
    <row r="79">
      <c r="A79" s="106" t="str">
        <f>IFERROR(__xludf.DUMMYFUNCTION("""COMPUTED_VALUE"""),"")</f>
        <v/>
      </c>
      <c r="B79" s="110" t="str">
        <f>IFERROR(__xludf.DUMMYFUNCTION("""COMPUTED_VALUE"""),"")</f>
        <v/>
      </c>
      <c r="C79" s="110" t="str">
        <f>IFERROR(__xludf.DUMMYFUNCTION("""COMPUTED_VALUE"""),"")</f>
        <v/>
      </c>
      <c r="D79" s="110" t="str">
        <f>IFERROR(__xludf.DUMMYFUNCTION("""COMPUTED_VALUE"""),"")</f>
        <v/>
      </c>
      <c r="E79" s="110" t="str">
        <f>IFERROR(__xludf.DUMMYFUNCTION("""COMPUTED_VALUE"""),"")</f>
        <v/>
      </c>
      <c r="F79" s="110" t="str">
        <f>IFERROR(__xludf.DUMMYFUNCTION("""COMPUTED_VALUE"""),"")</f>
        <v/>
      </c>
      <c r="G79" s="110" t="str">
        <f>IFERROR(__xludf.DUMMYFUNCTION("""COMPUTED_VALUE"""),"")</f>
        <v/>
      </c>
      <c r="H79" s="110" t="str">
        <f>IFERROR(__xludf.DUMMYFUNCTION("""COMPUTED_VALUE"""),"")</f>
        <v/>
      </c>
      <c r="I79" s="110" t="str">
        <f>IFERROR(__xludf.DUMMYFUNCTION("""COMPUTED_VALUE"""),"")</f>
        <v/>
      </c>
      <c r="J79" s="110" t="str">
        <f>IFERROR(__xludf.DUMMYFUNCTION("""COMPUTED_VALUE"""),"")</f>
        <v/>
      </c>
      <c r="K79" s="110" t="str">
        <f>IFERROR(__xludf.DUMMYFUNCTION("""COMPUTED_VALUE"""),"")</f>
        <v/>
      </c>
      <c r="L79" s="110" t="str">
        <f>IFERROR(__xludf.DUMMYFUNCTION("""COMPUTED_VALUE"""),"")</f>
        <v/>
      </c>
      <c r="M79" s="110" t="str">
        <f>IFERROR(__xludf.DUMMYFUNCTION("""COMPUTED_VALUE"""),"")</f>
        <v/>
      </c>
      <c r="N79" s="110" t="str">
        <f>IFERROR(__xludf.DUMMYFUNCTION("""COMPUTED_VALUE"""),"")</f>
        <v/>
      </c>
      <c r="O79" s="110" t="str">
        <f>IFERROR(__xludf.DUMMYFUNCTION("""COMPUTED_VALUE"""),"")</f>
        <v/>
      </c>
      <c r="P79" s="110" t="str">
        <f>IFERROR(__xludf.DUMMYFUNCTION("""COMPUTED_VALUE"""),"")</f>
        <v/>
      </c>
      <c r="Q79" s="110" t="str">
        <f>IFERROR(__xludf.DUMMYFUNCTION("""COMPUTED_VALUE"""),"")</f>
        <v/>
      </c>
      <c r="R79" s="110" t="str">
        <f>IFERROR(__xludf.DUMMYFUNCTION("""COMPUTED_VALUE"""),"")</f>
        <v/>
      </c>
      <c r="S79" s="110" t="str">
        <f>IFERROR(__xludf.DUMMYFUNCTION("""COMPUTED_VALUE"""),"")</f>
        <v/>
      </c>
      <c r="T79" s="110" t="str">
        <f>IFERROR(__xludf.DUMMYFUNCTION("""COMPUTED_VALUE"""),"")</f>
        <v/>
      </c>
      <c r="U79" s="110" t="str">
        <f>IFERROR(__xludf.DUMMYFUNCTION("""COMPUTED_VALUE"""),"")</f>
        <v/>
      </c>
      <c r="V79" s="110" t="str">
        <f>IFERROR(__xludf.DUMMYFUNCTION("""COMPUTED_VALUE"""),"")</f>
        <v/>
      </c>
      <c r="W79" s="110" t="str">
        <f>IFERROR(__xludf.DUMMYFUNCTION("""COMPUTED_VALUE"""),"")</f>
        <v/>
      </c>
      <c r="X79" s="110" t="str">
        <f>IFERROR(__xludf.DUMMYFUNCTION("""COMPUTED_VALUE"""),"")</f>
        <v/>
      </c>
      <c r="Y79" s="110" t="str">
        <f>IFERROR(__xludf.DUMMYFUNCTION("""COMPUTED_VALUE"""),"")</f>
        <v/>
      </c>
      <c r="Z79" s="110" t="str">
        <f>IFERROR(__xludf.DUMMYFUNCTION("""COMPUTED_VALUE"""),"")</f>
        <v/>
      </c>
      <c r="AA79" s="110" t="str">
        <f>IFERROR(__xludf.DUMMYFUNCTION("""COMPUTED_VALUE"""),"")</f>
        <v/>
      </c>
      <c r="AB79" s="110" t="str">
        <f>IFERROR(__xludf.DUMMYFUNCTION("""COMPUTED_VALUE"""),"")</f>
        <v/>
      </c>
      <c r="AC79" s="110" t="str">
        <f>IFERROR(__xludf.DUMMYFUNCTION("""COMPUTED_VALUE"""),"")</f>
        <v/>
      </c>
      <c r="AD79" s="110" t="str">
        <f>IFERROR(__xludf.DUMMYFUNCTION("""COMPUTED_VALUE"""),"")</f>
        <v/>
      </c>
      <c r="AE79" s="110" t="str">
        <f>IFERROR(__xludf.DUMMYFUNCTION("""COMPUTED_VALUE"""),"")</f>
        <v/>
      </c>
      <c r="AF79" s="110" t="str">
        <f>IFERROR(__xludf.DUMMYFUNCTION("""COMPUTED_VALUE"""),"")</f>
        <v/>
      </c>
      <c r="AG79" s="110" t="str">
        <f>IFERROR(__xludf.DUMMYFUNCTION("""COMPUTED_VALUE"""),"")</f>
        <v/>
      </c>
      <c r="AH79" s="110" t="str">
        <f>IFERROR(__xludf.DUMMYFUNCTION("""COMPUTED_VALUE"""),"")</f>
        <v/>
      </c>
      <c r="AI79" s="110" t="str">
        <f>IFERROR(__xludf.DUMMYFUNCTION("""COMPUTED_VALUE"""),"")</f>
        <v/>
      </c>
      <c r="AJ79" s="110" t="str">
        <f>IFERROR(__xludf.DUMMYFUNCTION("""COMPUTED_VALUE"""),"")</f>
        <v/>
      </c>
      <c r="AK79" s="110" t="str">
        <f>IFERROR(__xludf.DUMMYFUNCTION("""COMPUTED_VALUE"""),"")</f>
        <v/>
      </c>
      <c r="AL79" s="110" t="str">
        <f>IFERROR(__xludf.DUMMYFUNCTION("""COMPUTED_VALUE"""),"")</f>
        <v/>
      </c>
      <c r="AM79" s="110" t="str">
        <f>IFERROR(__xludf.DUMMYFUNCTION("""COMPUTED_VALUE"""),"")</f>
        <v/>
      </c>
      <c r="AN79" s="110" t="str">
        <f>IFERROR(__xludf.DUMMYFUNCTION("""COMPUTED_VALUE"""),"")</f>
        <v/>
      </c>
      <c r="AO79" s="110" t="str">
        <f>IFERROR(__xludf.DUMMYFUNCTION("""COMPUTED_VALUE"""),"")</f>
        <v/>
      </c>
      <c r="AP79" s="110" t="str">
        <f>IFERROR(__xludf.DUMMYFUNCTION("""COMPUTED_VALUE"""),"")</f>
        <v/>
      </c>
      <c r="AQ79" s="110" t="str">
        <f>IFERROR(__xludf.DUMMYFUNCTION("""COMPUTED_VALUE"""),"")</f>
        <v/>
      </c>
      <c r="AR79" s="109" t="str">
        <f>IFERROR(__xludf.DUMMYFUNCTION("""COMPUTED_VALUE"""),"")</f>
        <v/>
      </c>
      <c r="AS79" s="110" t="str">
        <f>IFERROR(__xludf.DUMMYFUNCTION("""COMPUTED_VALUE"""),"")</f>
        <v/>
      </c>
      <c r="AT79" s="110" t="str">
        <f>IFERROR(__xludf.DUMMYFUNCTION("""COMPUTED_VALUE"""),"")</f>
        <v/>
      </c>
      <c r="AU79" s="110" t="str">
        <f>IFERROR(__xludf.DUMMYFUNCTION("""COMPUTED_VALUE"""),"")</f>
        <v/>
      </c>
      <c r="AV79" s="110" t="str">
        <f>IFERROR(__xludf.DUMMYFUNCTION("""COMPUTED_VALUE"""),"")</f>
        <v/>
      </c>
      <c r="AW79" s="110" t="str">
        <f>IFERROR(__xludf.DUMMYFUNCTION("""COMPUTED_VALUE"""),"")</f>
        <v/>
      </c>
      <c r="AX79" s="110" t="str">
        <f>IFERROR(__xludf.DUMMYFUNCTION("""COMPUTED_VALUE"""),"")</f>
        <v/>
      </c>
      <c r="AY79" s="110" t="str">
        <f>IFERROR(__xludf.DUMMYFUNCTION("""COMPUTED_VALUE"""),"")</f>
        <v/>
      </c>
      <c r="AZ79" s="110" t="str">
        <f>IFERROR(__xludf.DUMMYFUNCTION("""COMPUTED_VALUE"""),"")</f>
        <v/>
      </c>
      <c r="BA79" s="110" t="str">
        <f>IFERROR(__xludf.DUMMYFUNCTION("""COMPUTED_VALUE"""),"")</f>
        <v/>
      </c>
      <c r="BB79" s="110" t="str">
        <f>IFERROR(__xludf.DUMMYFUNCTION("""COMPUTED_VALUE"""),"")</f>
        <v/>
      </c>
      <c r="BC79" s="110" t="str">
        <f>IFERROR(__xludf.DUMMYFUNCTION("""COMPUTED_VALUE"""),"")</f>
        <v/>
      </c>
      <c r="BD79" s="110" t="str">
        <f>IFERROR(__xludf.DUMMYFUNCTION("""COMPUTED_VALUE"""),"")</f>
        <v/>
      </c>
      <c r="BE79" s="110" t="str">
        <f>IFERROR(__xludf.DUMMYFUNCTION("""COMPUTED_VALUE"""),"")</f>
        <v/>
      </c>
      <c r="BF79" s="110" t="str">
        <f>IFERROR(__xludf.DUMMYFUNCTION("""COMPUTED_VALUE"""),"")</f>
        <v/>
      </c>
      <c r="BG79" s="110" t="str">
        <f>IFERROR(__xludf.DUMMYFUNCTION("""COMPUTED_VALUE"""),"")</f>
        <v/>
      </c>
      <c r="BH79" s="110" t="str">
        <f>IFERROR(__xludf.DUMMYFUNCTION("""COMPUTED_VALUE"""),"")</f>
        <v/>
      </c>
      <c r="BI79" s="110" t="str">
        <f>IFERROR(__xludf.DUMMYFUNCTION("""COMPUTED_VALUE"""),"")</f>
        <v/>
      </c>
      <c r="BJ79" s="110" t="str">
        <f>IFERROR(__xludf.DUMMYFUNCTION("""COMPUTED_VALUE"""),"")</f>
        <v/>
      </c>
      <c r="BK79" s="110" t="str">
        <f>IFERROR(__xludf.DUMMYFUNCTION("""COMPUTED_VALUE"""),"")</f>
        <v/>
      </c>
      <c r="BL79" s="110" t="str">
        <f>IFERROR(__xludf.DUMMYFUNCTION("""COMPUTED_VALUE"""),"")</f>
        <v/>
      </c>
      <c r="BM79" s="110" t="str">
        <f>IFERROR(__xludf.DUMMYFUNCTION("""COMPUTED_VALUE"""),"")</f>
        <v/>
      </c>
      <c r="BN79" s="110" t="str">
        <f>IFERROR(__xludf.DUMMYFUNCTION("""COMPUTED_VALUE"""),"")</f>
        <v/>
      </c>
      <c r="BO79" s="110" t="str">
        <f>IFERROR(__xludf.DUMMYFUNCTION("""COMPUTED_VALUE"""),"")</f>
        <v/>
      </c>
      <c r="BP79" s="110" t="str">
        <f>IFERROR(__xludf.DUMMYFUNCTION("""COMPUTED_VALUE"""),"")</f>
        <v/>
      </c>
      <c r="BQ79" s="110" t="str">
        <f>IFERROR(__xludf.DUMMYFUNCTION("""COMPUTED_VALUE"""),"")</f>
        <v/>
      </c>
      <c r="BR79" s="110" t="str">
        <f>IFERROR(__xludf.DUMMYFUNCTION("""COMPUTED_VALUE"""),"")</f>
        <v/>
      </c>
      <c r="BS79" s="110" t="str">
        <f>IFERROR(__xludf.DUMMYFUNCTION("""COMPUTED_VALUE"""),"")</f>
        <v/>
      </c>
      <c r="BT79" s="110" t="str">
        <f>IFERROR(__xludf.DUMMYFUNCTION("""COMPUTED_VALUE"""),"")</f>
        <v/>
      </c>
      <c r="BU79" s="110" t="str">
        <f>IFERROR(__xludf.DUMMYFUNCTION("""COMPUTED_VALUE"""),"")</f>
        <v/>
      </c>
      <c r="BV79" s="110" t="str">
        <f>IFERROR(__xludf.DUMMYFUNCTION("""COMPUTED_VALUE"""),"")</f>
        <v/>
      </c>
      <c r="BW79" s="110" t="str">
        <f>IFERROR(__xludf.DUMMYFUNCTION("""COMPUTED_VALUE"""),"")</f>
        <v/>
      </c>
      <c r="BX79" s="110" t="str">
        <f>IFERROR(__xludf.DUMMYFUNCTION("""COMPUTED_VALUE"""),"")</f>
        <v/>
      </c>
      <c r="BY79" s="110" t="str">
        <f>IFERROR(__xludf.DUMMYFUNCTION("""COMPUTED_VALUE"""),"")</f>
        <v/>
      </c>
      <c r="BZ79" s="110" t="str">
        <f>IFERROR(__xludf.DUMMYFUNCTION("""COMPUTED_VALUE"""),"")</f>
        <v/>
      </c>
      <c r="CA79" s="110" t="str">
        <f>IFERROR(__xludf.DUMMYFUNCTION("""COMPUTED_VALUE"""),"")</f>
        <v/>
      </c>
      <c r="CB79" s="110" t="str">
        <f>IFERROR(__xludf.DUMMYFUNCTION("""COMPUTED_VALUE"""),"")</f>
        <v/>
      </c>
      <c r="CC79" s="110" t="str">
        <f>IFERROR(__xludf.DUMMYFUNCTION("""COMPUTED_VALUE"""),"")</f>
        <v/>
      </c>
      <c r="CD79" s="110" t="str">
        <f>IFERROR(__xludf.DUMMYFUNCTION("""COMPUTED_VALUE"""),"")</f>
        <v/>
      </c>
      <c r="CE79" s="110" t="str">
        <f>IFERROR(__xludf.DUMMYFUNCTION("""COMPUTED_VALUE"""),"")</f>
        <v/>
      </c>
      <c r="CF79" s="110" t="str">
        <f>IFERROR(__xludf.DUMMYFUNCTION("""COMPUTED_VALUE"""),"")</f>
        <v/>
      </c>
      <c r="CG79" s="110" t="str">
        <f>IFERROR(__xludf.DUMMYFUNCTION("""COMPUTED_VALUE"""),"")</f>
        <v/>
      </c>
      <c r="CH79" s="110" t="str">
        <f>IFERROR(__xludf.DUMMYFUNCTION("""COMPUTED_VALUE"""),"")</f>
        <v/>
      </c>
      <c r="CI79" s="110" t="str">
        <f>IFERROR(__xludf.DUMMYFUNCTION("""COMPUTED_VALUE"""),"")</f>
        <v/>
      </c>
      <c r="CJ79" s="110" t="str">
        <f>IFERROR(__xludf.DUMMYFUNCTION("""COMPUTED_VALUE"""),"")</f>
        <v/>
      </c>
      <c r="CK79" s="110" t="str">
        <f>IFERROR(__xludf.DUMMYFUNCTION("""COMPUTED_VALUE"""),"")</f>
        <v/>
      </c>
      <c r="CL79" s="110" t="str">
        <f>IFERROR(__xludf.DUMMYFUNCTION("""COMPUTED_VALUE"""),"")</f>
        <v/>
      </c>
      <c r="CM79" s="110" t="str">
        <f>IFERROR(__xludf.DUMMYFUNCTION("""COMPUTED_VALUE"""),"")</f>
        <v/>
      </c>
      <c r="CN79" s="110" t="str">
        <f>IFERROR(__xludf.DUMMYFUNCTION("""COMPUTED_VALUE"""),"")</f>
        <v/>
      </c>
      <c r="CO79" s="110" t="str">
        <f>IFERROR(__xludf.DUMMYFUNCTION("""COMPUTED_VALUE"""),"")</f>
        <v/>
      </c>
      <c r="CP79" s="110" t="str">
        <f>IFERROR(__xludf.DUMMYFUNCTION("""COMPUTED_VALUE"""),"")</f>
        <v/>
      </c>
      <c r="CQ79" s="110" t="str">
        <f>IFERROR(__xludf.DUMMYFUNCTION("""COMPUTED_VALUE"""),"")</f>
        <v/>
      </c>
      <c r="CR79" s="110" t="str">
        <f>IFERROR(__xludf.DUMMYFUNCTION("""COMPUTED_VALUE"""),"")</f>
        <v/>
      </c>
      <c r="CS79" s="110" t="str">
        <f>IFERROR(__xludf.DUMMYFUNCTION("""COMPUTED_VALUE"""),"")</f>
        <v/>
      </c>
      <c r="CT79" s="110" t="str">
        <f>IFERROR(__xludf.DUMMYFUNCTION("""COMPUTED_VALUE"""),"")</f>
        <v/>
      </c>
      <c r="CU79" s="110" t="str">
        <f>IFERROR(__xludf.DUMMYFUNCTION("""COMPUTED_VALUE"""),"")</f>
        <v/>
      </c>
      <c r="CV79" s="110" t="str">
        <f>IFERROR(__xludf.DUMMYFUNCTION("""COMPUTED_VALUE"""),"")</f>
        <v/>
      </c>
      <c r="CW79" s="110" t="str">
        <f>IFERROR(__xludf.DUMMYFUNCTION("""COMPUTED_VALUE"""),"")</f>
        <v/>
      </c>
      <c r="CX79" s="110" t="str">
        <f>IFERROR(__xludf.DUMMYFUNCTION("""COMPUTED_VALUE"""),"")</f>
        <v/>
      </c>
      <c r="CY79" s="110" t="str">
        <f>IFERROR(__xludf.DUMMYFUNCTION("""COMPUTED_VALUE"""),"")</f>
        <v/>
      </c>
      <c r="CZ79" s="110" t="str">
        <f>IFERROR(__xludf.DUMMYFUNCTION("""COMPUTED_VALUE"""),"")</f>
        <v/>
      </c>
      <c r="DA79" s="110" t="str">
        <f>IFERROR(__xludf.DUMMYFUNCTION("""COMPUTED_VALUE"""),"")</f>
        <v/>
      </c>
      <c r="DB79" s="110" t="str">
        <f>IFERROR(__xludf.DUMMYFUNCTION("""COMPUTED_VALUE"""),"")</f>
        <v/>
      </c>
      <c r="DC79" s="110" t="str">
        <f>IFERROR(__xludf.DUMMYFUNCTION("""COMPUTED_VALUE"""),"")</f>
        <v/>
      </c>
      <c r="DD79" s="110" t="str">
        <f>IFERROR(__xludf.DUMMYFUNCTION("""COMPUTED_VALUE"""),"")</f>
        <v/>
      </c>
      <c r="DE79" s="110" t="str">
        <f>IFERROR(__xludf.DUMMYFUNCTION("""COMPUTED_VALUE"""),"")</f>
        <v/>
      </c>
      <c r="DF79" s="110" t="str">
        <f>IFERROR(__xludf.DUMMYFUNCTION("""COMPUTED_VALUE"""),"")</f>
        <v/>
      </c>
      <c r="DG79" s="110" t="str">
        <f>IFERROR(__xludf.DUMMYFUNCTION("""COMPUTED_VALUE"""),"")</f>
        <v/>
      </c>
      <c r="DH79" s="110" t="str">
        <f>IFERROR(__xludf.DUMMYFUNCTION("""COMPUTED_VALUE"""),"")</f>
        <v/>
      </c>
      <c r="DI79" s="110" t="str">
        <f>IFERROR(__xludf.DUMMYFUNCTION("""COMPUTED_VALUE"""),"")</f>
        <v/>
      </c>
      <c r="DJ79" s="110" t="str">
        <f>IFERROR(__xludf.DUMMYFUNCTION("""COMPUTED_VALUE"""),"")</f>
        <v/>
      </c>
      <c r="DK79" s="110" t="str">
        <f>IFERROR(__xludf.DUMMYFUNCTION("""COMPUTED_VALUE"""),"")</f>
        <v/>
      </c>
      <c r="DL79" s="110" t="str">
        <f>IFERROR(__xludf.DUMMYFUNCTION("""COMPUTED_VALUE"""),"")</f>
        <v/>
      </c>
      <c r="DM79" s="110" t="str">
        <f>IFERROR(__xludf.DUMMYFUNCTION("""COMPUTED_VALUE"""),"")</f>
        <v/>
      </c>
      <c r="DN79" s="110" t="str">
        <f>IFERROR(__xludf.DUMMYFUNCTION("""COMPUTED_VALUE"""),"")</f>
        <v/>
      </c>
      <c r="DO79" s="110" t="str">
        <f>IFERROR(__xludf.DUMMYFUNCTION("""COMPUTED_VALUE"""),"")</f>
        <v/>
      </c>
      <c r="DP79" s="110" t="str">
        <f>IFERROR(__xludf.DUMMYFUNCTION("""COMPUTED_VALUE"""),"")</f>
        <v/>
      </c>
      <c r="DQ79" s="110" t="str">
        <f>IFERROR(__xludf.DUMMYFUNCTION("""COMPUTED_VALUE"""),"")</f>
        <v/>
      </c>
      <c r="DR79" s="110" t="str">
        <f>IFERROR(__xludf.DUMMYFUNCTION("""COMPUTED_VALUE"""),"")</f>
        <v/>
      </c>
      <c r="DS79" s="110" t="str">
        <f>IFERROR(__xludf.DUMMYFUNCTION("""COMPUTED_VALUE"""),"")</f>
        <v/>
      </c>
      <c r="DT79" s="110" t="str">
        <f>IFERROR(__xludf.DUMMYFUNCTION("""COMPUTED_VALUE"""),"")</f>
        <v/>
      </c>
      <c r="DU79" s="110" t="str">
        <f>IFERROR(__xludf.DUMMYFUNCTION("""COMPUTED_VALUE"""),"")</f>
        <v/>
      </c>
      <c r="DV79" s="110" t="str">
        <f>IFERROR(__xludf.DUMMYFUNCTION("""COMPUTED_VALUE"""),"")</f>
        <v/>
      </c>
      <c r="DW79" s="110" t="str">
        <f>IFERROR(__xludf.DUMMYFUNCTION("""COMPUTED_VALUE"""),"")</f>
        <v/>
      </c>
      <c r="DX79" s="110" t="str">
        <f>IFERROR(__xludf.DUMMYFUNCTION("""COMPUTED_VALUE"""),"")</f>
        <v/>
      </c>
      <c r="DY79" s="110" t="str">
        <f>IFERROR(__xludf.DUMMYFUNCTION("""COMPUTED_VALUE"""),"")</f>
        <v/>
      </c>
      <c r="DZ79" s="110" t="str">
        <f>IFERROR(__xludf.DUMMYFUNCTION("""COMPUTED_VALUE"""),"")</f>
        <v/>
      </c>
      <c r="EA79" s="110" t="str">
        <f>IFERROR(__xludf.DUMMYFUNCTION("""COMPUTED_VALUE"""),"")</f>
        <v/>
      </c>
      <c r="EB79" s="110" t="str">
        <f>IFERROR(__xludf.DUMMYFUNCTION("""COMPUTED_VALUE"""),"")</f>
        <v/>
      </c>
      <c r="EC79" s="110" t="str">
        <f>IFERROR(__xludf.DUMMYFUNCTION("""COMPUTED_VALUE"""),"")</f>
        <v/>
      </c>
      <c r="ED79" s="110" t="str">
        <f>IFERROR(__xludf.DUMMYFUNCTION("""COMPUTED_VALUE"""),"")</f>
        <v/>
      </c>
      <c r="EE79" s="110" t="str">
        <f>IFERROR(__xludf.DUMMYFUNCTION("""COMPUTED_VALUE"""),"")</f>
        <v/>
      </c>
      <c r="EF79" s="110" t="str">
        <f>IFERROR(__xludf.DUMMYFUNCTION("""COMPUTED_VALUE"""),"")</f>
        <v/>
      </c>
      <c r="EG79" s="110" t="str">
        <f>IFERROR(__xludf.DUMMYFUNCTION("""COMPUTED_VALUE"""),"")</f>
        <v/>
      </c>
      <c r="EH79" s="110" t="str">
        <f>IFERROR(__xludf.DUMMYFUNCTION("""COMPUTED_VALUE"""),"")</f>
        <v/>
      </c>
      <c r="EI79" s="110" t="str">
        <f>IFERROR(__xludf.DUMMYFUNCTION("""COMPUTED_VALUE"""),"")</f>
        <v/>
      </c>
      <c r="EJ79" s="110" t="str">
        <f>IFERROR(__xludf.DUMMYFUNCTION("""COMPUTED_VALUE"""),"")</f>
        <v/>
      </c>
      <c r="EK79" s="110" t="str">
        <f>IFERROR(__xludf.DUMMYFUNCTION("""COMPUTED_VALUE"""),"")</f>
        <v/>
      </c>
      <c r="EL79" s="110" t="str">
        <f>IFERROR(__xludf.DUMMYFUNCTION("""COMPUTED_VALUE"""),"")</f>
        <v/>
      </c>
      <c r="EM79" s="110" t="str">
        <f>IFERROR(__xludf.DUMMYFUNCTION("""COMPUTED_VALUE"""),"")</f>
        <v/>
      </c>
      <c r="EN79" s="110" t="str">
        <f>IFERROR(__xludf.DUMMYFUNCTION("""COMPUTED_VALUE"""),"")</f>
        <v/>
      </c>
      <c r="EO79" s="110" t="str">
        <f>IFERROR(__xludf.DUMMYFUNCTION("""COMPUTED_VALUE"""),"")</f>
        <v/>
      </c>
      <c r="EP79" s="110" t="str">
        <f>IFERROR(__xludf.DUMMYFUNCTION("""COMPUTED_VALUE"""),"")</f>
        <v/>
      </c>
      <c r="EQ79" s="110" t="str">
        <f>IFERROR(__xludf.DUMMYFUNCTION("""COMPUTED_VALUE"""),"")</f>
        <v/>
      </c>
      <c r="ER79" s="110" t="str">
        <f>IFERROR(__xludf.DUMMYFUNCTION("""COMPUTED_VALUE"""),"")</f>
        <v/>
      </c>
      <c r="ES79" s="110" t="str">
        <f>IFERROR(__xludf.DUMMYFUNCTION("""COMPUTED_VALUE"""),"")</f>
        <v/>
      </c>
      <c r="ET79" s="110" t="str">
        <f>IFERROR(__xludf.DUMMYFUNCTION("""COMPUTED_VALUE"""),"")</f>
        <v/>
      </c>
      <c r="EU79" s="110" t="str">
        <f>IFERROR(__xludf.DUMMYFUNCTION("""COMPUTED_VALUE"""),"")</f>
        <v/>
      </c>
      <c r="EV79" s="110" t="str">
        <f>IFERROR(__xludf.DUMMYFUNCTION("""COMPUTED_VALUE"""),"")</f>
        <v/>
      </c>
      <c r="EW79" s="110" t="str">
        <f>IFERROR(__xludf.DUMMYFUNCTION("""COMPUTED_VALUE"""),"")</f>
        <v/>
      </c>
      <c r="EX79" s="108" t="str">
        <f>IFERROR(__xludf.DUMMYFUNCTION("""COMPUTED_VALUE"""),"")</f>
        <v/>
      </c>
      <c r="EY79" s="108" t="str">
        <f>IFERROR(__xludf.DUMMYFUNCTION("""COMPUTED_VALUE"""),"")</f>
        <v/>
      </c>
      <c r="EZ79" s="108" t="str">
        <f>IFERROR(__xludf.DUMMYFUNCTION("""COMPUTED_VALUE"""),"")</f>
        <v/>
      </c>
      <c r="FA79" s="108" t="str">
        <f>IFERROR(__xludf.DUMMYFUNCTION("""COMPUTED_VALUE"""),"")</f>
        <v/>
      </c>
      <c r="FB79" s="108" t="str">
        <f>IFERROR(__xludf.DUMMYFUNCTION("""COMPUTED_VALUE"""),"")</f>
        <v/>
      </c>
      <c r="FC79" s="108" t="str">
        <f>IFERROR(__xludf.DUMMYFUNCTION("""COMPUTED_VALUE"""),"")</f>
        <v/>
      </c>
      <c r="FD79" s="108" t="str">
        <f>IFERROR(__xludf.DUMMYFUNCTION("""COMPUTED_VALUE"""),"")</f>
        <v/>
      </c>
      <c r="FE79" s="108" t="str">
        <f>IFERROR(__xludf.DUMMYFUNCTION("""COMPUTED_VALUE"""),"")</f>
        <v/>
      </c>
      <c r="FF79" s="108" t="str">
        <f>IFERROR(__xludf.DUMMYFUNCTION("""COMPUTED_VALUE"""),"")</f>
        <v/>
      </c>
      <c r="FG79" s="108" t="str">
        <f>IFERROR(__xludf.DUMMYFUNCTION("""COMPUTED_VALUE"""),"")</f>
        <v/>
      </c>
      <c r="FH79" s="108" t="str">
        <f>IFERROR(__xludf.DUMMYFUNCTION("""COMPUTED_VALUE"""),"")</f>
        <v/>
      </c>
      <c r="FI79" s="108" t="str">
        <f>IFERROR(__xludf.DUMMYFUNCTION("""COMPUTED_VALUE"""),"")</f>
        <v/>
      </c>
      <c r="FJ79" s="108" t="str">
        <f>IFERROR(__xludf.DUMMYFUNCTION("""COMPUTED_VALUE"""),"")</f>
        <v/>
      </c>
      <c r="FK79" s="108" t="str">
        <f>IFERROR(__xludf.DUMMYFUNCTION("""COMPUTED_VALUE"""),"")</f>
        <v/>
      </c>
      <c r="FL79" s="108" t="str">
        <f>IFERROR(__xludf.DUMMYFUNCTION("""COMPUTED_VALUE"""),"")</f>
        <v/>
      </c>
      <c r="FM79" s="108" t="str">
        <f>IFERROR(__xludf.DUMMYFUNCTION("""COMPUTED_VALUE"""),"")</f>
        <v/>
      </c>
      <c r="FN79" s="108" t="str">
        <f>IFERROR(__xludf.DUMMYFUNCTION("""COMPUTED_VALUE"""),"")</f>
        <v/>
      </c>
      <c r="FO79" s="108" t="str">
        <f>IFERROR(__xludf.DUMMYFUNCTION("""COMPUTED_VALUE"""),"")</f>
        <v/>
      </c>
    </row>
    <row r="80">
      <c r="A80" s="106" t="str">
        <f>IFERROR(__xludf.DUMMYFUNCTION("""COMPUTED_VALUE"""),"")</f>
        <v/>
      </c>
      <c r="B80" s="110" t="str">
        <f>IFERROR(__xludf.DUMMYFUNCTION("""COMPUTED_VALUE"""),"")</f>
        <v/>
      </c>
      <c r="C80" s="110" t="str">
        <f>IFERROR(__xludf.DUMMYFUNCTION("""COMPUTED_VALUE"""),"")</f>
        <v/>
      </c>
      <c r="D80" s="110" t="str">
        <f>IFERROR(__xludf.DUMMYFUNCTION("""COMPUTED_VALUE"""),"")</f>
        <v/>
      </c>
      <c r="E80" s="110" t="str">
        <f>IFERROR(__xludf.DUMMYFUNCTION("""COMPUTED_VALUE"""),"")</f>
        <v/>
      </c>
      <c r="F80" s="110" t="str">
        <f>IFERROR(__xludf.DUMMYFUNCTION("""COMPUTED_VALUE"""),"")</f>
        <v/>
      </c>
      <c r="G80" s="110" t="str">
        <f>IFERROR(__xludf.DUMMYFUNCTION("""COMPUTED_VALUE"""),"")</f>
        <v/>
      </c>
      <c r="H80" s="110" t="str">
        <f>IFERROR(__xludf.DUMMYFUNCTION("""COMPUTED_VALUE"""),"")</f>
        <v/>
      </c>
      <c r="I80" s="110" t="str">
        <f>IFERROR(__xludf.DUMMYFUNCTION("""COMPUTED_VALUE"""),"")</f>
        <v/>
      </c>
      <c r="J80" s="110" t="str">
        <f>IFERROR(__xludf.DUMMYFUNCTION("""COMPUTED_VALUE"""),"")</f>
        <v/>
      </c>
      <c r="K80" s="110" t="str">
        <f>IFERROR(__xludf.DUMMYFUNCTION("""COMPUTED_VALUE"""),"")</f>
        <v/>
      </c>
      <c r="L80" s="110" t="str">
        <f>IFERROR(__xludf.DUMMYFUNCTION("""COMPUTED_VALUE"""),"")</f>
        <v/>
      </c>
      <c r="M80" s="110" t="str">
        <f>IFERROR(__xludf.DUMMYFUNCTION("""COMPUTED_VALUE"""),"")</f>
        <v/>
      </c>
      <c r="N80" s="110" t="str">
        <f>IFERROR(__xludf.DUMMYFUNCTION("""COMPUTED_VALUE"""),"")</f>
        <v/>
      </c>
      <c r="O80" s="110" t="str">
        <f>IFERROR(__xludf.DUMMYFUNCTION("""COMPUTED_VALUE"""),"")</f>
        <v/>
      </c>
      <c r="P80" s="110" t="str">
        <f>IFERROR(__xludf.DUMMYFUNCTION("""COMPUTED_VALUE"""),"")</f>
        <v/>
      </c>
      <c r="Q80" s="110" t="str">
        <f>IFERROR(__xludf.DUMMYFUNCTION("""COMPUTED_VALUE"""),"")</f>
        <v/>
      </c>
      <c r="R80" s="110" t="str">
        <f>IFERROR(__xludf.DUMMYFUNCTION("""COMPUTED_VALUE"""),"")</f>
        <v/>
      </c>
      <c r="S80" s="110" t="str">
        <f>IFERROR(__xludf.DUMMYFUNCTION("""COMPUTED_VALUE"""),"")</f>
        <v/>
      </c>
      <c r="T80" s="110" t="str">
        <f>IFERROR(__xludf.DUMMYFUNCTION("""COMPUTED_VALUE"""),"")</f>
        <v/>
      </c>
      <c r="U80" s="110" t="str">
        <f>IFERROR(__xludf.DUMMYFUNCTION("""COMPUTED_VALUE"""),"")</f>
        <v/>
      </c>
      <c r="V80" s="110" t="str">
        <f>IFERROR(__xludf.DUMMYFUNCTION("""COMPUTED_VALUE"""),"")</f>
        <v/>
      </c>
      <c r="W80" s="110" t="str">
        <f>IFERROR(__xludf.DUMMYFUNCTION("""COMPUTED_VALUE"""),"")</f>
        <v/>
      </c>
      <c r="X80" s="110" t="str">
        <f>IFERROR(__xludf.DUMMYFUNCTION("""COMPUTED_VALUE"""),"")</f>
        <v/>
      </c>
      <c r="Y80" s="110" t="str">
        <f>IFERROR(__xludf.DUMMYFUNCTION("""COMPUTED_VALUE"""),"")</f>
        <v/>
      </c>
      <c r="Z80" s="110" t="str">
        <f>IFERROR(__xludf.DUMMYFUNCTION("""COMPUTED_VALUE"""),"")</f>
        <v/>
      </c>
      <c r="AA80" s="110" t="str">
        <f>IFERROR(__xludf.DUMMYFUNCTION("""COMPUTED_VALUE"""),"")</f>
        <v/>
      </c>
      <c r="AB80" s="110" t="str">
        <f>IFERROR(__xludf.DUMMYFUNCTION("""COMPUTED_VALUE"""),"")</f>
        <v/>
      </c>
      <c r="AC80" s="110" t="str">
        <f>IFERROR(__xludf.DUMMYFUNCTION("""COMPUTED_VALUE"""),"")</f>
        <v/>
      </c>
      <c r="AD80" s="110" t="str">
        <f>IFERROR(__xludf.DUMMYFUNCTION("""COMPUTED_VALUE"""),"")</f>
        <v/>
      </c>
      <c r="AE80" s="110" t="str">
        <f>IFERROR(__xludf.DUMMYFUNCTION("""COMPUTED_VALUE"""),"")</f>
        <v/>
      </c>
      <c r="AF80" s="110" t="str">
        <f>IFERROR(__xludf.DUMMYFUNCTION("""COMPUTED_VALUE"""),"")</f>
        <v/>
      </c>
      <c r="AG80" s="110" t="str">
        <f>IFERROR(__xludf.DUMMYFUNCTION("""COMPUTED_VALUE"""),"")</f>
        <v/>
      </c>
      <c r="AH80" s="110" t="str">
        <f>IFERROR(__xludf.DUMMYFUNCTION("""COMPUTED_VALUE"""),"")</f>
        <v/>
      </c>
      <c r="AI80" s="110" t="str">
        <f>IFERROR(__xludf.DUMMYFUNCTION("""COMPUTED_VALUE"""),"")</f>
        <v/>
      </c>
      <c r="AJ80" s="110" t="str">
        <f>IFERROR(__xludf.DUMMYFUNCTION("""COMPUTED_VALUE"""),"")</f>
        <v/>
      </c>
      <c r="AK80" s="110" t="str">
        <f>IFERROR(__xludf.DUMMYFUNCTION("""COMPUTED_VALUE"""),"")</f>
        <v/>
      </c>
      <c r="AL80" s="110" t="str">
        <f>IFERROR(__xludf.DUMMYFUNCTION("""COMPUTED_VALUE"""),"")</f>
        <v/>
      </c>
      <c r="AM80" s="110" t="str">
        <f>IFERROR(__xludf.DUMMYFUNCTION("""COMPUTED_VALUE"""),"")</f>
        <v/>
      </c>
      <c r="AN80" s="110" t="str">
        <f>IFERROR(__xludf.DUMMYFUNCTION("""COMPUTED_VALUE"""),"")</f>
        <v/>
      </c>
      <c r="AO80" s="110" t="str">
        <f>IFERROR(__xludf.DUMMYFUNCTION("""COMPUTED_VALUE"""),"")</f>
        <v/>
      </c>
      <c r="AP80" s="110" t="str">
        <f>IFERROR(__xludf.DUMMYFUNCTION("""COMPUTED_VALUE"""),"")</f>
        <v/>
      </c>
      <c r="AQ80" s="110" t="str">
        <f>IFERROR(__xludf.DUMMYFUNCTION("""COMPUTED_VALUE"""),"")</f>
        <v/>
      </c>
      <c r="AR80" s="109" t="str">
        <f>IFERROR(__xludf.DUMMYFUNCTION("""COMPUTED_VALUE"""),"")</f>
        <v/>
      </c>
      <c r="AS80" s="110" t="str">
        <f>IFERROR(__xludf.DUMMYFUNCTION("""COMPUTED_VALUE"""),"")</f>
        <v/>
      </c>
      <c r="AT80" s="110" t="str">
        <f>IFERROR(__xludf.DUMMYFUNCTION("""COMPUTED_VALUE"""),"")</f>
        <v/>
      </c>
      <c r="AU80" s="110" t="str">
        <f>IFERROR(__xludf.DUMMYFUNCTION("""COMPUTED_VALUE"""),"")</f>
        <v/>
      </c>
      <c r="AV80" s="110" t="str">
        <f>IFERROR(__xludf.DUMMYFUNCTION("""COMPUTED_VALUE"""),"")</f>
        <v/>
      </c>
      <c r="AW80" s="110" t="str">
        <f>IFERROR(__xludf.DUMMYFUNCTION("""COMPUTED_VALUE"""),"")</f>
        <v/>
      </c>
      <c r="AX80" s="110" t="str">
        <f>IFERROR(__xludf.DUMMYFUNCTION("""COMPUTED_VALUE"""),"")</f>
        <v/>
      </c>
      <c r="AY80" s="110" t="str">
        <f>IFERROR(__xludf.DUMMYFUNCTION("""COMPUTED_VALUE"""),"")</f>
        <v/>
      </c>
      <c r="AZ80" s="110" t="str">
        <f>IFERROR(__xludf.DUMMYFUNCTION("""COMPUTED_VALUE"""),"")</f>
        <v/>
      </c>
      <c r="BA80" s="110" t="str">
        <f>IFERROR(__xludf.DUMMYFUNCTION("""COMPUTED_VALUE"""),"")</f>
        <v/>
      </c>
      <c r="BB80" s="110" t="str">
        <f>IFERROR(__xludf.DUMMYFUNCTION("""COMPUTED_VALUE"""),"")</f>
        <v/>
      </c>
      <c r="BC80" s="110" t="str">
        <f>IFERROR(__xludf.DUMMYFUNCTION("""COMPUTED_VALUE"""),"")</f>
        <v/>
      </c>
      <c r="BD80" s="110" t="str">
        <f>IFERROR(__xludf.DUMMYFUNCTION("""COMPUTED_VALUE"""),"")</f>
        <v/>
      </c>
      <c r="BE80" s="110" t="str">
        <f>IFERROR(__xludf.DUMMYFUNCTION("""COMPUTED_VALUE"""),"")</f>
        <v/>
      </c>
      <c r="BF80" s="110" t="str">
        <f>IFERROR(__xludf.DUMMYFUNCTION("""COMPUTED_VALUE"""),"")</f>
        <v/>
      </c>
      <c r="BG80" s="110" t="str">
        <f>IFERROR(__xludf.DUMMYFUNCTION("""COMPUTED_VALUE"""),"")</f>
        <v/>
      </c>
      <c r="BH80" s="110" t="str">
        <f>IFERROR(__xludf.DUMMYFUNCTION("""COMPUTED_VALUE"""),"")</f>
        <v/>
      </c>
      <c r="BI80" s="110" t="str">
        <f>IFERROR(__xludf.DUMMYFUNCTION("""COMPUTED_VALUE"""),"")</f>
        <v/>
      </c>
      <c r="BJ80" s="110" t="str">
        <f>IFERROR(__xludf.DUMMYFUNCTION("""COMPUTED_VALUE"""),"")</f>
        <v/>
      </c>
      <c r="BK80" s="110" t="str">
        <f>IFERROR(__xludf.DUMMYFUNCTION("""COMPUTED_VALUE"""),"")</f>
        <v/>
      </c>
      <c r="BL80" s="110" t="str">
        <f>IFERROR(__xludf.DUMMYFUNCTION("""COMPUTED_VALUE"""),"")</f>
        <v/>
      </c>
      <c r="BM80" s="110" t="str">
        <f>IFERROR(__xludf.DUMMYFUNCTION("""COMPUTED_VALUE"""),"")</f>
        <v/>
      </c>
      <c r="BN80" s="110" t="str">
        <f>IFERROR(__xludf.DUMMYFUNCTION("""COMPUTED_VALUE"""),"")</f>
        <v/>
      </c>
      <c r="BO80" s="110" t="str">
        <f>IFERROR(__xludf.DUMMYFUNCTION("""COMPUTED_VALUE"""),"")</f>
        <v/>
      </c>
      <c r="BP80" s="110" t="str">
        <f>IFERROR(__xludf.DUMMYFUNCTION("""COMPUTED_VALUE"""),"")</f>
        <v/>
      </c>
      <c r="BQ80" s="110" t="str">
        <f>IFERROR(__xludf.DUMMYFUNCTION("""COMPUTED_VALUE"""),"")</f>
        <v/>
      </c>
      <c r="BR80" s="110" t="str">
        <f>IFERROR(__xludf.DUMMYFUNCTION("""COMPUTED_VALUE"""),"")</f>
        <v/>
      </c>
      <c r="BS80" s="110" t="str">
        <f>IFERROR(__xludf.DUMMYFUNCTION("""COMPUTED_VALUE"""),"")</f>
        <v/>
      </c>
      <c r="BT80" s="110" t="str">
        <f>IFERROR(__xludf.DUMMYFUNCTION("""COMPUTED_VALUE"""),"")</f>
        <v/>
      </c>
      <c r="BU80" s="110" t="str">
        <f>IFERROR(__xludf.DUMMYFUNCTION("""COMPUTED_VALUE"""),"")</f>
        <v/>
      </c>
      <c r="BV80" s="110" t="str">
        <f>IFERROR(__xludf.DUMMYFUNCTION("""COMPUTED_VALUE"""),"")</f>
        <v/>
      </c>
      <c r="BW80" s="110" t="str">
        <f>IFERROR(__xludf.DUMMYFUNCTION("""COMPUTED_VALUE"""),"")</f>
        <v/>
      </c>
      <c r="BX80" s="110" t="str">
        <f>IFERROR(__xludf.DUMMYFUNCTION("""COMPUTED_VALUE"""),"")</f>
        <v/>
      </c>
      <c r="BY80" s="110" t="str">
        <f>IFERROR(__xludf.DUMMYFUNCTION("""COMPUTED_VALUE"""),"")</f>
        <v/>
      </c>
      <c r="BZ80" s="110" t="str">
        <f>IFERROR(__xludf.DUMMYFUNCTION("""COMPUTED_VALUE"""),"")</f>
        <v/>
      </c>
      <c r="CA80" s="110" t="str">
        <f>IFERROR(__xludf.DUMMYFUNCTION("""COMPUTED_VALUE"""),"")</f>
        <v/>
      </c>
      <c r="CB80" s="110" t="str">
        <f>IFERROR(__xludf.DUMMYFUNCTION("""COMPUTED_VALUE"""),"")</f>
        <v/>
      </c>
      <c r="CC80" s="110" t="str">
        <f>IFERROR(__xludf.DUMMYFUNCTION("""COMPUTED_VALUE"""),"")</f>
        <v/>
      </c>
      <c r="CD80" s="110" t="str">
        <f>IFERROR(__xludf.DUMMYFUNCTION("""COMPUTED_VALUE"""),"")</f>
        <v/>
      </c>
      <c r="CE80" s="110" t="str">
        <f>IFERROR(__xludf.DUMMYFUNCTION("""COMPUTED_VALUE"""),"")</f>
        <v/>
      </c>
      <c r="CF80" s="110" t="str">
        <f>IFERROR(__xludf.DUMMYFUNCTION("""COMPUTED_VALUE"""),"")</f>
        <v/>
      </c>
      <c r="CG80" s="110" t="str">
        <f>IFERROR(__xludf.DUMMYFUNCTION("""COMPUTED_VALUE"""),"")</f>
        <v/>
      </c>
      <c r="CH80" s="110" t="str">
        <f>IFERROR(__xludf.DUMMYFUNCTION("""COMPUTED_VALUE"""),"")</f>
        <v/>
      </c>
      <c r="CI80" s="110" t="str">
        <f>IFERROR(__xludf.DUMMYFUNCTION("""COMPUTED_VALUE"""),"")</f>
        <v/>
      </c>
      <c r="CJ80" s="110" t="str">
        <f>IFERROR(__xludf.DUMMYFUNCTION("""COMPUTED_VALUE"""),"")</f>
        <v/>
      </c>
      <c r="CK80" s="110" t="str">
        <f>IFERROR(__xludf.DUMMYFUNCTION("""COMPUTED_VALUE"""),"")</f>
        <v/>
      </c>
      <c r="CL80" s="110" t="str">
        <f>IFERROR(__xludf.DUMMYFUNCTION("""COMPUTED_VALUE"""),"")</f>
        <v/>
      </c>
      <c r="CM80" s="110" t="str">
        <f>IFERROR(__xludf.DUMMYFUNCTION("""COMPUTED_VALUE"""),"")</f>
        <v/>
      </c>
      <c r="CN80" s="110" t="str">
        <f>IFERROR(__xludf.DUMMYFUNCTION("""COMPUTED_VALUE"""),"")</f>
        <v/>
      </c>
      <c r="CO80" s="110" t="str">
        <f>IFERROR(__xludf.DUMMYFUNCTION("""COMPUTED_VALUE"""),"")</f>
        <v/>
      </c>
      <c r="CP80" s="110" t="str">
        <f>IFERROR(__xludf.DUMMYFUNCTION("""COMPUTED_VALUE"""),"")</f>
        <v/>
      </c>
      <c r="CQ80" s="110" t="str">
        <f>IFERROR(__xludf.DUMMYFUNCTION("""COMPUTED_VALUE"""),"")</f>
        <v/>
      </c>
      <c r="CR80" s="110" t="str">
        <f>IFERROR(__xludf.DUMMYFUNCTION("""COMPUTED_VALUE"""),"")</f>
        <v/>
      </c>
      <c r="CS80" s="110" t="str">
        <f>IFERROR(__xludf.DUMMYFUNCTION("""COMPUTED_VALUE"""),"")</f>
        <v/>
      </c>
      <c r="CT80" s="110" t="str">
        <f>IFERROR(__xludf.DUMMYFUNCTION("""COMPUTED_VALUE"""),"")</f>
        <v/>
      </c>
      <c r="CU80" s="110" t="str">
        <f>IFERROR(__xludf.DUMMYFUNCTION("""COMPUTED_VALUE"""),"")</f>
        <v/>
      </c>
      <c r="CV80" s="110" t="str">
        <f>IFERROR(__xludf.DUMMYFUNCTION("""COMPUTED_VALUE"""),"")</f>
        <v/>
      </c>
      <c r="CW80" s="110" t="str">
        <f>IFERROR(__xludf.DUMMYFUNCTION("""COMPUTED_VALUE"""),"")</f>
        <v/>
      </c>
      <c r="CX80" s="110" t="str">
        <f>IFERROR(__xludf.DUMMYFUNCTION("""COMPUTED_VALUE"""),"")</f>
        <v/>
      </c>
      <c r="CY80" s="110" t="str">
        <f>IFERROR(__xludf.DUMMYFUNCTION("""COMPUTED_VALUE"""),"")</f>
        <v/>
      </c>
      <c r="CZ80" s="110" t="str">
        <f>IFERROR(__xludf.DUMMYFUNCTION("""COMPUTED_VALUE"""),"")</f>
        <v/>
      </c>
      <c r="DA80" s="110" t="str">
        <f>IFERROR(__xludf.DUMMYFUNCTION("""COMPUTED_VALUE"""),"")</f>
        <v/>
      </c>
      <c r="DB80" s="110" t="str">
        <f>IFERROR(__xludf.DUMMYFUNCTION("""COMPUTED_VALUE"""),"")</f>
        <v/>
      </c>
      <c r="DC80" s="110" t="str">
        <f>IFERROR(__xludf.DUMMYFUNCTION("""COMPUTED_VALUE"""),"")</f>
        <v/>
      </c>
      <c r="DD80" s="110" t="str">
        <f>IFERROR(__xludf.DUMMYFUNCTION("""COMPUTED_VALUE"""),"")</f>
        <v/>
      </c>
      <c r="DE80" s="110" t="str">
        <f>IFERROR(__xludf.DUMMYFUNCTION("""COMPUTED_VALUE"""),"")</f>
        <v/>
      </c>
      <c r="DF80" s="110" t="str">
        <f>IFERROR(__xludf.DUMMYFUNCTION("""COMPUTED_VALUE"""),"")</f>
        <v/>
      </c>
      <c r="DG80" s="110" t="str">
        <f>IFERROR(__xludf.DUMMYFUNCTION("""COMPUTED_VALUE"""),"")</f>
        <v/>
      </c>
      <c r="DH80" s="110" t="str">
        <f>IFERROR(__xludf.DUMMYFUNCTION("""COMPUTED_VALUE"""),"")</f>
        <v/>
      </c>
      <c r="DI80" s="110" t="str">
        <f>IFERROR(__xludf.DUMMYFUNCTION("""COMPUTED_VALUE"""),"")</f>
        <v/>
      </c>
      <c r="DJ80" s="110" t="str">
        <f>IFERROR(__xludf.DUMMYFUNCTION("""COMPUTED_VALUE"""),"")</f>
        <v/>
      </c>
      <c r="DK80" s="110" t="str">
        <f>IFERROR(__xludf.DUMMYFUNCTION("""COMPUTED_VALUE"""),"")</f>
        <v/>
      </c>
      <c r="DL80" s="110" t="str">
        <f>IFERROR(__xludf.DUMMYFUNCTION("""COMPUTED_VALUE"""),"")</f>
        <v/>
      </c>
      <c r="DM80" s="110" t="str">
        <f>IFERROR(__xludf.DUMMYFUNCTION("""COMPUTED_VALUE"""),"")</f>
        <v/>
      </c>
      <c r="DN80" s="110" t="str">
        <f>IFERROR(__xludf.DUMMYFUNCTION("""COMPUTED_VALUE"""),"")</f>
        <v/>
      </c>
      <c r="DO80" s="110" t="str">
        <f>IFERROR(__xludf.DUMMYFUNCTION("""COMPUTED_VALUE"""),"")</f>
        <v/>
      </c>
      <c r="DP80" s="110" t="str">
        <f>IFERROR(__xludf.DUMMYFUNCTION("""COMPUTED_VALUE"""),"")</f>
        <v/>
      </c>
      <c r="DQ80" s="110" t="str">
        <f>IFERROR(__xludf.DUMMYFUNCTION("""COMPUTED_VALUE"""),"")</f>
        <v/>
      </c>
      <c r="DR80" s="110" t="str">
        <f>IFERROR(__xludf.DUMMYFUNCTION("""COMPUTED_VALUE"""),"")</f>
        <v/>
      </c>
      <c r="DS80" s="110" t="str">
        <f>IFERROR(__xludf.DUMMYFUNCTION("""COMPUTED_VALUE"""),"")</f>
        <v/>
      </c>
      <c r="DT80" s="110" t="str">
        <f>IFERROR(__xludf.DUMMYFUNCTION("""COMPUTED_VALUE"""),"")</f>
        <v/>
      </c>
      <c r="DU80" s="110" t="str">
        <f>IFERROR(__xludf.DUMMYFUNCTION("""COMPUTED_VALUE"""),"")</f>
        <v/>
      </c>
      <c r="DV80" s="110" t="str">
        <f>IFERROR(__xludf.DUMMYFUNCTION("""COMPUTED_VALUE"""),"")</f>
        <v/>
      </c>
      <c r="DW80" s="110" t="str">
        <f>IFERROR(__xludf.DUMMYFUNCTION("""COMPUTED_VALUE"""),"")</f>
        <v/>
      </c>
      <c r="DX80" s="110" t="str">
        <f>IFERROR(__xludf.DUMMYFUNCTION("""COMPUTED_VALUE"""),"")</f>
        <v/>
      </c>
      <c r="DY80" s="110" t="str">
        <f>IFERROR(__xludf.DUMMYFUNCTION("""COMPUTED_VALUE"""),"")</f>
        <v/>
      </c>
      <c r="DZ80" s="110" t="str">
        <f>IFERROR(__xludf.DUMMYFUNCTION("""COMPUTED_VALUE"""),"")</f>
        <v/>
      </c>
      <c r="EA80" s="110" t="str">
        <f>IFERROR(__xludf.DUMMYFUNCTION("""COMPUTED_VALUE"""),"")</f>
        <v/>
      </c>
      <c r="EB80" s="110" t="str">
        <f>IFERROR(__xludf.DUMMYFUNCTION("""COMPUTED_VALUE"""),"")</f>
        <v/>
      </c>
      <c r="EC80" s="110" t="str">
        <f>IFERROR(__xludf.DUMMYFUNCTION("""COMPUTED_VALUE"""),"")</f>
        <v/>
      </c>
      <c r="ED80" s="110" t="str">
        <f>IFERROR(__xludf.DUMMYFUNCTION("""COMPUTED_VALUE"""),"")</f>
        <v/>
      </c>
      <c r="EE80" s="110" t="str">
        <f>IFERROR(__xludf.DUMMYFUNCTION("""COMPUTED_VALUE"""),"")</f>
        <v/>
      </c>
      <c r="EF80" s="110" t="str">
        <f>IFERROR(__xludf.DUMMYFUNCTION("""COMPUTED_VALUE"""),"")</f>
        <v/>
      </c>
      <c r="EG80" s="110" t="str">
        <f>IFERROR(__xludf.DUMMYFUNCTION("""COMPUTED_VALUE"""),"")</f>
        <v/>
      </c>
      <c r="EH80" s="110" t="str">
        <f>IFERROR(__xludf.DUMMYFUNCTION("""COMPUTED_VALUE"""),"")</f>
        <v/>
      </c>
      <c r="EI80" s="110" t="str">
        <f>IFERROR(__xludf.DUMMYFUNCTION("""COMPUTED_VALUE"""),"")</f>
        <v/>
      </c>
      <c r="EJ80" s="110" t="str">
        <f>IFERROR(__xludf.DUMMYFUNCTION("""COMPUTED_VALUE"""),"")</f>
        <v/>
      </c>
      <c r="EK80" s="110" t="str">
        <f>IFERROR(__xludf.DUMMYFUNCTION("""COMPUTED_VALUE"""),"")</f>
        <v/>
      </c>
      <c r="EL80" s="110" t="str">
        <f>IFERROR(__xludf.DUMMYFUNCTION("""COMPUTED_VALUE"""),"")</f>
        <v/>
      </c>
      <c r="EM80" s="110" t="str">
        <f>IFERROR(__xludf.DUMMYFUNCTION("""COMPUTED_VALUE"""),"")</f>
        <v/>
      </c>
      <c r="EN80" s="110" t="str">
        <f>IFERROR(__xludf.DUMMYFUNCTION("""COMPUTED_VALUE"""),"")</f>
        <v/>
      </c>
      <c r="EO80" s="110" t="str">
        <f>IFERROR(__xludf.DUMMYFUNCTION("""COMPUTED_VALUE"""),"")</f>
        <v/>
      </c>
      <c r="EP80" s="110" t="str">
        <f>IFERROR(__xludf.DUMMYFUNCTION("""COMPUTED_VALUE"""),"")</f>
        <v/>
      </c>
      <c r="EQ80" s="110" t="str">
        <f>IFERROR(__xludf.DUMMYFUNCTION("""COMPUTED_VALUE"""),"")</f>
        <v/>
      </c>
      <c r="ER80" s="110" t="str">
        <f>IFERROR(__xludf.DUMMYFUNCTION("""COMPUTED_VALUE"""),"")</f>
        <v/>
      </c>
      <c r="ES80" s="110" t="str">
        <f>IFERROR(__xludf.DUMMYFUNCTION("""COMPUTED_VALUE"""),"")</f>
        <v/>
      </c>
      <c r="ET80" s="110" t="str">
        <f>IFERROR(__xludf.DUMMYFUNCTION("""COMPUTED_VALUE"""),"")</f>
        <v/>
      </c>
      <c r="EU80" s="110" t="str">
        <f>IFERROR(__xludf.DUMMYFUNCTION("""COMPUTED_VALUE"""),"")</f>
        <v/>
      </c>
      <c r="EV80" s="110" t="str">
        <f>IFERROR(__xludf.DUMMYFUNCTION("""COMPUTED_VALUE"""),"")</f>
        <v/>
      </c>
      <c r="EW80" s="110" t="str">
        <f>IFERROR(__xludf.DUMMYFUNCTION("""COMPUTED_VALUE"""),"")</f>
        <v/>
      </c>
      <c r="EX80" s="108" t="str">
        <f>IFERROR(__xludf.DUMMYFUNCTION("""COMPUTED_VALUE"""),"")</f>
        <v/>
      </c>
      <c r="EY80" s="108" t="str">
        <f>IFERROR(__xludf.DUMMYFUNCTION("""COMPUTED_VALUE"""),"")</f>
        <v/>
      </c>
      <c r="EZ80" s="108" t="str">
        <f>IFERROR(__xludf.DUMMYFUNCTION("""COMPUTED_VALUE"""),"")</f>
        <v/>
      </c>
      <c r="FA80" s="108" t="str">
        <f>IFERROR(__xludf.DUMMYFUNCTION("""COMPUTED_VALUE"""),"")</f>
        <v/>
      </c>
      <c r="FB80" s="108" t="str">
        <f>IFERROR(__xludf.DUMMYFUNCTION("""COMPUTED_VALUE"""),"")</f>
        <v/>
      </c>
      <c r="FC80" s="108" t="str">
        <f>IFERROR(__xludf.DUMMYFUNCTION("""COMPUTED_VALUE"""),"")</f>
        <v/>
      </c>
      <c r="FD80" s="108" t="str">
        <f>IFERROR(__xludf.DUMMYFUNCTION("""COMPUTED_VALUE"""),"")</f>
        <v/>
      </c>
      <c r="FE80" s="108" t="str">
        <f>IFERROR(__xludf.DUMMYFUNCTION("""COMPUTED_VALUE"""),"")</f>
        <v/>
      </c>
      <c r="FF80" s="108" t="str">
        <f>IFERROR(__xludf.DUMMYFUNCTION("""COMPUTED_VALUE"""),"")</f>
        <v/>
      </c>
      <c r="FG80" s="108" t="str">
        <f>IFERROR(__xludf.DUMMYFUNCTION("""COMPUTED_VALUE"""),"")</f>
        <v/>
      </c>
      <c r="FH80" s="108" t="str">
        <f>IFERROR(__xludf.DUMMYFUNCTION("""COMPUTED_VALUE"""),"")</f>
        <v/>
      </c>
      <c r="FI80" s="108" t="str">
        <f>IFERROR(__xludf.DUMMYFUNCTION("""COMPUTED_VALUE"""),"")</f>
        <v/>
      </c>
      <c r="FJ80" s="108" t="str">
        <f>IFERROR(__xludf.DUMMYFUNCTION("""COMPUTED_VALUE"""),"")</f>
        <v/>
      </c>
      <c r="FK80" s="108" t="str">
        <f>IFERROR(__xludf.DUMMYFUNCTION("""COMPUTED_VALUE"""),"")</f>
        <v/>
      </c>
      <c r="FL80" s="108" t="str">
        <f>IFERROR(__xludf.DUMMYFUNCTION("""COMPUTED_VALUE"""),"")</f>
        <v/>
      </c>
      <c r="FM80" s="108" t="str">
        <f>IFERROR(__xludf.DUMMYFUNCTION("""COMPUTED_VALUE"""),"")</f>
        <v/>
      </c>
      <c r="FN80" s="108" t="str">
        <f>IFERROR(__xludf.DUMMYFUNCTION("""COMPUTED_VALUE"""),"")</f>
        <v/>
      </c>
      <c r="FO80" s="108" t="str">
        <f>IFERROR(__xludf.DUMMYFUNCTION("""COMPUTED_VALUE"""),"")</f>
        <v/>
      </c>
    </row>
    <row r="81">
      <c r="A81" s="106" t="str">
        <f>IFERROR(__xludf.DUMMYFUNCTION("""COMPUTED_VALUE"""),"")</f>
        <v/>
      </c>
      <c r="B81" s="110" t="str">
        <f>IFERROR(__xludf.DUMMYFUNCTION("""COMPUTED_VALUE"""),"")</f>
        <v/>
      </c>
      <c r="C81" s="110" t="str">
        <f>IFERROR(__xludf.DUMMYFUNCTION("""COMPUTED_VALUE"""),"")</f>
        <v/>
      </c>
      <c r="D81" s="110" t="str">
        <f>IFERROR(__xludf.DUMMYFUNCTION("""COMPUTED_VALUE"""),"")</f>
        <v/>
      </c>
      <c r="E81" s="110" t="str">
        <f>IFERROR(__xludf.DUMMYFUNCTION("""COMPUTED_VALUE"""),"")</f>
        <v/>
      </c>
      <c r="F81" s="110" t="str">
        <f>IFERROR(__xludf.DUMMYFUNCTION("""COMPUTED_VALUE"""),"")</f>
        <v/>
      </c>
      <c r="G81" s="110" t="str">
        <f>IFERROR(__xludf.DUMMYFUNCTION("""COMPUTED_VALUE"""),"")</f>
        <v/>
      </c>
      <c r="H81" s="110" t="str">
        <f>IFERROR(__xludf.DUMMYFUNCTION("""COMPUTED_VALUE"""),"")</f>
        <v/>
      </c>
      <c r="I81" s="110" t="str">
        <f>IFERROR(__xludf.DUMMYFUNCTION("""COMPUTED_VALUE"""),"")</f>
        <v/>
      </c>
      <c r="J81" s="110" t="str">
        <f>IFERROR(__xludf.DUMMYFUNCTION("""COMPUTED_VALUE"""),"")</f>
        <v/>
      </c>
      <c r="K81" s="110" t="str">
        <f>IFERROR(__xludf.DUMMYFUNCTION("""COMPUTED_VALUE"""),"")</f>
        <v/>
      </c>
      <c r="L81" s="110" t="str">
        <f>IFERROR(__xludf.DUMMYFUNCTION("""COMPUTED_VALUE"""),"")</f>
        <v/>
      </c>
      <c r="M81" s="110" t="str">
        <f>IFERROR(__xludf.DUMMYFUNCTION("""COMPUTED_VALUE"""),"")</f>
        <v/>
      </c>
      <c r="N81" s="110" t="str">
        <f>IFERROR(__xludf.DUMMYFUNCTION("""COMPUTED_VALUE"""),"")</f>
        <v/>
      </c>
      <c r="O81" s="110" t="str">
        <f>IFERROR(__xludf.DUMMYFUNCTION("""COMPUTED_VALUE"""),"")</f>
        <v/>
      </c>
      <c r="P81" s="110" t="str">
        <f>IFERROR(__xludf.DUMMYFUNCTION("""COMPUTED_VALUE"""),"")</f>
        <v/>
      </c>
      <c r="Q81" s="110" t="str">
        <f>IFERROR(__xludf.DUMMYFUNCTION("""COMPUTED_VALUE"""),"")</f>
        <v/>
      </c>
      <c r="R81" s="110" t="str">
        <f>IFERROR(__xludf.DUMMYFUNCTION("""COMPUTED_VALUE"""),"")</f>
        <v/>
      </c>
      <c r="S81" s="110" t="str">
        <f>IFERROR(__xludf.DUMMYFUNCTION("""COMPUTED_VALUE"""),"")</f>
        <v/>
      </c>
      <c r="T81" s="110" t="str">
        <f>IFERROR(__xludf.DUMMYFUNCTION("""COMPUTED_VALUE"""),"")</f>
        <v/>
      </c>
      <c r="U81" s="110" t="str">
        <f>IFERROR(__xludf.DUMMYFUNCTION("""COMPUTED_VALUE"""),"")</f>
        <v/>
      </c>
      <c r="V81" s="110" t="str">
        <f>IFERROR(__xludf.DUMMYFUNCTION("""COMPUTED_VALUE"""),"")</f>
        <v/>
      </c>
      <c r="W81" s="110" t="str">
        <f>IFERROR(__xludf.DUMMYFUNCTION("""COMPUTED_VALUE"""),"")</f>
        <v/>
      </c>
      <c r="X81" s="110" t="str">
        <f>IFERROR(__xludf.DUMMYFUNCTION("""COMPUTED_VALUE"""),"")</f>
        <v/>
      </c>
      <c r="Y81" s="110" t="str">
        <f>IFERROR(__xludf.DUMMYFUNCTION("""COMPUTED_VALUE"""),"")</f>
        <v/>
      </c>
      <c r="Z81" s="110" t="str">
        <f>IFERROR(__xludf.DUMMYFUNCTION("""COMPUTED_VALUE"""),"")</f>
        <v/>
      </c>
      <c r="AA81" s="110" t="str">
        <f>IFERROR(__xludf.DUMMYFUNCTION("""COMPUTED_VALUE"""),"")</f>
        <v/>
      </c>
      <c r="AB81" s="110" t="str">
        <f>IFERROR(__xludf.DUMMYFUNCTION("""COMPUTED_VALUE"""),"")</f>
        <v/>
      </c>
      <c r="AC81" s="110" t="str">
        <f>IFERROR(__xludf.DUMMYFUNCTION("""COMPUTED_VALUE"""),"")</f>
        <v/>
      </c>
      <c r="AD81" s="110" t="str">
        <f>IFERROR(__xludf.DUMMYFUNCTION("""COMPUTED_VALUE"""),"")</f>
        <v/>
      </c>
      <c r="AE81" s="110" t="str">
        <f>IFERROR(__xludf.DUMMYFUNCTION("""COMPUTED_VALUE"""),"")</f>
        <v/>
      </c>
      <c r="AF81" s="110" t="str">
        <f>IFERROR(__xludf.DUMMYFUNCTION("""COMPUTED_VALUE"""),"")</f>
        <v/>
      </c>
      <c r="AG81" s="110" t="str">
        <f>IFERROR(__xludf.DUMMYFUNCTION("""COMPUTED_VALUE"""),"")</f>
        <v/>
      </c>
      <c r="AH81" s="110" t="str">
        <f>IFERROR(__xludf.DUMMYFUNCTION("""COMPUTED_VALUE"""),"")</f>
        <v/>
      </c>
      <c r="AI81" s="110" t="str">
        <f>IFERROR(__xludf.DUMMYFUNCTION("""COMPUTED_VALUE"""),"")</f>
        <v/>
      </c>
      <c r="AJ81" s="110" t="str">
        <f>IFERROR(__xludf.DUMMYFUNCTION("""COMPUTED_VALUE"""),"")</f>
        <v/>
      </c>
      <c r="AK81" s="110" t="str">
        <f>IFERROR(__xludf.DUMMYFUNCTION("""COMPUTED_VALUE"""),"")</f>
        <v/>
      </c>
      <c r="AL81" s="110" t="str">
        <f>IFERROR(__xludf.DUMMYFUNCTION("""COMPUTED_VALUE"""),"")</f>
        <v/>
      </c>
      <c r="AM81" s="110" t="str">
        <f>IFERROR(__xludf.DUMMYFUNCTION("""COMPUTED_VALUE"""),"")</f>
        <v/>
      </c>
      <c r="AN81" s="110" t="str">
        <f>IFERROR(__xludf.DUMMYFUNCTION("""COMPUTED_VALUE"""),"")</f>
        <v/>
      </c>
      <c r="AO81" s="110" t="str">
        <f>IFERROR(__xludf.DUMMYFUNCTION("""COMPUTED_VALUE"""),"")</f>
        <v/>
      </c>
      <c r="AP81" s="110" t="str">
        <f>IFERROR(__xludf.DUMMYFUNCTION("""COMPUTED_VALUE"""),"")</f>
        <v/>
      </c>
      <c r="AQ81" s="110" t="str">
        <f>IFERROR(__xludf.DUMMYFUNCTION("""COMPUTED_VALUE"""),"")</f>
        <v/>
      </c>
      <c r="AR81" s="109" t="str">
        <f>IFERROR(__xludf.DUMMYFUNCTION("""COMPUTED_VALUE"""),"")</f>
        <v/>
      </c>
      <c r="AS81" s="110" t="str">
        <f>IFERROR(__xludf.DUMMYFUNCTION("""COMPUTED_VALUE"""),"")</f>
        <v/>
      </c>
      <c r="AT81" s="110" t="str">
        <f>IFERROR(__xludf.DUMMYFUNCTION("""COMPUTED_VALUE"""),"")</f>
        <v/>
      </c>
      <c r="AU81" s="110" t="str">
        <f>IFERROR(__xludf.DUMMYFUNCTION("""COMPUTED_VALUE"""),"")</f>
        <v/>
      </c>
      <c r="AV81" s="110" t="str">
        <f>IFERROR(__xludf.DUMMYFUNCTION("""COMPUTED_VALUE"""),"")</f>
        <v/>
      </c>
      <c r="AW81" s="110" t="str">
        <f>IFERROR(__xludf.DUMMYFUNCTION("""COMPUTED_VALUE"""),"")</f>
        <v/>
      </c>
      <c r="AX81" s="110" t="str">
        <f>IFERROR(__xludf.DUMMYFUNCTION("""COMPUTED_VALUE"""),"")</f>
        <v/>
      </c>
      <c r="AY81" s="110" t="str">
        <f>IFERROR(__xludf.DUMMYFUNCTION("""COMPUTED_VALUE"""),"")</f>
        <v/>
      </c>
      <c r="AZ81" s="110" t="str">
        <f>IFERROR(__xludf.DUMMYFUNCTION("""COMPUTED_VALUE"""),"")</f>
        <v/>
      </c>
      <c r="BA81" s="110" t="str">
        <f>IFERROR(__xludf.DUMMYFUNCTION("""COMPUTED_VALUE"""),"")</f>
        <v/>
      </c>
      <c r="BB81" s="110" t="str">
        <f>IFERROR(__xludf.DUMMYFUNCTION("""COMPUTED_VALUE"""),"")</f>
        <v/>
      </c>
      <c r="BC81" s="110" t="str">
        <f>IFERROR(__xludf.DUMMYFUNCTION("""COMPUTED_VALUE"""),"")</f>
        <v/>
      </c>
      <c r="BD81" s="110" t="str">
        <f>IFERROR(__xludf.DUMMYFUNCTION("""COMPUTED_VALUE"""),"")</f>
        <v/>
      </c>
      <c r="BE81" s="110" t="str">
        <f>IFERROR(__xludf.DUMMYFUNCTION("""COMPUTED_VALUE"""),"")</f>
        <v/>
      </c>
      <c r="BF81" s="110" t="str">
        <f>IFERROR(__xludf.DUMMYFUNCTION("""COMPUTED_VALUE"""),"")</f>
        <v/>
      </c>
      <c r="BG81" s="110" t="str">
        <f>IFERROR(__xludf.DUMMYFUNCTION("""COMPUTED_VALUE"""),"")</f>
        <v/>
      </c>
      <c r="BH81" s="110" t="str">
        <f>IFERROR(__xludf.DUMMYFUNCTION("""COMPUTED_VALUE"""),"")</f>
        <v/>
      </c>
      <c r="BI81" s="110" t="str">
        <f>IFERROR(__xludf.DUMMYFUNCTION("""COMPUTED_VALUE"""),"")</f>
        <v/>
      </c>
      <c r="BJ81" s="110" t="str">
        <f>IFERROR(__xludf.DUMMYFUNCTION("""COMPUTED_VALUE"""),"")</f>
        <v/>
      </c>
      <c r="BK81" s="110" t="str">
        <f>IFERROR(__xludf.DUMMYFUNCTION("""COMPUTED_VALUE"""),"")</f>
        <v/>
      </c>
      <c r="BL81" s="110" t="str">
        <f>IFERROR(__xludf.DUMMYFUNCTION("""COMPUTED_VALUE"""),"")</f>
        <v/>
      </c>
      <c r="BM81" s="110" t="str">
        <f>IFERROR(__xludf.DUMMYFUNCTION("""COMPUTED_VALUE"""),"")</f>
        <v/>
      </c>
      <c r="BN81" s="110" t="str">
        <f>IFERROR(__xludf.DUMMYFUNCTION("""COMPUTED_VALUE"""),"")</f>
        <v/>
      </c>
      <c r="BO81" s="110" t="str">
        <f>IFERROR(__xludf.DUMMYFUNCTION("""COMPUTED_VALUE"""),"")</f>
        <v/>
      </c>
      <c r="BP81" s="110" t="str">
        <f>IFERROR(__xludf.DUMMYFUNCTION("""COMPUTED_VALUE"""),"")</f>
        <v/>
      </c>
      <c r="BQ81" s="110" t="str">
        <f>IFERROR(__xludf.DUMMYFUNCTION("""COMPUTED_VALUE"""),"")</f>
        <v/>
      </c>
      <c r="BR81" s="110" t="str">
        <f>IFERROR(__xludf.DUMMYFUNCTION("""COMPUTED_VALUE"""),"")</f>
        <v/>
      </c>
      <c r="BS81" s="110" t="str">
        <f>IFERROR(__xludf.DUMMYFUNCTION("""COMPUTED_VALUE"""),"")</f>
        <v/>
      </c>
      <c r="BT81" s="110" t="str">
        <f>IFERROR(__xludf.DUMMYFUNCTION("""COMPUTED_VALUE"""),"")</f>
        <v/>
      </c>
      <c r="BU81" s="110" t="str">
        <f>IFERROR(__xludf.DUMMYFUNCTION("""COMPUTED_VALUE"""),"")</f>
        <v/>
      </c>
      <c r="BV81" s="110" t="str">
        <f>IFERROR(__xludf.DUMMYFUNCTION("""COMPUTED_VALUE"""),"")</f>
        <v/>
      </c>
      <c r="BW81" s="110" t="str">
        <f>IFERROR(__xludf.DUMMYFUNCTION("""COMPUTED_VALUE"""),"")</f>
        <v/>
      </c>
      <c r="BX81" s="110" t="str">
        <f>IFERROR(__xludf.DUMMYFUNCTION("""COMPUTED_VALUE"""),"")</f>
        <v/>
      </c>
      <c r="BY81" s="110" t="str">
        <f>IFERROR(__xludf.DUMMYFUNCTION("""COMPUTED_VALUE"""),"")</f>
        <v/>
      </c>
      <c r="BZ81" s="110" t="str">
        <f>IFERROR(__xludf.DUMMYFUNCTION("""COMPUTED_VALUE"""),"")</f>
        <v/>
      </c>
      <c r="CA81" s="110" t="str">
        <f>IFERROR(__xludf.DUMMYFUNCTION("""COMPUTED_VALUE"""),"")</f>
        <v/>
      </c>
      <c r="CB81" s="110" t="str">
        <f>IFERROR(__xludf.DUMMYFUNCTION("""COMPUTED_VALUE"""),"")</f>
        <v/>
      </c>
      <c r="CC81" s="110" t="str">
        <f>IFERROR(__xludf.DUMMYFUNCTION("""COMPUTED_VALUE"""),"")</f>
        <v/>
      </c>
      <c r="CD81" s="110" t="str">
        <f>IFERROR(__xludf.DUMMYFUNCTION("""COMPUTED_VALUE"""),"")</f>
        <v/>
      </c>
      <c r="CE81" s="110" t="str">
        <f>IFERROR(__xludf.DUMMYFUNCTION("""COMPUTED_VALUE"""),"")</f>
        <v/>
      </c>
      <c r="CF81" s="110" t="str">
        <f>IFERROR(__xludf.DUMMYFUNCTION("""COMPUTED_VALUE"""),"")</f>
        <v/>
      </c>
      <c r="CG81" s="110" t="str">
        <f>IFERROR(__xludf.DUMMYFUNCTION("""COMPUTED_VALUE"""),"")</f>
        <v/>
      </c>
      <c r="CH81" s="110" t="str">
        <f>IFERROR(__xludf.DUMMYFUNCTION("""COMPUTED_VALUE"""),"")</f>
        <v/>
      </c>
      <c r="CI81" s="110" t="str">
        <f>IFERROR(__xludf.DUMMYFUNCTION("""COMPUTED_VALUE"""),"")</f>
        <v/>
      </c>
      <c r="CJ81" s="110" t="str">
        <f>IFERROR(__xludf.DUMMYFUNCTION("""COMPUTED_VALUE"""),"")</f>
        <v/>
      </c>
      <c r="CK81" s="110" t="str">
        <f>IFERROR(__xludf.DUMMYFUNCTION("""COMPUTED_VALUE"""),"")</f>
        <v/>
      </c>
      <c r="CL81" s="110" t="str">
        <f>IFERROR(__xludf.DUMMYFUNCTION("""COMPUTED_VALUE"""),"")</f>
        <v/>
      </c>
      <c r="CM81" s="110" t="str">
        <f>IFERROR(__xludf.DUMMYFUNCTION("""COMPUTED_VALUE"""),"")</f>
        <v/>
      </c>
      <c r="CN81" s="110" t="str">
        <f>IFERROR(__xludf.DUMMYFUNCTION("""COMPUTED_VALUE"""),"")</f>
        <v/>
      </c>
      <c r="CO81" s="110" t="str">
        <f>IFERROR(__xludf.DUMMYFUNCTION("""COMPUTED_VALUE"""),"")</f>
        <v/>
      </c>
      <c r="CP81" s="110" t="str">
        <f>IFERROR(__xludf.DUMMYFUNCTION("""COMPUTED_VALUE"""),"")</f>
        <v/>
      </c>
      <c r="CQ81" s="110" t="str">
        <f>IFERROR(__xludf.DUMMYFUNCTION("""COMPUTED_VALUE"""),"")</f>
        <v/>
      </c>
      <c r="CR81" s="110" t="str">
        <f>IFERROR(__xludf.DUMMYFUNCTION("""COMPUTED_VALUE"""),"")</f>
        <v/>
      </c>
      <c r="CS81" s="110" t="str">
        <f>IFERROR(__xludf.DUMMYFUNCTION("""COMPUTED_VALUE"""),"")</f>
        <v/>
      </c>
      <c r="CT81" s="110" t="str">
        <f>IFERROR(__xludf.DUMMYFUNCTION("""COMPUTED_VALUE"""),"")</f>
        <v/>
      </c>
      <c r="CU81" s="110" t="str">
        <f>IFERROR(__xludf.DUMMYFUNCTION("""COMPUTED_VALUE"""),"")</f>
        <v/>
      </c>
      <c r="CV81" s="110" t="str">
        <f>IFERROR(__xludf.DUMMYFUNCTION("""COMPUTED_VALUE"""),"")</f>
        <v/>
      </c>
      <c r="CW81" s="110" t="str">
        <f>IFERROR(__xludf.DUMMYFUNCTION("""COMPUTED_VALUE"""),"")</f>
        <v/>
      </c>
      <c r="CX81" s="110" t="str">
        <f>IFERROR(__xludf.DUMMYFUNCTION("""COMPUTED_VALUE"""),"")</f>
        <v/>
      </c>
      <c r="CY81" s="110" t="str">
        <f>IFERROR(__xludf.DUMMYFUNCTION("""COMPUTED_VALUE"""),"")</f>
        <v/>
      </c>
      <c r="CZ81" s="110" t="str">
        <f>IFERROR(__xludf.DUMMYFUNCTION("""COMPUTED_VALUE"""),"")</f>
        <v/>
      </c>
      <c r="DA81" s="110" t="str">
        <f>IFERROR(__xludf.DUMMYFUNCTION("""COMPUTED_VALUE"""),"")</f>
        <v/>
      </c>
      <c r="DB81" s="110" t="str">
        <f>IFERROR(__xludf.DUMMYFUNCTION("""COMPUTED_VALUE"""),"")</f>
        <v/>
      </c>
      <c r="DC81" s="110" t="str">
        <f>IFERROR(__xludf.DUMMYFUNCTION("""COMPUTED_VALUE"""),"")</f>
        <v/>
      </c>
      <c r="DD81" s="110" t="str">
        <f>IFERROR(__xludf.DUMMYFUNCTION("""COMPUTED_VALUE"""),"")</f>
        <v/>
      </c>
      <c r="DE81" s="110" t="str">
        <f>IFERROR(__xludf.DUMMYFUNCTION("""COMPUTED_VALUE"""),"")</f>
        <v/>
      </c>
      <c r="DF81" s="110" t="str">
        <f>IFERROR(__xludf.DUMMYFUNCTION("""COMPUTED_VALUE"""),"")</f>
        <v/>
      </c>
      <c r="DG81" s="110" t="str">
        <f>IFERROR(__xludf.DUMMYFUNCTION("""COMPUTED_VALUE"""),"")</f>
        <v/>
      </c>
      <c r="DH81" s="110" t="str">
        <f>IFERROR(__xludf.DUMMYFUNCTION("""COMPUTED_VALUE"""),"")</f>
        <v/>
      </c>
      <c r="DI81" s="110" t="str">
        <f>IFERROR(__xludf.DUMMYFUNCTION("""COMPUTED_VALUE"""),"")</f>
        <v/>
      </c>
      <c r="DJ81" s="110" t="str">
        <f>IFERROR(__xludf.DUMMYFUNCTION("""COMPUTED_VALUE"""),"")</f>
        <v/>
      </c>
      <c r="DK81" s="110" t="str">
        <f>IFERROR(__xludf.DUMMYFUNCTION("""COMPUTED_VALUE"""),"")</f>
        <v/>
      </c>
      <c r="DL81" s="110" t="str">
        <f>IFERROR(__xludf.DUMMYFUNCTION("""COMPUTED_VALUE"""),"")</f>
        <v/>
      </c>
      <c r="DM81" s="110" t="str">
        <f>IFERROR(__xludf.DUMMYFUNCTION("""COMPUTED_VALUE"""),"")</f>
        <v/>
      </c>
      <c r="DN81" s="110" t="str">
        <f>IFERROR(__xludf.DUMMYFUNCTION("""COMPUTED_VALUE"""),"")</f>
        <v/>
      </c>
      <c r="DO81" s="110" t="str">
        <f>IFERROR(__xludf.DUMMYFUNCTION("""COMPUTED_VALUE"""),"")</f>
        <v/>
      </c>
      <c r="DP81" s="110" t="str">
        <f>IFERROR(__xludf.DUMMYFUNCTION("""COMPUTED_VALUE"""),"")</f>
        <v/>
      </c>
      <c r="DQ81" s="110" t="str">
        <f>IFERROR(__xludf.DUMMYFUNCTION("""COMPUTED_VALUE"""),"")</f>
        <v/>
      </c>
      <c r="DR81" s="110" t="str">
        <f>IFERROR(__xludf.DUMMYFUNCTION("""COMPUTED_VALUE"""),"")</f>
        <v/>
      </c>
      <c r="DS81" s="110" t="str">
        <f>IFERROR(__xludf.DUMMYFUNCTION("""COMPUTED_VALUE"""),"")</f>
        <v/>
      </c>
      <c r="DT81" s="110" t="str">
        <f>IFERROR(__xludf.DUMMYFUNCTION("""COMPUTED_VALUE"""),"")</f>
        <v/>
      </c>
      <c r="DU81" s="110" t="str">
        <f>IFERROR(__xludf.DUMMYFUNCTION("""COMPUTED_VALUE"""),"")</f>
        <v/>
      </c>
      <c r="DV81" s="110" t="str">
        <f>IFERROR(__xludf.DUMMYFUNCTION("""COMPUTED_VALUE"""),"")</f>
        <v/>
      </c>
      <c r="DW81" s="110" t="str">
        <f>IFERROR(__xludf.DUMMYFUNCTION("""COMPUTED_VALUE"""),"")</f>
        <v/>
      </c>
      <c r="DX81" s="110" t="str">
        <f>IFERROR(__xludf.DUMMYFUNCTION("""COMPUTED_VALUE"""),"")</f>
        <v/>
      </c>
      <c r="DY81" s="110" t="str">
        <f>IFERROR(__xludf.DUMMYFUNCTION("""COMPUTED_VALUE"""),"")</f>
        <v/>
      </c>
      <c r="DZ81" s="110" t="str">
        <f>IFERROR(__xludf.DUMMYFUNCTION("""COMPUTED_VALUE"""),"")</f>
        <v/>
      </c>
      <c r="EA81" s="110" t="str">
        <f>IFERROR(__xludf.DUMMYFUNCTION("""COMPUTED_VALUE"""),"")</f>
        <v/>
      </c>
      <c r="EB81" s="110" t="str">
        <f>IFERROR(__xludf.DUMMYFUNCTION("""COMPUTED_VALUE"""),"")</f>
        <v/>
      </c>
      <c r="EC81" s="110" t="str">
        <f>IFERROR(__xludf.DUMMYFUNCTION("""COMPUTED_VALUE"""),"")</f>
        <v/>
      </c>
      <c r="ED81" s="110" t="str">
        <f>IFERROR(__xludf.DUMMYFUNCTION("""COMPUTED_VALUE"""),"")</f>
        <v/>
      </c>
      <c r="EE81" s="110" t="str">
        <f>IFERROR(__xludf.DUMMYFUNCTION("""COMPUTED_VALUE"""),"")</f>
        <v/>
      </c>
      <c r="EF81" s="110" t="str">
        <f>IFERROR(__xludf.DUMMYFUNCTION("""COMPUTED_VALUE"""),"")</f>
        <v/>
      </c>
      <c r="EG81" s="110" t="str">
        <f>IFERROR(__xludf.DUMMYFUNCTION("""COMPUTED_VALUE"""),"")</f>
        <v/>
      </c>
      <c r="EH81" s="110" t="str">
        <f>IFERROR(__xludf.DUMMYFUNCTION("""COMPUTED_VALUE"""),"")</f>
        <v/>
      </c>
      <c r="EI81" s="110" t="str">
        <f>IFERROR(__xludf.DUMMYFUNCTION("""COMPUTED_VALUE"""),"")</f>
        <v/>
      </c>
      <c r="EJ81" s="110" t="str">
        <f>IFERROR(__xludf.DUMMYFUNCTION("""COMPUTED_VALUE"""),"")</f>
        <v/>
      </c>
      <c r="EK81" s="110" t="str">
        <f>IFERROR(__xludf.DUMMYFUNCTION("""COMPUTED_VALUE"""),"")</f>
        <v/>
      </c>
      <c r="EL81" s="110" t="str">
        <f>IFERROR(__xludf.DUMMYFUNCTION("""COMPUTED_VALUE"""),"")</f>
        <v/>
      </c>
      <c r="EM81" s="110" t="str">
        <f>IFERROR(__xludf.DUMMYFUNCTION("""COMPUTED_VALUE"""),"")</f>
        <v/>
      </c>
      <c r="EN81" s="110" t="str">
        <f>IFERROR(__xludf.DUMMYFUNCTION("""COMPUTED_VALUE"""),"")</f>
        <v/>
      </c>
      <c r="EO81" s="110" t="str">
        <f>IFERROR(__xludf.DUMMYFUNCTION("""COMPUTED_VALUE"""),"")</f>
        <v/>
      </c>
      <c r="EP81" s="110" t="str">
        <f>IFERROR(__xludf.DUMMYFUNCTION("""COMPUTED_VALUE"""),"")</f>
        <v/>
      </c>
      <c r="EQ81" s="110" t="str">
        <f>IFERROR(__xludf.DUMMYFUNCTION("""COMPUTED_VALUE"""),"")</f>
        <v/>
      </c>
      <c r="ER81" s="110" t="str">
        <f>IFERROR(__xludf.DUMMYFUNCTION("""COMPUTED_VALUE"""),"")</f>
        <v/>
      </c>
      <c r="ES81" s="110" t="str">
        <f>IFERROR(__xludf.DUMMYFUNCTION("""COMPUTED_VALUE"""),"")</f>
        <v/>
      </c>
      <c r="ET81" s="110" t="str">
        <f>IFERROR(__xludf.DUMMYFUNCTION("""COMPUTED_VALUE"""),"")</f>
        <v/>
      </c>
      <c r="EU81" s="110" t="str">
        <f>IFERROR(__xludf.DUMMYFUNCTION("""COMPUTED_VALUE"""),"")</f>
        <v/>
      </c>
      <c r="EV81" s="110" t="str">
        <f>IFERROR(__xludf.DUMMYFUNCTION("""COMPUTED_VALUE"""),"")</f>
        <v/>
      </c>
      <c r="EW81" s="110" t="str">
        <f>IFERROR(__xludf.DUMMYFUNCTION("""COMPUTED_VALUE"""),"")</f>
        <v/>
      </c>
      <c r="EX81" s="108" t="str">
        <f>IFERROR(__xludf.DUMMYFUNCTION("""COMPUTED_VALUE"""),"")</f>
        <v/>
      </c>
      <c r="EY81" s="108" t="str">
        <f>IFERROR(__xludf.DUMMYFUNCTION("""COMPUTED_VALUE"""),"")</f>
        <v/>
      </c>
      <c r="EZ81" s="108" t="str">
        <f>IFERROR(__xludf.DUMMYFUNCTION("""COMPUTED_VALUE"""),"")</f>
        <v/>
      </c>
      <c r="FA81" s="108" t="str">
        <f>IFERROR(__xludf.DUMMYFUNCTION("""COMPUTED_VALUE"""),"")</f>
        <v/>
      </c>
      <c r="FB81" s="108" t="str">
        <f>IFERROR(__xludf.DUMMYFUNCTION("""COMPUTED_VALUE"""),"")</f>
        <v/>
      </c>
      <c r="FC81" s="108" t="str">
        <f>IFERROR(__xludf.DUMMYFUNCTION("""COMPUTED_VALUE"""),"")</f>
        <v/>
      </c>
      <c r="FD81" s="108" t="str">
        <f>IFERROR(__xludf.DUMMYFUNCTION("""COMPUTED_VALUE"""),"")</f>
        <v/>
      </c>
      <c r="FE81" s="108" t="str">
        <f>IFERROR(__xludf.DUMMYFUNCTION("""COMPUTED_VALUE"""),"")</f>
        <v/>
      </c>
      <c r="FF81" s="108" t="str">
        <f>IFERROR(__xludf.DUMMYFUNCTION("""COMPUTED_VALUE"""),"")</f>
        <v/>
      </c>
      <c r="FG81" s="108" t="str">
        <f>IFERROR(__xludf.DUMMYFUNCTION("""COMPUTED_VALUE"""),"")</f>
        <v/>
      </c>
      <c r="FH81" s="108" t="str">
        <f>IFERROR(__xludf.DUMMYFUNCTION("""COMPUTED_VALUE"""),"")</f>
        <v/>
      </c>
      <c r="FI81" s="108" t="str">
        <f>IFERROR(__xludf.DUMMYFUNCTION("""COMPUTED_VALUE"""),"")</f>
        <v/>
      </c>
      <c r="FJ81" s="108" t="str">
        <f>IFERROR(__xludf.DUMMYFUNCTION("""COMPUTED_VALUE"""),"")</f>
        <v/>
      </c>
      <c r="FK81" s="108" t="str">
        <f>IFERROR(__xludf.DUMMYFUNCTION("""COMPUTED_VALUE"""),"")</f>
        <v/>
      </c>
      <c r="FL81" s="108" t="str">
        <f>IFERROR(__xludf.DUMMYFUNCTION("""COMPUTED_VALUE"""),"")</f>
        <v/>
      </c>
      <c r="FM81" s="108" t="str">
        <f>IFERROR(__xludf.DUMMYFUNCTION("""COMPUTED_VALUE"""),"")</f>
        <v/>
      </c>
      <c r="FN81" s="108" t="str">
        <f>IFERROR(__xludf.DUMMYFUNCTION("""COMPUTED_VALUE"""),"")</f>
        <v/>
      </c>
      <c r="FO81" s="108" t="str">
        <f>IFERROR(__xludf.DUMMYFUNCTION("""COMPUTED_VALUE"""),"")</f>
        <v/>
      </c>
    </row>
    <row r="82">
      <c r="A82" s="106" t="str">
        <f>IFERROR(__xludf.DUMMYFUNCTION("""COMPUTED_VALUE"""),"")</f>
        <v/>
      </c>
      <c r="B82" s="110" t="str">
        <f>IFERROR(__xludf.DUMMYFUNCTION("""COMPUTED_VALUE"""),"")</f>
        <v/>
      </c>
      <c r="C82" s="110" t="str">
        <f>IFERROR(__xludf.DUMMYFUNCTION("""COMPUTED_VALUE"""),"")</f>
        <v/>
      </c>
      <c r="D82" s="110" t="str">
        <f>IFERROR(__xludf.DUMMYFUNCTION("""COMPUTED_VALUE"""),"")</f>
        <v/>
      </c>
      <c r="E82" s="110" t="str">
        <f>IFERROR(__xludf.DUMMYFUNCTION("""COMPUTED_VALUE"""),"")</f>
        <v/>
      </c>
      <c r="F82" s="110" t="str">
        <f>IFERROR(__xludf.DUMMYFUNCTION("""COMPUTED_VALUE"""),"")</f>
        <v/>
      </c>
      <c r="G82" s="110" t="str">
        <f>IFERROR(__xludf.DUMMYFUNCTION("""COMPUTED_VALUE"""),"")</f>
        <v/>
      </c>
      <c r="H82" s="110" t="str">
        <f>IFERROR(__xludf.DUMMYFUNCTION("""COMPUTED_VALUE"""),"")</f>
        <v/>
      </c>
      <c r="I82" s="110" t="str">
        <f>IFERROR(__xludf.DUMMYFUNCTION("""COMPUTED_VALUE"""),"")</f>
        <v/>
      </c>
      <c r="J82" s="110" t="str">
        <f>IFERROR(__xludf.DUMMYFUNCTION("""COMPUTED_VALUE"""),"")</f>
        <v/>
      </c>
      <c r="K82" s="110" t="str">
        <f>IFERROR(__xludf.DUMMYFUNCTION("""COMPUTED_VALUE"""),"")</f>
        <v/>
      </c>
      <c r="L82" s="110" t="str">
        <f>IFERROR(__xludf.DUMMYFUNCTION("""COMPUTED_VALUE"""),"")</f>
        <v/>
      </c>
      <c r="M82" s="110" t="str">
        <f>IFERROR(__xludf.DUMMYFUNCTION("""COMPUTED_VALUE"""),"")</f>
        <v/>
      </c>
      <c r="N82" s="110" t="str">
        <f>IFERROR(__xludf.DUMMYFUNCTION("""COMPUTED_VALUE"""),"")</f>
        <v/>
      </c>
      <c r="O82" s="110" t="str">
        <f>IFERROR(__xludf.DUMMYFUNCTION("""COMPUTED_VALUE"""),"")</f>
        <v/>
      </c>
      <c r="P82" s="110" t="str">
        <f>IFERROR(__xludf.DUMMYFUNCTION("""COMPUTED_VALUE"""),"")</f>
        <v/>
      </c>
      <c r="Q82" s="110" t="str">
        <f>IFERROR(__xludf.DUMMYFUNCTION("""COMPUTED_VALUE"""),"")</f>
        <v/>
      </c>
      <c r="R82" s="110" t="str">
        <f>IFERROR(__xludf.DUMMYFUNCTION("""COMPUTED_VALUE"""),"")</f>
        <v/>
      </c>
      <c r="S82" s="110" t="str">
        <f>IFERROR(__xludf.DUMMYFUNCTION("""COMPUTED_VALUE"""),"")</f>
        <v/>
      </c>
      <c r="T82" s="110" t="str">
        <f>IFERROR(__xludf.DUMMYFUNCTION("""COMPUTED_VALUE"""),"")</f>
        <v/>
      </c>
      <c r="U82" s="110" t="str">
        <f>IFERROR(__xludf.DUMMYFUNCTION("""COMPUTED_VALUE"""),"")</f>
        <v/>
      </c>
      <c r="V82" s="110" t="str">
        <f>IFERROR(__xludf.DUMMYFUNCTION("""COMPUTED_VALUE"""),"")</f>
        <v/>
      </c>
      <c r="W82" s="110" t="str">
        <f>IFERROR(__xludf.DUMMYFUNCTION("""COMPUTED_VALUE"""),"")</f>
        <v/>
      </c>
      <c r="X82" s="110" t="str">
        <f>IFERROR(__xludf.DUMMYFUNCTION("""COMPUTED_VALUE"""),"")</f>
        <v/>
      </c>
      <c r="Y82" s="110" t="str">
        <f>IFERROR(__xludf.DUMMYFUNCTION("""COMPUTED_VALUE"""),"")</f>
        <v/>
      </c>
      <c r="Z82" s="110" t="str">
        <f>IFERROR(__xludf.DUMMYFUNCTION("""COMPUTED_VALUE"""),"")</f>
        <v/>
      </c>
      <c r="AA82" s="110" t="str">
        <f>IFERROR(__xludf.DUMMYFUNCTION("""COMPUTED_VALUE"""),"")</f>
        <v/>
      </c>
      <c r="AB82" s="110" t="str">
        <f>IFERROR(__xludf.DUMMYFUNCTION("""COMPUTED_VALUE"""),"")</f>
        <v/>
      </c>
      <c r="AC82" s="110" t="str">
        <f>IFERROR(__xludf.DUMMYFUNCTION("""COMPUTED_VALUE"""),"")</f>
        <v/>
      </c>
      <c r="AD82" s="110" t="str">
        <f>IFERROR(__xludf.DUMMYFUNCTION("""COMPUTED_VALUE"""),"")</f>
        <v/>
      </c>
      <c r="AE82" s="110" t="str">
        <f>IFERROR(__xludf.DUMMYFUNCTION("""COMPUTED_VALUE"""),"")</f>
        <v/>
      </c>
      <c r="AF82" s="110" t="str">
        <f>IFERROR(__xludf.DUMMYFUNCTION("""COMPUTED_VALUE"""),"")</f>
        <v/>
      </c>
      <c r="AG82" s="110" t="str">
        <f>IFERROR(__xludf.DUMMYFUNCTION("""COMPUTED_VALUE"""),"")</f>
        <v/>
      </c>
      <c r="AH82" s="110" t="str">
        <f>IFERROR(__xludf.DUMMYFUNCTION("""COMPUTED_VALUE"""),"")</f>
        <v/>
      </c>
      <c r="AI82" s="110" t="str">
        <f>IFERROR(__xludf.DUMMYFUNCTION("""COMPUTED_VALUE"""),"")</f>
        <v/>
      </c>
      <c r="AJ82" s="110" t="str">
        <f>IFERROR(__xludf.DUMMYFUNCTION("""COMPUTED_VALUE"""),"")</f>
        <v/>
      </c>
      <c r="AK82" s="110" t="str">
        <f>IFERROR(__xludf.DUMMYFUNCTION("""COMPUTED_VALUE"""),"")</f>
        <v/>
      </c>
      <c r="AL82" s="110" t="str">
        <f>IFERROR(__xludf.DUMMYFUNCTION("""COMPUTED_VALUE"""),"")</f>
        <v/>
      </c>
      <c r="AM82" s="110" t="str">
        <f>IFERROR(__xludf.DUMMYFUNCTION("""COMPUTED_VALUE"""),"")</f>
        <v/>
      </c>
      <c r="AN82" s="110" t="str">
        <f>IFERROR(__xludf.DUMMYFUNCTION("""COMPUTED_VALUE"""),"")</f>
        <v/>
      </c>
      <c r="AO82" s="110" t="str">
        <f>IFERROR(__xludf.DUMMYFUNCTION("""COMPUTED_VALUE"""),"")</f>
        <v/>
      </c>
      <c r="AP82" s="110" t="str">
        <f>IFERROR(__xludf.DUMMYFUNCTION("""COMPUTED_VALUE"""),"")</f>
        <v/>
      </c>
      <c r="AQ82" s="110" t="str">
        <f>IFERROR(__xludf.DUMMYFUNCTION("""COMPUTED_VALUE"""),"")</f>
        <v/>
      </c>
      <c r="AR82" s="109" t="str">
        <f>IFERROR(__xludf.DUMMYFUNCTION("""COMPUTED_VALUE"""),"")</f>
        <v/>
      </c>
      <c r="AS82" s="110" t="str">
        <f>IFERROR(__xludf.DUMMYFUNCTION("""COMPUTED_VALUE"""),"")</f>
        <v/>
      </c>
      <c r="AT82" s="110" t="str">
        <f>IFERROR(__xludf.DUMMYFUNCTION("""COMPUTED_VALUE"""),"")</f>
        <v/>
      </c>
      <c r="AU82" s="110" t="str">
        <f>IFERROR(__xludf.DUMMYFUNCTION("""COMPUTED_VALUE"""),"")</f>
        <v/>
      </c>
      <c r="AV82" s="110" t="str">
        <f>IFERROR(__xludf.DUMMYFUNCTION("""COMPUTED_VALUE"""),"")</f>
        <v/>
      </c>
      <c r="AW82" s="110" t="str">
        <f>IFERROR(__xludf.DUMMYFUNCTION("""COMPUTED_VALUE"""),"")</f>
        <v/>
      </c>
      <c r="AX82" s="110" t="str">
        <f>IFERROR(__xludf.DUMMYFUNCTION("""COMPUTED_VALUE"""),"")</f>
        <v/>
      </c>
      <c r="AY82" s="110" t="str">
        <f>IFERROR(__xludf.DUMMYFUNCTION("""COMPUTED_VALUE"""),"")</f>
        <v/>
      </c>
      <c r="AZ82" s="110" t="str">
        <f>IFERROR(__xludf.DUMMYFUNCTION("""COMPUTED_VALUE"""),"")</f>
        <v/>
      </c>
      <c r="BA82" s="110" t="str">
        <f>IFERROR(__xludf.DUMMYFUNCTION("""COMPUTED_VALUE"""),"")</f>
        <v/>
      </c>
      <c r="BB82" s="110" t="str">
        <f>IFERROR(__xludf.DUMMYFUNCTION("""COMPUTED_VALUE"""),"")</f>
        <v/>
      </c>
      <c r="BC82" s="110" t="str">
        <f>IFERROR(__xludf.DUMMYFUNCTION("""COMPUTED_VALUE"""),"")</f>
        <v/>
      </c>
      <c r="BD82" s="110" t="str">
        <f>IFERROR(__xludf.DUMMYFUNCTION("""COMPUTED_VALUE"""),"")</f>
        <v/>
      </c>
      <c r="BE82" s="110" t="str">
        <f>IFERROR(__xludf.DUMMYFUNCTION("""COMPUTED_VALUE"""),"")</f>
        <v/>
      </c>
      <c r="BF82" s="110" t="str">
        <f>IFERROR(__xludf.DUMMYFUNCTION("""COMPUTED_VALUE"""),"")</f>
        <v/>
      </c>
      <c r="BG82" s="110" t="str">
        <f>IFERROR(__xludf.DUMMYFUNCTION("""COMPUTED_VALUE"""),"")</f>
        <v/>
      </c>
      <c r="BH82" s="110" t="str">
        <f>IFERROR(__xludf.DUMMYFUNCTION("""COMPUTED_VALUE"""),"")</f>
        <v/>
      </c>
      <c r="BI82" s="110" t="str">
        <f>IFERROR(__xludf.DUMMYFUNCTION("""COMPUTED_VALUE"""),"")</f>
        <v/>
      </c>
      <c r="BJ82" s="110" t="str">
        <f>IFERROR(__xludf.DUMMYFUNCTION("""COMPUTED_VALUE"""),"")</f>
        <v/>
      </c>
      <c r="BK82" s="110" t="str">
        <f>IFERROR(__xludf.DUMMYFUNCTION("""COMPUTED_VALUE"""),"")</f>
        <v/>
      </c>
      <c r="BL82" s="110" t="str">
        <f>IFERROR(__xludf.DUMMYFUNCTION("""COMPUTED_VALUE"""),"")</f>
        <v/>
      </c>
      <c r="BM82" s="110" t="str">
        <f>IFERROR(__xludf.DUMMYFUNCTION("""COMPUTED_VALUE"""),"")</f>
        <v/>
      </c>
      <c r="BN82" s="110" t="str">
        <f>IFERROR(__xludf.DUMMYFUNCTION("""COMPUTED_VALUE"""),"")</f>
        <v/>
      </c>
      <c r="BO82" s="110" t="str">
        <f>IFERROR(__xludf.DUMMYFUNCTION("""COMPUTED_VALUE"""),"")</f>
        <v/>
      </c>
      <c r="BP82" s="110" t="str">
        <f>IFERROR(__xludf.DUMMYFUNCTION("""COMPUTED_VALUE"""),"")</f>
        <v/>
      </c>
      <c r="BQ82" s="110" t="str">
        <f>IFERROR(__xludf.DUMMYFUNCTION("""COMPUTED_VALUE"""),"")</f>
        <v/>
      </c>
      <c r="BR82" s="110" t="str">
        <f>IFERROR(__xludf.DUMMYFUNCTION("""COMPUTED_VALUE"""),"")</f>
        <v/>
      </c>
      <c r="BS82" s="110" t="str">
        <f>IFERROR(__xludf.DUMMYFUNCTION("""COMPUTED_VALUE"""),"")</f>
        <v/>
      </c>
      <c r="BT82" s="110" t="str">
        <f>IFERROR(__xludf.DUMMYFUNCTION("""COMPUTED_VALUE"""),"")</f>
        <v/>
      </c>
      <c r="BU82" s="110" t="str">
        <f>IFERROR(__xludf.DUMMYFUNCTION("""COMPUTED_VALUE"""),"")</f>
        <v/>
      </c>
      <c r="BV82" s="110" t="str">
        <f>IFERROR(__xludf.DUMMYFUNCTION("""COMPUTED_VALUE"""),"")</f>
        <v/>
      </c>
      <c r="BW82" s="110" t="str">
        <f>IFERROR(__xludf.DUMMYFUNCTION("""COMPUTED_VALUE"""),"")</f>
        <v/>
      </c>
      <c r="BX82" s="110" t="str">
        <f>IFERROR(__xludf.DUMMYFUNCTION("""COMPUTED_VALUE"""),"")</f>
        <v/>
      </c>
      <c r="BY82" s="110" t="str">
        <f>IFERROR(__xludf.DUMMYFUNCTION("""COMPUTED_VALUE"""),"")</f>
        <v/>
      </c>
      <c r="BZ82" s="110" t="str">
        <f>IFERROR(__xludf.DUMMYFUNCTION("""COMPUTED_VALUE"""),"")</f>
        <v/>
      </c>
      <c r="CA82" s="110" t="str">
        <f>IFERROR(__xludf.DUMMYFUNCTION("""COMPUTED_VALUE"""),"")</f>
        <v/>
      </c>
      <c r="CB82" s="110" t="str">
        <f>IFERROR(__xludf.DUMMYFUNCTION("""COMPUTED_VALUE"""),"")</f>
        <v/>
      </c>
      <c r="CC82" s="110" t="str">
        <f>IFERROR(__xludf.DUMMYFUNCTION("""COMPUTED_VALUE"""),"")</f>
        <v/>
      </c>
      <c r="CD82" s="110" t="str">
        <f>IFERROR(__xludf.DUMMYFUNCTION("""COMPUTED_VALUE"""),"")</f>
        <v/>
      </c>
      <c r="CE82" s="110" t="str">
        <f>IFERROR(__xludf.DUMMYFUNCTION("""COMPUTED_VALUE"""),"")</f>
        <v/>
      </c>
      <c r="CF82" s="110" t="str">
        <f>IFERROR(__xludf.DUMMYFUNCTION("""COMPUTED_VALUE"""),"")</f>
        <v/>
      </c>
      <c r="CG82" s="110" t="str">
        <f>IFERROR(__xludf.DUMMYFUNCTION("""COMPUTED_VALUE"""),"")</f>
        <v/>
      </c>
      <c r="CH82" s="110" t="str">
        <f>IFERROR(__xludf.DUMMYFUNCTION("""COMPUTED_VALUE"""),"")</f>
        <v/>
      </c>
      <c r="CI82" s="110" t="str">
        <f>IFERROR(__xludf.DUMMYFUNCTION("""COMPUTED_VALUE"""),"")</f>
        <v/>
      </c>
      <c r="CJ82" s="110" t="str">
        <f>IFERROR(__xludf.DUMMYFUNCTION("""COMPUTED_VALUE"""),"")</f>
        <v/>
      </c>
      <c r="CK82" s="110" t="str">
        <f>IFERROR(__xludf.DUMMYFUNCTION("""COMPUTED_VALUE"""),"")</f>
        <v/>
      </c>
      <c r="CL82" s="110" t="str">
        <f>IFERROR(__xludf.DUMMYFUNCTION("""COMPUTED_VALUE"""),"")</f>
        <v/>
      </c>
      <c r="CM82" s="110" t="str">
        <f>IFERROR(__xludf.DUMMYFUNCTION("""COMPUTED_VALUE"""),"")</f>
        <v/>
      </c>
      <c r="CN82" s="110" t="str">
        <f>IFERROR(__xludf.DUMMYFUNCTION("""COMPUTED_VALUE"""),"")</f>
        <v/>
      </c>
      <c r="CO82" s="110" t="str">
        <f>IFERROR(__xludf.DUMMYFUNCTION("""COMPUTED_VALUE"""),"")</f>
        <v/>
      </c>
      <c r="CP82" s="110" t="str">
        <f>IFERROR(__xludf.DUMMYFUNCTION("""COMPUTED_VALUE"""),"")</f>
        <v/>
      </c>
      <c r="CQ82" s="110" t="str">
        <f>IFERROR(__xludf.DUMMYFUNCTION("""COMPUTED_VALUE"""),"")</f>
        <v/>
      </c>
      <c r="CR82" s="110" t="str">
        <f>IFERROR(__xludf.DUMMYFUNCTION("""COMPUTED_VALUE"""),"")</f>
        <v/>
      </c>
      <c r="CS82" s="110" t="str">
        <f>IFERROR(__xludf.DUMMYFUNCTION("""COMPUTED_VALUE"""),"")</f>
        <v/>
      </c>
      <c r="CT82" s="110" t="str">
        <f>IFERROR(__xludf.DUMMYFUNCTION("""COMPUTED_VALUE"""),"")</f>
        <v/>
      </c>
      <c r="CU82" s="110" t="str">
        <f>IFERROR(__xludf.DUMMYFUNCTION("""COMPUTED_VALUE"""),"")</f>
        <v/>
      </c>
      <c r="CV82" s="110" t="str">
        <f>IFERROR(__xludf.DUMMYFUNCTION("""COMPUTED_VALUE"""),"")</f>
        <v/>
      </c>
      <c r="CW82" s="110" t="str">
        <f>IFERROR(__xludf.DUMMYFUNCTION("""COMPUTED_VALUE"""),"")</f>
        <v/>
      </c>
      <c r="CX82" s="110" t="str">
        <f>IFERROR(__xludf.DUMMYFUNCTION("""COMPUTED_VALUE"""),"")</f>
        <v/>
      </c>
      <c r="CY82" s="110" t="str">
        <f>IFERROR(__xludf.DUMMYFUNCTION("""COMPUTED_VALUE"""),"")</f>
        <v/>
      </c>
      <c r="CZ82" s="110" t="str">
        <f>IFERROR(__xludf.DUMMYFUNCTION("""COMPUTED_VALUE"""),"")</f>
        <v/>
      </c>
      <c r="DA82" s="110" t="str">
        <f>IFERROR(__xludf.DUMMYFUNCTION("""COMPUTED_VALUE"""),"")</f>
        <v/>
      </c>
      <c r="DB82" s="110" t="str">
        <f>IFERROR(__xludf.DUMMYFUNCTION("""COMPUTED_VALUE"""),"")</f>
        <v/>
      </c>
      <c r="DC82" s="110" t="str">
        <f>IFERROR(__xludf.DUMMYFUNCTION("""COMPUTED_VALUE"""),"")</f>
        <v/>
      </c>
      <c r="DD82" s="110" t="str">
        <f>IFERROR(__xludf.DUMMYFUNCTION("""COMPUTED_VALUE"""),"")</f>
        <v/>
      </c>
      <c r="DE82" s="110" t="str">
        <f>IFERROR(__xludf.DUMMYFUNCTION("""COMPUTED_VALUE"""),"")</f>
        <v/>
      </c>
      <c r="DF82" s="110" t="str">
        <f>IFERROR(__xludf.DUMMYFUNCTION("""COMPUTED_VALUE"""),"")</f>
        <v/>
      </c>
      <c r="DG82" s="110" t="str">
        <f>IFERROR(__xludf.DUMMYFUNCTION("""COMPUTED_VALUE"""),"")</f>
        <v/>
      </c>
      <c r="DH82" s="110" t="str">
        <f>IFERROR(__xludf.DUMMYFUNCTION("""COMPUTED_VALUE"""),"")</f>
        <v/>
      </c>
      <c r="DI82" s="110" t="str">
        <f>IFERROR(__xludf.DUMMYFUNCTION("""COMPUTED_VALUE"""),"")</f>
        <v/>
      </c>
      <c r="DJ82" s="110" t="str">
        <f>IFERROR(__xludf.DUMMYFUNCTION("""COMPUTED_VALUE"""),"")</f>
        <v/>
      </c>
      <c r="DK82" s="110" t="str">
        <f>IFERROR(__xludf.DUMMYFUNCTION("""COMPUTED_VALUE"""),"")</f>
        <v/>
      </c>
      <c r="DL82" s="110" t="str">
        <f>IFERROR(__xludf.DUMMYFUNCTION("""COMPUTED_VALUE"""),"")</f>
        <v/>
      </c>
      <c r="DM82" s="110" t="str">
        <f>IFERROR(__xludf.DUMMYFUNCTION("""COMPUTED_VALUE"""),"")</f>
        <v/>
      </c>
      <c r="DN82" s="110" t="str">
        <f>IFERROR(__xludf.DUMMYFUNCTION("""COMPUTED_VALUE"""),"")</f>
        <v/>
      </c>
      <c r="DO82" s="110" t="str">
        <f>IFERROR(__xludf.DUMMYFUNCTION("""COMPUTED_VALUE"""),"")</f>
        <v/>
      </c>
      <c r="DP82" s="110" t="str">
        <f>IFERROR(__xludf.DUMMYFUNCTION("""COMPUTED_VALUE"""),"")</f>
        <v/>
      </c>
      <c r="DQ82" s="110" t="str">
        <f>IFERROR(__xludf.DUMMYFUNCTION("""COMPUTED_VALUE"""),"")</f>
        <v/>
      </c>
      <c r="DR82" s="110" t="str">
        <f>IFERROR(__xludf.DUMMYFUNCTION("""COMPUTED_VALUE"""),"")</f>
        <v/>
      </c>
      <c r="DS82" s="110" t="str">
        <f>IFERROR(__xludf.DUMMYFUNCTION("""COMPUTED_VALUE"""),"")</f>
        <v/>
      </c>
      <c r="DT82" s="110" t="str">
        <f>IFERROR(__xludf.DUMMYFUNCTION("""COMPUTED_VALUE"""),"")</f>
        <v/>
      </c>
      <c r="DU82" s="110" t="str">
        <f>IFERROR(__xludf.DUMMYFUNCTION("""COMPUTED_VALUE"""),"")</f>
        <v/>
      </c>
      <c r="DV82" s="110" t="str">
        <f>IFERROR(__xludf.DUMMYFUNCTION("""COMPUTED_VALUE"""),"")</f>
        <v/>
      </c>
      <c r="DW82" s="110" t="str">
        <f>IFERROR(__xludf.DUMMYFUNCTION("""COMPUTED_VALUE"""),"")</f>
        <v/>
      </c>
      <c r="DX82" s="110" t="str">
        <f>IFERROR(__xludf.DUMMYFUNCTION("""COMPUTED_VALUE"""),"")</f>
        <v/>
      </c>
      <c r="DY82" s="110" t="str">
        <f>IFERROR(__xludf.DUMMYFUNCTION("""COMPUTED_VALUE"""),"")</f>
        <v/>
      </c>
      <c r="DZ82" s="110" t="str">
        <f>IFERROR(__xludf.DUMMYFUNCTION("""COMPUTED_VALUE"""),"")</f>
        <v/>
      </c>
      <c r="EA82" s="110" t="str">
        <f>IFERROR(__xludf.DUMMYFUNCTION("""COMPUTED_VALUE"""),"")</f>
        <v/>
      </c>
      <c r="EB82" s="110" t="str">
        <f>IFERROR(__xludf.DUMMYFUNCTION("""COMPUTED_VALUE"""),"")</f>
        <v/>
      </c>
      <c r="EC82" s="110" t="str">
        <f>IFERROR(__xludf.DUMMYFUNCTION("""COMPUTED_VALUE"""),"")</f>
        <v/>
      </c>
      <c r="ED82" s="110" t="str">
        <f>IFERROR(__xludf.DUMMYFUNCTION("""COMPUTED_VALUE"""),"")</f>
        <v/>
      </c>
      <c r="EE82" s="110" t="str">
        <f>IFERROR(__xludf.DUMMYFUNCTION("""COMPUTED_VALUE"""),"")</f>
        <v/>
      </c>
      <c r="EF82" s="110" t="str">
        <f>IFERROR(__xludf.DUMMYFUNCTION("""COMPUTED_VALUE"""),"")</f>
        <v/>
      </c>
      <c r="EG82" s="110" t="str">
        <f>IFERROR(__xludf.DUMMYFUNCTION("""COMPUTED_VALUE"""),"")</f>
        <v/>
      </c>
      <c r="EH82" s="110" t="str">
        <f>IFERROR(__xludf.DUMMYFUNCTION("""COMPUTED_VALUE"""),"")</f>
        <v/>
      </c>
      <c r="EI82" s="110" t="str">
        <f>IFERROR(__xludf.DUMMYFUNCTION("""COMPUTED_VALUE"""),"")</f>
        <v/>
      </c>
      <c r="EJ82" s="110" t="str">
        <f>IFERROR(__xludf.DUMMYFUNCTION("""COMPUTED_VALUE"""),"")</f>
        <v/>
      </c>
      <c r="EK82" s="110" t="str">
        <f>IFERROR(__xludf.DUMMYFUNCTION("""COMPUTED_VALUE"""),"")</f>
        <v/>
      </c>
      <c r="EL82" s="110" t="str">
        <f>IFERROR(__xludf.DUMMYFUNCTION("""COMPUTED_VALUE"""),"")</f>
        <v/>
      </c>
      <c r="EM82" s="110" t="str">
        <f>IFERROR(__xludf.DUMMYFUNCTION("""COMPUTED_VALUE"""),"")</f>
        <v/>
      </c>
      <c r="EN82" s="110" t="str">
        <f>IFERROR(__xludf.DUMMYFUNCTION("""COMPUTED_VALUE"""),"")</f>
        <v/>
      </c>
      <c r="EO82" s="110" t="str">
        <f>IFERROR(__xludf.DUMMYFUNCTION("""COMPUTED_VALUE"""),"")</f>
        <v/>
      </c>
      <c r="EP82" s="110" t="str">
        <f>IFERROR(__xludf.DUMMYFUNCTION("""COMPUTED_VALUE"""),"")</f>
        <v/>
      </c>
      <c r="EQ82" s="110" t="str">
        <f>IFERROR(__xludf.DUMMYFUNCTION("""COMPUTED_VALUE"""),"")</f>
        <v/>
      </c>
      <c r="ER82" s="110" t="str">
        <f>IFERROR(__xludf.DUMMYFUNCTION("""COMPUTED_VALUE"""),"")</f>
        <v/>
      </c>
      <c r="ES82" s="110" t="str">
        <f>IFERROR(__xludf.DUMMYFUNCTION("""COMPUTED_VALUE"""),"")</f>
        <v/>
      </c>
      <c r="ET82" s="110" t="str">
        <f>IFERROR(__xludf.DUMMYFUNCTION("""COMPUTED_VALUE"""),"")</f>
        <v/>
      </c>
      <c r="EU82" s="110" t="str">
        <f>IFERROR(__xludf.DUMMYFUNCTION("""COMPUTED_VALUE"""),"")</f>
        <v/>
      </c>
      <c r="EV82" s="110" t="str">
        <f>IFERROR(__xludf.DUMMYFUNCTION("""COMPUTED_VALUE"""),"")</f>
        <v/>
      </c>
      <c r="EW82" s="110" t="str">
        <f>IFERROR(__xludf.DUMMYFUNCTION("""COMPUTED_VALUE"""),"")</f>
        <v/>
      </c>
      <c r="EX82" s="108" t="str">
        <f>IFERROR(__xludf.DUMMYFUNCTION("""COMPUTED_VALUE"""),"")</f>
        <v/>
      </c>
      <c r="EY82" s="108" t="str">
        <f>IFERROR(__xludf.DUMMYFUNCTION("""COMPUTED_VALUE"""),"")</f>
        <v/>
      </c>
      <c r="EZ82" s="108" t="str">
        <f>IFERROR(__xludf.DUMMYFUNCTION("""COMPUTED_VALUE"""),"")</f>
        <v/>
      </c>
      <c r="FA82" s="108" t="str">
        <f>IFERROR(__xludf.DUMMYFUNCTION("""COMPUTED_VALUE"""),"")</f>
        <v/>
      </c>
      <c r="FB82" s="108" t="str">
        <f>IFERROR(__xludf.DUMMYFUNCTION("""COMPUTED_VALUE"""),"")</f>
        <v/>
      </c>
      <c r="FC82" s="108" t="str">
        <f>IFERROR(__xludf.DUMMYFUNCTION("""COMPUTED_VALUE"""),"")</f>
        <v/>
      </c>
      <c r="FD82" s="108" t="str">
        <f>IFERROR(__xludf.DUMMYFUNCTION("""COMPUTED_VALUE"""),"")</f>
        <v/>
      </c>
      <c r="FE82" s="108" t="str">
        <f>IFERROR(__xludf.DUMMYFUNCTION("""COMPUTED_VALUE"""),"")</f>
        <v/>
      </c>
      <c r="FF82" s="108" t="str">
        <f>IFERROR(__xludf.DUMMYFUNCTION("""COMPUTED_VALUE"""),"")</f>
        <v/>
      </c>
      <c r="FG82" s="108" t="str">
        <f>IFERROR(__xludf.DUMMYFUNCTION("""COMPUTED_VALUE"""),"")</f>
        <v/>
      </c>
      <c r="FH82" s="108" t="str">
        <f>IFERROR(__xludf.DUMMYFUNCTION("""COMPUTED_VALUE"""),"")</f>
        <v/>
      </c>
      <c r="FI82" s="108" t="str">
        <f>IFERROR(__xludf.DUMMYFUNCTION("""COMPUTED_VALUE"""),"")</f>
        <v/>
      </c>
      <c r="FJ82" s="108" t="str">
        <f>IFERROR(__xludf.DUMMYFUNCTION("""COMPUTED_VALUE"""),"")</f>
        <v/>
      </c>
      <c r="FK82" s="108" t="str">
        <f>IFERROR(__xludf.DUMMYFUNCTION("""COMPUTED_VALUE"""),"")</f>
        <v/>
      </c>
      <c r="FL82" s="108" t="str">
        <f>IFERROR(__xludf.DUMMYFUNCTION("""COMPUTED_VALUE"""),"")</f>
        <v/>
      </c>
      <c r="FM82" s="108" t="str">
        <f>IFERROR(__xludf.DUMMYFUNCTION("""COMPUTED_VALUE"""),"")</f>
        <v/>
      </c>
      <c r="FN82" s="108" t="str">
        <f>IFERROR(__xludf.DUMMYFUNCTION("""COMPUTED_VALUE"""),"")</f>
        <v/>
      </c>
      <c r="FO82" s="108" t="str">
        <f>IFERROR(__xludf.DUMMYFUNCTION("""COMPUTED_VALUE"""),"")</f>
        <v/>
      </c>
    </row>
    <row r="83">
      <c r="A83" s="106" t="str">
        <f>IFERROR(__xludf.DUMMYFUNCTION("""COMPUTED_VALUE"""),"")</f>
        <v/>
      </c>
      <c r="B83" s="110" t="str">
        <f>IFERROR(__xludf.DUMMYFUNCTION("""COMPUTED_VALUE"""),"")</f>
        <v/>
      </c>
      <c r="C83" s="110" t="str">
        <f>IFERROR(__xludf.DUMMYFUNCTION("""COMPUTED_VALUE"""),"")</f>
        <v/>
      </c>
      <c r="D83" s="110" t="str">
        <f>IFERROR(__xludf.DUMMYFUNCTION("""COMPUTED_VALUE"""),"")</f>
        <v/>
      </c>
      <c r="E83" s="110" t="str">
        <f>IFERROR(__xludf.DUMMYFUNCTION("""COMPUTED_VALUE"""),"")</f>
        <v/>
      </c>
      <c r="F83" s="110" t="str">
        <f>IFERROR(__xludf.DUMMYFUNCTION("""COMPUTED_VALUE"""),"")</f>
        <v/>
      </c>
      <c r="G83" s="110" t="str">
        <f>IFERROR(__xludf.DUMMYFUNCTION("""COMPUTED_VALUE"""),"")</f>
        <v/>
      </c>
      <c r="H83" s="110" t="str">
        <f>IFERROR(__xludf.DUMMYFUNCTION("""COMPUTED_VALUE"""),"")</f>
        <v/>
      </c>
      <c r="I83" s="110" t="str">
        <f>IFERROR(__xludf.DUMMYFUNCTION("""COMPUTED_VALUE"""),"")</f>
        <v/>
      </c>
      <c r="J83" s="110" t="str">
        <f>IFERROR(__xludf.DUMMYFUNCTION("""COMPUTED_VALUE"""),"")</f>
        <v/>
      </c>
      <c r="K83" s="110" t="str">
        <f>IFERROR(__xludf.DUMMYFUNCTION("""COMPUTED_VALUE"""),"")</f>
        <v/>
      </c>
      <c r="L83" s="110" t="str">
        <f>IFERROR(__xludf.DUMMYFUNCTION("""COMPUTED_VALUE"""),"")</f>
        <v/>
      </c>
      <c r="M83" s="110" t="str">
        <f>IFERROR(__xludf.DUMMYFUNCTION("""COMPUTED_VALUE"""),"")</f>
        <v/>
      </c>
      <c r="N83" s="110" t="str">
        <f>IFERROR(__xludf.DUMMYFUNCTION("""COMPUTED_VALUE"""),"")</f>
        <v/>
      </c>
      <c r="O83" s="110" t="str">
        <f>IFERROR(__xludf.DUMMYFUNCTION("""COMPUTED_VALUE"""),"")</f>
        <v/>
      </c>
      <c r="P83" s="110" t="str">
        <f>IFERROR(__xludf.DUMMYFUNCTION("""COMPUTED_VALUE"""),"")</f>
        <v/>
      </c>
      <c r="Q83" s="110" t="str">
        <f>IFERROR(__xludf.DUMMYFUNCTION("""COMPUTED_VALUE"""),"")</f>
        <v/>
      </c>
      <c r="R83" s="110" t="str">
        <f>IFERROR(__xludf.DUMMYFUNCTION("""COMPUTED_VALUE"""),"")</f>
        <v/>
      </c>
      <c r="S83" s="110" t="str">
        <f>IFERROR(__xludf.DUMMYFUNCTION("""COMPUTED_VALUE"""),"")</f>
        <v/>
      </c>
      <c r="T83" s="110" t="str">
        <f>IFERROR(__xludf.DUMMYFUNCTION("""COMPUTED_VALUE"""),"")</f>
        <v/>
      </c>
      <c r="U83" s="110" t="str">
        <f>IFERROR(__xludf.DUMMYFUNCTION("""COMPUTED_VALUE"""),"")</f>
        <v/>
      </c>
      <c r="V83" s="110" t="str">
        <f>IFERROR(__xludf.DUMMYFUNCTION("""COMPUTED_VALUE"""),"")</f>
        <v/>
      </c>
      <c r="W83" s="110" t="str">
        <f>IFERROR(__xludf.DUMMYFUNCTION("""COMPUTED_VALUE"""),"")</f>
        <v/>
      </c>
      <c r="X83" s="110" t="str">
        <f>IFERROR(__xludf.DUMMYFUNCTION("""COMPUTED_VALUE"""),"")</f>
        <v/>
      </c>
      <c r="Y83" s="110" t="str">
        <f>IFERROR(__xludf.DUMMYFUNCTION("""COMPUTED_VALUE"""),"")</f>
        <v/>
      </c>
      <c r="Z83" s="110" t="str">
        <f>IFERROR(__xludf.DUMMYFUNCTION("""COMPUTED_VALUE"""),"")</f>
        <v/>
      </c>
      <c r="AA83" s="110" t="str">
        <f>IFERROR(__xludf.DUMMYFUNCTION("""COMPUTED_VALUE"""),"")</f>
        <v/>
      </c>
      <c r="AB83" s="110" t="str">
        <f>IFERROR(__xludf.DUMMYFUNCTION("""COMPUTED_VALUE"""),"")</f>
        <v/>
      </c>
      <c r="AC83" s="110" t="str">
        <f>IFERROR(__xludf.DUMMYFUNCTION("""COMPUTED_VALUE"""),"")</f>
        <v/>
      </c>
      <c r="AD83" s="110" t="str">
        <f>IFERROR(__xludf.DUMMYFUNCTION("""COMPUTED_VALUE"""),"")</f>
        <v/>
      </c>
      <c r="AE83" s="110" t="str">
        <f>IFERROR(__xludf.DUMMYFUNCTION("""COMPUTED_VALUE"""),"")</f>
        <v/>
      </c>
      <c r="AF83" s="110" t="str">
        <f>IFERROR(__xludf.DUMMYFUNCTION("""COMPUTED_VALUE"""),"")</f>
        <v/>
      </c>
      <c r="AG83" s="110" t="str">
        <f>IFERROR(__xludf.DUMMYFUNCTION("""COMPUTED_VALUE"""),"")</f>
        <v/>
      </c>
      <c r="AH83" s="110" t="str">
        <f>IFERROR(__xludf.DUMMYFUNCTION("""COMPUTED_VALUE"""),"")</f>
        <v/>
      </c>
      <c r="AI83" s="110" t="str">
        <f>IFERROR(__xludf.DUMMYFUNCTION("""COMPUTED_VALUE"""),"")</f>
        <v/>
      </c>
      <c r="AJ83" s="110" t="str">
        <f>IFERROR(__xludf.DUMMYFUNCTION("""COMPUTED_VALUE"""),"")</f>
        <v/>
      </c>
      <c r="AK83" s="110" t="str">
        <f>IFERROR(__xludf.DUMMYFUNCTION("""COMPUTED_VALUE"""),"")</f>
        <v/>
      </c>
      <c r="AL83" s="110" t="str">
        <f>IFERROR(__xludf.DUMMYFUNCTION("""COMPUTED_VALUE"""),"")</f>
        <v/>
      </c>
      <c r="AM83" s="110" t="str">
        <f>IFERROR(__xludf.DUMMYFUNCTION("""COMPUTED_VALUE"""),"")</f>
        <v/>
      </c>
      <c r="AN83" s="110" t="str">
        <f>IFERROR(__xludf.DUMMYFUNCTION("""COMPUTED_VALUE"""),"")</f>
        <v/>
      </c>
      <c r="AO83" s="110" t="str">
        <f>IFERROR(__xludf.DUMMYFUNCTION("""COMPUTED_VALUE"""),"")</f>
        <v/>
      </c>
      <c r="AP83" s="110" t="str">
        <f>IFERROR(__xludf.DUMMYFUNCTION("""COMPUTED_VALUE"""),"")</f>
        <v/>
      </c>
      <c r="AQ83" s="110" t="str">
        <f>IFERROR(__xludf.DUMMYFUNCTION("""COMPUTED_VALUE"""),"")</f>
        <v/>
      </c>
      <c r="AR83" s="109" t="str">
        <f>IFERROR(__xludf.DUMMYFUNCTION("""COMPUTED_VALUE"""),"")</f>
        <v/>
      </c>
      <c r="AS83" s="110" t="str">
        <f>IFERROR(__xludf.DUMMYFUNCTION("""COMPUTED_VALUE"""),"")</f>
        <v/>
      </c>
      <c r="AT83" s="110" t="str">
        <f>IFERROR(__xludf.DUMMYFUNCTION("""COMPUTED_VALUE"""),"")</f>
        <v/>
      </c>
      <c r="AU83" s="110" t="str">
        <f>IFERROR(__xludf.DUMMYFUNCTION("""COMPUTED_VALUE"""),"")</f>
        <v/>
      </c>
      <c r="AV83" s="110" t="str">
        <f>IFERROR(__xludf.DUMMYFUNCTION("""COMPUTED_VALUE"""),"")</f>
        <v/>
      </c>
      <c r="AW83" s="110" t="str">
        <f>IFERROR(__xludf.DUMMYFUNCTION("""COMPUTED_VALUE"""),"")</f>
        <v/>
      </c>
      <c r="AX83" s="110" t="str">
        <f>IFERROR(__xludf.DUMMYFUNCTION("""COMPUTED_VALUE"""),"")</f>
        <v/>
      </c>
      <c r="AY83" s="110" t="str">
        <f>IFERROR(__xludf.DUMMYFUNCTION("""COMPUTED_VALUE"""),"")</f>
        <v/>
      </c>
      <c r="AZ83" s="110" t="str">
        <f>IFERROR(__xludf.DUMMYFUNCTION("""COMPUTED_VALUE"""),"")</f>
        <v/>
      </c>
      <c r="BA83" s="110" t="str">
        <f>IFERROR(__xludf.DUMMYFUNCTION("""COMPUTED_VALUE"""),"")</f>
        <v/>
      </c>
      <c r="BB83" s="110" t="str">
        <f>IFERROR(__xludf.DUMMYFUNCTION("""COMPUTED_VALUE"""),"")</f>
        <v/>
      </c>
      <c r="BC83" s="110" t="str">
        <f>IFERROR(__xludf.DUMMYFUNCTION("""COMPUTED_VALUE"""),"")</f>
        <v/>
      </c>
      <c r="BD83" s="110" t="str">
        <f>IFERROR(__xludf.DUMMYFUNCTION("""COMPUTED_VALUE"""),"")</f>
        <v/>
      </c>
      <c r="BE83" s="110" t="str">
        <f>IFERROR(__xludf.DUMMYFUNCTION("""COMPUTED_VALUE"""),"")</f>
        <v/>
      </c>
      <c r="BF83" s="110" t="str">
        <f>IFERROR(__xludf.DUMMYFUNCTION("""COMPUTED_VALUE"""),"")</f>
        <v/>
      </c>
      <c r="BG83" s="110" t="str">
        <f>IFERROR(__xludf.DUMMYFUNCTION("""COMPUTED_VALUE"""),"")</f>
        <v/>
      </c>
      <c r="BH83" s="110" t="str">
        <f>IFERROR(__xludf.DUMMYFUNCTION("""COMPUTED_VALUE"""),"")</f>
        <v/>
      </c>
      <c r="BI83" s="110" t="str">
        <f>IFERROR(__xludf.DUMMYFUNCTION("""COMPUTED_VALUE"""),"")</f>
        <v/>
      </c>
      <c r="BJ83" s="110" t="str">
        <f>IFERROR(__xludf.DUMMYFUNCTION("""COMPUTED_VALUE"""),"")</f>
        <v/>
      </c>
      <c r="BK83" s="110" t="str">
        <f>IFERROR(__xludf.DUMMYFUNCTION("""COMPUTED_VALUE"""),"")</f>
        <v/>
      </c>
      <c r="BL83" s="110" t="str">
        <f>IFERROR(__xludf.DUMMYFUNCTION("""COMPUTED_VALUE"""),"")</f>
        <v/>
      </c>
      <c r="BM83" s="110" t="str">
        <f>IFERROR(__xludf.DUMMYFUNCTION("""COMPUTED_VALUE"""),"")</f>
        <v/>
      </c>
      <c r="BN83" s="110" t="str">
        <f>IFERROR(__xludf.DUMMYFUNCTION("""COMPUTED_VALUE"""),"")</f>
        <v/>
      </c>
      <c r="BO83" s="110" t="str">
        <f>IFERROR(__xludf.DUMMYFUNCTION("""COMPUTED_VALUE"""),"")</f>
        <v/>
      </c>
      <c r="BP83" s="110" t="str">
        <f>IFERROR(__xludf.DUMMYFUNCTION("""COMPUTED_VALUE"""),"")</f>
        <v/>
      </c>
      <c r="BQ83" s="110" t="str">
        <f>IFERROR(__xludf.DUMMYFUNCTION("""COMPUTED_VALUE"""),"")</f>
        <v/>
      </c>
      <c r="BR83" s="110" t="str">
        <f>IFERROR(__xludf.DUMMYFUNCTION("""COMPUTED_VALUE"""),"")</f>
        <v/>
      </c>
      <c r="BS83" s="110" t="str">
        <f>IFERROR(__xludf.DUMMYFUNCTION("""COMPUTED_VALUE"""),"")</f>
        <v/>
      </c>
      <c r="BT83" s="110" t="str">
        <f>IFERROR(__xludf.DUMMYFUNCTION("""COMPUTED_VALUE"""),"")</f>
        <v/>
      </c>
      <c r="BU83" s="110" t="str">
        <f>IFERROR(__xludf.DUMMYFUNCTION("""COMPUTED_VALUE"""),"")</f>
        <v/>
      </c>
      <c r="BV83" s="110" t="str">
        <f>IFERROR(__xludf.DUMMYFUNCTION("""COMPUTED_VALUE"""),"")</f>
        <v/>
      </c>
      <c r="BW83" s="110" t="str">
        <f>IFERROR(__xludf.DUMMYFUNCTION("""COMPUTED_VALUE"""),"")</f>
        <v/>
      </c>
      <c r="BX83" s="110" t="str">
        <f>IFERROR(__xludf.DUMMYFUNCTION("""COMPUTED_VALUE"""),"")</f>
        <v/>
      </c>
      <c r="BY83" s="110" t="str">
        <f>IFERROR(__xludf.DUMMYFUNCTION("""COMPUTED_VALUE"""),"")</f>
        <v/>
      </c>
      <c r="BZ83" s="110" t="str">
        <f>IFERROR(__xludf.DUMMYFUNCTION("""COMPUTED_VALUE"""),"")</f>
        <v/>
      </c>
      <c r="CA83" s="110" t="str">
        <f>IFERROR(__xludf.DUMMYFUNCTION("""COMPUTED_VALUE"""),"")</f>
        <v/>
      </c>
      <c r="CB83" s="110" t="str">
        <f>IFERROR(__xludf.DUMMYFUNCTION("""COMPUTED_VALUE"""),"")</f>
        <v/>
      </c>
      <c r="CC83" s="110" t="str">
        <f>IFERROR(__xludf.DUMMYFUNCTION("""COMPUTED_VALUE"""),"")</f>
        <v/>
      </c>
      <c r="CD83" s="110" t="str">
        <f>IFERROR(__xludf.DUMMYFUNCTION("""COMPUTED_VALUE"""),"")</f>
        <v/>
      </c>
      <c r="CE83" s="110" t="str">
        <f>IFERROR(__xludf.DUMMYFUNCTION("""COMPUTED_VALUE"""),"")</f>
        <v/>
      </c>
      <c r="CF83" s="110" t="str">
        <f>IFERROR(__xludf.DUMMYFUNCTION("""COMPUTED_VALUE"""),"")</f>
        <v/>
      </c>
      <c r="CG83" s="110" t="str">
        <f>IFERROR(__xludf.DUMMYFUNCTION("""COMPUTED_VALUE"""),"")</f>
        <v/>
      </c>
      <c r="CH83" s="110" t="str">
        <f>IFERROR(__xludf.DUMMYFUNCTION("""COMPUTED_VALUE"""),"")</f>
        <v/>
      </c>
      <c r="CI83" s="110" t="str">
        <f>IFERROR(__xludf.DUMMYFUNCTION("""COMPUTED_VALUE"""),"")</f>
        <v/>
      </c>
      <c r="CJ83" s="110" t="str">
        <f>IFERROR(__xludf.DUMMYFUNCTION("""COMPUTED_VALUE"""),"")</f>
        <v/>
      </c>
      <c r="CK83" s="110" t="str">
        <f>IFERROR(__xludf.DUMMYFUNCTION("""COMPUTED_VALUE"""),"")</f>
        <v/>
      </c>
      <c r="CL83" s="110" t="str">
        <f>IFERROR(__xludf.DUMMYFUNCTION("""COMPUTED_VALUE"""),"")</f>
        <v/>
      </c>
      <c r="CM83" s="110" t="str">
        <f>IFERROR(__xludf.DUMMYFUNCTION("""COMPUTED_VALUE"""),"")</f>
        <v/>
      </c>
      <c r="CN83" s="110" t="str">
        <f>IFERROR(__xludf.DUMMYFUNCTION("""COMPUTED_VALUE"""),"")</f>
        <v/>
      </c>
      <c r="CO83" s="110" t="str">
        <f>IFERROR(__xludf.DUMMYFUNCTION("""COMPUTED_VALUE"""),"")</f>
        <v/>
      </c>
      <c r="CP83" s="110" t="str">
        <f>IFERROR(__xludf.DUMMYFUNCTION("""COMPUTED_VALUE"""),"")</f>
        <v/>
      </c>
      <c r="CQ83" s="110" t="str">
        <f>IFERROR(__xludf.DUMMYFUNCTION("""COMPUTED_VALUE"""),"")</f>
        <v/>
      </c>
      <c r="CR83" s="110" t="str">
        <f>IFERROR(__xludf.DUMMYFUNCTION("""COMPUTED_VALUE"""),"")</f>
        <v/>
      </c>
      <c r="CS83" s="110" t="str">
        <f>IFERROR(__xludf.DUMMYFUNCTION("""COMPUTED_VALUE"""),"")</f>
        <v/>
      </c>
      <c r="CT83" s="110" t="str">
        <f>IFERROR(__xludf.DUMMYFUNCTION("""COMPUTED_VALUE"""),"")</f>
        <v/>
      </c>
      <c r="CU83" s="110" t="str">
        <f>IFERROR(__xludf.DUMMYFUNCTION("""COMPUTED_VALUE"""),"")</f>
        <v/>
      </c>
      <c r="CV83" s="110" t="str">
        <f>IFERROR(__xludf.DUMMYFUNCTION("""COMPUTED_VALUE"""),"")</f>
        <v/>
      </c>
      <c r="CW83" s="110" t="str">
        <f>IFERROR(__xludf.DUMMYFUNCTION("""COMPUTED_VALUE"""),"")</f>
        <v/>
      </c>
      <c r="CX83" s="110" t="str">
        <f>IFERROR(__xludf.DUMMYFUNCTION("""COMPUTED_VALUE"""),"")</f>
        <v/>
      </c>
      <c r="CY83" s="110" t="str">
        <f>IFERROR(__xludf.DUMMYFUNCTION("""COMPUTED_VALUE"""),"")</f>
        <v/>
      </c>
      <c r="CZ83" s="110" t="str">
        <f>IFERROR(__xludf.DUMMYFUNCTION("""COMPUTED_VALUE"""),"")</f>
        <v/>
      </c>
      <c r="DA83" s="110" t="str">
        <f>IFERROR(__xludf.DUMMYFUNCTION("""COMPUTED_VALUE"""),"")</f>
        <v/>
      </c>
      <c r="DB83" s="110" t="str">
        <f>IFERROR(__xludf.DUMMYFUNCTION("""COMPUTED_VALUE"""),"")</f>
        <v/>
      </c>
      <c r="DC83" s="110" t="str">
        <f>IFERROR(__xludf.DUMMYFUNCTION("""COMPUTED_VALUE"""),"")</f>
        <v/>
      </c>
      <c r="DD83" s="110" t="str">
        <f>IFERROR(__xludf.DUMMYFUNCTION("""COMPUTED_VALUE"""),"")</f>
        <v/>
      </c>
      <c r="DE83" s="110" t="str">
        <f>IFERROR(__xludf.DUMMYFUNCTION("""COMPUTED_VALUE"""),"")</f>
        <v/>
      </c>
      <c r="DF83" s="110" t="str">
        <f>IFERROR(__xludf.DUMMYFUNCTION("""COMPUTED_VALUE"""),"")</f>
        <v/>
      </c>
      <c r="DG83" s="110" t="str">
        <f>IFERROR(__xludf.DUMMYFUNCTION("""COMPUTED_VALUE"""),"")</f>
        <v/>
      </c>
      <c r="DH83" s="110" t="str">
        <f>IFERROR(__xludf.DUMMYFUNCTION("""COMPUTED_VALUE"""),"")</f>
        <v/>
      </c>
      <c r="DI83" s="110" t="str">
        <f>IFERROR(__xludf.DUMMYFUNCTION("""COMPUTED_VALUE"""),"")</f>
        <v/>
      </c>
      <c r="DJ83" s="110" t="str">
        <f>IFERROR(__xludf.DUMMYFUNCTION("""COMPUTED_VALUE"""),"")</f>
        <v/>
      </c>
      <c r="DK83" s="110" t="str">
        <f>IFERROR(__xludf.DUMMYFUNCTION("""COMPUTED_VALUE"""),"")</f>
        <v/>
      </c>
      <c r="DL83" s="110" t="str">
        <f>IFERROR(__xludf.DUMMYFUNCTION("""COMPUTED_VALUE"""),"")</f>
        <v/>
      </c>
      <c r="DM83" s="110" t="str">
        <f>IFERROR(__xludf.DUMMYFUNCTION("""COMPUTED_VALUE"""),"")</f>
        <v/>
      </c>
      <c r="DN83" s="110" t="str">
        <f>IFERROR(__xludf.DUMMYFUNCTION("""COMPUTED_VALUE"""),"")</f>
        <v/>
      </c>
      <c r="DO83" s="110" t="str">
        <f>IFERROR(__xludf.DUMMYFUNCTION("""COMPUTED_VALUE"""),"")</f>
        <v/>
      </c>
      <c r="DP83" s="110" t="str">
        <f>IFERROR(__xludf.DUMMYFUNCTION("""COMPUTED_VALUE"""),"")</f>
        <v/>
      </c>
      <c r="DQ83" s="110" t="str">
        <f>IFERROR(__xludf.DUMMYFUNCTION("""COMPUTED_VALUE"""),"")</f>
        <v/>
      </c>
      <c r="DR83" s="110" t="str">
        <f>IFERROR(__xludf.DUMMYFUNCTION("""COMPUTED_VALUE"""),"")</f>
        <v/>
      </c>
      <c r="DS83" s="110" t="str">
        <f>IFERROR(__xludf.DUMMYFUNCTION("""COMPUTED_VALUE"""),"")</f>
        <v/>
      </c>
      <c r="DT83" s="110" t="str">
        <f>IFERROR(__xludf.DUMMYFUNCTION("""COMPUTED_VALUE"""),"")</f>
        <v/>
      </c>
      <c r="DU83" s="110" t="str">
        <f>IFERROR(__xludf.DUMMYFUNCTION("""COMPUTED_VALUE"""),"")</f>
        <v/>
      </c>
      <c r="DV83" s="110" t="str">
        <f>IFERROR(__xludf.DUMMYFUNCTION("""COMPUTED_VALUE"""),"")</f>
        <v/>
      </c>
      <c r="DW83" s="110" t="str">
        <f>IFERROR(__xludf.DUMMYFUNCTION("""COMPUTED_VALUE"""),"")</f>
        <v/>
      </c>
      <c r="DX83" s="110" t="str">
        <f>IFERROR(__xludf.DUMMYFUNCTION("""COMPUTED_VALUE"""),"")</f>
        <v/>
      </c>
      <c r="DY83" s="110" t="str">
        <f>IFERROR(__xludf.DUMMYFUNCTION("""COMPUTED_VALUE"""),"")</f>
        <v/>
      </c>
      <c r="DZ83" s="110" t="str">
        <f>IFERROR(__xludf.DUMMYFUNCTION("""COMPUTED_VALUE"""),"")</f>
        <v/>
      </c>
      <c r="EA83" s="110" t="str">
        <f>IFERROR(__xludf.DUMMYFUNCTION("""COMPUTED_VALUE"""),"")</f>
        <v/>
      </c>
      <c r="EB83" s="110" t="str">
        <f>IFERROR(__xludf.DUMMYFUNCTION("""COMPUTED_VALUE"""),"")</f>
        <v/>
      </c>
      <c r="EC83" s="110" t="str">
        <f>IFERROR(__xludf.DUMMYFUNCTION("""COMPUTED_VALUE"""),"")</f>
        <v/>
      </c>
      <c r="ED83" s="110" t="str">
        <f>IFERROR(__xludf.DUMMYFUNCTION("""COMPUTED_VALUE"""),"")</f>
        <v/>
      </c>
      <c r="EE83" s="110" t="str">
        <f>IFERROR(__xludf.DUMMYFUNCTION("""COMPUTED_VALUE"""),"")</f>
        <v/>
      </c>
      <c r="EF83" s="110" t="str">
        <f>IFERROR(__xludf.DUMMYFUNCTION("""COMPUTED_VALUE"""),"")</f>
        <v/>
      </c>
      <c r="EG83" s="110" t="str">
        <f>IFERROR(__xludf.DUMMYFUNCTION("""COMPUTED_VALUE"""),"")</f>
        <v/>
      </c>
      <c r="EH83" s="110" t="str">
        <f>IFERROR(__xludf.DUMMYFUNCTION("""COMPUTED_VALUE"""),"")</f>
        <v/>
      </c>
      <c r="EI83" s="110" t="str">
        <f>IFERROR(__xludf.DUMMYFUNCTION("""COMPUTED_VALUE"""),"")</f>
        <v/>
      </c>
      <c r="EJ83" s="110" t="str">
        <f>IFERROR(__xludf.DUMMYFUNCTION("""COMPUTED_VALUE"""),"")</f>
        <v/>
      </c>
      <c r="EK83" s="110" t="str">
        <f>IFERROR(__xludf.DUMMYFUNCTION("""COMPUTED_VALUE"""),"")</f>
        <v/>
      </c>
      <c r="EL83" s="110" t="str">
        <f>IFERROR(__xludf.DUMMYFUNCTION("""COMPUTED_VALUE"""),"")</f>
        <v/>
      </c>
      <c r="EM83" s="110" t="str">
        <f>IFERROR(__xludf.DUMMYFUNCTION("""COMPUTED_VALUE"""),"")</f>
        <v/>
      </c>
      <c r="EN83" s="110" t="str">
        <f>IFERROR(__xludf.DUMMYFUNCTION("""COMPUTED_VALUE"""),"")</f>
        <v/>
      </c>
      <c r="EO83" s="110" t="str">
        <f>IFERROR(__xludf.DUMMYFUNCTION("""COMPUTED_VALUE"""),"")</f>
        <v/>
      </c>
      <c r="EP83" s="110" t="str">
        <f>IFERROR(__xludf.DUMMYFUNCTION("""COMPUTED_VALUE"""),"")</f>
        <v/>
      </c>
      <c r="EQ83" s="110" t="str">
        <f>IFERROR(__xludf.DUMMYFUNCTION("""COMPUTED_VALUE"""),"")</f>
        <v/>
      </c>
      <c r="ER83" s="110" t="str">
        <f>IFERROR(__xludf.DUMMYFUNCTION("""COMPUTED_VALUE"""),"")</f>
        <v/>
      </c>
      <c r="ES83" s="110" t="str">
        <f>IFERROR(__xludf.DUMMYFUNCTION("""COMPUTED_VALUE"""),"")</f>
        <v/>
      </c>
      <c r="ET83" s="110" t="str">
        <f>IFERROR(__xludf.DUMMYFUNCTION("""COMPUTED_VALUE"""),"")</f>
        <v/>
      </c>
      <c r="EU83" s="110" t="str">
        <f>IFERROR(__xludf.DUMMYFUNCTION("""COMPUTED_VALUE"""),"")</f>
        <v/>
      </c>
      <c r="EV83" s="110" t="str">
        <f>IFERROR(__xludf.DUMMYFUNCTION("""COMPUTED_VALUE"""),"")</f>
        <v/>
      </c>
      <c r="EW83" s="110" t="str">
        <f>IFERROR(__xludf.DUMMYFUNCTION("""COMPUTED_VALUE"""),"")</f>
        <v/>
      </c>
      <c r="EX83" s="108" t="str">
        <f>IFERROR(__xludf.DUMMYFUNCTION("""COMPUTED_VALUE"""),"")</f>
        <v/>
      </c>
      <c r="EY83" s="108" t="str">
        <f>IFERROR(__xludf.DUMMYFUNCTION("""COMPUTED_VALUE"""),"")</f>
        <v/>
      </c>
      <c r="EZ83" s="108" t="str">
        <f>IFERROR(__xludf.DUMMYFUNCTION("""COMPUTED_VALUE"""),"")</f>
        <v/>
      </c>
      <c r="FA83" s="108" t="str">
        <f>IFERROR(__xludf.DUMMYFUNCTION("""COMPUTED_VALUE"""),"")</f>
        <v/>
      </c>
      <c r="FB83" s="108" t="str">
        <f>IFERROR(__xludf.DUMMYFUNCTION("""COMPUTED_VALUE"""),"")</f>
        <v/>
      </c>
      <c r="FC83" s="108" t="str">
        <f>IFERROR(__xludf.DUMMYFUNCTION("""COMPUTED_VALUE"""),"")</f>
        <v/>
      </c>
      <c r="FD83" s="108" t="str">
        <f>IFERROR(__xludf.DUMMYFUNCTION("""COMPUTED_VALUE"""),"")</f>
        <v/>
      </c>
      <c r="FE83" s="108" t="str">
        <f>IFERROR(__xludf.DUMMYFUNCTION("""COMPUTED_VALUE"""),"")</f>
        <v/>
      </c>
      <c r="FF83" s="108" t="str">
        <f>IFERROR(__xludf.DUMMYFUNCTION("""COMPUTED_VALUE"""),"")</f>
        <v/>
      </c>
      <c r="FG83" s="108" t="str">
        <f>IFERROR(__xludf.DUMMYFUNCTION("""COMPUTED_VALUE"""),"")</f>
        <v/>
      </c>
      <c r="FH83" s="108" t="str">
        <f>IFERROR(__xludf.DUMMYFUNCTION("""COMPUTED_VALUE"""),"")</f>
        <v/>
      </c>
      <c r="FI83" s="108" t="str">
        <f>IFERROR(__xludf.DUMMYFUNCTION("""COMPUTED_VALUE"""),"")</f>
        <v/>
      </c>
      <c r="FJ83" s="108" t="str">
        <f>IFERROR(__xludf.DUMMYFUNCTION("""COMPUTED_VALUE"""),"")</f>
        <v/>
      </c>
      <c r="FK83" s="108" t="str">
        <f>IFERROR(__xludf.DUMMYFUNCTION("""COMPUTED_VALUE"""),"")</f>
        <v/>
      </c>
      <c r="FL83" s="108" t="str">
        <f>IFERROR(__xludf.DUMMYFUNCTION("""COMPUTED_VALUE"""),"")</f>
        <v/>
      </c>
      <c r="FM83" s="108" t="str">
        <f>IFERROR(__xludf.DUMMYFUNCTION("""COMPUTED_VALUE"""),"")</f>
        <v/>
      </c>
      <c r="FN83" s="108" t="str">
        <f>IFERROR(__xludf.DUMMYFUNCTION("""COMPUTED_VALUE"""),"")</f>
        <v/>
      </c>
      <c r="FO83" s="108" t="str">
        <f>IFERROR(__xludf.DUMMYFUNCTION("""COMPUTED_VALUE"""),"")</f>
        <v/>
      </c>
    </row>
    <row r="84">
      <c r="A84" s="106" t="str">
        <f>IFERROR(__xludf.DUMMYFUNCTION("""COMPUTED_VALUE"""),"")</f>
        <v/>
      </c>
      <c r="B84" s="110" t="str">
        <f>IFERROR(__xludf.DUMMYFUNCTION("""COMPUTED_VALUE"""),"")</f>
        <v/>
      </c>
      <c r="C84" s="110" t="str">
        <f>IFERROR(__xludf.DUMMYFUNCTION("""COMPUTED_VALUE"""),"")</f>
        <v/>
      </c>
      <c r="D84" s="110" t="str">
        <f>IFERROR(__xludf.DUMMYFUNCTION("""COMPUTED_VALUE"""),"")</f>
        <v/>
      </c>
      <c r="E84" s="110" t="str">
        <f>IFERROR(__xludf.DUMMYFUNCTION("""COMPUTED_VALUE"""),"")</f>
        <v/>
      </c>
      <c r="F84" s="110" t="str">
        <f>IFERROR(__xludf.DUMMYFUNCTION("""COMPUTED_VALUE"""),"")</f>
        <v/>
      </c>
      <c r="G84" s="110" t="str">
        <f>IFERROR(__xludf.DUMMYFUNCTION("""COMPUTED_VALUE"""),"")</f>
        <v/>
      </c>
      <c r="H84" s="110" t="str">
        <f>IFERROR(__xludf.DUMMYFUNCTION("""COMPUTED_VALUE"""),"")</f>
        <v/>
      </c>
      <c r="I84" s="110" t="str">
        <f>IFERROR(__xludf.DUMMYFUNCTION("""COMPUTED_VALUE"""),"")</f>
        <v/>
      </c>
      <c r="J84" s="110" t="str">
        <f>IFERROR(__xludf.DUMMYFUNCTION("""COMPUTED_VALUE"""),"")</f>
        <v/>
      </c>
      <c r="K84" s="110" t="str">
        <f>IFERROR(__xludf.DUMMYFUNCTION("""COMPUTED_VALUE"""),"")</f>
        <v/>
      </c>
      <c r="L84" s="110" t="str">
        <f>IFERROR(__xludf.DUMMYFUNCTION("""COMPUTED_VALUE"""),"")</f>
        <v/>
      </c>
      <c r="M84" s="110" t="str">
        <f>IFERROR(__xludf.DUMMYFUNCTION("""COMPUTED_VALUE"""),"")</f>
        <v/>
      </c>
      <c r="N84" s="110" t="str">
        <f>IFERROR(__xludf.DUMMYFUNCTION("""COMPUTED_VALUE"""),"")</f>
        <v/>
      </c>
      <c r="O84" s="110" t="str">
        <f>IFERROR(__xludf.DUMMYFUNCTION("""COMPUTED_VALUE"""),"")</f>
        <v/>
      </c>
      <c r="P84" s="110" t="str">
        <f>IFERROR(__xludf.DUMMYFUNCTION("""COMPUTED_VALUE"""),"")</f>
        <v/>
      </c>
      <c r="Q84" s="110" t="str">
        <f>IFERROR(__xludf.DUMMYFUNCTION("""COMPUTED_VALUE"""),"")</f>
        <v/>
      </c>
      <c r="R84" s="110" t="str">
        <f>IFERROR(__xludf.DUMMYFUNCTION("""COMPUTED_VALUE"""),"")</f>
        <v/>
      </c>
      <c r="S84" s="110" t="str">
        <f>IFERROR(__xludf.DUMMYFUNCTION("""COMPUTED_VALUE"""),"")</f>
        <v/>
      </c>
      <c r="T84" s="110" t="str">
        <f>IFERROR(__xludf.DUMMYFUNCTION("""COMPUTED_VALUE"""),"")</f>
        <v/>
      </c>
      <c r="U84" s="110" t="str">
        <f>IFERROR(__xludf.DUMMYFUNCTION("""COMPUTED_VALUE"""),"")</f>
        <v/>
      </c>
      <c r="V84" s="110" t="str">
        <f>IFERROR(__xludf.DUMMYFUNCTION("""COMPUTED_VALUE"""),"")</f>
        <v/>
      </c>
      <c r="W84" s="110" t="str">
        <f>IFERROR(__xludf.DUMMYFUNCTION("""COMPUTED_VALUE"""),"")</f>
        <v/>
      </c>
      <c r="X84" s="110" t="str">
        <f>IFERROR(__xludf.DUMMYFUNCTION("""COMPUTED_VALUE"""),"")</f>
        <v/>
      </c>
      <c r="Y84" s="110" t="str">
        <f>IFERROR(__xludf.DUMMYFUNCTION("""COMPUTED_VALUE"""),"")</f>
        <v/>
      </c>
      <c r="Z84" s="110" t="str">
        <f>IFERROR(__xludf.DUMMYFUNCTION("""COMPUTED_VALUE"""),"")</f>
        <v/>
      </c>
      <c r="AA84" s="110" t="str">
        <f>IFERROR(__xludf.DUMMYFUNCTION("""COMPUTED_VALUE"""),"")</f>
        <v/>
      </c>
      <c r="AB84" s="110" t="str">
        <f>IFERROR(__xludf.DUMMYFUNCTION("""COMPUTED_VALUE"""),"")</f>
        <v/>
      </c>
      <c r="AC84" s="110" t="str">
        <f>IFERROR(__xludf.DUMMYFUNCTION("""COMPUTED_VALUE"""),"")</f>
        <v/>
      </c>
      <c r="AD84" s="110" t="str">
        <f>IFERROR(__xludf.DUMMYFUNCTION("""COMPUTED_VALUE"""),"")</f>
        <v/>
      </c>
      <c r="AE84" s="110" t="str">
        <f>IFERROR(__xludf.DUMMYFUNCTION("""COMPUTED_VALUE"""),"")</f>
        <v/>
      </c>
      <c r="AF84" s="110" t="str">
        <f>IFERROR(__xludf.DUMMYFUNCTION("""COMPUTED_VALUE"""),"")</f>
        <v/>
      </c>
      <c r="AG84" s="110" t="str">
        <f>IFERROR(__xludf.DUMMYFUNCTION("""COMPUTED_VALUE"""),"")</f>
        <v/>
      </c>
      <c r="AH84" s="110" t="str">
        <f>IFERROR(__xludf.DUMMYFUNCTION("""COMPUTED_VALUE"""),"")</f>
        <v/>
      </c>
      <c r="AI84" s="110" t="str">
        <f>IFERROR(__xludf.DUMMYFUNCTION("""COMPUTED_VALUE"""),"")</f>
        <v/>
      </c>
      <c r="AJ84" s="110" t="str">
        <f>IFERROR(__xludf.DUMMYFUNCTION("""COMPUTED_VALUE"""),"")</f>
        <v/>
      </c>
      <c r="AK84" s="110" t="str">
        <f>IFERROR(__xludf.DUMMYFUNCTION("""COMPUTED_VALUE"""),"")</f>
        <v/>
      </c>
      <c r="AL84" s="110" t="str">
        <f>IFERROR(__xludf.DUMMYFUNCTION("""COMPUTED_VALUE"""),"")</f>
        <v/>
      </c>
      <c r="AM84" s="110" t="str">
        <f>IFERROR(__xludf.DUMMYFUNCTION("""COMPUTED_VALUE"""),"")</f>
        <v/>
      </c>
      <c r="AN84" s="110" t="str">
        <f>IFERROR(__xludf.DUMMYFUNCTION("""COMPUTED_VALUE"""),"")</f>
        <v/>
      </c>
      <c r="AO84" s="110" t="str">
        <f>IFERROR(__xludf.DUMMYFUNCTION("""COMPUTED_VALUE"""),"")</f>
        <v/>
      </c>
      <c r="AP84" s="110" t="str">
        <f>IFERROR(__xludf.DUMMYFUNCTION("""COMPUTED_VALUE"""),"")</f>
        <v/>
      </c>
      <c r="AQ84" s="110" t="str">
        <f>IFERROR(__xludf.DUMMYFUNCTION("""COMPUTED_VALUE"""),"")</f>
        <v/>
      </c>
      <c r="AR84" s="109" t="str">
        <f>IFERROR(__xludf.DUMMYFUNCTION("""COMPUTED_VALUE"""),"")</f>
        <v/>
      </c>
      <c r="AS84" s="110" t="str">
        <f>IFERROR(__xludf.DUMMYFUNCTION("""COMPUTED_VALUE"""),"")</f>
        <v/>
      </c>
      <c r="AT84" s="110" t="str">
        <f>IFERROR(__xludf.DUMMYFUNCTION("""COMPUTED_VALUE"""),"")</f>
        <v/>
      </c>
      <c r="AU84" s="110" t="str">
        <f>IFERROR(__xludf.DUMMYFUNCTION("""COMPUTED_VALUE"""),"")</f>
        <v/>
      </c>
      <c r="AV84" s="110" t="str">
        <f>IFERROR(__xludf.DUMMYFUNCTION("""COMPUTED_VALUE"""),"")</f>
        <v/>
      </c>
      <c r="AW84" s="110" t="str">
        <f>IFERROR(__xludf.DUMMYFUNCTION("""COMPUTED_VALUE"""),"")</f>
        <v/>
      </c>
      <c r="AX84" s="110" t="str">
        <f>IFERROR(__xludf.DUMMYFUNCTION("""COMPUTED_VALUE"""),"")</f>
        <v/>
      </c>
      <c r="AY84" s="110" t="str">
        <f>IFERROR(__xludf.DUMMYFUNCTION("""COMPUTED_VALUE"""),"")</f>
        <v/>
      </c>
      <c r="AZ84" s="110" t="str">
        <f>IFERROR(__xludf.DUMMYFUNCTION("""COMPUTED_VALUE"""),"")</f>
        <v/>
      </c>
      <c r="BA84" s="110" t="str">
        <f>IFERROR(__xludf.DUMMYFUNCTION("""COMPUTED_VALUE"""),"")</f>
        <v/>
      </c>
      <c r="BB84" s="110" t="str">
        <f>IFERROR(__xludf.DUMMYFUNCTION("""COMPUTED_VALUE"""),"")</f>
        <v/>
      </c>
      <c r="BC84" s="110" t="str">
        <f>IFERROR(__xludf.DUMMYFUNCTION("""COMPUTED_VALUE"""),"")</f>
        <v/>
      </c>
      <c r="BD84" s="110" t="str">
        <f>IFERROR(__xludf.DUMMYFUNCTION("""COMPUTED_VALUE"""),"")</f>
        <v/>
      </c>
      <c r="BE84" s="110" t="str">
        <f>IFERROR(__xludf.DUMMYFUNCTION("""COMPUTED_VALUE"""),"")</f>
        <v/>
      </c>
      <c r="BF84" s="110" t="str">
        <f>IFERROR(__xludf.DUMMYFUNCTION("""COMPUTED_VALUE"""),"")</f>
        <v/>
      </c>
      <c r="BG84" s="110" t="str">
        <f>IFERROR(__xludf.DUMMYFUNCTION("""COMPUTED_VALUE"""),"")</f>
        <v/>
      </c>
      <c r="BH84" s="110" t="str">
        <f>IFERROR(__xludf.DUMMYFUNCTION("""COMPUTED_VALUE"""),"")</f>
        <v/>
      </c>
      <c r="BI84" s="110" t="str">
        <f>IFERROR(__xludf.DUMMYFUNCTION("""COMPUTED_VALUE"""),"")</f>
        <v/>
      </c>
      <c r="BJ84" s="110" t="str">
        <f>IFERROR(__xludf.DUMMYFUNCTION("""COMPUTED_VALUE"""),"")</f>
        <v/>
      </c>
      <c r="BK84" s="110" t="str">
        <f>IFERROR(__xludf.DUMMYFUNCTION("""COMPUTED_VALUE"""),"")</f>
        <v/>
      </c>
      <c r="BL84" s="110" t="str">
        <f>IFERROR(__xludf.DUMMYFUNCTION("""COMPUTED_VALUE"""),"")</f>
        <v/>
      </c>
      <c r="BM84" s="110" t="str">
        <f>IFERROR(__xludf.DUMMYFUNCTION("""COMPUTED_VALUE"""),"")</f>
        <v/>
      </c>
      <c r="BN84" s="110" t="str">
        <f>IFERROR(__xludf.DUMMYFUNCTION("""COMPUTED_VALUE"""),"")</f>
        <v/>
      </c>
      <c r="BO84" s="110" t="str">
        <f>IFERROR(__xludf.DUMMYFUNCTION("""COMPUTED_VALUE"""),"")</f>
        <v/>
      </c>
      <c r="BP84" s="110" t="str">
        <f>IFERROR(__xludf.DUMMYFUNCTION("""COMPUTED_VALUE"""),"")</f>
        <v/>
      </c>
      <c r="BQ84" s="110" t="str">
        <f>IFERROR(__xludf.DUMMYFUNCTION("""COMPUTED_VALUE"""),"")</f>
        <v/>
      </c>
      <c r="BR84" s="110" t="str">
        <f>IFERROR(__xludf.DUMMYFUNCTION("""COMPUTED_VALUE"""),"")</f>
        <v/>
      </c>
      <c r="BS84" s="110" t="str">
        <f>IFERROR(__xludf.DUMMYFUNCTION("""COMPUTED_VALUE"""),"")</f>
        <v/>
      </c>
      <c r="BT84" s="110" t="str">
        <f>IFERROR(__xludf.DUMMYFUNCTION("""COMPUTED_VALUE"""),"")</f>
        <v/>
      </c>
      <c r="BU84" s="110" t="str">
        <f>IFERROR(__xludf.DUMMYFUNCTION("""COMPUTED_VALUE"""),"")</f>
        <v/>
      </c>
      <c r="BV84" s="110" t="str">
        <f>IFERROR(__xludf.DUMMYFUNCTION("""COMPUTED_VALUE"""),"")</f>
        <v/>
      </c>
      <c r="BW84" s="110" t="str">
        <f>IFERROR(__xludf.DUMMYFUNCTION("""COMPUTED_VALUE"""),"")</f>
        <v/>
      </c>
      <c r="BX84" s="110" t="str">
        <f>IFERROR(__xludf.DUMMYFUNCTION("""COMPUTED_VALUE"""),"")</f>
        <v/>
      </c>
      <c r="BY84" s="110" t="str">
        <f>IFERROR(__xludf.DUMMYFUNCTION("""COMPUTED_VALUE"""),"")</f>
        <v/>
      </c>
      <c r="BZ84" s="110" t="str">
        <f>IFERROR(__xludf.DUMMYFUNCTION("""COMPUTED_VALUE"""),"")</f>
        <v/>
      </c>
      <c r="CA84" s="110" t="str">
        <f>IFERROR(__xludf.DUMMYFUNCTION("""COMPUTED_VALUE"""),"")</f>
        <v/>
      </c>
      <c r="CB84" s="110" t="str">
        <f>IFERROR(__xludf.DUMMYFUNCTION("""COMPUTED_VALUE"""),"")</f>
        <v/>
      </c>
      <c r="CC84" s="110" t="str">
        <f>IFERROR(__xludf.DUMMYFUNCTION("""COMPUTED_VALUE"""),"")</f>
        <v/>
      </c>
      <c r="CD84" s="110" t="str">
        <f>IFERROR(__xludf.DUMMYFUNCTION("""COMPUTED_VALUE"""),"")</f>
        <v/>
      </c>
      <c r="CE84" s="110" t="str">
        <f>IFERROR(__xludf.DUMMYFUNCTION("""COMPUTED_VALUE"""),"")</f>
        <v/>
      </c>
      <c r="CF84" s="110" t="str">
        <f>IFERROR(__xludf.DUMMYFUNCTION("""COMPUTED_VALUE"""),"")</f>
        <v/>
      </c>
      <c r="CG84" s="110" t="str">
        <f>IFERROR(__xludf.DUMMYFUNCTION("""COMPUTED_VALUE"""),"")</f>
        <v/>
      </c>
      <c r="CH84" s="110" t="str">
        <f>IFERROR(__xludf.DUMMYFUNCTION("""COMPUTED_VALUE"""),"")</f>
        <v/>
      </c>
      <c r="CI84" s="110" t="str">
        <f>IFERROR(__xludf.DUMMYFUNCTION("""COMPUTED_VALUE"""),"")</f>
        <v/>
      </c>
      <c r="CJ84" s="110" t="str">
        <f>IFERROR(__xludf.DUMMYFUNCTION("""COMPUTED_VALUE"""),"")</f>
        <v/>
      </c>
      <c r="CK84" s="110" t="str">
        <f>IFERROR(__xludf.DUMMYFUNCTION("""COMPUTED_VALUE"""),"")</f>
        <v/>
      </c>
      <c r="CL84" s="110" t="str">
        <f>IFERROR(__xludf.DUMMYFUNCTION("""COMPUTED_VALUE"""),"")</f>
        <v/>
      </c>
      <c r="CM84" s="110" t="str">
        <f>IFERROR(__xludf.DUMMYFUNCTION("""COMPUTED_VALUE"""),"")</f>
        <v/>
      </c>
      <c r="CN84" s="110" t="str">
        <f>IFERROR(__xludf.DUMMYFUNCTION("""COMPUTED_VALUE"""),"")</f>
        <v/>
      </c>
      <c r="CO84" s="110" t="str">
        <f>IFERROR(__xludf.DUMMYFUNCTION("""COMPUTED_VALUE"""),"")</f>
        <v/>
      </c>
      <c r="CP84" s="110" t="str">
        <f>IFERROR(__xludf.DUMMYFUNCTION("""COMPUTED_VALUE"""),"")</f>
        <v/>
      </c>
      <c r="CQ84" s="110" t="str">
        <f>IFERROR(__xludf.DUMMYFUNCTION("""COMPUTED_VALUE"""),"")</f>
        <v/>
      </c>
      <c r="CR84" s="110" t="str">
        <f>IFERROR(__xludf.DUMMYFUNCTION("""COMPUTED_VALUE"""),"")</f>
        <v/>
      </c>
      <c r="CS84" s="110" t="str">
        <f>IFERROR(__xludf.DUMMYFUNCTION("""COMPUTED_VALUE"""),"")</f>
        <v/>
      </c>
      <c r="CT84" s="110" t="str">
        <f>IFERROR(__xludf.DUMMYFUNCTION("""COMPUTED_VALUE"""),"")</f>
        <v/>
      </c>
      <c r="CU84" s="110" t="str">
        <f>IFERROR(__xludf.DUMMYFUNCTION("""COMPUTED_VALUE"""),"")</f>
        <v/>
      </c>
      <c r="CV84" s="110" t="str">
        <f>IFERROR(__xludf.DUMMYFUNCTION("""COMPUTED_VALUE"""),"")</f>
        <v/>
      </c>
      <c r="CW84" s="110" t="str">
        <f>IFERROR(__xludf.DUMMYFUNCTION("""COMPUTED_VALUE"""),"")</f>
        <v/>
      </c>
      <c r="CX84" s="110" t="str">
        <f>IFERROR(__xludf.DUMMYFUNCTION("""COMPUTED_VALUE"""),"")</f>
        <v/>
      </c>
      <c r="CY84" s="110" t="str">
        <f>IFERROR(__xludf.DUMMYFUNCTION("""COMPUTED_VALUE"""),"")</f>
        <v/>
      </c>
      <c r="CZ84" s="110" t="str">
        <f>IFERROR(__xludf.DUMMYFUNCTION("""COMPUTED_VALUE"""),"")</f>
        <v/>
      </c>
      <c r="DA84" s="110" t="str">
        <f>IFERROR(__xludf.DUMMYFUNCTION("""COMPUTED_VALUE"""),"")</f>
        <v/>
      </c>
      <c r="DB84" s="110" t="str">
        <f>IFERROR(__xludf.DUMMYFUNCTION("""COMPUTED_VALUE"""),"")</f>
        <v/>
      </c>
      <c r="DC84" s="110" t="str">
        <f>IFERROR(__xludf.DUMMYFUNCTION("""COMPUTED_VALUE"""),"")</f>
        <v/>
      </c>
      <c r="DD84" s="110" t="str">
        <f>IFERROR(__xludf.DUMMYFUNCTION("""COMPUTED_VALUE"""),"")</f>
        <v/>
      </c>
      <c r="DE84" s="110" t="str">
        <f>IFERROR(__xludf.DUMMYFUNCTION("""COMPUTED_VALUE"""),"")</f>
        <v/>
      </c>
      <c r="DF84" s="110" t="str">
        <f>IFERROR(__xludf.DUMMYFUNCTION("""COMPUTED_VALUE"""),"")</f>
        <v/>
      </c>
      <c r="DG84" s="110" t="str">
        <f>IFERROR(__xludf.DUMMYFUNCTION("""COMPUTED_VALUE"""),"")</f>
        <v/>
      </c>
      <c r="DH84" s="110" t="str">
        <f>IFERROR(__xludf.DUMMYFUNCTION("""COMPUTED_VALUE"""),"")</f>
        <v/>
      </c>
      <c r="DI84" s="110" t="str">
        <f>IFERROR(__xludf.DUMMYFUNCTION("""COMPUTED_VALUE"""),"")</f>
        <v/>
      </c>
      <c r="DJ84" s="110" t="str">
        <f>IFERROR(__xludf.DUMMYFUNCTION("""COMPUTED_VALUE"""),"")</f>
        <v/>
      </c>
      <c r="DK84" s="110" t="str">
        <f>IFERROR(__xludf.DUMMYFUNCTION("""COMPUTED_VALUE"""),"")</f>
        <v/>
      </c>
      <c r="DL84" s="110" t="str">
        <f>IFERROR(__xludf.DUMMYFUNCTION("""COMPUTED_VALUE"""),"")</f>
        <v/>
      </c>
      <c r="DM84" s="110" t="str">
        <f>IFERROR(__xludf.DUMMYFUNCTION("""COMPUTED_VALUE"""),"")</f>
        <v/>
      </c>
      <c r="DN84" s="110" t="str">
        <f>IFERROR(__xludf.DUMMYFUNCTION("""COMPUTED_VALUE"""),"")</f>
        <v/>
      </c>
      <c r="DO84" s="110" t="str">
        <f>IFERROR(__xludf.DUMMYFUNCTION("""COMPUTED_VALUE"""),"")</f>
        <v/>
      </c>
      <c r="DP84" s="110" t="str">
        <f>IFERROR(__xludf.DUMMYFUNCTION("""COMPUTED_VALUE"""),"")</f>
        <v/>
      </c>
      <c r="DQ84" s="110" t="str">
        <f>IFERROR(__xludf.DUMMYFUNCTION("""COMPUTED_VALUE"""),"")</f>
        <v/>
      </c>
      <c r="DR84" s="110" t="str">
        <f>IFERROR(__xludf.DUMMYFUNCTION("""COMPUTED_VALUE"""),"")</f>
        <v/>
      </c>
      <c r="DS84" s="110" t="str">
        <f>IFERROR(__xludf.DUMMYFUNCTION("""COMPUTED_VALUE"""),"")</f>
        <v/>
      </c>
      <c r="DT84" s="110" t="str">
        <f>IFERROR(__xludf.DUMMYFUNCTION("""COMPUTED_VALUE"""),"")</f>
        <v/>
      </c>
      <c r="DU84" s="110" t="str">
        <f>IFERROR(__xludf.DUMMYFUNCTION("""COMPUTED_VALUE"""),"")</f>
        <v/>
      </c>
      <c r="DV84" s="110" t="str">
        <f>IFERROR(__xludf.DUMMYFUNCTION("""COMPUTED_VALUE"""),"")</f>
        <v/>
      </c>
      <c r="DW84" s="110" t="str">
        <f>IFERROR(__xludf.DUMMYFUNCTION("""COMPUTED_VALUE"""),"")</f>
        <v/>
      </c>
      <c r="DX84" s="110" t="str">
        <f>IFERROR(__xludf.DUMMYFUNCTION("""COMPUTED_VALUE"""),"")</f>
        <v/>
      </c>
      <c r="DY84" s="110" t="str">
        <f>IFERROR(__xludf.DUMMYFUNCTION("""COMPUTED_VALUE"""),"")</f>
        <v/>
      </c>
      <c r="DZ84" s="110" t="str">
        <f>IFERROR(__xludf.DUMMYFUNCTION("""COMPUTED_VALUE"""),"")</f>
        <v/>
      </c>
      <c r="EA84" s="110" t="str">
        <f>IFERROR(__xludf.DUMMYFUNCTION("""COMPUTED_VALUE"""),"")</f>
        <v/>
      </c>
      <c r="EB84" s="110" t="str">
        <f>IFERROR(__xludf.DUMMYFUNCTION("""COMPUTED_VALUE"""),"")</f>
        <v/>
      </c>
      <c r="EC84" s="110" t="str">
        <f>IFERROR(__xludf.DUMMYFUNCTION("""COMPUTED_VALUE"""),"")</f>
        <v/>
      </c>
      <c r="ED84" s="110" t="str">
        <f>IFERROR(__xludf.DUMMYFUNCTION("""COMPUTED_VALUE"""),"")</f>
        <v/>
      </c>
      <c r="EE84" s="110" t="str">
        <f>IFERROR(__xludf.DUMMYFUNCTION("""COMPUTED_VALUE"""),"")</f>
        <v/>
      </c>
      <c r="EF84" s="110" t="str">
        <f>IFERROR(__xludf.DUMMYFUNCTION("""COMPUTED_VALUE"""),"")</f>
        <v/>
      </c>
      <c r="EG84" s="110" t="str">
        <f>IFERROR(__xludf.DUMMYFUNCTION("""COMPUTED_VALUE"""),"")</f>
        <v/>
      </c>
      <c r="EH84" s="110" t="str">
        <f>IFERROR(__xludf.DUMMYFUNCTION("""COMPUTED_VALUE"""),"")</f>
        <v/>
      </c>
      <c r="EI84" s="110" t="str">
        <f>IFERROR(__xludf.DUMMYFUNCTION("""COMPUTED_VALUE"""),"")</f>
        <v/>
      </c>
      <c r="EJ84" s="110" t="str">
        <f>IFERROR(__xludf.DUMMYFUNCTION("""COMPUTED_VALUE"""),"")</f>
        <v/>
      </c>
      <c r="EK84" s="110" t="str">
        <f>IFERROR(__xludf.DUMMYFUNCTION("""COMPUTED_VALUE"""),"")</f>
        <v/>
      </c>
      <c r="EL84" s="110" t="str">
        <f>IFERROR(__xludf.DUMMYFUNCTION("""COMPUTED_VALUE"""),"")</f>
        <v/>
      </c>
      <c r="EM84" s="110" t="str">
        <f>IFERROR(__xludf.DUMMYFUNCTION("""COMPUTED_VALUE"""),"")</f>
        <v/>
      </c>
      <c r="EN84" s="110" t="str">
        <f>IFERROR(__xludf.DUMMYFUNCTION("""COMPUTED_VALUE"""),"")</f>
        <v/>
      </c>
      <c r="EO84" s="110" t="str">
        <f>IFERROR(__xludf.DUMMYFUNCTION("""COMPUTED_VALUE"""),"")</f>
        <v/>
      </c>
      <c r="EP84" s="110" t="str">
        <f>IFERROR(__xludf.DUMMYFUNCTION("""COMPUTED_VALUE"""),"")</f>
        <v/>
      </c>
      <c r="EQ84" s="110" t="str">
        <f>IFERROR(__xludf.DUMMYFUNCTION("""COMPUTED_VALUE"""),"")</f>
        <v/>
      </c>
      <c r="ER84" s="110" t="str">
        <f>IFERROR(__xludf.DUMMYFUNCTION("""COMPUTED_VALUE"""),"")</f>
        <v/>
      </c>
      <c r="ES84" s="110" t="str">
        <f>IFERROR(__xludf.DUMMYFUNCTION("""COMPUTED_VALUE"""),"")</f>
        <v/>
      </c>
      <c r="ET84" s="110" t="str">
        <f>IFERROR(__xludf.DUMMYFUNCTION("""COMPUTED_VALUE"""),"")</f>
        <v/>
      </c>
      <c r="EU84" s="110" t="str">
        <f>IFERROR(__xludf.DUMMYFUNCTION("""COMPUTED_VALUE"""),"")</f>
        <v/>
      </c>
      <c r="EV84" s="110" t="str">
        <f>IFERROR(__xludf.DUMMYFUNCTION("""COMPUTED_VALUE"""),"")</f>
        <v/>
      </c>
      <c r="EW84" s="110" t="str">
        <f>IFERROR(__xludf.DUMMYFUNCTION("""COMPUTED_VALUE"""),"")</f>
        <v/>
      </c>
      <c r="EX84" s="108" t="str">
        <f>IFERROR(__xludf.DUMMYFUNCTION("""COMPUTED_VALUE"""),"")</f>
        <v/>
      </c>
      <c r="EY84" s="108" t="str">
        <f>IFERROR(__xludf.DUMMYFUNCTION("""COMPUTED_VALUE"""),"")</f>
        <v/>
      </c>
      <c r="EZ84" s="108" t="str">
        <f>IFERROR(__xludf.DUMMYFUNCTION("""COMPUTED_VALUE"""),"")</f>
        <v/>
      </c>
      <c r="FA84" s="108" t="str">
        <f>IFERROR(__xludf.DUMMYFUNCTION("""COMPUTED_VALUE"""),"")</f>
        <v/>
      </c>
      <c r="FB84" s="108" t="str">
        <f>IFERROR(__xludf.DUMMYFUNCTION("""COMPUTED_VALUE"""),"")</f>
        <v/>
      </c>
      <c r="FC84" s="108" t="str">
        <f>IFERROR(__xludf.DUMMYFUNCTION("""COMPUTED_VALUE"""),"")</f>
        <v/>
      </c>
      <c r="FD84" s="108" t="str">
        <f>IFERROR(__xludf.DUMMYFUNCTION("""COMPUTED_VALUE"""),"")</f>
        <v/>
      </c>
      <c r="FE84" s="108" t="str">
        <f>IFERROR(__xludf.DUMMYFUNCTION("""COMPUTED_VALUE"""),"")</f>
        <v/>
      </c>
      <c r="FF84" s="108" t="str">
        <f>IFERROR(__xludf.DUMMYFUNCTION("""COMPUTED_VALUE"""),"")</f>
        <v/>
      </c>
      <c r="FG84" s="108" t="str">
        <f>IFERROR(__xludf.DUMMYFUNCTION("""COMPUTED_VALUE"""),"")</f>
        <v/>
      </c>
      <c r="FH84" s="108" t="str">
        <f>IFERROR(__xludf.DUMMYFUNCTION("""COMPUTED_VALUE"""),"")</f>
        <v/>
      </c>
      <c r="FI84" s="108" t="str">
        <f>IFERROR(__xludf.DUMMYFUNCTION("""COMPUTED_VALUE"""),"")</f>
        <v/>
      </c>
      <c r="FJ84" s="108" t="str">
        <f>IFERROR(__xludf.DUMMYFUNCTION("""COMPUTED_VALUE"""),"")</f>
        <v/>
      </c>
      <c r="FK84" s="108" t="str">
        <f>IFERROR(__xludf.DUMMYFUNCTION("""COMPUTED_VALUE"""),"")</f>
        <v/>
      </c>
      <c r="FL84" s="108" t="str">
        <f>IFERROR(__xludf.DUMMYFUNCTION("""COMPUTED_VALUE"""),"")</f>
        <v/>
      </c>
      <c r="FM84" s="108" t="str">
        <f>IFERROR(__xludf.DUMMYFUNCTION("""COMPUTED_VALUE"""),"")</f>
        <v/>
      </c>
      <c r="FN84" s="108" t="str">
        <f>IFERROR(__xludf.DUMMYFUNCTION("""COMPUTED_VALUE"""),"")</f>
        <v/>
      </c>
      <c r="FO84" s="108" t="str">
        <f>IFERROR(__xludf.DUMMYFUNCTION("""COMPUTED_VALUE"""),"")</f>
        <v/>
      </c>
    </row>
    <row r="85">
      <c r="A85" s="106"/>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09"/>
      <c r="AS85" s="110"/>
      <c r="AT85" s="110"/>
      <c r="AU85" s="110"/>
      <c r="AV85" s="110"/>
      <c r="AW85" s="110"/>
      <c r="AX85" s="110"/>
      <c r="AY85" s="110"/>
      <c r="AZ85" s="110"/>
      <c r="BA85" s="110"/>
      <c r="BB85" s="110"/>
      <c r="BC85" s="110"/>
      <c r="BD85" s="110"/>
      <c r="BE85" s="110"/>
      <c r="BF85" s="110"/>
      <c r="BG85" s="110"/>
      <c r="BH85" s="110"/>
      <c r="BI85" s="110"/>
      <c r="BJ85" s="110"/>
      <c r="BK85" s="110"/>
      <c r="BL85" s="110"/>
      <c r="BM85" s="110"/>
      <c r="BN85" s="110"/>
      <c r="BO85" s="110"/>
      <c r="BP85" s="110"/>
      <c r="BQ85" s="110"/>
      <c r="BR85" s="110"/>
      <c r="BS85" s="110"/>
      <c r="BT85" s="110"/>
      <c r="BU85" s="110"/>
      <c r="BV85" s="110"/>
      <c r="BW85" s="110"/>
      <c r="BX85" s="110"/>
      <c r="BY85" s="110"/>
      <c r="BZ85" s="110"/>
      <c r="CA85" s="110"/>
      <c r="CB85" s="110"/>
      <c r="CC85" s="110"/>
      <c r="CD85" s="110"/>
      <c r="CE85" s="110"/>
      <c r="CF85" s="110"/>
      <c r="CG85" s="110"/>
      <c r="CH85" s="110"/>
      <c r="CI85" s="110"/>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H85" s="110"/>
      <c r="DI85" s="110"/>
      <c r="DJ85" s="110"/>
      <c r="DK85" s="110"/>
      <c r="DL85" s="110"/>
      <c r="DM85" s="110"/>
      <c r="DN85" s="110"/>
      <c r="DO85" s="110"/>
      <c r="DP85" s="110"/>
      <c r="DQ85" s="110"/>
      <c r="DR85" s="110"/>
      <c r="DS85" s="110"/>
      <c r="DT85" s="110"/>
      <c r="DU85" s="110"/>
      <c r="DV85" s="110"/>
      <c r="DW85" s="110"/>
      <c r="DX85" s="110"/>
      <c r="DY85" s="110"/>
      <c r="DZ85" s="110"/>
      <c r="EA85" s="110"/>
      <c r="EB85" s="110"/>
      <c r="EC85" s="110"/>
      <c r="ED85" s="110"/>
      <c r="EE85" s="110"/>
      <c r="EF85" s="110"/>
      <c r="EG85" s="110"/>
      <c r="EH85" s="110"/>
      <c r="EI85" s="110"/>
      <c r="EJ85" s="110"/>
      <c r="EK85" s="110"/>
      <c r="EL85" s="110"/>
      <c r="EM85" s="110"/>
      <c r="EN85" s="110"/>
      <c r="EO85" s="110"/>
      <c r="EP85" s="110"/>
      <c r="EQ85" s="110"/>
      <c r="ER85" s="110"/>
      <c r="ES85" s="110"/>
      <c r="ET85" s="110"/>
      <c r="EU85" s="110"/>
      <c r="EV85" s="110"/>
      <c r="EW85" s="110"/>
      <c r="EX85" s="108"/>
      <c r="EY85" s="108"/>
      <c r="EZ85" s="108"/>
      <c r="FA85" s="108"/>
      <c r="FB85" s="108"/>
      <c r="FC85" s="108"/>
      <c r="FD85" s="108"/>
      <c r="FE85" s="108"/>
      <c r="FF85" s="108"/>
      <c r="FG85" s="108"/>
      <c r="FH85" s="108"/>
      <c r="FI85" s="108"/>
      <c r="FJ85" s="108"/>
      <c r="FK85" s="108"/>
      <c r="FL85" s="108"/>
      <c r="FM85" s="108"/>
      <c r="FN85" s="108"/>
      <c r="FO85" s="108"/>
    </row>
  </sheetData>
  <hyperlinks>
    <hyperlink r:id="rId1" ref="B4"/>
    <hyperlink r:id="rId2" ref="C4"/>
    <hyperlink r:id="rId3" ref="D4"/>
    <hyperlink r:id="rId4" ref="E4"/>
    <hyperlink r:id="rId5" ref="F4"/>
    <hyperlink r:id="rId6" ref="G4"/>
    <hyperlink r:id="rId7" ref="H4"/>
    <hyperlink r:id="rId8" ref="I4"/>
    <hyperlink r:id="rId9" ref="J4"/>
    <hyperlink r:id="rId10" ref="K4"/>
    <hyperlink r:id="rId11" ref="L4"/>
    <hyperlink r:id="rId12" ref="M4"/>
    <hyperlink r:id="rId13" ref="N4"/>
    <hyperlink r:id="rId14" ref="O4"/>
    <hyperlink r:id="rId15" ref="P4"/>
    <hyperlink r:id="rId16" ref="Q4"/>
    <hyperlink r:id="rId17" ref="R4"/>
    <hyperlink r:id="rId18" ref="S4"/>
    <hyperlink r:id="rId19" ref="T4"/>
    <hyperlink r:id="rId20" ref="U4"/>
    <hyperlink r:id="rId21" ref="V4"/>
    <hyperlink r:id="rId22" ref="W4"/>
    <hyperlink r:id="rId23" ref="X4"/>
    <hyperlink r:id="rId24" ref="Y4"/>
    <hyperlink r:id="rId25" ref="Z4"/>
    <hyperlink r:id="rId26" ref="AA4"/>
    <hyperlink r:id="rId27" ref="AB4"/>
    <hyperlink r:id="rId28" ref="AC4"/>
    <hyperlink r:id="rId29" ref="AD4"/>
    <hyperlink r:id="rId30" ref="AE4"/>
    <hyperlink r:id="rId31" ref="AF4"/>
    <hyperlink r:id="rId32" ref="AG4"/>
    <hyperlink r:id="rId33" ref="AH4"/>
    <hyperlink r:id="rId34" ref="AI4"/>
    <hyperlink r:id="rId35" ref="AJ4"/>
    <hyperlink r:id="rId36" ref="AK4"/>
    <hyperlink r:id="rId37" ref="AL4"/>
    <hyperlink r:id="rId38" ref="AM4"/>
    <hyperlink r:id="rId39" ref="AN4"/>
    <hyperlink r:id="rId40" ref="AO4"/>
    <hyperlink r:id="rId41" ref="AP4"/>
    <hyperlink r:id="rId42" ref="AQ4"/>
    <hyperlink r:id="rId43" ref="AR4"/>
    <hyperlink r:id="rId44" ref="AS4"/>
    <hyperlink r:id="rId45" ref="AT4"/>
    <hyperlink r:id="rId46" ref="AU4"/>
    <hyperlink r:id="rId47" ref="AV4"/>
    <hyperlink r:id="rId48" ref="AW4"/>
    <hyperlink r:id="rId49" ref="AX4"/>
    <hyperlink r:id="rId50" ref="AY4"/>
    <hyperlink r:id="rId51" ref="AZ4"/>
    <hyperlink r:id="rId52" ref="BA4"/>
    <hyperlink r:id="rId53" ref="BB4"/>
    <hyperlink r:id="rId54" ref="BC4"/>
    <hyperlink r:id="rId55" ref="BD4"/>
    <hyperlink r:id="rId56" ref="BE4"/>
    <hyperlink r:id="rId57" ref="BF4"/>
    <hyperlink r:id="rId58" ref="BG4"/>
    <hyperlink r:id="rId59" ref="BH4"/>
    <hyperlink r:id="rId60" ref="BI4"/>
    <hyperlink r:id="rId61" ref="BJ4"/>
    <hyperlink r:id="rId62" ref="BK4"/>
    <hyperlink r:id="rId63" ref="BL4"/>
    <hyperlink r:id="rId64" ref="BM4"/>
    <hyperlink r:id="rId65" ref="BN4"/>
    <hyperlink r:id="rId66" ref="BO4"/>
    <hyperlink r:id="rId67" ref="BP4"/>
    <hyperlink r:id="rId68" ref="BQ4"/>
    <hyperlink r:id="rId69" ref="BR4"/>
    <hyperlink r:id="rId70" ref="BS4"/>
    <hyperlink r:id="rId71" ref="BT4"/>
    <hyperlink r:id="rId72" ref="BU4"/>
    <hyperlink r:id="rId73" ref="BV4"/>
    <hyperlink r:id="rId74" ref="BW4"/>
    <hyperlink r:id="rId75" ref="BX4"/>
    <hyperlink r:id="rId76" ref="BY4"/>
    <hyperlink r:id="rId77" ref="BZ4"/>
    <hyperlink r:id="rId78" ref="CA4"/>
    <hyperlink r:id="rId79" ref="CB4"/>
    <hyperlink r:id="rId80" ref="CC4"/>
    <hyperlink r:id="rId81" ref="CD4"/>
    <hyperlink r:id="rId82" ref="CE4"/>
    <hyperlink r:id="rId83" ref="CF4"/>
    <hyperlink r:id="rId84" ref="CG4"/>
    <hyperlink r:id="rId85" ref="CH4"/>
    <hyperlink r:id="rId86" ref="CI4"/>
    <hyperlink r:id="rId87" ref="CJ4"/>
    <hyperlink r:id="rId88" ref="CK4"/>
    <hyperlink r:id="rId89" ref="CL4"/>
    <hyperlink r:id="rId90" ref="CM4"/>
    <hyperlink r:id="rId91" ref="CN4"/>
    <hyperlink r:id="rId92" ref="CO4"/>
    <hyperlink r:id="rId93" ref="CP4"/>
    <hyperlink r:id="rId94" ref="CQ4"/>
    <hyperlink r:id="rId95" ref="CR4"/>
    <hyperlink r:id="rId96" ref="CS4"/>
    <hyperlink r:id="rId97" ref="CT4"/>
    <hyperlink r:id="rId98" ref="CU4"/>
    <hyperlink r:id="rId99" ref="CV4"/>
    <hyperlink r:id="rId100" ref="CW4"/>
    <hyperlink r:id="rId101" ref="CX4"/>
    <hyperlink r:id="rId102" ref="CY4"/>
    <hyperlink r:id="rId103" ref="CZ4"/>
    <hyperlink r:id="rId104" ref="DA4"/>
    <hyperlink r:id="rId105" ref="DB4"/>
    <hyperlink r:id="rId106" ref="DC4"/>
    <hyperlink r:id="rId107" ref="DD4"/>
    <hyperlink r:id="rId108" ref="DE4"/>
    <hyperlink r:id="rId109" ref="DF4"/>
    <hyperlink r:id="rId110" ref="DG4"/>
    <hyperlink r:id="rId111" ref="DH4"/>
    <hyperlink r:id="rId112" ref="DI4"/>
    <hyperlink r:id="rId113" ref="DJ4"/>
    <hyperlink r:id="rId114" ref="DK4"/>
    <hyperlink r:id="rId115" ref="DL4"/>
    <hyperlink r:id="rId116" ref="DM4"/>
    <hyperlink r:id="rId117" ref="DN4"/>
    <hyperlink r:id="rId118" ref="DO4"/>
    <hyperlink r:id="rId119" ref="DP4"/>
    <hyperlink r:id="rId120" ref="DQ4"/>
    <hyperlink r:id="rId121" ref="DR4"/>
    <hyperlink r:id="rId122" ref="DS4"/>
    <hyperlink r:id="rId123" ref="DT4"/>
    <hyperlink r:id="rId124" ref="DU4"/>
    <hyperlink r:id="rId125" ref="DV4"/>
    <hyperlink r:id="rId126" ref="DW4"/>
    <hyperlink r:id="rId127" ref="DX4"/>
    <hyperlink r:id="rId128" ref="DY4"/>
    <hyperlink r:id="rId129" ref="DZ4"/>
    <hyperlink r:id="rId130" ref="EA4"/>
    <hyperlink r:id="rId131" ref="EB4"/>
    <hyperlink r:id="rId132" ref="EC4"/>
    <hyperlink r:id="rId133" ref="ED4"/>
    <hyperlink r:id="rId134" ref="EE4"/>
    <hyperlink r:id="rId135" ref="EF4"/>
    <hyperlink r:id="rId136" ref="EG4"/>
    <hyperlink r:id="rId137" ref="EH4"/>
    <hyperlink r:id="rId138" ref="EI4"/>
    <hyperlink r:id="rId139" ref="EJ4"/>
    <hyperlink r:id="rId140" ref="EK4"/>
    <hyperlink r:id="rId141" ref="EL4"/>
    <hyperlink r:id="rId142" ref="EM4"/>
    <hyperlink r:id="rId143" ref="EN4"/>
    <hyperlink r:id="rId144" ref="EO4"/>
    <hyperlink r:id="rId145" ref="EP4"/>
    <hyperlink r:id="rId146" ref="EQ4"/>
    <hyperlink r:id="rId147" ref="ER4"/>
    <hyperlink r:id="rId148" ref="ES4"/>
    <hyperlink r:id="rId149" ref="ET4"/>
    <hyperlink r:id="rId150" ref="EU4"/>
    <hyperlink r:id="rId151" ref="EV4"/>
    <hyperlink r:id="rId152" ref="EW4"/>
    <hyperlink r:id="rId153" ref="EX4"/>
    <hyperlink r:id="rId154" ref="EY4"/>
    <hyperlink r:id="rId155" ref="EZ4"/>
    <hyperlink r:id="rId156" ref="FA4"/>
    <hyperlink r:id="rId157" ref="FB4"/>
    <hyperlink r:id="rId158" ref="FC4"/>
    <hyperlink r:id="rId159" ref="FD4"/>
    <hyperlink r:id="rId160" ref="FE4"/>
    <hyperlink r:id="rId161" ref="FF4"/>
    <hyperlink r:id="rId162" ref="FG4"/>
    <hyperlink r:id="rId163" ref="FH4"/>
    <hyperlink r:id="rId164" ref="FI4"/>
    <hyperlink r:id="rId165" ref="FJ4"/>
    <hyperlink r:id="rId166" ref="FK4"/>
    <hyperlink r:id="rId167" ref="FL4"/>
    <hyperlink r:id="rId168" ref="FM4"/>
    <hyperlink r:id="rId169" ref="FN4"/>
    <hyperlink r:id="rId170" ref="FO4"/>
    <hyperlink r:id="rId171" ref="E5"/>
    <hyperlink r:id="rId172" ref="F5"/>
    <hyperlink r:id="rId173" ref="K5"/>
    <hyperlink r:id="rId174" ref="L5"/>
    <hyperlink r:id="rId175" ref="V5"/>
    <hyperlink r:id="rId176" ref="Y5"/>
    <hyperlink r:id="rId177" ref="Z5"/>
    <hyperlink r:id="rId178" ref="AB5"/>
    <hyperlink r:id="rId179" ref="AE5"/>
    <hyperlink r:id="rId180" ref="AF5"/>
    <hyperlink r:id="rId181" ref="AG5"/>
    <hyperlink r:id="rId182" ref="AH5"/>
    <hyperlink r:id="rId183" ref="AI5"/>
    <hyperlink r:id="rId184" ref="AJ5"/>
    <hyperlink r:id="rId185" ref="AL5"/>
    <hyperlink r:id="rId186" ref="AT5"/>
    <hyperlink r:id="rId187" ref="AX5"/>
    <hyperlink r:id="rId188" ref="BB5"/>
    <hyperlink r:id="rId189" ref="BD5"/>
    <hyperlink r:id="rId190" ref="BE5"/>
    <hyperlink r:id="rId191" ref="BF5"/>
    <hyperlink r:id="rId192" ref="BS5"/>
    <hyperlink r:id="rId193" ref="BT5"/>
    <hyperlink r:id="rId194" ref="BU5"/>
    <hyperlink r:id="rId195" ref="BV5"/>
    <hyperlink r:id="rId196" ref="BZ5"/>
    <hyperlink r:id="rId197" ref="CA5"/>
    <hyperlink r:id="rId198" ref="CB5"/>
    <hyperlink r:id="rId199" ref="CC5"/>
    <hyperlink r:id="rId200" ref="CD5"/>
    <hyperlink r:id="rId201" ref="CE5"/>
    <hyperlink r:id="rId202" ref="CG5"/>
    <hyperlink r:id="rId203" ref="CK5"/>
    <hyperlink r:id="rId204" ref="CN5"/>
    <hyperlink r:id="rId205" ref="CO5"/>
    <hyperlink r:id="rId206" ref="CS5"/>
    <hyperlink r:id="rId207" ref="CT5"/>
    <hyperlink r:id="rId208" ref="CV5"/>
    <hyperlink r:id="rId209" ref="CW5"/>
    <hyperlink r:id="rId210" ref="CZ5"/>
    <hyperlink r:id="rId211" ref="DD5"/>
    <hyperlink r:id="rId212" ref="DE5"/>
    <hyperlink r:id="rId213" ref="DF5"/>
    <hyperlink r:id="rId214" ref="DG5"/>
    <hyperlink r:id="rId215" ref="DH5"/>
    <hyperlink r:id="rId216" ref="DL5"/>
    <hyperlink r:id="rId217" ref="DO5"/>
    <hyperlink r:id="rId218" ref="DS5"/>
    <hyperlink r:id="rId219" ref="DT5"/>
    <hyperlink r:id="rId220" ref="DV5"/>
    <hyperlink r:id="rId221" ref="DW5"/>
    <hyperlink r:id="rId222" ref="EJ5"/>
    <hyperlink r:id="rId223" ref="EK5"/>
    <hyperlink r:id="rId224" ref="EL5"/>
    <hyperlink r:id="rId225" ref="EM5"/>
    <hyperlink r:id="rId226" ref="EN5"/>
    <hyperlink r:id="rId227" ref="EU5"/>
    <hyperlink r:id="rId228" ref="EV5"/>
    <hyperlink r:id="rId229" ref="EW5"/>
    <hyperlink r:id="rId230" ref="FA5"/>
    <hyperlink r:id="rId231" ref="FC5"/>
    <hyperlink r:id="rId232" ref="FF5"/>
    <hyperlink r:id="rId233" ref="FI5"/>
    <hyperlink r:id="rId234" ref="FJ5"/>
    <hyperlink r:id="rId235" ref="FK5"/>
  </hyperlinks>
  <drawing r:id="rId2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Col="1" outlineLevelRow="1"/>
  <cols>
    <col customWidth="1" min="1" max="1" width="2.13"/>
    <col collapsed="1" customWidth="1" min="2" max="2" width="15.88"/>
    <col customWidth="1" hidden="1" min="3" max="3" width="10.13" outlineLevel="1"/>
    <col customWidth="1" min="4" max="4" width="9.13"/>
    <col customWidth="1" min="5" max="5" width="11.0"/>
    <col customWidth="1" min="6" max="6" width="10.0"/>
    <col customWidth="1" min="7" max="7" width="31.13"/>
    <col customWidth="1" min="8" max="8" width="14.75"/>
    <col customWidth="1" min="9" max="9" width="11.13"/>
    <col customWidth="1" min="10" max="10" width="16.63"/>
    <col customWidth="1" min="11" max="11" width="41.25"/>
    <col customWidth="1" min="12" max="12" width="62.88"/>
  </cols>
  <sheetData>
    <row r="1">
      <c r="A1" s="5" t="str">
        <f>IFERROR(__xludf.DUMMYFUNCTION("importrange(""https://docs.google.com/spreadsheets/d/1mvA960mm3QaFyRdwkfIRxhE1UQJl45QEUTnDVxtxiIE/edit?usp=sharing"",""RecOrd!A1:l"" &amp; right(N1,4)*1)"),"")</f>
        <v/>
      </c>
      <c r="B1" s="111" t="str">
        <f>IFERROR(__xludf.DUMMYFUNCTION("""COMPUTED_VALUE"""),"Order Received Summary")</f>
        <v>Order Received Summary</v>
      </c>
      <c r="C1" s="30"/>
      <c r="D1" s="5"/>
      <c r="E1" s="5"/>
      <c r="F1" s="5"/>
      <c r="G1" s="30"/>
      <c r="H1" s="112"/>
      <c r="I1" s="30"/>
      <c r="J1" s="5"/>
      <c r="K1" s="5"/>
      <c r="L1" s="5"/>
      <c r="N1" s="22" t="str">
        <f>IFERROR(__xludf.DUMMYFUNCTION("importrange(""https://docs.google.com/spreadsheets/d/1mvA960mm3QaFyRdwkfIRxhE1UQJl45QEUTnDVxtxiIE/edit?usp=sharing"",""RecOrd!n1"")"),"Last row: 1422")</f>
        <v>Last row: 1422</v>
      </c>
    </row>
    <row r="2" collapsed="1">
      <c r="A2" s="5"/>
      <c r="B2" s="30"/>
      <c r="C2" s="30"/>
      <c r="D2" s="5"/>
      <c r="E2" s="5"/>
      <c r="F2" s="5"/>
      <c r="G2" s="30"/>
      <c r="H2" s="112"/>
      <c r="I2" s="30"/>
      <c r="J2" s="5"/>
      <c r="K2" s="5"/>
      <c r="L2" s="5"/>
    </row>
    <row r="3" hidden="1" outlineLevel="1">
      <c r="A3" s="5"/>
      <c r="B3" s="30"/>
      <c r="C3" s="30"/>
      <c r="D3" s="5"/>
      <c r="E3" s="5"/>
      <c r="F3" s="5"/>
      <c r="G3" s="30"/>
      <c r="H3" s="112"/>
      <c r="I3" s="30"/>
      <c r="J3" s="5"/>
      <c r="K3" s="5"/>
      <c r="L3" s="5"/>
    </row>
    <row r="4" hidden="1" outlineLevel="1">
      <c r="A4" s="5"/>
      <c r="B4" s="30"/>
      <c r="C4" s="30"/>
      <c r="D4" s="5"/>
      <c r="E4" s="5"/>
      <c r="F4" s="5"/>
      <c r="G4" s="30"/>
      <c r="H4" s="112"/>
      <c r="I4" s="30"/>
      <c r="J4" s="5"/>
      <c r="K4" s="5"/>
      <c r="L4" s="5"/>
    </row>
    <row r="5" collapsed="1">
      <c r="A5" s="113"/>
      <c r="B5" s="114" t="str">
        <f>IFERROR(__xludf.DUMMYFUNCTION("""COMPUTED_VALUE"""),"Timestamp")</f>
        <v>Timestamp</v>
      </c>
      <c r="C5" s="115" t="str">
        <f>IFERROR(__xludf.DUMMYFUNCTION("""COMPUTED_VALUE"""),"CTS Trade Date")</f>
        <v>CTS Trade Date</v>
      </c>
      <c r="D5" s="116" t="str">
        <f>IFERROR(__xludf.DUMMYFUNCTION("""COMPUTED_VALUE"""),"Acct #")</f>
        <v>Acct #</v>
      </c>
      <c r="E5" s="116" t="str">
        <f>IFERROR(__xludf.DUMMYFUNCTION("""COMPUTED_VALUE"""),"Select Asset Class")</f>
        <v>Select Asset Class</v>
      </c>
      <c r="F5" s="116" t="str">
        <f>IFERROR(__xludf.DUMMYFUNCTION("""COMPUTED_VALUE"""),"Exchg")</f>
        <v>Exchg</v>
      </c>
      <c r="G5" s="114" t="str">
        <f>IFERROR(__xludf.DUMMYFUNCTION("""COMPUTED_VALUE"""),"Non-school email address (short form)")</f>
        <v>Non-school email address (short form)</v>
      </c>
      <c r="H5" s="117" t="str">
        <f>IFERROR(__xludf.DUMMYFUNCTION("""COMPUTED_VALUE"""),"Ticker Symbol (Security Code)")</f>
        <v>Ticker Symbol (Security Code)</v>
      </c>
      <c r="I5" s="114" t="str">
        <f>IFERROR(__xludf.DUMMYFUNCTION("""COMPUTED_VALUE"""),"Quantity Submitted")</f>
        <v>Quantity Submitted</v>
      </c>
      <c r="J5" s="114" t="str">
        <f>IFERROR(__xludf.DUMMYFUNCTION("""COMPUTED_VALUE"""),"Limit Order's Limit Price (Market Order should leave blank)")</f>
        <v>Limit Order's Limit Price (Market Order should leave blank)</v>
      </c>
      <c r="K5" s="114" t="str">
        <f>IFERROR(__xludf.DUMMYFUNCTION("""COMPUTED_VALUE"""),"QTY, Limit Price &amp; Password Check")</f>
        <v>QTY, Limit Price &amp; Password Check</v>
      </c>
      <c r="L5" s="114" t="str">
        <f>IFERROR(__xludf.DUMMYFUNCTION("""COMPUTED_VALUE"""),"Comments to Prop Traders")</f>
        <v>Comments to Prop Traders</v>
      </c>
      <c r="M5" s="113"/>
      <c r="N5" s="113"/>
      <c r="O5" s="113"/>
      <c r="P5" s="113"/>
      <c r="Q5" s="113"/>
      <c r="R5" s="113"/>
      <c r="S5" s="113"/>
      <c r="T5" s="113"/>
      <c r="U5" s="113"/>
      <c r="V5" s="113"/>
      <c r="W5" s="113"/>
      <c r="X5" s="113"/>
      <c r="Y5" s="113"/>
      <c r="Z5" s="113"/>
    </row>
    <row r="6" hidden="1" outlineLevel="1">
      <c r="A6" s="5"/>
      <c r="B6" s="118">
        <f>IFERROR(__xludf.DUMMYFUNCTION("""COMPUTED_VALUE"""),44595.45756944444)</f>
        <v>44595.45757</v>
      </c>
      <c r="C6" s="30"/>
      <c r="D6" s="5" t="str">
        <f>IFERROR(__xludf.DUMMYFUNCTION("""COMPUTED_VALUE"""),"")</f>
        <v/>
      </c>
      <c r="E6" s="5" t="str">
        <f>IFERROR(__xludf.DUMMYFUNCTION("""COMPUTED_VALUE"""),"Time Deposit")</f>
        <v>Time Deposit</v>
      </c>
      <c r="F6" s="5" t="str">
        <f>IFERROR(__xludf.DUMMYFUNCTION("""COMPUTED_VALUE"""),"HKD")</f>
        <v>HKD</v>
      </c>
      <c r="G6" s="30"/>
      <c r="H6" s="119" t="str">
        <f>IFERROR(__xludf.DUMMYFUNCTION("""COMPUTED_VALUE"""),"1m")</f>
        <v>1m</v>
      </c>
      <c r="I6" s="30"/>
      <c r="J6" s="30"/>
      <c r="K6" s="30"/>
      <c r="L6" s="30"/>
    </row>
    <row r="7" hidden="1" outlineLevel="1">
      <c r="A7" s="5"/>
      <c r="B7" s="118">
        <f>IFERROR(__xludf.DUMMYFUNCTION("""COMPUTED_VALUE"""),44595.45756944444)</f>
        <v>44595.45757</v>
      </c>
      <c r="C7" s="30"/>
      <c r="D7" s="5" t="str">
        <f>IFERROR(__xludf.DUMMYFUNCTION("""COMPUTED_VALUE"""),"TraderX")</f>
        <v>TraderX</v>
      </c>
      <c r="E7" s="5" t="str">
        <f>IFERROR(__xludf.DUMMYFUNCTION("""COMPUTED_VALUE"""),"Stock")</f>
        <v>Stock</v>
      </c>
      <c r="F7" s="5" t="str">
        <f>IFERROR(__xludf.DUMMYFUNCTION("""COMPUTED_VALUE"""),"USD")</f>
        <v>USD</v>
      </c>
      <c r="G7" s="30"/>
      <c r="H7" s="119" t="str">
        <f>IFERROR(__xludf.DUMMYFUNCTION("""COMPUTED_VALUE"""),"AMZN")</f>
        <v>AMZN</v>
      </c>
      <c r="I7" s="30"/>
      <c r="J7" s="30">
        <f>IFERROR(__xludf.DUMMYFUNCTION("""COMPUTED_VALUE"""),2800.0)</f>
        <v>2800</v>
      </c>
      <c r="K7" s="30"/>
      <c r="L7" s="30"/>
    </row>
    <row r="8">
      <c r="A8" s="5"/>
      <c r="B8" s="118">
        <f>IFERROR(__xludf.DUMMYFUNCTION("""COMPUTED_VALUE"""),44595.45756944444)</f>
        <v>44595.45757</v>
      </c>
      <c r="C8" s="120">
        <f>IFERROR(__xludf.DUMMYFUNCTION("""COMPUTED_VALUE"""),44595.666666666664)</f>
        <v>44595.66667</v>
      </c>
      <c r="D8" s="5" t="str">
        <f>IFERROR(__xludf.DUMMYFUNCTION("""COMPUTED_VALUE"""),"Steve")</f>
        <v>Steve</v>
      </c>
      <c r="E8" s="5" t="str">
        <f>IFERROR(__xludf.DUMMYFUNCTION("""COMPUTED_VALUE"""),"Stock")</f>
        <v>Stock</v>
      </c>
      <c r="F8" s="5" t="str">
        <f>IFERROR(__xludf.DUMMYFUNCTION("""COMPUTED_VALUE"""),"USD")</f>
        <v>USD</v>
      </c>
      <c r="G8" s="30"/>
      <c r="H8" s="119" t="str">
        <f>IFERROR(__xludf.DUMMYFUNCTION("""COMPUTED_VALUE"""),"AMZN")</f>
        <v>AMZN</v>
      </c>
      <c r="I8" s="30"/>
      <c r="J8" s="30">
        <f>IFERROR(__xludf.DUMMYFUNCTION("""COMPUTED_VALUE"""),2800.0)</f>
        <v>2800</v>
      </c>
      <c r="K8" s="30"/>
      <c r="L8" s="30"/>
    </row>
    <row r="9">
      <c r="A9" s="5"/>
      <c r="B9" s="118">
        <f>IFERROR(__xludf.DUMMYFUNCTION("""COMPUTED_VALUE"""),44599.51728670139)</f>
        <v>44599.51729</v>
      </c>
      <c r="C9" s="120">
        <f>IFERROR(__xludf.DUMMYFUNCTION("""COMPUTED_VALUE"""),44599.666666666664)</f>
        <v>44599.66667</v>
      </c>
      <c r="D9" s="5" t="str">
        <f>IFERROR(__xludf.DUMMYFUNCTION("""COMPUTED_VALUE"""),"46220")</f>
        <v>46220</v>
      </c>
      <c r="E9" s="5" t="str">
        <f>IFERROR(__xludf.DUMMYFUNCTION("""COMPUTED_VALUE"""),"Stock")</f>
        <v>Stock</v>
      </c>
      <c r="F9" s="5" t="str">
        <f>IFERROR(__xludf.DUMMYFUNCTION("""COMPUTED_VALUE"""),"USD")</f>
        <v>USD</v>
      </c>
      <c r="G9" s="30" t="str">
        <f>IFERROR(__xludf.DUMMYFUNCTION("""COMPUTED_VALUE"""),"Email Account/ TraderID Recognized")</f>
        <v>Email Account/ TraderID Recognized</v>
      </c>
      <c r="H9" s="119" t="str">
        <f>IFERROR(__xludf.DUMMYFUNCTION("""COMPUTED_VALUE"""),"FB")</f>
        <v>FB</v>
      </c>
      <c r="I9" s="30">
        <f>IFERROR(__xludf.DUMMYFUNCTION("""COMPUTED_VALUE"""),25.0)</f>
        <v>25</v>
      </c>
      <c r="J9" s="30">
        <f>IFERROR(__xludf.DUMMYFUNCTION("""COMPUTED_VALUE"""),255.0)</f>
        <v>255</v>
      </c>
      <c r="K9" s="30" t="str">
        <f>IFERROR(__xludf.DUMMYFUNCTION("""COMPUTED_VALUE"""),"QTY, Limit Price (if any) &amp; Password input correct")</f>
        <v>QTY, Limit Price (if any) &amp; Password input correct</v>
      </c>
      <c r="L9" s="30" t="str">
        <f>IFERROR(__xludf.DUMMYFUNCTION("""COMPUTED_VALUE""")," Limit Buy @ 255 - Closing @ 250")</f>
        <v> Limit Buy @ 255 - Closing @ 250</v>
      </c>
    </row>
    <row r="10">
      <c r="A10" s="5"/>
      <c r="B10" s="118">
        <f>IFERROR(__xludf.DUMMYFUNCTION("""COMPUTED_VALUE"""),44599.59368859953)</f>
        <v>44599.59369</v>
      </c>
      <c r="C10" s="120">
        <f>IFERROR(__xludf.DUMMYFUNCTION("""COMPUTED_VALUE"""),44599.666666666664)</f>
        <v>44599.66667</v>
      </c>
      <c r="D10" s="5" t="str">
        <f>IFERROR(__xludf.DUMMYFUNCTION("""COMPUTED_VALUE"""),"76796")</f>
        <v>76796</v>
      </c>
      <c r="E10" s="5" t="str">
        <f>IFERROR(__xludf.DUMMYFUNCTION("""COMPUTED_VALUE"""),"Stock")</f>
        <v>Stock</v>
      </c>
      <c r="F10" s="5" t="str">
        <f>IFERROR(__xludf.DUMMYFUNCTION("""COMPUTED_VALUE"""),"USD")</f>
        <v>USD</v>
      </c>
      <c r="G10" s="30" t="str">
        <f>IFERROR(__xludf.DUMMYFUNCTION("""COMPUTED_VALUE"""),"Email Account/ TraderID Recognized")</f>
        <v>Email Account/ TraderID Recognized</v>
      </c>
      <c r="H10" s="119" t="str">
        <f>IFERROR(__xludf.DUMMYFUNCTION("""COMPUTED_VALUE"""),"TSLA")</f>
        <v>TSLA</v>
      </c>
      <c r="I10" s="30">
        <f>IFERROR(__xludf.DUMMYFUNCTION("""COMPUTED_VALUE"""),1000.0)</f>
        <v>1000</v>
      </c>
      <c r="J10" s="30"/>
      <c r="K10" s="30" t="str">
        <f>IFERROR(__xludf.DUMMYFUNCTION("""COMPUTED_VALUE"""),"QTY, Limit Price (if any) &amp; Password input correct")</f>
        <v>QTY, Limit Price (if any) &amp; Password input correct</v>
      </c>
      <c r="L10" s="30" t="str">
        <f>IFERROR(__xludf.DUMMYFUNCTION("""COMPUTED_VALUE"""),"Order rejected due to insufficient cash.")</f>
        <v>Order rejected due to insufficient cash.</v>
      </c>
    </row>
    <row r="11">
      <c r="A11" s="5"/>
      <c r="B11" s="118">
        <f>IFERROR(__xludf.DUMMYFUNCTION("""COMPUTED_VALUE"""),44599.6434687963)</f>
        <v>44599.64347</v>
      </c>
      <c r="C11" s="120">
        <f>IFERROR(__xludf.DUMMYFUNCTION("""COMPUTED_VALUE"""),44599.666666666664)</f>
        <v>44599.66667</v>
      </c>
      <c r="D11" s="5" t="str">
        <f>IFERROR(__xludf.DUMMYFUNCTION("""COMPUTED_VALUE"""),"36903")</f>
        <v>36903</v>
      </c>
      <c r="E11" s="5" t="str">
        <f>IFERROR(__xludf.DUMMYFUNCTION("""COMPUTED_VALUE"""),"Stock")</f>
        <v>Stock</v>
      </c>
      <c r="F11" s="5" t="str">
        <f>IFERROR(__xludf.DUMMYFUNCTION("""COMPUTED_VALUE"""),"USD")</f>
        <v>USD</v>
      </c>
      <c r="G11" s="30" t="str">
        <f>IFERROR(__xludf.DUMMYFUNCTION("""COMPUTED_VALUE"""),"Email Account/ TraderID Recognized")</f>
        <v>Email Account/ TraderID Recognized</v>
      </c>
      <c r="H11" s="119" t="str">
        <f>IFERROR(__xludf.DUMMYFUNCTION("""COMPUTED_VALUE"""),"FB")</f>
        <v>FB</v>
      </c>
      <c r="I11" s="30">
        <f>IFERROR(__xludf.DUMMYFUNCTION("""COMPUTED_VALUE"""),50.0)</f>
        <v>50</v>
      </c>
      <c r="J11" s="30">
        <f>IFERROR(__xludf.DUMMYFUNCTION("""COMPUTED_VALUE"""),240.0)</f>
        <v>240</v>
      </c>
      <c r="K11" s="30" t="str">
        <f>IFERROR(__xludf.DUMMYFUNCTION("""COMPUTED_VALUE"""),"QTY, Limit Price (if any) &amp; Password input correct")</f>
        <v>QTY, Limit Price (if any) &amp; Password input correct</v>
      </c>
      <c r="L11" s="30"/>
    </row>
    <row r="12">
      <c r="A12" s="5"/>
      <c r="B12" s="118">
        <f>IFERROR(__xludf.DUMMYFUNCTION("""COMPUTED_VALUE"""),44599.69635416667)</f>
        <v>44599.69635</v>
      </c>
      <c r="C12" s="120">
        <f>IFERROR(__xludf.DUMMYFUNCTION("""COMPUTED_VALUE"""),44600.666666666664)</f>
        <v>44600.66667</v>
      </c>
      <c r="D12" s="5" t="str">
        <f>IFERROR(__xludf.DUMMYFUNCTION("""COMPUTED_VALUE"""),"39296")</f>
        <v>39296</v>
      </c>
      <c r="E12" s="5" t="str">
        <f>IFERROR(__xludf.DUMMYFUNCTION("""COMPUTED_VALUE"""),"Stock")</f>
        <v>Stock</v>
      </c>
      <c r="F12" s="5" t="str">
        <f>IFERROR(__xludf.DUMMYFUNCTION("""COMPUTED_VALUE"""),"HKD")</f>
        <v>HKD</v>
      </c>
      <c r="G12" s="30" t="str">
        <f>IFERROR(__xludf.DUMMYFUNCTION("""COMPUTED_VALUE"""),"Email Account/ TraderID Recognized")</f>
        <v>Email Account/ TraderID Recognized</v>
      </c>
      <c r="H12" s="121" t="str">
        <f>IFERROR(__xludf.DUMMYFUNCTION("""COMPUTED_VALUE"""),"0700.HK")</f>
        <v>0700.HK</v>
      </c>
      <c r="I12" s="30">
        <f>IFERROR(__xludf.DUMMYFUNCTION("""COMPUTED_VALUE"""),1000.0)</f>
        <v>1000</v>
      </c>
      <c r="J12" s="30"/>
      <c r="K12" s="30" t="str">
        <f>IFERROR(__xludf.DUMMYFUNCTION("""COMPUTED_VALUE"""),"QTY, Limit Price (if any) &amp; Password input correct")</f>
        <v>QTY, Limit Price (if any) &amp; Password input correct</v>
      </c>
      <c r="L12" s="30"/>
    </row>
    <row r="13">
      <c r="A13" s="5"/>
      <c r="B13" s="118">
        <f>IFERROR(__xludf.DUMMYFUNCTION("""COMPUTED_VALUE"""),44600.59630210648)</f>
        <v>44600.5963</v>
      </c>
      <c r="C13" s="120" t="str">
        <f>IFERROR(__xludf.DUMMYFUNCTION("""COMPUTED_VALUE"""),"")</f>
        <v/>
      </c>
      <c r="D13" s="5" t="str">
        <f>IFERROR(__xludf.DUMMYFUNCTION("""COMPUTED_VALUE"""),"46220")</f>
        <v>46220</v>
      </c>
      <c r="E13" s="5" t="str">
        <f>IFERROR(__xludf.DUMMYFUNCTION("""COMPUTED_VALUE"""),"Stock")</f>
        <v>Stock</v>
      </c>
      <c r="F13" s="5" t="str">
        <f>IFERROR(__xludf.DUMMYFUNCTION("""COMPUTED_VALUE"""),"error")</f>
        <v>error</v>
      </c>
      <c r="G13" s="30" t="str">
        <f>IFERROR(__xludf.DUMMYFUNCTION("""COMPUTED_VALUE"""),"Email Account/ TraderID Recognized")</f>
        <v>Email Account/ TraderID Recognized</v>
      </c>
      <c r="H13" s="119" t="str">
        <f>IFERROR(__xludf.DUMMYFUNCTION("""COMPUTED_VALUE"""),"US:FB")</f>
        <v>US:FB</v>
      </c>
      <c r="I13" s="30">
        <f>IFERROR(__xludf.DUMMYFUNCTION("""COMPUTED_VALUE"""),25.0)</f>
        <v>25</v>
      </c>
      <c r="J13" s="30"/>
      <c r="K13" s="30" t="str">
        <f>IFERROR(__xludf.DUMMYFUNCTION("""COMPUTED_VALUE"""),"QTY, Limit Price (if any) &amp; Password input correct")</f>
        <v>QTY, Limit Price (if any) &amp; Password input correct</v>
      </c>
      <c r="L13" s="30" t="str">
        <f>IFERROR(__xludf.DUMMYFUNCTION("""COMPUTED_VALUE"""),"Order rejected due to wrong ticker code. just need to type in FB")</f>
        <v>Order rejected due to wrong ticker code. just need to type in FB</v>
      </c>
    </row>
    <row r="14">
      <c r="A14" s="5"/>
      <c r="B14" s="118">
        <f>IFERROR(__xludf.DUMMYFUNCTION("""COMPUTED_VALUE"""),44600.600024618056)</f>
        <v>44600.60002</v>
      </c>
      <c r="C14" s="120">
        <f>IFERROR(__xludf.DUMMYFUNCTION("""COMPUTED_VALUE"""),44600.666666666664)</f>
        <v>44600.66667</v>
      </c>
      <c r="D14" s="5" t="str">
        <f>IFERROR(__xludf.DUMMYFUNCTION("""COMPUTED_VALUE"""),"46220")</f>
        <v>46220</v>
      </c>
      <c r="E14" s="5" t="str">
        <f>IFERROR(__xludf.DUMMYFUNCTION("""COMPUTED_VALUE"""),"Stock")</f>
        <v>Stock</v>
      </c>
      <c r="F14" s="5" t="str">
        <f>IFERROR(__xludf.DUMMYFUNCTION("""COMPUTED_VALUE"""),"HKD")</f>
        <v>HKD</v>
      </c>
      <c r="G14" s="30" t="str">
        <f>IFERROR(__xludf.DUMMYFUNCTION("""COMPUTED_VALUE"""),"Email Account/ TraderID Recognized")</f>
        <v>Email Account/ TraderID Recognized</v>
      </c>
      <c r="H14" s="121" t="str">
        <f>IFERROR(__xludf.DUMMYFUNCTION("""COMPUTED_VALUE"""),"0883.HK")</f>
        <v>0883.HK</v>
      </c>
      <c r="I14" s="30">
        <f>IFERROR(__xludf.DUMMYFUNCTION("""COMPUTED_VALUE"""),20.0)</f>
        <v>20</v>
      </c>
      <c r="J14" s="30"/>
      <c r="K14" s="30" t="str">
        <f>IFERROR(__xludf.DUMMYFUNCTION("""COMPUTED_VALUE"""),"QTY, Limit Price (if any) &amp; Password input correct")</f>
        <v>QTY, Limit Price (if any) &amp; Password input correct</v>
      </c>
      <c r="L14" s="30"/>
    </row>
    <row r="15">
      <c r="A15" s="5"/>
      <c r="B15" s="118">
        <f>IFERROR(__xludf.DUMMYFUNCTION("""COMPUTED_VALUE"""),44600.60208633102)</f>
        <v>44600.60209</v>
      </c>
      <c r="C15" s="120">
        <f>IFERROR(__xludf.DUMMYFUNCTION("""COMPUTED_VALUE"""),44600.666666666664)</f>
        <v>44600.66667</v>
      </c>
      <c r="D15" s="5" t="str">
        <f>IFERROR(__xludf.DUMMYFUNCTION("""COMPUTED_VALUE"""),"46220")</f>
        <v>46220</v>
      </c>
      <c r="E15" s="5" t="str">
        <f>IFERROR(__xludf.DUMMYFUNCTION("""COMPUTED_VALUE"""),"Stock")</f>
        <v>Stock</v>
      </c>
      <c r="F15" s="5" t="str">
        <f>IFERROR(__xludf.DUMMYFUNCTION("""COMPUTED_VALUE"""),"USD")</f>
        <v>USD</v>
      </c>
      <c r="G15" s="30" t="str">
        <f>IFERROR(__xludf.DUMMYFUNCTION("""COMPUTED_VALUE"""),"Email Account/ TraderID Recognized")</f>
        <v>Email Account/ TraderID Recognized</v>
      </c>
      <c r="H15" s="119" t="str">
        <f>IFERROR(__xludf.DUMMYFUNCTION("""COMPUTED_VALUE"""),"FB")</f>
        <v>FB</v>
      </c>
      <c r="I15" s="30">
        <f>IFERROR(__xludf.DUMMYFUNCTION("""COMPUTED_VALUE"""),20.0)</f>
        <v>20</v>
      </c>
      <c r="J15" s="30"/>
      <c r="K15" s="30" t="str">
        <f>IFERROR(__xludf.DUMMYFUNCTION("""COMPUTED_VALUE"""),"QTY, Limit Price (if any) &amp; Password input correct")</f>
        <v>QTY, Limit Price (if any) &amp; Password input correct</v>
      </c>
      <c r="L15" s="30"/>
    </row>
    <row r="16">
      <c r="A16" s="5"/>
      <c r="B16" s="118">
        <f>IFERROR(__xludf.DUMMYFUNCTION("""COMPUTED_VALUE"""),44600.62530726852)</f>
        <v>44600.62531</v>
      </c>
      <c r="C16" s="120">
        <f>IFERROR(__xludf.DUMMYFUNCTION("""COMPUTED_VALUE"""),44600.666666666664)</f>
        <v>44600.66667</v>
      </c>
      <c r="D16" s="5" t="str">
        <f>IFERROR(__xludf.DUMMYFUNCTION("""COMPUTED_VALUE"""),"46699")</f>
        <v>46699</v>
      </c>
      <c r="E16" s="5" t="str">
        <f>IFERROR(__xludf.DUMMYFUNCTION("""COMPUTED_VALUE"""),"Stock")</f>
        <v>Stock</v>
      </c>
      <c r="F16" s="5" t="str">
        <f>IFERROR(__xludf.DUMMYFUNCTION("""COMPUTED_VALUE"""),"USD")</f>
        <v>USD</v>
      </c>
      <c r="G16" s="30" t="str">
        <f>IFERROR(__xludf.DUMMYFUNCTION("""COMPUTED_VALUE"""),"Email Account/ TraderID Recognized")</f>
        <v>Email Account/ TraderID Recognized</v>
      </c>
      <c r="H16" s="119" t="str">
        <f>IFERROR(__xludf.DUMMYFUNCTION("""COMPUTED_VALUE"""),"AAPL")</f>
        <v>AAPL</v>
      </c>
      <c r="I16" s="30">
        <f>IFERROR(__xludf.DUMMYFUNCTION("""COMPUTED_VALUE"""),20.0)</f>
        <v>20</v>
      </c>
      <c r="J16" s="30"/>
      <c r="K16" s="30" t="str">
        <f>IFERROR(__xludf.DUMMYFUNCTION("""COMPUTED_VALUE"""),"QTY, Limit Price (if any) &amp; Password input correct")</f>
        <v>QTY, Limit Price (if any) &amp; Password input correct</v>
      </c>
      <c r="L16" s="30"/>
    </row>
    <row r="17">
      <c r="A17" s="5"/>
      <c r="B17" s="118">
        <f>IFERROR(__xludf.DUMMYFUNCTION("""COMPUTED_VALUE"""),44600.68552784722)</f>
        <v>44600.68553</v>
      </c>
      <c r="C17" s="120">
        <f>IFERROR(__xludf.DUMMYFUNCTION("""COMPUTED_VALUE"""),44600.666666666664)</f>
        <v>44600.66667</v>
      </c>
      <c r="D17" s="5" t="str">
        <f>IFERROR(__xludf.DUMMYFUNCTION("""COMPUTED_VALUE"""),"45969")</f>
        <v>45969</v>
      </c>
      <c r="E17" s="5" t="str">
        <f>IFERROR(__xludf.DUMMYFUNCTION("""COMPUTED_VALUE"""),"Option")</f>
        <v>Option</v>
      </c>
      <c r="F17" s="5" t="str">
        <f>IFERROR(__xludf.DUMMYFUNCTION("""COMPUTED_VALUE"""),"USD")</f>
        <v>USD</v>
      </c>
      <c r="G17" s="30" t="str">
        <f>IFERROR(__xludf.DUMMYFUNCTION("""COMPUTED_VALUE"""),"Email Account/ TraderID Recognized")</f>
        <v>Email Account/ TraderID Recognized</v>
      </c>
      <c r="H17" s="119" t="str">
        <f>IFERROR(__xludf.DUMMYFUNCTION("""COMPUTED_VALUE"""),"BILI220318P00040000")</f>
        <v>BILI220318P00040000</v>
      </c>
      <c r="I17" s="30">
        <f>IFERROR(__xludf.DUMMYFUNCTION("""COMPUTED_VALUE"""),7.0)</f>
        <v>7</v>
      </c>
      <c r="J17" s="30"/>
      <c r="K17" s="30" t="str">
        <f>IFERROR(__xludf.DUMMYFUNCTION("""COMPUTED_VALUE"""),"QTY, Limit Price (if any) &amp; Password input correct")</f>
        <v>QTY, Limit Price (if any) &amp; Password input correct</v>
      </c>
      <c r="L17" s="30"/>
    </row>
    <row r="18">
      <c r="A18" s="5"/>
      <c r="B18" s="118">
        <f>IFERROR(__xludf.DUMMYFUNCTION("""COMPUTED_VALUE"""),44600.693538946754)</f>
        <v>44600.69354</v>
      </c>
      <c r="C18" s="120">
        <f>IFERROR(__xludf.DUMMYFUNCTION("""COMPUTED_VALUE"""),44600.666666666664)</f>
        <v>44600.66667</v>
      </c>
      <c r="D18" s="5" t="str">
        <f>IFERROR(__xludf.DUMMYFUNCTION("""COMPUTED_VALUE"""),"45969")</f>
        <v>45969</v>
      </c>
      <c r="E18" s="5" t="str">
        <f>IFERROR(__xludf.DUMMYFUNCTION("""COMPUTED_VALUE"""),"Option")</f>
        <v>Option</v>
      </c>
      <c r="F18" s="5" t="str">
        <f>IFERROR(__xludf.DUMMYFUNCTION("""COMPUTED_VALUE"""),"USD")</f>
        <v>USD</v>
      </c>
      <c r="G18" s="30" t="str">
        <f>IFERROR(__xludf.DUMMYFUNCTION("""COMPUTED_VALUE"""),"Email Account/ TraderID Recognized")</f>
        <v>Email Account/ TraderID Recognized</v>
      </c>
      <c r="H18" s="119" t="str">
        <f>IFERROR(__xludf.DUMMYFUNCTION("""COMPUTED_VALUE"""),"FB220325P00210000")</f>
        <v>FB220325P00210000</v>
      </c>
      <c r="I18" s="30">
        <f>IFERROR(__xludf.DUMMYFUNCTION("""COMPUTED_VALUE"""),16.0)</f>
        <v>16</v>
      </c>
      <c r="J18" s="30"/>
      <c r="K18" s="30" t="str">
        <f>IFERROR(__xludf.DUMMYFUNCTION("""COMPUTED_VALUE"""),"QTY, Limit Price (if any) &amp; Password input correct")</f>
        <v>QTY, Limit Price (if any) &amp; Password input correct</v>
      </c>
      <c r="L18" s="30"/>
    </row>
    <row r="19">
      <c r="A19" s="5"/>
      <c r="B19" s="118">
        <f>IFERROR(__xludf.DUMMYFUNCTION("""COMPUTED_VALUE"""),44600.88722618055)</f>
        <v>44600.88723</v>
      </c>
      <c r="C19" s="120">
        <f>IFERROR(__xludf.DUMMYFUNCTION("""COMPUTED_VALUE"""),44600.666666666664)</f>
        <v>44600.66667</v>
      </c>
      <c r="D19" s="5" t="str">
        <f>IFERROR(__xludf.DUMMYFUNCTION("""COMPUTED_VALUE"""),"45969")</f>
        <v>45969</v>
      </c>
      <c r="E19" s="5" t="str">
        <f>IFERROR(__xludf.DUMMYFUNCTION("""COMPUTED_VALUE"""),"Option")</f>
        <v>Option</v>
      </c>
      <c r="F19" s="5" t="str">
        <f>IFERROR(__xludf.DUMMYFUNCTION("""COMPUTED_VALUE"""),"USD")</f>
        <v>USD</v>
      </c>
      <c r="G19" s="30" t="str">
        <f>IFERROR(__xludf.DUMMYFUNCTION("""COMPUTED_VALUE"""),"Email Account/ TraderID Recognized")</f>
        <v>Email Account/ TraderID Recognized</v>
      </c>
      <c r="H19" s="119" t="str">
        <f>IFERROR(__xludf.DUMMYFUNCTION("""COMPUTED_VALUE"""),"BAC220325C00045000")</f>
        <v>BAC220325C00045000</v>
      </c>
      <c r="I19" s="30">
        <f>IFERROR(__xludf.DUMMYFUNCTION("""COMPUTED_VALUE"""),30.0)</f>
        <v>30</v>
      </c>
      <c r="J19" s="30"/>
      <c r="K19" s="30" t="str">
        <f>IFERROR(__xludf.DUMMYFUNCTION("""COMPUTED_VALUE"""),"QTY, Limit Price (if any) &amp; Password input correct")</f>
        <v>QTY, Limit Price (if any) &amp; Password input correct</v>
      </c>
      <c r="L19" s="30"/>
    </row>
    <row r="20">
      <c r="A20" s="5"/>
      <c r="B20" s="118">
        <f>IFERROR(__xludf.DUMMYFUNCTION("""COMPUTED_VALUE"""),44601.38967805555)</f>
        <v>44601.38968</v>
      </c>
      <c r="C20" s="120">
        <f>IFERROR(__xludf.DUMMYFUNCTION("""COMPUTED_VALUE"""),44601.666666666664)</f>
        <v>44601.66667</v>
      </c>
      <c r="D20" s="5" t="str">
        <f>IFERROR(__xludf.DUMMYFUNCTION("""COMPUTED_VALUE"""),"89750")</f>
        <v>89750</v>
      </c>
      <c r="E20" s="5" t="str">
        <f>IFERROR(__xludf.DUMMYFUNCTION("""COMPUTED_VALUE"""),"Stock")</f>
        <v>Stock</v>
      </c>
      <c r="F20" s="5" t="str">
        <f>IFERROR(__xludf.DUMMYFUNCTION("""COMPUTED_VALUE"""),"HKD")</f>
        <v>HKD</v>
      </c>
      <c r="G20" s="30" t="str">
        <f>IFERROR(__xludf.DUMMYFUNCTION("""COMPUTED_VALUE"""),"Email Account/ TraderID Recognized")</f>
        <v>Email Account/ TraderID Recognized</v>
      </c>
      <c r="H20" s="121" t="str">
        <f>IFERROR(__xludf.DUMMYFUNCTION("""COMPUTED_VALUE"""),"9698.HK")</f>
        <v>9698.HK</v>
      </c>
      <c r="I20" s="30">
        <f>IFERROR(__xludf.DUMMYFUNCTION("""COMPUTED_VALUE"""),10000.0)</f>
        <v>10000</v>
      </c>
      <c r="J20" s="30">
        <f>IFERROR(__xludf.DUMMYFUNCTION("""COMPUTED_VALUE"""),37.6)</f>
        <v>37.6</v>
      </c>
      <c r="K20" s="30" t="str">
        <f>IFERROR(__xludf.DUMMYFUNCTION("""COMPUTED_VALUE"""),"QTY, Limit Price (if any) &amp; Password input correct")</f>
        <v>QTY, Limit Price (if any) &amp; Password input correct</v>
      </c>
      <c r="L20" s="30"/>
    </row>
    <row r="21">
      <c r="A21" s="5"/>
      <c r="B21" s="118">
        <f>IFERROR(__xludf.DUMMYFUNCTION("""COMPUTED_VALUE"""),44601.39401930556)</f>
        <v>44601.39402</v>
      </c>
      <c r="C21" s="120">
        <f>IFERROR(__xludf.DUMMYFUNCTION("""COMPUTED_VALUE"""),44601.666666666664)</f>
        <v>44601.66667</v>
      </c>
      <c r="D21" s="5" t="str">
        <f>IFERROR(__xludf.DUMMYFUNCTION("""COMPUTED_VALUE"""),"89750")</f>
        <v>89750</v>
      </c>
      <c r="E21" s="5" t="str">
        <f>IFERROR(__xludf.DUMMYFUNCTION("""COMPUTED_VALUE"""),"Stock")</f>
        <v>Stock</v>
      </c>
      <c r="F21" s="5" t="str">
        <f>IFERROR(__xludf.DUMMYFUNCTION("""COMPUTED_VALUE"""),"HKD")</f>
        <v>HKD</v>
      </c>
      <c r="G21" s="30" t="str">
        <f>IFERROR(__xludf.DUMMYFUNCTION("""COMPUTED_VALUE"""),"Email Account/ TraderID Recognized")</f>
        <v>Email Account/ TraderID Recognized</v>
      </c>
      <c r="H21" s="121" t="str">
        <f>IFERROR(__xludf.DUMMYFUNCTION("""COMPUTED_VALUE"""),"3690.HK")</f>
        <v>3690.HK</v>
      </c>
      <c r="I21" s="30">
        <f>IFERROR(__xludf.DUMMYFUNCTION("""COMPUTED_VALUE"""),500.0)</f>
        <v>500</v>
      </c>
      <c r="J21" s="30"/>
      <c r="K21" s="30" t="str">
        <f>IFERROR(__xludf.DUMMYFUNCTION("""COMPUTED_VALUE"""),"QTY, Limit Price (if any) &amp; Password input correct")</f>
        <v>QTY, Limit Price (if any) &amp; Password input correct</v>
      </c>
      <c r="L21" s="30"/>
    </row>
    <row r="22">
      <c r="A22" s="5"/>
      <c r="B22" s="118">
        <f>IFERROR(__xludf.DUMMYFUNCTION("""COMPUTED_VALUE"""),44601.39456681713)</f>
        <v>44601.39457</v>
      </c>
      <c r="C22" s="120">
        <f>IFERROR(__xludf.DUMMYFUNCTION("""COMPUTED_VALUE"""),44601.666666666664)</f>
        <v>44601.66667</v>
      </c>
      <c r="D22" s="5" t="str">
        <f>IFERROR(__xludf.DUMMYFUNCTION("""COMPUTED_VALUE"""),"89750")</f>
        <v>89750</v>
      </c>
      <c r="E22" s="5" t="str">
        <f>IFERROR(__xludf.DUMMYFUNCTION("""COMPUTED_VALUE"""),"Stock")</f>
        <v>Stock</v>
      </c>
      <c r="F22" s="5" t="str">
        <f>IFERROR(__xludf.DUMMYFUNCTION("""COMPUTED_VALUE"""),"HKD")</f>
        <v>HKD</v>
      </c>
      <c r="G22" s="30" t="str">
        <f>IFERROR(__xludf.DUMMYFUNCTION("""COMPUTED_VALUE"""),"Email Account/ TraderID Recognized")</f>
        <v>Email Account/ TraderID Recognized</v>
      </c>
      <c r="H22" s="121" t="str">
        <f>IFERROR(__xludf.DUMMYFUNCTION("""COMPUTED_VALUE"""),"9698.HK")</f>
        <v>9698.HK</v>
      </c>
      <c r="I22" s="30">
        <f>IFERROR(__xludf.DUMMYFUNCTION("""COMPUTED_VALUE"""),10000.0)</f>
        <v>10000</v>
      </c>
      <c r="J22" s="30"/>
      <c r="K22" s="30" t="str">
        <f>IFERROR(__xludf.DUMMYFUNCTION("""COMPUTED_VALUE"""),"QTY, Limit Price (if any) &amp; Password input correct")</f>
        <v>QTY, Limit Price (if any) &amp; Password input correct</v>
      </c>
      <c r="L22" s="30"/>
    </row>
    <row r="23">
      <c r="A23" s="5"/>
      <c r="B23" s="118">
        <f>IFERROR(__xludf.DUMMYFUNCTION("""COMPUTED_VALUE"""),44601.666887569445)</f>
        <v>44601.66689</v>
      </c>
      <c r="C23" s="120">
        <f>IFERROR(__xludf.DUMMYFUNCTION("""COMPUTED_VALUE"""),44601.666666666664)</f>
        <v>44601.66667</v>
      </c>
      <c r="D23" s="5" t="str">
        <f>IFERROR(__xludf.DUMMYFUNCTION("""COMPUTED_VALUE"""),"46220")</f>
        <v>46220</v>
      </c>
      <c r="E23" s="5" t="str">
        <f>IFERROR(__xludf.DUMMYFUNCTION("""COMPUTED_VALUE"""),"Stock")</f>
        <v>Stock</v>
      </c>
      <c r="F23" s="5" t="str">
        <f>IFERROR(__xludf.DUMMYFUNCTION("""COMPUTED_VALUE"""),"USD")</f>
        <v>USD</v>
      </c>
      <c r="G23" s="30" t="str">
        <f>IFERROR(__xludf.DUMMYFUNCTION("""COMPUTED_VALUE"""),"Email Account/ TraderID Recognized")</f>
        <v>Email Account/ TraderID Recognized</v>
      </c>
      <c r="H23" s="119" t="str">
        <f>IFERROR(__xludf.DUMMYFUNCTION("""COMPUTED_VALUE"""),"BTC-USD")</f>
        <v>BTC-USD</v>
      </c>
      <c r="I23" s="30">
        <f>IFERROR(__xludf.DUMMYFUNCTION("""COMPUTED_VALUE"""),5.0)</f>
        <v>5</v>
      </c>
      <c r="J23" s="30"/>
      <c r="K23" s="30" t="str">
        <f>IFERROR(__xludf.DUMMYFUNCTION("""COMPUTED_VALUE"""),"QTY, Limit Price (if any) &amp; Password input correct")</f>
        <v>QTY, Limit Price (if any) &amp; Password input correct</v>
      </c>
      <c r="L23" s="30" t="str">
        <f>IFERROR(__xludf.DUMMYFUNCTION("""COMPUTED_VALUE"""),"Order rejected due to insufficient cash. 1 BTC = 43k USD = 344,000HKD.")</f>
        <v>Order rejected due to insufficient cash. 1 BTC = 43k USD = 344,000HKD.</v>
      </c>
    </row>
    <row r="24">
      <c r="A24" s="5"/>
      <c r="B24" s="118">
        <f>IFERROR(__xludf.DUMMYFUNCTION("""COMPUTED_VALUE"""),44601.683584293976)</f>
        <v>44601.68358</v>
      </c>
      <c r="C24" s="120">
        <f>IFERROR(__xludf.DUMMYFUNCTION("""COMPUTED_VALUE"""),44601.666666666664)</f>
        <v>44601.66667</v>
      </c>
      <c r="D24" s="5" t="str">
        <f>IFERROR(__xludf.DUMMYFUNCTION("""COMPUTED_VALUE"""),"46220")</f>
        <v>46220</v>
      </c>
      <c r="E24" s="5" t="str">
        <f>IFERROR(__xludf.DUMMYFUNCTION("""COMPUTED_VALUE"""),"Stock")</f>
        <v>Stock</v>
      </c>
      <c r="F24" s="5" t="str">
        <f>IFERROR(__xludf.DUMMYFUNCTION("""COMPUTED_VALUE"""),"USD")</f>
        <v>USD</v>
      </c>
      <c r="G24" s="30" t="str">
        <f>IFERROR(__xludf.DUMMYFUNCTION("""COMPUTED_VALUE"""),"Email Account/ TraderID Recognized")</f>
        <v>Email Account/ TraderID Recognized</v>
      </c>
      <c r="H24" s="119" t="str">
        <f>IFERROR(__xludf.DUMMYFUNCTION("""COMPUTED_VALUE"""),"NFLX")</f>
        <v>NFLX</v>
      </c>
      <c r="I24" s="30">
        <f>IFERROR(__xludf.DUMMYFUNCTION("""COMPUTED_VALUE"""),15.0)</f>
        <v>15</v>
      </c>
      <c r="J24" s="30"/>
      <c r="K24" s="30" t="str">
        <f>IFERROR(__xludf.DUMMYFUNCTION("""COMPUTED_VALUE"""),"QTY, Limit Price (if any) &amp; Password input correct")</f>
        <v>QTY, Limit Price (if any) &amp; Password input correct</v>
      </c>
      <c r="L24" s="30"/>
    </row>
    <row r="25">
      <c r="A25" s="5"/>
      <c r="B25" s="118">
        <f>IFERROR(__xludf.DUMMYFUNCTION("""COMPUTED_VALUE"""),44601.69105793981)</f>
        <v>44601.69106</v>
      </c>
      <c r="C25" s="120">
        <f>IFERROR(__xludf.DUMMYFUNCTION("""COMPUTED_VALUE"""),44601.666666666664)</f>
        <v>44601.66667</v>
      </c>
      <c r="D25" s="5" t="str">
        <f>IFERROR(__xludf.DUMMYFUNCTION("""COMPUTED_VALUE"""),"76796")</f>
        <v>76796</v>
      </c>
      <c r="E25" s="5" t="str">
        <f>IFERROR(__xludf.DUMMYFUNCTION("""COMPUTED_VALUE"""),"Stock")</f>
        <v>Stock</v>
      </c>
      <c r="F25" s="5" t="str">
        <f>IFERROR(__xludf.DUMMYFUNCTION("""COMPUTED_VALUE"""),"USD")</f>
        <v>USD</v>
      </c>
      <c r="G25" s="30" t="str">
        <f>IFERROR(__xludf.DUMMYFUNCTION("""COMPUTED_VALUE"""),"Email Account/ TraderID Recognized")</f>
        <v>Email Account/ TraderID Recognized</v>
      </c>
      <c r="H25" s="119" t="str">
        <f>IFERROR(__xludf.DUMMYFUNCTION("""COMPUTED_VALUE"""),"MSFT")</f>
        <v>MSFT</v>
      </c>
      <c r="I25" s="30">
        <f>IFERROR(__xludf.DUMMYFUNCTION("""COMPUTED_VALUE"""),100.0)</f>
        <v>100</v>
      </c>
      <c r="J25" s="30"/>
      <c r="K25" s="30" t="str">
        <f>IFERROR(__xludf.DUMMYFUNCTION("""COMPUTED_VALUE"""),"QTY, Limit Price (if any) &amp; Password input correct")</f>
        <v>QTY, Limit Price (if any) &amp; Password input correct</v>
      </c>
      <c r="L25" s="30"/>
    </row>
    <row r="26">
      <c r="A26" s="5"/>
      <c r="B26" s="118">
        <f>IFERROR(__xludf.DUMMYFUNCTION("""COMPUTED_VALUE"""),44601.868654375)</f>
        <v>44601.86865</v>
      </c>
      <c r="C26" s="120" t="str">
        <f>IFERROR(__xludf.DUMMYFUNCTION("""COMPUTED_VALUE"""),"")</f>
        <v/>
      </c>
      <c r="D26" s="5" t="str">
        <f>IFERROR(__xludf.DUMMYFUNCTION("""COMPUTED_VALUE"""),"76975")</f>
        <v>76975</v>
      </c>
      <c r="E26" s="5" t="str">
        <f>IFERROR(__xludf.DUMMYFUNCTION("""COMPUTED_VALUE"""),"Stock")</f>
        <v>Stock</v>
      </c>
      <c r="F26" s="5" t="str">
        <f>IFERROR(__xludf.DUMMYFUNCTION("""COMPUTED_VALUE"""),"error")</f>
        <v>error</v>
      </c>
      <c r="G26" s="30" t="str">
        <f>IFERROR(__xludf.DUMMYFUNCTION("""COMPUTED_VALUE"""),"Email Account/ TraderID Recognized")</f>
        <v>Email Account/ TraderID Recognized</v>
      </c>
      <c r="H26" s="119" t="str">
        <f>IFERROR(__xludf.DUMMYFUNCTION("""COMPUTED_VALUE"""),"Tencent HK0700")</f>
        <v>Tencent HK0700</v>
      </c>
      <c r="I26" s="30">
        <f>IFERROR(__xludf.DUMMYFUNCTION("""COMPUTED_VALUE"""),207.13)</f>
        <v>207.13</v>
      </c>
      <c r="J26" s="30">
        <f>IFERROR(__xludf.DUMMYFUNCTION("""COMPUTED_VALUE"""),483.0)</f>
        <v>483</v>
      </c>
      <c r="K26" s="30" t="str">
        <f>IFERROR(__xludf.DUMMYFUNCTION("""COMPUTED_VALUE"""),"QTY, Limit Price (if any) &amp; Password input correct")</f>
        <v>QTY, Limit Price (if any) &amp; Password input correct</v>
      </c>
      <c r="L26" s="30" t="str">
        <f>IFERROR(__xludf.DUMMYFUNCTION("""COMPUTED_VALUE"""),"Order rejected due to wrong ticker code. just need to type in 0700.HK")</f>
        <v>Order rejected due to wrong ticker code. just need to type in 0700.HK</v>
      </c>
    </row>
    <row r="27">
      <c r="A27" s="5"/>
      <c r="B27" s="118">
        <f>IFERROR(__xludf.DUMMYFUNCTION("""COMPUTED_VALUE"""),44601.87523116898)</f>
        <v>44601.87523</v>
      </c>
      <c r="C27" s="120" t="str">
        <f>IFERROR(__xludf.DUMMYFUNCTION("""COMPUTED_VALUE"""),"")</f>
        <v/>
      </c>
      <c r="D27" s="5" t="str">
        <f>IFERROR(__xludf.DUMMYFUNCTION("""COMPUTED_VALUE"""),"73879")</f>
        <v>73879</v>
      </c>
      <c r="E27" s="5" t="str">
        <f>IFERROR(__xludf.DUMMYFUNCTION("""COMPUTED_VALUE"""),"Stock")</f>
        <v>Stock</v>
      </c>
      <c r="F27" s="5" t="str">
        <f>IFERROR(__xludf.DUMMYFUNCTION("""COMPUTED_VALUE"""),"error")</f>
        <v>error</v>
      </c>
      <c r="G27" s="30" t="str">
        <f>IFERROR(__xludf.DUMMYFUNCTION("""COMPUTED_VALUE"""),"Email Account/ TraderID Recognized")</f>
        <v>Email Account/ TraderID Recognized</v>
      </c>
      <c r="H27" s="119" t="str">
        <f>IFERROR(__xludf.DUMMYFUNCTION("""COMPUTED_VALUE"""),"Tencent HK0700")</f>
        <v>Tencent HK0700</v>
      </c>
      <c r="I27" s="30">
        <f>IFERROR(__xludf.DUMMYFUNCTION("""COMPUTED_VALUE"""),207.13)</f>
        <v>207.13</v>
      </c>
      <c r="J27" s="30">
        <f>IFERROR(__xludf.DUMMYFUNCTION("""COMPUTED_VALUE"""),483.0)</f>
        <v>483</v>
      </c>
      <c r="K27" s="30" t="str">
        <f>IFERROR(__xludf.DUMMYFUNCTION("""COMPUTED_VALUE"""),"QTY, Limit Price (if any) &amp; Password input correct")</f>
        <v>QTY, Limit Price (if any) &amp; Password input correct</v>
      </c>
      <c r="L27" s="30" t="str">
        <f>IFERROR(__xludf.DUMMYFUNCTION("""COMPUTED_VALUE"""),"Order rejected due to wrong ticker code. just need to type in 0700.HK")</f>
        <v>Order rejected due to wrong ticker code. just need to type in 0700.HK</v>
      </c>
    </row>
    <row r="28">
      <c r="A28" s="5"/>
      <c r="B28" s="118">
        <f>IFERROR(__xludf.DUMMYFUNCTION("""COMPUTED_VALUE"""),44601.87746201389)</f>
        <v>44601.87746</v>
      </c>
      <c r="C28" s="120">
        <f>IFERROR(__xludf.DUMMYFUNCTION("""COMPUTED_VALUE"""),44601.666666666664)</f>
        <v>44601.66667</v>
      </c>
      <c r="D28" s="5" t="str">
        <f>IFERROR(__xludf.DUMMYFUNCTION("""COMPUTED_VALUE"""),"36903")</f>
        <v>36903</v>
      </c>
      <c r="E28" s="5" t="str">
        <f>IFERROR(__xludf.DUMMYFUNCTION("""COMPUTED_VALUE"""),"Stock")</f>
        <v>Stock</v>
      </c>
      <c r="F28" s="5" t="str">
        <f>IFERROR(__xludf.DUMMYFUNCTION("""COMPUTED_VALUE"""),"USD")</f>
        <v>USD</v>
      </c>
      <c r="G28" s="30" t="str">
        <f>IFERROR(__xludf.DUMMYFUNCTION("""COMPUTED_VALUE"""),"Email Account/ TraderID Recognized")</f>
        <v>Email Account/ TraderID Recognized</v>
      </c>
      <c r="H28" s="119" t="str">
        <f>IFERROR(__xludf.DUMMYFUNCTION("""COMPUTED_VALUE"""),"FB")</f>
        <v>FB</v>
      </c>
      <c r="I28" s="30">
        <f>IFERROR(__xludf.DUMMYFUNCTION("""COMPUTED_VALUE"""),80.0)</f>
        <v>80</v>
      </c>
      <c r="J28" s="30"/>
      <c r="K28" s="30" t="str">
        <f>IFERROR(__xludf.DUMMYFUNCTION("""COMPUTED_VALUE"""),"QTY, Limit Price (if any) &amp; Password input correct")</f>
        <v>QTY, Limit Price (if any) &amp; Password input correct</v>
      </c>
      <c r="L28" s="30"/>
    </row>
    <row r="29">
      <c r="A29" s="5"/>
      <c r="B29" s="118">
        <f>IFERROR(__xludf.DUMMYFUNCTION("""COMPUTED_VALUE"""),44601.87861547453)</f>
        <v>44601.87862</v>
      </c>
      <c r="C29" s="120">
        <f>IFERROR(__xludf.DUMMYFUNCTION("""COMPUTED_VALUE"""),44601.666666666664)</f>
        <v>44601.66667</v>
      </c>
      <c r="D29" s="5" t="str">
        <f>IFERROR(__xludf.DUMMYFUNCTION("""COMPUTED_VALUE"""),"36903")</f>
        <v>36903</v>
      </c>
      <c r="E29" s="5" t="str">
        <f>IFERROR(__xludf.DUMMYFUNCTION("""COMPUTED_VALUE"""),"Stock")</f>
        <v>Stock</v>
      </c>
      <c r="F29" s="5" t="str">
        <f>IFERROR(__xludf.DUMMYFUNCTION("""COMPUTED_VALUE"""),"USD")</f>
        <v>USD</v>
      </c>
      <c r="G29" s="30" t="str">
        <f>IFERROR(__xludf.DUMMYFUNCTION("""COMPUTED_VALUE"""),"Email Account/ TraderID Recognized")</f>
        <v>Email Account/ TraderID Recognized</v>
      </c>
      <c r="H29" s="119" t="str">
        <f>IFERROR(__xludf.DUMMYFUNCTION("""COMPUTED_VALUE"""),"BMBL")</f>
        <v>BMBL</v>
      </c>
      <c r="I29" s="30">
        <f>IFERROR(__xludf.DUMMYFUNCTION("""COMPUTED_VALUE"""),500.0)</f>
        <v>500</v>
      </c>
      <c r="J29" s="30"/>
      <c r="K29" s="30" t="str">
        <f>IFERROR(__xludf.DUMMYFUNCTION("""COMPUTED_VALUE"""),"QTY, Limit Price (if any) &amp; Password input correct")</f>
        <v>QTY, Limit Price (if any) &amp; Password input correct</v>
      </c>
      <c r="L29" s="30"/>
    </row>
    <row r="30">
      <c r="A30" s="5"/>
      <c r="B30" s="118">
        <f>IFERROR(__xludf.DUMMYFUNCTION("""COMPUTED_VALUE"""),44601.89672059027)</f>
        <v>44601.89672</v>
      </c>
      <c r="C30" s="120">
        <f>IFERROR(__xludf.DUMMYFUNCTION("""COMPUTED_VALUE"""),44601.666666666664)</f>
        <v>44601.66667</v>
      </c>
      <c r="D30" s="5" t="str">
        <f>IFERROR(__xludf.DUMMYFUNCTION("""COMPUTED_VALUE"""),"36903")</f>
        <v>36903</v>
      </c>
      <c r="E30" s="5" t="str">
        <f>IFERROR(__xludf.DUMMYFUNCTION("""COMPUTED_VALUE"""),"Stock")</f>
        <v>Stock</v>
      </c>
      <c r="F30" s="5" t="str">
        <f>IFERROR(__xludf.DUMMYFUNCTION("""COMPUTED_VALUE"""),"USD")</f>
        <v>USD</v>
      </c>
      <c r="G30" s="30" t="str">
        <f>IFERROR(__xludf.DUMMYFUNCTION("""COMPUTED_VALUE"""),"Email Account/ TraderID Recognized")</f>
        <v>Email Account/ TraderID Recognized</v>
      </c>
      <c r="H30" s="119" t="str">
        <f>IFERROR(__xludf.DUMMYFUNCTION("""COMPUTED_VALUE"""),"NUSI")</f>
        <v>NUSI</v>
      </c>
      <c r="I30" s="30">
        <f>IFERROR(__xludf.DUMMYFUNCTION("""COMPUTED_VALUE"""),400.0)</f>
        <v>400</v>
      </c>
      <c r="J30" s="30"/>
      <c r="K30" s="30" t="str">
        <f>IFERROR(__xludf.DUMMYFUNCTION("""COMPUTED_VALUE"""),"QTY, Limit Price (if any) &amp; Password input correct")</f>
        <v>QTY, Limit Price (if any) &amp; Password input correct</v>
      </c>
      <c r="L30" s="30"/>
    </row>
    <row r="31">
      <c r="A31" s="5"/>
      <c r="B31" s="118">
        <f>IFERROR(__xludf.DUMMYFUNCTION("""COMPUTED_VALUE"""),44601.950145219904)</f>
        <v>44601.95015</v>
      </c>
      <c r="C31" s="120">
        <f>IFERROR(__xludf.DUMMYFUNCTION("""COMPUTED_VALUE"""),44601.666666666664)</f>
        <v>44601.66667</v>
      </c>
      <c r="D31" s="5" t="str">
        <f>IFERROR(__xludf.DUMMYFUNCTION("""COMPUTED_VALUE"""),"76975")</f>
        <v>76975</v>
      </c>
      <c r="E31" s="5" t="str">
        <f>IFERROR(__xludf.DUMMYFUNCTION("""COMPUTED_VALUE"""),"Stock")</f>
        <v>Stock</v>
      </c>
      <c r="F31" s="5" t="str">
        <f>IFERROR(__xludf.DUMMYFUNCTION("""COMPUTED_VALUE"""),"USD")</f>
        <v>USD</v>
      </c>
      <c r="G31" s="30" t="str">
        <f>IFERROR(__xludf.DUMMYFUNCTION("""COMPUTED_VALUE"""),"Email Account/ TraderID Recognized")</f>
        <v>Email Account/ TraderID Recognized</v>
      </c>
      <c r="H31" s="119" t="str">
        <f>IFERROR(__xludf.DUMMYFUNCTION("""COMPUTED_VALUE"""),"JD")</f>
        <v>JD</v>
      </c>
      <c r="I31" s="30">
        <f>IFERROR(__xludf.DUMMYFUNCTION("""COMPUTED_VALUE"""),1298.0)</f>
        <v>1298</v>
      </c>
      <c r="J31" s="30">
        <f>IFERROR(__xludf.DUMMYFUNCTION("""COMPUTED_VALUE"""),78.0)</f>
        <v>78</v>
      </c>
      <c r="K31" s="30" t="str">
        <f>IFERROR(__xludf.DUMMYFUNCTION("""COMPUTED_VALUE"""),"QTY, Limit Price (if any) &amp; Password input correct")</f>
        <v>QTY, Limit Price (if any) &amp; Password input correct</v>
      </c>
      <c r="L31" s="30"/>
    </row>
    <row r="32">
      <c r="A32" s="5"/>
      <c r="B32" s="118">
        <f>IFERROR(__xludf.DUMMYFUNCTION("""COMPUTED_VALUE"""),44602.00840277778)</f>
        <v>44602.0084</v>
      </c>
      <c r="C32" s="120">
        <f>IFERROR(__xludf.DUMMYFUNCTION("""COMPUTED_VALUE"""),44601.666666666664)</f>
        <v>44601.66667</v>
      </c>
      <c r="D32" s="5" t="str">
        <f>IFERROR(__xludf.DUMMYFUNCTION("""COMPUTED_VALUE"""),"89750")</f>
        <v>89750</v>
      </c>
      <c r="E32" s="5" t="str">
        <f>IFERROR(__xludf.DUMMYFUNCTION("""COMPUTED_VALUE"""),"Option")</f>
        <v>Option</v>
      </c>
      <c r="F32" s="5" t="str">
        <f>IFERROR(__xludf.DUMMYFUNCTION("""COMPUTED_VALUE"""),"USD")</f>
        <v>USD</v>
      </c>
      <c r="G32" s="30" t="str">
        <f>IFERROR(__xludf.DUMMYFUNCTION("""COMPUTED_VALUE"""),"Email Account/ TraderID Recognized")</f>
        <v>Email Account/ TraderID Recognized</v>
      </c>
      <c r="H32" s="119" t="str">
        <f>IFERROR(__xludf.DUMMYFUNCTION("""COMPUTED_VALUE"""),"SOXL220225C59000")</f>
        <v>SOXL220225C59000</v>
      </c>
      <c r="I32" s="30">
        <f>IFERROR(__xludf.DUMMYFUNCTION("""COMPUTED_VALUE"""),40.0)</f>
        <v>40</v>
      </c>
      <c r="J32" s="30"/>
      <c r="K32" s="30" t="str">
        <f>IFERROR(__xludf.DUMMYFUNCTION("""COMPUTED_VALUE"""),"QTY, Limit Price (if any) &amp; Password input correct")</f>
        <v>QTY, Limit Price (if any) &amp; Password input correct</v>
      </c>
      <c r="L32" s="30" t="str">
        <f>IFERROR(__xludf.DUMMYFUNCTION("""COMPUTED_VALUE"""),"SOXL220225C00059000 should be the right ticker, 3 zeros missing")</f>
        <v>SOXL220225C00059000 should be the right ticker, 3 zeros missing</v>
      </c>
    </row>
    <row r="33">
      <c r="A33" s="5"/>
      <c r="B33" s="118">
        <f>IFERROR(__xludf.DUMMYFUNCTION("""COMPUTED_VALUE"""),44602.02260416667)</f>
        <v>44602.0226</v>
      </c>
      <c r="C33" s="120">
        <f>IFERROR(__xludf.DUMMYFUNCTION("""COMPUTED_VALUE"""),44601.666666666664)</f>
        <v>44601.66667</v>
      </c>
      <c r="D33" s="5" t="str">
        <f>IFERROR(__xludf.DUMMYFUNCTION("""COMPUTED_VALUE"""),"75415")</f>
        <v>75415</v>
      </c>
      <c r="E33" s="5" t="str">
        <f>IFERROR(__xludf.DUMMYFUNCTION("""COMPUTED_VALUE"""),"Stock")</f>
        <v>Stock</v>
      </c>
      <c r="F33" s="5" t="str">
        <f>IFERROR(__xludf.DUMMYFUNCTION("""COMPUTED_VALUE"""),"USD")</f>
        <v>USD</v>
      </c>
      <c r="G33" s="30" t="str">
        <f>IFERROR(__xludf.DUMMYFUNCTION("""COMPUTED_VALUE"""),"Email Account/ TraderID Recognized")</f>
        <v>Email Account/ TraderID Recognized</v>
      </c>
      <c r="H33" s="119" t="str">
        <f>IFERROR(__xludf.DUMMYFUNCTION("""COMPUTED_VALUE"""),"GBTC")</f>
        <v>GBTC</v>
      </c>
      <c r="I33" s="30">
        <f>IFERROR(__xludf.DUMMYFUNCTION("""COMPUTED_VALUE"""),415.0)</f>
        <v>415</v>
      </c>
      <c r="J33" s="30"/>
      <c r="K33" s="30" t="str">
        <f>IFERROR(__xludf.DUMMYFUNCTION("""COMPUTED_VALUE"""),"QTY, Limit Price (if any) &amp; Password input correct")</f>
        <v>QTY, Limit Price (if any) &amp; Password input correct</v>
      </c>
      <c r="L33" s="30"/>
    </row>
    <row r="34">
      <c r="A34" s="5"/>
      <c r="B34" s="118">
        <f>IFERROR(__xludf.DUMMYFUNCTION("""COMPUTED_VALUE"""),44602.41340875)</f>
        <v>44602.41341</v>
      </c>
      <c r="C34" s="120">
        <f>IFERROR(__xludf.DUMMYFUNCTION("""COMPUTED_VALUE"""),44602.666666666664)</f>
        <v>44602.66667</v>
      </c>
      <c r="D34" s="5" t="str">
        <f>IFERROR(__xludf.DUMMYFUNCTION("""COMPUTED_VALUE"""),"89750")</f>
        <v>89750</v>
      </c>
      <c r="E34" s="5" t="str">
        <f>IFERROR(__xludf.DUMMYFUNCTION("""COMPUTED_VALUE"""),"Stock")</f>
        <v>Stock</v>
      </c>
      <c r="F34" s="5" t="str">
        <f>IFERROR(__xludf.DUMMYFUNCTION("""COMPUTED_VALUE"""),"HKD")</f>
        <v>HKD</v>
      </c>
      <c r="G34" s="30" t="str">
        <f>IFERROR(__xludf.DUMMYFUNCTION("""COMPUTED_VALUE"""),"Email Account/ TraderID Recognized")</f>
        <v>Email Account/ TraderID Recognized</v>
      </c>
      <c r="H34" s="121" t="str">
        <f>IFERROR(__xludf.DUMMYFUNCTION("""COMPUTED_VALUE"""),"3690.HK")</f>
        <v>3690.HK</v>
      </c>
      <c r="I34" s="30">
        <f>IFERROR(__xludf.DUMMYFUNCTION("""COMPUTED_VALUE"""),500.0)</f>
        <v>500</v>
      </c>
      <c r="J34" s="30">
        <f>IFERROR(__xludf.DUMMYFUNCTION("""COMPUTED_VALUE"""),230.0)</f>
        <v>230</v>
      </c>
      <c r="K34" s="30" t="str">
        <f>IFERROR(__xludf.DUMMYFUNCTION("""COMPUTED_VALUE"""),"QTY, Limit Price (if any) &amp; Password input correct")</f>
        <v>QTY, Limit Price (if any) &amp; Password input correct</v>
      </c>
      <c r="L34" s="30"/>
    </row>
    <row r="35">
      <c r="A35" s="5"/>
      <c r="B35" s="118">
        <f>IFERROR(__xludf.DUMMYFUNCTION("""COMPUTED_VALUE"""),44602.46031709491)</f>
        <v>44602.46032</v>
      </c>
      <c r="C35" s="120">
        <f>IFERROR(__xludf.DUMMYFUNCTION("""COMPUTED_VALUE"""),44602.666666666664)</f>
        <v>44602.66667</v>
      </c>
      <c r="D35" s="5" t="str">
        <f>IFERROR(__xludf.DUMMYFUNCTION("""COMPUTED_VALUE"""),"76369")</f>
        <v>76369</v>
      </c>
      <c r="E35" s="5" t="str">
        <f>IFERROR(__xludf.DUMMYFUNCTION("""COMPUTED_VALUE"""),"Stock")</f>
        <v>Stock</v>
      </c>
      <c r="F35" s="5" t="str">
        <f>IFERROR(__xludf.DUMMYFUNCTION("""COMPUTED_VALUE"""),"USD")</f>
        <v>USD</v>
      </c>
      <c r="G35" s="30" t="str">
        <f>IFERROR(__xludf.DUMMYFUNCTION("""COMPUTED_VALUE"""),"Email Account/ TraderID Recognized")</f>
        <v>Email Account/ TraderID Recognized</v>
      </c>
      <c r="H35" s="119" t="str">
        <f>IFERROR(__xludf.DUMMYFUNCTION("""COMPUTED_VALUE"""),"XPEV")</f>
        <v>XPEV</v>
      </c>
      <c r="I35" s="30">
        <f>IFERROR(__xludf.DUMMYFUNCTION("""COMPUTED_VALUE"""),5.0)</f>
        <v>5</v>
      </c>
      <c r="J35" s="30"/>
      <c r="K35" s="30" t="str">
        <f>IFERROR(__xludf.DUMMYFUNCTION("""COMPUTED_VALUE"""),"QTY, Limit Price (if any) &amp; Password input correct")</f>
        <v>QTY, Limit Price (if any) &amp; Password input correct</v>
      </c>
      <c r="L35" s="30"/>
    </row>
    <row r="36">
      <c r="A36" s="5"/>
      <c r="B36" s="118">
        <f>IFERROR(__xludf.DUMMYFUNCTION("""COMPUTED_VALUE"""),44602.46301997685)</f>
        <v>44602.46302</v>
      </c>
      <c r="C36" s="120">
        <f>IFERROR(__xludf.DUMMYFUNCTION("""COMPUTED_VALUE"""),44602.666666666664)</f>
        <v>44602.66667</v>
      </c>
      <c r="D36" s="5" t="str">
        <f>IFERROR(__xludf.DUMMYFUNCTION("""COMPUTED_VALUE"""),"76369")</f>
        <v>76369</v>
      </c>
      <c r="E36" s="5" t="str">
        <f>IFERROR(__xludf.DUMMYFUNCTION("""COMPUTED_VALUE"""),"Stock")</f>
        <v>Stock</v>
      </c>
      <c r="F36" s="5" t="str">
        <f>IFERROR(__xludf.DUMMYFUNCTION("""COMPUTED_VALUE"""),"USD")</f>
        <v>USD</v>
      </c>
      <c r="G36" s="30" t="str">
        <f>IFERROR(__xludf.DUMMYFUNCTION("""COMPUTED_VALUE"""),"Email Account/ TraderID Recognized")</f>
        <v>Email Account/ TraderID Recognized</v>
      </c>
      <c r="H36" s="119" t="str">
        <f>IFERROR(__xludf.DUMMYFUNCTION("""COMPUTED_VALUE"""),"MGM")</f>
        <v>MGM</v>
      </c>
      <c r="I36" s="30">
        <f>IFERROR(__xludf.DUMMYFUNCTION("""COMPUTED_VALUE"""),5.0)</f>
        <v>5</v>
      </c>
      <c r="J36" s="30"/>
      <c r="K36" s="30" t="str">
        <f>IFERROR(__xludf.DUMMYFUNCTION("""COMPUTED_VALUE"""),"QTY, Limit Price (if any) &amp; Password input correct")</f>
        <v>QTY, Limit Price (if any) &amp; Password input correct</v>
      </c>
      <c r="L36" s="30"/>
    </row>
    <row r="37">
      <c r="A37" s="5"/>
      <c r="B37" s="118">
        <f>IFERROR(__xludf.DUMMYFUNCTION("""COMPUTED_VALUE"""),44602.46453971065)</f>
        <v>44602.46454</v>
      </c>
      <c r="C37" s="120">
        <f>IFERROR(__xludf.DUMMYFUNCTION("""COMPUTED_VALUE"""),44602.666666666664)</f>
        <v>44602.66667</v>
      </c>
      <c r="D37" s="5" t="str">
        <f>IFERROR(__xludf.DUMMYFUNCTION("""COMPUTED_VALUE"""),"74641")</f>
        <v>74641</v>
      </c>
      <c r="E37" s="5" t="str">
        <f>IFERROR(__xludf.DUMMYFUNCTION("""COMPUTED_VALUE"""),"Time Deposit")</f>
        <v>Time Deposit</v>
      </c>
      <c r="F37" s="5" t="str">
        <f>IFERROR(__xludf.DUMMYFUNCTION("""COMPUTED_VALUE"""),"HKD")</f>
        <v>HKD</v>
      </c>
      <c r="G37" s="30" t="str">
        <f>IFERROR(__xludf.DUMMYFUNCTION("""COMPUTED_VALUE"""),"Email Account/ TraderID Recognized")</f>
        <v>Email Account/ TraderID Recognized</v>
      </c>
      <c r="H37" s="119" t="str">
        <f>IFERROR(__xludf.DUMMYFUNCTION("""COMPUTED_VALUE"""),"time deposit ")</f>
        <v>time deposit </v>
      </c>
      <c r="I37" s="30" t="str">
        <f>IFERROR(__xludf.DUMMYFUNCTION("""COMPUTED_VALUE"""),"1m")</f>
        <v>1m</v>
      </c>
      <c r="J37" s="30"/>
      <c r="K37" s="30" t="str">
        <f>IFERROR(__xludf.DUMMYFUNCTION("""COMPUTED_VALUE"""),"Non-number input in Quantity or Limit Price")</f>
        <v>Non-number input in Quantity or Limit Price</v>
      </c>
      <c r="L37" s="30"/>
    </row>
    <row r="38">
      <c r="A38" s="5"/>
      <c r="B38" s="118">
        <f>IFERROR(__xludf.DUMMYFUNCTION("""COMPUTED_VALUE"""),44602.473657951385)</f>
        <v>44602.47366</v>
      </c>
      <c r="C38" s="120">
        <f>IFERROR(__xludf.DUMMYFUNCTION("""COMPUTED_VALUE"""),44602.625)</f>
        <v>44602.625</v>
      </c>
      <c r="D38" s="5" t="str">
        <f>IFERROR(__xludf.DUMMYFUNCTION("""COMPUTED_VALUE"""),"74641")</f>
        <v>74641</v>
      </c>
      <c r="E38" s="5" t="str">
        <f>IFERROR(__xludf.DUMMYFUNCTION("""COMPUTED_VALUE"""),"Stock")</f>
        <v>Stock</v>
      </c>
      <c r="F38" s="5" t="str">
        <f>IFERROR(__xludf.DUMMYFUNCTION("""COMPUTED_VALUE"""),"CNY")</f>
        <v>CNY</v>
      </c>
      <c r="G38" s="30" t="str">
        <f>IFERROR(__xludf.DUMMYFUNCTION("""COMPUTED_VALUE"""),"Email Account/ TraderID Recognized")</f>
        <v>Email Account/ TraderID Recognized</v>
      </c>
      <c r="H38" s="121" t="str">
        <f>IFERROR(__xludf.DUMMYFUNCTION("""COMPUTED_VALUE"""),"601168.ss")</f>
        <v>601168.ss</v>
      </c>
      <c r="I38" s="30">
        <f>IFERROR(__xludf.DUMMYFUNCTION("""COMPUTED_VALUE"""),100.0)</f>
        <v>100</v>
      </c>
      <c r="J38" s="30">
        <f>IFERROR(__xludf.DUMMYFUNCTION("""COMPUTED_VALUE"""),14.61)</f>
        <v>14.61</v>
      </c>
      <c r="K38" s="30" t="str">
        <f>IFERROR(__xludf.DUMMYFUNCTION("""COMPUTED_VALUE"""),"QTY, Limit Price (if any) &amp; Password input correct")</f>
        <v>QTY, Limit Price (if any) &amp; Password input correct</v>
      </c>
      <c r="L38" s="30"/>
    </row>
    <row r="39">
      <c r="A39" s="5"/>
      <c r="B39" s="118">
        <f>IFERROR(__xludf.DUMMYFUNCTION("""COMPUTED_VALUE"""),44602.603451828705)</f>
        <v>44602.60345</v>
      </c>
      <c r="C39" s="120">
        <f>IFERROR(__xludf.DUMMYFUNCTION("""COMPUTED_VALUE"""),44602.666666666664)</f>
        <v>44602.66667</v>
      </c>
      <c r="D39" s="5" t="str">
        <f>IFERROR(__xludf.DUMMYFUNCTION("""COMPUTED_VALUE"""),"46220")</f>
        <v>46220</v>
      </c>
      <c r="E39" s="5" t="str">
        <f>IFERROR(__xludf.DUMMYFUNCTION("""COMPUTED_VALUE"""),"Stock")</f>
        <v>Stock</v>
      </c>
      <c r="F39" s="5" t="str">
        <f>IFERROR(__xludf.DUMMYFUNCTION("""COMPUTED_VALUE"""),"USD")</f>
        <v>USD</v>
      </c>
      <c r="G39" s="30" t="str">
        <f>IFERROR(__xludf.DUMMYFUNCTION("""COMPUTED_VALUE"""),"Email Account/ TraderID Recognized")</f>
        <v>Email Account/ TraderID Recognized</v>
      </c>
      <c r="H39" s="119" t="str">
        <f>IFERROR(__xludf.DUMMYFUNCTION("""COMPUTED_VALUE"""),"MCD")</f>
        <v>MCD</v>
      </c>
      <c r="I39" s="30">
        <f>IFERROR(__xludf.DUMMYFUNCTION("""COMPUTED_VALUE"""),10.0)</f>
        <v>10</v>
      </c>
      <c r="J39" s="30"/>
      <c r="K39" s="30" t="str">
        <f>IFERROR(__xludf.DUMMYFUNCTION("""COMPUTED_VALUE"""),"QTY, Limit Price (if any) &amp; Password input correct")</f>
        <v>QTY, Limit Price (if any) &amp; Password input correct</v>
      </c>
      <c r="L39" s="30"/>
    </row>
    <row r="40">
      <c r="A40" s="5"/>
      <c r="B40" s="118">
        <f>IFERROR(__xludf.DUMMYFUNCTION("""COMPUTED_VALUE"""),44602.680166273145)</f>
        <v>44602.68017</v>
      </c>
      <c r="C40" s="120">
        <f>IFERROR(__xludf.DUMMYFUNCTION("""COMPUTED_VALUE"""),44602.666666666664)</f>
        <v>44602.66667</v>
      </c>
      <c r="D40" s="5" t="str">
        <f>IFERROR(__xludf.DUMMYFUNCTION("""COMPUTED_VALUE"""),"39441")</f>
        <v>39441</v>
      </c>
      <c r="E40" s="5" t="str">
        <f>IFERROR(__xludf.DUMMYFUNCTION("""COMPUTED_VALUE"""),"Stock")</f>
        <v>Stock</v>
      </c>
      <c r="F40" s="5" t="str">
        <f>IFERROR(__xludf.DUMMYFUNCTION("""COMPUTED_VALUE"""),"USD")</f>
        <v>USD</v>
      </c>
      <c r="G40" s="30" t="str">
        <f>IFERROR(__xludf.DUMMYFUNCTION("""COMPUTED_VALUE"""),"Email Account/ TraderID Recognized")</f>
        <v>Email Account/ TraderID Recognized</v>
      </c>
      <c r="H40" s="119" t="str">
        <f>IFERROR(__xludf.DUMMYFUNCTION("""COMPUTED_VALUE"""),"AMZN")</f>
        <v>AMZN</v>
      </c>
      <c r="I40" s="30">
        <f>IFERROR(__xludf.DUMMYFUNCTION("""COMPUTED_VALUE"""),6.0)</f>
        <v>6</v>
      </c>
      <c r="J40" s="30">
        <f>IFERROR(__xludf.DUMMYFUNCTION("""COMPUTED_VALUE"""),3250.0)</f>
        <v>3250</v>
      </c>
      <c r="K40" s="30" t="str">
        <f>IFERROR(__xludf.DUMMYFUNCTION("""COMPUTED_VALUE"""),"QTY, Limit Price (if any) &amp; Password input correct")</f>
        <v>QTY, Limit Price (if any) &amp; Password input correct</v>
      </c>
      <c r="L40" s="30"/>
    </row>
    <row r="41">
      <c r="A41" s="5"/>
      <c r="B41" s="118">
        <f>IFERROR(__xludf.DUMMYFUNCTION("""COMPUTED_VALUE"""),44602.68219708333)</f>
        <v>44602.6822</v>
      </c>
      <c r="C41" s="120">
        <f>IFERROR(__xludf.DUMMYFUNCTION("""COMPUTED_VALUE"""),44602.666666666664)</f>
        <v>44602.66667</v>
      </c>
      <c r="D41" s="5" t="str">
        <f>IFERROR(__xludf.DUMMYFUNCTION("""COMPUTED_VALUE"""),"39441")</f>
        <v>39441</v>
      </c>
      <c r="E41" s="5" t="str">
        <f>IFERROR(__xludf.DUMMYFUNCTION("""COMPUTED_VALUE"""),"Stock")</f>
        <v>Stock</v>
      </c>
      <c r="F41" s="5" t="str">
        <f>IFERROR(__xludf.DUMMYFUNCTION("""COMPUTED_VALUE"""),"USD")</f>
        <v>USD</v>
      </c>
      <c r="G41" s="30" t="str">
        <f>IFERROR(__xludf.DUMMYFUNCTION("""COMPUTED_VALUE"""),"Email Account/ TraderID Recognized")</f>
        <v>Email Account/ TraderID Recognized</v>
      </c>
      <c r="H41" s="119" t="str">
        <f>IFERROR(__xludf.DUMMYFUNCTION("""COMPUTED_VALUE"""),"GOOG")</f>
        <v>GOOG</v>
      </c>
      <c r="I41" s="30">
        <f>IFERROR(__xludf.DUMMYFUNCTION("""COMPUTED_VALUE"""),5.0)</f>
        <v>5</v>
      </c>
      <c r="J41" s="30">
        <f>IFERROR(__xludf.DUMMYFUNCTION("""COMPUTED_VALUE"""),2731.0)</f>
        <v>2731</v>
      </c>
      <c r="K41" s="30" t="str">
        <f>IFERROR(__xludf.DUMMYFUNCTION("""COMPUTED_VALUE"""),"QTY, Limit Price (if any) &amp; Password input correct")</f>
        <v>QTY, Limit Price (if any) &amp; Password input correct</v>
      </c>
      <c r="L41" s="30"/>
    </row>
    <row r="42">
      <c r="A42" s="5"/>
      <c r="B42" s="118">
        <f>IFERROR(__xludf.DUMMYFUNCTION("""COMPUTED_VALUE"""),44602.923212685186)</f>
        <v>44602.92321</v>
      </c>
      <c r="C42" s="120" t="str">
        <f>IFERROR(__xludf.DUMMYFUNCTION("""COMPUTED_VALUE"""),"")</f>
        <v/>
      </c>
      <c r="D42" s="5" t="str">
        <f>IFERROR(__xludf.DUMMYFUNCTION("""COMPUTED_VALUE"""),"76975")</f>
        <v>76975</v>
      </c>
      <c r="E42" s="5" t="str">
        <f>IFERROR(__xludf.DUMMYFUNCTION("""COMPUTED_VALUE"""),"Stock")</f>
        <v>Stock</v>
      </c>
      <c r="F42" s="5" t="str">
        <f>IFERROR(__xludf.DUMMYFUNCTION("""COMPUTED_VALUE"""),"error")</f>
        <v>error</v>
      </c>
      <c r="G42" s="30" t="str">
        <f>IFERROR(__xludf.DUMMYFUNCTION("""COMPUTED_VALUE"""),"Email Account/ TraderID Recognized")</f>
        <v>Email Account/ TraderID Recognized</v>
      </c>
      <c r="H42" s="119" t="str">
        <f>IFERROR(__xludf.DUMMYFUNCTION("""COMPUTED_VALUE"""),"Tencent HK0700")</f>
        <v>Tencent HK0700</v>
      </c>
      <c r="I42" s="30">
        <f>IFERROR(__xludf.DUMMYFUNCTION("""COMPUTED_VALUE"""),206.0)</f>
        <v>206</v>
      </c>
      <c r="J42" s="30">
        <f>IFERROR(__xludf.DUMMYFUNCTION("""COMPUTED_VALUE"""),490.0)</f>
        <v>490</v>
      </c>
      <c r="K42" s="30" t="str">
        <f>IFERROR(__xludf.DUMMYFUNCTION("""COMPUTED_VALUE"""),"QTY, Limit Price (if any) &amp; Password input correct")</f>
        <v>QTY, Limit Price (if any) &amp; Password input correct</v>
      </c>
      <c r="L42" s="30" t="str">
        <f>IFERROR(__xludf.DUMMYFUNCTION("""COMPUTED_VALUE"""),"Order rejected due to wrong ticker code. just need to type in 0700.HK")</f>
        <v>Order rejected due to wrong ticker code. just need to type in 0700.HK</v>
      </c>
    </row>
    <row r="43">
      <c r="A43" s="5"/>
      <c r="B43" s="118">
        <f>IFERROR(__xludf.DUMMYFUNCTION("""COMPUTED_VALUE"""),44602.9737353588)</f>
        <v>44602.97374</v>
      </c>
      <c r="C43" s="120">
        <f>IFERROR(__xludf.DUMMYFUNCTION("""COMPUTED_VALUE"""),44603.666666666664)</f>
        <v>44603.66667</v>
      </c>
      <c r="D43" s="5" t="str">
        <f>IFERROR(__xludf.DUMMYFUNCTION("""COMPUTED_VALUE"""),"39441")</f>
        <v>39441</v>
      </c>
      <c r="E43" s="5" t="str">
        <f>IFERROR(__xludf.DUMMYFUNCTION("""COMPUTED_VALUE"""),"Time Deposit")</f>
        <v>Time Deposit</v>
      </c>
      <c r="F43" s="5" t="str">
        <f>IFERROR(__xludf.DUMMYFUNCTION("""COMPUTED_VALUE"""),"HKD")</f>
        <v>HKD</v>
      </c>
      <c r="G43" s="30" t="str">
        <f>IFERROR(__xludf.DUMMYFUNCTION("""COMPUTED_VALUE"""),"Email Account/ TraderID Recognized")</f>
        <v>Email Account/ TraderID Recognized</v>
      </c>
      <c r="H43" s="119" t="str">
        <f>IFERROR(__xludf.DUMMYFUNCTION("""COMPUTED_VALUE"""),"3m")</f>
        <v>3m</v>
      </c>
      <c r="I43" s="30">
        <f>IFERROR(__xludf.DUMMYFUNCTION("""COMPUTED_VALUE"""),100000.0)</f>
        <v>100000</v>
      </c>
      <c r="J43" s="30"/>
      <c r="K43" s="30" t="str">
        <f>IFERROR(__xludf.DUMMYFUNCTION("""COMPUTED_VALUE"""),"QTY, Limit Price (if any) &amp; Password input correct")</f>
        <v>QTY, Limit Price (if any) &amp; Password input correct</v>
      </c>
      <c r="L43" s="30"/>
    </row>
    <row r="44">
      <c r="A44" s="5"/>
      <c r="B44" s="118">
        <f>IFERROR(__xludf.DUMMYFUNCTION("""COMPUTED_VALUE"""),44603.37809090278)</f>
        <v>44603.37809</v>
      </c>
      <c r="C44" s="120">
        <f>IFERROR(__xludf.DUMMYFUNCTION("""COMPUTED_VALUE"""),44603.666666666664)</f>
        <v>44603.66667</v>
      </c>
      <c r="D44" s="5" t="str">
        <f>IFERROR(__xludf.DUMMYFUNCTION("""COMPUTED_VALUE"""),"46699")</f>
        <v>46699</v>
      </c>
      <c r="E44" s="5" t="str">
        <f>IFERROR(__xludf.DUMMYFUNCTION("""COMPUTED_VALUE"""),"Stock")</f>
        <v>Stock</v>
      </c>
      <c r="F44" s="5" t="str">
        <f>IFERROR(__xludf.DUMMYFUNCTION("""COMPUTED_VALUE"""),"USD")</f>
        <v>USD</v>
      </c>
      <c r="G44" s="30" t="str">
        <f>IFERROR(__xludf.DUMMYFUNCTION("""COMPUTED_VALUE"""),"Email Account/ TraderID Recognized")</f>
        <v>Email Account/ TraderID Recognized</v>
      </c>
      <c r="H44" s="119" t="str">
        <f>IFERROR(__xludf.DUMMYFUNCTION("""COMPUTED_VALUE"""),"NFLX")</f>
        <v>NFLX</v>
      </c>
      <c r="I44" s="30">
        <f>IFERROR(__xludf.DUMMYFUNCTION("""COMPUTED_VALUE"""),20.0)</f>
        <v>20</v>
      </c>
      <c r="J44" s="30"/>
      <c r="K44" s="30" t="str">
        <f>IFERROR(__xludf.DUMMYFUNCTION("""COMPUTED_VALUE"""),"QTY, Limit Price (if any) &amp; Password input correct")</f>
        <v>QTY, Limit Price (if any) &amp; Password input correct</v>
      </c>
      <c r="L44" s="30"/>
    </row>
    <row r="45">
      <c r="A45" s="5"/>
      <c r="B45" s="118">
        <f>IFERROR(__xludf.DUMMYFUNCTION("""COMPUTED_VALUE"""),44603.469490787036)</f>
        <v>44603.46949</v>
      </c>
      <c r="C45" s="120">
        <f>IFERROR(__xludf.DUMMYFUNCTION("""COMPUTED_VALUE"""),44603.666666666664)</f>
        <v>44603.66667</v>
      </c>
      <c r="D45" s="5" t="str">
        <f>IFERROR(__xludf.DUMMYFUNCTION("""COMPUTED_VALUE"""),"69930")</f>
        <v>69930</v>
      </c>
      <c r="E45" s="5" t="str">
        <f>IFERROR(__xludf.DUMMYFUNCTION("""COMPUTED_VALUE"""),"Stock")</f>
        <v>Stock</v>
      </c>
      <c r="F45" s="5" t="str">
        <f>IFERROR(__xludf.DUMMYFUNCTION("""COMPUTED_VALUE"""),"HKD")</f>
        <v>HKD</v>
      </c>
      <c r="G45" s="30" t="str">
        <f>IFERROR(__xludf.DUMMYFUNCTION("""COMPUTED_VALUE"""),"Email Account/ TraderID Recognized")</f>
        <v>Email Account/ TraderID Recognized</v>
      </c>
      <c r="H45" s="121" t="str">
        <f>IFERROR(__xludf.DUMMYFUNCTION("""COMPUTED_VALUE"""),"2318.HK")</f>
        <v>2318.HK</v>
      </c>
      <c r="I45" s="30">
        <f>IFERROR(__xludf.DUMMYFUNCTION("""COMPUTED_VALUE"""),100.0)</f>
        <v>100</v>
      </c>
      <c r="J45" s="30">
        <f>IFERROR(__xludf.DUMMYFUNCTION("""COMPUTED_VALUE"""),72.0)</f>
        <v>72</v>
      </c>
      <c r="K45" s="30" t="str">
        <f>IFERROR(__xludf.DUMMYFUNCTION("""COMPUTED_VALUE"""),"QTY, Limit Price (if any) &amp; Password input correct")</f>
        <v>QTY, Limit Price (if any) &amp; Password input correct</v>
      </c>
      <c r="L45" s="30"/>
    </row>
    <row r="46">
      <c r="A46" s="5"/>
      <c r="B46" s="118">
        <f>IFERROR(__xludf.DUMMYFUNCTION("""COMPUTED_VALUE"""),44603.497145625)</f>
        <v>44603.49715</v>
      </c>
      <c r="C46" s="120" t="str">
        <f>IFERROR(__xludf.DUMMYFUNCTION("""COMPUTED_VALUE"""),"")</f>
        <v/>
      </c>
      <c r="D46" s="5" t="str">
        <f>IFERROR(__xludf.DUMMYFUNCTION("""COMPUTED_VALUE"""),"76975")</f>
        <v>76975</v>
      </c>
      <c r="E46" s="5" t="str">
        <f>IFERROR(__xludf.DUMMYFUNCTION("""COMPUTED_VALUE"""),"Stock")</f>
        <v>Stock</v>
      </c>
      <c r="F46" s="5" t="str">
        <f>IFERROR(__xludf.DUMMYFUNCTION("""COMPUTED_VALUE"""),"error")</f>
        <v>error</v>
      </c>
      <c r="G46" s="30" t="str">
        <f>IFERROR(__xludf.DUMMYFUNCTION("""COMPUTED_VALUE"""),"Email Account/ TraderID Recognized")</f>
        <v>Email Account/ TraderID Recognized</v>
      </c>
      <c r="H46" s="119" t="str">
        <f>IFERROR(__xludf.DUMMYFUNCTION("""COMPUTED_VALUE"""),"Tencent HK 0700")</f>
        <v>Tencent HK 0700</v>
      </c>
      <c r="I46" s="30">
        <f>IFERROR(__xludf.DUMMYFUNCTION("""COMPUTED_VALUE"""),208.0)</f>
        <v>208</v>
      </c>
      <c r="J46" s="30">
        <f>IFERROR(__xludf.DUMMYFUNCTION("""COMPUTED_VALUE"""),520.0)</f>
        <v>520</v>
      </c>
      <c r="K46" s="30" t="str">
        <f>IFERROR(__xludf.DUMMYFUNCTION("""COMPUTED_VALUE"""),"QTY, Limit Price (if any) &amp; Password input correct")</f>
        <v>QTY, Limit Price (if any) &amp; Password input correct</v>
      </c>
      <c r="L46" s="30" t="str">
        <f>IFERROR(__xludf.DUMMYFUNCTION("""COMPUTED_VALUE"""),"Order rejected due to wrong ticker code. just need to type in 0700.HK")</f>
        <v>Order rejected due to wrong ticker code. just need to type in 0700.HK</v>
      </c>
    </row>
    <row r="47">
      <c r="A47" s="5"/>
      <c r="B47" s="118">
        <f>IFERROR(__xludf.DUMMYFUNCTION("""COMPUTED_VALUE"""),44603.5002928125)</f>
        <v>44603.50029</v>
      </c>
      <c r="C47" s="120" t="str">
        <f>IFERROR(__xludf.DUMMYFUNCTION("""COMPUTED_VALUE"""),"")</f>
        <v/>
      </c>
      <c r="D47" s="5" t="str">
        <f>IFERROR(__xludf.DUMMYFUNCTION("""COMPUTED_VALUE"""),"76975")</f>
        <v>76975</v>
      </c>
      <c r="E47" s="5" t="str">
        <f>IFERROR(__xludf.DUMMYFUNCTION("""COMPUTED_VALUE"""),"Stock")</f>
        <v>Stock</v>
      </c>
      <c r="F47" s="5" t="str">
        <f>IFERROR(__xludf.DUMMYFUNCTION("""COMPUTED_VALUE"""),"error")</f>
        <v>error</v>
      </c>
      <c r="G47" s="30" t="str">
        <f>IFERROR(__xludf.DUMMYFUNCTION("""COMPUTED_VALUE"""),"Email Account/ TraderID Recognized")</f>
        <v>Email Account/ TraderID Recognized</v>
      </c>
      <c r="H47" s="119" t="str">
        <f>IFERROR(__xludf.DUMMYFUNCTION("""COMPUTED_VALUE"""),"Tencent")</f>
        <v>Tencent</v>
      </c>
      <c r="I47" s="30">
        <f>IFERROR(__xludf.DUMMYFUNCTION("""COMPUTED_VALUE"""),208.0)</f>
        <v>208</v>
      </c>
      <c r="J47" s="30">
        <f>IFERROR(__xludf.DUMMYFUNCTION("""COMPUTED_VALUE"""),520.0)</f>
        <v>520</v>
      </c>
      <c r="K47" s="30" t="str">
        <f>IFERROR(__xludf.DUMMYFUNCTION("""COMPUTED_VALUE"""),"QTY, Limit Price (if any) &amp; Password input correct")</f>
        <v>QTY, Limit Price (if any) &amp; Password input correct</v>
      </c>
      <c r="L47" s="30" t="str">
        <f>IFERROR(__xludf.DUMMYFUNCTION("""COMPUTED_VALUE"""),"Order rejected due to wrong ticker code. just need to type in 0700.HK")</f>
        <v>Order rejected due to wrong ticker code. just need to type in 0700.HK</v>
      </c>
    </row>
    <row r="48">
      <c r="A48" s="5"/>
      <c r="B48" s="118">
        <f>IFERROR(__xludf.DUMMYFUNCTION("""COMPUTED_VALUE"""),44603.64713915509)</f>
        <v>44603.64714</v>
      </c>
      <c r="C48" s="120">
        <f>IFERROR(__xludf.DUMMYFUNCTION("""COMPUTED_VALUE"""),44603.666666666664)</f>
        <v>44603.66667</v>
      </c>
      <c r="D48" s="5" t="str">
        <f>IFERROR(__xludf.DUMMYFUNCTION("""COMPUTED_VALUE"""),"89750")</f>
        <v>89750</v>
      </c>
      <c r="E48" s="5" t="str">
        <f>IFERROR(__xludf.DUMMYFUNCTION("""COMPUTED_VALUE"""),"Stock")</f>
        <v>Stock</v>
      </c>
      <c r="F48" s="5" t="str">
        <f>IFERROR(__xludf.DUMMYFUNCTION("""COMPUTED_VALUE"""),"HKD")</f>
        <v>HKD</v>
      </c>
      <c r="G48" s="30" t="str">
        <f>IFERROR(__xludf.DUMMYFUNCTION("""COMPUTED_VALUE"""),"Email Account/ TraderID Recognized")</f>
        <v>Email Account/ TraderID Recognized</v>
      </c>
      <c r="H48" s="121" t="str">
        <f>IFERROR(__xludf.DUMMYFUNCTION("""COMPUTED_VALUE"""),"2269.HK")</f>
        <v>2269.HK</v>
      </c>
      <c r="I48" s="30">
        <f>IFERROR(__xludf.DUMMYFUNCTION("""COMPUTED_VALUE"""),2000.0)</f>
        <v>2000</v>
      </c>
      <c r="J48" s="30">
        <f>IFERROR(__xludf.DUMMYFUNCTION("""COMPUTED_VALUE"""),56.6)</f>
        <v>56.6</v>
      </c>
      <c r="K48" s="30" t="str">
        <f>IFERROR(__xludf.DUMMYFUNCTION("""COMPUTED_VALUE"""),"QTY, Limit Price (if any) &amp; Password input correct")</f>
        <v>QTY, Limit Price (if any) &amp; Password input correct</v>
      </c>
      <c r="L48" s="30"/>
    </row>
    <row r="49">
      <c r="A49" s="5"/>
      <c r="B49" s="118">
        <f>IFERROR(__xludf.DUMMYFUNCTION("""COMPUTED_VALUE"""),44603.649057546296)</f>
        <v>44603.64906</v>
      </c>
      <c r="C49" s="120">
        <f>IFERROR(__xludf.DUMMYFUNCTION("""COMPUTED_VALUE"""),44603.666666666664)</f>
        <v>44603.66667</v>
      </c>
      <c r="D49" s="5" t="str">
        <f>IFERROR(__xludf.DUMMYFUNCTION("""COMPUTED_VALUE"""),"76848")</f>
        <v>76848</v>
      </c>
      <c r="E49" s="5" t="str">
        <f>IFERROR(__xludf.DUMMYFUNCTION("""COMPUTED_VALUE"""),"Stock")</f>
        <v>Stock</v>
      </c>
      <c r="F49" s="5" t="str">
        <f>IFERROR(__xludf.DUMMYFUNCTION("""COMPUTED_VALUE"""),"USD")</f>
        <v>USD</v>
      </c>
      <c r="G49" s="30" t="str">
        <f>IFERROR(__xludf.DUMMYFUNCTION("""COMPUTED_VALUE"""),"Email Account/ TraderID Recognized")</f>
        <v>Email Account/ TraderID Recognized</v>
      </c>
      <c r="H49" s="119" t="str">
        <f>IFERROR(__xludf.DUMMYFUNCTION("""COMPUTED_VALUE"""),"NET")</f>
        <v>NET</v>
      </c>
      <c r="I49" s="30">
        <f>IFERROR(__xludf.DUMMYFUNCTION("""COMPUTED_VALUE"""),10.0)</f>
        <v>10</v>
      </c>
      <c r="J49" s="30">
        <f>IFERROR(__xludf.DUMMYFUNCTION("""COMPUTED_VALUE"""),116.0)</f>
        <v>116</v>
      </c>
      <c r="K49" s="30" t="str">
        <f>IFERROR(__xludf.DUMMYFUNCTION("""COMPUTED_VALUE"""),"QTY, Limit Price (if any) &amp; Password input correct")</f>
        <v>QTY, Limit Price (if any) &amp; Password input correct</v>
      </c>
      <c r="L49" s="30"/>
    </row>
    <row r="50">
      <c r="A50" s="5"/>
      <c r="B50" s="118">
        <f>IFERROR(__xludf.DUMMYFUNCTION("""COMPUTED_VALUE"""),44603.64942155093)</f>
        <v>44603.64942</v>
      </c>
      <c r="C50" s="120">
        <f>IFERROR(__xludf.DUMMYFUNCTION("""COMPUTED_VALUE"""),44603.666666666664)</f>
        <v>44603.66667</v>
      </c>
      <c r="D50" s="5" t="str">
        <f>IFERROR(__xludf.DUMMYFUNCTION("""COMPUTED_VALUE"""),"74356")</f>
        <v>74356</v>
      </c>
      <c r="E50" s="5" t="str">
        <f>IFERROR(__xludf.DUMMYFUNCTION("""COMPUTED_VALUE"""),"Stock")</f>
        <v>Stock</v>
      </c>
      <c r="F50" s="5" t="str">
        <f>IFERROR(__xludf.DUMMYFUNCTION("""COMPUTED_VALUE"""),"USD")</f>
        <v>USD</v>
      </c>
      <c r="G50" s="30" t="str">
        <f>IFERROR(__xludf.DUMMYFUNCTION("""COMPUTED_VALUE"""),"Email Account/ TraderID Recognized")</f>
        <v>Email Account/ TraderID Recognized</v>
      </c>
      <c r="H50" s="119" t="str">
        <f>IFERROR(__xludf.DUMMYFUNCTION("""COMPUTED_VALUE"""),"NET")</f>
        <v>NET</v>
      </c>
      <c r="I50" s="30">
        <f>IFERROR(__xludf.DUMMYFUNCTION("""COMPUTED_VALUE"""),10.0)</f>
        <v>10</v>
      </c>
      <c r="J50" s="30">
        <f>IFERROR(__xludf.DUMMYFUNCTION("""COMPUTED_VALUE"""),116.0)</f>
        <v>116</v>
      </c>
      <c r="K50" s="30" t="str">
        <f>IFERROR(__xludf.DUMMYFUNCTION("""COMPUTED_VALUE"""),"QTY, Limit Price (if any) &amp; Password input correct")</f>
        <v>QTY, Limit Price (if any) &amp; Password input correct</v>
      </c>
      <c r="L50" s="30"/>
    </row>
    <row r="51">
      <c r="A51" s="5"/>
      <c r="B51" s="118">
        <f>IFERROR(__xludf.DUMMYFUNCTION("""COMPUTED_VALUE"""),44603.65829959491)</f>
        <v>44603.6583</v>
      </c>
      <c r="C51" s="120">
        <f>IFERROR(__xludf.DUMMYFUNCTION("""COMPUTED_VALUE"""),44603.666666666664)</f>
        <v>44603.66667</v>
      </c>
      <c r="D51" s="5" t="str">
        <f>IFERROR(__xludf.DUMMYFUNCTION("""COMPUTED_VALUE"""),"76848")</f>
        <v>76848</v>
      </c>
      <c r="E51" s="5" t="str">
        <f>IFERROR(__xludf.DUMMYFUNCTION("""COMPUTED_VALUE"""),"Stock")</f>
        <v>Stock</v>
      </c>
      <c r="F51" s="5" t="str">
        <f>IFERROR(__xludf.DUMMYFUNCTION("""COMPUTED_VALUE"""),"HKD")</f>
        <v>HKD</v>
      </c>
      <c r="G51" s="30" t="str">
        <f>IFERROR(__xludf.DUMMYFUNCTION("""COMPUTED_VALUE"""),"Email Account/ TraderID Recognized")</f>
        <v>Email Account/ TraderID Recognized</v>
      </c>
      <c r="H51" s="121" t="str">
        <f>IFERROR(__xludf.DUMMYFUNCTION("""COMPUTED_VALUE"""),"1398.HK")</f>
        <v>1398.HK</v>
      </c>
      <c r="I51" s="30">
        <f>IFERROR(__xludf.DUMMYFUNCTION("""COMPUTED_VALUE"""),500.0)</f>
        <v>500</v>
      </c>
      <c r="J51" s="30"/>
      <c r="K51" s="30" t="str">
        <f>IFERROR(__xludf.DUMMYFUNCTION("""COMPUTED_VALUE"""),"QTY, Limit Price (if any) &amp; Password input correct")</f>
        <v>QTY, Limit Price (if any) &amp; Password input correct</v>
      </c>
      <c r="L51" s="30"/>
    </row>
    <row r="52">
      <c r="A52" s="5"/>
      <c r="B52" s="118">
        <f>IFERROR(__xludf.DUMMYFUNCTION("""COMPUTED_VALUE"""),44603.65872387731)</f>
        <v>44603.65872</v>
      </c>
      <c r="C52" s="120">
        <f>IFERROR(__xludf.DUMMYFUNCTION("""COMPUTED_VALUE"""),44603.666666666664)</f>
        <v>44603.66667</v>
      </c>
      <c r="D52" s="5" t="str">
        <f>IFERROR(__xludf.DUMMYFUNCTION("""COMPUTED_VALUE"""),"74356")</f>
        <v>74356</v>
      </c>
      <c r="E52" s="5" t="str">
        <f>IFERROR(__xludf.DUMMYFUNCTION("""COMPUTED_VALUE"""),"Stock")</f>
        <v>Stock</v>
      </c>
      <c r="F52" s="5" t="str">
        <f>IFERROR(__xludf.DUMMYFUNCTION("""COMPUTED_VALUE"""),"HKD")</f>
        <v>HKD</v>
      </c>
      <c r="G52" s="30" t="str">
        <f>IFERROR(__xludf.DUMMYFUNCTION("""COMPUTED_VALUE"""),"Email Account/ TraderID Recognized")</f>
        <v>Email Account/ TraderID Recognized</v>
      </c>
      <c r="H52" s="121" t="str">
        <f>IFERROR(__xludf.DUMMYFUNCTION("""COMPUTED_VALUE"""),"1398.HK")</f>
        <v>1398.HK</v>
      </c>
      <c r="I52" s="30">
        <f>IFERROR(__xludf.DUMMYFUNCTION("""COMPUTED_VALUE"""),500.0)</f>
        <v>500</v>
      </c>
      <c r="J52" s="30"/>
      <c r="K52" s="30" t="str">
        <f>IFERROR(__xludf.DUMMYFUNCTION("""COMPUTED_VALUE"""),"QTY, Limit Price (if any) &amp; Password input correct")</f>
        <v>QTY, Limit Price (if any) &amp; Password input correct</v>
      </c>
      <c r="L52" s="30"/>
    </row>
    <row r="53">
      <c r="A53" s="5"/>
      <c r="B53" s="118">
        <f>IFERROR(__xludf.DUMMYFUNCTION("""COMPUTED_VALUE"""),44603.69680065972)</f>
        <v>44603.6968</v>
      </c>
      <c r="C53" s="120" t="str">
        <f>IFERROR(__xludf.DUMMYFUNCTION("""COMPUTED_VALUE"""),"")</f>
        <v/>
      </c>
      <c r="D53" s="5" t="str">
        <f>IFERROR(__xludf.DUMMYFUNCTION("""COMPUTED_VALUE"""),"75288")</f>
        <v>75288</v>
      </c>
      <c r="E53" s="5" t="str">
        <f>IFERROR(__xludf.DUMMYFUNCTION("""COMPUTED_VALUE"""),"Stock")</f>
        <v>Stock</v>
      </c>
      <c r="F53" s="5" t="str">
        <f>IFERROR(__xludf.DUMMYFUNCTION("""COMPUTED_VALUE"""),"error")</f>
        <v>error</v>
      </c>
      <c r="G53" s="30" t="str">
        <f>IFERROR(__xludf.DUMMYFUNCTION("""COMPUTED_VALUE"""),"Email Account/ TraderID Recognized")</f>
        <v>Email Account/ TraderID Recognized</v>
      </c>
      <c r="H53" s="119" t="str">
        <f>IFERROR(__xludf.DUMMYFUNCTION("""COMPUTED_VALUE"""),"Tencent HK0700")</f>
        <v>Tencent HK0700</v>
      </c>
      <c r="I53" s="30">
        <f>IFERROR(__xludf.DUMMYFUNCTION("""COMPUTED_VALUE"""),209.0)</f>
        <v>209</v>
      </c>
      <c r="J53" s="30">
        <f>IFERROR(__xludf.DUMMYFUNCTION("""COMPUTED_VALUE"""),520.0)</f>
        <v>520</v>
      </c>
      <c r="K53" s="30" t="str">
        <f>IFERROR(__xludf.DUMMYFUNCTION("""COMPUTED_VALUE"""),"QTY, Limit Price (if any) &amp; Password input correct")</f>
        <v>QTY, Limit Price (if any) &amp; Password input correct</v>
      </c>
      <c r="L53" s="30" t="str">
        <f>IFERROR(__xludf.DUMMYFUNCTION("""COMPUTED_VALUE"""),"Order rejected due to wrong ticker code. just need to type in 0700.HK")</f>
        <v>Order rejected due to wrong ticker code. just need to type in 0700.HK</v>
      </c>
    </row>
    <row r="54">
      <c r="A54" s="5"/>
      <c r="B54" s="118">
        <f>IFERROR(__xludf.DUMMYFUNCTION("""COMPUTED_VALUE"""),44603.70200611111)</f>
        <v>44603.70201</v>
      </c>
      <c r="C54" s="120">
        <f>IFERROR(__xludf.DUMMYFUNCTION("""COMPUTED_VALUE"""),44603.666666666664)</f>
        <v>44603.66667</v>
      </c>
      <c r="D54" s="5" t="str">
        <f>IFERROR(__xludf.DUMMYFUNCTION("""COMPUTED_VALUE"""),"46220")</f>
        <v>46220</v>
      </c>
      <c r="E54" s="5" t="str">
        <f>IFERROR(__xludf.DUMMYFUNCTION("""COMPUTED_VALUE"""),"Stock")</f>
        <v>Stock</v>
      </c>
      <c r="F54" s="5" t="str">
        <f>IFERROR(__xludf.DUMMYFUNCTION("""COMPUTED_VALUE"""),"USD")</f>
        <v>USD</v>
      </c>
      <c r="G54" s="30" t="str">
        <f>IFERROR(__xludf.DUMMYFUNCTION("""COMPUTED_VALUE"""),"Email Account/ TraderID Recognized")</f>
        <v>Email Account/ TraderID Recognized</v>
      </c>
      <c r="H54" s="119" t="str">
        <f>IFERROR(__xludf.DUMMYFUNCTION("""COMPUTED_VALUE"""),"TSLA")</f>
        <v>TSLA</v>
      </c>
      <c r="I54" s="30">
        <f>IFERROR(__xludf.DUMMYFUNCTION("""COMPUTED_VALUE"""),15.0)</f>
        <v>15</v>
      </c>
      <c r="J54" s="30"/>
      <c r="K54" s="30" t="str">
        <f>IFERROR(__xludf.DUMMYFUNCTION("""COMPUTED_VALUE"""),"QTY, Limit Price (if any) &amp; Password input correct")</f>
        <v>QTY, Limit Price (if any) &amp; Password input correct</v>
      </c>
      <c r="L54" s="30"/>
    </row>
    <row r="55">
      <c r="A55" s="5"/>
      <c r="B55" s="118">
        <f>IFERROR(__xludf.DUMMYFUNCTION("""COMPUTED_VALUE"""),44603.72384443287)</f>
        <v>44603.72384</v>
      </c>
      <c r="C55" s="120">
        <f>IFERROR(__xludf.DUMMYFUNCTION("""COMPUTED_VALUE"""),44603.666666666664)</f>
        <v>44603.66667</v>
      </c>
      <c r="D55" s="5" t="str">
        <f>IFERROR(__xludf.DUMMYFUNCTION("""COMPUTED_VALUE"""),"75076")</f>
        <v>75076</v>
      </c>
      <c r="E55" s="5" t="str">
        <f>IFERROR(__xludf.DUMMYFUNCTION("""COMPUTED_VALUE"""),"Stock")</f>
        <v>Stock</v>
      </c>
      <c r="F55" s="5" t="str">
        <f>IFERROR(__xludf.DUMMYFUNCTION("""COMPUTED_VALUE"""),"USD")</f>
        <v>USD</v>
      </c>
      <c r="G55" s="30" t="str">
        <f>IFERROR(__xludf.DUMMYFUNCTION("""COMPUTED_VALUE"""),"Email Account/ TraderID Recognized")</f>
        <v>Email Account/ TraderID Recognized</v>
      </c>
      <c r="H55" s="119" t="str">
        <f>IFERROR(__xludf.DUMMYFUNCTION("""COMPUTED_VALUE"""),"XLE")</f>
        <v>XLE</v>
      </c>
      <c r="I55" s="30">
        <f>IFERROR(__xludf.DUMMYFUNCTION("""COMPUTED_VALUE"""),800.0)</f>
        <v>800</v>
      </c>
      <c r="J55" s="30"/>
      <c r="K55" s="30" t="str">
        <f>IFERROR(__xludf.DUMMYFUNCTION("""COMPUTED_VALUE"""),"QTY, Limit Price (if any) &amp; Password input correct")</f>
        <v>QTY, Limit Price (if any) &amp; Password input correct</v>
      </c>
      <c r="L55" s="30"/>
    </row>
    <row r="56">
      <c r="A56" s="5"/>
      <c r="B56" s="118">
        <f>IFERROR(__xludf.DUMMYFUNCTION("""COMPUTED_VALUE"""),44603.74963273148)</f>
        <v>44603.74963</v>
      </c>
      <c r="C56" s="120" t="str">
        <f>IFERROR(__xludf.DUMMYFUNCTION("""COMPUTED_VALUE"""),"")</f>
        <v/>
      </c>
      <c r="D56" s="5" t="str">
        <f>IFERROR(__xludf.DUMMYFUNCTION("""COMPUTED_VALUE"""),"76796")</f>
        <v>76796</v>
      </c>
      <c r="E56" s="5" t="str">
        <f>IFERROR(__xludf.DUMMYFUNCTION("""COMPUTED_VALUE"""),"Stock")</f>
        <v>Stock</v>
      </c>
      <c r="F56" s="5" t="str">
        <f>IFERROR(__xludf.DUMMYFUNCTION("""COMPUTED_VALUE"""),"error")</f>
        <v>error</v>
      </c>
      <c r="G56" s="30" t="str">
        <f>IFERROR(__xludf.DUMMYFUNCTION("""COMPUTED_VALUE"""),"Email Account/ TraderID Recognized")</f>
        <v>Email Account/ TraderID Recognized</v>
      </c>
      <c r="H56" s="119" t="str">
        <f>IFERROR(__xludf.DUMMYFUNCTION("""COMPUTED_VALUE"""),"IXIC")</f>
        <v>IXIC</v>
      </c>
      <c r="I56" s="30">
        <f>IFERROR(__xludf.DUMMYFUNCTION("""COMPUTED_VALUE"""),10.0)</f>
        <v>10</v>
      </c>
      <c r="J56" s="30"/>
      <c r="K56" s="30" t="str">
        <f>IFERROR(__xludf.DUMMYFUNCTION("""COMPUTED_VALUE"""),"QTY, Limit Price (if any) &amp; Password input correct")</f>
        <v>QTY, Limit Price (if any) &amp; Password input correct</v>
      </c>
      <c r="L56" s="30" t="str">
        <f>IFERROR(__xludf.DUMMYFUNCTION("""COMPUTED_VALUE"""),"Order rejected due to wrong ticker code. need to find proper index ETFs")</f>
        <v>Order rejected due to wrong ticker code. need to find proper index ETFs</v>
      </c>
    </row>
    <row r="57">
      <c r="A57" s="5"/>
      <c r="B57" s="118">
        <f>IFERROR(__xludf.DUMMYFUNCTION("""COMPUTED_VALUE"""),44604.05136695602)</f>
        <v>44604.05137</v>
      </c>
      <c r="C57" s="120" t="str">
        <f>IFERROR(__xludf.DUMMYFUNCTION("""COMPUTED_VALUE"""),"")</f>
        <v/>
      </c>
      <c r="D57" s="5" t="str">
        <f>IFERROR(__xludf.DUMMYFUNCTION("""COMPUTED_VALUE"""),"39857")</f>
        <v>39857</v>
      </c>
      <c r="E57" s="5" t="str">
        <f>IFERROR(__xludf.DUMMYFUNCTION("""COMPUTED_VALUE"""),"Stock")</f>
        <v>Stock</v>
      </c>
      <c r="F57" s="5" t="str">
        <f>IFERROR(__xludf.DUMMYFUNCTION("""COMPUTED_VALUE"""),"error")</f>
        <v>error</v>
      </c>
      <c r="G57" s="30" t="str">
        <f>IFERROR(__xludf.DUMMYFUNCTION("""COMPUTED_VALUE"""),"Email Account/ TraderID Recognized")</f>
        <v>Email Account/ TraderID Recognized</v>
      </c>
      <c r="H57" s="119" t="str">
        <f>IFERROR(__xludf.DUMMYFUNCTION("""COMPUTED_VALUE"""),"Tesla, Inc. (TSLA)")</f>
        <v>Tesla, Inc. (TSLA)</v>
      </c>
      <c r="I57" s="30">
        <f>IFERROR(__xludf.DUMMYFUNCTION("""COMPUTED_VALUE"""),2.0)</f>
        <v>2</v>
      </c>
      <c r="J57" s="30">
        <f>IFERROR(__xludf.DUMMYFUNCTION("""COMPUTED_VALUE"""),892.0)</f>
        <v>892</v>
      </c>
      <c r="K57" s="30" t="str">
        <f>IFERROR(__xludf.DUMMYFUNCTION("""COMPUTED_VALUE"""),"QTY, Limit Price (if any) &amp; Password input correct")</f>
        <v>QTY, Limit Price (if any) &amp; Password input correct</v>
      </c>
      <c r="L57" s="30" t="str">
        <f>IFERROR(__xludf.DUMMYFUNCTION("""COMPUTED_VALUE"""),"Order rejected due to wrong ticker code. just need to type in TSLA")</f>
        <v>Order rejected due to wrong ticker code. just need to type in TSLA</v>
      </c>
    </row>
    <row r="58">
      <c r="A58" s="5"/>
      <c r="B58" s="118">
        <f>IFERROR(__xludf.DUMMYFUNCTION("""COMPUTED_VALUE"""),44604.79494740741)</f>
        <v>44604.79495</v>
      </c>
      <c r="C58" s="120" t="str">
        <f>IFERROR(__xludf.DUMMYFUNCTION("""COMPUTED_VALUE"""),"")</f>
        <v/>
      </c>
      <c r="D58" s="5" t="str">
        <f>IFERROR(__xludf.DUMMYFUNCTION("""COMPUTED_VALUE"""),"76796")</f>
        <v>76796</v>
      </c>
      <c r="E58" s="5" t="str">
        <f>IFERROR(__xludf.DUMMYFUNCTION("""COMPUTED_VALUE"""),"Stock")</f>
        <v>Stock</v>
      </c>
      <c r="F58" s="5" t="str">
        <f>IFERROR(__xludf.DUMMYFUNCTION("""COMPUTED_VALUE"""),"error")</f>
        <v>error</v>
      </c>
      <c r="G58" s="30" t="str">
        <f>IFERROR(__xludf.DUMMYFUNCTION("""COMPUTED_VALUE"""),"Email Account/ TraderID Recognized")</f>
        <v>Email Account/ TraderID Recognized</v>
      </c>
      <c r="H58" s="119" t="str">
        <f>IFERROR(__xludf.DUMMYFUNCTION("""COMPUTED_VALUE"""),"02777")</f>
        <v>02777</v>
      </c>
      <c r="I58" s="30">
        <f>IFERROR(__xludf.DUMMYFUNCTION("""COMPUTED_VALUE"""),5000.0)</f>
        <v>5000</v>
      </c>
      <c r="J58" s="30"/>
      <c r="K58" s="30" t="str">
        <f>IFERROR(__xludf.DUMMYFUNCTION("""COMPUTED_VALUE"""),"Wrong Password Submitted, Order will be rejected")</f>
        <v>Wrong Password Submitted, Order will be rejected</v>
      </c>
      <c r="L58" s="30" t="str">
        <f>IFERROR(__xludf.DUMMYFUNCTION("""COMPUTED_VALUE"""),"Wrong Password &amp; Order rejected due to wrong ticker code. just need to type in 2777.HK")</f>
        <v>Wrong Password &amp; Order rejected due to wrong ticker code. just need to type in 2777.HK</v>
      </c>
    </row>
    <row r="59">
      <c r="A59" s="5"/>
      <c r="B59" s="118">
        <f>IFERROR(__xludf.DUMMYFUNCTION("""COMPUTED_VALUE"""),44604.900050439814)</f>
        <v>44604.90005</v>
      </c>
      <c r="C59" s="120">
        <f>IFERROR(__xludf.DUMMYFUNCTION("""COMPUTED_VALUE"""),44605.666666666664)</f>
        <v>44605.66667</v>
      </c>
      <c r="D59" s="5" t="str">
        <f>IFERROR(__xludf.DUMMYFUNCTION("""COMPUTED_VALUE"""),"")</f>
        <v/>
      </c>
      <c r="E59" s="5" t="str">
        <f>IFERROR(__xludf.DUMMYFUNCTION("""COMPUTED_VALUE"""),"Time Deposit")</f>
        <v>Time Deposit</v>
      </c>
      <c r="F59" s="5" t="str">
        <f>IFERROR(__xludf.DUMMYFUNCTION("""COMPUTED_VALUE"""),"HKD")</f>
        <v>HKD</v>
      </c>
      <c r="G59" s="30" t="str">
        <f>IFERROR(__xludf.DUMMYFUNCTION("""COMPUTED_VALUE"""),"s124xxxxxx@nonHKMUemail")</f>
        <v>s124xxxxxx@nonHKMUemail</v>
      </c>
      <c r="H59" s="119" t="str">
        <f>IFERROR(__xludf.DUMMYFUNCTION("""COMPUTED_VALUE"""),"3m")</f>
        <v>3m</v>
      </c>
      <c r="I59" s="30">
        <f>IFERROR(__xludf.DUMMYFUNCTION("""COMPUTED_VALUE"""),100000.0)</f>
        <v>100000</v>
      </c>
      <c r="J59" s="30"/>
      <c r="K59" s="30" t="str">
        <f>IFERROR(__xludf.DUMMYFUNCTION("""COMPUTED_VALUE"""),"QTY, Limit Price (if any) &amp; Password input correct")</f>
        <v>QTY, Limit Price (if any) &amp; Password input correct</v>
      </c>
      <c r="L59" s="30"/>
    </row>
    <row r="60">
      <c r="A60" s="5"/>
      <c r="B60" s="118">
        <f>IFERROR(__xludf.DUMMYFUNCTION("""COMPUTED_VALUE"""),44606.41289165509)</f>
        <v>44606.41289</v>
      </c>
      <c r="C60" s="120">
        <f>IFERROR(__xludf.DUMMYFUNCTION("""COMPUTED_VALUE"""),44606.666666666664)</f>
        <v>44606.66667</v>
      </c>
      <c r="D60" s="5" t="str">
        <f>IFERROR(__xludf.DUMMYFUNCTION("""COMPUTED_VALUE"""),"35577")</f>
        <v>35577</v>
      </c>
      <c r="E60" s="5" t="str">
        <f>IFERROR(__xludf.DUMMYFUNCTION("""COMPUTED_VALUE"""),"Time Deposit")</f>
        <v>Time Deposit</v>
      </c>
      <c r="F60" s="5" t="str">
        <f>IFERROR(__xludf.DUMMYFUNCTION("""COMPUTED_VALUE"""),"HKD")</f>
        <v>HKD</v>
      </c>
      <c r="G60" s="30" t="str">
        <f>IFERROR(__xludf.DUMMYFUNCTION("""COMPUTED_VALUE"""),"Email Account/ TraderID Recognized")</f>
        <v>Email Account/ TraderID Recognized</v>
      </c>
      <c r="H60" s="119" t="str">
        <f>IFERROR(__xludf.DUMMYFUNCTION("""COMPUTED_VALUE"""),"1m")</f>
        <v>1m</v>
      </c>
      <c r="I60" s="122">
        <f>IFERROR(__xludf.DUMMYFUNCTION("""COMPUTED_VALUE"""),50000.0)</f>
        <v>50000</v>
      </c>
      <c r="J60" s="30"/>
      <c r="K60" s="30" t="str">
        <f>IFERROR(__xludf.DUMMYFUNCTION("""COMPUTED_VALUE"""),"QTY, Limit Price (if any) &amp; Password input correct")</f>
        <v>QTY, Limit Price (if any) &amp; Password input correct</v>
      </c>
      <c r="L60" s="30"/>
    </row>
    <row r="61">
      <c r="A61" s="5"/>
      <c r="B61" s="118">
        <f>IFERROR(__xludf.DUMMYFUNCTION("""COMPUTED_VALUE"""),44606.46653020833)</f>
        <v>44606.46653</v>
      </c>
      <c r="C61" s="120">
        <f>IFERROR(__xludf.DUMMYFUNCTION("""COMPUTED_VALUE"""),44606.666666666664)</f>
        <v>44606.66667</v>
      </c>
      <c r="D61" s="5" t="str">
        <f>IFERROR(__xludf.DUMMYFUNCTION("""COMPUTED_VALUE"""),"35577")</f>
        <v>35577</v>
      </c>
      <c r="E61" s="5" t="str">
        <f>IFERROR(__xludf.DUMMYFUNCTION("""COMPUTED_VALUE"""),"Stock")</f>
        <v>Stock</v>
      </c>
      <c r="F61" s="5" t="str">
        <f>IFERROR(__xludf.DUMMYFUNCTION("""COMPUTED_VALUE"""),"USD")</f>
        <v>USD</v>
      </c>
      <c r="G61" s="30" t="str">
        <f>IFERROR(__xludf.DUMMYFUNCTION("""COMPUTED_VALUE"""),"Email Account/ TraderID Recognized")</f>
        <v>Email Account/ TraderID Recognized</v>
      </c>
      <c r="H61" s="119" t="str">
        <f>IFERROR(__xludf.DUMMYFUNCTION("""COMPUTED_VALUE"""),"VYGLX")</f>
        <v>VYGLX</v>
      </c>
      <c r="I61" s="30">
        <f>IFERROR(__xludf.DUMMYFUNCTION("""COMPUTED_VALUE"""),300.0)</f>
        <v>300</v>
      </c>
      <c r="J61" s="30">
        <f>IFERROR(__xludf.DUMMYFUNCTION("""COMPUTED_VALUE"""),12.51)</f>
        <v>12.51</v>
      </c>
      <c r="K61" s="30" t="str">
        <f>IFERROR(__xludf.DUMMYFUNCTION("""COMPUTED_VALUE"""),"QTY, Limit Price (if any) &amp; Password input correct")</f>
        <v>QTY, Limit Price (if any) &amp; Password input correct</v>
      </c>
      <c r="L61" s="30"/>
    </row>
    <row r="62">
      <c r="A62" s="5"/>
      <c r="B62" s="118">
        <f>IFERROR(__xludf.DUMMYFUNCTION("""COMPUTED_VALUE"""),44606.49763002315)</f>
        <v>44606.49763</v>
      </c>
      <c r="C62" s="120" t="str">
        <f>IFERROR(__xludf.DUMMYFUNCTION("""COMPUTED_VALUE"""),"")</f>
        <v/>
      </c>
      <c r="D62" s="5" t="str">
        <f>IFERROR(__xludf.DUMMYFUNCTION("""COMPUTED_VALUE"""),"40158")</f>
        <v>40158</v>
      </c>
      <c r="E62" s="5" t="str">
        <f>IFERROR(__xludf.DUMMYFUNCTION("""COMPUTED_VALUE"""),"Stock")</f>
        <v>Stock</v>
      </c>
      <c r="F62" s="5" t="str">
        <f>IFERROR(__xludf.DUMMYFUNCTION("""COMPUTED_VALUE"""),"error")</f>
        <v>error</v>
      </c>
      <c r="G62" s="30" t="str">
        <f>IFERROR(__xludf.DUMMYFUNCTION("""COMPUTED_VALUE"""),"Email Account/ TraderID Recognized")</f>
        <v>Email Account/ TraderID Recognized</v>
      </c>
      <c r="H62" s="119" t="str">
        <f>IFERROR(__xludf.DUMMYFUNCTION("""COMPUTED_VALUE"""),"HK2020")</f>
        <v>HK2020</v>
      </c>
      <c r="I62" s="30">
        <f>IFERROR(__xludf.DUMMYFUNCTION("""COMPUTED_VALUE"""),700.0)</f>
        <v>700</v>
      </c>
      <c r="J62" s="30">
        <f>IFERROR(__xludf.DUMMYFUNCTION("""COMPUTED_VALUE"""),128.2)</f>
        <v>128.2</v>
      </c>
      <c r="K62" s="30" t="str">
        <f>IFERROR(__xludf.DUMMYFUNCTION("""COMPUTED_VALUE"""),"QTY, Limit Price (if any) &amp; Password input correct")</f>
        <v>QTY, Limit Price (if any) &amp; Password input correct</v>
      </c>
      <c r="L62" s="30" t="str">
        <f>IFERROR(__xludf.DUMMYFUNCTION("""COMPUTED_VALUE"""),"Order rejected due to wrong ticker code. just need to type in 2020.HK")</f>
        <v>Order rejected due to wrong ticker code. just need to type in 2020.HK</v>
      </c>
    </row>
    <row r="63">
      <c r="A63" s="5"/>
      <c r="B63" s="118">
        <f>IFERROR(__xludf.DUMMYFUNCTION("""COMPUTED_VALUE"""),44606.51954872685)</f>
        <v>44606.51955</v>
      </c>
      <c r="C63" s="120">
        <f>IFERROR(__xludf.DUMMYFUNCTION("""COMPUTED_VALUE"""),44606.625)</f>
        <v>44606.625</v>
      </c>
      <c r="D63" s="5" t="str">
        <f>IFERROR(__xludf.DUMMYFUNCTION("""COMPUTED_VALUE"""),"74641")</f>
        <v>74641</v>
      </c>
      <c r="E63" s="5" t="str">
        <f>IFERROR(__xludf.DUMMYFUNCTION("""COMPUTED_VALUE"""),"Stock")</f>
        <v>Stock</v>
      </c>
      <c r="F63" s="5" t="str">
        <f>IFERROR(__xludf.DUMMYFUNCTION("""COMPUTED_VALUE"""),"CNY")</f>
        <v>CNY</v>
      </c>
      <c r="G63" s="30" t="str">
        <f>IFERROR(__xludf.DUMMYFUNCTION("""COMPUTED_VALUE"""),"Email Account/ TraderID Recognized")</f>
        <v>Email Account/ TraderID Recognized</v>
      </c>
      <c r="H63" s="121" t="str">
        <f>IFERROR(__xludf.DUMMYFUNCTION("""COMPUTED_VALUE"""),"600986.ss")</f>
        <v>600986.ss</v>
      </c>
      <c r="I63" s="30">
        <f>IFERROR(__xludf.DUMMYFUNCTION("""COMPUTED_VALUE"""),1000.0)</f>
        <v>1000</v>
      </c>
      <c r="J63" s="122">
        <f>IFERROR(__xludf.DUMMYFUNCTION("""COMPUTED_VALUE"""),6.74)</f>
        <v>6.74</v>
      </c>
      <c r="K63" s="122" t="str">
        <f>IFERROR(__xludf.DUMMYFUNCTION("""COMPUTED_VALUE"""),"QTY, Limit Price (if any) &amp; Password input correct")</f>
        <v>QTY, Limit Price (if any) &amp; Password input correct</v>
      </c>
      <c r="L63" s="122"/>
    </row>
    <row r="64">
      <c r="A64" s="5"/>
      <c r="B64" s="118">
        <f>IFERROR(__xludf.DUMMYFUNCTION("""COMPUTED_VALUE"""),44606.53363938657)</f>
        <v>44606.53364</v>
      </c>
      <c r="C64" s="120" t="str">
        <f>IFERROR(__xludf.DUMMYFUNCTION("""COMPUTED_VALUE"""),"")</f>
        <v/>
      </c>
      <c r="D64" s="5" t="str">
        <f>IFERROR(__xludf.DUMMYFUNCTION("""COMPUTED_VALUE"""),"76975")</f>
        <v>76975</v>
      </c>
      <c r="E64" s="5" t="str">
        <f>IFERROR(__xludf.DUMMYFUNCTION("""COMPUTED_VALUE"""),"Stock")</f>
        <v>Stock</v>
      </c>
      <c r="F64" s="5" t="str">
        <f>IFERROR(__xludf.DUMMYFUNCTION("""COMPUTED_VALUE"""),"error")</f>
        <v>error</v>
      </c>
      <c r="G64" s="30" t="str">
        <f>IFERROR(__xludf.DUMMYFUNCTION("""COMPUTED_VALUE"""),"Email Account/ TraderID Recognized")</f>
        <v>Email Account/ TraderID Recognized</v>
      </c>
      <c r="H64" s="119" t="str">
        <f>IFERROR(__xludf.DUMMYFUNCTION("""COMPUTED_VALUE"""),"Tencent 00700.HK")</f>
        <v>Tencent 00700.HK</v>
      </c>
      <c r="I64" s="30">
        <f>IFERROR(__xludf.DUMMYFUNCTION("""COMPUTED_VALUE"""),212.0)</f>
        <v>212</v>
      </c>
      <c r="J64" s="30">
        <f>IFERROR(__xludf.DUMMYFUNCTION("""COMPUTED_VALUE"""),500.0)</f>
        <v>500</v>
      </c>
      <c r="K64" s="30" t="str">
        <f>IFERROR(__xludf.DUMMYFUNCTION("""COMPUTED_VALUE"""),"QTY, Limit Price (if any) &amp; Password input correct")</f>
        <v>QTY, Limit Price (if any) &amp; Password input correct</v>
      </c>
      <c r="L64" s="30" t="str">
        <f>IFERROR(__xludf.DUMMYFUNCTION("""COMPUTED_VALUE"""),"Order rejected due to wrong ticker code. just need to type in 0700.HK")</f>
        <v>Order rejected due to wrong ticker code. just need to type in 0700.HK</v>
      </c>
    </row>
    <row r="65">
      <c r="A65" s="5"/>
      <c r="B65" s="118">
        <f>IFERROR(__xludf.DUMMYFUNCTION("""COMPUTED_VALUE"""),44606.54043196759)</f>
        <v>44606.54043</v>
      </c>
      <c r="C65" s="120" t="str">
        <f>IFERROR(__xludf.DUMMYFUNCTION("""COMPUTED_VALUE"""),"")</f>
        <v/>
      </c>
      <c r="D65" s="5" t="str">
        <f>IFERROR(__xludf.DUMMYFUNCTION("""COMPUTED_VALUE"""),"75288")</f>
        <v>75288</v>
      </c>
      <c r="E65" s="5" t="str">
        <f>IFERROR(__xludf.DUMMYFUNCTION("""COMPUTED_VALUE"""),"Stock")</f>
        <v>Stock</v>
      </c>
      <c r="F65" s="5" t="str">
        <f>IFERROR(__xludf.DUMMYFUNCTION("""COMPUTED_VALUE"""),"error")</f>
        <v>error</v>
      </c>
      <c r="G65" s="30" t="str">
        <f>IFERROR(__xludf.DUMMYFUNCTION("""COMPUTED_VALUE"""),"Email Account/ TraderID Recognized")</f>
        <v>Email Account/ TraderID Recognized</v>
      </c>
      <c r="H65" s="119" t="str">
        <f>IFERROR(__xludf.DUMMYFUNCTION("""COMPUTED_VALUE"""),"Tencent 00700.HK")</f>
        <v>Tencent 00700.HK</v>
      </c>
      <c r="I65" s="30">
        <f>IFERROR(__xludf.DUMMYFUNCTION("""COMPUTED_VALUE"""),212.0)</f>
        <v>212</v>
      </c>
      <c r="J65" s="30">
        <f>IFERROR(__xludf.DUMMYFUNCTION("""COMPUTED_VALUE"""),490.0)</f>
        <v>490</v>
      </c>
      <c r="K65" s="30" t="str">
        <f>IFERROR(__xludf.DUMMYFUNCTION("""COMPUTED_VALUE"""),"QTY, Limit Price (if any) &amp; Password input correct")</f>
        <v>QTY, Limit Price (if any) &amp; Password input correct</v>
      </c>
      <c r="L65" s="30" t="str">
        <f>IFERROR(__xludf.DUMMYFUNCTION("""COMPUTED_VALUE"""),"Order rejected due to wrong ticker code. just need to type in 0700.HK")</f>
        <v>Order rejected due to wrong ticker code. just need to type in 0700.HK</v>
      </c>
    </row>
    <row r="66">
      <c r="A66" s="5"/>
      <c r="B66" s="118">
        <f>IFERROR(__xludf.DUMMYFUNCTION("""COMPUTED_VALUE"""),44606.64646503472)</f>
        <v>44606.64647</v>
      </c>
      <c r="C66" s="120">
        <f>IFERROR(__xludf.DUMMYFUNCTION("""COMPUTED_VALUE"""),44606.666666666664)</f>
        <v>44606.66667</v>
      </c>
      <c r="D66" s="5" t="str">
        <f>IFERROR(__xludf.DUMMYFUNCTION("""COMPUTED_VALUE"""),"39494")</f>
        <v>39494</v>
      </c>
      <c r="E66" s="5" t="str">
        <f>IFERROR(__xludf.DUMMYFUNCTION("""COMPUTED_VALUE"""),"Stock")</f>
        <v>Stock</v>
      </c>
      <c r="F66" s="5" t="str">
        <f>IFERROR(__xludf.DUMMYFUNCTION("""COMPUTED_VALUE"""),"USD")</f>
        <v>USD</v>
      </c>
      <c r="G66" s="30" t="str">
        <f>IFERROR(__xludf.DUMMYFUNCTION("""COMPUTED_VALUE"""),"Email Account/ TraderID Recognized")</f>
        <v>Email Account/ TraderID Recognized</v>
      </c>
      <c r="H66" s="119" t="str">
        <f>IFERROR(__xludf.DUMMYFUNCTION("""COMPUTED_VALUE"""),"MSFT")</f>
        <v>MSFT</v>
      </c>
      <c r="I66" s="30">
        <f>IFERROR(__xludf.DUMMYFUNCTION("""COMPUTED_VALUE"""),3.0)</f>
        <v>3</v>
      </c>
      <c r="J66" s="30"/>
      <c r="K66" s="30" t="str">
        <f>IFERROR(__xludf.DUMMYFUNCTION("""COMPUTED_VALUE"""),"QTY, Limit Price (if any) &amp; Password input correct")</f>
        <v>QTY, Limit Price (if any) &amp; Password input correct</v>
      </c>
      <c r="L66" s="30"/>
    </row>
    <row r="67">
      <c r="A67" s="5"/>
      <c r="B67" s="118">
        <f>IFERROR(__xludf.DUMMYFUNCTION("""COMPUTED_VALUE"""),44606.647903854166)</f>
        <v>44606.6479</v>
      </c>
      <c r="C67" s="120">
        <f>IFERROR(__xludf.DUMMYFUNCTION("""COMPUTED_VALUE"""),44606.729166666664)</f>
        <v>44606.72917</v>
      </c>
      <c r="D67" s="5" t="str">
        <f>IFERROR(__xludf.DUMMYFUNCTION("""COMPUTED_VALUE"""),"39494")</f>
        <v>39494</v>
      </c>
      <c r="E67" s="5" t="str">
        <f>IFERROR(__xludf.DUMMYFUNCTION("""COMPUTED_VALUE"""),"Stock")</f>
        <v>Stock</v>
      </c>
      <c r="F67" s="5" t="str">
        <f>IFERROR(__xludf.DUMMYFUNCTION("""COMPUTED_VALUE"""),"EUR")</f>
        <v>EUR</v>
      </c>
      <c r="G67" s="30" t="str">
        <f>IFERROR(__xludf.DUMMYFUNCTION("""COMPUTED_VALUE"""),"Email Account/ TraderID Recognized")</f>
        <v>Email Account/ TraderID Recognized</v>
      </c>
      <c r="H67" s="121" t="str">
        <f>IFERROR(__xludf.DUMMYFUNCTION("""COMPUTED_VALUE"""),"UBI.PA")</f>
        <v>UBI.PA</v>
      </c>
      <c r="I67" s="30">
        <f>IFERROR(__xludf.DUMMYFUNCTION("""COMPUTED_VALUE"""),5.0)</f>
        <v>5</v>
      </c>
      <c r="J67" s="30"/>
      <c r="K67" s="30" t="str">
        <f>IFERROR(__xludf.DUMMYFUNCTION("""COMPUTED_VALUE"""),"QTY, Limit Price (if any) &amp; Password input correct")</f>
        <v>QTY, Limit Price (if any) &amp; Password input correct</v>
      </c>
      <c r="L67" s="30"/>
    </row>
    <row r="68">
      <c r="A68" s="5"/>
      <c r="B68" s="118">
        <f>IFERROR(__xludf.DUMMYFUNCTION("""COMPUTED_VALUE"""),44606.71474667824)</f>
        <v>44606.71475</v>
      </c>
      <c r="C68" s="120" t="str">
        <f>IFERROR(__xludf.DUMMYFUNCTION("""COMPUTED_VALUE"""),"")</f>
        <v/>
      </c>
      <c r="D68" s="5" t="str">
        <f>IFERROR(__xludf.DUMMYFUNCTION("""COMPUTED_VALUE"""),"70628")</f>
        <v>70628</v>
      </c>
      <c r="E68" s="5" t="str">
        <f>IFERROR(__xludf.DUMMYFUNCTION("""COMPUTED_VALUE"""),"Stock")</f>
        <v>Stock</v>
      </c>
      <c r="F68" s="5" t="str">
        <f>IFERROR(__xludf.DUMMYFUNCTION("""COMPUTED_VALUE"""),"error")</f>
        <v>error</v>
      </c>
      <c r="G68" s="30" t="str">
        <f>IFERROR(__xludf.DUMMYFUNCTION("""COMPUTED_VALUE"""),"Email Account/ TraderID Recognized")</f>
        <v>Email Account/ TraderID Recognized</v>
      </c>
      <c r="H68" s="119" t="str">
        <f>IFERROR(__xludf.DUMMYFUNCTION("""COMPUTED_VALUE"""),"02333")</f>
        <v>02333</v>
      </c>
      <c r="I68" s="30" t="str">
        <f>IFERROR(__xludf.DUMMYFUNCTION("""COMPUTED_VALUE"""),"02333")</f>
        <v>02333</v>
      </c>
      <c r="J68" s="30">
        <f>IFERROR(__xludf.DUMMYFUNCTION("""COMPUTED_VALUE"""),19.36)</f>
        <v>19.36</v>
      </c>
      <c r="K68" s="30" t="str">
        <f>IFERROR(__xludf.DUMMYFUNCTION("""COMPUTED_VALUE"""),"Non-number input in Quantity or Limit Price")</f>
        <v>Non-number input in Quantity or Limit Price</v>
      </c>
      <c r="L68" s="30" t="str">
        <f>IFERROR(__xludf.DUMMYFUNCTION("""COMPUTED_VALUE"""),"Order rejected due to wrong ticker code. just need to type in 2333.HK")</f>
        <v>Order rejected due to wrong ticker code. just need to type in 2333.HK</v>
      </c>
    </row>
    <row r="69">
      <c r="A69" s="5"/>
      <c r="B69" s="118">
        <f>IFERROR(__xludf.DUMMYFUNCTION("""COMPUTED_VALUE"""),44606.71546847222)</f>
        <v>44606.71547</v>
      </c>
      <c r="C69" s="120" t="str">
        <f>IFERROR(__xludf.DUMMYFUNCTION("""COMPUTED_VALUE"""),"")</f>
        <v/>
      </c>
      <c r="D69" s="5" t="str">
        <f>IFERROR(__xludf.DUMMYFUNCTION("""COMPUTED_VALUE"""),"70628")</f>
        <v>70628</v>
      </c>
      <c r="E69" s="5" t="str">
        <f>IFERROR(__xludf.DUMMYFUNCTION("""COMPUTED_VALUE"""),"Stock")</f>
        <v>Stock</v>
      </c>
      <c r="F69" s="5" t="str">
        <f>IFERROR(__xludf.DUMMYFUNCTION("""COMPUTED_VALUE"""),"error")</f>
        <v>error</v>
      </c>
      <c r="G69" s="30" t="str">
        <f>IFERROR(__xludf.DUMMYFUNCTION("""COMPUTED_VALUE"""),"Email Account/ TraderID Recognized")</f>
        <v>Email Account/ TraderID Recognized</v>
      </c>
      <c r="H69" s="119" t="str">
        <f>IFERROR(__xludf.DUMMYFUNCTION("""COMPUTED_VALUE"""),"01776")</f>
        <v>01776</v>
      </c>
      <c r="I69" s="30">
        <f>IFERROR(__xludf.DUMMYFUNCTION("""COMPUTED_VALUE"""),1000.0)</f>
        <v>1000</v>
      </c>
      <c r="J69" s="30">
        <f>IFERROR(__xludf.DUMMYFUNCTION("""COMPUTED_VALUE"""),12.98)</f>
        <v>12.98</v>
      </c>
      <c r="K69" s="30" t="str">
        <f>IFERROR(__xludf.DUMMYFUNCTION("""COMPUTED_VALUE"""),"QTY, Limit Price (if any) &amp; Password input correct")</f>
        <v>QTY, Limit Price (if any) &amp; Password input correct</v>
      </c>
      <c r="L69" s="30" t="str">
        <f>IFERROR(__xludf.DUMMYFUNCTION("""COMPUTED_VALUE"""),"Order rejected due to wrong ticker code. just need to type in 1776.HK")</f>
        <v>Order rejected due to wrong ticker code. just need to type in 1776.HK</v>
      </c>
    </row>
    <row r="70">
      <c r="A70" s="5"/>
      <c r="B70" s="118">
        <f>IFERROR(__xludf.DUMMYFUNCTION("""COMPUTED_VALUE"""),44607.52577648148)</f>
        <v>44607.52578</v>
      </c>
      <c r="C70" s="120" t="str">
        <f>IFERROR(__xludf.DUMMYFUNCTION("""COMPUTED_VALUE"""),"")</f>
        <v/>
      </c>
      <c r="D70" s="5" t="str">
        <f>IFERROR(__xludf.DUMMYFUNCTION("""COMPUTED_VALUE"""),"36460")</f>
        <v>36460</v>
      </c>
      <c r="E70" s="5" t="str">
        <f>IFERROR(__xludf.DUMMYFUNCTION("""COMPUTED_VALUE"""),"Stock")</f>
        <v>Stock</v>
      </c>
      <c r="F70" s="5" t="str">
        <f>IFERROR(__xludf.DUMMYFUNCTION("""COMPUTED_VALUE"""),"error")</f>
        <v>error</v>
      </c>
      <c r="G70" s="30" t="str">
        <f>IFERROR(__xludf.DUMMYFUNCTION("""COMPUTED_VALUE"""),"Email Account/ TraderID Recognized")</f>
        <v>Email Account/ TraderID Recognized</v>
      </c>
      <c r="H70" s="119" t="str">
        <f>IFERROR(__xludf.DUMMYFUNCTION("""COMPUTED_VALUE"""),"603259")</f>
        <v>603259</v>
      </c>
      <c r="I70" s="30">
        <f>IFERROR(__xludf.DUMMYFUNCTION("""COMPUTED_VALUE"""),100.0)</f>
        <v>100</v>
      </c>
      <c r="J70" s="30" t="str">
        <f>IFERROR(__xludf.DUMMYFUNCTION("""COMPUTED_VALUE"""),"Limit Sell@100 Limit Buy@90")</f>
        <v>Limit Sell@100 Limit Buy@90</v>
      </c>
      <c r="K70" s="30" t="str">
        <f>IFERROR(__xludf.DUMMYFUNCTION("""COMPUTED_VALUE"""),"Non-number input in Quantity or Limit Price")</f>
        <v>Non-number input in Quantity or Limit Price</v>
      </c>
      <c r="L70" s="30" t="str">
        <f>IFERROR(__xludf.DUMMYFUNCTION("""COMPUTED_VALUE"""),"Order rejected due to wrong ticker code. just need to type in 603259.SS")</f>
        <v>Order rejected due to wrong ticker code. just need to type in 603259.SS</v>
      </c>
    </row>
    <row r="71">
      <c r="A71" s="5"/>
      <c r="B71" s="118">
        <f>IFERROR(__xludf.DUMMYFUNCTION("""COMPUTED_VALUE"""),44607.54478378472)</f>
        <v>44607.54478</v>
      </c>
      <c r="C71" s="120" t="str">
        <f>IFERROR(__xludf.DUMMYFUNCTION("""COMPUTED_VALUE"""),"")</f>
        <v/>
      </c>
      <c r="D71" s="5" t="str">
        <f>IFERROR(__xludf.DUMMYFUNCTION("""COMPUTED_VALUE"""),"70628")</f>
        <v>70628</v>
      </c>
      <c r="E71" s="5" t="str">
        <f>IFERROR(__xludf.DUMMYFUNCTION("""COMPUTED_VALUE"""),"Stock")</f>
        <v>Stock</v>
      </c>
      <c r="F71" s="5" t="str">
        <f>IFERROR(__xludf.DUMMYFUNCTION("""COMPUTED_VALUE"""),"error")</f>
        <v>error</v>
      </c>
      <c r="G71" s="30" t="str">
        <f>IFERROR(__xludf.DUMMYFUNCTION("""COMPUTED_VALUE"""),"Email Account/ TraderID Recognized")</f>
        <v>Email Account/ TraderID Recognized</v>
      </c>
      <c r="H71" s="119" t="str">
        <f>IFERROR(__xludf.DUMMYFUNCTION("""COMPUTED_VALUE"""),"3339")</f>
        <v>3339</v>
      </c>
      <c r="I71" s="30">
        <f>IFERROR(__xludf.DUMMYFUNCTION("""COMPUTED_VALUE"""),10000.0)</f>
        <v>10000</v>
      </c>
      <c r="J71" s="30">
        <f>IFERROR(__xludf.DUMMYFUNCTION("""COMPUTED_VALUE"""),2.1)</f>
        <v>2.1</v>
      </c>
      <c r="K71" s="30" t="str">
        <f>IFERROR(__xludf.DUMMYFUNCTION("""COMPUTED_VALUE"""),"QTY, Limit Price (if any) &amp; Password input correct")</f>
        <v>QTY, Limit Price (if any) &amp; Password input correct</v>
      </c>
      <c r="L71" s="30" t="str">
        <f>IFERROR(__xludf.DUMMYFUNCTION("""COMPUTED_VALUE"""),"Order rejected due to wrong ticker code. just need to type in 3339.HK")</f>
        <v>Order rejected due to wrong ticker code. just need to type in 3339.HK</v>
      </c>
    </row>
    <row r="72">
      <c r="A72" s="5"/>
      <c r="B72" s="118">
        <f>IFERROR(__xludf.DUMMYFUNCTION("""COMPUTED_VALUE"""),44607.54578049769)</f>
        <v>44607.54578</v>
      </c>
      <c r="C72" s="120" t="str">
        <f>IFERROR(__xludf.DUMMYFUNCTION("""COMPUTED_VALUE"""),"")</f>
        <v/>
      </c>
      <c r="D72" s="5" t="str">
        <f>IFERROR(__xludf.DUMMYFUNCTION("""COMPUTED_VALUE"""),"70628")</f>
        <v>70628</v>
      </c>
      <c r="E72" s="5" t="str">
        <f>IFERROR(__xludf.DUMMYFUNCTION("""COMPUTED_VALUE"""),"Stock")</f>
        <v>Stock</v>
      </c>
      <c r="F72" s="5" t="str">
        <f>IFERROR(__xludf.DUMMYFUNCTION("""COMPUTED_VALUE"""),"error")</f>
        <v>error</v>
      </c>
      <c r="G72" s="30" t="str">
        <f>IFERROR(__xludf.DUMMYFUNCTION("""COMPUTED_VALUE"""),"Email Account/ TraderID Recognized")</f>
        <v>Email Account/ TraderID Recognized</v>
      </c>
      <c r="H72" s="119" t="str">
        <f>IFERROR(__xludf.DUMMYFUNCTION("""COMPUTED_VALUE"""),"02333")</f>
        <v>02333</v>
      </c>
      <c r="I72" s="30">
        <f>IFERROR(__xludf.DUMMYFUNCTION("""COMPUTED_VALUE"""),5000.0)</f>
        <v>5000</v>
      </c>
      <c r="J72" s="30">
        <f>IFERROR(__xludf.DUMMYFUNCTION("""COMPUTED_VALUE"""),19.0)</f>
        <v>19</v>
      </c>
      <c r="K72" s="30" t="str">
        <f>IFERROR(__xludf.DUMMYFUNCTION("""COMPUTED_VALUE"""),"QTY, Limit Price (if any) &amp; Password input correct")</f>
        <v>QTY, Limit Price (if any) &amp; Password input correct</v>
      </c>
      <c r="L72" s="30" t="str">
        <f>IFERROR(__xludf.DUMMYFUNCTION("""COMPUTED_VALUE"""),"Order rejected due to wrong ticker code. just need to type in 2333.HK")</f>
        <v>Order rejected due to wrong ticker code. just need to type in 2333.HK</v>
      </c>
    </row>
    <row r="73">
      <c r="A73" s="5"/>
      <c r="B73" s="118">
        <f>IFERROR(__xludf.DUMMYFUNCTION("""COMPUTED_VALUE"""),44607.54895788194)</f>
        <v>44607.54896</v>
      </c>
      <c r="C73" s="120" t="str">
        <f>IFERROR(__xludf.DUMMYFUNCTION("""COMPUTED_VALUE"""),"")</f>
        <v/>
      </c>
      <c r="D73" s="5" t="str">
        <f>IFERROR(__xludf.DUMMYFUNCTION("""COMPUTED_VALUE"""),"70628")</f>
        <v>70628</v>
      </c>
      <c r="E73" s="5" t="str">
        <f>IFERROR(__xludf.DUMMYFUNCTION("""COMPUTED_VALUE"""),"Stock")</f>
        <v>Stock</v>
      </c>
      <c r="F73" s="5" t="str">
        <f>IFERROR(__xludf.DUMMYFUNCTION("""COMPUTED_VALUE"""),"error")</f>
        <v>error</v>
      </c>
      <c r="G73" s="30" t="str">
        <f>IFERROR(__xludf.DUMMYFUNCTION("""COMPUTED_VALUE"""),"Email Account/ TraderID Recognized")</f>
        <v>Email Account/ TraderID Recognized</v>
      </c>
      <c r="H73" s="119" t="str">
        <f>IFERROR(__xludf.DUMMYFUNCTION("""COMPUTED_VALUE"""),"3339")</f>
        <v>3339</v>
      </c>
      <c r="I73" s="30">
        <f>IFERROR(__xludf.DUMMYFUNCTION("""COMPUTED_VALUE"""),50000.0)</f>
        <v>50000</v>
      </c>
      <c r="J73" s="30">
        <f>IFERROR(__xludf.DUMMYFUNCTION("""COMPUTED_VALUE"""),2.09)</f>
        <v>2.09</v>
      </c>
      <c r="K73" s="30" t="str">
        <f>IFERROR(__xludf.DUMMYFUNCTION("""COMPUTED_VALUE"""),"QTY, Limit Price (if any) &amp; Password input correct")</f>
        <v>QTY, Limit Price (if any) &amp; Password input correct</v>
      </c>
      <c r="L73" s="30" t="str">
        <f>IFERROR(__xludf.DUMMYFUNCTION("""COMPUTED_VALUE"""),"Order rejected due to wrong ticker code. just need to type in 3339.HK")</f>
        <v>Order rejected due to wrong ticker code. just need to type in 3339.HK</v>
      </c>
    </row>
    <row r="74">
      <c r="A74" s="5"/>
      <c r="B74" s="118">
        <f>IFERROR(__xludf.DUMMYFUNCTION("""COMPUTED_VALUE"""),44607.56254378472)</f>
        <v>44607.56254</v>
      </c>
      <c r="C74" s="120">
        <f>IFERROR(__xludf.DUMMYFUNCTION("""COMPUTED_VALUE"""),44607.666666666664)</f>
        <v>44607.66667</v>
      </c>
      <c r="D74" s="5" t="str">
        <f>IFERROR(__xludf.DUMMYFUNCTION("""COMPUTED_VALUE"""),"70628")</f>
        <v>70628</v>
      </c>
      <c r="E74" s="5" t="str">
        <f>IFERROR(__xludf.DUMMYFUNCTION("""COMPUTED_VALUE"""),"Stock")</f>
        <v>Stock</v>
      </c>
      <c r="F74" s="5" t="str">
        <f>IFERROR(__xludf.DUMMYFUNCTION("""COMPUTED_VALUE"""),"HKD")</f>
        <v>HKD</v>
      </c>
      <c r="G74" s="30" t="str">
        <f>IFERROR(__xludf.DUMMYFUNCTION("""COMPUTED_VALUE"""),"Email Account/ TraderID Recognized")</f>
        <v>Email Account/ TraderID Recognized</v>
      </c>
      <c r="H74" s="121" t="str">
        <f>IFERROR(__xludf.DUMMYFUNCTION("""COMPUTED_VALUE"""),"2333.HK")</f>
        <v>2333.HK</v>
      </c>
      <c r="I74" s="30">
        <f>IFERROR(__xludf.DUMMYFUNCTION("""COMPUTED_VALUE"""),5000.0)</f>
        <v>5000</v>
      </c>
      <c r="J74" s="30">
        <f>IFERROR(__xludf.DUMMYFUNCTION("""COMPUTED_VALUE"""),18.8)</f>
        <v>18.8</v>
      </c>
      <c r="K74" s="30" t="str">
        <f>IFERROR(__xludf.DUMMYFUNCTION("""COMPUTED_VALUE"""),"QTY, Limit Price (if any) &amp; Password input correct")</f>
        <v>QTY, Limit Price (if any) &amp; Password input correct</v>
      </c>
      <c r="L74" s="30"/>
    </row>
    <row r="75">
      <c r="A75" s="5"/>
      <c r="B75" s="118">
        <f>IFERROR(__xludf.DUMMYFUNCTION("""COMPUTED_VALUE"""),44607.56317630787)</f>
        <v>44607.56318</v>
      </c>
      <c r="C75" s="120">
        <f>IFERROR(__xludf.DUMMYFUNCTION("""COMPUTED_VALUE"""),44607.666666666664)</f>
        <v>44607.66667</v>
      </c>
      <c r="D75" s="5" t="str">
        <f>IFERROR(__xludf.DUMMYFUNCTION("""COMPUTED_VALUE"""),"70628")</f>
        <v>70628</v>
      </c>
      <c r="E75" s="5" t="str">
        <f>IFERROR(__xludf.DUMMYFUNCTION("""COMPUTED_VALUE"""),"Stock")</f>
        <v>Stock</v>
      </c>
      <c r="F75" s="5" t="str">
        <f>IFERROR(__xludf.DUMMYFUNCTION("""COMPUTED_VALUE"""),"HKD")</f>
        <v>HKD</v>
      </c>
      <c r="G75" s="30" t="str">
        <f>IFERROR(__xludf.DUMMYFUNCTION("""COMPUTED_VALUE"""),"Email Account/ TraderID Recognized")</f>
        <v>Email Account/ TraderID Recognized</v>
      </c>
      <c r="H75" s="121" t="str">
        <f>IFERROR(__xludf.DUMMYFUNCTION("""COMPUTED_VALUE"""),"3339.HK")</f>
        <v>3339.HK</v>
      </c>
      <c r="I75" s="30">
        <f>IFERROR(__xludf.DUMMYFUNCTION("""COMPUTED_VALUE"""),50000.0)</f>
        <v>50000</v>
      </c>
      <c r="J75" s="30">
        <f>IFERROR(__xludf.DUMMYFUNCTION("""COMPUTED_VALUE"""),2.08)</f>
        <v>2.08</v>
      </c>
      <c r="K75" s="30" t="str">
        <f>IFERROR(__xludf.DUMMYFUNCTION("""COMPUTED_VALUE"""),"QTY, Limit Price (if any) &amp; Password input correct")</f>
        <v>QTY, Limit Price (if any) &amp; Password input correct</v>
      </c>
      <c r="L75" s="30"/>
    </row>
    <row r="76">
      <c r="A76" s="5"/>
      <c r="B76" s="118">
        <f>IFERROR(__xludf.DUMMYFUNCTION("""COMPUTED_VALUE"""),44607.56501637731)</f>
        <v>44607.56502</v>
      </c>
      <c r="C76" s="120">
        <f>IFERROR(__xludf.DUMMYFUNCTION("""COMPUTED_VALUE"""),44607.666666666664)</f>
        <v>44607.66667</v>
      </c>
      <c r="D76" s="5" t="str">
        <f>IFERROR(__xludf.DUMMYFUNCTION("""COMPUTED_VALUE"""),"70628")</f>
        <v>70628</v>
      </c>
      <c r="E76" s="5" t="str">
        <f>IFERROR(__xludf.DUMMYFUNCTION("""COMPUTED_VALUE"""),"Stock")</f>
        <v>Stock</v>
      </c>
      <c r="F76" s="5" t="str">
        <f>IFERROR(__xludf.DUMMYFUNCTION("""COMPUTED_VALUE"""),"HKD")</f>
        <v>HKD</v>
      </c>
      <c r="G76" s="30" t="str">
        <f>IFERROR(__xludf.DUMMYFUNCTION("""COMPUTED_VALUE"""),"Email Account/ TraderID Recognized")</f>
        <v>Email Account/ TraderID Recognized</v>
      </c>
      <c r="H76" s="121" t="str">
        <f>IFERROR(__xludf.DUMMYFUNCTION("""COMPUTED_VALUE"""),"1610.HK")</f>
        <v>1610.HK</v>
      </c>
      <c r="I76" s="30">
        <f>IFERROR(__xludf.DUMMYFUNCTION("""COMPUTED_VALUE"""),20000.0)</f>
        <v>20000</v>
      </c>
      <c r="J76" s="30">
        <f>IFERROR(__xludf.DUMMYFUNCTION("""COMPUTED_VALUE"""),3.46)</f>
        <v>3.46</v>
      </c>
      <c r="K76" s="30" t="str">
        <f>IFERROR(__xludf.DUMMYFUNCTION("""COMPUTED_VALUE"""),"QTY, Limit Price (if any) &amp; Password input correct")</f>
        <v>QTY, Limit Price (if any) &amp; Password input correct</v>
      </c>
      <c r="L76" s="30"/>
    </row>
    <row r="77">
      <c r="A77" s="5"/>
      <c r="B77" s="118">
        <f>IFERROR(__xludf.DUMMYFUNCTION("""COMPUTED_VALUE"""),44607.57884335648)</f>
        <v>44607.57884</v>
      </c>
      <c r="C77" s="120">
        <f>IFERROR(__xludf.DUMMYFUNCTION("""COMPUTED_VALUE"""),44607.666666666664)</f>
        <v>44607.66667</v>
      </c>
      <c r="D77" s="5" t="str">
        <f>IFERROR(__xludf.DUMMYFUNCTION("""COMPUTED_VALUE"""),"40158")</f>
        <v>40158</v>
      </c>
      <c r="E77" s="5" t="str">
        <f>IFERROR(__xludf.DUMMYFUNCTION("""COMPUTED_VALUE"""),"Stock")</f>
        <v>Stock</v>
      </c>
      <c r="F77" s="5" t="str">
        <f>IFERROR(__xludf.DUMMYFUNCTION("""COMPUTED_VALUE"""),"HKD")</f>
        <v>HKD</v>
      </c>
      <c r="G77" s="30" t="str">
        <f>IFERROR(__xludf.DUMMYFUNCTION("""COMPUTED_VALUE"""),"Email Account/ TraderID Recognized")</f>
        <v>Email Account/ TraderID Recognized</v>
      </c>
      <c r="H77" s="121" t="str">
        <f>IFERROR(__xludf.DUMMYFUNCTION("""COMPUTED_VALUE"""),"2020.HK")</f>
        <v>2020.HK</v>
      </c>
      <c r="I77" s="30">
        <f>IFERROR(__xludf.DUMMYFUNCTION("""COMPUTED_VALUE"""),700.0)</f>
        <v>700</v>
      </c>
      <c r="J77" s="30">
        <f>IFERROR(__xludf.DUMMYFUNCTION("""COMPUTED_VALUE"""),129.6)</f>
        <v>129.6</v>
      </c>
      <c r="K77" s="30" t="str">
        <f>IFERROR(__xludf.DUMMYFUNCTION("""COMPUTED_VALUE"""),"QTY, Limit Price (if any) &amp; Password input correct")</f>
        <v>QTY, Limit Price (if any) &amp; Password input correct</v>
      </c>
      <c r="L77" s="30"/>
    </row>
    <row r="78">
      <c r="A78" s="5"/>
      <c r="B78" s="118">
        <f>IFERROR(__xludf.DUMMYFUNCTION("""COMPUTED_VALUE"""),44607.586935983796)</f>
        <v>44607.58694</v>
      </c>
      <c r="C78" s="120">
        <f>IFERROR(__xludf.DUMMYFUNCTION("""COMPUTED_VALUE"""),44607.666666666664)</f>
        <v>44607.66667</v>
      </c>
      <c r="D78" s="5" t="str">
        <f>IFERROR(__xludf.DUMMYFUNCTION("""COMPUTED_VALUE"""),"76796")</f>
        <v>76796</v>
      </c>
      <c r="E78" s="5" t="str">
        <f>IFERROR(__xludf.DUMMYFUNCTION("""COMPUTED_VALUE"""),"Stock")</f>
        <v>Stock</v>
      </c>
      <c r="F78" s="5" t="str">
        <f>IFERROR(__xludf.DUMMYFUNCTION("""COMPUTED_VALUE"""),"USD")</f>
        <v>USD</v>
      </c>
      <c r="G78" s="30" t="str">
        <f>IFERROR(__xludf.DUMMYFUNCTION("""COMPUTED_VALUE"""),"Email Account/ TraderID Recognized")</f>
        <v>Email Account/ TraderID Recognized</v>
      </c>
      <c r="H78" s="119" t="str">
        <f>IFERROR(__xludf.DUMMYFUNCTION("""COMPUTED_VALUE"""),"NVDA")</f>
        <v>NVDA</v>
      </c>
      <c r="I78" s="30">
        <f>IFERROR(__xludf.DUMMYFUNCTION("""COMPUTED_VALUE"""),500.0)</f>
        <v>500</v>
      </c>
      <c r="J78" s="30"/>
      <c r="K78" s="30" t="str">
        <f>IFERROR(__xludf.DUMMYFUNCTION("""COMPUTED_VALUE"""),"QTY, Limit Price (if any) &amp; Password input correct")</f>
        <v>QTY, Limit Price (if any) &amp; Password input correct</v>
      </c>
      <c r="L78" s="30"/>
    </row>
    <row r="79">
      <c r="A79" s="5"/>
      <c r="B79" s="118">
        <f>IFERROR(__xludf.DUMMYFUNCTION("""COMPUTED_VALUE"""),44607.61348837963)</f>
        <v>44607.61349</v>
      </c>
      <c r="C79" s="120">
        <f>IFERROR(__xludf.DUMMYFUNCTION("""COMPUTED_VALUE"""),44607.666666666664)</f>
        <v>44607.66667</v>
      </c>
      <c r="D79" s="5" t="str">
        <f>IFERROR(__xludf.DUMMYFUNCTION("""COMPUTED_VALUE"""),"70628")</f>
        <v>70628</v>
      </c>
      <c r="E79" s="5" t="str">
        <f>IFERROR(__xludf.DUMMYFUNCTION("""COMPUTED_VALUE"""),"Stock")</f>
        <v>Stock</v>
      </c>
      <c r="F79" s="5" t="str">
        <f>IFERROR(__xludf.DUMMYFUNCTION("""COMPUTED_VALUE"""),"HKD")</f>
        <v>HKD</v>
      </c>
      <c r="G79" s="30" t="str">
        <f>IFERROR(__xludf.DUMMYFUNCTION("""COMPUTED_VALUE"""),"Email Account/ TraderID Recognized")</f>
        <v>Email Account/ TraderID Recognized</v>
      </c>
      <c r="H79" s="121" t="str">
        <f>IFERROR(__xludf.DUMMYFUNCTION("""COMPUTED_VALUE"""),"1810.HK")</f>
        <v>1810.HK</v>
      </c>
      <c r="I79" s="30">
        <f>IFERROR(__xludf.DUMMYFUNCTION("""COMPUTED_VALUE"""),10000.0)</f>
        <v>10000</v>
      </c>
      <c r="J79" s="30">
        <f>IFERROR(__xludf.DUMMYFUNCTION("""COMPUTED_VALUE"""),16.26)</f>
        <v>16.26</v>
      </c>
      <c r="K79" s="30" t="str">
        <f>IFERROR(__xludf.DUMMYFUNCTION("""COMPUTED_VALUE"""),"QTY, Limit Price (if any) &amp; Password input correct")</f>
        <v>QTY, Limit Price (if any) &amp; Password input correct</v>
      </c>
      <c r="L79" s="30"/>
    </row>
    <row r="80">
      <c r="A80" s="5"/>
      <c r="B80" s="118">
        <f>IFERROR(__xludf.DUMMYFUNCTION("""COMPUTED_VALUE"""),44607.6642427662)</f>
        <v>44607.66424</v>
      </c>
      <c r="C80" s="120">
        <f>IFERROR(__xludf.DUMMYFUNCTION("""COMPUTED_VALUE"""),44607.666666666664)</f>
        <v>44607.66667</v>
      </c>
      <c r="D80" s="5" t="str">
        <f>IFERROR(__xludf.DUMMYFUNCTION("""COMPUTED_VALUE"""),"36221")</f>
        <v>36221</v>
      </c>
      <c r="E80" s="5" t="str">
        <f>IFERROR(__xludf.DUMMYFUNCTION("""COMPUTED_VALUE"""),"Stock")</f>
        <v>Stock</v>
      </c>
      <c r="F80" s="5" t="str">
        <f>IFERROR(__xludf.DUMMYFUNCTION("""COMPUTED_VALUE"""),"USD")</f>
        <v>USD</v>
      </c>
      <c r="G80" s="30" t="str">
        <f>IFERROR(__xludf.DUMMYFUNCTION("""COMPUTED_VALUE"""),"Email Account/ TraderID Recognized")</f>
        <v>Email Account/ TraderID Recognized</v>
      </c>
      <c r="H80" s="119" t="str">
        <f>IFERROR(__xludf.DUMMYFUNCTION("""COMPUTED_VALUE"""),"NVDA")</f>
        <v>NVDA</v>
      </c>
      <c r="I80" s="30">
        <f>IFERROR(__xludf.DUMMYFUNCTION("""COMPUTED_VALUE"""),100.0)</f>
        <v>100</v>
      </c>
      <c r="J80" s="30"/>
      <c r="K80" s="30" t="str">
        <f>IFERROR(__xludf.DUMMYFUNCTION("""COMPUTED_VALUE"""),"QTY, Limit Price (if any) &amp; Password input correct")</f>
        <v>QTY, Limit Price (if any) &amp; Password input correct</v>
      </c>
      <c r="L80" s="30"/>
    </row>
    <row r="81">
      <c r="A81" s="5"/>
      <c r="B81" s="118">
        <f>IFERROR(__xludf.DUMMYFUNCTION("""COMPUTED_VALUE"""),44607.66746370371)</f>
        <v>44607.66746</v>
      </c>
      <c r="C81" s="120">
        <f>IFERROR(__xludf.DUMMYFUNCTION("""COMPUTED_VALUE"""),44607.666666666664)</f>
        <v>44607.66667</v>
      </c>
      <c r="D81" s="5" t="str">
        <f>IFERROR(__xludf.DUMMYFUNCTION("""COMPUTED_VALUE"""),"46276")</f>
        <v>46276</v>
      </c>
      <c r="E81" s="5" t="str">
        <f>IFERROR(__xludf.DUMMYFUNCTION("""COMPUTED_VALUE"""),"Stock")</f>
        <v>Stock</v>
      </c>
      <c r="F81" s="5" t="str">
        <f>IFERROR(__xludf.DUMMYFUNCTION("""COMPUTED_VALUE"""),"USD")</f>
        <v>USD</v>
      </c>
      <c r="G81" s="30" t="str">
        <f>IFERROR(__xludf.DUMMYFUNCTION("""COMPUTED_VALUE"""),"Email Account/ TraderID Recognized")</f>
        <v>Email Account/ TraderID Recognized</v>
      </c>
      <c r="H81" s="119" t="str">
        <f>IFERROR(__xludf.DUMMYFUNCTION("""COMPUTED_VALUE"""),"BAC")</f>
        <v>BAC</v>
      </c>
      <c r="I81" s="30">
        <f>IFERROR(__xludf.DUMMYFUNCTION("""COMPUTED_VALUE"""),400.0)</f>
        <v>400</v>
      </c>
      <c r="J81" s="30"/>
      <c r="K81" s="30" t="str">
        <f>IFERROR(__xludf.DUMMYFUNCTION("""COMPUTED_VALUE"""),"QTY, Limit Price (if any) &amp; Password input correct")</f>
        <v>QTY, Limit Price (if any) &amp; Password input correct</v>
      </c>
      <c r="L81" s="30"/>
    </row>
    <row r="82">
      <c r="A82" s="5"/>
      <c r="B82" s="118">
        <f>IFERROR(__xludf.DUMMYFUNCTION("""COMPUTED_VALUE"""),44607.67142895833)</f>
        <v>44607.67143</v>
      </c>
      <c r="C82" s="120">
        <f>IFERROR(__xludf.DUMMYFUNCTION("""COMPUTED_VALUE"""),44607.666666666664)</f>
        <v>44607.66667</v>
      </c>
      <c r="D82" s="5" t="str">
        <f>IFERROR(__xludf.DUMMYFUNCTION("""COMPUTED_VALUE"""),"46276")</f>
        <v>46276</v>
      </c>
      <c r="E82" s="5" t="str">
        <f>IFERROR(__xludf.DUMMYFUNCTION("""COMPUTED_VALUE"""),"Stock")</f>
        <v>Stock</v>
      </c>
      <c r="F82" s="5" t="str">
        <f>IFERROR(__xludf.DUMMYFUNCTION("""COMPUTED_VALUE"""),"USD")</f>
        <v>USD</v>
      </c>
      <c r="G82" s="30" t="str">
        <f>IFERROR(__xludf.DUMMYFUNCTION("""COMPUTED_VALUE"""),"Email Account/ TraderID Recognized")</f>
        <v>Email Account/ TraderID Recognized</v>
      </c>
      <c r="H82" s="119" t="str">
        <f>IFERROR(__xludf.DUMMYFUNCTION("""COMPUTED_VALUE"""),"BRK-B")</f>
        <v>BRK-B</v>
      </c>
      <c r="I82" s="30">
        <f>IFERROR(__xludf.DUMMYFUNCTION("""COMPUTED_VALUE"""),65.0)</f>
        <v>65</v>
      </c>
      <c r="J82" s="30"/>
      <c r="K82" s="30" t="str">
        <f>IFERROR(__xludf.DUMMYFUNCTION("""COMPUTED_VALUE"""),"QTY, Limit Price (if any) &amp; Password input correct")</f>
        <v>QTY, Limit Price (if any) &amp; Password input correct</v>
      </c>
      <c r="L82" s="30"/>
    </row>
    <row r="83">
      <c r="A83" s="5"/>
      <c r="B83" s="118">
        <f>IFERROR(__xludf.DUMMYFUNCTION("""COMPUTED_VALUE"""),44607.67162650463)</f>
        <v>44607.67163</v>
      </c>
      <c r="C83" s="120">
        <f>IFERROR(__xludf.DUMMYFUNCTION("""COMPUTED_VALUE"""),44607.666666666664)</f>
        <v>44607.66667</v>
      </c>
      <c r="D83" s="5" t="str">
        <f>IFERROR(__xludf.DUMMYFUNCTION("""COMPUTED_VALUE"""),"39857")</f>
        <v>39857</v>
      </c>
      <c r="E83" s="5" t="str">
        <f>IFERROR(__xludf.DUMMYFUNCTION("""COMPUTED_VALUE"""),"Stock")</f>
        <v>Stock</v>
      </c>
      <c r="F83" s="5" t="str">
        <f>IFERROR(__xludf.DUMMYFUNCTION("""COMPUTED_VALUE"""),"USD")</f>
        <v>USD</v>
      </c>
      <c r="G83" s="30" t="str">
        <f>IFERROR(__xludf.DUMMYFUNCTION("""COMPUTED_VALUE"""),"Email Account/ TraderID Recognized")</f>
        <v>Email Account/ TraderID Recognized</v>
      </c>
      <c r="H83" s="119" t="str">
        <f>IFERROR(__xludf.DUMMYFUNCTION("""COMPUTED_VALUE"""),"TSLA")</f>
        <v>TSLA</v>
      </c>
      <c r="I83" s="30">
        <f>IFERROR(__xludf.DUMMYFUNCTION("""COMPUTED_VALUE"""),2.0)</f>
        <v>2</v>
      </c>
      <c r="J83" s="30">
        <f>IFERROR(__xludf.DUMMYFUNCTION("""COMPUTED_VALUE"""),880.0)</f>
        <v>880</v>
      </c>
      <c r="K83" s="30" t="str">
        <f>IFERROR(__xludf.DUMMYFUNCTION("""COMPUTED_VALUE"""),"QTY, Limit Price (if any) &amp; Password input correct")</f>
        <v>QTY, Limit Price (if any) &amp; Password input correct</v>
      </c>
      <c r="L83" s="30" t="str">
        <f>IFERROR(__xludf.DUMMYFUNCTION("""COMPUTED_VALUE"""),"input as s1239857@muhk.edu.hk")</f>
        <v>input as s1239857@muhk.edu.hk</v>
      </c>
    </row>
    <row r="84">
      <c r="A84" s="5"/>
      <c r="B84" s="118">
        <f>IFERROR(__xludf.DUMMYFUNCTION("""COMPUTED_VALUE"""),44607.67169149306)</f>
        <v>44607.67169</v>
      </c>
      <c r="C84" s="120">
        <f>IFERROR(__xludf.DUMMYFUNCTION("""COMPUTED_VALUE"""),44607.666666666664)</f>
        <v>44607.66667</v>
      </c>
      <c r="D84" s="5" t="str">
        <f>IFERROR(__xludf.DUMMYFUNCTION("""COMPUTED_VALUE"""),"36221")</f>
        <v>36221</v>
      </c>
      <c r="E84" s="5" t="str">
        <f>IFERROR(__xludf.DUMMYFUNCTION("""COMPUTED_VALUE"""),"Stock")</f>
        <v>Stock</v>
      </c>
      <c r="F84" s="5" t="str">
        <f>IFERROR(__xludf.DUMMYFUNCTION("""COMPUTED_VALUE"""),"USD")</f>
        <v>USD</v>
      </c>
      <c r="G84" s="30" t="str">
        <f>IFERROR(__xludf.DUMMYFUNCTION("""COMPUTED_VALUE"""),"Email Account/ TraderID Recognized")</f>
        <v>Email Account/ TraderID Recognized</v>
      </c>
      <c r="H84" s="119" t="str">
        <f>IFERROR(__xludf.DUMMYFUNCTION("""COMPUTED_VALUE"""),"SONY")</f>
        <v>SONY</v>
      </c>
      <c r="I84" s="30">
        <f>IFERROR(__xludf.DUMMYFUNCTION("""COMPUTED_VALUE"""),400.0)</f>
        <v>400</v>
      </c>
      <c r="J84" s="30"/>
      <c r="K84" s="30" t="str">
        <f>IFERROR(__xludf.DUMMYFUNCTION("""COMPUTED_VALUE"""),"QTY, Limit Price (if any) &amp; Password input correct")</f>
        <v>QTY, Limit Price (if any) &amp; Password input correct</v>
      </c>
      <c r="L84" s="30"/>
    </row>
    <row r="85">
      <c r="A85" s="5"/>
      <c r="B85" s="118">
        <f>IFERROR(__xludf.DUMMYFUNCTION("""COMPUTED_VALUE"""),44607.67378319445)</f>
        <v>44607.67378</v>
      </c>
      <c r="C85" s="120">
        <f>IFERROR(__xludf.DUMMYFUNCTION("""COMPUTED_VALUE"""),44607.666666666664)</f>
        <v>44607.66667</v>
      </c>
      <c r="D85" s="5" t="str">
        <f>IFERROR(__xludf.DUMMYFUNCTION("""COMPUTED_VALUE"""),"36221")</f>
        <v>36221</v>
      </c>
      <c r="E85" s="5" t="str">
        <f>IFERROR(__xludf.DUMMYFUNCTION("""COMPUTED_VALUE"""),"Stock")</f>
        <v>Stock</v>
      </c>
      <c r="F85" s="5" t="str">
        <f>IFERROR(__xludf.DUMMYFUNCTION("""COMPUTED_VALUE"""),"USD")</f>
        <v>USD</v>
      </c>
      <c r="G85" s="30" t="str">
        <f>IFERROR(__xludf.DUMMYFUNCTION("""COMPUTED_VALUE"""),"Email Account/ TraderID Recognized")</f>
        <v>Email Account/ TraderID Recognized</v>
      </c>
      <c r="H85" s="119" t="str">
        <f>IFERROR(__xludf.DUMMYFUNCTION("""COMPUTED_VALUE"""),"ATVI")</f>
        <v>ATVI</v>
      </c>
      <c r="I85" s="30">
        <f>IFERROR(__xludf.DUMMYFUNCTION("""COMPUTED_VALUE"""),200.0)</f>
        <v>200</v>
      </c>
      <c r="J85" s="30"/>
      <c r="K85" s="30" t="str">
        <f>IFERROR(__xludf.DUMMYFUNCTION("""COMPUTED_VALUE"""),"QTY, Limit Price (if any) &amp; Password input correct")</f>
        <v>QTY, Limit Price (if any) &amp; Password input correct</v>
      </c>
      <c r="L85" s="30"/>
    </row>
    <row r="86">
      <c r="A86" s="5"/>
      <c r="B86" s="118">
        <f>IFERROR(__xludf.DUMMYFUNCTION("""COMPUTED_VALUE"""),44607.6752833912)</f>
        <v>44607.67528</v>
      </c>
      <c r="C86" s="120">
        <f>IFERROR(__xludf.DUMMYFUNCTION("""COMPUTED_VALUE"""),44607.666666666664)</f>
        <v>44607.66667</v>
      </c>
      <c r="D86" s="5" t="str">
        <f>IFERROR(__xludf.DUMMYFUNCTION("""COMPUTED_VALUE"""),"40433")</f>
        <v>40433</v>
      </c>
      <c r="E86" s="5" t="str">
        <f>IFERROR(__xludf.DUMMYFUNCTION("""COMPUTED_VALUE"""),"Stock")</f>
        <v>Stock</v>
      </c>
      <c r="F86" s="5" t="str">
        <f>IFERROR(__xludf.DUMMYFUNCTION("""COMPUTED_VALUE"""),"USD")</f>
        <v>USD</v>
      </c>
      <c r="G86" s="30" t="str">
        <f>IFERROR(__xludf.DUMMYFUNCTION("""COMPUTED_VALUE"""),"Email Account/ TraderID Recognized")</f>
        <v>Email Account/ TraderID Recognized</v>
      </c>
      <c r="H86" s="119" t="str">
        <f>IFERROR(__xludf.DUMMYFUNCTION("""COMPUTED_VALUE"""),"TSLA")</f>
        <v>TSLA</v>
      </c>
      <c r="I86" s="30">
        <f>IFERROR(__xludf.DUMMYFUNCTION("""COMPUTED_VALUE"""),400.0)</f>
        <v>400</v>
      </c>
      <c r="J86" s="30">
        <f>IFERROR(__xludf.DUMMYFUNCTION("""COMPUTED_VALUE"""),865.0)</f>
        <v>865</v>
      </c>
      <c r="K86" s="30" t="str">
        <f>IFERROR(__xludf.DUMMYFUNCTION("""COMPUTED_VALUE"""),"QTY, Limit Price (if any) &amp; Password input correct")</f>
        <v>QTY, Limit Price (if any) &amp; Password input correct</v>
      </c>
      <c r="L86" s="30"/>
    </row>
    <row r="87">
      <c r="A87" s="5"/>
      <c r="B87" s="118">
        <f>IFERROR(__xludf.DUMMYFUNCTION("""COMPUTED_VALUE"""),44607.6832414699)</f>
        <v>44607.68324</v>
      </c>
      <c r="C87" s="120">
        <f>IFERROR(__xludf.DUMMYFUNCTION("""COMPUTED_VALUE"""),44607.666666666664)</f>
        <v>44607.66667</v>
      </c>
      <c r="D87" s="5" t="str">
        <f>IFERROR(__xludf.DUMMYFUNCTION("""COMPUTED_VALUE"""),"40433")</f>
        <v>40433</v>
      </c>
      <c r="E87" s="5" t="str">
        <f>IFERROR(__xludf.DUMMYFUNCTION("""COMPUTED_VALUE"""),"Stock")</f>
        <v>Stock</v>
      </c>
      <c r="F87" s="5" t="str">
        <f>IFERROR(__xludf.DUMMYFUNCTION("""COMPUTED_VALUE"""),"USD")</f>
        <v>USD</v>
      </c>
      <c r="G87" s="30" t="str">
        <f>IFERROR(__xludf.DUMMYFUNCTION("""COMPUTED_VALUE"""),"Email Account/ TraderID Recognized")</f>
        <v>Email Account/ TraderID Recognized</v>
      </c>
      <c r="H87" s="119" t="str">
        <f>IFERROR(__xludf.DUMMYFUNCTION("""COMPUTED_VALUE"""),"TSLA")</f>
        <v>TSLA</v>
      </c>
      <c r="I87" s="30">
        <f>IFERROR(__xludf.DUMMYFUNCTION("""COMPUTED_VALUE"""),350.0)</f>
        <v>350</v>
      </c>
      <c r="J87" s="30">
        <f>IFERROR(__xludf.DUMMYFUNCTION("""COMPUTED_VALUE"""),890.0)</f>
        <v>890</v>
      </c>
      <c r="K87" s="30" t="str">
        <f>IFERROR(__xludf.DUMMYFUNCTION("""COMPUTED_VALUE"""),"QTY, Limit Price (if any) &amp; Password input correct")</f>
        <v>QTY, Limit Price (if any) &amp; Password input correct</v>
      </c>
      <c r="L87" s="30" t="str">
        <f>IFERROR(__xludf.DUMMYFUNCTION("""COMPUTED_VALUE"""),"Order rejected due to day-trade restriction: Limit sell 890 limit buy 865")</f>
        <v>Order rejected due to day-trade restriction: Limit sell 890 limit buy 865</v>
      </c>
    </row>
    <row r="88">
      <c r="A88" s="5"/>
      <c r="B88" s="118">
        <f>IFERROR(__xludf.DUMMYFUNCTION("""COMPUTED_VALUE"""),44607.68398004629)</f>
        <v>44607.68398</v>
      </c>
      <c r="C88" s="120">
        <f>IFERROR(__xludf.DUMMYFUNCTION("""COMPUTED_VALUE"""),44607.666666666664)</f>
        <v>44607.66667</v>
      </c>
      <c r="D88" s="5" t="str">
        <f>IFERROR(__xludf.DUMMYFUNCTION("""COMPUTED_VALUE"""),"36221")</f>
        <v>36221</v>
      </c>
      <c r="E88" s="5" t="str">
        <f>IFERROR(__xludf.DUMMYFUNCTION("""COMPUTED_VALUE"""),"Stock")</f>
        <v>Stock</v>
      </c>
      <c r="F88" s="5" t="str">
        <f>IFERROR(__xludf.DUMMYFUNCTION("""COMPUTED_VALUE"""),"USD")</f>
        <v>USD</v>
      </c>
      <c r="G88" s="30" t="str">
        <f>IFERROR(__xludf.DUMMYFUNCTION("""COMPUTED_VALUE"""),"Email Account/ TraderID Recognized")</f>
        <v>Email Account/ TraderID Recognized</v>
      </c>
      <c r="H88" s="119" t="str">
        <f>IFERROR(__xludf.DUMMYFUNCTION("""COMPUTED_VALUE"""),"tcehy")</f>
        <v>tcehy</v>
      </c>
      <c r="I88" s="30">
        <f>IFERROR(__xludf.DUMMYFUNCTION("""COMPUTED_VALUE"""),200.0)</f>
        <v>200</v>
      </c>
      <c r="J88" s="30"/>
      <c r="K88" s="30" t="str">
        <f>IFERROR(__xludf.DUMMYFUNCTION("""COMPUTED_VALUE"""),"QTY, Limit Price (if any) &amp; Password input correct")</f>
        <v>QTY, Limit Price (if any) &amp; Password input correct</v>
      </c>
      <c r="L88" s="30"/>
    </row>
    <row r="89">
      <c r="A89" s="5"/>
      <c r="B89" s="118">
        <f>IFERROR(__xludf.DUMMYFUNCTION("""COMPUTED_VALUE"""),44608.020912141204)</f>
        <v>44608.02091</v>
      </c>
      <c r="C89" s="120" t="str">
        <f>IFERROR(__xludf.DUMMYFUNCTION("""COMPUTED_VALUE"""),"")</f>
        <v/>
      </c>
      <c r="D89" s="5" t="str">
        <f>IFERROR(__xludf.DUMMYFUNCTION("""COMPUTED_VALUE"""),"70628")</f>
        <v>70628</v>
      </c>
      <c r="E89" s="5" t="str">
        <f>IFERROR(__xludf.DUMMYFUNCTION("""COMPUTED_VALUE"""),"Stock")</f>
        <v>Stock</v>
      </c>
      <c r="F89" s="5" t="str">
        <f>IFERROR(__xludf.DUMMYFUNCTION("""COMPUTED_VALUE"""),"error")</f>
        <v>error</v>
      </c>
      <c r="G89" s="30" t="str">
        <f>IFERROR(__xludf.DUMMYFUNCTION("""COMPUTED_VALUE"""),"Email Account/ TraderID Recognized")</f>
        <v>Email Account/ TraderID Recognized</v>
      </c>
      <c r="H89" s="119" t="str">
        <f>IFERROR(__xludf.DUMMYFUNCTION("""COMPUTED_VALUE"""),"Tesla, Inc. (TSLA)")</f>
        <v>Tesla, Inc. (TSLA)</v>
      </c>
      <c r="I89" s="30">
        <f>IFERROR(__xludf.DUMMYFUNCTION("""COMPUTED_VALUE"""),100.0)</f>
        <v>100</v>
      </c>
      <c r="J89" s="30">
        <f>IFERROR(__xludf.DUMMYFUNCTION("""COMPUTED_VALUE"""),917.0)</f>
        <v>917</v>
      </c>
      <c r="K89" s="30" t="str">
        <f>IFERROR(__xludf.DUMMYFUNCTION("""COMPUTED_VALUE"""),"QTY, Limit Price (if any) &amp; Password input correct")</f>
        <v>QTY, Limit Price (if any) &amp; Password input correct</v>
      </c>
      <c r="L89" s="30" t="str">
        <f>IFERROR(__xludf.DUMMYFUNCTION("""COMPUTED_VALUE"""),"Order rejected due to wrong ticker code. just need to type in TSLA")</f>
        <v>Order rejected due to wrong ticker code. just need to type in TSLA</v>
      </c>
    </row>
    <row r="90">
      <c r="A90" s="5"/>
      <c r="B90" s="118">
        <f>IFERROR(__xludf.DUMMYFUNCTION("""COMPUTED_VALUE"""),44608.02215686343)</f>
        <v>44608.02216</v>
      </c>
      <c r="C90" s="120">
        <f>IFERROR(__xludf.DUMMYFUNCTION("""COMPUTED_VALUE"""),44607.666666666664)</f>
        <v>44607.66667</v>
      </c>
      <c r="D90" s="5" t="str">
        <f>IFERROR(__xludf.DUMMYFUNCTION("""COMPUTED_VALUE"""),"35577")</f>
        <v>35577</v>
      </c>
      <c r="E90" s="5" t="str">
        <f>IFERROR(__xludf.DUMMYFUNCTION("""COMPUTED_VALUE"""),"Bond")</f>
        <v>Bond</v>
      </c>
      <c r="F90" s="5" t="str">
        <f>IFERROR(__xludf.DUMMYFUNCTION("""COMPUTED_VALUE"""),"USD")</f>
        <v>USD</v>
      </c>
      <c r="G90" s="30" t="str">
        <f>IFERROR(__xludf.DUMMYFUNCTION("""COMPUTED_VALUE"""),"Email Account/ TraderID Recognized")</f>
        <v>Email Account/ TraderID Recognized</v>
      </c>
      <c r="H90" s="119" t="str">
        <f>IFERROR(__xludf.DUMMYFUNCTION("""COMPUTED_VALUE"""),"US023135AN60")</f>
        <v>US023135AN60</v>
      </c>
      <c r="I90" s="30">
        <f>IFERROR(__xludf.DUMMYFUNCTION("""COMPUTED_VALUE"""),3.0)</f>
        <v>3</v>
      </c>
      <c r="J90" s="30"/>
      <c r="K90" s="30" t="str">
        <f>IFERROR(__xludf.DUMMYFUNCTION("""COMPUTED_VALUE"""),"QTY, Limit Price (if any) &amp; Password input correct")</f>
        <v>QTY, Limit Price (if any) &amp; Password input correct</v>
      </c>
      <c r="L90" s="30"/>
    </row>
    <row r="91">
      <c r="A91" s="5"/>
      <c r="B91" s="118">
        <f>IFERROR(__xludf.DUMMYFUNCTION("""COMPUTED_VALUE"""),44608.05441827547)</f>
        <v>44608.05442</v>
      </c>
      <c r="C91" s="120">
        <f>IFERROR(__xludf.DUMMYFUNCTION("""COMPUTED_VALUE"""),44607.666666666664)</f>
        <v>44607.66667</v>
      </c>
      <c r="D91" s="5" t="str">
        <f>IFERROR(__xludf.DUMMYFUNCTION("""COMPUTED_VALUE"""),"89750")</f>
        <v>89750</v>
      </c>
      <c r="E91" s="5" t="str">
        <f>IFERROR(__xludf.DUMMYFUNCTION("""COMPUTED_VALUE"""),"Stock")</f>
        <v>Stock</v>
      </c>
      <c r="F91" s="5" t="str">
        <f>IFERROR(__xludf.DUMMYFUNCTION("""COMPUTED_VALUE"""),"USD")</f>
        <v>USD</v>
      </c>
      <c r="G91" s="30" t="str">
        <f>IFERROR(__xludf.DUMMYFUNCTION("""COMPUTED_VALUE"""),"Email Account/ TraderID Recognized")</f>
        <v>Email Account/ TraderID Recognized</v>
      </c>
      <c r="H91" s="119" t="str">
        <f>IFERROR(__xludf.DUMMYFUNCTION("""COMPUTED_VALUE"""),"UVXY")</f>
        <v>UVXY</v>
      </c>
      <c r="I91" s="30">
        <f>IFERROR(__xludf.DUMMYFUNCTION("""COMPUTED_VALUE"""),500.0)</f>
        <v>500</v>
      </c>
      <c r="J91" s="30"/>
      <c r="K91" s="30" t="str">
        <f>IFERROR(__xludf.DUMMYFUNCTION("""COMPUTED_VALUE"""),"QTY, Limit Price (if any) &amp; Password input correct")</f>
        <v>QTY, Limit Price (if any) &amp; Password input correct</v>
      </c>
      <c r="L91" s="30"/>
    </row>
    <row r="92">
      <c r="A92" s="5"/>
      <c r="B92" s="118">
        <f>IFERROR(__xludf.DUMMYFUNCTION("""COMPUTED_VALUE"""),44608.39861520834)</f>
        <v>44608.39862</v>
      </c>
      <c r="C92" s="120">
        <f>IFERROR(__xludf.DUMMYFUNCTION("""COMPUTED_VALUE"""),44608.666666666664)</f>
        <v>44608.66667</v>
      </c>
      <c r="D92" s="5" t="str">
        <f>IFERROR(__xludf.DUMMYFUNCTION("""COMPUTED_VALUE"""),"70628")</f>
        <v>70628</v>
      </c>
      <c r="E92" s="5" t="str">
        <f>IFERROR(__xludf.DUMMYFUNCTION("""COMPUTED_VALUE"""),"Stock")</f>
        <v>Stock</v>
      </c>
      <c r="F92" s="5" t="str">
        <f>IFERROR(__xludf.DUMMYFUNCTION("""COMPUTED_VALUE"""),"HKD")</f>
        <v>HKD</v>
      </c>
      <c r="G92" s="30" t="str">
        <f>IFERROR(__xludf.DUMMYFUNCTION("""COMPUTED_VALUE"""),"Email Account/ TraderID Recognized")</f>
        <v>Email Account/ TraderID Recognized</v>
      </c>
      <c r="H92" s="121" t="str">
        <f>IFERROR(__xludf.DUMMYFUNCTION("""COMPUTED_VALUE"""),"3339.HK")</f>
        <v>3339.HK</v>
      </c>
      <c r="I92" s="30">
        <f>IFERROR(__xludf.DUMMYFUNCTION("""COMPUTED_VALUE"""),50000.0)</f>
        <v>50000</v>
      </c>
      <c r="J92" s="30">
        <f>IFERROR(__xludf.DUMMYFUNCTION("""COMPUTED_VALUE"""),2.1)</f>
        <v>2.1</v>
      </c>
      <c r="K92" s="30" t="str">
        <f>IFERROR(__xludf.DUMMYFUNCTION("""COMPUTED_VALUE"""),"QTY, Limit Price (if any) &amp; Password input correct")</f>
        <v>QTY, Limit Price (if any) &amp; Password input correct</v>
      </c>
      <c r="L92" s="30"/>
    </row>
    <row r="93">
      <c r="A93" s="5"/>
      <c r="B93" s="118">
        <f>IFERROR(__xludf.DUMMYFUNCTION("""COMPUTED_VALUE"""),44608.39939568287)</f>
        <v>44608.3994</v>
      </c>
      <c r="C93" s="120">
        <f>IFERROR(__xludf.DUMMYFUNCTION("""COMPUTED_VALUE"""),44608.666666666664)</f>
        <v>44608.66667</v>
      </c>
      <c r="D93" s="5" t="str">
        <f>IFERROR(__xludf.DUMMYFUNCTION("""COMPUTED_VALUE"""),"70628")</f>
        <v>70628</v>
      </c>
      <c r="E93" s="5" t="str">
        <f>IFERROR(__xludf.DUMMYFUNCTION("""COMPUTED_VALUE"""),"Stock")</f>
        <v>Stock</v>
      </c>
      <c r="F93" s="5" t="str">
        <f>IFERROR(__xludf.DUMMYFUNCTION("""COMPUTED_VALUE"""),"HKD")</f>
        <v>HKD</v>
      </c>
      <c r="G93" s="30" t="str">
        <f>IFERROR(__xludf.DUMMYFUNCTION("""COMPUTED_VALUE"""),"Email Account/ TraderID Recognized")</f>
        <v>Email Account/ TraderID Recognized</v>
      </c>
      <c r="H93" s="121" t="str">
        <f>IFERROR(__xludf.DUMMYFUNCTION("""COMPUTED_VALUE"""),"3339.HK")</f>
        <v>3339.HK</v>
      </c>
      <c r="I93" s="30">
        <f>IFERROR(__xludf.DUMMYFUNCTION("""COMPUTED_VALUE"""),30000.0)</f>
        <v>30000</v>
      </c>
      <c r="J93" s="30">
        <f>IFERROR(__xludf.DUMMYFUNCTION("""COMPUTED_VALUE"""),2.1)</f>
        <v>2.1</v>
      </c>
      <c r="K93" s="30" t="str">
        <f>IFERROR(__xludf.DUMMYFUNCTION("""COMPUTED_VALUE"""),"QTY, Limit Price (if any) &amp; Password input correct")</f>
        <v>QTY, Limit Price (if any) &amp; Password input correct</v>
      </c>
      <c r="L93" s="30"/>
    </row>
    <row r="94">
      <c r="A94" s="5"/>
      <c r="B94" s="118">
        <f>IFERROR(__xludf.DUMMYFUNCTION("""COMPUTED_VALUE"""),44608.40501350694)</f>
        <v>44608.40501</v>
      </c>
      <c r="C94" s="120">
        <f>IFERROR(__xludf.DUMMYFUNCTION("""COMPUTED_VALUE"""),44608.666666666664)</f>
        <v>44608.66667</v>
      </c>
      <c r="D94" s="5" t="str">
        <f>IFERROR(__xludf.DUMMYFUNCTION("""COMPUTED_VALUE"""),"70628")</f>
        <v>70628</v>
      </c>
      <c r="E94" s="5" t="str">
        <f>IFERROR(__xludf.DUMMYFUNCTION("""COMPUTED_VALUE"""),"Stock")</f>
        <v>Stock</v>
      </c>
      <c r="F94" s="5" t="str">
        <f>IFERROR(__xludf.DUMMYFUNCTION("""COMPUTED_VALUE"""),"HKD")</f>
        <v>HKD</v>
      </c>
      <c r="G94" s="30" t="str">
        <f>IFERROR(__xludf.DUMMYFUNCTION("""COMPUTED_VALUE"""),"Email Account/ TraderID Recognized")</f>
        <v>Email Account/ TraderID Recognized</v>
      </c>
      <c r="H94" s="121" t="str">
        <f>IFERROR(__xludf.DUMMYFUNCTION("""COMPUTED_VALUE"""),"2333.HK")</f>
        <v>2333.HK</v>
      </c>
      <c r="I94" s="30">
        <f>IFERROR(__xludf.DUMMYFUNCTION("""COMPUTED_VALUE"""),7000.0)</f>
        <v>7000</v>
      </c>
      <c r="J94" s="30">
        <f>IFERROR(__xludf.DUMMYFUNCTION("""COMPUTED_VALUE"""),19.2)</f>
        <v>19.2</v>
      </c>
      <c r="K94" s="30" t="str">
        <f>IFERROR(__xludf.DUMMYFUNCTION("""COMPUTED_VALUE"""),"QTY, Limit Price (if any) &amp; Password input correct")</f>
        <v>QTY, Limit Price (if any) &amp; Password input correct</v>
      </c>
      <c r="L94" s="30"/>
    </row>
    <row r="95">
      <c r="A95" s="5"/>
      <c r="B95" s="118">
        <f>IFERROR(__xludf.DUMMYFUNCTION("""COMPUTED_VALUE"""),44608.42228863426)</f>
        <v>44608.42229</v>
      </c>
      <c r="C95" s="120">
        <f>IFERROR(__xludf.DUMMYFUNCTION("""COMPUTED_VALUE"""),44608.666666666664)</f>
        <v>44608.66667</v>
      </c>
      <c r="D95" s="5" t="str">
        <f>IFERROR(__xludf.DUMMYFUNCTION("""COMPUTED_VALUE"""),"70628")</f>
        <v>70628</v>
      </c>
      <c r="E95" s="5" t="str">
        <f>IFERROR(__xludf.DUMMYFUNCTION("""COMPUTED_VALUE"""),"Stock")</f>
        <v>Stock</v>
      </c>
      <c r="F95" s="5" t="str">
        <f>IFERROR(__xludf.DUMMYFUNCTION("""COMPUTED_VALUE"""),"HKD")</f>
        <v>HKD</v>
      </c>
      <c r="G95" s="30" t="str">
        <f>IFERROR(__xludf.DUMMYFUNCTION("""COMPUTED_VALUE"""),"Email Account/ TraderID Recognized")</f>
        <v>Email Account/ TraderID Recognized</v>
      </c>
      <c r="H95" s="121" t="str">
        <f>IFERROR(__xludf.DUMMYFUNCTION("""COMPUTED_VALUE"""),"1810.HK")</f>
        <v>1810.HK</v>
      </c>
      <c r="I95" s="30">
        <f>IFERROR(__xludf.DUMMYFUNCTION("""COMPUTED_VALUE"""),9000.0)</f>
        <v>9000</v>
      </c>
      <c r="J95" s="30">
        <f>IFERROR(__xludf.DUMMYFUNCTION("""COMPUTED_VALUE"""),16.7)</f>
        <v>16.7</v>
      </c>
      <c r="K95" s="30" t="str">
        <f>IFERROR(__xludf.DUMMYFUNCTION("""COMPUTED_VALUE"""),"QTY, Limit Price (if any) &amp; Password input correct")</f>
        <v>QTY, Limit Price (if any) &amp; Password input correct</v>
      </c>
      <c r="L95" s="30"/>
    </row>
    <row r="96">
      <c r="A96" s="5"/>
      <c r="B96" s="118">
        <f>IFERROR(__xludf.DUMMYFUNCTION("""COMPUTED_VALUE"""),44608.423691435186)</f>
        <v>44608.42369</v>
      </c>
      <c r="C96" s="120" t="str">
        <f>IFERROR(__xludf.DUMMYFUNCTION("""COMPUTED_VALUE"""),"")</f>
        <v/>
      </c>
      <c r="D96" s="5" t="str">
        <f>IFERROR(__xludf.DUMMYFUNCTION("""COMPUTED_VALUE"""),"82124")</f>
        <v>82124</v>
      </c>
      <c r="E96" s="5" t="str">
        <f>IFERROR(__xludf.DUMMYFUNCTION("""COMPUTED_VALUE"""),"Stock")</f>
        <v>Stock</v>
      </c>
      <c r="F96" s="5" t="str">
        <f>IFERROR(__xludf.DUMMYFUNCTION("""COMPUTED_VALUE"""),"error")</f>
        <v>error</v>
      </c>
      <c r="G96" s="30" t="str">
        <f>IFERROR(__xludf.DUMMYFUNCTION("""COMPUTED_VALUE"""),"Email Account/ TraderID Recognized")</f>
        <v>Email Account/ TraderID Recognized</v>
      </c>
      <c r="H96" s="119" t="str">
        <f>IFERROR(__xludf.DUMMYFUNCTION("""COMPUTED_VALUE"""),"9988")</f>
        <v>9988</v>
      </c>
      <c r="I96" s="30">
        <f>IFERROR(__xludf.DUMMYFUNCTION("""COMPUTED_VALUE"""),200.0)</f>
        <v>200</v>
      </c>
      <c r="J96" s="30"/>
      <c r="K96" s="30" t="str">
        <f>IFERROR(__xludf.DUMMYFUNCTION("""COMPUTED_VALUE"""),"QTY, Limit Price (if any) &amp; Password input correct")</f>
        <v>QTY, Limit Price (if any) &amp; Password input correct</v>
      </c>
      <c r="L96" s="30" t="str">
        <f>IFERROR(__xludf.DUMMYFUNCTION("""COMPUTED_VALUE"""),"Order rejected due to wrong ticker code. just need to type in 9988.HK")</f>
        <v>Order rejected due to wrong ticker code. just need to type in 9988.HK</v>
      </c>
    </row>
    <row r="97">
      <c r="A97" s="5"/>
      <c r="B97" s="118">
        <f>IFERROR(__xludf.DUMMYFUNCTION("""COMPUTED_VALUE"""),44608.504410520836)</f>
        <v>44608.50441</v>
      </c>
      <c r="C97" s="120">
        <f>IFERROR(__xludf.DUMMYFUNCTION("""COMPUTED_VALUE"""),44608.666666666664)</f>
        <v>44608.66667</v>
      </c>
      <c r="D97" s="5" t="str">
        <f>IFERROR(__xludf.DUMMYFUNCTION("""COMPUTED_VALUE"""),"89750")</f>
        <v>89750</v>
      </c>
      <c r="E97" s="5" t="str">
        <f>IFERROR(__xludf.DUMMYFUNCTION("""COMPUTED_VALUE"""),"Stock")</f>
        <v>Stock</v>
      </c>
      <c r="F97" s="5" t="str">
        <f>IFERROR(__xludf.DUMMYFUNCTION("""COMPUTED_VALUE"""),"HKD")</f>
        <v>HKD</v>
      </c>
      <c r="G97" s="30" t="str">
        <f>IFERROR(__xludf.DUMMYFUNCTION("""COMPUTED_VALUE"""),"Email Account/ TraderID Recognized")</f>
        <v>Email Account/ TraderID Recognized</v>
      </c>
      <c r="H97" s="121" t="str">
        <f>IFERROR(__xludf.DUMMYFUNCTION("""COMPUTED_VALUE"""),"9698.HK")</f>
        <v>9698.HK</v>
      </c>
      <c r="I97" s="30">
        <f>IFERROR(__xludf.DUMMYFUNCTION("""COMPUTED_VALUE"""),9500.0)</f>
        <v>9500</v>
      </c>
      <c r="J97" s="30"/>
      <c r="K97" s="30" t="str">
        <f>IFERROR(__xludf.DUMMYFUNCTION("""COMPUTED_VALUE"""),"QTY, Limit Price (if any) &amp; Password input correct")</f>
        <v>QTY, Limit Price (if any) &amp; Password input correct</v>
      </c>
      <c r="L97" s="30"/>
    </row>
    <row r="98">
      <c r="A98" s="5"/>
      <c r="B98" s="118">
        <f>IFERROR(__xludf.DUMMYFUNCTION("""COMPUTED_VALUE"""),44608.534305127316)</f>
        <v>44608.53431</v>
      </c>
      <c r="C98" s="120">
        <f>IFERROR(__xludf.DUMMYFUNCTION("""COMPUTED_VALUE"""),44608.666666666664)</f>
        <v>44608.66667</v>
      </c>
      <c r="D98" s="5" t="str">
        <f>IFERROR(__xludf.DUMMYFUNCTION("""COMPUTED_VALUE"""),"40433")</f>
        <v>40433</v>
      </c>
      <c r="E98" s="5" t="str">
        <f>IFERROR(__xludf.DUMMYFUNCTION("""COMPUTED_VALUE"""),"Stock")</f>
        <v>Stock</v>
      </c>
      <c r="F98" s="5" t="str">
        <f>IFERROR(__xludf.DUMMYFUNCTION("""COMPUTED_VALUE"""),"USD")</f>
        <v>USD</v>
      </c>
      <c r="G98" s="30" t="str">
        <f>IFERROR(__xludf.DUMMYFUNCTION("""COMPUTED_VALUE"""),"Email Account/ TraderID Recognized")</f>
        <v>Email Account/ TraderID Recognized</v>
      </c>
      <c r="H98" s="119" t="str">
        <f>IFERROR(__xludf.DUMMYFUNCTION("""COMPUTED_VALUE"""),"TSLA")</f>
        <v>TSLA</v>
      </c>
      <c r="I98" s="30">
        <f>IFERROR(__xludf.DUMMYFUNCTION("""COMPUTED_VALUE"""),365.0)</f>
        <v>365</v>
      </c>
      <c r="J98" s="30"/>
      <c r="K98" s="30" t="str">
        <f>IFERROR(__xludf.DUMMYFUNCTION("""COMPUTED_VALUE"""),"QTY, Limit Price (if any) &amp; Password input correct")</f>
        <v>QTY, Limit Price (if any) &amp; Password input correct</v>
      </c>
      <c r="L98" s="30"/>
    </row>
    <row r="99">
      <c r="A99" s="5"/>
      <c r="B99" s="118">
        <f>IFERROR(__xludf.DUMMYFUNCTION("""COMPUTED_VALUE"""),44608.60338655092)</f>
        <v>44608.60339</v>
      </c>
      <c r="C99" s="120">
        <f>IFERROR(__xludf.DUMMYFUNCTION("""COMPUTED_VALUE"""),44608.666666666664)</f>
        <v>44608.66667</v>
      </c>
      <c r="D99" s="5" t="str">
        <f>IFERROR(__xludf.DUMMYFUNCTION("""COMPUTED_VALUE"""),"82124")</f>
        <v>82124</v>
      </c>
      <c r="E99" s="5" t="str">
        <f>IFERROR(__xludf.DUMMYFUNCTION("""COMPUTED_VALUE"""),"Stock")</f>
        <v>Stock</v>
      </c>
      <c r="F99" s="5" t="str">
        <f>IFERROR(__xludf.DUMMYFUNCTION("""COMPUTED_VALUE"""),"HKD")</f>
        <v>HKD</v>
      </c>
      <c r="G99" s="30" t="str">
        <f>IFERROR(__xludf.DUMMYFUNCTION("""COMPUTED_VALUE"""),"Email Account/ TraderID Recognized")</f>
        <v>Email Account/ TraderID Recognized</v>
      </c>
      <c r="H99" s="121" t="str">
        <f>IFERROR(__xludf.DUMMYFUNCTION("""COMPUTED_VALUE"""),"9988.HK")</f>
        <v>9988.HK</v>
      </c>
      <c r="I99" s="30">
        <f>IFERROR(__xludf.DUMMYFUNCTION("""COMPUTED_VALUE"""),200.0)</f>
        <v>200</v>
      </c>
      <c r="J99" s="30"/>
      <c r="K99" s="30" t="str">
        <f>IFERROR(__xludf.DUMMYFUNCTION("""COMPUTED_VALUE"""),"QTY, Limit Price (if any) &amp; Password input correct")</f>
        <v>QTY, Limit Price (if any) &amp; Password input correct</v>
      </c>
      <c r="L99" s="30" t="str">
        <f>IFERROR(__xludf.DUMMYFUNCTION("""COMPUTED_VALUE"""),"CTO adjusts the pwd. was typed in as with a @ in between")</f>
        <v>CTO adjusts the pwd. was typed in as with a @ in between</v>
      </c>
    </row>
    <row r="100">
      <c r="A100" s="5"/>
      <c r="B100" s="118">
        <f>IFERROR(__xludf.DUMMYFUNCTION("""COMPUTED_VALUE"""),44608.64204990741)</f>
        <v>44608.64205</v>
      </c>
      <c r="C100" s="120">
        <f>IFERROR(__xludf.DUMMYFUNCTION("""COMPUTED_VALUE"""),44608.666666666664)</f>
        <v>44608.66667</v>
      </c>
      <c r="D100" s="5" t="str">
        <f>IFERROR(__xludf.DUMMYFUNCTION("""COMPUTED_VALUE"""),"46220")</f>
        <v>46220</v>
      </c>
      <c r="E100" s="5" t="str">
        <f>IFERROR(__xludf.DUMMYFUNCTION("""COMPUTED_VALUE"""),"Stock")</f>
        <v>Stock</v>
      </c>
      <c r="F100" s="5" t="str">
        <f>IFERROR(__xludf.DUMMYFUNCTION("""COMPUTED_VALUE"""),"USD")</f>
        <v>USD</v>
      </c>
      <c r="G100" s="30" t="str">
        <f>IFERROR(__xludf.DUMMYFUNCTION("""COMPUTED_VALUE"""),"Email Account/ TraderID Recognized")</f>
        <v>Email Account/ TraderID Recognized</v>
      </c>
      <c r="H100" s="119" t="str">
        <f>IFERROR(__xludf.DUMMYFUNCTION("""COMPUTED_VALUE"""),"BTC-USD")</f>
        <v>BTC-USD</v>
      </c>
      <c r="I100" s="30">
        <f>IFERROR(__xludf.DUMMYFUNCTION("""COMPUTED_VALUE"""),10.0)</f>
        <v>10</v>
      </c>
      <c r="J100" s="30"/>
      <c r="K100" s="30" t="str">
        <f>IFERROR(__xludf.DUMMYFUNCTION("""COMPUTED_VALUE"""),"QTY, Limit Price (if any) &amp; Password input correct")</f>
        <v>QTY, Limit Price (if any) &amp; Password input correct</v>
      </c>
      <c r="L100" s="30"/>
    </row>
    <row r="101">
      <c r="A101" s="5"/>
      <c r="B101" s="118">
        <f>IFERROR(__xludf.DUMMYFUNCTION("""COMPUTED_VALUE"""),44608.64385451389)</f>
        <v>44608.64385</v>
      </c>
      <c r="C101" s="120">
        <f>IFERROR(__xludf.DUMMYFUNCTION("""COMPUTED_VALUE"""),44608.666666666664)</f>
        <v>44608.66667</v>
      </c>
      <c r="D101" s="5" t="str">
        <f>IFERROR(__xludf.DUMMYFUNCTION("""COMPUTED_VALUE"""),"46220")</f>
        <v>46220</v>
      </c>
      <c r="E101" s="5" t="str">
        <f>IFERROR(__xludf.DUMMYFUNCTION("""COMPUTED_VALUE"""),"Stock")</f>
        <v>Stock</v>
      </c>
      <c r="F101" s="5" t="str">
        <f>IFERROR(__xludf.DUMMYFUNCTION("""COMPUTED_VALUE"""),"HKD")</f>
        <v>HKD</v>
      </c>
      <c r="G101" s="30" t="str">
        <f>IFERROR(__xludf.DUMMYFUNCTION("""COMPUTED_VALUE"""),"Email Account/ TraderID Recognized")</f>
        <v>Email Account/ TraderID Recognized</v>
      </c>
      <c r="H101" s="121" t="str">
        <f>IFERROR(__xludf.DUMMYFUNCTION("""COMPUTED_VALUE"""),"0883.hk")</f>
        <v>0883.hk</v>
      </c>
      <c r="I101" s="30">
        <f>IFERROR(__xludf.DUMMYFUNCTION("""COMPUTED_VALUE"""),20.0)</f>
        <v>20</v>
      </c>
      <c r="J101" s="30"/>
      <c r="K101" s="30" t="str">
        <f>IFERROR(__xludf.DUMMYFUNCTION("""COMPUTED_VALUE"""),"QTY, Limit Price (if any) &amp; Password input correct")</f>
        <v>QTY, Limit Price (if any) &amp; Password input correct</v>
      </c>
      <c r="L101" s="30"/>
    </row>
    <row r="102">
      <c r="A102" s="5"/>
      <c r="B102" s="118">
        <f>IFERROR(__xludf.DUMMYFUNCTION("""COMPUTED_VALUE"""),44608.65525542824)</f>
        <v>44608.65526</v>
      </c>
      <c r="C102" s="120">
        <f>IFERROR(__xludf.DUMMYFUNCTION("""COMPUTED_VALUE"""),44608.666666666664)</f>
        <v>44608.66667</v>
      </c>
      <c r="D102" s="5" t="str">
        <f>IFERROR(__xludf.DUMMYFUNCTION("""COMPUTED_VALUE"""),"46220")</f>
        <v>46220</v>
      </c>
      <c r="E102" s="5" t="str">
        <f>IFERROR(__xludf.DUMMYFUNCTION("""COMPUTED_VALUE"""),"Stock")</f>
        <v>Stock</v>
      </c>
      <c r="F102" s="5" t="str">
        <f>IFERROR(__xludf.DUMMYFUNCTION("""COMPUTED_VALUE"""),"USD")</f>
        <v>USD</v>
      </c>
      <c r="G102" s="30" t="str">
        <f>IFERROR(__xludf.DUMMYFUNCTION("""COMPUTED_VALUE"""),"Email Account/ TraderID Recognized")</f>
        <v>Email Account/ TraderID Recognized</v>
      </c>
      <c r="H102" s="119" t="str">
        <f>IFERROR(__xludf.DUMMYFUNCTION("""COMPUTED_VALUE"""),"GOOG")</f>
        <v>GOOG</v>
      </c>
      <c r="I102" s="30">
        <f>IFERROR(__xludf.DUMMYFUNCTION("""COMPUTED_VALUE"""),20.0)</f>
        <v>20</v>
      </c>
      <c r="J102" s="30"/>
      <c r="K102" s="30" t="str">
        <f>IFERROR(__xludf.DUMMYFUNCTION("""COMPUTED_VALUE"""),"QTY, Limit Price (if any) &amp; Password input correct")</f>
        <v>QTY, Limit Price (if any) &amp; Password input correct</v>
      </c>
      <c r="L102" s="30"/>
    </row>
    <row r="103">
      <c r="A103" s="5"/>
      <c r="B103" s="118">
        <f>IFERROR(__xludf.DUMMYFUNCTION("""COMPUTED_VALUE"""),44608.66102629629)</f>
        <v>44608.66103</v>
      </c>
      <c r="C103" s="120">
        <f>IFERROR(__xludf.DUMMYFUNCTION("""COMPUTED_VALUE"""),44608.666666666664)</f>
        <v>44608.66667</v>
      </c>
      <c r="D103" s="5" t="str">
        <f>IFERROR(__xludf.DUMMYFUNCTION("""COMPUTED_VALUE"""),"40158")</f>
        <v>40158</v>
      </c>
      <c r="E103" s="5" t="str">
        <f>IFERROR(__xludf.DUMMYFUNCTION("""COMPUTED_VALUE"""),"Stock")</f>
        <v>Stock</v>
      </c>
      <c r="F103" s="5" t="str">
        <f>IFERROR(__xludf.DUMMYFUNCTION("""COMPUTED_VALUE"""),"HKD")</f>
        <v>HKD</v>
      </c>
      <c r="G103" s="30" t="str">
        <f>IFERROR(__xludf.DUMMYFUNCTION("""COMPUTED_VALUE"""),"Email Account/ TraderID Recognized")</f>
        <v>Email Account/ TraderID Recognized</v>
      </c>
      <c r="H103" s="121" t="str">
        <f>IFERROR(__xludf.DUMMYFUNCTION("""COMPUTED_VALUE"""),"2020.HK")</f>
        <v>2020.HK</v>
      </c>
      <c r="I103" s="30">
        <f>IFERROR(__xludf.DUMMYFUNCTION("""COMPUTED_VALUE"""),7.0)</f>
        <v>7</v>
      </c>
      <c r="J103" s="30">
        <f>IFERROR(__xludf.DUMMYFUNCTION("""COMPUTED_VALUE"""),132.0)</f>
        <v>132</v>
      </c>
      <c r="K103" s="30" t="str">
        <f>IFERROR(__xludf.DUMMYFUNCTION("""COMPUTED_VALUE"""),"QTY, Limit Price (if any) &amp; Password input correct")</f>
        <v>QTY, Limit Price (if any) &amp; Password input correct</v>
      </c>
      <c r="L103" s="30"/>
    </row>
    <row r="104">
      <c r="A104" s="5"/>
      <c r="B104" s="118">
        <f>IFERROR(__xludf.DUMMYFUNCTION("""COMPUTED_VALUE"""),44608.676030243056)</f>
        <v>44608.67603</v>
      </c>
      <c r="C104" s="120">
        <f>IFERROR(__xludf.DUMMYFUNCTION("""COMPUTED_VALUE"""),44608.666666666664)</f>
        <v>44608.66667</v>
      </c>
      <c r="D104" s="5" t="str">
        <f>IFERROR(__xludf.DUMMYFUNCTION("""COMPUTED_VALUE"""),"39494")</f>
        <v>39494</v>
      </c>
      <c r="E104" s="5" t="str">
        <f>IFERROR(__xludf.DUMMYFUNCTION("""COMPUTED_VALUE"""),"Stock")</f>
        <v>Stock</v>
      </c>
      <c r="F104" s="5" t="str">
        <f>IFERROR(__xludf.DUMMYFUNCTION("""COMPUTED_VALUE"""),"USD")</f>
        <v>USD</v>
      </c>
      <c r="G104" s="30" t="str">
        <f>IFERROR(__xludf.DUMMYFUNCTION("""COMPUTED_VALUE"""),"Email Account/ TraderID Recognized")</f>
        <v>Email Account/ TraderID Recognized</v>
      </c>
      <c r="H104" s="119" t="str">
        <f>IFERROR(__xludf.DUMMYFUNCTION("""COMPUTED_VALUE"""),"NVDA")</f>
        <v>NVDA</v>
      </c>
      <c r="I104" s="30">
        <f>IFERROR(__xludf.DUMMYFUNCTION("""COMPUTED_VALUE"""),100.0)</f>
        <v>100</v>
      </c>
      <c r="J104" s="30"/>
      <c r="K104" s="30" t="str">
        <f>IFERROR(__xludf.DUMMYFUNCTION("""COMPUTED_VALUE"""),"QTY, Limit Price (if any) &amp; Password input correct")</f>
        <v>QTY, Limit Price (if any) &amp; Password input correct</v>
      </c>
      <c r="L104" s="30"/>
    </row>
    <row r="105">
      <c r="A105" s="5"/>
      <c r="B105" s="118">
        <f>IFERROR(__xludf.DUMMYFUNCTION("""COMPUTED_VALUE"""),44608.676748240745)</f>
        <v>44608.67675</v>
      </c>
      <c r="C105" s="120">
        <f>IFERROR(__xludf.DUMMYFUNCTION("""COMPUTED_VALUE"""),44608.666666666664)</f>
        <v>44608.66667</v>
      </c>
      <c r="D105" s="5" t="str">
        <f>IFERROR(__xludf.DUMMYFUNCTION("""COMPUTED_VALUE"""),"39494")</f>
        <v>39494</v>
      </c>
      <c r="E105" s="5" t="str">
        <f>IFERROR(__xludf.DUMMYFUNCTION("""COMPUTED_VALUE"""),"Stock")</f>
        <v>Stock</v>
      </c>
      <c r="F105" s="5" t="str">
        <f>IFERROR(__xludf.DUMMYFUNCTION("""COMPUTED_VALUE"""),"USD")</f>
        <v>USD</v>
      </c>
      <c r="G105" s="30" t="str">
        <f>IFERROR(__xludf.DUMMYFUNCTION("""COMPUTED_VALUE"""),"Email Account/ TraderID Recognized")</f>
        <v>Email Account/ TraderID Recognized</v>
      </c>
      <c r="H105" s="119" t="str">
        <f>IFERROR(__xludf.DUMMYFUNCTION("""COMPUTED_VALUE"""),"SONY")</f>
        <v>SONY</v>
      </c>
      <c r="I105" s="30">
        <f>IFERROR(__xludf.DUMMYFUNCTION("""COMPUTED_VALUE"""),100.0)</f>
        <v>100</v>
      </c>
      <c r="J105" s="30"/>
      <c r="K105" s="30" t="str">
        <f>IFERROR(__xludf.DUMMYFUNCTION("""COMPUTED_VALUE"""),"QTY, Limit Price (if any) &amp; Password input correct")</f>
        <v>QTY, Limit Price (if any) &amp; Password input correct</v>
      </c>
      <c r="L105" s="30" t="str">
        <f>IFERROR(__xludf.DUMMYFUNCTION("""COMPUTED_VALUE"""),"input as s1239494@ouhk.edu.hk")</f>
        <v>input as s1239494@ouhk.edu.hk</v>
      </c>
    </row>
    <row r="106">
      <c r="A106" s="5"/>
      <c r="B106" s="118">
        <f>IFERROR(__xludf.DUMMYFUNCTION("""COMPUTED_VALUE"""),44608.67808506945)</f>
        <v>44608.67809</v>
      </c>
      <c r="C106" s="120">
        <f>IFERROR(__xludf.DUMMYFUNCTION("""COMPUTED_VALUE"""),44608.666666666664)</f>
        <v>44608.66667</v>
      </c>
      <c r="D106" s="5" t="str">
        <f>IFERROR(__xludf.DUMMYFUNCTION("""COMPUTED_VALUE"""),"39494")</f>
        <v>39494</v>
      </c>
      <c r="E106" s="5" t="str">
        <f>IFERROR(__xludf.DUMMYFUNCTION("""COMPUTED_VALUE"""),"Stock")</f>
        <v>Stock</v>
      </c>
      <c r="F106" s="5" t="str">
        <f>IFERROR(__xludf.DUMMYFUNCTION("""COMPUTED_VALUE"""),"USD")</f>
        <v>USD</v>
      </c>
      <c r="G106" s="30" t="str">
        <f>IFERROR(__xludf.DUMMYFUNCTION("""COMPUTED_VALUE"""),"Email Account/ TraderID Recognized")</f>
        <v>Email Account/ TraderID Recognized</v>
      </c>
      <c r="H106" s="119" t="str">
        <f>IFERROR(__xludf.DUMMYFUNCTION("""COMPUTED_VALUE"""),"NTDOY")</f>
        <v>NTDOY</v>
      </c>
      <c r="I106" s="30">
        <f>IFERROR(__xludf.DUMMYFUNCTION("""COMPUTED_VALUE"""),100.0)</f>
        <v>100</v>
      </c>
      <c r="J106" s="30"/>
      <c r="K106" s="30" t="str">
        <f>IFERROR(__xludf.DUMMYFUNCTION("""COMPUTED_VALUE"""),"QTY, Limit Price (if any) &amp; Password input correct")</f>
        <v>QTY, Limit Price (if any) &amp; Password input correct</v>
      </c>
      <c r="L106" s="30"/>
    </row>
    <row r="107">
      <c r="A107" s="5"/>
      <c r="B107" s="118">
        <f>IFERROR(__xludf.DUMMYFUNCTION("""COMPUTED_VALUE"""),44608.71991768519)</f>
        <v>44608.71992</v>
      </c>
      <c r="C107" s="120">
        <f>IFERROR(__xludf.DUMMYFUNCTION("""COMPUTED_VALUE"""),44608.666666666664)</f>
        <v>44608.66667</v>
      </c>
      <c r="D107" s="5" t="str">
        <f>IFERROR(__xludf.DUMMYFUNCTION("""COMPUTED_VALUE"""),"39857")</f>
        <v>39857</v>
      </c>
      <c r="E107" s="5" t="str">
        <f>IFERROR(__xludf.DUMMYFUNCTION("""COMPUTED_VALUE"""),"Stock")</f>
        <v>Stock</v>
      </c>
      <c r="F107" s="5" t="str">
        <f>IFERROR(__xludf.DUMMYFUNCTION("""COMPUTED_VALUE"""),"USD")</f>
        <v>USD</v>
      </c>
      <c r="G107" s="30" t="str">
        <f>IFERROR(__xludf.DUMMYFUNCTION("""COMPUTED_VALUE"""),"Email Account/ TraderID Recognized")</f>
        <v>Email Account/ TraderID Recognized</v>
      </c>
      <c r="H107" s="119" t="str">
        <f>IFERROR(__xludf.DUMMYFUNCTION("""COMPUTED_VALUE"""),"DIS")</f>
        <v>DIS</v>
      </c>
      <c r="I107" s="30">
        <f>IFERROR(__xludf.DUMMYFUNCTION("""COMPUTED_VALUE"""),200.0)</f>
        <v>200</v>
      </c>
      <c r="J107" s="30"/>
      <c r="K107" s="30" t="str">
        <f>IFERROR(__xludf.DUMMYFUNCTION("""COMPUTED_VALUE"""),"QTY, Limit Price (if any) &amp; Password input correct")</f>
        <v>QTY, Limit Price (if any) &amp; Password input correct</v>
      </c>
      <c r="L107" s="30" t="str">
        <f>IFERROR(__xludf.DUMMYFUNCTION("""COMPUTED_VALUE"""),"input as s1239857@muhk.edu.hk")</f>
        <v>input as s1239857@muhk.edu.hk</v>
      </c>
    </row>
    <row r="108">
      <c r="A108" s="5"/>
      <c r="B108" s="118">
        <f>IFERROR(__xludf.DUMMYFUNCTION("""COMPUTED_VALUE"""),44608.91769070602)</f>
        <v>44608.91769</v>
      </c>
      <c r="C108" s="120">
        <f>IFERROR(__xludf.DUMMYFUNCTION("""COMPUTED_VALUE"""),44608.666666666664)</f>
        <v>44608.66667</v>
      </c>
      <c r="D108" s="5" t="str">
        <f>IFERROR(__xludf.DUMMYFUNCTION("""COMPUTED_VALUE"""),"40105")</f>
        <v>40105</v>
      </c>
      <c r="E108" s="5" t="str">
        <f>IFERROR(__xludf.DUMMYFUNCTION("""COMPUTED_VALUE"""),"Stock")</f>
        <v>Stock</v>
      </c>
      <c r="F108" s="5" t="str">
        <f>IFERROR(__xludf.DUMMYFUNCTION("""COMPUTED_VALUE"""),"USD")</f>
        <v>USD</v>
      </c>
      <c r="G108" s="30" t="str">
        <f>IFERROR(__xludf.DUMMYFUNCTION("""COMPUTED_VALUE"""),"Email Account/ TraderID Recognized")</f>
        <v>Email Account/ TraderID Recognized</v>
      </c>
      <c r="H108" s="119" t="str">
        <f>IFERROR(__xludf.DUMMYFUNCTION("""COMPUTED_VALUE"""),"DIS")</f>
        <v>DIS</v>
      </c>
      <c r="I108" s="30">
        <f>IFERROR(__xludf.DUMMYFUNCTION("""COMPUTED_VALUE"""),300.0)</f>
        <v>300</v>
      </c>
      <c r="J108" s="30">
        <f>IFERROR(__xludf.DUMMYFUNCTION("""COMPUTED_VALUE"""),150.0)</f>
        <v>150</v>
      </c>
      <c r="K108" s="30" t="str">
        <f>IFERROR(__xludf.DUMMYFUNCTION("""COMPUTED_VALUE"""),"QTY, Limit Price (if any) &amp; Password input correct")</f>
        <v>QTY, Limit Price (if any) &amp; Password input correct</v>
      </c>
      <c r="L108" s="30"/>
    </row>
    <row r="109">
      <c r="A109" s="5"/>
      <c r="B109" s="118">
        <f>IFERROR(__xludf.DUMMYFUNCTION("""COMPUTED_VALUE"""),44608.919350219905)</f>
        <v>44608.91935</v>
      </c>
      <c r="C109" s="120">
        <f>IFERROR(__xludf.DUMMYFUNCTION("""COMPUTED_VALUE"""),44608.666666666664)</f>
        <v>44608.66667</v>
      </c>
      <c r="D109" s="5" t="str">
        <f>IFERROR(__xludf.DUMMYFUNCTION("""COMPUTED_VALUE"""),"40105")</f>
        <v>40105</v>
      </c>
      <c r="E109" s="5" t="str">
        <f>IFERROR(__xludf.DUMMYFUNCTION("""COMPUTED_VALUE"""),"Stock")</f>
        <v>Stock</v>
      </c>
      <c r="F109" s="5" t="str">
        <f>IFERROR(__xludf.DUMMYFUNCTION("""COMPUTED_VALUE"""),"USD")</f>
        <v>USD</v>
      </c>
      <c r="G109" s="30" t="str">
        <f>IFERROR(__xludf.DUMMYFUNCTION("""COMPUTED_VALUE"""),"Email Account/ TraderID Recognized")</f>
        <v>Email Account/ TraderID Recognized</v>
      </c>
      <c r="H109" s="119" t="str">
        <f>IFERROR(__xludf.DUMMYFUNCTION("""COMPUTED_VALUE"""),"DIS")</f>
        <v>DIS</v>
      </c>
      <c r="I109" s="30">
        <f>IFERROR(__xludf.DUMMYFUNCTION("""COMPUTED_VALUE"""),300.0)</f>
        <v>300</v>
      </c>
      <c r="J109" s="30">
        <f>IFERROR(__xludf.DUMMYFUNCTION("""COMPUTED_VALUE"""),155.5)</f>
        <v>155.5</v>
      </c>
      <c r="K109" s="30" t="str">
        <f>IFERROR(__xludf.DUMMYFUNCTION("""COMPUTED_VALUE"""),"QTY, Limit Price (if any) &amp; Password input correct")</f>
        <v>QTY, Limit Price (if any) &amp; Password input correct</v>
      </c>
      <c r="L109" s="30"/>
    </row>
    <row r="110">
      <c r="A110" s="5"/>
      <c r="B110" s="118">
        <f>IFERROR(__xludf.DUMMYFUNCTION("""COMPUTED_VALUE"""),44608.93573996528)</f>
        <v>44608.93574</v>
      </c>
      <c r="C110" s="120">
        <f>IFERROR(__xludf.DUMMYFUNCTION("""COMPUTED_VALUE"""),44608.666666666664)</f>
        <v>44608.66667</v>
      </c>
      <c r="D110" s="5" t="str">
        <f>IFERROR(__xludf.DUMMYFUNCTION("""COMPUTED_VALUE"""),"39608")</f>
        <v>39608</v>
      </c>
      <c r="E110" s="5" t="str">
        <f>IFERROR(__xludf.DUMMYFUNCTION("""COMPUTED_VALUE"""),"Stock")</f>
        <v>Stock</v>
      </c>
      <c r="F110" s="5" t="str">
        <f>IFERROR(__xludf.DUMMYFUNCTION("""COMPUTED_VALUE"""),"USD")</f>
        <v>USD</v>
      </c>
      <c r="G110" s="30" t="str">
        <f>IFERROR(__xludf.DUMMYFUNCTION("""COMPUTED_VALUE"""),"Email Account/ TraderID Recognized")</f>
        <v>Email Account/ TraderID Recognized</v>
      </c>
      <c r="H110" s="119" t="str">
        <f>IFERROR(__xludf.DUMMYFUNCTION("""COMPUTED_VALUE"""),"TSLA")</f>
        <v>TSLA</v>
      </c>
      <c r="I110" s="30">
        <f>IFERROR(__xludf.DUMMYFUNCTION("""COMPUTED_VALUE"""),36.0)</f>
        <v>36</v>
      </c>
      <c r="J110" s="30">
        <f>IFERROR(__xludf.DUMMYFUNCTION("""COMPUTED_VALUE"""),886.0)</f>
        <v>886</v>
      </c>
      <c r="K110" s="30" t="str">
        <f>IFERROR(__xludf.DUMMYFUNCTION("""COMPUTED_VALUE"""),"QTY, Limit Price (if any) &amp; Password input correct")</f>
        <v>QTY, Limit Price (if any) &amp; Password input correct</v>
      </c>
      <c r="L110" s="30"/>
    </row>
    <row r="111">
      <c r="A111" s="5"/>
      <c r="B111" s="118">
        <f>IFERROR(__xludf.DUMMYFUNCTION("""COMPUTED_VALUE"""),44608.935772488425)</f>
        <v>44608.93577</v>
      </c>
      <c r="C111" s="120">
        <f>IFERROR(__xludf.DUMMYFUNCTION("""COMPUTED_VALUE"""),44608.666666666664)</f>
        <v>44608.66667</v>
      </c>
      <c r="D111" s="5" t="str">
        <f>IFERROR(__xludf.DUMMYFUNCTION("""COMPUTED_VALUE"""),"37400")</f>
        <v>37400</v>
      </c>
      <c r="E111" s="5" t="str">
        <f>IFERROR(__xludf.DUMMYFUNCTION("""COMPUTED_VALUE"""),"Stock")</f>
        <v>Stock</v>
      </c>
      <c r="F111" s="5" t="str">
        <f>IFERROR(__xludf.DUMMYFUNCTION("""COMPUTED_VALUE"""),"USD")</f>
        <v>USD</v>
      </c>
      <c r="G111" s="30" t="str">
        <f>IFERROR(__xludf.DUMMYFUNCTION("""COMPUTED_VALUE"""),"Email Account/ TraderID Recognized")</f>
        <v>Email Account/ TraderID Recognized</v>
      </c>
      <c r="H111" s="119" t="str">
        <f>IFERROR(__xludf.DUMMYFUNCTION("""COMPUTED_VALUE"""),"TSLA")</f>
        <v>TSLA</v>
      </c>
      <c r="I111" s="30">
        <f>IFERROR(__xludf.DUMMYFUNCTION("""COMPUTED_VALUE"""),36.0)</f>
        <v>36</v>
      </c>
      <c r="J111" s="30">
        <f>IFERROR(__xludf.DUMMYFUNCTION("""COMPUTED_VALUE"""),886.0)</f>
        <v>886</v>
      </c>
      <c r="K111" s="30" t="str">
        <f>IFERROR(__xludf.DUMMYFUNCTION("""COMPUTED_VALUE"""),"QTY, Limit Price (if any) &amp; Password input correct")</f>
        <v>QTY, Limit Price (if any) &amp; Password input correct</v>
      </c>
      <c r="L111" s="30"/>
    </row>
    <row r="112">
      <c r="A112" s="5"/>
      <c r="B112" s="118">
        <f>IFERROR(__xludf.DUMMYFUNCTION("""COMPUTED_VALUE"""),44608.95515515046)</f>
        <v>44608.95516</v>
      </c>
      <c r="C112" s="120">
        <f>IFERROR(__xludf.DUMMYFUNCTION("""COMPUTED_VALUE"""),44608.666666666664)</f>
        <v>44608.66667</v>
      </c>
      <c r="D112" s="5" t="str">
        <f>IFERROR(__xludf.DUMMYFUNCTION("""COMPUTED_VALUE"""),"32312")</f>
        <v>32312</v>
      </c>
      <c r="E112" s="5" t="str">
        <f>IFERROR(__xludf.DUMMYFUNCTION("""COMPUTED_VALUE"""),"Stock")</f>
        <v>Stock</v>
      </c>
      <c r="F112" s="5" t="str">
        <f>IFERROR(__xludf.DUMMYFUNCTION("""COMPUTED_VALUE"""),"USD")</f>
        <v>USD</v>
      </c>
      <c r="G112" s="30" t="str">
        <f>IFERROR(__xludf.DUMMYFUNCTION("""COMPUTED_VALUE"""),"Email Account/ TraderID Recognized")</f>
        <v>Email Account/ TraderID Recognized</v>
      </c>
      <c r="H112" s="119" t="str">
        <f>IFERROR(__xludf.DUMMYFUNCTION("""COMPUTED_VALUE"""),"TSLA")</f>
        <v>TSLA</v>
      </c>
      <c r="I112" s="30">
        <f>IFERROR(__xludf.DUMMYFUNCTION("""COMPUTED_VALUE"""),36.0)</f>
        <v>36</v>
      </c>
      <c r="J112" s="30">
        <f>IFERROR(__xludf.DUMMYFUNCTION("""COMPUTED_VALUE"""),886.0)</f>
        <v>886</v>
      </c>
      <c r="K112" s="30" t="str">
        <f>IFERROR(__xludf.DUMMYFUNCTION("""COMPUTED_VALUE"""),"QTY, Limit Price (if any) &amp; Password input correct")</f>
        <v>QTY, Limit Price (if any) &amp; Password input correct</v>
      </c>
      <c r="L112" s="30"/>
    </row>
    <row r="113">
      <c r="A113" s="5"/>
      <c r="B113" s="118">
        <f>IFERROR(__xludf.DUMMYFUNCTION("""COMPUTED_VALUE"""),44609.45854861111)</f>
        <v>44609.45855</v>
      </c>
      <c r="C113" s="120">
        <f>IFERROR(__xludf.DUMMYFUNCTION("""COMPUTED_VALUE"""),44609.666666666664)</f>
        <v>44609.66667</v>
      </c>
      <c r="D113" s="5" t="str">
        <f>IFERROR(__xludf.DUMMYFUNCTION("""COMPUTED_VALUE"""),"76848")</f>
        <v>76848</v>
      </c>
      <c r="E113" s="5" t="str">
        <f>IFERROR(__xludf.DUMMYFUNCTION("""COMPUTED_VALUE"""),"Stock")</f>
        <v>Stock</v>
      </c>
      <c r="F113" s="5" t="str">
        <f>IFERROR(__xludf.DUMMYFUNCTION("""COMPUTED_VALUE"""),"USD")</f>
        <v>USD</v>
      </c>
      <c r="G113" s="30" t="str">
        <f>IFERROR(__xludf.DUMMYFUNCTION("""COMPUTED_VALUE"""),"Email Account/ TraderID Recognized")</f>
        <v>Email Account/ TraderID Recognized</v>
      </c>
      <c r="H113" s="119" t="str">
        <f>IFERROR(__xludf.DUMMYFUNCTION("""COMPUTED_VALUE"""),"AMAT")</f>
        <v>AMAT</v>
      </c>
      <c r="I113" s="30">
        <f>IFERROR(__xludf.DUMMYFUNCTION("""COMPUTED_VALUE"""),50.0)</f>
        <v>50</v>
      </c>
      <c r="J113" s="30">
        <f>IFERROR(__xludf.DUMMYFUNCTION("""COMPUTED_VALUE"""),138.0)</f>
        <v>138</v>
      </c>
      <c r="K113" s="30" t="str">
        <f>IFERROR(__xludf.DUMMYFUNCTION("""COMPUTED_VALUE"""),"QTY, Limit Price (if any) &amp; Password input correct")</f>
        <v>QTY, Limit Price (if any) &amp; Password input correct</v>
      </c>
      <c r="L113" s="30"/>
    </row>
    <row r="114">
      <c r="A114" s="5"/>
      <c r="B114" s="118">
        <f>IFERROR(__xludf.DUMMYFUNCTION("""COMPUTED_VALUE"""),44609.458707777776)</f>
        <v>44609.45871</v>
      </c>
      <c r="C114" s="120">
        <f>IFERROR(__xludf.DUMMYFUNCTION("""COMPUTED_VALUE"""),44609.666666666664)</f>
        <v>44609.66667</v>
      </c>
      <c r="D114" s="5" t="str">
        <f>IFERROR(__xludf.DUMMYFUNCTION("""COMPUTED_VALUE"""),"74356")</f>
        <v>74356</v>
      </c>
      <c r="E114" s="5" t="str">
        <f>IFERROR(__xludf.DUMMYFUNCTION("""COMPUTED_VALUE"""),"Stock")</f>
        <v>Stock</v>
      </c>
      <c r="F114" s="5" t="str">
        <f>IFERROR(__xludf.DUMMYFUNCTION("""COMPUTED_VALUE"""),"USD")</f>
        <v>USD</v>
      </c>
      <c r="G114" s="30" t="str">
        <f>IFERROR(__xludf.DUMMYFUNCTION("""COMPUTED_VALUE"""),"Email Account/ TraderID Recognized")</f>
        <v>Email Account/ TraderID Recognized</v>
      </c>
      <c r="H114" s="119" t="str">
        <f>IFERROR(__xludf.DUMMYFUNCTION("""COMPUTED_VALUE"""),"AMAT")</f>
        <v>AMAT</v>
      </c>
      <c r="I114" s="30">
        <f>IFERROR(__xludf.DUMMYFUNCTION("""COMPUTED_VALUE"""),50.0)</f>
        <v>50</v>
      </c>
      <c r="J114" s="30">
        <f>IFERROR(__xludf.DUMMYFUNCTION("""COMPUTED_VALUE"""),138.0)</f>
        <v>138</v>
      </c>
      <c r="K114" s="30" t="str">
        <f>IFERROR(__xludf.DUMMYFUNCTION("""COMPUTED_VALUE"""),"QTY, Limit Price (if any) &amp; Password input correct")</f>
        <v>QTY, Limit Price (if any) &amp; Password input correct</v>
      </c>
      <c r="L114" s="30"/>
    </row>
    <row r="115">
      <c r="A115" s="5"/>
      <c r="B115" s="118">
        <f>IFERROR(__xludf.DUMMYFUNCTION("""COMPUTED_VALUE"""),44609.48559996528)</f>
        <v>44609.4856</v>
      </c>
      <c r="C115" s="120" t="str">
        <f>IFERROR(__xludf.DUMMYFUNCTION("""COMPUTED_VALUE"""),"")</f>
        <v/>
      </c>
      <c r="D115" s="5" t="str">
        <f>IFERROR(__xludf.DUMMYFUNCTION("""COMPUTED_VALUE"""),"82124")</f>
        <v>82124</v>
      </c>
      <c r="E115" s="5" t="str">
        <f>IFERROR(__xludf.DUMMYFUNCTION("""COMPUTED_VALUE"""),"Stock")</f>
        <v>Stock</v>
      </c>
      <c r="F115" s="5" t="str">
        <f>IFERROR(__xludf.DUMMYFUNCTION("""COMPUTED_VALUE"""),"error")</f>
        <v>error</v>
      </c>
      <c r="G115" s="30" t="str">
        <f>IFERROR(__xludf.DUMMYFUNCTION("""COMPUTED_VALUE"""),"Email Account/ TraderID Recognized")</f>
        <v>Email Account/ TraderID Recognized</v>
      </c>
      <c r="H115" s="119" t="str">
        <f>IFERROR(__xludf.DUMMYFUNCTION("""COMPUTED_VALUE"""),"9988")</f>
        <v>9988</v>
      </c>
      <c r="I115" s="30">
        <f>IFERROR(__xludf.DUMMYFUNCTION("""COMPUTED_VALUE"""),200.0)</f>
        <v>200</v>
      </c>
      <c r="J115" s="30">
        <f>IFERROR(__xludf.DUMMYFUNCTION("""COMPUTED_VALUE"""),123.1)</f>
        <v>123.1</v>
      </c>
      <c r="K115" s="30" t="str">
        <f>IFERROR(__xludf.DUMMYFUNCTION("""COMPUTED_VALUE"""),"QTY, Limit Price (if any) &amp; Password input correct")</f>
        <v>QTY, Limit Price (if any) &amp; Password input correct</v>
      </c>
      <c r="L115" s="30" t="str">
        <f>IFERROR(__xludf.DUMMYFUNCTION("""COMPUTED_VALUE"""),"Order rejected due to wrong ticker code. just need to type in 9988.HK")</f>
        <v>Order rejected due to wrong ticker code. just need to type in 9988.HK</v>
      </c>
    </row>
    <row r="116">
      <c r="A116" s="5"/>
      <c r="B116" s="118">
        <f>IFERROR(__xludf.DUMMYFUNCTION("""COMPUTED_VALUE"""),44609.66552199074)</f>
        <v>44609.66552</v>
      </c>
      <c r="C116" s="120">
        <f>IFERROR(__xludf.DUMMYFUNCTION("""COMPUTED_VALUE"""),44609.666666666664)</f>
        <v>44609.66667</v>
      </c>
      <c r="D116" s="5" t="str">
        <f>IFERROR(__xludf.DUMMYFUNCTION("""COMPUTED_VALUE"""),"76975")</f>
        <v>76975</v>
      </c>
      <c r="E116" s="5" t="str">
        <f>IFERROR(__xludf.DUMMYFUNCTION("""COMPUTED_VALUE"""),"Stock")</f>
        <v>Stock</v>
      </c>
      <c r="F116" s="5" t="str">
        <f>IFERROR(__xludf.DUMMYFUNCTION("""COMPUTED_VALUE"""),"HKD")</f>
        <v>HKD</v>
      </c>
      <c r="G116" s="30" t="str">
        <f>IFERROR(__xludf.DUMMYFUNCTION("""COMPUTED_VALUE"""),"Email Account/ TraderID Recognized")</f>
        <v>Email Account/ TraderID Recognized</v>
      </c>
      <c r="H116" s="121" t="str">
        <f>IFERROR(__xludf.DUMMYFUNCTION("""COMPUTED_VALUE"""),"0700.HK")</f>
        <v>0700.HK</v>
      </c>
      <c r="I116" s="30">
        <f>IFERROR(__xludf.DUMMYFUNCTION("""COMPUTED_VALUE"""),210.0)</f>
        <v>210</v>
      </c>
      <c r="J116" s="30">
        <f>IFERROR(__xludf.DUMMYFUNCTION("""COMPUTED_VALUE"""),500.0)</f>
        <v>500</v>
      </c>
      <c r="K116" s="30" t="str">
        <f>IFERROR(__xludf.DUMMYFUNCTION("""COMPUTED_VALUE"""),"QTY, Limit Price (if any) &amp; Password input correct")</f>
        <v>QTY, Limit Price (if any) &amp; Password input correct</v>
      </c>
      <c r="L116" s="30"/>
    </row>
    <row r="117">
      <c r="A117" s="5"/>
      <c r="B117" s="118">
        <f>IFERROR(__xludf.DUMMYFUNCTION("""COMPUTED_VALUE"""),44609.66576145834)</f>
        <v>44609.66576</v>
      </c>
      <c r="C117" s="120">
        <f>IFERROR(__xludf.DUMMYFUNCTION("""COMPUTED_VALUE"""),44609.666666666664)</f>
        <v>44609.66667</v>
      </c>
      <c r="D117" s="5" t="str">
        <f>IFERROR(__xludf.DUMMYFUNCTION("""COMPUTED_VALUE"""),"89750")</f>
        <v>89750</v>
      </c>
      <c r="E117" s="5" t="str">
        <f>IFERROR(__xludf.DUMMYFUNCTION("""COMPUTED_VALUE"""),"Stock")</f>
        <v>Stock</v>
      </c>
      <c r="F117" s="5" t="str">
        <f>IFERROR(__xludf.DUMMYFUNCTION("""COMPUTED_VALUE"""),"HKD")</f>
        <v>HKD</v>
      </c>
      <c r="G117" s="30" t="str">
        <f>IFERROR(__xludf.DUMMYFUNCTION("""COMPUTED_VALUE"""),"Email Account/ TraderID Recognized")</f>
        <v>Email Account/ TraderID Recognized</v>
      </c>
      <c r="H117" s="121" t="str">
        <f>IFERROR(__xludf.DUMMYFUNCTION("""COMPUTED_VALUE"""),"6969.HK")</f>
        <v>6969.HK</v>
      </c>
      <c r="I117" s="30">
        <f>IFERROR(__xludf.DUMMYFUNCTION("""COMPUTED_VALUE"""),1000.0)</f>
        <v>1000</v>
      </c>
      <c r="J117" s="30"/>
      <c r="K117" s="30" t="str">
        <f>IFERROR(__xludf.DUMMYFUNCTION("""COMPUTED_VALUE"""),"QTY, Limit Price (if any) &amp; Password input correct")</f>
        <v>QTY, Limit Price (if any) &amp; Password input correct</v>
      </c>
      <c r="L117" s="30"/>
    </row>
    <row r="118">
      <c r="A118" s="5"/>
      <c r="B118" s="118">
        <f>IFERROR(__xludf.DUMMYFUNCTION("""COMPUTED_VALUE"""),44609.67273111111)</f>
        <v>44609.67273</v>
      </c>
      <c r="C118" s="120">
        <f>IFERROR(__xludf.DUMMYFUNCTION("""COMPUTED_VALUE"""),44609.666666666664)</f>
        <v>44609.66667</v>
      </c>
      <c r="D118" s="5" t="str">
        <f>IFERROR(__xludf.DUMMYFUNCTION("""COMPUTED_VALUE"""),"39857")</f>
        <v>39857</v>
      </c>
      <c r="E118" s="5" t="str">
        <f>IFERROR(__xludf.DUMMYFUNCTION("""COMPUTED_VALUE"""),"Stock")</f>
        <v>Stock</v>
      </c>
      <c r="F118" s="5" t="str">
        <f>IFERROR(__xludf.DUMMYFUNCTION("""COMPUTED_VALUE"""),"USD")</f>
        <v>USD</v>
      </c>
      <c r="G118" s="30" t="str">
        <f>IFERROR(__xludf.DUMMYFUNCTION("""COMPUTED_VALUE"""),"Email Account/ TraderID Recognized")</f>
        <v>Email Account/ TraderID Recognized</v>
      </c>
      <c r="H118" s="119" t="str">
        <f>IFERROR(__xludf.DUMMYFUNCTION("""COMPUTED_VALUE"""),"DIS")</f>
        <v>DIS</v>
      </c>
      <c r="I118" s="30">
        <f>IFERROR(__xludf.DUMMYFUNCTION("""COMPUTED_VALUE"""),300.0)</f>
        <v>300</v>
      </c>
      <c r="J118" s="30"/>
      <c r="K118" s="30" t="str">
        <f>IFERROR(__xludf.DUMMYFUNCTION("""COMPUTED_VALUE"""),"QTY, Limit Price (if any) &amp; Password input correct")</f>
        <v>QTY, Limit Price (if any) &amp; Password input correct</v>
      </c>
      <c r="L118" s="30"/>
    </row>
    <row r="119">
      <c r="A119" s="5"/>
      <c r="B119" s="118">
        <f>IFERROR(__xludf.DUMMYFUNCTION("""COMPUTED_VALUE"""),44609.67536662037)</f>
        <v>44609.67537</v>
      </c>
      <c r="C119" s="120">
        <f>IFERROR(__xludf.DUMMYFUNCTION("""COMPUTED_VALUE"""),44610.666666666664)</f>
        <v>44610.66667</v>
      </c>
      <c r="D119" s="5" t="str">
        <f>IFERROR(__xludf.DUMMYFUNCTION("""COMPUTED_VALUE"""),"75288")</f>
        <v>75288</v>
      </c>
      <c r="E119" s="5" t="str">
        <f>IFERROR(__xludf.DUMMYFUNCTION("""COMPUTED_VALUE"""),"Stock")</f>
        <v>Stock</v>
      </c>
      <c r="F119" s="5" t="str">
        <f>IFERROR(__xludf.DUMMYFUNCTION("""COMPUTED_VALUE"""),"HKD")</f>
        <v>HKD</v>
      </c>
      <c r="G119" s="30" t="str">
        <f>IFERROR(__xludf.DUMMYFUNCTION("""COMPUTED_VALUE"""),"Email Account/ TraderID Recognized")</f>
        <v>Email Account/ TraderID Recognized</v>
      </c>
      <c r="H119" s="121" t="str">
        <f>IFERROR(__xludf.DUMMYFUNCTION("""COMPUTED_VALUE"""),"0700.HK")</f>
        <v>0700.HK</v>
      </c>
      <c r="I119" s="30">
        <f>IFERROR(__xludf.DUMMYFUNCTION("""COMPUTED_VALUE"""),210.0)</f>
        <v>210</v>
      </c>
      <c r="J119" s="30">
        <f>IFERROR(__xludf.DUMMYFUNCTION("""COMPUTED_VALUE"""),500.0)</f>
        <v>500</v>
      </c>
      <c r="K119" s="30" t="str">
        <f>IFERROR(__xludf.DUMMYFUNCTION("""COMPUTED_VALUE"""),"QTY, Limit Price (if any) &amp; Password input correct")</f>
        <v>QTY, Limit Price (if any) &amp; Password input correct</v>
      </c>
      <c r="L119" s="30"/>
    </row>
    <row r="120">
      <c r="A120" s="5"/>
      <c r="B120" s="118">
        <f>IFERROR(__xludf.DUMMYFUNCTION("""COMPUTED_VALUE"""),44609.6774909375)</f>
        <v>44609.67749</v>
      </c>
      <c r="C120" s="120">
        <f>IFERROR(__xludf.DUMMYFUNCTION("""COMPUTED_VALUE"""),44609.666666666664)</f>
        <v>44609.66667</v>
      </c>
      <c r="D120" s="5" t="str">
        <f>IFERROR(__xludf.DUMMYFUNCTION("""COMPUTED_VALUE"""),"40105")</f>
        <v>40105</v>
      </c>
      <c r="E120" s="5" t="str">
        <f>IFERROR(__xludf.DUMMYFUNCTION("""COMPUTED_VALUE"""),"Stock")</f>
        <v>Stock</v>
      </c>
      <c r="F120" s="5" t="str">
        <f>IFERROR(__xludf.DUMMYFUNCTION("""COMPUTED_VALUE"""),"USD")</f>
        <v>USD</v>
      </c>
      <c r="G120" s="30" t="str">
        <f>IFERROR(__xludf.DUMMYFUNCTION("""COMPUTED_VALUE"""),"Email Account/ TraderID Recognized")</f>
        <v>Email Account/ TraderID Recognized</v>
      </c>
      <c r="H120" s="119" t="str">
        <f>IFERROR(__xludf.DUMMYFUNCTION("""COMPUTED_VALUE"""),"DIS")</f>
        <v>DIS</v>
      </c>
      <c r="I120" s="30">
        <f>IFERROR(__xludf.DUMMYFUNCTION("""COMPUTED_VALUE"""),300.0)</f>
        <v>300</v>
      </c>
      <c r="J120" s="30"/>
      <c r="K120" s="30" t="str">
        <f>IFERROR(__xludf.DUMMYFUNCTION("""COMPUTED_VALUE"""),"QTY, Limit Price (if any) &amp; Password input correct")</f>
        <v>QTY, Limit Price (if any) &amp; Password input correct</v>
      </c>
      <c r="L120" s="30"/>
    </row>
    <row r="121">
      <c r="A121" s="5"/>
      <c r="B121" s="118">
        <f>IFERROR(__xludf.DUMMYFUNCTION("""COMPUTED_VALUE"""),44609.71771300926)</f>
        <v>44609.71771</v>
      </c>
      <c r="C121" s="120" t="str">
        <f>IFERROR(__xludf.DUMMYFUNCTION("""COMPUTED_VALUE"""),"")</f>
        <v/>
      </c>
      <c r="D121" s="5" t="str">
        <f>IFERROR(__xludf.DUMMYFUNCTION("""COMPUTED_VALUE"""),"36460")</f>
        <v>36460</v>
      </c>
      <c r="E121" s="5" t="str">
        <f>IFERROR(__xludf.DUMMYFUNCTION("""COMPUTED_VALUE"""),"Stock")</f>
        <v>Stock</v>
      </c>
      <c r="F121" s="5" t="str">
        <f>IFERROR(__xludf.DUMMYFUNCTION("""COMPUTED_VALUE"""),"error")</f>
        <v>error</v>
      </c>
      <c r="G121" s="30" t="str">
        <f>IFERROR(__xludf.DUMMYFUNCTION("""COMPUTED_VALUE"""),"Email Account/ TraderID Recognized")</f>
        <v>Email Account/ TraderID Recognized</v>
      </c>
      <c r="H121" s="119" t="str">
        <f>IFERROR(__xludf.DUMMYFUNCTION("""COMPUTED_VALUE"""),"603259")</f>
        <v>603259</v>
      </c>
      <c r="I121" s="30">
        <f>IFERROR(__xludf.DUMMYFUNCTION("""COMPUTED_VALUE"""),100.0)</f>
        <v>100</v>
      </c>
      <c r="J121" s="30"/>
      <c r="K121" s="30" t="str">
        <f>IFERROR(__xludf.DUMMYFUNCTION("""COMPUTED_VALUE"""),"QTY, Limit Price (if any) &amp; Password input correct")</f>
        <v>QTY, Limit Price (if any) &amp; Password input correct</v>
      </c>
      <c r="L121" s="30" t="str">
        <f>IFERROR(__xludf.DUMMYFUNCTION("""COMPUTED_VALUE"""),"Order rejected due to wrong ticker code. just need to type in 603259.SS")</f>
        <v>Order rejected due to wrong ticker code. just need to type in 603259.SS</v>
      </c>
    </row>
    <row r="122">
      <c r="A122" s="5"/>
      <c r="B122" s="118">
        <f>IFERROR(__xludf.DUMMYFUNCTION("""COMPUTED_VALUE"""),44609.911573136575)</f>
        <v>44609.91157</v>
      </c>
      <c r="C122" s="120" t="str">
        <f>IFERROR(__xludf.DUMMYFUNCTION("""COMPUTED_VALUE"""),"")</f>
        <v/>
      </c>
      <c r="D122" s="5" t="str">
        <f>IFERROR(__xludf.DUMMYFUNCTION("""COMPUTED_VALUE"""),"39608")</f>
        <v>39608</v>
      </c>
      <c r="E122" s="5" t="str">
        <f>IFERROR(__xludf.DUMMYFUNCTION("""COMPUTED_VALUE"""),"Stock")</f>
        <v>Stock</v>
      </c>
      <c r="F122" s="5" t="str">
        <f>IFERROR(__xludf.DUMMYFUNCTION("""COMPUTED_VALUE"""),"error")</f>
        <v>error</v>
      </c>
      <c r="G122" s="30" t="str">
        <f>IFERROR(__xludf.DUMMYFUNCTION("""COMPUTED_VALUE"""),"Email Account/ TraderID Recognized")</f>
        <v>Email Account/ TraderID Recognized</v>
      </c>
      <c r="H122" s="119" t="str">
        <f>IFERROR(__xludf.DUMMYFUNCTION("""COMPUTED_VALUE"""),"TSLA")</f>
        <v>TSLA</v>
      </c>
      <c r="I122" s="30">
        <f>IFERROR(__xludf.DUMMYFUNCTION("""COMPUTED_VALUE"""),18.0)</f>
        <v>18</v>
      </c>
      <c r="J122" s="30"/>
      <c r="K122" s="30" t="str">
        <f>IFERROR(__xludf.DUMMYFUNCTION("""COMPUTED_VALUE"""),"Wrong Password Submitted, Order will be rejected")</f>
        <v>Wrong Password Submitted, Order will be rejected</v>
      </c>
      <c r="L122" s="30" t="str">
        <f>IFERROR(__xludf.DUMMYFUNCTION("""COMPUTED_VALUE"""),"Order rejected due to wrong password")</f>
        <v>Order rejected due to wrong password</v>
      </c>
    </row>
    <row r="123">
      <c r="A123" s="5"/>
      <c r="B123" s="118">
        <f>IFERROR(__xludf.DUMMYFUNCTION("""COMPUTED_VALUE"""),44609.91307098379)</f>
        <v>44609.91307</v>
      </c>
      <c r="C123" s="120">
        <f>IFERROR(__xludf.DUMMYFUNCTION("""COMPUTED_VALUE"""),44609.666666666664)</f>
        <v>44609.66667</v>
      </c>
      <c r="D123" s="5" t="str">
        <f>IFERROR(__xludf.DUMMYFUNCTION("""COMPUTED_VALUE"""),"37400")</f>
        <v>37400</v>
      </c>
      <c r="E123" s="5" t="str">
        <f>IFERROR(__xludf.DUMMYFUNCTION("""COMPUTED_VALUE"""),"Stock")</f>
        <v>Stock</v>
      </c>
      <c r="F123" s="5" t="str">
        <f>IFERROR(__xludf.DUMMYFUNCTION("""COMPUTED_VALUE"""),"USD")</f>
        <v>USD</v>
      </c>
      <c r="G123" s="30" t="str">
        <f>IFERROR(__xludf.DUMMYFUNCTION("""COMPUTED_VALUE"""),"Email Account/ TraderID Recognized")</f>
        <v>Email Account/ TraderID Recognized</v>
      </c>
      <c r="H123" s="119" t="str">
        <f>IFERROR(__xludf.DUMMYFUNCTION("""COMPUTED_VALUE"""),"TSLA")</f>
        <v>TSLA</v>
      </c>
      <c r="I123" s="30">
        <f>IFERROR(__xludf.DUMMYFUNCTION("""COMPUTED_VALUE"""),18.0)</f>
        <v>18</v>
      </c>
      <c r="J123" s="30"/>
      <c r="K123" s="30" t="str">
        <f>IFERROR(__xludf.DUMMYFUNCTION("""COMPUTED_VALUE"""),"QTY, Limit Price (if any) &amp; Password input correct")</f>
        <v>QTY, Limit Price (if any) &amp; Password input correct</v>
      </c>
      <c r="L123" s="30"/>
    </row>
    <row r="124">
      <c r="A124" s="5"/>
      <c r="B124" s="118">
        <f>IFERROR(__xludf.DUMMYFUNCTION("""COMPUTED_VALUE"""),44609.915426886575)</f>
        <v>44609.91543</v>
      </c>
      <c r="C124" s="120">
        <f>IFERROR(__xludf.DUMMYFUNCTION("""COMPUTED_VALUE"""),44609.666666666664)</f>
        <v>44609.66667</v>
      </c>
      <c r="D124" s="5" t="str">
        <f>IFERROR(__xludf.DUMMYFUNCTION("""COMPUTED_VALUE"""),"39608")</f>
        <v>39608</v>
      </c>
      <c r="E124" s="5" t="str">
        <f>IFERROR(__xludf.DUMMYFUNCTION("""COMPUTED_VALUE"""),"Stock")</f>
        <v>Stock</v>
      </c>
      <c r="F124" s="5" t="str">
        <f>IFERROR(__xludf.DUMMYFUNCTION("""COMPUTED_VALUE"""),"USD")</f>
        <v>USD</v>
      </c>
      <c r="G124" s="30" t="str">
        <f>IFERROR(__xludf.DUMMYFUNCTION("""COMPUTED_VALUE"""),"Email Account/ TraderID Recognized")</f>
        <v>Email Account/ TraderID Recognized</v>
      </c>
      <c r="H124" s="119" t="str">
        <f>IFERROR(__xludf.DUMMYFUNCTION("""COMPUTED_VALUE"""),"TSLA")</f>
        <v>TSLA</v>
      </c>
      <c r="I124" s="30">
        <f>IFERROR(__xludf.DUMMYFUNCTION("""COMPUTED_VALUE"""),18.0)</f>
        <v>18</v>
      </c>
      <c r="J124" s="30"/>
      <c r="K124" s="30" t="str">
        <f>IFERROR(__xludf.DUMMYFUNCTION("""COMPUTED_VALUE"""),"QTY, Limit Price (if any) &amp; Password input correct")</f>
        <v>QTY, Limit Price (if any) &amp; Password input correct</v>
      </c>
      <c r="L124" s="30"/>
    </row>
    <row r="125">
      <c r="A125" s="5"/>
      <c r="B125" s="118">
        <f>IFERROR(__xludf.DUMMYFUNCTION("""COMPUTED_VALUE"""),44609.921060162036)</f>
        <v>44609.92106</v>
      </c>
      <c r="C125" s="120">
        <f>IFERROR(__xludf.DUMMYFUNCTION("""COMPUTED_VALUE"""),44609.666666666664)</f>
        <v>44609.66667</v>
      </c>
      <c r="D125" s="5" t="str">
        <f>IFERROR(__xludf.DUMMYFUNCTION("""COMPUTED_VALUE"""),"32312")</f>
        <v>32312</v>
      </c>
      <c r="E125" s="5" t="str">
        <f>IFERROR(__xludf.DUMMYFUNCTION("""COMPUTED_VALUE"""),"Stock")</f>
        <v>Stock</v>
      </c>
      <c r="F125" s="5" t="str">
        <f>IFERROR(__xludf.DUMMYFUNCTION("""COMPUTED_VALUE"""),"USD")</f>
        <v>USD</v>
      </c>
      <c r="G125" s="30" t="str">
        <f>IFERROR(__xludf.DUMMYFUNCTION("""COMPUTED_VALUE"""),"Email Account/ TraderID Recognized")</f>
        <v>Email Account/ TraderID Recognized</v>
      </c>
      <c r="H125" s="119" t="str">
        <f>IFERROR(__xludf.DUMMYFUNCTION("""COMPUTED_VALUE"""),"TSLA")</f>
        <v>TSLA</v>
      </c>
      <c r="I125" s="30">
        <f>IFERROR(__xludf.DUMMYFUNCTION("""COMPUTED_VALUE"""),18.0)</f>
        <v>18</v>
      </c>
      <c r="J125" s="30"/>
      <c r="K125" s="30" t="str">
        <f>IFERROR(__xludf.DUMMYFUNCTION("""COMPUTED_VALUE"""),"QTY, Limit Price (if any) &amp; Password input correct")</f>
        <v>QTY, Limit Price (if any) &amp; Password input correct</v>
      </c>
      <c r="L125" s="30"/>
    </row>
    <row r="126">
      <c r="A126" s="5"/>
      <c r="B126" s="118">
        <f>IFERROR(__xludf.DUMMYFUNCTION("""COMPUTED_VALUE"""),44609.99187646991)</f>
        <v>44609.99188</v>
      </c>
      <c r="C126" s="120">
        <f>IFERROR(__xludf.DUMMYFUNCTION("""COMPUTED_VALUE"""),44609.666666666664)</f>
        <v>44609.66667</v>
      </c>
      <c r="D126" s="5" t="str">
        <f>IFERROR(__xludf.DUMMYFUNCTION("""COMPUTED_VALUE"""),"46220")</f>
        <v>46220</v>
      </c>
      <c r="E126" s="5" t="str">
        <f>IFERROR(__xludf.DUMMYFUNCTION("""COMPUTED_VALUE"""),"Stock")</f>
        <v>Stock</v>
      </c>
      <c r="F126" s="5" t="str">
        <f>IFERROR(__xludf.DUMMYFUNCTION("""COMPUTED_VALUE"""),"USD")</f>
        <v>USD</v>
      </c>
      <c r="G126" s="30" t="str">
        <f>IFERROR(__xludf.DUMMYFUNCTION("""COMPUTED_VALUE"""),"Email Account/ TraderID Recognized")</f>
        <v>Email Account/ TraderID Recognized</v>
      </c>
      <c r="H126" s="119" t="str">
        <f>IFERROR(__xludf.DUMMYFUNCTION("""COMPUTED_VALUE"""),"RBLX")</f>
        <v>RBLX</v>
      </c>
      <c r="I126" s="30">
        <f>IFERROR(__xludf.DUMMYFUNCTION("""COMPUTED_VALUE"""),50.0)</f>
        <v>50</v>
      </c>
      <c r="J126" s="30"/>
      <c r="K126" s="30" t="str">
        <f>IFERROR(__xludf.DUMMYFUNCTION("""COMPUTED_VALUE"""),"QTY, Limit Price (if any) &amp; Password input correct")</f>
        <v>QTY, Limit Price (if any) &amp; Password input correct</v>
      </c>
      <c r="L126" s="30"/>
    </row>
    <row r="127">
      <c r="A127" s="5"/>
      <c r="B127" s="118">
        <f>IFERROR(__xludf.DUMMYFUNCTION("""COMPUTED_VALUE"""),44610.05459375)</f>
        <v>44610.05459</v>
      </c>
      <c r="C127" s="120">
        <f>IFERROR(__xludf.DUMMYFUNCTION("""COMPUTED_VALUE"""),44609.666666666664)</f>
        <v>44609.66667</v>
      </c>
      <c r="D127" s="5" t="str">
        <f>IFERROR(__xludf.DUMMYFUNCTION("""COMPUTED_VALUE"""),"TraderX")</f>
        <v>TraderX</v>
      </c>
      <c r="E127" s="5" t="str">
        <f>IFERROR(__xludf.DUMMYFUNCTION("""COMPUTED_VALUE"""),"Option")</f>
        <v>Option</v>
      </c>
      <c r="F127" s="5" t="str">
        <f>IFERROR(__xludf.DUMMYFUNCTION("""COMPUTED_VALUE"""),"USD")</f>
        <v>USD</v>
      </c>
      <c r="G127" s="30" t="str">
        <f>IFERROR(__xludf.DUMMYFUNCTION("""COMPUTED_VALUE"""),"Email Account/ TraderID Recognized")</f>
        <v>Email Account/ TraderID Recognized</v>
      </c>
      <c r="H127" s="119" t="str">
        <f>IFERROR(__xludf.DUMMYFUNCTION("""COMPUTED_VALUE"""),"SPXW220218P04300000")</f>
        <v>SPXW220218P04300000</v>
      </c>
      <c r="I127" s="30">
        <f>IFERROR(__xludf.DUMMYFUNCTION("""COMPUTED_VALUE"""),8.0)</f>
        <v>8</v>
      </c>
      <c r="J127" s="30"/>
      <c r="K127" s="30" t="str">
        <f>IFERROR(__xludf.DUMMYFUNCTION("""COMPUTED_VALUE"""),"QTY, Limit Price (if any) &amp; Password input correct")</f>
        <v>QTY, Limit Price (if any) &amp; Password input correct</v>
      </c>
      <c r="L127" s="30"/>
    </row>
    <row r="128">
      <c r="A128" s="5"/>
      <c r="B128" s="118">
        <f>IFERROR(__xludf.DUMMYFUNCTION("""COMPUTED_VALUE"""),44610.055226331024)</f>
        <v>44610.05523</v>
      </c>
      <c r="C128" s="120">
        <f>IFERROR(__xludf.DUMMYFUNCTION("""COMPUTED_VALUE"""),44609.666666666664)</f>
        <v>44609.66667</v>
      </c>
      <c r="D128" s="5" t="str">
        <f>IFERROR(__xludf.DUMMYFUNCTION("""COMPUTED_VALUE"""),"TraderX")</f>
        <v>TraderX</v>
      </c>
      <c r="E128" s="5" t="str">
        <f>IFERROR(__xludf.DUMMYFUNCTION("""COMPUTED_VALUE"""),"Option")</f>
        <v>Option</v>
      </c>
      <c r="F128" s="5" t="str">
        <f>IFERROR(__xludf.DUMMYFUNCTION("""COMPUTED_VALUE"""),"USD")</f>
        <v>USD</v>
      </c>
      <c r="G128" s="30" t="str">
        <f>IFERROR(__xludf.DUMMYFUNCTION("""COMPUTED_VALUE"""),"Email Account/ TraderID Recognized")</f>
        <v>Email Account/ TraderID Recognized</v>
      </c>
      <c r="H128" s="119" t="str">
        <f>IFERROR(__xludf.DUMMYFUNCTION("""COMPUTED_VALUE"""),"SPX220218P04220000")</f>
        <v>SPX220218P04220000</v>
      </c>
      <c r="I128" s="30">
        <f>IFERROR(__xludf.DUMMYFUNCTION("""COMPUTED_VALUE"""),8.0)</f>
        <v>8</v>
      </c>
      <c r="J128" s="30"/>
      <c r="K128" s="30" t="str">
        <f>IFERROR(__xludf.DUMMYFUNCTION("""COMPUTED_VALUE"""),"QTY, Limit Price (if any) &amp; Password input correct")</f>
        <v>QTY, Limit Price (if any) &amp; Password input correct</v>
      </c>
      <c r="L128" s="30"/>
    </row>
    <row r="129">
      <c r="A129" s="5"/>
      <c r="B129" s="118">
        <f>IFERROR(__xludf.DUMMYFUNCTION("""COMPUTED_VALUE"""),44610.07098337963)</f>
        <v>44610.07098</v>
      </c>
      <c r="C129" s="120">
        <f>IFERROR(__xludf.DUMMYFUNCTION("""COMPUTED_VALUE"""),44609.666666666664)</f>
        <v>44609.66667</v>
      </c>
      <c r="D129" s="5" t="str">
        <f>IFERROR(__xludf.DUMMYFUNCTION("""COMPUTED_VALUE"""),"40158")</f>
        <v>40158</v>
      </c>
      <c r="E129" s="5" t="str">
        <f>IFERROR(__xludf.DUMMYFUNCTION("""COMPUTED_VALUE"""),"Stock")</f>
        <v>Stock</v>
      </c>
      <c r="F129" s="5" t="str">
        <f>IFERROR(__xludf.DUMMYFUNCTION("""COMPUTED_VALUE"""),"USD")</f>
        <v>USD</v>
      </c>
      <c r="G129" s="30" t="str">
        <f>IFERROR(__xludf.DUMMYFUNCTION("""COMPUTED_VALUE"""),"Email Account/ TraderID Recognized")</f>
        <v>Email Account/ TraderID Recognized</v>
      </c>
      <c r="H129" s="119" t="str">
        <f>IFERROR(__xludf.DUMMYFUNCTION("""COMPUTED_VALUE"""),"TSLA")</f>
        <v>TSLA</v>
      </c>
      <c r="I129" s="30">
        <f>IFERROR(__xludf.DUMMYFUNCTION("""COMPUTED_VALUE"""),6.0)</f>
        <v>6</v>
      </c>
      <c r="J129" s="30">
        <f>IFERROR(__xludf.DUMMYFUNCTION("""COMPUTED_VALUE"""),898.0)</f>
        <v>898</v>
      </c>
      <c r="K129" s="30" t="str">
        <f>IFERROR(__xludf.DUMMYFUNCTION("""COMPUTED_VALUE"""),"QTY, Limit Price (if any) &amp; Password input correct")</f>
        <v>QTY, Limit Price (if any) &amp; Password input correct</v>
      </c>
      <c r="L129" s="30"/>
    </row>
    <row r="130">
      <c r="A130" s="5"/>
      <c r="B130" s="118">
        <f>IFERROR(__xludf.DUMMYFUNCTION("""COMPUTED_VALUE"""),44610.485352476855)</f>
        <v>44610.48535</v>
      </c>
      <c r="C130" s="120">
        <f>IFERROR(__xludf.DUMMYFUNCTION("""COMPUTED_VALUE"""),44610.666666666664)</f>
        <v>44610.66667</v>
      </c>
      <c r="D130" s="5" t="str">
        <f>IFERROR(__xludf.DUMMYFUNCTION("""COMPUTED_VALUE"""),"39857")</f>
        <v>39857</v>
      </c>
      <c r="E130" s="5" t="str">
        <f>IFERROR(__xludf.DUMMYFUNCTION("""COMPUTED_VALUE"""),"Stock")</f>
        <v>Stock</v>
      </c>
      <c r="F130" s="5" t="str">
        <f>IFERROR(__xludf.DUMMYFUNCTION("""COMPUTED_VALUE"""),"USD")</f>
        <v>USD</v>
      </c>
      <c r="G130" s="30" t="str">
        <f>IFERROR(__xludf.DUMMYFUNCTION("""COMPUTED_VALUE"""),"Email Account/ TraderID Recognized")</f>
        <v>Email Account/ TraderID Recognized</v>
      </c>
      <c r="H130" s="119" t="str">
        <f>IFERROR(__xludf.DUMMYFUNCTION("""COMPUTED_VALUE"""),"TSLA")</f>
        <v>TSLA</v>
      </c>
      <c r="I130" s="30">
        <f>IFERROR(__xludf.DUMMYFUNCTION("""COMPUTED_VALUE"""),2.0)</f>
        <v>2</v>
      </c>
      <c r="J130" s="30"/>
      <c r="K130" s="30" t="str">
        <f>IFERROR(__xludf.DUMMYFUNCTION("""COMPUTED_VALUE"""),"QTY, Limit Price (if any) &amp; Password input correct")</f>
        <v>QTY, Limit Price (if any) &amp; Password input correct</v>
      </c>
      <c r="L130" s="30"/>
    </row>
    <row r="131">
      <c r="A131" s="5"/>
      <c r="B131" s="118">
        <f>IFERROR(__xludf.DUMMYFUNCTION("""COMPUTED_VALUE"""),44610.49256172453)</f>
        <v>44610.49256</v>
      </c>
      <c r="C131" s="120">
        <f>IFERROR(__xludf.DUMMYFUNCTION("""COMPUTED_VALUE"""),44610.666666666664)</f>
        <v>44610.66667</v>
      </c>
      <c r="D131" s="5" t="str">
        <f>IFERROR(__xludf.DUMMYFUNCTION("""COMPUTED_VALUE"""),"70628")</f>
        <v>70628</v>
      </c>
      <c r="E131" s="5" t="str">
        <f>IFERROR(__xludf.DUMMYFUNCTION("""COMPUTED_VALUE"""),"Stock")</f>
        <v>Stock</v>
      </c>
      <c r="F131" s="5" t="str">
        <f>IFERROR(__xludf.DUMMYFUNCTION("""COMPUTED_VALUE"""),"HKD")</f>
        <v>HKD</v>
      </c>
      <c r="G131" s="30" t="str">
        <f>IFERROR(__xludf.DUMMYFUNCTION("""COMPUTED_VALUE"""),"Email Account/ TraderID Recognized")</f>
        <v>Email Account/ TraderID Recognized</v>
      </c>
      <c r="H131" s="121" t="str">
        <f>IFERROR(__xludf.DUMMYFUNCTION("""COMPUTED_VALUE"""),"2333.HK")</f>
        <v>2333.HK</v>
      </c>
      <c r="I131" s="30">
        <f>IFERROR(__xludf.DUMMYFUNCTION("""COMPUTED_VALUE"""),4000.0)</f>
        <v>4000</v>
      </c>
      <c r="J131" s="30">
        <f>IFERROR(__xludf.DUMMYFUNCTION("""COMPUTED_VALUE"""),19.4)</f>
        <v>19.4</v>
      </c>
      <c r="K131" s="30" t="str">
        <f>IFERROR(__xludf.DUMMYFUNCTION("""COMPUTED_VALUE"""),"QTY, Limit Price (if any) &amp; Password input correct")</f>
        <v>QTY, Limit Price (if any) &amp; Password input correct</v>
      </c>
      <c r="L131" s="30"/>
    </row>
    <row r="132">
      <c r="A132" s="5"/>
      <c r="B132" s="118">
        <f>IFERROR(__xludf.DUMMYFUNCTION("""COMPUTED_VALUE"""),44610.49414487269)</f>
        <v>44610.49414</v>
      </c>
      <c r="C132" s="120">
        <f>IFERROR(__xludf.DUMMYFUNCTION("""COMPUTED_VALUE"""),44610.666666666664)</f>
        <v>44610.66667</v>
      </c>
      <c r="D132" s="5" t="str">
        <f>IFERROR(__xludf.DUMMYFUNCTION("""COMPUTED_VALUE"""),"70628")</f>
        <v>70628</v>
      </c>
      <c r="E132" s="5" t="str">
        <f>IFERROR(__xludf.DUMMYFUNCTION("""COMPUTED_VALUE"""),"Stock")</f>
        <v>Stock</v>
      </c>
      <c r="F132" s="5" t="str">
        <f>IFERROR(__xludf.DUMMYFUNCTION("""COMPUTED_VALUE"""),"HKD")</f>
        <v>HKD</v>
      </c>
      <c r="G132" s="30" t="str">
        <f>IFERROR(__xludf.DUMMYFUNCTION("""COMPUTED_VALUE"""),"Email Account/ TraderID Recognized")</f>
        <v>Email Account/ TraderID Recognized</v>
      </c>
      <c r="H132" s="121" t="str">
        <f>IFERROR(__xludf.DUMMYFUNCTION("""COMPUTED_VALUE"""),"0175.HK")</f>
        <v>0175.HK</v>
      </c>
      <c r="I132" s="30">
        <f>IFERROR(__xludf.DUMMYFUNCTION("""COMPUTED_VALUE"""),16.85)</f>
        <v>16.85</v>
      </c>
      <c r="J132" s="30">
        <f>IFERROR(__xludf.DUMMYFUNCTION("""COMPUTED_VALUE"""),5000.0)</f>
        <v>5000</v>
      </c>
      <c r="K132" s="30" t="str">
        <f>IFERROR(__xludf.DUMMYFUNCTION("""COMPUTED_VALUE"""),"QTY, Limit Price (if any) &amp; Password input correct")</f>
        <v>QTY, Limit Price (if any) &amp; Password input correct</v>
      </c>
      <c r="L132" s="30"/>
    </row>
    <row r="133">
      <c r="A133" s="5"/>
      <c r="B133" s="118">
        <f>IFERROR(__xludf.DUMMYFUNCTION("""COMPUTED_VALUE"""),44610.51518767361)</f>
        <v>44610.51519</v>
      </c>
      <c r="C133" s="120">
        <f>IFERROR(__xludf.DUMMYFUNCTION("""COMPUTED_VALUE"""),44610.666666666664)</f>
        <v>44610.66667</v>
      </c>
      <c r="D133" s="5" t="str">
        <f>IFERROR(__xludf.DUMMYFUNCTION("""COMPUTED_VALUE"""),"76796")</f>
        <v>76796</v>
      </c>
      <c r="E133" s="5" t="str">
        <f>IFERROR(__xludf.DUMMYFUNCTION("""COMPUTED_VALUE"""),"Stock")</f>
        <v>Stock</v>
      </c>
      <c r="F133" s="5" t="str">
        <f>IFERROR(__xludf.DUMMYFUNCTION("""COMPUTED_VALUE"""),"USD")</f>
        <v>USD</v>
      </c>
      <c r="G133" s="30" t="str">
        <f>IFERROR(__xludf.DUMMYFUNCTION("""COMPUTED_VALUE"""),"Email Account/ TraderID Recognized")</f>
        <v>Email Account/ TraderID Recognized</v>
      </c>
      <c r="H133" s="119" t="str">
        <f>IFERROR(__xludf.DUMMYFUNCTION("""COMPUTED_VALUE"""),"ISPO")</f>
        <v>ISPO</v>
      </c>
      <c r="I133" s="30">
        <f>IFERROR(__xludf.DUMMYFUNCTION("""COMPUTED_VALUE"""),2000.0)</f>
        <v>2000</v>
      </c>
      <c r="J133" s="30"/>
      <c r="K133" s="30" t="str">
        <f>IFERROR(__xludf.DUMMYFUNCTION("""COMPUTED_VALUE"""),"QTY, Limit Price (if any) &amp; Password input correct")</f>
        <v>QTY, Limit Price (if any) &amp; Password input correct</v>
      </c>
      <c r="L133" s="30"/>
    </row>
    <row r="134">
      <c r="A134" s="5"/>
      <c r="B134" s="118">
        <f>IFERROR(__xludf.DUMMYFUNCTION("""COMPUTED_VALUE"""),44610.51565349537)</f>
        <v>44610.51565</v>
      </c>
      <c r="C134" s="120" t="str">
        <f>IFERROR(__xludf.DUMMYFUNCTION("""COMPUTED_VALUE"""),"")</f>
        <v/>
      </c>
      <c r="D134" s="5" t="str">
        <f>IFERROR(__xludf.DUMMYFUNCTION("""COMPUTED_VALUE"""),"76796")</f>
        <v>76796</v>
      </c>
      <c r="E134" s="5" t="str">
        <f>IFERROR(__xludf.DUMMYFUNCTION("""COMPUTED_VALUE"""),"Stock")</f>
        <v>Stock</v>
      </c>
      <c r="F134" s="5" t="str">
        <f>IFERROR(__xludf.DUMMYFUNCTION("""COMPUTED_VALUE"""),"error")</f>
        <v>error</v>
      </c>
      <c r="G134" s="30" t="str">
        <f>IFERROR(__xludf.DUMMYFUNCTION("""COMPUTED_VALUE"""),"Email Account/ TraderID Recognized")</f>
        <v>Email Account/ TraderID Recognized</v>
      </c>
      <c r="H134" s="119" t="str">
        <f>IFERROR(__xludf.DUMMYFUNCTION("""COMPUTED_VALUE"""),"NVDA")</f>
        <v>NVDA</v>
      </c>
      <c r="I134" s="30" t="str">
        <f>IFERROR(__xludf.DUMMYFUNCTION("""COMPUTED_VALUE"""),"all")</f>
        <v>all</v>
      </c>
      <c r="J134" s="30"/>
      <c r="K134" s="30" t="str">
        <f>IFERROR(__xludf.DUMMYFUNCTION("""COMPUTED_VALUE"""),"Non-number input in Quantity or Limit Price")</f>
        <v>Non-number input in Quantity or Limit Price</v>
      </c>
      <c r="L134" s="30" t="str">
        <f>IFERROR(__xludf.DUMMYFUNCTION("""COMPUTED_VALUE"""),"Expected a number in shares quantity, not in non-numeric character")</f>
        <v>Expected a number in shares quantity, not in non-numeric character</v>
      </c>
    </row>
    <row r="135">
      <c r="A135" s="5"/>
      <c r="B135" s="118">
        <f>IFERROR(__xludf.DUMMYFUNCTION("""COMPUTED_VALUE"""),44610.6261995949)</f>
        <v>44610.6262</v>
      </c>
      <c r="C135" s="120">
        <f>IFERROR(__xludf.DUMMYFUNCTION("""COMPUTED_VALUE"""),44610.666666666664)</f>
        <v>44610.66667</v>
      </c>
      <c r="D135" s="5" t="str">
        <f>IFERROR(__xludf.DUMMYFUNCTION("""COMPUTED_VALUE"""),"MONKEY")</f>
        <v>MONKEY</v>
      </c>
      <c r="E135" s="5" t="str">
        <f>IFERROR(__xludf.DUMMYFUNCTION("""COMPUTED_VALUE"""),"Stock")</f>
        <v>Stock</v>
      </c>
      <c r="F135" s="5" t="str">
        <f>IFERROR(__xludf.DUMMYFUNCTION("""COMPUTED_VALUE"""),"HKD")</f>
        <v>HKD</v>
      </c>
      <c r="G135" s="30" t="str">
        <f>IFERROR(__xludf.DUMMYFUNCTION("""COMPUTED_VALUE"""),"fpcsxxxxxx@nonHKMUemail")</f>
        <v>fpcsxxxxxx@nonHKMUemail</v>
      </c>
      <c r="H135" s="121" t="str">
        <f>IFERROR(__xludf.DUMMYFUNCTION("""COMPUTED_VALUE"""),"9961.HK")</f>
        <v>9961.HK</v>
      </c>
      <c r="I135" s="30">
        <f>IFERROR(__xludf.DUMMYFUNCTION("""COMPUTED_VALUE"""),30.0)</f>
        <v>30</v>
      </c>
      <c r="J135" s="30"/>
      <c r="K135" s="30" t="str">
        <f>IFERROR(__xludf.DUMMYFUNCTION("""COMPUTED_VALUE"""),"Wrong Password Submitted, Order will be rejected")</f>
        <v>Wrong Password Submitted, Order will be rejected</v>
      </c>
      <c r="L135" s="30"/>
    </row>
    <row r="136">
      <c r="A136" s="5"/>
      <c r="B136" s="118">
        <f>IFERROR(__xludf.DUMMYFUNCTION("""COMPUTED_VALUE"""),44610.62662815972)</f>
        <v>44610.62663</v>
      </c>
      <c r="C136" s="120">
        <f>IFERROR(__xludf.DUMMYFUNCTION("""COMPUTED_VALUE"""),44610.666666666664)</f>
        <v>44610.66667</v>
      </c>
      <c r="D136" s="5" t="str">
        <f>IFERROR(__xludf.DUMMYFUNCTION("""COMPUTED_VALUE"""),"MONKEY")</f>
        <v>MONKEY</v>
      </c>
      <c r="E136" s="5" t="str">
        <f>IFERROR(__xludf.DUMMYFUNCTION("""COMPUTED_VALUE"""),"Stock")</f>
        <v>Stock</v>
      </c>
      <c r="F136" s="5" t="str">
        <f>IFERROR(__xludf.DUMMYFUNCTION("""COMPUTED_VALUE"""),"HKD")</f>
        <v>HKD</v>
      </c>
      <c r="G136" s="30" t="str">
        <f>IFERROR(__xludf.DUMMYFUNCTION("""COMPUTED_VALUE"""),"fpcsxxxxxx@nonHKMUemail")</f>
        <v>fpcsxxxxxx@nonHKMUemail</v>
      </c>
      <c r="H136" s="121" t="str">
        <f>IFERROR(__xludf.DUMMYFUNCTION("""COMPUTED_VALUE"""),"9999.HK")</f>
        <v>9999.HK</v>
      </c>
      <c r="I136" s="30">
        <f>IFERROR(__xludf.DUMMYFUNCTION("""COMPUTED_VALUE"""),40.0)</f>
        <v>40</v>
      </c>
      <c r="J136" s="30"/>
      <c r="K136" s="30" t="str">
        <f>IFERROR(__xludf.DUMMYFUNCTION("""COMPUTED_VALUE"""),"Wrong Password Submitted, Order will be rejected")</f>
        <v>Wrong Password Submitted, Order will be rejected</v>
      </c>
      <c r="L136" s="30"/>
    </row>
    <row r="137">
      <c r="A137" s="5"/>
      <c r="B137" s="118">
        <f>IFERROR(__xludf.DUMMYFUNCTION("""COMPUTED_VALUE"""),44610.626989641205)</f>
        <v>44610.62699</v>
      </c>
      <c r="C137" s="120">
        <f>IFERROR(__xludf.DUMMYFUNCTION("""COMPUTED_VALUE"""),44610.666666666664)</f>
        <v>44610.66667</v>
      </c>
      <c r="D137" s="5" t="str">
        <f>IFERROR(__xludf.DUMMYFUNCTION("""COMPUTED_VALUE"""),"MONKEY")</f>
        <v>MONKEY</v>
      </c>
      <c r="E137" s="5" t="str">
        <f>IFERROR(__xludf.DUMMYFUNCTION("""COMPUTED_VALUE"""),"Stock")</f>
        <v>Stock</v>
      </c>
      <c r="F137" s="5" t="str">
        <f>IFERROR(__xludf.DUMMYFUNCTION("""COMPUTED_VALUE"""),"HKD")</f>
        <v>HKD</v>
      </c>
      <c r="G137" s="30" t="str">
        <f>IFERROR(__xludf.DUMMYFUNCTION("""COMPUTED_VALUE"""),"fpcsxxxxxx@nonHKMUemail")</f>
        <v>fpcsxxxxxx@nonHKMUemail</v>
      </c>
      <c r="H137" s="121" t="str">
        <f>IFERROR(__xludf.DUMMYFUNCTION("""COMPUTED_VALUE"""),"0909.HK")</f>
        <v>0909.HK</v>
      </c>
      <c r="I137" s="30">
        <f>IFERROR(__xludf.DUMMYFUNCTION("""COMPUTED_VALUE"""),360.0)</f>
        <v>360</v>
      </c>
      <c r="J137" s="30"/>
      <c r="K137" s="30" t="str">
        <f>IFERROR(__xludf.DUMMYFUNCTION("""COMPUTED_VALUE"""),"Wrong Password Submitted, Order will be rejected")</f>
        <v>Wrong Password Submitted, Order will be rejected</v>
      </c>
      <c r="L137" s="30"/>
    </row>
    <row r="138">
      <c r="A138" s="5"/>
      <c r="B138" s="118">
        <f>IFERROR(__xludf.DUMMYFUNCTION("""COMPUTED_VALUE"""),44610.62750592592)</f>
        <v>44610.62751</v>
      </c>
      <c r="C138" s="120">
        <f>IFERROR(__xludf.DUMMYFUNCTION("""COMPUTED_VALUE"""),44610.666666666664)</f>
        <v>44610.66667</v>
      </c>
      <c r="D138" s="5" t="str">
        <f>IFERROR(__xludf.DUMMYFUNCTION("""COMPUTED_VALUE"""),"MONKEY")</f>
        <v>MONKEY</v>
      </c>
      <c r="E138" s="5" t="str">
        <f>IFERROR(__xludf.DUMMYFUNCTION("""COMPUTED_VALUE"""),"Stock")</f>
        <v>Stock</v>
      </c>
      <c r="F138" s="5" t="str">
        <f>IFERROR(__xludf.DUMMYFUNCTION("""COMPUTED_VALUE"""),"USD")</f>
        <v>USD</v>
      </c>
      <c r="G138" s="30" t="str">
        <f>IFERROR(__xludf.DUMMYFUNCTION("""COMPUTED_VALUE"""),"fpcsxxxxxx@nonHKMUemail")</f>
        <v>fpcsxxxxxx@nonHKMUemail</v>
      </c>
      <c r="H138" s="119" t="str">
        <f>IFERROR(__xludf.DUMMYFUNCTION("""COMPUTED_VALUE"""),"PANW")</f>
        <v>PANW</v>
      </c>
      <c r="I138" s="30">
        <f>IFERROR(__xludf.DUMMYFUNCTION("""COMPUTED_VALUE"""),10.0)</f>
        <v>10</v>
      </c>
      <c r="J138" s="30"/>
      <c r="K138" s="30" t="str">
        <f>IFERROR(__xludf.DUMMYFUNCTION("""COMPUTED_VALUE"""),"Wrong Password Submitted, Order will be rejected")</f>
        <v>Wrong Password Submitted, Order will be rejected</v>
      </c>
      <c r="L138" s="30"/>
    </row>
    <row r="139">
      <c r="A139" s="5"/>
      <c r="B139" s="118">
        <f>IFERROR(__xludf.DUMMYFUNCTION("""COMPUTED_VALUE"""),44610.62774115741)</f>
        <v>44610.62774</v>
      </c>
      <c r="C139" s="120">
        <f>IFERROR(__xludf.DUMMYFUNCTION("""COMPUTED_VALUE"""),44610.666666666664)</f>
        <v>44610.66667</v>
      </c>
      <c r="D139" s="5" t="str">
        <f>IFERROR(__xludf.DUMMYFUNCTION("""COMPUTED_VALUE"""),"MONKEY")</f>
        <v>MONKEY</v>
      </c>
      <c r="E139" s="5" t="str">
        <f>IFERROR(__xludf.DUMMYFUNCTION("""COMPUTED_VALUE"""),"Stock")</f>
        <v>Stock</v>
      </c>
      <c r="F139" s="5" t="str">
        <f>IFERROR(__xludf.DUMMYFUNCTION("""COMPUTED_VALUE"""),"USD")</f>
        <v>USD</v>
      </c>
      <c r="G139" s="30" t="str">
        <f>IFERROR(__xludf.DUMMYFUNCTION("""COMPUTED_VALUE"""),"fpcsxxxxxx@nonHKMUemail")</f>
        <v>fpcsxxxxxx@nonHKMUemail</v>
      </c>
      <c r="H139" s="119" t="str">
        <f>IFERROR(__xludf.DUMMYFUNCTION("""COMPUTED_VALUE"""),"TEAM")</f>
        <v>TEAM</v>
      </c>
      <c r="I139" s="30">
        <f>IFERROR(__xludf.DUMMYFUNCTION("""COMPUTED_VALUE"""),20.0)</f>
        <v>20</v>
      </c>
      <c r="J139" s="30"/>
      <c r="K139" s="30" t="str">
        <f>IFERROR(__xludf.DUMMYFUNCTION("""COMPUTED_VALUE"""),"Wrong Password Submitted, Order will be rejected")</f>
        <v>Wrong Password Submitted, Order will be rejected</v>
      </c>
      <c r="L139" s="30"/>
    </row>
    <row r="140">
      <c r="A140" s="5"/>
      <c r="B140" s="118">
        <f>IFERROR(__xludf.DUMMYFUNCTION("""COMPUTED_VALUE"""),44610.62803641203)</f>
        <v>44610.62804</v>
      </c>
      <c r="C140" s="120">
        <f>IFERROR(__xludf.DUMMYFUNCTION("""COMPUTED_VALUE"""),44610.666666666664)</f>
        <v>44610.66667</v>
      </c>
      <c r="D140" s="5" t="str">
        <f>IFERROR(__xludf.DUMMYFUNCTION("""COMPUTED_VALUE"""),"MONKEY")</f>
        <v>MONKEY</v>
      </c>
      <c r="E140" s="5" t="str">
        <f>IFERROR(__xludf.DUMMYFUNCTION("""COMPUTED_VALUE"""),"Stock")</f>
        <v>Stock</v>
      </c>
      <c r="F140" s="5" t="str">
        <f>IFERROR(__xludf.DUMMYFUNCTION("""COMPUTED_VALUE"""),"USD")</f>
        <v>USD</v>
      </c>
      <c r="G140" s="30" t="str">
        <f>IFERROR(__xludf.DUMMYFUNCTION("""COMPUTED_VALUE"""),"fpcsxxxxxx@nonHKMUemail")</f>
        <v>fpcsxxxxxx@nonHKMUemail</v>
      </c>
      <c r="H140" s="119" t="str">
        <f>IFERROR(__xludf.DUMMYFUNCTION("""COMPUTED_VALUE"""),"ATVI")</f>
        <v>ATVI</v>
      </c>
      <c r="I140" s="30">
        <f>IFERROR(__xludf.DUMMYFUNCTION("""COMPUTED_VALUE"""),80.0)</f>
        <v>80</v>
      </c>
      <c r="J140" s="30"/>
      <c r="K140" s="30" t="str">
        <f>IFERROR(__xludf.DUMMYFUNCTION("""COMPUTED_VALUE"""),"Wrong Password Submitted, Order will be rejected")</f>
        <v>Wrong Password Submitted, Order will be rejected</v>
      </c>
      <c r="L140" s="30"/>
    </row>
    <row r="141">
      <c r="A141" s="5"/>
      <c r="B141" s="118">
        <f>IFERROR(__xludf.DUMMYFUNCTION("""COMPUTED_VALUE"""),44610.6283611574)</f>
        <v>44610.62836</v>
      </c>
      <c r="C141" s="120">
        <f>IFERROR(__xludf.DUMMYFUNCTION("""COMPUTED_VALUE"""),44610.666666666664)</f>
        <v>44610.66667</v>
      </c>
      <c r="D141" s="5" t="str">
        <f>IFERROR(__xludf.DUMMYFUNCTION("""COMPUTED_VALUE"""),"MONKEY")</f>
        <v>MONKEY</v>
      </c>
      <c r="E141" s="5" t="str">
        <f>IFERROR(__xludf.DUMMYFUNCTION("""COMPUTED_VALUE"""),"Stock")</f>
        <v>Stock</v>
      </c>
      <c r="F141" s="5" t="str">
        <f>IFERROR(__xludf.DUMMYFUNCTION("""COMPUTED_VALUE"""),"USD")</f>
        <v>USD</v>
      </c>
      <c r="G141" s="30" t="str">
        <f>IFERROR(__xludf.DUMMYFUNCTION("""COMPUTED_VALUE"""),"fpcsxxxxxx@nonHKMUemail")</f>
        <v>fpcsxxxxxx@nonHKMUemail</v>
      </c>
      <c r="H141" s="119" t="str">
        <f>IFERROR(__xludf.DUMMYFUNCTION("""COMPUTED_VALUE"""),"AMGN")</f>
        <v>AMGN</v>
      </c>
      <c r="I141" s="30">
        <f>IFERROR(__xludf.DUMMYFUNCTION("""COMPUTED_VALUE"""),30.0)</f>
        <v>30</v>
      </c>
      <c r="J141" s="30"/>
      <c r="K141" s="30" t="str">
        <f>IFERROR(__xludf.DUMMYFUNCTION("""COMPUTED_VALUE"""),"Wrong Password Submitted, Order will be rejected")</f>
        <v>Wrong Password Submitted, Order will be rejected</v>
      </c>
      <c r="L141" s="30"/>
    </row>
    <row r="142">
      <c r="A142" s="5"/>
      <c r="B142" s="118">
        <f>IFERROR(__xludf.DUMMYFUNCTION("""COMPUTED_VALUE"""),44610.62866349537)</f>
        <v>44610.62866</v>
      </c>
      <c r="C142" s="120">
        <f>IFERROR(__xludf.DUMMYFUNCTION("""COMPUTED_VALUE"""),44610.666666666664)</f>
        <v>44610.66667</v>
      </c>
      <c r="D142" s="5" t="str">
        <f>IFERROR(__xludf.DUMMYFUNCTION("""COMPUTED_VALUE"""),"MONKEY")</f>
        <v>MONKEY</v>
      </c>
      <c r="E142" s="5" t="str">
        <f>IFERROR(__xludf.DUMMYFUNCTION("""COMPUTED_VALUE"""),"Stock")</f>
        <v>Stock</v>
      </c>
      <c r="F142" s="5" t="str">
        <f>IFERROR(__xludf.DUMMYFUNCTION("""COMPUTED_VALUE"""),"USD")</f>
        <v>USD</v>
      </c>
      <c r="G142" s="30" t="str">
        <f>IFERROR(__xludf.DUMMYFUNCTION("""COMPUTED_VALUE"""),"fpcsxxxxxx@nonHKMUemail")</f>
        <v>fpcsxxxxxx@nonHKMUemail</v>
      </c>
      <c r="H142" s="119" t="str">
        <f>IFERROR(__xludf.DUMMYFUNCTION("""COMPUTED_VALUE"""),"LCID")</f>
        <v>LCID</v>
      </c>
      <c r="I142" s="30">
        <f>IFERROR(__xludf.DUMMYFUNCTION("""COMPUTED_VALUE"""),230.0)</f>
        <v>230</v>
      </c>
      <c r="J142" s="30"/>
      <c r="K142" s="30" t="str">
        <f>IFERROR(__xludf.DUMMYFUNCTION("""COMPUTED_VALUE"""),"Wrong Password Submitted, Order will be rejected")</f>
        <v>Wrong Password Submitted, Order will be rejected</v>
      </c>
      <c r="L142" s="30"/>
    </row>
    <row r="143">
      <c r="A143" s="5"/>
      <c r="B143" s="118">
        <f>IFERROR(__xludf.DUMMYFUNCTION("""COMPUTED_VALUE"""),44610.62897074074)</f>
        <v>44610.62897</v>
      </c>
      <c r="C143" s="120">
        <f>IFERROR(__xludf.DUMMYFUNCTION("""COMPUTED_VALUE"""),44610.666666666664)</f>
        <v>44610.66667</v>
      </c>
      <c r="D143" s="5" t="str">
        <f>IFERROR(__xludf.DUMMYFUNCTION("""COMPUTED_VALUE"""),"MONKEY")</f>
        <v>MONKEY</v>
      </c>
      <c r="E143" s="5" t="str">
        <f>IFERROR(__xludf.DUMMYFUNCTION("""COMPUTED_VALUE"""),"Stock")</f>
        <v>Stock</v>
      </c>
      <c r="F143" s="5" t="str">
        <f>IFERROR(__xludf.DUMMYFUNCTION("""COMPUTED_VALUE"""),"USD")</f>
        <v>USD</v>
      </c>
      <c r="G143" s="30" t="str">
        <f>IFERROR(__xludf.DUMMYFUNCTION("""COMPUTED_VALUE"""),"fpcsxxxxxx@nonHKMUemail")</f>
        <v>fpcsxxxxxx@nonHKMUemail</v>
      </c>
      <c r="H143" s="119" t="str">
        <f>IFERROR(__xludf.DUMMYFUNCTION("""COMPUTED_VALUE"""),"SNPS")</f>
        <v>SNPS</v>
      </c>
      <c r="I143" s="30">
        <f>IFERROR(__xludf.DUMMYFUNCTION("""COMPUTED_VALUE"""),20.0)</f>
        <v>20</v>
      </c>
      <c r="J143" s="30"/>
      <c r="K143" s="30" t="str">
        <f>IFERROR(__xludf.DUMMYFUNCTION("""COMPUTED_VALUE"""),"Wrong Password Submitted, Order will be rejected")</f>
        <v>Wrong Password Submitted, Order will be rejected</v>
      </c>
      <c r="L143" s="30"/>
    </row>
    <row r="144">
      <c r="A144" s="5"/>
      <c r="B144" s="118">
        <f>IFERROR(__xludf.DUMMYFUNCTION("""COMPUTED_VALUE"""),44610.629261875)</f>
        <v>44610.62926</v>
      </c>
      <c r="C144" s="120">
        <f>IFERROR(__xludf.DUMMYFUNCTION("""COMPUTED_VALUE"""),44610.666666666664)</f>
        <v>44610.66667</v>
      </c>
      <c r="D144" s="5" t="str">
        <f>IFERROR(__xludf.DUMMYFUNCTION("""COMPUTED_VALUE"""),"MONKEY")</f>
        <v>MONKEY</v>
      </c>
      <c r="E144" s="5" t="str">
        <f>IFERROR(__xludf.DUMMYFUNCTION("""COMPUTED_VALUE"""),"Stock")</f>
        <v>Stock</v>
      </c>
      <c r="F144" s="5" t="str">
        <f>IFERROR(__xludf.DUMMYFUNCTION("""COMPUTED_VALUE"""),"USD")</f>
        <v>USD</v>
      </c>
      <c r="G144" s="30" t="str">
        <f>IFERROR(__xludf.DUMMYFUNCTION("""COMPUTED_VALUE"""),"fpcsxxxxxx@nonHKMUemail")</f>
        <v>fpcsxxxxxx@nonHKMUemail</v>
      </c>
      <c r="H144" s="119" t="str">
        <f>IFERROR(__xludf.DUMMYFUNCTION("""COMPUTED_VALUE"""),"TMUS")</f>
        <v>TMUS</v>
      </c>
      <c r="I144" s="30">
        <f>IFERROR(__xludf.DUMMYFUNCTION("""COMPUTED_VALUE"""),50.0)</f>
        <v>50</v>
      </c>
      <c r="J144" s="30"/>
      <c r="K144" s="30" t="str">
        <f>IFERROR(__xludf.DUMMYFUNCTION("""COMPUTED_VALUE"""),"Wrong Password Submitted, Order will be rejected")</f>
        <v>Wrong Password Submitted, Order will be rejected</v>
      </c>
      <c r="L144" s="30"/>
    </row>
    <row r="145">
      <c r="A145" s="5"/>
      <c r="B145" s="118">
        <f>IFERROR(__xludf.DUMMYFUNCTION("""COMPUTED_VALUE"""),44610.63417295139)</f>
        <v>44610.63417</v>
      </c>
      <c r="C145" s="120" t="str">
        <f>IFERROR(__xludf.DUMMYFUNCTION("""COMPUTED_VALUE"""),"")</f>
        <v/>
      </c>
      <c r="D145" s="5" t="str">
        <f>IFERROR(__xludf.DUMMYFUNCTION("""COMPUTED_VALUE"""),"76796")</f>
        <v>76796</v>
      </c>
      <c r="E145" s="5" t="str">
        <f>IFERROR(__xludf.DUMMYFUNCTION("""COMPUTED_VALUE"""),"Stock")</f>
        <v>Stock</v>
      </c>
      <c r="F145" s="5" t="str">
        <f>IFERROR(__xludf.DUMMYFUNCTION("""COMPUTED_VALUE"""),"error")</f>
        <v>error</v>
      </c>
      <c r="G145" s="30" t="str">
        <f>IFERROR(__xludf.DUMMYFUNCTION("""COMPUTED_VALUE"""),"Email Account/ TraderID Recognized")</f>
        <v>Email Account/ TraderID Recognized</v>
      </c>
      <c r="H145" s="119" t="str">
        <f>IFERROR(__xludf.DUMMYFUNCTION("""COMPUTED_VALUE"""),"MSFT")</f>
        <v>MSFT</v>
      </c>
      <c r="I145" s="30" t="str">
        <f>IFERROR(__xludf.DUMMYFUNCTION("""COMPUTED_VALUE"""),"all")</f>
        <v>all</v>
      </c>
      <c r="J145" s="30"/>
      <c r="K145" s="30" t="str">
        <f>IFERROR(__xludf.DUMMYFUNCTION("""COMPUTED_VALUE"""),"Non-number input in Quantity or Limit Price")</f>
        <v>Non-number input in Quantity or Limit Price</v>
      </c>
      <c r="L145" s="30" t="str">
        <f>IFERROR(__xludf.DUMMYFUNCTION("""COMPUTED_VALUE"""),"Expected a number in shares quantity, not in non-numeric character")</f>
        <v>Expected a number in shares quantity, not in non-numeric character</v>
      </c>
    </row>
    <row r="146">
      <c r="A146" s="5"/>
      <c r="B146" s="118">
        <f>IFERROR(__xludf.DUMMYFUNCTION("""COMPUTED_VALUE"""),44610.658660671295)</f>
        <v>44610.65866</v>
      </c>
      <c r="C146" s="120">
        <f>IFERROR(__xludf.DUMMYFUNCTION("""COMPUTED_VALUE"""),44610.666666666664)</f>
        <v>44610.66667</v>
      </c>
      <c r="D146" s="5" t="str">
        <f>IFERROR(__xludf.DUMMYFUNCTION("""COMPUTED_VALUE"""),"89750")</f>
        <v>89750</v>
      </c>
      <c r="E146" s="5" t="str">
        <f>IFERROR(__xludf.DUMMYFUNCTION("""COMPUTED_VALUE"""),"Stock")</f>
        <v>Stock</v>
      </c>
      <c r="F146" s="5" t="str">
        <f>IFERROR(__xludf.DUMMYFUNCTION("""COMPUTED_VALUE"""),"HKD")</f>
        <v>HKD</v>
      </c>
      <c r="G146" s="30" t="str">
        <f>IFERROR(__xludf.DUMMYFUNCTION("""COMPUTED_VALUE"""),"Email Account/ TraderID Recognized")</f>
        <v>Email Account/ TraderID Recognized</v>
      </c>
      <c r="H146" s="121" t="str">
        <f>IFERROR(__xludf.DUMMYFUNCTION("""COMPUTED_VALUE"""),"6969.HK")</f>
        <v>6969.HK</v>
      </c>
      <c r="I146" s="30">
        <f>IFERROR(__xludf.DUMMYFUNCTION("""COMPUTED_VALUE"""),1000.0)</f>
        <v>1000</v>
      </c>
      <c r="J146" s="30"/>
      <c r="K146" s="30" t="str">
        <f>IFERROR(__xludf.DUMMYFUNCTION("""COMPUTED_VALUE"""),"QTY, Limit Price (if any) &amp; Password input correct")</f>
        <v>QTY, Limit Price (if any) &amp; Password input correct</v>
      </c>
      <c r="L146" s="30"/>
    </row>
    <row r="147">
      <c r="A147" s="5"/>
      <c r="B147" s="118">
        <f>IFERROR(__xludf.DUMMYFUNCTION("""COMPUTED_VALUE"""),44610.67057771991)</f>
        <v>44610.67058</v>
      </c>
      <c r="C147" s="120">
        <f>IFERROR(__xludf.DUMMYFUNCTION("""COMPUTED_VALUE"""),44610.666666666664)</f>
        <v>44610.66667</v>
      </c>
      <c r="D147" s="5" t="str">
        <f>IFERROR(__xludf.DUMMYFUNCTION("""COMPUTED_VALUE"""),"75415")</f>
        <v>75415</v>
      </c>
      <c r="E147" s="5" t="str">
        <f>IFERROR(__xludf.DUMMYFUNCTION("""COMPUTED_VALUE"""),"Stock")</f>
        <v>Stock</v>
      </c>
      <c r="F147" s="5" t="str">
        <f>IFERROR(__xludf.DUMMYFUNCTION("""COMPUTED_VALUE"""),"USD")</f>
        <v>USD</v>
      </c>
      <c r="G147" s="30" t="str">
        <f>IFERROR(__xludf.DUMMYFUNCTION("""COMPUTED_VALUE"""),"Email Account/ TraderID Recognized")</f>
        <v>Email Account/ TraderID Recognized</v>
      </c>
      <c r="H147" s="119" t="str">
        <f>IFERROR(__xludf.DUMMYFUNCTION("""COMPUTED_VALUE"""),"F")</f>
        <v>F</v>
      </c>
      <c r="I147" s="30">
        <f>IFERROR(__xludf.DUMMYFUNCTION("""COMPUTED_VALUE"""),2850.0)</f>
        <v>2850</v>
      </c>
      <c r="J147" s="30"/>
      <c r="K147" s="30" t="str">
        <f>IFERROR(__xludf.DUMMYFUNCTION("""COMPUTED_VALUE"""),"QTY, Limit Price (if any) &amp; Password input correct")</f>
        <v>QTY, Limit Price (if any) &amp; Password input correct</v>
      </c>
      <c r="L147" s="30"/>
    </row>
    <row r="148">
      <c r="A148" s="5"/>
      <c r="B148" s="118">
        <f>IFERROR(__xludf.DUMMYFUNCTION("""COMPUTED_VALUE"""),44610.6715821875)</f>
        <v>44610.67158</v>
      </c>
      <c r="C148" s="120">
        <f>IFERROR(__xludf.DUMMYFUNCTION("""COMPUTED_VALUE"""),44613.0)</f>
        <v>44613</v>
      </c>
      <c r="D148" s="5" t="str">
        <f>IFERROR(__xludf.DUMMYFUNCTION("""COMPUTED_VALUE"""),"36460")</f>
        <v>36460</v>
      </c>
      <c r="E148" s="5" t="str">
        <f>IFERROR(__xludf.DUMMYFUNCTION("""COMPUTED_VALUE"""),"Stock")</f>
        <v>Stock</v>
      </c>
      <c r="F148" s="5" t="str">
        <f>IFERROR(__xludf.DUMMYFUNCTION("""COMPUTED_VALUE"""),"HKD")</f>
        <v>HKD</v>
      </c>
      <c r="G148" s="30" t="str">
        <f>IFERROR(__xludf.DUMMYFUNCTION("""COMPUTED_VALUE"""),"Email Account/ TraderID Recognized")</f>
        <v>Email Account/ TraderID Recognized</v>
      </c>
      <c r="H148" s="121" t="str">
        <f>IFERROR(__xludf.DUMMYFUNCTION("""COMPUTED_VALUE"""),"0700.HK")</f>
        <v>0700.HK</v>
      </c>
      <c r="I148" s="30">
        <f>IFERROR(__xludf.DUMMYFUNCTION("""COMPUTED_VALUE"""),200.0)</f>
        <v>200</v>
      </c>
      <c r="J148" s="30"/>
      <c r="K148" s="30" t="str">
        <f>IFERROR(__xludf.DUMMYFUNCTION("""COMPUTED_VALUE"""),"QTY, Limit Price (if any) &amp; Password input correct")</f>
        <v>QTY, Limit Price (if any) &amp; Password input correct</v>
      </c>
      <c r="L148" s="30"/>
    </row>
    <row r="149">
      <c r="A149" s="5"/>
      <c r="B149" s="118">
        <f>IFERROR(__xludf.DUMMYFUNCTION("""COMPUTED_VALUE"""),44610.67399934027)</f>
        <v>44610.674</v>
      </c>
      <c r="C149" s="120">
        <f>IFERROR(__xludf.DUMMYFUNCTION("""COMPUTED_VALUE"""),44610.666666666664)</f>
        <v>44610.66667</v>
      </c>
      <c r="D149" s="5" t="str">
        <f>IFERROR(__xludf.DUMMYFUNCTION("""COMPUTED_VALUE"""),"46220")</f>
        <v>46220</v>
      </c>
      <c r="E149" s="5" t="str">
        <f>IFERROR(__xludf.DUMMYFUNCTION("""COMPUTED_VALUE"""),"Stock")</f>
        <v>Stock</v>
      </c>
      <c r="F149" s="5" t="str">
        <f>IFERROR(__xludf.DUMMYFUNCTION("""COMPUTED_VALUE"""),"USD")</f>
        <v>USD</v>
      </c>
      <c r="G149" s="30" t="str">
        <f>IFERROR(__xludf.DUMMYFUNCTION("""COMPUTED_VALUE"""),"Email Account/ TraderID Recognized")</f>
        <v>Email Account/ TraderID Recognized</v>
      </c>
      <c r="H149" s="119" t="str">
        <f>IFERROR(__xludf.DUMMYFUNCTION("""COMPUTED_VALUE"""),"BTC-USD")</f>
        <v>BTC-USD</v>
      </c>
      <c r="I149" s="30">
        <f>IFERROR(__xludf.DUMMYFUNCTION("""COMPUTED_VALUE"""),20.0)</f>
        <v>20</v>
      </c>
      <c r="J149" s="30"/>
      <c r="K149" s="30" t="str">
        <f>IFERROR(__xludf.DUMMYFUNCTION("""COMPUTED_VALUE"""),"QTY, Limit Price (if any) &amp; Password input correct")</f>
        <v>QTY, Limit Price (if any) &amp; Password input correct</v>
      </c>
      <c r="L149" s="30"/>
    </row>
    <row r="150">
      <c r="A150" s="5"/>
      <c r="B150" s="118">
        <f>IFERROR(__xludf.DUMMYFUNCTION("""COMPUTED_VALUE"""),44610.68114909722)</f>
        <v>44610.68115</v>
      </c>
      <c r="C150" s="120" t="str">
        <f>IFERROR(__xludf.DUMMYFUNCTION("""COMPUTED_VALUE"""),"")</f>
        <v/>
      </c>
      <c r="D150" s="5" t="str">
        <f>IFERROR(__xludf.DUMMYFUNCTION("""COMPUTED_VALUE"""),"39857")</f>
        <v>39857</v>
      </c>
      <c r="E150" s="5" t="str">
        <f>IFERROR(__xludf.DUMMYFUNCTION("""COMPUTED_VALUE"""),"Stock")</f>
        <v>Stock</v>
      </c>
      <c r="F150" s="5" t="str">
        <f>IFERROR(__xludf.DUMMYFUNCTION("""COMPUTED_VALUE"""),"error")</f>
        <v>error</v>
      </c>
      <c r="G150" s="30" t="str">
        <f>IFERROR(__xludf.DUMMYFUNCTION("""COMPUTED_VALUE"""),"Email Account/ TraderID Recognized")</f>
        <v>Email Account/ TraderID Recognized</v>
      </c>
      <c r="H150" s="119" t="str">
        <f>IFERROR(__xludf.DUMMYFUNCTION("""COMPUTED_VALUE"""),"6969")</f>
        <v>6969</v>
      </c>
      <c r="I150" s="30">
        <f>IFERROR(__xludf.DUMMYFUNCTION("""COMPUTED_VALUE"""),3000.0)</f>
        <v>3000</v>
      </c>
      <c r="J150" s="30"/>
      <c r="K150" s="30" t="str">
        <f>IFERROR(__xludf.DUMMYFUNCTION("""COMPUTED_VALUE"""),"QTY, Limit Price (if any) &amp; Password input correct")</f>
        <v>QTY, Limit Price (if any) &amp; Password input correct</v>
      </c>
      <c r="L150" s="30" t="str">
        <f>IFERROR(__xludf.DUMMYFUNCTION("""COMPUTED_VALUE"""),"Order rejected due to wrong ticker code. just need to type in 6969.HK")</f>
        <v>Order rejected due to wrong ticker code. just need to type in 6969.HK</v>
      </c>
    </row>
    <row r="151">
      <c r="A151" s="5"/>
      <c r="B151" s="118">
        <f>IFERROR(__xludf.DUMMYFUNCTION("""COMPUTED_VALUE"""),44610.68118717593)</f>
        <v>44610.68119</v>
      </c>
      <c r="C151" s="120">
        <f>IFERROR(__xludf.DUMMYFUNCTION("""COMPUTED_VALUE"""),44613.0)</f>
        <v>44613</v>
      </c>
      <c r="D151" s="5" t="str">
        <f>IFERROR(__xludf.DUMMYFUNCTION("""COMPUTED_VALUE"""),"46220")</f>
        <v>46220</v>
      </c>
      <c r="E151" s="5" t="str">
        <f>IFERROR(__xludf.DUMMYFUNCTION("""COMPUTED_VALUE"""),"Stock")</f>
        <v>Stock</v>
      </c>
      <c r="F151" s="5" t="str">
        <f>IFERROR(__xludf.DUMMYFUNCTION("""COMPUTED_VALUE"""),"HKD")</f>
        <v>HKD</v>
      </c>
      <c r="G151" s="30" t="str">
        <f>IFERROR(__xludf.DUMMYFUNCTION("""COMPUTED_VALUE"""),"Email Account/ TraderID Recognized")</f>
        <v>Email Account/ TraderID Recognized</v>
      </c>
      <c r="H151" s="121" t="str">
        <f>IFERROR(__xludf.DUMMYFUNCTION("""COMPUTED_VALUE"""),"6969.HK")</f>
        <v>6969.HK</v>
      </c>
      <c r="I151" s="30">
        <f>IFERROR(__xludf.DUMMYFUNCTION("""COMPUTED_VALUE"""),2000.0)</f>
        <v>2000</v>
      </c>
      <c r="J151" s="30"/>
      <c r="K151" s="30" t="str">
        <f>IFERROR(__xludf.DUMMYFUNCTION("""COMPUTED_VALUE"""),"QTY, Limit Price (if any) &amp; Password input correct")</f>
        <v>QTY, Limit Price (if any) &amp; Password input correct</v>
      </c>
      <c r="L151" s="30"/>
    </row>
    <row r="152">
      <c r="A152" s="5"/>
      <c r="B152" s="118">
        <f>IFERROR(__xludf.DUMMYFUNCTION("""COMPUTED_VALUE"""),44610.6836210301)</f>
        <v>44610.68362</v>
      </c>
      <c r="C152" s="120" t="str">
        <f>IFERROR(__xludf.DUMMYFUNCTION("""COMPUTED_VALUE"""),"")</f>
        <v/>
      </c>
      <c r="D152" s="5" t="str">
        <f>IFERROR(__xludf.DUMMYFUNCTION("""COMPUTED_VALUE"""),"75369")</f>
        <v>75369</v>
      </c>
      <c r="E152" s="5" t="str">
        <f>IFERROR(__xludf.DUMMYFUNCTION("""COMPUTED_VALUE"""),"Stock")</f>
        <v>Stock</v>
      </c>
      <c r="F152" s="5" t="str">
        <f>IFERROR(__xludf.DUMMYFUNCTION("""COMPUTED_VALUE"""),"error")</f>
        <v>error</v>
      </c>
      <c r="G152" s="30" t="str">
        <f>IFERROR(__xludf.DUMMYFUNCTION("""COMPUTED_VALUE"""),"Email Account/ TraderID Recognized")</f>
        <v>Email Account/ TraderID Recognized</v>
      </c>
      <c r="H152" s="119" t="str">
        <f>IFERROR(__xludf.DUMMYFUNCTION("""COMPUTED_VALUE"""),"83547")</f>
        <v>83547</v>
      </c>
      <c r="I152" s="30">
        <f>IFERROR(__xludf.DUMMYFUNCTION("""COMPUTED_VALUE"""),5.0)</f>
        <v>5</v>
      </c>
      <c r="J152" s="30">
        <f>IFERROR(__xludf.DUMMYFUNCTION("""COMPUTED_VALUE"""),20.0)</f>
        <v>20</v>
      </c>
      <c r="K152" s="30" t="str">
        <f>IFERROR(__xludf.DUMMYFUNCTION("""COMPUTED_VALUE"""),"QTY, Limit Price (if any) &amp; Password input correct")</f>
        <v>QTY, Limit Price (if any) &amp; Password input correct</v>
      </c>
      <c r="L152" s="30" t="str">
        <f>IFERROR(__xludf.DUMMYFUNCTION("""COMPUTED_VALUE"""),"Order rejected due to wrong ticker code. it is a 4 digit code for HK stock. For limit price, just put in the price is enough (the numeric number).")</f>
        <v>Order rejected due to wrong ticker code. it is a 4 digit code for HK stock. For limit price, just put in the price is enough (the numeric number).</v>
      </c>
    </row>
    <row r="153">
      <c r="A153" s="5"/>
      <c r="B153" s="118">
        <f>IFERROR(__xludf.DUMMYFUNCTION("""COMPUTED_VALUE"""),44610.75039579861)</f>
        <v>44610.7504</v>
      </c>
      <c r="C153" s="120">
        <f>IFERROR(__xludf.DUMMYFUNCTION("""COMPUTED_VALUE"""),44610.666666666664)</f>
        <v>44610.66667</v>
      </c>
      <c r="D153" s="5" t="str">
        <f>IFERROR(__xludf.DUMMYFUNCTION("""COMPUTED_VALUE"""),"46276")</f>
        <v>46276</v>
      </c>
      <c r="E153" s="5" t="str">
        <f>IFERROR(__xludf.DUMMYFUNCTION("""COMPUTED_VALUE"""),"Stock")</f>
        <v>Stock</v>
      </c>
      <c r="F153" s="5" t="str">
        <f>IFERROR(__xludf.DUMMYFUNCTION("""COMPUTED_VALUE"""),"USD")</f>
        <v>USD</v>
      </c>
      <c r="G153" s="30" t="str">
        <f>IFERROR(__xludf.DUMMYFUNCTION("""COMPUTED_VALUE"""),"Email Account/ TraderID Recognized")</f>
        <v>Email Account/ TraderID Recognized</v>
      </c>
      <c r="H153" s="119" t="str">
        <f>IFERROR(__xludf.DUMMYFUNCTION("""COMPUTED_VALUE"""),"BRK-B")</f>
        <v>BRK-B</v>
      </c>
      <c r="I153" s="30">
        <f>IFERROR(__xludf.DUMMYFUNCTION("""COMPUTED_VALUE"""),10.0)</f>
        <v>10</v>
      </c>
      <c r="J153" s="30"/>
      <c r="K153" s="30" t="str">
        <f>IFERROR(__xludf.DUMMYFUNCTION("""COMPUTED_VALUE"""),"QTY, Limit Price (if any) &amp; Password input correct")</f>
        <v>QTY, Limit Price (if any) &amp; Password input correct</v>
      </c>
      <c r="L153" s="30"/>
    </row>
    <row r="154">
      <c r="A154" s="5"/>
      <c r="B154" s="118">
        <f>IFERROR(__xludf.DUMMYFUNCTION("""COMPUTED_VALUE"""),44610.82525476852)</f>
        <v>44610.82525</v>
      </c>
      <c r="C154" s="120">
        <f>IFERROR(__xludf.DUMMYFUNCTION("""COMPUTED_VALUE"""),44610.666666666664)</f>
        <v>44610.66667</v>
      </c>
      <c r="D154" s="5" t="str">
        <f>IFERROR(__xludf.DUMMYFUNCTION("""COMPUTED_VALUE"""),"39608")</f>
        <v>39608</v>
      </c>
      <c r="E154" s="5" t="str">
        <f>IFERROR(__xludf.DUMMYFUNCTION("""COMPUTED_VALUE"""),"Stock")</f>
        <v>Stock</v>
      </c>
      <c r="F154" s="5" t="str">
        <f>IFERROR(__xludf.DUMMYFUNCTION("""COMPUTED_VALUE"""),"USD")</f>
        <v>USD</v>
      </c>
      <c r="G154" s="30" t="str">
        <f>IFERROR(__xludf.DUMMYFUNCTION("""COMPUTED_VALUE"""),"Email Account/ TraderID Recognized")</f>
        <v>Email Account/ TraderID Recognized</v>
      </c>
      <c r="H154" s="119" t="str">
        <f>IFERROR(__xludf.DUMMYFUNCTION("""COMPUTED_VALUE"""),"ANPDY")</f>
        <v>ANPDY</v>
      </c>
      <c r="I154" s="30">
        <f>IFERROR(__xludf.DUMMYFUNCTION("""COMPUTED_VALUE"""),30.0)</f>
        <v>30</v>
      </c>
      <c r="J154" s="30"/>
      <c r="K154" s="30" t="str">
        <f>IFERROR(__xludf.DUMMYFUNCTION("""COMPUTED_VALUE"""),"QTY, Limit Price (if any) &amp; Password input correct")</f>
        <v>QTY, Limit Price (if any) &amp; Password input correct</v>
      </c>
      <c r="L154" s="30"/>
    </row>
    <row r="155">
      <c r="A155" s="5"/>
      <c r="B155" s="118">
        <f>IFERROR(__xludf.DUMMYFUNCTION("""COMPUTED_VALUE"""),44610.82529818287)</f>
        <v>44610.8253</v>
      </c>
      <c r="C155" s="120">
        <f>IFERROR(__xludf.DUMMYFUNCTION("""COMPUTED_VALUE"""),44610.666666666664)</f>
        <v>44610.66667</v>
      </c>
      <c r="D155" s="5" t="str">
        <f>IFERROR(__xludf.DUMMYFUNCTION("""COMPUTED_VALUE"""),"37400")</f>
        <v>37400</v>
      </c>
      <c r="E155" s="5" t="str">
        <f>IFERROR(__xludf.DUMMYFUNCTION("""COMPUTED_VALUE"""),"Stock")</f>
        <v>Stock</v>
      </c>
      <c r="F155" s="5" t="str">
        <f>IFERROR(__xludf.DUMMYFUNCTION("""COMPUTED_VALUE"""),"USD")</f>
        <v>USD</v>
      </c>
      <c r="G155" s="30" t="str">
        <f>IFERROR(__xludf.DUMMYFUNCTION("""COMPUTED_VALUE"""),"Email Account/ TraderID Recognized")</f>
        <v>Email Account/ TraderID Recognized</v>
      </c>
      <c r="H155" s="119" t="str">
        <f>IFERROR(__xludf.DUMMYFUNCTION("""COMPUTED_VALUE"""),"ANPDY")</f>
        <v>ANPDY</v>
      </c>
      <c r="I155" s="30">
        <f>IFERROR(__xludf.DUMMYFUNCTION("""COMPUTED_VALUE"""),30.0)</f>
        <v>30</v>
      </c>
      <c r="J155" s="30"/>
      <c r="K155" s="30" t="str">
        <f>IFERROR(__xludf.DUMMYFUNCTION("""COMPUTED_VALUE"""),"QTY, Limit Price (if any) &amp; Password input correct")</f>
        <v>QTY, Limit Price (if any) &amp; Password input correct</v>
      </c>
      <c r="L155" s="30"/>
    </row>
    <row r="156">
      <c r="A156" s="5"/>
      <c r="B156" s="118">
        <f>IFERROR(__xludf.DUMMYFUNCTION("""COMPUTED_VALUE"""),44610.82531641204)</f>
        <v>44610.82532</v>
      </c>
      <c r="C156" s="120">
        <f>IFERROR(__xludf.DUMMYFUNCTION("""COMPUTED_VALUE"""),44610.666666666664)</f>
        <v>44610.66667</v>
      </c>
      <c r="D156" s="5" t="str">
        <f>IFERROR(__xludf.DUMMYFUNCTION("""COMPUTED_VALUE"""),"32312")</f>
        <v>32312</v>
      </c>
      <c r="E156" s="5" t="str">
        <f>IFERROR(__xludf.DUMMYFUNCTION("""COMPUTED_VALUE"""),"Stock")</f>
        <v>Stock</v>
      </c>
      <c r="F156" s="5" t="str">
        <f>IFERROR(__xludf.DUMMYFUNCTION("""COMPUTED_VALUE"""),"USD")</f>
        <v>USD</v>
      </c>
      <c r="G156" s="30" t="str">
        <f>IFERROR(__xludf.DUMMYFUNCTION("""COMPUTED_VALUE"""),"Email Account/ TraderID Recognized")</f>
        <v>Email Account/ TraderID Recognized</v>
      </c>
      <c r="H156" s="119" t="str">
        <f>IFERROR(__xludf.DUMMYFUNCTION("""COMPUTED_VALUE"""),"ANPDY")</f>
        <v>ANPDY</v>
      </c>
      <c r="I156" s="30">
        <f>IFERROR(__xludf.DUMMYFUNCTION("""COMPUTED_VALUE"""),30.0)</f>
        <v>30</v>
      </c>
      <c r="J156" s="30"/>
      <c r="K156" s="30" t="str">
        <f>IFERROR(__xludf.DUMMYFUNCTION("""COMPUTED_VALUE"""),"QTY, Limit Price (if any) &amp; Password input correct")</f>
        <v>QTY, Limit Price (if any) &amp; Password input correct</v>
      </c>
      <c r="L156" s="30"/>
    </row>
    <row r="157">
      <c r="A157" s="5"/>
      <c r="B157" s="118">
        <f>IFERROR(__xludf.DUMMYFUNCTION("""COMPUTED_VALUE"""),44610.965355011576)</f>
        <v>44610.96536</v>
      </c>
      <c r="C157" s="120">
        <f>IFERROR(__xludf.DUMMYFUNCTION("""COMPUTED_VALUE"""),44610.666666666664)</f>
        <v>44610.66667</v>
      </c>
      <c r="D157" s="5" t="str">
        <f>IFERROR(__xludf.DUMMYFUNCTION("""COMPUTED_VALUE"""),"40433")</f>
        <v>40433</v>
      </c>
      <c r="E157" s="5" t="str">
        <f>IFERROR(__xludf.DUMMYFUNCTION("""COMPUTED_VALUE"""),"Stock")</f>
        <v>Stock</v>
      </c>
      <c r="F157" s="5" t="str">
        <f>IFERROR(__xludf.DUMMYFUNCTION("""COMPUTED_VALUE"""),"USD")</f>
        <v>USD</v>
      </c>
      <c r="G157" s="30" t="str">
        <f>IFERROR(__xludf.DUMMYFUNCTION("""COMPUTED_VALUE"""),"Email Account/ TraderID Recognized")</f>
        <v>Email Account/ TraderID Recognized</v>
      </c>
      <c r="H157" s="119" t="str">
        <f>IFERROR(__xludf.DUMMYFUNCTION("""COMPUTED_VALUE"""),"LVMHF")</f>
        <v>LVMHF</v>
      </c>
      <c r="I157" s="30">
        <f>IFERROR(__xludf.DUMMYFUNCTION("""COMPUTED_VALUE"""),4.0)</f>
        <v>4</v>
      </c>
      <c r="J157" s="30"/>
      <c r="K157" s="30" t="str">
        <f>IFERROR(__xludf.DUMMYFUNCTION("""COMPUTED_VALUE"""),"QTY, Limit Price (if any) &amp; Password input correct")</f>
        <v>QTY, Limit Price (if any) &amp; Password input correct</v>
      </c>
      <c r="L157" s="30"/>
    </row>
    <row r="158">
      <c r="A158" s="5"/>
      <c r="B158" s="118">
        <f>IFERROR(__xludf.DUMMYFUNCTION("""COMPUTED_VALUE"""),44610.97032770833)</f>
        <v>44610.97033</v>
      </c>
      <c r="C158" s="120">
        <f>IFERROR(__xludf.DUMMYFUNCTION("""COMPUTED_VALUE"""),44610.666666666664)</f>
        <v>44610.66667</v>
      </c>
      <c r="D158" s="5" t="str">
        <f>IFERROR(__xludf.DUMMYFUNCTION("""COMPUTED_VALUE"""),"40433")</f>
        <v>40433</v>
      </c>
      <c r="E158" s="5" t="str">
        <f>IFERROR(__xludf.DUMMYFUNCTION("""COMPUTED_VALUE"""),"Stock")</f>
        <v>Stock</v>
      </c>
      <c r="F158" s="5" t="str">
        <f>IFERROR(__xludf.DUMMYFUNCTION("""COMPUTED_VALUE"""),"USD")</f>
        <v>USD</v>
      </c>
      <c r="G158" s="30" t="str">
        <f>IFERROR(__xludf.DUMMYFUNCTION("""COMPUTED_VALUE"""),"Email Account/ TraderID Recognized")</f>
        <v>Email Account/ TraderID Recognized</v>
      </c>
      <c r="H158" s="119" t="str">
        <f>IFERROR(__xludf.DUMMYFUNCTION("""COMPUTED_VALUE"""),"DIS")</f>
        <v>DIS</v>
      </c>
      <c r="I158" s="30">
        <f>IFERROR(__xludf.DUMMYFUNCTION("""COMPUTED_VALUE"""),6.0)</f>
        <v>6</v>
      </c>
      <c r="J158" s="30"/>
      <c r="K158" s="30" t="str">
        <f>IFERROR(__xludf.DUMMYFUNCTION("""COMPUTED_VALUE"""),"QTY, Limit Price (if any) &amp; Password input correct")</f>
        <v>QTY, Limit Price (if any) &amp; Password input correct</v>
      </c>
      <c r="L158" s="30"/>
    </row>
    <row r="159">
      <c r="A159" s="5"/>
      <c r="B159" s="118">
        <f>IFERROR(__xludf.DUMMYFUNCTION("""COMPUTED_VALUE"""),44611.01600672454)</f>
        <v>44611.01601</v>
      </c>
      <c r="C159" s="120">
        <f>IFERROR(__xludf.DUMMYFUNCTION("""COMPUTED_VALUE"""),44610.666666666664)</f>
        <v>44610.66667</v>
      </c>
      <c r="D159" s="5" t="str">
        <f>IFERROR(__xludf.DUMMYFUNCTION("""COMPUTED_VALUE"""),"39857")</f>
        <v>39857</v>
      </c>
      <c r="E159" s="5" t="str">
        <f>IFERROR(__xludf.DUMMYFUNCTION("""COMPUTED_VALUE"""),"Stock")</f>
        <v>Stock</v>
      </c>
      <c r="F159" s="5" t="str">
        <f>IFERROR(__xludf.DUMMYFUNCTION("""COMPUTED_VALUE"""),"USD")</f>
        <v>USD</v>
      </c>
      <c r="G159" s="30" t="str">
        <f>IFERROR(__xludf.DUMMYFUNCTION("""COMPUTED_VALUE"""),"Email Account/ TraderID Recognized")</f>
        <v>Email Account/ TraderID Recognized</v>
      </c>
      <c r="H159" s="119" t="str">
        <f>IFERROR(__xludf.DUMMYFUNCTION("""COMPUTED_VALUE"""),"RIVN")</f>
        <v>RIVN</v>
      </c>
      <c r="I159" s="30">
        <f>IFERROR(__xludf.DUMMYFUNCTION("""COMPUTED_VALUE"""),800.0)</f>
        <v>800</v>
      </c>
      <c r="J159" s="30">
        <f>IFERROR(__xludf.DUMMYFUNCTION("""COMPUTED_VALUE"""),65.0)</f>
        <v>65</v>
      </c>
      <c r="K159" s="30" t="str">
        <f>IFERROR(__xludf.DUMMYFUNCTION("""COMPUTED_VALUE"""),"QTY, Limit Price (if any) &amp; Password input correct")</f>
        <v>QTY, Limit Price (if any) &amp; Password input correct</v>
      </c>
      <c r="L159" s="30"/>
    </row>
    <row r="160">
      <c r="A160" s="5"/>
      <c r="B160" s="118">
        <f>IFERROR(__xludf.DUMMYFUNCTION("""COMPUTED_VALUE"""),44611.026336932875)</f>
        <v>44611.02634</v>
      </c>
      <c r="C160" s="120">
        <f>IFERROR(__xludf.DUMMYFUNCTION("""COMPUTED_VALUE"""),44610.666666666664)</f>
        <v>44610.66667</v>
      </c>
      <c r="D160" s="5" t="str">
        <f>IFERROR(__xludf.DUMMYFUNCTION("""COMPUTED_VALUE"""),"39857")</f>
        <v>39857</v>
      </c>
      <c r="E160" s="5" t="str">
        <f>IFERROR(__xludf.DUMMYFUNCTION("""COMPUTED_VALUE"""),"Stock")</f>
        <v>Stock</v>
      </c>
      <c r="F160" s="5" t="str">
        <f>IFERROR(__xludf.DUMMYFUNCTION("""COMPUTED_VALUE"""),"USD")</f>
        <v>USD</v>
      </c>
      <c r="G160" s="30" t="str">
        <f>IFERROR(__xludf.DUMMYFUNCTION("""COMPUTED_VALUE"""),"Email Account/ TraderID Recognized")</f>
        <v>Email Account/ TraderID Recognized</v>
      </c>
      <c r="H160" s="119" t="str">
        <f>IFERROR(__xludf.DUMMYFUNCTION("""COMPUTED_VALUE"""),"RIVN")</f>
        <v>RIVN</v>
      </c>
      <c r="I160" s="30">
        <f>IFERROR(__xludf.DUMMYFUNCTION("""COMPUTED_VALUE"""),800.0)</f>
        <v>800</v>
      </c>
      <c r="J160" s="30">
        <f>IFERROR(__xludf.DUMMYFUNCTION("""COMPUTED_VALUE"""),65.5)</f>
        <v>65.5</v>
      </c>
      <c r="K160" s="30" t="str">
        <f>IFERROR(__xludf.DUMMYFUNCTION("""COMPUTED_VALUE"""),"QTY, Limit Price (if any) &amp; Password input correct")</f>
        <v>QTY, Limit Price (if any) &amp; Password input correct</v>
      </c>
      <c r="L160" s="30"/>
    </row>
    <row r="161">
      <c r="A161" s="5"/>
      <c r="B161" s="118">
        <f>IFERROR(__xludf.DUMMYFUNCTION("""COMPUTED_VALUE"""),44611.04881371528)</f>
        <v>44611.04881</v>
      </c>
      <c r="C161" s="120" t="str">
        <f>IFERROR(__xludf.DUMMYFUNCTION("""COMPUTED_VALUE"""),"")</f>
        <v/>
      </c>
      <c r="D161" s="5" t="str">
        <f>IFERROR(__xludf.DUMMYFUNCTION("""COMPUTED_VALUE"""),"40433")</f>
        <v>40433</v>
      </c>
      <c r="E161" s="5" t="str">
        <f>IFERROR(__xludf.DUMMYFUNCTION("""COMPUTED_VALUE"""),"Stock")</f>
        <v>Stock</v>
      </c>
      <c r="F161" s="5" t="str">
        <f>IFERROR(__xludf.DUMMYFUNCTION("""COMPUTED_VALUE"""),"error")</f>
        <v>error</v>
      </c>
      <c r="G161" s="30" t="str">
        <f>IFERROR(__xludf.DUMMYFUNCTION("""COMPUTED_VALUE"""),"Email Account/ TraderID Recognized")</f>
        <v>Email Account/ TraderID Recognized</v>
      </c>
      <c r="H161" s="119" t="str">
        <f>IFERROR(__xludf.DUMMYFUNCTION("""COMPUTED_VALUE"""),"TSLAA")</f>
        <v>TSLAA</v>
      </c>
      <c r="I161" s="30">
        <f>IFERROR(__xludf.DUMMYFUNCTION("""COMPUTED_VALUE"""),5.0)</f>
        <v>5</v>
      </c>
      <c r="J161" s="30"/>
      <c r="K161" s="30" t="str">
        <f>IFERROR(__xludf.DUMMYFUNCTION("""COMPUTED_VALUE"""),"QTY, Limit Price (if any) &amp; Password input correct")</f>
        <v>QTY, Limit Price (if any) &amp; Password input correct</v>
      </c>
      <c r="L161" s="30" t="str">
        <f>IFERROR(__xludf.DUMMYFUNCTION("""COMPUTED_VALUE"""),"Order rejected due to wrong ticker code. just need to type in TSLA?")</f>
        <v>Order rejected due to wrong ticker code. just need to type in TSLA?</v>
      </c>
    </row>
    <row r="162">
      <c r="A162" s="5"/>
      <c r="B162" s="118">
        <f>IFERROR(__xludf.DUMMYFUNCTION("""COMPUTED_VALUE"""),44611.12601736111)</f>
        <v>44611.12602</v>
      </c>
      <c r="C162" s="120">
        <f>IFERROR(__xludf.DUMMYFUNCTION("""COMPUTED_VALUE"""),44610.666666666664)</f>
        <v>44610.66667</v>
      </c>
      <c r="D162" s="5" t="str">
        <f>IFERROR(__xludf.DUMMYFUNCTION("""COMPUTED_VALUE"""),"89750")</f>
        <v>89750</v>
      </c>
      <c r="E162" s="5" t="str">
        <f>IFERROR(__xludf.DUMMYFUNCTION("""COMPUTED_VALUE"""),"Stock")</f>
        <v>Stock</v>
      </c>
      <c r="F162" s="5" t="str">
        <f>IFERROR(__xludf.DUMMYFUNCTION("""COMPUTED_VALUE"""),"USD")</f>
        <v>USD</v>
      </c>
      <c r="G162" s="30" t="str">
        <f>IFERROR(__xludf.DUMMYFUNCTION("""COMPUTED_VALUE"""),"Email Account/ TraderID Recognized")</f>
        <v>Email Account/ TraderID Recognized</v>
      </c>
      <c r="H162" s="119" t="str">
        <f>IFERROR(__xludf.DUMMYFUNCTION("""COMPUTED_VALUE"""),"SOFI")</f>
        <v>SOFI</v>
      </c>
      <c r="I162" s="30">
        <f>IFERROR(__xludf.DUMMYFUNCTION("""COMPUTED_VALUE"""),50.0)</f>
        <v>50</v>
      </c>
      <c r="J162" s="30"/>
      <c r="K162" s="30" t="str">
        <f>IFERROR(__xludf.DUMMYFUNCTION("""COMPUTED_VALUE"""),"QTY, Limit Price (if any) &amp; Password input correct")</f>
        <v>QTY, Limit Price (if any) &amp; Password input correct</v>
      </c>
      <c r="L162" s="30"/>
    </row>
    <row r="163">
      <c r="A163" s="5"/>
      <c r="B163" s="118">
        <f>IFERROR(__xludf.DUMMYFUNCTION("""COMPUTED_VALUE"""),44611.13051429398)</f>
        <v>44611.13051</v>
      </c>
      <c r="C163" s="120">
        <f>IFERROR(__xludf.DUMMYFUNCTION("""COMPUTED_VALUE"""),44610.666666666664)</f>
        <v>44610.66667</v>
      </c>
      <c r="D163" s="5" t="str">
        <f>IFERROR(__xludf.DUMMYFUNCTION("""COMPUTED_VALUE"""),"89750")</f>
        <v>89750</v>
      </c>
      <c r="E163" s="5" t="str">
        <f>IFERROR(__xludf.DUMMYFUNCTION("""COMPUTED_VALUE"""),"Stock")</f>
        <v>Stock</v>
      </c>
      <c r="F163" s="5" t="str">
        <f>IFERROR(__xludf.DUMMYFUNCTION("""COMPUTED_VALUE"""),"USD")</f>
        <v>USD</v>
      </c>
      <c r="G163" s="30" t="str">
        <f>IFERROR(__xludf.DUMMYFUNCTION("""COMPUTED_VALUE"""),"Email Account/ TraderID Recognized")</f>
        <v>Email Account/ TraderID Recognized</v>
      </c>
      <c r="H163" s="119" t="str">
        <f>IFERROR(__xludf.DUMMYFUNCTION("""COMPUTED_VALUE"""),"UVXY")</f>
        <v>UVXY</v>
      </c>
      <c r="I163" s="30">
        <f>IFERROR(__xludf.DUMMYFUNCTION("""COMPUTED_VALUE"""),450.0)</f>
        <v>450</v>
      </c>
      <c r="J163" s="30"/>
      <c r="K163" s="30" t="str">
        <f>IFERROR(__xludf.DUMMYFUNCTION("""COMPUTED_VALUE"""),"QTY, Limit Price (if any) &amp; Password input correct")</f>
        <v>QTY, Limit Price (if any) &amp; Password input correct</v>
      </c>
      <c r="L163" s="30"/>
    </row>
    <row r="164">
      <c r="A164" s="5"/>
      <c r="B164" s="118">
        <f>IFERROR(__xludf.DUMMYFUNCTION("""COMPUTED_VALUE"""),44611.13134460648)</f>
        <v>44611.13134</v>
      </c>
      <c r="C164" s="120">
        <f>IFERROR(__xludf.DUMMYFUNCTION("""COMPUTED_VALUE"""),44610.666666666664)</f>
        <v>44610.66667</v>
      </c>
      <c r="D164" s="5" t="str">
        <f>IFERROR(__xludf.DUMMYFUNCTION("""COMPUTED_VALUE"""),"89750")</f>
        <v>89750</v>
      </c>
      <c r="E164" s="5" t="str">
        <f>IFERROR(__xludf.DUMMYFUNCTION("""COMPUTED_VALUE"""),"Stock")</f>
        <v>Stock</v>
      </c>
      <c r="F164" s="5" t="str">
        <f>IFERROR(__xludf.DUMMYFUNCTION("""COMPUTED_VALUE"""),"USD")</f>
        <v>USD</v>
      </c>
      <c r="G164" s="30" t="str">
        <f>IFERROR(__xludf.DUMMYFUNCTION("""COMPUTED_VALUE"""),"Email Account/ TraderID Recognized")</f>
        <v>Email Account/ TraderID Recognized</v>
      </c>
      <c r="H164" s="119" t="str">
        <f>IFERROR(__xludf.DUMMYFUNCTION("""COMPUTED_VALUE"""),"SOXL")</f>
        <v>SOXL</v>
      </c>
      <c r="I164" s="30">
        <f>IFERROR(__xludf.DUMMYFUNCTION("""COMPUTED_VALUE"""),20.0)</f>
        <v>20</v>
      </c>
      <c r="J164" s="30"/>
      <c r="K164" s="30" t="str">
        <f>IFERROR(__xludf.DUMMYFUNCTION("""COMPUTED_VALUE"""),"QTY, Limit Price (if any) &amp; Password input correct")</f>
        <v>QTY, Limit Price (if any) &amp; Password input correct</v>
      </c>
      <c r="L164" s="30"/>
    </row>
    <row r="165">
      <c r="A165" s="5"/>
      <c r="B165" s="118">
        <f>IFERROR(__xludf.DUMMYFUNCTION("""COMPUTED_VALUE"""),44611.462900983795)</f>
        <v>44611.4629</v>
      </c>
      <c r="C165" s="120">
        <f>IFERROR(__xludf.DUMMYFUNCTION("""COMPUTED_VALUE"""),44613.0)</f>
        <v>44613</v>
      </c>
      <c r="D165" s="5" t="str">
        <f>IFERROR(__xludf.DUMMYFUNCTION("""COMPUTED_VALUE"""),"76369")</f>
        <v>76369</v>
      </c>
      <c r="E165" s="5" t="str">
        <f>IFERROR(__xludf.DUMMYFUNCTION("""COMPUTED_VALUE"""),"Stock")</f>
        <v>Stock</v>
      </c>
      <c r="F165" s="5" t="str">
        <f>IFERROR(__xludf.DUMMYFUNCTION("""COMPUTED_VALUE"""),"HKD")</f>
        <v>HKD</v>
      </c>
      <c r="G165" s="30" t="str">
        <f>IFERROR(__xludf.DUMMYFUNCTION("""COMPUTED_VALUE"""),"Email Account/ TraderID Recognized")</f>
        <v>Email Account/ TraderID Recognized</v>
      </c>
      <c r="H165" s="121" t="str">
        <f>IFERROR(__xludf.DUMMYFUNCTION("""COMPUTED_VALUE"""),"1498.HK")</f>
        <v>1498.HK</v>
      </c>
      <c r="I165" s="30">
        <f>IFERROR(__xludf.DUMMYFUNCTION("""COMPUTED_VALUE"""),1000.0)</f>
        <v>1000</v>
      </c>
      <c r="J165" s="30"/>
      <c r="K165" s="30" t="str">
        <f>IFERROR(__xludf.DUMMYFUNCTION("""COMPUTED_VALUE"""),"QTY, Limit Price (if any) &amp; Password input correct")</f>
        <v>QTY, Limit Price (if any) &amp; Password input correct</v>
      </c>
      <c r="L165" s="30"/>
    </row>
    <row r="166">
      <c r="A166" s="5"/>
      <c r="B166" s="118">
        <f>IFERROR(__xludf.DUMMYFUNCTION("""COMPUTED_VALUE"""),44611.7673262037)</f>
        <v>44611.76733</v>
      </c>
      <c r="C166" s="30"/>
      <c r="D166" s="5" t="str">
        <f>IFERROR(__xludf.DUMMYFUNCTION("""COMPUTED_VALUE"""),"")</f>
        <v/>
      </c>
      <c r="E166" s="5" t="str">
        <f>IFERROR(__xludf.DUMMYFUNCTION("""COMPUTED_VALUE"""),"Stock")</f>
        <v>Stock</v>
      </c>
      <c r="F166" s="5" t="str">
        <f>IFERROR(__xludf.DUMMYFUNCTION("""COMPUTED_VALUE"""),"error")</f>
        <v>error</v>
      </c>
      <c r="G166" s="30" t="str">
        <f>IFERROR(__xludf.DUMMYFUNCTION("""COMPUTED_VALUE"""),"nma3xxxxxx@nonHKMUemail")</f>
        <v>nma3xxxxxx@nonHKMUemail</v>
      </c>
      <c r="H166" s="119" t="str">
        <f>IFERROR(__xludf.DUMMYFUNCTION("""COMPUTED_VALUE"""),"600519")</f>
        <v>600519</v>
      </c>
      <c r="I166" s="30">
        <f>IFERROR(__xludf.DUMMYFUNCTION("""COMPUTED_VALUE"""),1000.0)</f>
        <v>1000</v>
      </c>
      <c r="J166" s="30">
        <f>IFERROR(__xludf.DUMMYFUNCTION("""COMPUTED_VALUE"""),1907.0)</f>
        <v>1907</v>
      </c>
      <c r="K166" s="30" t="str">
        <f>IFERROR(__xludf.DUMMYFUNCTION("""COMPUTED_VALUE"""),"QTY, Limit Price (if any) &amp; Password input correct")</f>
        <v>QTY, Limit Price (if any) &amp; Password input correct</v>
      </c>
      <c r="L166" s="30" t="str">
        <f>IFERROR(__xludf.DUMMYFUNCTION("""COMPUTED_VALUE"""),"Order rejected due to invalid school email account, (nmaXXXXX@gmail.com), wrong ticker code. just need to type in 600519.SS")</f>
        <v>Order rejected due to invalid school email account, (nmaXXXXX@gmail.com), wrong ticker code. just need to type in 600519.SS</v>
      </c>
    </row>
    <row r="167">
      <c r="A167" s="5"/>
      <c r="B167" s="118">
        <f>IFERROR(__xludf.DUMMYFUNCTION("""COMPUTED_VALUE"""),44612.36113172454)</f>
        <v>44612.36113</v>
      </c>
      <c r="C167" s="120">
        <f>IFERROR(__xludf.DUMMYFUNCTION("""COMPUTED_VALUE"""),44611.0)</f>
        <v>44611</v>
      </c>
      <c r="D167" s="5" t="str">
        <f>IFERROR(__xludf.DUMMYFUNCTION("""COMPUTED_VALUE"""),"TraderX")</f>
        <v>TraderX</v>
      </c>
      <c r="E167" s="5" t="str">
        <f>IFERROR(__xludf.DUMMYFUNCTION("""COMPUTED_VALUE"""),"Option")</f>
        <v>Option</v>
      </c>
      <c r="F167" s="5" t="str">
        <f>IFERROR(__xludf.DUMMYFUNCTION("""COMPUTED_VALUE"""),"USD")</f>
        <v>USD</v>
      </c>
      <c r="G167" s="30" t="str">
        <f>IFERROR(__xludf.DUMMYFUNCTION("""COMPUTED_VALUE"""),"Email Account/ TraderID Recognized")</f>
        <v>Email Account/ TraderID Recognized</v>
      </c>
      <c r="H167" s="119" t="str">
        <f>IFERROR(__xludf.DUMMYFUNCTION("""COMPUTED_VALUE"""),"SPXW220218P04300000")</f>
        <v>SPXW220218P04300000</v>
      </c>
      <c r="I167" s="30">
        <f>IFERROR(__xludf.DUMMYFUNCTION("""COMPUTED_VALUE"""),8.0)</f>
        <v>8</v>
      </c>
      <c r="J167" s="30"/>
      <c r="K167" s="30" t="str">
        <f>IFERROR(__xludf.DUMMYFUNCTION("""COMPUTED_VALUE"""),"QTY, Limit Price (if any) &amp; Password input correct")</f>
        <v>QTY, Limit Price (if any) &amp; Password input correct</v>
      </c>
      <c r="L167" s="30"/>
    </row>
    <row r="168">
      <c r="A168" s="5"/>
      <c r="B168" s="118">
        <f>IFERROR(__xludf.DUMMYFUNCTION("""COMPUTED_VALUE"""),44612.3618259838)</f>
        <v>44612.36183</v>
      </c>
      <c r="C168" s="120">
        <f>IFERROR(__xludf.DUMMYFUNCTION("""COMPUTED_VALUE"""),44611.0)</f>
        <v>44611</v>
      </c>
      <c r="D168" s="5" t="str">
        <f>IFERROR(__xludf.DUMMYFUNCTION("""COMPUTED_VALUE"""),"TraderX")</f>
        <v>TraderX</v>
      </c>
      <c r="E168" s="5" t="str">
        <f>IFERROR(__xludf.DUMMYFUNCTION("""COMPUTED_VALUE"""),"Option")</f>
        <v>Option</v>
      </c>
      <c r="F168" s="5" t="str">
        <f>IFERROR(__xludf.DUMMYFUNCTION("""COMPUTED_VALUE"""),"USD")</f>
        <v>USD</v>
      </c>
      <c r="G168" s="30" t="str">
        <f>IFERROR(__xludf.DUMMYFUNCTION("""COMPUTED_VALUE"""),"Email Account/ TraderID Recognized")</f>
        <v>Email Account/ TraderID Recognized</v>
      </c>
      <c r="H168" s="119" t="str">
        <f>IFERROR(__xludf.DUMMYFUNCTION("""COMPUTED_VALUE"""),"SPX220218P04220000")</f>
        <v>SPX220218P04220000</v>
      </c>
      <c r="I168" s="30">
        <f>IFERROR(__xludf.DUMMYFUNCTION("""COMPUTED_VALUE"""),8.0)</f>
        <v>8</v>
      </c>
      <c r="J168" s="30"/>
      <c r="K168" s="30" t="str">
        <f>IFERROR(__xludf.DUMMYFUNCTION("""COMPUTED_VALUE"""),"QTY, Limit Price (if any) &amp; Password input correct")</f>
        <v>QTY, Limit Price (if any) &amp; Password input correct</v>
      </c>
      <c r="L168" s="30"/>
    </row>
    <row r="169">
      <c r="A169" s="5"/>
      <c r="B169" s="118">
        <f>IFERROR(__xludf.DUMMYFUNCTION("""COMPUTED_VALUE"""),44612.99414241898)</f>
        <v>44612.99414</v>
      </c>
      <c r="C169" s="120">
        <f>IFERROR(__xludf.DUMMYFUNCTION("""COMPUTED_VALUE"""),44613.0)</f>
        <v>44613</v>
      </c>
      <c r="D169" s="5" t="str">
        <f>IFERROR(__xludf.DUMMYFUNCTION("""COMPUTED_VALUE"""),"75369")</f>
        <v>75369</v>
      </c>
      <c r="E169" s="5" t="str">
        <f>IFERROR(__xludf.DUMMYFUNCTION("""COMPUTED_VALUE"""),"Stock")</f>
        <v>Stock</v>
      </c>
      <c r="F169" s="5" t="str">
        <f>IFERROR(__xludf.DUMMYFUNCTION("""COMPUTED_VALUE"""),"error")</f>
        <v>error</v>
      </c>
      <c r="G169" s="30" t="str">
        <f>IFERROR(__xludf.DUMMYFUNCTION("""COMPUTED_VALUE"""),"Email Account/ TraderID Recognized")</f>
        <v>Email Account/ TraderID Recognized</v>
      </c>
      <c r="H169" s="119" t="str">
        <f>IFERROR(__xludf.DUMMYFUNCTION("""COMPUTED_VALUE"""),"04338")</f>
        <v>04338</v>
      </c>
      <c r="I169" s="30">
        <f>IFERROR(__xludf.DUMMYFUNCTION("""COMPUTED_VALUE"""),10.0)</f>
        <v>10</v>
      </c>
      <c r="J169" s="30">
        <f>IFERROR(__xludf.DUMMYFUNCTION("""COMPUTED_VALUE"""),20.0)</f>
        <v>20</v>
      </c>
      <c r="K169" s="30" t="str">
        <f>IFERROR(__xludf.DUMMYFUNCTION("""COMPUTED_VALUE"""),"Wrong Password Submitted, Order will be rejected")</f>
        <v>Wrong Password Submitted, Order will be rejected</v>
      </c>
      <c r="L169" s="30" t="str">
        <f>IFERROR(__xludf.DUMMYFUNCTION("""COMPUTED_VALUE"""),"Order rejected due to wrong password, wrong ticker code and non numeric character in limit price. just need to type in 4338.HK. AND just numeric price for limiit price")</f>
        <v>Order rejected due to wrong password, wrong ticker code and non numeric character in limit price. just need to type in 4338.HK. AND just numeric price for limiit price</v>
      </c>
    </row>
    <row r="170">
      <c r="A170" s="5"/>
      <c r="B170" s="118">
        <f>IFERROR(__xludf.DUMMYFUNCTION("""COMPUTED_VALUE"""),44613.00101918982)</f>
        <v>44613.00102</v>
      </c>
      <c r="C170" s="120">
        <f>IFERROR(__xludf.DUMMYFUNCTION("""COMPUTED_VALUE"""),44614.0)</f>
        <v>44614</v>
      </c>
      <c r="D170" s="5" t="str">
        <f>IFERROR(__xludf.DUMMYFUNCTION("""COMPUTED_VALUE"""),"37934")</f>
        <v>37934</v>
      </c>
      <c r="E170" s="5" t="str">
        <f>IFERROR(__xludf.DUMMYFUNCTION("""COMPUTED_VALUE"""),"Stock")</f>
        <v>Stock</v>
      </c>
      <c r="F170" s="5" t="str">
        <f>IFERROR(__xludf.DUMMYFUNCTION("""COMPUTED_VALUE"""),"USD")</f>
        <v>USD</v>
      </c>
      <c r="G170" s="30" t="str">
        <f>IFERROR(__xludf.DUMMYFUNCTION("""COMPUTED_VALUE"""),"Email Account/ TraderID Recognized")</f>
        <v>Email Account/ TraderID Recognized</v>
      </c>
      <c r="H170" s="119" t="str">
        <f>IFERROR(__xludf.DUMMYFUNCTION("""COMPUTED_VALUE"""),"SOFI")</f>
        <v>SOFI</v>
      </c>
      <c r="I170" s="30">
        <f>IFERROR(__xludf.DUMMYFUNCTION("""COMPUTED_VALUE"""),200.0)</f>
        <v>200</v>
      </c>
      <c r="J170" s="30">
        <f>IFERROR(__xludf.DUMMYFUNCTION("""COMPUTED_VALUE"""),11.21)</f>
        <v>11.21</v>
      </c>
      <c r="K170" s="30" t="str">
        <f>IFERROR(__xludf.DUMMYFUNCTION("""COMPUTED_VALUE"""),"QTY, Limit Price (if any) &amp; Password input correct")</f>
        <v>QTY, Limit Price (if any) &amp; Password input correct</v>
      </c>
      <c r="L170" s="30"/>
    </row>
    <row r="171">
      <c r="A171" s="5"/>
      <c r="B171" s="118">
        <f>IFERROR(__xludf.DUMMYFUNCTION("""COMPUTED_VALUE"""),44613.48351810186)</f>
        <v>44613.48352</v>
      </c>
      <c r="C171" s="120">
        <f>IFERROR(__xludf.DUMMYFUNCTION("""COMPUTED_VALUE"""),44613.666666666664)</f>
        <v>44613.66667</v>
      </c>
      <c r="D171" s="5" t="str">
        <f>IFERROR(__xludf.DUMMYFUNCTION("""COMPUTED_VALUE"""),"77729")</f>
        <v>77729</v>
      </c>
      <c r="E171" s="5" t="str">
        <f>IFERROR(__xludf.DUMMYFUNCTION("""COMPUTED_VALUE"""),"Stock")</f>
        <v>Stock</v>
      </c>
      <c r="F171" s="5" t="str">
        <f>IFERROR(__xludf.DUMMYFUNCTION("""COMPUTED_VALUE"""),"HKD")</f>
        <v>HKD</v>
      </c>
      <c r="G171" s="30" t="str">
        <f>IFERROR(__xludf.DUMMYFUNCTION("""COMPUTED_VALUE"""),"Email Account/ TraderID Recognized")</f>
        <v>Email Account/ TraderID Recognized</v>
      </c>
      <c r="H171" s="121" t="str">
        <f>IFERROR(__xludf.DUMMYFUNCTION("""COMPUTED_VALUE"""),"0700.HK")</f>
        <v>0700.HK</v>
      </c>
      <c r="I171" s="30">
        <f>IFERROR(__xludf.DUMMYFUNCTION("""COMPUTED_VALUE"""),218.0)</f>
        <v>218</v>
      </c>
      <c r="J171" s="30">
        <f>IFERROR(__xludf.DUMMYFUNCTION("""COMPUTED_VALUE"""),460.0)</f>
        <v>460</v>
      </c>
      <c r="K171" s="30" t="str">
        <f>IFERROR(__xludf.DUMMYFUNCTION("""COMPUTED_VALUE"""),"QTY, Limit Price (if any) &amp; Password input correct")</f>
        <v>QTY, Limit Price (if any) &amp; Password input correct</v>
      </c>
      <c r="L171" s="30"/>
    </row>
    <row r="172">
      <c r="A172" s="5"/>
      <c r="B172" s="118">
        <f>IFERROR(__xludf.DUMMYFUNCTION("""COMPUTED_VALUE"""),44613.495871817126)</f>
        <v>44613.49587</v>
      </c>
      <c r="C172" s="120">
        <f>IFERROR(__xludf.DUMMYFUNCTION("""COMPUTED_VALUE"""),44613.666666666664)</f>
        <v>44613.66667</v>
      </c>
      <c r="D172" s="5" t="str">
        <f>IFERROR(__xludf.DUMMYFUNCTION("""COMPUTED_VALUE"""),"76975")</f>
        <v>76975</v>
      </c>
      <c r="E172" s="5" t="str">
        <f>IFERROR(__xludf.DUMMYFUNCTION("""COMPUTED_VALUE"""),"Stock")</f>
        <v>Stock</v>
      </c>
      <c r="F172" s="5" t="str">
        <f>IFERROR(__xludf.DUMMYFUNCTION("""COMPUTED_VALUE"""),"HKD")</f>
        <v>HKD</v>
      </c>
      <c r="G172" s="30" t="str">
        <f>IFERROR(__xludf.DUMMYFUNCTION("""COMPUTED_VALUE"""),"Email Account/ TraderID Recognized")</f>
        <v>Email Account/ TraderID Recognized</v>
      </c>
      <c r="H172" s="121" t="str">
        <f>IFERROR(__xludf.DUMMYFUNCTION("""COMPUTED_VALUE"""),"3690.HK")</f>
        <v>3690.HK</v>
      </c>
      <c r="I172" s="30">
        <f>IFERROR(__xludf.DUMMYFUNCTION("""COMPUTED_VALUE"""),270.0)</f>
        <v>270</v>
      </c>
      <c r="J172" s="30">
        <f>IFERROR(__xludf.DUMMYFUNCTION("""COMPUTED_VALUE"""),200.0)</f>
        <v>200</v>
      </c>
      <c r="K172" s="30" t="str">
        <f>IFERROR(__xludf.DUMMYFUNCTION("""COMPUTED_VALUE"""),"QTY, Limit Price (if any) &amp; Password input correct")</f>
        <v>QTY, Limit Price (if any) &amp; Password input correct</v>
      </c>
      <c r="L172" s="30"/>
    </row>
    <row r="173">
      <c r="A173" s="5"/>
      <c r="B173" s="118">
        <f>IFERROR(__xludf.DUMMYFUNCTION("""COMPUTED_VALUE"""),44613.49611471065)</f>
        <v>44613.49611</v>
      </c>
      <c r="C173" s="120">
        <f>IFERROR(__xludf.DUMMYFUNCTION("""COMPUTED_VALUE"""),44613.666666666664)</f>
        <v>44613.66667</v>
      </c>
      <c r="D173" s="5" t="str">
        <f>IFERROR(__xludf.DUMMYFUNCTION("""COMPUTED_VALUE"""),"77729")</f>
        <v>77729</v>
      </c>
      <c r="E173" s="5" t="str">
        <f>IFERROR(__xludf.DUMMYFUNCTION("""COMPUTED_VALUE"""),"Stock")</f>
        <v>Stock</v>
      </c>
      <c r="F173" s="5" t="str">
        <f>IFERROR(__xludf.DUMMYFUNCTION("""COMPUTED_VALUE"""),"HKD")</f>
        <v>HKD</v>
      </c>
      <c r="G173" s="30" t="str">
        <f>IFERROR(__xludf.DUMMYFUNCTION("""COMPUTED_VALUE"""),"Email Account/ TraderID Recognized")</f>
        <v>Email Account/ TraderID Recognized</v>
      </c>
      <c r="H173" s="121" t="str">
        <f>IFERROR(__xludf.DUMMYFUNCTION("""COMPUTED_VALUE"""),"3690.HK")</f>
        <v>3690.HK</v>
      </c>
      <c r="I173" s="30">
        <f>IFERROR(__xludf.DUMMYFUNCTION("""COMPUTED_VALUE"""),270.0)</f>
        <v>270</v>
      </c>
      <c r="J173" s="30">
        <f>IFERROR(__xludf.DUMMYFUNCTION("""COMPUTED_VALUE"""),200.0)</f>
        <v>200</v>
      </c>
      <c r="K173" s="30" t="str">
        <f>IFERROR(__xludf.DUMMYFUNCTION("""COMPUTED_VALUE"""),"QTY, Limit Price (if any) &amp; Password input correct")</f>
        <v>QTY, Limit Price (if any) &amp; Password input correct</v>
      </c>
      <c r="L173" s="30"/>
    </row>
    <row r="174">
      <c r="A174" s="5"/>
      <c r="B174" s="118">
        <f>IFERROR(__xludf.DUMMYFUNCTION("""COMPUTED_VALUE"""),44613.56569832176)</f>
        <v>44613.5657</v>
      </c>
      <c r="C174" s="120">
        <f>IFERROR(__xludf.DUMMYFUNCTION("""COMPUTED_VALUE"""),44613.625)</f>
        <v>44613.625</v>
      </c>
      <c r="D174" s="5" t="str">
        <f>IFERROR(__xludf.DUMMYFUNCTION("""COMPUTED_VALUE"""),"74641")</f>
        <v>74641</v>
      </c>
      <c r="E174" s="5" t="str">
        <f>IFERROR(__xludf.DUMMYFUNCTION("""COMPUTED_VALUE"""),"Stock")</f>
        <v>Stock</v>
      </c>
      <c r="F174" s="5" t="str">
        <f>IFERROR(__xludf.DUMMYFUNCTION("""COMPUTED_VALUE"""),"CNY")</f>
        <v>CNY</v>
      </c>
      <c r="G174" s="30" t="str">
        <f>IFERROR(__xludf.DUMMYFUNCTION("""COMPUTED_VALUE"""),"Email Account/ TraderID Recognized")</f>
        <v>Email Account/ TraderID Recognized</v>
      </c>
      <c r="H174" s="121" t="str">
        <f>IFERROR(__xludf.DUMMYFUNCTION("""COMPUTED_VALUE"""),"002230.SZ")</f>
        <v>002230.SZ</v>
      </c>
      <c r="I174" s="30">
        <f>IFERROR(__xludf.DUMMYFUNCTION("""COMPUTED_VALUE"""),1000.0)</f>
        <v>1000</v>
      </c>
      <c r="J174" s="30">
        <f>IFERROR(__xludf.DUMMYFUNCTION("""COMPUTED_VALUE"""),50.73)</f>
        <v>50.73</v>
      </c>
      <c r="K174" s="30" t="str">
        <f>IFERROR(__xludf.DUMMYFUNCTION("""COMPUTED_VALUE"""),"QTY, Limit Price (if any) &amp; Password input correct")</f>
        <v>QTY, Limit Price (if any) &amp; Password input correct</v>
      </c>
      <c r="L174" s="30"/>
    </row>
    <row r="175">
      <c r="A175" s="5"/>
      <c r="B175" s="118">
        <f>IFERROR(__xludf.DUMMYFUNCTION("""COMPUTED_VALUE"""),44613.58332464121)</f>
        <v>44613.58332</v>
      </c>
      <c r="C175" s="120">
        <f>IFERROR(__xludf.DUMMYFUNCTION("""COMPUTED_VALUE"""),44613.666666666664)</f>
        <v>44613.66667</v>
      </c>
      <c r="D175" s="5" t="str">
        <f>IFERROR(__xludf.DUMMYFUNCTION("""COMPUTED_VALUE"""),"37649")</f>
        <v>37649</v>
      </c>
      <c r="E175" s="5" t="str">
        <f>IFERROR(__xludf.DUMMYFUNCTION("""COMPUTED_VALUE"""),"Stock")</f>
        <v>Stock</v>
      </c>
      <c r="F175" s="5" t="str">
        <f>IFERROR(__xludf.DUMMYFUNCTION("""COMPUTED_VALUE"""),"HKD")</f>
        <v>HKD</v>
      </c>
      <c r="G175" s="30" t="str">
        <f>IFERROR(__xludf.DUMMYFUNCTION("""COMPUTED_VALUE"""),"Email Account/ TraderID Recognized")</f>
        <v>Email Account/ TraderID Recognized</v>
      </c>
      <c r="H175" s="121" t="str">
        <f>IFERROR(__xludf.DUMMYFUNCTION("""COMPUTED_VALUE"""),"1109.HK")</f>
        <v>1109.HK</v>
      </c>
      <c r="I175" s="30">
        <f>IFERROR(__xludf.DUMMYFUNCTION("""COMPUTED_VALUE"""),4000.0)</f>
        <v>4000</v>
      </c>
      <c r="J175" s="30">
        <f>IFERROR(__xludf.DUMMYFUNCTION("""COMPUTED_VALUE"""),42.0)</f>
        <v>42</v>
      </c>
      <c r="K175" s="30" t="str">
        <f>IFERROR(__xludf.DUMMYFUNCTION("""COMPUTED_VALUE"""),"QTY, Limit Price (if any) &amp; Password input correct")</f>
        <v>QTY, Limit Price (if any) &amp; Password input correct</v>
      </c>
      <c r="L175" s="30"/>
    </row>
    <row r="176">
      <c r="A176" s="5"/>
      <c r="B176" s="118">
        <f>IFERROR(__xludf.DUMMYFUNCTION("""COMPUTED_VALUE"""),44613.604774050924)</f>
        <v>44613.60477</v>
      </c>
      <c r="C176" s="120">
        <f>IFERROR(__xludf.DUMMYFUNCTION("""COMPUTED_VALUE"""),44613.666666666664)</f>
        <v>44613.66667</v>
      </c>
      <c r="D176" s="5" t="str">
        <f>IFERROR(__xludf.DUMMYFUNCTION("""COMPUTED_VALUE"""),"82124")</f>
        <v>82124</v>
      </c>
      <c r="E176" s="5" t="str">
        <f>IFERROR(__xludf.DUMMYFUNCTION("""COMPUTED_VALUE"""),"Stock")</f>
        <v>Stock</v>
      </c>
      <c r="F176" s="5" t="str">
        <f>IFERROR(__xludf.DUMMYFUNCTION("""COMPUTED_VALUE"""),"HKD")</f>
        <v>HKD</v>
      </c>
      <c r="G176" s="30" t="str">
        <f>IFERROR(__xludf.DUMMYFUNCTION("""COMPUTED_VALUE"""),"Email Account/ TraderID Recognized")</f>
        <v>Email Account/ TraderID Recognized</v>
      </c>
      <c r="H176" s="121" t="str">
        <f>IFERROR(__xludf.DUMMYFUNCTION("""COMPUTED_VALUE"""),"0941.HK")</f>
        <v>0941.HK</v>
      </c>
      <c r="I176" s="30">
        <f>IFERROR(__xludf.DUMMYFUNCTION("""COMPUTED_VALUE"""),1000.0)</f>
        <v>1000</v>
      </c>
      <c r="J176" s="30"/>
      <c r="K176" s="30" t="str">
        <f>IFERROR(__xludf.DUMMYFUNCTION("""COMPUTED_VALUE"""),"QTY, Limit Price (if any) &amp; Password input correct")</f>
        <v>QTY, Limit Price (if any) &amp; Password input correct</v>
      </c>
      <c r="L176" s="30"/>
    </row>
    <row r="177">
      <c r="A177" s="5"/>
      <c r="B177" s="118">
        <f>IFERROR(__xludf.DUMMYFUNCTION("""COMPUTED_VALUE"""),44613.64816009259)</f>
        <v>44613.64816</v>
      </c>
      <c r="C177" s="120" t="str">
        <f>IFERROR(__xludf.DUMMYFUNCTION("""COMPUTED_VALUE"""),"")</f>
        <v/>
      </c>
      <c r="D177" s="5" t="str">
        <f>IFERROR(__xludf.DUMMYFUNCTION("""COMPUTED_VALUE"""),"39857")</f>
        <v>39857</v>
      </c>
      <c r="E177" s="5" t="str">
        <f>IFERROR(__xludf.DUMMYFUNCTION("""COMPUTED_VALUE"""),"Stock")</f>
        <v>Stock</v>
      </c>
      <c r="F177" s="5" t="str">
        <f>IFERROR(__xludf.DUMMYFUNCTION("""COMPUTED_VALUE"""),"error")</f>
        <v>error</v>
      </c>
      <c r="G177" s="30" t="str">
        <f>IFERROR(__xludf.DUMMYFUNCTION("""COMPUTED_VALUE"""),"Email Account/ TraderID Recognized")</f>
        <v>Email Account/ TraderID Recognized</v>
      </c>
      <c r="H177" s="119" t="str">
        <f>IFERROR(__xludf.DUMMYFUNCTION("""COMPUTED_VALUE"""),"03690")</f>
        <v>03690</v>
      </c>
      <c r="I177" s="30">
        <f>IFERROR(__xludf.DUMMYFUNCTION("""COMPUTED_VALUE"""),550.0)</f>
        <v>550</v>
      </c>
      <c r="J177" s="30"/>
      <c r="K177" s="30" t="str">
        <f>IFERROR(__xludf.DUMMYFUNCTION("""COMPUTED_VALUE"""),"QTY, Limit Price (if any) &amp; Password input correct")</f>
        <v>QTY, Limit Price (if any) &amp; Password input correct</v>
      </c>
      <c r="L177" s="30" t="str">
        <f>IFERROR(__xludf.DUMMYFUNCTION("""COMPUTED_VALUE"""),"Order rejected due to wrong ticker code. just need to type in  3690.HK")</f>
        <v>Order rejected due to wrong ticker code. just need to type in  3690.HK</v>
      </c>
    </row>
    <row r="178">
      <c r="A178" s="5"/>
      <c r="B178" s="118">
        <f>IFERROR(__xludf.DUMMYFUNCTION("""COMPUTED_VALUE"""),44613.662404097224)</f>
        <v>44613.6624</v>
      </c>
      <c r="C178" s="120">
        <f>IFERROR(__xludf.DUMMYFUNCTION("""COMPUTED_VALUE"""),44613.666666666664)</f>
        <v>44613.66667</v>
      </c>
      <c r="D178" s="5" t="str">
        <f>IFERROR(__xludf.DUMMYFUNCTION("""COMPUTED_VALUE"""),"89750")</f>
        <v>89750</v>
      </c>
      <c r="E178" s="5" t="str">
        <f>IFERROR(__xludf.DUMMYFUNCTION("""COMPUTED_VALUE"""),"Stock")</f>
        <v>Stock</v>
      </c>
      <c r="F178" s="5" t="str">
        <f>IFERROR(__xludf.DUMMYFUNCTION("""COMPUTED_VALUE"""),"HKD")</f>
        <v>HKD</v>
      </c>
      <c r="G178" s="30" t="str">
        <f>IFERROR(__xludf.DUMMYFUNCTION("""COMPUTED_VALUE"""),"Email Account/ TraderID Recognized")</f>
        <v>Email Account/ TraderID Recognized</v>
      </c>
      <c r="H178" s="121" t="str">
        <f>IFERROR(__xludf.DUMMYFUNCTION("""COMPUTED_VALUE"""),"9698.HK")</f>
        <v>9698.HK</v>
      </c>
      <c r="I178" s="30">
        <f>IFERROR(__xludf.DUMMYFUNCTION("""COMPUTED_VALUE"""),1500.0)</f>
        <v>1500</v>
      </c>
      <c r="J178" s="30"/>
      <c r="K178" s="30" t="str">
        <f>IFERROR(__xludf.DUMMYFUNCTION("""COMPUTED_VALUE"""),"QTY, Limit Price (if any) &amp; Password input correct")</f>
        <v>QTY, Limit Price (if any) &amp; Password input correct</v>
      </c>
      <c r="L178" s="30"/>
    </row>
    <row r="179">
      <c r="A179" s="5"/>
      <c r="B179" s="118">
        <f>IFERROR(__xludf.DUMMYFUNCTION("""COMPUTED_VALUE"""),44615.09212497685)</f>
        <v>44615.09212</v>
      </c>
      <c r="C179" s="120">
        <f>IFERROR(__xludf.DUMMYFUNCTION("""COMPUTED_VALUE"""),44614.666666666664)</f>
        <v>44614.66667</v>
      </c>
      <c r="D179" s="5" t="str">
        <f>IFERROR(__xludf.DUMMYFUNCTION("""COMPUTED_VALUE"""),"89750")</f>
        <v>89750</v>
      </c>
      <c r="E179" s="5" t="str">
        <f>IFERROR(__xludf.DUMMYFUNCTION("""COMPUTED_VALUE"""),"Stock")</f>
        <v>Stock</v>
      </c>
      <c r="F179" s="5" t="str">
        <f>IFERROR(__xludf.DUMMYFUNCTION("""COMPUTED_VALUE"""),"USD")</f>
        <v>USD</v>
      </c>
      <c r="G179" s="30" t="str">
        <f>IFERROR(__xludf.DUMMYFUNCTION("""COMPUTED_VALUE"""),"Email Account/ TraderID Recognized")</f>
        <v>Email Account/ TraderID Recognized</v>
      </c>
      <c r="H179" s="119" t="str">
        <f>IFERROR(__xludf.DUMMYFUNCTION("""COMPUTED_VALUE"""),"UVXY")</f>
        <v>UVXY</v>
      </c>
      <c r="I179" s="30">
        <f>IFERROR(__xludf.DUMMYFUNCTION("""COMPUTED_VALUE"""),50.0)</f>
        <v>50</v>
      </c>
      <c r="J179" s="30"/>
      <c r="K179" s="30" t="str">
        <f>IFERROR(__xludf.DUMMYFUNCTION("""COMPUTED_VALUE"""),"QTY, Limit Price (if any) &amp; Password input correct")</f>
        <v>QTY, Limit Price (if any) &amp; Password input correct</v>
      </c>
      <c r="L179" s="30"/>
    </row>
    <row r="180">
      <c r="A180" s="5"/>
      <c r="B180" s="118">
        <f>IFERROR(__xludf.DUMMYFUNCTION("""COMPUTED_VALUE"""),44615.10141017361)</f>
        <v>44615.10141</v>
      </c>
      <c r="C180" s="120">
        <f>IFERROR(__xludf.DUMMYFUNCTION("""COMPUTED_VALUE"""),44614.666666666664)</f>
        <v>44614.66667</v>
      </c>
      <c r="D180" s="5" t="str">
        <f>IFERROR(__xludf.DUMMYFUNCTION("""COMPUTED_VALUE"""),"89750")</f>
        <v>89750</v>
      </c>
      <c r="E180" s="5" t="str">
        <f>IFERROR(__xludf.DUMMYFUNCTION("""COMPUTED_VALUE"""),"Stock")</f>
        <v>Stock</v>
      </c>
      <c r="F180" s="5" t="str">
        <f>IFERROR(__xludf.DUMMYFUNCTION("""COMPUTED_VALUE"""),"USD")</f>
        <v>USD</v>
      </c>
      <c r="G180" s="30" t="str">
        <f>IFERROR(__xludf.DUMMYFUNCTION("""COMPUTED_VALUE"""),"Email Account/ TraderID Recognized")</f>
        <v>Email Account/ TraderID Recognized</v>
      </c>
      <c r="H180" s="119" t="str">
        <f>IFERROR(__xludf.DUMMYFUNCTION("""COMPUTED_VALUE"""),"SOFI")</f>
        <v>SOFI</v>
      </c>
      <c r="I180" s="30">
        <f>IFERROR(__xludf.DUMMYFUNCTION("""COMPUTED_VALUE"""),20.0)</f>
        <v>20</v>
      </c>
      <c r="J180" s="30"/>
      <c r="K180" s="30" t="str">
        <f>IFERROR(__xludf.DUMMYFUNCTION("""COMPUTED_VALUE"""),"QTY, Limit Price (if any) &amp; Password input correct")</f>
        <v>QTY, Limit Price (if any) &amp; Password input correct</v>
      </c>
      <c r="L180" s="30"/>
    </row>
    <row r="181">
      <c r="A181" s="5"/>
      <c r="B181" s="118">
        <f>IFERROR(__xludf.DUMMYFUNCTION("""COMPUTED_VALUE"""),44615.101830590276)</f>
        <v>44615.10183</v>
      </c>
      <c r="C181" s="120">
        <f>IFERROR(__xludf.DUMMYFUNCTION("""COMPUTED_VALUE"""),44614.666666666664)</f>
        <v>44614.66667</v>
      </c>
      <c r="D181" s="5" t="str">
        <f>IFERROR(__xludf.DUMMYFUNCTION("""COMPUTED_VALUE"""),"89750")</f>
        <v>89750</v>
      </c>
      <c r="E181" s="5" t="str">
        <f>IFERROR(__xludf.DUMMYFUNCTION("""COMPUTED_VALUE"""),"Stock")</f>
        <v>Stock</v>
      </c>
      <c r="F181" s="5" t="str">
        <f>IFERROR(__xludf.DUMMYFUNCTION("""COMPUTED_VALUE"""),"USD")</f>
        <v>USD</v>
      </c>
      <c r="G181" s="30" t="str">
        <f>IFERROR(__xludf.DUMMYFUNCTION("""COMPUTED_VALUE"""),"Email Account/ TraderID Recognized")</f>
        <v>Email Account/ TraderID Recognized</v>
      </c>
      <c r="H181" s="119" t="str">
        <f>IFERROR(__xludf.DUMMYFUNCTION("""COMPUTED_VALUE"""),"NU")</f>
        <v>NU</v>
      </c>
      <c r="I181" s="30">
        <f>IFERROR(__xludf.DUMMYFUNCTION("""COMPUTED_VALUE"""),20.0)</f>
        <v>20</v>
      </c>
      <c r="J181" s="30"/>
      <c r="K181" s="30" t="str">
        <f>IFERROR(__xludf.DUMMYFUNCTION("""COMPUTED_VALUE"""),"QTY, Limit Price (if any) &amp; Password input correct")</f>
        <v>QTY, Limit Price (if any) &amp; Password input correct</v>
      </c>
      <c r="L181" s="30"/>
    </row>
    <row r="182">
      <c r="A182" s="5"/>
      <c r="B182" s="118">
        <f>IFERROR(__xludf.DUMMYFUNCTION("""COMPUTED_VALUE"""),44615.10275430555)</f>
        <v>44615.10275</v>
      </c>
      <c r="C182" s="120">
        <f>IFERROR(__xludf.DUMMYFUNCTION("""COMPUTED_VALUE"""),44614.666666666664)</f>
        <v>44614.66667</v>
      </c>
      <c r="D182" s="5" t="str">
        <f>IFERROR(__xludf.DUMMYFUNCTION("""COMPUTED_VALUE"""),"89750")</f>
        <v>89750</v>
      </c>
      <c r="E182" s="5" t="str">
        <f>IFERROR(__xludf.DUMMYFUNCTION("""COMPUTED_VALUE"""),"Stock")</f>
        <v>Stock</v>
      </c>
      <c r="F182" s="5" t="str">
        <f>IFERROR(__xludf.DUMMYFUNCTION("""COMPUTED_VALUE"""),"USD")</f>
        <v>USD</v>
      </c>
      <c r="G182" s="30" t="str">
        <f>IFERROR(__xludf.DUMMYFUNCTION("""COMPUTED_VALUE"""),"Email Account/ TraderID Recognized")</f>
        <v>Email Account/ TraderID Recognized</v>
      </c>
      <c r="H182" s="119" t="str">
        <f>IFERROR(__xludf.DUMMYFUNCTION("""COMPUTED_VALUE"""),"YINN")</f>
        <v>YINN</v>
      </c>
      <c r="I182" s="30">
        <f>IFERROR(__xludf.DUMMYFUNCTION("""COMPUTED_VALUE"""),50.0)</f>
        <v>50</v>
      </c>
      <c r="J182" s="30"/>
      <c r="K182" s="30" t="str">
        <f>IFERROR(__xludf.DUMMYFUNCTION("""COMPUTED_VALUE"""),"QTY, Limit Price (if any) &amp; Password input correct")</f>
        <v>QTY, Limit Price (if any) &amp; Password input correct</v>
      </c>
      <c r="L182" s="30"/>
    </row>
    <row r="183">
      <c r="A183" s="5"/>
      <c r="B183" s="118">
        <f>IFERROR(__xludf.DUMMYFUNCTION("""COMPUTED_VALUE"""),44615.15142548611)</f>
        <v>44615.15143</v>
      </c>
      <c r="C183" s="120">
        <f>IFERROR(__xludf.DUMMYFUNCTION("""COMPUTED_VALUE"""),44614.666666666664)</f>
        <v>44614.66667</v>
      </c>
      <c r="D183" s="5" t="str">
        <f>IFERROR(__xludf.DUMMYFUNCTION("""COMPUTED_VALUE"""),"89750")</f>
        <v>89750</v>
      </c>
      <c r="E183" s="5" t="str">
        <f>IFERROR(__xludf.DUMMYFUNCTION("""COMPUTED_VALUE"""),"Option")</f>
        <v>Option</v>
      </c>
      <c r="F183" s="5" t="str">
        <f>IFERROR(__xludf.DUMMYFUNCTION("""COMPUTED_VALUE"""),"USD")</f>
        <v>USD</v>
      </c>
      <c r="G183" s="30" t="str">
        <f>IFERROR(__xludf.DUMMYFUNCTION("""COMPUTED_VALUE"""),"Email Account/ TraderID Recognized")</f>
        <v>Email Account/ TraderID Recognized</v>
      </c>
      <c r="H183" s="119" t="str">
        <f>IFERROR(__xludf.DUMMYFUNCTION("""COMPUTED_VALUE"""),"FUTU220225C00041500")</f>
        <v>FUTU220225C00041500</v>
      </c>
      <c r="I183" s="30">
        <f>IFERROR(__xludf.DUMMYFUNCTION("""COMPUTED_VALUE"""),100.0)</f>
        <v>100</v>
      </c>
      <c r="J183" s="30">
        <f>IFERROR(__xludf.DUMMYFUNCTION("""COMPUTED_VALUE"""),1.3)</f>
        <v>1.3</v>
      </c>
      <c r="K183" s="30" t="str">
        <f>IFERROR(__xludf.DUMMYFUNCTION("""COMPUTED_VALUE"""),"QTY, Limit Price (if any) &amp; Password input correct")</f>
        <v>QTY, Limit Price (if any) &amp; Password input correct</v>
      </c>
      <c r="L183" s="30"/>
    </row>
    <row r="184">
      <c r="A184" s="5"/>
      <c r="B184" s="118">
        <f>IFERROR(__xludf.DUMMYFUNCTION("""COMPUTED_VALUE"""),44615.154367905096)</f>
        <v>44615.15437</v>
      </c>
      <c r="C184" s="120">
        <f>IFERROR(__xludf.DUMMYFUNCTION("""COMPUTED_VALUE"""),44614.666666666664)</f>
        <v>44614.66667</v>
      </c>
      <c r="D184" s="5" t="str">
        <f>IFERROR(__xludf.DUMMYFUNCTION("""COMPUTED_VALUE"""),"89750")</f>
        <v>89750</v>
      </c>
      <c r="E184" s="5" t="str">
        <f>IFERROR(__xludf.DUMMYFUNCTION("""COMPUTED_VALUE"""),"Stock")</f>
        <v>Stock</v>
      </c>
      <c r="F184" s="5" t="str">
        <f>IFERROR(__xludf.DUMMYFUNCTION("""COMPUTED_VALUE"""),"USD")</f>
        <v>USD</v>
      </c>
      <c r="G184" s="30" t="str">
        <f>IFERROR(__xludf.DUMMYFUNCTION("""COMPUTED_VALUE"""),"Email Account/ TraderID Recognized")</f>
        <v>Email Account/ TraderID Recognized</v>
      </c>
      <c r="H184" s="119" t="str">
        <f>IFERROR(__xludf.DUMMYFUNCTION("""COMPUTED_VALUE"""),"TCEHY")</f>
        <v>TCEHY</v>
      </c>
      <c r="I184" s="30">
        <f>IFERROR(__xludf.DUMMYFUNCTION("""COMPUTED_VALUE"""),400.0)</f>
        <v>400</v>
      </c>
      <c r="J184" s="30"/>
      <c r="K184" s="30" t="str">
        <f>IFERROR(__xludf.DUMMYFUNCTION("""COMPUTED_VALUE"""),"QTY, Limit Price (if any) &amp; Password input correct")</f>
        <v>QTY, Limit Price (if any) &amp; Password input correct</v>
      </c>
      <c r="L184" s="30"/>
    </row>
    <row r="185">
      <c r="A185" s="5"/>
      <c r="B185" s="118">
        <f>IFERROR(__xludf.DUMMYFUNCTION("""COMPUTED_VALUE"""),44615.785360671296)</f>
        <v>44615.78536</v>
      </c>
      <c r="C185" s="120">
        <f>IFERROR(__xludf.DUMMYFUNCTION("""COMPUTED_VALUE"""),44615.666666666664)</f>
        <v>44615.66667</v>
      </c>
      <c r="D185" s="5" t="str">
        <f>IFERROR(__xludf.DUMMYFUNCTION("""COMPUTED_VALUE"""),"89750")</f>
        <v>89750</v>
      </c>
      <c r="E185" s="5" t="str">
        <f>IFERROR(__xludf.DUMMYFUNCTION("""COMPUTED_VALUE"""),"Option")</f>
        <v>Option</v>
      </c>
      <c r="F185" s="5" t="str">
        <f>IFERROR(__xludf.DUMMYFUNCTION("""COMPUTED_VALUE"""),"USD")</f>
        <v>USD</v>
      </c>
      <c r="G185" s="30" t="str">
        <f>IFERROR(__xludf.DUMMYFUNCTION("""COMPUTED_VALUE"""),"Email Account/ TraderID Recognized")</f>
        <v>Email Account/ TraderID Recognized</v>
      </c>
      <c r="H185" s="119" t="str">
        <f>IFERROR(__xludf.DUMMYFUNCTION("""COMPUTED_VALUE"""),"FUTU220225C00041500")</f>
        <v>FUTU220225C00041500</v>
      </c>
      <c r="I185" s="30">
        <f>IFERROR(__xludf.DUMMYFUNCTION("""COMPUTED_VALUE"""),100.0)</f>
        <v>100</v>
      </c>
      <c r="J185" s="30"/>
      <c r="K185" s="30" t="str">
        <f>IFERROR(__xludf.DUMMYFUNCTION("""COMPUTED_VALUE"""),"QTY, Limit Price (if any) &amp; Password input correct")</f>
        <v>QTY, Limit Price (if any) &amp; Password input correct</v>
      </c>
      <c r="L185" s="30"/>
    </row>
    <row r="186">
      <c r="A186" s="5"/>
      <c r="B186" s="118">
        <f>IFERROR(__xludf.DUMMYFUNCTION("""COMPUTED_VALUE"""),44615.93677115741)</f>
        <v>44615.93677</v>
      </c>
      <c r="C186" s="120">
        <f>IFERROR(__xludf.DUMMYFUNCTION("""COMPUTED_VALUE"""),44615.666666666664)</f>
        <v>44615.66667</v>
      </c>
      <c r="D186" s="5" t="str">
        <f>IFERROR(__xludf.DUMMYFUNCTION("""COMPUTED_VALUE"""),"46220")</f>
        <v>46220</v>
      </c>
      <c r="E186" s="5" t="str">
        <f>IFERROR(__xludf.DUMMYFUNCTION("""COMPUTED_VALUE"""),"Stock")</f>
        <v>Stock</v>
      </c>
      <c r="F186" s="5" t="str">
        <f>IFERROR(__xludf.DUMMYFUNCTION("""COMPUTED_VALUE"""),"USD")</f>
        <v>USD</v>
      </c>
      <c r="G186" s="30" t="str">
        <f>IFERROR(__xludf.DUMMYFUNCTION("""COMPUTED_VALUE"""),"Email Account/ TraderID Recognized")</f>
        <v>Email Account/ TraderID Recognized</v>
      </c>
      <c r="H186" s="119" t="str">
        <f>IFERROR(__xludf.DUMMYFUNCTION("""COMPUTED_VALUE"""),"TSLA")</f>
        <v>TSLA</v>
      </c>
      <c r="I186" s="30">
        <f>IFERROR(__xludf.DUMMYFUNCTION("""COMPUTED_VALUE"""),20.0)</f>
        <v>20</v>
      </c>
      <c r="J186" s="30"/>
      <c r="K186" s="30" t="str">
        <f>IFERROR(__xludf.DUMMYFUNCTION("""COMPUTED_VALUE"""),"QTY, Limit Price (if any) &amp; Password input correct")</f>
        <v>QTY, Limit Price (if any) &amp; Password input correct</v>
      </c>
      <c r="L186" s="30"/>
    </row>
    <row r="187">
      <c r="A187" s="5"/>
      <c r="B187" s="118">
        <f>IFERROR(__xludf.DUMMYFUNCTION("""COMPUTED_VALUE"""),44615.93902208333)</f>
        <v>44615.93902</v>
      </c>
      <c r="C187" s="120">
        <f>IFERROR(__xludf.DUMMYFUNCTION("""COMPUTED_VALUE"""),44615.666666666664)</f>
        <v>44615.66667</v>
      </c>
      <c r="D187" s="5" t="str">
        <f>IFERROR(__xludf.DUMMYFUNCTION("""COMPUTED_VALUE"""),"46220")</f>
        <v>46220</v>
      </c>
      <c r="E187" s="5" t="str">
        <f>IFERROR(__xludf.DUMMYFUNCTION("""COMPUTED_VALUE"""),"Stock")</f>
        <v>Stock</v>
      </c>
      <c r="F187" s="5" t="str">
        <f>IFERROR(__xludf.DUMMYFUNCTION("""COMPUTED_VALUE"""),"USD")</f>
        <v>USD</v>
      </c>
      <c r="G187" s="30" t="str">
        <f>IFERROR(__xludf.DUMMYFUNCTION("""COMPUTED_VALUE"""),"Email Account/ TraderID Recognized")</f>
        <v>Email Account/ TraderID Recognized</v>
      </c>
      <c r="H187" s="119" t="str">
        <f>IFERROR(__xludf.DUMMYFUNCTION("""COMPUTED_VALUE"""),"YINN")</f>
        <v>YINN</v>
      </c>
      <c r="I187" s="30">
        <f>IFERROR(__xludf.DUMMYFUNCTION("""COMPUTED_VALUE"""),50.0)</f>
        <v>50</v>
      </c>
      <c r="J187" s="30"/>
      <c r="K187" s="30" t="str">
        <f>IFERROR(__xludf.DUMMYFUNCTION("""COMPUTED_VALUE"""),"QTY, Limit Price (if any) &amp; Password input correct")</f>
        <v>QTY, Limit Price (if any) &amp; Password input correct</v>
      </c>
      <c r="L187" s="30"/>
    </row>
    <row r="188">
      <c r="A188" s="5"/>
      <c r="B188" s="118">
        <f>IFERROR(__xludf.DUMMYFUNCTION("""COMPUTED_VALUE"""),44616.00350050926)</f>
        <v>44616.0035</v>
      </c>
      <c r="C188" s="120" t="str">
        <f>IFERROR(__xludf.DUMMYFUNCTION("""COMPUTED_VALUE"""),"")</f>
        <v/>
      </c>
      <c r="D188" s="5" t="str">
        <f>IFERROR(__xludf.DUMMYFUNCTION("""COMPUTED_VALUE"""),"")</f>
        <v/>
      </c>
      <c r="E188" s="5" t="str">
        <f>IFERROR(__xludf.DUMMYFUNCTION("""COMPUTED_VALUE"""),"Stock")</f>
        <v>Stock</v>
      </c>
      <c r="F188" s="5" t="str">
        <f>IFERROR(__xludf.DUMMYFUNCTION("""COMPUTED_VALUE"""),"error")</f>
        <v>error</v>
      </c>
      <c r="G188" s="30" t="str">
        <f>IFERROR(__xludf.DUMMYFUNCTION("""COMPUTED_VALUE"""),"cookxxxxxx@nonHKMUemail")</f>
        <v>cookxxxxxx@nonHKMUemail</v>
      </c>
      <c r="H188" s="121" t="str">
        <f>IFERROR(__xludf.DUMMYFUNCTION("""COMPUTED_VALUE"""),"0941.HK")</f>
        <v>0941.HK</v>
      </c>
      <c r="I188" s="30">
        <f>IFERROR(__xludf.DUMMYFUNCTION("""COMPUTED_VALUE"""),5.0)</f>
        <v>5</v>
      </c>
      <c r="J188" s="30">
        <f>IFERROR(__xludf.DUMMYFUNCTION("""COMPUTED_VALUE"""),62.0)</f>
        <v>62</v>
      </c>
      <c r="K188" s="30" t="str">
        <f>IFERROR(__xludf.DUMMYFUNCTION("""COMPUTED_VALUE"""),"QTY, Limit Price (if any) &amp; Password input correct")</f>
        <v>QTY, Limit Price (if any) &amp; Password input correct</v>
      </c>
      <c r="L188" s="30" t="str">
        <f>IFERROR(__xludf.DUMMYFUNCTION("""COMPUTED_VALUE"""),"Order rejected due to wrong account name, code, and not school email")</f>
        <v>Order rejected due to wrong account name, code, and not school email</v>
      </c>
    </row>
    <row r="189">
      <c r="A189" s="5"/>
      <c r="B189" s="118">
        <f>IFERROR(__xludf.DUMMYFUNCTION("""COMPUTED_VALUE"""),44616.00534070602)</f>
        <v>44616.00534</v>
      </c>
      <c r="C189" s="120" t="str">
        <f>IFERROR(__xludf.DUMMYFUNCTION("""COMPUTED_VALUE"""),"")</f>
        <v/>
      </c>
      <c r="D189" s="5" t="str">
        <f>IFERROR(__xludf.DUMMYFUNCTION("""COMPUTED_VALUE"""),"")</f>
        <v/>
      </c>
      <c r="E189" s="5" t="str">
        <f>IFERROR(__xludf.DUMMYFUNCTION("""COMPUTED_VALUE"""),"Stock")</f>
        <v>Stock</v>
      </c>
      <c r="F189" s="5" t="str">
        <f>IFERROR(__xludf.DUMMYFUNCTION("""COMPUTED_VALUE"""),"error")</f>
        <v>error</v>
      </c>
      <c r="G189" s="30" t="str">
        <f>IFERROR(__xludf.DUMMYFUNCTION("""COMPUTED_VALUE"""),"cookxxxxxx@nonHKMUemail")</f>
        <v>cookxxxxxx@nonHKMUemail</v>
      </c>
      <c r="H189" s="119" t="str">
        <f>IFERROR(__xludf.DUMMYFUNCTION("""COMPUTED_VALUE"""),"9988.HKD")</f>
        <v>9988.HKD</v>
      </c>
      <c r="I189" s="30">
        <f>IFERROR(__xludf.DUMMYFUNCTION("""COMPUTED_VALUE"""),1.0)</f>
        <v>1</v>
      </c>
      <c r="J189" s="30">
        <f>IFERROR(__xludf.DUMMYFUNCTION("""COMPUTED_VALUE"""),200.0)</f>
        <v>200</v>
      </c>
      <c r="K189" s="30" t="str">
        <f>IFERROR(__xludf.DUMMYFUNCTION("""COMPUTED_VALUE"""),"QTY, Limit Price (if any) &amp; Password input correct")</f>
        <v>QTY, Limit Price (if any) &amp; Password input correct</v>
      </c>
      <c r="L189" s="30" t="str">
        <f>IFERROR(__xludf.DUMMYFUNCTION("""COMPUTED_VALUE"""),"Order rejected due to wrong account name, code, and not school email")</f>
        <v>Order rejected due to wrong account name, code, and not school email</v>
      </c>
    </row>
    <row r="190">
      <c r="A190" s="5"/>
      <c r="B190" s="118">
        <f>IFERROR(__xludf.DUMMYFUNCTION("""COMPUTED_VALUE"""),44616.00772329861)</f>
        <v>44616.00772</v>
      </c>
      <c r="C190" s="120" t="str">
        <f>IFERROR(__xludf.DUMMYFUNCTION("""COMPUTED_VALUE"""),"")</f>
        <v/>
      </c>
      <c r="D190" s="5" t="str">
        <f>IFERROR(__xludf.DUMMYFUNCTION("""COMPUTED_VALUE"""),"")</f>
        <v/>
      </c>
      <c r="E190" s="5" t="str">
        <f>IFERROR(__xludf.DUMMYFUNCTION("""COMPUTED_VALUE"""),"Stock")</f>
        <v>Stock</v>
      </c>
      <c r="F190" s="5" t="str">
        <f>IFERROR(__xludf.DUMMYFUNCTION("""COMPUTED_VALUE"""),"error")</f>
        <v>error</v>
      </c>
      <c r="G190" s="30" t="str">
        <f>IFERROR(__xludf.DUMMYFUNCTION("""COMPUTED_VALUE"""),"cookxxxxxx@nonHKMUemail")</f>
        <v>cookxxxxxx@nonHKMUemail</v>
      </c>
      <c r="H190" s="121" t="str">
        <f>IFERROR(__xludf.DUMMYFUNCTION("""COMPUTED_VALUE"""),"3047.HK")</f>
        <v>3047.HK</v>
      </c>
      <c r="I190" s="30">
        <f>IFERROR(__xludf.DUMMYFUNCTION("""COMPUTED_VALUE"""),5.0)</f>
        <v>5</v>
      </c>
      <c r="J190" s="30"/>
      <c r="K190" s="30" t="str">
        <f>IFERROR(__xludf.DUMMYFUNCTION("""COMPUTED_VALUE"""),"QTY, Limit Price (if any) &amp; Password input correct")</f>
        <v>QTY, Limit Price (if any) &amp; Password input correct</v>
      </c>
      <c r="L190" s="30" t="str">
        <f>IFERROR(__xludf.DUMMYFUNCTION("""COMPUTED_VALUE"""),"Order rejected due to wrong account name, code, and not school email")</f>
        <v>Order rejected due to wrong account name, code, and not school email</v>
      </c>
    </row>
    <row r="191">
      <c r="A191" s="5"/>
      <c r="B191" s="118">
        <f>IFERROR(__xludf.DUMMYFUNCTION("""COMPUTED_VALUE"""),44616.01393210648)</f>
        <v>44616.01393</v>
      </c>
      <c r="C191" s="120" t="str">
        <f>IFERROR(__xludf.DUMMYFUNCTION("""COMPUTED_VALUE"""),"")</f>
        <v/>
      </c>
      <c r="D191" s="5" t="str">
        <f>IFERROR(__xludf.DUMMYFUNCTION("""COMPUTED_VALUE"""),"")</f>
        <v/>
      </c>
      <c r="E191" s="5" t="str">
        <f>IFERROR(__xludf.DUMMYFUNCTION("""COMPUTED_VALUE"""),"Stock")</f>
        <v>Stock</v>
      </c>
      <c r="F191" s="5" t="str">
        <f>IFERROR(__xludf.DUMMYFUNCTION("""COMPUTED_VALUE"""),"error")</f>
        <v>error</v>
      </c>
      <c r="G191" s="30" t="str">
        <f>IFERROR(__xludf.DUMMYFUNCTION("""COMPUTED_VALUE"""),"cookxxxxxx@nonHKMUemail")</f>
        <v>cookxxxxxx@nonHKMUemail</v>
      </c>
      <c r="H191" s="121" t="str">
        <f>IFERROR(__xludf.DUMMYFUNCTION("""COMPUTED_VALUE"""),"9988.HK")</f>
        <v>9988.HK</v>
      </c>
      <c r="I191" s="30">
        <f>IFERROR(__xludf.DUMMYFUNCTION("""COMPUTED_VALUE"""),2.0)</f>
        <v>2</v>
      </c>
      <c r="J191" s="30"/>
      <c r="K191" s="30" t="str">
        <f>IFERROR(__xludf.DUMMYFUNCTION("""COMPUTED_VALUE"""),"QTY, Limit Price (if any) &amp; Password input correct")</f>
        <v>QTY, Limit Price (if any) &amp; Password input correct</v>
      </c>
      <c r="L191" s="30" t="str">
        <f>IFERROR(__xludf.DUMMYFUNCTION("""COMPUTED_VALUE"""),"Order rejected due to wrong account name, code, and not school email")</f>
        <v>Order rejected due to wrong account name, code, and not school email</v>
      </c>
    </row>
    <row r="192">
      <c r="A192" s="5"/>
      <c r="B192" s="118">
        <f>IFERROR(__xludf.DUMMYFUNCTION("""COMPUTED_VALUE"""),44616.02834984954)</f>
        <v>44616.02835</v>
      </c>
      <c r="C192" s="120" t="str">
        <f>IFERROR(__xludf.DUMMYFUNCTION("""COMPUTED_VALUE"""),"")</f>
        <v/>
      </c>
      <c r="D192" s="5" t="str">
        <f>IFERROR(__xludf.DUMMYFUNCTION("""COMPUTED_VALUE"""),"")</f>
        <v/>
      </c>
      <c r="E192" s="5" t="str">
        <f>IFERROR(__xludf.DUMMYFUNCTION("""COMPUTED_VALUE"""),"Stock")</f>
        <v>Stock</v>
      </c>
      <c r="F192" s="5" t="str">
        <f>IFERROR(__xludf.DUMMYFUNCTION("""COMPUTED_VALUE"""),"error")</f>
        <v>error</v>
      </c>
      <c r="G192" s="30" t="str">
        <f>IFERROR(__xludf.DUMMYFUNCTION("""COMPUTED_VALUE"""),"cookxxxxxx@nonHKMUemail")</f>
        <v>cookxxxxxx@nonHKMUemail</v>
      </c>
      <c r="H192" s="121" t="str">
        <f>IFERROR(__xludf.DUMMYFUNCTION("""COMPUTED_VALUE"""),"0941.HK")</f>
        <v>0941.HK</v>
      </c>
      <c r="I192" s="30">
        <f>IFERROR(__xludf.DUMMYFUNCTION("""COMPUTED_VALUE"""),5.0)</f>
        <v>5</v>
      </c>
      <c r="J192" s="30"/>
      <c r="K192" s="30" t="str">
        <f>IFERROR(__xludf.DUMMYFUNCTION("""COMPUTED_VALUE"""),"QTY, Limit Price (if any) &amp; Password input correct")</f>
        <v>QTY, Limit Price (if any) &amp; Password input correct</v>
      </c>
      <c r="L192" s="30" t="str">
        <f>IFERROR(__xludf.DUMMYFUNCTION("""COMPUTED_VALUE"""),"Order rejected due to wrong account name, code, and not school email")</f>
        <v>Order rejected due to wrong account name, code, and not school email</v>
      </c>
    </row>
    <row r="193">
      <c r="A193" s="5"/>
      <c r="B193" s="118">
        <f>IFERROR(__xludf.DUMMYFUNCTION("""COMPUTED_VALUE"""),44616.028828599534)</f>
        <v>44616.02883</v>
      </c>
      <c r="C193" s="120" t="str">
        <f>IFERROR(__xludf.DUMMYFUNCTION("""COMPUTED_VALUE"""),"")</f>
        <v/>
      </c>
      <c r="D193" s="5" t="str">
        <f>IFERROR(__xludf.DUMMYFUNCTION("""COMPUTED_VALUE"""),"")</f>
        <v/>
      </c>
      <c r="E193" s="5" t="str">
        <f>IFERROR(__xludf.DUMMYFUNCTION("""COMPUTED_VALUE"""),"Stock")</f>
        <v>Stock</v>
      </c>
      <c r="F193" s="5" t="str">
        <f>IFERROR(__xludf.DUMMYFUNCTION("""COMPUTED_VALUE"""),"error")</f>
        <v>error</v>
      </c>
      <c r="G193" s="30" t="str">
        <f>IFERROR(__xludf.DUMMYFUNCTION("""COMPUTED_VALUE"""),"cookxxxxxx@nonHKMUemail")</f>
        <v>cookxxxxxx@nonHKMUemail</v>
      </c>
      <c r="H193" s="121" t="str">
        <f>IFERROR(__xludf.DUMMYFUNCTION("""COMPUTED_VALUE"""),"3047.HK")</f>
        <v>3047.HK</v>
      </c>
      <c r="I193" s="30">
        <f>IFERROR(__xludf.DUMMYFUNCTION("""COMPUTED_VALUE"""),5.0)</f>
        <v>5</v>
      </c>
      <c r="J193" s="30"/>
      <c r="K193" s="30" t="str">
        <f>IFERROR(__xludf.DUMMYFUNCTION("""COMPUTED_VALUE"""),"QTY, Limit Price (if any) &amp; Password input correct")</f>
        <v>QTY, Limit Price (if any) &amp; Password input correct</v>
      </c>
      <c r="L193" s="30" t="str">
        <f>IFERROR(__xludf.DUMMYFUNCTION("""COMPUTED_VALUE"""),"Order rejected due to wrong account name, code, and not school email")</f>
        <v>Order rejected due to wrong account name, code, and not school email</v>
      </c>
    </row>
    <row r="194">
      <c r="A194" s="5"/>
      <c r="B194" s="118">
        <f>IFERROR(__xludf.DUMMYFUNCTION("""COMPUTED_VALUE"""),44616.04458508102)</f>
        <v>44616.04459</v>
      </c>
      <c r="C194" s="120" t="str">
        <f>IFERROR(__xludf.DUMMYFUNCTION("""COMPUTED_VALUE"""),"")</f>
        <v/>
      </c>
      <c r="D194" s="5" t="str">
        <f>IFERROR(__xludf.DUMMYFUNCTION("""COMPUTED_VALUE"""),"")</f>
        <v/>
      </c>
      <c r="E194" s="5" t="str">
        <f>IFERROR(__xludf.DUMMYFUNCTION("""COMPUTED_VALUE"""),"Stock")</f>
        <v>Stock</v>
      </c>
      <c r="F194" s="5" t="str">
        <f>IFERROR(__xludf.DUMMYFUNCTION("""COMPUTED_VALUE"""),"error")</f>
        <v>error</v>
      </c>
      <c r="G194" s="30" t="str">
        <f>IFERROR(__xludf.DUMMYFUNCTION("""COMPUTED_VALUE"""),"cookxxxxxx@nonHKMUemail")</f>
        <v>cookxxxxxx@nonHKMUemail</v>
      </c>
      <c r="H194" s="119" t="str">
        <f>IFERROR(__xludf.DUMMYFUNCTION("""COMPUTED_VALUE"""),"SOFI")</f>
        <v>SOFI</v>
      </c>
      <c r="I194" s="30">
        <f>IFERROR(__xludf.DUMMYFUNCTION("""COMPUTED_VALUE"""),10.0)</f>
        <v>10</v>
      </c>
      <c r="J194" s="30"/>
      <c r="K194" s="30" t="str">
        <f>IFERROR(__xludf.DUMMYFUNCTION("""COMPUTED_VALUE"""),"QTY, Limit Price (if any) &amp; Password input correct")</f>
        <v>QTY, Limit Price (if any) &amp; Password input correct</v>
      </c>
      <c r="L194" s="30" t="str">
        <f>IFERROR(__xludf.DUMMYFUNCTION("""COMPUTED_VALUE"""),"Order rejected due to wrong account name, code, and not school email")</f>
        <v>Order rejected due to wrong account name, code, and not school email</v>
      </c>
    </row>
    <row r="195">
      <c r="A195" s="5"/>
      <c r="B195" s="118">
        <f>IFERROR(__xludf.DUMMYFUNCTION("""COMPUTED_VALUE"""),44616.155501875)</f>
        <v>44616.1555</v>
      </c>
      <c r="C195" s="120">
        <f>IFERROR(__xludf.DUMMYFUNCTION("""COMPUTED_VALUE"""),44615.666666666664)</f>
        <v>44615.66667</v>
      </c>
      <c r="D195" s="5" t="str">
        <f>IFERROR(__xludf.DUMMYFUNCTION("""COMPUTED_VALUE"""),"39857")</f>
        <v>39857</v>
      </c>
      <c r="E195" s="5" t="str">
        <f>IFERROR(__xludf.DUMMYFUNCTION("""COMPUTED_VALUE"""),"Stock")</f>
        <v>Stock</v>
      </c>
      <c r="F195" s="5" t="str">
        <f>IFERROR(__xludf.DUMMYFUNCTION("""COMPUTED_VALUE"""),"USD")</f>
        <v>USD</v>
      </c>
      <c r="G195" s="30" t="str">
        <f>IFERROR(__xludf.DUMMYFUNCTION("""COMPUTED_VALUE"""),"Email Account/ TraderID Recognized")</f>
        <v>Email Account/ TraderID Recognized</v>
      </c>
      <c r="H195" s="119" t="str">
        <f>IFERROR(__xludf.DUMMYFUNCTION("""COMPUTED_VALUE"""),"TSLA")</f>
        <v>TSLA</v>
      </c>
      <c r="I195" s="30">
        <f>IFERROR(__xludf.DUMMYFUNCTION("""COMPUTED_VALUE"""),50.0)</f>
        <v>50</v>
      </c>
      <c r="J195" s="30"/>
      <c r="K195" s="30" t="str">
        <f>IFERROR(__xludf.DUMMYFUNCTION("""COMPUTED_VALUE"""),"QTY, Limit Price (if any) &amp; Password input correct")</f>
        <v>QTY, Limit Price (if any) &amp; Password input correct</v>
      </c>
      <c r="L195" s="30"/>
    </row>
    <row r="196">
      <c r="A196" s="5"/>
      <c r="B196" s="118">
        <f>IFERROR(__xludf.DUMMYFUNCTION("""COMPUTED_VALUE"""),44616.437607581014)</f>
        <v>44616.43761</v>
      </c>
      <c r="C196" s="120">
        <f>IFERROR(__xludf.DUMMYFUNCTION("""COMPUTED_VALUE"""),44616.666666666664)</f>
        <v>44616.66667</v>
      </c>
      <c r="D196" s="5" t="str">
        <f>IFERROR(__xludf.DUMMYFUNCTION("""COMPUTED_VALUE"""),"46322")</f>
        <v>46322</v>
      </c>
      <c r="E196" s="5" t="str">
        <f>IFERROR(__xludf.DUMMYFUNCTION("""COMPUTED_VALUE"""),"Stock")</f>
        <v>Stock</v>
      </c>
      <c r="F196" s="5" t="str">
        <f>IFERROR(__xludf.DUMMYFUNCTION("""COMPUTED_VALUE"""),"HKD")</f>
        <v>HKD</v>
      </c>
      <c r="G196" s="30" t="str">
        <f>IFERROR(__xludf.DUMMYFUNCTION("""COMPUTED_VALUE"""),"Email Account/ TraderID Recognized")</f>
        <v>Email Account/ TraderID Recognized</v>
      </c>
      <c r="H196" s="121" t="str">
        <f>IFERROR(__xludf.DUMMYFUNCTION("""COMPUTED_VALUE"""),"3047.HK")</f>
        <v>3047.HK</v>
      </c>
      <c r="I196" s="30">
        <f>IFERROR(__xludf.DUMMYFUNCTION("""COMPUTED_VALUE"""),5.0)</f>
        <v>5</v>
      </c>
      <c r="J196" s="30"/>
      <c r="K196" s="30" t="str">
        <f>IFERROR(__xludf.DUMMYFUNCTION("""COMPUTED_VALUE"""),"QTY, Limit Price (if any) &amp; Password input correct")</f>
        <v>QTY, Limit Price (if any) &amp; Password input correct</v>
      </c>
      <c r="L196" s="30"/>
    </row>
    <row r="197">
      <c r="A197" s="5"/>
      <c r="B197" s="118">
        <f>IFERROR(__xludf.DUMMYFUNCTION("""COMPUTED_VALUE"""),44616.438452476854)</f>
        <v>44616.43845</v>
      </c>
      <c r="C197" s="120">
        <f>IFERROR(__xludf.DUMMYFUNCTION("""COMPUTED_VALUE"""),44616.666666666664)</f>
        <v>44616.66667</v>
      </c>
      <c r="D197" s="5" t="str">
        <f>IFERROR(__xludf.DUMMYFUNCTION("""COMPUTED_VALUE"""),"46322")</f>
        <v>46322</v>
      </c>
      <c r="E197" s="5" t="str">
        <f>IFERROR(__xludf.DUMMYFUNCTION("""COMPUTED_VALUE"""),"Stock")</f>
        <v>Stock</v>
      </c>
      <c r="F197" s="5" t="str">
        <f>IFERROR(__xludf.DUMMYFUNCTION("""COMPUTED_VALUE"""),"HKD")</f>
        <v>HKD</v>
      </c>
      <c r="G197" s="30" t="str">
        <f>IFERROR(__xludf.DUMMYFUNCTION("""COMPUTED_VALUE"""),"Email Account/ TraderID Recognized")</f>
        <v>Email Account/ TraderID Recognized</v>
      </c>
      <c r="H197" s="121" t="str">
        <f>IFERROR(__xludf.DUMMYFUNCTION("""COMPUTED_VALUE"""),"9988.HK")</f>
        <v>9988.HK</v>
      </c>
      <c r="I197" s="30">
        <f>IFERROR(__xludf.DUMMYFUNCTION("""COMPUTED_VALUE"""),2.0)</f>
        <v>2</v>
      </c>
      <c r="J197" s="30"/>
      <c r="K197" s="30" t="str">
        <f>IFERROR(__xludf.DUMMYFUNCTION("""COMPUTED_VALUE"""),"QTY, Limit Price (if any) &amp; Password input correct")</f>
        <v>QTY, Limit Price (if any) &amp; Password input correct</v>
      </c>
      <c r="L197" s="30"/>
    </row>
    <row r="198">
      <c r="A198" s="5"/>
      <c r="B198" s="118">
        <f>IFERROR(__xludf.DUMMYFUNCTION("""COMPUTED_VALUE"""),44616.44046347222)</f>
        <v>44616.44046</v>
      </c>
      <c r="C198" s="120">
        <f>IFERROR(__xludf.DUMMYFUNCTION("""COMPUTED_VALUE"""),44616.666666666664)</f>
        <v>44616.66667</v>
      </c>
      <c r="D198" s="5" t="str">
        <f>IFERROR(__xludf.DUMMYFUNCTION("""COMPUTED_VALUE"""),"46322")</f>
        <v>46322</v>
      </c>
      <c r="E198" s="5" t="str">
        <f>IFERROR(__xludf.DUMMYFUNCTION("""COMPUTED_VALUE"""),"Stock")</f>
        <v>Stock</v>
      </c>
      <c r="F198" s="5" t="str">
        <f>IFERROR(__xludf.DUMMYFUNCTION("""COMPUTED_VALUE"""),"HKD")</f>
        <v>HKD</v>
      </c>
      <c r="G198" s="30" t="str">
        <f>IFERROR(__xludf.DUMMYFUNCTION("""COMPUTED_VALUE"""),"Email Account/ TraderID Recognized")</f>
        <v>Email Account/ TraderID Recognized</v>
      </c>
      <c r="H198" s="121" t="str">
        <f>IFERROR(__xludf.DUMMYFUNCTION("""COMPUTED_VALUE"""),"0941.HK")</f>
        <v>0941.HK</v>
      </c>
      <c r="I198" s="30">
        <f>IFERROR(__xludf.DUMMYFUNCTION("""COMPUTED_VALUE"""),2.0)</f>
        <v>2</v>
      </c>
      <c r="J198" s="30"/>
      <c r="K198" s="30" t="str">
        <f>IFERROR(__xludf.DUMMYFUNCTION("""COMPUTED_VALUE"""),"QTY, Limit Price (if any) &amp; Password input correct")</f>
        <v>QTY, Limit Price (if any) &amp; Password input correct</v>
      </c>
      <c r="L198" s="30"/>
    </row>
    <row r="199">
      <c r="A199" s="5"/>
      <c r="B199" s="118">
        <f>IFERROR(__xludf.DUMMYFUNCTION("""COMPUTED_VALUE"""),44616.45955804398)</f>
        <v>44616.45956</v>
      </c>
      <c r="C199" s="120">
        <f>IFERROR(__xludf.DUMMYFUNCTION("""COMPUTED_VALUE"""),44616.666666666664)</f>
        <v>44616.66667</v>
      </c>
      <c r="D199" s="5" t="str">
        <f>IFERROR(__xludf.DUMMYFUNCTION("""COMPUTED_VALUE"""),"36460")</f>
        <v>36460</v>
      </c>
      <c r="E199" s="5" t="str">
        <f>IFERROR(__xludf.DUMMYFUNCTION("""COMPUTED_VALUE"""),"Stock")</f>
        <v>Stock</v>
      </c>
      <c r="F199" s="5" t="str">
        <f>IFERROR(__xludf.DUMMYFUNCTION("""COMPUTED_VALUE"""),"USD")</f>
        <v>USD</v>
      </c>
      <c r="G199" s="30" t="str">
        <f>IFERROR(__xludf.DUMMYFUNCTION("""COMPUTED_VALUE"""),"Email Account/ TraderID Recognized")</f>
        <v>Email Account/ TraderID Recognized</v>
      </c>
      <c r="H199" s="119" t="str">
        <f>IFERROR(__xludf.DUMMYFUNCTION("""COMPUTED_VALUE"""),"TSLA")</f>
        <v>TSLA</v>
      </c>
      <c r="I199" s="30">
        <f>IFERROR(__xludf.DUMMYFUNCTION("""COMPUTED_VALUE"""),100.0)</f>
        <v>100</v>
      </c>
      <c r="J199" s="30">
        <f>IFERROR(__xludf.DUMMYFUNCTION("""COMPUTED_VALUE"""),900.0)</f>
        <v>900</v>
      </c>
      <c r="K199" s="30" t="str">
        <f>IFERROR(__xludf.DUMMYFUNCTION("""COMPUTED_VALUE"""),"QTY, Limit Price (if any) &amp; Password input correct")</f>
        <v>QTY, Limit Price (if any) &amp; Password input correct</v>
      </c>
      <c r="L199" s="30" t="str">
        <f>IFERROR(__xludf.DUMMYFUNCTION("""COMPUTED_VALUE"""),"Trader input as ""Limit Sell @ 900"" contradicting trade. System correct to 900")</f>
        <v>Trader input as "Limit Sell @ 900" contradicting trade. System correct to 900</v>
      </c>
    </row>
    <row r="200">
      <c r="A200" s="5"/>
      <c r="B200" s="118">
        <f>IFERROR(__xludf.DUMMYFUNCTION("""COMPUTED_VALUE"""),44616.53772947917)</f>
        <v>44616.53773</v>
      </c>
      <c r="C200" s="120">
        <f>IFERROR(__xludf.DUMMYFUNCTION("""COMPUTED_VALUE"""),44616.625)</f>
        <v>44616.625</v>
      </c>
      <c r="D200" s="5" t="str">
        <f>IFERROR(__xludf.DUMMYFUNCTION("""COMPUTED_VALUE"""),"76369")</f>
        <v>76369</v>
      </c>
      <c r="E200" s="5" t="str">
        <f>IFERROR(__xludf.DUMMYFUNCTION("""COMPUTED_VALUE"""),"Stock")</f>
        <v>Stock</v>
      </c>
      <c r="F200" s="5" t="str">
        <f>IFERROR(__xludf.DUMMYFUNCTION("""COMPUTED_VALUE"""),"CNY")</f>
        <v>CNY</v>
      </c>
      <c r="G200" s="30" t="str">
        <f>IFERROR(__xludf.DUMMYFUNCTION("""COMPUTED_VALUE"""),"Email Account/ TraderID Recognized")</f>
        <v>Email Account/ TraderID Recognized</v>
      </c>
      <c r="H200" s="121" t="str">
        <f>IFERROR(__xludf.DUMMYFUNCTION("""COMPUTED_VALUE"""),"002665.SZ")</f>
        <v>002665.SZ</v>
      </c>
      <c r="I200" s="30">
        <f>IFERROR(__xludf.DUMMYFUNCTION("""COMPUTED_VALUE"""),1000.0)</f>
        <v>1000</v>
      </c>
      <c r="J200" s="30"/>
      <c r="K200" s="30" t="str">
        <f>IFERROR(__xludf.DUMMYFUNCTION("""COMPUTED_VALUE"""),"QTY, Limit Price (if any) &amp; Password input correct")</f>
        <v>QTY, Limit Price (if any) &amp; Password input correct</v>
      </c>
      <c r="L200" s="30"/>
    </row>
    <row r="201">
      <c r="A201" s="5"/>
      <c r="B201" s="118">
        <f>IFERROR(__xludf.DUMMYFUNCTION("""COMPUTED_VALUE"""),44616.54149322917)</f>
        <v>44616.54149</v>
      </c>
      <c r="C201" s="120">
        <f>IFERROR(__xludf.DUMMYFUNCTION("""COMPUTED_VALUE"""),44616.625)</f>
        <v>44616.625</v>
      </c>
      <c r="D201" s="5" t="str">
        <f>IFERROR(__xludf.DUMMYFUNCTION("""COMPUTED_VALUE"""),"76369")</f>
        <v>76369</v>
      </c>
      <c r="E201" s="5" t="str">
        <f>IFERROR(__xludf.DUMMYFUNCTION("""COMPUTED_VALUE"""),"Stock")</f>
        <v>Stock</v>
      </c>
      <c r="F201" s="5" t="str">
        <f>IFERROR(__xludf.DUMMYFUNCTION("""COMPUTED_VALUE"""),"CNY")</f>
        <v>CNY</v>
      </c>
      <c r="G201" s="30" t="str">
        <f>IFERROR(__xludf.DUMMYFUNCTION("""COMPUTED_VALUE"""),"Email Account/ TraderID Recognized")</f>
        <v>Email Account/ TraderID Recognized</v>
      </c>
      <c r="H201" s="121" t="str">
        <f>IFERROR(__xludf.DUMMYFUNCTION("""COMPUTED_VALUE"""),"000554.SZ")</f>
        <v>000554.SZ</v>
      </c>
      <c r="I201" s="30">
        <f>IFERROR(__xludf.DUMMYFUNCTION("""COMPUTED_VALUE"""),1000.0)</f>
        <v>1000</v>
      </c>
      <c r="J201" s="30"/>
      <c r="K201" s="30" t="str">
        <f>IFERROR(__xludf.DUMMYFUNCTION("""COMPUTED_VALUE"""),"QTY, Limit Price (if any) &amp; Password input correct")</f>
        <v>QTY, Limit Price (if any) &amp; Password input correct</v>
      </c>
      <c r="L201" s="30"/>
    </row>
    <row r="202">
      <c r="A202" s="5"/>
      <c r="B202" s="118">
        <f>IFERROR(__xludf.DUMMYFUNCTION("""COMPUTED_VALUE"""),44616.54286893518)</f>
        <v>44616.54287</v>
      </c>
      <c r="C202" s="120">
        <f>IFERROR(__xludf.DUMMYFUNCTION("""COMPUTED_VALUE"""),44616.625)</f>
        <v>44616.625</v>
      </c>
      <c r="D202" s="5" t="str">
        <f>IFERROR(__xludf.DUMMYFUNCTION("""COMPUTED_VALUE"""),"76369")</f>
        <v>76369</v>
      </c>
      <c r="E202" s="5" t="str">
        <f>IFERROR(__xludf.DUMMYFUNCTION("""COMPUTED_VALUE"""),"Stock")</f>
        <v>Stock</v>
      </c>
      <c r="F202" s="5" t="str">
        <f>IFERROR(__xludf.DUMMYFUNCTION("""COMPUTED_VALUE"""),"CNY")</f>
        <v>CNY</v>
      </c>
      <c r="G202" s="30" t="str">
        <f>IFERROR(__xludf.DUMMYFUNCTION("""COMPUTED_VALUE"""),"Email Account/ TraderID Recognized")</f>
        <v>Email Account/ TraderID Recognized</v>
      </c>
      <c r="H202" s="121" t="str">
        <f>IFERROR(__xludf.DUMMYFUNCTION("""COMPUTED_VALUE"""),"300945.SZ")</f>
        <v>300945.SZ</v>
      </c>
      <c r="I202" s="30">
        <f>IFERROR(__xludf.DUMMYFUNCTION("""COMPUTED_VALUE"""),1000.0)</f>
        <v>1000</v>
      </c>
      <c r="J202" s="30"/>
      <c r="K202" s="30" t="str">
        <f>IFERROR(__xludf.DUMMYFUNCTION("""COMPUTED_VALUE"""),"QTY, Limit Price (if any) &amp; Password input correct")</f>
        <v>QTY, Limit Price (if any) &amp; Password input correct</v>
      </c>
      <c r="L202" s="30"/>
    </row>
    <row r="203">
      <c r="A203" s="5"/>
      <c r="B203" s="118">
        <f>IFERROR(__xludf.DUMMYFUNCTION("""COMPUTED_VALUE"""),44616.552405752314)</f>
        <v>44616.55241</v>
      </c>
      <c r="C203" s="120">
        <f>IFERROR(__xludf.DUMMYFUNCTION("""COMPUTED_VALUE"""),44616.625)</f>
        <v>44616.625</v>
      </c>
      <c r="D203" s="5" t="str">
        <f>IFERROR(__xludf.DUMMYFUNCTION("""COMPUTED_VALUE"""),"76369")</f>
        <v>76369</v>
      </c>
      <c r="E203" s="5" t="str">
        <f>IFERROR(__xludf.DUMMYFUNCTION("""COMPUTED_VALUE"""),"Stock")</f>
        <v>Stock</v>
      </c>
      <c r="F203" s="5" t="str">
        <f>IFERROR(__xludf.DUMMYFUNCTION("""COMPUTED_VALUE"""),"CNY")</f>
        <v>CNY</v>
      </c>
      <c r="G203" s="30" t="str">
        <f>IFERROR(__xludf.DUMMYFUNCTION("""COMPUTED_VALUE"""),"Email Account/ TraderID Recognized")</f>
        <v>Email Account/ TraderID Recognized</v>
      </c>
      <c r="H203" s="121" t="str">
        <f>IFERROR(__xludf.DUMMYFUNCTION("""COMPUTED_VALUE"""),"601808.SS")</f>
        <v>601808.SS</v>
      </c>
      <c r="I203" s="30">
        <f>IFERROR(__xludf.DUMMYFUNCTION("""COMPUTED_VALUE"""),1000.0)</f>
        <v>1000</v>
      </c>
      <c r="J203" s="30"/>
      <c r="K203" s="30" t="str">
        <f>IFERROR(__xludf.DUMMYFUNCTION("""COMPUTED_VALUE"""),"QTY, Limit Price (if any) &amp; Password input correct")</f>
        <v>QTY, Limit Price (if any) &amp; Password input correct</v>
      </c>
      <c r="L203" s="30"/>
    </row>
    <row r="204">
      <c r="A204" s="5"/>
      <c r="B204" s="118">
        <f>IFERROR(__xludf.DUMMYFUNCTION("""COMPUTED_VALUE"""),44616.56227238426)</f>
        <v>44616.56227</v>
      </c>
      <c r="C204" s="120">
        <f>IFERROR(__xludf.DUMMYFUNCTION("""COMPUTED_VALUE"""),44616.625)</f>
        <v>44616.625</v>
      </c>
      <c r="D204" s="5" t="str">
        <f>IFERROR(__xludf.DUMMYFUNCTION("""COMPUTED_VALUE"""),"76369")</f>
        <v>76369</v>
      </c>
      <c r="E204" s="5" t="str">
        <f>IFERROR(__xludf.DUMMYFUNCTION("""COMPUTED_VALUE"""),"Stock")</f>
        <v>Stock</v>
      </c>
      <c r="F204" s="5" t="str">
        <f>IFERROR(__xludf.DUMMYFUNCTION("""COMPUTED_VALUE"""),"CNY")</f>
        <v>CNY</v>
      </c>
      <c r="G204" s="30" t="str">
        <f>IFERROR(__xludf.DUMMYFUNCTION("""COMPUTED_VALUE"""),"Email Account/ TraderID Recognized")</f>
        <v>Email Account/ TraderID Recognized</v>
      </c>
      <c r="H204" s="121" t="str">
        <f>IFERROR(__xludf.DUMMYFUNCTION("""COMPUTED_VALUE"""),"601808.SS")</f>
        <v>601808.SS</v>
      </c>
      <c r="I204" s="30">
        <f>IFERROR(__xludf.DUMMYFUNCTION("""COMPUTED_VALUE"""),1000.0)</f>
        <v>1000</v>
      </c>
      <c r="J204" s="30"/>
      <c r="K204" s="30" t="str">
        <f>IFERROR(__xludf.DUMMYFUNCTION("""COMPUTED_VALUE"""),"QTY, Limit Price (if any) &amp; Password input correct")</f>
        <v>QTY, Limit Price (if any) &amp; Password input correct</v>
      </c>
      <c r="L204" s="30"/>
    </row>
    <row r="205">
      <c r="A205" s="5"/>
      <c r="B205" s="118">
        <f>IFERROR(__xludf.DUMMYFUNCTION("""COMPUTED_VALUE"""),44616.58210971065)</f>
        <v>44616.58211</v>
      </c>
      <c r="C205" s="120">
        <f>IFERROR(__xludf.DUMMYFUNCTION("""COMPUTED_VALUE"""),44616.625)</f>
        <v>44616.625</v>
      </c>
      <c r="D205" s="5" t="str">
        <f>IFERROR(__xludf.DUMMYFUNCTION("""COMPUTED_VALUE"""),"76369")</f>
        <v>76369</v>
      </c>
      <c r="E205" s="5" t="str">
        <f>IFERROR(__xludf.DUMMYFUNCTION("""COMPUTED_VALUE"""),"Stock")</f>
        <v>Stock</v>
      </c>
      <c r="F205" s="5" t="str">
        <f>IFERROR(__xludf.DUMMYFUNCTION("""COMPUTED_VALUE"""),"CNY")</f>
        <v>CNY</v>
      </c>
      <c r="G205" s="30" t="str">
        <f>IFERROR(__xludf.DUMMYFUNCTION("""COMPUTED_VALUE"""),"Email Account/ TraderID Recognized")</f>
        <v>Email Account/ TraderID Recognized</v>
      </c>
      <c r="H205" s="121" t="str">
        <f>IFERROR(__xludf.DUMMYFUNCTION("""COMPUTED_VALUE"""),"300922.SZ")</f>
        <v>300922.SZ</v>
      </c>
      <c r="I205" s="30">
        <f>IFERROR(__xludf.DUMMYFUNCTION("""COMPUTED_VALUE"""),1000.0)</f>
        <v>1000</v>
      </c>
      <c r="J205" s="30"/>
      <c r="K205" s="30" t="str">
        <f>IFERROR(__xludf.DUMMYFUNCTION("""COMPUTED_VALUE"""),"QTY, Limit Price (if any) &amp; Password input correct")</f>
        <v>QTY, Limit Price (if any) &amp; Password input correct</v>
      </c>
      <c r="L205" s="30"/>
    </row>
    <row r="206">
      <c r="A206" s="5"/>
      <c r="B206" s="118">
        <f>IFERROR(__xludf.DUMMYFUNCTION("""COMPUTED_VALUE"""),44616.58763412037)</f>
        <v>44616.58763</v>
      </c>
      <c r="C206" s="120">
        <f>IFERROR(__xludf.DUMMYFUNCTION("""COMPUTED_VALUE"""),44616.625)</f>
        <v>44616.625</v>
      </c>
      <c r="D206" s="5" t="str">
        <f>IFERROR(__xludf.DUMMYFUNCTION("""COMPUTED_VALUE"""),"76369")</f>
        <v>76369</v>
      </c>
      <c r="E206" s="5" t="str">
        <f>IFERROR(__xludf.DUMMYFUNCTION("""COMPUTED_VALUE"""),"Stock")</f>
        <v>Stock</v>
      </c>
      <c r="F206" s="5" t="str">
        <f>IFERROR(__xludf.DUMMYFUNCTION("""COMPUTED_VALUE"""),"CNY")</f>
        <v>CNY</v>
      </c>
      <c r="G206" s="30" t="str">
        <f>IFERROR(__xludf.DUMMYFUNCTION("""COMPUTED_VALUE"""),"Email Account/ TraderID Recognized")</f>
        <v>Email Account/ TraderID Recognized</v>
      </c>
      <c r="H206" s="121" t="str">
        <f>IFERROR(__xludf.DUMMYFUNCTION("""COMPUTED_VALUE"""),"300922.SZ")</f>
        <v>300922.SZ</v>
      </c>
      <c r="I206" s="30">
        <f>IFERROR(__xludf.DUMMYFUNCTION("""COMPUTED_VALUE"""),500.0)</f>
        <v>500</v>
      </c>
      <c r="J206" s="30"/>
      <c r="K206" s="30" t="str">
        <f>IFERROR(__xludf.DUMMYFUNCTION("""COMPUTED_VALUE"""),"QTY, Limit Price (if any) &amp; Password input correct")</f>
        <v>QTY, Limit Price (if any) &amp; Password input correct</v>
      </c>
      <c r="L206" s="30"/>
    </row>
    <row r="207">
      <c r="A207" s="5"/>
      <c r="B207" s="118">
        <f>IFERROR(__xludf.DUMMYFUNCTION("""COMPUTED_VALUE"""),44616.590545706014)</f>
        <v>44616.59055</v>
      </c>
      <c r="C207" s="120" t="str">
        <f>IFERROR(__xludf.DUMMYFUNCTION("""COMPUTED_VALUE"""),"")</f>
        <v/>
      </c>
      <c r="D207" s="5" t="str">
        <f>IFERROR(__xludf.DUMMYFUNCTION("""COMPUTED_VALUE"""),"39857")</f>
        <v>39857</v>
      </c>
      <c r="E207" s="5" t="str">
        <f>IFERROR(__xludf.DUMMYFUNCTION("""COMPUTED_VALUE"""),"Stock")</f>
        <v>Stock</v>
      </c>
      <c r="F207" s="5" t="str">
        <f>IFERROR(__xludf.DUMMYFUNCTION("""COMPUTED_VALUE"""),"error")</f>
        <v>error</v>
      </c>
      <c r="G207" s="30" t="str">
        <f>IFERROR(__xludf.DUMMYFUNCTION("""COMPUTED_VALUE"""),"Email Account/ TraderID Recognized")</f>
        <v>Email Account/ TraderID Recognized</v>
      </c>
      <c r="H207" s="119" t="str">
        <f>IFERROR(__xludf.DUMMYFUNCTION("""COMPUTED_VALUE"""),"00388")</f>
        <v>00388</v>
      </c>
      <c r="I207" s="30">
        <f>IFERROR(__xludf.DUMMYFUNCTION("""COMPUTED_VALUE"""),700.0)</f>
        <v>700</v>
      </c>
      <c r="J207" s="30"/>
      <c r="K207" s="30" t="str">
        <f>IFERROR(__xludf.DUMMYFUNCTION("""COMPUTED_VALUE"""),"QTY, Limit Price (if any) &amp; Password input correct")</f>
        <v>QTY, Limit Price (if any) &amp; Password input correct</v>
      </c>
      <c r="L207" s="30" t="str">
        <f>IFERROR(__xludf.DUMMYFUNCTION("""COMPUTED_VALUE"""),"Order rejected due to wrong ticker code. just need to type in  0388.HK")</f>
        <v>Order rejected due to wrong ticker code. just need to type in  0388.HK</v>
      </c>
    </row>
    <row r="208">
      <c r="A208" s="5"/>
      <c r="B208" s="118">
        <f>IFERROR(__xludf.DUMMYFUNCTION("""COMPUTED_VALUE"""),44616.68357695602)</f>
        <v>44616.68358</v>
      </c>
      <c r="C208" s="120">
        <f>IFERROR(__xludf.DUMMYFUNCTION("""COMPUTED_VALUE"""),44616.666666666664)</f>
        <v>44616.66667</v>
      </c>
      <c r="D208" s="5" t="str">
        <f>IFERROR(__xludf.DUMMYFUNCTION("""COMPUTED_VALUE"""),"36460")</f>
        <v>36460</v>
      </c>
      <c r="E208" s="5" t="str">
        <f>IFERROR(__xludf.DUMMYFUNCTION("""COMPUTED_VALUE"""),"Stock")</f>
        <v>Stock</v>
      </c>
      <c r="F208" s="5" t="str">
        <f>IFERROR(__xludf.DUMMYFUNCTION("""COMPUTED_VALUE"""),"USD")</f>
        <v>USD</v>
      </c>
      <c r="G208" s="30" t="str">
        <f>IFERROR(__xludf.DUMMYFUNCTION("""COMPUTED_VALUE"""),"Email Account/ TraderID Recognized")</f>
        <v>Email Account/ TraderID Recognized</v>
      </c>
      <c r="H208" s="119" t="str">
        <f>IFERROR(__xludf.DUMMYFUNCTION("""COMPUTED_VALUE"""),"CL=F")</f>
        <v>CL=F</v>
      </c>
      <c r="I208" s="30">
        <f>IFERROR(__xludf.DUMMYFUNCTION("""COMPUTED_VALUE"""),200.0)</f>
        <v>200</v>
      </c>
      <c r="J208" s="30">
        <f>IFERROR(__xludf.DUMMYFUNCTION("""COMPUTED_VALUE"""),120.0)</f>
        <v>120</v>
      </c>
      <c r="K208" s="30" t="str">
        <f>IFERROR(__xludf.DUMMYFUNCTION("""COMPUTED_VALUE"""),"QTY, Limit Price (if any) &amp; Password input correct")</f>
        <v>QTY, Limit Price (if any) &amp; Password input correct</v>
      </c>
      <c r="L208" s="30" t="str">
        <f>IFERROR(__xludf.DUMMYFUNCTION("""COMPUTED_VALUE"""),"Trader input as ""Limit Sell @ 120"" contradicting trade. System correct to 120")</f>
        <v>Trader input as "Limit Sell @ 120" contradicting trade. System correct to 120</v>
      </c>
    </row>
    <row r="209">
      <c r="A209" s="5"/>
      <c r="B209" s="118">
        <f>IFERROR(__xludf.DUMMYFUNCTION("""COMPUTED_VALUE"""),44616.68462475695)</f>
        <v>44616.68462</v>
      </c>
      <c r="C209" s="120">
        <f>IFERROR(__xludf.DUMMYFUNCTION("""COMPUTED_VALUE"""),44616.666666666664)</f>
        <v>44616.66667</v>
      </c>
      <c r="D209" s="5" t="str">
        <f>IFERROR(__xludf.DUMMYFUNCTION("""COMPUTED_VALUE"""),"46220")</f>
        <v>46220</v>
      </c>
      <c r="E209" s="5" t="str">
        <f>IFERROR(__xludf.DUMMYFUNCTION("""COMPUTED_VALUE"""),"Stock")</f>
        <v>Stock</v>
      </c>
      <c r="F209" s="5" t="str">
        <f>IFERROR(__xludf.DUMMYFUNCTION("""COMPUTED_VALUE"""),"USD")</f>
        <v>USD</v>
      </c>
      <c r="G209" s="30" t="str">
        <f>IFERROR(__xludf.DUMMYFUNCTION("""COMPUTED_VALUE"""),"Email Account/ TraderID Recognized")</f>
        <v>Email Account/ TraderID Recognized</v>
      </c>
      <c r="H209" s="119" t="str">
        <f>IFERROR(__xludf.DUMMYFUNCTION("""COMPUTED_VALUE"""),"AMZN")</f>
        <v>AMZN</v>
      </c>
      <c r="I209" s="30">
        <f>IFERROR(__xludf.DUMMYFUNCTION("""COMPUTED_VALUE"""),20.0)</f>
        <v>20</v>
      </c>
      <c r="J209" s="30"/>
      <c r="K209" s="30" t="str">
        <f>IFERROR(__xludf.DUMMYFUNCTION("""COMPUTED_VALUE"""),"QTY, Limit Price (if any) &amp; Password input correct")</f>
        <v>QTY, Limit Price (if any) &amp; Password input correct</v>
      </c>
      <c r="L209" s="30"/>
    </row>
    <row r="210">
      <c r="A210" s="5"/>
      <c r="B210" s="118">
        <f>IFERROR(__xludf.DUMMYFUNCTION("""COMPUTED_VALUE"""),44616.725517175924)</f>
        <v>44616.72552</v>
      </c>
      <c r="C210" s="120">
        <f>IFERROR(__xludf.DUMMYFUNCTION("""COMPUTED_VALUE"""),44617.666666666664)</f>
        <v>44617.66667</v>
      </c>
      <c r="D210" s="5" t="str">
        <f>IFERROR(__xludf.DUMMYFUNCTION("""COMPUTED_VALUE"""),"76848")</f>
        <v>76848</v>
      </c>
      <c r="E210" s="5" t="str">
        <f>IFERROR(__xludf.DUMMYFUNCTION("""COMPUTED_VALUE"""),"Stock")</f>
        <v>Stock</v>
      </c>
      <c r="F210" s="5" t="str">
        <f>IFERROR(__xludf.DUMMYFUNCTION("""COMPUTED_VALUE"""),"HKD")</f>
        <v>HKD</v>
      </c>
      <c r="G210" s="30" t="str">
        <f>IFERROR(__xludf.DUMMYFUNCTION("""COMPUTED_VALUE"""),"Email Account/ TraderID Recognized")</f>
        <v>Email Account/ TraderID Recognized</v>
      </c>
      <c r="H210" s="121" t="str">
        <f>IFERROR(__xludf.DUMMYFUNCTION("""COMPUTED_VALUE"""),"1398.HK")</f>
        <v>1398.HK</v>
      </c>
      <c r="I210" s="30">
        <f>IFERROR(__xludf.DUMMYFUNCTION("""COMPUTED_VALUE"""),1000.0)</f>
        <v>1000</v>
      </c>
      <c r="J210" s="30"/>
      <c r="K210" s="30" t="str">
        <f>IFERROR(__xludf.DUMMYFUNCTION("""COMPUTED_VALUE"""),"QTY, Limit Price (if any) &amp; Password input correct")</f>
        <v>QTY, Limit Price (if any) &amp; Password input correct</v>
      </c>
      <c r="L210" s="30"/>
    </row>
    <row r="211">
      <c r="A211" s="5"/>
      <c r="B211" s="118">
        <f>IFERROR(__xludf.DUMMYFUNCTION("""COMPUTED_VALUE"""),44616.72621980324)</f>
        <v>44616.72622</v>
      </c>
      <c r="C211" s="120">
        <f>IFERROR(__xludf.DUMMYFUNCTION("""COMPUTED_VALUE"""),44617.666666666664)</f>
        <v>44617.66667</v>
      </c>
      <c r="D211" s="5" t="str">
        <f>IFERROR(__xludf.DUMMYFUNCTION("""COMPUTED_VALUE"""),"74356")</f>
        <v>74356</v>
      </c>
      <c r="E211" s="5" t="str">
        <f>IFERROR(__xludf.DUMMYFUNCTION("""COMPUTED_VALUE"""),"Stock")</f>
        <v>Stock</v>
      </c>
      <c r="F211" s="5" t="str">
        <f>IFERROR(__xludf.DUMMYFUNCTION("""COMPUTED_VALUE"""),"HKD")</f>
        <v>HKD</v>
      </c>
      <c r="G211" s="30" t="str">
        <f>IFERROR(__xludf.DUMMYFUNCTION("""COMPUTED_VALUE"""),"Email Account/ TraderID Recognized")</f>
        <v>Email Account/ TraderID Recognized</v>
      </c>
      <c r="H211" s="121" t="str">
        <f>IFERROR(__xludf.DUMMYFUNCTION("""COMPUTED_VALUE"""),"1398.HK")</f>
        <v>1398.HK</v>
      </c>
      <c r="I211" s="30">
        <f>IFERROR(__xludf.DUMMYFUNCTION("""COMPUTED_VALUE"""),1000.0)</f>
        <v>1000</v>
      </c>
      <c r="J211" s="30"/>
      <c r="K211" s="30" t="str">
        <f>IFERROR(__xludf.DUMMYFUNCTION("""COMPUTED_VALUE"""),"QTY, Limit Price (if any) &amp; Password input correct")</f>
        <v>QTY, Limit Price (if any) &amp; Password input correct</v>
      </c>
      <c r="L211" s="30"/>
    </row>
    <row r="212">
      <c r="A212" s="5"/>
      <c r="B212" s="118">
        <f>IFERROR(__xludf.DUMMYFUNCTION("""COMPUTED_VALUE"""),44616.73650104167)</f>
        <v>44616.7365</v>
      </c>
      <c r="C212" s="120">
        <f>IFERROR(__xludf.DUMMYFUNCTION("""COMPUTED_VALUE"""),44616.666666666664)</f>
        <v>44616.66667</v>
      </c>
      <c r="D212" s="5" t="str">
        <f>IFERROR(__xludf.DUMMYFUNCTION("""COMPUTED_VALUE"""),"74356")</f>
        <v>74356</v>
      </c>
      <c r="E212" s="5" t="str">
        <f>IFERROR(__xludf.DUMMYFUNCTION("""COMPUTED_VALUE"""),"Stock")</f>
        <v>Stock</v>
      </c>
      <c r="F212" s="5" t="str">
        <f>IFERROR(__xludf.DUMMYFUNCTION("""COMPUTED_VALUE"""),"USD")</f>
        <v>USD</v>
      </c>
      <c r="G212" s="30" t="str">
        <f>IFERROR(__xludf.DUMMYFUNCTION("""COMPUTED_VALUE"""),"Email Account/ TraderID Recognized")</f>
        <v>Email Account/ TraderID Recognized</v>
      </c>
      <c r="H212" s="119" t="str">
        <f>IFERROR(__xludf.DUMMYFUNCTION("""COMPUTED_VALUE"""),"CL=F")</f>
        <v>CL=F</v>
      </c>
      <c r="I212" s="30">
        <f>IFERROR(__xludf.DUMMYFUNCTION("""COMPUTED_VALUE"""),100.0)</f>
        <v>100</v>
      </c>
      <c r="J212" s="30">
        <f>IFERROR(__xludf.DUMMYFUNCTION("""COMPUTED_VALUE"""),94.0)</f>
        <v>94</v>
      </c>
      <c r="K212" s="30" t="str">
        <f>IFERROR(__xludf.DUMMYFUNCTION("""COMPUTED_VALUE"""),"QTY, Limit Price (if any) &amp; Password input correct")</f>
        <v>QTY, Limit Price (if any) &amp; Password input correct</v>
      </c>
      <c r="L212" s="30"/>
    </row>
    <row r="213">
      <c r="A213" s="5"/>
      <c r="B213" s="118">
        <f>IFERROR(__xludf.DUMMYFUNCTION("""COMPUTED_VALUE"""),44616.73654488426)</f>
        <v>44616.73654</v>
      </c>
      <c r="C213" s="120">
        <f>IFERROR(__xludf.DUMMYFUNCTION("""COMPUTED_VALUE"""),44616.666666666664)</f>
        <v>44616.66667</v>
      </c>
      <c r="D213" s="5" t="str">
        <f>IFERROR(__xludf.DUMMYFUNCTION("""COMPUTED_VALUE"""),"76848")</f>
        <v>76848</v>
      </c>
      <c r="E213" s="5" t="str">
        <f>IFERROR(__xludf.DUMMYFUNCTION("""COMPUTED_VALUE"""),"Stock")</f>
        <v>Stock</v>
      </c>
      <c r="F213" s="5" t="str">
        <f>IFERROR(__xludf.DUMMYFUNCTION("""COMPUTED_VALUE"""),"USD")</f>
        <v>USD</v>
      </c>
      <c r="G213" s="30" t="str">
        <f>IFERROR(__xludf.DUMMYFUNCTION("""COMPUTED_VALUE"""),"Email Account/ TraderID Recognized")</f>
        <v>Email Account/ TraderID Recognized</v>
      </c>
      <c r="H213" s="119" t="str">
        <f>IFERROR(__xludf.DUMMYFUNCTION("""COMPUTED_VALUE"""),"CL=F")</f>
        <v>CL=F</v>
      </c>
      <c r="I213" s="30">
        <f>IFERROR(__xludf.DUMMYFUNCTION("""COMPUTED_VALUE"""),100.0)</f>
        <v>100</v>
      </c>
      <c r="J213" s="30">
        <f>IFERROR(__xludf.DUMMYFUNCTION("""COMPUTED_VALUE"""),94.0)</f>
        <v>94</v>
      </c>
      <c r="K213" s="30" t="str">
        <f>IFERROR(__xludf.DUMMYFUNCTION("""COMPUTED_VALUE"""),"QTY, Limit Price (if any) &amp; Password input correct")</f>
        <v>QTY, Limit Price (if any) &amp; Password input correct</v>
      </c>
      <c r="L213" s="30"/>
    </row>
    <row r="214">
      <c r="A214" s="5"/>
      <c r="B214" s="118">
        <f>IFERROR(__xludf.DUMMYFUNCTION("""COMPUTED_VALUE"""),44616.74127802083)</f>
        <v>44616.74128</v>
      </c>
      <c r="C214" s="120">
        <f>IFERROR(__xludf.DUMMYFUNCTION("""COMPUTED_VALUE"""),44616.666666666664)</f>
        <v>44616.66667</v>
      </c>
      <c r="D214" s="5" t="str">
        <f>IFERROR(__xludf.DUMMYFUNCTION("""COMPUTED_VALUE"""),"74356")</f>
        <v>74356</v>
      </c>
      <c r="E214" s="5" t="str">
        <f>IFERROR(__xludf.DUMMYFUNCTION("""COMPUTED_VALUE"""),"Stock")</f>
        <v>Stock</v>
      </c>
      <c r="F214" s="5" t="str">
        <f>IFERROR(__xludf.DUMMYFUNCTION("""COMPUTED_VALUE"""),"USD")</f>
        <v>USD</v>
      </c>
      <c r="G214" s="30" t="str">
        <f>IFERROR(__xludf.DUMMYFUNCTION("""COMPUTED_VALUE"""),"Email Account/ TraderID Recognized")</f>
        <v>Email Account/ TraderID Recognized</v>
      </c>
      <c r="H214" s="119" t="str">
        <f>IFERROR(__xludf.DUMMYFUNCTION("""COMPUTED_VALUE"""),"NET")</f>
        <v>NET</v>
      </c>
      <c r="I214" s="30">
        <f>IFERROR(__xludf.DUMMYFUNCTION("""COMPUTED_VALUE"""),10.0)</f>
        <v>10</v>
      </c>
      <c r="J214" s="30"/>
      <c r="K214" s="30" t="str">
        <f>IFERROR(__xludf.DUMMYFUNCTION("""COMPUTED_VALUE"""),"QTY, Limit Price (if any) &amp; Password input correct")</f>
        <v>QTY, Limit Price (if any) &amp; Password input correct</v>
      </c>
      <c r="L214" s="30"/>
    </row>
    <row r="215">
      <c r="A215" s="5"/>
      <c r="B215" s="118">
        <f>IFERROR(__xludf.DUMMYFUNCTION("""COMPUTED_VALUE"""),44616.74317236111)</f>
        <v>44616.74317</v>
      </c>
      <c r="C215" s="120">
        <f>IFERROR(__xludf.DUMMYFUNCTION("""COMPUTED_VALUE"""),44616.666666666664)</f>
        <v>44616.66667</v>
      </c>
      <c r="D215" s="5" t="str">
        <f>IFERROR(__xludf.DUMMYFUNCTION("""COMPUTED_VALUE"""),"76848")</f>
        <v>76848</v>
      </c>
      <c r="E215" s="5" t="str">
        <f>IFERROR(__xludf.DUMMYFUNCTION("""COMPUTED_VALUE"""),"Stock")</f>
        <v>Stock</v>
      </c>
      <c r="F215" s="5" t="str">
        <f>IFERROR(__xludf.DUMMYFUNCTION("""COMPUTED_VALUE"""),"USD")</f>
        <v>USD</v>
      </c>
      <c r="G215" s="30" t="str">
        <f>IFERROR(__xludf.DUMMYFUNCTION("""COMPUTED_VALUE"""),"Email Account/ TraderID Recognized")</f>
        <v>Email Account/ TraderID Recognized</v>
      </c>
      <c r="H215" s="119" t="str">
        <f>IFERROR(__xludf.DUMMYFUNCTION("""COMPUTED_VALUE"""),"NET")</f>
        <v>NET</v>
      </c>
      <c r="I215" s="30">
        <f>IFERROR(__xludf.DUMMYFUNCTION("""COMPUTED_VALUE"""),10.0)</f>
        <v>10</v>
      </c>
      <c r="J215" s="30"/>
      <c r="K215" s="30" t="str">
        <f>IFERROR(__xludf.DUMMYFUNCTION("""COMPUTED_VALUE"""),"QTY, Limit Price (if any) &amp; Password input correct")</f>
        <v>QTY, Limit Price (if any) &amp; Password input correct</v>
      </c>
      <c r="L215" s="30"/>
    </row>
    <row r="216">
      <c r="A216" s="5"/>
      <c r="B216" s="118">
        <f>IFERROR(__xludf.DUMMYFUNCTION("""COMPUTED_VALUE"""),44616.79668309027)</f>
        <v>44616.79668</v>
      </c>
      <c r="C216" s="120">
        <f>IFERROR(__xludf.DUMMYFUNCTION("""COMPUTED_VALUE"""),44617.625)</f>
        <v>44617.625</v>
      </c>
      <c r="D216" s="5" t="str">
        <f>IFERROR(__xludf.DUMMYFUNCTION("""COMPUTED_VALUE"""),"74356")</f>
        <v>74356</v>
      </c>
      <c r="E216" s="5" t="str">
        <f>IFERROR(__xludf.DUMMYFUNCTION("""COMPUTED_VALUE"""),"Stock")</f>
        <v>Stock</v>
      </c>
      <c r="F216" s="5" t="str">
        <f>IFERROR(__xludf.DUMMYFUNCTION("""COMPUTED_VALUE"""),"CNY")</f>
        <v>CNY</v>
      </c>
      <c r="G216" s="30" t="str">
        <f>IFERROR(__xludf.DUMMYFUNCTION("""COMPUTED_VALUE"""),"Email Account/ TraderID Recognized")</f>
        <v>Email Account/ TraderID Recognized</v>
      </c>
      <c r="H216" s="121" t="str">
        <f>IFERROR(__xludf.DUMMYFUNCTION("""COMPUTED_VALUE"""),"300157.SZ")</f>
        <v>300157.SZ</v>
      </c>
      <c r="I216" s="30">
        <f>IFERROR(__xludf.DUMMYFUNCTION("""COMPUTED_VALUE"""),500.0)</f>
        <v>500</v>
      </c>
      <c r="J216" s="30">
        <f>IFERROR(__xludf.DUMMYFUNCTION("""COMPUTED_VALUE"""),4.5)</f>
        <v>4.5</v>
      </c>
      <c r="K216" s="30" t="str">
        <f>IFERROR(__xludf.DUMMYFUNCTION("""COMPUTED_VALUE"""),"QTY, Limit Price (if any) &amp; Password input correct")</f>
        <v>QTY, Limit Price (if any) &amp; Password input correct</v>
      </c>
      <c r="L216" s="30"/>
    </row>
    <row r="217">
      <c r="A217" s="5"/>
      <c r="B217" s="118">
        <f>IFERROR(__xludf.DUMMYFUNCTION("""COMPUTED_VALUE"""),44616.79732488426)</f>
        <v>44616.79732</v>
      </c>
      <c r="C217" s="120">
        <f>IFERROR(__xludf.DUMMYFUNCTION("""COMPUTED_VALUE"""),44617.625)</f>
        <v>44617.625</v>
      </c>
      <c r="D217" s="5" t="str">
        <f>IFERROR(__xludf.DUMMYFUNCTION("""COMPUTED_VALUE"""),"76848")</f>
        <v>76848</v>
      </c>
      <c r="E217" s="5" t="str">
        <f>IFERROR(__xludf.DUMMYFUNCTION("""COMPUTED_VALUE"""),"Stock")</f>
        <v>Stock</v>
      </c>
      <c r="F217" s="5" t="str">
        <f>IFERROR(__xludf.DUMMYFUNCTION("""COMPUTED_VALUE"""),"CNY")</f>
        <v>CNY</v>
      </c>
      <c r="G217" s="30" t="str">
        <f>IFERROR(__xludf.DUMMYFUNCTION("""COMPUTED_VALUE"""),"Email Account/ TraderID Recognized")</f>
        <v>Email Account/ TraderID Recognized</v>
      </c>
      <c r="H217" s="121" t="str">
        <f>IFERROR(__xludf.DUMMYFUNCTION("""COMPUTED_VALUE"""),"300157.SZ")</f>
        <v>300157.SZ</v>
      </c>
      <c r="I217" s="30">
        <f>IFERROR(__xludf.DUMMYFUNCTION("""COMPUTED_VALUE"""),500.0)</f>
        <v>500</v>
      </c>
      <c r="J217" s="30">
        <f>IFERROR(__xludf.DUMMYFUNCTION("""COMPUTED_VALUE"""),4.5)</f>
        <v>4.5</v>
      </c>
      <c r="K217" s="30" t="str">
        <f>IFERROR(__xludf.DUMMYFUNCTION("""COMPUTED_VALUE"""),"QTY, Limit Price (if any) &amp; Password input correct")</f>
        <v>QTY, Limit Price (if any) &amp; Password input correct</v>
      </c>
      <c r="L217" s="30"/>
    </row>
    <row r="218">
      <c r="A218" s="5"/>
      <c r="B218" s="118">
        <f>IFERROR(__xludf.DUMMYFUNCTION("""COMPUTED_VALUE"""),44616.92229699074)</f>
        <v>44616.9223</v>
      </c>
      <c r="C218" s="120">
        <f>IFERROR(__xludf.DUMMYFUNCTION("""COMPUTED_VALUE"""),44616.666666666664)</f>
        <v>44616.66667</v>
      </c>
      <c r="D218" s="5" t="str">
        <f>IFERROR(__xludf.DUMMYFUNCTION("""COMPUTED_VALUE"""),"32312")</f>
        <v>32312</v>
      </c>
      <c r="E218" s="5" t="str">
        <f>IFERROR(__xludf.DUMMYFUNCTION("""COMPUTED_VALUE"""),"Stock")</f>
        <v>Stock</v>
      </c>
      <c r="F218" s="5" t="str">
        <f>IFERROR(__xludf.DUMMYFUNCTION("""COMPUTED_VALUE"""),"USD")</f>
        <v>USD</v>
      </c>
      <c r="G218" s="30" t="str">
        <f>IFERROR(__xludf.DUMMYFUNCTION("""COMPUTED_VALUE"""),"Email Account/ TraderID Recognized")</f>
        <v>Email Account/ TraderID Recognized</v>
      </c>
      <c r="H218" s="119" t="str">
        <f>IFERROR(__xludf.DUMMYFUNCTION("""COMPUTED_VALUE"""),"GOLD")</f>
        <v>GOLD</v>
      </c>
      <c r="I218" s="30">
        <f>IFERROR(__xludf.DUMMYFUNCTION("""COMPUTED_VALUE"""),888.0)</f>
        <v>888</v>
      </c>
      <c r="J218" s="30"/>
      <c r="K218" s="30" t="str">
        <f>IFERROR(__xludf.DUMMYFUNCTION("""COMPUTED_VALUE"""),"QTY, Limit Price (if any) &amp; Password input correct")</f>
        <v>QTY, Limit Price (if any) &amp; Password input correct</v>
      </c>
      <c r="L218" s="30"/>
    </row>
    <row r="219">
      <c r="A219" s="5"/>
      <c r="B219" s="118">
        <f>IFERROR(__xludf.DUMMYFUNCTION("""COMPUTED_VALUE"""),44616.92239320602)</f>
        <v>44616.92239</v>
      </c>
      <c r="C219" s="120">
        <f>IFERROR(__xludf.DUMMYFUNCTION("""COMPUTED_VALUE"""),44616.666666666664)</f>
        <v>44616.66667</v>
      </c>
      <c r="D219" s="5" t="str">
        <f>IFERROR(__xludf.DUMMYFUNCTION("""COMPUTED_VALUE"""),"39608")</f>
        <v>39608</v>
      </c>
      <c r="E219" s="5" t="str">
        <f>IFERROR(__xludf.DUMMYFUNCTION("""COMPUTED_VALUE"""),"Stock")</f>
        <v>Stock</v>
      </c>
      <c r="F219" s="5" t="str">
        <f>IFERROR(__xludf.DUMMYFUNCTION("""COMPUTED_VALUE"""),"USD")</f>
        <v>USD</v>
      </c>
      <c r="G219" s="30" t="str">
        <f>IFERROR(__xludf.DUMMYFUNCTION("""COMPUTED_VALUE"""),"Email Account/ TraderID Recognized")</f>
        <v>Email Account/ TraderID Recognized</v>
      </c>
      <c r="H219" s="119" t="str">
        <f>IFERROR(__xludf.DUMMYFUNCTION("""COMPUTED_VALUE"""),"GOLD")</f>
        <v>GOLD</v>
      </c>
      <c r="I219" s="30">
        <f>IFERROR(__xludf.DUMMYFUNCTION("""COMPUTED_VALUE"""),888.0)</f>
        <v>888</v>
      </c>
      <c r="J219" s="30"/>
      <c r="K219" s="30" t="str">
        <f>IFERROR(__xludf.DUMMYFUNCTION("""COMPUTED_VALUE"""),"QTY, Limit Price (if any) &amp; Password input correct")</f>
        <v>QTY, Limit Price (if any) &amp; Password input correct</v>
      </c>
      <c r="L219" s="30"/>
    </row>
    <row r="220">
      <c r="A220" s="5"/>
      <c r="B220" s="118">
        <f>IFERROR(__xludf.DUMMYFUNCTION("""COMPUTED_VALUE"""),44616.92363841435)</f>
        <v>44616.92364</v>
      </c>
      <c r="C220" s="120">
        <f>IFERROR(__xludf.DUMMYFUNCTION("""COMPUTED_VALUE"""),44616.666666666664)</f>
        <v>44616.66667</v>
      </c>
      <c r="D220" s="5" t="str">
        <f>IFERROR(__xludf.DUMMYFUNCTION("""COMPUTED_VALUE"""),"37400")</f>
        <v>37400</v>
      </c>
      <c r="E220" s="5" t="str">
        <f>IFERROR(__xludf.DUMMYFUNCTION("""COMPUTED_VALUE"""),"Stock")</f>
        <v>Stock</v>
      </c>
      <c r="F220" s="5" t="str">
        <f>IFERROR(__xludf.DUMMYFUNCTION("""COMPUTED_VALUE"""),"USD")</f>
        <v>USD</v>
      </c>
      <c r="G220" s="30" t="str">
        <f>IFERROR(__xludf.DUMMYFUNCTION("""COMPUTED_VALUE"""),"Email Account/ TraderID Recognized")</f>
        <v>Email Account/ TraderID Recognized</v>
      </c>
      <c r="H220" s="119" t="str">
        <f>IFERROR(__xludf.DUMMYFUNCTION("""COMPUTED_VALUE"""),"GOLD")</f>
        <v>GOLD</v>
      </c>
      <c r="I220" s="30">
        <f>IFERROR(__xludf.DUMMYFUNCTION("""COMPUTED_VALUE"""),888.0)</f>
        <v>888</v>
      </c>
      <c r="J220" s="30"/>
      <c r="K220" s="30" t="str">
        <f>IFERROR(__xludf.DUMMYFUNCTION("""COMPUTED_VALUE"""),"QTY, Limit Price (if any) &amp; Password input correct")</f>
        <v>QTY, Limit Price (if any) &amp; Password input correct</v>
      </c>
      <c r="L220" s="30"/>
    </row>
    <row r="221">
      <c r="A221" s="5"/>
      <c r="B221" s="118">
        <f>IFERROR(__xludf.DUMMYFUNCTION("""COMPUTED_VALUE"""),44617.4194021875)</f>
        <v>44617.4194</v>
      </c>
      <c r="C221" s="120">
        <f>IFERROR(__xludf.DUMMYFUNCTION("""COMPUTED_VALUE"""),44617.666666666664)</f>
        <v>44617.66667</v>
      </c>
      <c r="D221" s="5" t="str">
        <f>IFERROR(__xludf.DUMMYFUNCTION("""COMPUTED_VALUE"""),"46322")</f>
        <v>46322</v>
      </c>
      <c r="E221" s="5" t="str">
        <f>IFERROR(__xludf.DUMMYFUNCTION("""COMPUTED_VALUE"""),"Stock")</f>
        <v>Stock</v>
      </c>
      <c r="F221" s="5" t="str">
        <f>IFERROR(__xludf.DUMMYFUNCTION("""COMPUTED_VALUE"""),"USD")</f>
        <v>USD</v>
      </c>
      <c r="G221" s="30" t="str">
        <f>IFERROR(__xludf.DUMMYFUNCTION("""COMPUTED_VALUE"""),"Email Account/ TraderID Recognized")</f>
        <v>Email Account/ TraderID Recognized</v>
      </c>
      <c r="H221" s="119" t="str">
        <f>IFERROR(__xludf.DUMMYFUNCTION("""COMPUTED_VALUE"""),"SARK")</f>
        <v>SARK</v>
      </c>
      <c r="I221" s="30">
        <f>IFERROR(__xludf.DUMMYFUNCTION("""COMPUTED_VALUE"""),200.0)</f>
        <v>200</v>
      </c>
      <c r="J221" s="30"/>
      <c r="K221" s="30" t="str">
        <f>IFERROR(__xludf.DUMMYFUNCTION("""COMPUTED_VALUE"""),"QTY, Limit Price (if any) &amp; Password input correct")</f>
        <v>QTY, Limit Price (if any) &amp; Password input correct</v>
      </c>
      <c r="L221" s="30"/>
    </row>
    <row r="222">
      <c r="A222" s="5"/>
      <c r="B222" s="118">
        <f>IFERROR(__xludf.DUMMYFUNCTION("""COMPUTED_VALUE"""),44617.43002248842)</f>
        <v>44617.43002</v>
      </c>
      <c r="C222" s="120">
        <f>IFERROR(__xludf.DUMMYFUNCTION("""COMPUTED_VALUE"""),44617.625)</f>
        <v>44617.625</v>
      </c>
      <c r="D222" s="5" t="str">
        <f>IFERROR(__xludf.DUMMYFUNCTION("""COMPUTED_VALUE"""),"76369")</f>
        <v>76369</v>
      </c>
      <c r="E222" s="5" t="str">
        <f>IFERROR(__xludf.DUMMYFUNCTION("""COMPUTED_VALUE"""),"Stock")</f>
        <v>Stock</v>
      </c>
      <c r="F222" s="5" t="str">
        <f>IFERROR(__xludf.DUMMYFUNCTION("""COMPUTED_VALUE"""),"CNY")</f>
        <v>CNY</v>
      </c>
      <c r="G222" s="30" t="str">
        <f>IFERROR(__xludf.DUMMYFUNCTION("""COMPUTED_VALUE"""),"Email Account/ TraderID Recognized")</f>
        <v>Email Account/ TraderID Recognized</v>
      </c>
      <c r="H222" s="121" t="str">
        <f>IFERROR(__xludf.DUMMYFUNCTION("""COMPUTED_VALUE"""),"000554.SZ")</f>
        <v>000554.SZ</v>
      </c>
      <c r="I222" s="30">
        <f>IFERROR(__xludf.DUMMYFUNCTION("""COMPUTED_VALUE"""),1000.0)</f>
        <v>1000</v>
      </c>
      <c r="J222" s="30"/>
      <c r="K222" s="30" t="str">
        <f>IFERROR(__xludf.DUMMYFUNCTION("""COMPUTED_VALUE"""),"QTY, Limit Price (if any) &amp; Password input correct")</f>
        <v>QTY, Limit Price (if any) &amp; Password input correct</v>
      </c>
      <c r="L222" s="30"/>
    </row>
    <row r="223">
      <c r="A223" s="5"/>
      <c r="B223" s="118">
        <f>IFERROR(__xludf.DUMMYFUNCTION("""COMPUTED_VALUE"""),44617.43080508102)</f>
        <v>44617.43081</v>
      </c>
      <c r="C223" s="120">
        <f>IFERROR(__xludf.DUMMYFUNCTION("""COMPUTED_VALUE"""),44617.625)</f>
        <v>44617.625</v>
      </c>
      <c r="D223" s="5" t="str">
        <f>IFERROR(__xludf.DUMMYFUNCTION("""COMPUTED_VALUE"""),"76369")</f>
        <v>76369</v>
      </c>
      <c r="E223" s="5" t="str">
        <f>IFERROR(__xludf.DUMMYFUNCTION("""COMPUTED_VALUE"""),"Stock")</f>
        <v>Stock</v>
      </c>
      <c r="F223" s="5" t="str">
        <f>IFERROR(__xludf.DUMMYFUNCTION("""COMPUTED_VALUE"""),"CNY")</f>
        <v>CNY</v>
      </c>
      <c r="G223" s="30" t="str">
        <f>IFERROR(__xludf.DUMMYFUNCTION("""COMPUTED_VALUE"""),"Email Account/ TraderID Recognized")</f>
        <v>Email Account/ TraderID Recognized</v>
      </c>
      <c r="H223" s="121" t="str">
        <f>IFERROR(__xludf.DUMMYFUNCTION("""COMPUTED_VALUE"""),"300945.SZ")</f>
        <v>300945.SZ</v>
      </c>
      <c r="I223" s="30">
        <f>IFERROR(__xludf.DUMMYFUNCTION("""COMPUTED_VALUE"""),1000.0)</f>
        <v>1000</v>
      </c>
      <c r="J223" s="30"/>
      <c r="K223" s="30" t="str">
        <f>IFERROR(__xludf.DUMMYFUNCTION("""COMPUTED_VALUE"""),"QTY, Limit Price (if any) &amp; Password input correct")</f>
        <v>QTY, Limit Price (if any) &amp; Password input correct</v>
      </c>
      <c r="L223" s="30"/>
    </row>
    <row r="224">
      <c r="A224" s="5"/>
      <c r="B224" s="118">
        <f>IFERROR(__xludf.DUMMYFUNCTION("""COMPUTED_VALUE"""),44617.43161082176)</f>
        <v>44617.43161</v>
      </c>
      <c r="C224" s="120">
        <f>IFERROR(__xludf.DUMMYFUNCTION("""COMPUTED_VALUE"""),44617.625)</f>
        <v>44617.625</v>
      </c>
      <c r="D224" s="5" t="str">
        <f>IFERROR(__xludf.DUMMYFUNCTION("""COMPUTED_VALUE"""),"76369")</f>
        <v>76369</v>
      </c>
      <c r="E224" s="5" t="str">
        <f>IFERROR(__xludf.DUMMYFUNCTION("""COMPUTED_VALUE"""),"Stock")</f>
        <v>Stock</v>
      </c>
      <c r="F224" s="5" t="str">
        <f>IFERROR(__xludf.DUMMYFUNCTION("""COMPUTED_VALUE"""),"CNY")</f>
        <v>CNY</v>
      </c>
      <c r="G224" s="30" t="str">
        <f>IFERROR(__xludf.DUMMYFUNCTION("""COMPUTED_VALUE"""),"Email Account/ TraderID Recognized")</f>
        <v>Email Account/ TraderID Recognized</v>
      </c>
      <c r="H224" s="121" t="str">
        <f>IFERROR(__xludf.DUMMYFUNCTION("""COMPUTED_VALUE"""),"601808.SS")</f>
        <v>601808.SS</v>
      </c>
      <c r="I224" s="30">
        <f>IFERROR(__xludf.DUMMYFUNCTION("""COMPUTED_VALUE"""),1000.0)</f>
        <v>1000</v>
      </c>
      <c r="J224" s="30"/>
      <c r="K224" s="30" t="str">
        <f>IFERROR(__xludf.DUMMYFUNCTION("""COMPUTED_VALUE"""),"QTY, Limit Price (if any) &amp; Password input correct")</f>
        <v>QTY, Limit Price (if any) &amp; Password input correct</v>
      </c>
      <c r="L224" s="30"/>
    </row>
    <row r="225">
      <c r="A225" s="5"/>
      <c r="B225" s="118">
        <f>IFERROR(__xludf.DUMMYFUNCTION("""COMPUTED_VALUE"""),44617.43277436343)</f>
        <v>44617.43277</v>
      </c>
      <c r="C225" s="120">
        <f>IFERROR(__xludf.DUMMYFUNCTION("""COMPUTED_VALUE"""),44617.625)</f>
        <v>44617.625</v>
      </c>
      <c r="D225" s="5" t="str">
        <f>IFERROR(__xludf.DUMMYFUNCTION("""COMPUTED_VALUE"""),"76369")</f>
        <v>76369</v>
      </c>
      <c r="E225" s="5" t="str">
        <f>IFERROR(__xludf.DUMMYFUNCTION("""COMPUTED_VALUE"""),"Stock")</f>
        <v>Stock</v>
      </c>
      <c r="F225" s="5" t="str">
        <f>IFERROR(__xludf.DUMMYFUNCTION("""COMPUTED_VALUE"""),"CNY")</f>
        <v>CNY</v>
      </c>
      <c r="G225" s="30" t="str">
        <f>IFERROR(__xludf.DUMMYFUNCTION("""COMPUTED_VALUE"""),"Email Account/ TraderID Recognized")</f>
        <v>Email Account/ TraderID Recognized</v>
      </c>
      <c r="H225" s="121" t="str">
        <f>IFERROR(__xludf.DUMMYFUNCTION("""COMPUTED_VALUE"""),"300922.SZ")</f>
        <v>300922.SZ</v>
      </c>
      <c r="I225" s="30">
        <f>IFERROR(__xludf.DUMMYFUNCTION("""COMPUTED_VALUE"""),500.0)</f>
        <v>500</v>
      </c>
      <c r="J225" s="30"/>
      <c r="K225" s="30" t="str">
        <f>IFERROR(__xludf.DUMMYFUNCTION("""COMPUTED_VALUE"""),"QTY, Limit Price (if any) &amp; Password input correct")</f>
        <v>QTY, Limit Price (if any) &amp; Password input correct</v>
      </c>
      <c r="L225" s="30"/>
    </row>
    <row r="226">
      <c r="A226" s="5"/>
      <c r="B226" s="118">
        <f>IFERROR(__xludf.DUMMYFUNCTION("""COMPUTED_VALUE"""),44617.45116923611)</f>
        <v>44617.45117</v>
      </c>
      <c r="C226" s="120" t="str">
        <f>IFERROR(__xludf.DUMMYFUNCTION("""COMPUTED_VALUE"""),"")</f>
        <v/>
      </c>
      <c r="D226" s="5" t="str">
        <f>IFERROR(__xludf.DUMMYFUNCTION("""COMPUTED_VALUE"""),"39857")</f>
        <v>39857</v>
      </c>
      <c r="E226" s="5" t="str">
        <f>IFERROR(__xludf.DUMMYFUNCTION("""COMPUTED_VALUE"""),"Stock")</f>
        <v>Stock</v>
      </c>
      <c r="F226" s="5" t="str">
        <f>IFERROR(__xludf.DUMMYFUNCTION("""COMPUTED_VALUE"""),"error")</f>
        <v>error</v>
      </c>
      <c r="G226" s="30" t="str">
        <f>IFERROR(__xludf.DUMMYFUNCTION("""COMPUTED_VALUE"""),"Email Account/ TraderID Recognized")</f>
        <v>Email Account/ TraderID Recognized</v>
      </c>
      <c r="H226" s="119" t="str">
        <f>IFERROR(__xludf.DUMMYFUNCTION("""COMPUTED_VALUE"""),"03690")</f>
        <v>03690</v>
      </c>
      <c r="I226" s="30">
        <f>IFERROR(__xludf.DUMMYFUNCTION("""COMPUTED_VALUE"""),1000.0)</f>
        <v>1000</v>
      </c>
      <c r="J226" s="30"/>
      <c r="K226" s="30" t="str">
        <f>IFERROR(__xludf.DUMMYFUNCTION("""COMPUTED_VALUE"""),"QTY, Limit Price (if any) &amp; Password input correct")</f>
        <v>QTY, Limit Price (if any) &amp; Password input correct</v>
      </c>
      <c r="L226" s="30" t="str">
        <f>IFERROR(__xludf.DUMMYFUNCTION("""COMPUTED_VALUE"""),"Order rejected due to wrong ticker code. just need to type in  3690.HK")</f>
        <v>Order rejected due to wrong ticker code. just need to type in  3690.HK</v>
      </c>
    </row>
    <row r="227">
      <c r="A227" s="5"/>
      <c r="B227" s="118">
        <f>IFERROR(__xludf.DUMMYFUNCTION("""COMPUTED_VALUE"""),44617.5387312963)</f>
        <v>44617.53873</v>
      </c>
      <c r="C227" s="120">
        <f>IFERROR(__xludf.DUMMYFUNCTION("""COMPUTED_VALUE"""),44617.666666666664)</f>
        <v>44617.66667</v>
      </c>
      <c r="D227" s="5" t="str">
        <f>IFERROR(__xludf.DUMMYFUNCTION("""COMPUTED_VALUE"""),"89750")</f>
        <v>89750</v>
      </c>
      <c r="E227" s="5" t="str">
        <f>IFERROR(__xludf.DUMMYFUNCTION("""COMPUTED_VALUE"""),"Option")</f>
        <v>Option</v>
      </c>
      <c r="F227" s="5" t="str">
        <f>IFERROR(__xludf.DUMMYFUNCTION("""COMPUTED_VALUE"""),"USD")</f>
        <v>USD</v>
      </c>
      <c r="G227" s="30" t="str">
        <f>IFERROR(__xludf.DUMMYFUNCTION("""COMPUTED_VALUE"""),"Email Account/ TraderID Recognized")</f>
        <v>Email Account/ TraderID Recognized</v>
      </c>
      <c r="H227" s="119" t="str">
        <f>IFERROR(__xludf.DUMMYFUNCTION("""COMPUTED_VALUE"""),"SPXL220318C00080000")</f>
        <v>SPXL220318C00080000</v>
      </c>
      <c r="I227" s="30">
        <f>IFERROR(__xludf.DUMMYFUNCTION("""COMPUTED_VALUE"""),10.0)</f>
        <v>10</v>
      </c>
      <c r="J227" s="30"/>
      <c r="K227" s="30" t="str">
        <f>IFERROR(__xludf.DUMMYFUNCTION("""COMPUTED_VALUE"""),"QTY, Limit Price (if any) &amp; Password input correct")</f>
        <v>QTY, Limit Price (if any) &amp; Password input correct</v>
      </c>
      <c r="L227" s="30"/>
    </row>
    <row r="228">
      <c r="A228" s="5"/>
      <c r="B228" s="118">
        <f>IFERROR(__xludf.DUMMYFUNCTION("""COMPUTED_VALUE"""),44617.546259375)</f>
        <v>44617.54626</v>
      </c>
      <c r="C228" s="120">
        <f>IFERROR(__xludf.DUMMYFUNCTION("""COMPUTED_VALUE"""),44617.666666666664)</f>
        <v>44617.66667</v>
      </c>
      <c r="D228" s="5" t="str">
        <f>IFERROR(__xludf.DUMMYFUNCTION("""COMPUTED_VALUE"""),"89750")</f>
        <v>89750</v>
      </c>
      <c r="E228" s="5" t="str">
        <f>IFERROR(__xludf.DUMMYFUNCTION("""COMPUTED_VALUE"""),"Stock")</f>
        <v>Stock</v>
      </c>
      <c r="F228" s="5" t="str">
        <f>IFERROR(__xludf.DUMMYFUNCTION("""COMPUTED_VALUE"""),"HKD")</f>
        <v>HKD</v>
      </c>
      <c r="G228" s="30" t="str">
        <f>IFERROR(__xludf.DUMMYFUNCTION("""COMPUTED_VALUE"""),"Email Account/ TraderID Recognized")</f>
        <v>Email Account/ TraderID Recognized</v>
      </c>
      <c r="H228" s="121" t="str">
        <f>IFERROR(__xludf.DUMMYFUNCTION("""COMPUTED_VALUE"""),"9698.HK")</f>
        <v>9698.HK</v>
      </c>
      <c r="I228" s="30">
        <f>IFERROR(__xludf.DUMMYFUNCTION("""COMPUTED_VALUE"""),2000.0)</f>
        <v>2000</v>
      </c>
      <c r="J228" s="30"/>
      <c r="K228" s="30" t="str">
        <f>IFERROR(__xludf.DUMMYFUNCTION("""COMPUTED_VALUE"""),"QTY, Limit Price (if any) &amp; Password input correct")</f>
        <v>QTY, Limit Price (if any) &amp; Password input correct</v>
      </c>
      <c r="L228" s="30"/>
    </row>
    <row r="229">
      <c r="A229" s="5"/>
      <c r="B229" s="118">
        <f>IFERROR(__xludf.DUMMYFUNCTION("""COMPUTED_VALUE"""),44617.547022280094)</f>
        <v>44617.54702</v>
      </c>
      <c r="C229" s="120">
        <f>IFERROR(__xludf.DUMMYFUNCTION("""COMPUTED_VALUE"""),44617.666666666664)</f>
        <v>44617.66667</v>
      </c>
      <c r="D229" s="5" t="str">
        <f>IFERROR(__xludf.DUMMYFUNCTION("""COMPUTED_VALUE"""),"89750")</f>
        <v>89750</v>
      </c>
      <c r="E229" s="5" t="str">
        <f>IFERROR(__xludf.DUMMYFUNCTION("""COMPUTED_VALUE"""),"Stock")</f>
        <v>Stock</v>
      </c>
      <c r="F229" s="5" t="str">
        <f>IFERROR(__xludf.DUMMYFUNCTION("""COMPUTED_VALUE"""),"HKD")</f>
        <v>HKD</v>
      </c>
      <c r="G229" s="30" t="str">
        <f>IFERROR(__xludf.DUMMYFUNCTION("""COMPUTED_VALUE"""),"Email Account/ TraderID Recognized")</f>
        <v>Email Account/ TraderID Recognized</v>
      </c>
      <c r="H229" s="121" t="str">
        <f>IFERROR(__xludf.DUMMYFUNCTION("""COMPUTED_VALUE"""),"6969.HK")</f>
        <v>6969.HK</v>
      </c>
      <c r="I229" s="30">
        <f>IFERROR(__xludf.DUMMYFUNCTION("""COMPUTED_VALUE"""),2000.0)</f>
        <v>2000</v>
      </c>
      <c r="J229" s="30"/>
      <c r="K229" s="30" t="str">
        <f>IFERROR(__xludf.DUMMYFUNCTION("""COMPUTED_VALUE"""),"QTY, Limit Price (if any) &amp; Password input correct")</f>
        <v>QTY, Limit Price (if any) &amp; Password input correct</v>
      </c>
      <c r="L229" s="30"/>
    </row>
    <row r="230">
      <c r="A230" s="5"/>
      <c r="B230" s="118">
        <f>IFERROR(__xludf.DUMMYFUNCTION("""COMPUTED_VALUE"""),44617.55044748842)</f>
        <v>44617.55045</v>
      </c>
      <c r="C230" s="120">
        <f>IFERROR(__xludf.DUMMYFUNCTION("""COMPUTED_VALUE"""),44617.625)</f>
        <v>44617.625</v>
      </c>
      <c r="D230" s="5" t="str">
        <f>IFERROR(__xludf.DUMMYFUNCTION("""COMPUTED_VALUE"""),"76369")</f>
        <v>76369</v>
      </c>
      <c r="E230" s="5" t="str">
        <f>IFERROR(__xludf.DUMMYFUNCTION("""COMPUTED_VALUE"""),"Stock")</f>
        <v>Stock</v>
      </c>
      <c r="F230" s="5" t="str">
        <f>IFERROR(__xludf.DUMMYFUNCTION("""COMPUTED_VALUE"""),"CNY")</f>
        <v>CNY</v>
      </c>
      <c r="G230" s="30" t="str">
        <f>IFERROR(__xludf.DUMMYFUNCTION("""COMPUTED_VALUE"""),"Email Account/ TraderID Recognized")</f>
        <v>Email Account/ TraderID Recognized</v>
      </c>
      <c r="H230" s="121" t="str">
        <f>IFERROR(__xludf.DUMMYFUNCTION("""COMPUTED_VALUE"""),"603967.SS")</f>
        <v>603967.SS</v>
      </c>
      <c r="I230" s="30">
        <f>IFERROR(__xludf.DUMMYFUNCTION("""COMPUTED_VALUE"""),500.0)</f>
        <v>500</v>
      </c>
      <c r="J230" s="30"/>
      <c r="K230" s="30" t="str">
        <f>IFERROR(__xludf.DUMMYFUNCTION("""COMPUTED_VALUE"""),"QTY, Limit Price (if any) &amp; Password input correct")</f>
        <v>QTY, Limit Price (if any) &amp; Password input correct</v>
      </c>
      <c r="L230" s="30"/>
    </row>
    <row r="231">
      <c r="A231" s="5"/>
      <c r="B231" s="118">
        <f>IFERROR(__xludf.DUMMYFUNCTION("""COMPUTED_VALUE"""),44617.588751284726)</f>
        <v>44617.58875</v>
      </c>
      <c r="C231" s="120">
        <f>IFERROR(__xludf.DUMMYFUNCTION("""COMPUTED_VALUE"""),44617.666666666664)</f>
        <v>44617.66667</v>
      </c>
      <c r="D231" s="5" t="str">
        <f>IFERROR(__xludf.DUMMYFUNCTION("""COMPUTED_VALUE"""),"76796")</f>
        <v>76796</v>
      </c>
      <c r="E231" s="5" t="str">
        <f>IFERROR(__xludf.DUMMYFUNCTION("""COMPUTED_VALUE"""),"Stock")</f>
        <v>Stock</v>
      </c>
      <c r="F231" s="5" t="str">
        <f>IFERROR(__xludf.DUMMYFUNCTION("""COMPUTED_VALUE"""),"USD")</f>
        <v>USD</v>
      </c>
      <c r="G231" s="30" t="str">
        <f>IFERROR(__xludf.DUMMYFUNCTION("""COMPUTED_VALUE"""),"Email Account/ TraderID Recognized")</f>
        <v>Email Account/ TraderID Recognized</v>
      </c>
      <c r="H231" s="119" t="str">
        <f>IFERROR(__xludf.DUMMYFUNCTION("""COMPUTED_VALUE"""),"GOOGL")</f>
        <v>GOOGL</v>
      </c>
      <c r="I231" s="30">
        <f>IFERROR(__xludf.DUMMYFUNCTION("""COMPUTED_VALUE"""),100.0)</f>
        <v>100</v>
      </c>
      <c r="J231" s="30"/>
      <c r="K231" s="30" t="str">
        <f>IFERROR(__xludf.DUMMYFUNCTION("""COMPUTED_VALUE"""),"QTY, Limit Price (if any) &amp; Password input correct")</f>
        <v>QTY, Limit Price (if any) &amp; Password input correct</v>
      </c>
      <c r="L231" s="30"/>
    </row>
    <row r="232">
      <c r="A232" s="5"/>
      <c r="B232" s="118">
        <f>IFERROR(__xludf.DUMMYFUNCTION("""COMPUTED_VALUE"""),44617.618001979165)</f>
        <v>44617.618</v>
      </c>
      <c r="C232" s="120">
        <f>IFERROR(__xludf.DUMMYFUNCTION("""COMPUTED_VALUE"""),44617.625)</f>
        <v>44617.625</v>
      </c>
      <c r="D232" s="5" t="str">
        <f>IFERROR(__xludf.DUMMYFUNCTION("""COMPUTED_VALUE"""),"76369")</f>
        <v>76369</v>
      </c>
      <c r="E232" s="5" t="str">
        <f>IFERROR(__xludf.DUMMYFUNCTION("""COMPUTED_VALUE"""),"Stock")</f>
        <v>Stock</v>
      </c>
      <c r="F232" s="5" t="str">
        <f>IFERROR(__xludf.DUMMYFUNCTION("""COMPUTED_VALUE"""),"CNY")</f>
        <v>CNY</v>
      </c>
      <c r="G232" s="30" t="str">
        <f>IFERROR(__xludf.DUMMYFUNCTION("""COMPUTED_VALUE"""),"Email Account/ TraderID Recognized")</f>
        <v>Email Account/ TraderID Recognized</v>
      </c>
      <c r="H232" s="121" t="str">
        <f>IFERROR(__xludf.DUMMYFUNCTION("""COMPUTED_VALUE"""),"300922.SZ")</f>
        <v>300922.SZ</v>
      </c>
      <c r="I232" s="30">
        <f>IFERROR(__xludf.DUMMYFUNCTION("""COMPUTED_VALUE"""),1000.0)</f>
        <v>1000</v>
      </c>
      <c r="J232" s="30"/>
      <c r="K232" s="30" t="str">
        <f>IFERROR(__xludf.DUMMYFUNCTION("""COMPUTED_VALUE"""),"QTY, Limit Price (if any) &amp; Password input correct")</f>
        <v>QTY, Limit Price (if any) &amp; Password input correct</v>
      </c>
      <c r="L232" s="30"/>
    </row>
    <row r="233">
      <c r="A233" s="5"/>
      <c r="B233" s="118">
        <f>IFERROR(__xludf.DUMMYFUNCTION("""COMPUTED_VALUE"""),44617.72382925926)</f>
        <v>44617.72383</v>
      </c>
      <c r="C233" s="120">
        <f>IFERROR(__xludf.DUMMYFUNCTION("""COMPUTED_VALUE"""),44617.666666666664)</f>
        <v>44617.66667</v>
      </c>
      <c r="D233" s="5" t="str">
        <f>IFERROR(__xludf.DUMMYFUNCTION("""COMPUTED_VALUE"""),"14626")</f>
        <v>14626</v>
      </c>
      <c r="E233" s="5" t="str">
        <f>IFERROR(__xludf.DUMMYFUNCTION("""COMPUTED_VALUE"""),"Stock")</f>
        <v>Stock</v>
      </c>
      <c r="F233" s="5" t="str">
        <f>IFERROR(__xludf.DUMMYFUNCTION("""COMPUTED_VALUE"""),"USD")</f>
        <v>USD</v>
      </c>
      <c r="G233" s="30" t="str">
        <f>IFERROR(__xludf.DUMMYFUNCTION("""COMPUTED_VALUE"""),"Email Account/ TraderID Recognized")</f>
        <v>Email Account/ TraderID Recognized</v>
      </c>
      <c r="H233" s="119" t="str">
        <f>IFERROR(__xludf.DUMMYFUNCTION("""COMPUTED_VALUE"""),"AAPL")</f>
        <v>AAPL</v>
      </c>
      <c r="I233" s="30">
        <f>IFERROR(__xludf.DUMMYFUNCTION("""COMPUTED_VALUE"""),50.0)</f>
        <v>50</v>
      </c>
      <c r="J233" s="30">
        <f>IFERROR(__xludf.DUMMYFUNCTION("""COMPUTED_VALUE"""),150.0)</f>
        <v>150</v>
      </c>
      <c r="K233" s="30" t="str">
        <f>IFERROR(__xludf.DUMMYFUNCTION("""COMPUTED_VALUE"""),"QTY, Limit Price (if any) &amp; Password input correct")</f>
        <v>QTY, Limit Price (if any) &amp; Password input correct</v>
      </c>
      <c r="L233" s="30"/>
    </row>
    <row r="234">
      <c r="A234" s="5"/>
      <c r="B234" s="118">
        <f>IFERROR(__xludf.DUMMYFUNCTION("""COMPUTED_VALUE"""),44617.72877269676)</f>
        <v>44617.72877</v>
      </c>
      <c r="C234" s="120" t="str">
        <f>IFERROR(__xludf.DUMMYFUNCTION("""COMPUTED_VALUE"""),"")</f>
        <v/>
      </c>
      <c r="D234" s="5" t="str">
        <f>IFERROR(__xludf.DUMMYFUNCTION("""COMPUTED_VALUE"""),"")</f>
        <v/>
      </c>
      <c r="E234" s="5" t="str">
        <f>IFERROR(__xludf.DUMMYFUNCTION("""COMPUTED_VALUE"""),"Stock")</f>
        <v>Stock</v>
      </c>
      <c r="F234" s="5" t="str">
        <f>IFERROR(__xludf.DUMMYFUNCTION("""COMPUTED_VALUE"""),"error")</f>
        <v>error</v>
      </c>
      <c r="G234" s="30" t="str">
        <f>IFERROR(__xludf.DUMMYFUNCTION("""COMPUTED_VALUE"""),"manjxxxxxx@nonHKMUemail")</f>
        <v>manjxxxxxx@nonHKMUemail</v>
      </c>
      <c r="H234" s="121" t="str">
        <f>IFERROR(__xludf.DUMMYFUNCTION("""COMPUTED_VALUE"""),"00700.HK")</f>
        <v>00700.HK</v>
      </c>
      <c r="I234" s="30">
        <f>IFERROR(__xludf.DUMMYFUNCTION("""COMPUTED_VALUE"""),100.0)</f>
        <v>100</v>
      </c>
      <c r="J234" s="30">
        <f>IFERROR(__xludf.DUMMYFUNCTION("""COMPUTED_VALUE"""),200.0)</f>
        <v>200</v>
      </c>
      <c r="K234" s="30" t="str">
        <f>IFERROR(__xludf.DUMMYFUNCTION("""COMPUTED_VALUE"""),"QTY, Limit Price (if any) &amp; Password input correct")</f>
        <v>QTY, Limit Price (if any) &amp; Password input correct</v>
      </c>
      <c r="L234" s="30" t="str">
        <f>IFERROR(__xludf.DUMMYFUNCTION("""COMPUTED_VALUE"""),"Wrong email input (non-school email). Also, Trader input as 00700.HK, correct ticker should be 0700.HK")</f>
        <v>Wrong email input (non-school email). Also, Trader input as 00700.HK, correct ticker should be 0700.HK</v>
      </c>
    </row>
    <row r="235">
      <c r="A235" s="5"/>
      <c r="B235" s="118">
        <f>IFERROR(__xludf.DUMMYFUNCTION("""COMPUTED_VALUE"""),44617.73520866898)</f>
        <v>44617.73521</v>
      </c>
      <c r="C235" s="120">
        <f>IFERROR(__xludf.DUMMYFUNCTION("""COMPUTED_VALUE"""),44617.666666666664)</f>
        <v>44617.66667</v>
      </c>
      <c r="D235" s="5" t="str">
        <f>IFERROR(__xludf.DUMMYFUNCTION("""COMPUTED_VALUE"""),"75965")</f>
        <v>75965</v>
      </c>
      <c r="E235" s="5" t="str">
        <f>IFERROR(__xludf.DUMMYFUNCTION("""COMPUTED_VALUE"""),"Stock")</f>
        <v>Stock</v>
      </c>
      <c r="F235" s="5" t="str">
        <f>IFERROR(__xludf.DUMMYFUNCTION("""COMPUTED_VALUE"""),"USD")</f>
        <v>USD</v>
      </c>
      <c r="G235" s="30" t="str">
        <f>IFERROR(__xludf.DUMMYFUNCTION("""COMPUTED_VALUE"""),"Email Account/ TraderID Recognized")</f>
        <v>Email Account/ TraderID Recognized</v>
      </c>
      <c r="H235" s="119" t="str">
        <f>IFERROR(__xludf.DUMMYFUNCTION("""COMPUTED_VALUE"""),"eth-usd")</f>
        <v>eth-usd</v>
      </c>
      <c r="I235" s="30">
        <f>IFERROR(__xludf.DUMMYFUNCTION("""COMPUTED_VALUE"""),10.0)</f>
        <v>10</v>
      </c>
      <c r="J235" s="30" t="str">
        <f>IFERROR(__xludf.DUMMYFUNCTION("""COMPUTED_VALUE"""),"Limit Sell @ 90 - if Closing @ 100 = Executed price @ 100; if Closing @ 80")</f>
        <v>Limit Sell @ 90 - if Closing @ 100 = Executed price @ 100; if Closing @ 80</v>
      </c>
      <c r="K235" s="30" t="str">
        <f>IFERROR(__xludf.DUMMYFUNCTION("""COMPUTED_VALUE"""),"Non-number input in Quantity or Limit Price")</f>
        <v>Non-number input in Quantity or Limit Price</v>
      </c>
      <c r="L235" s="30" t="str">
        <f>IFERROR(__xludf.DUMMYFUNCTION("""COMPUTED_VALUE"""),"Trader input as ""Limit Sell @ 90 - if Closing @ 100 = Executed price @ 100; if Closing @ 80"". No such function offered. Order rejected due to unclear instruction.")</f>
        <v>Trader input as "Limit Sell @ 90 - if Closing @ 100 = Executed price @ 100; if Closing @ 80". No such function offered. Order rejected due to unclear instruction.</v>
      </c>
    </row>
    <row r="236">
      <c r="A236" s="5"/>
      <c r="B236" s="118">
        <f>IFERROR(__xludf.DUMMYFUNCTION("""COMPUTED_VALUE"""),44617.744797499996)</f>
        <v>44617.7448</v>
      </c>
      <c r="C236" s="120">
        <f>IFERROR(__xludf.DUMMYFUNCTION("""COMPUTED_VALUE"""),44617.666666666664)</f>
        <v>44617.66667</v>
      </c>
      <c r="D236" s="5" t="str">
        <f>IFERROR(__xludf.DUMMYFUNCTION("""COMPUTED_VALUE"""),"14626")</f>
        <v>14626</v>
      </c>
      <c r="E236" s="5" t="str">
        <f>IFERROR(__xludf.DUMMYFUNCTION("""COMPUTED_VALUE"""),"Stock")</f>
        <v>Stock</v>
      </c>
      <c r="F236" s="5" t="str">
        <f>IFERROR(__xludf.DUMMYFUNCTION("""COMPUTED_VALUE"""),"USD")</f>
        <v>USD</v>
      </c>
      <c r="G236" s="30" t="str">
        <f>IFERROR(__xludf.DUMMYFUNCTION("""COMPUTED_VALUE"""),"Email Account/ TraderID Recognized")</f>
        <v>Email Account/ TraderID Recognized</v>
      </c>
      <c r="H236" s="119" t="str">
        <f>IFERROR(__xludf.DUMMYFUNCTION("""COMPUTED_VALUE"""),"TSLA")</f>
        <v>TSLA</v>
      </c>
      <c r="I236" s="30">
        <f>IFERROR(__xludf.DUMMYFUNCTION("""COMPUTED_VALUE"""),50.0)</f>
        <v>50</v>
      </c>
      <c r="J236" s="30">
        <f>IFERROR(__xludf.DUMMYFUNCTION("""COMPUTED_VALUE"""),100.0)</f>
        <v>100</v>
      </c>
      <c r="K236" s="30" t="str">
        <f>IFERROR(__xludf.DUMMYFUNCTION("""COMPUTED_VALUE"""),"QTY, Limit Price (if any) &amp; Password input correct")</f>
        <v>QTY, Limit Price (if any) &amp; Password input correct</v>
      </c>
      <c r="L236" s="30"/>
    </row>
    <row r="237">
      <c r="A237" s="5"/>
      <c r="B237" s="118">
        <f>IFERROR(__xludf.DUMMYFUNCTION("""COMPUTED_VALUE"""),44617.7498978588)</f>
        <v>44617.7499</v>
      </c>
      <c r="C237" s="120" t="str">
        <f>IFERROR(__xludf.DUMMYFUNCTION("""COMPUTED_VALUE"""),"")</f>
        <v/>
      </c>
      <c r="D237" s="5" t="str">
        <f>IFERROR(__xludf.DUMMYFUNCTION("""COMPUTED_VALUE"""),"14626")</f>
        <v>14626</v>
      </c>
      <c r="E237" s="5" t="str">
        <f>IFERROR(__xludf.DUMMYFUNCTION("""COMPUTED_VALUE"""),"Option")</f>
        <v>Option</v>
      </c>
      <c r="F237" s="5" t="str">
        <f>IFERROR(__xludf.DUMMYFUNCTION("""COMPUTED_VALUE"""),"error")</f>
        <v>error</v>
      </c>
      <c r="G237" s="30" t="str">
        <f>IFERROR(__xludf.DUMMYFUNCTION("""COMPUTED_VALUE"""),"Email Account/ TraderID Recognized")</f>
        <v>Email Account/ TraderID Recognized</v>
      </c>
      <c r="H237" s="121" t="str">
        <f>IFERROR(__xludf.DUMMYFUNCTION("""COMPUTED_VALUE"""),"00700.HK")</f>
        <v>00700.HK</v>
      </c>
      <c r="I237" s="30">
        <f>IFERROR(__xludf.DUMMYFUNCTION("""COMPUTED_VALUE"""),3.0)</f>
        <v>3</v>
      </c>
      <c r="J237" s="30">
        <f>IFERROR(__xludf.DUMMYFUNCTION("""COMPUTED_VALUE"""),200.0)</f>
        <v>200</v>
      </c>
      <c r="K237" s="30" t="str">
        <f>IFERROR(__xludf.DUMMYFUNCTION("""COMPUTED_VALUE"""),"QTY, Limit Price (if any) &amp; Password input correct")</f>
        <v>QTY, Limit Price (if any) &amp; Password input correct</v>
      </c>
      <c r="L237" s="30" t="str">
        <f>IFERROR(__xludf.DUMMYFUNCTION("""COMPUTED_VALUE"""),"Trader input as option as asset class for a stock. Order is rejected.")</f>
        <v>Trader input as option as asset class for a stock. Order is rejected.</v>
      </c>
    </row>
    <row r="238">
      <c r="A238" s="5"/>
      <c r="B238" s="118">
        <f>IFERROR(__xludf.DUMMYFUNCTION("""COMPUTED_VALUE"""),44617.75661408565)</f>
        <v>44617.75661</v>
      </c>
      <c r="C238" s="120">
        <f>IFERROR(__xludf.DUMMYFUNCTION("""COMPUTED_VALUE"""),44617.666666666664)</f>
        <v>44617.66667</v>
      </c>
      <c r="D238" s="5" t="str">
        <f>IFERROR(__xludf.DUMMYFUNCTION("""COMPUTED_VALUE"""),"89750")</f>
        <v>89750</v>
      </c>
      <c r="E238" s="5" t="str">
        <f>IFERROR(__xludf.DUMMYFUNCTION("""COMPUTED_VALUE"""),"Option")</f>
        <v>Option</v>
      </c>
      <c r="F238" s="5" t="str">
        <f>IFERROR(__xludf.DUMMYFUNCTION("""COMPUTED_VALUE"""),"USD")</f>
        <v>USD</v>
      </c>
      <c r="G238" s="30" t="str">
        <f>IFERROR(__xludf.DUMMYFUNCTION("""COMPUTED_VALUE"""),"Email Account/ TraderID Recognized")</f>
        <v>Email Account/ TraderID Recognized</v>
      </c>
      <c r="H238" s="119" t="str">
        <f>IFERROR(__xludf.DUMMYFUNCTION("""COMPUTED_VALUE"""),"FTCH220318P00017500")</f>
        <v>FTCH220318P00017500</v>
      </c>
      <c r="I238" s="30">
        <f>IFERROR(__xludf.DUMMYFUNCTION("""COMPUTED_VALUE"""),50.0)</f>
        <v>50</v>
      </c>
      <c r="J238" s="30"/>
      <c r="K238" s="30" t="str">
        <f>IFERROR(__xludf.DUMMYFUNCTION("""COMPUTED_VALUE"""),"QTY, Limit Price (if any) &amp; Password input correct")</f>
        <v>QTY, Limit Price (if any) &amp; Password input correct</v>
      </c>
      <c r="L238" s="30"/>
    </row>
    <row r="239">
      <c r="A239" s="5"/>
      <c r="B239" s="118">
        <f>IFERROR(__xludf.DUMMYFUNCTION("""COMPUTED_VALUE"""),44617.770343321754)</f>
        <v>44617.77034</v>
      </c>
      <c r="C239" s="120">
        <f>IFERROR(__xludf.DUMMYFUNCTION("""COMPUTED_VALUE"""),44617.666666666664)</f>
        <v>44617.66667</v>
      </c>
      <c r="D239" s="5" t="str">
        <f>IFERROR(__xludf.DUMMYFUNCTION("""COMPUTED_VALUE"""),"89750")</f>
        <v>89750</v>
      </c>
      <c r="E239" s="5" t="str">
        <f>IFERROR(__xludf.DUMMYFUNCTION("""COMPUTED_VALUE"""),"Stock")</f>
        <v>Stock</v>
      </c>
      <c r="F239" s="5" t="str">
        <f>IFERROR(__xludf.DUMMYFUNCTION("""COMPUTED_VALUE"""),"USD")</f>
        <v>USD</v>
      </c>
      <c r="G239" s="30" t="str">
        <f>IFERROR(__xludf.DUMMYFUNCTION("""COMPUTED_VALUE"""),"Email Account/ TraderID Recognized")</f>
        <v>Email Account/ TraderID Recognized</v>
      </c>
      <c r="H239" s="119" t="str">
        <f>IFERROR(__xludf.DUMMYFUNCTION("""COMPUTED_VALUE"""),"SOFI")</f>
        <v>SOFI</v>
      </c>
      <c r="I239" s="30">
        <f>IFERROR(__xludf.DUMMYFUNCTION("""COMPUTED_VALUE"""),30.0)</f>
        <v>30</v>
      </c>
      <c r="J239" s="30"/>
      <c r="K239" s="30" t="str">
        <f>IFERROR(__xludf.DUMMYFUNCTION("""COMPUTED_VALUE"""),"QTY, Limit Price (if any) &amp; Password input correct")</f>
        <v>QTY, Limit Price (if any) &amp; Password input correct</v>
      </c>
      <c r="L239" s="30"/>
    </row>
    <row r="240">
      <c r="A240" s="5"/>
      <c r="B240" s="118">
        <f>IFERROR(__xludf.DUMMYFUNCTION("""COMPUTED_VALUE"""),44617.770579178235)</f>
        <v>44617.77058</v>
      </c>
      <c r="C240" s="120">
        <f>IFERROR(__xludf.DUMMYFUNCTION("""COMPUTED_VALUE"""),44617.666666666664)</f>
        <v>44617.66667</v>
      </c>
      <c r="D240" s="5" t="str">
        <f>IFERROR(__xludf.DUMMYFUNCTION("""COMPUTED_VALUE"""),"89750")</f>
        <v>89750</v>
      </c>
      <c r="E240" s="5" t="str">
        <f>IFERROR(__xludf.DUMMYFUNCTION("""COMPUTED_VALUE"""),"Stock")</f>
        <v>Stock</v>
      </c>
      <c r="F240" s="5" t="str">
        <f>IFERROR(__xludf.DUMMYFUNCTION("""COMPUTED_VALUE"""),"USD")</f>
        <v>USD</v>
      </c>
      <c r="G240" s="30" t="str">
        <f>IFERROR(__xludf.DUMMYFUNCTION("""COMPUTED_VALUE"""),"Email Account/ TraderID Recognized")</f>
        <v>Email Account/ TraderID Recognized</v>
      </c>
      <c r="H240" s="119" t="str">
        <f>IFERROR(__xludf.DUMMYFUNCTION("""COMPUTED_VALUE"""),"NU")</f>
        <v>NU</v>
      </c>
      <c r="I240" s="30">
        <f>IFERROR(__xludf.DUMMYFUNCTION("""COMPUTED_VALUE"""),70.0)</f>
        <v>70</v>
      </c>
      <c r="J240" s="30"/>
      <c r="K240" s="30" t="str">
        <f>IFERROR(__xludf.DUMMYFUNCTION("""COMPUTED_VALUE"""),"QTY, Limit Price (if any) &amp; Password input correct")</f>
        <v>QTY, Limit Price (if any) &amp; Password input correct</v>
      </c>
      <c r="L240" s="30"/>
    </row>
    <row r="241">
      <c r="A241" s="5"/>
      <c r="B241" s="118">
        <f>IFERROR(__xludf.DUMMYFUNCTION("""COMPUTED_VALUE"""),44617.77117114583)</f>
        <v>44617.77117</v>
      </c>
      <c r="C241" s="120">
        <f>IFERROR(__xludf.DUMMYFUNCTION("""COMPUTED_VALUE"""),44617.666666666664)</f>
        <v>44617.66667</v>
      </c>
      <c r="D241" s="5" t="str">
        <f>IFERROR(__xludf.DUMMYFUNCTION("""COMPUTED_VALUE"""),"89750")</f>
        <v>89750</v>
      </c>
      <c r="E241" s="5" t="str">
        <f>IFERROR(__xludf.DUMMYFUNCTION("""COMPUTED_VALUE"""),"Stock")</f>
        <v>Stock</v>
      </c>
      <c r="F241" s="5" t="str">
        <f>IFERROR(__xludf.DUMMYFUNCTION("""COMPUTED_VALUE"""),"USD")</f>
        <v>USD</v>
      </c>
      <c r="G241" s="30" t="str">
        <f>IFERROR(__xludf.DUMMYFUNCTION("""COMPUTED_VALUE"""),"Email Account/ TraderID Recognized")</f>
        <v>Email Account/ TraderID Recognized</v>
      </c>
      <c r="H241" s="119" t="str">
        <f>IFERROR(__xludf.DUMMYFUNCTION("""COMPUTED_VALUE"""),"YINN")</f>
        <v>YINN</v>
      </c>
      <c r="I241" s="30">
        <f>IFERROR(__xludf.DUMMYFUNCTION("""COMPUTED_VALUE"""),50.0)</f>
        <v>50</v>
      </c>
      <c r="J241" s="30"/>
      <c r="K241" s="30" t="str">
        <f>IFERROR(__xludf.DUMMYFUNCTION("""COMPUTED_VALUE"""),"QTY, Limit Price (if any) &amp; Password input correct")</f>
        <v>QTY, Limit Price (if any) &amp; Password input correct</v>
      </c>
      <c r="L241" s="30"/>
    </row>
    <row r="242">
      <c r="A242" s="5"/>
      <c r="B242" s="118">
        <f>IFERROR(__xludf.DUMMYFUNCTION("""COMPUTED_VALUE"""),44618.04734858796)</f>
        <v>44618.04735</v>
      </c>
      <c r="C242" s="120" t="str">
        <f>IFERROR(__xludf.DUMMYFUNCTION("""COMPUTED_VALUE"""),"")</f>
        <v/>
      </c>
      <c r="D242" s="5" t="str">
        <f>IFERROR(__xludf.DUMMYFUNCTION("""COMPUTED_VALUE"""),"89750")</f>
        <v>89750</v>
      </c>
      <c r="E242" s="5" t="str">
        <f>IFERROR(__xludf.DUMMYFUNCTION("""COMPUTED_VALUE"""),"Option")</f>
        <v>Option</v>
      </c>
      <c r="F242" s="5" t="str">
        <f>IFERROR(__xludf.DUMMYFUNCTION("""COMPUTED_VALUE"""),"error")</f>
        <v>error</v>
      </c>
      <c r="G242" s="30" t="str">
        <f>IFERROR(__xludf.DUMMYFUNCTION("""COMPUTED_VALUE"""),"Email Account/ TraderID Recognized")</f>
        <v>Email Account/ TraderID Recognized</v>
      </c>
      <c r="H242" s="119" t="str">
        <f>IFERROR(__xludf.DUMMYFUNCTION("""COMPUTED_VALUE"""),"FTCH220318P17500")</f>
        <v>FTCH220318P17500</v>
      </c>
      <c r="I242" s="30">
        <f>IFERROR(__xludf.DUMMYFUNCTION("""COMPUTED_VALUE"""),100.0)</f>
        <v>100</v>
      </c>
      <c r="J242" s="30"/>
      <c r="K242" s="30" t="str">
        <f>IFERROR(__xludf.DUMMYFUNCTION("""COMPUTED_VALUE"""),"QTY, Limit Price (if any) &amp; Password input correct")</f>
        <v>QTY, Limit Price (if any) &amp; Password input correct</v>
      </c>
      <c r="L242" s="30" t="str">
        <f>IFERROR(__xludf.DUMMYFUNCTION("""COMPUTED_VALUE"""),"Wrong ticker symbol")</f>
        <v>Wrong ticker symbol</v>
      </c>
    </row>
    <row r="243">
      <c r="A243" s="5"/>
      <c r="B243" s="118">
        <f>IFERROR(__xludf.DUMMYFUNCTION("""COMPUTED_VALUE"""),44618.114217951384)</f>
        <v>44618.11422</v>
      </c>
      <c r="C243" s="120">
        <f>IFERROR(__xludf.DUMMYFUNCTION("""COMPUTED_VALUE"""),44617.666666666664)</f>
        <v>44617.66667</v>
      </c>
      <c r="D243" s="5" t="str">
        <f>IFERROR(__xludf.DUMMYFUNCTION("""COMPUTED_VALUE"""),"39857")</f>
        <v>39857</v>
      </c>
      <c r="E243" s="5" t="str">
        <f>IFERROR(__xludf.DUMMYFUNCTION("""COMPUTED_VALUE"""),"Stock")</f>
        <v>Stock</v>
      </c>
      <c r="F243" s="5" t="str">
        <f>IFERROR(__xludf.DUMMYFUNCTION("""COMPUTED_VALUE"""),"USD")</f>
        <v>USD</v>
      </c>
      <c r="G243" s="30" t="str">
        <f>IFERROR(__xludf.DUMMYFUNCTION("""COMPUTED_VALUE"""),"Email Account/ TraderID Recognized")</f>
        <v>Email Account/ TraderID Recognized</v>
      </c>
      <c r="H243" s="119" t="str">
        <f>IFERROR(__xludf.DUMMYFUNCTION("""COMPUTED_VALUE"""),"DIS")</f>
        <v>DIS</v>
      </c>
      <c r="I243" s="30">
        <f>IFERROR(__xludf.DUMMYFUNCTION("""COMPUTED_VALUE"""),500.0)</f>
        <v>500</v>
      </c>
      <c r="J243" s="30"/>
      <c r="K243" s="30" t="str">
        <f>IFERROR(__xludf.DUMMYFUNCTION("""COMPUTED_VALUE"""),"QTY, Limit Price (if any) &amp; Password input correct")</f>
        <v>QTY, Limit Price (if any) &amp; Password input correct</v>
      </c>
      <c r="L243" s="30"/>
    </row>
    <row r="244">
      <c r="A244" s="5"/>
      <c r="B244" s="118">
        <f>IFERROR(__xludf.DUMMYFUNCTION("""COMPUTED_VALUE"""),44618.11578703704)</f>
        <v>44618.11579</v>
      </c>
      <c r="C244" s="120">
        <f>IFERROR(__xludf.DUMMYFUNCTION("""COMPUTED_VALUE"""),44617.666666666664)</f>
        <v>44617.66667</v>
      </c>
      <c r="D244" s="5" t="str">
        <f>IFERROR(__xludf.DUMMYFUNCTION("""COMPUTED_VALUE"""),"46220")</f>
        <v>46220</v>
      </c>
      <c r="E244" s="5" t="str">
        <f>IFERROR(__xludf.DUMMYFUNCTION("""COMPUTED_VALUE"""),"Stock")</f>
        <v>Stock</v>
      </c>
      <c r="F244" s="5" t="str">
        <f>IFERROR(__xludf.DUMMYFUNCTION("""COMPUTED_VALUE"""),"USD")</f>
        <v>USD</v>
      </c>
      <c r="G244" s="30" t="str">
        <f>IFERROR(__xludf.DUMMYFUNCTION("""COMPUTED_VALUE"""),"Email Account/ TraderID Recognized")</f>
        <v>Email Account/ TraderID Recognized</v>
      </c>
      <c r="H244" s="119" t="str">
        <f>IFERROR(__xludf.DUMMYFUNCTION("""COMPUTED_VALUE"""),"NFLX")</f>
        <v>NFLX</v>
      </c>
      <c r="I244" s="30">
        <f>IFERROR(__xludf.DUMMYFUNCTION("""COMPUTED_VALUE"""),20.0)</f>
        <v>20</v>
      </c>
      <c r="J244" s="30"/>
      <c r="K244" s="30" t="str">
        <f>IFERROR(__xludf.DUMMYFUNCTION("""COMPUTED_VALUE"""),"QTY, Limit Price (if any) &amp; Password input correct")</f>
        <v>QTY, Limit Price (if any) &amp; Password input correct</v>
      </c>
      <c r="L244" s="30"/>
    </row>
    <row r="245">
      <c r="A245" s="5"/>
      <c r="B245" s="118">
        <f>IFERROR(__xludf.DUMMYFUNCTION("""COMPUTED_VALUE"""),44618.12507811343)</f>
        <v>44618.12508</v>
      </c>
      <c r="C245" s="120">
        <f>IFERROR(__xludf.DUMMYFUNCTION("""COMPUTED_VALUE"""),44617.666666666664)</f>
        <v>44617.66667</v>
      </c>
      <c r="D245" s="5" t="str">
        <f>IFERROR(__xludf.DUMMYFUNCTION("""COMPUTED_VALUE"""),"39857")</f>
        <v>39857</v>
      </c>
      <c r="E245" s="5" t="str">
        <f>IFERROR(__xludf.DUMMYFUNCTION("""COMPUTED_VALUE"""),"Stock")</f>
        <v>Stock</v>
      </c>
      <c r="F245" s="5" t="str">
        <f>IFERROR(__xludf.DUMMYFUNCTION("""COMPUTED_VALUE"""),"USD")</f>
        <v>USD</v>
      </c>
      <c r="G245" s="30" t="str">
        <f>IFERROR(__xludf.DUMMYFUNCTION("""COMPUTED_VALUE"""),"Email Account/ TraderID Recognized")</f>
        <v>Email Account/ TraderID Recognized</v>
      </c>
      <c r="H245" s="119" t="str">
        <f>IFERROR(__xludf.DUMMYFUNCTION("""COMPUTED_VALUE"""),"TSLA")</f>
        <v>TSLA</v>
      </c>
      <c r="I245" s="30">
        <f>IFERROR(__xludf.DUMMYFUNCTION("""COMPUTED_VALUE"""),50.0)</f>
        <v>50</v>
      </c>
      <c r="J245" s="30"/>
      <c r="K245" s="30" t="str">
        <f>IFERROR(__xludf.DUMMYFUNCTION("""COMPUTED_VALUE"""),"QTY, Limit Price (if any) &amp; Password input correct")</f>
        <v>QTY, Limit Price (if any) &amp; Password input correct</v>
      </c>
      <c r="L245" s="30"/>
    </row>
    <row r="246">
      <c r="A246" s="5"/>
      <c r="B246" s="118">
        <f>IFERROR(__xludf.DUMMYFUNCTION("""COMPUTED_VALUE"""),44618.786399930555)</f>
        <v>44618.7864</v>
      </c>
      <c r="C246" s="120" t="str">
        <f>IFERROR(__xludf.DUMMYFUNCTION("""COMPUTED_VALUE"""),"")</f>
        <v/>
      </c>
      <c r="D246" s="5" t="str">
        <f>IFERROR(__xludf.DUMMYFUNCTION("""COMPUTED_VALUE"""),"76796")</f>
        <v>76796</v>
      </c>
      <c r="E246" s="5" t="str">
        <f>IFERROR(__xludf.DUMMYFUNCTION("""COMPUTED_VALUE"""),"Stock")</f>
        <v>Stock</v>
      </c>
      <c r="F246" s="5" t="str">
        <f>IFERROR(__xludf.DUMMYFUNCTION("""COMPUTED_VALUE"""),"error")</f>
        <v>error</v>
      </c>
      <c r="G246" s="30" t="str">
        <f>IFERROR(__xludf.DUMMYFUNCTION("""COMPUTED_VALUE"""),"Email Account/ TraderID Recognized")</f>
        <v>Email Account/ TraderID Recognized</v>
      </c>
      <c r="H246" s="119" t="str">
        <f>IFERROR(__xludf.DUMMYFUNCTION("""COMPUTED_VALUE"""),"ISPO")</f>
        <v>ISPO</v>
      </c>
      <c r="I246" s="30" t="str">
        <f>IFERROR(__xludf.DUMMYFUNCTION("""COMPUTED_VALUE"""),"all")</f>
        <v>all</v>
      </c>
      <c r="J246" s="30"/>
      <c r="K246" s="30" t="str">
        <f>IFERROR(__xludf.DUMMYFUNCTION("""COMPUTED_VALUE"""),"Non-number input in Quantity or Limit Price")</f>
        <v>Non-number input in Quantity or Limit Price</v>
      </c>
      <c r="L246" s="30" t="str">
        <f>IFERROR(__xludf.DUMMYFUNCTION("""COMPUTED_VALUE"""),"Trade Quantity has to be in number format. ""all"" will be rejected by the system.")</f>
        <v>Trade Quantity has to be in number format. "all" will be rejected by the system.</v>
      </c>
    </row>
    <row r="247">
      <c r="A247" s="5"/>
      <c r="B247" s="118">
        <f>IFERROR(__xludf.DUMMYFUNCTION("""COMPUTED_VALUE"""),44618.78681621527)</f>
        <v>44618.78682</v>
      </c>
      <c r="C247" s="120" t="str">
        <f>IFERROR(__xludf.DUMMYFUNCTION("""COMPUTED_VALUE"""),"")</f>
        <v/>
      </c>
      <c r="D247" s="5" t="str">
        <f>IFERROR(__xludf.DUMMYFUNCTION("""COMPUTED_VALUE"""),"76796")</f>
        <v>76796</v>
      </c>
      <c r="E247" s="5" t="str">
        <f>IFERROR(__xludf.DUMMYFUNCTION("""COMPUTED_VALUE"""),"Stock")</f>
        <v>Stock</v>
      </c>
      <c r="F247" s="5" t="str">
        <f>IFERROR(__xludf.DUMMYFUNCTION("""COMPUTED_VALUE"""),"error")</f>
        <v>error</v>
      </c>
      <c r="G247" s="30" t="str">
        <f>IFERROR(__xludf.DUMMYFUNCTION("""COMPUTED_VALUE"""),"Email Account/ TraderID Recognized")</f>
        <v>Email Account/ TraderID Recognized</v>
      </c>
      <c r="H247" s="119" t="str">
        <f>IFERROR(__xludf.DUMMYFUNCTION("""COMPUTED_VALUE"""),"NVDA")</f>
        <v>NVDA</v>
      </c>
      <c r="I247" s="30" t="str">
        <f>IFERROR(__xludf.DUMMYFUNCTION("""COMPUTED_VALUE"""),"all")</f>
        <v>all</v>
      </c>
      <c r="J247" s="30"/>
      <c r="K247" s="30" t="str">
        <f>IFERROR(__xludf.DUMMYFUNCTION("""COMPUTED_VALUE"""),"Non-number input in Quantity or Limit Price")</f>
        <v>Non-number input in Quantity or Limit Price</v>
      </c>
      <c r="L247" s="30" t="str">
        <f>IFERROR(__xludf.DUMMYFUNCTION("""COMPUTED_VALUE"""),"Trade Quantity has to be in number format. ""all"" will be rejected by the system.")</f>
        <v>Trade Quantity has to be in number format. "all" will be rejected by the system.</v>
      </c>
    </row>
    <row r="248">
      <c r="A248" s="5"/>
      <c r="B248" s="118">
        <f>IFERROR(__xludf.DUMMYFUNCTION("""COMPUTED_VALUE"""),44618.987160358796)</f>
        <v>44618.98716</v>
      </c>
      <c r="C248" s="120">
        <f>IFERROR(__xludf.DUMMYFUNCTION("""COMPUTED_VALUE"""),44619.666666666664)</f>
        <v>44619.66667</v>
      </c>
      <c r="D248" s="5" t="str">
        <f>IFERROR(__xludf.DUMMYFUNCTION("""COMPUTED_VALUE"""),"37934")</f>
        <v>37934</v>
      </c>
      <c r="E248" s="5" t="str">
        <f>IFERROR(__xludf.DUMMYFUNCTION("""COMPUTED_VALUE"""),"Stock")</f>
        <v>Stock</v>
      </c>
      <c r="F248" s="5" t="str">
        <f>IFERROR(__xludf.DUMMYFUNCTION("""COMPUTED_VALUE"""),"HKD")</f>
        <v>HKD</v>
      </c>
      <c r="G248" s="30" t="str">
        <f>IFERROR(__xludf.DUMMYFUNCTION("""COMPUTED_VALUE"""),"Email Account/ TraderID Recognized")</f>
        <v>Email Account/ TraderID Recognized</v>
      </c>
      <c r="H248" s="121" t="str">
        <f>IFERROR(__xludf.DUMMYFUNCTION("""COMPUTED_VALUE"""),"9626.HK")</f>
        <v>9626.HK</v>
      </c>
      <c r="I248" s="30">
        <f>IFERROR(__xludf.DUMMYFUNCTION("""COMPUTED_VALUE"""),50.0)</f>
        <v>50</v>
      </c>
      <c r="J248" s="30">
        <f>IFERROR(__xludf.DUMMYFUNCTION("""COMPUTED_VALUE"""),242.0)</f>
        <v>242</v>
      </c>
      <c r="K248" s="30" t="str">
        <f>IFERROR(__xludf.DUMMYFUNCTION("""COMPUTED_VALUE"""),"QTY, Limit Price (if any) &amp; Password input correct")</f>
        <v>QTY, Limit Price (if any) &amp; Password input correct</v>
      </c>
      <c r="L248" s="30"/>
    </row>
    <row r="249">
      <c r="A249" s="5"/>
      <c r="B249" s="118">
        <f>IFERROR(__xludf.DUMMYFUNCTION("""COMPUTED_VALUE"""),44618.991094178244)</f>
        <v>44618.99109</v>
      </c>
      <c r="C249" s="120">
        <f>IFERROR(__xludf.DUMMYFUNCTION("""COMPUTED_VALUE"""),44619.666666666664)</f>
        <v>44619.66667</v>
      </c>
      <c r="D249" s="5" t="str">
        <f>IFERROR(__xludf.DUMMYFUNCTION("""COMPUTED_VALUE"""),"37934")</f>
        <v>37934</v>
      </c>
      <c r="E249" s="5" t="str">
        <f>IFERROR(__xludf.DUMMYFUNCTION("""COMPUTED_VALUE"""),"Stock")</f>
        <v>Stock</v>
      </c>
      <c r="F249" s="5" t="str">
        <f>IFERROR(__xludf.DUMMYFUNCTION("""COMPUTED_VALUE"""),"HKD")</f>
        <v>HKD</v>
      </c>
      <c r="G249" s="30" t="str">
        <f>IFERROR(__xludf.DUMMYFUNCTION("""COMPUTED_VALUE"""),"Email Account/ TraderID Recognized")</f>
        <v>Email Account/ TraderID Recognized</v>
      </c>
      <c r="H249" s="121" t="str">
        <f>IFERROR(__xludf.DUMMYFUNCTION("""COMPUTED_VALUE"""),"9888.HK")</f>
        <v>9888.HK</v>
      </c>
      <c r="I249" s="30">
        <f>IFERROR(__xludf.DUMMYFUNCTION("""COMPUTED_VALUE"""),600.0)</f>
        <v>600</v>
      </c>
      <c r="J249" s="30">
        <f>IFERROR(__xludf.DUMMYFUNCTION("""COMPUTED_VALUE"""),147.0)</f>
        <v>147</v>
      </c>
      <c r="K249" s="30" t="str">
        <f>IFERROR(__xludf.DUMMYFUNCTION("""COMPUTED_VALUE"""),"QTY, Limit Price (if any) &amp; Password input correct")</f>
        <v>QTY, Limit Price (if any) &amp; Password input correct</v>
      </c>
      <c r="L249" s="30"/>
    </row>
    <row r="250">
      <c r="A250" s="5"/>
      <c r="B250" s="118">
        <f>IFERROR(__xludf.DUMMYFUNCTION("""COMPUTED_VALUE"""),44618.99329193287)</f>
        <v>44618.99329</v>
      </c>
      <c r="C250" s="120">
        <f>IFERROR(__xludf.DUMMYFUNCTION("""COMPUTED_VALUE"""),44619.666666666664)</f>
        <v>44619.66667</v>
      </c>
      <c r="D250" s="5" t="str">
        <f>IFERROR(__xludf.DUMMYFUNCTION("""COMPUTED_VALUE"""),"37934")</f>
        <v>37934</v>
      </c>
      <c r="E250" s="5" t="str">
        <f>IFERROR(__xludf.DUMMYFUNCTION("""COMPUTED_VALUE"""),"Stock")</f>
        <v>Stock</v>
      </c>
      <c r="F250" s="5" t="str">
        <f>IFERROR(__xludf.DUMMYFUNCTION("""COMPUTED_VALUE"""),"HKD")</f>
        <v>HKD</v>
      </c>
      <c r="G250" s="30" t="str">
        <f>IFERROR(__xludf.DUMMYFUNCTION("""COMPUTED_VALUE"""),"Email Account/ TraderID Recognized")</f>
        <v>Email Account/ TraderID Recognized</v>
      </c>
      <c r="H250" s="121" t="str">
        <f>IFERROR(__xludf.DUMMYFUNCTION("""COMPUTED_VALUE"""),"9626.HK")</f>
        <v>9626.HK</v>
      </c>
      <c r="I250" s="30">
        <f>IFERROR(__xludf.DUMMYFUNCTION("""COMPUTED_VALUE"""),450.0)</f>
        <v>450</v>
      </c>
      <c r="J250" s="30">
        <f>IFERROR(__xludf.DUMMYFUNCTION("""COMPUTED_VALUE"""),242.0)</f>
        <v>242</v>
      </c>
      <c r="K250" s="30" t="str">
        <f>IFERROR(__xludf.DUMMYFUNCTION("""COMPUTED_VALUE"""),"QTY, Limit Price (if any) &amp; Password input correct")</f>
        <v>QTY, Limit Price (if any) &amp; Password input correct</v>
      </c>
      <c r="L250" s="30"/>
    </row>
    <row r="251">
      <c r="A251" s="5"/>
      <c r="B251" s="118">
        <f>IFERROR(__xludf.DUMMYFUNCTION("""COMPUTED_VALUE"""),44618.99613060185)</f>
        <v>44618.99613</v>
      </c>
      <c r="C251" s="120">
        <f>IFERROR(__xludf.DUMMYFUNCTION("""COMPUTED_VALUE"""),44619.666666666664)</f>
        <v>44619.66667</v>
      </c>
      <c r="D251" s="5" t="str">
        <f>IFERROR(__xludf.DUMMYFUNCTION("""COMPUTED_VALUE"""),"37934")</f>
        <v>37934</v>
      </c>
      <c r="E251" s="5" t="str">
        <f>IFERROR(__xludf.DUMMYFUNCTION("""COMPUTED_VALUE"""),"Stock")</f>
        <v>Stock</v>
      </c>
      <c r="F251" s="5" t="str">
        <f>IFERROR(__xludf.DUMMYFUNCTION("""COMPUTED_VALUE"""),"HKD")</f>
        <v>HKD</v>
      </c>
      <c r="G251" s="30" t="str">
        <f>IFERROR(__xludf.DUMMYFUNCTION("""COMPUTED_VALUE"""),"Email Account/ TraderID Recognized")</f>
        <v>Email Account/ TraderID Recognized</v>
      </c>
      <c r="H251" s="121" t="str">
        <f>IFERROR(__xludf.DUMMYFUNCTION("""COMPUTED_VALUE"""),"9988.HK")</f>
        <v>9988.HK</v>
      </c>
      <c r="I251" s="30">
        <f>IFERROR(__xludf.DUMMYFUNCTION("""COMPUTED_VALUE"""),900.0)</f>
        <v>900</v>
      </c>
      <c r="J251" s="30">
        <f>IFERROR(__xludf.DUMMYFUNCTION("""COMPUTED_VALUE"""),107.0)</f>
        <v>107</v>
      </c>
      <c r="K251" s="30" t="str">
        <f>IFERROR(__xludf.DUMMYFUNCTION("""COMPUTED_VALUE"""),"QTY, Limit Price (if any) &amp; Password input correct")</f>
        <v>QTY, Limit Price (if any) &amp; Password input correct</v>
      </c>
      <c r="L251" s="30"/>
    </row>
    <row r="252">
      <c r="A252" s="5"/>
      <c r="B252" s="118">
        <f>IFERROR(__xludf.DUMMYFUNCTION("""COMPUTED_VALUE"""),44619.70837743055)</f>
        <v>44619.70838</v>
      </c>
      <c r="C252" s="120" t="str">
        <f>IFERROR(__xludf.DUMMYFUNCTION("""COMPUTED_VALUE"""),"")</f>
        <v/>
      </c>
      <c r="D252" s="5" t="str">
        <f>IFERROR(__xludf.DUMMYFUNCTION("""COMPUTED_VALUE"""),"77936")</f>
        <v>77936</v>
      </c>
      <c r="E252" s="5" t="str">
        <f>IFERROR(__xludf.DUMMYFUNCTION("""COMPUTED_VALUE"""),"Stock")</f>
        <v>Stock</v>
      </c>
      <c r="F252" s="5" t="str">
        <f>IFERROR(__xludf.DUMMYFUNCTION("""COMPUTED_VALUE"""),"error")</f>
        <v>error</v>
      </c>
      <c r="G252" s="30" t="str">
        <f>IFERROR(__xludf.DUMMYFUNCTION("""COMPUTED_VALUE"""),"Email Account/ TraderID Recognized")</f>
        <v>Email Account/ TraderID Recognized</v>
      </c>
      <c r="H252" s="119" t="str">
        <f>IFERROR(__xludf.DUMMYFUNCTION("""COMPUTED_VALUE"""),"0700")</f>
        <v>0700</v>
      </c>
      <c r="I252" s="30">
        <f>IFERROR(__xludf.DUMMYFUNCTION("""COMPUTED_VALUE"""),200.0)</f>
        <v>200</v>
      </c>
      <c r="J252" s="30">
        <f>IFERROR(__xludf.DUMMYFUNCTION("""COMPUTED_VALUE"""),450.0)</f>
        <v>450</v>
      </c>
      <c r="K252" s="30" t="str">
        <f>IFERROR(__xludf.DUMMYFUNCTION("""COMPUTED_VALUE"""),"QTY, Limit Price (if any) &amp; Password input correct")</f>
        <v>QTY, Limit Price (if any) &amp; Password input correct</v>
      </c>
      <c r="L252" s="30" t="str">
        <f>IFERROR(__xludf.DUMMYFUNCTION("""COMPUTED_VALUE"""),"Order rejected due to wrong ticker code. just need to type in 0700.HK")</f>
        <v>Order rejected due to wrong ticker code. just need to type in 0700.HK</v>
      </c>
    </row>
    <row r="253">
      <c r="A253" s="5"/>
      <c r="B253" s="118">
        <f>IFERROR(__xludf.DUMMYFUNCTION("""COMPUTED_VALUE"""),44619.7323212037)</f>
        <v>44619.73232</v>
      </c>
      <c r="C253" s="120" t="str">
        <f>IFERROR(__xludf.DUMMYFUNCTION("""COMPUTED_VALUE"""),"")</f>
        <v/>
      </c>
      <c r="D253" s="5" t="str">
        <f>IFERROR(__xludf.DUMMYFUNCTION("""COMPUTED_VALUE"""),"37922")</f>
        <v>37922</v>
      </c>
      <c r="E253" s="5" t="str">
        <f>IFERROR(__xludf.DUMMYFUNCTION("""COMPUTED_VALUE"""),"Stock")</f>
        <v>Stock</v>
      </c>
      <c r="F253" s="5" t="str">
        <f>IFERROR(__xludf.DUMMYFUNCTION("""COMPUTED_VALUE"""),"error")</f>
        <v>error</v>
      </c>
      <c r="G253" s="30" t="str">
        <f>IFERROR(__xludf.DUMMYFUNCTION("""COMPUTED_VALUE"""),"Email Account/ TraderID Recognized")</f>
        <v>Email Account/ TraderID Recognized</v>
      </c>
      <c r="H253" s="119" t="str">
        <f>IFERROR(__xludf.DUMMYFUNCTION("""COMPUTED_VALUE"""),"09999")</f>
        <v>09999</v>
      </c>
      <c r="I253" s="30">
        <f>IFERROR(__xludf.DUMMYFUNCTION("""COMPUTED_VALUE"""),1.0)</f>
        <v>1</v>
      </c>
      <c r="J253" s="30"/>
      <c r="K253" s="30" t="str">
        <f>IFERROR(__xludf.DUMMYFUNCTION("""COMPUTED_VALUE"""),"QTY, Limit Price (if any) &amp; Password input correct")</f>
        <v>QTY, Limit Price (if any) &amp; Password input correct</v>
      </c>
      <c r="L253" s="30" t="str">
        <f>IFERROR(__xludf.DUMMYFUNCTION("""COMPUTED_VALUE"""),"Order rejected due to wrong ticker code. just need to type in 9999.HK")</f>
        <v>Order rejected due to wrong ticker code. just need to type in 9999.HK</v>
      </c>
    </row>
    <row r="254">
      <c r="A254" s="5"/>
      <c r="B254" s="118">
        <f>IFERROR(__xludf.DUMMYFUNCTION("""COMPUTED_VALUE"""),44619.83124190972)</f>
        <v>44619.83124</v>
      </c>
      <c r="C254" s="120">
        <f>IFERROR(__xludf.DUMMYFUNCTION("""COMPUTED_VALUE"""),44619.666666666664)</f>
        <v>44619.66667</v>
      </c>
      <c r="D254" s="5" t="str">
        <f>IFERROR(__xludf.DUMMYFUNCTION("""COMPUTED_VALUE"""),"46322")</f>
        <v>46322</v>
      </c>
      <c r="E254" s="5" t="str">
        <f>IFERROR(__xludf.DUMMYFUNCTION("""COMPUTED_VALUE"""),"Stock")</f>
        <v>Stock</v>
      </c>
      <c r="F254" s="5" t="str">
        <f>IFERROR(__xludf.DUMMYFUNCTION("""COMPUTED_VALUE"""),"USD")</f>
        <v>USD</v>
      </c>
      <c r="G254" s="30" t="str">
        <f>IFERROR(__xludf.DUMMYFUNCTION("""COMPUTED_VALUE"""),"Email Account/ TraderID Recognized")</f>
        <v>Email Account/ TraderID Recognized</v>
      </c>
      <c r="H254" s="119" t="str">
        <f>IFERROR(__xludf.DUMMYFUNCTION("""COMPUTED_VALUE"""),"ARKK")</f>
        <v>ARKK</v>
      </c>
      <c r="I254" s="30">
        <f>IFERROR(__xludf.DUMMYFUNCTION("""COMPUTED_VALUE"""),200.0)</f>
        <v>200</v>
      </c>
      <c r="J254" s="30"/>
      <c r="K254" s="30" t="str">
        <f>IFERROR(__xludf.DUMMYFUNCTION("""COMPUTED_VALUE"""),"QTY, Limit Price (if any) &amp; Password input correct")</f>
        <v>QTY, Limit Price (if any) &amp; Password input correct</v>
      </c>
      <c r="L254" s="30"/>
    </row>
    <row r="255">
      <c r="A255" s="5"/>
      <c r="B255" s="118">
        <f>IFERROR(__xludf.DUMMYFUNCTION("""COMPUTED_VALUE"""),44620.29085527778)</f>
        <v>44620.29086</v>
      </c>
      <c r="C255" s="120" t="str">
        <f>IFERROR(__xludf.DUMMYFUNCTION("""COMPUTED_VALUE"""),"")</f>
        <v/>
      </c>
      <c r="D255" s="5" t="str">
        <f>IFERROR(__xludf.DUMMYFUNCTION("""COMPUTED_VALUE"""),"24442")</f>
        <v>24442</v>
      </c>
      <c r="E255" s="5" t="str">
        <f>IFERROR(__xludf.DUMMYFUNCTION("""COMPUTED_VALUE"""),"Stock")</f>
        <v>Stock</v>
      </c>
      <c r="F255" s="5" t="str">
        <f>IFERROR(__xludf.DUMMYFUNCTION("""COMPUTED_VALUE"""),"error")</f>
        <v>error</v>
      </c>
      <c r="G255" s="30" t="str">
        <f>IFERROR(__xludf.DUMMYFUNCTION("""COMPUTED_VALUE"""),"Email Account/ TraderID Recognized")</f>
        <v>Email Account/ TraderID Recognized</v>
      </c>
      <c r="H255" s="119" t="str">
        <f>IFERROR(__xludf.DUMMYFUNCTION("""COMPUTED_VALUE"""),"005930.KRX")</f>
        <v>005930.KRX</v>
      </c>
      <c r="I255" s="30">
        <f>IFERROR(__xludf.DUMMYFUNCTION("""COMPUTED_VALUE"""),100.0)</f>
        <v>100</v>
      </c>
      <c r="J255" s="30"/>
      <c r="K255" s="30" t="str">
        <f>IFERROR(__xludf.DUMMYFUNCTION("""COMPUTED_VALUE"""),"QTY, Limit Price (if any) &amp; Password input correct")</f>
        <v>QTY, Limit Price (if any) &amp; Password input correct</v>
      </c>
      <c r="L255" s="30" t="str">
        <f>IFERROR(__xludf.DUMMYFUNCTION("""COMPUTED_VALUE"""),"Order rejected due to wrong ticker code. just need to type in 005930.KS")</f>
        <v>Order rejected due to wrong ticker code. just need to type in 005930.KS</v>
      </c>
    </row>
    <row r="256">
      <c r="A256" s="5"/>
      <c r="B256" s="118">
        <f>IFERROR(__xludf.DUMMYFUNCTION("""COMPUTED_VALUE"""),44620.29469686342)</f>
        <v>44620.2947</v>
      </c>
      <c r="C256" s="120">
        <f>IFERROR(__xludf.DUMMYFUNCTION("""COMPUTED_VALUE"""),44620.645833333336)</f>
        <v>44620.64583</v>
      </c>
      <c r="D256" s="5" t="str">
        <f>IFERROR(__xludf.DUMMYFUNCTION("""COMPUTED_VALUE"""),"24442")</f>
        <v>24442</v>
      </c>
      <c r="E256" s="5" t="str">
        <f>IFERROR(__xludf.DUMMYFUNCTION("""COMPUTED_VALUE"""),"Stock")</f>
        <v>Stock</v>
      </c>
      <c r="F256" s="5" t="str">
        <f>IFERROR(__xludf.DUMMYFUNCTION("""COMPUTED_VALUE"""),"KRW")</f>
        <v>KRW</v>
      </c>
      <c r="G256" s="30" t="str">
        <f>IFERROR(__xludf.DUMMYFUNCTION("""COMPUTED_VALUE"""),"Email Account/ TraderID Recognized")</f>
        <v>Email Account/ TraderID Recognized</v>
      </c>
      <c r="H256" s="119" t="str">
        <f>IFERROR(__xludf.DUMMYFUNCTION("""COMPUTED_VALUE"""),"005930.KS")</f>
        <v>005930.KS</v>
      </c>
      <c r="I256" s="30">
        <f>IFERROR(__xludf.DUMMYFUNCTION("""COMPUTED_VALUE"""),100.0)</f>
        <v>100</v>
      </c>
      <c r="J256" s="30"/>
      <c r="K256" s="30" t="str">
        <f>IFERROR(__xludf.DUMMYFUNCTION("""COMPUTED_VALUE"""),"QTY, Limit Price (if any) &amp; Password input correct")</f>
        <v>QTY, Limit Price (if any) &amp; Password input correct</v>
      </c>
      <c r="L256" s="30"/>
    </row>
    <row r="257">
      <c r="A257" s="5"/>
      <c r="B257" s="118">
        <f>IFERROR(__xludf.DUMMYFUNCTION("""COMPUTED_VALUE"""),44620.386090879634)</f>
        <v>44620.38609</v>
      </c>
      <c r="C257" s="120">
        <f>IFERROR(__xludf.DUMMYFUNCTION("""COMPUTED_VALUE"""),44620.625)</f>
        <v>44620.625</v>
      </c>
      <c r="D257" s="5" t="str">
        <f>IFERROR(__xludf.DUMMYFUNCTION("""COMPUTED_VALUE"""),"76369")</f>
        <v>76369</v>
      </c>
      <c r="E257" s="5" t="str">
        <f>IFERROR(__xludf.DUMMYFUNCTION("""COMPUTED_VALUE"""),"Stock")</f>
        <v>Stock</v>
      </c>
      <c r="F257" s="5" t="str">
        <f>IFERROR(__xludf.DUMMYFUNCTION("""COMPUTED_VALUE"""),"CNY")</f>
        <v>CNY</v>
      </c>
      <c r="G257" s="30" t="str">
        <f>IFERROR(__xludf.DUMMYFUNCTION("""COMPUTED_VALUE"""),"Email Account/ TraderID Recognized")</f>
        <v>Email Account/ TraderID Recognized</v>
      </c>
      <c r="H257" s="121" t="str">
        <f>IFERROR(__xludf.DUMMYFUNCTION("""COMPUTED_VALUE"""),"002665.SZ")</f>
        <v>002665.SZ</v>
      </c>
      <c r="I257" s="30">
        <f>IFERROR(__xludf.DUMMYFUNCTION("""COMPUTED_VALUE"""),1000.0)</f>
        <v>1000</v>
      </c>
      <c r="J257" s="30"/>
      <c r="K257" s="30" t="str">
        <f>IFERROR(__xludf.DUMMYFUNCTION("""COMPUTED_VALUE"""),"QTY, Limit Price (if any) &amp; Password input correct")</f>
        <v>QTY, Limit Price (if any) &amp; Password input correct</v>
      </c>
      <c r="L257" s="30"/>
    </row>
    <row r="258">
      <c r="A258" s="5"/>
      <c r="B258" s="118">
        <f>IFERROR(__xludf.DUMMYFUNCTION("""COMPUTED_VALUE"""),44620.38788539352)</f>
        <v>44620.38789</v>
      </c>
      <c r="C258" s="120">
        <f>IFERROR(__xludf.DUMMYFUNCTION("""COMPUTED_VALUE"""),44620.625)</f>
        <v>44620.625</v>
      </c>
      <c r="D258" s="5" t="str">
        <f>IFERROR(__xludf.DUMMYFUNCTION("""COMPUTED_VALUE"""),"76369")</f>
        <v>76369</v>
      </c>
      <c r="E258" s="5" t="str">
        <f>IFERROR(__xludf.DUMMYFUNCTION("""COMPUTED_VALUE"""),"Stock")</f>
        <v>Stock</v>
      </c>
      <c r="F258" s="5" t="str">
        <f>IFERROR(__xludf.DUMMYFUNCTION("""COMPUTED_VALUE"""),"CNY")</f>
        <v>CNY</v>
      </c>
      <c r="G258" s="30" t="str">
        <f>IFERROR(__xludf.DUMMYFUNCTION("""COMPUTED_VALUE"""),"Email Account/ TraderID Recognized")</f>
        <v>Email Account/ TraderID Recognized</v>
      </c>
      <c r="H258" s="121" t="str">
        <f>IFERROR(__xludf.DUMMYFUNCTION("""COMPUTED_VALUE"""),"603967.SS")</f>
        <v>603967.SS</v>
      </c>
      <c r="I258" s="30">
        <f>IFERROR(__xludf.DUMMYFUNCTION("""COMPUTED_VALUE"""),500.0)</f>
        <v>500</v>
      </c>
      <c r="J258" s="30"/>
      <c r="K258" s="30" t="str">
        <f>IFERROR(__xludf.DUMMYFUNCTION("""COMPUTED_VALUE"""),"QTY, Limit Price (if any) &amp; Password input correct")</f>
        <v>QTY, Limit Price (if any) &amp; Password input correct</v>
      </c>
      <c r="L258" s="30"/>
    </row>
    <row r="259">
      <c r="A259" s="5"/>
      <c r="B259" s="118">
        <f>IFERROR(__xludf.DUMMYFUNCTION("""COMPUTED_VALUE"""),44620.42370719908)</f>
        <v>44620.42371</v>
      </c>
      <c r="C259" s="120">
        <f>IFERROR(__xludf.DUMMYFUNCTION("""COMPUTED_VALUE"""),44620.666666666664)</f>
        <v>44620.66667</v>
      </c>
      <c r="D259" s="5" t="str">
        <f>IFERROR(__xludf.DUMMYFUNCTION("""COMPUTED_VALUE"""),"36460")</f>
        <v>36460</v>
      </c>
      <c r="E259" s="5" t="str">
        <f>IFERROR(__xludf.DUMMYFUNCTION("""COMPUTED_VALUE"""),"Stock")</f>
        <v>Stock</v>
      </c>
      <c r="F259" s="5" t="str">
        <f>IFERROR(__xludf.DUMMYFUNCTION("""COMPUTED_VALUE"""),"USD")</f>
        <v>USD</v>
      </c>
      <c r="G259" s="30" t="str">
        <f>IFERROR(__xludf.DUMMYFUNCTION("""COMPUTED_VALUE"""),"Email Account/ TraderID Recognized")</f>
        <v>Email Account/ TraderID Recognized</v>
      </c>
      <c r="H259" s="119" t="str">
        <f>IFERROR(__xludf.DUMMYFUNCTION("""COMPUTED_VALUE"""),"TSLA")</f>
        <v>TSLA</v>
      </c>
      <c r="I259" s="30">
        <f>IFERROR(__xludf.DUMMYFUNCTION("""COMPUTED_VALUE"""),80.0)</f>
        <v>80</v>
      </c>
      <c r="J259" s="30"/>
      <c r="K259" s="30" t="str">
        <f>IFERROR(__xludf.DUMMYFUNCTION("""COMPUTED_VALUE"""),"QTY, Limit Price (if any) &amp; Password input correct")</f>
        <v>QTY, Limit Price (if any) &amp; Password input correct</v>
      </c>
      <c r="L259" s="30"/>
    </row>
    <row r="260">
      <c r="A260" s="5"/>
      <c r="B260" s="118">
        <f>IFERROR(__xludf.DUMMYFUNCTION("""COMPUTED_VALUE"""),44620.46667634259)</f>
        <v>44620.46668</v>
      </c>
      <c r="C260" s="120" t="str">
        <f>IFERROR(__xludf.DUMMYFUNCTION("""COMPUTED_VALUE"""),"")</f>
        <v/>
      </c>
      <c r="D260" s="5" t="str">
        <f>IFERROR(__xludf.DUMMYFUNCTION("""COMPUTED_VALUE"""),"14626")</f>
        <v>14626</v>
      </c>
      <c r="E260" s="5" t="str">
        <f>IFERROR(__xludf.DUMMYFUNCTION("""COMPUTED_VALUE"""),"Bond")</f>
        <v>Bond</v>
      </c>
      <c r="F260" s="5" t="str">
        <f>IFERROR(__xludf.DUMMYFUNCTION("""COMPUTED_VALUE"""),"error")</f>
        <v>error</v>
      </c>
      <c r="G260" s="30" t="str">
        <f>IFERROR(__xludf.DUMMYFUNCTION("""COMPUTED_VALUE"""),"Email Account/ TraderID Recognized")</f>
        <v>Email Account/ TraderID Recognized</v>
      </c>
      <c r="H260" s="119" t="str">
        <f>IFERROR(__xludf.DUMMYFUNCTION("""COMPUTED_VALUE"""),"GC=F")</f>
        <v>GC=F</v>
      </c>
      <c r="I260" s="30">
        <f>IFERROR(__xludf.DUMMYFUNCTION("""COMPUTED_VALUE"""),5.0)</f>
        <v>5</v>
      </c>
      <c r="J260" s="30"/>
      <c r="K260" s="30" t="str">
        <f>IFERROR(__xludf.DUMMYFUNCTION("""COMPUTED_VALUE"""),"QTY, Limit Price (if any) &amp; Password input correct")</f>
        <v>QTY, Limit Price (if any) &amp; Password input correct</v>
      </c>
      <c r="L260" s="30" t="str">
        <f>IFERROR(__xludf.DUMMYFUNCTION("""COMPUTED_VALUE"""),"Order rejected due to wrong asset class. Input as stock ticker, but asset class is bond.")</f>
        <v>Order rejected due to wrong asset class. Input as stock ticker, but asset class is bond.</v>
      </c>
    </row>
    <row r="261">
      <c r="A261" s="5"/>
      <c r="B261" s="118">
        <f>IFERROR(__xludf.DUMMYFUNCTION("""COMPUTED_VALUE"""),44620.46970577547)</f>
        <v>44620.46971</v>
      </c>
      <c r="C261" s="120" t="str">
        <f>IFERROR(__xludf.DUMMYFUNCTION("""COMPUTED_VALUE"""),"")</f>
        <v/>
      </c>
      <c r="D261" s="5" t="str">
        <f>IFERROR(__xludf.DUMMYFUNCTION("""COMPUTED_VALUE"""),"14626")</f>
        <v>14626</v>
      </c>
      <c r="E261" s="5" t="str">
        <f>IFERROR(__xludf.DUMMYFUNCTION("""COMPUTED_VALUE"""),"Bond")</f>
        <v>Bond</v>
      </c>
      <c r="F261" s="5" t="str">
        <f>IFERROR(__xludf.DUMMYFUNCTION("""COMPUTED_VALUE"""),"error")</f>
        <v>error</v>
      </c>
      <c r="G261" s="30" t="str">
        <f>IFERROR(__xludf.DUMMYFUNCTION("""COMPUTED_VALUE"""),"Email Account/ TraderID Recognized")</f>
        <v>Email Account/ TraderID Recognized</v>
      </c>
      <c r="H261" s="119" t="str">
        <f>IFERROR(__xludf.DUMMYFUNCTION("""COMPUTED_VALUE"""),"(^FTSE)")</f>
        <v>(^FTSE)</v>
      </c>
      <c r="I261" s="30">
        <f>IFERROR(__xludf.DUMMYFUNCTION("""COMPUTED_VALUE"""),4.0)</f>
        <v>4</v>
      </c>
      <c r="J261" s="30"/>
      <c r="K261" s="30" t="str">
        <f>IFERROR(__xludf.DUMMYFUNCTION("""COMPUTED_VALUE"""),"QTY, Limit Price (if any) &amp; Password input correct")</f>
        <v>QTY, Limit Price (if any) &amp; Password input correct</v>
      </c>
      <c r="L261" s="30" t="str">
        <f>IFERROR(__xludf.DUMMYFUNCTION("""COMPUTED_VALUE"""),"Order rejected due to wrong asset class. Input as stock ticker, but asset class is bond.")</f>
        <v>Order rejected due to wrong asset class. Input as stock ticker, but asset class is bond.</v>
      </c>
    </row>
    <row r="262">
      <c r="A262" s="5"/>
      <c r="B262" s="118">
        <f>IFERROR(__xludf.DUMMYFUNCTION("""COMPUTED_VALUE"""),44620.49059347222)</f>
        <v>44620.49059</v>
      </c>
      <c r="C262" s="120">
        <f>IFERROR(__xludf.DUMMYFUNCTION("""COMPUTED_VALUE"""),44620.666666666664)</f>
        <v>44620.66667</v>
      </c>
      <c r="D262" s="5" t="str">
        <f>IFERROR(__xludf.DUMMYFUNCTION("""COMPUTED_VALUE"""),"14626")</f>
        <v>14626</v>
      </c>
      <c r="E262" s="5" t="str">
        <f>IFERROR(__xludf.DUMMYFUNCTION("""COMPUTED_VALUE"""),"Stock")</f>
        <v>Stock</v>
      </c>
      <c r="F262" s="5" t="str">
        <f>IFERROR(__xludf.DUMMYFUNCTION("""COMPUTED_VALUE"""),"USD")</f>
        <v>USD</v>
      </c>
      <c r="G262" s="30" t="str">
        <f>IFERROR(__xludf.DUMMYFUNCTION("""COMPUTED_VALUE"""),"Email Account/ TraderID Recognized")</f>
        <v>Email Account/ TraderID Recognized</v>
      </c>
      <c r="H262" s="119" t="str">
        <f>IFERROR(__xludf.DUMMYFUNCTION("""COMPUTED_VALUE"""),"TSLA")</f>
        <v>TSLA</v>
      </c>
      <c r="I262" s="30">
        <f>IFERROR(__xludf.DUMMYFUNCTION("""COMPUTED_VALUE"""),18.0)</f>
        <v>18</v>
      </c>
      <c r="J262" s="30">
        <f>IFERROR(__xludf.DUMMYFUNCTION("""COMPUTED_VALUE"""),800.0)</f>
        <v>800</v>
      </c>
      <c r="K262" s="30" t="str">
        <f>IFERROR(__xludf.DUMMYFUNCTION("""COMPUTED_VALUE"""),"QTY, Limit Price (if any) &amp; Password input correct")</f>
        <v>QTY, Limit Price (if any) &amp; Password input correct</v>
      </c>
      <c r="L262" s="30"/>
    </row>
    <row r="263">
      <c r="A263" s="5"/>
      <c r="B263" s="118">
        <f>IFERROR(__xludf.DUMMYFUNCTION("""COMPUTED_VALUE"""),44620.67482027778)</f>
        <v>44620.67482</v>
      </c>
      <c r="C263" s="120" t="str">
        <f>IFERROR(__xludf.DUMMYFUNCTION("""COMPUTED_VALUE"""),"")</f>
        <v/>
      </c>
      <c r="D263" s="5" t="str">
        <f>IFERROR(__xludf.DUMMYFUNCTION("""COMPUTED_VALUE"""),"45962")</f>
        <v>45962</v>
      </c>
      <c r="E263" s="5" t="str">
        <f>IFERROR(__xludf.DUMMYFUNCTION("""COMPUTED_VALUE"""),"Stock")</f>
        <v>Stock</v>
      </c>
      <c r="F263" s="5" t="str">
        <f>IFERROR(__xludf.DUMMYFUNCTION("""COMPUTED_VALUE"""),"error")</f>
        <v>error</v>
      </c>
      <c r="G263" s="30" t="str">
        <f>IFERROR(__xludf.DUMMYFUNCTION("""COMPUTED_VALUE"""),"Email Account/ TraderID Recognized")</f>
        <v>Email Account/ TraderID Recognized</v>
      </c>
      <c r="H263" s="121" t="str">
        <f>IFERROR(__xludf.DUMMYFUNCTION("""COMPUTED_VALUE"""),"00700.hk")</f>
        <v>00700.hk</v>
      </c>
      <c r="I263" s="30">
        <f>IFERROR(__xludf.DUMMYFUNCTION("""COMPUTED_VALUE"""),1000.0)</f>
        <v>1000</v>
      </c>
      <c r="J263" s="30"/>
      <c r="K263" s="30" t="str">
        <f>IFERROR(__xludf.DUMMYFUNCTION("""COMPUTED_VALUE"""),"QTY, Limit Price (if any) &amp; Password input correct")</f>
        <v>QTY, Limit Price (if any) &amp; Password input correct</v>
      </c>
      <c r="L263" s="30" t="str">
        <f>IFERROR(__xludf.DUMMYFUNCTION("""COMPUTED_VALUE"""),"Order rejected due to wrong ticker code. just need to type in 0700.HK")</f>
        <v>Order rejected due to wrong ticker code. just need to type in 0700.HK</v>
      </c>
    </row>
    <row r="264">
      <c r="A264" s="5"/>
      <c r="B264" s="118">
        <f>IFERROR(__xludf.DUMMYFUNCTION("""COMPUTED_VALUE"""),44620.67934162037)</f>
        <v>44620.67934</v>
      </c>
      <c r="C264" s="120">
        <f>IFERROR(__xludf.DUMMYFUNCTION("""COMPUTED_VALUE"""),44621.666666666664)</f>
        <v>44621.66667</v>
      </c>
      <c r="D264" s="5" t="str">
        <f>IFERROR(__xludf.DUMMYFUNCTION("""COMPUTED_VALUE"""),"45962")</f>
        <v>45962</v>
      </c>
      <c r="E264" s="5" t="str">
        <f>IFERROR(__xludf.DUMMYFUNCTION("""COMPUTED_VALUE"""),"Stock")</f>
        <v>Stock</v>
      </c>
      <c r="F264" s="5" t="str">
        <f>IFERROR(__xludf.DUMMYFUNCTION("""COMPUTED_VALUE"""),"HKD")</f>
        <v>HKD</v>
      </c>
      <c r="G264" s="30" t="str">
        <f>IFERROR(__xludf.DUMMYFUNCTION("""COMPUTED_VALUE"""),"Email Account/ TraderID Recognized")</f>
        <v>Email Account/ TraderID Recognized</v>
      </c>
      <c r="H264" s="121" t="str">
        <f>IFERROR(__xludf.DUMMYFUNCTION("""COMPUTED_VALUE"""),"0700.HK")</f>
        <v>0700.HK</v>
      </c>
      <c r="I264" s="30">
        <f>IFERROR(__xludf.DUMMYFUNCTION("""COMPUTED_VALUE"""),1000.0)</f>
        <v>1000</v>
      </c>
      <c r="J264" s="30"/>
      <c r="K264" s="30" t="str">
        <f>IFERROR(__xludf.DUMMYFUNCTION("""COMPUTED_VALUE"""),"QTY, Limit Price (if any) &amp; Password input correct")</f>
        <v>QTY, Limit Price (if any) &amp; Password input correct</v>
      </c>
      <c r="L264" s="30"/>
    </row>
    <row r="265">
      <c r="A265" s="5"/>
      <c r="B265" s="118">
        <f>IFERROR(__xludf.DUMMYFUNCTION("""COMPUTED_VALUE"""),44620.70109956019)</f>
        <v>44620.7011</v>
      </c>
      <c r="C265" s="120" t="str">
        <f>IFERROR(__xludf.DUMMYFUNCTION("""COMPUTED_VALUE"""),"")</f>
        <v/>
      </c>
      <c r="D265" s="5" t="str">
        <f>IFERROR(__xludf.DUMMYFUNCTION("""COMPUTED_VALUE"""),"")</f>
        <v/>
      </c>
      <c r="E265" s="5" t="str">
        <f>IFERROR(__xludf.DUMMYFUNCTION("""COMPUTED_VALUE"""),"Stock")</f>
        <v>Stock</v>
      </c>
      <c r="F265" s="5" t="str">
        <f>IFERROR(__xludf.DUMMYFUNCTION("""COMPUTED_VALUE"""),"error")</f>
        <v>error</v>
      </c>
      <c r="G265" s="30" t="str">
        <f>IFERROR(__xludf.DUMMYFUNCTION("""COMPUTED_VALUE"""),"nma3xxxxxx@nonHKMUemail")</f>
        <v>nma3xxxxxx@nonHKMUemail</v>
      </c>
      <c r="H265" s="119" t="str">
        <f>IFERROR(__xludf.DUMMYFUNCTION("""COMPUTED_VALUE"""),"600519")</f>
        <v>600519</v>
      </c>
      <c r="I265" s="30">
        <f>IFERROR(__xludf.DUMMYFUNCTION("""COMPUTED_VALUE"""),1000.0)</f>
        <v>1000</v>
      </c>
      <c r="J265" s="30">
        <f>IFERROR(__xludf.DUMMYFUNCTION("""COMPUTED_VALUE"""),1780.0)</f>
        <v>1780</v>
      </c>
      <c r="K265" s="30" t="str">
        <f>IFERROR(__xludf.DUMMYFUNCTION("""COMPUTED_VALUE"""),"QTY, Limit Price (if any) &amp; Password input correct")</f>
        <v>QTY, Limit Price (if any) &amp; Password input correct</v>
      </c>
      <c r="L265" s="30" t="str">
        <f>IFERROR(__xludf.DUMMYFUNCTION("""COMPUTED_VALUE"""),"Order rejected due to wrong account/ school email code. Please input your correct email address.")</f>
        <v>Order rejected due to wrong account/ school email code. Please input your correct email address.</v>
      </c>
    </row>
    <row r="266">
      <c r="A266" s="5"/>
      <c r="B266" s="118">
        <f>IFERROR(__xludf.DUMMYFUNCTION("""COMPUTED_VALUE"""),44620.7156040625)</f>
        <v>44620.7156</v>
      </c>
      <c r="C266" s="120" t="str">
        <f>IFERROR(__xludf.DUMMYFUNCTION("""COMPUTED_VALUE"""),"")</f>
        <v/>
      </c>
      <c r="D266" s="5" t="str">
        <f>IFERROR(__xludf.DUMMYFUNCTION("""COMPUTED_VALUE"""),"")</f>
        <v/>
      </c>
      <c r="E266" s="5" t="str">
        <f>IFERROR(__xludf.DUMMYFUNCTION("""COMPUTED_VALUE"""),"Stock")</f>
        <v>Stock</v>
      </c>
      <c r="F266" s="5" t="str">
        <f>IFERROR(__xludf.DUMMYFUNCTION("""COMPUTED_VALUE"""),"error")</f>
        <v>error</v>
      </c>
      <c r="G266" s="30" t="str">
        <f>IFERROR(__xludf.DUMMYFUNCTION("""COMPUTED_VALUE"""),"nma3xxxxxx@nonHKMUemail")</f>
        <v>nma3xxxxxx@nonHKMUemail</v>
      </c>
      <c r="H266" s="121" t="str">
        <f>IFERROR(__xludf.DUMMYFUNCTION("""COMPUTED_VALUE"""),"600519.SS")</f>
        <v>600519.SS</v>
      </c>
      <c r="I266" s="30">
        <f>IFERROR(__xludf.DUMMYFUNCTION("""COMPUTED_VALUE"""),50.0)</f>
        <v>50</v>
      </c>
      <c r="J266" s="30">
        <f>IFERROR(__xludf.DUMMYFUNCTION("""COMPUTED_VALUE"""),1791.0)</f>
        <v>1791</v>
      </c>
      <c r="K266" s="30" t="str">
        <f>IFERROR(__xludf.DUMMYFUNCTION("""COMPUTED_VALUE"""),"QTY, Limit Price (if any) &amp; Password input correct")</f>
        <v>QTY, Limit Price (if any) &amp; Password input correct</v>
      </c>
      <c r="L266" s="30" t="str">
        <f>IFERROR(__xludf.DUMMYFUNCTION("""COMPUTED_VALUE"""),"Order rejected due to wrong account/ school email code. Please input your correct email address.")</f>
        <v>Order rejected due to wrong account/ school email code. Please input your correct email address.</v>
      </c>
    </row>
    <row r="267">
      <c r="A267" s="5"/>
      <c r="B267" s="118">
        <f>IFERROR(__xludf.DUMMYFUNCTION("""COMPUTED_VALUE"""),44620.99651243056)</f>
        <v>44620.99651</v>
      </c>
      <c r="C267" s="120">
        <f>IFERROR(__xludf.DUMMYFUNCTION("""COMPUTED_VALUE"""),44620.666666666664)</f>
        <v>44620.66667</v>
      </c>
      <c r="D267" s="5" t="str">
        <f>IFERROR(__xludf.DUMMYFUNCTION("""COMPUTED_VALUE"""),"89750")</f>
        <v>89750</v>
      </c>
      <c r="E267" s="5" t="str">
        <f>IFERROR(__xludf.DUMMYFUNCTION("""COMPUTED_VALUE"""),"Stock")</f>
        <v>Stock</v>
      </c>
      <c r="F267" s="5" t="str">
        <f>IFERROR(__xludf.DUMMYFUNCTION("""COMPUTED_VALUE"""),"USD")</f>
        <v>USD</v>
      </c>
      <c r="G267" s="30" t="str">
        <f>IFERROR(__xludf.DUMMYFUNCTION("""COMPUTED_VALUE"""),"Email Account/ TraderID Recognized")</f>
        <v>Email Account/ TraderID Recognized</v>
      </c>
      <c r="H267" s="119" t="str">
        <f>IFERROR(__xludf.DUMMYFUNCTION("""COMPUTED_VALUE"""),"SOXL")</f>
        <v>SOXL</v>
      </c>
      <c r="I267" s="30">
        <f>IFERROR(__xludf.DUMMYFUNCTION("""COMPUTED_VALUE"""),20.0)</f>
        <v>20</v>
      </c>
      <c r="J267" s="30"/>
      <c r="K267" s="30" t="str">
        <f>IFERROR(__xludf.DUMMYFUNCTION("""COMPUTED_VALUE"""),"QTY, Limit Price (if any) &amp; Password input correct")</f>
        <v>QTY, Limit Price (if any) &amp; Password input correct</v>
      </c>
      <c r="L267" s="30"/>
    </row>
    <row r="268">
      <c r="A268" s="5"/>
      <c r="B268" s="118">
        <f>IFERROR(__xludf.DUMMYFUNCTION("""COMPUTED_VALUE"""),44621.04626861111)</f>
        <v>44621.04627</v>
      </c>
      <c r="C268" s="120">
        <f>IFERROR(__xludf.DUMMYFUNCTION("""COMPUTED_VALUE"""),44620.666666666664)</f>
        <v>44620.66667</v>
      </c>
      <c r="D268" s="5" t="str">
        <f>IFERROR(__xludf.DUMMYFUNCTION("""COMPUTED_VALUE"""),"89750")</f>
        <v>89750</v>
      </c>
      <c r="E268" s="5" t="str">
        <f>IFERROR(__xludf.DUMMYFUNCTION("""COMPUTED_VALUE"""),"Stock")</f>
        <v>Stock</v>
      </c>
      <c r="F268" s="5" t="str">
        <f>IFERROR(__xludf.DUMMYFUNCTION("""COMPUTED_VALUE"""),"USD")</f>
        <v>USD</v>
      </c>
      <c r="G268" s="30" t="str">
        <f>IFERROR(__xludf.DUMMYFUNCTION("""COMPUTED_VALUE"""),"Email Account/ TraderID Recognized")</f>
        <v>Email Account/ TraderID Recognized</v>
      </c>
      <c r="H268" s="119" t="str">
        <f>IFERROR(__xludf.DUMMYFUNCTION("""COMPUTED_VALUE"""),"SBRCY")</f>
        <v>SBRCY</v>
      </c>
      <c r="I268" s="30">
        <f>IFERROR(__xludf.DUMMYFUNCTION("""COMPUTED_VALUE"""),5000.0)</f>
        <v>5000</v>
      </c>
      <c r="J268" s="30"/>
      <c r="K268" s="30" t="str">
        <f>IFERROR(__xludf.DUMMYFUNCTION("""COMPUTED_VALUE"""),"QTY, Limit Price (if any) &amp; Password input correct")</f>
        <v>QTY, Limit Price (if any) &amp; Password input correct</v>
      </c>
      <c r="L268" s="30"/>
    </row>
    <row r="269">
      <c r="A269" s="5"/>
      <c r="B269" s="118">
        <f>IFERROR(__xludf.DUMMYFUNCTION("""COMPUTED_VALUE"""),44621.046745162035)</f>
        <v>44621.04675</v>
      </c>
      <c r="C269" s="120">
        <f>IFERROR(__xludf.DUMMYFUNCTION("""COMPUTED_VALUE"""),44620.666666666664)</f>
        <v>44620.66667</v>
      </c>
      <c r="D269" s="5" t="str">
        <f>IFERROR(__xludf.DUMMYFUNCTION("""COMPUTED_VALUE"""),"89750")</f>
        <v>89750</v>
      </c>
      <c r="E269" s="5" t="str">
        <f>IFERROR(__xludf.DUMMYFUNCTION("""COMPUTED_VALUE"""),"Option")</f>
        <v>Option</v>
      </c>
      <c r="F269" s="5" t="str">
        <f>IFERROR(__xludf.DUMMYFUNCTION("""COMPUTED_VALUE"""),"USD")</f>
        <v>USD</v>
      </c>
      <c r="G269" s="30" t="str">
        <f>IFERROR(__xludf.DUMMYFUNCTION("""COMPUTED_VALUE"""),"Email Account/ TraderID Recognized")</f>
        <v>Email Account/ TraderID Recognized</v>
      </c>
      <c r="H269" s="119" t="str">
        <f>IFERROR(__xludf.DUMMYFUNCTION("""COMPUTED_VALUE"""),"FTCH220318P00017500")</f>
        <v>FTCH220318P00017500</v>
      </c>
      <c r="I269" s="30">
        <f>IFERROR(__xludf.DUMMYFUNCTION("""COMPUTED_VALUE"""),50.0)</f>
        <v>50</v>
      </c>
      <c r="J269" s="30"/>
      <c r="K269" s="30" t="str">
        <f>IFERROR(__xludf.DUMMYFUNCTION("""COMPUTED_VALUE"""),"QTY, Limit Price (if any) &amp; Password input correct")</f>
        <v>QTY, Limit Price (if any) &amp; Password input correct</v>
      </c>
      <c r="L269" s="30"/>
    </row>
    <row r="270">
      <c r="A270" s="5"/>
      <c r="B270" s="118">
        <f>IFERROR(__xludf.DUMMYFUNCTION("""COMPUTED_VALUE"""),44621.05596712963)</f>
        <v>44621.05597</v>
      </c>
      <c r="C270" s="120">
        <f>IFERROR(__xludf.DUMMYFUNCTION("""COMPUTED_VALUE"""),44620.666666666664)</f>
        <v>44620.66667</v>
      </c>
      <c r="D270" s="5" t="str">
        <f>IFERROR(__xludf.DUMMYFUNCTION("""COMPUTED_VALUE"""),"89750")</f>
        <v>89750</v>
      </c>
      <c r="E270" s="5" t="str">
        <f>IFERROR(__xludf.DUMMYFUNCTION("""COMPUTED_VALUE"""),"Option")</f>
        <v>Option</v>
      </c>
      <c r="F270" s="5" t="str">
        <f>IFERROR(__xludf.DUMMYFUNCTION("""COMPUTED_VALUE"""),"USD")</f>
        <v>USD</v>
      </c>
      <c r="G270" s="30" t="str">
        <f>IFERROR(__xludf.DUMMYFUNCTION("""COMPUTED_VALUE"""),"Email Account/ TraderID Recognized")</f>
        <v>Email Account/ TraderID Recognized</v>
      </c>
      <c r="H270" s="119" t="str">
        <f>IFERROR(__xludf.DUMMYFUNCTION("""COMPUTED_VALUE"""),"SPXL220318C00080000")</f>
        <v>SPXL220318C00080000</v>
      </c>
      <c r="I270" s="30">
        <f>IFERROR(__xludf.DUMMYFUNCTION("""COMPUTED_VALUE"""),2.0)</f>
        <v>2</v>
      </c>
      <c r="J270" s="30"/>
      <c r="K270" s="30" t="str">
        <f>IFERROR(__xludf.DUMMYFUNCTION("""COMPUTED_VALUE"""),"QTY, Limit Price (if any) &amp; Password input correct")</f>
        <v>QTY, Limit Price (if any) &amp; Password input correct</v>
      </c>
      <c r="L270" s="30"/>
    </row>
    <row r="271">
      <c r="A271" s="5"/>
      <c r="B271" s="118">
        <f>IFERROR(__xludf.DUMMYFUNCTION("""COMPUTED_VALUE"""),44621.109633831016)</f>
        <v>44621.10963</v>
      </c>
      <c r="C271" s="120">
        <f>IFERROR(__xludf.DUMMYFUNCTION("""COMPUTED_VALUE"""),44620.666666666664)</f>
        <v>44620.66667</v>
      </c>
      <c r="D271" s="5" t="str">
        <f>IFERROR(__xludf.DUMMYFUNCTION("""COMPUTED_VALUE"""),"39857")</f>
        <v>39857</v>
      </c>
      <c r="E271" s="5" t="str">
        <f>IFERROR(__xludf.DUMMYFUNCTION("""COMPUTED_VALUE"""),"Stock")</f>
        <v>Stock</v>
      </c>
      <c r="F271" s="5" t="str">
        <f>IFERROR(__xludf.DUMMYFUNCTION("""COMPUTED_VALUE"""),"USD")</f>
        <v>USD</v>
      </c>
      <c r="G271" s="30" t="str">
        <f>IFERROR(__xludf.DUMMYFUNCTION("""COMPUTED_VALUE"""),"Email Account/ TraderID Recognized")</f>
        <v>Email Account/ TraderID Recognized</v>
      </c>
      <c r="H271" s="119" t="str">
        <f>IFERROR(__xludf.DUMMYFUNCTION("""COMPUTED_VALUE"""),"TSLA")</f>
        <v>TSLA</v>
      </c>
      <c r="I271" s="30">
        <f>IFERROR(__xludf.DUMMYFUNCTION("""COMPUTED_VALUE"""),60.0)</f>
        <v>60</v>
      </c>
      <c r="J271" s="30"/>
      <c r="K271" s="30" t="str">
        <f>IFERROR(__xludf.DUMMYFUNCTION("""COMPUTED_VALUE"""),"QTY, Limit Price (if any) &amp; Password input correct")</f>
        <v>QTY, Limit Price (if any) &amp; Password input correct</v>
      </c>
      <c r="L271" s="30"/>
    </row>
    <row r="272">
      <c r="A272" s="5"/>
      <c r="B272" s="118">
        <f>IFERROR(__xludf.DUMMYFUNCTION("""COMPUTED_VALUE"""),44621.36963158565)</f>
        <v>44621.36963</v>
      </c>
      <c r="C272" s="120">
        <f>IFERROR(__xludf.DUMMYFUNCTION("""COMPUTED_VALUE"""),44621.625)</f>
        <v>44621.625</v>
      </c>
      <c r="D272" s="5" t="str">
        <f>IFERROR(__xludf.DUMMYFUNCTION("""COMPUTED_VALUE"""),"74641")</f>
        <v>74641</v>
      </c>
      <c r="E272" s="5" t="str">
        <f>IFERROR(__xludf.DUMMYFUNCTION("""COMPUTED_VALUE"""),"Stock")</f>
        <v>Stock</v>
      </c>
      <c r="F272" s="5" t="str">
        <f>IFERROR(__xludf.DUMMYFUNCTION("""COMPUTED_VALUE"""),"CNY")</f>
        <v>CNY</v>
      </c>
      <c r="G272" s="30" t="str">
        <f>IFERROR(__xludf.DUMMYFUNCTION("""COMPUTED_VALUE"""),"Email Account/ TraderID Recognized")</f>
        <v>Email Account/ TraderID Recognized</v>
      </c>
      <c r="H272" s="121" t="str">
        <f>IFERROR(__xludf.DUMMYFUNCTION("""COMPUTED_VALUE"""),"002475.SZ")</f>
        <v>002475.SZ</v>
      </c>
      <c r="I272" s="30">
        <f>IFERROR(__xludf.DUMMYFUNCTION("""COMPUTED_VALUE"""),500.0)</f>
        <v>500</v>
      </c>
      <c r="J272" s="30">
        <f>IFERROR(__xludf.DUMMYFUNCTION("""COMPUTED_VALUE"""),43.5)</f>
        <v>43.5</v>
      </c>
      <c r="K272" s="30" t="str">
        <f>IFERROR(__xludf.DUMMYFUNCTION("""COMPUTED_VALUE"""),"QTY, Limit Price (if any) &amp; Password input correct")</f>
        <v>QTY, Limit Price (if any) &amp; Password input correct</v>
      </c>
      <c r="L272" s="30"/>
    </row>
    <row r="273">
      <c r="A273" s="5"/>
      <c r="B273" s="118">
        <f>IFERROR(__xludf.DUMMYFUNCTION("""COMPUTED_VALUE"""),44621.409548993055)</f>
        <v>44621.40955</v>
      </c>
      <c r="C273" s="120">
        <f>IFERROR(__xludf.DUMMYFUNCTION("""COMPUTED_VALUE"""),44621.666666666664)</f>
        <v>44621.66667</v>
      </c>
      <c r="D273" s="5" t="str">
        <f>IFERROR(__xludf.DUMMYFUNCTION("""COMPUTED_VALUE"""),"82124")</f>
        <v>82124</v>
      </c>
      <c r="E273" s="5" t="str">
        <f>IFERROR(__xludf.DUMMYFUNCTION("""COMPUTED_VALUE"""),"Stock")</f>
        <v>Stock</v>
      </c>
      <c r="F273" s="5" t="str">
        <f>IFERROR(__xludf.DUMMYFUNCTION("""COMPUTED_VALUE"""),"HKD")</f>
        <v>HKD</v>
      </c>
      <c r="G273" s="30" t="str">
        <f>IFERROR(__xludf.DUMMYFUNCTION("""COMPUTED_VALUE"""),"Email Account/ TraderID Recognized")</f>
        <v>Email Account/ TraderID Recognized</v>
      </c>
      <c r="H273" s="121" t="str">
        <f>IFERROR(__xludf.DUMMYFUNCTION("""COMPUTED_VALUE"""),"9988.HK")</f>
        <v>9988.HK</v>
      </c>
      <c r="I273" s="30">
        <f>IFERROR(__xludf.DUMMYFUNCTION("""COMPUTED_VALUE"""),300.0)</f>
        <v>300</v>
      </c>
      <c r="J273" s="30">
        <f>IFERROR(__xludf.DUMMYFUNCTION("""COMPUTED_VALUE"""),102.0)</f>
        <v>102</v>
      </c>
      <c r="K273" s="30" t="str">
        <f>IFERROR(__xludf.DUMMYFUNCTION("""COMPUTED_VALUE"""),"QTY, Limit Price (if any) &amp; Password input correct")</f>
        <v>QTY, Limit Price (if any) &amp; Password input correct</v>
      </c>
      <c r="L273" s="30"/>
    </row>
    <row r="274">
      <c r="A274" s="5"/>
      <c r="B274" s="118">
        <f>IFERROR(__xludf.DUMMYFUNCTION("""COMPUTED_VALUE"""),44621.465611064814)</f>
        <v>44621.46561</v>
      </c>
      <c r="C274" s="120">
        <f>IFERROR(__xludf.DUMMYFUNCTION("""COMPUTED_VALUE"""),44621.666666666664)</f>
        <v>44621.66667</v>
      </c>
      <c r="D274" s="5" t="str">
        <f>IFERROR(__xludf.DUMMYFUNCTION("""COMPUTED_VALUE"""),"82124")</f>
        <v>82124</v>
      </c>
      <c r="E274" s="5" t="str">
        <f>IFERROR(__xludf.DUMMYFUNCTION("""COMPUTED_VALUE"""),"Stock")</f>
        <v>Stock</v>
      </c>
      <c r="F274" s="5" t="str">
        <f>IFERROR(__xludf.DUMMYFUNCTION("""COMPUTED_VALUE"""),"HKD")</f>
        <v>HKD</v>
      </c>
      <c r="G274" s="30" t="str">
        <f>IFERROR(__xludf.DUMMYFUNCTION("""COMPUTED_VALUE"""),"Email Account/ TraderID Recognized")</f>
        <v>Email Account/ TraderID Recognized</v>
      </c>
      <c r="H274" s="121" t="str">
        <f>IFERROR(__xludf.DUMMYFUNCTION("""COMPUTED_VALUE"""),"2800.HK")</f>
        <v>2800.HK</v>
      </c>
      <c r="I274" s="30">
        <f>IFERROR(__xludf.DUMMYFUNCTION("""COMPUTED_VALUE"""),2000.0)</f>
        <v>2000</v>
      </c>
      <c r="J274" s="30">
        <f>IFERROR(__xludf.DUMMYFUNCTION("""COMPUTED_VALUE"""),22.84)</f>
        <v>22.84</v>
      </c>
      <c r="K274" s="30" t="str">
        <f>IFERROR(__xludf.DUMMYFUNCTION("""COMPUTED_VALUE"""),"QTY, Limit Price (if any) &amp; Password input correct")</f>
        <v>QTY, Limit Price (if any) &amp; Password input correct</v>
      </c>
      <c r="L274" s="30"/>
    </row>
    <row r="275">
      <c r="A275" s="5"/>
      <c r="B275" s="118">
        <f>IFERROR(__xludf.DUMMYFUNCTION("""COMPUTED_VALUE"""),44621.485765543985)</f>
        <v>44621.48577</v>
      </c>
      <c r="C275" s="120">
        <f>IFERROR(__xludf.DUMMYFUNCTION("""COMPUTED_VALUE"""),44621.666666666664)</f>
        <v>44621.66667</v>
      </c>
      <c r="D275" s="5" t="str">
        <f>IFERROR(__xludf.DUMMYFUNCTION("""COMPUTED_VALUE"""),"14626")</f>
        <v>14626</v>
      </c>
      <c r="E275" s="5" t="str">
        <f>IFERROR(__xludf.DUMMYFUNCTION("""COMPUTED_VALUE"""),"Stock")</f>
        <v>Stock</v>
      </c>
      <c r="F275" s="5" t="str">
        <f>IFERROR(__xludf.DUMMYFUNCTION("""COMPUTED_VALUE"""),"USD")</f>
        <v>USD</v>
      </c>
      <c r="G275" s="30" t="str">
        <f>IFERROR(__xludf.DUMMYFUNCTION("""COMPUTED_VALUE"""),"Email Account/ TraderID Recognized")</f>
        <v>Email Account/ TraderID Recognized</v>
      </c>
      <c r="H275" s="119" t="str">
        <f>IFERROR(__xludf.DUMMYFUNCTION("""COMPUTED_VALUE"""),"GC=F")</f>
        <v>GC=F</v>
      </c>
      <c r="I275" s="30">
        <f>IFERROR(__xludf.DUMMYFUNCTION("""COMPUTED_VALUE"""),10.0)</f>
        <v>10</v>
      </c>
      <c r="J275" s="30">
        <f>IFERROR(__xludf.DUMMYFUNCTION("""COMPUTED_VALUE"""),50.0)</f>
        <v>50</v>
      </c>
      <c r="K275" s="30" t="str">
        <f>IFERROR(__xludf.DUMMYFUNCTION("""COMPUTED_VALUE"""),"QTY, Limit Price (if any) &amp; Password input correct")</f>
        <v>QTY, Limit Price (if any) &amp; Password input correct</v>
      </c>
      <c r="L275" s="30"/>
    </row>
    <row r="276">
      <c r="A276" s="5"/>
      <c r="B276" s="118">
        <f>IFERROR(__xludf.DUMMYFUNCTION("""COMPUTED_VALUE"""),44621.48717650463)</f>
        <v>44621.48718</v>
      </c>
      <c r="C276" s="120" t="str">
        <f>IFERROR(__xludf.DUMMYFUNCTION("""COMPUTED_VALUE"""),"")</f>
        <v/>
      </c>
      <c r="D276" s="5" t="str">
        <f>IFERROR(__xludf.DUMMYFUNCTION("""COMPUTED_VALUE"""),"14626")</f>
        <v>14626</v>
      </c>
      <c r="E276" s="5" t="str">
        <f>IFERROR(__xludf.DUMMYFUNCTION("""COMPUTED_VALUE"""),"Stock")</f>
        <v>Stock</v>
      </c>
      <c r="F276" s="5" t="str">
        <f>IFERROR(__xludf.DUMMYFUNCTION("""COMPUTED_VALUE"""),"error")</f>
        <v>error</v>
      </c>
      <c r="G276" s="30" t="str">
        <f>IFERROR(__xludf.DUMMYFUNCTION("""COMPUTED_VALUE"""),"Email Account/ TraderID Recognized")</f>
        <v>Email Account/ TraderID Recognized</v>
      </c>
      <c r="H276" s="119" t="str">
        <f>IFERROR(__xludf.DUMMYFUNCTION("""COMPUTED_VALUE"""),"(^FTSE)")</f>
        <v>(^FTSE)</v>
      </c>
      <c r="I276" s="30">
        <f>IFERROR(__xludf.DUMMYFUNCTION("""COMPUTED_VALUE"""),10.0)</f>
        <v>10</v>
      </c>
      <c r="J276" s="30">
        <f>IFERROR(__xludf.DUMMYFUNCTION("""COMPUTED_VALUE"""),50.0)</f>
        <v>50</v>
      </c>
      <c r="K276" s="30" t="str">
        <f>IFERROR(__xludf.DUMMYFUNCTION("""COMPUTED_VALUE"""),"QTY, Limit Price (if any) &amp; Password input correct")</f>
        <v>QTY, Limit Price (if any) &amp; Password input correct</v>
      </c>
      <c r="L276" s="30" t="str">
        <f>IFERROR(__xludf.DUMMYFUNCTION("""COMPUTED_VALUE"""),"Order rejected due to wrong ticker code. just need to type in ^FTSE, without the bracket")</f>
        <v>Order rejected due to wrong ticker code. just need to type in ^FTSE, without the bracket</v>
      </c>
    </row>
    <row r="277">
      <c r="A277" s="5"/>
      <c r="B277" s="118">
        <f>IFERROR(__xludf.DUMMYFUNCTION("""COMPUTED_VALUE"""),44621.53090378472)</f>
        <v>44621.5309</v>
      </c>
      <c r="C277" s="120">
        <f>IFERROR(__xludf.DUMMYFUNCTION("""COMPUTED_VALUE"""),44621.666666666664)</f>
        <v>44621.66667</v>
      </c>
      <c r="D277" s="5" t="str">
        <f>IFERROR(__xludf.DUMMYFUNCTION("""COMPUTED_VALUE"""),"89750")</f>
        <v>89750</v>
      </c>
      <c r="E277" s="5" t="str">
        <f>IFERROR(__xludf.DUMMYFUNCTION("""COMPUTED_VALUE"""),"Option")</f>
        <v>Option</v>
      </c>
      <c r="F277" s="5" t="str">
        <f>IFERROR(__xludf.DUMMYFUNCTION("""COMPUTED_VALUE"""),"USD")</f>
        <v>USD</v>
      </c>
      <c r="G277" s="30" t="str">
        <f>IFERROR(__xludf.DUMMYFUNCTION("""COMPUTED_VALUE"""),"Email Account/ TraderID Recognized")</f>
        <v>Email Account/ TraderID Recognized</v>
      </c>
      <c r="H277" s="119" t="str">
        <f>IFERROR(__xludf.DUMMYFUNCTION("""COMPUTED_VALUE"""),"SPXL220318C00080000")</f>
        <v>SPXL220318C00080000</v>
      </c>
      <c r="I277" s="30">
        <f>IFERROR(__xludf.DUMMYFUNCTION("""COMPUTED_VALUE"""),6.0)</f>
        <v>6</v>
      </c>
      <c r="J277" s="30"/>
      <c r="K277" s="30" t="str">
        <f>IFERROR(__xludf.DUMMYFUNCTION("""COMPUTED_VALUE"""),"QTY, Limit Price (if any) &amp; Password input correct")</f>
        <v>QTY, Limit Price (if any) &amp; Password input correct</v>
      </c>
      <c r="L277" s="30"/>
    </row>
    <row r="278">
      <c r="A278" s="5"/>
      <c r="B278" s="118">
        <f>IFERROR(__xludf.DUMMYFUNCTION("""COMPUTED_VALUE"""),44621.955688842594)</f>
        <v>44621.95569</v>
      </c>
      <c r="C278" s="120">
        <f>IFERROR(__xludf.DUMMYFUNCTION("""COMPUTED_VALUE"""),44621.666666666664)</f>
        <v>44621.66667</v>
      </c>
      <c r="D278" s="5" t="str">
        <f>IFERROR(__xludf.DUMMYFUNCTION("""COMPUTED_VALUE"""),"76975")</f>
        <v>76975</v>
      </c>
      <c r="E278" s="5" t="str">
        <f>IFERROR(__xludf.DUMMYFUNCTION("""COMPUTED_VALUE"""),"Stock")</f>
        <v>Stock</v>
      </c>
      <c r="F278" s="5" t="str">
        <f>IFERROR(__xludf.DUMMYFUNCTION("""COMPUTED_VALUE"""),"USD")</f>
        <v>USD</v>
      </c>
      <c r="G278" s="30" t="str">
        <f>IFERROR(__xludf.DUMMYFUNCTION("""COMPUTED_VALUE"""),"Email Account/ TraderID Recognized")</f>
        <v>Email Account/ TraderID Recognized</v>
      </c>
      <c r="H278" s="119" t="str">
        <f>IFERROR(__xludf.DUMMYFUNCTION("""COMPUTED_VALUE"""),"JD")</f>
        <v>JD</v>
      </c>
      <c r="I278" s="30">
        <f>IFERROR(__xludf.DUMMYFUNCTION("""COMPUTED_VALUE"""),120.0)</f>
        <v>120</v>
      </c>
      <c r="J278" s="30"/>
      <c r="K278" s="30" t="str">
        <f>IFERROR(__xludf.DUMMYFUNCTION("""COMPUTED_VALUE"""),"QTY, Limit Price (if any) &amp; Password input correct")</f>
        <v>QTY, Limit Price (if any) &amp; Password input correct</v>
      </c>
      <c r="L278" s="30"/>
    </row>
    <row r="279">
      <c r="A279" s="5"/>
      <c r="B279" s="118">
        <f>IFERROR(__xludf.DUMMYFUNCTION("""COMPUTED_VALUE"""),44622.105015821755)</f>
        <v>44622.10502</v>
      </c>
      <c r="C279" s="120">
        <f>IFERROR(__xludf.DUMMYFUNCTION("""COMPUTED_VALUE"""),44621.666666666664)</f>
        <v>44621.66667</v>
      </c>
      <c r="D279" s="5" t="str">
        <f>IFERROR(__xludf.DUMMYFUNCTION("""COMPUTED_VALUE"""),"46975")</f>
        <v>46975</v>
      </c>
      <c r="E279" s="5" t="str">
        <f>IFERROR(__xludf.DUMMYFUNCTION("""COMPUTED_VALUE"""),"Stock")</f>
        <v>Stock</v>
      </c>
      <c r="F279" s="5" t="str">
        <f>IFERROR(__xludf.DUMMYFUNCTION("""COMPUTED_VALUE"""),"USD")</f>
        <v>USD</v>
      </c>
      <c r="G279" s="30" t="str">
        <f>IFERROR(__xludf.DUMMYFUNCTION("""COMPUTED_VALUE"""),"Email Account/ TraderID Recognized")</f>
        <v>Email Account/ TraderID Recognized</v>
      </c>
      <c r="H279" s="119" t="str">
        <f>IFERROR(__xludf.DUMMYFUNCTION("""COMPUTED_VALUE"""),"AAPL")</f>
        <v>AAPL</v>
      </c>
      <c r="I279" s="30">
        <f>IFERROR(__xludf.DUMMYFUNCTION("""COMPUTED_VALUE"""),100.0)</f>
        <v>100</v>
      </c>
      <c r="J279" s="30"/>
      <c r="K279" s="30" t="str">
        <f>IFERROR(__xludf.DUMMYFUNCTION("""COMPUTED_VALUE"""),"QTY, Limit Price (if any) &amp; Password input correct")</f>
        <v>QTY, Limit Price (if any) &amp; Password input correct</v>
      </c>
      <c r="L279" s="30"/>
    </row>
    <row r="280">
      <c r="A280" s="5"/>
      <c r="B280" s="118">
        <f>IFERROR(__xludf.DUMMYFUNCTION("""COMPUTED_VALUE"""),44622.15608936343)</f>
        <v>44622.15609</v>
      </c>
      <c r="C280" s="120">
        <f>IFERROR(__xludf.DUMMYFUNCTION("""COMPUTED_VALUE"""),44621.666666666664)</f>
        <v>44621.66667</v>
      </c>
      <c r="D280" s="5" t="str">
        <f>IFERROR(__xludf.DUMMYFUNCTION("""COMPUTED_VALUE"""),"89750")</f>
        <v>89750</v>
      </c>
      <c r="E280" s="5" t="str">
        <f>IFERROR(__xludf.DUMMYFUNCTION("""COMPUTED_VALUE"""),"Stock")</f>
        <v>Stock</v>
      </c>
      <c r="F280" s="5" t="str">
        <f>IFERROR(__xludf.DUMMYFUNCTION("""COMPUTED_VALUE"""),"USD")</f>
        <v>USD</v>
      </c>
      <c r="G280" s="30" t="str">
        <f>IFERROR(__xludf.DUMMYFUNCTION("""COMPUTED_VALUE"""),"Email Account/ TraderID Recognized")</f>
        <v>Email Account/ TraderID Recognized</v>
      </c>
      <c r="H280" s="119" t="str">
        <f>IFERROR(__xludf.DUMMYFUNCTION("""COMPUTED_VALUE"""),"SOFI")</f>
        <v>SOFI</v>
      </c>
      <c r="I280" s="30">
        <f>IFERROR(__xludf.DUMMYFUNCTION("""COMPUTED_VALUE"""),100.0)</f>
        <v>100</v>
      </c>
      <c r="J280" s="30"/>
      <c r="K280" s="30" t="str">
        <f>IFERROR(__xludf.DUMMYFUNCTION("""COMPUTED_VALUE"""),"QTY, Limit Price (if any) &amp; Password input correct")</f>
        <v>QTY, Limit Price (if any) &amp; Password input correct</v>
      </c>
      <c r="L280" s="30"/>
    </row>
    <row r="281">
      <c r="A281" s="5"/>
      <c r="B281" s="118">
        <f>IFERROR(__xludf.DUMMYFUNCTION("""COMPUTED_VALUE"""),44622.1564658912)</f>
        <v>44622.15647</v>
      </c>
      <c r="C281" s="120">
        <f>IFERROR(__xludf.DUMMYFUNCTION("""COMPUTED_VALUE"""),44621.666666666664)</f>
        <v>44621.66667</v>
      </c>
      <c r="D281" s="5" t="str">
        <f>IFERROR(__xludf.DUMMYFUNCTION("""COMPUTED_VALUE"""),"89750")</f>
        <v>89750</v>
      </c>
      <c r="E281" s="5" t="str">
        <f>IFERROR(__xludf.DUMMYFUNCTION("""COMPUTED_VALUE"""),"Stock")</f>
        <v>Stock</v>
      </c>
      <c r="F281" s="5" t="str">
        <f>IFERROR(__xludf.DUMMYFUNCTION("""COMPUTED_VALUE"""),"USD")</f>
        <v>USD</v>
      </c>
      <c r="G281" s="30" t="str">
        <f>IFERROR(__xludf.DUMMYFUNCTION("""COMPUTED_VALUE"""),"Email Account/ TraderID Recognized")</f>
        <v>Email Account/ TraderID Recognized</v>
      </c>
      <c r="H281" s="119" t="str">
        <f>IFERROR(__xludf.DUMMYFUNCTION("""COMPUTED_VALUE"""),"NU")</f>
        <v>NU</v>
      </c>
      <c r="I281" s="30">
        <f>IFERROR(__xludf.DUMMYFUNCTION("""COMPUTED_VALUE"""),90.0)</f>
        <v>90</v>
      </c>
      <c r="J281" s="30"/>
      <c r="K281" s="30" t="str">
        <f>IFERROR(__xludf.DUMMYFUNCTION("""COMPUTED_VALUE"""),"QTY, Limit Price (if any) &amp; Password input correct")</f>
        <v>QTY, Limit Price (if any) &amp; Password input correct</v>
      </c>
      <c r="L281" s="30"/>
    </row>
    <row r="282">
      <c r="A282" s="5"/>
      <c r="B282" s="118">
        <f>IFERROR(__xludf.DUMMYFUNCTION("""COMPUTED_VALUE"""),44622.15881415509)</f>
        <v>44622.15881</v>
      </c>
      <c r="C282" s="120">
        <f>IFERROR(__xludf.DUMMYFUNCTION("""COMPUTED_VALUE"""),44621.666666666664)</f>
        <v>44621.66667</v>
      </c>
      <c r="D282" s="5" t="str">
        <f>IFERROR(__xludf.DUMMYFUNCTION("""COMPUTED_VALUE"""),"89750")</f>
        <v>89750</v>
      </c>
      <c r="E282" s="5" t="str">
        <f>IFERROR(__xludf.DUMMYFUNCTION("""COMPUTED_VALUE"""),"Option")</f>
        <v>Option</v>
      </c>
      <c r="F282" s="5" t="str">
        <f>IFERROR(__xludf.DUMMYFUNCTION("""COMPUTED_VALUE"""),"USD")</f>
        <v>USD</v>
      </c>
      <c r="G282" s="30" t="str">
        <f>IFERROR(__xludf.DUMMYFUNCTION("""COMPUTED_VALUE"""),"Email Account/ TraderID Recognized")</f>
        <v>Email Account/ TraderID Recognized</v>
      </c>
      <c r="H282" s="119" t="str">
        <f>IFERROR(__xludf.DUMMYFUNCTION("""COMPUTED_VALUE"""),"FTCH220318P00017500")</f>
        <v>FTCH220318P00017500</v>
      </c>
      <c r="I282" s="30">
        <f>IFERROR(__xludf.DUMMYFUNCTION("""COMPUTED_VALUE"""),100.0)</f>
        <v>100</v>
      </c>
      <c r="J282" s="30"/>
      <c r="K282" s="30" t="str">
        <f>IFERROR(__xludf.DUMMYFUNCTION("""COMPUTED_VALUE"""),"QTY, Limit Price (if any) &amp; Password input correct")</f>
        <v>QTY, Limit Price (if any) &amp; Password input correct</v>
      </c>
      <c r="L282" s="30"/>
    </row>
    <row r="283">
      <c r="A283" s="5"/>
      <c r="B283" s="118">
        <f>IFERROR(__xludf.DUMMYFUNCTION("""COMPUTED_VALUE"""),44622.18221704861)</f>
        <v>44622.18222</v>
      </c>
      <c r="C283" s="120">
        <f>IFERROR(__xludf.DUMMYFUNCTION("""COMPUTED_VALUE"""),44622.666666666664)</f>
        <v>44622.66667</v>
      </c>
      <c r="D283" s="5" t="str">
        <f>IFERROR(__xludf.DUMMYFUNCTION("""COMPUTED_VALUE"""),"89750")</f>
        <v>89750</v>
      </c>
      <c r="E283" s="5" t="str">
        <f>IFERROR(__xludf.DUMMYFUNCTION("""COMPUTED_VALUE"""),"Stock")</f>
        <v>Stock</v>
      </c>
      <c r="F283" s="5" t="str">
        <f>IFERROR(__xludf.DUMMYFUNCTION("""COMPUTED_VALUE"""),"USD")</f>
        <v>USD</v>
      </c>
      <c r="G283" s="30" t="str">
        <f>IFERROR(__xludf.DUMMYFUNCTION("""COMPUTED_VALUE"""),"Email Account/ TraderID Recognized")</f>
        <v>Email Account/ TraderID Recognized</v>
      </c>
      <c r="H283" s="119" t="str">
        <f>IFERROR(__xludf.DUMMYFUNCTION("""COMPUTED_VALUE"""),"SOXL")</f>
        <v>SOXL</v>
      </c>
      <c r="I283" s="30">
        <f>IFERROR(__xludf.DUMMYFUNCTION("""COMPUTED_VALUE"""),100.0)</f>
        <v>100</v>
      </c>
      <c r="J283" s="30"/>
      <c r="K283" s="30" t="str">
        <f>IFERROR(__xludf.DUMMYFUNCTION("""COMPUTED_VALUE"""),"QTY, Limit Price (if any) &amp; Password input correct")</f>
        <v>QTY, Limit Price (if any) &amp; Password input correct</v>
      </c>
      <c r="L283" s="30"/>
    </row>
    <row r="284">
      <c r="A284" s="5"/>
      <c r="B284" s="118">
        <f>IFERROR(__xludf.DUMMYFUNCTION("""COMPUTED_VALUE"""),44622.592436238425)</f>
        <v>44622.59244</v>
      </c>
      <c r="C284" s="120">
        <f>IFERROR(__xludf.DUMMYFUNCTION("""COMPUTED_VALUE"""),44622.666666666664)</f>
        <v>44622.66667</v>
      </c>
      <c r="D284" s="5" t="str">
        <f>IFERROR(__xludf.DUMMYFUNCTION("""COMPUTED_VALUE"""),"89750")</f>
        <v>89750</v>
      </c>
      <c r="E284" s="5" t="str">
        <f>IFERROR(__xludf.DUMMYFUNCTION("""COMPUTED_VALUE"""),"Stock")</f>
        <v>Stock</v>
      </c>
      <c r="F284" s="5" t="str">
        <f>IFERROR(__xludf.DUMMYFUNCTION("""COMPUTED_VALUE"""),"USD")</f>
        <v>USD</v>
      </c>
      <c r="G284" s="30" t="str">
        <f>IFERROR(__xludf.DUMMYFUNCTION("""COMPUTED_VALUE"""),"Email Account/ TraderID Recognized")</f>
        <v>Email Account/ TraderID Recognized</v>
      </c>
      <c r="H284" s="121" t="str">
        <f>IFERROR(__xludf.DUMMYFUNCTION("""COMPUTED_VALUE"""),"9988.HK")</f>
        <v>9988.HK</v>
      </c>
      <c r="I284" s="30">
        <f>IFERROR(__xludf.DUMMYFUNCTION("""COMPUTED_VALUE"""),1000.0)</f>
        <v>1000</v>
      </c>
      <c r="J284" s="30"/>
      <c r="K284" s="30" t="str">
        <f>IFERROR(__xludf.DUMMYFUNCTION("""COMPUTED_VALUE"""),"QTY, Limit Price (if any) &amp; Password input correct")</f>
        <v>QTY, Limit Price (if any) &amp; Password input correct</v>
      </c>
      <c r="L284" s="30"/>
    </row>
    <row r="285">
      <c r="A285" s="5"/>
      <c r="B285" s="118">
        <f>IFERROR(__xludf.DUMMYFUNCTION("""COMPUTED_VALUE"""),44622.62167247685)</f>
        <v>44622.62167</v>
      </c>
      <c r="C285" s="120" t="str">
        <f>IFERROR(__xludf.DUMMYFUNCTION("""COMPUTED_VALUE"""),"")</f>
        <v/>
      </c>
      <c r="D285" s="5" t="str">
        <f>IFERROR(__xludf.DUMMYFUNCTION("""COMPUTED_VALUE"""),"39776")</f>
        <v>39776</v>
      </c>
      <c r="E285" s="5" t="str">
        <f>IFERROR(__xludf.DUMMYFUNCTION("""COMPUTED_VALUE"""),"Stock")</f>
        <v>Stock</v>
      </c>
      <c r="F285" s="5" t="str">
        <f>IFERROR(__xludf.DUMMYFUNCTION("""COMPUTED_VALUE"""),"error")</f>
        <v>error</v>
      </c>
      <c r="G285" s="30" t="str">
        <f>IFERROR(__xludf.DUMMYFUNCTION("""COMPUTED_VALUE"""),"Email Account/ TraderID Recognized")</f>
        <v>Email Account/ TraderID Recognized</v>
      </c>
      <c r="H285" s="119" t="str">
        <f>IFERROR(__xludf.DUMMYFUNCTION("""COMPUTED_VALUE"""),"03382")</f>
        <v>03382</v>
      </c>
      <c r="I285" s="30">
        <f>IFERROR(__xludf.DUMMYFUNCTION("""COMPUTED_VALUE"""),10000.0)</f>
        <v>10000</v>
      </c>
      <c r="J285" s="30"/>
      <c r="K285" s="30" t="str">
        <f>IFERROR(__xludf.DUMMYFUNCTION("""COMPUTED_VALUE"""),"QTY, Limit Price (if any) &amp; Password input correct")</f>
        <v>QTY, Limit Price (if any) &amp; Password input correct</v>
      </c>
      <c r="L285" s="30" t="str">
        <f>IFERROR(__xludf.DUMMYFUNCTION("""COMPUTED_VALUE"""),"Order rejected due to wrong ticker code. just need to type in 3382.HK")</f>
        <v>Order rejected due to wrong ticker code. just need to type in 3382.HK</v>
      </c>
    </row>
    <row r="286">
      <c r="A286" s="5"/>
      <c r="B286" s="118">
        <f>IFERROR(__xludf.DUMMYFUNCTION("""COMPUTED_VALUE"""),44622.62394790509)</f>
        <v>44622.62395</v>
      </c>
      <c r="C286" s="120" t="str">
        <f>IFERROR(__xludf.DUMMYFUNCTION("""COMPUTED_VALUE"""),"")</f>
        <v/>
      </c>
      <c r="D286" s="5" t="str">
        <f>IFERROR(__xludf.DUMMYFUNCTION("""COMPUTED_VALUE"""),"39776")</f>
        <v>39776</v>
      </c>
      <c r="E286" s="5" t="str">
        <f>IFERROR(__xludf.DUMMYFUNCTION("""COMPUTED_VALUE"""),"Stock")</f>
        <v>Stock</v>
      </c>
      <c r="F286" s="5" t="str">
        <f>IFERROR(__xludf.DUMMYFUNCTION("""COMPUTED_VALUE"""),"error")</f>
        <v>error</v>
      </c>
      <c r="G286" s="30" t="str">
        <f>IFERROR(__xludf.DUMMYFUNCTION("""COMPUTED_VALUE"""),"Email Account/ TraderID Recognized")</f>
        <v>Email Account/ TraderID Recognized</v>
      </c>
      <c r="H286" s="119" t="str">
        <f>IFERROR(__xludf.DUMMYFUNCTION("""COMPUTED_VALUE"""),"01898")</f>
        <v>01898</v>
      </c>
      <c r="I286" s="30">
        <f>IFERROR(__xludf.DUMMYFUNCTION("""COMPUTED_VALUE"""),8000.0)</f>
        <v>8000</v>
      </c>
      <c r="J286" s="30"/>
      <c r="K286" s="30" t="str">
        <f>IFERROR(__xludf.DUMMYFUNCTION("""COMPUTED_VALUE"""),"QTY, Limit Price (if any) &amp; Password input correct")</f>
        <v>QTY, Limit Price (if any) &amp; Password input correct</v>
      </c>
      <c r="L286" s="30" t="str">
        <f>IFERROR(__xludf.DUMMYFUNCTION("""COMPUTED_VALUE"""),"Order rejected due to wrong ticker code. just need to type in 1898.HK")</f>
        <v>Order rejected due to wrong ticker code. just need to type in 1898.HK</v>
      </c>
    </row>
    <row r="287">
      <c r="A287" s="5"/>
      <c r="B287" s="118">
        <f>IFERROR(__xludf.DUMMYFUNCTION("""COMPUTED_VALUE"""),44622.679907673606)</f>
        <v>44622.67991</v>
      </c>
      <c r="C287" s="120">
        <f>IFERROR(__xludf.DUMMYFUNCTION("""COMPUTED_VALUE"""),44623.666666666664)</f>
        <v>44623.66667</v>
      </c>
      <c r="D287" s="5" t="str">
        <f>IFERROR(__xludf.DUMMYFUNCTION("""COMPUTED_VALUE"""),"76975")</f>
        <v>76975</v>
      </c>
      <c r="E287" s="5" t="str">
        <f>IFERROR(__xludf.DUMMYFUNCTION("""COMPUTED_VALUE"""),"Stock")</f>
        <v>Stock</v>
      </c>
      <c r="F287" s="5" t="str">
        <f>IFERROR(__xludf.DUMMYFUNCTION("""COMPUTED_VALUE"""),"HKD")</f>
        <v>HKD</v>
      </c>
      <c r="G287" s="30" t="str">
        <f>IFERROR(__xludf.DUMMYFUNCTION("""COMPUTED_VALUE"""),"Email Account/ TraderID Recognized")</f>
        <v>Email Account/ TraderID Recognized</v>
      </c>
      <c r="H287" s="121" t="str">
        <f>IFERROR(__xludf.DUMMYFUNCTION("""COMPUTED_VALUE"""),"0700.HK")</f>
        <v>0700.HK</v>
      </c>
      <c r="I287" s="30">
        <f>IFERROR(__xludf.DUMMYFUNCTION("""COMPUTED_VALUE"""),120.0)</f>
        <v>120</v>
      </c>
      <c r="J287" s="30"/>
      <c r="K287" s="30" t="str">
        <f>IFERROR(__xludf.DUMMYFUNCTION("""COMPUTED_VALUE"""),"QTY, Limit Price (if any) &amp; Password input correct")</f>
        <v>QTY, Limit Price (if any) &amp; Password input correct</v>
      </c>
      <c r="L287" s="30"/>
    </row>
    <row r="288">
      <c r="A288" s="5"/>
      <c r="B288" s="118">
        <f>IFERROR(__xludf.DUMMYFUNCTION("""COMPUTED_VALUE"""),44622.77316541667)</f>
        <v>44622.77317</v>
      </c>
      <c r="C288" s="120">
        <f>IFERROR(__xludf.DUMMYFUNCTION("""COMPUTED_VALUE"""),44622.666666666664)</f>
        <v>44622.66667</v>
      </c>
      <c r="D288" s="5" t="str">
        <f>IFERROR(__xludf.DUMMYFUNCTION("""COMPUTED_VALUE"""),"79521")</f>
        <v>79521</v>
      </c>
      <c r="E288" s="5" t="str">
        <f>IFERROR(__xludf.DUMMYFUNCTION("""COMPUTED_VALUE"""),"Stock")</f>
        <v>Stock</v>
      </c>
      <c r="F288" s="5" t="str">
        <f>IFERROR(__xludf.DUMMYFUNCTION("""COMPUTED_VALUE"""),"USD")</f>
        <v>USD</v>
      </c>
      <c r="G288" s="30" t="str">
        <f>IFERROR(__xludf.DUMMYFUNCTION("""COMPUTED_VALUE"""),"Email Account/ TraderID Recognized")</f>
        <v>Email Account/ TraderID Recognized</v>
      </c>
      <c r="H288" s="119" t="str">
        <f>IFERROR(__xludf.DUMMYFUNCTION("""COMPUTED_VALUE"""),"AAPL")</f>
        <v>AAPL</v>
      </c>
      <c r="I288" s="30">
        <f>IFERROR(__xludf.DUMMYFUNCTION("""COMPUTED_VALUE"""),10.0)</f>
        <v>10</v>
      </c>
      <c r="J288" s="30">
        <f>IFERROR(__xludf.DUMMYFUNCTION("""COMPUTED_VALUE"""),165.0)</f>
        <v>165</v>
      </c>
      <c r="K288" s="30" t="str">
        <f>IFERROR(__xludf.DUMMYFUNCTION("""COMPUTED_VALUE"""),"QTY, Limit Price (if any) &amp; Password input correct")</f>
        <v>QTY, Limit Price (if any) &amp; Password input correct</v>
      </c>
      <c r="L288" s="30"/>
    </row>
    <row r="289">
      <c r="A289" s="5"/>
      <c r="B289" s="118">
        <f>IFERROR(__xludf.DUMMYFUNCTION("""COMPUTED_VALUE"""),44623.06073913194)</f>
        <v>44623.06074</v>
      </c>
      <c r="C289" s="120">
        <f>IFERROR(__xludf.DUMMYFUNCTION("""COMPUTED_VALUE"""),44622.666666666664)</f>
        <v>44622.66667</v>
      </c>
      <c r="D289" s="5" t="str">
        <f>IFERROR(__xludf.DUMMYFUNCTION("""COMPUTED_VALUE"""),"46322")</f>
        <v>46322</v>
      </c>
      <c r="E289" s="5" t="str">
        <f>IFERROR(__xludf.DUMMYFUNCTION("""COMPUTED_VALUE"""),"Stock")</f>
        <v>Stock</v>
      </c>
      <c r="F289" s="5" t="str">
        <f>IFERROR(__xludf.DUMMYFUNCTION("""COMPUTED_VALUE"""),"USD")</f>
        <v>USD</v>
      </c>
      <c r="G289" s="30" t="str">
        <f>IFERROR(__xludf.DUMMYFUNCTION("""COMPUTED_VALUE"""),"Email Account/ TraderID Recognized")</f>
        <v>Email Account/ TraderID Recognized</v>
      </c>
      <c r="H289" s="119" t="str">
        <f>IFERROR(__xludf.DUMMYFUNCTION("""COMPUTED_VALUE"""),"ARKK")</f>
        <v>ARKK</v>
      </c>
      <c r="I289" s="30">
        <f>IFERROR(__xludf.DUMMYFUNCTION("""COMPUTED_VALUE"""),200.0)</f>
        <v>200</v>
      </c>
      <c r="J289" s="30"/>
      <c r="K289" s="30" t="str">
        <f>IFERROR(__xludf.DUMMYFUNCTION("""COMPUTED_VALUE"""),"QTY, Limit Price (if any) &amp; Password input correct")</f>
        <v>QTY, Limit Price (if any) &amp; Password input correct</v>
      </c>
      <c r="L289" s="30"/>
    </row>
    <row r="290">
      <c r="A290" s="5"/>
      <c r="B290" s="118">
        <f>IFERROR(__xludf.DUMMYFUNCTION("""COMPUTED_VALUE"""),44623.06355167824)</f>
        <v>44623.06355</v>
      </c>
      <c r="C290" s="120">
        <f>IFERROR(__xludf.DUMMYFUNCTION("""COMPUTED_VALUE"""),44622.666666666664)</f>
        <v>44622.66667</v>
      </c>
      <c r="D290" s="5" t="str">
        <f>IFERROR(__xludf.DUMMYFUNCTION("""COMPUTED_VALUE"""),"89750")</f>
        <v>89750</v>
      </c>
      <c r="E290" s="5" t="str">
        <f>IFERROR(__xludf.DUMMYFUNCTION("""COMPUTED_VALUE"""),"Option")</f>
        <v>Option</v>
      </c>
      <c r="F290" s="5" t="str">
        <f>IFERROR(__xludf.DUMMYFUNCTION("""COMPUTED_VALUE"""),"USD")</f>
        <v>USD</v>
      </c>
      <c r="G290" s="30" t="str">
        <f>IFERROR(__xludf.DUMMYFUNCTION("""COMPUTED_VALUE"""),"Email Account/ TraderID Recognized")</f>
        <v>Email Account/ TraderID Recognized</v>
      </c>
      <c r="H290" s="119" t="str">
        <f>IFERROR(__xludf.DUMMYFUNCTION("""COMPUTED_VALUE"""),"SPXL220318C00080000")</f>
        <v>SPXL220318C00080000</v>
      </c>
      <c r="I290" s="30">
        <f>IFERROR(__xludf.DUMMYFUNCTION("""COMPUTED_VALUE"""),2.0)</f>
        <v>2</v>
      </c>
      <c r="J290" s="30"/>
      <c r="K290" s="30" t="str">
        <f>IFERROR(__xludf.DUMMYFUNCTION("""COMPUTED_VALUE"""),"QTY, Limit Price (if any) &amp; Password input correct")</f>
        <v>QTY, Limit Price (if any) &amp; Password input correct</v>
      </c>
      <c r="L290" s="30"/>
    </row>
    <row r="291">
      <c r="A291" s="5"/>
      <c r="B291" s="118">
        <f>IFERROR(__xludf.DUMMYFUNCTION("""COMPUTED_VALUE"""),44623.10399556713)</f>
        <v>44623.104</v>
      </c>
      <c r="C291" s="120">
        <f>IFERROR(__xludf.DUMMYFUNCTION("""COMPUTED_VALUE"""),44622.666666666664)</f>
        <v>44622.66667</v>
      </c>
      <c r="D291" s="5" t="str">
        <f>IFERROR(__xludf.DUMMYFUNCTION("""COMPUTED_VALUE"""),"89750")</f>
        <v>89750</v>
      </c>
      <c r="E291" s="5" t="str">
        <f>IFERROR(__xludf.DUMMYFUNCTION("""COMPUTED_VALUE"""),"Stock")</f>
        <v>Stock</v>
      </c>
      <c r="F291" s="5" t="str">
        <f>IFERROR(__xludf.DUMMYFUNCTION("""COMPUTED_VALUE"""),"USD")</f>
        <v>USD</v>
      </c>
      <c r="G291" s="30" t="str">
        <f>IFERROR(__xludf.DUMMYFUNCTION("""COMPUTED_VALUE"""),"Email Account/ TraderID Recognized")</f>
        <v>Email Account/ TraderID Recognized</v>
      </c>
      <c r="H291" s="119" t="str">
        <f>IFERROR(__xludf.DUMMYFUNCTION("""COMPUTED_VALUE"""),"SOXL")</f>
        <v>SOXL</v>
      </c>
      <c r="I291" s="30">
        <f>IFERROR(__xludf.DUMMYFUNCTION("""COMPUTED_VALUE"""),100.0)</f>
        <v>100</v>
      </c>
      <c r="J291" s="30"/>
      <c r="K291" s="30" t="str">
        <f>IFERROR(__xludf.DUMMYFUNCTION("""COMPUTED_VALUE"""),"QTY, Limit Price (if any) &amp; Password input correct")</f>
        <v>QTY, Limit Price (if any) &amp; Password input correct</v>
      </c>
      <c r="L291" s="30"/>
    </row>
    <row r="292">
      <c r="A292" s="5"/>
      <c r="B292" s="118">
        <f>IFERROR(__xludf.DUMMYFUNCTION("""COMPUTED_VALUE"""),44623.41734337963)</f>
        <v>44623.41734</v>
      </c>
      <c r="C292" s="120">
        <f>IFERROR(__xludf.DUMMYFUNCTION("""COMPUTED_VALUE"""),44623.666666666664)</f>
        <v>44623.66667</v>
      </c>
      <c r="D292" s="5" t="str">
        <f>IFERROR(__xludf.DUMMYFUNCTION("""COMPUTED_VALUE"""),"82124")</f>
        <v>82124</v>
      </c>
      <c r="E292" s="5" t="str">
        <f>IFERROR(__xludf.DUMMYFUNCTION("""COMPUTED_VALUE"""),"Stock")</f>
        <v>Stock</v>
      </c>
      <c r="F292" s="5" t="str">
        <f>IFERROR(__xludf.DUMMYFUNCTION("""COMPUTED_VALUE"""),"HKD")</f>
        <v>HKD</v>
      </c>
      <c r="G292" s="30" t="str">
        <f>IFERROR(__xludf.DUMMYFUNCTION("""COMPUTED_VALUE"""),"Email Account/ TraderID Recognized")</f>
        <v>Email Account/ TraderID Recognized</v>
      </c>
      <c r="H292" s="121" t="str">
        <f>IFERROR(__xludf.DUMMYFUNCTION("""COMPUTED_VALUE"""),"9988.HK")</f>
        <v>9988.HK</v>
      </c>
      <c r="I292" s="30">
        <f>IFERROR(__xludf.DUMMYFUNCTION("""COMPUTED_VALUE"""),300.0)</f>
        <v>300</v>
      </c>
      <c r="J292" s="30"/>
      <c r="K292" s="30" t="str">
        <f>IFERROR(__xludf.DUMMYFUNCTION("""COMPUTED_VALUE"""),"QTY, Limit Price (if any) &amp; Password input correct")</f>
        <v>QTY, Limit Price (if any) &amp; Password input correct</v>
      </c>
      <c r="L292" s="30"/>
    </row>
    <row r="293">
      <c r="A293" s="5"/>
      <c r="B293" s="118">
        <f>IFERROR(__xludf.DUMMYFUNCTION("""COMPUTED_VALUE"""),44623.41861634259)</f>
        <v>44623.41862</v>
      </c>
      <c r="C293" s="120">
        <f>IFERROR(__xludf.DUMMYFUNCTION("""COMPUTED_VALUE"""),44623.666666666664)</f>
        <v>44623.66667</v>
      </c>
      <c r="D293" s="5" t="str">
        <f>IFERROR(__xludf.DUMMYFUNCTION("""COMPUTED_VALUE"""),"82124")</f>
        <v>82124</v>
      </c>
      <c r="E293" s="5" t="str">
        <f>IFERROR(__xludf.DUMMYFUNCTION("""COMPUTED_VALUE"""),"Stock")</f>
        <v>Stock</v>
      </c>
      <c r="F293" s="5" t="str">
        <f>IFERROR(__xludf.DUMMYFUNCTION("""COMPUTED_VALUE"""),"HKD")</f>
        <v>HKD</v>
      </c>
      <c r="G293" s="30" t="str">
        <f>IFERROR(__xludf.DUMMYFUNCTION("""COMPUTED_VALUE"""),"Email Account/ TraderID Recognized")</f>
        <v>Email Account/ TraderID Recognized</v>
      </c>
      <c r="H293" s="121" t="str">
        <f>IFERROR(__xludf.DUMMYFUNCTION("""COMPUTED_VALUE"""),"2800.HK")</f>
        <v>2800.HK</v>
      </c>
      <c r="I293" s="30">
        <f>IFERROR(__xludf.DUMMYFUNCTION("""COMPUTED_VALUE"""),2000.0)</f>
        <v>2000</v>
      </c>
      <c r="J293" s="30"/>
      <c r="K293" s="30" t="str">
        <f>IFERROR(__xludf.DUMMYFUNCTION("""COMPUTED_VALUE"""),"QTY, Limit Price (if any) &amp; Password input correct")</f>
        <v>QTY, Limit Price (if any) &amp; Password input correct</v>
      </c>
      <c r="L293" s="30"/>
    </row>
    <row r="294">
      <c r="A294" s="5"/>
      <c r="B294" s="118">
        <f>IFERROR(__xludf.DUMMYFUNCTION("""COMPUTED_VALUE"""),44623.473874143514)</f>
        <v>44623.47387</v>
      </c>
      <c r="C294" s="120" t="str">
        <f>IFERROR(__xludf.DUMMYFUNCTION("""COMPUTED_VALUE"""),"")</f>
        <v/>
      </c>
      <c r="D294" s="5" t="str">
        <f>IFERROR(__xludf.DUMMYFUNCTION("""COMPUTED_VALUE"""),"79521")</f>
        <v>79521</v>
      </c>
      <c r="E294" s="5" t="str">
        <f>IFERROR(__xludf.DUMMYFUNCTION("""COMPUTED_VALUE"""),"Stock")</f>
        <v>Stock</v>
      </c>
      <c r="F294" s="5" t="str">
        <f>IFERROR(__xludf.DUMMYFUNCTION("""COMPUTED_VALUE"""),"error")</f>
        <v>error</v>
      </c>
      <c r="G294" s="30" t="str">
        <f>IFERROR(__xludf.DUMMYFUNCTION("""COMPUTED_VALUE"""),"Email Account/ TraderID Recognized")</f>
        <v>Email Account/ TraderID Recognized</v>
      </c>
      <c r="H294" s="119" t="str">
        <f>IFERROR(__xludf.DUMMYFUNCTION("""COMPUTED_VALUE"""),"600036")</f>
        <v>600036</v>
      </c>
      <c r="I294" s="30">
        <f>IFERROR(__xludf.DUMMYFUNCTION("""COMPUTED_VALUE"""),1000.0)</f>
        <v>1000</v>
      </c>
      <c r="J294" s="30">
        <f>IFERROR(__xludf.DUMMYFUNCTION("""COMPUTED_VALUE"""),49.69)</f>
        <v>49.69</v>
      </c>
      <c r="K294" s="30" t="str">
        <f>IFERROR(__xludf.DUMMYFUNCTION("""COMPUTED_VALUE"""),"QTY, Limit Price (if any) &amp; Password input correct")</f>
        <v>QTY, Limit Price (if any) &amp; Password input correct</v>
      </c>
      <c r="L294" s="30" t="str">
        <f>IFERROR(__xludf.DUMMYFUNCTION("""COMPUTED_VALUE"""),"Order rejected due to wrong ticker code. just need to type in 600036.SH")</f>
        <v>Order rejected due to wrong ticker code. just need to type in 600036.SH</v>
      </c>
    </row>
    <row r="295">
      <c r="A295" s="5"/>
      <c r="B295" s="118">
        <f>IFERROR(__xludf.DUMMYFUNCTION("""COMPUTED_VALUE"""),44623.531404629626)</f>
        <v>44623.5314</v>
      </c>
      <c r="C295" s="120">
        <f>IFERROR(__xludf.DUMMYFUNCTION("""COMPUTED_VALUE"""),44623.666666666664)</f>
        <v>44623.66667</v>
      </c>
      <c r="D295" s="5" t="str">
        <f>IFERROR(__xludf.DUMMYFUNCTION("""COMPUTED_VALUE"""),"39776")</f>
        <v>39776</v>
      </c>
      <c r="E295" s="5" t="str">
        <f>IFERROR(__xludf.DUMMYFUNCTION("""COMPUTED_VALUE"""),"Stock")</f>
        <v>Stock</v>
      </c>
      <c r="F295" s="5" t="str">
        <f>IFERROR(__xludf.DUMMYFUNCTION("""COMPUTED_VALUE"""),"HKD")</f>
        <v>HKD</v>
      </c>
      <c r="G295" s="30" t="str">
        <f>IFERROR(__xludf.DUMMYFUNCTION("""COMPUTED_VALUE"""),"Email Account/ TraderID Recognized")</f>
        <v>Email Account/ TraderID Recognized</v>
      </c>
      <c r="H295" s="121" t="str">
        <f>IFERROR(__xludf.DUMMYFUNCTION("""COMPUTED_VALUE"""),"3800.hk")</f>
        <v>3800.hk</v>
      </c>
      <c r="I295" s="30">
        <f>IFERROR(__xludf.DUMMYFUNCTION("""COMPUTED_VALUE"""),15000.0)</f>
        <v>15000</v>
      </c>
      <c r="J295" s="30">
        <f>IFERROR(__xludf.DUMMYFUNCTION("""COMPUTED_VALUE"""),2.93)</f>
        <v>2.93</v>
      </c>
      <c r="K295" s="30" t="str">
        <f>IFERROR(__xludf.DUMMYFUNCTION("""COMPUTED_VALUE"""),"QTY, Limit Price (if any) &amp; Password input correct")</f>
        <v>QTY, Limit Price (if any) &amp; Password input correct</v>
      </c>
      <c r="L295" s="30"/>
    </row>
    <row r="296">
      <c r="A296" s="5"/>
      <c r="B296" s="118">
        <f>IFERROR(__xludf.DUMMYFUNCTION("""COMPUTED_VALUE"""),44623.533130474534)</f>
        <v>44623.53313</v>
      </c>
      <c r="C296" s="120">
        <f>IFERROR(__xludf.DUMMYFUNCTION("""COMPUTED_VALUE"""),44623.666666666664)</f>
        <v>44623.66667</v>
      </c>
      <c r="D296" s="5" t="str">
        <f>IFERROR(__xludf.DUMMYFUNCTION("""COMPUTED_VALUE"""),"39776")</f>
        <v>39776</v>
      </c>
      <c r="E296" s="5" t="str">
        <f>IFERROR(__xludf.DUMMYFUNCTION("""COMPUTED_VALUE"""),"Stock")</f>
        <v>Stock</v>
      </c>
      <c r="F296" s="5" t="str">
        <f>IFERROR(__xludf.DUMMYFUNCTION("""COMPUTED_VALUE"""),"HKD")</f>
        <v>HKD</v>
      </c>
      <c r="G296" s="30" t="str">
        <f>IFERROR(__xludf.DUMMYFUNCTION("""COMPUTED_VALUE"""),"Email Account/ TraderID Recognized")</f>
        <v>Email Account/ TraderID Recognized</v>
      </c>
      <c r="H296" s="121" t="str">
        <f>IFERROR(__xludf.DUMMYFUNCTION("""COMPUTED_VALUE"""),"1208.HK")</f>
        <v>1208.HK</v>
      </c>
      <c r="I296" s="30">
        <f>IFERROR(__xludf.DUMMYFUNCTION("""COMPUTED_VALUE"""),10000.0)</f>
        <v>10000</v>
      </c>
      <c r="J296" s="30">
        <f>IFERROR(__xludf.DUMMYFUNCTION("""COMPUTED_VALUE"""),3.16)</f>
        <v>3.16</v>
      </c>
      <c r="K296" s="30" t="str">
        <f>IFERROR(__xludf.DUMMYFUNCTION("""COMPUTED_VALUE"""),"QTY, Limit Price (if any) &amp; Password input correct")</f>
        <v>QTY, Limit Price (if any) &amp; Password input correct</v>
      </c>
      <c r="L296" s="30"/>
    </row>
    <row r="297">
      <c r="A297" s="5"/>
      <c r="B297" s="118">
        <f>IFERROR(__xludf.DUMMYFUNCTION("""COMPUTED_VALUE"""),44623.564688321756)</f>
        <v>44623.56469</v>
      </c>
      <c r="C297" s="120" t="str">
        <f>IFERROR(__xludf.DUMMYFUNCTION("""COMPUTED_VALUE"""),"")</f>
        <v/>
      </c>
      <c r="D297" s="5" t="str">
        <f>IFERROR(__xludf.DUMMYFUNCTION("""COMPUTED_VALUE"""),"79521")</f>
        <v>79521</v>
      </c>
      <c r="E297" s="5" t="str">
        <f>IFERROR(__xludf.DUMMYFUNCTION("""COMPUTED_VALUE"""),"Stock")</f>
        <v>Stock</v>
      </c>
      <c r="F297" s="5" t="str">
        <f>IFERROR(__xludf.DUMMYFUNCTION("""COMPUTED_VALUE"""),"error")</f>
        <v>error</v>
      </c>
      <c r="G297" s="30" t="str">
        <f>IFERROR(__xludf.DUMMYFUNCTION("""COMPUTED_VALUE"""),"Email Account/ TraderID Recognized")</f>
        <v>Email Account/ TraderID Recognized</v>
      </c>
      <c r="H297" s="119" t="str">
        <f>IFERROR(__xludf.DUMMYFUNCTION("""COMPUTED_VALUE"""),"002207")</f>
        <v>002207</v>
      </c>
      <c r="I297" s="30">
        <f>IFERROR(__xludf.DUMMYFUNCTION("""COMPUTED_VALUE"""),10000.0)</f>
        <v>10000</v>
      </c>
      <c r="J297" s="30">
        <f>IFERROR(__xludf.DUMMYFUNCTION("""COMPUTED_VALUE"""),11.13)</f>
        <v>11.13</v>
      </c>
      <c r="K297" s="30" t="str">
        <f>IFERROR(__xludf.DUMMYFUNCTION("""COMPUTED_VALUE"""),"QTY, Limit Price (if any) &amp; Password input correct")</f>
        <v>QTY, Limit Price (if any) &amp; Password input correct</v>
      </c>
      <c r="L297" s="30" t="str">
        <f>IFERROR(__xludf.DUMMYFUNCTION("""COMPUTED_VALUE"""),"Order rejected due to wrong ticker code. just need to type in 2207.HK")</f>
        <v>Order rejected due to wrong ticker code. just need to type in 2207.HK</v>
      </c>
    </row>
    <row r="298">
      <c r="A298" s="5"/>
      <c r="B298" s="118">
        <f>IFERROR(__xludf.DUMMYFUNCTION("""COMPUTED_VALUE"""),44623.593068726856)</f>
        <v>44623.59307</v>
      </c>
      <c r="C298" s="120">
        <f>IFERROR(__xludf.DUMMYFUNCTION("""COMPUTED_VALUE"""),44623.666666666664)</f>
        <v>44623.66667</v>
      </c>
      <c r="D298" s="5" t="str">
        <f>IFERROR(__xludf.DUMMYFUNCTION("""COMPUTED_VALUE"""),"39776")</f>
        <v>39776</v>
      </c>
      <c r="E298" s="5" t="str">
        <f>IFERROR(__xludf.DUMMYFUNCTION("""COMPUTED_VALUE"""),"Stock")</f>
        <v>Stock</v>
      </c>
      <c r="F298" s="5" t="str">
        <f>IFERROR(__xludf.DUMMYFUNCTION("""COMPUTED_VALUE"""),"HKD")</f>
        <v>HKD</v>
      </c>
      <c r="G298" s="30" t="str">
        <f>IFERROR(__xludf.DUMMYFUNCTION("""COMPUTED_VALUE"""),"Email Account/ TraderID Recognized")</f>
        <v>Email Account/ TraderID Recognized</v>
      </c>
      <c r="H298" s="121" t="str">
        <f>IFERROR(__xludf.DUMMYFUNCTION("""COMPUTED_VALUE"""),"3800.HK")</f>
        <v>3800.HK</v>
      </c>
      <c r="I298" s="30">
        <f>IFERROR(__xludf.DUMMYFUNCTION("""COMPUTED_VALUE"""),12000.0)</f>
        <v>12000</v>
      </c>
      <c r="J298" s="30">
        <f>IFERROR(__xludf.DUMMYFUNCTION("""COMPUTED_VALUE"""),2.93)</f>
        <v>2.93</v>
      </c>
      <c r="K298" s="30" t="str">
        <f>IFERROR(__xludf.DUMMYFUNCTION("""COMPUTED_VALUE"""),"QTY, Limit Price (if any) &amp; Password input correct")</f>
        <v>QTY, Limit Price (if any) &amp; Password input correct</v>
      </c>
      <c r="L298" s="30"/>
    </row>
    <row r="299">
      <c r="A299" s="5"/>
      <c r="B299" s="118">
        <f>IFERROR(__xludf.DUMMYFUNCTION("""COMPUTED_VALUE"""),44623.61152569445)</f>
        <v>44623.61153</v>
      </c>
      <c r="C299" s="120">
        <f>IFERROR(__xludf.DUMMYFUNCTION("""COMPUTED_VALUE"""),44623.666666666664)</f>
        <v>44623.66667</v>
      </c>
      <c r="D299" s="5" t="str">
        <f>IFERROR(__xludf.DUMMYFUNCTION("""COMPUTED_VALUE"""),"38209")</f>
        <v>38209</v>
      </c>
      <c r="E299" s="5" t="str">
        <f>IFERROR(__xludf.DUMMYFUNCTION("""COMPUTED_VALUE"""),"Stock")</f>
        <v>Stock</v>
      </c>
      <c r="F299" s="5" t="str">
        <f>IFERROR(__xludf.DUMMYFUNCTION("""COMPUTED_VALUE"""),"HKD")</f>
        <v>HKD</v>
      </c>
      <c r="G299" s="30" t="str">
        <f>IFERROR(__xludf.DUMMYFUNCTION("""COMPUTED_VALUE"""),"Email Account/ TraderID Recognized")</f>
        <v>Email Account/ TraderID Recognized</v>
      </c>
      <c r="H299" s="121" t="str">
        <f>IFERROR(__xludf.DUMMYFUNCTION("""COMPUTED_VALUE"""),"1810.HK")</f>
        <v>1810.HK</v>
      </c>
      <c r="I299" s="30">
        <f>IFERROR(__xludf.DUMMYFUNCTION("""COMPUTED_VALUE"""),1000.0)</f>
        <v>1000</v>
      </c>
      <c r="J299" s="30">
        <f>IFERROR(__xludf.DUMMYFUNCTION("""COMPUTED_VALUE"""),14.75)</f>
        <v>14.75</v>
      </c>
      <c r="K299" s="30" t="str">
        <f>IFERROR(__xludf.DUMMYFUNCTION("""COMPUTED_VALUE"""),"QTY, Limit Price (if any) &amp; Password input correct")</f>
        <v>QTY, Limit Price (if any) &amp; Password input correct</v>
      </c>
      <c r="L299" s="30"/>
    </row>
    <row r="300">
      <c r="A300" s="5"/>
      <c r="B300" s="118">
        <f>IFERROR(__xludf.DUMMYFUNCTION("""COMPUTED_VALUE"""),44623.614959212966)</f>
        <v>44623.61496</v>
      </c>
      <c r="C300" s="120">
        <f>IFERROR(__xludf.DUMMYFUNCTION("""COMPUTED_VALUE"""),44623.666666666664)</f>
        <v>44623.66667</v>
      </c>
      <c r="D300" s="5" t="str">
        <f>IFERROR(__xludf.DUMMYFUNCTION("""COMPUTED_VALUE"""),"39776")</f>
        <v>39776</v>
      </c>
      <c r="E300" s="5" t="str">
        <f>IFERROR(__xludf.DUMMYFUNCTION("""COMPUTED_VALUE"""),"Stock")</f>
        <v>Stock</v>
      </c>
      <c r="F300" s="5" t="str">
        <f>IFERROR(__xludf.DUMMYFUNCTION("""COMPUTED_VALUE"""),"HKD")</f>
        <v>HKD</v>
      </c>
      <c r="G300" s="30" t="str">
        <f>IFERROR(__xludf.DUMMYFUNCTION("""COMPUTED_VALUE"""),"Email Account/ TraderID Recognized")</f>
        <v>Email Account/ TraderID Recognized</v>
      </c>
      <c r="H300" s="121" t="str">
        <f>IFERROR(__xludf.DUMMYFUNCTION("""COMPUTED_VALUE"""),"3800.HK")</f>
        <v>3800.HK</v>
      </c>
      <c r="I300" s="30">
        <f>IFERROR(__xludf.DUMMYFUNCTION("""COMPUTED_VALUE"""),5000.0)</f>
        <v>5000</v>
      </c>
      <c r="J300" s="30"/>
      <c r="K300" s="30" t="str">
        <f>IFERROR(__xludf.DUMMYFUNCTION("""COMPUTED_VALUE"""),"QTY, Limit Price (if any) &amp; Password input correct")</f>
        <v>QTY, Limit Price (if any) &amp; Password input correct</v>
      </c>
      <c r="L300" s="30"/>
    </row>
    <row r="301">
      <c r="A301" s="5"/>
      <c r="B301" s="118">
        <f>IFERROR(__xludf.DUMMYFUNCTION("""COMPUTED_VALUE"""),44623.91783673612)</f>
        <v>44623.91784</v>
      </c>
      <c r="C301" s="120">
        <f>IFERROR(__xludf.DUMMYFUNCTION("""COMPUTED_VALUE"""),44623.666666666664)</f>
        <v>44623.66667</v>
      </c>
      <c r="D301" s="5" t="str">
        <f>IFERROR(__xludf.DUMMYFUNCTION("""COMPUTED_VALUE"""),"39608")</f>
        <v>39608</v>
      </c>
      <c r="E301" s="5" t="str">
        <f>IFERROR(__xludf.DUMMYFUNCTION("""COMPUTED_VALUE"""),"Stock")</f>
        <v>Stock</v>
      </c>
      <c r="F301" s="5" t="str">
        <f>IFERROR(__xludf.DUMMYFUNCTION("""COMPUTED_VALUE"""),"USD")</f>
        <v>USD</v>
      </c>
      <c r="G301" s="30" t="str">
        <f>IFERROR(__xludf.DUMMYFUNCTION("""COMPUTED_VALUE"""),"Email Account/ TraderID Recognized")</f>
        <v>Email Account/ TraderID Recognized</v>
      </c>
      <c r="H301" s="119" t="str">
        <f>IFERROR(__xludf.DUMMYFUNCTION("""COMPUTED_VALUE"""),"GOLD")</f>
        <v>GOLD</v>
      </c>
      <c r="I301" s="30">
        <f>IFERROR(__xludf.DUMMYFUNCTION("""COMPUTED_VALUE"""),388.0)</f>
        <v>388</v>
      </c>
      <c r="J301" s="30">
        <f>IFERROR(__xludf.DUMMYFUNCTION("""COMPUTED_VALUE"""),23.1)</f>
        <v>23.1</v>
      </c>
      <c r="K301" s="30" t="str">
        <f>IFERROR(__xludf.DUMMYFUNCTION("""COMPUTED_VALUE"""),"QTY, Limit Price (if any) &amp; Password input correct")</f>
        <v>QTY, Limit Price (if any) &amp; Password input correct</v>
      </c>
      <c r="L301" s="30"/>
    </row>
    <row r="302">
      <c r="A302" s="5"/>
      <c r="B302" s="118">
        <f>IFERROR(__xludf.DUMMYFUNCTION("""COMPUTED_VALUE"""),44623.9179502662)</f>
        <v>44623.91795</v>
      </c>
      <c r="C302" s="120">
        <f>IFERROR(__xludf.DUMMYFUNCTION("""COMPUTED_VALUE"""),44623.666666666664)</f>
        <v>44623.66667</v>
      </c>
      <c r="D302" s="5" t="str">
        <f>IFERROR(__xludf.DUMMYFUNCTION("""COMPUTED_VALUE"""),"32312")</f>
        <v>32312</v>
      </c>
      <c r="E302" s="5" t="str">
        <f>IFERROR(__xludf.DUMMYFUNCTION("""COMPUTED_VALUE"""),"Stock")</f>
        <v>Stock</v>
      </c>
      <c r="F302" s="5" t="str">
        <f>IFERROR(__xludf.DUMMYFUNCTION("""COMPUTED_VALUE"""),"USD")</f>
        <v>USD</v>
      </c>
      <c r="G302" s="30" t="str">
        <f>IFERROR(__xludf.DUMMYFUNCTION("""COMPUTED_VALUE"""),"Email Account/ TraderID Recognized")</f>
        <v>Email Account/ TraderID Recognized</v>
      </c>
      <c r="H302" s="119" t="str">
        <f>IFERROR(__xludf.DUMMYFUNCTION("""COMPUTED_VALUE"""),"GOLD")</f>
        <v>GOLD</v>
      </c>
      <c r="I302" s="30">
        <f>IFERROR(__xludf.DUMMYFUNCTION("""COMPUTED_VALUE"""),388.0)</f>
        <v>388</v>
      </c>
      <c r="J302" s="30">
        <f>IFERROR(__xludf.DUMMYFUNCTION("""COMPUTED_VALUE"""),23.1)</f>
        <v>23.1</v>
      </c>
      <c r="K302" s="30" t="str">
        <f>IFERROR(__xludf.DUMMYFUNCTION("""COMPUTED_VALUE"""),"QTY, Limit Price (if any) &amp; Password input correct")</f>
        <v>QTY, Limit Price (if any) &amp; Password input correct</v>
      </c>
      <c r="L302" s="30"/>
    </row>
    <row r="303">
      <c r="A303" s="5"/>
      <c r="B303" s="118">
        <f>IFERROR(__xludf.DUMMYFUNCTION("""COMPUTED_VALUE"""),44623.91796643518)</f>
        <v>44623.91797</v>
      </c>
      <c r="C303" s="120">
        <f>IFERROR(__xludf.DUMMYFUNCTION("""COMPUTED_VALUE"""),44623.666666666664)</f>
        <v>44623.66667</v>
      </c>
      <c r="D303" s="5" t="str">
        <f>IFERROR(__xludf.DUMMYFUNCTION("""COMPUTED_VALUE"""),"37400")</f>
        <v>37400</v>
      </c>
      <c r="E303" s="5" t="str">
        <f>IFERROR(__xludf.DUMMYFUNCTION("""COMPUTED_VALUE"""),"Stock")</f>
        <v>Stock</v>
      </c>
      <c r="F303" s="5" t="str">
        <f>IFERROR(__xludf.DUMMYFUNCTION("""COMPUTED_VALUE"""),"USD")</f>
        <v>USD</v>
      </c>
      <c r="G303" s="30" t="str">
        <f>IFERROR(__xludf.DUMMYFUNCTION("""COMPUTED_VALUE"""),"Email Account/ TraderID Recognized")</f>
        <v>Email Account/ TraderID Recognized</v>
      </c>
      <c r="H303" s="119" t="str">
        <f>IFERROR(__xludf.DUMMYFUNCTION("""COMPUTED_VALUE"""),"GOLD")</f>
        <v>GOLD</v>
      </c>
      <c r="I303" s="30">
        <f>IFERROR(__xludf.DUMMYFUNCTION("""COMPUTED_VALUE"""),388.0)</f>
        <v>388</v>
      </c>
      <c r="J303" s="30">
        <f>IFERROR(__xludf.DUMMYFUNCTION("""COMPUTED_VALUE"""),23.1)</f>
        <v>23.1</v>
      </c>
      <c r="K303" s="30" t="str">
        <f>IFERROR(__xludf.DUMMYFUNCTION("""COMPUTED_VALUE"""),"QTY, Limit Price (if any) &amp; Password input correct")</f>
        <v>QTY, Limit Price (if any) &amp; Password input correct</v>
      </c>
      <c r="L303" s="30"/>
    </row>
    <row r="304">
      <c r="A304" s="5"/>
      <c r="B304" s="118">
        <f>IFERROR(__xludf.DUMMYFUNCTION("""COMPUTED_VALUE"""),44624.04861921296)</f>
        <v>44624.04862</v>
      </c>
      <c r="C304" s="120">
        <f>IFERROR(__xludf.DUMMYFUNCTION("""COMPUTED_VALUE"""),44623.666666666664)</f>
        <v>44623.66667</v>
      </c>
      <c r="D304" s="5" t="str">
        <f>IFERROR(__xludf.DUMMYFUNCTION("""COMPUTED_VALUE"""),"89750")</f>
        <v>89750</v>
      </c>
      <c r="E304" s="5" t="str">
        <f>IFERROR(__xludf.DUMMYFUNCTION("""COMPUTED_VALUE"""),"Option")</f>
        <v>Option</v>
      </c>
      <c r="F304" s="5" t="str">
        <f>IFERROR(__xludf.DUMMYFUNCTION("""COMPUTED_VALUE"""),"USD")</f>
        <v>USD</v>
      </c>
      <c r="G304" s="30" t="str">
        <f>IFERROR(__xludf.DUMMYFUNCTION("""COMPUTED_VALUE"""),"Email Account/ TraderID Recognized")</f>
        <v>Email Account/ TraderID Recognized</v>
      </c>
      <c r="H304" s="119" t="str">
        <f>IFERROR(__xludf.DUMMYFUNCTION("""COMPUTED_VALUE"""),"TQQQ220311P00057500")</f>
        <v>TQQQ220311P00057500</v>
      </c>
      <c r="I304" s="30">
        <f>IFERROR(__xludf.DUMMYFUNCTION("""COMPUTED_VALUE"""),10.0)</f>
        <v>10</v>
      </c>
      <c r="J304" s="30"/>
      <c r="K304" s="30" t="str">
        <f>IFERROR(__xludf.DUMMYFUNCTION("""COMPUTED_VALUE"""),"QTY, Limit Price (if any) &amp; Password input correct")</f>
        <v>QTY, Limit Price (if any) &amp; Password input correct</v>
      </c>
      <c r="L304" s="30"/>
    </row>
    <row r="305">
      <c r="A305" s="5"/>
      <c r="B305" s="118">
        <f>IFERROR(__xludf.DUMMYFUNCTION("""COMPUTED_VALUE"""),44624.04996402778)</f>
        <v>44624.04996</v>
      </c>
      <c r="C305" s="120">
        <f>IFERROR(__xludf.DUMMYFUNCTION("""COMPUTED_VALUE"""),44623.666666666664)</f>
        <v>44623.66667</v>
      </c>
      <c r="D305" s="5" t="str">
        <f>IFERROR(__xludf.DUMMYFUNCTION("""COMPUTED_VALUE"""),"89750")</f>
        <v>89750</v>
      </c>
      <c r="E305" s="5" t="str">
        <f>IFERROR(__xludf.DUMMYFUNCTION("""COMPUTED_VALUE"""),"Option")</f>
        <v>Option</v>
      </c>
      <c r="F305" s="5" t="str">
        <f>IFERROR(__xludf.DUMMYFUNCTION("""COMPUTED_VALUE"""),"USD")</f>
        <v>USD</v>
      </c>
      <c r="G305" s="30" t="str">
        <f>IFERROR(__xludf.DUMMYFUNCTION("""COMPUTED_VALUE"""),"Email Account/ TraderID Recognized")</f>
        <v>Email Account/ TraderID Recognized</v>
      </c>
      <c r="H305" s="119" t="str">
        <f>IFERROR(__xludf.DUMMYFUNCTION("""COMPUTED_VALUE"""),"RLX220414C00005000")</f>
        <v>RLX220414C00005000</v>
      </c>
      <c r="I305" s="30">
        <f>IFERROR(__xludf.DUMMYFUNCTION("""COMPUTED_VALUE"""),1000.0)</f>
        <v>1000</v>
      </c>
      <c r="J305" s="30"/>
      <c r="K305" s="30" t="str">
        <f>IFERROR(__xludf.DUMMYFUNCTION("""COMPUTED_VALUE"""),"QTY, Limit Price (if any) &amp; Password input correct")</f>
        <v>QTY, Limit Price (if any) &amp; Password input correct</v>
      </c>
      <c r="L305" s="30"/>
    </row>
    <row r="306">
      <c r="A306" s="5"/>
      <c r="B306" s="118">
        <f>IFERROR(__xludf.DUMMYFUNCTION("""COMPUTED_VALUE"""),44624.063451504626)</f>
        <v>44624.06345</v>
      </c>
      <c r="C306" s="120">
        <f>IFERROR(__xludf.DUMMYFUNCTION("""COMPUTED_VALUE"""),44623.666666666664)</f>
        <v>44623.66667</v>
      </c>
      <c r="D306" s="5" t="str">
        <f>IFERROR(__xludf.DUMMYFUNCTION("""COMPUTED_VALUE"""),"89750")</f>
        <v>89750</v>
      </c>
      <c r="E306" s="5" t="str">
        <f>IFERROR(__xludf.DUMMYFUNCTION("""COMPUTED_VALUE"""),"Option")</f>
        <v>Option</v>
      </c>
      <c r="F306" s="5" t="str">
        <f>IFERROR(__xludf.DUMMYFUNCTION("""COMPUTED_VALUE"""),"USD")</f>
        <v>USD</v>
      </c>
      <c r="G306" s="30" t="str">
        <f>IFERROR(__xludf.DUMMYFUNCTION("""COMPUTED_VALUE"""),"Email Account/ TraderID Recognized")</f>
        <v>Email Account/ TraderID Recognized</v>
      </c>
      <c r="H306" s="119" t="str">
        <f>IFERROR(__xludf.DUMMYFUNCTION("""COMPUTED_VALUE"""),"TQQQ220311P00057500")</f>
        <v>TQQQ220311P00057500</v>
      </c>
      <c r="I306" s="30">
        <f>IFERROR(__xludf.DUMMYFUNCTION("""COMPUTED_VALUE"""),10.0)</f>
        <v>10</v>
      </c>
      <c r="J306" s="30">
        <f>IFERROR(__xludf.DUMMYFUNCTION("""COMPUTED_VALUE"""),4.84)</f>
        <v>4.84</v>
      </c>
      <c r="K306" s="30" t="str">
        <f>IFERROR(__xludf.DUMMYFUNCTION("""COMPUTED_VALUE"""),"QTY, Limit Price (if any) &amp; Password input correct")</f>
        <v>QTY, Limit Price (if any) &amp; Password input correct</v>
      </c>
      <c r="L306" s="30"/>
    </row>
    <row r="307">
      <c r="A307" s="5"/>
      <c r="B307" s="118">
        <f>IFERROR(__xludf.DUMMYFUNCTION("""COMPUTED_VALUE"""),44624.08670543981)</f>
        <v>44624.08671</v>
      </c>
      <c r="C307" s="120">
        <f>IFERROR(__xludf.DUMMYFUNCTION("""COMPUTED_VALUE"""),44623.666666666664)</f>
        <v>44623.66667</v>
      </c>
      <c r="D307" s="5" t="str">
        <f>IFERROR(__xludf.DUMMYFUNCTION("""COMPUTED_VALUE"""),"89750")</f>
        <v>89750</v>
      </c>
      <c r="E307" s="5" t="str">
        <f>IFERROR(__xludf.DUMMYFUNCTION("""COMPUTED_VALUE"""),"Stock")</f>
        <v>Stock</v>
      </c>
      <c r="F307" s="5" t="str">
        <f>IFERROR(__xludf.DUMMYFUNCTION("""COMPUTED_VALUE"""),"USD")</f>
        <v>USD</v>
      </c>
      <c r="G307" s="30" t="str">
        <f>IFERROR(__xludf.DUMMYFUNCTION("""COMPUTED_VALUE"""),"Email Account/ TraderID Recognized")</f>
        <v>Email Account/ TraderID Recognized</v>
      </c>
      <c r="H307" s="119" t="str">
        <f>IFERROR(__xludf.DUMMYFUNCTION("""COMPUTED_VALUE"""),"TCEHY")</f>
        <v>TCEHY</v>
      </c>
      <c r="I307" s="30">
        <f>IFERROR(__xludf.DUMMYFUNCTION("""COMPUTED_VALUE"""),50.0)</f>
        <v>50</v>
      </c>
      <c r="J307" s="30"/>
      <c r="K307" s="30" t="str">
        <f>IFERROR(__xludf.DUMMYFUNCTION("""COMPUTED_VALUE"""),"QTY, Limit Price (if any) &amp; Password input correct")</f>
        <v>QTY, Limit Price (if any) &amp; Password input correct</v>
      </c>
      <c r="L307" s="30"/>
    </row>
    <row r="308">
      <c r="A308" s="5"/>
      <c r="B308" s="118">
        <f>IFERROR(__xludf.DUMMYFUNCTION("""COMPUTED_VALUE"""),44624.45668326389)</f>
        <v>44624.45668</v>
      </c>
      <c r="C308" s="120">
        <f>IFERROR(__xludf.DUMMYFUNCTION("""COMPUTED_VALUE"""),44624.666666666664)</f>
        <v>44624.66667</v>
      </c>
      <c r="D308" s="5" t="str">
        <f>IFERROR(__xludf.DUMMYFUNCTION("""COMPUTED_VALUE"""),"38209")</f>
        <v>38209</v>
      </c>
      <c r="E308" s="5" t="str">
        <f>IFERROR(__xludf.DUMMYFUNCTION("""COMPUTED_VALUE"""),"Stock")</f>
        <v>Stock</v>
      </c>
      <c r="F308" s="5" t="str">
        <f>IFERROR(__xludf.DUMMYFUNCTION("""COMPUTED_VALUE"""),"HKD")</f>
        <v>HKD</v>
      </c>
      <c r="G308" s="30" t="str">
        <f>IFERROR(__xludf.DUMMYFUNCTION("""COMPUTED_VALUE"""),"Email Account/ TraderID Recognized")</f>
        <v>Email Account/ TraderID Recognized</v>
      </c>
      <c r="H308" s="121" t="str">
        <f>IFERROR(__xludf.DUMMYFUNCTION("""COMPUTED_VALUE"""),"9988.HK")</f>
        <v>9988.HK</v>
      </c>
      <c r="I308" s="30">
        <f>IFERROR(__xludf.DUMMYFUNCTION("""COMPUTED_VALUE"""),200.0)</f>
        <v>200</v>
      </c>
      <c r="J308" s="30">
        <f>IFERROR(__xludf.DUMMYFUNCTION("""COMPUTED_VALUE"""),99.7)</f>
        <v>99.7</v>
      </c>
      <c r="K308" s="30" t="str">
        <f>IFERROR(__xludf.DUMMYFUNCTION("""COMPUTED_VALUE"""),"QTY, Limit Price (if any) &amp; Password input correct")</f>
        <v>QTY, Limit Price (if any) &amp; Password input correct</v>
      </c>
      <c r="L308" s="30"/>
    </row>
    <row r="309">
      <c r="A309" s="5"/>
      <c r="B309" s="118">
        <f>IFERROR(__xludf.DUMMYFUNCTION("""COMPUTED_VALUE"""),44624.45775908565)</f>
        <v>44624.45776</v>
      </c>
      <c r="C309" s="120">
        <f>IFERROR(__xludf.DUMMYFUNCTION("""COMPUTED_VALUE"""),44624.666666666664)</f>
        <v>44624.66667</v>
      </c>
      <c r="D309" s="5" t="str">
        <f>IFERROR(__xludf.DUMMYFUNCTION("""COMPUTED_VALUE"""),"38209")</f>
        <v>38209</v>
      </c>
      <c r="E309" s="5" t="str">
        <f>IFERROR(__xludf.DUMMYFUNCTION("""COMPUTED_VALUE"""),"Stock")</f>
        <v>Stock</v>
      </c>
      <c r="F309" s="5" t="str">
        <f>IFERROR(__xludf.DUMMYFUNCTION("""COMPUTED_VALUE"""),"HKD")</f>
        <v>HKD</v>
      </c>
      <c r="G309" s="30" t="str">
        <f>IFERROR(__xludf.DUMMYFUNCTION("""COMPUTED_VALUE"""),"Email Account/ TraderID Recognized")</f>
        <v>Email Account/ TraderID Recognized</v>
      </c>
      <c r="H309" s="121" t="str">
        <f>IFERROR(__xludf.DUMMYFUNCTION("""COMPUTED_VALUE"""),"1024.HK")</f>
        <v>1024.HK</v>
      </c>
      <c r="I309" s="30">
        <f>IFERROR(__xludf.DUMMYFUNCTION("""COMPUTED_VALUE"""),200.0)</f>
        <v>200</v>
      </c>
      <c r="J309" s="30">
        <f>IFERROR(__xludf.DUMMYFUNCTION("""COMPUTED_VALUE"""),77.6)</f>
        <v>77.6</v>
      </c>
      <c r="K309" s="30" t="str">
        <f>IFERROR(__xludf.DUMMYFUNCTION("""COMPUTED_VALUE"""),"QTY, Limit Price (if any) &amp; Password input correct")</f>
        <v>QTY, Limit Price (if any) &amp; Password input correct</v>
      </c>
      <c r="L309" s="30"/>
    </row>
    <row r="310">
      <c r="A310" s="5"/>
      <c r="B310" s="118">
        <f>IFERROR(__xludf.DUMMYFUNCTION("""COMPUTED_VALUE"""),44624.45859270833)</f>
        <v>44624.45859</v>
      </c>
      <c r="C310" s="120">
        <f>IFERROR(__xludf.DUMMYFUNCTION("""COMPUTED_VALUE"""),44624.666666666664)</f>
        <v>44624.66667</v>
      </c>
      <c r="D310" s="5" t="str">
        <f>IFERROR(__xludf.DUMMYFUNCTION("""COMPUTED_VALUE"""),"38209")</f>
        <v>38209</v>
      </c>
      <c r="E310" s="5" t="str">
        <f>IFERROR(__xludf.DUMMYFUNCTION("""COMPUTED_VALUE"""),"Stock")</f>
        <v>Stock</v>
      </c>
      <c r="F310" s="5" t="str">
        <f>IFERROR(__xludf.DUMMYFUNCTION("""COMPUTED_VALUE"""),"HKD")</f>
        <v>HKD</v>
      </c>
      <c r="G310" s="30" t="str">
        <f>IFERROR(__xludf.DUMMYFUNCTION("""COMPUTED_VALUE"""),"Email Account/ TraderID Recognized")</f>
        <v>Email Account/ TraderID Recognized</v>
      </c>
      <c r="H310" s="121" t="str">
        <f>IFERROR(__xludf.DUMMYFUNCTION("""COMPUTED_VALUE"""),"1810.HK")</f>
        <v>1810.HK</v>
      </c>
      <c r="I310" s="30">
        <f>IFERROR(__xludf.DUMMYFUNCTION("""COMPUTED_VALUE"""),1000.0)</f>
        <v>1000</v>
      </c>
      <c r="J310" s="30">
        <f>IFERROR(__xludf.DUMMYFUNCTION("""COMPUTED_VALUE"""),14.16)</f>
        <v>14.16</v>
      </c>
      <c r="K310" s="30" t="str">
        <f>IFERROR(__xludf.DUMMYFUNCTION("""COMPUTED_VALUE"""),"QTY, Limit Price (if any) &amp; Password input correct")</f>
        <v>QTY, Limit Price (if any) &amp; Password input correct</v>
      </c>
      <c r="L310" s="30"/>
    </row>
    <row r="311">
      <c r="A311" s="5"/>
      <c r="B311" s="118">
        <f>IFERROR(__xludf.DUMMYFUNCTION("""COMPUTED_VALUE"""),44624.6383703125)</f>
        <v>44624.63837</v>
      </c>
      <c r="C311" s="120">
        <f>IFERROR(__xludf.DUMMYFUNCTION("""COMPUTED_VALUE"""),44624.666666666664)</f>
        <v>44624.66667</v>
      </c>
      <c r="D311" s="5" t="str">
        <f>IFERROR(__xludf.DUMMYFUNCTION("""COMPUTED_VALUE"""),"82124")</f>
        <v>82124</v>
      </c>
      <c r="E311" s="5" t="str">
        <f>IFERROR(__xludf.DUMMYFUNCTION("""COMPUTED_VALUE"""),"Stock")</f>
        <v>Stock</v>
      </c>
      <c r="F311" s="5" t="str">
        <f>IFERROR(__xludf.DUMMYFUNCTION("""COMPUTED_VALUE"""),"HKD")</f>
        <v>HKD</v>
      </c>
      <c r="G311" s="30" t="str">
        <f>IFERROR(__xludf.DUMMYFUNCTION("""COMPUTED_VALUE"""),"Email Account/ TraderID Recognized")</f>
        <v>Email Account/ TraderID Recognized</v>
      </c>
      <c r="H311" s="121" t="str">
        <f>IFERROR(__xludf.DUMMYFUNCTION("""COMPUTED_VALUE"""),"0700.HK")</f>
        <v>0700.HK</v>
      </c>
      <c r="I311" s="30">
        <f>IFERROR(__xludf.DUMMYFUNCTION("""COMPUTED_VALUE"""),100.0)</f>
        <v>100</v>
      </c>
      <c r="J311" s="30"/>
      <c r="K311" s="30" t="str">
        <f>IFERROR(__xludf.DUMMYFUNCTION("""COMPUTED_VALUE"""),"QTY, Limit Price (if any) &amp; Password input correct")</f>
        <v>QTY, Limit Price (if any) &amp; Password input correct</v>
      </c>
      <c r="L311" s="30"/>
    </row>
    <row r="312">
      <c r="A312" s="5"/>
      <c r="B312" s="118">
        <f>IFERROR(__xludf.DUMMYFUNCTION("""COMPUTED_VALUE"""),44624.63978737268)</f>
        <v>44624.63979</v>
      </c>
      <c r="C312" s="120">
        <f>IFERROR(__xludf.DUMMYFUNCTION("""COMPUTED_VALUE"""),44624.666666666664)</f>
        <v>44624.66667</v>
      </c>
      <c r="D312" s="5" t="str">
        <f>IFERROR(__xludf.DUMMYFUNCTION("""COMPUTED_VALUE"""),"46220")</f>
        <v>46220</v>
      </c>
      <c r="E312" s="5" t="str">
        <f>IFERROR(__xludf.DUMMYFUNCTION("""COMPUTED_VALUE"""),"Stock")</f>
        <v>Stock</v>
      </c>
      <c r="F312" s="5" t="str">
        <f>IFERROR(__xludf.DUMMYFUNCTION("""COMPUTED_VALUE"""),"HKD")</f>
        <v>HKD</v>
      </c>
      <c r="G312" s="30" t="str">
        <f>IFERROR(__xludf.DUMMYFUNCTION("""COMPUTED_VALUE"""),"Email Account/ TraderID Recognized")</f>
        <v>Email Account/ TraderID Recognized</v>
      </c>
      <c r="H312" s="121" t="str">
        <f>IFERROR(__xludf.DUMMYFUNCTION("""COMPUTED_VALUE"""),"9988.HK")</f>
        <v>9988.HK</v>
      </c>
      <c r="I312" s="30">
        <f>IFERROR(__xludf.DUMMYFUNCTION("""COMPUTED_VALUE"""),2000.0)</f>
        <v>2000</v>
      </c>
      <c r="J312" s="30"/>
      <c r="K312" s="30" t="str">
        <f>IFERROR(__xludf.DUMMYFUNCTION("""COMPUTED_VALUE"""),"QTY, Limit Price (if any) &amp; Password input correct")</f>
        <v>QTY, Limit Price (if any) &amp; Password input correct</v>
      </c>
      <c r="L312" s="30"/>
    </row>
    <row r="313">
      <c r="A313" s="5"/>
      <c r="B313" s="118">
        <f>IFERROR(__xludf.DUMMYFUNCTION("""COMPUTED_VALUE"""),44624.679041157404)</f>
        <v>44624.67904</v>
      </c>
      <c r="C313" s="120" t="str">
        <f>IFERROR(__xludf.DUMMYFUNCTION("""COMPUTED_VALUE"""),"")</f>
        <v/>
      </c>
      <c r="D313" s="5" t="str">
        <f>IFERROR(__xludf.DUMMYFUNCTION("""COMPUTED_VALUE"""),"75369")</f>
        <v>75369</v>
      </c>
      <c r="E313" s="5" t="str">
        <f>IFERROR(__xludf.DUMMYFUNCTION("""COMPUTED_VALUE"""),"Bond")</f>
        <v>Bond</v>
      </c>
      <c r="F313" s="5" t="str">
        <f>IFERROR(__xludf.DUMMYFUNCTION("""COMPUTED_VALUE"""),"error")</f>
        <v>error</v>
      </c>
      <c r="G313" s="30" t="str">
        <f>IFERROR(__xludf.DUMMYFUNCTION("""COMPUTED_VALUE"""),"Email Account/ TraderID Recognized")</f>
        <v>Email Account/ TraderID Recognized</v>
      </c>
      <c r="H313" s="119" t="str">
        <f>IFERROR(__xludf.DUMMYFUNCTION("""COMPUTED_VALUE"""),"0700")</f>
        <v>0700</v>
      </c>
      <c r="I313" s="30"/>
      <c r="J313" s="30"/>
      <c r="K313" s="30" t="str">
        <f>IFERROR(__xludf.DUMMYFUNCTION("""COMPUTED_VALUE"""),"Non-number input in Quantity or Limit Price")</f>
        <v>Non-number input in Quantity or Limit Price</v>
      </c>
      <c r="L313" s="30" t="str">
        <f>IFERROR(__xludf.DUMMYFUNCTION("""COMPUTED_VALUE"""),"Order Rejected due to wrong password and wrong ticker. Please go to https://www.bondsupermart.com/bsm/general-search/tencent , there are 18 tencent bonds. Limit price you set, 409.4, is a stock price, not a bond price. ")</f>
        <v>Order Rejected due to wrong password and wrong ticker. Please go to https://www.bondsupermart.com/bsm/general-search/tencent , there are 18 tencent bonds. Limit price you set, 409.4, is a stock price, not a bond price. </v>
      </c>
    </row>
    <row r="314">
      <c r="A314" s="5"/>
      <c r="B314" s="118">
        <f>IFERROR(__xludf.DUMMYFUNCTION("""COMPUTED_VALUE"""),44624.693672719906)</f>
        <v>44624.69367</v>
      </c>
      <c r="C314" s="120" t="str">
        <f>IFERROR(__xludf.DUMMYFUNCTION("""COMPUTED_VALUE"""),"")</f>
        <v/>
      </c>
      <c r="D314" s="5" t="str">
        <f>IFERROR(__xludf.DUMMYFUNCTION("""COMPUTED_VALUE"""),"")</f>
        <v/>
      </c>
      <c r="E314" s="5" t="str">
        <f>IFERROR(__xludf.DUMMYFUNCTION("""COMPUTED_VALUE"""),"Stock")</f>
        <v>Stock</v>
      </c>
      <c r="F314" s="5" t="str">
        <f>IFERROR(__xludf.DUMMYFUNCTION("""COMPUTED_VALUE"""),"error")</f>
        <v>error</v>
      </c>
      <c r="G314" s="30" t="str">
        <f>IFERROR(__xludf.DUMMYFUNCTION("""COMPUTED_VALUE"""),"s124xxxxxx@nonHKMUemail")</f>
        <v>s124xxxxxx@nonHKMUemail</v>
      </c>
      <c r="H314" s="121" t="str">
        <f>IFERROR(__xludf.DUMMYFUNCTION("""COMPUTED_VALUE"""),"0001.HK")</f>
        <v>0001.HK</v>
      </c>
      <c r="I314" s="30">
        <f>IFERROR(__xludf.DUMMYFUNCTION("""COMPUTED_VALUE"""),3.0)</f>
        <v>3</v>
      </c>
      <c r="J314" s="30"/>
      <c r="K314" s="30" t="str">
        <f>IFERROR(__xludf.DUMMYFUNCTION("""COMPUTED_VALUE"""),"QTY, Limit Price (if any) &amp; Password input correct")</f>
        <v>QTY, Limit Price (if any) &amp; Password input correct</v>
      </c>
      <c r="L314" s="30" t="str">
        <f>IFERROR(__xludf.DUMMYFUNCTION("""COMPUTED_VALUE"""),"Order Rejected due to non school email, please put in sXXXXXXX@hkmu.edu.hk")</f>
        <v>Order Rejected due to non school email, please put in sXXXXXXX@hkmu.edu.hk</v>
      </c>
    </row>
    <row r="315">
      <c r="A315" s="5"/>
      <c r="B315" s="118">
        <f>IFERROR(__xludf.DUMMYFUNCTION("""COMPUTED_VALUE"""),44624.70455591435)</f>
        <v>44624.70456</v>
      </c>
      <c r="C315" s="120" t="str">
        <f>IFERROR(__xludf.DUMMYFUNCTION("""COMPUTED_VALUE"""),"")</f>
        <v/>
      </c>
      <c r="D315" s="5" t="str">
        <f>IFERROR(__xludf.DUMMYFUNCTION("""COMPUTED_VALUE"""),"")</f>
        <v/>
      </c>
      <c r="E315" s="5" t="str">
        <f>IFERROR(__xludf.DUMMYFUNCTION("""COMPUTED_VALUE"""),"Stock")</f>
        <v>Stock</v>
      </c>
      <c r="F315" s="5" t="str">
        <f>IFERROR(__xludf.DUMMYFUNCTION("""COMPUTED_VALUE"""),"error")</f>
        <v>error</v>
      </c>
      <c r="G315" s="30" t="str">
        <f>IFERROR(__xludf.DUMMYFUNCTION("""COMPUTED_VALUE"""),"s124xxxxxx@nonHKMUemail")</f>
        <v>s124xxxxxx@nonHKMUemail</v>
      </c>
      <c r="H315" s="121" t="str">
        <f>IFERROR(__xludf.DUMMYFUNCTION("""COMPUTED_VALUE"""),"0151.HK")</f>
        <v>0151.HK</v>
      </c>
      <c r="I315" s="30">
        <f>IFERROR(__xludf.DUMMYFUNCTION("""COMPUTED_VALUE"""),4.0)</f>
        <v>4</v>
      </c>
      <c r="J315" s="30"/>
      <c r="K315" s="30" t="str">
        <f>IFERROR(__xludf.DUMMYFUNCTION("""COMPUTED_VALUE"""),"QTY, Limit Price (if any) &amp; Password input correct")</f>
        <v>QTY, Limit Price (if any) &amp; Password input correct</v>
      </c>
      <c r="L315" s="30" t="str">
        <f>IFERROR(__xludf.DUMMYFUNCTION("""COMPUTED_VALUE"""),"Order Rejected due to non school email, please put in sXXXXXXX@hkmu.edu.hk")</f>
        <v>Order Rejected due to non school email, please put in sXXXXXXX@hkmu.edu.hk</v>
      </c>
    </row>
    <row r="316">
      <c r="A316" s="5"/>
      <c r="B316" s="118">
        <f>IFERROR(__xludf.DUMMYFUNCTION("""COMPUTED_VALUE"""),44624.79034204861)</f>
        <v>44624.79034</v>
      </c>
      <c r="C316" s="120">
        <f>IFERROR(__xludf.DUMMYFUNCTION("""COMPUTED_VALUE"""),44624.666666666664)</f>
        <v>44624.66667</v>
      </c>
      <c r="D316" s="5" t="str">
        <f>IFERROR(__xludf.DUMMYFUNCTION("""COMPUTED_VALUE"""),"74356")</f>
        <v>74356</v>
      </c>
      <c r="E316" s="5" t="str">
        <f>IFERROR(__xludf.DUMMYFUNCTION("""COMPUTED_VALUE"""),"Stock")</f>
        <v>Stock</v>
      </c>
      <c r="F316" s="5" t="str">
        <f>IFERROR(__xludf.DUMMYFUNCTION("""COMPUTED_VALUE"""),"USD")</f>
        <v>USD</v>
      </c>
      <c r="G316" s="30" t="str">
        <f>IFERROR(__xludf.DUMMYFUNCTION("""COMPUTED_VALUE"""),"Email Account/ TraderID Recognized")</f>
        <v>Email Account/ TraderID Recognized</v>
      </c>
      <c r="H316" s="119" t="str">
        <f>IFERROR(__xludf.DUMMYFUNCTION("""COMPUTED_VALUE"""),"NET")</f>
        <v>NET</v>
      </c>
      <c r="I316" s="30">
        <f>IFERROR(__xludf.DUMMYFUNCTION("""COMPUTED_VALUE"""),10.0)</f>
        <v>10</v>
      </c>
      <c r="J316" s="30">
        <f>IFERROR(__xludf.DUMMYFUNCTION("""COMPUTED_VALUE"""),101.0)</f>
        <v>101</v>
      </c>
      <c r="K316" s="30" t="str">
        <f>IFERROR(__xludf.DUMMYFUNCTION("""COMPUTED_VALUE"""),"QTY, Limit Price (if any) &amp; Password input correct")</f>
        <v>QTY, Limit Price (if any) &amp; Password input correct</v>
      </c>
      <c r="L316" s="30"/>
    </row>
    <row r="317">
      <c r="A317" s="5"/>
      <c r="B317" s="118">
        <f>IFERROR(__xludf.DUMMYFUNCTION("""COMPUTED_VALUE"""),44624.79447710648)</f>
        <v>44624.79448</v>
      </c>
      <c r="C317" s="120">
        <f>IFERROR(__xludf.DUMMYFUNCTION("""COMPUTED_VALUE"""),44624.666666666664)</f>
        <v>44624.66667</v>
      </c>
      <c r="D317" s="5" t="str">
        <f>IFERROR(__xludf.DUMMYFUNCTION("""COMPUTED_VALUE"""),"74356")</f>
        <v>74356</v>
      </c>
      <c r="E317" s="5" t="str">
        <f>IFERROR(__xludf.DUMMYFUNCTION("""COMPUTED_VALUE"""),"Stock")</f>
        <v>Stock</v>
      </c>
      <c r="F317" s="5" t="str">
        <f>IFERROR(__xludf.DUMMYFUNCTION("""COMPUTED_VALUE"""),"USD")</f>
        <v>USD</v>
      </c>
      <c r="G317" s="30" t="str">
        <f>IFERROR(__xludf.DUMMYFUNCTION("""COMPUTED_VALUE"""),"Email Account/ TraderID Recognized")</f>
        <v>Email Account/ TraderID Recognized</v>
      </c>
      <c r="H317" s="119" t="str">
        <f>IFERROR(__xludf.DUMMYFUNCTION("""COMPUTED_VALUE"""),"AMAT")</f>
        <v>AMAT</v>
      </c>
      <c r="I317" s="30">
        <f>IFERROR(__xludf.DUMMYFUNCTION("""COMPUTED_VALUE"""),50.0)</f>
        <v>50</v>
      </c>
      <c r="J317" s="30">
        <f>IFERROR(__xludf.DUMMYFUNCTION("""COMPUTED_VALUE"""),136.0)</f>
        <v>136</v>
      </c>
      <c r="K317" s="30" t="str">
        <f>IFERROR(__xludf.DUMMYFUNCTION("""COMPUTED_VALUE"""),"QTY, Limit Price (if any) &amp; Password input correct")</f>
        <v>QTY, Limit Price (if any) &amp; Password input correct</v>
      </c>
      <c r="L317" s="30"/>
    </row>
    <row r="318">
      <c r="A318" s="5"/>
      <c r="B318" s="118">
        <f>IFERROR(__xludf.DUMMYFUNCTION("""COMPUTED_VALUE"""),44624.79717421296)</f>
        <v>44624.79717</v>
      </c>
      <c r="C318" s="120">
        <f>IFERROR(__xludf.DUMMYFUNCTION("""COMPUTED_VALUE"""),44624.666666666664)</f>
        <v>44624.66667</v>
      </c>
      <c r="D318" s="5" t="str">
        <f>IFERROR(__xludf.DUMMYFUNCTION("""COMPUTED_VALUE"""),"76848")</f>
        <v>76848</v>
      </c>
      <c r="E318" s="5" t="str">
        <f>IFERROR(__xludf.DUMMYFUNCTION("""COMPUTED_VALUE"""),"Stock")</f>
        <v>Stock</v>
      </c>
      <c r="F318" s="5" t="str">
        <f>IFERROR(__xludf.DUMMYFUNCTION("""COMPUTED_VALUE"""),"USD")</f>
        <v>USD</v>
      </c>
      <c r="G318" s="30" t="str">
        <f>IFERROR(__xludf.DUMMYFUNCTION("""COMPUTED_VALUE"""),"Email Account/ TraderID Recognized")</f>
        <v>Email Account/ TraderID Recognized</v>
      </c>
      <c r="H318" s="119" t="str">
        <f>IFERROR(__xludf.DUMMYFUNCTION("""COMPUTED_VALUE"""),"AMAT")</f>
        <v>AMAT</v>
      </c>
      <c r="I318" s="30">
        <f>IFERROR(__xludf.DUMMYFUNCTION("""COMPUTED_VALUE"""),50.0)</f>
        <v>50</v>
      </c>
      <c r="J318" s="30">
        <f>IFERROR(__xludf.DUMMYFUNCTION("""COMPUTED_VALUE"""),136.0)</f>
        <v>136</v>
      </c>
      <c r="K318" s="30" t="str">
        <f>IFERROR(__xludf.DUMMYFUNCTION("""COMPUTED_VALUE"""),"QTY, Limit Price (if any) &amp; Password input correct")</f>
        <v>QTY, Limit Price (if any) &amp; Password input correct</v>
      </c>
      <c r="L318" s="30"/>
    </row>
    <row r="319">
      <c r="A319" s="5"/>
      <c r="B319" s="118">
        <f>IFERROR(__xludf.DUMMYFUNCTION("""COMPUTED_VALUE"""),44624.803866331014)</f>
        <v>44624.80387</v>
      </c>
      <c r="C319" s="120">
        <f>IFERROR(__xludf.DUMMYFUNCTION("""COMPUTED_VALUE"""),44624.666666666664)</f>
        <v>44624.66667</v>
      </c>
      <c r="D319" s="5" t="str">
        <f>IFERROR(__xludf.DUMMYFUNCTION("""COMPUTED_VALUE"""),"74356")</f>
        <v>74356</v>
      </c>
      <c r="E319" s="5" t="str">
        <f>IFERROR(__xludf.DUMMYFUNCTION("""COMPUTED_VALUE"""),"Stock")</f>
        <v>Stock</v>
      </c>
      <c r="F319" s="5" t="str">
        <f>IFERROR(__xludf.DUMMYFUNCTION("""COMPUTED_VALUE"""),"USD")</f>
        <v>USD</v>
      </c>
      <c r="G319" s="30" t="str">
        <f>IFERROR(__xludf.DUMMYFUNCTION("""COMPUTED_VALUE"""),"Email Account/ TraderID Recognized")</f>
        <v>Email Account/ TraderID Recognized</v>
      </c>
      <c r="H319" s="119" t="str">
        <f>IFERROR(__xludf.DUMMYFUNCTION("""COMPUTED_VALUE"""),"BRK-B")</f>
        <v>BRK-B</v>
      </c>
      <c r="I319" s="30">
        <f>IFERROR(__xludf.DUMMYFUNCTION("""COMPUTED_VALUE"""),40.0)</f>
        <v>40</v>
      </c>
      <c r="J319" s="30">
        <f>IFERROR(__xludf.DUMMYFUNCTION("""COMPUTED_VALUE"""),324.0)</f>
        <v>324</v>
      </c>
      <c r="K319" s="30" t="str">
        <f>IFERROR(__xludf.DUMMYFUNCTION("""COMPUTED_VALUE"""),"QTY, Limit Price (if any) &amp; Password input correct")</f>
        <v>QTY, Limit Price (if any) &amp; Password input correct</v>
      </c>
      <c r="L319" s="30"/>
    </row>
    <row r="320">
      <c r="A320" s="5"/>
      <c r="B320" s="118">
        <f>IFERROR(__xludf.DUMMYFUNCTION("""COMPUTED_VALUE"""),44624.804653113424)</f>
        <v>44624.80465</v>
      </c>
      <c r="C320" s="120">
        <f>IFERROR(__xludf.DUMMYFUNCTION("""COMPUTED_VALUE"""),44624.666666666664)</f>
        <v>44624.66667</v>
      </c>
      <c r="D320" s="5" t="str">
        <f>IFERROR(__xludf.DUMMYFUNCTION("""COMPUTED_VALUE"""),"76848")</f>
        <v>76848</v>
      </c>
      <c r="E320" s="5" t="str">
        <f>IFERROR(__xludf.DUMMYFUNCTION("""COMPUTED_VALUE"""),"Stock")</f>
        <v>Stock</v>
      </c>
      <c r="F320" s="5" t="str">
        <f>IFERROR(__xludf.DUMMYFUNCTION("""COMPUTED_VALUE"""),"USD")</f>
        <v>USD</v>
      </c>
      <c r="G320" s="30" t="str">
        <f>IFERROR(__xludf.DUMMYFUNCTION("""COMPUTED_VALUE"""),"Email Account/ TraderID Recognized")</f>
        <v>Email Account/ TraderID Recognized</v>
      </c>
      <c r="H320" s="119" t="str">
        <f>IFERROR(__xludf.DUMMYFUNCTION("""COMPUTED_VALUE"""),"BRK-B")</f>
        <v>BRK-B</v>
      </c>
      <c r="I320" s="30">
        <f>IFERROR(__xludf.DUMMYFUNCTION("""COMPUTED_VALUE"""),40.0)</f>
        <v>40</v>
      </c>
      <c r="J320" s="30">
        <f>IFERROR(__xludf.DUMMYFUNCTION("""COMPUTED_VALUE"""),324.0)</f>
        <v>324</v>
      </c>
      <c r="K320" s="30" t="str">
        <f>IFERROR(__xludf.DUMMYFUNCTION("""COMPUTED_VALUE"""),"QTY, Limit Price (if any) &amp; Password input correct")</f>
        <v>QTY, Limit Price (if any) &amp; Password input correct</v>
      </c>
      <c r="L320" s="30"/>
    </row>
    <row r="321">
      <c r="A321" s="5"/>
      <c r="B321" s="118">
        <f>IFERROR(__xludf.DUMMYFUNCTION("""COMPUTED_VALUE"""),44624.913386886576)</f>
        <v>44624.91339</v>
      </c>
      <c r="C321" s="120">
        <f>IFERROR(__xludf.DUMMYFUNCTION("""COMPUTED_VALUE"""),44624.666666666664)</f>
        <v>44624.66667</v>
      </c>
      <c r="D321" s="5" t="str">
        <f>IFERROR(__xludf.DUMMYFUNCTION("""COMPUTED_VALUE"""),"37400")</f>
        <v>37400</v>
      </c>
      <c r="E321" s="5" t="str">
        <f>IFERROR(__xludf.DUMMYFUNCTION("""COMPUTED_VALUE"""),"Stock")</f>
        <v>Stock</v>
      </c>
      <c r="F321" s="5" t="str">
        <f>IFERROR(__xludf.DUMMYFUNCTION("""COMPUTED_VALUE"""),"USD")</f>
        <v>USD</v>
      </c>
      <c r="G321" s="30" t="str">
        <f>IFERROR(__xludf.DUMMYFUNCTION("""COMPUTED_VALUE"""),"Email Account/ TraderID Recognized")</f>
        <v>Email Account/ TraderID Recognized</v>
      </c>
      <c r="H321" s="119" t="str">
        <f>IFERROR(__xludf.DUMMYFUNCTION("""COMPUTED_VALUE"""),"TSLA")</f>
        <v>TSLA</v>
      </c>
      <c r="I321" s="30">
        <f>IFERROR(__xludf.DUMMYFUNCTION("""COMPUTED_VALUE"""),18.0)</f>
        <v>18</v>
      </c>
      <c r="J321" s="30"/>
      <c r="K321" s="30" t="str">
        <f>IFERROR(__xludf.DUMMYFUNCTION("""COMPUTED_VALUE"""),"QTY, Limit Price (if any) &amp; Password input correct")</f>
        <v>QTY, Limit Price (if any) &amp; Password input correct</v>
      </c>
      <c r="L321" s="30"/>
    </row>
    <row r="322">
      <c r="A322" s="5"/>
      <c r="B322" s="118">
        <f>IFERROR(__xludf.DUMMYFUNCTION("""COMPUTED_VALUE"""),44624.91373835648)</f>
        <v>44624.91374</v>
      </c>
      <c r="C322" s="120">
        <f>IFERROR(__xludf.DUMMYFUNCTION("""COMPUTED_VALUE"""),44624.666666666664)</f>
        <v>44624.66667</v>
      </c>
      <c r="D322" s="5" t="str">
        <f>IFERROR(__xludf.DUMMYFUNCTION("""COMPUTED_VALUE"""),"39608")</f>
        <v>39608</v>
      </c>
      <c r="E322" s="5" t="str">
        <f>IFERROR(__xludf.DUMMYFUNCTION("""COMPUTED_VALUE"""),"Stock")</f>
        <v>Stock</v>
      </c>
      <c r="F322" s="5" t="str">
        <f>IFERROR(__xludf.DUMMYFUNCTION("""COMPUTED_VALUE"""),"USD")</f>
        <v>USD</v>
      </c>
      <c r="G322" s="30" t="str">
        <f>IFERROR(__xludf.DUMMYFUNCTION("""COMPUTED_VALUE"""),"Email Account/ TraderID Recognized")</f>
        <v>Email Account/ TraderID Recognized</v>
      </c>
      <c r="H322" s="119" t="str">
        <f>IFERROR(__xludf.DUMMYFUNCTION("""COMPUTED_VALUE"""),"TSLA")</f>
        <v>TSLA</v>
      </c>
      <c r="I322" s="30">
        <f>IFERROR(__xludf.DUMMYFUNCTION("""COMPUTED_VALUE"""),18.0)</f>
        <v>18</v>
      </c>
      <c r="J322" s="30"/>
      <c r="K322" s="30" t="str">
        <f>IFERROR(__xludf.DUMMYFUNCTION("""COMPUTED_VALUE"""),"QTY, Limit Price (if any) &amp; Password input correct")</f>
        <v>QTY, Limit Price (if any) &amp; Password input correct</v>
      </c>
      <c r="L322" s="30"/>
    </row>
    <row r="323">
      <c r="A323" s="5"/>
      <c r="B323" s="118">
        <f>IFERROR(__xludf.DUMMYFUNCTION("""COMPUTED_VALUE"""),44624.915973043986)</f>
        <v>44624.91597</v>
      </c>
      <c r="C323" s="120">
        <f>IFERROR(__xludf.DUMMYFUNCTION("""COMPUTED_VALUE"""),44624.666666666664)</f>
        <v>44624.66667</v>
      </c>
      <c r="D323" s="5" t="str">
        <f>IFERROR(__xludf.DUMMYFUNCTION("""COMPUTED_VALUE"""),"32312")</f>
        <v>32312</v>
      </c>
      <c r="E323" s="5" t="str">
        <f>IFERROR(__xludf.DUMMYFUNCTION("""COMPUTED_VALUE"""),"Stock")</f>
        <v>Stock</v>
      </c>
      <c r="F323" s="5" t="str">
        <f>IFERROR(__xludf.DUMMYFUNCTION("""COMPUTED_VALUE"""),"USD")</f>
        <v>USD</v>
      </c>
      <c r="G323" s="30" t="str">
        <f>IFERROR(__xludf.DUMMYFUNCTION("""COMPUTED_VALUE"""),"Email Account/ TraderID Recognized")</f>
        <v>Email Account/ TraderID Recognized</v>
      </c>
      <c r="H323" s="119" t="str">
        <f>IFERROR(__xludf.DUMMYFUNCTION("""COMPUTED_VALUE"""),"TSLA")</f>
        <v>TSLA</v>
      </c>
      <c r="I323" s="30">
        <f>IFERROR(__xludf.DUMMYFUNCTION("""COMPUTED_VALUE"""),18.0)</f>
        <v>18</v>
      </c>
      <c r="J323" s="30"/>
      <c r="K323" s="30" t="str">
        <f>IFERROR(__xludf.DUMMYFUNCTION("""COMPUTED_VALUE"""),"QTY, Limit Price (if any) &amp; Password input correct")</f>
        <v>QTY, Limit Price (if any) &amp; Password input correct</v>
      </c>
      <c r="L323" s="30"/>
    </row>
    <row r="324">
      <c r="A324" s="5"/>
      <c r="B324" s="118">
        <f>IFERROR(__xludf.DUMMYFUNCTION("""COMPUTED_VALUE"""),44625.037486076384)</f>
        <v>44625.03749</v>
      </c>
      <c r="C324" s="120">
        <f>IFERROR(__xludf.DUMMYFUNCTION("""COMPUTED_VALUE"""),44624.666666666664)</f>
        <v>44624.66667</v>
      </c>
      <c r="D324" s="5" t="str">
        <f>IFERROR(__xludf.DUMMYFUNCTION("""COMPUTED_VALUE"""),"89750")</f>
        <v>89750</v>
      </c>
      <c r="E324" s="5" t="str">
        <f>IFERROR(__xludf.DUMMYFUNCTION("""COMPUTED_VALUE"""),"Option")</f>
        <v>Option</v>
      </c>
      <c r="F324" s="5" t="str">
        <f>IFERROR(__xludf.DUMMYFUNCTION("""COMPUTED_VALUE"""),"USD")</f>
        <v>USD</v>
      </c>
      <c r="G324" s="30" t="str">
        <f>IFERROR(__xludf.DUMMYFUNCTION("""COMPUTED_VALUE"""),"Email Account/ TraderID Recognized")</f>
        <v>Email Account/ TraderID Recognized</v>
      </c>
      <c r="H324" s="119" t="str">
        <f>IFERROR(__xludf.DUMMYFUNCTION("""COMPUTED_VALUE"""),"TQQQ220311P00057500")</f>
        <v>TQQQ220311P00057500</v>
      </c>
      <c r="I324" s="30">
        <f>IFERROR(__xludf.DUMMYFUNCTION("""COMPUTED_VALUE"""),10.0)</f>
        <v>10</v>
      </c>
      <c r="J324" s="30"/>
      <c r="K324" s="30" t="str">
        <f>IFERROR(__xludf.DUMMYFUNCTION("""COMPUTED_VALUE"""),"QTY, Limit Price (if any) &amp; Password input correct")</f>
        <v>QTY, Limit Price (if any) &amp; Password input correct</v>
      </c>
      <c r="L324" s="30"/>
    </row>
    <row r="325">
      <c r="A325" s="5"/>
      <c r="B325" s="118">
        <f>IFERROR(__xludf.DUMMYFUNCTION("""COMPUTED_VALUE"""),44625.07769710648)</f>
        <v>44625.0777</v>
      </c>
      <c r="C325" s="120">
        <f>IFERROR(__xludf.DUMMYFUNCTION("""COMPUTED_VALUE"""),44624.666666666664)</f>
        <v>44624.66667</v>
      </c>
      <c r="D325" s="5" t="str">
        <f>IFERROR(__xludf.DUMMYFUNCTION("""COMPUTED_VALUE"""),"89750")</f>
        <v>89750</v>
      </c>
      <c r="E325" s="5" t="str">
        <f>IFERROR(__xludf.DUMMYFUNCTION("""COMPUTED_VALUE"""),"Option")</f>
        <v>Option</v>
      </c>
      <c r="F325" s="5" t="str">
        <f>IFERROR(__xludf.DUMMYFUNCTION("""COMPUTED_VALUE"""),"USD")</f>
        <v>USD</v>
      </c>
      <c r="G325" s="30" t="str">
        <f>IFERROR(__xludf.DUMMYFUNCTION("""COMPUTED_VALUE"""),"Email Account/ TraderID Recognized")</f>
        <v>Email Account/ TraderID Recognized</v>
      </c>
      <c r="H325" s="119" t="str">
        <f>IFERROR(__xludf.DUMMYFUNCTION("""COMPUTED_VALUE"""),"MARA220401P00016000")</f>
        <v>MARA220401P00016000</v>
      </c>
      <c r="I325" s="30">
        <f>IFERROR(__xludf.DUMMYFUNCTION("""COMPUTED_VALUE"""),100.0)</f>
        <v>100</v>
      </c>
      <c r="J325" s="30">
        <f>IFERROR(__xludf.DUMMYFUNCTION("""COMPUTED_VALUE"""),0.36)</f>
        <v>0.36</v>
      </c>
      <c r="K325" s="30" t="str">
        <f>IFERROR(__xludf.DUMMYFUNCTION("""COMPUTED_VALUE"""),"QTY, Limit Price (if any) &amp; Password input correct")</f>
        <v>QTY, Limit Price (if any) &amp; Password input correct</v>
      </c>
      <c r="L325" s="30"/>
    </row>
    <row r="326">
      <c r="A326" s="5"/>
      <c r="B326" s="118">
        <f>IFERROR(__xludf.DUMMYFUNCTION("""COMPUTED_VALUE"""),44625.084360127315)</f>
        <v>44625.08436</v>
      </c>
      <c r="C326" s="30"/>
      <c r="D326" s="5" t="str">
        <f>IFERROR(__xludf.DUMMYFUNCTION("""COMPUTED_VALUE"""),"")</f>
        <v/>
      </c>
      <c r="E326" s="5" t="str">
        <f>IFERROR(__xludf.DUMMYFUNCTION("""COMPUTED_VALUE"""),"Stock")</f>
        <v>Stock</v>
      </c>
      <c r="F326" s="5" t="str">
        <f>IFERROR(__xludf.DUMMYFUNCTION("""COMPUTED_VALUE"""),"error")</f>
        <v>error</v>
      </c>
      <c r="G326" s="30" t="str">
        <f>IFERROR(__xludf.DUMMYFUNCTION("""COMPUTED_VALUE"""),"cheuxxxxxx@nonHKMUemail")</f>
        <v>cheuxxxxxx@nonHKMUemail</v>
      </c>
      <c r="H326" s="119" t="str">
        <f>IFERROR(__xludf.DUMMYFUNCTION("""COMPUTED_VALUE"""),"XLK")</f>
        <v>XLK</v>
      </c>
      <c r="I326" s="30"/>
      <c r="J326" s="30"/>
      <c r="K326" s="30" t="str">
        <f>IFERROR(__xludf.DUMMYFUNCTION("""COMPUTED_VALUE"""),"QTY, Limit Price (if any) &amp; Password input correct")</f>
        <v>QTY, Limit Price (if any) &amp; Password input correct</v>
      </c>
      <c r="L326" s="30" t="str">
        <f>IFERROR(__xludf.DUMMYFUNCTION("""COMPUTED_VALUE"""),"Order Rejected due to wrong school email address (input gmail instead)")</f>
        <v>Order Rejected due to wrong school email address (input gmail instead)</v>
      </c>
    </row>
    <row r="327">
      <c r="A327" s="5"/>
      <c r="B327" s="118">
        <f>IFERROR(__xludf.DUMMYFUNCTION("""COMPUTED_VALUE"""),44625.09371940972)</f>
        <v>44625.09372</v>
      </c>
      <c r="C327" s="120">
        <f>IFERROR(__xludf.DUMMYFUNCTION("""COMPUTED_VALUE"""),44624.666666666664)</f>
        <v>44624.66667</v>
      </c>
      <c r="D327" s="5" t="str">
        <f>IFERROR(__xludf.DUMMYFUNCTION("""COMPUTED_VALUE"""),"89750")</f>
        <v>89750</v>
      </c>
      <c r="E327" s="5" t="str">
        <f>IFERROR(__xludf.DUMMYFUNCTION("""COMPUTED_VALUE"""),"Option")</f>
        <v>Option</v>
      </c>
      <c r="F327" s="5" t="str">
        <f>IFERROR(__xludf.DUMMYFUNCTION("""COMPUTED_VALUE"""),"USD")</f>
        <v>USD</v>
      </c>
      <c r="G327" s="30" t="str">
        <f>IFERROR(__xludf.DUMMYFUNCTION("""COMPUTED_VALUE"""),"Email Account/ TraderID Recognized")</f>
        <v>Email Account/ TraderID Recognized</v>
      </c>
      <c r="H327" s="119" t="str">
        <f>IFERROR(__xludf.DUMMYFUNCTION("""COMPUTED_VALUE"""),"NU220414C00009000")</f>
        <v>NU220414C00009000</v>
      </c>
      <c r="I327" s="30">
        <f>IFERROR(__xludf.DUMMYFUNCTION("""COMPUTED_VALUE"""),200.0)</f>
        <v>200</v>
      </c>
      <c r="J327" s="30">
        <f>IFERROR(__xludf.DUMMYFUNCTION("""COMPUTED_VALUE"""),0.25)</f>
        <v>0.25</v>
      </c>
      <c r="K327" s="30" t="str">
        <f>IFERROR(__xludf.DUMMYFUNCTION("""COMPUTED_VALUE"""),"QTY, Limit Price (if any) &amp; Password input correct")</f>
        <v>QTY, Limit Price (if any) &amp; Password input correct</v>
      </c>
      <c r="L327" s="30"/>
    </row>
    <row r="328">
      <c r="A328" s="5"/>
      <c r="B328" s="118">
        <f>IFERROR(__xludf.DUMMYFUNCTION("""COMPUTED_VALUE"""),44625.48153201389)</f>
        <v>44625.48153</v>
      </c>
      <c r="C328" s="120">
        <f>IFERROR(__xludf.DUMMYFUNCTION("""COMPUTED_VALUE"""),44627.666666666664)</f>
        <v>44627.66667</v>
      </c>
      <c r="D328" s="5" t="str">
        <f>IFERROR(__xludf.DUMMYFUNCTION("""COMPUTED_VALUE"""),"24442")</f>
        <v>24442</v>
      </c>
      <c r="E328" s="5" t="str">
        <f>IFERROR(__xludf.DUMMYFUNCTION("""COMPUTED_VALUE"""),"Stock")</f>
        <v>Stock</v>
      </c>
      <c r="F328" s="5" t="str">
        <f>IFERROR(__xludf.DUMMYFUNCTION("""COMPUTED_VALUE"""),"USD")</f>
        <v>USD</v>
      </c>
      <c r="G328" s="30" t="str">
        <f>IFERROR(__xludf.DUMMYFUNCTION("""COMPUTED_VALUE"""),"Email Account/ TraderID Recognized")</f>
        <v>Email Account/ TraderID Recognized</v>
      </c>
      <c r="H328" s="119" t="str">
        <f>IFERROR(__xludf.DUMMYFUNCTION("""COMPUTED_VALUE"""),"XLK")</f>
        <v>XLK</v>
      </c>
      <c r="I328" s="30">
        <f>IFERROR(__xludf.DUMMYFUNCTION("""COMPUTED_VALUE"""),100.0)</f>
        <v>100</v>
      </c>
      <c r="J328" s="30"/>
      <c r="K328" s="30" t="str">
        <f>IFERROR(__xludf.DUMMYFUNCTION("""COMPUTED_VALUE"""),"QTY, Limit Price (if any) &amp; Password input correct")</f>
        <v>QTY, Limit Price (if any) &amp; Password input correct</v>
      </c>
      <c r="L328" s="30"/>
    </row>
    <row r="329">
      <c r="A329" s="5"/>
      <c r="B329" s="118">
        <f>IFERROR(__xludf.DUMMYFUNCTION("""COMPUTED_VALUE"""),44626.60374539351)</f>
        <v>44626.60375</v>
      </c>
      <c r="C329" s="120">
        <f>IFERROR(__xludf.DUMMYFUNCTION("""COMPUTED_VALUE"""),44627.666666666664)</f>
        <v>44627.66667</v>
      </c>
      <c r="D329" s="5" t="str">
        <f>IFERROR(__xludf.DUMMYFUNCTION("""COMPUTED_VALUE"""),"76369")</f>
        <v>76369</v>
      </c>
      <c r="E329" s="5" t="str">
        <f>IFERROR(__xludf.DUMMYFUNCTION("""COMPUTED_VALUE"""),"Stock")</f>
        <v>Stock</v>
      </c>
      <c r="F329" s="5" t="str">
        <f>IFERROR(__xludf.DUMMYFUNCTION("""COMPUTED_VALUE"""),"CNY")</f>
        <v>CNY</v>
      </c>
      <c r="G329" s="30" t="str">
        <f>IFERROR(__xludf.DUMMYFUNCTION("""COMPUTED_VALUE"""),"Email Account/ TraderID Recognized")</f>
        <v>Email Account/ TraderID Recognized</v>
      </c>
      <c r="H329" s="121" t="str">
        <f>IFERROR(__xludf.DUMMYFUNCTION("""COMPUTED_VALUE"""),"603963.SS")</f>
        <v>603963.SS</v>
      </c>
      <c r="I329" s="30">
        <f>IFERROR(__xludf.DUMMYFUNCTION("""COMPUTED_VALUE"""),1000.0)</f>
        <v>1000</v>
      </c>
      <c r="J329" s="30"/>
      <c r="K329" s="30" t="str">
        <f>IFERROR(__xludf.DUMMYFUNCTION("""COMPUTED_VALUE"""),"QTY, Limit Price (if any) &amp; Password input correct")</f>
        <v>QTY, Limit Price (if any) &amp; Password input correct</v>
      </c>
      <c r="L329" s="30"/>
    </row>
    <row r="330">
      <c r="A330" s="5"/>
      <c r="B330" s="118">
        <f>IFERROR(__xludf.DUMMYFUNCTION("""COMPUTED_VALUE"""),44626.68822011574)</f>
        <v>44626.68822</v>
      </c>
      <c r="C330" s="120">
        <f>IFERROR(__xludf.DUMMYFUNCTION("""COMPUTED_VALUE"""),44627.666666666664)</f>
        <v>44627.66667</v>
      </c>
      <c r="D330" s="5" t="str">
        <f>IFERROR(__xludf.DUMMYFUNCTION("""COMPUTED_VALUE"""),"73879")</f>
        <v>73879</v>
      </c>
      <c r="E330" s="5" t="str">
        <f>IFERROR(__xludf.DUMMYFUNCTION("""COMPUTED_VALUE"""),"Stock")</f>
        <v>Stock</v>
      </c>
      <c r="F330" s="5" t="str">
        <f>IFERROR(__xludf.DUMMYFUNCTION("""COMPUTED_VALUE"""),"HKD")</f>
        <v>HKD</v>
      </c>
      <c r="G330" s="30" t="str">
        <f>IFERROR(__xludf.DUMMYFUNCTION("""COMPUTED_VALUE"""),"Email Account/ TraderID Recognized")</f>
        <v>Email Account/ TraderID Recognized</v>
      </c>
      <c r="H330" s="121" t="str">
        <f>IFERROR(__xludf.DUMMYFUNCTION("""COMPUTED_VALUE"""),"0700.HK")</f>
        <v>0700.HK</v>
      </c>
      <c r="I330" s="30">
        <f>IFERROR(__xludf.DUMMYFUNCTION("""COMPUTED_VALUE"""),248.0)</f>
        <v>248</v>
      </c>
      <c r="J330" s="30"/>
      <c r="K330" s="30" t="str">
        <f>IFERROR(__xludf.DUMMYFUNCTION("""COMPUTED_VALUE"""),"QTY, Limit Price (if any) &amp; Password input correct")</f>
        <v>QTY, Limit Price (if any) &amp; Password input correct</v>
      </c>
      <c r="L330" s="30"/>
    </row>
    <row r="331">
      <c r="A331" s="5"/>
      <c r="B331" s="118">
        <f>IFERROR(__xludf.DUMMYFUNCTION("""COMPUTED_VALUE"""),44627.119092256944)</f>
        <v>44627.11909</v>
      </c>
      <c r="C331" s="120" t="str">
        <f>IFERROR(__xludf.DUMMYFUNCTION("""COMPUTED_VALUE"""),"")</f>
        <v/>
      </c>
      <c r="D331" s="5" t="str">
        <f>IFERROR(__xludf.DUMMYFUNCTION("""COMPUTED_VALUE"""),"")</f>
        <v/>
      </c>
      <c r="E331" s="5" t="str">
        <f>IFERROR(__xludf.DUMMYFUNCTION("""COMPUTED_VALUE"""),"Stock")</f>
        <v>Stock</v>
      </c>
      <c r="F331" s="5" t="str">
        <f>IFERROR(__xludf.DUMMYFUNCTION("""COMPUTED_VALUE"""),"error")</f>
        <v>error</v>
      </c>
      <c r="G331" s="30" t="str">
        <f>IFERROR(__xludf.DUMMYFUNCTION("""COMPUTED_VALUE"""),"s124xxxxxx@nonHKMUemail")</f>
        <v>s124xxxxxx@nonHKMUemail</v>
      </c>
      <c r="H331" s="121" t="str">
        <f>IFERROR(__xludf.DUMMYFUNCTION("""COMPUTED_VALUE"""),"0151.HK")</f>
        <v>0151.HK</v>
      </c>
      <c r="I331" s="30">
        <f>IFERROR(__xludf.DUMMYFUNCTION("""COMPUTED_VALUE"""),10000.0)</f>
        <v>10000</v>
      </c>
      <c r="J331" s="30"/>
      <c r="K331" s="30" t="str">
        <f>IFERROR(__xludf.DUMMYFUNCTION("""COMPUTED_VALUE"""),"QTY, Limit Price (if any) &amp; Password input correct")</f>
        <v>QTY, Limit Price (if any) &amp; Password input correct</v>
      </c>
      <c r="L331" s="30" t="str">
        <f>IFERROR(__xludf.DUMMYFUNCTION("""COMPUTED_VALUE"""),"Order Rejected due to wrong school email address: should be @hkmu, not @muhk")</f>
        <v>Order Rejected due to wrong school email address: should be @hkmu, not @muhk</v>
      </c>
    </row>
    <row r="332">
      <c r="A332" s="5"/>
      <c r="B332" s="118">
        <f>IFERROR(__xludf.DUMMYFUNCTION("""COMPUTED_VALUE"""),44627.12080579861)</f>
        <v>44627.12081</v>
      </c>
      <c r="C332" s="120" t="str">
        <f>IFERROR(__xludf.DUMMYFUNCTION("""COMPUTED_VALUE"""),"")</f>
        <v/>
      </c>
      <c r="D332" s="5" t="str">
        <f>IFERROR(__xludf.DUMMYFUNCTION("""COMPUTED_VALUE"""),"")</f>
        <v/>
      </c>
      <c r="E332" s="5" t="str">
        <f>IFERROR(__xludf.DUMMYFUNCTION("""COMPUTED_VALUE"""),"Stock")</f>
        <v>Stock</v>
      </c>
      <c r="F332" s="5" t="str">
        <f>IFERROR(__xludf.DUMMYFUNCTION("""COMPUTED_VALUE"""),"error")</f>
        <v>error</v>
      </c>
      <c r="G332" s="30" t="str">
        <f>IFERROR(__xludf.DUMMYFUNCTION("""COMPUTED_VALUE"""),"s124xxxxxx@nonHKMUemail")</f>
        <v>s124xxxxxx@nonHKMUemail</v>
      </c>
      <c r="H332" s="121" t="str">
        <f>IFERROR(__xludf.DUMMYFUNCTION("""COMPUTED_VALUE"""),"0001.HK")</f>
        <v>0001.HK</v>
      </c>
      <c r="I332" s="30">
        <f>IFERROR(__xludf.DUMMYFUNCTION("""COMPUTED_VALUE"""),1500.0)</f>
        <v>1500</v>
      </c>
      <c r="J332" s="30"/>
      <c r="K332" s="30" t="str">
        <f>IFERROR(__xludf.DUMMYFUNCTION("""COMPUTED_VALUE"""),"QTY, Limit Price (if any) &amp; Password input correct")</f>
        <v>QTY, Limit Price (if any) &amp; Password input correct</v>
      </c>
      <c r="L332" s="30" t="str">
        <f>IFERROR(__xludf.DUMMYFUNCTION("""COMPUTED_VALUE"""),"Order Rejected due to wrong school email address: should be @hkmu, not @muhk")</f>
        <v>Order Rejected due to wrong school email address: should be @hkmu, not @muhk</v>
      </c>
    </row>
    <row r="333">
      <c r="A333" s="5"/>
      <c r="B333" s="118">
        <f>IFERROR(__xludf.DUMMYFUNCTION("""COMPUTED_VALUE"""),44627.12328591435)</f>
        <v>44627.12329</v>
      </c>
      <c r="C333" s="120">
        <f>IFERROR(__xludf.DUMMYFUNCTION("""COMPUTED_VALUE"""),44627.666666666664)</f>
        <v>44627.66667</v>
      </c>
      <c r="D333" s="5" t="str">
        <f>IFERROR(__xludf.DUMMYFUNCTION("""COMPUTED_VALUE"""),"46763")</f>
        <v>46763</v>
      </c>
      <c r="E333" s="5" t="str">
        <f>IFERROR(__xludf.DUMMYFUNCTION("""COMPUTED_VALUE"""),"Stock")</f>
        <v>Stock</v>
      </c>
      <c r="F333" s="5" t="str">
        <f>IFERROR(__xludf.DUMMYFUNCTION("""COMPUTED_VALUE"""),"HKD")</f>
        <v>HKD</v>
      </c>
      <c r="G333" s="30" t="str">
        <f>IFERROR(__xludf.DUMMYFUNCTION("""COMPUTED_VALUE"""),"Email Account/ TraderID Recognized")</f>
        <v>Email Account/ TraderID Recognized</v>
      </c>
      <c r="H333" s="121" t="str">
        <f>IFERROR(__xludf.DUMMYFUNCTION("""COMPUTED_VALUE"""),"0151.HK")</f>
        <v>0151.HK</v>
      </c>
      <c r="I333" s="30">
        <f>IFERROR(__xludf.DUMMYFUNCTION("""COMPUTED_VALUE"""),10000.0)</f>
        <v>10000</v>
      </c>
      <c r="J333" s="30"/>
      <c r="K333" s="30" t="str">
        <f>IFERROR(__xludf.DUMMYFUNCTION("""COMPUTED_VALUE"""),"QTY, Limit Price (if any) &amp; Password input correct")</f>
        <v>QTY, Limit Price (if any) &amp; Password input correct</v>
      </c>
      <c r="L333" s="30"/>
    </row>
    <row r="334">
      <c r="A334" s="5"/>
      <c r="B334" s="118">
        <f>IFERROR(__xludf.DUMMYFUNCTION("""COMPUTED_VALUE"""),44627.123829606484)</f>
        <v>44627.12383</v>
      </c>
      <c r="C334" s="120">
        <f>IFERROR(__xludf.DUMMYFUNCTION("""COMPUTED_VALUE"""),44627.666666666664)</f>
        <v>44627.66667</v>
      </c>
      <c r="D334" s="5" t="str">
        <f>IFERROR(__xludf.DUMMYFUNCTION("""COMPUTED_VALUE"""),"46763")</f>
        <v>46763</v>
      </c>
      <c r="E334" s="5" t="str">
        <f>IFERROR(__xludf.DUMMYFUNCTION("""COMPUTED_VALUE"""),"Stock")</f>
        <v>Stock</v>
      </c>
      <c r="F334" s="5" t="str">
        <f>IFERROR(__xludf.DUMMYFUNCTION("""COMPUTED_VALUE"""),"HKD")</f>
        <v>HKD</v>
      </c>
      <c r="G334" s="30" t="str">
        <f>IFERROR(__xludf.DUMMYFUNCTION("""COMPUTED_VALUE"""),"Email Account/ TraderID Recognized")</f>
        <v>Email Account/ TraderID Recognized</v>
      </c>
      <c r="H334" s="121" t="str">
        <f>IFERROR(__xludf.DUMMYFUNCTION("""COMPUTED_VALUE"""),"0001.HK")</f>
        <v>0001.HK</v>
      </c>
      <c r="I334" s="30">
        <f>IFERROR(__xludf.DUMMYFUNCTION("""COMPUTED_VALUE"""),1500.0)</f>
        <v>1500</v>
      </c>
      <c r="J334" s="30"/>
      <c r="K334" s="30" t="str">
        <f>IFERROR(__xludf.DUMMYFUNCTION("""COMPUTED_VALUE"""),"QTY, Limit Price (if any) &amp; Password input correct")</f>
        <v>QTY, Limit Price (if any) &amp; Password input correct</v>
      </c>
      <c r="L334" s="30"/>
    </row>
    <row r="335">
      <c r="A335" s="5"/>
      <c r="B335" s="118">
        <f>IFERROR(__xludf.DUMMYFUNCTION("""COMPUTED_VALUE"""),44627.451967291665)</f>
        <v>44627.45197</v>
      </c>
      <c r="C335" s="120">
        <f>IFERROR(__xludf.DUMMYFUNCTION("""COMPUTED_VALUE"""),44627.625)</f>
        <v>44627.625</v>
      </c>
      <c r="D335" s="5" t="str">
        <f>IFERROR(__xludf.DUMMYFUNCTION("""COMPUTED_VALUE"""),"79521")</f>
        <v>79521</v>
      </c>
      <c r="E335" s="5" t="str">
        <f>IFERROR(__xludf.DUMMYFUNCTION("""COMPUTED_VALUE"""),"Stock")</f>
        <v>Stock</v>
      </c>
      <c r="F335" s="5" t="str">
        <f>IFERROR(__xludf.DUMMYFUNCTION("""COMPUTED_VALUE"""),"CNY")</f>
        <v>CNY</v>
      </c>
      <c r="G335" s="30" t="str">
        <f>IFERROR(__xludf.DUMMYFUNCTION("""COMPUTED_VALUE"""),"Email Account/ TraderID Recognized")</f>
        <v>Email Account/ TraderID Recognized</v>
      </c>
      <c r="H335" s="121" t="str">
        <f>IFERROR(__xludf.DUMMYFUNCTION("""COMPUTED_VALUE"""),"000950.SZ")</f>
        <v>000950.SZ</v>
      </c>
      <c r="I335" s="30">
        <f>IFERROR(__xludf.DUMMYFUNCTION("""COMPUTED_VALUE"""),32500.0)</f>
        <v>32500</v>
      </c>
      <c r="J335" s="30">
        <f>IFERROR(__xludf.DUMMYFUNCTION("""COMPUTED_VALUE"""),6.15)</f>
        <v>6.15</v>
      </c>
      <c r="K335" s="30" t="str">
        <f>IFERROR(__xludf.DUMMYFUNCTION("""COMPUTED_VALUE"""),"QTY, Limit Price (if any) &amp; Password input correct")</f>
        <v>QTY, Limit Price (if any) &amp; Password input correct</v>
      </c>
      <c r="L335" s="30"/>
    </row>
    <row r="336">
      <c r="A336" s="5"/>
      <c r="B336" s="118">
        <f>IFERROR(__xludf.DUMMYFUNCTION("""COMPUTED_VALUE"""),44627.47779513889)</f>
        <v>44627.4778</v>
      </c>
      <c r="C336" s="120">
        <f>IFERROR(__xludf.DUMMYFUNCTION("""COMPUTED_VALUE"""),44627.625)</f>
        <v>44627.625</v>
      </c>
      <c r="D336" s="5" t="str">
        <f>IFERROR(__xludf.DUMMYFUNCTION("""COMPUTED_VALUE"""),"79521")</f>
        <v>79521</v>
      </c>
      <c r="E336" s="5" t="str">
        <f>IFERROR(__xludf.DUMMYFUNCTION("""COMPUTED_VALUE"""),"Stock")</f>
        <v>Stock</v>
      </c>
      <c r="F336" s="5" t="str">
        <f>IFERROR(__xludf.DUMMYFUNCTION("""COMPUTED_VALUE"""),"CNY")</f>
        <v>CNY</v>
      </c>
      <c r="G336" s="30" t="str">
        <f>IFERROR(__xludf.DUMMYFUNCTION("""COMPUTED_VALUE"""),"Email Account/ TraderID Recognized")</f>
        <v>Email Account/ TraderID Recognized</v>
      </c>
      <c r="H336" s="121" t="str">
        <f>IFERROR(__xludf.DUMMYFUNCTION("""COMPUTED_VALUE"""),"600661.SS")</f>
        <v>600661.SS</v>
      </c>
      <c r="I336" s="30">
        <f>IFERROR(__xludf.DUMMYFUNCTION("""COMPUTED_VALUE"""),15000.0)</f>
        <v>15000</v>
      </c>
      <c r="J336" s="30">
        <f>IFERROR(__xludf.DUMMYFUNCTION("""COMPUTED_VALUE"""),13.18)</f>
        <v>13.18</v>
      </c>
      <c r="K336" s="30" t="str">
        <f>IFERROR(__xludf.DUMMYFUNCTION("""COMPUTED_VALUE"""),"QTY, Limit Price (if any) &amp; Password input correct")</f>
        <v>QTY, Limit Price (if any) &amp; Password input correct</v>
      </c>
      <c r="L336" s="30"/>
    </row>
    <row r="337">
      <c r="A337" s="5"/>
      <c r="B337" s="118">
        <f>IFERROR(__xludf.DUMMYFUNCTION("""COMPUTED_VALUE"""),44627.50165578704)</f>
        <v>44627.50166</v>
      </c>
      <c r="C337" s="120" t="str">
        <f>IFERROR(__xludf.DUMMYFUNCTION("""COMPUTED_VALUE"""),"")</f>
        <v/>
      </c>
      <c r="D337" s="5" t="str">
        <f>IFERROR(__xludf.DUMMYFUNCTION("""COMPUTED_VALUE"""),"77936")</f>
        <v>77936</v>
      </c>
      <c r="E337" s="5" t="str">
        <f>IFERROR(__xludf.DUMMYFUNCTION("""COMPUTED_VALUE"""),"Stock")</f>
        <v>Stock</v>
      </c>
      <c r="F337" s="5" t="str">
        <f>IFERROR(__xludf.DUMMYFUNCTION("""COMPUTED_VALUE"""),"error")</f>
        <v>error</v>
      </c>
      <c r="G337" s="30" t="str">
        <f>IFERROR(__xludf.DUMMYFUNCTION("""COMPUTED_VALUE"""),"Email Account/ TraderID Recognized")</f>
        <v>Email Account/ TraderID Recognized</v>
      </c>
      <c r="H337" s="119" t="str">
        <f>IFERROR(__xludf.DUMMYFUNCTION("""COMPUTED_VALUE"""),"09988")</f>
        <v>09988</v>
      </c>
      <c r="I337" s="30">
        <f>IFERROR(__xludf.DUMMYFUNCTION("""COMPUTED_VALUE"""),1000.0)</f>
        <v>1000</v>
      </c>
      <c r="J337" s="30">
        <f>IFERROR(__xludf.DUMMYFUNCTION("""COMPUTED_VALUE"""),100.0)</f>
        <v>100</v>
      </c>
      <c r="K337" s="30" t="str">
        <f>IFERROR(__xludf.DUMMYFUNCTION("""COMPUTED_VALUE"""),"QTY, Limit Price (if any) &amp; Password input correct")</f>
        <v>QTY, Limit Price (if any) &amp; Password input correct</v>
      </c>
      <c r="L337" s="30" t="str">
        <f>IFERROR(__xludf.DUMMYFUNCTION("""COMPUTED_VALUE"""),"Order Rejected due to wrong ticker code. Not 09988, correct code is : 9988.HK")</f>
        <v>Order Rejected due to wrong ticker code. Not 09988, correct code is : 9988.HK</v>
      </c>
    </row>
    <row r="338">
      <c r="A338" s="5"/>
      <c r="B338" s="118">
        <f>IFERROR(__xludf.DUMMYFUNCTION("""COMPUTED_VALUE"""),44627.57926439815)</f>
        <v>44627.57926</v>
      </c>
      <c r="C338" s="120">
        <f>IFERROR(__xludf.DUMMYFUNCTION("""COMPUTED_VALUE"""),44627.666666666664)</f>
        <v>44627.66667</v>
      </c>
      <c r="D338" s="5" t="str">
        <f>IFERROR(__xludf.DUMMYFUNCTION("""COMPUTED_VALUE"""),"38209")</f>
        <v>38209</v>
      </c>
      <c r="E338" s="5" t="str">
        <f>IFERROR(__xludf.DUMMYFUNCTION("""COMPUTED_VALUE"""),"Stock")</f>
        <v>Stock</v>
      </c>
      <c r="F338" s="5" t="str">
        <f>IFERROR(__xludf.DUMMYFUNCTION("""COMPUTED_VALUE"""),"HKD")</f>
        <v>HKD</v>
      </c>
      <c r="G338" s="30" t="str">
        <f>IFERROR(__xludf.DUMMYFUNCTION("""COMPUTED_VALUE"""),"Email Account/ TraderID Recognized")</f>
        <v>Email Account/ TraderID Recognized</v>
      </c>
      <c r="H338" s="121" t="str">
        <f>IFERROR(__xludf.DUMMYFUNCTION("""COMPUTED_VALUE"""),"9988.Hk")</f>
        <v>9988.Hk</v>
      </c>
      <c r="I338" s="30">
        <f>IFERROR(__xludf.DUMMYFUNCTION("""COMPUTED_VALUE"""),100.0)</f>
        <v>100</v>
      </c>
      <c r="J338" s="30">
        <f>IFERROR(__xludf.DUMMYFUNCTION("""COMPUTED_VALUE"""),96.7)</f>
        <v>96.7</v>
      </c>
      <c r="K338" s="30" t="str">
        <f>IFERROR(__xludf.DUMMYFUNCTION("""COMPUTED_VALUE"""),"QTY, Limit Price (if any) &amp; Password input correct")</f>
        <v>QTY, Limit Price (if any) &amp; Password input correct</v>
      </c>
      <c r="L338" s="30"/>
    </row>
    <row r="339">
      <c r="A339" s="5"/>
      <c r="B339" s="118">
        <f>IFERROR(__xludf.DUMMYFUNCTION("""COMPUTED_VALUE"""),44627.58009662037)</f>
        <v>44627.5801</v>
      </c>
      <c r="C339" s="120">
        <f>IFERROR(__xludf.DUMMYFUNCTION("""COMPUTED_VALUE"""),44627.666666666664)</f>
        <v>44627.66667</v>
      </c>
      <c r="D339" s="5" t="str">
        <f>IFERROR(__xludf.DUMMYFUNCTION("""COMPUTED_VALUE"""),"38209")</f>
        <v>38209</v>
      </c>
      <c r="E339" s="5" t="str">
        <f>IFERROR(__xludf.DUMMYFUNCTION("""COMPUTED_VALUE"""),"Stock")</f>
        <v>Stock</v>
      </c>
      <c r="F339" s="5" t="str">
        <f>IFERROR(__xludf.DUMMYFUNCTION("""COMPUTED_VALUE"""),"HKD")</f>
        <v>HKD</v>
      </c>
      <c r="G339" s="30" t="str">
        <f>IFERROR(__xludf.DUMMYFUNCTION("""COMPUTED_VALUE"""),"Email Account/ TraderID Recognized")</f>
        <v>Email Account/ TraderID Recognized</v>
      </c>
      <c r="H339" s="121" t="str">
        <f>IFERROR(__xludf.DUMMYFUNCTION("""COMPUTED_VALUE"""),"1024.HK")</f>
        <v>1024.HK</v>
      </c>
      <c r="I339" s="30">
        <f>IFERROR(__xludf.DUMMYFUNCTION("""COMPUTED_VALUE"""),200.0)</f>
        <v>200</v>
      </c>
      <c r="J339" s="30">
        <f>IFERROR(__xludf.DUMMYFUNCTION("""COMPUTED_VALUE"""),75.3)</f>
        <v>75.3</v>
      </c>
      <c r="K339" s="30" t="str">
        <f>IFERROR(__xludf.DUMMYFUNCTION("""COMPUTED_VALUE"""),"QTY, Limit Price (if any) &amp; Password input correct")</f>
        <v>QTY, Limit Price (if any) &amp; Password input correct</v>
      </c>
      <c r="L339" s="30"/>
    </row>
    <row r="340">
      <c r="A340" s="5"/>
      <c r="B340" s="118">
        <f>IFERROR(__xludf.DUMMYFUNCTION("""COMPUTED_VALUE"""),44627.58493778935)</f>
        <v>44627.58494</v>
      </c>
      <c r="C340" s="120">
        <f>IFERROR(__xludf.DUMMYFUNCTION("""COMPUTED_VALUE"""),44627.666666666664)</f>
        <v>44627.66667</v>
      </c>
      <c r="D340" s="5" t="str">
        <f>IFERROR(__xludf.DUMMYFUNCTION("""COMPUTED_VALUE"""),"38209")</f>
        <v>38209</v>
      </c>
      <c r="E340" s="5" t="str">
        <f>IFERROR(__xludf.DUMMYFUNCTION("""COMPUTED_VALUE"""),"Stock")</f>
        <v>Stock</v>
      </c>
      <c r="F340" s="5" t="str">
        <f>IFERROR(__xludf.DUMMYFUNCTION("""COMPUTED_VALUE"""),"HKD")</f>
        <v>HKD</v>
      </c>
      <c r="G340" s="30" t="str">
        <f>IFERROR(__xludf.DUMMYFUNCTION("""COMPUTED_VALUE"""),"Email Account/ TraderID Recognized")</f>
        <v>Email Account/ TraderID Recognized</v>
      </c>
      <c r="H340" s="121" t="str">
        <f>IFERROR(__xludf.DUMMYFUNCTION("""COMPUTED_VALUE"""),"1810.HK")</f>
        <v>1810.HK</v>
      </c>
      <c r="I340" s="30">
        <f>IFERROR(__xludf.DUMMYFUNCTION("""COMPUTED_VALUE"""),1000.0)</f>
        <v>1000</v>
      </c>
      <c r="J340" s="30">
        <f>IFERROR(__xludf.DUMMYFUNCTION("""COMPUTED_VALUE"""),13.72)</f>
        <v>13.72</v>
      </c>
      <c r="K340" s="30" t="str">
        <f>IFERROR(__xludf.DUMMYFUNCTION("""COMPUTED_VALUE"""),"QTY, Limit Price (if any) &amp; Password input correct")</f>
        <v>QTY, Limit Price (if any) &amp; Password input correct</v>
      </c>
      <c r="L340" s="30"/>
    </row>
    <row r="341">
      <c r="A341" s="5"/>
      <c r="B341" s="118">
        <f>IFERROR(__xludf.DUMMYFUNCTION("""COMPUTED_VALUE"""),44627.603732557865)</f>
        <v>44627.60373</v>
      </c>
      <c r="C341" s="120">
        <f>IFERROR(__xludf.DUMMYFUNCTION("""COMPUTED_VALUE"""),44627.666666666664)</f>
        <v>44627.66667</v>
      </c>
      <c r="D341" s="5" t="str">
        <f>IFERROR(__xludf.DUMMYFUNCTION("""COMPUTED_VALUE"""),"73879")</f>
        <v>73879</v>
      </c>
      <c r="E341" s="5" t="str">
        <f>IFERROR(__xludf.DUMMYFUNCTION("""COMPUTED_VALUE"""),"Stock")</f>
        <v>Stock</v>
      </c>
      <c r="F341" s="5" t="str">
        <f>IFERROR(__xludf.DUMMYFUNCTION("""COMPUTED_VALUE"""),"HKD")</f>
        <v>HKD</v>
      </c>
      <c r="G341" s="30" t="str">
        <f>IFERROR(__xludf.DUMMYFUNCTION("""COMPUTED_VALUE"""),"Email Account/ TraderID Recognized")</f>
        <v>Email Account/ TraderID Recognized</v>
      </c>
      <c r="H341" s="121" t="str">
        <f>IFERROR(__xludf.DUMMYFUNCTION("""COMPUTED_VALUE"""),"3690.HK")</f>
        <v>3690.HK</v>
      </c>
      <c r="I341" s="30">
        <f>IFERROR(__xludf.DUMMYFUNCTION("""COMPUTED_VALUE"""),666.0)</f>
        <v>666</v>
      </c>
      <c r="J341" s="30"/>
      <c r="K341" s="30" t="str">
        <f>IFERROR(__xludf.DUMMYFUNCTION("""COMPUTED_VALUE"""),"QTY, Limit Price (if any) &amp; Password input correct")</f>
        <v>QTY, Limit Price (if any) &amp; Password input correct</v>
      </c>
      <c r="L341" s="30"/>
    </row>
    <row r="342">
      <c r="A342" s="5"/>
      <c r="B342" s="118">
        <f>IFERROR(__xludf.DUMMYFUNCTION("""COMPUTED_VALUE"""),44627.60837295139)</f>
        <v>44627.60837</v>
      </c>
      <c r="C342" s="120">
        <f>IFERROR(__xludf.DUMMYFUNCTION("""COMPUTED_VALUE"""),44627.666666666664)</f>
        <v>44627.66667</v>
      </c>
      <c r="D342" s="5" t="str">
        <f>IFERROR(__xludf.DUMMYFUNCTION("""COMPUTED_VALUE"""),"77729")</f>
        <v>77729</v>
      </c>
      <c r="E342" s="5" t="str">
        <f>IFERROR(__xludf.DUMMYFUNCTION("""COMPUTED_VALUE"""),"Stock")</f>
        <v>Stock</v>
      </c>
      <c r="F342" s="5" t="str">
        <f>IFERROR(__xludf.DUMMYFUNCTION("""COMPUTED_VALUE"""),"HKD")</f>
        <v>HKD</v>
      </c>
      <c r="G342" s="30" t="str">
        <f>IFERROR(__xludf.DUMMYFUNCTION("""COMPUTED_VALUE"""),"Email Account/ TraderID Recognized")</f>
        <v>Email Account/ TraderID Recognized</v>
      </c>
      <c r="H342" s="121" t="str">
        <f>IFERROR(__xludf.DUMMYFUNCTION("""COMPUTED_VALUE"""),"0700.HK")</f>
        <v>0700.HK</v>
      </c>
      <c r="I342" s="30">
        <f>IFERROR(__xludf.DUMMYFUNCTION("""COMPUTED_VALUE"""),250.0)</f>
        <v>250</v>
      </c>
      <c r="J342" s="30">
        <f>IFERROR(__xludf.DUMMYFUNCTION("""COMPUTED_VALUE"""),400.0)</f>
        <v>400</v>
      </c>
      <c r="K342" s="30" t="str">
        <f>IFERROR(__xludf.DUMMYFUNCTION("""COMPUTED_VALUE"""),"QTY, Limit Price (if any) &amp; Password input correct")</f>
        <v>QTY, Limit Price (if any) &amp; Password input correct</v>
      </c>
      <c r="L342" s="30"/>
    </row>
    <row r="343">
      <c r="A343" s="5"/>
      <c r="B343" s="118">
        <f>IFERROR(__xludf.DUMMYFUNCTION("""COMPUTED_VALUE"""),44627.610042939814)</f>
        <v>44627.61004</v>
      </c>
      <c r="C343" s="120">
        <f>IFERROR(__xludf.DUMMYFUNCTION("""COMPUTED_VALUE"""),44627.666666666664)</f>
        <v>44627.66667</v>
      </c>
      <c r="D343" s="5" t="str">
        <f>IFERROR(__xludf.DUMMYFUNCTION("""COMPUTED_VALUE"""),"77729")</f>
        <v>77729</v>
      </c>
      <c r="E343" s="5" t="str">
        <f>IFERROR(__xludf.DUMMYFUNCTION("""COMPUTED_VALUE"""),"Stock")</f>
        <v>Stock</v>
      </c>
      <c r="F343" s="5" t="str">
        <f>IFERROR(__xludf.DUMMYFUNCTION("""COMPUTED_VALUE"""),"HKD")</f>
        <v>HKD</v>
      </c>
      <c r="G343" s="30" t="str">
        <f>IFERROR(__xludf.DUMMYFUNCTION("""COMPUTED_VALUE"""),"Email Account/ TraderID Recognized")</f>
        <v>Email Account/ TraderID Recognized</v>
      </c>
      <c r="H343" s="121" t="str">
        <f>IFERROR(__xludf.DUMMYFUNCTION("""COMPUTED_VALUE"""),"3690.HK")</f>
        <v>3690.HK</v>
      </c>
      <c r="I343" s="30">
        <f>IFERROR(__xludf.DUMMYFUNCTION("""COMPUTED_VALUE"""),300.0)</f>
        <v>300</v>
      </c>
      <c r="J343" s="30">
        <f>IFERROR(__xludf.DUMMYFUNCTION("""COMPUTED_VALUE"""),155.0)</f>
        <v>155</v>
      </c>
      <c r="K343" s="30" t="str">
        <f>IFERROR(__xludf.DUMMYFUNCTION("""COMPUTED_VALUE"""),"QTY, Limit Price (if any) &amp; Password input correct")</f>
        <v>QTY, Limit Price (if any) &amp; Password input correct</v>
      </c>
      <c r="L343" s="30"/>
    </row>
    <row r="344">
      <c r="A344" s="5"/>
      <c r="B344" s="118">
        <f>IFERROR(__xludf.DUMMYFUNCTION("""COMPUTED_VALUE"""),44627.62576181713)</f>
        <v>44627.62576</v>
      </c>
      <c r="C344" s="120">
        <f>IFERROR(__xludf.DUMMYFUNCTION("""COMPUTED_VALUE"""),44627.666666666664)</f>
        <v>44627.66667</v>
      </c>
      <c r="D344" s="5" t="str">
        <f>IFERROR(__xludf.DUMMYFUNCTION("""COMPUTED_VALUE"""),"82124")</f>
        <v>82124</v>
      </c>
      <c r="E344" s="5" t="str">
        <f>IFERROR(__xludf.DUMMYFUNCTION("""COMPUTED_VALUE"""),"Stock")</f>
        <v>Stock</v>
      </c>
      <c r="F344" s="5" t="str">
        <f>IFERROR(__xludf.DUMMYFUNCTION("""COMPUTED_VALUE"""),"HKD")</f>
        <v>HKD</v>
      </c>
      <c r="G344" s="30" t="str">
        <f>IFERROR(__xludf.DUMMYFUNCTION("""COMPUTED_VALUE"""),"Email Account/ TraderID Recognized")</f>
        <v>Email Account/ TraderID Recognized</v>
      </c>
      <c r="H344" s="121" t="str">
        <f>IFERROR(__xludf.DUMMYFUNCTION("""COMPUTED_VALUE"""),"2800.HK")</f>
        <v>2800.HK</v>
      </c>
      <c r="I344" s="30">
        <f>IFERROR(__xludf.DUMMYFUNCTION("""COMPUTED_VALUE"""),2000.0)</f>
        <v>2000</v>
      </c>
      <c r="J344" s="30"/>
      <c r="K344" s="30" t="str">
        <f>IFERROR(__xludf.DUMMYFUNCTION("""COMPUTED_VALUE"""),"QTY, Limit Price (if any) &amp; Password input correct")</f>
        <v>QTY, Limit Price (if any) &amp; Password input correct</v>
      </c>
      <c r="L344" s="30"/>
    </row>
    <row r="345">
      <c r="A345" s="5"/>
      <c r="B345" s="118">
        <f>IFERROR(__xludf.DUMMYFUNCTION("""COMPUTED_VALUE"""),44627.65870197916)</f>
        <v>44627.6587</v>
      </c>
      <c r="C345" s="120">
        <f>IFERROR(__xludf.DUMMYFUNCTION("""COMPUTED_VALUE"""),44628.625)</f>
        <v>44628.625</v>
      </c>
      <c r="D345" s="5" t="str">
        <f>IFERROR(__xludf.DUMMYFUNCTION("""COMPUTED_VALUE"""),"76369")</f>
        <v>76369</v>
      </c>
      <c r="E345" s="5" t="str">
        <f>IFERROR(__xludf.DUMMYFUNCTION("""COMPUTED_VALUE"""),"Stock")</f>
        <v>Stock</v>
      </c>
      <c r="F345" s="5" t="str">
        <f>IFERROR(__xludf.DUMMYFUNCTION("""COMPUTED_VALUE"""),"CNY")</f>
        <v>CNY</v>
      </c>
      <c r="G345" s="30" t="str">
        <f>IFERROR(__xludf.DUMMYFUNCTION("""COMPUTED_VALUE"""),"Email Account/ TraderID Recognized")</f>
        <v>Email Account/ TraderID Recognized</v>
      </c>
      <c r="H345" s="121" t="str">
        <f>IFERROR(__xludf.DUMMYFUNCTION("""COMPUTED_VALUE"""),"603963.SS")</f>
        <v>603963.SS</v>
      </c>
      <c r="I345" s="30">
        <f>IFERROR(__xludf.DUMMYFUNCTION("""COMPUTED_VALUE"""),900.0)</f>
        <v>900</v>
      </c>
      <c r="J345" s="30"/>
      <c r="K345" s="30" t="str">
        <f>IFERROR(__xludf.DUMMYFUNCTION("""COMPUTED_VALUE"""),"QTY, Limit Price (if any) &amp; Password input correct")</f>
        <v>QTY, Limit Price (if any) &amp; Password input correct</v>
      </c>
      <c r="L345" s="30"/>
    </row>
    <row r="346">
      <c r="A346" s="5"/>
      <c r="B346" s="118">
        <f>IFERROR(__xludf.DUMMYFUNCTION("""COMPUTED_VALUE"""),44627.686836712965)</f>
        <v>44627.68684</v>
      </c>
      <c r="C346" s="120" t="str">
        <f>IFERROR(__xludf.DUMMYFUNCTION("""COMPUTED_VALUE"""),"")</f>
        <v/>
      </c>
      <c r="D346" s="5" t="str">
        <f>IFERROR(__xludf.DUMMYFUNCTION("""COMPUTED_VALUE"""),"77936")</f>
        <v>77936</v>
      </c>
      <c r="E346" s="5" t="str">
        <f>IFERROR(__xludf.DUMMYFUNCTION("""COMPUTED_VALUE"""),"Stock")</f>
        <v>Stock</v>
      </c>
      <c r="F346" s="5" t="str">
        <f>IFERROR(__xludf.DUMMYFUNCTION("""COMPUTED_VALUE"""),"error")</f>
        <v>error</v>
      </c>
      <c r="G346" s="30" t="str">
        <f>IFERROR(__xludf.DUMMYFUNCTION("""COMPUTED_VALUE"""),"Email Account/ TraderID Recognized")</f>
        <v>Email Account/ TraderID Recognized</v>
      </c>
      <c r="H346" s="121" t="str">
        <f>IFERROR(__xludf.DUMMYFUNCTION("""COMPUTED_VALUE"""),"00700.HK")</f>
        <v>00700.HK</v>
      </c>
      <c r="I346" s="30">
        <f>IFERROR(__xludf.DUMMYFUNCTION("""COMPUTED_VALUE"""),200.0)</f>
        <v>200</v>
      </c>
      <c r="J346" s="30">
        <f>IFERROR(__xludf.DUMMYFUNCTION("""COMPUTED_VALUE"""),400.0)</f>
        <v>400</v>
      </c>
      <c r="K346" s="30" t="str">
        <f>IFERROR(__xludf.DUMMYFUNCTION("""COMPUTED_VALUE"""),"QTY, Limit Price (if any) &amp; Password input correct")</f>
        <v>QTY, Limit Price (if any) &amp; Password input correct</v>
      </c>
      <c r="L346" s="30" t="str">
        <f>IFERROR(__xludf.DUMMYFUNCTION("""COMPUTED_VALUE"""),"Order Rejected due to wrong ticker code. Not 00700.HK, correct code is just 4 digits for HK: 0700.HK")</f>
        <v>Order Rejected due to wrong ticker code. Not 00700.HK, correct code is just 4 digits for HK: 0700.HK</v>
      </c>
    </row>
    <row r="347">
      <c r="A347" s="5"/>
      <c r="B347" s="118">
        <f>IFERROR(__xludf.DUMMYFUNCTION("""COMPUTED_VALUE"""),44627.687415231485)</f>
        <v>44627.68742</v>
      </c>
      <c r="C347" s="120" t="str">
        <f>IFERROR(__xludf.DUMMYFUNCTION("""COMPUTED_VALUE"""),"")</f>
        <v/>
      </c>
      <c r="D347" s="5" t="str">
        <f>IFERROR(__xludf.DUMMYFUNCTION("""COMPUTED_VALUE"""),"77936")</f>
        <v>77936</v>
      </c>
      <c r="E347" s="5" t="str">
        <f>IFERROR(__xludf.DUMMYFUNCTION("""COMPUTED_VALUE"""),"Stock")</f>
        <v>Stock</v>
      </c>
      <c r="F347" s="5" t="str">
        <f>IFERROR(__xludf.DUMMYFUNCTION("""COMPUTED_VALUE"""),"error")</f>
        <v>error</v>
      </c>
      <c r="G347" s="30" t="str">
        <f>IFERROR(__xludf.DUMMYFUNCTION("""COMPUTED_VALUE"""),"Email Account/ TraderID Recognized")</f>
        <v>Email Account/ TraderID Recognized</v>
      </c>
      <c r="H347" s="121" t="str">
        <f>IFERROR(__xludf.DUMMYFUNCTION("""COMPUTED_VALUE"""),"09988.HK")</f>
        <v>09988.HK</v>
      </c>
      <c r="I347" s="30">
        <f>IFERROR(__xludf.DUMMYFUNCTION("""COMPUTED_VALUE"""),100.0)</f>
        <v>100</v>
      </c>
      <c r="J347" s="30">
        <f>IFERROR(__xludf.DUMMYFUNCTION("""COMPUTED_VALUE"""),100.0)</f>
        <v>100</v>
      </c>
      <c r="K347" s="30" t="str">
        <f>IFERROR(__xludf.DUMMYFUNCTION("""COMPUTED_VALUE"""),"QTY, Limit Price (if any) &amp; Password input correct")</f>
        <v>QTY, Limit Price (if any) &amp; Password input correct</v>
      </c>
      <c r="L347" s="30" t="str">
        <f>IFERROR(__xludf.DUMMYFUNCTION("""COMPUTED_VALUE"""),"Order Rejected due to wrong ticker code. Not 09988.HK, correct code is just 4 digits for HK: 9988.HK")</f>
        <v>Order Rejected due to wrong ticker code. Not 09988.HK, correct code is just 4 digits for HK: 9988.HK</v>
      </c>
    </row>
    <row r="348">
      <c r="A348" s="5"/>
      <c r="B348" s="118">
        <f>IFERROR(__xludf.DUMMYFUNCTION("""COMPUTED_VALUE"""),44627.72225784722)</f>
        <v>44627.72226</v>
      </c>
      <c r="C348" s="120" t="str">
        <f>IFERROR(__xludf.DUMMYFUNCTION("""COMPUTED_VALUE"""),"")</f>
        <v/>
      </c>
      <c r="D348" s="5" t="str">
        <f>IFERROR(__xludf.DUMMYFUNCTION("""COMPUTED_VALUE"""),"")</f>
        <v/>
      </c>
      <c r="E348" s="5" t="str">
        <f>IFERROR(__xludf.DUMMYFUNCTION("""COMPUTED_VALUE"""),"Stock")</f>
        <v>Stock</v>
      </c>
      <c r="F348" s="5" t="str">
        <f>IFERROR(__xludf.DUMMYFUNCTION("""COMPUTED_VALUE"""),"error")</f>
        <v>error</v>
      </c>
      <c r="G348" s="30" t="str">
        <f>IFERROR(__xludf.DUMMYFUNCTION("""COMPUTED_VALUE"""),"s127xxxxxx@nonHKMUemail")</f>
        <v>s127xxxxxx@nonHKMUemail</v>
      </c>
      <c r="H348" s="121" t="str">
        <f>IFERROR(__xludf.DUMMYFUNCTION("""COMPUTED_VALUE"""),"0700.hk")</f>
        <v>0700.hk</v>
      </c>
      <c r="I348" s="30" t="str">
        <f>IFERROR(__xludf.DUMMYFUNCTION("""COMPUTED_VALUE"""),"50 x $392.4 per share=$19620")</f>
        <v>50 x $392.4 per share=$19620</v>
      </c>
      <c r="J348" s="30" t="str">
        <f>IFERROR(__xludf.DUMMYFUNCTION("""COMPUTED_VALUE"""),"50 x $392.4 per share=$19620")</f>
        <v>50 x $392.4 per share=$19620</v>
      </c>
      <c r="K348" s="30" t="str">
        <f>IFERROR(__xludf.DUMMYFUNCTION("""COMPUTED_VALUE"""),"Non-number input in Quantity or Limit Price")</f>
        <v>Non-number input in Quantity or Limit Price</v>
      </c>
      <c r="L348" s="30" t="str">
        <f>IFERROR(__xludf.DUMMYFUNCTION("""COMPUTED_VALUE"""),"Order Rejected due to wrong instruction. Only Number is expected in the limit price setup.")</f>
        <v>Order Rejected due to wrong instruction. Only Number is expected in the limit price setup.</v>
      </c>
    </row>
    <row r="349">
      <c r="A349" s="5"/>
      <c r="B349" s="118">
        <f>IFERROR(__xludf.DUMMYFUNCTION("""COMPUTED_VALUE"""),44627.832539317125)</f>
        <v>44627.83254</v>
      </c>
      <c r="C349" s="120">
        <f>IFERROR(__xludf.DUMMYFUNCTION("""COMPUTED_VALUE"""),44628.666666666664)</f>
        <v>44628.66667</v>
      </c>
      <c r="D349" s="5" t="str">
        <f>IFERROR(__xludf.DUMMYFUNCTION("""COMPUTED_VALUE"""),"46322")</f>
        <v>46322</v>
      </c>
      <c r="E349" s="5" t="str">
        <f>IFERROR(__xludf.DUMMYFUNCTION("""COMPUTED_VALUE"""),"Stock")</f>
        <v>Stock</v>
      </c>
      <c r="F349" s="5" t="str">
        <f>IFERROR(__xludf.DUMMYFUNCTION("""COMPUTED_VALUE"""),"HKD")</f>
        <v>HKD</v>
      </c>
      <c r="G349" s="30" t="str">
        <f>IFERROR(__xludf.DUMMYFUNCTION("""COMPUTED_VALUE"""),"Email Account/ TraderID Recognized")</f>
        <v>Email Account/ TraderID Recognized</v>
      </c>
      <c r="H349" s="121" t="str">
        <f>IFERROR(__xludf.DUMMYFUNCTION("""COMPUTED_VALUE"""),"3047.HK")</f>
        <v>3047.HK</v>
      </c>
      <c r="I349" s="30">
        <f>IFERROR(__xludf.DUMMYFUNCTION("""COMPUTED_VALUE"""),5.0)</f>
        <v>5</v>
      </c>
      <c r="J349" s="30"/>
      <c r="K349" s="30" t="str">
        <f>IFERROR(__xludf.DUMMYFUNCTION("""COMPUTED_VALUE"""),"QTY, Limit Price (if any) &amp; Password input correct")</f>
        <v>QTY, Limit Price (if any) &amp; Password input correct</v>
      </c>
      <c r="L349" s="30"/>
    </row>
    <row r="350">
      <c r="A350" s="5"/>
      <c r="B350" s="118">
        <f>IFERROR(__xludf.DUMMYFUNCTION("""COMPUTED_VALUE"""),44627.83465795139)</f>
        <v>44627.83466</v>
      </c>
      <c r="C350" s="120">
        <f>IFERROR(__xludf.DUMMYFUNCTION("""COMPUTED_VALUE"""),44628.666666666664)</f>
        <v>44628.66667</v>
      </c>
      <c r="D350" s="5" t="str">
        <f>IFERROR(__xludf.DUMMYFUNCTION("""COMPUTED_VALUE"""),"46322")</f>
        <v>46322</v>
      </c>
      <c r="E350" s="5" t="str">
        <f>IFERROR(__xludf.DUMMYFUNCTION("""COMPUTED_VALUE"""),"Stock")</f>
        <v>Stock</v>
      </c>
      <c r="F350" s="5" t="str">
        <f>IFERROR(__xludf.DUMMYFUNCTION("""COMPUTED_VALUE"""),"HKD")</f>
        <v>HKD</v>
      </c>
      <c r="G350" s="30" t="str">
        <f>IFERROR(__xludf.DUMMYFUNCTION("""COMPUTED_VALUE"""),"Email Account/ TraderID Recognized")</f>
        <v>Email Account/ TraderID Recognized</v>
      </c>
      <c r="H350" s="121" t="str">
        <f>IFERROR(__xludf.DUMMYFUNCTION("""COMPUTED_VALUE"""),"9988.HK")</f>
        <v>9988.HK</v>
      </c>
      <c r="I350" s="30">
        <f>IFERROR(__xludf.DUMMYFUNCTION("""COMPUTED_VALUE"""),10000.0)</f>
        <v>10000</v>
      </c>
      <c r="J350" s="30"/>
      <c r="K350" s="30" t="str">
        <f>IFERROR(__xludf.DUMMYFUNCTION("""COMPUTED_VALUE"""),"QTY, Limit Price (if any) &amp; Password input correct")</f>
        <v>QTY, Limit Price (if any) &amp; Password input correct</v>
      </c>
      <c r="L350" s="30"/>
    </row>
    <row r="351">
      <c r="A351" s="5"/>
      <c r="B351" s="118">
        <f>IFERROR(__xludf.DUMMYFUNCTION("""COMPUTED_VALUE"""),44627.889347488424)</f>
        <v>44627.88935</v>
      </c>
      <c r="C351" s="120">
        <f>IFERROR(__xludf.DUMMYFUNCTION("""COMPUTED_VALUE"""),44627.666666666664)</f>
        <v>44627.66667</v>
      </c>
      <c r="D351" s="5" t="str">
        <f>IFERROR(__xludf.DUMMYFUNCTION("""COMPUTED_VALUE"""),"35577")</f>
        <v>35577</v>
      </c>
      <c r="E351" s="5" t="str">
        <f>IFERROR(__xludf.DUMMYFUNCTION("""COMPUTED_VALUE"""),"Stock")</f>
        <v>Stock</v>
      </c>
      <c r="F351" s="5" t="str">
        <f>IFERROR(__xludf.DUMMYFUNCTION("""COMPUTED_VALUE"""),"USD")</f>
        <v>USD</v>
      </c>
      <c r="G351" s="30" t="str">
        <f>IFERROR(__xludf.DUMMYFUNCTION("""COMPUTED_VALUE"""),"Email Account/ TraderID Recognized")</f>
        <v>Email Account/ TraderID Recognized</v>
      </c>
      <c r="H351" s="119" t="str">
        <f>IFERROR(__xludf.DUMMYFUNCTION("""COMPUTED_VALUE"""),"AAPL")</f>
        <v>AAPL</v>
      </c>
      <c r="I351" s="30">
        <f>IFERROR(__xludf.DUMMYFUNCTION("""COMPUTED_VALUE"""),11.0)</f>
        <v>11</v>
      </c>
      <c r="J351" s="30">
        <f>IFERROR(__xludf.DUMMYFUNCTION("""COMPUTED_VALUE"""),163.18)</f>
        <v>163.18</v>
      </c>
      <c r="K351" s="30" t="str">
        <f>IFERROR(__xludf.DUMMYFUNCTION("""COMPUTED_VALUE"""),"QTY, Limit Price (if any) &amp; Password input correct")</f>
        <v>QTY, Limit Price (if any) &amp; Password input correct</v>
      </c>
      <c r="L351" s="30"/>
    </row>
    <row r="352">
      <c r="A352" s="5"/>
      <c r="B352" s="118">
        <f>IFERROR(__xludf.DUMMYFUNCTION("""COMPUTED_VALUE"""),44627.89065353009)</f>
        <v>44627.89065</v>
      </c>
      <c r="C352" s="120">
        <f>IFERROR(__xludf.DUMMYFUNCTION("""COMPUTED_VALUE"""),44627.666666666664)</f>
        <v>44627.66667</v>
      </c>
      <c r="D352" s="5" t="str">
        <f>IFERROR(__xludf.DUMMYFUNCTION("""COMPUTED_VALUE"""),"35577")</f>
        <v>35577</v>
      </c>
      <c r="E352" s="5" t="str">
        <f>IFERROR(__xludf.DUMMYFUNCTION("""COMPUTED_VALUE"""),"Stock")</f>
        <v>Stock</v>
      </c>
      <c r="F352" s="5" t="str">
        <f>IFERROR(__xludf.DUMMYFUNCTION("""COMPUTED_VALUE"""),"USD")</f>
        <v>USD</v>
      </c>
      <c r="G352" s="30" t="str">
        <f>IFERROR(__xludf.DUMMYFUNCTION("""COMPUTED_VALUE"""),"Email Account/ TraderID Recognized")</f>
        <v>Email Account/ TraderID Recognized</v>
      </c>
      <c r="H352" s="119" t="str">
        <f>IFERROR(__xludf.DUMMYFUNCTION("""COMPUTED_VALUE"""),"WMT")</f>
        <v>WMT</v>
      </c>
      <c r="I352" s="30">
        <f>IFERROR(__xludf.DUMMYFUNCTION("""COMPUTED_VALUE"""),13.0)</f>
        <v>13</v>
      </c>
      <c r="J352" s="30">
        <f>IFERROR(__xludf.DUMMYFUNCTION("""COMPUTED_VALUE"""),140.99)</f>
        <v>140.99</v>
      </c>
      <c r="K352" s="30" t="str">
        <f>IFERROR(__xludf.DUMMYFUNCTION("""COMPUTED_VALUE"""),"QTY, Limit Price (if any) &amp; Password input correct")</f>
        <v>QTY, Limit Price (if any) &amp; Password input correct</v>
      </c>
      <c r="L352" s="30"/>
    </row>
    <row r="353">
      <c r="A353" s="5"/>
      <c r="B353" s="118">
        <f>IFERROR(__xludf.DUMMYFUNCTION("""COMPUTED_VALUE"""),44627.942271747685)</f>
        <v>44627.94227</v>
      </c>
      <c r="C353" s="120">
        <f>IFERROR(__xludf.DUMMYFUNCTION("""COMPUTED_VALUE"""),44627.666666666664)</f>
        <v>44627.66667</v>
      </c>
      <c r="D353" s="5" t="str">
        <f>IFERROR(__xludf.DUMMYFUNCTION("""COMPUTED_VALUE"""),"46322")</f>
        <v>46322</v>
      </c>
      <c r="E353" s="5" t="str">
        <f>IFERROR(__xludf.DUMMYFUNCTION("""COMPUTED_VALUE"""),"Stock")</f>
        <v>Stock</v>
      </c>
      <c r="F353" s="5" t="str">
        <f>IFERROR(__xludf.DUMMYFUNCTION("""COMPUTED_VALUE"""),"USD")</f>
        <v>USD</v>
      </c>
      <c r="G353" s="30" t="str">
        <f>IFERROR(__xludf.DUMMYFUNCTION("""COMPUTED_VALUE"""),"Email Account/ TraderID Recognized")</f>
        <v>Email Account/ TraderID Recognized</v>
      </c>
      <c r="H353" s="119" t="str">
        <f>IFERROR(__xludf.DUMMYFUNCTION("""COMPUTED_VALUE"""),"SARK")</f>
        <v>SARK</v>
      </c>
      <c r="I353" s="30">
        <f>IFERROR(__xludf.DUMMYFUNCTION("""COMPUTED_VALUE"""),300.0)</f>
        <v>300</v>
      </c>
      <c r="J353" s="30"/>
      <c r="K353" s="30" t="str">
        <f>IFERROR(__xludf.DUMMYFUNCTION("""COMPUTED_VALUE"""),"QTY, Limit Price (if any) &amp; Password input correct")</f>
        <v>QTY, Limit Price (if any) &amp; Password input correct</v>
      </c>
      <c r="L353" s="30"/>
    </row>
    <row r="354">
      <c r="A354" s="5"/>
      <c r="B354" s="118">
        <f>IFERROR(__xludf.DUMMYFUNCTION("""COMPUTED_VALUE"""),44627.989955682875)</f>
        <v>44627.98996</v>
      </c>
      <c r="C354" s="120">
        <f>IFERROR(__xludf.DUMMYFUNCTION("""COMPUTED_VALUE"""),44628.666666666664)</f>
        <v>44628.66667</v>
      </c>
      <c r="D354" s="5" t="str">
        <f>IFERROR(__xludf.DUMMYFUNCTION("""COMPUTED_VALUE"""),"46763")</f>
        <v>46763</v>
      </c>
      <c r="E354" s="5" t="str">
        <f>IFERROR(__xludf.DUMMYFUNCTION("""COMPUTED_VALUE"""),"Stock")</f>
        <v>Stock</v>
      </c>
      <c r="F354" s="5" t="str">
        <f>IFERROR(__xludf.DUMMYFUNCTION("""COMPUTED_VALUE"""),"HKD")</f>
        <v>HKD</v>
      </c>
      <c r="G354" s="30" t="str">
        <f>IFERROR(__xludf.DUMMYFUNCTION("""COMPUTED_VALUE"""),"Email Account/ TraderID Recognized")</f>
        <v>Email Account/ TraderID Recognized</v>
      </c>
      <c r="H354" s="121" t="str">
        <f>IFERROR(__xludf.DUMMYFUNCTION("""COMPUTED_VALUE"""),"0151.HK")</f>
        <v>0151.HK</v>
      </c>
      <c r="I354" s="30">
        <f>IFERROR(__xludf.DUMMYFUNCTION("""COMPUTED_VALUE"""),10000.0)</f>
        <v>10000</v>
      </c>
      <c r="J354" s="30"/>
      <c r="K354" s="30" t="str">
        <f>IFERROR(__xludf.DUMMYFUNCTION("""COMPUTED_VALUE"""),"QTY, Limit Price (if any) &amp; Password input correct")</f>
        <v>QTY, Limit Price (if any) &amp; Password input correct</v>
      </c>
      <c r="L354" s="30"/>
    </row>
    <row r="355">
      <c r="A355" s="5"/>
      <c r="B355" s="118">
        <f>IFERROR(__xludf.DUMMYFUNCTION("""COMPUTED_VALUE"""),44628.042440254634)</f>
        <v>44628.04244</v>
      </c>
      <c r="C355" s="120">
        <f>IFERROR(__xludf.DUMMYFUNCTION("""COMPUTED_VALUE"""),44627.666666666664)</f>
        <v>44627.66667</v>
      </c>
      <c r="D355" s="5" t="str">
        <f>IFERROR(__xludf.DUMMYFUNCTION("""COMPUTED_VALUE"""),"89750")</f>
        <v>89750</v>
      </c>
      <c r="E355" s="5" t="str">
        <f>IFERROR(__xludf.DUMMYFUNCTION("""COMPUTED_VALUE"""),"Option")</f>
        <v>Option</v>
      </c>
      <c r="F355" s="5" t="str">
        <f>IFERROR(__xludf.DUMMYFUNCTION("""COMPUTED_VALUE"""),"USD")</f>
        <v>USD</v>
      </c>
      <c r="G355" s="30" t="str">
        <f>IFERROR(__xludf.DUMMYFUNCTION("""COMPUTED_VALUE"""),"Email Account/ TraderID Recognized")</f>
        <v>Email Account/ TraderID Recognized</v>
      </c>
      <c r="H355" s="119" t="str">
        <f>IFERROR(__xludf.DUMMYFUNCTION("""COMPUTED_VALUE"""),"MARA220401P00016000")</f>
        <v>MARA220401P00016000</v>
      </c>
      <c r="I355" s="30">
        <f>IFERROR(__xludf.DUMMYFUNCTION("""COMPUTED_VALUE"""),100.0)</f>
        <v>100</v>
      </c>
      <c r="J355" s="30"/>
      <c r="K355" s="30" t="str">
        <f>IFERROR(__xludf.DUMMYFUNCTION("""COMPUTED_VALUE"""),"QTY, Limit Price (if any) &amp; Password input correct")</f>
        <v>QTY, Limit Price (if any) &amp; Password input correct</v>
      </c>
      <c r="L355" s="30"/>
    </row>
    <row r="356">
      <c r="A356" s="5"/>
      <c r="B356" s="118">
        <f>IFERROR(__xludf.DUMMYFUNCTION("""COMPUTED_VALUE"""),44628.045125543984)</f>
        <v>44628.04513</v>
      </c>
      <c r="C356" s="120">
        <f>IFERROR(__xludf.DUMMYFUNCTION("""COMPUTED_VALUE"""),44627.666666666664)</f>
        <v>44627.66667</v>
      </c>
      <c r="D356" s="5" t="str">
        <f>IFERROR(__xludf.DUMMYFUNCTION("""COMPUTED_VALUE"""),"89750")</f>
        <v>89750</v>
      </c>
      <c r="E356" s="5" t="str">
        <f>IFERROR(__xludf.DUMMYFUNCTION("""COMPUTED_VALUE"""),"Option")</f>
        <v>Option</v>
      </c>
      <c r="F356" s="5" t="str">
        <f>IFERROR(__xludf.DUMMYFUNCTION("""COMPUTED_VALUE"""),"USD")</f>
        <v>USD</v>
      </c>
      <c r="G356" s="30" t="str">
        <f>IFERROR(__xludf.DUMMYFUNCTION("""COMPUTED_VALUE"""),"Email Account/ TraderID Recognized")</f>
        <v>Email Account/ TraderID Recognized</v>
      </c>
      <c r="H356" s="119" t="str">
        <f>IFERROR(__xludf.DUMMYFUNCTION("""COMPUTED_VALUE"""),"NU220414C00009000")</f>
        <v>NU220414C00009000</v>
      </c>
      <c r="I356" s="30">
        <f>IFERROR(__xludf.DUMMYFUNCTION("""COMPUTED_VALUE"""),200.0)</f>
        <v>200</v>
      </c>
      <c r="J356" s="30">
        <f>IFERROR(__xludf.DUMMYFUNCTION("""COMPUTED_VALUE"""),0.22)</f>
        <v>0.22</v>
      </c>
      <c r="K356" s="30" t="str">
        <f>IFERROR(__xludf.DUMMYFUNCTION("""COMPUTED_VALUE"""),"QTY, Limit Price (if any) &amp; Password input correct")</f>
        <v>QTY, Limit Price (if any) &amp; Password input correct</v>
      </c>
      <c r="L356" s="30"/>
    </row>
    <row r="357">
      <c r="A357" s="5"/>
      <c r="B357" s="118">
        <f>IFERROR(__xludf.DUMMYFUNCTION("""COMPUTED_VALUE"""),44628.04609157407)</f>
        <v>44628.04609</v>
      </c>
      <c r="C357" s="120">
        <f>IFERROR(__xludf.DUMMYFUNCTION("""COMPUTED_VALUE"""),44627.666666666664)</f>
        <v>44627.66667</v>
      </c>
      <c r="D357" s="5" t="str">
        <f>IFERROR(__xludf.DUMMYFUNCTION("""COMPUTED_VALUE"""),"89750")</f>
        <v>89750</v>
      </c>
      <c r="E357" s="5" t="str">
        <f>IFERROR(__xludf.DUMMYFUNCTION("""COMPUTED_VALUE"""),"Option")</f>
        <v>Option</v>
      </c>
      <c r="F357" s="5" t="str">
        <f>IFERROR(__xludf.DUMMYFUNCTION("""COMPUTED_VALUE"""),"USD")</f>
        <v>USD</v>
      </c>
      <c r="G357" s="30" t="str">
        <f>IFERROR(__xludf.DUMMYFUNCTION("""COMPUTED_VALUE"""),"Email Account/ TraderID Recognized")</f>
        <v>Email Account/ TraderID Recognized</v>
      </c>
      <c r="H357" s="119" t="str">
        <f>IFERROR(__xludf.DUMMYFUNCTION("""COMPUTED_VALUE"""),"RLX220414C00005000")</f>
        <v>RLX220414C00005000</v>
      </c>
      <c r="I357" s="30">
        <f>IFERROR(__xludf.DUMMYFUNCTION("""COMPUTED_VALUE"""),1000.0)</f>
        <v>1000</v>
      </c>
      <c r="J357" s="30">
        <f>IFERROR(__xludf.DUMMYFUNCTION("""COMPUTED_VALUE"""),0.08)</f>
        <v>0.08</v>
      </c>
      <c r="K357" s="30" t="str">
        <f>IFERROR(__xludf.DUMMYFUNCTION("""COMPUTED_VALUE"""),"QTY, Limit Price (if any) &amp; Password input correct")</f>
        <v>QTY, Limit Price (if any) &amp; Password input correct</v>
      </c>
      <c r="L357" s="30"/>
    </row>
    <row r="358">
      <c r="A358" s="5"/>
      <c r="B358" s="118">
        <f>IFERROR(__xludf.DUMMYFUNCTION("""COMPUTED_VALUE"""),44628.0474725463)</f>
        <v>44628.04747</v>
      </c>
      <c r="C358" s="120">
        <f>IFERROR(__xludf.DUMMYFUNCTION("""COMPUTED_VALUE"""),44627.666666666664)</f>
        <v>44627.66667</v>
      </c>
      <c r="D358" s="5" t="str">
        <f>IFERROR(__xludf.DUMMYFUNCTION("""COMPUTED_VALUE"""),"89750")</f>
        <v>89750</v>
      </c>
      <c r="E358" s="5" t="str">
        <f>IFERROR(__xludf.DUMMYFUNCTION("""COMPUTED_VALUE"""),"Stock")</f>
        <v>Stock</v>
      </c>
      <c r="F358" s="5" t="str">
        <f>IFERROR(__xludf.DUMMYFUNCTION("""COMPUTED_VALUE"""),"USD")</f>
        <v>USD</v>
      </c>
      <c r="G358" s="30" t="str">
        <f>IFERROR(__xludf.DUMMYFUNCTION("""COMPUTED_VALUE"""),"Email Account/ TraderID Recognized")</f>
        <v>Email Account/ TraderID Recognized</v>
      </c>
      <c r="H358" s="119" t="str">
        <f>IFERROR(__xludf.DUMMYFUNCTION("""COMPUTED_VALUE"""),"YINN")</f>
        <v>YINN</v>
      </c>
      <c r="I358" s="30">
        <f>IFERROR(__xludf.DUMMYFUNCTION("""COMPUTED_VALUE"""),100.0)</f>
        <v>100</v>
      </c>
      <c r="J358" s="30"/>
      <c r="K358" s="30" t="str">
        <f>IFERROR(__xludf.DUMMYFUNCTION("""COMPUTED_VALUE"""),"QTY, Limit Price (if any) &amp; Password input correct")</f>
        <v>QTY, Limit Price (if any) &amp; Password input correct</v>
      </c>
      <c r="L358" s="30"/>
    </row>
    <row r="359">
      <c r="A359" s="5"/>
      <c r="B359" s="118">
        <f>IFERROR(__xludf.DUMMYFUNCTION("""COMPUTED_VALUE"""),44628.45722599537)</f>
        <v>44628.45723</v>
      </c>
      <c r="C359" s="120">
        <f>IFERROR(__xludf.DUMMYFUNCTION("""COMPUTED_VALUE"""),44628.666666666664)</f>
        <v>44628.66667</v>
      </c>
      <c r="D359" s="5" t="str">
        <f>IFERROR(__xludf.DUMMYFUNCTION("""COMPUTED_VALUE"""),"35577")</f>
        <v>35577</v>
      </c>
      <c r="E359" s="5" t="str">
        <f>IFERROR(__xludf.DUMMYFUNCTION("""COMPUTED_VALUE"""),"Stock")</f>
        <v>Stock</v>
      </c>
      <c r="F359" s="5" t="str">
        <f>IFERROR(__xludf.DUMMYFUNCTION("""COMPUTED_VALUE"""),"USD")</f>
        <v>USD</v>
      </c>
      <c r="G359" s="30" t="str">
        <f>IFERROR(__xludf.DUMMYFUNCTION("""COMPUTED_VALUE"""),"Email Account/ TraderID Recognized")</f>
        <v>Email Account/ TraderID Recognized</v>
      </c>
      <c r="H359" s="119" t="str">
        <f>IFERROR(__xludf.DUMMYFUNCTION("""COMPUTED_VALUE"""),"WMT")</f>
        <v>WMT</v>
      </c>
      <c r="I359" s="30">
        <f>IFERROR(__xludf.DUMMYFUNCTION("""COMPUTED_VALUE"""),13.0)</f>
        <v>13</v>
      </c>
      <c r="J359" s="30">
        <f>IFERROR(__xludf.DUMMYFUNCTION("""COMPUTED_VALUE"""),141.3)</f>
        <v>141.3</v>
      </c>
      <c r="K359" s="30" t="str">
        <f>IFERROR(__xludf.DUMMYFUNCTION("""COMPUTED_VALUE"""),"QTY, Limit Price (if any) &amp; Password input correct")</f>
        <v>QTY, Limit Price (if any) &amp; Password input correct</v>
      </c>
      <c r="L359" s="30"/>
    </row>
    <row r="360">
      <c r="A360" s="5"/>
      <c r="B360" s="118">
        <f>IFERROR(__xludf.DUMMYFUNCTION("""COMPUTED_VALUE"""),44628.57406197916)</f>
        <v>44628.57406</v>
      </c>
      <c r="C360" s="120" t="str">
        <f>IFERROR(__xludf.DUMMYFUNCTION("""COMPUTED_VALUE"""),"")</f>
        <v/>
      </c>
      <c r="D360" s="5" t="str">
        <f>IFERROR(__xludf.DUMMYFUNCTION("""COMPUTED_VALUE"""),"76857")</f>
        <v>76857</v>
      </c>
      <c r="E360" s="5" t="str">
        <f>IFERROR(__xludf.DUMMYFUNCTION("""COMPUTED_VALUE"""),"Stock")</f>
        <v>Stock</v>
      </c>
      <c r="F360" s="5" t="str">
        <f>IFERROR(__xludf.DUMMYFUNCTION("""COMPUTED_VALUE"""),"error")</f>
        <v>error</v>
      </c>
      <c r="G360" s="30" t="str">
        <f>IFERROR(__xludf.DUMMYFUNCTION("""COMPUTED_VALUE"""),"Email Account/ TraderID Recognized")</f>
        <v>Email Account/ TraderID Recognized</v>
      </c>
      <c r="H360" s="121" t="str">
        <f>IFERROR(__xludf.DUMMYFUNCTION("""COMPUTED_VALUE"""),"1772.HK")</f>
        <v>1772.HK</v>
      </c>
      <c r="I360" s="30">
        <f>IFERROR(__xludf.DUMMYFUNCTION("""COMPUTED_VALUE"""),470.0)</f>
        <v>470</v>
      </c>
      <c r="J360" s="30"/>
      <c r="K360" s="30" t="str">
        <f>IFERROR(__xludf.DUMMYFUNCTION("""COMPUTED_VALUE"""),"QTY, Limit Price (if any) &amp; Password input correct")</f>
        <v>QTY, Limit Price (if any) &amp; Password input correct</v>
      </c>
      <c r="L360" s="30" t="str">
        <f>IFERROR(__xludf.DUMMYFUNCTION("""COMPUTED_VALUE"""),"Order Rejected due to unauthorized trader. Please contact William for further instruction.")</f>
        <v>Order Rejected due to unauthorized trader. Please contact William for further instruction.</v>
      </c>
    </row>
    <row r="361">
      <c r="A361" s="5"/>
      <c r="B361" s="118">
        <f>IFERROR(__xludf.DUMMYFUNCTION("""COMPUTED_VALUE"""),44628.5810600463)</f>
        <v>44628.58106</v>
      </c>
      <c r="C361" s="120">
        <f>IFERROR(__xludf.DUMMYFUNCTION("""COMPUTED_VALUE"""),44628.666666666664)</f>
        <v>44628.66667</v>
      </c>
      <c r="D361" s="5" t="str">
        <f>IFERROR(__xludf.DUMMYFUNCTION("""COMPUTED_VALUE"""),"76975")</f>
        <v>76975</v>
      </c>
      <c r="E361" s="5" t="str">
        <f>IFERROR(__xludf.DUMMYFUNCTION("""COMPUTED_VALUE"""),"Stock")</f>
        <v>Stock</v>
      </c>
      <c r="F361" s="5" t="str">
        <f>IFERROR(__xludf.DUMMYFUNCTION("""COMPUTED_VALUE"""),"USD")</f>
        <v>USD</v>
      </c>
      <c r="G361" s="30" t="str">
        <f>IFERROR(__xludf.DUMMYFUNCTION("""COMPUTED_VALUE"""),"Email Account/ TraderID Recognized")</f>
        <v>Email Account/ TraderID Recognized</v>
      </c>
      <c r="H361" s="121" t="str">
        <f>IFERROR(__xludf.DUMMYFUNCTION("""COMPUTED_VALUE"""),"0700.HK")</f>
        <v>0700.HK</v>
      </c>
      <c r="I361" s="30">
        <f>IFERROR(__xludf.DUMMYFUNCTION("""COMPUTED_VALUE"""),260.0)</f>
        <v>260</v>
      </c>
      <c r="J361" s="30"/>
      <c r="K361" s="30" t="str">
        <f>IFERROR(__xludf.DUMMYFUNCTION("""COMPUTED_VALUE"""),"QTY, Limit Price (if any) &amp; Password input correct")</f>
        <v>QTY, Limit Price (if any) &amp; Password input correct</v>
      </c>
      <c r="L361" s="30"/>
    </row>
    <row r="362">
      <c r="A362" s="5"/>
      <c r="B362" s="118">
        <f>IFERROR(__xludf.DUMMYFUNCTION("""COMPUTED_VALUE"""),44628.73738356482)</f>
        <v>44628.73738</v>
      </c>
      <c r="C362" s="120">
        <f>IFERROR(__xludf.DUMMYFUNCTION("""COMPUTED_VALUE"""),44628.666666666664)</f>
        <v>44628.66667</v>
      </c>
      <c r="D362" s="5" t="str">
        <f>IFERROR(__xludf.DUMMYFUNCTION("""COMPUTED_VALUE"""),"46876")</f>
        <v>46876</v>
      </c>
      <c r="E362" s="5" t="str">
        <f>IFERROR(__xludf.DUMMYFUNCTION("""COMPUTED_VALUE"""),"Stock")</f>
        <v>Stock</v>
      </c>
      <c r="F362" s="5" t="str">
        <f>IFERROR(__xludf.DUMMYFUNCTION("""COMPUTED_VALUE"""),"USD")</f>
        <v>USD</v>
      </c>
      <c r="G362" s="30" t="str">
        <f>IFERROR(__xludf.DUMMYFUNCTION("""COMPUTED_VALUE"""),"Email Account/ TraderID Recognized")</f>
        <v>Email Account/ TraderID Recognized</v>
      </c>
      <c r="H362" s="119" t="str">
        <f>IFERROR(__xludf.DUMMYFUNCTION("""COMPUTED_VALUE"""),"FSR")</f>
        <v>FSR</v>
      </c>
      <c r="I362" s="30">
        <f>IFERROR(__xludf.DUMMYFUNCTION("""COMPUTED_VALUE"""),40000.0)</f>
        <v>40000</v>
      </c>
      <c r="J362" s="30">
        <f>IFERROR(__xludf.DUMMYFUNCTION("""COMPUTED_VALUE"""),10.85)</f>
        <v>10.85</v>
      </c>
      <c r="K362" s="30" t="str">
        <f>IFERROR(__xludf.DUMMYFUNCTION("""COMPUTED_VALUE"""),"QTY, Limit Price (if any) &amp; Password input correct")</f>
        <v>QTY, Limit Price (if any) &amp; Password input correct</v>
      </c>
      <c r="L362" s="30"/>
    </row>
    <row r="363">
      <c r="A363" s="5"/>
      <c r="B363" s="118">
        <f>IFERROR(__xludf.DUMMYFUNCTION("""COMPUTED_VALUE"""),44628.76699793982)</f>
        <v>44628.767</v>
      </c>
      <c r="C363" s="120" t="str">
        <f>IFERROR(__xludf.DUMMYFUNCTION("""COMPUTED_VALUE"""),"")</f>
        <v/>
      </c>
      <c r="D363" s="5" t="str">
        <f>IFERROR(__xludf.DUMMYFUNCTION("""COMPUTED_VALUE"""),"14626")</f>
        <v>14626</v>
      </c>
      <c r="E363" s="5" t="str">
        <f>IFERROR(__xludf.DUMMYFUNCTION("""COMPUTED_VALUE"""),"Stock")</f>
        <v>Stock</v>
      </c>
      <c r="F363" s="5" t="str">
        <f>IFERROR(__xludf.DUMMYFUNCTION("""COMPUTED_VALUE"""),"error")</f>
        <v>error</v>
      </c>
      <c r="G363" s="30" t="str">
        <f>IFERROR(__xludf.DUMMYFUNCTION("""COMPUTED_VALUE"""),"Email Account/ TraderID Recognized")</f>
        <v>Email Account/ TraderID Recognized</v>
      </c>
      <c r="H363" s="119" t="str">
        <f>IFERROR(__xludf.DUMMYFUNCTION("""COMPUTED_VALUE"""),"CL=F")</f>
        <v>CL=F</v>
      </c>
      <c r="I363" s="30">
        <f>IFERROR(__xludf.DUMMYFUNCTION("""COMPUTED_VALUE"""),100.0)</f>
        <v>100</v>
      </c>
      <c r="J363" s="30"/>
      <c r="K363" s="30" t="str">
        <f>IFERROR(__xludf.DUMMYFUNCTION("""COMPUTED_VALUE"""),"Wrong Password Submitted, Order will be rejected")</f>
        <v>Wrong Password Submitted, Order will be rejected</v>
      </c>
      <c r="L363" s="30" t="str">
        <f>IFERROR(__xludf.DUMMYFUNCTION("""COMPUTED_VALUE"""),"Order Rejected due to wrong password. Your password last 2 digits were incorrect.")</f>
        <v>Order Rejected due to wrong password. Your password last 2 digits were incorrect.</v>
      </c>
    </row>
    <row r="364">
      <c r="A364" s="5"/>
      <c r="B364" s="118">
        <f>IFERROR(__xludf.DUMMYFUNCTION("""COMPUTED_VALUE"""),44628.77343598379)</f>
        <v>44628.77344</v>
      </c>
      <c r="C364" s="120" t="str">
        <f>IFERROR(__xludf.DUMMYFUNCTION("""COMPUTED_VALUE"""),"")</f>
        <v/>
      </c>
      <c r="D364" s="5" t="str">
        <f>IFERROR(__xludf.DUMMYFUNCTION("""COMPUTED_VALUE"""),"14626")</f>
        <v>14626</v>
      </c>
      <c r="E364" s="5" t="str">
        <f>IFERROR(__xludf.DUMMYFUNCTION("""COMPUTED_VALUE"""),"Stock")</f>
        <v>Stock</v>
      </c>
      <c r="F364" s="5" t="str">
        <f>IFERROR(__xludf.DUMMYFUNCTION("""COMPUTED_VALUE"""),"error")</f>
        <v>error</v>
      </c>
      <c r="G364" s="30" t="str">
        <f>IFERROR(__xludf.DUMMYFUNCTION("""COMPUTED_VALUE"""),"Email Account/ TraderID Recognized")</f>
        <v>Email Account/ TraderID Recognized</v>
      </c>
      <c r="H364" s="119" t="str">
        <f>IFERROR(__xludf.DUMMYFUNCTION("""COMPUTED_VALUE"""),"SI=F")</f>
        <v>SI=F</v>
      </c>
      <c r="I364" s="30">
        <f>IFERROR(__xludf.DUMMYFUNCTION("""COMPUTED_VALUE"""),100.0)</f>
        <v>100</v>
      </c>
      <c r="J364" s="30"/>
      <c r="K364" s="30" t="str">
        <f>IFERROR(__xludf.DUMMYFUNCTION("""COMPUTED_VALUE"""),"Wrong Password Submitted, Order will be rejected")</f>
        <v>Wrong Password Submitted, Order will be rejected</v>
      </c>
      <c r="L364" s="30" t="str">
        <f>IFERROR(__xludf.DUMMYFUNCTION("""COMPUTED_VALUE"""),"Order Rejected due to wrong password. Your password last 2 digits were incorrect.")</f>
        <v>Order Rejected due to wrong password. Your password last 2 digits were incorrect.</v>
      </c>
    </row>
    <row r="365">
      <c r="A365" s="5"/>
      <c r="B365" s="118">
        <f>IFERROR(__xludf.DUMMYFUNCTION("""COMPUTED_VALUE"""),44628.84994006944)</f>
        <v>44628.84994</v>
      </c>
      <c r="C365" s="120" t="str">
        <f>IFERROR(__xludf.DUMMYFUNCTION("""COMPUTED_VALUE"""),"")</f>
        <v/>
      </c>
      <c r="D365" s="5" t="str">
        <f>IFERROR(__xludf.DUMMYFUNCTION("""COMPUTED_VALUE"""),"89845")</f>
        <v>89845</v>
      </c>
      <c r="E365" s="5" t="str">
        <f>IFERROR(__xludf.DUMMYFUNCTION("""COMPUTED_VALUE"""),"Stock")</f>
        <v>Stock</v>
      </c>
      <c r="F365" s="5" t="str">
        <f>IFERROR(__xludf.DUMMYFUNCTION("""COMPUTED_VALUE"""),"error")</f>
        <v>error</v>
      </c>
      <c r="G365" s="30" t="str">
        <f>IFERROR(__xludf.DUMMYFUNCTION("""COMPUTED_VALUE"""),"Email Account/ TraderID Recognized")</f>
        <v>Email Account/ TraderID Recognized</v>
      </c>
      <c r="H365" s="119" t="str">
        <f>IFERROR(__xludf.DUMMYFUNCTION("""COMPUTED_VALUE"""),"nysearca: USO")</f>
        <v>nysearca: USO</v>
      </c>
      <c r="I365" s="30">
        <f>IFERROR(__xludf.DUMMYFUNCTION("""COMPUTED_VALUE"""),100.0)</f>
        <v>100</v>
      </c>
      <c r="J365" s="30" t="str">
        <f>IFERROR(__xludf.DUMMYFUNCTION("""COMPUTED_VALUE"""),"Limit Sell @ 70 - if Closing @ 100 = Executed price @ 100; if Closing @ 80 = no execution")</f>
        <v>Limit Sell @ 70 - if Closing @ 100 = Executed price @ 100; if Closing @ 80 = no execution</v>
      </c>
      <c r="K365" s="30" t="str">
        <f>IFERROR(__xludf.DUMMYFUNCTION("""COMPUTED_VALUE"""),"Non-number input in Quantity or Limit Price")</f>
        <v>Non-number input in Quantity or Limit Price</v>
      </c>
      <c r="L365" s="30" t="str">
        <f>IFERROR(__xludf.DUMMYFUNCTION("""COMPUTED_VALUE"""),"Order Rejected due to wrong ticker and instruction. Ticker should be USO only for US Oil index. And Only Number is expected in the limit price setup. Just type in 70. Input instruction is not a system-readable language.")</f>
        <v>Order Rejected due to wrong ticker and instruction. Ticker should be USO only for US Oil index. And Only Number is expected in the limit price setup. Just type in 70. Input instruction is not a system-readable language.</v>
      </c>
    </row>
    <row r="366">
      <c r="A366" s="5"/>
      <c r="B366" s="118">
        <f>IFERROR(__xludf.DUMMYFUNCTION("""COMPUTED_VALUE"""),44628.90884244213)</f>
        <v>44628.90884</v>
      </c>
      <c r="C366" s="120" t="str">
        <f>IFERROR(__xludf.DUMMYFUNCTION("""COMPUTED_VALUE"""),"")</f>
        <v/>
      </c>
      <c r="D366" s="5" t="str">
        <f>IFERROR(__xludf.DUMMYFUNCTION("""COMPUTED_VALUE"""),"")</f>
        <v/>
      </c>
      <c r="E366" s="5" t="str">
        <f>IFERROR(__xludf.DUMMYFUNCTION("""COMPUTED_VALUE"""),"Stock")</f>
        <v>Stock</v>
      </c>
      <c r="F366" s="5" t="str">
        <f>IFERROR(__xludf.DUMMYFUNCTION("""COMPUTED_VALUE"""),"error")</f>
        <v>error</v>
      </c>
      <c r="G366" s="30" t="str">
        <f>IFERROR(__xludf.DUMMYFUNCTION("""COMPUTED_VALUE"""),"1668xxxxxx@nonHKMUemail")</f>
        <v>1668xxxxxx@nonHKMUemail</v>
      </c>
      <c r="H366" s="119" t="str">
        <f>IFERROR(__xludf.DUMMYFUNCTION("""COMPUTED_VALUE"""),"nysearca: USO")</f>
        <v>nysearca: USO</v>
      </c>
      <c r="I366" s="30">
        <f>IFERROR(__xludf.DUMMYFUNCTION("""COMPUTED_VALUE"""),100.0)</f>
        <v>100</v>
      </c>
      <c r="J366" s="30">
        <f>IFERROR(__xludf.DUMMYFUNCTION("""COMPUTED_VALUE"""),90.0)</f>
        <v>90</v>
      </c>
      <c r="K366" s="30" t="str">
        <f>IFERROR(__xludf.DUMMYFUNCTION("""COMPUTED_VALUE"""),"QTY, Limit Price (if any) &amp; Password input correct")</f>
        <v>QTY, Limit Price (if any) &amp; Password input correct</v>
      </c>
      <c r="L366" s="30" t="str">
        <f>IFERROR(__xludf.DUMMYFUNCTION("""COMPUTED_VALUE"""),"Order Rejected due to wrong school email address, wrong ticker. Non school email address, Non student identitified. Ticker should be USO only for US Oil index.")</f>
        <v>Order Rejected due to wrong school email address, wrong ticker. Non school email address, Non student identitified. Ticker should be USO only for US Oil index.</v>
      </c>
    </row>
    <row r="367">
      <c r="A367" s="5"/>
      <c r="B367" s="118">
        <f>IFERROR(__xludf.DUMMYFUNCTION("""COMPUTED_VALUE"""),44628.918295752315)</f>
        <v>44628.9183</v>
      </c>
      <c r="C367" s="120">
        <f>IFERROR(__xludf.DUMMYFUNCTION("""COMPUTED_VALUE"""),44628.666666666664)</f>
        <v>44628.66667</v>
      </c>
      <c r="D367" s="5" t="str">
        <f>IFERROR(__xludf.DUMMYFUNCTION("""COMPUTED_VALUE"""),"24442")</f>
        <v>24442</v>
      </c>
      <c r="E367" s="5" t="str">
        <f>IFERROR(__xludf.DUMMYFUNCTION("""COMPUTED_VALUE"""),"Stock")</f>
        <v>Stock</v>
      </c>
      <c r="F367" s="5" t="str">
        <f>IFERROR(__xludf.DUMMYFUNCTION("""COMPUTED_VALUE"""),"USD")</f>
        <v>USD</v>
      </c>
      <c r="G367" s="30" t="str">
        <f>IFERROR(__xludf.DUMMYFUNCTION("""COMPUTED_VALUE"""),"Email Account/ TraderID Recognized")</f>
        <v>Email Account/ TraderID Recognized</v>
      </c>
      <c r="H367" s="119" t="str">
        <f>IFERROR(__xludf.DUMMYFUNCTION("""COMPUTED_VALUE"""),"XLK")</f>
        <v>XLK</v>
      </c>
      <c r="I367" s="30">
        <f>IFERROR(__xludf.DUMMYFUNCTION("""COMPUTED_VALUE"""),100.0)</f>
        <v>100</v>
      </c>
      <c r="J367" s="30"/>
      <c r="K367" s="30" t="str">
        <f>IFERROR(__xludf.DUMMYFUNCTION("""COMPUTED_VALUE"""),"QTY, Limit Price (if any) &amp; Password input correct")</f>
        <v>QTY, Limit Price (if any) &amp; Password input correct</v>
      </c>
      <c r="L367" s="30"/>
    </row>
    <row r="368">
      <c r="A368" s="5"/>
      <c r="B368" s="118">
        <f>IFERROR(__xludf.DUMMYFUNCTION("""COMPUTED_VALUE"""),44628.933266747685)</f>
        <v>44628.93327</v>
      </c>
      <c r="C368" s="120">
        <f>IFERROR(__xludf.DUMMYFUNCTION("""COMPUTED_VALUE"""),44628.666666666664)</f>
        <v>44628.66667</v>
      </c>
      <c r="D368" s="5" t="str">
        <f>IFERROR(__xludf.DUMMYFUNCTION("""COMPUTED_VALUE"""),"45969")</f>
        <v>45969</v>
      </c>
      <c r="E368" s="5" t="str">
        <f>IFERROR(__xludf.DUMMYFUNCTION("""COMPUTED_VALUE"""),"Option")</f>
        <v>Option</v>
      </c>
      <c r="F368" s="5" t="str">
        <f>IFERROR(__xludf.DUMMYFUNCTION("""COMPUTED_VALUE"""),"USD")</f>
        <v>USD</v>
      </c>
      <c r="G368" s="30" t="str">
        <f>IFERROR(__xludf.DUMMYFUNCTION("""COMPUTED_VALUE"""),"Email Account/ TraderID Recognized")</f>
        <v>Email Account/ TraderID Recognized</v>
      </c>
      <c r="H368" s="119" t="str">
        <f>IFERROR(__xludf.DUMMYFUNCTION("""COMPUTED_VALUE"""),"BILI220318P00040000")</f>
        <v>BILI220318P00040000</v>
      </c>
      <c r="I368" s="30">
        <f>IFERROR(__xludf.DUMMYFUNCTION("""COMPUTED_VALUE"""),7.0)</f>
        <v>7</v>
      </c>
      <c r="J368" s="30"/>
      <c r="K368" s="30" t="str">
        <f>IFERROR(__xludf.DUMMYFUNCTION("""COMPUTED_VALUE"""),"QTY, Limit Price (if any) &amp; Password input correct")</f>
        <v>QTY, Limit Price (if any) &amp; Password input correct</v>
      </c>
      <c r="L368" s="30"/>
    </row>
    <row r="369">
      <c r="A369" s="5"/>
      <c r="B369" s="118">
        <f>IFERROR(__xludf.DUMMYFUNCTION("""COMPUTED_VALUE"""),44628.93424619213)</f>
        <v>44628.93425</v>
      </c>
      <c r="C369" s="120">
        <f>IFERROR(__xludf.DUMMYFUNCTION("""COMPUTED_VALUE"""),44628.666666666664)</f>
        <v>44628.66667</v>
      </c>
      <c r="D369" s="5" t="str">
        <f>IFERROR(__xludf.DUMMYFUNCTION("""COMPUTED_VALUE"""),"45969")</f>
        <v>45969</v>
      </c>
      <c r="E369" s="5" t="str">
        <f>IFERROR(__xludf.DUMMYFUNCTION("""COMPUTED_VALUE"""),"Option")</f>
        <v>Option</v>
      </c>
      <c r="F369" s="5" t="str">
        <f>IFERROR(__xludf.DUMMYFUNCTION("""COMPUTED_VALUE"""),"USD")</f>
        <v>USD</v>
      </c>
      <c r="G369" s="30" t="str">
        <f>IFERROR(__xludf.DUMMYFUNCTION("""COMPUTED_VALUE"""),"Email Account/ TraderID Recognized")</f>
        <v>Email Account/ TraderID Recognized</v>
      </c>
      <c r="H369" s="119" t="str">
        <f>IFERROR(__xludf.DUMMYFUNCTION("""COMPUTED_VALUE"""),"FB220325P00210000")</f>
        <v>FB220325P00210000</v>
      </c>
      <c r="I369" s="30">
        <f>IFERROR(__xludf.DUMMYFUNCTION("""COMPUTED_VALUE"""),16.0)</f>
        <v>16</v>
      </c>
      <c r="J369" s="30"/>
      <c r="K369" s="30" t="str">
        <f>IFERROR(__xludf.DUMMYFUNCTION("""COMPUTED_VALUE"""),"QTY, Limit Price (if any) &amp; Password input correct")</f>
        <v>QTY, Limit Price (if any) &amp; Password input correct</v>
      </c>
      <c r="L369" s="30"/>
    </row>
    <row r="370">
      <c r="A370" s="5"/>
      <c r="B370" s="118">
        <f>IFERROR(__xludf.DUMMYFUNCTION("""COMPUTED_VALUE"""),44628.98496861111)</f>
        <v>44628.98497</v>
      </c>
      <c r="C370" s="120" t="str">
        <f>IFERROR(__xludf.DUMMYFUNCTION("""COMPUTED_VALUE"""),"")</f>
        <v/>
      </c>
      <c r="D370" s="5" t="str">
        <f>IFERROR(__xludf.DUMMYFUNCTION("""COMPUTED_VALUE"""),"40318")</f>
        <v>40318</v>
      </c>
      <c r="E370" s="5" t="str">
        <f>IFERROR(__xludf.DUMMYFUNCTION("""COMPUTED_VALUE"""),"Stock")</f>
        <v>Stock</v>
      </c>
      <c r="F370" s="5" t="str">
        <f>IFERROR(__xludf.DUMMYFUNCTION("""COMPUTED_VALUE"""),"error")</f>
        <v>error</v>
      </c>
      <c r="G370" s="30" t="str">
        <f>IFERROR(__xludf.DUMMYFUNCTION("""COMPUTED_VALUE"""),"Email Account/ TraderID Recognized")</f>
        <v>Email Account/ TraderID Recognized</v>
      </c>
      <c r="H370" s="119" t="str">
        <f>IFERROR(__xludf.DUMMYFUNCTION("""COMPUTED_VALUE"""),"AAPL")</f>
        <v>AAPL</v>
      </c>
      <c r="I370" s="30" t="str">
        <f>IFERROR(__xludf.DUMMYFUNCTION("""COMPUTED_VALUE"""),"40 shares")</f>
        <v>40 shares</v>
      </c>
      <c r="J370" s="30" t="str">
        <f>IFERROR(__xludf.DUMMYFUNCTION("""COMPUTED_VALUE"""),"156.5 USD")</f>
        <v>156.5 USD</v>
      </c>
      <c r="K370" s="30" t="str">
        <f>IFERROR(__xludf.DUMMYFUNCTION("""COMPUTED_VALUE"""),"Non-number input in Quantity or Limit Price")</f>
        <v>Non-number input in Quantity or Limit Price</v>
      </c>
      <c r="L370" s="30" t="str">
        <f>IFERROR(__xludf.DUMMYFUNCTION("""COMPUTED_VALUE"""),"Order rejected due to non numeric symbol in quantity and limit price. Just put in numbers will be sufficient.")</f>
        <v>Order rejected due to non numeric symbol in quantity and limit price. Just put in numbers will be sufficient.</v>
      </c>
    </row>
    <row r="371">
      <c r="A371" s="5"/>
      <c r="B371" s="118">
        <f>IFERROR(__xludf.DUMMYFUNCTION("""COMPUTED_VALUE"""),44628.99662810186)</f>
        <v>44628.99663</v>
      </c>
      <c r="C371" s="120">
        <f>IFERROR(__xludf.DUMMYFUNCTION("""COMPUTED_VALUE"""),44628.666666666664)</f>
        <v>44628.66667</v>
      </c>
      <c r="D371" s="5" t="str">
        <f>IFERROR(__xludf.DUMMYFUNCTION("""COMPUTED_VALUE"""),"89750")</f>
        <v>89750</v>
      </c>
      <c r="E371" s="5" t="str">
        <f>IFERROR(__xludf.DUMMYFUNCTION("""COMPUTED_VALUE"""),"Option")</f>
        <v>Option</v>
      </c>
      <c r="F371" s="5" t="str">
        <f>IFERROR(__xludf.DUMMYFUNCTION("""COMPUTED_VALUE"""),"USD")</f>
        <v>USD</v>
      </c>
      <c r="G371" s="30" t="str">
        <f>IFERROR(__xludf.DUMMYFUNCTION("""COMPUTED_VALUE"""),"Email Account/ TraderID Recognized")</f>
        <v>Email Account/ TraderID Recognized</v>
      </c>
      <c r="H371" s="119" t="str">
        <f>IFERROR(__xludf.DUMMYFUNCTION("""COMPUTED_VALUE"""),"NU220318C00005000")</f>
        <v>NU220318C00005000</v>
      </c>
      <c r="I371" s="30">
        <f>IFERROR(__xludf.DUMMYFUNCTION("""COMPUTED_VALUE"""),100.0)</f>
        <v>100</v>
      </c>
      <c r="J371" s="30">
        <f>IFERROR(__xludf.DUMMYFUNCTION("""COMPUTED_VALUE"""),1.85)</f>
        <v>1.85</v>
      </c>
      <c r="K371" s="30" t="str">
        <f>IFERROR(__xludf.DUMMYFUNCTION("""COMPUTED_VALUE"""),"QTY, Limit Price (if any) &amp; Password input correct")</f>
        <v>QTY, Limit Price (if any) &amp; Password input correct</v>
      </c>
      <c r="L371" s="30"/>
    </row>
    <row r="372">
      <c r="A372" s="5"/>
      <c r="B372" s="118">
        <f>IFERROR(__xludf.DUMMYFUNCTION("""COMPUTED_VALUE"""),44629.01065181713)</f>
        <v>44629.01065</v>
      </c>
      <c r="C372" s="120">
        <f>IFERROR(__xludf.DUMMYFUNCTION("""COMPUTED_VALUE"""),44628.666666666664)</f>
        <v>44628.66667</v>
      </c>
      <c r="D372" s="5" t="str">
        <f>IFERROR(__xludf.DUMMYFUNCTION("""COMPUTED_VALUE"""),"79521")</f>
        <v>79521</v>
      </c>
      <c r="E372" s="5" t="str">
        <f>IFERROR(__xludf.DUMMYFUNCTION("""COMPUTED_VALUE"""),"Stock")</f>
        <v>Stock</v>
      </c>
      <c r="F372" s="5" t="str">
        <f>IFERROR(__xludf.DUMMYFUNCTION("""COMPUTED_VALUE"""),"USD")</f>
        <v>USD</v>
      </c>
      <c r="G372" s="30" t="str">
        <f>IFERROR(__xludf.DUMMYFUNCTION("""COMPUTED_VALUE"""),"Email Account/ TraderID Recognized")</f>
        <v>Email Account/ TraderID Recognized</v>
      </c>
      <c r="H372" s="119" t="str">
        <f>IFERROR(__xludf.DUMMYFUNCTION("""COMPUTED_VALUE"""),"AAPL")</f>
        <v>AAPL</v>
      </c>
      <c r="I372" s="30">
        <f>IFERROR(__xludf.DUMMYFUNCTION("""COMPUTED_VALUE"""),290.0)</f>
        <v>290</v>
      </c>
      <c r="J372" s="30">
        <f>IFERROR(__xludf.DUMMYFUNCTION("""COMPUTED_VALUE"""),158.0)</f>
        <v>158</v>
      </c>
      <c r="K372" s="30" t="str">
        <f>IFERROR(__xludf.DUMMYFUNCTION("""COMPUTED_VALUE"""),"QTY, Limit Price (if any) &amp; Password input correct")</f>
        <v>QTY, Limit Price (if any) &amp; Password input correct</v>
      </c>
      <c r="L372" s="30"/>
    </row>
    <row r="373">
      <c r="A373" s="5"/>
      <c r="B373" s="118">
        <f>IFERROR(__xludf.DUMMYFUNCTION("""COMPUTED_VALUE"""),44629.04917396991)</f>
        <v>44629.04917</v>
      </c>
      <c r="C373" s="120" t="str">
        <f>IFERROR(__xludf.DUMMYFUNCTION("""COMPUTED_VALUE"""),"")</f>
        <v/>
      </c>
      <c r="D373" s="5" t="str">
        <f>IFERROR(__xludf.DUMMYFUNCTION("""COMPUTED_VALUE"""),"")</f>
        <v/>
      </c>
      <c r="E373" s="5" t="str">
        <f>IFERROR(__xludf.DUMMYFUNCTION("""COMPUTED_VALUE"""),"Stock")</f>
        <v>Stock</v>
      </c>
      <c r="F373" s="5" t="str">
        <f>IFERROR(__xludf.DUMMYFUNCTION("""COMPUTED_VALUE"""),"error")</f>
        <v>error</v>
      </c>
      <c r="G373" s="30" t="str">
        <f>IFERROR(__xludf.DUMMYFUNCTION("""COMPUTED_VALUE"""),"s124xxxxxx@nonHKMUemail")</f>
        <v>s124xxxxxx@nonHKMUemail</v>
      </c>
      <c r="H373" s="121" t="str">
        <f>IFERROR(__xludf.DUMMYFUNCTION("""COMPUTED_VALUE"""),"9988.hk")</f>
        <v>9988.hk</v>
      </c>
      <c r="I373" s="30">
        <f>IFERROR(__xludf.DUMMYFUNCTION("""COMPUTED_VALUE"""),300.0)</f>
        <v>300</v>
      </c>
      <c r="J373" s="30"/>
      <c r="K373" s="30" t="str">
        <f>IFERROR(__xludf.DUMMYFUNCTION("""COMPUTED_VALUE"""),"QTY, Limit Price (if any) &amp; Password input correct")</f>
        <v>QTY, Limit Price (if any) &amp; Password input correct</v>
      </c>
      <c r="L373" s="30" t="str">
        <f>IFERROR(__xludf.DUMMYFUNCTION("""COMPUTED_VALUE"""),"Order rejected due to non school email address. Only accept @hkmu.edu.hk")</f>
        <v>Order rejected due to non school email address. Only accept @hkmu.edu.hk</v>
      </c>
    </row>
    <row r="374">
      <c r="A374" s="5"/>
      <c r="B374" s="118">
        <f>IFERROR(__xludf.DUMMYFUNCTION("""COMPUTED_VALUE"""),44629.05526980324)</f>
        <v>44629.05527</v>
      </c>
      <c r="C374" s="120">
        <f>IFERROR(__xludf.DUMMYFUNCTION("""COMPUTED_VALUE"""),44628.666666666664)</f>
        <v>44628.66667</v>
      </c>
      <c r="D374" s="5" t="str">
        <f>IFERROR(__xludf.DUMMYFUNCTION("""COMPUTED_VALUE"""),"46322")</f>
        <v>46322</v>
      </c>
      <c r="E374" s="5" t="str">
        <f>IFERROR(__xludf.DUMMYFUNCTION("""COMPUTED_VALUE"""),"Stock")</f>
        <v>Stock</v>
      </c>
      <c r="F374" s="5" t="str">
        <f>IFERROR(__xludf.DUMMYFUNCTION("""COMPUTED_VALUE"""),"USD")</f>
        <v>USD</v>
      </c>
      <c r="G374" s="30" t="str">
        <f>IFERROR(__xludf.DUMMYFUNCTION("""COMPUTED_VALUE"""),"Email Account/ TraderID Recognized")</f>
        <v>Email Account/ TraderID Recognized</v>
      </c>
      <c r="H374" s="119" t="str">
        <f>IFERROR(__xludf.DUMMYFUNCTION("""COMPUTED_VALUE"""),"NET")</f>
        <v>NET</v>
      </c>
      <c r="I374" s="30">
        <f>IFERROR(__xludf.DUMMYFUNCTION("""COMPUTED_VALUE"""),200.0)</f>
        <v>200</v>
      </c>
      <c r="J374" s="30"/>
      <c r="K374" s="30" t="str">
        <f>IFERROR(__xludf.DUMMYFUNCTION("""COMPUTED_VALUE"""),"QTY, Limit Price (if any) &amp; Password input correct")</f>
        <v>QTY, Limit Price (if any) &amp; Password input correct</v>
      </c>
      <c r="L374" s="30"/>
    </row>
    <row r="375">
      <c r="A375" s="5"/>
      <c r="B375" s="118">
        <f>IFERROR(__xludf.DUMMYFUNCTION("""COMPUTED_VALUE"""),44629.05744359954)</f>
        <v>44629.05744</v>
      </c>
      <c r="C375" s="120">
        <f>IFERROR(__xludf.DUMMYFUNCTION("""COMPUTED_VALUE"""),44628.666666666664)</f>
        <v>44628.66667</v>
      </c>
      <c r="D375" s="5" t="str">
        <f>IFERROR(__xludf.DUMMYFUNCTION("""COMPUTED_VALUE"""),"46322")</f>
        <v>46322</v>
      </c>
      <c r="E375" s="5" t="str">
        <f>IFERROR(__xludf.DUMMYFUNCTION("""COMPUTED_VALUE"""),"Stock")</f>
        <v>Stock</v>
      </c>
      <c r="F375" s="5" t="str">
        <f>IFERROR(__xludf.DUMMYFUNCTION("""COMPUTED_VALUE"""),"USD")</f>
        <v>USD</v>
      </c>
      <c r="G375" s="30" t="str">
        <f>IFERROR(__xludf.DUMMYFUNCTION("""COMPUTED_VALUE"""),"Email Account/ TraderID Recognized")</f>
        <v>Email Account/ TraderID Recognized</v>
      </c>
      <c r="H375" s="121" t="str">
        <f>IFERROR(__xludf.DUMMYFUNCTION("""COMPUTED_VALUE"""),"9988.HK")</f>
        <v>9988.HK</v>
      </c>
      <c r="I375" s="30">
        <f>IFERROR(__xludf.DUMMYFUNCTION("""COMPUTED_VALUE"""),300.0)</f>
        <v>300</v>
      </c>
      <c r="J375" s="30"/>
      <c r="K375" s="30" t="str">
        <f>IFERROR(__xludf.DUMMYFUNCTION("""COMPUTED_VALUE"""),"QTY, Limit Price (if any) &amp; Password input correct")</f>
        <v>QTY, Limit Price (if any) &amp; Password input correct</v>
      </c>
      <c r="L375" s="30"/>
    </row>
    <row r="376">
      <c r="A376" s="5"/>
      <c r="B376" s="118">
        <f>IFERROR(__xludf.DUMMYFUNCTION("""COMPUTED_VALUE"""),44629.424573020835)</f>
        <v>44629.42457</v>
      </c>
      <c r="C376" s="120">
        <f>IFERROR(__xludf.DUMMYFUNCTION("""COMPUTED_VALUE"""),44629.666666666664)</f>
        <v>44629.66667</v>
      </c>
      <c r="D376" s="5" t="str">
        <f>IFERROR(__xludf.DUMMYFUNCTION("""COMPUTED_VALUE"""),"38209")</f>
        <v>38209</v>
      </c>
      <c r="E376" s="5" t="str">
        <f>IFERROR(__xludf.DUMMYFUNCTION("""COMPUTED_VALUE"""),"Stock")</f>
        <v>Stock</v>
      </c>
      <c r="F376" s="5" t="str">
        <f>IFERROR(__xludf.DUMMYFUNCTION("""COMPUTED_VALUE"""),"HKD")</f>
        <v>HKD</v>
      </c>
      <c r="G376" s="30" t="str">
        <f>IFERROR(__xludf.DUMMYFUNCTION("""COMPUTED_VALUE"""),"Email Account/ TraderID Recognized")</f>
        <v>Email Account/ TraderID Recognized</v>
      </c>
      <c r="H376" s="121" t="str">
        <f>IFERROR(__xludf.DUMMYFUNCTION("""COMPUTED_VALUE"""),"6680.HK")</f>
        <v>6680.HK</v>
      </c>
      <c r="I376" s="30">
        <f>IFERROR(__xludf.DUMMYFUNCTION("""COMPUTED_VALUE"""),1000.0)</f>
        <v>1000</v>
      </c>
      <c r="J376" s="30">
        <f>IFERROR(__xludf.DUMMYFUNCTION("""COMPUTED_VALUE"""),26.65)</f>
        <v>26.65</v>
      </c>
      <c r="K376" s="30" t="str">
        <f>IFERROR(__xludf.DUMMYFUNCTION("""COMPUTED_VALUE"""),"QTY, Limit Price (if any) &amp; Password input correct")</f>
        <v>QTY, Limit Price (if any) &amp; Password input correct</v>
      </c>
      <c r="L376" s="30"/>
    </row>
    <row r="377">
      <c r="A377" s="5"/>
      <c r="B377" s="118">
        <f>IFERROR(__xludf.DUMMYFUNCTION("""COMPUTED_VALUE"""),44629.42616665509)</f>
        <v>44629.42617</v>
      </c>
      <c r="C377" s="120">
        <f>IFERROR(__xludf.DUMMYFUNCTION("""COMPUTED_VALUE"""),44629.666666666664)</f>
        <v>44629.66667</v>
      </c>
      <c r="D377" s="5" t="str">
        <f>IFERROR(__xludf.DUMMYFUNCTION("""COMPUTED_VALUE"""),"38209")</f>
        <v>38209</v>
      </c>
      <c r="E377" s="5" t="str">
        <f>IFERROR(__xludf.DUMMYFUNCTION("""COMPUTED_VALUE"""),"Stock")</f>
        <v>Stock</v>
      </c>
      <c r="F377" s="5" t="str">
        <f>IFERROR(__xludf.DUMMYFUNCTION("""COMPUTED_VALUE"""),"HKD")</f>
        <v>HKD</v>
      </c>
      <c r="G377" s="30" t="str">
        <f>IFERROR(__xludf.DUMMYFUNCTION("""COMPUTED_VALUE"""),"Email Account/ TraderID Recognized")</f>
        <v>Email Account/ TraderID Recognized</v>
      </c>
      <c r="H377" s="121" t="str">
        <f>IFERROR(__xludf.DUMMYFUNCTION("""COMPUTED_VALUE"""),"9988.HK")</f>
        <v>9988.HK</v>
      </c>
      <c r="I377" s="30">
        <f>IFERROR(__xludf.DUMMYFUNCTION("""COMPUTED_VALUE"""),300.0)</f>
        <v>300</v>
      </c>
      <c r="J377" s="30">
        <f>IFERROR(__xludf.DUMMYFUNCTION("""COMPUTED_VALUE"""),96.5)</f>
        <v>96.5</v>
      </c>
      <c r="K377" s="30" t="str">
        <f>IFERROR(__xludf.DUMMYFUNCTION("""COMPUTED_VALUE"""),"QTY, Limit Price (if any) &amp; Password input correct")</f>
        <v>QTY, Limit Price (if any) &amp; Password input correct</v>
      </c>
      <c r="L377" s="30"/>
    </row>
    <row r="378">
      <c r="A378" s="5"/>
      <c r="B378" s="118">
        <f>IFERROR(__xludf.DUMMYFUNCTION("""COMPUTED_VALUE"""),44629.4270666088)</f>
        <v>44629.42707</v>
      </c>
      <c r="C378" s="120">
        <f>IFERROR(__xludf.DUMMYFUNCTION("""COMPUTED_VALUE"""),44629.666666666664)</f>
        <v>44629.66667</v>
      </c>
      <c r="D378" s="5" t="str">
        <f>IFERROR(__xludf.DUMMYFUNCTION("""COMPUTED_VALUE"""),"38209")</f>
        <v>38209</v>
      </c>
      <c r="E378" s="5" t="str">
        <f>IFERROR(__xludf.DUMMYFUNCTION("""COMPUTED_VALUE"""),"Stock")</f>
        <v>Stock</v>
      </c>
      <c r="F378" s="5" t="str">
        <f>IFERROR(__xludf.DUMMYFUNCTION("""COMPUTED_VALUE"""),"HKD")</f>
        <v>HKD</v>
      </c>
      <c r="G378" s="30" t="str">
        <f>IFERROR(__xludf.DUMMYFUNCTION("""COMPUTED_VALUE"""),"Email Account/ TraderID Recognized")</f>
        <v>Email Account/ TraderID Recognized</v>
      </c>
      <c r="H378" s="121" t="str">
        <f>IFERROR(__xludf.DUMMYFUNCTION("""COMPUTED_VALUE"""),"1024.HK")</f>
        <v>1024.HK</v>
      </c>
      <c r="I378" s="30">
        <f>IFERROR(__xludf.DUMMYFUNCTION("""COMPUTED_VALUE"""),400.0)</f>
        <v>400</v>
      </c>
      <c r="J378" s="30">
        <f>IFERROR(__xludf.DUMMYFUNCTION("""COMPUTED_VALUE"""),73.2)</f>
        <v>73.2</v>
      </c>
      <c r="K378" s="30" t="str">
        <f>IFERROR(__xludf.DUMMYFUNCTION("""COMPUTED_VALUE"""),"QTY, Limit Price (if any) &amp; Password input correct")</f>
        <v>QTY, Limit Price (if any) &amp; Password input correct</v>
      </c>
      <c r="L378" s="30"/>
    </row>
    <row r="379">
      <c r="A379" s="5"/>
      <c r="B379" s="118">
        <f>IFERROR(__xludf.DUMMYFUNCTION("""COMPUTED_VALUE"""),44629.42781596065)</f>
        <v>44629.42782</v>
      </c>
      <c r="C379" s="120">
        <f>IFERROR(__xludf.DUMMYFUNCTION("""COMPUTED_VALUE"""),44629.666666666664)</f>
        <v>44629.66667</v>
      </c>
      <c r="D379" s="5" t="str">
        <f>IFERROR(__xludf.DUMMYFUNCTION("""COMPUTED_VALUE"""),"38209")</f>
        <v>38209</v>
      </c>
      <c r="E379" s="5" t="str">
        <f>IFERROR(__xludf.DUMMYFUNCTION("""COMPUTED_VALUE"""),"Stock")</f>
        <v>Stock</v>
      </c>
      <c r="F379" s="5" t="str">
        <f>IFERROR(__xludf.DUMMYFUNCTION("""COMPUTED_VALUE"""),"HKD")</f>
        <v>HKD</v>
      </c>
      <c r="G379" s="30" t="str">
        <f>IFERROR(__xludf.DUMMYFUNCTION("""COMPUTED_VALUE"""),"Email Account/ TraderID Recognized")</f>
        <v>Email Account/ TraderID Recognized</v>
      </c>
      <c r="H379" s="121" t="str">
        <f>IFERROR(__xludf.DUMMYFUNCTION("""COMPUTED_VALUE"""),"1810.HK")</f>
        <v>1810.HK</v>
      </c>
      <c r="I379" s="30">
        <f>IFERROR(__xludf.DUMMYFUNCTION("""COMPUTED_VALUE"""),2000.0)</f>
        <v>2000</v>
      </c>
      <c r="J379" s="30">
        <f>IFERROR(__xludf.DUMMYFUNCTION("""COMPUTED_VALUE"""),13.12)</f>
        <v>13.12</v>
      </c>
      <c r="K379" s="30" t="str">
        <f>IFERROR(__xludf.DUMMYFUNCTION("""COMPUTED_VALUE"""),"QTY, Limit Price (if any) &amp; Password input correct")</f>
        <v>QTY, Limit Price (if any) &amp; Password input correct</v>
      </c>
      <c r="L379" s="30"/>
    </row>
    <row r="380">
      <c r="A380" s="5"/>
      <c r="B380" s="118">
        <f>IFERROR(__xludf.DUMMYFUNCTION("""COMPUTED_VALUE"""),44629.47492623843)</f>
        <v>44629.47493</v>
      </c>
      <c r="C380" s="120">
        <f>IFERROR(__xludf.DUMMYFUNCTION("""COMPUTED_VALUE"""),44629.666666666664)</f>
        <v>44629.66667</v>
      </c>
      <c r="D380" s="5" t="str">
        <f>IFERROR(__xludf.DUMMYFUNCTION("""COMPUTED_VALUE"""),"69930")</f>
        <v>69930</v>
      </c>
      <c r="E380" s="5" t="str">
        <f>IFERROR(__xludf.DUMMYFUNCTION("""COMPUTED_VALUE"""),"Stock")</f>
        <v>Stock</v>
      </c>
      <c r="F380" s="5" t="str">
        <f>IFERROR(__xludf.DUMMYFUNCTION("""COMPUTED_VALUE"""),"HKD")</f>
        <v>HKD</v>
      </c>
      <c r="G380" s="30" t="str">
        <f>IFERROR(__xludf.DUMMYFUNCTION("""COMPUTED_VALUE"""),"Email Account/ TraderID Recognized")</f>
        <v>Email Account/ TraderID Recognized</v>
      </c>
      <c r="H380" s="121" t="str">
        <f>IFERROR(__xludf.DUMMYFUNCTION("""COMPUTED_VALUE"""),"2318.HK")</f>
        <v>2318.HK</v>
      </c>
      <c r="I380" s="30">
        <f>IFERROR(__xludf.DUMMYFUNCTION("""COMPUTED_VALUE"""),50.0)</f>
        <v>50</v>
      </c>
      <c r="J380" s="30">
        <f>IFERROR(__xludf.DUMMYFUNCTION("""COMPUTED_VALUE"""),53.0)</f>
        <v>53</v>
      </c>
      <c r="K380" s="30" t="str">
        <f>IFERROR(__xludf.DUMMYFUNCTION("""COMPUTED_VALUE"""),"QTY, Limit Price (if any) &amp; Password input correct")</f>
        <v>QTY, Limit Price (if any) &amp; Password input correct</v>
      </c>
      <c r="L380" s="30"/>
    </row>
    <row r="381">
      <c r="A381" s="5"/>
      <c r="B381" s="118">
        <f>IFERROR(__xludf.DUMMYFUNCTION("""COMPUTED_VALUE"""),44629.85988042824)</f>
        <v>44629.85988</v>
      </c>
      <c r="C381" s="120">
        <f>IFERROR(__xludf.DUMMYFUNCTION("""COMPUTED_VALUE"""),44629.666666666664)</f>
        <v>44629.66667</v>
      </c>
      <c r="D381" s="5" t="str">
        <f>IFERROR(__xludf.DUMMYFUNCTION("""COMPUTED_VALUE"""),"39608")</f>
        <v>39608</v>
      </c>
      <c r="E381" s="5" t="str">
        <f>IFERROR(__xludf.DUMMYFUNCTION("""COMPUTED_VALUE"""),"Stock")</f>
        <v>Stock</v>
      </c>
      <c r="F381" s="5" t="str">
        <f>IFERROR(__xludf.DUMMYFUNCTION("""COMPUTED_VALUE"""),"USD")</f>
        <v>USD</v>
      </c>
      <c r="G381" s="30" t="str">
        <f>IFERROR(__xludf.DUMMYFUNCTION("""COMPUTED_VALUE"""),"Email Account/ TraderID Recognized")</f>
        <v>Email Account/ TraderID Recognized</v>
      </c>
      <c r="H381" s="119" t="str">
        <f>IFERROR(__xludf.DUMMYFUNCTION("""COMPUTED_VALUE"""),"ANPDY")</f>
        <v>ANPDY</v>
      </c>
      <c r="I381" s="30">
        <f>IFERROR(__xludf.DUMMYFUNCTION("""COMPUTED_VALUE"""),30.0)</f>
        <v>30</v>
      </c>
      <c r="J381" s="30"/>
      <c r="K381" s="30" t="str">
        <f>IFERROR(__xludf.DUMMYFUNCTION("""COMPUTED_VALUE"""),"QTY, Limit Price (if any) &amp; Password input correct")</f>
        <v>QTY, Limit Price (if any) &amp; Password input correct</v>
      </c>
      <c r="L381" s="30"/>
    </row>
    <row r="382">
      <c r="A382" s="5"/>
      <c r="B382" s="118">
        <f>IFERROR(__xludf.DUMMYFUNCTION("""COMPUTED_VALUE"""),44629.86694548611)</f>
        <v>44629.86695</v>
      </c>
      <c r="C382" s="120">
        <f>IFERROR(__xludf.DUMMYFUNCTION("""COMPUTED_VALUE"""),44629.666666666664)</f>
        <v>44629.66667</v>
      </c>
      <c r="D382" s="5" t="str">
        <f>IFERROR(__xludf.DUMMYFUNCTION("""COMPUTED_VALUE"""),"32312")</f>
        <v>32312</v>
      </c>
      <c r="E382" s="5" t="str">
        <f>IFERROR(__xludf.DUMMYFUNCTION("""COMPUTED_VALUE"""),"Stock")</f>
        <v>Stock</v>
      </c>
      <c r="F382" s="5" t="str">
        <f>IFERROR(__xludf.DUMMYFUNCTION("""COMPUTED_VALUE"""),"USD")</f>
        <v>USD</v>
      </c>
      <c r="G382" s="30" t="str">
        <f>IFERROR(__xludf.DUMMYFUNCTION("""COMPUTED_VALUE"""),"Email Account/ TraderID Recognized")</f>
        <v>Email Account/ TraderID Recognized</v>
      </c>
      <c r="H382" s="119" t="str">
        <f>IFERROR(__xludf.DUMMYFUNCTION("""COMPUTED_VALUE"""),"ANPDY")</f>
        <v>ANPDY</v>
      </c>
      <c r="I382" s="30">
        <f>IFERROR(__xludf.DUMMYFUNCTION("""COMPUTED_VALUE"""),30.0)</f>
        <v>30</v>
      </c>
      <c r="J382" s="30"/>
      <c r="K382" s="30" t="str">
        <f>IFERROR(__xludf.DUMMYFUNCTION("""COMPUTED_VALUE"""),"QTY, Limit Price (if any) &amp; Password input correct")</f>
        <v>QTY, Limit Price (if any) &amp; Password input correct</v>
      </c>
      <c r="L382" s="30"/>
    </row>
    <row r="383">
      <c r="A383" s="5"/>
      <c r="B383" s="118">
        <f>IFERROR(__xludf.DUMMYFUNCTION("""COMPUTED_VALUE"""),44629.87057304398)</f>
        <v>44629.87057</v>
      </c>
      <c r="C383" s="120">
        <f>IFERROR(__xludf.DUMMYFUNCTION("""COMPUTED_VALUE"""),44629.666666666664)</f>
        <v>44629.66667</v>
      </c>
      <c r="D383" s="5" t="str">
        <f>IFERROR(__xludf.DUMMYFUNCTION("""COMPUTED_VALUE"""),"37400")</f>
        <v>37400</v>
      </c>
      <c r="E383" s="5" t="str">
        <f>IFERROR(__xludf.DUMMYFUNCTION("""COMPUTED_VALUE"""),"Stock")</f>
        <v>Stock</v>
      </c>
      <c r="F383" s="5" t="str">
        <f>IFERROR(__xludf.DUMMYFUNCTION("""COMPUTED_VALUE"""),"USD")</f>
        <v>USD</v>
      </c>
      <c r="G383" s="30" t="str">
        <f>IFERROR(__xludf.DUMMYFUNCTION("""COMPUTED_VALUE"""),"Email Account/ TraderID Recognized")</f>
        <v>Email Account/ TraderID Recognized</v>
      </c>
      <c r="H383" s="119" t="str">
        <f>IFERROR(__xludf.DUMMYFUNCTION("""COMPUTED_VALUE"""),"ANPDY")</f>
        <v>ANPDY</v>
      </c>
      <c r="I383" s="30">
        <f>IFERROR(__xludf.DUMMYFUNCTION("""COMPUTED_VALUE"""),30.0)</f>
        <v>30</v>
      </c>
      <c r="J383" s="30"/>
      <c r="K383" s="30" t="str">
        <f>IFERROR(__xludf.DUMMYFUNCTION("""COMPUTED_VALUE"""),"QTY, Limit Price (if any) &amp; Password input correct")</f>
        <v>QTY, Limit Price (if any) &amp; Password input correct</v>
      </c>
      <c r="L383" s="30"/>
    </row>
    <row r="384">
      <c r="A384" s="5"/>
      <c r="B384" s="118">
        <f>IFERROR(__xludf.DUMMYFUNCTION("""COMPUTED_VALUE"""),44629.96348733796)</f>
        <v>44629.96349</v>
      </c>
      <c r="C384" s="120">
        <f>IFERROR(__xludf.DUMMYFUNCTION("""COMPUTED_VALUE"""),44629.666666666664)</f>
        <v>44629.66667</v>
      </c>
      <c r="D384" s="5" t="str">
        <f>IFERROR(__xludf.DUMMYFUNCTION("""COMPUTED_VALUE"""),"40318")</f>
        <v>40318</v>
      </c>
      <c r="E384" s="5" t="str">
        <f>IFERROR(__xludf.DUMMYFUNCTION("""COMPUTED_VALUE"""),"Stock")</f>
        <v>Stock</v>
      </c>
      <c r="F384" s="5" t="str">
        <f>IFERROR(__xludf.DUMMYFUNCTION("""COMPUTED_VALUE"""),"USD")</f>
        <v>USD</v>
      </c>
      <c r="G384" s="30" t="str">
        <f>IFERROR(__xludf.DUMMYFUNCTION("""COMPUTED_VALUE"""),"Email Account/ TraderID Recognized")</f>
        <v>Email Account/ TraderID Recognized</v>
      </c>
      <c r="H384" s="119" t="str">
        <f>IFERROR(__xludf.DUMMYFUNCTION("""COMPUTED_VALUE"""),"AAPL")</f>
        <v>AAPL</v>
      </c>
      <c r="I384" s="30">
        <f>IFERROR(__xludf.DUMMYFUNCTION("""COMPUTED_VALUE"""),80.0)</f>
        <v>80</v>
      </c>
      <c r="J384" s="30">
        <f>IFERROR(__xludf.DUMMYFUNCTION("""COMPUTED_VALUE"""),165.0)</f>
        <v>165</v>
      </c>
      <c r="K384" s="30" t="str">
        <f>IFERROR(__xludf.DUMMYFUNCTION("""COMPUTED_VALUE"""),"QTY, Limit Price (if any) &amp; Password input correct")</f>
        <v>QTY, Limit Price (if any) &amp; Password input correct</v>
      </c>
      <c r="L384" s="30"/>
    </row>
    <row r="385">
      <c r="A385" s="5"/>
      <c r="B385" s="118">
        <f>IFERROR(__xludf.DUMMYFUNCTION("""COMPUTED_VALUE"""),44629.96514075232)</f>
        <v>44629.96514</v>
      </c>
      <c r="C385" s="120">
        <f>IFERROR(__xludf.DUMMYFUNCTION("""COMPUTED_VALUE"""),44629.666666666664)</f>
        <v>44629.66667</v>
      </c>
      <c r="D385" s="5" t="str">
        <f>IFERROR(__xludf.DUMMYFUNCTION("""COMPUTED_VALUE"""),"40318")</f>
        <v>40318</v>
      </c>
      <c r="E385" s="5" t="str">
        <f>IFERROR(__xludf.DUMMYFUNCTION("""COMPUTED_VALUE"""),"Stock")</f>
        <v>Stock</v>
      </c>
      <c r="F385" s="5" t="str">
        <f>IFERROR(__xludf.DUMMYFUNCTION("""COMPUTED_VALUE"""),"USD")</f>
        <v>USD</v>
      </c>
      <c r="G385" s="30" t="str">
        <f>IFERROR(__xludf.DUMMYFUNCTION("""COMPUTED_VALUE"""),"Email Account/ TraderID Recognized")</f>
        <v>Email Account/ TraderID Recognized</v>
      </c>
      <c r="H385" s="119" t="str">
        <f>IFERROR(__xludf.DUMMYFUNCTION("""COMPUTED_VALUE"""),"LMT")</f>
        <v>LMT</v>
      </c>
      <c r="I385" s="30">
        <f>IFERROR(__xludf.DUMMYFUNCTION("""COMPUTED_VALUE"""),20.0)</f>
        <v>20</v>
      </c>
      <c r="J385" s="30">
        <f>IFERROR(__xludf.DUMMYFUNCTION("""COMPUTED_VALUE"""),455.0)</f>
        <v>455</v>
      </c>
      <c r="K385" s="30" t="str">
        <f>IFERROR(__xludf.DUMMYFUNCTION("""COMPUTED_VALUE"""),"QTY, Limit Price (if any) &amp; Password input correct")</f>
        <v>QTY, Limit Price (if any) &amp; Password input correct</v>
      </c>
      <c r="L385" s="30"/>
    </row>
    <row r="386">
      <c r="A386" s="5"/>
      <c r="B386" s="118">
        <f>IFERROR(__xludf.DUMMYFUNCTION("""COMPUTED_VALUE"""),44629.96654309028)</f>
        <v>44629.96654</v>
      </c>
      <c r="C386" s="120">
        <f>IFERROR(__xludf.DUMMYFUNCTION("""COMPUTED_VALUE"""),44629.666666666664)</f>
        <v>44629.66667</v>
      </c>
      <c r="D386" s="5" t="str">
        <f>IFERROR(__xludf.DUMMYFUNCTION("""COMPUTED_VALUE"""),"40318")</f>
        <v>40318</v>
      </c>
      <c r="E386" s="5" t="str">
        <f>IFERROR(__xludf.DUMMYFUNCTION("""COMPUTED_VALUE"""),"Stock")</f>
        <v>Stock</v>
      </c>
      <c r="F386" s="5" t="str">
        <f>IFERROR(__xludf.DUMMYFUNCTION("""COMPUTED_VALUE"""),"USD")</f>
        <v>USD</v>
      </c>
      <c r="G386" s="30" t="str">
        <f>IFERROR(__xludf.DUMMYFUNCTION("""COMPUTED_VALUE"""),"Email Account/ TraderID Recognized")</f>
        <v>Email Account/ TraderID Recognized</v>
      </c>
      <c r="H386" s="119" t="str">
        <f>IFERROR(__xludf.DUMMYFUNCTION("""COMPUTED_VALUE"""),"ABNB")</f>
        <v>ABNB</v>
      </c>
      <c r="I386" s="30">
        <f>IFERROR(__xludf.DUMMYFUNCTION("""COMPUTED_VALUE"""),60.0)</f>
        <v>60</v>
      </c>
      <c r="J386" s="30">
        <f>IFERROR(__xludf.DUMMYFUNCTION("""COMPUTED_VALUE"""),158.0)</f>
        <v>158</v>
      </c>
      <c r="K386" s="30" t="str">
        <f>IFERROR(__xludf.DUMMYFUNCTION("""COMPUTED_VALUE"""),"QTY, Limit Price (if any) &amp; Password input correct")</f>
        <v>QTY, Limit Price (if any) &amp; Password input correct</v>
      </c>
      <c r="L386" s="30"/>
    </row>
    <row r="387">
      <c r="A387" s="5"/>
      <c r="B387" s="118">
        <f>IFERROR(__xludf.DUMMYFUNCTION("""COMPUTED_VALUE"""),44630.403162002316)</f>
        <v>44630.40316</v>
      </c>
      <c r="C387" s="120">
        <f>IFERROR(__xludf.DUMMYFUNCTION("""COMPUTED_VALUE"""),44630.666666666664)</f>
        <v>44630.66667</v>
      </c>
      <c r="D387" s="5" t="str">
        <f>IFERROR(__xludf.DUMMYFUNCTION("""COMPUTED_VALUE"""),"38209")</f>
        <v>38209</v>
      </c>
      <c r="E387" s="5" t="str">
        <f>IFERROR(__xludf.DUMMYFUNCTION("""COMPUTED_VALUE"""),"Stock")</f>
        <v>Stock</v>
      </c>
      <c r="F387" s="5" t="str">
        <f>IFERROR(__xludf.DUMMYFUNCTION("""COMPUTED_VALUE"""),"HKD")</f>
        <v>HKD</v>
      </c>
      <c r="G387" s="30" t="str">
        <f>IFERROR(__xludf.DUMMYFUNCTION("""COMPUTED_VALUE"""),"Email Account/ TraderID Recognized")</f>
        <v>Email Account/ TraderID Recognized</v>
      </c>
      <c r="H387" s="121" t="str">
        <f>IFERROR(__xludf.DUMMYFUNCTION("""COMPUTED_VALUE"""),"1024.HK")</f>
        <v>1024.HK</v>
      </c>
      <c r="I387" s="30">
        <f>IFERROR(__xludf.DUMMYFUNCTION("""COMPUTED_VALUE"""),800.0)</f>
        <v>800</v>
      </c>
      <c r="J387" s="30">
        <f>IFERROR(__xludf.DUMMYFUNCTION("""COMPUTED_VALUE"""),76.2)</f>
        <v>76.2</v>
      </c>
      <c r="K387" s="30" t="str">
        <f>IFERROR(__xludf.DUMMYFUNCTION("""COMPUTED_VALUE"""),"QTY, Limit Price (if any) &amp; Password input correct")</f>
        <v>QTY, Limit Price (if any) &amp; Password input correct</v>
      </c>
      <c r="L387" s="30"/>
    </row>
    <row r="388">
      <c r="A388" s="5"/>
      <c r="B388" s="118">
        <f>IFERROR(__xludf.DUMMYFUNCTION("""COMPUTED_VALUE"""),44630.42426636574)</f>
        <v>44630.42427</v>
      </c>
      <c r="C388" s="120">
        <f>IFERROR(__xludf.DUMMYFUNCTION("""COMPUTED_VALUE"""),44630.666666666664)</f>
        <v>44630.66667</v>
      </c>
      <c r="D388" s="5" t="str">
        <f>IFERROR(__xludf.DUMMYFUNCTION("""COMPUTED_VALUE"""),"38209")</f>
        <v>38209</v>
      </c>
      <c r="E388" s="5" t="str">
        <f>IFERROR(__xludf.DUMMYFUNCTION("""COMPUTED_VALUE"""),"Stock")</f>
        <v>Stock</v>
      </c>
      <c r="F388" s="5" t="str">
        <f>IFERROR(__xludf.DUMMYFUNCTION("""COMPUTED_VALUE"""),"HKD")</f>
        <v>HKD</v>
      </c>
      <c r="G388" s="30" t="str">
        <f>IFERROR(__xludf.DUMMYFUNCTION("""COMPUTED_VALUE"""),"Email Account/ TraderID Recognized")</f>
        <v>Email Account/ TraderID Recognized</v>
      </c>
      <c r="H388" s="121" t="str">
        <f>IFERROR(__xludf.DUMMYFUNCTION("""COMPUTED_VALUE"""),"1024.HK")</f>
        <v>1024.HK</v>
      </c>
      <c r="I388" s="30">
        <f>IFERROR(__xludf.DUMMYFUNCTION("""COMPUTED_VALUE"""),1600.0)</f>
        <v>1600</v>
      </c>
      <c r="J388" s="30">
        <f>IFERROR(__xludf.DUMMYFUNCTION("""COMPUTED_VALUE"""),77.0)</f>
        <v>77</v>
      </c>
      <c r="K388" s="30" t="str">
        <f>IFERROR(__xludf.DUMMYFUNCTION("""COMPUTED_VALUE"""),"QTY, Limit Price (if any) &amp; Password input correct")</f>
        <v>QTY, Limit Price (if any) &amp; Password input correct</v>
      </c>
      <c r="L388" s="30"/>
    </row>
    <row r="389">
      <c r="A389" s="5"/>
      <c r="B389" s="118">
        <f>IFERROR(__xludf.DUMMYFUNCTION("""COMPUTED_VALUE"""),44630.42533947917)</f>
        <v>44630.42534</v>
      </c>
      <c r="C389" s="120">
        <f>IFERROR(__xludf.DUMMYFUNCTION("""COMPUTED_VALUE"""),44630.666666666664)</f>
        <v>44630.66667</v>
      </c>
      <c r="D389" s="5" t="str">
        <f>IFERROR(__xludf.DUMMYFUNCTION("""COMPUTED_VALUE"""),"38209")</f>
        <v>38209</v>
      </c>
      <c r="E389" s="5" t="str">
        <f>IFERROR(__xludf.DUMMYFUNCTION("""COMPUTED_VALUE"""),"Stock")</f>
        <v>Stock</v>
      </c>
      <c r="F389" s="5" t="str">
        <f>IFERROR(__xludf.DUMMYFUNCTION("""COMPUTED_VALUE"""),"HKD")</f>
        <v>HKD</v>
      </c>
      <c r="G389" s="30" t="str">
        <f>IFERROR(__xludf.DUMMYFUNCTION("""COMPUTED_VALUE"""),"Email Account/ TraderID Recognized")</f>
        <v>Email Account/ TraderID Recognized</v>
      </c>
      <c r="H389" s="121" t="str">
        <f>IFERROR(__xludf.DUMMYFUNCTION("""COMPUTED_VALUE"""),"1024.HK")</f>
        <v>1024.HK</v>
      </c>
      <c r="I389" s="30">
        <f>IFERROR(__xludf.DUMMYFUNCTION("""COMPUTED_VALUE"""),1600.0)</f>
        <v>1600</v>
      </c>
      <c r="J389" s="30">
        <f>IFERROR(__xludf.DUMMYFUNCTION("""COMPUTED_VALUE"""),76.2)</f>
        <v>76.2</v>
      </c>
      <c r="K389" s="30" t="str">
        <f>IFERROR(__xludf.DUMMYFUNCTION("""COMPUTED_VALUE"""),"QTY, Limit Price (if any) &amp; Password input correct")</f>
        <v>QTY, Limit Price (if any) &amp; Password input correct</v>
      </c>
      <c r="L389" s="30"/>
    </row>
    <row r="390">
      <c r="A390" s="5"/>
      <c r="B390" s="118">
        <f>IFERROR(__xludf.DUMMYFUNCTION("""COMPUTED_VALUE"""),44630.42748290509)</f>
        <v>44630.42748</v>
      </c>
      <c r="C390" s="120">
        <f>IFERROR(__xludf.DUMMYFUNCTION("""COMPUTED_VALUE"""),44630.666666666664)</f>
        <v>44630.66667</v>
      </c>
      <c r="D390" s="5" t="str">
        <f>IFERROR(__xludf.DUMMYFUNCTION("""COMPUTED_VALUE"""),"38209")</f>
        <v>38209</v>
      </c>
      <c r="E390" s="5" t="str">
        <f>IFERROR(__xludf.DUMMYFUNCTION("""COMPUTED_VALUE"""),"Stock")</f>
        <v>Stock</v>
      </c>
      <c r="F390" s="5" t="str">
        <f>IFERROR(__xludf.DUMMYFUNCTION("""COMPUTED_VALUE"""),"HKD")</f>
        <v>HKD</v>
      </c>
      <c r="G390" s="30" t="str">
        <f>IFERROR(__xludf.DUMMYFUNCTION("""COMPUTED_VALUE"""),"Email Account/ TraderID Recognized")</f>
        <v>Email Account/ TraderID Recognized</v>
      </c>
      <c r="H390" s="121" t="str">
        <f>IFERROR(__xludf.DUMMYFUNCTION("""COMPUTED_VALUE"""),"1024.HK")</f>
        <v>1024.HK</v>
      </c>
      <c r="I390" s="30">
        <f>IFERROR(__xludf.DUMMYFUNCTION("""COMPUTED_VALUE"""),1600.0)</f>
        <v>1600</v>
      </c>
      <c r="J390" s="30">
        <f>IFERROR(__xludf.DUMMYFUNCTION("""COMPUTED_VALUE"""),75.9)</f>
        <v>75.9</v>
      </c>
      <c r="K390" s="30" t="str">
        <f>IFERROR(__xludf.DUMMYFUNCTION("""COMPUTED_VALUE"""),"QTY, Limit Price (if any) &amp; Password input correct")</f>
        <v>QTY, Limit Price (if any) &amp; Password input correct</v>
      </c>
      <c r="L390" s="30"/>
    </row>
    <row r="391">
      <c r="A391" s="5"/>
      <c r="B391" s="118">
        <f>IFERROR(__xludf.DUMMYFUNCTION("""COMPUTED_VALUE"""),44630.43690609954)</f>
        <v>44630.43691</v>
      </c>
      <c r="C391" s="120">
        <f>IFERROR(__xludf.DUMMYFUNCTION("""COMPUTED_VALUE"""),44630.666666666664)</f>
        <v>44630.66667</v>
      </c>
      <c r="D391" s="5" t="str">
        <f>IFERROR(__xludf.DUMMYFUNCTION("""COMPUTED_VALUE"""),"38209")</f>
        <v>38209</v>
      </c>
      <c r="E391" s="5" t="str">
        <f>IFERROR(__xludf.DUMMYFUNCTION("""COMPUTED_VALUE"""),"Stock")</f>
        <v>Stock</v>
      </c>
      <c r="F391" s="5" t="str">
        <f>IFERROR(__xludf.DUMMYFUNCTION("""COMPUTED_VALUE"""),"HKD")</f>
        <v>HKD</v>
      </c>
      <c r="G391" s="30" t="str">
        <f>IFERROR(__xludf.DUMMYFUNCTION("""COMPUTED_VALUE"""),"Email Account/ TraderID Recognized")</f>
        <v>Email Account/ TraderID Recognized</v>
      </c>
      <c r="H391" s="121" t="str">
        <f>IFERROR(__xludf.DUMMYFUNCTION("""COMPUTED_VALUE"""),"9988.HK")</f>
        <v>9988.HK</v>
      </c>
      <c r="I391" s="30">
        <f>IFERROR(__xludf.DUMMYFUNCTION("""COMPUTED_VALUE"""),600.0)</f>
        <v>600</v>
      </c>
      <c r="J391" s="30">
        <f>IFERROR(__xludf.DUMMYFUNCTION("""COMPUTED_VALUE"""),98.0)</f>
        <v>98</v>
      </c>
      <c r="K391" s="30" t="str">
        <f>IFERROR(__xludf.DUMMYFUNCTION("""COMPUTED_VALUE"""),"QTY, Limit Price (if any) &amp; Password input correct")</f>
        <v>QTY, Limit Price (if any) &amp; Password input correct</v>
      </c>
      <c r="L391" s="30"/>
    </row>
    <row r="392">
      <c r="A392" s="5"/>
      <c r="B392" s="118">
        <f>IFERROR(__xludf.DUMMYFUNCTION("""COMPUTED_VALUE"""),44630.44658809028)</f>
        <v>44630.44659</v>
      </c>
      <c r="C392" s="120">
        <f>IFERROR(__xludf.DUMMYFUNCTION("""COMPUTED_VALUE"""),44630.666666666664)</f>
        <v>44630.66667</v>
      </c>
      <c r="D392" s="5" t="str">
        <f>IFERROR(__xludf.DUMMYFUNCTION("""COMPUTED_VALUE"""),"38209")</f>
        <v>38209</v>
      </c>
      <c r="E392" s="5" t="str">
        <f>IFERROR(__xludf.DUMMYFUNCTION("""COMPUTED_VALUE"""),"Stock")</f>
        <v>Stock</v>
      </c>
      <c r="F392" s="5" t="str">
        <f>IFERROR(__xludf.DUMMYFUNCTION("""COMPUTED_VALUE"""),"HKD")</f>
        <v>HKD</v>
      </c>
      <c r="G392" s="30" t="str">
        <f>IFERROR(__xludf.DUMMYFUNCTION("""COMPUTED_VALUE"""),"Email Account/ TraderID Recognized")</f>
        <v>Email Account/ TraderID Recognized</v>
      </c>
      <c r="H392" s="121" t="str">
        <f>IFERROR(__xludf.DUMMYFUNCTION("""COMPUTED_VALUE"""),"6680.HK")</f>
        <v>6680.HK</v>
      </c>
      <c r="I392" s="30">
        <f>IFERROR(__xludf.DUMMYFUNCTION("""COMPUTED_VALUE"""),1000.0)</f>
        <v>1000</v>
      </c>
      <c r="J392" s="30">
        <f>IFERROR(__xludf.DUMMYFUNCTION("""COMPUTED_VALUE"""),27.2)</f>
        <v>27.2</v>
      </c>
      <c r="K392" s="30" t="str">
        <f>IFERROR(__xludf.DUMMYFUNCTION("""COMPUTED_VALUE"""),"QTY, Limit Price (if any) &amp; Password input correct")</f>
        <v>QTY, Limit Price (if any) &amp; Password input correct</v>
      </c>
      <c r="L392" s="30"/>
    </row>
    <row r="393">
      <c r="A393" s="5"/>
      <c r="B393" s="118">
        <f>IFERROR(__xludf.DUMMYFUNCTION("""COMPUTED_VALUE"""),44630.4598187963)</f>
        <v>44630.45982</v>
      </c>
      <c r="C393" s="120" t="str">
        <f>IFERROR(__xludf.DUMMYFUNCTION("""COMPUTED_VALUE"""),"")</f>
        <v/>
      </c>
      <c r="D393" s="5" t="str">
        <f>IFERROR(__xludf.DUMMYFUNCTION("""COMPUTED_VALUE"""),"")</f>
        <v/>
      </c>
      <c r="E393" s="5" t="str">
        <f>IFERROR(__xludf.DUMMYFUNCTION("""COMPUTED_VALUE"""),"Stock")</f>
        <v>Stock</v>
      </c>
      <c r="F393" s="5" t="str">
        <f>IFERROR(__xludf.DUMMYFUNCTION("""COMPUTED_VALUE"""),"error")</f>
        <v>error</v>
      </c>
      <c r="G393" s="30" t="str">
        <f>IFERROR(__xludf.DUMMYFUNCTION("""COMPUTED_VALUE"""),"jiaxxxxxxx@nonHKMUemail")</f>
        <v>jiaxxxxxxx@nonHKMUemail</v>
      </c>
      <c r="H393" s="121" t="str">
        <f>IFERROR(__xludf.DUMMYFUNCTION("""COMPUTED_VALUE"""),"1024.hk")</f>
        <v>1024.hk</v>
      </c>
      <c r="I393" s="30">
        <f>IFERROR(__xludf.DUMMYFUNCTION("""COMPUTED_VALUE"""),200.0)</f>
        <v>200</v>
      </c>
      <c r="J393" s="30">
        <f>IFERROR(__xludf.DUMMYFUNCTION("""COMPUTED_VALUE"""),76.1)</f>
        <v>76.1</v>
      </c>
      <c r="K393" s="30" t="str">
        <f>IFERROR(__xludf.DUMMYFUNCTION("""COMPUTED_VALUE"""),"QTY, Limit Price (if any) &amp; Password input correct")</f>
        <v>QTY, Limit Price (if any) &amp; Password input correct</v>
      </c>
      <c r="L393" s="30" t="str">
        <f>IFERROR(__xludf.DUMMYFUNCTION("""COMPUTED_VALUE"""),"Order rejected due to non school email address. Only accept @hkmu.edu.hk")</f>
        <v>Order rejected due to non school email address. Only accept @hkmu.edu.hk</v>
      </c>
    </row>
    <row r="394">
      <c r="A394" s="5"/>
      <c r="B394" s="118">
        <f>IFERROR(__xludf.DUMMYFUNCTION("""COMPUTED_VALUE"""),44630.47313436343)</f>
        <v>44630.47313</v>
      </c>
      <c r="C394" s="120" t="str">
        <f>IFERROR(__xludf.DUMMYFUNCTION("""COMPUTED_VALUE"""),"")</f>
        <v/>
      </c>
      <c r="D394" s="5" t="str">
        <f>IFERROR(__xludf.DUMMYFUNCTION("""COMPUTED_VALUE"""),"")</f>
        <v/>
      </c>
      <c r="E394" s="5" t="str">
        <f>IFERROR(__xludf.DUMMYFUNCTION("""COMPUTED_VALUE"""),"Stock")</f>
        <v>Stock</v>
      </c>
      <c r="F394" s="5" t="str">
        <f>IFERROR(__xludf.DUMMYFUNCTION("""COMPUTED_VALUE"""),"error")</f>
        <v>error</v>
      </c>
      <c r="G394" s="30" t="str">
        <f>IFERROR(__xludf.DUMMYFUNCTION("""COMPUTED_VALUE"""),"jiaxxxxxxx@nonHKMUemail")</f>
        <v>jiaxxxxxxx@nonHKMUemail</v>
      </c>
      <c r="H394" s="121" t="str">
        <f>IFERROR(__xludf.DUMMYFUNCTION("""COMPUTED_VALUE"""),"9988.HK")</f>
        <v>9988.HK</v>
      </c>
      <c r="I394" s="30">
        <f>IFERROR(__xludf.DUMMYFUNCTION("""COMPUTED_VALUE"""),200.0)</f>
        <v>200</v>
      </c>
      <c r="J394" s="30">
        <f>IFERROR(__xludf.DUMMYFUNCTION("""COMPUTED_VALUE"""),97.5)</f>
        <v>97.5</v>
      </c>
      <c r="K394" s="30" t="str">
        <f>IFERROR(__xludf.DUMMYFUNCTION("""COMPUTED_VALUE"""),"QTY, Limit Price (if any) &amp; Password input correct")</f>
        <v>QTY, Limit Price (if any) &amp; Password input correct</v>
      </c>
      <c r="L394" s="30" t="str">
        <f>IFERROR(__xludf.DUMMYFUNCTION("""COMPUTED_VALUE"""),"Order rejected due to non school email address. Only accept @hkmu.edu.hk")</f>
        <v>Order rejected due to non school email address. Only accept @hkmu.edu.hk</v>
      </c>
    </row>
    <row r="395">
      <c r="A395" s="5"/>
      <c r="B395" s="118">
        <f>IFERROR(__xludf.DUMMYFUNCTION("""COMPUTED_VALUE"""),44630.47816961806)</f>
        <v>44630.47817</v>
      </c>
      <c r="C395" s="120" t="str">
        <f>IFERROR(__xludf.DUMMYFUNCTION("""COMPUTED_VALUE"""),"")</f>
        <v/>
      </c>
      <c r="D395" s="5" t="str">
        <f>IFERROR(__xludf.DUMMYFUNCTION("""COMPUTED_VALUE"""),"")</f>
        <v/>
      </c>
      <c r="E395" s="5" t="str">
        <f>IFERROR(__xludf.DUMMYFUNCTION("""COMPUTED_VALUE"""),"Stock")</f>
        <v>Stock</v>
      </c>
      <c r="F395" s="5" t="str">
        <f>IFERROR(__xludf.DUMMYFUNCTION("""COMPUTED_VALUE"""),"error")</f>
        <v>error</v>
      </c>
      <c r="G395" s="30" t="str">
        <f>IFERROR(__xludf.DUMMYFUNCTION("""COMPUTED_VALUE"""),"jiaxxxxxxx@nonHKMUemail")</f>
        <v>jiaxxxxxxx@nonHKMUemail</v>
      </c>
      <c r="H395" s="121" t="str">
        <f>IFERROR(__xludf.DUMMYFUNCTION("""COMPUTED_VALUE"""),"1024.HK")</f>
        <v>1024.HK</v>
      </c>
      <c r="I395" s="30">
        <f>IFERROR(__xludf.DUMMYFUNCTION("""COMPUTED_VALUE"""),1800.0)</f>
        <v>1800</v>
      </c>
      <c r="J395" s="30">
        <f>IFERROR(__xludf.DUMMYFUNCTION("""COMPUTED_VALUE"""),76.0)</f>
        <v>76</v>
      </c>
      <c r="K395" s="30" t="str">
        <f>IFERROR(__xludf.DUMMYFUNCTION("""COMPUTED_VALUE"""),"QTY, Limit Price (if any) &amp; Password input correct")</f>
        <v>QTY, Limit Price (if any) &amp; Password input correct</v>
      </c>
      <c r="L395" s="30" t="str">
        <f>IFERROR(__xludf.DUMMYFUNCTION("""COMPUTED_VALUE"""),"Order rejected due to non school email address. Only accept @hkmu.edu.hk")</f>
        <v>Order rejected due to non school email address. Only accept @hkmu.edu.hk</v>
      </c>
    </row>
    <row r="396">
      <c r="A396" s="5"/>
      <c r="B396" s="118">
        <f>IFERROR(__xludf.DUMMYFUNCTION("""COMPUTED_VALUE"""),44630.47890693287)</f>
        <v>44630.47891</v>
      </c>
      <c r="C396" s="120" t="str">
        <f>IFERROR(__xludf.DUMMYFUNCTION("""COMPUTED_VALUE"""),"")</f>
        <v/>
      </c>
      <c r="D396" s="5" t="str">
        <f>IFERROR(__xludf.DUMMYFUNCTION("""COMPUTED_VALUE"""),"")</f>
        <v/>
      </c>
      <c r="E396" s="5" t="str">
        <f>IFERROR(__xludf.DUMMYFUNCTION("""COMPUTED_VALUE"""),"Stock")</f>
        <v>Stock</v>
      </c>
      <c r="F396" s="5" t="str">
        <f>IFERROR(__xludf.DUMMYFUNCTION("""COMPUTED_VALUE"""),"error")</f>
        <v>error</v>
      </c>
      <c r="G396" s="30" t="str">
        <f>IFERROR(__xludf.DUMMYFUNCTION("""COMPUTED_VALUE"""),"jiaxxxxxxx@nonHKMUemail")</f>
        <v>jiaxxxxxxx@nonHKMUemail</v>
      </c>
      <c r="H396" s="121" t="str">
        <f>IFERROR(__xludf.DUMMYFUNCTION("""COMPUTED_VALUE"""),"9988.HK")</f>
        <v>9988.HK</v>
      </c>
      <c r="I396" s="30">
        <f>IFERROR(__xludf.DUMMYFUNCTION("""COMPUTED_VALUE"""),1800.0)</f>
        <v>1800</v>
      </c>
      <c r="J396" s="30">
        <f>IFERROR(__xludf.DUMMYFUNCTION("""COMPUTED_VALUE"""),96.8)</f>
        <v>96.8</v>
      </c>
      <c r="K396" s="30" t="str">
        <f>IFERROR(__xludf.DUMMYFUNCTION("""COMPUTED_VALUE"""),"QTY, Limit Price (if any) &amp; Password input correct")</f>
        <v>QTY, Limit Price (if any) &amp; Password input correct</v>
      </c>
      <c r="L396" s="30" t="str">
        <f>IFERROR(__xludf.DUMMYFUNCTION("""COMPUTED_VALUE"""),"Order rejected due to non school email address. Only accept @hkmu.edu.hk")</f>
        <v>Order rejected due to non school email address. Only accept @hkmu.edu.hk</v>
      </c>
    </row>
    <row r="397">
      <c r="A397" s="5"/>
      <c r="B397" s="118">
        <f>IFERROR(__xludf.DUMMYFUNCTION("""COMPUTED_VALUE"""),44630.483446875005)</f>
        <v>44630.48345</v>
      </c>
      <c r="C397" s="120">
        <f>IFERROR(__xludf.DUMMYFUNCTION("""COMPUTED_VALUE"""),44630.666666666664)</f>
        <v>44630.66667</v>
      </c>
      <c r="D397" s="5" t="str">
        <f>IFERROR(__xludf.DUMMYFUNCTION("""COMPUTED_VALUE"""),"75288")</f>
        <v>75288</v>
      </c>
      <c r="E397" s="5" t="str">
        <f>IFERROR(__xludf.DUMMYFUNCTION("""COMPUTED_VALUE"""),"Stock")</f>
        <v>Stock</v>
      </c>
      <c r="F397" s="5" t="str">
        <f>IFERROR(__xludf.DUMMYFUNCTION("""COMPUTED_VALUE"""),"HKD")</f>
        <v>HKD</v>
      </c>
      <c r="G397" s="30" t="str">
        <f>IFERROR(__xludf.DUMMYFUNCTION("""COMPUTED_VALUE"""),"Email Account/ TraderID Recognized")</f>
        <v>Email Account/ TraderID Recognized</v>
      </c>
      <c r="H397" s="121" t="str">
        <f>IFERROR(__xludf.DUMMYFUNCTION("""COMPUTED_VALUE"""),"3800.HK")</f>
        <v>3800.HK</v>
      </c>
      <c r="I397" s="30">
        <f>IFERROR(__xludf.DUMMYFUNCTION("""COMPUTED_VALUE"""),3473.0)</f>
        <v>3473</v>
      </c>
      <c r="J397" s="30">
        <f>IFERROR(__xludf.DUMMYFUNCTION("""COMPUTED_VALUE"""),3.0)</f>
        <v>3</v>
      </c>
      <c r="K397" s="30" t="str">
        <f>IFERROR(__xludf.DUMMYFUNCTION("""COMPUTED_VALUE"""),"QTY, Limit Price (if any) &amp; Password input correct")</f>
        <v>QTY, Limit Price (if any) &amp; Password input correct</v>
      </c>
      <c r="L397" s="30"/>
    </row>
    <row r="398">
      <c r="A398" s="5"/>
      <c r="B398" s="118">
        <f>IFERROR(__xludf.DUMMYFUNCTION("""COMPUTED_VALUE"""),44630.50436037037)</f>
        <v>44630.50436</v>
      </c>
      <c r="C398" s="120" t="str">
        <f>IFERROR(__xludf.DUMMYFUNCTION("""COMPUTED_VALUE"""),"")</f>
        <v/>
      </c>
      <c r="D398" s="5" t="str">
        <f>IFERROR(__xludf.DUMMYFUNCTION("""COMPUTED_VALUE"""),"38307")</f>
        <v>38307</v>
      </c>
      <c r="E398" s="5" t="str">
        <f>IFERROR(__xludf.DUMMYFUNCTION("""COMPUTED_VALUE"""),"Stock")</f>
        <v>Stock</v>
      </c>
      <c r="F398" s="5" t="str">
        <f>IFERROR(__xludf.DUMMYFUNCTION("""COMPUTED_VALUE"""),"error")</f>
        <v>error</v>
      </c>
      <c r="G398" s="30" t="str">
        <f>IFERROR(__xludf.DUMMYFUNCTION("""COMPUTED_VALUE"""),"Email Account/ TraderID Recognized")</f>
        <v>Email Account/ TraderID Recognized</v>
      </c>
      <c r="H398" s="119" t="str">
        <f>IFERROR(__xludf.DUMMYFUNCTION("""COMPUTED_VALUE"""),"300750")</f>
        <v>300750</v>
      </c>
      <c r="I398" s="30">
        <f>IFERROR(__xludf.DUMMYFUNCTION("""COMPUTED_VALUE"""),200.0)</f>
        <v>200</v>
      </c>
      <c r="J398" s="30" t="str">
        <f>IFERROR(__xludf.DUMMYFUNCTION("""COMPUTED_VALUE"""),"Limit buy @496.72- closing @485.31= executed price@485.31.if closing @505.55=no execution")</f>
        <v>Limit buy @496.72- closing @485.31= executed price@485.31.if closing @505.55=no execution</v>
      </c>
      <c r="K398" s="30" t="str">
        <f>IFERROR(__xludf.DUMMYFUNCTION("""COMPUTED_VALUE"""),"Non-number input in Quantity or Limit Price")</f>
        <v>Non-number input in Quantity or Limit Price</v>
      </c>
      <c r="L398" s="30" t="str">
        <f>IFERROR(__xludf.DUMMYFUNCTION("""COMPUTED_VALUE"""),"Order rejected due to non-numeric limit price, and wrong ticker code. Should be 300750.SZ ")</f>
        <v>Order rejected due to non-numeric limit price, and wrong ticker code. Should be 300750.SZ </v>
      </c>
    </row>
    <row r="399">
      <c r="A399" s="5"/>
      <c r="B399" s="118">
        <f>IFERROR(__xludf.DUMMYFUNCTION("""COMPUTED_VALUE"""),44630.509356469905)</f>
        <v>44630.50936</v>
      </c>
      <c r="C399" s="120" t="str">
        <f>IFERROR(__xludf.DUMMYFUNCTION("""COMPUTED_VALUE"""),"")</f>
        <v/>
      </c>
      <c r="D399" s="5" t="str">
        <f>IFERROR(__xludf.DUMMYFUNCTION("""COMPUTED_VALUE"""),"38307")</f>
        <v>38307</v>
      </c>
      <c r="E399" s="5" t="str">
        <f>IFERROR(__xludf.DUMMYFUNCTION("""COMPUTED_VALUE"""),"Option")</f>
        <v>Option</v>
      </c>
      <c r="F399" s="5" t="str">
        <f>IFERROR(__xludf.DUMMYFUNCTION("""COMPUTED_VALUE"""),"error")</f>
        <v>error</v>
      </c>
      <c r="G399" s="30" t="str">
        <f>IFERROR(__xludf.DUMMYFUNCTION("""COMPUTED_VALUE"""),"Email Account/ TraderID Recognized")</f>
        <v>Email Account/ TraderID Recognized</v>
      </c>
      <c r="H399" s="119" t="str">
        <f>IFERROR(__xludf.DUMMYFUNCTION("""COMPUTED_VALUE"""),"BRNOW")</f>
        <v>BRNOW</v>
      </c>
      <c r="I399" s="30">
        <f>IFERROR(__xludf.DUMMYFUNCTION("""COMPUTED_VALUE"""),200.0)</f>
        <v>200</v>
      </c>
      <c r="J399" s="30" t="str">
        <f>IFERROR(__xludf.DUMMYFUNCTION("""COMPUTED_VALUE"""),"Limit Buy @ 114.900- Closing @ 110.400= Executed price @ 110.400.if Closing @ 115.300= no execution")</f>
        <v>Limit Buy @ 114.900- Closing @ 110.400= Executed price @ 110.400.if Closing @ 115.300= no execution</v>
      </c>
      <c r="K399" s="30" t="str">
        <f>IFERROR(__xludf.DUMMYFUNCTION("""COMPUTED_VALUE"""),"Non-number input in Quantity or Limit Price")</f>
        <v>Non-number input in Quantity or Limit Price</v>
      </c>
      <c r="L399" s="30" t="str">
        <f>IFERROR(__xludf.DUMMYFUNCTION("""COMPUTED_VALUE"""),"Order rejected due to inconsistent asset class. Option or stock. BRNOW is not a stock nor a option ticker from Yahoo Finance database.")</f>
        <v>Order rejected due to inconsistent asset class. Option or stock. BRNOW is not a stock nor a option ticker from Yahoo Finance database.</v>
      </c>
    </row>
    <row r="400">
      <c r="A400" s="5"/>
      <c r="B400" s="118">
        <f>IFERROR(__xludf.DUMMYFUNCTION("""COMPUTED_VALUE"""),44630.516451006944)</f>
        <v>44630.51645</v>
      </c>
      <c r="C400" s="120">
        <f>IFERROR(__xludf.DUMMYFUNCTION("""COMPUTED_VALUE"""),44630.666666666664)</f>
        <v>44630.66667</v>
      </c>
      <c r="D400" s="5" t="str">
        <f>IFERROR(__xludf.DUMMYFUNCTION("""COMPUTED_VALUE"""),"82124")</f>
        <v>82124</v>
      </c>
      <c r="E400" s="5" t="str">
        <f>IFERROR(__xludf.DUMMYFUNCTION("""COMPUTED_VALUE"""),"Stock")</f>
        <v>Stock</v>
      </c>
      <c r="F400" s="5" t="str">
        <f>IFERROR(__xludf.DUMMYFUNCTION("""COMPUTED_VALUE"""),"HKD")</f>
        <v>HKD</v>
      </c>
      <c r="G400" s="30" t="str">
        <f>IFERROR(__xludf.DUMMYFUNCTION("""COMPUTED_VALUE"""),"Email Account/ TraderID Recognized")</f>
        <v>Email Account/ TraderID Recognized</v>
      </c>
      <c r="H400" s="121" t="str">
        <f>IFERROR(__xludf.DUMMYFUNCTION("""COMPUTED_VALUE"""),"0388.HK")</f>
        <v>0388.HK</v>
      </c>
      <c r="I400" s="30">
        <f>IFERROR(__xludf.DUMMYFUNCTION("""COMPUTED_VALUE"""),200.0)</f>
        <v>200</v>
      </c>
      <c r="J400" s="30"/>
      <c r="K400" s="30" t="str">
        <f>IFERROR(__xludf.DUMMYFUNCTION("""COMPUTED_VALUE"""),"QTY, Limit Price (if any) &amp; Password input correct")</f>
        <v>QTY, Limit Price (if any) &amp; Password input correct</v>
      </c>
      <c r="L400" s="30"/>
    </row>
    <row r="401">
      <c r="A401" s="5"/>
      <c r="B401" s="118">
        <f>IFERROR(__xludf.DUMMYFUNCTION("""COMPUTED_VALUE"""),44630.51712280093)</f>
        <v>44630.51712</v>
      </c>
      <c r="C401" s="120" t="str">
        <f>IFERROR(__xludf.DUMMYFUNCTION("""COMPUTED_VALUE"""),"")</f>
        <v/>
      </c>
      <c r="D401" s="5" t="str">
        <f>IFERROR(__xludf.DUMMYFUNCTION("""COMPUTED_VALUE"""),"38307")</f>
        <v>38307</v>
      </c>
      <c r="E401" s="5" t="str">
        <f>IFERROR(__xludf.DUMMYFUNCTION("""COMPUTED_VALUE"""),"Time Deposit")</f>
        <v>Time Deposit</v>
      </c>
      <c r="F401" s="5" t="str">
        <f>IFERROR(__xludf.DUMMYFUNCTION("""COMPUTED_VALUE"""),"error")</f>
        <v>error</v>
      </c>
      <c r="G401" s="30" t="str">
        <f>IFERROR(__xludf.DUMMYFUNCTION("""COMPUTED_VALUE"""),"Email Account/ TraderID Recognized")</f>
        <v>Email Account/ TraderID Recognized</v>
      </c>
      <c r="H401" s="119" t="str">
        <f>IFERROR(__xludf.DUMMYFUNCTION("""COMPUTED_VALUE"""),"004201")</f>
        <v>004201</v>
      </c>
      <c r="I401" s="30" t="str">
        <f>IFERROR(__xludf.DUMMYFUNCTION("""COMPUTED_VALUE"""),"0.25m=2.2400%(7day annual)")</f>
        <v>0.25m=2.2400%(7day annual)</v>
      </c>
      <c r="J401" s="30"/>
      <c r="K401" s="30" t="str">
        <f>IFERROR(__xludf.DUMMYFUNCTION("""COMPUTED_VALUE"""),"Non-number input in Quantity or Limit Price")</f>
        <v>Non-number input in Quantity or Limit Price</v>
      </c>
      <c r="L401" s="30" t="str">
        <f>IFERROR(__xludf.DUMMYFUNCTION("""COMPUTED_VALUE"""),"Order rejected due to invalid ticker code. For time deposite, ticker code accepted either 1m or 3m, and no limit price.")</f>
        <v>Order rejected due to invalid ticker code. For time deposite, ticker code accepted either 1m or 3m, and no limit price.</v>
      </c>
    </row>
    <row r="402">
      <c r="A402" s="5"/>
      <c r="B402" s="118">
        <f>IFERROR(__xludf.DUMMYFUNCTION("""COMPUTED_VALUE"""),44630.59047247685)</f>
        <v>44630.59047</v>
      </c>
      <c r="C402" s="120">
        <f>IFERROR(__xludf.DUMMYFUNCTION("""COMPUTED_VALUE"""),44630.666666666664)</f>
        <v>44630.66667</v>
      </c>
      <c r="D402" s="5" t="str">
        <f>IFERROR(__xludf.DUMMYFUNCTION("""COMPUTED_VALUE"""),"77936")</f>
        <v>77936</v>
      </c>
      <c r="E402" s="5" t="str">
        <f>IFERROR(__xludf.DUMMYFUNCTION("""COMPUTED_VALUE"""),"Stock")</f>
        <v>Stock</v>
      </c>
      <c r="F402" s="5" t="str">
        <f>IFERROR(__xludf.DUMMYFUNCTION("""COMPUTED_VALUE"""),"HKD")</f>
        <v>HKD</v>
      </c>
      <c r="G402" s="30" t="str">
        <f>IFERROR(__xludf.DUMMYFUNCTION("""COMPUTED_VALUE"""),"Email Account/ TraderID Recognized")</f>
        <v>Email Account/ TraderID Recognized</v>
      </c>
      <c r="H402" s="121" t="str">
        <f>IFERROR(__xludf.DUMMYFUNCTION("""COMPUTED_VALUE"""),"9988.HK")</f>
        <v>9988.HK</v>
      </c>
      <c r="I402" s="30">
        <f>IFERROR(__xludf.DUMMYFUNCTION("""COMPUTED_VALUE"""),200.0)</f>
        <v>200</v>
      </c>
      <c r="J402" s="30"/>
      <c r="K402" s="30" t="str">
        <f>IFERROR(__xludf.DUMMYFUNCTION("""COMPUTED_VALUE"""),"QTY, Limit Price (if any) &amp; Password input correct")</f>
        <v>QTY, Limit Price (if any) &amp; Password input correct</v>
      </c>
      <c r="L402" s="30"/>
    </row>
    <row r="403">
      <c r="A403" s="5"/>
      <c r="B403" s="118">
        <f>IFERROR(__xludf.DUMMYFUNCTION("""COMPUTED_VALUE"""),44630.595822372685)</f>
        <v>44630.59582</v>
      </c>
      <c r="C403" s="120">
        <f>IFERROR(__xludf.DUMMYFUNCTION("""COMPUTED_VALUE"""),44630.666666666664)</f>
        <v>44630.66667</v>
      </c>
      <c r="D403" s="5" t="str">
        <f>IFERROR(__xludf.DUMMYFUNCTION("""COMPUTED_VALUE"""),"77936")</f>
        <v>77936</v>
      </c>
      <c r="E403" s="5" t="str">
        <f>IFERROR(__xludf.DUMMYFUNCTION("""COMPUTED_VALUE"""),"Stock")</f>
        <v>Stock</v>
      </c>
      <c r="F403" s="5" t="str">
        <f>IFERROR(__xludf.DUMMYFUNCTION("""COMPUTED_VALUE"""),"HKD")</f>
        <v>HKD</v>
      </c>
      <c r="G403" s="30" t="str">
        <f>IFERROR(__xludf.DUMMYFUNCTION("""COMPUTED_VALUE"""),"Email Account/ TraderID Recognized")</f>
        <v>Email Account/ TraderID Recognized</v>
      </c>
      <c r="H403" s="121" t="str">
        <f>IFERROR(__xludf.DUMMYFUNCTION("""COMPUTED_VALUE"""),"9626.HK")</f>
        <v>9626.HK</v>
      </c>
      <c r="I403" s="30">
        <f>IFERROR(__xludf.DUMMYFUNCTION("""COMPUTED_VALUE"""),1000.0)</f>
        <v>1000</v>
      </c>
      <c r="J403" s="30"/>
      <c r="K403" s="30" t="str">
        <f>IFERROR(__xludf.DUMMYFUNCTION("""COMPUTED_VALUE"""),"QTY, Limit Price (if any) &amp; Password input correct")</f>
        <v>QTY, Limit Price (if any) &amp; Password input correct</v>
      </c>
      <c r="L403" s="30"/>
    </row>
    <row r="404">
      <c r="A404" s="5"/>
      <c r="B404" s="118">
        <f>IFERROR(__xludf.DUMMYFUNCTION("""COMPUTED_VALUE"""),44630.604775196756)</f>
        <v>44630.60478</v>
      </c>
      <c r="C404" s="120">
        <f>IFERROR(__xludf.DUMMYFUNCTION("""COMPUTED_VALUE"""),44630.666666666664)</f>
        <v>44630.66667</v>
      </c>
      <c r="D404" s="5" t="str">
        <f>IFERROR(__xludf.DUMMYFUNCTION("""COMPUTED_VALUE"""),"89750")</f>
        <v>89750</v>
      </c>
      <c r="E404" s="5" t="str">
        <f>IFERROR(__xludf.DUMMYFUNCTION("""COMPUTED_VALUE"""),"Stock")</f>
        <v>Stock</v>
      </c>
      <c r="F404" s="5" t="str">
        <f>IFERROR(__xludf.DUMMYFUNCTION("""COMPUTED_VALUE"""),"HKD")</f>
        <v>HKD</v>
      </c>
      <c r="G404" s="30" t="str">
        <f>IFERROR(__xludf.DUMMYFUNCTION("""COMPUTED_VALUE"""),"Email Account/ TraderID Recognized")</f>
        <v>Email Account/ TraderID Recognized</v>
      </c>
      <c r="H404" s="121" t="str">
        <f>IFERROR(__xludf.DUMMYFUNCTION("""COMPUTED_VALUE"""),"9988.HK")</f>
        <v>9988.HK</v>
      </c>
      <c r="I404" s="30">
        <f>IFERROR(__xludf.DUMMYFUNCTION("""COMPUTED_VALUE"""),1000.0)</f>
        <v>1000</v>
      </c>
      <c r="J404" s="30"/>
      <c r="K404" s="30" t="str">
        <f>IFERROR(__xludf.DUMMYFUNCTION("""COMPUTED_VALUE"""),"QTY, Limit Price (if any) &amp; Password input correct")</f>
        <v>QTY, Limit Price (if any) &amp; Password input correct</v>
      </c>
      <c r="L404" s="30"/>
    </row>
    <row r="405">
      <c r="A405" s="5"/>
      <c r="B405" s="118">
        <f>IFERROR(__xludf.DUMMYFUNCTION("""COMPUTED_VALUE"""),44630.61212506944)</f>
        <v>44630.61213</v>
      </c>
      <c r="C405" s="120">
        <f>IFERROR(__xludf.DUMMYFUNCTION("""COMPUTED_VALUE"""),44630.666666666664)</f>
        <v>44630.66667</v>
      </c>
      <c r="D405" s="5" t="str">
        <f>IFERROR(__xludf.DUMMYFUNCTION("""COMPUTED_VALUE"""),"76369")</f>
        <v>76369</v>
      </c>
      <c r="E405" s="5" t="str">
        <f>IFERROR(__xludf.DUMMYFUNCTION("""COMPUTED_VALUE"""),"Stock")</f>
        <v>Stock</v>
      </c>
      <c r="F405" s="5" t="str">
        <f>IFERROR(__xludf.DUMMYFUNCTION("""COMPUTED_VALUE"""),"HKD")</f>
        <v>HKD</v>
      </c>
      <c r="G405" s="30" t="str">
        <f>IFERROR(__xludf.DUMMYFUNCTION("""COMPUTED_VALUE"""),"Email Account/ TraderID Recognized")</f>
        <v>Email Account/ TraderID Recognized</v>
      </c>
      <c r="H405" s="121" t="str">
        <f>IFERROR(__xludf.DUMMYFUNCTION("""COMPUTED_VALUE"""),"603963.SS")</f>
        <v>603963.SS</v>
      </c>
      <c r="I405" s="30">
        <f>IFERROR(__xludf.DUMMYFUNCTION("""COMPUTED_VALUE"""),1000.0)</f>
        <v>1000</v>
      </c>
      <c r="J405" s="30"/>
      <c r="K405" s="30" t="str">
        <f>IFERROR(__xludf.DUMMYFUNCTION("""COMPUTED_VALUE"""),"QTY, Limit Price (if any) &amp; Password input correct")</f>
        <v>QTY, Limit Price (if any) &amp; Password input correct</v>
      </c>
      <c r="L405" s="30"/>
    </row>
    <row r="406">
      <c r="A406" s="5"/>
      <c r="B406" s="118">
        <f>IFERROR(__xludf.DUMMYFUNCTION("""COMPUTED_VALUE"""),44630.690440081016)</f>
        <v>44630.69044</v>
      </c>
      <c r="C406" s="120">
        <f>IFERROR(__xludf.DUMMYFUNCTION("""COMPUTED_VALUE"""),44630.666666666664)</f>
        <v>44630.66667</v>
      </c>
      <c r="D406" s="5" t="str">
        <f>IFERROR(__xludf.DUMMYFUNCTION("""COMPUTED_VALUE"""),"74356")</f>
        <v>74356</v>
      </c>
      <c r="E406" s="5" t="str">
        <f>IFERROR(__xludf.DUMMYFUNCTION("""COMPUTED_VALUE"""),"Stock")</f>
        <v>Stock</v>
      </c>
      <c r="F406" s="5" t="str">
        <f>IFERROR(__xludf.DUMMYFUNCTION("""COMPUTED_VALUE"""),"USD")</f>
        <v>USD</v>
      </c>
      <c r="G406" s="30" t="str">
        <f>IFERROR(__xludf.DUMMYFUNCTION("""COMPUTED_VALUE"""),"Email Account/ TraderID Recognized")</f>
        <v>Email Account/ TraderID Recognized</v>
      </c>
      <c r="H406" s="119" t="str">
        <f>IFERROR(__xludf.DUMMYFUNCTION("""COMPUTED_VALUE"""),"BRK-B")</f>
        <v>BRK-B</v>
      </c>
      <c r="I406" s="30">
        <f>IFERROR(__xludf.DUMMYFUNCTION("""COMPUTED_VALUE"""),40.0)</f>
        <v>40</v>
      </c>
      <c r="J406" s="30"/>
      <c r="K406" s="30" t="str">
        <f>IFERROR(__xludf.DUMMYFUNCTION("""COMPUTED_VALUE"""),"QTY, Limit Price (if any) &amp; Password input correct")</f>
        <v>QTY, Limit Price (if any) &amp; Password input correct</v>
      </c>
      <c r="L406" s="30"/>
    </row>
    <row r="407">
      <c r="A407" s="5"/>
      <c r="B407" s="118">
        <f>IFERROR(__xludf.DUMMYFUNCTION("""COMPUTED_VALUE"""),44630.6940171412)</f>
        <v>44630.69402</v>
      </c>
      <c r="C407" s="120">
        <f>IFERROR(__xludf.DUMMYFUNCTION("""COMPUTED_VALUE"""),44630.666666666664)</f>
        <v>44630.66667</v>
      </c>
      <c r="D407" s="5" t="str">
        <f>IFERROR(__xludf.DUMMYFUNCTION("""COMPUTED_VALUE"""),"76848")</f>
        <v>76848</v>
      </c>
      <c r="E407" s="5" t="str">
        <f>IFERROR(__xludf.DUMMYFUNCTION("""COMPUTED_VALUE"""),"Stock")</f>
        <v>Stock</v>
      </c>
      <c r="F407" s="5" t="str">
        <f>IFERROR(__xludf.DUMMYFUNCTION("""COMPUTED_VALUE"""),"USD")</f>
        <v>USD</v>
      </c>
      <c r="G407" s="30" t="str">
        <f>IFERROR(__xludf.DUMMYFUNCTION("""COMPUTED_VALUE"""),"Email Account/ TraderID Recognized")</f>
        <v>Email Account/ TraderID Recognized</v>
      </c>
      <c r="H407" s="119" t="str">
        <f>IFERROR(__xludf.DUMMYFUNCTION("""COMPUTED_VALUE"""),"BRK-B")</f>
        <v>BRK-B</v>
      </c>
      <c r="I407" s="30">
        <f>IFERROR(__xludf.DUMMYFUNCTION("""COMPUTED_VALUE"""),40.0)</f>
        <v>40</v>
      </c>
      <c r="J407" s="30"/>
      <c r="K407" s="30" t="str">
        <f>IFERROR(__xludf.DUMMYFUNCTION("""COMPUTED_VALUE"""),"QTY, Limit Price (if any) &amp; Password input correct")</f>
        <v>QTY, Limit Price (if any) &amp; Password input correct</v>
      </c>
      <c r="L407" s="30"/>
    </row>
    <row r="408">
      <c r="A408" s="5"/>
      <c r="B408" s="118">
        <f>IFERROR(__xludf.DUMMYFUNCTION("""COMPUTED_VALUE"""),44630.69697289352)</f>
        <v>44630.69697</v>
      </c>
      <c r="C408" s="120">
        <f>IFERROR(__xludf.DUMMYFUNCTION("""COMPUTED_VALUE"""),44630.666666666664)</f>
        <v>44630.66667</v>
      </c>
      <c r="D408" s="5" t="str">
        <f>IFERROR(__xludf.DUMMYFUNCTION("""COMPUTED_VALUE"""),"74356")</f>
        <v>74356</v>
      </c>
      <c r="E408" s="5" t="str">
        <f>IFERROR(__xludf.DUMMYFUNCTION("""COMPUTED_VALUE"""),"Stock")</f>
        <v>Stock</v>
      </c>
      <c r="F408" s="5" t="str">
        <f>IFERROR(__xludf.DUMMYFUNCTION("""COMPUTED_VALUE"""),"USD")</f>
        <v>USD</v>
      </c>
      <c r="G408" s="30" t="str">
        <f>IFERROR(__xludf.DUMMYFUNCTION("""COMPUTED_VALUE"""),"Email Account/ TraderID Recognized")</f>
        <v>Email Account/ TraderID Recognized</v>
      </c>
      <c r="H408" s="119" t="str">
        <f>IFERROR(__xludf.DUMMYFUNCTION("""COMPUTED_VALUE"""),"CL=F")</f>
        <v>CL=F</v>
      </c>
      <c r="I408" s="30">
        <f>IFERROR(__xludf.DUMMYFUNCTION("""COMPUTED_VALUE"""),100.0)</f>
        <v>100</v>
      </c>
      <c r="J408" s="30"/>
      <c r="K408" s="30" t="str">
        <f>IFERROR(__xludf.DUMMYFUNCTION("""COMPUTED_VALUE"""),"QTY, Limit Price (if any) &amp; Password input correct")</f>
        <v>QTY, Limit Price (if any) &amp; Password input correct</v>
      </c>
      <c r="L408" s="30"/>
    </row>
    <row r="409">
      <c r="A409" s="5"/>
      <c r="B409" s="118">
        <f>IFERROR(__xludf.DUMMYFUNCTION("""COMPUTED_VALUE"""),44630.69804913194)</f>
        <v>44630.69805</v>
      </c>
      <c r="C409" s="120">
        <f>IFERROR(__xludf.DUMMYFUNCTION("""COMPUTED_VALUE"""),44630.666666666664)</f>
        <v>44630.66667</v>
      </c>
      <c r="D409" s="5" t="str">
        <f>IFERROR(__xludf.DUMMYFUNCTION("""COMPUTED_VALUE"""),"76848")</f>
        <v>76848</v>
      </c>
      <c r="E409" s="5" t="str">
        <f>IFERROR(__xludf.DUMMYFUNCTION("""COMPUTED_VALUE"""),"Stock")</f>
        <v>Stock</v>
      </c>
      <c r="F409" s="5" t="str">
        <f>IFERROR(__xludf.DUMMYFUNCTION("""COMPUTED_VALUE"""),"USD")</f>
        <v>USD</v>
      </c>
      <c r="G409" s="30" t="str">
        <f>IFERROR(__xludf.DUMMYFUNCTION("""COMPUTED_VALUE"""),"Email Account/ TraderID Recognized")</f>
        <v>Email Account/ TraderID Recognized</v>
      </c>
      <c r="H409" s="119" t="str">
        <f>IFERROR(__xludf.DUMMYFUNCTION("""COMPUTED_VALUE"""),"CL=F")</f>
        <v>CL=F</v>
      </c>
      <c r="I409" s="30">
        <f>IFERROR(__xludf.DUMMYFUNCTION("""COMPUTED_VALUE"""),100.0)</f>
        <v>100</v>
      </c>
      <c r="J409" s="30"/>
      <c r="K409" s="30" t="str">
        <f>IFERROR(__xludf.DUMMYFUNCTION("""COMPUTED_VALUE"""),"QTY, Limit Price (if any) &amp; Password input correct")</f>
        <v>QTY, Limit Price (if any) &amp; Password input correct</v>
      </c>
      <c r="L409" s="30"/>
    </row>
    <row r="410">
      <c r="A410" s="5"/>
      <c r="B410" s="118">
        <f>IFERROR(__xludf.DUMMYFUNCTION("""COMPUTED_VALUE"""),44630.73687209491)</f>
        <v>44630.73687</v>
      </c>
      <c r="C410" s="120">
        <f>IFERROR(__xludf.DUMMYFUNCTION("""COMPUTED_VALUE"""),44630.666666666664)</f>
        <v>44630.66667</v>
      </c>
      <c r="D410" s="5" t="str">
        <f>IFERROR(__xludf.DUMMYFUNCTION("""COMPUTED_VALUE"""),"76848")</f>
        <v>76848</v>
      </c>
      <c r="E410" s="5" t="str">
        <f>IFERROR(__xludf.DUMMYFUNCTION("""COMPUTED_VALUE"""),"Stock")</f>
        <v>Stock</v>
      </c>
      <c r="F410" s="5" t="str">
        <f>IFERROR(__xludf.DUMMYFUNCTION("""COMPUTED_VALUE"""),"USD")</f>
        <v>USD</v>
      </c>
      <c r="G410" s="30" t="str">
        <f>IFERROR(__xludf.DUMMYFUNCTION("""COMPUTED_VALUE"""),"Email Account/ TraderID Recognized")</f>
        <v>Email Account/ TraderID Recognized</v>
      </c>
      <c r="H410" s="119" t="str">
        <f>IFERROR(__xludf.DUMMYFUNCTION("""COMPUTED_VALUE"""),"AAPL")</f>
        <v>AAPL</v>
      </c>
      <c r="I410" s="30">
        <f>IFERROR(__xludf.DUMMYFUNCTION("""COMPUTED_VALUE"""),20.0)</f>
        <v>20</v>
      </c>
      <c r="J410" s="30"/>
      <c r="K410" s="30" t="str">
        <f>IFERROR(__xludf.DUMMYFUNCTION("""COMPUTED_VALUE"""),"QTY, Limit Price (if any) &amp; Password input correct")</f>
        <v>QTY, Limit Price (if any) &amp; Password input correct</v>
      </c>
      <c r="L410" s="30"/>
    </row>
    <row r="411">
      <c r="A411" s="5"/>
      <c r="B411" s="118">
        <f>IFERROR(__xludf.DUMMYFUNCTION("""COMPUTED_VALUE"""),44630.73698447917)</f>
        <v>44630.73698</v>
      </c>
      <c r="C411" s="120">
        <f>IFERROR(__xludf.DUMMYFUNCTION("""COMPUTED_VALUE"""),44630.666666666664)</f>
        <v>44630.66667</v>
      </c>
      <c r="D411" s="5" t="str">
        <f>IFERROR(__xludf.DUMMYFUNCTION("""COMPUTED_VALUE"""),"74356")</f>
        <v>74356</v>
      </c>
      <c r="E411" s="5" t="str">
        <f>IFERROR(__xludf.DUMMYFUNCTION("""COMPUTED_VALUE"""),"Stock")</f>
        <v>Stock</v>
      </c>
      <c r="F411" s="5" t="str">
        <f>IFERROR(__xludf.DUMMYFUNCTION("""COMPUTED_VALUE"""),"USD")</f>
        <v>USD</v>
      </c>
      <c r="G411" s="30" t="str">
        <f>IFERROR(__xludf.DUMMYFUNCTION("""COMPUTED_VALUE"""),"Email Account/ TraderID Recognized")</f>
        <v>Email Account/ TraderID Recognized</v>
      </c>
      <c r="H411" s="119" t="str">
        <f>IFERROR(__xludf.DUMMYFUNCTION("""COMPUTED_VALUE"""),"AAPL")</f>
        <v>AAPL</v>
      </c>
      <c r="I411" s="30">
        <f>IFERROR(__xludf.DUMMYFUNCTION("""COMPUTED_VALUE"""),20.0)</f>
        <v>20</v>
      </c>
      <c r="J411" s="30"/>
      <c r="K411" s="30" t="str">
        <f>IFERROR(__xludf.DUMMYFUNCTION("""COMPUTED_VALUE"""),"QTY, Limit Price (if any) &amp; Password input correct")</f>
        <v>QTY, Limit Price (if any) &amp; Password input correct</v>
      </c>
      <c r="L411" s="30"/>
    </row>
    <row r="412">
      <c r="A412" s="5"/>
      <c r="B412" s="118">
        <f>IFERROR(__xludf.DUMMYFUNCTION("""COMPUTED_VALUE"""),44631.10792579861)</f>
        <v>44631.10793</v>
      </c>
      <c r="C412" s="120">
        <f>IFERROR(__xludf.DUMMYFUNCTION("""COMPUTED_VALUE"""),44630.666666666664)</f>
        <v>44630.66667</v>
      </c>
      <c r="D412" s="5" t="str">
        <f>IFERROR(__xludf.DUMMYFUNCTION("""COMPUTED_VALUE"""),"89750")</f>
        <v>89750</v>
      </c>
      <c r="E412" s="5" t="str">
        <f>IFERROR(__xludf.DUMMYFUNCTION("""COMPUTED_VALUE"""),"Option")</f>
        <v>Option</v>
      </c>
      <c r="F412" s="5" t="str">
        <f>IFERROR(__xludf.DUMMYFUNCTION("""COMPUTED_VALUE"""),"USD")</f>
        <v>USD</v>
      </c>
      <c r="G412" s="30" t="str">
        <f>IFERROR(__xludf.DUMMYFUNCTION("""COMPUTED_VALUE"""),"Email Account/ TraderID Recognized")</f>
        <v>Email Account/ TraderID Recognized</v>
      </c>
      <c r="H412" s="119" t="str">
        <f>IFERROR(__xludf.DUMMYFUNCTION("""COMPUTED_VALUE"""),"NU220318C00005000")</f>
        <v>NU220318C00005000</v>
      </c>
      <c r="I412" s="30">
        <f>IFERROR(__xludf.DUMMYFUNCTION("""COMPUTED_VALUE"""),100.0)</f>
        <v>100</v>
      </c>
      <c r="J412" s="30"/>
      <c r="K412" s="30" t="str">
        <f>IFERROR(__xludf.DUMMYFUNCTION("""COMPUTED_VALUE"""),"QTY, Limit Price (if any) &amp; Password input correct")</f>
        <v>QTY, Limit Price (if any) &amp; Password input correct</v>
      </c>
      <c r="L412" s="30"/>
    </row>
    <row r="413">
      <c r="A413" s="5"/>
      <c r="B413" s="118">
        <f>IFERROR(__xludf.DUMMYFUNCTION("""COMPUTED_VALUE"""),44631.12602253472)</f>
        <v>44631.12602</v>
      </c>
      <c r="C413" s="120">
        <f>IFERROR(__xludf.DUMMYFUNCTION("""COMPUTED_VALUE"""),44630.666666666664)</f>
        <v>44630.66667</v>
      </c>
      <c r="D413" s="5" t="str">
        <f>IFERROR(__xludf.DUMMYFUNCTION("""COMPUTED_VALUE"""),"89750")</f>
        <v>89750</v>
      </c>
      <c r="E413" s="5" t="str">
        <f>IFERROR(__xludf.DUMMYFUNCTION("""COMPUTED_VALUE"""),"Option")</f>
        <v>Option</v>
      </c>
      <c r="F413" s="5" t="str">
        <f>IFERROR(__xludf.DUMMYFUNCTION("""COMPUTED_VALUE"""),"USD")</f>
        <v>USD</v>
      </c>
      <c r="G413" s="30" t="str">
        <f>IFERROR(__xludf.DUMMYFUNCTION("""COMPUTED_VALUE"""),"Email Account/ TraderID Recognized")</f>
        <v>Email Account/ TraderID Recognized</v>
      </c>
      <c r="H413" s="119" t="str">
        <f>IFERROR(__xludf.DUMMYFUNCTION("""COMPUTED_VALUE"""),"TQQQ220408P00056000")</f>
        <v>TQQQ220408P00056000</v>
      </c>
      <c r="I413" s="30">
        <f>IFERROR(__xludf.DUMMYFUNCTION("""COMPUTED_VALUE"""),20.0)</f>
        <v>20</v>
      </c>
      <c r="J413" s="30">
        <f>IFERROR(__xludf.DUMMYFUNCTION("""COMPUTED_VALUE"""),8.33)</f>
        <v>8.33</v>
      </c>
      <c r="K413" s="30" t="str">
        <f>IFERROR(__xludf.DUMMYFUNCTION("""COMPUTED_VALUE"""),"QTY, Limit Price (if any) &amp; Password input correct")</f>
        <v>QTY, Limit Price (if any) &amp; Password input correct</v>
      </c>
      <c r="L413" s="30"/>
    </row>
    <row r="414">
      <c r="A414" s="5"/>
      <c r="B414" s="118">
        <f>IFERROR(__xludf.DUMMYFUNCTION("""COMPUTED_VALUE"""),44631.45890864583)</f>
        <v>44631.45891</v>
      </c>
      <c r="C414" s="120">
        <f>IFERROR(__xludf.DUMMYFUNCTION("""COMPUTED_VALUE"""),44631.666666666664)</f>
        <v>44631.66667</v>
      </c>
      <c r="D414" s="5" t="str">
        <f>IFERROR(__xludf.DUMMYFUNCTION("""COMPUTED_VALUE"""),"82124")</f>
        <v>82124</v>
      </c>
      <c r="E414" s="5" t="str">
        <f>IFERROR(__xludf.DUMMYFUNCTION("""COMPUTED_VALUE"""),"Stock")</f>
        <v>Stock</v>
      </c>
      <c r="F414" s="5" t="str">
        <f>IFERROR(__xludf.DUMMYFUNCTION("""COMPUTED_VALUE"""),"HKD")</f>
        <v>HKD</v>
      </c>
      <c r="G414" s="30" t="str">
        <f>IFERROR(__xludf.DUMMYFUNCTION("""COMPUTED_VALUE"""),"Email Account/ TraderID Recognized")</f>
        <v>Email Account/ TraderID Recognized</v>
      </c>
      <c r="H414" s="121" t="str">
        <f>IFERROR(__xludf.DUMMYFUNCTION("""COMPUTED_VALUE"""),"9988.HK")</f>
        <v>9988.HK</v>
      </c>
      <c r="I414" s="30">
        <f>IFERROR(__xludf.DUMMYFUNCTION("""COMPUTED_VALUE"""),500.0)</f>
        <v>500</v>
      </c>
      <c r="J414" s="30"/>
      <c r="K414" s="30" t="str">
        <f>IFERROR(__xludf.DUMMYFUNCTION("""COMPUTED_VALUE"""),"QTY, Limit Price (if any) &amp; Password input correct")</f>
        <v>QTY, Limit Price (if any) &amp; Password input correct</v>
      </c>
      <c r="L414" s="30"/>
    </row>
    <row r="415">
      <c r="A415" s="5"/>
      <c r="B415" s="118">
        <f>IFERROR(__xludf.DUMMYFUNCTION("""COMPUTED_VALUE"""),44631.67345857639)</f>
        <v>44631.67346</v>
      </c>
      <c r="C415" s="120">
        <f>IFERROR(__xludf.DUMMYFUNCTION("""COMPUTED_VALUE"""),44634.666666666664)</f>
        <v>44634.66667</v>
      </c>
      <c r="D415" s="5" t="str">
        <f>IFERROR(__xludf.DUMMYFUNCTION("""COMPUTED_VALUE"""),"46763")</f>
        <v>46763</v>
      </c>
      <c r="E415" s="5" t="str">
        <f>IFERROR(__xludf.DUMMYFUNCTION("""COMPUTED_VALUE"""),"Stock")</f>
        <v>Stock</v>
      </c>
      <c r="F415" s="5" t="str">
        <f>IFERROR(__xludf.DUMMYFUNCTION("""COMPUTED_VALUE"""),"HKD")</f>
        <v>HKD</v>
      </c>
      <c r="G415" s="30" t="str">
        <f>IFERROR(__xludf.DUMMYFUNCTION("""COMPUTED_VALUE"""),"Email Account/ TraderID Recognized")</f>
        <v>Email Account/ TraderID Recognized</v>
      </c>
      <c r="H415" s="121" t="str">
        <f>IFERROR(__xludf.DUMMYFUNCTION("""COMPUTED_VALUE"""),"0151.HK")</f>
        <v>0151.HK</v>
      </c>
      <c r="I415" s="30">
        <f>IFERROR(__xludf.DUMMYFUNCTION("""COMPUTED_VALUE"""),10000.0)</f>
        <v>10000</v>
      </c>
      <c r="J415" s="30"/>
      <c r="K415" s="30" t="str">
        <f>IFERROR(__xludf.DUMMYFUNCTION("""COMPUTED_VALUE"""),"QTY, Limit Price (if any) &amp; Password input correct")</f>
        <v>QTY, Limit Price (if any) &amp; Password input correct</v>
      </c>
      <c r="L415" s="30"/>
    </row>
    <row r="416">
      <c r="A416" s="5"/>
      <c r="B416" s="118">
        <f>IFERROR(__xludf.DUMMYFUNCTION("""COMPUTED_VALUE"""),44631.684481261575)</f>
        <v>44631.68448</v>
      </c>
      <c r="C416" s="120">
        <f>IFERROR(__xludf.DUMMYFUNCTION("""COMPUTED_VALUE"""),44634.666666666664)</f>
        <v>44634.66667</v>
      </c>
      <c r="D416" s="5" t="str">
        <f>IFERROR(__xludf.DUMMYFUNCTION("""COMPUTED_VALUE"""),"77603")</f>
        <v>77603</v>
      </c>
      <c r="E416" s="5" t="str">
        <f>IFERROR(__xludf.DUMMYFUNCTION("""COMPUTED_VALUE"""),"Stock")</f>
        <v>Stock</v>
      </c>
      <c r="F416" s="5" t="str">
        <f>IFERROR(__xludf.DUMMYFUNCTION("""COMPUTED_VALUE"""),"HKD")</f>
        <v>HKD</v>
      </c>
      <c r="G416" s="30" t="str">
        <f>IFERROR(__xludf.DUMMYFUNCTION("""COMPUTED_VALUE"""),"Email Account/ TraderID Recognized")</f>
        <v>Email Account/ TraderID Recognized</v>
      </c>
      <c r="H416" s="121" t="str">
        <f>IFERROR(__xludf.DUMMYFUNCTION("""COMPUTED_VALUE"""),"1024.HK")</f>
        <v>1024.HK</v>
      </c>
      <c r="I416" s="30">
        <f>IFERROR(__xludf.DUMMYFUNCTION("""COMPUTED_VALUE"""),7000.0)</f>
        <v>7000</v>
      </c>
      <c r="J416" s="30">
        <f>IFERROR(__xludf.DUMMYFUNCTION("""COMPUTED_VALUE"""),69.15)</f>
        <v>69.15</v>
      </c>
      <c r="K416" s="30" t="str">
        <f>IFERROR(__xludf.DUMMYFUNCTION("""COMPUTED_VALUE"""),"QTY, Limit Price (if any) &amp; Password input correct")</f>
        <v>QTY, Limit Price (if any) &amp; Password input correct</v>
      </c>
      <c r="L416" s="30"/>
    </row>
    <row r="417">
      <c r="A417" s="5"/>
      <c r="B417" s="118">
        <f>IFERROR(__xludf.DUMMYFUNCTION("""COMPUTED_VALUE"""),44631.68998166667)</f>
        <v>44631.68998</v>
      </c>
      <c r="C417" s="120">
        <f>IFERROR(__xludf.DUMMYFUNCTION("""COMPUTED_VALUE"""),44631.666666666664)</f>
        <v>44631.66667</v>
      </c>
      <c r="D417" s="5" t="str">
        <f>IFERROR(__xludf.DUMMYFUNCTION("""COMPUTED_VALUE"""),"39441")</f>
        <v>39441</v>
      </c>
      <c r="E417" s="5" t="str">
        <f>IFERROR(__xludf.DUMMYFUNCTION("""COMPUTED_VALUE"""),"Stock")</f>
        <v>Stock</v>
      </c>
      <c r="F417" s="5" t="str">
        <f>IFERROR(__xludf.DUMMYFUNCTION("""COMPUTED_VALUE"""),"USD")</f>
        <v>USD</v>
      </c>
      <c r="G417" s="30" t="str">
        <f>IFERROR(__xludf.DUMMYFUNCTION("""COMPUTED_VALUE"""),"Email Account/ TraderID Recognized")</f>
        <v>Email Account/ TraderID Recognized</v>
      </c>
      <c r="H417" s="119" t="str">
        <f>IFERROR(__xludf.DUMMYFUNCTION("""COMPUTED_VALUE"""),"GOOG")</f>
        <v>GOOG</v>
      </c>
      <c r="I417" s="30">
        <f>IFERROR(__xludf.DUMMYFUNCTION("""COMPUTED_VALUE"""),5.0)</f>
        <v>5</v>
      </c>
      <c r="J417" s="30">
        <f>IFERROR(__xludf.DUMMYFUNCTION("""COMPUTED_VALUE"""),2651.0)</f>
        <v>2651</v>
      </c>
      <c r="K417" s="30" t="str">
        <f>IFERROR(__xludf.DUMMYFUNCTION("""COMPUTED_VALUE"""),"QTY, Limit Price (if any) &amp; Password input correct")</f>
        <v>QTY, Limit Price (if any) &amp; Password input correct</v>
      </c>
      <c r="L417" s="30"/>
    </row>
    <row r="418">
      <c r="A418" s="5"/>
      <c r="B418" s="118">
        <f>IFERROR(__xludf.DUMMYFUNCTION("""COMPUTED_VALUE"""),44631.7000315162)</f>
        <v>44631.70003</v>
      </c>
      <c r="C418" s="120">
        <f>IFERROR(__xludf.DUMMYFUNCTION("""COMPUTED_VALUE"""),44631.666666666664)</f>
        <v>44631.66667</v>
      </c>
      <c r="D418" s="5" t="str">
        <f>IFERROR(__xludf.DUMMYFUNCTION("""COMPUTED_VALUE"""),"39441")</f>
        <v>39441</v>
      </c>
      <c r="E418" s="5" t="str">
        <f>IFERROR(__xludf.DUMMYFUNCTION("""COMPUTED_VALUE"""),"Stock")</f>
        <v>Stock</v>
      </c>
      <c r="F418" s="5" t="str">
        <f>IFERROR(__xludf.DUMMYFUNCTION("""COMPUTED_VALUE"""),"USD")</f>
        <v>USD</v>
      </c>
      <c r="G418" s="30" t="str">
        <f>IFERROR(__xludf.DUMMYFUNCTION("""COMPUTED_VALUE"""),"Email Account/ TraderID Recognized")</f>
        <v>Email Account/ TraderID Recognized</v>
      </c>
      <c r="H418" s="119" t="str">
        <f>IFERROR(__xludf.DUMMYFUNCTION("""COMPUTED_VALUE"""),"BABA")</f>
        <v>BABA</v>
      </c>
      <c r="I418" s="30">
        <f>IFERROR(__xludf.DUMMYFUNCTION("""COMPUTED_VALUE"""),100.0)</f>
        <v>100</v>
      </c>
      <c r="J418" s="30">
        <f>IFERROR(__xludf.DUMMYFUNCTION("""COMPUTED_VALUE"""),100.0)</f>
        <v>100</v>
      </c>
      <c r="K418" s="30" t="str">
        <f>IFERROR(__xludf.DUMMYFUNCTION("""COMPUTED_VALUE"""),"QTY, Limit Price (if any) &amp; Password input correct")</f>
        <v>QTY, Limit Price (if any) &amp; Password input correct</v>
      </c>
      <c r="L418" s="30"/>
    </row>
    <row r="419">
      <c r="A419" s="5"/>
      <c r="B419" s="118">
        <f>IFERROR(__xludf.DUMMYFUNCTION("""COMPUTED_VALUE"""),44631.70226090278)</f>
        <v>44631.70226</v>
      </c>
      <c r="C419" s="120">
        <f>IFERROR(__xludf.DUMMYFUNCTION("""COMPUTED_VALUE"""),44631.666666666664)</f>
        <v>44631.66667</v>
      </c>
      <c r="D419" s="5" t="str">
        <f>IFERROR(__xludf.DUMMYFUNCTION("""COMPUTED_VALUE"""),"39441")</f>
        <v>39441</v>
      </c>
      <c r="E419" s="5" t="str">
        <f>IFERROR(__xludf.DUMMYFUNCTION("""COMPUTED_VALUE"""),"Stock")</f>
        <v>Stock</v>
      </c>
      <c r="F419" s="5" t="str">
        <f>IFERROR(__xludf.DUMMYFUNCTION("""COMPUTED_VALUE"""),"USD")</f>
        <v>USD</v>
      </c>
      <c r="G419" s="30" t="str">
        <f>IFERROR(__xludf.DUMMYFUNCTION("""COMPUTED_VALUE"""),"Email Account/ TraderID Recognized")</f>
        <v>Email Account/ TraderID Recognized</v>
      </c>
      <c r="H419" s="119" t="str">
        <f>IFERROR(__xludf.DUMMYFUNCTION("""COMPUTED_VALUE"""),"CL=F")</f>
        <v>CL=F</v>
      </c>
      <c r="I419" s="30">
        <f>IFERROR(__xludf.DUMMYFUNCTION("""COMPUTED_VALUE"""),20.0)</f>
        <v>20</v>
      </c>
      <c r="J419" s="30">
        <f>IFERROR(__xludf.DUMMYFUNCTION("""COMPUTED_VALUE"""),106.0)</f>
        <v>106</v>
      </c>
      <c r="K419" s="30" t="str">
        <f>IFERROR(__xludf.DUMMYFUNCTION("""COMPUTED_VALUE"""),"QTY, Limit Price (if any) &amp; Password input correct")</f>
        <v>QTY, Limit Price (if any) &amp; Password input correct</v>
      </c>
      <c r="L419" s="30"/>
    </row>
    <row r="420">
      <c r="A420" s="5"/>
      <c r="B420" s="118">
        <f>IFERROR(__xludf.DUMMYFUNCTION("""COMPUTED_VALUE"""),44631.791846168984)</f>
        <v>44631.79185</v>
      </c>
      <c r="C420" s="120">
        <f>IFERROR(__xludf.DUMMYFUNCTION("""COMPUTED_VALUE"""),44631.666666666664)</f>
        <v>44631.66667</v>
      </c>
      <c r="D420" s="5" t="str">
        <f>IFERROR(__xludf.DUMMYFUNCTION("""COMPUTED_VALUE"""),"76369")</f>
        <v>76369</v>
      </c>
      <c r="E420" s="5" t="str">
        <f>IFERROR(__xludf.DUMMYFUNCTION("""COMPUTED_VALUE"""),"Stock")</f>
        <v>Stock</v>
      </c>
      <c r="F420" s="5" t="str">
        <f>IFERROR(__xludf.DUMMYFUNCTION("""COMPUTED_VALUE"""),"USD")</f>
        <v>USD</v>
      </c>
      <c r="G420" s="30" t="str">
        <f>IFERROR(__xludf.DUMMYFUNCTION("""COMPUTED_VALUE"""),"Email Account/ TraderID Recognized")</f>
        <v>Email Account/ TraderID Recognized</v>
      </c>
      <c r="H420" s="119" t="str">
        <f>IFERROR(__xludf.DUMMYFUNCTION("""COMPUTED_VALUE"""),"GC=F")</f>
        <v>GC=F</v>
      </c>
      <c r="I420" s="30">
        <f>IFERROR(__xludf.DUMMYFUNCTION("""COMPUTED_VALUE"""),5.0)</f>
        <v>5</v>
      </c>
      <c r="J420" s="30"/>
      <c r="K420" s="30" t="str">
        <f>IFERROR(__xludf.DUMMYFUNCTION("""COMPUTED_VALUE"""),"QTY, Limit Price (if any) &amp; Password input correct")</f>
        <v>QTY, Limit Price (if any) &amp; Password input correct</v>
      </c>
      <c r="L420" s="30"/>
    </row>
    <row r="421">
      <c r="A421" s="5"/>
      <c r="B421" s="118">
        <f>IFERROR(__xludf.DUMMYFUNCTION("""COMPUTED_VALUE"""),44631.95271252315)</f>
        <v>44631.95271</v>
      </c>
      <c r="C421" s="120">
        <f>IFERROR(__xludf.DUMMYFUNCTION("""COMPUTED_VALUE"""),44631.666666666664)</f>
        <v>44631.66667</v>
      </c>
      <c r="D421" s="5" t="str">
        <f>IFERROR(__xludf.DUMMYFUNCTION("""COMPUTED_VALUE"""),"45969")</f>
        <v>45969</v>
      </c>
      <c r="E421" s="5" t="str">
        <f>IFERROR(__xludf.DUMMYFUNCTION("""COMPUTED_VALUE"""),"Option")</f>
        <v>Option</v>
      </c>
      <c r="F421" s="5" t="str">
        <f>IFERROR(__xludf.DUMMYFUNCTION("""COMPUTED_VALUE"""),"USD")</f>
        <v>USD</v>
      </c>
      <c r="G421" s="30" t="str">
        <f>IFERROR(__xludf.DUMMYFUNCTION("""COMPUTED_VALUE"""),"Email Account/ TraderID Recognized")</f>
        <v>Email Account/ TraderID Recognized</v>
      </c>
      <c r="H421" s="119" t="str">
        <f>IFERROR(__xludf.DUMMYFUNCTION("""COMPUTED_VALUE"""),"BILI220401P00020000")</f>
        <v>BILI220401P00020000</v>
      </c>
      <c r="I421" s="30">
        <f>IFERROR(__xludf.DUMMYFUNCTION("""COMPUTED_VALUE"""),30.0)</f>
        <v>30</v>
      </c>
      <c r="J421" s="30"/>
      <c r="K421" s="30" t="str">
        <f>IFERROR(__xludf.DUMMYFUNCTION("""COMPUTED_VALUE"""),"QTY, Limit Price (if any) &amp; Password input correct")</f>
        <v>QTY, Limit Price (if any) &amp; Password input correct</v>
      </c>
      <c r="L421" s="30"/>
    </row>
    <row r="422">
      <c r="A422" s="5"/>
      <c r="B422" s="118">
        <f>IFERROR(__xludf.DUMMYFUNCTION("""COMPUTED_VALUE"""),44633.90022318287)</f>
        <v>44633.90022</v>
      </c>
      <c r="C422" s="120">
        <f>IFERROR(__xludf.DUMMYFUNCTION("""COMPUTED_VALUE"""),44634.666666666664)</f>
        <v>44634.66667</v>
      </c>
      <c r="D422" s="5" t="str">
        <f>IFERROR(__xludf.DUMMYFUNCTION("""COMPUTED_VALUE"""),"37934")</f>
        <v>37934</v>
      </c>
      <c r="E422" s="5" t="str">
        <f>IFERROR(__xludf.DUMMYFUNCTION("""COMPUTED_VALUE"""),"Stock")</f>
        <v>Stock</v>
      </c>
      <c r="F422" s="5" t="str">
        <f>IFERROR(__xludf.DUMMYFUNCTION("""COMPUTED_VALUE"""),"USD")</f>
        <v>USD</v>
      </c>
      <c r="G422" s="30" t="str">
        <f>IFERROR(__xludf.DUMMYFUNCTION("""COMPUTED_VALUE"""),"Email Account/ TraderID Recognized")</f>
        <v>Email Account/ TraderID Recognized</v>
      </c>
      <c r="H422" s="119" t="str">
        <f>IFERROR(__xludf.DUMMYFUNCTION("""COMPUTED_VALUE"""),"TSLA")</f>
        <v>TSLA</v>
      </c>
      <c r="I422" s="30">
        <f>IFERROR(__xludf.DUMMYFUNCTION("""COMPUTED_VALUE"""),20.0)</f>
        <v>20</v>
      </c>
      <c r="J422" s="30">
        <f>IFERROR(__xludf.DUMMYFUNCTION("""COMPUTED_VALUE"""),797.0)</f>
        <v>797</v>
      </c>
      <c r="K422" s="30" t="str">
        <f>IFERROR(__xludf.DUMMYFUNCTION("""COMPUTED_VALUE"""),"QTY, Limit Price (if any) &amp; Password input correct")</f>
        <v>QTY, Limit Price (if any) &amp; Password input correct</v>
      </c>
      <c r="L422" s="30"/>
    </row>
    <row r="423">
      <c r="A423" s="5"/>
      <c r="B423" s="118">
        <f>IFERROR(__xludf.DUMMYFUNCTION("""COMPUTED_VALUE"""),44634.490815613426)</f>
        <v>44634.49082</v>
      </c>
      <c r="C423" s="120" t="str">
        <f>IFERROR(__xludf.DUMMYFUNCTION("""COMPUTED_VALUE"""),"")</f>
        <v/>
      </c>
      <c r="D423" s="5" t="str">
        <f>IFERROR(__xludf.DUMMYFUNCTION("""COMPUTED_VALUE"""),"75415")</f>
        <v>75415</v>
      </c>
      <c r="E423" s="5" t="str">
        <f>IFERROR(__xludf.DUMMYFUNCTION("""COMPUTED_VALUE"""),"Stock")</f>
        <v>Stock</v>
      </c>
      <c r="F423" s="5" t="str">
        <f>IFERROR(__xludf.DUMMYFUNCTION("""COMPUTED_VALUE"""),"error")</f>
        <v>error</v>
      </c>
      <c r="G423" s="30" t="str">
        <f>IFERROR(__xludf.DUMMYFUNCTION("""COMPUTED_VALUE"""),"Email Account/ TraderID Recognized")</f>
        <v>Email Account/ TraderID Recognized</v>
      </c>
      <c r="H423" s="119" t="str">
        <f>IFERROR(__xludf.DUMMYFUNCTION("""COMPUTED_VALUE"""),"PAYTM")</f>
        <v>PAYTM</v>
      </c>
      <c r="I423" s="30">
        <f>IFERROR(__xludf.DUMMYFUNCTION("""COMPUTED_VALUE"""),750.0)</f>
        <v>750</v>
      </c>
      <c r="J423" s="30"/>
      <c r="K423" s="30" t="str">
        <f>IFERROR(__xludf.DUMMYFUNCTION("""COMPUTED_VALUE"""),"QTY, Limit Price (if any) &amp; Password input correct")</f>
        <v>QTY, Limit Price (if any) &amp; Password input correct</v>
      </c>
      <c r="L423" s="30" t="str">
        <f>IFERROR(__xludf.DUMMYFUNCTION("""COMPUTED_VALUE"""),"Order rejected due to wrong ticker code.")</f>
        <v>Order rejected due to wrong ticker code.</v>
      </c>
    </row>
    <row r="424">
      <c r="A424" s="5"/>
      <c r="B424" s="118">
        <f>IFERROR(__xludf.DUMMYFUNCTION("""COMPUTED_VALUE"""),44634.49233208333)</f>
        <v>44634.49233</v>
      </c>
      <c r="C424" s="120">
        <f>IFERROR(__xludf.DUMMYFUNCTION("""COMPUTED_VALUE"""),44634.666666666664)</f>
        <v>44634.66667</v>
      </c>
      <c r="D424" s="5" t="str">
        <f>IFERROR(__xludf.DUMMYFUNCTION("""COMPUTED_VALUE"""),"75415")</f>
        <v>75415</v>
      </c>
      <c r="E424" s="5" t="str">
        <f>IFERROR(__xludf.DUMMYFUNCTION("""COMPUTED_VALUE"""),"Stock")</f>
        <v>Stock</v>
      </c>
      <c r="F424" s="5" t="str">
        <f>IFERROR(__xludf.DUMMYFUNCTION("""COMPUTED_VALUE"""),"USD")</f>
        <v>USD</v>
      </c>
      <c r="G424" s="30" t="str">
        <f>IFERROR(__xludf.DUMMYFUNCTION("""COMPUTED_VALUE"""),"Email Account/ TraderID Recognized")</f>
        <v>Email Account/ TraderID Recognized</v>
      </c>
      <c r="H424" s="119" t="str">
        <f>IFERROR(__xludf.DUMMYFUNCTION("""COMPUTED_VALUE"""),"MSFT")</f>
        <v>MSFT</v>
      </c>
      <c r="I424" s="30">
        <f>IFERROR(__xludf.DUMMYFUNCTION("""COMPUTED_VALUE"""),100.0)</f>
        <v>100</v>
      </c>
      <c r="J424" s="30"/>
      <c r="K424" s="30" t="str">
        <f>IFERROR(__xludf.DUMMYFUNCTION("""COMPUTED_VALUE"""),"QTY, Limit Price (if any) &amp; Password input correct")</f>
        <v>QTY, Limit Price (if any) &amp; Password input correct</v>
      </c>
      <c r="L424" s="30"/>
    </row>
    <row r="425">
      <c r="A425" s="5"/>
      <c r="B425" s="118">
        <f>IFERROR(__xludf.DUMMYFUNCTION("""COMPUTED_VALUE"""),44634.53636991898)</f>
        <v>44634.53637</v>
      </c>
      <c r="C425" s="120">
        <f>IFERROR(__xludf.DUMMYFUNCTION("""COMPUTED_VALUE"""),44634.666666666664)</f>
        <v>44634.66667</v>
      </c>
      <c r="D425" s="5" t="str">
        <f>IFERROR(__xludf.DUMMYFUNCTION("""COMPUTED_VALUE"""),"38209")</f>
        <v>38209</v>
      </c>
      <c r="E425" s="5" t="str">
        <f>IFERROR(__xludf.DUMMYFUNCTION("""COMPUTED_VALUE"""),"Stock")</f>
        <v>Stock</v>
      </c>
      <c r="F425" s="5" t="str">
        <f>IFERROR(__xludf.DUMMYFUNCTION("""COMPUTED_VALUE"""),"HKD")</f>
        <v>HKD</v>
      </c>
      <c r="G425" s="30" t="str">
        <f>IFERROR(__xludf.DUMMYFUNCTION("""COMPUTED_VALUE"""),"Email Account/ TraderID Recognized")</f>
        <v>Email Account/ TraderID Recognized</v>
      </c>
      <c r="H425" s="121" t="str">
        <f>IFERROR(__xludf.DUMMYFUNCTION("""COMPUTED_VALUE"""),"1024.HK")</f>
        <v>1024.HK</v>
      </c>
      <c r="I425" s="30">
        <f>IFERROR(__xludf.DUMMYFUNCTION("""COMPUTED_VALUE"""),1600.0)</f>
        <v>1600</v>
      </c>
      <c r="J425" s="30"/>
      <c r="K425" s="30" t="str">
        <f>IFERROR(__xludf.DUMMYFUNCTION("""COMPUTED_VALUE"""),"QTY, Limit Price (if any) &amp; Password input correct")</f>
        <v>QTY, Limit Price (if any) &amp; Password input correct</v>
      </c>
      <c r="L425" s="30"/>
    </row>
    <row r="426">
      <c r="A426" s="5"/>
      <c r="B426" s="118">
        <f>IFERROR(__xludf.DUMMYFUNCTION("""COMPUTED_VALUE"""),44634.53701284722)</f>
        <v>44634.53701</v>
      </c>
      <c r="C426" s="120">
        <f>IFERROR(__xludf.DUMMYFUNCTION("""COMPUTED_VALUE"""),44634.666666666664)</f>
        <v>44634.66667</v>
      </c>
      <c r="D426" s="5" t="str">
        <f>IFERROR(__xludf.DUMMYFUNCTION("""COMPUTED_VALUE"""),"38209")</f>
        <v>38209</v>
      </c>
      <c r="E426" s="5" t="str">
        <f>IFERROR(__xludf.DUMMYFUNCTION("""COMPUTED_VALUE"""),"Stock")</f>
        <v>Stock</v>
      </c>
      <c r="F426" s="5" t="str">
        <f>IFERROR(__xludf.DUMMYFUNCTION("""COMPUTED_VALUE"""),"HKD")</f>
        <v>HKD</v>
      </c>
      <c r="G426" s="30" t="str">
        <f>IFERROR(__xludf.DUMMYFUNCTION("""COMPUTED_VALUE"""),"Email Account/ TraderID Recognized")</f>
        <v>Email Account/ TraderID Recognized</v>
      </c>
      <c r="H426" s="121" t="str">
        <f>IFERROR(__xludf.DUMMYFUNCTION("""COMPUTED_VALUE"""),"9988.HK")</f>
        <v>9988.HK</v>
      </c>
      <c r="I426" s="30">
        <f>IFERROR(__xludf.DUMMYFUNCTION("""COMPUTED_VALUE"""),600.0)</f>
        <v>600</v>
      </c>
      <c r="J426" s="30"/>
      <c r="K426" s="30" t="str">
        <f>IFERROR(__xludf.DUMMYFUNCTION("""COMPUTED_VALUE"""),"QTY, Limit Price (if any) &amp; Password input correct")</f>
        <v>QTY, Limit Price (if any) &amp; Password input correct</v>
      </c>
      <c r="L426" s="30"/>
    </row>
    <row r="427">
      <c r="A427" s="5"/>
      <c r="B427" s="118">
        <f>IFERROR(__xludf.DUMMYFUNCTION("""COMPUTED_VALUE"""),44634.560015173614)</f>
        <v>44634.56002</v>
      </c>
      <c r="C427" s="120" t="str">
        <f>IFERROR(__xludf.DUMMYFUNCTION("""COMPUTED_VALUE"""),"")</f>
        <v/>
      </c>
      <c r="D427" s="5" t="str">
        <f>IFERROR(__xludf.DUMMYFUNCTION("""COMPUTED_VALUE"""),"")</f>
        <v/>
      </c>
      <c r="E427" s="5" t="str">
        <f>IFERROR(__xludf.DUMMYFUNCTION("""COMPUTED_VALUE"""),"Stock")</f>
        <v>Stock</v>
      </c>
      <c r="F427" s="5" t="str">
        <f>IFERROR(__xludf.DUMMYFUNCTION("""COMPUTED_VALUE"""),"error")</f>
        <v>error</v>
      </c>
      <c r="G427" s="30" t="str">
        <f>IFERROR(__xludf.DUMMYFUNCTION("""COMPUTED_VALUE"""),"jiaxxxxxxx@nonHKMUemail")</f>
        <v>jiaxxxxxxx@nonHKMUemail</v>
      </c>
      <c r="H427" s="121" t="str">
        <f>IFERROR(__xludf.DUMMYFUNCTION("""COMPUTED_VALUE"""),"1024.HK")</f>
        <v>1024.HK</v>
      </c>
      <c r="I427" s="30">
        <f>IFERROR(__xludf.DUMMYFUNCTION("""COMPUTED_VALUE"""),4000.0)</f>
        <v>4000</v>
      </c>
      <c r="J427" s="30">
        <f>IFERROR(__xludf.DUMMYFUNCTION("""COMPUTED_VALUE"""),64.8)</f>
        <v>64.8</v>
      </c>
      <c r="K427" s="30" t="str">
        <f>IFERROR(__xludf.DUMMYFUNCTION("""COMPUTED_VALUE"""),"QTY, Limit Price (if any) &amp; Password input correct")</f>
        <v>QTY, Limit Price (if any) &amp; Password input correct</v>
      </c>
      <c r="L427" s="30" t="str">
        <f>IFERROR(__xludf.DUMMYFUNCTION("""COMPUTED_VALUE"""),"Order rejected due to non-school email account")</f>
        <v>Order rejected due to non-school email account</v>
      </c>
    </row>
    <row r="428">
      <c r="A428" s="5"/>
      <c r="B428" s="118">
        <f>IFERROR(__xludf.DUMMYFUNCTION("""COMPUTED_VALUE"""),44634.57100642361)</f>
        <v>44634.57101</v>
      </c>
      <c r="C428" s="120">
        <f>IFERROR(__xludf.DUMMYFUNCTION("""COMPUTED_VALUE"""),44634.666666666664)</f>
        <v>44634.66667</v>
      </c>
      <c r="D428" s="5" t="str">
        <f>IFERROR(__xludf.DUMMYFUNCTION("""COMPUTED_VALUE"""),"89750")</f>
        <v>89750</v>
      </c>
      <c r="E428" s="5" t="str">
        <f>IFERROR(__xludf.DUMMYFUNCTION("""COMPUTED_VALUE"""),"Stock")</f>
        <v>Stock</v>
      </c>
      <c r="F428" s="5" t="str">
        <f>IFERROR(__xludf.DUMMYFUNCTION("""COMPUTED_VALUE"""),"HKD")</f>
        <v>HKD</v>
      </c>
      <c r="G428" s="30" t="str">
        <f>IFERROR(__xludf.DUMMYFUNCTION("""COMPUTED_VALUE"""),"Email Account/ TraderID Recognized")</f>
        <v>Email Account/ TraderID Recognized</v>
      </c>
      <c r="H428" s="121" t="str">
        <f>IFERROR(__xludf.DUMMYFUNCTION("""COMPUTED_VALUE"""),"3690.HK")</f>
        <v>3690.HK</v>
      </c>
      <c r="I428" s="30">
        <f>IFERROR(__xludf.DUMMYFUNCTION("""COMPUTED_VALUE"""),500.0)</f>
        <v>500</v>
      </c>
      <c r="J428" s="30"/>
      <c r="K428" s="30" t="str">
        <f>IFERROR(__xludf.DUMMYFUNCTION("""COMPUTED_VALUE"""),"QTY, Limit Price (if any) &amp; Password input correct")</f>
        <v>QTY, Limit Price (if any) &amp; Password input correct</v>
      </c>
      <c r="L428" s="30"/>
    </row>
    <row r="429">
      <c r="A429" s="5"/>
      <c r="B429" s="118">
        <f>IFERROR(__xludf.DUMMYFUNCTION("""COMPUTED_VALUE"""),44634.57243994213)</f>
        <v>44634.57244</v>
      </c>
      <c r="C429" s="120">
        <f>IFERROR(__xludf.DUMMYFUNCTION("""COMPUTED_VALUE"""),44634.666666666664)</f>
        <v>44634.66667</v>
      </c>
      <c r="D429" s="5" t="str">
        <f>IFERROR(__xludf.DUMMYFUNCTION("""COMPUTED_VALUE"""),"89750")</f>
        <v>89750</v>
      </c>
      <c r="E429" s="5" t="str">
        <f>IFERROR(__xludf.DUMMYFUNCTION("""COMPUTED_VALUE"""),"Stock")</f>
        <v>Stock</v>
      </c>
      <c r="F429" s="5" t="str">
        <f>IFERROR(__xludf.DUMMYFUNCTION("""COMPUTED_VALUE"""),"HKD")</f>
        <v>HKD</v>
      </c>
      <c r="G429" s="30" t="str">
        <f>IFERROR(__xludf.DUMMYFUNCTION("""COMPUTED_VALUE"""),"Email Account/ TraderID Recognized")</f>
        <v>Email Account/ TraderID Recognized</v>
      </c>
      <c r="H429" s="121" t="str">
        <f>IFERROR(__xludf.DUMMYFUNCTION("""COMPUTED_VALUE"""),"0708.HK")</f>
        <v>0708.HK</v>
      </c>
      <c r="I429" s="30">
        <f>IFERROR(__xludf.DUMMYFUNCTION("""COMPUTED_VALUE"""),20000.0)</f>
        <v>20000</v>
      </c>
      <c r="J429" s="30"/>
      <c r="K429" s="30" t="str">
        <f>IFERROR(__xludf.DUMMYFUNCTION("""COMPUTED_VALUE"""),"QTY, Limit Price (if any) &amp; Password input correct")</f>
        <v>QTY, Limit Price (if any) &amp; Password input correct</v>
      </c>
      <c r="L429" s="30"/>
    </row>
    <row r="430">
      <c r="A430" s="5"/>
      <c r="B430" s="118">
        <f>IFERROR(__xludf.DUMMYFUNCTION("""COMPUTED_VALUE"""),44634.58619515046)</f>
        <v>44634.5862</v>
      </c>
      <c r="C430" s="120" t="str">
        <f>IFERROR(__xludf.DUMMYFUNCTION("""COMPUTED_VALUE"""),"")</f>
        <v/>
      </c>
      <c r="D430" s="5" t="str">
        <f>IFERROR(__xludf.DUMMYFUNCTION("""COMPUTED_VALUE"""),"56118")</f>
        <v>56118</v>
      </c>
      <c r="E430" s="5" t="str">
        <f>IFERROR(__xludf.DUMMYFUNCTION("""COMPUTED_VALUE"""),"Stock")</f>
        <v>Stock</v>
      </c>
      <c r="F430" s="5" t="str">
        <f>IFERROR(__xludf.DUMMYFUNCTION("""COMPUTED_VALUE"""),"error")</f>
        <v>error</v>
      </c>
      <c r="G430" s="30" t="str">
        <f>IFERROR(__xludf.DUMMYFUNCTION("""COMPUTED_VALUE"""),"Email Account/ TraderID Recognized")</f>
        <v>Email Account/ TraderID Recognized</v>
      </c>
      <c r="H430" s="119" t="str">
        <f>IFERROR(__xludf.DUMMYFUNCTION("""COMPUTED_VALUE"""),"56118")</f>
        <v>56118</v>
      </c>
      <c r="I430" s="30">
        <f>IFERROR(__xludf.DUMMYFUNCTION("""COMPUTED_VALUE"""),2638.0)</f>
        <v>2638</v>
      </c>
      <c r="J430" s="30">
        <f>IFERROR(__xludf.DUMMYFUNCTION("""COMPUTED_VALUE"""),7.8)</f>
        <v>7.8</v>
      </c>
      <c r="K430" s="30" t="str">
        <f>IFERROR(__xludf.DUMMYFUNCTION("""COMPUTED_VALUE"""),"QTY, Limit Price (if any) &amp; Password input correct")</f>
        <v>QTY, Limit Price (if any) &amp; Password input correct</v>
      </c>
      <c r="L430" s="30" t="str">
        <f>IFERROR(__xludf.DUMMYFUNCTION("""COMPUTED_VALUE"""),"Order rejected due to wrong ticker code.")</f>
        <v>Order rejected due to wrong ticker code.</v>
      </c>
    </row>
    <row r="431">
      <c r="A431" s="5"/>
      <c r="B431" s="118">
        <f>IFERROR(__xludf.DUMMYFUNCTION("""COMPUTED_VALUE"""),44634.58789180555)</f>
        <v>44634.58789</v>
      </c>
      <c r="C431" s="120" t="str">
        <f>IFERROR(__xludf.DUMMYFUNCTION("""COMPUTED_VALUE"""),"")</f>
        <v/>
      </c>
      <c r="D431" s="5" t="str">
        <f>IFERROR(__xludf.DUMMYFUNCTION("""COMPUTED_VALUE"""),"56118")</f>
        <v>56118</v>
      </c>
      <c r="E431" s="5" t="str">
        <f>IFERROR(__xludf.DUMMYFUNCTION("""COMPUTED_VALUE"""),"Stock")</f>
        <v>Stock</v>
      </c>
      <c r="F431" s="5" t="str">
        <f>IFERROR(__xludf.DUMMYFUNCTION("""COMPUTED_VALUE"""),"error")</f>
        <v>error</v>
      </c>
      <c r="G431" s="30" t="str">
        <f>IFERROR(__xludf.DUMMYFUNCTION("""COMPUTED_VALUE"""),"Email Account/ TraderID Recognized")</f>
        <v>Email Account/ TraderID Recognized</v>
      </c>
      <c r="H431" s="119" t="str">
        <f>IFERROR(__xludf.DUMMYFUNCTION("""COMPUTED_VALUE"""),"2638")</f>
        <v>2638</v>
      </c>
      <c r="I431" s="30">
        <f>IFERROR(__xludf.DUMMYFUNCTION("""COMPUTED_VALUE"""),200.0)</f>
        <v>200</v>
      </c>
      <c r="J431" s="30">
        <f>IFERROR(__xludf.DUMMYFUNCTION("""COMPUTED_VALUE"""),7.8)</f>
        <v>7.8</v>
      </c>
      <c r="K431" s="30" t="str">
        <f>IFERROR(__xludf.DUMMYFUNCTION("""COMPUTED_VALUE"""),"QTY, Limit Price (if any) &amp; Password input correct")</f>
        <v>QTY, Limit Price (if any) &amp; Password input correct</v>
      </c>
      <c r="L431" s="30" t="str">
        <f>IFERROR(__xludf.DUMMYFUNCTION("""COMPUTED_VALUE"""),"Order rejected due to wrong ticker code.")</f>
        <v>Order rejected due to wrong ticker code.</v>
      </c>
    </row>
    <row r="432">
      <c r="A432" s="5"/>
      <c r="B432" s="118">
        <f>IFERROR(__xludf.DUMMYFUNCTION("""COMPUTED_VALUE"""),44634.59859204861)</f>
        <v>44634.59859</v>
      </c>
      <c r="C432" s="120">
        <f>IFERROR(__xludf.DUMMYFUNCTION("""COMPUTED_VALUE"""),44634.666666666664)</f>
        <v>44634.66667</v>
      </c>
      <c r="D432" s="5" t="str">
        <f>IFERROR(__xludf.DUMMYFUNCTION("""COMPUTED_VALUE"""),"46699")</f>
        <v>46699</v>
      </c>
      <c r="E432" s="5" t="str">
        <f>IFERROR(__xludf.DUMMYFUNCTION("""COMPUTED_VALUE"""),"Stock")</f>
        <v>Stock</v>
      </c>
      <c r="F432" s="5" t="str">
        <f>IFERROR(__xludf.DUMMYFUNCTION("""COMPUTED_VALUE"""),"USD")</f>
        <v>USD</v>
      </c>
      <c r="G432" s="30" t="str">
        <f>IFERROR(__xludf.DUMMYFUNCTION("""COMPUTED_VALUE"""),"Email Account/ TraderID Recognized")</f>
        <v>Email Account/ TraderID Recognized</v>
      </c>
      <c r="H432" s="119" t="str">
        <f>IFERROR(__xludf.DUMMYFUNCTION("""COMPUTED_VALUE"""),"KO")</f>
        <v>KO</v>
      </c>
      <c r="I432" s="30">
        <f>IFERROR(__xludf.DUMMYFUNCTION("""COMPUTED_VALUE"""),5.0)</f>
        <v>5</v>
      </c>
      <c r="J432" s="30"/>
      <c r="K432" s="30" t="str">
        <f>IFERROR(__xludf.DUMMYFUNCTION("""COMPUTED_VALUE"""),"Wrong Password Submitted, Order will be rejected")</f>
        <v>Wrong Password Submitted, Order will be rejected</v>
      </c>
      <c r="L432" s="30" t="str">
        <f>IFERROR(__xludf.DUMMYFUNCTION("""COMPUTED_VALUE"""),"Order rejected due to wrong password.")</f>
        <v>Order rejected due to wrong password.</v>
      </c>
    </row>
    <row r="433">
      <c r="A433" s="5"/>
      <c r="B433" s="118">
        <f>IFERROR(__xludf.DUMMYFUNCTION("""COMPUTED_VALUE"""),44634.59862512731)</f>
        <v>44634.59863</v>
      </c>
      <c r="C433" s="120">
        <f>IFERROR(__xludf.DUMMYFUNCTION("""COMPUTED_VALUE"""),44634.666666666664)</f>
        <v>44634.66667</v>
      </c>
      <c r="D433" s="5" t="str">
        <f>IFERROR(__xludf.DUMMYFUNCTION("""COMPUTED_VALUE"""),"46876")</f>
        <v>46876</v>
      </c>
      <c r="E433" s="5" t="str">
        <f>IFERROR(__xludf.DUMMYFUNCTION("""COMPUTED_VALUE"""),"Stock")</f>
        <v>Stock</v>
      </c>
      <c r="F433" s="5" t="str">
        <f>IFERROR(__xludf.DUMMYFUNCTION("""COMPUTED_VALUE"""),"HKD")</f>
        <v>HKD</v>
      </c>
      <c r="G433" s="30" t="str">
        <f>IFERROR(__xludf.DUMMYFUNCTION("""COMPUTED_VALUE"""),"Email Account/ TraderID Recognized")</f>
        <v>Email Account/ TraderID Recognized</v>
      </c>
      <c r="H433" s="121" t="str">
        <f>IFERROR(__xludf.DUMMYFUNCTION("""COMPUTED_VALUE"""),"1898.HK")</f>
        <v>1898.HK</v>
      </c>
      <c r="I433" s="30">
        <f>IFERROR(__xludf.DUMMYFUNCTION("""COMPUTED_VALUE"""),55000.0)</f>
        <v>55000</v>
      </c>
      <c r="J433" s="30">
        <f>IFERROR(__xludf.DUMMYFUNCTION("""COMPUTED_VALUE"""),4.7)</f>
        <v>4.7</v>
      </c>
      <c r="K433" s="30" t="str">
        <f>IFERROR(__xludf.DUMMYFUNCTION("""COMPUTED_VALUE"""),"QTY, Limit Price (if any) &amp; Password input correct")</f>
        <v>QTY, Limit Price (if any) &amp; Password input correct</v>
      </c>
      <c r="L433" s="30"/>
    </row>
    <row r="434">
      <c r="A434" s="5"/>
      <c r="B434" s="118">
        <f>IFERROR(__xludf.DUMMYFUNCTION("""COMPUTED_VALUE"""),44634.599207164356)</f>
        <v>44634.59921</v>
      </c>
      <c r="C434" s="120" t="str">
        <f>IFERROR(__xludf.DUMMYFUNCTION("""COMPUTED_VALUE"""),"")</f>
        <v/>
      </c>
      <c r="D434" s="5" t="str">
        <f>IFERROR(__xludf.DUMMYFUNCTION("""COMPUTED_VALUE"""),"40105")</f>
        <v>40105</v>
      </c>
      <c r="E434" s="5" t="str">
        <f>IFERROR(__xludf.DUMMYFUNCTION("""COMPUTED_VALUE"""),"Stock")</f>
        <v>Stock</v>
      </c>
      <c r="F434" s="5" t="str">
        <f>IFERROR(__xludf.DUMMYFUNCTION("""COMPUTED_VALUE"""),"error")</f>
        <v>error</v>
      </c>
      <c r="G434" s="30" t="str">
        <f>IFERROR(__xludf.DUMMYFUNCTION("""COMPUTED_VALUE"""),"Email Account/ TraderID Recognized")</f>
        <v>Email Account/ TraderID Recognized</v>
      </c>
      <c r="H434" s="119" t="str">
        <f>IFERROR(__xludf.DUMMYFUNCTION("""COMPUTED_VALUE"""),"S&amp;P 500")</f>
        <v>S&amp;P 500</v>
      </c>
      <c r="I434" s="30">
        <f>IFERROR(__xludf.DUMMYFUNCTION("""COMPUTED_VALUE"""),10.0)</f>
        <v>10</v>
      </c>
      <c r="J434" s="30"/>
      <c r="K434" s="30" t="str">
        <f>IFERROR(__xludf.DUMMYFUNCTION("""COMPUTED_VALUE"""),"QTY, Limit Price (if any) &amp; Password input correct")</f>
        <v>QTY, Limit Price (if any) &amp; Password input correct</v>
      </c>
      <c r="L434" s="30" t="str">
        <f>IFERROR(__xludf.DUMMYFUNCTION("""COMPUTED_VALUE"""),"Order rejected due to wrong ticker code.")</f>
        <v>Order rejected due to wrong ticker code.</v>
      </c>
    </row>
    <row r="435">
      <c r="A435" s="5"/>
      <c r="B435" s="118">
        <f>IFERROR(__xludf.DUMMYFUNCTION("""COMPUTED_VALUE"""),44634.60009665509)</f>
        <v>44634.6001</v>
      </c>
      <c r="C435" s="120">
        <f>IFERROR(__xludf.DUMMYFUNCTION("""COMPUTED_VALUE"""),44634.666666666664)</f>
        <v>44634.66667</v>
      </c>
      <c r="D435" s="5" t="str">
        <f>IFERROR(__xludf.DUMMYFUNCTION("""COMPUTED_VALUE"""),"36903")</f>
        <v>36903</v>
      </c>
      <c r="E435" s="5" t="str">
        <f>IFERROR(__xludf.DUMMYFUNCTION("""COMPUTED_VALUE"""),"Stock")</f>
        <v>Stock</v>
      </c>
      <c r="F435" s="5" t="str">
        <f>IFERROR(__xludf.DUMMYFUNCTION("""COMPUTED_VALUE"""),"HKD")</f>
        <v>HKD</v>
      </c>
      <c r="G435" s="30" t="str">
        <f>IFERROR(__xludf.DUMMYFUNCTION("""COMPUTED_VALUE"""),"Email Account/ TraderID Recognized")</f>
        <v>Email Account/ TraderID Recognized</v>
      </c>
      <c r="H435" s="121" t="str">
        <f>IFERROR(__xludf.DUMMYFUNCTION("""COMPUTED_VALUE"""),"0388.HK")</f>
        <v>0388.HK</v>
      </c>
      <c r="I435" s="30">
        <f>IFERROR(__xludf.DUMMYFUNCTION("""COMPUTED_VALUE"""),100.0)</f>
        <v>100</v>
      </c>
      <c r="J435" s="30"/>
      <c r="K435" s="30" t="str">
        <f>IFERROR(__xludf.DUMMYFUNCTION("""COMPUTED_VALUE"""),"QTY, Limit Price (if any) &amp; Password input correct")</f>
        <v>QTY, Limit Price (if any) &amp; Password input correct</v>
      </c>
      <c r="L435" s="30"/>
    </row>
    <row r="436">
      <c r="A436" s="5"/>
      <c r="B436" s="118">
        <f>IFERROR(__xludf.DUMMYFUNCTION("""COMPUTED_VALUE"""),44634.60284179398)</f>
        <v>44634.60284</v>
      </c>
      <c r="C436" s="120">
        <f>IFERROR(__xludf.DUMMYFUNCTION("""COMPUTED_VALUE"""),44634.666666666664)</f>
        <v>44634.66667</v>
      </c>
      <c r="D436" s="5" t="str">
        <f>IFERROR(__xludf.DUMMYFUNCTION("""COMPUTED_VALUE"""),"46220")</f>
        <v>46220</v>
      </c>
      <c r="E436" s="5" t="str">
        <f>IFERROR(__xludf.DUMMYFUNCTION("""COMPUTED_VALUE"""),"Stock")</f>
        <v>Stock</v>
      </c>
      <c r="F436" s="5" t="str">
        <f>IFERROR(__xludf.DUMMYFUNCTION("""COMPUTED_VALUE"""),"USD")</f>
        <v>USD</v>
      </c>
      <c r="G436" s="30" t="str">
        <f>IFERROR(__xludf.DUMMYFUNCTION("""COMPUTED_VALUE"""),"Email Account/ TraderID Recognized")</f>
        <v>Email Account/ TraderID Recognized</v>
      </c>
      <c r="H436" s="119" t="str">
        <f>IFERROR(__xludf.DUMMYFUNCTION("""COMPUTED_VALUE"""),"GC=F")</f>
        <v>GC=F</v>
      </c>
      <c r="I436" s="30">
        <f>IFERROR(__xludf.DUMMYFUNCTION("""COMPUTED_VALUE"""),10.0)</f>
        <v>10</v>
      </c>
      <c r="J436" s="30"/>
      <c r="K436" s="30" t="str">
        <f>IFERROR(__xludf.DUMMYFUNCTION("""COMPUTED_VALUE"""),"QTY, Limit Price (if any) &amp; Password input correct")</f>
        <v>QTY, Limit Price (if any) &amp; Password input correct</v>
      </c>
      <c r="L436" s="30"/>
    </row>
    <row r="437">
      <c r="A437" s="5"/>
      <c r="B437" s="118">
        <f>IFERROR(__xludf.DUMMYFUNCTION("""COMPUTED_VALUE"""),44634.61304515046)</f>
        <v>44634.61305</v>
      </c>
      <c r="C437" s="120" t="str">
        <f>IFERROR(__xludf.DUMMYFUNCTION("""COMPUTED_VALUE"""),"")</f>
        <v/>
      </c>
      <c r="D437" s="5" t="str">
        <f>IFERROR(__xludf.DUMMYFUNCTION("""COMPUTED_VALUE"""),"39494")</f>
        <v>39494</v>
      </c>
      <c r="E437" s="5" t="str">
        <f>IFERROR(__xludf.DUMMYFUNCTION("""COMPUTED_VALUE"""),"Stock")</f>
        <v>Stock</v>
      </c>
      <c r="F437" s="5" t="str">
        <f>IFERROR(__xludf.DUMMYFUNCTION("""COMPUTED_VALUE"""),"error")</f>
        <v>error</v>
      </c>
      <c r="G437" s="30" t="str">
        <f>IFERROR(__xludf.DUMMYFUNCTION("""COMPUTED_VALUE"""),"Email Account/ TraderID Recognized")</f>
        <v>Email Account/ TraderID Recognized</v>
      </c>
      <c r="H437" s="119" t="str">
        <f>IFERROR(__xludf.DUMMYFUNCTION("""COMPUTED_VALUE"""),"SONY")</f>
        <v>SONY</v>
      </c>
      <c r="I437" s="30" t="str">
        <f>IFERROR(__xludf.DUMMYFUNCTION("""COMPUTED_VALUE"""),"all")</f>
        <v>all</v>
      </c>
      <c r="J437" s="30"/>
      <c r="K437" s="30" t="str">
        <f>IFERROR(__xludf.DUMMYFUNCTION("""COMPUTED_VALUE"""),"Non-number input in Quantity or Limit Price")</f>
        <v>Non-number input in Quantity or Limit Price</v>
      </c>
      <c r="L437" s="30" t="str">
        <f>IFERROR(__xludf.DUMMYFUNCTION("""COMPUTED_VALUE"""),"Order rejected due to wrong quantity. Has to be a number, not ""ALL"".")</f>
        <v>Order rejected due to wrong quantity. Has to be a number, not "ALL".</v>
      </c>
    </row>
    <row r="438">
      <c r="A438" s="5"/>
      <c r="B438" s="118">
        <f>IFERROR(__xludf.DUMMYFUNCTION("""COMPUTED_VALUE"""),44634.61340939815)</f>
        <v>44634.61341</v>
      </c>
      <c r="C438" s="120" t="str">
        <f>IFERROR(__xludf.DUMMYFUNCTION("""COMPUTED_VALUE"""),"")</f>
        <v/>
      </c>
      <c r="D438" s="5" t="str">
        <f>IFERROR(__xludf.DUMMYFUNCTION("""COMPUTED_VALUE"""),"39494")</f>
        <v>39494</v>
      </c>
      <c r="E438" s="5" t="str">
        <f>IFERROR(__xludf.DUMMYFUNCTION("""COMPUTED_VALUE"""),"Stock")</f>
        <v>Stock</v>
      </c>
      <c r="F438" s="5" t="str">
        <f>IFERROR(__xludf.DUMMYFUNCTION("""COMPUTED_VALUE"""),"error")</f>
        <v>error</v>
      </c>
      <c r="G438" s="30" t="str">
        <f>IFERROR(__xludf.DUMMYFUNCTION("""COMPUTED_VALUE"""),"Email Account/ TraderID Recognized")</f>
        <v>Email Account/ TraderID Recognized</v>
      </c>
      <c r="H438" s="119" t="str">
        <f>IFERROR(__xludf.DUMMYFUNCTION("""COMPUTED_VALUE"""),"MSFT")</f>
        <v>MSFT</v>
      </c>
      <c r="I438" s="30" t="str">
        <f>IFERROR(__xludf.DUMMYFUNCTION("""COMPUTED_VALUE"""),"all")</f>
        <v>all</v>
      </c>
      <c r="J438" s="30"/>
      <c r="K438" s="30" t="str">
        <f>IFERROR(__xludf.DUMMYFUNCTION("""COMPUTED_VALUE"""),"Non-number input in Quantity or Limit Price")</f>
        <v>Non-number input in Quantity or Limit Price</v>
      </c>
      <c r="L438" s="30" t="str">
        <f>IFERROR(__xludf.DUMMYFUNCTION("""COMPUTED_VALUE"""),"Order rejected due to wrong quantity. Has to be a number, not ""ALL"".")</f>
        <v>Order rejected due to wrong quantity. Has to be a number, not "ALL".</v>
      </c>
    </row>
    <row r="439">
      <c r="A439" s="5"/>
      <c r="B439" s="118">
        <f>IFERROR(__xludf.DUMMYFUNCTION("""COMPUTED_VALUE"""),44634.61375758101)</f>
        <v>44634.61376</v>
      </c>
      <c r="C439" s="120" t="str">
        <f>IFERROR(__xludf.DUMMYFUNCTION("""COMPUTED_VALUE"""),"")</f>
        <v/>
      </c>
      <c r="D439" s="5" t="str">
        <f>IFERROR(__xludf.DUMMYFUNCTION("""COMPUTED_VALUE"""),"39494")</f>
        <v>39494</v>
      </c>
      <c r="E439" s="5" t="str">
        <f>IFERROR(__xludf.DUMMYFUNCTION("""COMPUTED_VALUE"""),"Stock")</f>
        <v>Stock</v>
      </c>
      <c r="F439" s="5" t="str">
        <f>IFERROR(__xludf.DUMMYFUNCTION("""COMPUTED_VALUE"""),"error")</f>
        <v>error</v>
      </c>
      <c r="G439" s="30" t="str">
        <f>IFERROR(__xludf.DUMMYFUNCTION("""COMPUTED_VALUE"""),"Email Account/ TraderID Recognized")</f>
        <v>Email Account/ TraderID Recognized</v>
      </c>
      <c r="H439" s="119" t="str">
        <f>IFERROR(__xludf.DUMMYFUNCTION("""COMPUTED_VALUE"""),"NTDOY")</f>
        <v>NTDOY</v>
      </c>
      <c r="I439" s="30" t="str">
        <f>IFERROR(__xludf.DUMMYFUNCTION("""COMPUTED_VALUE"""),"all")</f>
        <v>all</v>
      </c>
      <c r="J439" s="30"/>
      <c r="K439" s="30" t="str">
        <f>IFERROR(__xludf.DUMMYFUNCTION("""COMPUTED_VALUE"""),"Non-number input in Quantity or Limit Price")</f>
        <v>Non-number input in Quantity or Limit Price</v>
      </c>
      <c r="L439" s="30" t="str">
        <f>IFERROR(__xludf.DUMMYFUNCTION("""COMPUTED_VALUE"""),"Order rejected due to wrong quantity. Has to be a number, not ""ALL"".")</f>
        <v>Order rejected due to wrong quantity. Has to be a number, not "ALL".</v>
      </c>
    </row>
    <row r="440">
      <c r="A440" s="5"/>
      <c r="B440" s="118">
        <f>IFERROR(__xludf.DUMMYFUNCTION("""COMPUTED_VALUE"""),44634.61636175926)</f>
        <v>44634.61636</v>
      </c>
      <c r="C440" s="120" t="str">
        <f>IFERROR(__xludf.DUMMYFUNCTION("""COMPUTED_VALUE"""),"")</f>
        <v/>
      </c>
      <c r="D440" s="5" t="str">
        <f>IFERROR(__xludf.DUMMYFUNCTION("""COMPUTED_VALUE"""),"38307")</f>
        <v>38307</v>
      </c>
      <c r="E440" s="5" t="str">
        <f>IFERROR(__xludf.DUMMYFUNCTION("""COMPUTED_VALUE"""),"Stock")</f>
        <v>Stock</v>
      </c>
      <c r="F440" s="5" t="str">
        <f>IFERROR(__xludf.DUMMYFUNCTION("""COMPUTED_VALUE"""),"error")</f>
        <v>error</v>
      </c>
      <c r="G440" s="30" t="str">
        <f>IFERROR(__xludf.DUMMYFUNCTION("""COMPUTED_VALUE"""),"Email Account/ TraderID Recognized")</f>
        <v>Email Account/ TraderID Recognized</v>
      </c>
      <c r="H440" s="119" t="str">
        <f>IFERROR(__xludf.DUMMYFUNCTION("""COMPUTED_VALUE"""),"000999")</f>
        <v>000999</v>
      </c>
      <c r="I440" s="30">
        <f>IFERROR(__xludf.DUMMYFUNCTION("""COMPUTED_VALUE"""),2000.0)</f>
        <v>2000</v>
      </c>
      <c r="J440" s="30"/>
      <c r="K440" s="30" t="str">
        <f>IFERROR(__xludf.DUMMYFUNCTION("""COMPUTED_VALUE"""),"QTY, Limit Price (if any) &amp; Password input correct")</f>
        <v>QTY, Limit Price (if any) &amp; Password input correct</v>
      </c>
      <c r="L440" s="30" t="str">
        <f>IFERROR(__xludf.DUMMYFUNCTION("""COMPUTED_VALUE"""),"Order rejected due to wrong ticker code.")</f>
        <v>Order rejected due to wrong ticker code.</v>
      </c>
    </row>
    <row r="441">
      <c r="A441" s="5"/>
      <c r="B441" s="118">
        <f>IFERROR(__xludf.DUMMYFUNCTION("""COMPUTED_VALUE"""),44634.61737396991)</f>
        <v>44634.61737</v>
      </c>
      <c r="C441" s="120" t="str">
        <f>IFERROR(__xludf.DUMMYFUNCTION("""COMPUTED_VALUE"""),"")</f>
        <v/>
      </c>
      <c r="D441" s="5" t="str">
        <f>IFERROR(__xludf.DUMMYFUNCTION("""COMPUTED_VALUE"""),"38307")</f>
        <v>38307</v>
      </c>
      <c r="E441" s="5" t="str">
        <f>IFERROR(__xludf.DUMMYFUNCTION("""COMPUTED_VALUE"""),"Stock")</f>
        <v>Stock</v>
      </c>
      <c r="F441" s="5" t="str">
        <f>IFERROR(__xludf.DUMMYFUNCTION("""COMPUTED_VALUE"""),"error")</f>
        <v>error</v>
      </c>
      <c r="G441" s="30" t="str">
        <f>IFERROR(__xludf.DUMMYFUNCTION("""COMPUTED_VALUE"""),"Email Account/ TraderID Recognized")</f>
        <v>Email Account/ TraderID Recognized</v>
      </c>
      <c r="H441" s="119" t="str">
        <f>IFERROR(__xludf.DUMMYFUNCTION("""COMPUTED_VALUE"""),"002104")</f>
        <v>002104</v>
      </c>
      <c r="I441" s="30">
        <f>IFERROR(__xludf.DUMMYFUNCTION("""COMPUTED_VALUE"""),2000.0)</f>
        <v>2000</v>
      </c>
      <c r="J441" s="30"/>
      <c r="K441" s="30" t="str">
        <f>IFERROR(__xludf.DUMMYFUNCTION("""COMPUTED_VALUE"""),"QTY, Limit Price (if any) &amp; Password input correct")</f>
        <v>QTY, Limit Price (if any) &amp; Password input correct</v>
      </c>
      <c r="L441" s="30" t="str">
        <f>IFERROR(__xludf.DUMMYFUNCTION("""COMPUTED_VALUE"""),"Order rejected due to wrong ticker code.")</f>
        <v>Order rejected due to wrong ticker code.</v>
      </c>
    </row>
    <row r="442">
      <c r="A442" s="5"/>
      <c r="B442" s="118">
        <f>IFERROR(__xludf.DUMMYFUNCTION("""COMPUTED_VALUE"""),44634.62142820602)</f>
        <v>44634.62143</v>
      </c>
      <c r="C442" s="120" t="str">
        <f>IFERROR(__xludf.DUMMYFUNCTION("""COMPUTED_VALUE"""),"")</f>
        <v/>
      </c>
      <c r="D442" s="5" t="str">
        <f>IFERROR(__xludf.DUMMYFUNCTION("""COMPUTED_VALUE"""),"38307")</f>
        <v>38307</v>
      </c>
      <c r="E442" s="5" t="str">
        <f>IFERROR(__xludf.DUMMYFUNCTION("""COMPUTED_VALUE"""),"Stock")</f>
        <v>Stock</v>
      </c>
      <c r="F442" s="5" t="str">
        <f>IFERROR(__xludf.DUMMYFUNCTION("""COMPUTED_VALUE"""),"error")</f>
        <v>error</v>
      </c>
      <c r="G442" s="30" t="str">
        <f>IFERROR(__xludf.DUMMYFUNCTION("""COMPUTED_VALUE"""),"Email Account/ TraderID Recognized")</f>
        <v>Email Account/ TraderID Recognized</v>
      </c>
      <c r="H442" s="119" t="str">
        <f>IFERROR(__xludf.DUMMYFUNCTION("""COMPUTED_VALUE"""),"HK0981")</f>
        <v>HK0981</v>
      </c>
      <c r="I442" s="30">
        <f>IFERROR(__xludf.DUMMYFUNCTION("""COMPUTED_VALUE"""),2000.0)</f>
        <v>2000</v>
      </c>
      <c r="J442" s="30"/>
      <c r="K442" s="30" t="str">
        <f>IFERROR(__xludf.DUMMYFUNCTION("""COMPUTED_VALUE"""),"QTY, Limit Price (if any) &amp; Password input correct")</f>
        <v>QTY, Limit Price (if any) &amp; Password input correct</v>
      </c>
      <c r="L442" s="30" t="str">
        <f>IFERROR(__xludf.DUMMYFUNCTION("""COMPUTED_VALUE"""),"Order rejected due to wrong ticker code.")</f>
        <v>Order rejected due to wrong ticker code.</v>
      </c>
    </row>
    <row r="443">
      <c r="A443" s="5"/>
      <c r="B443" s="118">
        <f>IFERROR(__xludf.DUMMYFUNCTION("""COMPUTED_VALUE"""),44634.623516377316)</f>
        <v>44634.62352</v>
      </c>
      <c r="C443" s="120" t="str">
        <f>IFERROR(__xludf.DUMMYFUNCTION("""COMPUTED_VALUE"""),"")</f>
        <v/>
      </c>
      <c r="D443" s="5" t="str">
        <f>IFERROR(__xludf.DUMMYFUNCTION("""COMPUTED_VALUE"""),"38307")</f>
        <v>38307</v>
      </c>
      <c r="E443" s="5" t="str">
        <f>IFERROR(__xludf.DUMMYFUNCTION("""COMPUTED_VALUE"""),"Stock")</f>
        <v>Stock</v>
      </c>
      <c r="F443" s="5" t="str">
        <f>IFERROR(__xludf.DUMMYFUNCTION("""COMPUTED_VALUE"""),"error")</f>
        <v>error</v>
      </c>
      <c r="G443" s="30" t="str">
        <f>IFERROR(__xludf.DUMMYFUNCTION("""COMPUTED_VALUE"""),"Email Account/ TraderID Recognized")</f>
        <v>Email Account/ TraderID Recognized</v>
      </c>
      <c r="H443" s="119" t="str">
        <f>IFERROR(__xludf.DUMMYFUNCTION("""COMPUTED_VALUE"""),"002603")</f>
        <v>002603</v>
      </c>
      <c r="I443" s="30">
        <f>IFERROR(__xludf.DUMMYFUNCTION("""COMPUTED_VALUE"""),3000.0)</f>
        <v>3000</v>
      </c>
      <c r="J443" s="30"/>
      <c r="K443" s="30" t="str">
        <f>IFERROR(__xludf.DUMMYFUNCTION("""COMPUTED_VALUE"""),"QTY, Limit Price (if any) &amp; Password input correct")</f>
        <v>QTY, Limit Price (if any) &amp; Password input correct</v>
      </c>
      <c r="L443" s="30" t="str">
        <f>IFERROR(__xludf.DUMMYFUNCTION("""COMPUTED_VALUE"""),"Order rejected due to wrong ticker code.")</f>
        <v>Order rejected due to wrong ticker code.</v>
      </c>
    </row>
    <row r="444">
      <c r="A444" s="5"/>
      <c r="B444" s="118">
        <f>IFERROR(__xludf.DUMMYFUNCTION("""COMPUTED_VALUE"""),44634.62519276621)</f>
        <v>44634.62519</v>
      </c>
      <c r="C444" s="120">
        <f>IFERROR(__xludf.DUMMYFUNCTION("""COMPUTED_VALUE"""),44634.666666666664)</f>
        <v>44634.66667</v>
      </c>
      <c r="D444" s="5" t="str">
        <f>IFERROR(__xludf.DUMMYFUNCTION("""COMPUTED_VALUE"""),"38307")</f>
        <v>38307</v>
      </c>
      <c r="E444" s="5" t="str">
        <f>IFERROR(__xludf.DUMMYFUNCTION("""COMPUTED_VALUE"""),"Stock")</f>
        <v>Stock</v>
      </c>
      <c r="F444" s="5" t="str">
        <f>IFERROR(__xludf.DUMMYFUNCTION("""COMPUTED_VALUE"""),"USD")</f>
        <v>USD</v>
      </c>
      <c r="G444" s="30" t="str">
        <f>IFERROR(__xludf.DUMMYFUNCTION("""COMPUTED_VALUE"""),"Email Account/ TraderID Recognized")</f>
        <v>Email Account/ TraderID Recognized</v>
      </c>
      <c r="H444" s="119" t="str">
        <f>IFERROR(__xludf.DUMMYFUNCTION("""COMPUTED_VALUE"""),"PFE")</f>
        <v>PFE</v>
      </c>
      <c r="I444" s="30">
        <f>IFERROR(__xludf.DUMMYFUNCTION("""COMPUTED_VALUE"""),500.0)</f>
        <v>500</v>
      </c>
      <c r="J444" s="30"/>
      <c r="K444" s="30" t="str">
        <f>IFERROR(__xludf.DUMMYFUNCTION("""COMPUTED_VALUE"""),"QTY, Limit Price (if any) &amp; Password input correct")</f>
        <v>QTY, Limit Price (if any) &amp; Password input correct</v>
      </c>
      <c r="L444" s="30"/>
    </row>
    <row r="445">
      <c r="A445" s="5"/>
      <c r="B445" s="118">
        <f>IFERROR(__xludf.DUMMYFUNCTION("""COMPUTED_VALUE"""),44634.62787131945)</f>
        <v>44634.62787</v>
      </c>
      <c r="C445" s="120" t="str">
        <f>IFERROR(__xludf.DUMMYFUNCTION("""COMPUTED_VALUE"""),"")</f>
        <v/>
      </c>
      <c r="D445" s="5" t="str">
        <f>IFERROR(__xludf.DUMMYFUNCTION("""COMPUTED_VALUE"""),"38307")</f>
        <v>38307</v>
      </c>
      <c r="E445" s="5" t="str">
        <f>IFERROR(__xludf.DUMMYFUNCTION("""COMPUTED_VALUE"""),"Stock")</f>
        <v>Stock</v>
      </c>
      <c r="F445" s="5" t="str">
        <f>IFERROR(__xludf.DUMMYFUNCTION("""COMPUTED_VALUE"""),"error")</f>
        <v>error</v>
      </c>
      <c r="G445" s="30" t="str">
        <f>IFERROR(__xludf.DUMMYFUNCTION("""COMPUTED_VALUE"""),"Email Account/ TraderID Recognized")</f>
        <v>Email Account/ TraderID Recognized</v>
      </c>
      <c r="H445" s="119" t="str">
        <f>IFERROR(__xludf.DUMMYFUNCTION("""COMPUTED_VALUE"""),"688575")</f>
        <v>688575</v>
      </c>
      <c r="I445" s="30">
        <f>IFERROR(__xludf.DUMMYFUNCTION("""COMPUTED_VALUE"""),1500.0)</f>
        <v>1500</v>
      </c>
      <c r="J445" s="30"/>
      <c r="K445" s="30" t="str">
        <f>IFERROR(__xludf.DUMMYFUNCTION("""COMPUTED_VALUE"""),"QTY, Limit Price (if any) &amp; Password input correct")</f>
        <v>QTY, Limit Price (if any) &amp; Password input correct</v>
      </c>
      <c r="L445" s="30" t="str">
        <f>IFERROR(__xludf.DUMMYFUNCTION("""COMPUTED_VALUE"""),"Order rejected due to wrong ticker code.")</f>
        <v>Order rejected due to wrong ticker code.</v>
      </c>
    </row>
    <row r="446">
      <c r="A446" s="5"/>
      <c r="B446" s="118">
        <f>IFERROR(__xludf.DUMMYFUNCTION("""COMPUTED_VALUE"""),44634.645683622686)</f>
        <v>44634.64568</v>
      </c>
      <c r="C446" s="120">
        <f>IFERROR(__xludf.DUMMYFUNCTION("""COMPUTED_VALUE"""),44634.666666666664)</f>
        <v>44634.66667</v>
      </c>
      <c r="D446" s="5" t="str">
        <f>IFERROR(__xludf.DUMMYFUNCTION("""COMPUTED_VALUE"""),"75415")</f>
        <v>75415</v>
      </c>
      <c r="E446" s="5" t="str">
        <f>IFERROR(__xludf.DUMMYFUNCTION("""COMPUTED_VALUE"""),"Stock")</f>
        <v>Stock</v>
      </c>
      <c r="F446" s="5" t="str">
        <f>IFERROR(__xludf.DUMMYFUNCTION("""COMPUTED_VALUE"""),"USD")</f>
        <v>USD</v>
      </c>
      <c r="G446" s="30" t="str">
        <f>IFERROR(__xludf.DUMMYFUNCTION("""COMPUTED_VALUE"""),"Email Account/ TraderID Recognized")</f>
        <v>Email Account/ TraderID Recognized</v>
      </c>
      <c r="H446" s="119" t="str">
        <f>IFERROR(__xludf.DUMMYFUNCTION("""COMPUTED_VALUE"""),"GBTC")</f>
        <v>GBTC</v>
      </c>
      <c r="I446" s="30">
        <f>IFERROR(__xludf.DUMMYFUNCTION("""COMPUTED_VALUE"""),415.0)</f>
        <v>415</v>
      </c>
      <c r="J446" s="30"/>
      <c r="K446" s="30" t="str">
        <f>IFERROR(__xludf.DUMMYFUNCTION("""COMPUTED_VALUE"""),"QTY, Limit Price (if any) &amp; Password input correct")</f>
        <v>QTY, Limit Price (if any) &amp; Password input correct</v>
      </c>
      <c r="L446" s="30"/>
    </row>
    <row r="447">
      <c r="A447" s="5"/>
      <c r="B447" s="118">
        <f>IFERROR(__xludf.DUMMYFUNCTION("""COMPUTED_VALUE"""),44634.64822340278)</f>
        <v>44634.64822</v>
      </c>
      <c r="C447" s="120">
        <f>IFERROR(__xludf.DUMMYFUNCTION("""COMPUTED_VALUE"""),44634.666666666664)</f>
        <v>44634.66667</v>
      </c>
      <c r="D447" s="5" t="str">
        <f>IFERROR(__xludf.DUMMYFUNCTION("""COMPUTED_VALUE"""),"75415")</f>
        <v>75415</v>
      </c>
      <c r="E447" s="5" t="str">
        <f>IFERROR(__xludf.DUMMYFUNCTION("""COMPUTED_VALUE"""),"Stock")</f>
        <v>Stock</v>
      </c>
      <c r="F447" s="5" t="str">
        <f>IFERROR(__xludf.DUMMYFUNCTION("""COMPUTED_VALUE"""),"USD")</f>
        <v>USD</v>
      </c>
      <c r="G447" s="30" t="str">
        <f>IFERROR(__xludf.DUMMYFUNCTION("""COMPUTED_VALUE"""),"Email Account/ TraderID Recognized")</f>
        <v>Email Account/ TraderID Recognized</v>
      </c>
      <c r="H447" s="119" t="str">
        <f>IFERROR(__xludf.DUMMYFUNCTION("""COMPUTED_VALUE"""),"f")</f>
        <v>f</v>
      </c>
      <c r="I447" s="30">
        <f>IFERROR(__xludf.DUMMYFUNCTION("""COMPUTED_VALUE"""),2850.0)</f>
        <v>2850</v>
      </c>
      <c r="J447" s="30"/>
      <c r="K447" s="30" t="str">
        <f>IFERROR(__xludf.DUMMYFUNCTION("""COMPUTED_VALUE"""),"QTY, Limit Price (if any) &amp; Password input correct")</f>
        <v>QTY, Limit Price (if any) &amp; Password input correct</v>
      </c>
      <c r="L447" s="30"/>
    </row>
    <row r="448">
      <c r="A448" s="5"/>
      <c r="B448" s="118">
        <f>IFERROR(__xludf.DUMMYFUNCTION("""COMPUTED_VALUE"""),44634.66612359954)</f>
        <v>44634.66612</v>
      </c>
      <c r="C448" s="120">
        <f>IFERROR(__xludf.DUMMYFUNCTION("""COMPUTED_VALUE"""),44634.666666666664)</f>
        <v>44634.66667</v>
      </c>
      <c r="D448" s="5" t="str">
        <f>IFERROR(__xludf.DUMMYFUNCTION("""COMPUTED_VALUE"""),"46975")</f>
        <v>46975</v>
      </c>
      <c r="E448" s="5" t="str">
        <f>IFERROR(__xludf.DUMMYFUNCTION("""COMPUTED_VALUE"""),"Stock")</f>
        <v>Stock</v>
      </c>
      <c r="F448" s="5" t="str">
        <f>IFERROR(__xludf.DUMMYFUNCTION("""COMPUTED_VALUE"""),"HKD")</f>
        <v>HKD</v>
      </c>
      <c r="G448" s="30" t="str">
        <f>IFERROR(__xludf.DUMMYFUNCTION("""COMPUTED_VALUE"""),"Email Account/ TraderID Recognized")</f>
        <v>Email Account/ TraderID Recognized</v>
      </c>
      <c r="H448" s="121" t="str">
        <f>IFERROR(__xludf.DUMMYFUNCTION("""COMPUTED_VALUE"""),"6862.HK")</f>
        <v>6862.HK</v>
      </c>
      <c r="I448" s="30">
        <f>IFERROR(__xludf.DUMMYFUNCTION("""COMPUTED_VALUE"""),100.0)</f>
        <v>100</v>
      </c>
      <c r="J448" s="30">
        <f>IFERROR(__xludf.DUMMYFUNCTION("""COMPUTED_VALUE"""),11.2)</f>
        <v>11.2</v>
      </c>
      <c r="K448" s="30" t="str">
        <f>IFERROR(__xludf.DUMMYFUNCTION("""COMPUTED_VALUE"""),"QTY, Limit Price (if any) &amp; Password input correct")</f>
        <v>QTY, Limit Price (if any) &amp; Password input correct</v>
      </c>
      <c r="L448" s="30"/>
    </row>
    <row r="449">
      <c r="A449" s="5"/>
      <c r="B449" s="118">
        <f>IFERROR(__xludf.DUMMYFUNCTION("""COMPUTED_VALUE"""),44634.68962304398)</f>
        <v>44634.68962</v>
      </c>
      <c r="C449" s="120">
        <f>IFERROR(__xludf.DUMMYFUNCTION("""COMPUTED_VALUE"""),44634.666666666664)</f>
        <v>44634.66667</v>
      </c>
      <c r="D449" s="5" t="str">
        <f>IFERROR(__xludf.DUMMYFUNCTION("""COMPUTED_VALUE"""),"89750")</f>
        <v>89750</v>
      </c>
      <c r="E449" s="5" t="str">
        <f>IFERROR(__xludf.DUMMYFUNCTION("""COMPUTED_VALUE"""),"Stock")</f>
        <v>Stock</v>
      </c>
      <c r="F449" s="5" t="str">
        <f>IFERROR(__xludf.DUMMYFUNCTION("""COMPUTED_VALUE"""),"USD")</f>
        <v>USD</v>
      </c>
      <c r="G449" s="30" t="str">
        <f>IFERROR(__xludf.DUMMYFUNCTION("""COMPUTED_VALUE"""),"Email Account/ TraderID Recognized")</f>
        <v>Email Account/ TraderID Recognized</v>
      </c>
      <c r="H449" s="119" t="str">
        <f>IFERROR(__xludf.DUMMYFUNCTION("""COMPUTED_VALUE"""),"TCEHY")</f>
        <v>TCEHY</v>
      </c>
      <c r="I449" s="30">
        <f>IFERROR(__xludf.DUMMYFUNCTION("""COMPUTED_VALUE"""),100.0)</f>
        <v>100</v>
      </c>
      <c r="J449" s="30"/>
      <c r="K449" s="30" t="str">
        <f>IFERROR(__xludf.DUMMYFUNCTION("""COMPUTED_VALUE"""),"QTY, Limit Price (if any) &amp; Password input correct")</f>
        <v>QTY, Limit Price (if any) &amp; Password input correct</v>
      </c>
      <c r="L449" s="30"/>
    </row>
    <row r="450">
      <c r="A450" s="5"/>
      <c r="B450" s="118">
        <f>IFERROR(__xludf.DUMMYFUNCTION("""COMPUTED_VALUE"""),44634.70904074074)</f>
        <v>44634.70904</v>
      </c>
      <c r="C450" s="120">
        <f>IFERROR(__xludf.DUMMYFUNCTION("""COMPUTED_VALUE"""),44634.666666666664)</f>
        <v>44634.66667</v>
      </c>
      <c r="D450" s="5" t="str">
        <f>IFERROR(__xludf.DUMMYFUNCTION("""COMPUTED_VALUE"""),"39441")</f>
        <v>39441</v>
      </c>
      <c r="E450" s="5" t="str">
        <f>IFERROR(__xludf.DUMMYFUNCTION("""COMPUTED_VALUE"""),"Stock")</f>
        <v>Stock</v>
      </c>
      <c r="F450" s="5" t="str">
        <f>IFERROR(__xludf.DUMMYFUNCTION("""COMPUTED_VALUE"""),"USD")</f>
        <v>USD</v>
      </c>
      <c r="G450" s="30" t="str">
        <f>IFERROR(__xludf.DUMMYFUNCTION("""COMPUTED_VALUE"""),"Email Account/ TraderID Recognized")</f>
        <v>Email Account/ TraderID Recognized</v>
      </c>
      <c r="H450" s="119" t="str">
        <f>IFERROR(__xludf.DUMMYFUNCTION("""COMPUTED_VALUE"""),"AMZN")</f>
        <v>AMZN</v>
      </c>
      <c r="I450" s="30">
        <f>IFERROR(__xludf.DUMMYFUNCTION("""COMPUTED_VALUE"""),5.0)</f>
        <v>5</v>
      </c>
      <c r="J450" s="30">
        <f>IFERROR(__xludf.DUMMYFUNCTION("""COMPUTED_VALUE"""),2910.0)</f>
        <v>2910</v>
      </c>
      <c r="K450" s="30" t="str">
        <f>IFERROR(__xludf.DUMMYFUNCTION("""COMPUTED_VALUE"""),"QTY, Limit Price (if any) &amp; Password input correct")</f>
        <v>QTY, Limit Price (if any) &amp; Password input correct</v>
      </c>
      <c r="L450" s="30"/>
    </row>
    <row r="451">
      <c r="A451" s="5"/>
      <c r="B451" s="118">
        <f>IFERROR(__xludf.DUMMYFUNCTION("""COMPUTED_VALUE"""),44634.71062784722)</f>
        <v>44634.71063</v>
      </c>
      <c r="C451" s="120">
        <f>IFERROR(__xludf.DUMMYFUNCTION("""COMPUTED_VALUE"""),44634.666666666664)</f>
        <v>44634.66667</v>
      </c>
      <c r="D451" s="5" t="str">
        <f>IFERROR(__xludf.DUMMYFUNCTION("""COMPUTED_VALUE"""),"39441")</f>
        <v>39441</v>
      </c>
      <c r="E451" s="5" t="str">
        <f>IFERROR(__xludf.DUMMYFUNCTION("""COMPUTED_VALUE"""),"Stock")</f>
        <v>Stock</v>
      </c>
      <c r="F451" s="5" t="str">
        <f>IFERROR(__xludf.DUMMYFUNCTION("""COMPUTED_VALUE"""),"USD")</f>
        <v>USD</v>
      </c>
      <c r="G451" s="30" t="str">
        <f>IFERROR(__xludf.DUMMYFUNCTION("""COMPUTED_VALUE"""),"Email Account/ TraderID Recognized")</f>
        <v>Email Account/ TraderID Recognized</v>
      </c>
      <c r="H451" s="119" t="str">
        <f>IFERROR(__xludf.DUMMYFUNCTION("""COMPUTED_VALUE"""),"BABA")</f>
        <v>BABA</v>
      </c>
      <c r="I451" s="30">
        <f>IFERROR(__xludf.DUMMYFUNCTION("""COMPUTED_VALUE"""),20.0)</f>
        <v>20</v>
      </c>
      <c r="J451" s="30"/>
      <c r="K451" s="30" t="str">
        <f>IFERROR(__xludf.DUMMYFUNCTION("""COMPUTED_VALUE"""),"QTY, Limit Price (if any) &amp; Password input correct")</f>
        <v>QTY, Limit Price (if any) &amp; Password input correct</v>
      </c>
      <c r="L451" s="30"/>
    </row>
    <row r="452">
      <c r="A452" s="5"/>
      <c r="B452" s="118">
        <f>IFERROR(__xludf.DUMMYFUNCTION("""COMPUTED_VALUE"""),44634.716167962964)</f>
        <v>44634.71617</v>
      </c>
      <c r="C452" s="120">
        <f>IFERROR(__xludf.DUMMYFUNCTION("""COMPUTED_VALUE"""),44635.666666666664)</f>
        <v>44635.66667</v>
      </c>
      <c r="D452" s="5" t="str">
        <f>IFERROR(__xludf.DUMMYFUNCTION("""COMPUTED_VALUE"""),"39441")</f>
        <v>39441</v>
      </c>
      <c r="E452" s="5" t="str">
        <f>IFERROR(__xludf.DUMMYFUNCTION("""COMPUTED_VALUE"""),"Stock")</f>
        <v>Stock</v>
      </c>
      <c r="F452" s="5" t="str">
        <f>IFERROR(__xludf.DUMMYFUNCTION("""COMPUTED_VALUE"""),"HKD")</f>
        <v>HKD</v>
      </c>
      <c r="G452" s="30" t="str">
        <f>IFERROR(__xludf.DUMMYFUNCTION("""COMPUTED_VALUE"""),"Email Account/ TraderID Recognized")</f>
        <v>Email Account/ TraderID Recognized</v>
      </c>
      <c r="H452" s="121" t="str">
        <f>IFERROR(__xludf.DUMMYFUNCTION("""COMPUTED_VALUE"""),"0070.HK")</f>
        <v>0070.HK</v>
      </c>
      <c r="I452" s="30">
        <f>IFERROR(__xludf.DUMMYFUNCTION("""COMPUTED_VALUE"""),100.0)</f>
        <v>100</v>
      </c>
      <c r="J452" s="30"/>
      <c r="K452" s="30" t="str">
        <f>IFERROR(__xludf.DUMMYFUNCTION("""COMPUTED_VALUE"""),"QTY, Limit Price (if any) &amp; Password input correct")</f>
        <v>QTY, Limit Price (if any) &amp; Password input correct</v>
      </c>
      <c r="L452" s="30"/>
    </row>
    <row r="453">
      <c r="A453" s="5"/>
      <c r="B453" s="118">
        <f>IFERROR(__xludf.DUMMYFUNCTION("""COMPUTED_VALUE"""),44634.74756153935)</f>
        <v>44634.74756</v>
      </c>
      <c r="C453" s="120" t="str">
        <f>IFERROR(__xludf.DUMMYFUNCTION("""COMPUTED_VALUE"""),"")</f>
        <v/>
      </c>
      <c r="D453" s="5" t="str">
        <f>IFERROR(__xludf.DUMMYFUNCTION("""COMPUTED_VALUE"""),"75369")</f>
        <v>75369</v>
      </c>
      <c r="E453" s="5" t="str">
        <f>IFERROR(__xludf.DUMMYFUNCTION("""COMPUTED_VALUE"""),"Stock")</f>
        <v>Stock</v>
      </c>
      <c r="F453" s="5" t="str">
        <f>IFERROR(__xludf.DUMMYFUNCTION("""COMPUTED_VALUE"""),"error")</f>
        <v>error</v>
      </c>
      <c r="G453" s="30" t="str">
        <f>IFERROR(__xludf.DUMMYFUNCTION("""COMPUTED_VALUE"""),"Email Account/ TraderID Recognized")</f>
        <v>Email Account/ TraderID Recognized</v>
      </c>
      <c r="H453" s="119" t="str">
        <f>IFERROR(__xludf.DUMMYFUNCTION("""COMPUTED_VALUE"""),"2809")</f>
        <v>2809</v>
      </c>
      <c r="I453" s="30">
        <f>IFERROR(__xludf.DUMMYFUNCTION("""COMPUTED_VALUE"""),100.0)</f>
        <v>100</v>
      </c>
      <c r="J453" s="30"/>
      <c r="K453" s="30" t="str">
        <f>IFERROR(__xludf.DUMMYFUNCTION("""COMPUTED_VALUE"""),"Wrong Password Submitted, Order will be rejected")</f>
        <v>Wrong Password Submitted, Order will be rejected</v>
      </c>
      <c r="L453" s="30" t="str">
        <f>IFERROR(__xludf.DUMMYFUNCTION("""COMPUTED_VALUE"""),"Order rejected due to wrong ticker code and wrong password.")</f>
        <v>Order rejected due to wrong ticker code and wrong password.</v>
      </c>
    </row>
    <row r="454">
      <c r="A454" s="5"/>
      <c r="B454" s="118">
        <f>IFERROR(__xludf.DUMMYFUNCTION("""COMPUTED_VALUE"""),44634.80845894676)</f>
        <v>44634.80846</v>
      </c>
      <c r="C454" s="120" t="str">
        <f>IFERROR(__xludf.DUMMYFUNCTION("""COMPUTED_VALUE"""),"")</f>
        <v/>
      </c>
      <c r="D454" s="5" t="str">
        <f>IFERROR(__xludf.DUMMYFUNCTION("""COMPUTED_VALUE"""),"56118")</f>
        <v>56118</v>
      </c>
      <c r="E454" s="5" t="str">
        <f>IFERROR(__xludf.DUMMYFUNCTION("""COMPUTED_VALUE"""),"Stock")</f>
        <v>Stock</v>
      </c>
      <c r="F454" s="5" t="str">
        <f>IFERROR(__xludf.DUMMYFUNCTION("""COMPUTED_VALUE"""),"error")</f>
        <v>error</v>
      </c>
      <c r="G454" s="30" t="str">
        <f>IFERROR(__xludf.DUMMYFUNCTION("""COMPUTED_VALUE"""),"Email Account/ TraderID Recognized")</f>
        <v>Email Account/ TraderID Recognized</v>
      </c>
      <c r="H454" s="119" t="str">
        <f>IFERROR(__xludf.DUMMYFUNCTION("""COMPUTED_VALUE"""),"2638")</f>
        <v>2638</v>
      </c>
      <c r="I454" s="30">
        <f>IFERROR(__xludf.DUMMYFUNCTION("""COMPUTED_VALUE"""),4000.0)</f>
        <v>4000</v>
      </c>
      <c r="J454" s="30" t="str">
        <f>IFERROR(__xludf.DUMMYFUNCTION("""COMPUTED_VALUE""")," Limit Sell @ 7.8 - if Closing @ 8.0 = Executed price @ 7.8; if Closing @ 8 = no execution")</f>
        <v> Limit Sell @ 7.8 - if Closing @ 8.0 = Executed price @ 7.8; if Closing @ 8 = no execution</v>
      </c>
      <c r="K454" s="30" t="str">
        <f>IFERROR(__xludf.DUMMYFUNCTION("""COMPUTED_VALUE"""),"Non-number input in Quantity or Limit Price")</f>
        <v>Non-number input in Quantity or Limit Price</v>
      </c>
      <c r="L454" s="30" t="str">
        <f>IFERROR(__xludf.DUMMYFUNCTION("""COMPUTED_VALUE"""),"Order rejected due to wrong ticker code and also the non-number input in Limit Order Box.")</f>
        <v>Order rejected due to wrong ticker code and also the non-number input in Limit Order Box.</v>
      </c>
    </row>
    <row r="455">
      <c r="A455" s="5"/>
      <c r="B455" s="118">
        <f>IFERROR(__xludf.DUMMYFUNCTION("""COMPUTED_VALUE"""),44634.82086627315)</f>
        <v>44634.82087</v>
      </c>
      <c r="C455" s="120">
        <f>IFERROR(__xludf.DUMMYFUNCTION("""COMPUTED_VALUE"""),44635.666666666664)</f>
        <v>44635.66667</v>
      </c>
      <c r="D455" s="5" t="str">
        <f>IFERROR(__xludf.DUMMYFUNCTION("""COMPUTED_VALUE"""),"46600")</f>
        <v>46600</v>
      </c>
      <c r="E455" s="5" t="str">
        <f>IFERROR(__xludf.DUMMYFUNCTION("""COMPUTED_VALUE"""),"Stock")</f>
        <v>Stock</v>
      </c>
      <c r="F455" s="5" t="str">
        <f>IFERROR(__xludf.DUMMYFUNCTION("""COMPUTED_VALUE"""),"HKD")</f>
        <v>HKD</v>
      </c>
      <c r="G455" s="30" t="str">
        <f>IFERROR(__xludf.DUMMYFUNCTION("""COMPUTED_VALUE"""),"Email Account/ TraderID Recognized")</f>
        <v>Email Account/ TraderID Recognized</v>
      </c>
      <c r="H455" s="121" t="str">
        <f>IFERROR(__xludf.DUMMYFUNCTION("""COMPUTED_VALUE"""),"0700.HK")</f>
        <v>0700.HK</v>
      </c>
      <c r="I455" s="30">
        <f>IFERROR(__xludf.DUMMYFUNCTION("""COMPUTED_VALUE"""),200.0)</f>
        <v>200</v>
      </c>
      <c r="J455" s="30">
        <f>IFERROR(__xludf.DUMMYFUNCTION("""COMPUTED_VALUE"""),320.0)</f>
        <v>320</v>
      </c>
      <c r="K455" s="30" t="str">
        <f>IFERROR(__xludf.DUMMYFUNCTION("""COMPUTED_VALUE"""),"QTY, Limit Price (if any) &amp; Password input correct")</f>
        <v>QTY, Limit Price (if any) &amp; Password input correct</v>
      </c>
      <c r="L455" s="30"/>
    </row>
    <row r="456">
      <c r="A456" s="5"/>
      <c r="B456" s="118">
        <f>IFERROR(__xludf.DUMMYFUNCTION("""COMPUTED_VALUE"""),44634.84784398148)</f>
        <v>44634.84784</v>
      </c>
      <c r="C456" s="120">
        <f>IFERROR(__xludf.DUMMYFUNCTION("""COMPUTED_VALUE"""),44634.666666666664)</f>
        <v>44634.66667</v>
      </c>
      <c r="D456" s="5" t="str">
        <f>IFERROR(__xludf.DUMMYFUNCTION("""COMPUTED_VALUE"""),"82533")</f>
        <v>82533</v>
      </c>
      <c r="E456" s="5" t="str">
        <f>IFERROR(__xludf.DUMMYFUNCTION("""COMPUTED_VALUE"""),"Stock")</f>
        <v>Stock</v>
      </c>
      <c r="F456" s="5" t="str">
        <f>IFERROR(__xludf.DUMMYFUNCTION("""COMPUTED_VALUE"""),"USD")</f>
        <v>USD</v>
      </c>
      <c r="G456" s="30" t="str">
        <f>IFERROR(__xludf.DUMMYFUNCTION("""COMPUTED_VALUE"""),"Email Account/ TraderID Recognized")</f>
        <v>Email Account/ TraderID Recognized</v>
      </c>
      <c r="H456" s="119" t="str">
        <f>IFERROR(__xludf.DUMMYFUNCTION("""COMPUTED_VALUE"""),"BITO")</f>
        <v>BITO</v>
      </c>
      <c r="I456" s="30">
        <f>IFERROR(__xludf.DUMMYFUNCTION("""COMPUTED_VALUE"""),1000.0)</f>
        <v>1000</v>
      </c>
      <c r="J456" s="30"/>
      <c r="K456" s="30" t="str">
        <f>IFERROR(__xludf.DUMMYFUNCTION("""COMPUTED_VALUE"""),"QTY, Limit Price (if any) &amp; Password input correct")</f>
        <v>QTY, Limit Price (if any) &amp; Password input correct</v>
      </c>
      <c r="L456" s="30"/>
    </row>
    <row r="457">
      <c r="A457" s="5"/>
      <c r="B457" s="118">
        <f>IFERROR(__xludf.DUMMYFUNCTION("""COMPUTED_VALUE"""),44634.90416421296)</f>
        <v>44634.90416</v>
      </c>
      <c r="C457" s="120">
        <f>IFERROR(__xludf.DUMMYFUNCTION("""COMPUTED_VALUE"""),44634.666666666664)</f>
        <v>44634.66667</v>
      </c>
      <c r="D457" s="5" t="str">
        <f>IFERROR(__xludf.DUMMYFUNCTION("""COMPUTED_VALUE"""),"38307")</f>
        <v>38307</v>
      </c>
      <c r="E457" s="5" t="str">
        <f>IFERROR(__xludf.DUMMYFUNCTION("""COMPUTED_VALUE"""),"Stock")</f>
        <v>Stock</v>
      </c>
      <c r="F457" s="5" t="str">
        <f>IFERROR(__xludf.DUMMYFUNCTION("""COMPUTED_VALUE"""),"USD")</f>
        <v>USD</v>
      </c>
      <c r="G457" s="30" t="str">
        <f>IFERROR(__xludf.DUMMYFUNCTION("""COMPUTED_VALUE"""),"Email Account/ TraderID Recognized")</f>
        <v>Email Account/ TraderID Recognized</v>
      </c>
      <c r="H457" s="119" t="str">
        <f>IFERROR(__xludf.DUMMYFUNCTION("""COMPUTED_VALUE"""),"PFE")</f>
        <v>PFE</v>
      </c>
      <c r="I457" s="30">
        <f>IFERROR(__xludf.DUMMYFUNCTION("""COMPUTED_VALUE"""),500.0)</f>
        <v>500</v>
      </c>
      <c r="J457" s="30"/>
      <c r="K457" s="30" t="str">
        <f>IFERROR(__xludf.DUMMYFUNCTION("""COMPUTED_VALUE"""),"QTY, Limit Price (if any) &amp; Password input correct")</f>
        <v>QTY, Limit Price (if any) &amp; Password input correct</v>
      </c>
      <c r="L457" s="30"/>
    </row>
    <row r="458">
      <c r="A458" s="5"/>
      <c r="B458" s="118">
        <f>IFERROR(__xludf.DUMMYFUNCTION("""COMPUTED_VALUE"""),44634.90565690972)</f>
        <v>44634.90566</v>
      </c>
      <c r="C458" s="120">
        <f>IFERROR(__xludf.DUMMYFUNCTION("""COMPUTED_VALUE"""),44634.666666666664)</f>
        <v>44634.66667</v>
      </c>
      <c r="D458" s="5" t="str">
        <f>IFERROR(__xludf.DUMMYFUNCTION("""COMPUTED_VALUE"""),"82533")</f>
        <v>82533</v>
      </c>
      <c r="E458" s="5" t="str">
        <f>IFERROR(__xludf.DUMMYFUNCTION("""COMPUTED_VALUE"""),"Option")</f>
        <v>Option</v>
      </c>
      <c r="F458" s="5" t="str">
        <f>IFERROR(__xludf.DUMMYFUNCTION("""COMPUTED_VALUE"""),"USD")</f>
        <v>USD</v>
      </c>
      <c r="G458" s="30" t="str">
        <f>IFERROR(__xludf.DUMMYFUNCTION("""COMPUTED_VALUE"""),"Email Account/ TraderID Recognized")</f>
        <v>Email Account/ TraderID Recognized</v>
      </c>
      <c r="H458" s="119" t="str">
        <f>IFERROR(__xludf.DUMMYFUNCTION("""COMPUTED_VALUE"""),"TSLA220318C00005000")</f>
        <v>TSLA220318C00005000</v>
      </c>
      <c r="I458" s="30">
        <f>IFERROR(__xludf.DUMMYFUNCTION("""COMPUTED_VALUE"""),15.0)</f>
        <v>15</v>
      </c>
      <c r="J458" s="30"/>
      <c r="K458" s="30" t="str">
        <f>IFERROR(__xludf.DUMMYFUNCTION("""COMPUTED_VALUE"""),"QTY, Limit Price (if any) &amp; Password input correct")</f>
        <v>QTY, Limit Price (if any) &amp; Password input correct</v>
      </c>
      <c r="L458" s="30"/>
    </row>
    <row r="459">
      <c r="A459" s="5"/>
      <c r="B459" s="118">
        <f>IFERROR(__xludf.DUMMYFUNCTION("""COMPUTED_VALUE"""),44634.908526354164)</f>
        <v>44634.90853</v>
      </c>
      <c r="C459" s="120">
        <f>IFERROR(__xludf.DUMMYFUNCTION("""COMPUTED_VALUE"""),44634.666666666664)</f>
        <v>44634.66667</v>
      </c>
      <c r="D459" s="5" t="str">
        <f>IFERROR(__xludf.DUMMYFUNCTION("""COMPUTED_VALUE"""),"38307")</f>
        <v>38307</v>
      </c>
      <c r="E459" s="5" t="str">
        <f>IFERROR(__xludf.DUMMYFUNCTION("""COMPUTED_VALUE"""),"Stock")</f>
        <v>Stock</v>
      </c>
      <c r="F459" s="5" t="str">
        <f>IFERROR(__xludf.DUMMYFUNCTION("""COMPUTED_VALUE"""),"USD")</f>
        <v>USD</v>
      </c>
      <c r="G459" s="30" t="str">
        <f>IFERROR(__xludf.DUMMYFUNCTION("""COMPUTED_VALUE"""),"Email Account/ TraderID Recognized")</f>
        <v>Email Account/ TraderID Recognized</v>
      </c>
      <c r="H459" s="119" t="str">
        <f>IFERROR(__xludf.DUMMYFUNCTION("""COMPUTED_VALUE"""),"NVAX")</f>
        <v>NVAX</v>
      </c>
      <c r="I459" s="30">
        <f>IFERROR(__xludf.DUMMYFUNCTION("""COMPUTED_VALUE"""),300.0)</f>
        <v>300</v>
      </c>
      <c r="J459" s="30"/>
      <c r="K459" s="30" t="str">
        <f>IFERROR(__xludf.DUMMYFUNCTION("""COMPUTED_VALUE"""),"QTY, Limit Price (if any) &amp; Password input correct")</f>
        <v>QTY, Limit Price (if any) &amp; Password input correct</v>
      </c>
      <c r="L459" s="30"/>
    </row>
    <row r="460">
      <c r="A460" s="5"/>
      <c r="B460" s="118">
        <f>IFERROR(__xludf.DUMMYFUNCTION("""COMPUTED_VALUE"""),44635.000532245365)</f>
        <v>44635.00053</v>
      </c>
      <c r="C460" s="120">
        <f>IFERROR(__xludf.DUMMYFUNCTION("""COMPUTED_VALUE"""),44634.666666666664)</f>
        <v>44634.66667</v>
      </c>
      <c r="D460" s="5" t="str">
        <f>IFERROR(__xludf.DUMMYFUNCTION("""COMPUTED_VALUE"""),"46322")</f>
        <v>46322</v>
      </c>
      <c r="E460" s="5" t="str">
        <f>IFERROR(__xludf.DUMMYFUNCTION("""COMPUTED_VALUE"""),"Stock")</f>
        <v>Stock</v>
      </c>
      <c r="F460" s="5" t="str">
        <f>IFERROR(__xludf.DUMMYFUNCTION("""COMPUTED_VALUE"""),"USD")</f>
        <v>USD</v>
      </c>
      <c r="G460" s="30" t="str">
        <f>IFERROR(__xludf.DUMMYFUNCTION("""COMPUTED_VALUE"""),"Email Account/ TraderID Recognized")</f>
        <v>Email Account/ TraderID Recognized</v>
      </c>
      <c r="H460" s="119" t="str">
        <f>IFERROR(__xludf.DUMMYFUNCTION("""COMPUTED_VALUE"""),"SARK")</f>
        <v>SARK</v>
      </c>
      <c r="I460" s="30">
        <f>IFERROR(__xludf.DUMMYFUNCTION("""COMPUTED_VALUE"""),1000.0)</f>
        <v>1000</v>
      </c>
      <c r="J460" s="30"/>
      <c r="K460" s="30" t="str">
        <f>IFERROR(__xludf.DUMMYFUNCTION("""COMPUTED_VALUE"""),"QTY, Limit Price (if any) &amp; Password input correct")</f>
        <v>QTY, Limit Price (if any) &amp; Password input correct</v>
      </c>
      <c r="L460" s="30"/>
    </row>
    <row r="461">
      <c r="A461" s="5"/>
      <c r="B461" s="118">
        <f>IFERROR(__xludf.DUMMYFUNCTION("""COMPUTED_VALUE"""),44635.00277060185)</f>
        <v>44635.00277</v>
      </c>
      <c r="C461" s="120">
        <f>IFERROR(__xludf.DUMMYFUNCTION("""COMPUTED_VALUE"""),44634.666666666664)</f>
        <v>44634.66667</v>
      </c>
      <c r="D461" s="5" t="str">
        <f>IFERROR(__xludf.DUMMYFUNCTION("""COMPUTED_VALUE"""),"24442")</f>
        <v>24442</v>
      </c>
      <c r="E461" s="5" t="str">
        <f>IFERROR(__xludf.DUMMYFUNCTION("""COMPUTED_VALUE"""),"Stock")</f>
        <v>Stock</v>
      </c>
      <c r="F461" s="5" t="str">
        <f>IFERROR(__xludf.DUMMYFUNCTION("""COMPUTED_VALUE"""),"USD")</f>
        <v>USD</v>
      </c>
      <c r="G461" s="30" t="str">
        <f>IFERROR(__xludf.DUMMYFUNCTION("""COMPUTED_VALUE"""),"Email Account/ TraderID Recognized")</f>
        <v>Email Account/ TraderID Recognized</v>
      </c>
      <c r="H461" s="119" t="str">
        <f>IFERROR(__xludf.DUMMYFUNCTION("""COMPUTED_VALUE"""),"XLRE")</f>
        <v>XLRE</v>
      </c>
      <c r="I461" s="30">
        <f>IFERROR(__xludf.DUMMYFUNCTION("""COMPUTED_VALUE"""),159.0)</f>
        <v>159</v>
      </c>
      <c r="J461" s="30"/>
      <c r="K461" s="30" t="str">
        <f>IFERROR(__xludf.DUMMYFUNCTION("""COMPUTED_VALUE"""),"QTY, Limit Price (if any) &amp; Password input correct")</f>
        <v>QTY, Limit Price (if any) &amp; Password input correct</v>
      </c>
      <c r="L461" s="30"/>
    </row>
    <row r="462">
      <c r="A462" s="5"/>
      <c r="B462" s="118">
        <f>IFERROR(__xludf.DUMMYFUNCTION("""COMPUTED_VALUE"""),44635.003592395835)</f>
        <v>44635.00359</v>
      </c>
      <c r="C462" s="120">
        <f>IFERROR(__xludf.DUMMYFUNCTION("""COMPUTED_VALUE"""),44634.666666666664)</f>
        <v>44634.66667</v>
      </c>
      <c r="D462" s="5" t="str">
        <f>IFERROR(__xludf.DUMMYFUNCTION("""COMPUTED_VALUE"""),"24442")</f>
        <v>24442</v>
      </c>
      <c r="E462" s="5" t="str">
        <f>IFERROR(__xludf.DUMMYFUNCTION("""COMPUTED_VALUE"""),"Stock")</f>
        <v>Stock</v>
      </c>
      <c r="F462" s="5" t="str">
        <f>IFERROR(__xludf.DUMMYFUNCTION("""COMPUTED_VALUE"""),"USD")</f>
        <v>USD</v>
      </c>
      <c r="G462" s="30" t="str">
        <f>IFERROR(__xludf.DUMMYFUNCTION("""COMPUTED_VALUE"""),"Email Account/ TraderID Recognized")</f>
        <v>Email Account/ TraderID Recognized</v>
      </c>
      <c r="H462" s="119" t="str">
        <f>IFERROR(__xludf.DUMMYFUNCTION("""COMPUTED_VALUE"""),"XLU")</f>
        <v>XLU</v>
      </c>
      <c r="I462" s="30">
        <f>IFERROR(__xludf.DUMMYFUNCTION("""COMPUTED_VALUE"""),112.0)</f>
        <v>112</v>
      </c>
      <c r="J462" s="30"/>
      <c r="K462" s="30" t="str">
        <f>IFERROR(__xludf.DUMMYFUNCTION("""COMPUTED_VALUE"""),"QTY, Limit Price (if any) &amp; Password input correct")</f>
        <v>QTY, Limit Price (if any) &amp; Password input correct</v>
      </c>
      <c r="L462" s="30"/>
    </row>
    <row r="463">
      <c r="A463" s="5"/>
      <c r="B463" s="118">
        <f>IFERROR(__xludf.DUMMYFUNCTION("""COMPUTED_VALUE"""),44635.00473560185)</f>
        <v>44635.00474</v>
      </c>
      <c r="C463" s="120">
        <f>IFERROR(__xludf.DUMMYFUNCTION("""COMPUTED_VALUE"""),44634.666666666664)</f>
        <v>44634.66667</v>
      </c>
      <c r="D463" s="5" t="str">
        <f>IFERROR(__xludf.DUMMYFUNCTION("""COMPUTED_VALUE"""),"24442")</f>
        <v>24442</v>
      </c>
      <c r="E463" s="5" t="str">
        <f>IFERROR(__xludf.DUMMYFUNCTION("""COMPUTED_VALUE"""),"Stock")</f>
        <v>Stock</v>
      </c>
      <c r="F463" s="5" t="str">
        <f>IFERROR(__xludf.DUMMYFUNCTION("""COMPUTED_VALUE"""),"USD")</f>
        <v>USD</v>
      </c>
      <c r="G463" s="30" t="str">
        <f>IFERROR(__xludf.DUMMYFUNCTION("""COMPUTED_VALUE"""),"Email Account/ TraderID Recognized")</f>
        <v>Email Account/ TraderID Recognized</v>
      </c>
      <c r="H463" s="119" t="str">
        <f>IFERROR(__xludf.DUMMYFUNCTION("""COMPUTED_VALUE"""),"XLP")</f>
        <v>XLP</v>
      </c>
      <c r="I463" s="30">
        <f>IFERROR(__xludf.DUMMYFUNCTION("""COMPUTED_VALUE"""),190.0)</f>
        <v>190</v>
      </c>
      <c r="J463" s="30"/>
      <c r="K463" s="30" t="str">
        <f>IFERROR(__xludf.DUMMYFUNCTION("""COMPUTED_VALUE"""),"QTY, Limit Price (if any) &amp; Password input correct")</f>
        <v>QTY, Limit Price (if any) &amp; Password input correct</v>
      </c>
      <c r="L463" s="30"/>
    </row>
    <row r="464">
      <c r="A464" s="5"/>
      <c r="B464" s="118">
        <f>IFERROR(__xludf.DUMMYFUNCTION("""COMPUTED_VALUE"""),44635.00542127315)</f>
        <v>44635.00542</v>
      </c>
      <c r="C464" s="120">
        <f>IFERROR(__xludf.DUMMYFUNCTION("""COMPUTED_VALUE"""),44634.666666666664)</f>
        <v>44634.66667</v>
      </c>
      <c r="D464" s="5" t="str">
        <f>IFERROR(__xludf.DUMMYFUNCTION("""COMPUTED_VALUE"""),"24442")</f>
        <v>24442</v>
      </c>
      <c r="E464" s="5" t="str">
        <f>IFERROR(__xludf.DUMMYFUNCTION("""COMPUTED_VALUE"""),"Stock")</f>
        <v>Stock</v>
      </c>
      <c r="F464" s="5" t="str">
        <f>IFERROR(__xludf.DUMMYFUNCTION("""COMPUTED_VALUE"""),"USD")</f>
        <v>USD</v>
      </c>
      <c r="G464" s="30" t="str">
        <f>IFERROR(__xludf.DUMMYFUNCTION("""COMPUTED_VALUE"""),"Email Account/ TraderID Recognized")</f>
        <v>Email Account/ TraderID Recognized</v>
      </c>
      <c r="H464" s="119" t="str">
        <f>IFERROR(__xludf.DUMMYFUNCTION("""COMPUTED_VALUE"""),"XLE")</f>
        <v>XLE</v>
      </c>
      <c r="I464" s="30">
        <f>IFERROR(__xludf.DUMMYFUNCTION("""COMPUTED_VALUE"""),19.0)</f>
        <v>19</v>
      </c>
      <c r="J464" s="30"/>
      <c r="K464" s="30" t="str">
        <f>IFERROR(__xludf.DUMMYFUNCTION("""COMPUTED_VALUE"""),"QTY, Limit Price (if any) &amp; Password input correct")</f>
        <v>QTY, Limit Price (if any) &amp; Password input correct</v>
      </c>
      <c r="L464" s="30"/>
    </row>
    <row r="465">
      <c r="A465" s="5"/>
      <c r="B465" s="118">
        <f>IFERROR(__xludf.DUMMYFUNCTION("""COMPUTED_VALUE"""),44635.00637371528)</f>
        <v>44635.00637</v>
      </c>
      <c r="C465" s="120">
        <f>IFERROR(__xludf.DUMMYFUNCTION("""COMPUTED_VALUE"""),44634.666666666664)</f>
        <v>44634.66667</v>
      </c>
      <c r="D465" s="5" t="str">
        <f>IFERROR(__xludf.DUMMYFUNCTION("""COMPUTED_VALUE"""),"24442")</f>
        <v>24442</v>
      </c>
      <c r="E465" s="5" t="str">
        <f>IFERROR(__xludf.DUMMYFUNCTION("""COMPUTED_VALUE"""),"Stock")</f>
        <v>Stock</v>
      </c>
      <c r="F465" s="5" t="str">
        <f>IFERROR(__xludf.DUMMYFUNCTION("""COMPUTED_VALUE"""),"USD")</f>
        <v>USD</v>
      </c>
      <c r="G465" s="30" t="str">
        <f>IFERROR(__xludf.DUMMYFUNCTION("""COMPUTED_VALUE"""),"Email Account/ TraderID Recognized")</f>
        <v>Email Account/ TraderID Recognized</v>
      </c>
      <c r="H465" s="119" t="str">
        <f>IFERROR(__xludf.DUMMYFUNCTION("""COMPUTED_VALUE"""),"XLF")</f>
        <v>XLF</v>
      </c>
      <c r="I465" s="30">
        <f>IFERROR(__xludf.DUMMYFUNCTION("""COMPUTED_VALUE"""),70.0)</f>
        <v>70</v>
      </c>
      <c r="J465" s="30"/>
      <c r="K465" s="30" t="str">
        <f>IFERROR(__xludf.DUMMYFUNCTION("""COMPUTED_VALUE"""),"QTY, Limit Price (if any) &amp; Password input correct")</f>
        <v>QTY, Limit Price (if any) &amp; Password input correct</v>
      </c>
      <c r="L465" s="30"/>
    </row>
    <row r="466">
      <c r="A466" s="5"/>
      <c r="B466" s="118">
        <f>IFERROR(__xludf.DUMMYFUNCTION("""COMPUTED_VALUE"""),44635.00728950232)</f>
        <v>44635.00729</v>
      </c>
      <c r="C466" s="120">
        <f>IFERROR(__xludf.DUMMYFUNCTION("""COMPUTED_VALUE"""),44634.666666666664)</f>
        <v>44634.66667</v>
      </c>
      <c r="D466" s="5" t="str">
        <f>IFERROR(__xludf.DUMMYFUNCTION("""COMPUTED_VALUE"""),"24442")</f>
        <v>24442</v>
      </c>
      <c r="E466" s="5" t="str">
        <f>IFERROR(__xludf.DUMMYFUNCTION("""COMPUTED_VALUE"""),"Stock")</f>
        <v>Stock</v>
      </c>
      <c r="F466" s="5" t="str">
        <f>IFERROR(__xludf.DUMMYFUNCTION("""COMPUTED_VALUE"""),"USD")</f>
        <v>USD</v>
      </c>
      <c r="G466" s="30" t="str">
        <f>IFERROR(__xludf.DUMMYFUNCTION("""COMPUTED_VALUE"""),"Email Account/ TraderID Recognized")</f>
        <v>Email Account/ TraderID Recognized</v>
      </c>
      <c r="H466" s="119" t="str">
        <f>IFERROR(__xludf.DUMMYFUNCTION("""COMPUTED_VALUE"""),"XLB")</f>
        <v>XLB</v>
      </c>
      <c r="I466" s="30">
        <f>IFERROR(__xludf.DUMMYFUNCTION("""COMPUTED_VALUE"""),45.0)</f>
        <v>45</v>
      </c>
      <c r="J466" s="30"/>
      <c r="K466" s="30" t="str">
        <f>IFERROR(__xludf.DUMMYFUNCTION("""COMPUTED_VALUE"""),"QTY, Limit Price (if any) &amp; Password input correct")</f>
        <v>QTY, Limit Price (if any) &amp; Password input correct</v>
      </c>
      <c r="L466" s="30"/>
    </row>
    <row r="467">
      <c r="A467" s="5"/>
      <c r="B467" s="118">
        <f>IFERROR(__xludf.DUMMYFUNCTION("""COMPUTED_VALUE"""),44635.00824737268)</f>
        <v>44635.00825</v>
      </c>
      <c r="C467" s="120">
        <f>IFERROR(__xludf.DUMMYFUNCTION("""COMPUTED_VALUE"""),44634.666666666664)</f>
        <v>44634.66667</v>
      </c>
      <c r="D467" s="5" t="str">
        <f>IFERROR(__xludf.DUMMYFUNCTION("""COMPUTED_VALUE"""),"24442")</f>
        <v>24442</v>
      </c>
      <c r="E467" s="5" t="str">
        <f>IFERROR(__xludf.DUMMYFUNCTION("""COMPUTED_VALUE"""),"Stock")</f>
        <v>Stock</v>
      </c>
      <c r="F467" s="5" t="str">
        <f>IFERROR(__xludf.DUMMYFUNCTION("""COMPUTED_VALUE"""),"USD")</f>
        <v>USD</v>
      </c>
      <c r="G467" s="30" t="str">
        <f>IFERROR(__xludf.DUMMYFUNCTION("""COMPUTED_VALUE"""),"Email Account/ TraderID Recognized")</f>
        <v>Email Account/ TraderID Recognized</v>
      </c>
      <c r="H467" s="119" t="str">
        <f>IFERROR(__xludf.DUMMYFUNCTION("""COMPUTED_VALUE"""),"XLY")</f>
        <v>XLY</v>
      </c>
      <c r="I467" s="30">
        <f>IFERROR(__xludf.DUMMYFUNCTION("""COMPUTED_VALUE"""),26.0)</f>
        <v>26</v>
      </c>
      <c r="J467" s="30"/>
      <c r="K467" s="30" t="str">
        <f>IFERROR(__xludf.DUMMYFUNCTION("""COMPUTED_VALUE"""),"QTY, Limit Price (if any) &amp; Password input correct")</f>
        <v>QTY, Limit Price (if any) &amp; Password input correct</v>
      </c>
      <c r="L467" s="30"/>
    </row>
    <row r="468">
      <c r="A468" s="5"/>
      <c r="B468" s="118">
        <f>IFERROR(__xludf.DUMMYFUNCTION("""COMPUTED_VALUE"""),44635.00927461806)</f>
        <v>44635.00927</v>
      </c>
      <c r="C468" s="120">
        <f>IFERROR(__xludf.DUMMYFUNCTION("""COMPUTED_VALUE"""),44634.666666666664)</f>
        <v>44634.66667</v>
      </c>
      <c r="D468" s="5" t="str">
        <f>IFERROR(__xludf.DUMMYFUNCTION("""COMPUTED_VALUE"""),"24442")</f>
        <v>24442</v>
      </c>
      <c r="E468" s="5" t="str">
        <f>IFERROR(__xludf.DUMMYFUNCTION("""COMPUTED_VALUE"""),"Stock")</f>
        <v>Stock</v>
      </c>
      <c r="F468" s="5" t="str">
        <f>IFERROR(__xludf.DUMMYFUNCTION("""COMPUTED_VALUE"""),"USD")</f>
        <v>USD</v>
      </c>
      <c r="G468" s="30" t="str">
        <f>IFERROR(__xludf.DUMMYFUNCTION("""COMPUTED_VALUE"""),"Email Account/ TraderID Recognized")</f>
        <v>Email Account/ TraderID Recognized</v>
      </c>
      <c r="H468" s="119" t="str">
        <f>IFERROR(__xludf.DUMMYFUNCTION("""COMPUTED_VALUE"""),"XLC")</f>
        <v>XLC</v>
      </c>
      <c r="I468" s="30">
        <f>IFERROR(__xludf.DUMMYFUNCTION("""COMPUTED_VALUE"""),72.0)</f>
        <v>72</v>
      </c>
      <c r="J468" s="30"/>
      <c r="K468" s="30" t="str">
        <f>IFERROR(__xludf.DUMMYFUNCTION("""COMPUTED_VALUE"""),"QTY, Limit Price (if any) &amp; Password input correct")</f>
        <v>QTY, Limit Price (if any) &amp; Password input correct</v>
      </c>
      <c r="L468" s="30"/>
    </row>
    <row r="469">
      <c r="A469" s="5"/>
      <c r="B469" s="118">
        <f>IFERROR(__xludf.DUMMYFUNCTION("""COMPUTED_VALUE"""),44635.010132870375)</f>
        <v>44635.01013</v>
      </c>
      <c r="C469" s="120">
        <f>IFERROR(__xludf.DUMMYFUNCTION("""COMPUTED_VALUE"""),44634.666666666664)</f>
        <v>44634.66667</v>
      </c>
      <c r="D469" s="5" t="str">
        <f>IFERROR(__xludf.DUMMYFUNCTION("""COMPUTED_VALUE"""),"24442")</f>
        <v>24442</v>
      </c>
      <c r="E469" s="5" t="str">
        <f>IFERROR(__xludf.DUMMYFUNCTION("""COMPUTED_VALUE"""),"Stock")</f>
        <v>Stock</v>
      </c>
      <c r="F469" s="5" t="str">
        <f>IFERROR(__xludf.DUMMYFUNCTION("""COMPUTED_VALUE"""),"USD")</f>
        <v>USD</v>
      </c>
      <c r="G469" s="30" t="str">
        <f>IFERROR(__xludf.DUMMYFUNCTION("""COMPUTED_VALUE"""),"Email Account/ TraderID Recognized")</f>
        <v>Email Account/ TraderID Recognized</v>
      </c>
      <c r="H469" s="119" t="str">
        <f>IFERROR(__xludf.DUMMYFUNCTION("""COMPUTED_VALUE"""),"XLK")</f>
        <v>XLK</v>
      </c>
      <c r="I469" s="30">
        <f>IFERROR(__xludf.DUMMYFUNCTION("""COMPUTED_VALUE"""),39.0)</f>
        <v>39</v>
      </c>
      <c r="J469" s="30"/>
      <c r="K469" s="30" t="str">
        <f>IFERROR(__xludf.DUMMYFUNCTION("""COMPUTED_VALUE"""),"QTY, Limit Price (if any) &amp; Password input correct")</f>
        <v>QTY, Limit Price (if any) &amp; Password input correct</v>
      </c>
      <c r="L469" s="30"/>
    </row>
    <row r="470">
      <c r="A470" s="5"/>
      <c r="B470" s="118">
        <f>IFERROR(__xludf.DUMMYFUNCTION("""COMPUTED_VALUE"""),44635.011745509255)</f>
        <v>44635.01175</v>
      </c>
      <c r="C470" s="120">
        <f>IFERROR(__xludf.DUMMYFUNCTION("""COMPUTED_VALUE"""),44634.666666666664)</f>
        <v>44634.66667</v>
      </c>
      <c r="D470" s="5" t="str">
        <f>IFERROR(__xludf.DUMMYFUNCTION("""COMPUTED_VALUE"""),"24442")</f>
        <v>24442</v>
      </c>
      <c r="E470" s="5" t="str">
        <f>IFERROR(__xludf.DUMMYFUNCTION("""COMPUTED_VALUE"""),"Stock")</f>
        <v>Stock</v>
      </c>
      <c r="F470" s="5" t="str">
        <f>IFERROR(__xludf.DUMMYFUNCTION("""COMPUTED_VALUE"""),"USD")</f>
        <v>USD</v>
      </c>
      <c r="G470" s="30" t="str">
        <f>IFERROR(__xludf.DUMMYFUNCTION("""COMPUTED_VALUE"""),"Email Account/ TraderID Recognized")</f>
        <v>Email Account/ TraderID Recognized</v>
      </c>
      <c r="H470" s="119" t="str">
        <f>IFERROR(__xludf.DUMMYFUNCTION("""COMPUTED_VALUE"""),"XLI")</f>
        <v>XLI</v>
      </c>
      <c r="I470" s="30">
        <f>IFERROR(__xludf.DUMMYFUNCTION("""COMPUTED_VALUE"""),59.0)</f>
        <v>59</v>
      </c>
      <c r="J470" s="30"/>
      <c r="K470" s="30" t="str">
        <f>IFERROR(__xludf.DUMMYFUNCTION("""COMPUTED_VALUE"""),"QTY, Limit Price (if any) &amp; Password input correct")</f>
        <v>QTY, Limit Price (if any) &amp; Password input correct</v>
      </c>
      <c r="L470" s="30"/>
    </row>
    <row r="471">
      <c r="A471" s="5"/>
      <c r="B471" s="118">
        <f>IFERROR(__xludf.DUMMYFUNCTION("""COMPUTED_VALUE"""),44635.01265091435)</f>
        <v>44635.01265</v>
      </c>
      <c r="C471" s="120">
        <f>IFERROR(__xludf.DUMMYFUNCTION("""COMPUTED_VALUE"""),44634.666666666664)</f>
        <v>44634.66667</v>
      </c>
      <c r="D471" s="5" t="str">
        <f>IFERROR(__xludf.DUMMYFUNCTION("""COMPUTED_VALUE"""),"24442")</f>
        <v>24442</v>
      </c>
      <c r="E471" s="5" t="str">
        <f>IFERROR(__xludf.DUMMYFUNCTION("""COMPUTED_VALUE"""),"Stock")</f>
        <v>Stock</v>
      </c>
      <c r="F471" s="5" t="str">
        <f>IFERROR(__xludf.DUMMYFUNCTION("""COMPUTED_VALUE"""),"USD")</f>
        <v>USD</v>
      </c>
      <c r="G471" s="30" t="str">
        <f>IFERROR(__xludf.DUMMYFUNCTION("""COMPUTED_VALUE"""),"Email Account/ TraderID Recognized")</f>
        <v>Email Account/ TraderID Recognized</v>
      </c>
      <c r="H471" s="119" t="str">
        <f>IFERROR(__xludf.DUMMYFUNCTION("""COMPUTED_VALUE"""),"XLV")</f>
        <v>XLV</v>
      </c>
      <c r="I471" s="30">
        <f>IFERROR(__xludf.DUMMYFUNCTION("""COMPUTED_VALUE"""),48.0)</f>
        <v>48</v>
      </c>
      <c r="J471" s="30"/>
      <c r="K471" s="30" t="str">
        <f>IFERROR(__xludf.DUMMYFUNCTION("""COMPUTED_VALUE"""),"QTY, Limit Price (if any) &amp; Password input correct")</f>
        <v>QTY, Limit Price (if any) &amp; Password input correct</v>
      </c>
      <c r="L471" s="30"/>
    </row>
    <row r="472">
      <c r="A472" s="5"/>
      <c r="B472" s="118">
        <f>IFERROR(__xludf.DUMMYFUNCTION("""COMPUTED_VALUE"""),44635.03178100694)</f>
        <v>44635.03178</v>
      </c>
      <c r="C472" s="120">
        <f>IFERROR(__xludf.DUMMYFUNCTION("""COMPUTED_VALUE"""),44634.666666666664)</f>
        <v>44634.66667</v>
      </c>
      <c r="D472" s="5" t="str">
        <f>IFERROR(__xludf.DUMMYFUNCTION("""COMPUTED_VALUE"""),"24442")</f>
        <v>24442</v>
      </c>
      <c r="E472" s="5" t="str">
        <f>IFERROR(__xludf.DUMMYFUNCTION("""COMPUTED_VALUE"""),"Stock")</f>
        <v>Stock</v>
      </c>
      <c r="F472" s="5" t="str">
        <f>IFERROR(__xludf.DUMMYFUNCTION("""COMPUTED_VALUE"""),"USD")</f>
        <v>USD</v>
      </c>
      <c r="G472" s="30" t="str">
        <f>IFERROR(__xludf.DUMMYFUNCTION("""COMPUTED_VALUE"""),"Email Account/ TraderID Recognized")</f>
        <v>Email Account/ TraderID Recognized</v>
      </c>
      <c r="H472" s="119" t="str">
        <f>IFERROR(__xludf.DUMMYFUNCTION("""COMPUTED_VALUE"""),"XLV")</f>
        <v>XLV</v>
      </c>
      <c r="I472" s="30">
        <f>IFERROR(__xludf.DUMMYFUNCTION("""COMPUTED_VALUE"""),48.0)</f>
        <v>48</v>
      </c>
      <c r="J472" s="30"/>
      <c r="K472" s="30" t="str">
        <f>IFERROR(__xludf.DUMMYFUNCTION("""COMPUTED_VALUE"""),"QTY, Limit Price (if any) &amp; Password input correct")</f>
        <v>QTY, Limit Price (if any) &amp; Password input correct</v>
      </c>
      <c r="L472" s="30"/>
    </row>
    <row r="473">
      <c r="A473" s="5"/>
      <c r="B473" s="118">
        <f>IFERROR(__xludf.DUMMYFUNCTION("""COMPUTED_VALUE"""),44635.07727292824)</f>
        <v>44635.07727</v>
      </c>
      <c r="C473" s="120">
        <f>IFERROR(__xludf.DUMMYFUNCTION("""COMPUTED_VALUE"""),44634.666666666664)</f>
        <v>44634.66667</v>
      </c>
      <c r="D473" s="5" t="str">
        <f>IFERROR(__xludf.DUMMYFUNCTION("""COMPUTED_VALUE"""),"46322")</f>
        <v>46322</v>
      </c>
      <c r="E473" s="5" t="str">
        <f>IFERROR(__xludf.DUMMYFUNCTION("""COMPUTED_VALUE"""),"Stock")</f>
        <v>Stock</v>
      </c>
      <c r="F473" s="5" t="str">
        <f>IFERROR(__xludf.DUMMYFUNCTION("""COMPUTED_VALUE"""),"USD")</f>
        <v>USD</v>
      </c>
      <c r="G473" s="30" t="str">
        <f>IFERROR(__xludf.DUMMYFUNCTION("""COMPUTED_VALUE"""),"Email Account/ TraderID Recognized")</f>
        <v>Email Account/ TraderID Recognized</v>
      </c>
      <c r="H473" s="119" t="str">
        <f>IFERROR(__xludf.DUMMYFUNCTION("""COMPUTED_VALUE"""),"SARK")</f>
        <v>SARK</v>
      </c>
      <c r="I473" s="30">
        <f>IFERROR(__xludf.DUMMYFUNCTION("""COMPUTED_VALUE"""),800.0)</f>
        <v>800</v>
      </c>
      <c r="J473" s="30"/>
      <c r="K473" s="30" t="str">
        <f>IFERROR(__xludf.DUMMYFUNCTION("""COMPUTED_VALUE"""),"QTY, Limit Price (if any) &amp; Password input correct")</f>
        <v>QTY, Limit Price (if any) &amp; Password input correct</v>
      </c>
      <c r="L473" s="30"/>
    </row>
    <row r="474">
      <c r="A474" s="5"/>
      <c r="B474" s="118">
        <f>IFERROR(__xludf.DUMMYFUNCTION("""COMPUTED_VALUE"""),44635.40244521991)</f>
        <v>44635.40245</v>
      </c>
      <c r="C474" s="120" t="str">
        <f>IFERROR(__xludf.DUMMYFUNCTION("""COMPUTED_VALUE"""),"")</f>
        <v/>
      </c>
      <c r="D474" s="5" t="str">
        <f>IFERROR(__xludf.DUMMYFUNCTION("""COMPUTED_VALUE"""),"38093")</f>
        <v>38093</v>
      </c>
      <c r="E474" s="5" t="str">
        <f>IFERROR(__xludf.DUMMYFUNCTION("""COMPUTED_VALUE"""),"Stock")</f>
        <v>Stock</v>
      </c>
      <c r="F474" s="5" t="str">
        <f>IFERROR(__xludf.DUMMYFUNCTION("""COMPUTED_VALUE"""),"error")</f>
        <v>error</v>
      </c>
      <c r="G474" s="30" t="str">
        <f>IFERROR(__xludf.DUMMYFUNCTION("""COMPUTED_VALUE"""),"Email Account/ TraderID Recognized")</f>
        <v>Email Account/ TraderID Recognized</v>
      </c>
      <c r="H474" s="119" t="str">
        <f>IFERROR(__xludf.DUMMYFUNCTION("""COMPUTED_VALUE"""),"2331")</f>
        <v>2331</v>
      </c>
      <c r="I474" s="30">
        <f>IFERROR(__xludf.DUMMYFUNCTION("""COMPUTED_VALUE"""),3000.0)</f>
        <v>3000</v>
      </c>
      <c r="J474" s="30">
        <f>IFERROR(__xludf.DUMMYFUNCTION("""COMPUTED_VALUE"""),30.0)</f>
        <v>30</v>
      </c>
      <c r="K474" s="30" t="str">
        <f>IFERROR(__xludf.DUMMYFUNCTION("""COMPUTED_VALUE"""),"QTY, Limit Price (if any) &amp; Password input correct")</f>
        <v>QTY, Limit Price (if any) &amp; Password input correct</v>
      </c>
      <c r="L474" s="30" t="str">
        <f>IFERROR(__xludf.DUMMYFUNCTION("""COMPUTED_VALUE"""),"Order rejected due to wrong ticker code and non-school email address.")</f>
        <v>Order rejected due to wrong ticker code and non-school email address.</v>
      </c>
    </row>
    <row r="475">
      <c r="A475" s="5"/>
      <c r="B475" s="118">
        <f>IFERROR(__xludf.DUMMYFUNCTION("""COMPUTED_VALUE"""),44635.40551873842)</f>
        <v>44635.40552</v>
      </c>
      <c r="C475" s="120" t="str">
        <f>IFERROR(__xludf.DUMMYFUNCTION("""COMPUTED_VALUE"""),"")</f>
        <v/>
      </c>
      <c r="D475" s="5" t="str">
        <f>IFERROR(__xludf.DUMMYFUNCTION("""COMPUTED_VALUE"""),"38093")</f>
        <v>38093</v>
      </c>
      <c r="E475" s="5" t="str">
        <f>IFERROR(__xludf.DUMMYFUNCTION("""COMPUTED_VALUE"""),"Stock")</f>
        <v>Stock</v>
      </c>
      <c r="F475" s="5" t="str">
        <f>IFERROR(__xludf.DUMMYFUNCTION("""COMPUTED_VALUE"""),"error")</f>
        <v>error</v>
      </c>
      <c r="G475" s="30" t="str">
        <f>IFERROR(__xludf.DUMMYFUNCTION("""COMPUTED_VALUE"""),"Email Account/ TraderID Recognized")</f>
        <v>Email Account/ TraderID Recognized</v>
      </c>
      <c r="H475" s="119" t="str">
        <f>IFERROR(__xludf.DUMMYFUNCTION("""COMPUTED_VALUE"""),"2331")</f>
        <v>2331</v>
      </c>
      <c r="I475" s="30">
        <f>IFERROR(__xludf.DUMMYFUNCTION("""COMPUTED_VALUE"""),500.0)</f>
        <v>500</v>
      </c>
      <c r="J475" s="30">
        <f>IFERROR(__xludf.DUMMYFUNCTION("""COMPUTED_VALUE"""),50.0)</f>
        <v>50</v>
      </c>
      <c r="K475" s="30" t="str">
        <f>IFERROR(__xludf.DUMMYFUNCTION("""COMPUTED_VALUE"""),"QTY, Limit Price (if any) &amp; Password input correct")</f>
        <v>QTY, Limit Price (if any) &amp; Password input correct</v>
      </c>
      <c r="L475" s="30" t="str">
        <f>IFERROR(__xludf.DUMMYFUNCTION("""COMPUTED_VALUE"""),"Order rejected due to wrong ticker code and non-school email address.")</f>
        <v>Order rejected due to wrong ticker code and non-school email address.</v>
      </c>
    </row>
    <row r="476">
      <c r="A476" s="5"/>
      <c r="B476" s="118">
        <f>IFERROR(__xludf.DUMMYFUNCTION("""COMPUTED_VALUE"""),44635.438002372684)</f>
        <v>44635.438</v>
      </c>
      <c r="C476" s="120">
        <f>IFERROR(__xludf.DUMMYFUNCTION("""COMPUTED_VALUE"""),44635.625)</f>
        <v>44635.625</v>
      </c>
      <c r="D476" s="5" t="str">
        <f>IFERROR(__xludf.DUMMYFUNCTION("""COMPUTED_VALUE"""),"38307")</f>
        <v>38307</v>
      </c>
      <c r="E476" s="5" t="str">
        <f>IFERROR(__xludf.DUMMYFUNCTION("""COMPUTED_VALUE"""),"Stock")</f>
        <v>Stock</v>
      </c>
      <c r="F476" s="5" t="str">
        <f>IFERROR(__xludf.DUMMYFUNCTION("""COMPUTED_VALUE"""),"CNY")</f>
        <v>CNY</v>
      </c>
      <c r="G476" s="30" t="str">
        <f>IFERROR(__xludf.DUMMYFUNCTION("""COMPUTED_VALUE"""),"Email Account/ TraderID Recognized")</f>
        <v>Email Account/ TraderID Recognized</v>
      </c>
      <c r="H476" s="121" t="str">
        <f>IFERROR(__xludf.DUMMYFUNCTION("""COMPUTED_VALUE"""),"603939.SS")</f>
        <v>603939.SS</v>
      </c>
      <c r="I476" s="30">
        <f>IFERROR(__xludf.DUMMYFUNCTION("""COMPUTED_VALUE"""),700.0)</f>
        <v>700</v>
      </c>
      <c r="J476" s="30"/>
      <c r="K476" s="30" t="str">
        <f>IFERROR(__xludf.DUMMYFUNCTION("""COMPUTED_VALUE"""),"QTY, Limit Price (if any) &amp; Password input correct")</f>
        <v>QTY, Limit Price (if any) &amp; Password input correct</v>
      </c>
      <c r="L476" s="30"/>
    </row>
    <row r="477">
      <c r="A477" s="5"/>
      <c r="B477" s="118">
        <f>IFERROR(__xludf.DUMMYFUNCTION("""COMPUTED_VALUE"""),44635.439821631946)</f>
        <v>44635.43982</v>
      </c>
      <c r="C477" s="120">
        <f>IFERROR(__xludf.DUMMYFUNCTION("""COMPUTED_VALUE"""),44635.625)</f>
        <v>44635.625</v>
      </c>
      <c r="D477" s="5" t="str">
        <f>IFERROR(__xludf.DUMMYFUNCTION("""COMPUTED_VALUE"""),"38307")</f>
        <v>38307</v>
      </c>
      <c r="E477" s="5" t="str">
        <f>IFERROR(__xludf.DUMMYFUNCTION("""COMPUTED_VALUE"""),"Stock")</f>
        <v>Stock</v>
      </c>
      <c r="F477" s="5" t="str">
        <f>IFERROR(__xludf.DUMMYFUNCTION("""COMPUTED_VALUE"""),"CNY")</f>
        <v>CNY</v>
      </c>
      <c r="G477" s="30" t="str">
        <f>IFERROR(__xludf.DUMMYFUNCTION("""COMPUTED_VALUE"""),"Email Account/ TraderID Recognized")</f>
        <v>Email Account/ TraderID Recognized</v>
      </c>
      <c r="H477" s="121" t="str">
        <f>IFERROR(__xludf.DUMMYFUNCTION("""COMPUTED_VALUE"""),"603392.SS")</f>
        <v>603392.SS</v>
      </c>
      <c r="I477" s="30">
        <f>IFERROR(__xludf.DUMMYFUNCTION("""COMPUTED_VALUE"""),1000.0)</f>
        <v>1000</v>
      </c>
      <c r="J477" s="30"/>
      <c r="K477" s="30" t="str">
        <f>IFERROR(__xludf.DUMMYFUNCTION("""COMPUTED_VALUE"""),"QTY, Limit Price (if any) &amp; Password input correct")</f>
        <v>QTY, Limit Price (if any) &amp; Password input correct</v>
      </c>
      <c r="L477" s="30"/>
    </row>
    <row r="478">
      <c r="A478" s="5"/>
      <c r="B478" s="118">
        <f>IFERROR(__xludf.DUMMYFUNCTION("""COMPUTED_VALUE"""),44635.44182494213)</f>
        <v>44635.44182</v>
      </c>
      <c r="C478" s="120" t="str">
        <f>IFERROR(__xludf.DUMMYFUNCTION("""COMPUTED_VALUE"""),"")</f>
        <v/>
      </c>
      <c r="D478" s="5" t="str">
        <f>IFERROR(__xludf.DUMMYFUNCTION("""COMPUTED_VALUE"""),"37198")</f>
        <v>37198</v>
      </c>
      <c r="E478" s="5" t="str">
        <f>IFERROR(__xludf.DUMMYFUNCTION("""COMPUTED_VALUE"""),"Bond")</f>
        <v>Bond</v>
      </c>
      <c r="F478" s="5" t="str">
        <f>IFERROR(__xludf.DUMMYFUNCTION("""COMPUTED_VALUE"""),"error")</f>
        <v>error</v>
      </c>
      <c r="G478" s="30" t="str">
        <f>IFERROR(__xludf.DUMMYFUNCTION("""COMPUTED_VALUE"""),"Email Account/ TraderID Recognized")</f>
        <v>Email Account/ TraderID Recognized</v>
      </c>
      <c r="H478" s="119" t="str">
        <f>IFERROR(__xludf.DUMMYFUNCTION("""COMPUTED_VALUE"""),"^FVX")</f>
        <v>^FVX</v>
      </c>
      <c r="I478" s="30">
        <f>IFERROR(__xludf.DUMMYFUNCTION("""COMPUTED_VALUE"""),3.0)</f>
        <v>3</v>
      </c>
      <c r="J478" s="30"/>
      <c r="K478" s="30" t="str">
        <f>IFERROR(__xludf.DUMMYFUNCTION("""COMPUTED_VALUE"""),"QTY, Limit Price (if any) &amp; Password input correct")</f>
        <v>QTY, Limit Price (if any) &amp; Password input correct</v>
      </c>
      <c r="L478" s="30" t="str">
        <f>IFERROR(__xludf.DUMMYFUNCTION("""COMPUTED_VALUE"""),"Order rejected due to wrong ticker code. ^FVX is not a bond ticker code.")</f>
        <v>Order rejected due to wrong ticker code. ^FVX is not a bond ticker code.</v>
      </c>
    </row>
    <row r="479">
      <c r="A479" s="5"/>
      <c r="B479" s="118">
        <f>IFERROR(__xludf.DUMMYFUNCTION("""COMPUTED_VALUE"""),44635.53316366898)</f>
        <v>44635.53316</v>
      </c>
      <c r="C479" s="120" t="str">
        <f>IFERROR(__xludf.DUMMYFUNCTION("""COMPUTED_VALUE"""),"")</f>
        <v/>
      </c>
      <c r="D479" s="5" t="str">
        <f>IFERROR(__xludf.DUMMYFUNCTION("""COMPUTED_VALUE"""),"56118")</f>
        <v>56118</v>
      </c>
      <c r="E479" s="5" t="str">
        <f>IFERROR(__xludf.DUMMYFUNCTION("""COMPUTED_VALUE"""),"Stock")</f>
        <v>Stock</v>
      </c>
      <c r="F479" s="5" t="str">
        <f>IFERROR(__xludf.DUMMYFUNCTION("""COMPUTED_VALUE"""),"error")</f>
        <v>error</v>
      </c>
      <c r="G479" s="30" t="str">
        <f>IFERROR(__xludf.DUMMYFUNCTION("""COMPUTED_VALUE"""),"Email Account/ TraderID Recognized")</f>
        <v>Email Account/ TraderID Recognized</v>
      </c>
      <c r="H479" s="119" t="str">
        <f>IFERROR(__xludf.DUMMYFUNCTION("""COMPUTED_VALUE"""),"HSI")</f>
        <v>HSI</v>
      </c>
      <c r="I479" s="30">
        <f>IFERROR(__xludf.DUMMYFUNCTION("""COMPUTED_VALUE"""),20.0)</f>
        <v>20</v>
      </c>
      <c r="J479" s="30" t="str">
        <f>IFERROR(__xludf.DUMMYFUNCTION("""COMPUTED_VALUE"""),"Limit Buy @ 19000 - Closing @ 18500 = Executed price @ 18000. if Closing @ 20000 = no execution")</f>
        <v>Limit Buy @ 19000 - Closing @ 18500 = Executed price @ 18000. if Closing @ 20000 = no execution</v>
      </c>
      <c r="K479" s="30" t="str">
        <f>IFERROR(__xludf.DUMMYFUNCTION("""COMPUTED_VALUE"""),"Non-number input in Quantity or Limit Price")</f>
        <v>Non-number input in Quantity or Limit Price</v>
      </c>
      <c r="L479" s="30" t="str">
        <f>IFERROR(__xludf.DUMMYFUNCTION("""COMPUTED_VALUE"""),"Order rejected due to wrong ticker code. HSI is not a ticker code and limit price should include only number, no non-numeric character.")</f>
        <v>Order rejected due to wrong ticker code. HSI is not a ticker code and limit price should include only number, no non-numeric character.</v>
      </c>
    </row>
    <row r="480">
      <c r="A480" s="5"/>
      <c r="B480" s="118">
        <f>IFERROR(__xludf.DUMMYFUNCTION("""COMPUTED_VALUE"""),44635.540348738425)</f>
        <v>44635.54035</v>
      </c>
      <c r="C480" s="120" t="str">
        <f>IFERROR(__xludf.DUMMYFUNCTION("""COMPUTED_VALUE"""),"")</f>
        <v/>
      </c>
      <c r="D480" s="5" t="str">
        <f>IFERROR(__xludf.DUMMYFUNCTION("""COMPUTED_VALUE"""),"56118")</f>
        <v>56118</v>
      </c>
      <c r="E480" s="5" t="str">
        <f>IFERROR(__xludf.DUMMYFUNCTION("""COMPUTED_VALUE"""),"Option")</f>
        <v>Option</v>
      </c>
      <c r="F480" s="5" t="str">
        <f>IFERROR(__xludf.DUMMYFUNCTION("""COMPUTED_VALUE"""),"error")</f>
        <v>error</v>
      </c>
      <c r="G480" s="30" t="str">
        <f>IFERROR(__xludf.DUMMYFUNCTION("""COMPUTED_VALUE"""),"Email Account/ TraderID Recognized")</f>
        <v>Email Account/ TraderID Recognized</v>
      </c>
      <c r="H480" s="119" t="str">
        <f>IFERROR(__xludf.DUMMYFUNCTION("""COMPUTED_VALUE"""),"HSL")</f>
        <v>HSL</v>
      </c>
      <c r="I480" s="30">
        <f>IFERROR(__xludf.DUMMYFUNCTION("""COMPUTED_VALUE"""),2.0)</f>
        <v>2</v>
      </c>
      <c r="J480" s="30">
        <f>IFERROR(__xludf.DUMMYFUNCTION("""COMPUTED_VALUE"""),19000.0)</f>
        <v>19000</v>
      </c>
      <c r="K480" s="30" t="str">
        <f>IFERROR(__xludf.DUMMYFUNCTION("""COMPUTED_VALUE"""),"QTY, Limit Price (if any) &amp; Password input correct")</f>
        <v>QTY, Limit Price (if any) &amp; Password input correct</v>
      </c>
      <c r="L480" s="30" t="str">
        <f>IFERROR(__xludf.DUMMYFUNCTION("""COMPUTED_VALUE"""),"Order rejected due to wrong ticker code. HSL is not an option ticker code.")</f>
        <v>Order rejected due to wrong ticker code. HSL is not an option ticker code.</v>
      </c>
    </row>
    <row r="481">
      <c r="A481" s="5"/>
      <c r="B481" s="118">
        <f>IFERROR(__xludf.DUMMYFUNCTION("""COMPUTED_VALUE"""),44635.54272384259)</f>
        <v>44635.54272</v>
      </c>
      <c r="C481" s="120" t="str">
        <f>IFERROR(__xludf.DUMMYFUNCTION("""COMPUTED_VALUE"""),"")</f>
        <v/>
      </c>
      <c r="D481" s="5" t="str">
        <f>IFERROR(__xludf.DUMMYFUNCTION("""COMPUTED_VALUE"""),"56118")</f>
        <v>56118</v>
      </c>
      <c r="E481" s="5" t="str">
        <f>IFERROR(__xludf.DUMMYFUNCTION("""COMPUTED_VALUE"""),"Stock")</f>
        <v>Stock</v>
      </c>
      <c r="F481" s="5" t="str">
        <f>IFERROR(__xludf.DUMMYFUNCTION("""COMPUTED_VALUE"""),"error")</f>
        <v>error</v>
      </c>
      <c r="G481" s="30" t="str">
        <f>IFERROR(__xludf.DUMMYFUNCTION("""COMPUTED_VALUE"""),"Email Account/ TraderID Recognized")</f>
        <v>Email Account/ TraderID Recognized</v>
      </c>
      <c r="H481" s="119" t="str">
        <f>IFERROR(__xludf.DUMMYFUNCTION("""COMPUTED_VALUE"""),"HSI")</f>
        <v>HSI</v>
      </c>
      <c r="I481" s="30">
        <f>IFERROR(__xludf.DUMMYFUNCTION("""COMPUTED_VALUE"""),2.0)</f>
        <v>2</v>
      </c>
      <c r="J481" s="30">
        <f>IFERROR(__xludf.DUMMYFUNCTION("""COMPUTED_VALUE"""),19000.0)</f>
        <v>19000</v>
      </c>
      <c r="K481" s="30" t="str">
        <f>IFERROR(__xludf.DUMMYFUNCTION("""COMPUTED_VALUE"""),"QTY, Limit Price (if any) &amp; Password input correct")</f>
        <v>QTY, Limit Price (if any) &amp; Password input correct</v>
      </c>
      <c r="L481" s="30" t="str">
        <f>IFERROR(__xludf.DUMMYFUNCTION("""COMPUTED_VALUE"""),"Order rejected due to wrong ticker code. HSI is not a ticker code.")</f>
        <v>Order rejected due to wrong ticker code. HSI is not a ticker code.</v>
      </c>
    </row>
    <row r="482">
      <c r="A482" s="5"/>
      <c r="B482" s="118">
        <f>IFERROR(__xludf.DUMMYFUNCTION("""COMPUTED_VALUE"""),44635.556674259264)</f>
        <v>44635.55667</v>
      </c>
      <c r="C482" s="120">
        <f>IFERROR(__xludf.DUMMYFUNCTION("""COMPUTED_VALUE"""),44635.666666666664)</f>
        <v>44635.66667</v>
      </c>
      <c r="D482" s="5" t="str">
        <f>IFERROR(__xludf.DUMMYFUNCTION("""COMPUTED_VALUE"""),"56118")</f>
        <v>56118</v>
      </c>
      <c r="E482" s="5" t="str">
        <f>IFERROR(__xludf.DUMMYFUNCTION("""COMPUTED_VALUE"""),"Stock")</f>
        <v>Stock</v>
      </c>
      <c r="F482" s="5" t="str">
        <f>IFERROR(__xludf.DUMMYFUNCTION("""COMPUTED_VALUE"""),"USD")</f>
        <v>USD</v>
      </c>
      <c r="G482" s="30" t="str">
        <f>IFERROR(__xludf.DUMMYFUNCTION("""COMPUTED_VALUE"""),"Email Account/ TraderID Recognized")</f>
        <v>Email Account/ TraderID Recognized</v>
      </c>
      <c r="H482" s="119" t="str">
        <f>IFERROR(__xludf.DUMMYFUNCTION("""COMPUTED_VALUE"""),"LMT")</f>
        <v>LMT</v>
      </c>
      <c r="I482" s="30">
        <f>IFERROR(__xludf.DUMMYFUNCTION("""COMPUTED_VALUE"""),20.0)</f>
        <v>20</v>
      </c>
      <c r="J482" s="30">
        <f>IFERROR(__xludf.DUMMYFUNCTION("""COMPUTED_VALUE"""),3200.0)</f>
        <v>3200</v>
      </c>
      <c r="K482" s="30" t="str">
        <f>IFERROR(__xludf.DUMMYFUNCTION("""COMPUTED_VALUE"""),"QTY, Limit Price (if any) &amp; Password input correct")</f>
        <v>QTY, Limit Price (if any) &amp; Password input correct</v>
      </c>
      <c r="L482" s="30"/>
    </row>
    <row r="483">
      <c r="A483" s="5"/>
      <c r="B483" s="118">
        <f>IFERROR(__xludf.DUMMYFUNCTION("""COMPUTED_VALUE"""),44635.56229306713)</f>
        <v>44635.56229</v>
      </c>
      <c r="C483" s="120">
        <f>IFERROR(__xludf.DUMMYFUNCTION("""COMPUTED_VALUE"""),44635.666666666664)</f>
        <v>44635.66667</v>
      </c>
      <c r="D483" s="5" t="str">
        <f>IFERROR(__xludf.DUMMYFUNCTION("""COMPUTED_VALUE"""),"56118")</f>
        <v>56118</v>
      </c>
      <c r="E483" s="5" t="str">
        <f>IFERROR(__xludf.DUMMYFUNCTION("""COMPUTED_VALUE"""),"Stock")</f>
        <v>Stock</v>
      </c>
      <c r="F483" s="5" t="str">
        <f>IFERROR(__xludf.DUMMYFUNCTION("""COMPUTED_VALUE"""),"USD")</f>
        <v>USD</v>
      </c>
      <c r="G483" s="30" t="str">
        <f>IFERROR(__xludf.DUMMYFUNCTION("""COMPUTED_VALUE"""),"Email Account/ TraderID Recognized")</f>
        <v>Email Account/ TraderID Recognized</v>
      </c>
      <c r="H483" s="119" t="str">
        <f>IFERROR(__xludf.DUMMYFUNCTION("""COMPUTED_VALUE"""),"PFE")</f>
        <v>PFE</v>
      </c>
      <c r="I483" s="30">
        <f>IFERROR(__xludf.DUMMYFUNCTION("""COMPUTED_VALUE"""),500.0)</f>
        <v>500</v>
      </c>
      <c r="J483" s="30">
        <f>IFERROR(__xludf.DUMMYFUNCTION("""COMPUTED_VALUE"""),420.0)</f>
        <v>420</v>
      </c>
      <c r="K483" s="30" t="str">
        <f>IFERROR(__xludf.DUMMYFUNCTION("""COMPUTED_VALUE"""),"QTY, Limit Price (if any) &amp; Password input correct")</f>
        <v>QTY, Limit Price (if any) &amp; Password input correct</v>
      </c>
      <c r="L483" s="30"/>
    </row>
    <row r="484">
      <c r="A484" s="5"/>
      <c r="B484" s="118">
        <f>IFERROR(__xludf.DUMMYFUNCTION("""COMPUTED_VALUE"""),44635.56862042824)</f>
        <v>44635.56862</v>
      </c>
      <c r="C484" s="120">
        <f>IFERROR(__xludf.DUMMYFUNCTION("""COMPUTED_VALUE"""),44635.666666666664)</f>
        <v>44635.66667</v>
      </c>
      <c r="D484" s="5" t="str">
        <f>IFERROR(__xludf.DUMMYFUNCTION("""COMPUTED_VALUE"""),"56118")</f>
        <v>56118</v>
      </c>
      <c r="E484" s="5" t="str">
        <f>IFERROR(__xludf.DUMMYFUNCTION("""COMPUTED_VALUE"""),"Stock")</f>
        <v>Stock</v>
      </c>
      <c r="F484" s="5" t="str">
        <f>IFERROR(__xludf.DUMMYFUNCTION("""COMPUTED_VALUE"""),"HKD")</f>
        <v>HKD</v>
      </c>
      <c r="G484" s="30" t="str">
        <f>IFERROR(__xludf.DUMMYFUNCTION("""COMPUTED_VALUE"""),"Email Account/ TraderID Recognized")</f>
        <v>Email Account/ TraderID Recognized</v>
      </c>
      <c r="H484" s="121" t="str">
        <f>IFERROR(__xludf.DUMMYFUNCTION("""COMPUTED_VALUE"""),"3339.HK")</f>
        <v>3339.HK</v>
      </c>
      <c r="I484" s="30">
        <f>IFERROR(__xludf.DUMMYFUNCTION("""COMPUTED_VALUE"""),100000.0)</f>
        <v>100000</v>
      </c>
      <c r="J484" s="30">
        <f>IFERROR(__xludf.DUMMYFUNCTION("""COMPUTED_VALUE"""),2.1)</f>
        <v>2.1</v>
      </c>
      <c r="K484" s="30" t="str">
        <f>IFERROR(__xludf.DUMMYFUNCTION("""COMPUTED_VALUE"""),"QTY, Limit Price (if any) &amp; Password input correct")</f>
        <v>QTY, Limit Price (if any) &amp; Password input correct</v>
      </c>
      <c r="L484" s="30"/>
    </row>
    <row r="485">
      <c r="A485" s="5"/>
      <c r="B485" s="118">
        <f>IFERROR(__xludf.DUMMYFUNCTION("""COMPUTED_VALUE"""),44635.606960613426)</f>
        <v>44635.60696</v>
      </c>
      <c r="C485" s="120">
        <f>IFERROR(__xludf.DUMMYFUNCTION("""COMPUTED_VALUE"""),44635.666666666664)</f>
        <v>44635.66667</v>
      </c>
      <c r="D485" s="5" t="str">
        <f>IFERROR(__xludf.DUMMYFUNCTION("""COMPUTED_VALUE"""),"38209")</f>
        <v>38209</v>
      </c>
      <c r="E485" s="5" t="str">
        <f>IFERROR(__xludf.DUMMYFUNCTION("""COMPUTED_VALUE"""),"Stock")</f>
        <v>Stock</v>
      </c>
      <c r="F485" s="5" t="str">
        <f>IFERROR(__xludf.DUMMYFUNCTION("""COMPUTED_VALUE"""),"HKD")</f>
        <v>HKD</v>
      </c>
      <c r="G485" s="30" t="str">
        <f>IFERROR(__xludf.DUMMYFUNCTION("""COMPUTED_VALUE"""),"Email Account/ TraderID Recognized")</f>
        <v>Email Account/ TraderID Recognized</v>
      </c>
      <c r="H485" s="121" t="str">
        <f>IFERROR(__xludf.DUMMYFUNCTION("""COMPUTED_VALUE"""),"9988.HK")</f>
        <v>9988.HK</v>
      </c>
      <c r="I485" s="30">
        <f>IFERROR(__xludf.DUMMYFUNCTION("""COMPUTED_VALUE"""),1000.0)</f>
        <v>1000</v>
      </c>
      <c r="J485" s="30"/>
      <c r="K485" s="30" t="str">
        <f>IFERROR(__xludf.DUMMYFUNCTION("""COMPUTED_VALUE"""),"QTY, Limit Price (if any) &amp; Password input correct")</f>
        <v>QTY, Limit Price (if any) &amp; Password input correct</v>
      </c>
      <c r="L485" s="30"/>
    </row>
    <row r="486">
      <c r="A486" s="5"/>
      <c r="B486" s="118">
        <f>IFERROR(__xludf.DUMMYFUNCTION("""COMPUTED_VALUE"""),44635.6073613426)</f>
        <v>44635.60736</v>
      </c>
      <c r="C486" s="120">
        <f>IFERROR(__xludf.DUMMYFUNCTION("""COMPUTED_VALUE"""),44635.666666666664)</f>
        <v>44635.66667</v>
      </c>
      <c r="D486" s="5" t="str">
        <f>IFERROR(__xludf.DUMMYFUNCTION("""COMPUTED_VALUE"""),"76369")</f>
        <v>76369</v>
      </c>
      <c r="E486" s="5" t="str">
        <f>IFERROR(__xludf.DUMMYFUNCTION("""COMPUTED_VALUE"""),"Stock")</f>
        <v>Stock</v>
      </c>
      <c r="F486" s="5" t="str">
        <f>IFERROR(__xludf.DUMMYFUNCTION("""COMPUTED_VALUE"""),"HKD")</f>
        <v>HKD</v>
      </c>
      <c r="G486" s="30" t="str">
        <f>IFERROR(__xludf.DUMMYFUNCTION("""COMPUTED_VALUE"""),"Email Account/ TraderID Recognized")</f>
        <v>Email Account/ TraderID Recognized</v>
      </c>
      <c r="H486" s="121" t="str">
        <f>IFERROR(__xludf.DUMMYFUNCTION("""COMPUTED_VALUE"""),"603538.SS")</f>
        <v>603538.SS</v>
      </c>
      <c r="I486" s="30">
        <f>IFERROR(__xludf.DUMMYFUNCTION("""COMPUTED_VALUE"""),500.0)</f>
        <v>500</v>
      </c>
      <c r="J486" s="30"/>
      <c r="K486" s="30" t="str">
        <f>IFERROR(__xludf.DUMMYFUNCTION("""COMPUTED_VALUE"""),"QTY, Limit Price (if any) &amp; Password input correct")</f>
        <v>QTY, Limit Price (if any) &amp; Password input correct</v>
      </c>
      <c r="L486" s="30"/>
    </row>
    <row r="487">
      <c r="A487" s="5"/>
      <c r="B487" s="118">
        <f>IFERROR(__xludf.DUMMYFUNCTION("""COMPUTED_VALUE"""),44635.608699282406)</f>
        <v>44635.6087</v>
      </c>
      <c r="C487" s="120">
        <f>IFERROR(__xludf.DUMMYFUNCTION("""COMPUTED_VALUE"""),44635.666666666664)</f>
        <v>44635.66667</v>
      </c>
      <c r="D487" s="5" t="str">
        <f>IFERROR(__xludf.DUMMYFUNCTION("""COMPUTED_VALUE"""),"38209")</f>
        <v>38209</v>
      </c>
      <c r="E487" s="5" t="str">
        <f>IFERROR(__xludf.DUMMYFUNCTION("""COMPUTED_VALUE"""),"Stock")</f>
        <v>Stock</v>
      </c>
      <c r="F487" s="5" t="str">
        <f>IFERROR(__xludf.DUMMYFUNCTION("""COMPUTED_VALUE"""),"HKD")</f>
        <v>HKD</v>
      </c>
      <c r="G487" s="30" t="str">
        <f>IFERROR(__xludf.DUMMYFUNCTION("""COMPUTED_VALUE"""),"Email Account/ TraderID Recognized")</f>
        <v>Email Account/ TraderID Recognized</v>
      </c>
      <c r="H487" s="121" t="str">
        <f>IFERROR(__xludf.DUMMYFUNCTION("""COMPUTED_VALUE"""),"6862.HK")</f>
        <v>6862.HK</v>
      </c>
      <c r="I487" s="30">
        <f>IFERROR(__xludf.DUMMYFUNCTION("""COMPUTED_VALUE"""),2500.0)</f>
        <v>2500</v>
      </c>
      <c r="J487" s="30"/>
      <c r="K487" s="30" t="str">
        <f>IFERROR(__xludf.DUMMYFUNCTION("""COMPUTED_VALUE"""),"QTY, Limit Price (if any) &amp; Password input correct")</f>
        <v>QTY, Limit Price (if any) &amp; Password input correct</v>
      </c>
      <c r="L487" s="30"/>
    </row>
    <row r="488">
      <c r="A488" s="5"/>
      <c r="B488" s="118">
        <f>IFERROR(__xludf.DUMMYFUNCTION("""COMPUTED_VALUE"""),44635.60973458333)</f>
        <v>44635.60973</v>
      </c>
      <c r="C488" s="120">
        <f>IFERROR(__xludf.DUMMYFUNCTION("""COMPUTED_VALUE"""),44635.666666666664)</f>
        <v>44635.66667</v>
      </c>
      <c r="D488" s="5" t="str">
        <f>IFERROR(__xludf.DUMMYFUNCTION("""COMPUTED_VALUE"""),"76369")</f>
        <v>76369</v>
      </c>
      <c r="E488" s="5" t="str">
        <f>IFERROR(__xludf.DUMMYFUNCTION("""COMPUTED_VALUE"""),"Stock")</f>
        <v>Stock</v>
      </c>
      <c r="F488" s="5" t="str">
        <f>IFERROR(__xludf.DUMMYFUNCTION("""COMPUTED_VALUE"""),"HKD")</f>
        <v>HKD</v>
      </c>
      <c r="G488" s="30" t="str">
        <f>IFERROR(__xludf.DUMMYFUNCTION("""COMPUTED_VALUE"""),"Email Account/ TraderID Recognized")</f>
        <v>Email Account/ TraderID Recognized</v>
      </c>
      <c r="H488" s="121" t="str">
        <f>IFERROR(__xludf.DUMMYFUNCTION("""COMPUTED_VALUE"""),"688076.SS")</f>
        <v>688076.SS</v>
      </c>
      <c r="I488" s="30">
        <f>IFERROR(__xludf.DUMMYFUNCTION("""COMPUTED_VALUE"""),500.0)</f>
        <v>500</v>
      </c>
      <c r="J488" s="30"/>
      <c r="K488" s="30" t="str">
        <f>IFERROR(__xludf.DUMMYFUNCTION("""COMPUTED_VALUE"""),"QTY, Limit Price (if any) &amp; Password input correct")</f>
        <v>QTY, Limit Price (if any) &amp; Password input correct</v>
      </c>
      <c r="L488" s="30"/>
    </row>
    <row r="489">
      <c r="A489" s="5"/>
      <c r="B489" s="118">
        <f>IFERROR(__xludf.DUMMYFUNCTION("""COMPUTED_VALUE"""),44635.61040335648)</f>
        <v>44635.6104</v>
      </c>
      <c r="C489" s="120">
        <f>IFERROR(__xludf.DUMMYFUNCTION("""COMPUTED_VALUE"""),44635.666666666664)</f>
        <v>44635.66667</v>
      </c>
      <c r="D489" s="5" t="str">
        <f>IFERROR(__xludf.DUMMYFUNCTION("""COMPUTED_VALUE"""),"38209")</f>
        <v>38209</v>
      </c>
      <c r="E489" s="5" t="str">
        <f>IFERROR(__xludf.DUMMYFUNCTION("""COMPUTED_VALUE"""),"Stock")</f>
        <v>Stock</v>
      </c>
      <c r="F489" s="5" t="str">
        <f>IFERROR(__xludf.DUMMYFUNCTION("""COMPUTED_VALUE"""),"HKD")</f>
        <v>HKD</v>
      </c>
      <c r="G489" s="30" t="str">
        <f>IFERROR(__xludf.DUMMYFUNCTION("""COMPUTED_VALUE"""),"Email Account/ TraderID Recognized")</f>
        <v>Email Account/ TraderID Recognized</v>
      </c>
      <c r="H489" s="121" t="str">
        <f>IFERROR(__xludf.DUMMYFUNCTION("""COMPUTED_VALUE"""),"600519.SS")</f>
        <v>600519.SS</v>
      </c>
      <c r="I489" s="30">
        <f>IFERROR(__xludf.DUMMYFUNCTION("""COMPUTED_VALUE"""),100.0)</f>
        <v>100</v>
      </c>
      <c r="J489" s="30"/>
      <c r="K489" s="30" t="str">
        <f>IFERROR(__xludf.DUMMYFUNCTION("""COMPUTED_VALUE"""),"QTY, Limit Price (if any) &amp; Password input correct")</f>
        <v>QTY, Limit Price (if any) &amp; Password input correct</v>
      </c>
      <c r="L489" s="30"/>
    </row>
    <row r="490">
      <c r="A490" s="5"/>
      <c r="B490" s="118">
        <f>IFERROR(__xludf.DUMMYFUNCTION("""COMPUTED_VALUE"""),44635.658848356485)</f>
        <v>44635.65885</v>
      </c>
      <c r="C490" s="120">
        <f>IFERROR(__xludf.DUMMYFUNCTION("""COMPUTED_VALUE"""),44635.666666666664)</f>
        <v>44635.66667</v>
      </c>
      <c r="D490" s="5" t="str">
        <f>IFERROR(__xludf.DUMMYFUNCTION("""COMPUTED_VALUE"""),"46975")</f>
        <v>46975</v>
      </c>
      <c r="E490" s="5" t="str">
        <f>IFERROR(__xludf.DUMMYFUNCTION("""COMPUTED_VALUE"""),"Stock")</f>
        <v>Stock</v>
      </c>
      <c r="F490" s="5" t="str">
        <f>IFERROR(__xludf.DUMMYFUNCTION("""COMPUTED_VALUE"""),"HKD")</f>
        <v>HKD</v>
      </c>
      <c r="G490" s="30" t="str">
        <f>IFERROR(__xludf.DUMMYFUNCTION("""COMPUTED_VALUE"""),"Email Account/ TraderID Recognized")</f>
        <v>Email Account/ TraderID Recognized</v>
      </c>
      <c r="H490" s="121" t="str">
        <f>IFERROR(__xludf.DUMMYFUNCTION("""COMPUTED_VALUE"""),"0700.HK")</f>
        <v>0700.HK</v>
      </c>
      <c r="I490" s="30">
        <f>IFERROR(__xludf.DUMMYFUNCTION("""COMPUTED_VALUE"""),100.0)</f>
        <v>100</v>
      </c>
      <c r="J490" s="30"/>
      <c r="K490" s="30" t="str">
        <f>IFERROR(__xludf.DUMMYFUNCTION("""COMPUTED_VALUE"""),"QTY, Limit Price (if any) &amp; Password input correct")</f>
        <v>QTY, Limit Price (if any) &amp; Password input correct</v>
      </c>
      <c r="L490" s="30"/>
    </row>
    <row r="491">
      <c r="A491" s="5"/>
      <c r="B491" s="118">
        <f>IFERROR(__xludf.DUMMYFUNCTION("""COMPUTED_VALUE"""),44635.66402175926)</f>
        <v>44635.66402</v>
      </c>
      <c r="C491" s="120" t="str">
        <f>IFERROR(__xludf.DUMMYFUNCTION("""COMPUTED_VALUE"""),"")</f>
        <v/>
      </c>
      <c r="D491" s="5" t="str">
        <f>IFERROR(__xludf.DUMMYFUNCTION("""COMPUTED_VALUE"""),"46972")</f>
        <v>46972</v>
      </c>
      <c r="E491" s="5" t="str">
        <f>IFERROR(__xludf.DUMMYFUNCTION("""COMPUTED_VALUE"""),"Stock")</f>
        <v>Stock</v>
      </c>
      <c r="F491" s="5" t="str">
        <f>IFERROR(__xludf.DUMMYFUNCTION("""COMPUTED_VALUE"""),"error")</f>
        <v>error</v>
      </c>
      <c r="G491" s="30" t="str">
        <f>IFERROR(__xludf.DUMMYFUNCTION("""COMPUTED_VALUE"""),"Email Account/ TraderID Recognized")</f>
        <v>Email Account/ TraderID Recognized</v>
      </c>
      <c r="H491" s="121" t="str">
        <f>IFERROR(__xludf.DUMMYFUNCTION("""COMPUTED_VALUE"""),"6862.HK")</f>
        <v>6862.HK</v>
      </c>
      <c r="I491" s="30">
        <f>IFERROR(__xludf.DUMMYFUNCTION("""COMPUTED_VALUE"""),100.0)</f>
        <v>100</v>
      </c>
      <c r="J491" s="30"/>
      <c r="K491" s="30" t="str">
        <f>IFERROR(__xludf.DUMMYFUNCTION("""COMPUTED_VALUE"""),"QTY, Limit Price (if any) &amp; Password input correct")</f>
        <v>QTY, Limit Price (if any) &amp; Password input correct</v>
      </c>
      <c r="L491" s="30" t="str">
        <f>IFERROR(__xludf.DUMMYFUNCTION("""COMPUTED_VALUE"""),"Order rejected due to wrong account - account does not exists. 46972.")</f>
        <v>Order rejected due to wrong account - account does not exists. 46972.</v>
      </c>
    </row>
    <row r="492">
      <c r="A492" s="5"/>
      <c r="B492" s="118">
        <f>IFERROR(__xludf.DUMMYFUNCTION("""COMPUTED_VALUE"""),44635.69888056713)</f>
        <v>44635.69888</v>
      </c>
      <c r="C492" s="120" t="str">
        <f>IFERROR(__xludf.DUMMYFUNCTION("""COMPUTED_VALUE"""),"")</f>
        <v/>
      </c>
      <c r="D492" s="5" t="str">
        <f>IFERROR(__xludf.DUMMYFUNCTION("""COMPUTED_VALUE"""),"")</f>
        <v/>
      </c>
      <c r="E492" s="5" t="str">
        <f>IFERROR(__xludf.DUMMYFUNCTION("""COMPUTED_VALUE"""),"Stock")</f>
        <v>Stock</v>
      </c>
      <c r="F492" s="5" t="str">
        <f>IFERROR(__xludf.DUMMYFUNCTION("""COMPUTED_VALUE"""),"error")</f>
        <v>error</v>
      </c>
      <c r="G492" s="30" t="str">
        <f>IFERROR(__xludf.DUMMYFUNCTION("""COMPUTED_VALUE"""),"jiaxxxxxxx@nonHKMUemail")</f>
        <v>jiaxxxxxxx@nonHKMUemail</v>
      </c>
      <c r="H492" s="121" t="str">
        <f>IFERROR(__xludf.DUMMYFUNCTION("""COMPUTED_VALUE"""),"01024.HK")</f>
        <v>01024.HK</v>
      </c>
      <c r="I492" s="30">
        <f>IFERROR(__xludf.DUMMYFUNCTION("""COMPUTED_VALUE"""),4000.0)</f>
        <v>4000</v>
      </c>
      <c r="J492" s="30">
        <f>IFERROR(__xludf.DUMMYFUNCTION("""COMPUTED_VALUE"""),56.0)</f>
        <v>56</v>
      </c>
      <c r="K492" s="30" t="str">
        <f>IFERROR(__xludf.DUMMYFUNCTION("""COMPUTED_VALUE"""),"QTY, Limit Price (if any) &amp; Password input correct")</f>
        <v>QTY, Limit Price (if any) &amp; Password input correct</v>
      </c>
      <c r="L492" s="30" t="str">
        <f>IFERROR(__xludf.DUMMYFUNCTION("""COMPUTED_VALUE"""),"Order rejected due to wrong account, wrong ticker code - Non school email account. Ticker code is NOT 01024.HK, should be 1024.HK")</f>
        <v>Order rejected due to wrong account, wrong ticker code - Non school email account. Ticker code is NOT 01024.HK, should be 1024.HK</v>
      </c>
    </row>
    <row r="493">
      <c r="A493" s="5"/>
      <c r="B493" s="118">
        <f>IFERROR(__xludf.DUMMYFUNCTION("""COMPUTED_VALUE"""),44635.82868508102)</f>
        <v>44635.82869</v>
      </c>
      <c r="C493" s="120">
        <f>IFERROR(__xludf.DUMMYFUNCTION("""COMPUTED_VALUE"""),44635.666666666664)</f>
        <v>44635.66667</v>
      </c>
      <c r="D493" s="5" t="str">
        <f>IFERROR(__xludf.DUMMYFUNCTION("""COMPUTED_VALUE"""),"39441")</f>
        <v>39441</v>
      </c>
      <c r="E493" s="5" t="str">
        <f>IFERROR(__xludf.DUMMYFUNCTION("""COMPUTED_VALUE"""),"Stock")</f>
        <v>Stock</v>
      </c>
      <c r="F493" s="5" t="str">
        <f>IFERROR(__xludf.DUMMYFUNCTION("""COMPUTED_VALUE"""),"USD")</f>
        <v>USD</v>
      </c>
      <c r="G493" s="30" t="str">
        <f>IFERROR(__xludf.DUMMYFUNCTION("""COMPUTED_VALUE"""),"Email Account/ TraderID Recognized")</f>
        <v>Email Account/ TraderID Recognized</v>
      </c>
      <c r="H493" s="119" t="str">
        <f>IFERROR(__xludf.DUMMYFUNCTION("""COMPUTED_VALUE"""),"BABA")</f>
        <v>BABA</v>
      </c>
      <c r="I493" s="30">
        <f>IFERROR(__xludf.DUMMYFUNCTION("""COMPUTED_VALUE"""),200.0)</f>
        <v>200</v>
      </c>
      <c r="J493" s="30"/>
      <c r="K493" s="30" t="str">
        <f>IFERROR(__xludf.DUMMYFUNCTION("""COMPUTED_VALUE"""),"QTY, Limit Price (if any) &amp; Password input correct")</f>
        <v>QTY, Limit Price (if any) &amp; Password input correct</v>
      </c>
      <c r="L493" s="30"/>
    </row>
    <row r="494">
      <c r="A494" s="5"/>
      <c r="B494" s="118">
        <f>IFERROR(__xludf.DUMMYFUNCTION("""COMPUTED_VALUE"""),44635.85969304398)</f>
        <v>44635.85969</v>
      </c>
      <c r="C494" s="120">
        <f>IFERROR(__xludf.DUMMYFUNCTION("""COMPUTED_VALUE"""),44636.666666666664)</f>
        <v>44636.66667</v>
      </c>
      <c r="D494" s="5" t="str">
        <f>IFERROR(__xludf.DUMMYFUNCTION("""COMPUTED_VALUE"""),"37922")</f>
        <v>37922</v>
      </c>
      <c r="E494" s="5" t="str">
        <f>IFERROR(__xludf.DUMMYFUNCTION("""COMPUTED_VALUE"""),"Stock")</f>
        <v>Stock</v>
      </c>
      <c r="F494" s="5" t="str">
        <f>IFERROR(__xludf.DUMMYFUNCTION("""COMPUTED_VALUE"""),"HKD")</f>
        <v>HKD</v>
      </c>
      <c r="G494" s="30" t="str">
        <f>IFERROR(__xludf.DUMMYFUNCTION("""COMPUTED_VALUE"""),"Email Account/ TraderID Recognized")</f>
        <v>Email Account/ TraderID Recognized</v>
      </c>
      <c r="H494" s="121" t="str">
        <f>IFERROR(__xludf.DUMMYFUNCTION("""COMPUTED_VALUE"""),"0700.hk")</f>
        <v>0700.hk</v>
      </c>
      <c r="I494" s="30">
        <f>IFERROR(__xludf.DUMMYFUNCTION("""COMPUTED_VALUE"""),1.0)</f>
        <v>1</v>
      </c>
      <c r="J494" s="30">
        <f>IFERROR(__xludf.DUMMYFUNCTION("""COMPUTED_VALUE"""),300.0)</f>
        <v>300</v>
      </c>
      <c r="K494" s="30" t="str">
        <f>IFERROR(__xludf.DUMMYFUNCTION("""COMPUTED_VALUE"""),"QTY, Limit Price (if any) &amp; Password input correct")</f>
        <v>QTY, Limit Price (if any) &amp; Password input correct</v>
      </c>
      <c r="L494" s="30"/>
    </row>
    <row r="495">
      <c r="A495" s="5"/>
      <c r="B495" s="118">
        <f>IFERROR(__xludf.DUMMYFUNCTION("""COMPUTED_VALUE"""),44635.88222482639)</f>
        <v>44635.88222</v>
      </c>
      <c r="C495" s="120">
        <f>IFERROR(__xludf.DUMMYFUNCTION("""COMPUTED_VALUE"""),44635.666666666664)</f>
        <v>44635.66667</v>
      </c>
      <c r="D495" s="5" t="str">
        <f>IFERROR(__xludf.DUMMYFUNCTION("""COMPUTED_VALUE"""),"38209")</f>
        <v>38209</v>
      </c>
      <c r="E495" s="5" t="str">
        <f>IFERROR(__xludf.DUMMYFUNCTION("""COMPUTED_VALUE"""),"Stock")</f>
        <v>Stock</v>
      </c>
      <c r="F495" s="5" t="str">
        <f>IFERROR(__xludf.DUMMYFUNCTION("""COMPUTED_VALUE"""),"USD")</f>
        <v>USD</v>
      </c>
      <c r="G495" s="30" t="str">
        <f>IFERROR(__xludf.DUMMYFUNCTION("""COMPUTED_VALUE"""),"Email Account/ TraderID Recognized")</f>
        <v>Email Account/ TraderID Recognized</v>
      </c>
      <c r="H495" s="119" t="str">
        <f>IFERROR(__xludf.DUMMYFUNCTION("""COMPUTED_VALUE"""),"XLV")</f>
        <v>XLV</v>
      </c>
      <c r="I495" s="30">
        <f>IFERROR(__xludf.DUMMYFUNCTION("""COMPUTED_VALUE"""),200.0)</f>
        <v>200</v>
      </c>
      <c r="J495" s="30"/>
      <c r="K495" s="30" t="str">
        <f>IFERROR(__xludf.DUMMYFUNCTION("""COMPUTED_VALUE"""),"QTY, Limit Price (if any) &amp; Password input correct")</f>
        <v>QTY, Limit Price (if any) &amp; Password input correct</v>
      </c>
      <c r="L495" s="30"/>
    </row>
    <row r="496">
      <c r="A496" s="5"/>
      <c r="B496" s="118">
        <f>IFERROR(__xludf.DUMMYFUNCTION("""COMPUTED_VALUE"""),44635.8845865162)</f>
        <v>44635.88459</v>
      </c>
      <c r="C496" s="120">
        <f>IFERROR(__xludf.DUMMYFUNCTION("""COMPUTED_VALUE"""),44635.666666666664)</f>
        <v>44635.66667</v>
      </c>
      <c r="D496" s="5" t="str">
        <f>IFERROR(__xludf.DUMMYFUNCTION("""COMPUTED_VALUE"""),"74356")</f>
        <v>74356</v>
      </c>
      <c r="E496" s="5" t="str">
        <f>IFERROR(__xludf.DUMMYFUNCTION("""COMPUTED_VALUE"""),"Stock")</f>
        <v>Stock</v>
      </c>
      <c r="F496" s="5" t="str">
        <f>IFERROR(__xludf.DUMMYFUNCTION("""COMPUTED_VALUE"""),"USD")</f>
        <v>USD</v>
      </c>
      <c r="G496" s="30" t="str">
        <f>IFERROR(__xludf.DUMMYFUNCTION("""COMPUTED_VALUE"""),"Email Account/ TraderID Recognized")</f>
        <v>Email Account/ TraderID Recognized</v>
      </c>
      <c r="H496" s="119" t="str">
        <f>IFERROR(__xludf.DUMMYFUNCTION("""COMPUTED_VALUE"""),"CL=F")</f>
        <v>CL=F</v>
      </c>
      <c r="I496" s="30">
        <f>IFERROR(__xludf.DUMMYFUNCTION("""COMPUTED_VALUE"""),200.0)</f>
        <v>200</v>
      </c>
      <c r="J496" s="30"/>
      <c r="K496" s="30" t="str">
        <f>IFERROR(__xludf.DUMMYFUNCTION("""COMPUTED_VALUE"""),"QTY, Limit Price (if any) &amp; Password input correct")</f>
        <v>QTY, Limit Price (if any) &amp; Password input correct</v>
      </c>
      <c r="L496" s="30"/>
    </row>
    <row r="497">
      <c r="A497" s="5"/>
      <c r="B497" s="118">
        <f>IFERROR(__xludf.DUMMYFUNCTION("""COMPUTED_VALUE"""),44635.88583483796)</f>
        <v>44635.88583</v>
      </c>
      <c r="C497" s="120">
        <f>IFERROR(__xludf.DUMMYFUNCTION("""COMPUTED_VALUE"""),44635.666666666664)</f>
        <v>44635.66667</v>
      </c>
      <c r="D497" s="5" t="str">
        <f>IFERROR(__xludf.DUMMYFUNCTION("""COMPUTED_VALUE"""),"74356")</f>
        <v>74356</v>
      </c>
      <c r="E497" s="5" t="str">
        <f>IFERROR(__xludf.DUMMYFUNCTION("""COMPUTED_VALUE"""),"Stock")</f>
        <v>Stock</v>
      </c>
      <c r="F497" s="5" t="str">
        <f>IFERROR(__xludf.DUMMYFUNCTION("""COMPUTED_VALUE"""),"USD")</f>
        <v>USD</v>
      </c>
      <c r="G497" s="30" t="str">
        <f>IFERROR(__xludf.DUMMYFUNCTION("""COMPUTED_VALUE"""),"Email Account/ TraderID Recognized")</f>
        <v>Email Account/ TraderID Recognized</v>
      </c>
      <c r="H497" s="119" t="str">
        <f>IFERROR(__xludf.DUMMYFUNCTION("""COMPUTED_VALUE"""),"AAPL")</f>
        <v>AAPL</v>
      </c>
      <c r="I497" s="30">
        <f>IFERROR(__xludf.DUMMYFUNCTION("""COMPUTED_VALUE"""),20.0)</f>
        <v>20</v>
      </c>
      <c r="J497" s="30"/>
      <c r="K497" s="30" t="str">
        <f>IFERROR(__xludf.DUMMYFUNCTION("""COMPUTED_VALUE"""),"QTY, Limit Price (if any) &amp; Password input correct")</f>
        <v>QTY, Limit Price (if any) &amp; Password input correct</v>
      </c>
      <c r="L497" s="30"/>
    </row>
    <row r="498">
      <c r="A498" s="5"/>
      <c r="B498" s="118">
        <f>IFERROR(__xludf.DUMMYFUNCTION("""COMPUTED_VALUE"""),44635.88907291667)</f>
        <v>44635.88907</v>
      </c>
      <c r="C498" s="120">
        <f>IFERROR(__xludf.DUMMYFUNCTION("""COMPUTED_VALUE"""),44635.666666666664)</f>
        <v>44635.66667</v>
      </c>
      <c r="D498" s="5" t="str">
        <f>IFERROR(__xludf.DUMMYFUNCTION("""COMPUTED_VALUE"""),"74356")</f>
        <v>74356</v>
      </c>
      <c r="E498" s="5" t="str">
        <f>IFERROR(__xludf.DUMMYFUNCTION("""COMPUTED_VALUE"""),"Stock")</f>
        <v>Stock</v>
      </c>
      <c r="F498" s="5" t="str">
        <f>IFERROR(__xludf.DUMMYFUNCTION("""COMPUTED_VALUE"""),"USD")</f>
        <v>USD</v>
      </c>
      <c r="G498" s="30" t="str">
        <f>IFERROR(__xludf.DUMMYFUNCTION("""COMPUTED_VALUE"""),"Email Account/ TraderID Recognized")</f>
        <v>Email Account/ TraderID Recognized</v>
      </c>
      <c r="H498" s="119" t="str">
        <f>IFERROR(__xludf.DUMMYFUNCTION("""COMPUTED_VALUE"""),"AMAT")</f>
        <v>AMAT</v>
      </c>
      <c r="I498" s="30">
        <f>IFERROR(__xludf.DUMMYFUNCTION("""COMPUTED_VALUE"""),50.0)</f>
        <v>50</v>
      </c>
      <c r="J498" s="30"/>
      <c r="K498" s="30" t="str">
        <f>IFERROR(__xludf.DUMMYFUNCTION("""COMPUTED_VALUE"""),"QTY, Limit Price (if any) &amp; Password input correct")</f>
        <v>QTY, Limit Price (if any) &amp; Password input correct</v>
      </c>
      <c r="L498" s="30"/>
    </row>
    <row r="499">
      <c r="A499" s="5"/>
      <c r="B499" s="118">
        <f>IFERROR(__xludf.DUMMYFUNCTION("""COMPUTED_VALUE"""),44635.89923627315)</f>
        <v>44635.89924</v>
      </c>
      <c r="C499" s="120">
        <f>IFERROR(__xludf.DUMMYFUNCTION("""COMPUTED_VALUE"""),44635.666666666664)</f>
        <v>44635.66667</v>
      </c>
      <c r="D499" s="5" t="str">
        <f>IFERROR(__xludf.DUMMYFUNCTION("""COMPUTED_VALUE"""),"76848")</f>
        <v>76848</v>
      </c>
      <c r="E499" s="5" t="str">
        <f>IFERROR(__xludf.DUMMYFUNCTION("""COMPUTED_VALUE"""),"Stock")</f>
        <v>Stock</v>
      </c>
      <c r="F499" s="5" t="str">
        <f>IFERROR(__xludf.DUMMYFUNCTION("""COMPUTED_VALUE"""),"USD")</f>
        <v>USD</v>
      </c>
      <c r="G499" s="30" t="str">
        <f>IFERROR(__xludf.DUMMYFUNCTION("""COMPUTED_VALUE"""),"Email Account/ TraderID Recognized")</f>
        <v>Email Account/ TraderID Recognized</v>
      </c>
      <c r="H499" s="119" t="str">
        <f>IFERROR(__xludf.DUMMYFUNCTION("""COMPUTED_VALUE"""),"CL=F")</f>
        <v>CL=F</v>
      </c>
      <c r="I499" s="30">
        <f>IFERROR(__xludf.DUMMYFUNCTION("""COMPUTED_VALUE"""),200.0)</f>
        <v>200</v>
      </c>
      <c r="J499" s="30"/>
      <c r="K499" s="30" t="str">
        <f>IFERROR(__xludf.DUMMYFUNCTION("""COMPUTED_VALUE"""),"QTY, Limit Price (if any) &amp; Password input correct")</f>
        <v>QTY, Limit Price (if any) &amp; Password input correct</v>
      </c>
      <c r="L499" s="30"/>
    </row>
    <row r="500">
      <c r="A500" s="5"/>
      <c r="B500" s="118">
        <f>IFERROR(__xludf.DUMMYFUNCTION("""COMPUTED_VALUE"""),44635.90541162037)</f>
        <v>44635.90541</v>
      </c>
      <c r="C500" s="120">
        <f>IFERROR(__xludf.DUMMYFUNCTION("""COMPUTED_VALUE"""),44636.666666666664)</f>
        <v>44636.66667</v>
      </c>
      <c r="D500" s="5" t="str">
        <f>IFERROR(__xludf.DUMMYFUNCTION("""COMPUTED_VALUE"""),"39441")</f>
        <v>39441</v>
      </c>
      <c r="E500" s="5" t="str">
        <f>IFERROR(__xludf.DUMMYFUNCTION("""COMPUTED_VALUE"""),"Stock")</f>
        <v>Stock</v>
      </c>
      <c r="F500" s="5" t="str">
        <f>IFERROR(__xludf.DUMMYFUNCTION("""COMPUTED_VALUE"""),"HKD")</f>
        <v>HKD</v>
      </c>
      <c r="G500" s="30" t="str">
        <f>IFERROR(__xludf.DUMMYFUNCTION("""COMPUTED_VALUE"""),"Email Account/ TraderID Recognized")</f>
        <v>Email Account/ TraderID Recognized</v>
      </c>
      <c r="H500" s="121" t="str">
        <f>IFERROR(__xludf.DUMMYFUNCTION("""COMPUTED_VALUE"""),"0700.HK")</f>
        <v>0700.HK</v>
      </c>
      <c r="I500" s="30">
        <f>IFERROR(__xludf.DUMMYFUNCTION("""COMPUTED_VALUE"""),10.0)</f>
        <v>10</v>
      </c>
      <c r="J500" s="30"/>
      <c r="K500" s="30" t="str">
        <f>IFERROR(__xludf.DUMMYFUNCTION("""COMPUTED_VALUE"""),"QTY, Limit Price (if any) &amp; Password input correct")</f>
        <v>QTY, Limit Price (if any) &amp; Password input correct</v>
      </c>
      <c r="L500" s="30"/>
    </row>
    <row r="501">
      <c r="A501" s="5"/>
      <c r="B501" s="118">
        <f>IFERROR(__xludf.DUMMYFUNCTION("""COMPUTED_VALUE"""),44635.90862320602)</f>
        <v>44635.90862</v>
      </c>
      <c r="C501" s="120">
        <f>IFERROR(__xludf.DUMMYFUNCTION("""COMPUTED_VALUE"""),44635.666666666664)</f>
        <v>44635.66667</v>
      </c>
      <c r="D501" s="5" t="str">
        <f>IFERROR(__xludf.DUMMYFUNCTION("""COMPUTED_VALUE"""),"74356")</f>
        <v>74356</v>
      </c>
      <c r="E501" s="5" t="str">
        <f>IFERROR(__xludf.DUMMYFUNCTION("""COMPUTED_VALUE"""),"Stock")</f>
        <v>Stock</v>
      </c>
      <c r="F501" s="5" t="str">
        <f>IFERROR(__xludf.DUMMYFUNCTION("""COMPUTED_VALUE"""),"USD")</f>
        <v>USD</v>
      </c>
      <c r="G501" s="30" t="str">
        <f>IFERROR(__xludf.DUMMYFUNCTION("""COMPUTED_VALUE"""),"Email Account/ TraderID Recognized")</f>
        <v>Email Account/ TraderID Recognized</v>
      </c>
      <c r="H501" s="119" t="str">
        <f>IFERROR(__xludf.DUMMYFUNCTION("""COMPUTED_VALUE"""),"NET")</f>
        <v>NET</v>
      </c>
      <c r="I501" s="30">
        <f>IFERROR(__xludf.DUMMYFUNCTION("""COMPUTED_VALUE"""),10.0)</f>
        <v>10</v>
      </c>
      <c r="J501" s="30"/>
      <c r="K501" s="30" t="str">
        <f>IFERROR(__xludf.DUMMYFUNCTION("""COMPUTED_VALUE"""),"QTY, Limit Price (if any) &amp; Password input correct")</f>
        <v>QTY, Limit Price (if any) &amp; Password input correct</v>
      </c>
      <c r="L501" s="30"/>
    </row>
    <row r="502">
      <c r="A502" s="5"/>
      <c r="B502" s="118">
        <f>IFERROR(__xludf.DUMMYFUNCTION("""COMPUTED_VALUE"""),44635.909677881944)</f>
        <v>44635.90968</v>
      </c>
      <c r="C502" s="120">
        <f>IFERROR(__xludf.DUMMYFUNCTION("""COMPUTED_VALUE"""),44635.666666666664)</f>
        <v>44635.66667</v>
      </c>
      <c r="D502" s="5" t="str">
        <f>IFERROR(__xludf.DUMMYFUNCTION("""COMPUTED_VALUE"""),"74356")</f>
        <v>74356</v>
      </c>
      <c r="E502" s="5" t="str">
        <f>IFERROR(__xludf.DUMMYFUNCTION("""COMPUTED_VALUE"""),"Stock")</f>
        <v>Stock</v>
      </c>
      <c r="F502" s="5" t="str">
        <f>IFERROR(__xludf.DUMMYFUNCTION("""COMPUTED_VALUE"""),"USD")</f>
        <v>USD</v>
      </c>
      <c r="G502" s="30" t="str">
        <f>IFERROR(__xludf.DUMMYFUNCTION("""COMPUTED_VALUE"""),"Email Account/ TraderID Recognized")</f>
        <v>Email Account/ TraderID Recognized</v>
      </c>
      <c r="H502" s="119" t="str">
        <f>IFERROR(__xludf.DUMMYFUNCTION("""COMPUTED_VALUE"""),"BRK-B")</f>
        <v>BRK-B</v>
      </c>
      <c r="I502" s="30">
        <f>IFERROR(__xludf.DUMMYFUNCTION("""COMPUTED_VALUE"""),100.0)</f>
        <v>100</v>
      </c>
      <c r="J502" s="30"/>
      <c r="K502" s="30" t="str">
        <f>IFERROR(__xludf.DUMMYFUNCTION("""COMPUTED_VALUE"""),"QTY, Limit Price (if any) &amp; Password input correct")</f>
        <v>QTY, Limit Price (if any) &amp; Password input correct</v>
      </c>
      <c r="L502" s="30"/>
    </row>
    <row r="503">
      <c r="A503" s="5"/>
      <c r="B503" s="118">
        <f>IFERROR(__xludf.DUMMYFUNCTION("""COMPUTED_VALUE"""),44635.97862787037)</f>
        <v>44635.97863</v>
      </c>
      <c r="C503" s="120">
        <f>IFERROR(__xludf.DUMMYFUNCTION("""COMPUTED_VALUE"""),44635.666666666664)</f>
        <v>44635.66667</v>
      </c>
      <c r="D503" s="5" t="str">
        <f>IFERROR(__xludf.DUMMYFUNCTION("""COMPUTED_VALUE"""),"89750")</f>
        <v>89750</v>
      </c>
      <c r="E503" s="5" t="str">
        <f>IFERROR(__xludf.DUMMYFUNCTION("""COMPUTED_VALUE"""),"Option")</f>
        <v>Option</v>
      </c>
      <c r="F503" s="5" t="str">
        <f>IFERROR(__xludf.DUMMYFUNCTION("""COMPUTED_VALUE"""),"USD")</f>
        <v>USD</v>
      </c>
      <c r="G503" s="30" t="str">
        <f>IFERROR(__xludf.DUMMYFUNCTION("""COMPUTED_VALUE"""),"Email Account/ TraderID Recognized")</f>
        <v>Email Account/ TraderID Recognized</v>
      </c>
      <c r="H503" s="119" t="str">
        <f>IFERROR(__xludf.DUMMYFUNCTION("""COMPUTED_VALUE"""),"TQQQ220408P00056000")</f>
        <v>TQQQ220408P00056000</v>
      </c>
      <c r="I503" s="30">
        <f>IFERROR(__xludf.DUMMYFUNCTION("""COMPUTED_VALUE"""),20.0)</f>
        <v>20</v>
      </c>
      <c r="J503" s="30"/>
      <c r="K503" s="30" t="str">
        <f>IFERROR(__xludf.DUMMYFUNCTION("""COMPUTED_VALUE"""),"QTY, Limit Price (if any) &amp; Password input correct")</f>
        <v>QTY, Limit Price (if any) &amp; Password input correct</v>
      </c>
      <c r="L503" s="30"/>
    </row>
    <row r="504">
      <c r="A504" s="5"/>
      <c r="B504" s="118">
        <f>IFERROR(__xludf.DUMMYFUNCTION("""COMPUTED_VALUE"""),44635.982524907406)</f>
        <v>44635.98252</v>
      </c>
      <c r="C504" s="120">
        <f>IFERROR(__xludf.DUMMYFUNCTION("""COMPUTED_VALUE"""),44636.666666666664)</f>
        <v>44636.66667</v>
      </c>
      <c r="D504" s="5" t="str">
        <f>IFERROR(__xludf.DUMMYFUNCTION("""COMPUTED_VALUE"""),"76848")</f>
        <v>76848</v>
      </c>
      <c r="E504" s="5" t="str">
        <f>IFERROR(__xludf.DUMMYFUNCTION("""COMPUTED_VALUE"""),"Stock")</f>
        <v>Stock</v>
      </c>
      <c r="F504" s="5" t="str">
        <f>IFERROR(__xludf.DUMMYFUNCTION("""COMPUTED_VALUE"""),"HKD")</f>
        <v>HKD</v>
      </c>
      <c r="G504" s="30" t="str">
        <f>IFERROR(__xludf.DUMMYFUNCTION("""COMPUTED_VALUE"""),"Email Account/ TraderID Recognized")</f>
        <v>Email Account/ TraderID Recognized</v>
      </c>
      <c r="H504" s="121" t="str">
        <f>IFERROR(__xludf.DUMMYFUNCTION("""COMPUTED_VALUE"""),"1398.HK")</f>
        <v>1398.HK</v>
      </c>
      <c r="I504" s="30">
        <f>IFERROR(__xludf.DUMMYFUNCTION("""COMPUTED_VALUE"""),750.0)</f>
        <v>750</v>
      </c>
      <c r="J504" s="30">
        <f>IFERROR(__xludf.DUMMYFUNCTION("""COMPUTED_VALUE"""),4.65)</f>
        <v>4.65</v>
      </c>
      <c r="K504" s="30" t="str">
        <f>IFERROR(__xludf.DUMMYFUNCTION("""COMPUTED_VALUE"""),"QTY, Limit Price (if any) &amp; Password input correct")</f>
        <v>QTY, Limit Price (if any) &amp; Password input correct</v>
      </c>
      <c r="L504" s="30"/>
    </row>
    <row r="505">
      <c r="A505" s="5"/>
      <c r="B505" s="118">
        <f>IFERROR(__xludf.DUMMYFUNCTION("""COMPUTED_VALUE"""),44635.98442375)</f>
        <v>44635.98442</v>
      </c>
      <c r="C505" s="120">
        <f>IFERROR(__xludf.DUMMYFUNCTION("""COMPUTED_VALUE"""),44636.666666666664)</f>
        <v>44636.66667</v>
      </c>
      <c r="D505" s="5" t="str">
        <f>IFERROR(__xludf.DUMMYFUNCTION("""COMPUTED_VALUE"""),"74356")</f>
        <v>74356</v>
      </c>
      <c r="E505" s="5" t="str">
        <f>IFERROR(__xludf.DUMMYFUNCTION("""COMPUTED_VALUE"""),"Stock")</f>
        <v>Stock</v>
      </c>
      <c r="F505" s="5" t="str">
        <f>IFERROR(__xludf.DUMMYFUNCTION("""COMPUTED_VALUE"""),"HKD")</f>
        <v>HKD</v>
      </c>
      <c r="G505" s="30" t="str">
        <f>IFERROR(__xludf.DUMMYFUNCTION("""COMPUTED_VALUE"""),"Email Account/ TraderID Recognized")</f>
        <v>Email Account/ TraderID Recognized</v>
      </c>
      <c r="H505" s="121" t="str">
        <f>IFERROR(__xludf.DUMMYFUNCTION("""COMPUTED_VALUE"""),"1398.HK")</f>
        <v>1398.HK</v>
      </c>
      <c r="I505" s="30">
        <f>IFERROR(__xludf.DUMMYFUNCTION("""COMPUTED_VALUE"""),750.0)</f>
        <v>750</v>
      </c>
      <c r="J505" s="30"/>
      <c r="K505" s="30" t="str">
        <f>IFERROR(__xludf.DUMMYFUNCTION("""COMPUTED_VALUE"""),"QTY, Limit Price (if any) &amp; Password input correct")</f>
        <v>QTY, Limit Price (if any) &amp; Password input correct</v>
      </c>
      <c r="L505" s="30"/>
    </row>
    <row r="506">
      <c r="A506" s="5"/>
      <c r="B506" s="118">
        <f>IFERROR(__xludf.DUMMYFUNCTION("""COMPUTED_VALUE"""),44636.02384763889)</f>
        <v>44636.02385</v>
      </c>
      <c r="C506" s="120">
        <f>IFERROR(__xludf.DUMMYFUNCTION("""COMPUTED_VALUE"""),44635.666666666664)</f>
        <v>44635.66667</v>
      </c>
      <c r="D506" s="5" t="str">
        <f>IFERROR(__xludf.DUMMYFUNCTION("""COMPUTED_VALUE"""),"76848")</f>
        <v>76848</v>
      </c>
      <c r="E506" s="5" t="str">
        <f>IFERROR(__xludf.DUMMYFUNCTION("""COMPUTED_VALUE"""),"Stock")</f>
        <v>Stock</v>
      </c>
      <c r="F506" s="5" t="str">
        <f>IFERROR(__xludf.DUMMYFUNCTION("""COMPUTED_VALUE"""),"USD")</f>
        <v>USD</v>
      </c>
      <c r="G506" s="30" t="str">
        <f>IFERROR(__xludf.DUMMYFUNCTION("""COMPUTED_VALUE"""),"Email Account/ TraderID Recognized")</f>
        <v>Email Account/ TraderID Recognized</v>
      </c>
      <c r="H506" s="119" t="str">
        <f>IFERROR(__xludf.DUMMYFUNCTION("""COMPUTED_VALUE"""),"IXHL")</f>
        <v>IXHL</v>
      </c>
      <c r="I506" s="30">
        <f>IFERROR(__xludf.DUMMYFUNCTION("""COMPUTED_VALUE"""),1000.0)</f>
        <v>1000</v>
      </c>
      <c r="J506" s="30">
        <f>IFERROR(__xludf.DUMMYFUNCTION("""COMPUTED_VALUE"""),30.0)</f>
        <v>30</v>
      </c>
      <c r="K506" s="30" t="str">
        <f>IFERROR(__xludf.DUMMYFUNCTION("""COMPUTED_VALUE"""),"QTY, Limit Price (if any) &amp; Password input correct")</f>
        <v>QTY, Limit Price (if any) &amp; Password input correct</v>
      </c>
      <c r="L506" s="30"/>
    </row>
    <row r="507">
      <c r="A507" s="5"/>
      <c r="B507" s="118">
        <f>IFERROR(__xludf.DUMMYFUNCTION("""COMPUTED_VALUE"""),44636.025006192125)</f>
        <v>44636.02501</v>
      </c>
      <c r="C507" s="120">
        <f>IFERROR(__xludf.DUMMYFUNCTION("""COMPUTED_VALUE"""),44635.666666666664)</f>
        <v>44635.66667</v>
      </c>
      <c r="D507" s="5" t="str">
        <f>IFERROR(__xludf.DUMMYFUNCTION("""COMPUTED_VALUE"""),"74356")</f>
        <v>74356</v>
      </c>
      <c r="E507" s="5" t="str">
        <f>IFERROR(__xludf.DUMMYFUNCTION("""COMPUTED_VALUE"""),"Stock")</f>
        <v>Stock</v>
      </c>
      <c r="F507" s="5" t="str">
        <f>IFERROR(__xludf.DUMMYFUNCTION("""COMPUTED_VALUE"""),"USD")</f>
        <v>USD</v>
      </c>
      <c r="G507" s="30" t="str">
        <f>IFERROR(__xludf.DUMMYFUNCTION("""COMPUTED_VALUE"""),"Email Account/ TraderID Recognized")</f>
        <v>Email Account/ TraderID Recognized</v>
      </c>
      <c r="H507" s="119" t="str">
        <f>IFERROR(__xludf.DUMMYFUNCTION("""COMPUTED_VALUE"""),"IXHL")</f>
        <v>IXHL</v>
      </c>
      <c r="I507" s="30">
        <f>IFERROR(__xludf.DUMMYFUNCTION("""COMPUTED_VALUE"""),1000.0)</f>
        <v>1000</v>
      </c>
      <c r="J507" s="30">
        <f>IFERROR(__xludf.DUMMYFUNCTION("""COMPUTED_VALUE"""),30.0)</f>
        <v>30</v>
      </c>
      <c r="K507" s="30" t="str">
        <f>IFERROR(__xludf.DUMMYFUNCTION("""COMPUTED_VALUE"""),"QTY, Limit Price (if any) &amp; Password input correct")</f>
        <v>QTY, Limit Price (if any) &amp; Password input correct</v>
      </c>
      <c r="L507" s="30"/>
    </row>
    <row r="508">
      <c r="A508" s="5"/>
      <c r="B508" s="118">
        <f>IFERROR(__xludf.DUMMYFUNCTION("""COMPUTED_VALUE"""),44636.03444293981)</f>
        <v>44636.03444</v>
      </c>
      <c r="C508" s="120">
        <f>IFERROR(__xludf.DUMMYFUNCTION("""COMPUTED_VALUE"""),44635.666666666664)</f>
        <v>44635.66667</v>
      </c>
      <c r="D508" s="5" t="str">
        <f>IFERROR(__xludf.DUMMYFUNCTION("""COMPUTED_VALUE"""),"89750")</f>
        <v>89750</v>
      </c>
      <c r="E508" s="5" t="str">
        <f>IFERROR(__xludf.DUMMYFUNCTION("""COMPUTED_VALUE"""),"Option")</f>
        <v>Option</v>
      </c>
      <c r="F508" s="5" t="str">
        <f>IFERROR(__xludf.DUMMYFUNCTION("""COMPUTED_VALUE"""),"USD")</f>
        <v>USD</v>
      </c>
      <c r="G508" s="30" t="str">
        <f>IFERROR(__xludf.DUMMYFUNCTION("""COMPUTED_VALUE"""),"Email Account/ TraderID Recognized")</f>
        <v>Email Account/ TraderID Recognized</v>
      </c>
      <c r="H508" s="119" t="str">
        <f>IFERROR(__xludf.DUMMYFUNCTION("""COMPUTED_VALUE"""),"OXY220318P00065000")</f>
        <v>OXY220318P00065000</v>
      </c>
      <c r="I508" s="30">
        <f>IFERROR(__xludf.DUMMYFUNCTION("""COMPUTED_VALUE"""),2.0)</f>
        <v>2</v>
      </c>
      <c r="J508" s="30"/>
      <c r="K508" s="30" t="str">
        <f>IFERROR(__xludf.DUMMYFUNCTION("""COMPUTED_VALUE"""),"QTY, Limit Price (if any) &amp; Password input correct")</f>
        <v>QTY, Limit Price (if any) &amp; Password input correct</v>
      </c>
      <c r="L508" s="30"/>
    </row>
    <row r="509">
      <c r="A509" s="5"/>
      <c r="B509" s="118">
        <f>IFERROR(__xludf.DUMMYFUNCTION("""COMPUTED_VALUE"""),44636.03849097222)</f>
        <v>44636.03849</v>
      </c>
      <c r="C509" s="120">
        <f>IFERROR(__xludf.DUMMYFUNCTION("""COMPUTED_VALUE"""),44635.666666666664)</f>
        <v>44635.66667</v>
      </c>
      <c r="D509" s="5" t="str">
        <f>IFERROR(__xludf.DUMMYFUNCTION("""COMPUTED_VALUE"""),"89750")</f>
        <v>89750</v>
      </c>
      <c r="E509" s="5" t="str">
        <f>IFERROR(__xludf.DUMMYFUNCTION("""COMPUTED_VALUE"""),"Stock")</f>
        <v>Stock</v>
      </c>
      <c r="F509" s="5" t="str">
        <f>IFERROR(__xludf.DUMMYFUNCTION("""COMPUTED_VALUE"""),"USD")</f>
        <v>USD</v>
      </c>
      <c r="G509" s="30" t="str">
        <f>IFERROR(__xludf.DUMMYFUNCTION("""COMPUTED_VALUE"""),"Email Account/ TraderID Recognized")</f>
        <v>Email Account/ TraderID Recognized</v>
      </c>
      <c r="H509" s="119" t="str">
        <f>IFERROR(__xludf.DUMMYFUNCTION("""COMPUTED_VALUE"""),"SBRCY")</f>
        <v>SBRCY</v>
      </c>
      <c r="I509" s="30">
        <f>IFERROR(__xludf.DUMMYFUNCTION("""COMPUTED_VALUE"""),5000.0)</f>
        <v>5000</v>
      </c>
      <c r="J509" s="30"/>
      <c r="K509" s="30" t="str">
        <f>IFERROR(__xludf.DUMMYFUNCTION("""COMPUTED_VALUE"""),"QTY, Limit Price (if any) &amp; Password input correct")</f>
        <v>QTY, Limit Price (if any) &amp; Password input correct</v>
      </c>
      <c r="L509" s="30"/>
    </row>
    <row r="510">
      <c r="A510" s="5"/>
      <c r="B510" s="118">
        <f>IFERROR(__xludf.DUMMYFUNCTION("""COMPUTED_VALUE"""),44636.040412002316)</f>
        <v>44636.04041</v>
      </c>
      <c r="C510" s="120">
        <f>IFERROR(__xludf.DUMMYFUNCTION("""COMPUTED_VALUE"""),44635.666666666664)</f>
        <v>44635.66667</v>
      </c>
      <c r="D510" s="5" t="str">
        <f>IFERROR(__xludf.DUMMYFUNCTION("""COMPUTED_VALUE"""),"89750")</f>
        <v>89750</v>
      </c>
      <c r="E510" s="5" t="str">
        <f>IFERROR(__xludf.DUMMYFUNCTION("""COMPUTED_VALUE"""),"Option")</f>
        <v>Option</v>
      </c>
      <c r="F510" s="5" t="str">
        <f>IFERROR(__xludf.DUMMYFUNCTION("""COMPUTED_VALUE"""),"USD")</f>
        <v>USD</v>
      </c>
      <c r="G510" s="30" t="str">
        <f>IFERROR(__xludf.DUMMYFUNCTION("""COMPUTED_VALUE"""),"Email Account/ TraderID Recognized")</f>
        <v>Email Account/ TraderID Recognized</v>
      </c>
      <c r="H510" s="119" t="str">
        <f>IFERROR(__xludf.DUMMYFUNCTION("""COMPUTED_VALUE"""),"NU220414C00006000")</f>
        <v>NU220414C00006000</v>
      </c>
      <c r="I510" s="30">
        <f>IFERROR(__xludf.DUMMYFUNCTION("""COMPUTED_VALUE"""),2.0)</f>
        <v>2</v>
      </c>
      <c r="J510" s="30"/>
      <c r="K510" s="30" t="str">
        <f>IFERROR(__xludf.DUMMYFUNCTION("""COMPUTED_VALUE"""),"QTY, Limit Price (if any) &amp; Password input correct")</f>
        <v>QTY, Limit Price (if any) &amp; Password input correct</v>
      </c>
      <c r="L510" s="30"/>
    </row>
    <row r="511">
      <c r="A511" s="5"/>
      <c r="B511" s="118">
        <f>IFERROR(__xludf.DUMMYFUNCTION("""COMPUTED_VALUE"""),44636.383157268516)</f>
        <v>44636.38316</v>
      </c>
      <c r="C511" s="120" t="str">
        <f>IFERROR(__xludf.DUMMYFUNCTION("""COMPUTED_VALUE"""),"")</f>
        <v/>
      </c>
      <c r="D511" s="5" t="str">
        <f>IFERROR(__xludf.DUMMYFUNCTION("""COMPUTED_VALUE"""),"89845")</f>
        <v>89845</v>
      </c>
      <c r="E511" s="5" t="str">
        <f>IFERROR(__xludf.DUMMYFUNCTION("""COMPUTED_VALUE"""),"Stock")</f>
        <v>Stock</v>
      </c>
      <c r="F511" s="5" t="str">
        <f>IFERROR(__xludf.DUMMYFUNCTION("""COMPUTED_VALUE"""),"error")</f>
        <v>error</v>
      </c>
      <c r="G511" s="30" t="str">
        <f>IFERROR(__xludf.DUMMYFUNCTION("""COMPUTED_VALUE"""),"Email Account/ TraderID Recognized")</f>
        <v>Email Account/ TraderID Recognized</v>
      </c>
      <c r="H511" s="119" t="str">
        <f>IFERROR(__xludf.DUMMYFUNCTION("""COMPUTED_VALUE"""),"ASML")</f>
        <v>ASML</v>
      </c>
      <c r="I511" s="30">
        <f>IFERROR(__xludf.DUMMYFUNCTION("""COMPUTED_VALUE"""),200.0)</f>
        <v>200</v>
      </c>
      <c r="J511" s="30" t="str">
        <f>IFERROR(__xludf.DUMMYFUNCTION("""COMPUTED_VALUE"""),"Limit Sell @ 570 - if Closing @ 620 = Executed price @ 600; if Closing @ 80 = no execution")</f>
        <v>Limit Sell @ 570 - if Closing @ 620 = Executed price @ 600; if Closing @ 80 = no execution</v>
      </c>
      <c r="K511" s="30" t="str">
        <f>IFERROR(__xludf.DUMMYFUNCTION("""COMPUTED_VALUE"""),"Non-number input in Quantity or Limit Price")</f>
        <v>Non-number input in Quantity or Limit Price</v>
      </c>
      <c r="L511" s="30" t="str">
        <f>IFERROR(__xludf.DUMMYFUNCTION("""COMPUTED_VALUE"""),"Order rejected due to non-numeric character in limit price box. Only numbers are allowed.")</f>
        <v>Order rejected due to non-numeric character in limit price box. Only numbers are allowed.</v>
      </c>
    </row>
    <row r="512">
      <c r="A512" s="5"/>
      <c r="B512" s="118">
        <f>IFERROR(__xludf.DUMMYFUNCTION("""COMPUTED_VALUE"""),44636.413777071764)</f>
        <v>44636.41378</v>
      </c>
      <c r="C512" s="120">
        <f>IFERROR(__xludf.DUMMYFUNCTION("""COMPUTED_VALUE"""),44636.666666666664)</f>
        <v>44636.66667</v>
      </c>
      <c r="D512" s="5" t="str">
        <f>IFERROR(__xludf.DUMMYFUNCTION("""COMPUTED_VALUE"""),"56118")</f>
        <v>56118</v>
      </c>
      <c r="E512" s="5" t="str">
        <f>IFERROR(__xludf.DUMMYFUNCTION("""COMPUTED_VALUE"""),"Stock")</f>
        <v>Stock</v>
      </c>
      <c r="F512" s="5" t="str">
        <f>IFERROR(__xludf.DUMMYFUNCTION("""COMPUTED_VALUE"""),"USD")</f>
        <v>USD</v>
      </c>
      <c r="G512" s="30" t="str">
        <f>IFERROR(__xludf.DUMMYFUNCTION("""COMPUTED_VALUE"""),"Email Account/ TraderID Recognized")</f>
        <v>Email Account/ TraderID Recognized</v>
      </c>
      <c r="H512" s="119" t="str">
        <f>IFERROR(__xludf.DUMMYFUNCTION("""COMPUTED_VALUE"""),"PFE")</f>
        <v>PFE</v>
      </c>
      <c r="I512" s="30">
        <f>IFERROR(__xludf.DUMMYFUNCTION("""COMPUTED_VALUE"""),500.0)</f>
        <v>500</v>
      </c>
      <c r="J512" s="30">
        <f>IFERROR(__xludf.DUMMYFUNCTION("""COMPUTED_VALUE"""),445.0)</f>
        <v>445</v>
      </c>
      <c r="K512" s="30" t="str">
        <f>IFERROR(__xludf.DUMMYFUNCTION("""COMPUTED_VALUE"""),"QTY, Limit Price (if any) &amp; Password input correct")</f>
        <v>QTY, Limit Price (if any) &amp; Password input correct</v>
      </c>
      <c r="L512" s="30"/>
    </row>
    <row r="513">
      <c r="A513" s="5"/>
      <c r="B513" s="118">
        <f>IFERROR(__xludf.DUMMYFUNCTION("""COMPUTED_VALUE"""),44636.42680447917)</f>
        <v>44636.4268</v>
      </c>
      <c r="C513" s="120">
        <f>IFERROR(__xludf.DUMMYFUNCTION("""COMPUTED_VALUE"""),44636.666666666664)</f>
        <v>44636.66667</v>
      </c>
      <c r="D513" s="5" t="str">
        <f>IFERROR(__xludf.DUMMYFUNCTION("""COMPUTED_VALUE"""),"59656")</f>
        <v>59656</v>
      </c>
      <c r="E513" s="5" t="str">
        <f>IFERROR(__xludf.DUMMYFUNCTION("""COMPUTED_VALUE"""),"Stock")</f>
        <v>Stock</v>
      </c>
      <c r="F513" s="5" t="str">
        <f>IFERROR(__xludf.DUMMYFUNCTION("""COMPUTED_VALUE"""),"USD")</f>
        <v>USD</v>
      </c>
      <c r="G513" s="30" t="str">
        <f>IFERROR(__xludf.DUMMYFUNCTION("""COMPUTED_VALUE"""),"Email Account/ TraderID Recognized")</f>
        <v>Email Account/ TraderID Recognized</v>
      </c>
      <c r="H513" s="119" t="str">
        <f>IFERROR(__xludf.DUMMYFUNCTION("""COMPUTED_VALUE"""),"aapl")</f>
        <v>aapl</v>
      </c>
      <c r="I513" s="30">
        <f>IFERROR(__xludf.DUMMYFUNCTION("""COMPUTED_VALUE"""),100.0)</f>
        <v>100</v>
      </c>
      <c r="J513" s="30"/>
      <c r="K513" s="30" t="str">
        <f>IFERROR(__xludf.DUMMYFUNCTION("""COMPUTED_VALUE"""),"QTY, Limit Price (if any) &amp; Password input correct")</f>
        <v>QTY, Limit Price (if any) &amp; Password input correct</v>
      </c>
      <c r="L513" s="30"/>
    </row>
    <row r="514">
      <c r="A514" s="5"/>
      <c r="B514" s="118">
        <f>IFERROR(__xludf.DUMMYFUNCTION("""COMPUTED_VALUE"""),44636.43003853009)</f>
        <v>44636.43004</v>
      </c>
      <c r="C514" s="120">
        <f>IFERROR(__xludf.DUMMYFUNCTION("""COMPUTED_VALUE"""),44636.666666666664)</f>
        <v>44636.66667</v>
      </c>
      <c r="D514" s="5" t="str">
        <f>IFERROR(__xludf.DUMMYFUNCTION("""COMPUTED_VALUE"""),"75965")</f>
        <v>75965</v>
      </c>
      <c r="E514" s="5" t="str">
        <f>IFERROR(__xludf.DUMMYFUNCTION("""COMPUTED_VALUE"""),"Stock")</f>
        <v>Stock</v>
      </c>
      <c r="F514" s="5" t="str">
        <f>IFERROR(__xludf.DUMMYFUNCTION("""COMPUTED_VALUE"""),"USD")</f>
        <v>USD</v>
      </c>
      <c r="G514" s="30" t="str">
        <f>IFERROR(__xludf.DUMMYFUNCTION("""COMPUTED_VALUE"""),"Email Account/ TraderID Recognized")</f>
        <v>Email Account/ TraderID Recognized</v>
      </c>
      <c r="H514" s="119" t="str">
        <f>IFERROR(__xludf.DUMMYFUNCTION("""COMPUTED_VALUE"""),"TSLA")</f>
        <v>TSLA</v>
      </c>
      <c r="I514" s="30">
        <f>IFERROR(__xludf.DUMMYFUNCTION("""COMPUTED_VALUE"""),50.0)</f>
        <v>50</v>
      </c>
      <c r="J514" s="30"/>
      <c r="K514" s="30" t="str">
        <f>IFERROR(__xludf.DUMMYFUNCTION("""COMPUTED_VALUE"""),"QTY, Limit Price (if any) &amp; Password input correct")</f>
        <v>QTY, Limit Price (if any) &amp; Password input correct</v>
      </c>
      <c r="L514" s="30"/>
    </row>
    <row r="515">
      <c r="A515" s="5"/>
      <c r="B515" s="118">
        <f>IFERROR(__xludf.DUMMYFUNCTION("""COMPUTED_VALUE"""),44636.43323564815)</f>
        <v>44636.43324</v>
      </c>
      <c r="C515" s="120">
        <f>IFERROR(__xludf.DUMMYFUNCTION("""COMPUTED_VALUE"""),44636.666666666664)</f>
        <v>44636.66667</v>
      </c>
      <c r="D515" s="5" t="str">
        <f>IFERROR(__xludf.DUMMYFUNCTION("""COMPUTED_VALUE"""),"75965")</f>
        <v>75965</v>
      </c>
      <c r="E515" s="5" t="str">
        <f>IFERROR(__xludf.DUMMYFUNCTION("""COMPUTED_VALUE"""),"Stock")</f>
        <v>Stock</v>
      </c>
      <c r="F515" s="5" t="str">
        <f>IFERROR(__xludf.DUMMYFUNCTION("""COMPUTED_VALUE"""),"USD")</f>
        <v>USD</v>
      </c>
      <c r="G515" s="30" t="str">
        <f>IFERROR(__xludf.DUMMYFUNCTION("""COMPUTED_VALUE"""),"Email Account/ TraderID Recognized")</f>
        <v>Email Account/ TraderID Recognized</v>
      </c>
      <c r="H515" s="119" t="str">
        <f>IFERROR(__xludf.DUMMYFUNCTION("""COMPUTED_VALUE"""),"ES=F")</f>
        <v>ES=F</v>
      </c>
      <c r="I515" s="30">
        <f>IFERROR(__xludf.DUMMYFUNCTION("""COMPUTED_VALUE"""),100.0)</f>
        <v>100</v>
      </c>
      <c r="J515" s="30"/>
      <c r="K515" s="30" t="str">
        <f>IFERROR(__xludf.DUMMYFUNCTION("""COMPUTED_VALUE"""),"QTY, Limit Price (if any) &amp; Password input correct")</f>
        <v>QTY, Limit Price (if any) &amp; Password input correct</v>
      </c>
      <c r="L515" s="30"/>
    </row>
    <row r="516">
      <c r="A516" s="5"/>
      <c r="B516" s="118">
        <f>IFERROR(__xludf.DUMMYFUNCTION("""COMPUTED_VALUE"""),44636.45566936342)</f>
        <v>44636.45567</v>
      </c>
      <c r="C516" s="120">
        <f>IFERROR(__xludf.DUMMYFUNCTION("""COMPUTED_VALUE"""),44636.666666666664)</f>
        <v>44636.66667</v>
      </c>
      <c r="D516" s="5" t="str">
        <f>IFERROR(__xludf.DUMMYFUNCTION("""COMPUTED_VALUE"""),"76369")</f>
        <v>76369</v>
      </c>
      <c r="E516" s="5" t="str">
        <f>IFERROR(__xludf.DUMMYFUNCTION("""COMPUTED_VALUE"""),"Stock")</f>
        <v>Stock</v>
      </c>
      <c r="F516" s="5" t="str">
        <f>IFERROR(__xludf.DUMMYFUNCTION("""COMPUTED_VALUE"""),"USD")</f>
        <v>USD</v>
      </c>
      <c r="G516" s="30" t="str">
        <f>IFERROR(__xludf.DUMMYFUNCTION("""COMPUTED_VALUE"""),"Email Account/ TraderID Recognized")</f>
        <v>Email Account/ TraderID Recognized</v>
      </c>
      <c r="H516" s="119" t="str">
        <f>IFERROR(__xludf.DUMMYFUNCTION("""COMPUTED_VALUE"""),"GC=F")</f>
        <v>GC=F</v>
      </c>
      <c r="I516" s="30">
        <f>IFERROR(__xludf.DUMMYFUNCTION("""COMPUTED_VALUE"""),5.0)</f>
        <v>5</v>
      </c>
      <c r="J516" s="30"/>
      <c r="K516" s="30" t="str">
        <f>IFERROR(__xludf.DUMMYFUNCTION("""COMPUTED_VALUE"""),"QTY, Limit Price (if any) &amp; Password input correct")</f>
        <v>QTY, Limit Price (if any) &amp; Password input correct</v>
      </c>
      <c r="L516" s="30"/>
    </row>
    <row r="517">
      <c r="A517" s="5"/>
      <c r="B517" s="118">
        <f>IFERROR(__xludf.DUMMYFUNCTION("""COMPUTED_VALUE"""),44636.50182118056)</f>
        <v>44636.50182</v>
      </c>
      <c r="C517" s="120" t="str">
        <f>IFERROR(__xludf.DUMMYFUNCTION("""COMPUTED_VALUE"""),"")</f>
        <v/>
      </c>
      <c r="D517" s="5" t="str">
        <f>IFERROR(__xludf.DUMMYFUNCTION("""COMPUTED_VALUE"""),"75965")</f>
        <v>75965</v>
      </c>
      <c r="E517" s="5" t="str">
        <f>IFERROR(__xludf.DUMMYFUNCTION("""COMPUTED_VALUE"""),"Stock")</f>
        <v>Stock</v>
      </c>
      <c r="F517" s="5" t="str">
        <f>IFERROR(__xludf.DUMMYFUNCTION("""COMPUTED_VALUE"""),"error")</f>
        <v>error</v>
      </c>
      <c r="G517" s="30" t="str">
        <f>IFERROR(__xludf.DUMMYFUNCTION("""COMPUTED_VALUE"""),"Email Account/ TraderID Recognized")</f>
        <v>Email Account/ TraderID Recognized</v>
      </c>
      <c r="H517" s="119" t="str">
        <f>IFERROR(__xludf.DUMMYFUNCTION("""COMPUTED_VALUE"""),"AAPL")</f>
        <v>AAPL</v>
      </c>
      <c r="I517" s="30">
        <f>IFERROR(__xludf.DUMMYFUNCTION("""COMPUTED_VALUE"""),1.0)</f>
        <v>1</v>
      </c>
      <c r="J517" s="30"/>
      <c r="K517" s="30" t="str">
        <f>IFERROR(__xludf.DUMMYFUNCTION("""COMPUTED_VALUE"""),"Wrong Password Submitted, Order will be rejected")</f>
        <v>Wrong Password Submitted, Order will be rejected</v>
      </c>
      <c r="L517" s="30" t="str">
        <f>IFERROR(__xludf.DUMMYFUNCTION("""COMPUTED_VALUE"""),"Order rejected due to password error")</f>
        <v>Order rejected due to password error</v>
      </c>
    </row>
    <row r="518">
      <c r="A518" s="5"/>
      <c r="B518" s="118">
        <f>IFERROR(__xludf.DUMMYFUNCTION("""COMPUTED_VALUE"""),44636.50840445602)</f>
        <v>44636.5084</v>
      </c>
      <c r="C518" s="120">
        <f>IFERROR(__xludf.DUMMYFUNCTION("""COMPUTED_VALUE"""),44636.666666666664)</f>
        <v>44636.66667</v>
      </c>
      <c r="D518" s="5" t="str">
        <f>IFERROR(__xludf.DUMMYFUNCTION("""COMPUTED_VALUE"""),"39441")</f>
        <v>39441</v>
      </c>
      <c r="E518" s="5" t="str">
        <f>IFERROR(__xludf.DUMMYFUNCTION("""COMPUTED_VALUE"""),"Stock")</f>
        <v>Stock</v>
      </c>
      <c r="F518" s="5" t="str">
        <f>IFERROR(__xludf.DUMMYFUNCTION("""COMPUTED_VALUE"""),"USD")</f>
        <v>USD</v>
      </c>
      <c r="G518" s="30" t="str">
        <f>IFERROR(__xludf.DUMMYFUNCTION("""COMPUTED_VALUE"""),"Email Account/ TraderID Recognized")</f>
        <v>Email Account/ TraderID Recognized</v>
      </c>
      <c r="H518" s="119" t="str">
        <f>IFERROR(__xludf.DUMMYFUNCTION("""COMPUTED_VALUE"""),"BABA")</f>
        <v>BABA</v>
      </c>
      <c r="I518" s="30">
        <f>IFERROR(__xludf.DUMMYFUNCTION("""COMPUTED_VALUE"""),200.0)</f>
        <v>200</v>
      </c>
      <c r="J518" s="30"/>
      <c r="K518" s="30" t="str">
        <f>IFERROR(__xludf.DUMMYFUNCTION("""COMPUTED_VALUE"""),"QTY, Limit Price (if any) &amp; Password input correct")</f>
        <v>QTY, Limit Price (if any) &amp; Password input correct</v>
      </c>
      <c r="L518" s="30"/>
    </row>
    <row r="519">
      <c r="A519" s="5"/>
      <c r="B519" s="118">
        <f>IFERROR(__xludf.DUMMYFUNCTION("""COMPUTED_VALUE"""),44636.51053837963)</f>
        <v>44636.51054</v>
      </c>
      <c r="C519" s="120">
        <f>IFERROR(__xludf.DUMMYFUNCTION("""COMPUTED_VALUE"""),44636.666666666664)</f>
        <v>44636.66667</v>
      </c>
      <c r="D519" s="5" t="str">
        <f>IFERROR(__xludf.DUMMYFUNCTION("""COMPUTED_VALUE"""),"39441")</f>
        <v>39441</v>
      </c>
      <c r="E519" s="5" t="str">
        <f>IFERROR(__xludf.DUMMYFUNCTION("""COMPUTED_VALUE"""),"Stock")</f>
        <v>Stock</v>
      </c>
      <c r="F519" s="5" t="str">
        <f>IFERROR(__xludf.DUMMYFUNCTION("""COMPUTED_VALUE"""),"HKD")</f>
        <v>HKD</v>
      </c>
      <c r="G519" s="30" t="str">
        <f>IFERROR(__xludf.DUMMYFUNCTION("""COMPUTED_VALUE"""),"Email Account/ TraderID Recognized")</f>
        <v>Email Account/ TraderID Recognized</v>
      </c>
      <c r="H519" s="121" t="str">
        <f>IFERROR(__xludf.DUMMYFUNCTION("""COMPUTED_VALUE"""),"0700.HK")</f>
        <v>0700.HK</v>
      </c>
      <c r="I519" s="30">
        <f>IFERROR(__xludf.DUMMYFUNCTION("""COMPUTED_VALUE"""),20.0)</f>
        <v>20</v>
      </c>
      <c r="J519" s="30"/>
      <c r="K519" s="30" t="str">
        <f>IFERROR(__xludf.DUMMYFUNCTION("""COMPUTED_VALUE"""),"QTY, Limit Price (if any) &amp; Password input correct")</f>
        <v>QTY, Limit Price (if any) &amp; Password input correct</v>
      </c>
      <c r="L519" s="30"/>
    </row>
    <row r="520">
      <c r="A520" s="5"/>
      <c r="B520" s="118">
        <f>IFERROR(__xludf.DUMMYFUNCTION("""COMPUTED_VALUE"""),44636.607822986116)</f>
        <v>44636.60782</v>
      </c>
      <c r="C520" s="120">
        <f>IFERROR(__xludf.DUMMYFUNCTION("""COMPUTED_VALUE"""),44636.666666666664)</f>
        <v>44636.66667</v>
      </c>
      <c r="D520" s="5" t="str">
        <f>IFERROR(__xludf.DUMMYFUNCTION("""COMPUTED_VALUE"""),"39704")</f>
        <v>39704</v>
      </c>
      <c r="E520" s="5" t="str">
        <f>IFERROR(__xludf.DUMMYFUNCTION("""COMPUTED_VALUE"""),"Stock")</f>
        <v>Stock</v>
      </c>
      <c r="F520" s="5" t="str">
        <f>IFERROR(__xludf.DUMMYFUNCTION("""COMPUTED_VALUE"""),"USD")</f>
        <v>USD</v>
      </c>
      <c r="G520" s="30" t="str">
        <f>IFERROR(__xludf.DUMMYFUNCTION("""COMPUTED_VALUE"""),"Email Account/ TraderID Recognized")</f>
        <v>Email Account/ TraderID Recognized</v>
      </c>
      <c r="H520" s="119" t="str">
        <f>IFERROR(__xludf.DUMMYFUNCTION("""COMPUTED_VALUE"""),"AEP")</f>
        <v>AEP</v>
      </c>
      <c r="I520" s="30">
        <f>IFERROR(__xludf.DUMMYFUNCTION("""COMPUTED_VALUE"""),100.0)</f>
        <v>100</v>
      </c>
      <c r="J520" s="30"/>
      <c r="K520" s="30" t="str">
        <f>IFERROR(__xludf.DUMMYFUNCTION("""COMPUTED_VALUE"""),"QTY, Limit Price (if any) &amp; Password input correct")</f>
        <v>QTY, Limit Price (if any) &amp; Password input correct</v>
      </c>
      <c r="L520" s="30"/>
    </row>
    <row r="521">
      <c r="A521" s="5"/>
      <c r="B521" s="118">
        <f>IFERROR(__xludf.DUMMYFUNCTION("""COMPUTED_VALUE"""),44636.607958368055)</f>
        <v>44636.60796</v>
      </c>
      <c r="C521" s="120">
        <f>IFERROR(__xludf.DUMMYFUNCTION("""COMPUTED_VALUE"""),44636.666666666664)</f>
        <v>44636.66667</v>
      </c>
      <c r="D521" s="5" t="str">
        <f>IFERROR(__xludf.DUMMYFUNCTION("""COMPUTED_VALUE"""),"38209")</f>
        <v>38209</v>
      </c>
      <c r="E521" s="5" t="str">
        <f>IFERROR(__xludf.DUMMYFUNCTION("""COMPUTED_VALUE"""),"Stock")</f>
        <v>Stock</v>
      </c>
      <c r="F521" s="5" t="str">
        <f>IFERROR(__xludf.DUMMYFUNCTION("""COMPUTED_VALUE"""),"HKD")</f>
        <v>HKD</v>
      </c>
      <c r="G521" s="30" t="str">
        <f>IFERROR(__xludf.DUMMYFUNCTION("""COMPUTED_VALUE"""),"Email Account/ TraderID Recognized")</f>
        <v>Email Account/ TraderID Recognized</v>
      </c>
      <c r="H521" s="121" t="str">
        <f>IFERROR(__xludf.DUMMYFUNCTION("""COMPUTED_VALUE"""),"1810.HK")</f>
        <v>1810.HK</v>
      </c>
      <c r="I521" s="30">
        <f>IFERROR(__xludf.DUMMYFUNCTION("""COMPUTED_VALUE"""),3000.0)</f>
        <v>3000</v>
      </c>
      <c r="J521" s="30"/>
      <c r="K521" s="30" t="str">
        <f>IFERROR(__xludf.DUMMYFUNCTION("""COMPUTED_VALUE"""),"QTY, Limit Price (if any) &amp; Password input correct")</f>
        <v>QTY, Limit Price (if any) &amp; Password input correct</v>
      </c>
      <c r="L521" s="30"/>
    </row>
    <row r="522">
      <c r="A522" s="5"/>
      <c r="B522" s="118">
        <f>IFERROR(__xludf.DUMMYFUNCTION("""COMPUTED_VALUE"""),44636.61227482639)</f>
        <v>44636.61227</v>
      </c>
      <c r="C522" s="120">
        <f>IFERROR(__xludf.DUMMYFUNCTION("""COMPUTED_VALUE"""),44636.666666666664)</f>
        <v>44636.66667</v>
      </c>
      <c r="D522" s="5" t="str">
        <f>IFERROR(__xludf.DUMMYFUNCTION("""COMPUTED_VALUE"""),"45962")</f>
        <v>45962</v>
      </c>
      <c r="E522" s="5" t="str">
        <f>IFERROR(__xludf.DUMMYFUNCTION("""COMPUTED_VALUE"""),"Stock")</f>
        <v>Stock</v>
      </c>
      <c r="F522" s="5" t="str">
        <f>IFERROR(__xludf.DUMMYFUNCTION("""COMPUTED_VALUE"""),"HKD")</f>
        <v>HKD</v>
      </c>
      <c r="G522" s="30" t="str">
        <f>IFERROR(__xludf.DUMMYFUNCTION("""COMPUTED_VALUE"""),"Email Account/ TraderID Recognized")</f>
        <v>Email Account/ TraderID Recognized</v>
      </c>
      <c r="H522" s="121" t="str">
        <f>IFERROR(__xludf.DUMMYFUNCTION("""COMPUTED_VALUE"""),"0700.hk")</f>
        <v>0700.hk</v>
      </c>
      <c r="I522" s="30">
        <f>IFERROR(__xludf.DUMMYFUNCTION("""COMPUTED_VALUE"""),200.0)</f>
        <v>200</v>
      </c>
      <c r="J522" s="30"/>
      <c r="K522" s="30" t="str">
        <f>IFERROR(__xludf.DUMMYFUNCTION("""COMPUTED_VALUE"""),"QTY, Limit Price (if any) &amp; Password input correct")</f>
        <v>QTY, Limit Price (if any) &amp; Password input correct</v>
      </c>
      <c r="L522" s="30"/>
    </row>
    <row r="523">
      <c r="A523" s="5"/>
      <c r="B523" s="118">
        <f>IFERROR(__xludf.DUMMYFUNCTION("""COMPUTED_VALUE"""),44636.62033203704)</f>
        <v>44636.62033</v>
      </c>
      <c r="C523" s="120">
        <f>IFERROR(__xludf.DUMMYFUNCTION("""COMPUTED_VALUE"""),44636.666666666664)</f>
        <v>44636.66667</v>
      </c>
      <c r="D523" s="5" t="str">
        <f>IFERROR(__xludf.DUMMYFUNCTION("""COMPUTED_VALUE"""),"38381")</f>
        <v>38381</v>
      </c>
      <c r="E523" s="5" t="str">
        <f>IFERROR(__xludf.DUMMYFUNCTION("""COMPUTED_VALUE"""),"Stock")</f>
        <v>Stock</v>
      </c>
      <c r="F523" s="5" t="str">
        <f>IFERROR(__xludf.DUMMYFUNCTION("""COMPUTED_VALUE"""),"USD")</f>
        <v>USD</v>
      </c>
      <c r="G523" s="30" t="str">
        <f>IFERROR(__xludf.DUMMYFUNCTION("""COMPUTED_VALUE"""),"Email Account/ TraderID Recognized")</f>
        <v>Email Account/ TraderID Recognized</v>
      </c>
      <c r="H523" s="119" t="str">
        <f>IFERROR(__xludf.DUMMYFUNCTION("""COMPUTED_VALUE"""),"BZ=F")</f>
        <v>BZ=F</v>
      </c>
      <c r="I523" s="30">
        <f>IFERROR(__xludf.DUMMYFUNCTION("""COMPUTED_VALUE"""),200.0)</f>
        <v>200</v>
      </c>
      <c r="J523" s="30"/>
      <c r="K523" s="30" t="str">
        <f>IFERROR(__xludf.DUMMYFUNCTION("""COMPUTED_VALUE"""),"QTY, Limit Price (if any) &amp; Password input correct")</f>
        <v>QTY, Limit Price (if any) &amp; Password input correct</v>
      </c>
      <c r="L523" s="30"/>
    </row>
    <row r="524">
      <c r="A524" s="5"/>
      <c r="B524" s="118">
        <f>IFERROR(__xludf.DUMMYFUNCTION("""COMPUTED_VALUE"""),44636.62133119213)</f>
        <v>44636.62133</v>
      </c>
      <c r="C524" s="120">
        <f>IFERROR(__xludf.DUMMYFUNCTION("""COMPUTED_VALUE"""),44636.666666666664)</f>
        <v>44636.66667</v>
      </c>
      <c r="D524" s="5" t="str">
        <f>IFERROR(__xludf.DUMMYFUNCTION("""COMPUTED_VALUE"""),"38381")</f>
        <v>38381</v>
      </c>
      <c r="E524" s="5" t="str">
        <f>IFERROR(__xludf.DUMMYFUNCTION("""COMPUTED_VALUE"""),"Stock")</f>
        <v>Stock</v>
      </c>
      <c r="F524" s="5" t="str">
        <f>IFERROR(__xludf.DUMMYFUNCTION("""COMPUTED_VALUE"""),"USD")</f>
        <v>USD</v>
      </c>
      <c r="G524" s="30" t="str">
        <f>IFERROR(__xludf.DUMMYFUNCTION("""COMPUTED_VALUE"""),"Email Account/ TraderID Recognized")</f>
        <v>Email Account/ TraderID Recognized</v>
      </c>
      <c r="H524" s="119" t="str">
        <f>IFERROR(__xludf.DUMMYFUNCTION("""COMPUTED_VALUE"""),"AAPL")</f>
        <v>AAPL</v>
      </c>
      <c r="I524" s="30">
        <f>IFERROR(__xludf.DUMMYFUNCTION("""COMPUTED_VALUE"""),300.0)</f>
        <v>300</v>
      </c>
      <c r="J524" s="30"/>
      <c r="K524" s="30" t="str">
        <f>IFERROR(__xludf.DUMMYFUNCTION("""COMPUTED_VALUE"""),"QTY, Limit Price (if any) &amp; Password input correct")</f>
        <v>QTY, Limit Price (if any) &amp; Password input correct</v>
      </c>
      <c r="L524" s="30"/>
    </row>
    <row r="525">
      <c r="A525" s="5"/>
      <c r="B525" s="118">
        <f>IFERROR(__xludf.DUMMYFUNCTION("""COMPUTED_VALUE"""),44636.636184745366)</f>
        <v>44636.63618</v>
      </c>
      <c r="C525" s="120">
        <f>IFERROR(__xludf.DUMMYFUNCTION("""COMPUTED_VALUE"""),44636.666666666664)</f>
        <v>44636.66667</v>
      </c>
      <c r="D525" s="5" t="str">
        <f>IFERROR(__xludf.DUMMYFUNCTION("""COMPUTED_VALUE"""),"77936")</f>
        <v>77936</v>
      </c>
      <c r="E525" s="5" t="str">
        <f>IFERROR(__xludf.DUMMYFUNCTION("""COMPUTED_VALUE"""),"Stock")</f>
        <v>Stock</v>
      </c>
      <c r="F525" s="5" t="str">
        <f>IFERROR(__xludf.DUMMYFUNCTION("""COMPUTED_VALUE"""),"HKD")</f>
        <v>HKD</v>
      </c>
      <c r="G525" s="30" t="str">
        <f>IFERROR(__xludf.DUMMYFUNCTION("""COMPUTED_VALUE"""),"Email Account/ TraderID Recognized")</f>
        <v>Email Account/ TraderID Recognized</v>
      </c>
      <c r="H525" s="121" t="str">
        <f>IFERROR(__xludf.DUMMYFUNCTION("""COMPUTED_VALUE"""),"6078.HK")</f>
        <v>6078.HK</v>
      </c>
      <c r="I525" s="30">
        <f>IFERROR(__xludf.DUMMYFUNCTION("""COMPUTED_VALUE"""),1000.0)</f>
        <v>1000</v>
      </c>
      <c r="J525" s="30"/>
      <c r="K525" s="30" t="str">
        <f>IFERROR(__xludf.DUMMYFUNCTION("""COMPUTED_VALUE"""),"QTY, Limit Price (if any) &amp; Password input correct")</f>
        <v>QTY, Limit Price (if any) &amp; Password input correct</v>
      </c>
      <c r="L525" s="30"/>
    </row>
    <row r="526">
      <c r="A526" s="5"/>
      <c r="B526" s="118">
        <f>IFERROR(__xludf.DUMMYFUNCTION("""COMPUTED_VALUE"""),44636.63711966435)</f>
        <v>44636.63712</v>
      </c>
      <c r="C526" s="120">
        <f>IFERROR(__xludf.DUMMYFUNCTION("""COMPUTED_VALUE"""),44636.666666666664)</f>
        <v>44636.66667</v>
      </c>
      <c r="D526" s="5" t="str">
        <f>IFERROR(__xludf.DUMMYFUNCTION("""COMPUTED_VALUE"""),"77936")</f>
        <v>77936</v>
      </c>
      <c r="E526" s="5" t="str">
        <f>IFERROR(__xludf.DUMMYFUNCTION("""COMPUTED_VALUE"""),"Stock")</f>
        <v>Stock</v>
      </c>
      <c r="F526" s="5" t="str">
        <f>IFERROR(__xludf.DUMMYFUNCTION("""COMPUTED_VALUE"""),"HKD")</f>
        <v>HKD</v>
      </c>
      <c r="G526" s="30" t="str">
        <f>IFERROR(__xludf.DUMMYFUNCTION("""COMPUTED_VALUE"""),"Email Account/ TraderID Recognized")</f>
        <v>Email Account/ TraderID Recognized</v>
      </c>
      <c r="H526" s="121" t="str">
        <f>IFERROR(__xludf.DUMMYFUNCTION("""COMPUTED_VALUE"""),"3690.HK")</f>
        <v>3690.HK</v>
      </c>
      <c r="I526" s="30">
        <f>IFERROR(__xludf.DUMMYFUNCTION("""COMPUTED_VALUE"""),500.0)</f>
        <v>500</v>
      </c>
      <c r="J526" s="30"/>
      <c r="K526" s="30" t="str">
        <f>IFERROR(__xludf.DUMMYFUNCTION("""COMPUTED_VALUE"""),"QTY, Limit Price (if any) &amp; Password input correct")</f>
        <v>QTY, Limit Price (if any) &amp; Password input correct</v>
      </c>
      <c r="L526" s="30"/>
    </row>
    <row r="527">
      <c r="A527" s="5"/>
      <c r="B527" s="118">
        <f>IFERROR(__xludf.DUMMYFUNCTION("""COMPUTED_VALUE"""),44636.664128275464)</f>
        <v>44636.66413</v>
      </c>
      <c r="C527" s="120">
        <f>IFERROR(__xludf.DUMMYFUNCTION("""COMPUTED_VALUE"""),44636.666666666664)</f>
        <v>44636.66667</v>
      </c>
      <c r="D527" s="5" t="str">
        <f>IFERROR(__xludf.DUMMYFUNCTION("""COMPUTED_VALUE"""),"46975")</f>
        <v>46975</v>
      </c>
      <c r="E527" s="5" t="str">
        <f>IFERROR(__xludf.DUMMYFUNCTION("""COMPUTED_VALUE"""),"Stock")</f>
        <v>Stock</v>
      </c>
      <c r="F527" s="5" t="str">
        <f>IFERROR(__xludf.DUMMYFUNCTION("""COMPUTED_VALUE"""),"HKD")</f>
        <v>HKD</v>
      </c>
      <c r="G527" s="30" t="str">
        <f>IFERROR(__xludf.DUMMYFUNCTION("""COMPUTED_VALUE"""),"Email Account/ TraderID Recognized")</f>
        <v>Email Account/ TraderID Recognized</v>
      </c>
      <c r="H527" s="121" t="str">
        <f>IFERROR(__xludf.DUMMYFUNCTION("""COMPUTED_VALUE"""),"0700.HK")</f>
        <v>0700.HK</v>
      </c>
      <c r="I527" s="30">
        <f>IFERROR(__xludf.DUMMYFUNCTION("""COMPUTED_VALUE"""),200.0)</f>
        <v>200</v>
      </c>
      <c r="J527" s="30"/>
      <c r="K527" s="30" t="str">
        <f>IFERROR(__xludf.DUMMYFUNCTION("""COMPUTED_VALUE"""),"QTY, Limit Price (if any) &amp; Password input correct")</f>
        <v>QTY, Limit Price (if any) &amp; Password input correct</v>
      </c>
      <c r="L527" s="30"/>
    </row>
    <row r="528">
      <c r="A528" s="5"/>
      <c r="B528" s="118">
        <f>IFERROR(__xludf.DUMMYFUNCTION("""COMPUTED_VALUE"""),44636.66462552083)</f>
        <v>44636.66463</v>
      </c>
      <c r="C528" s="120">
        <f>IFERROR(__xludf.DUMMYFUNCTION("""COMPUTED_VALUE"""),44636.666666666664)</f>
        <v>44636.66667</v>
      </c>
      <c r="D528" s="5" t="str">
        <f>IFERROR(__xludf.DUMMYFUNCTION("""COMPUTED_VALUE"""),"46975")</f>
        <v>46975</v>
      </c>
      <c r="E528" s="5" t="str">
        <f>IFERROR(__xludf.DUMMYFUNCTION("""COMPUTED_VALUE"""),"Stock")</f>
        <v>Stock</v>
      </c>
      <c r="F528" s="5" t="str">
        <f>IFERROR(__xludf.DUMMYFUNCTION("""COMPUTED_VALUE"""),"HKD")</f>
        <v>HKD</v>
      </c>
      <c r="G528" s="30" t="str">
        <f>IFERROR(__xludf.DUMMYFUNCTION("""COMPUTED_VALUE"""),"Email Account/ TraderID Recognized")</f>
        <v>Email Account/ TraderID Recognized</v>
      </c>
      <c r="H528" s="121" t="str">
        <f>IFERROR(__xludf.DUMMYFUNCTION("""COMPUTED_VALUE"""),"6862.HK")</f>
        <v>6862.HK</v>
      </c>
      <c r="I528" s="30">
        <f>IFERROR(__xludf.DUMMYFUNCTION("""COMPUTED_VALUE"""),200.0)</f>
        <v>200</v>
      </c>
      <c r="J528" s="30"/>
      <c r="K528" s="30" t="str">
        <f>IFERROR(__xludf.DUMMYFUNCTION("""COMPUTED_VALUE"""),"QTY, Limit Price (if any) &amp; Password input correct")</f>
        <v>QTY, Limit Price (if any) &amp; Password input correct</v>
      </c>
      <c r="L528" s="30"/>
    </row>
    <row r="529">
      <c r="A529" s="5"/>
      <c r="B529" s="118">
        <f>IFERROR(__xludf.DUMMYFUNCTION("""COMPUTED_VALUE"""),44636.666312256944)</f>
        <v>44636.66631</v>
      </c>
      <c r="C529" s="120">
        <f>IFERROR(__xludf.DUMMYFUNCTION("""COMPUTED_VALUE"""),44636.666666666664)</f>
        <v>44636.66667</v>
      </c>
      <c r="D529" s="5" t="str">
        <f>IFERROR(__xludf.DUMMYFUNCTION("""COMPUTED_VALUE"""),"89750")</f>
        <v>89750</v>
      </c>
      <c r="E529" s="5" t="str">
        <f>IFERROR(__xludf.DUMMYFUNCTION("""COMPUTED_VALUE"""),"Stock")</f>
        <v>Stock</v>
      </c>
      <c r="F529" s="5" t="str">
        <f>IFERROR(__xludf.DUMMYFUNCTION("""COMPUTED_VALUE"""),"HKD")</f>
        <v>HKD</v>
      </c>
      <c r="G529" s="30" t="str">
        <f>IFERROR(__xludf.DUMMYFUNCTION("""COMPUTED_VALUE"""),"Email Account/ TraderID Recognized")</f>
        <v>Email Account/ TraderID Recognized</v>
      </c>
      <c r="H529" s="121" t="str">
        <f>IFERROR(__xludf.DUMMYFUNCTION("""COMPUTED_VALUE"""),"3833.HK")</f>
        <v>3833.HK</v>
      </c>
      <c r="I529" s="30">
        <f>IFERROR(__xludf.DUMMYFUNCTION("""COMPUTED_VALUE"""),100000.0)</f>
        <v>100000</v>
      </c>
      <c r="J529" s="30"/>
      <c r="K529" s="30" t="str">
        <f>IFERROR(__xludf.DUMMYFUNCTION("""COMPUTED_VALUE"""),"QTY, Limit Price (if any) &amp; Password input correct")</f>
        <v>QTY, Limit Price (if any) &amp; Password input correct</v>
      </c>
      <c r="L529" s="30"/>
    </row>
    <row r="530">
      <c r="A530" s="5"/>
      <c r="B530" s="118">
        <f>IFERROR(__xludf.DUMMYFUNCTION("""COMPUTED_VALUE"""),44636.736865729166)</f>
        <v>44636.73687</v>
      </c>
      <c r="C530" s="120">
        <f>IFERROR(__xludf.DUMMYFUNCTION("""COMPUTED_VALUE"""),44637.666666666664)</f>
        <v>44637.66667</v>
      </c>
      <c r="D530" s="5" t="str">
        <f>IFERROR(__xludf.DUMMYFUNCTION("""COMPUTED_VALUE"""),"95516")</f>
        <v>95516</v>
      </c>
      <c r="E530" s="5" t="str">
        <f>IFERROR(__xludf.DUMMYFUNCTION("""COMPUTED_VALUE"""),"Stock")</f>
        <v>Stock</v>
      </c>
      <c r="F530" s="5" t="str">
        <f>IFERROR(__xludf.DUMMYFUNCTION("""COMPUTED_VALUE"""),"HKD")</f>
        <v>HKD</v>
      </c>
      <c r="G530" s="30" t="str">
        <f>IFERROR(__xludf.DUMMYFUNCTION("""COMPUTED_VALUE"""),"Email Account/ TraderID Recognized")</f>
        <v>Email Account/ TraderID Recognized</v>
      </c>
      <c r="H530" s="121" t="str">
        <f>IFERROR(__xludf.DUMMYFUNCTION("""COMPUTED_VALUE"""),"0968.HK")</f>
        <v>0968.HK</v>
      </c>
      <c r="I530" s="30">
        <f>IFERROR(__xludf.DUMMYFUNCTION("""COMPUTED_VALUE"""),10000.0)</f>
        <v>10000</v>
      </c>
      <c r="J530" s="30"/>
      <c r="K530" s="30" t="str">
        <f>IFERROR(__xludf.DUMMYFUNCTION("""COMPUTED_VALUE"""),"QTY, Limit Price (if any) &amp; Password input correct")</f>
        <v>QTY, Limit Price (if any) &amp; Password input correct</v>
      </c>
      <c r="L530" s="30"/>
    </row>
    <row r="531">
      <c r="A531" s="5"/>
      <c r="B531" s="118">
        <f>IFERROR(__xludf.DUMMYFUNCTION("""COMPUTED_VALUE"""),44636.73881599537)</f>
        <v>44636.73882</v>
      </c>
      <c r="C531" s="120" t="str">
        <f>IFERROR(__xludf.DUMMYFUNCTION("""COMPUTED_VALUE"""),"")</f>
        <v/>
      </c>
      <c r="D531" s="5" t="str">
        <f>IFERROR(__xludf.DUMMYFUNCTION("""COMPUTED_VALUE"""),"95516")</f>
        <v>95516</v>
      </c>
      <c r="E531" s="5" t="str">
        <f>IFERROR(__xludf.DUMMYFUNCTION("""COMPUTED_VALUE"""),"Stock")</f>
        <v>Stock</v>
      </c>
      <c r="F531" s="5" t="str">
        <f>IFERROR(__xludf.DUMMYFUNCTION("""COMPUTED_VALUE"""),"error")</f>
        <v>error</v>
      </c>
      <c r="G531" s="30" t="str">
        <f>IFERROR(__xludf.DUMMYFUNCTION("""COMPUTED_VALUE"""),"Email Account/ TraderID Recognized")</f>
        <v>Email Account/ TraderID Recognized</v>
      </c>
      <c r="H531" s="121" t="str">
        <f>IFERROR(__xludf.DUMMYFUNCTION("""COMPUTED_VALUE"""),"0189.HK")</f>
        <v>0189.HK</v>
      </c>
      <c r="I531" s="30">
        <f>IFERROR(__xludf.DUMMYFUNCTION("""COMPUTED_VALUE"""),10000.0)</f>
        <v>10000</v>
      </c>
      <c r="J531" s="30"/>
      <c r="K531" s="30" t="str">
        <f>IFERROR(__xludf.DUMMYFUNCTION("""COMPUTED_VALUE"""),"Wrong Password Submitted, Order will be rejected")</f>
        <v>Wrong Password Submitted, Order will be rejected</v>
      </c>
      <c r="L531" s="30" t="str">
        <f>IFERROR(__xludf.DUMMYFUNCTION("""COMPUTED_VALUE"""),"Order rejected due to 2nd password input wrong")</f>
        <v>Order rejected due to 2nd password input wrong</v>
      </c>
    </row>
    <row r="532">
      <c r="A532" s="5"/>
      <c r="B532" s="118">
        <f>IFERROR(__xludf.DUMMYFUNCTION("""COMPUTED_VALUE"""),44636.74084185185)</f>
        <v>44636.74084</v>
      </c>
      <c r="C532" s="120">
        <f>IFERROR(__xludf.DUMMYFUNCTION("""COMPUTED_VALUE"""),44637.666666666664)</f>
        <v>44637.66667</v>
      </c>
      <c r="D532" s="5" t="str">
        <f>IFERROR(__xludf.DUMMYFUNCTION("""COMPUTED_VALUE"""),"95516")</f>
        <v>95516</v>
      </c>
      <c r="E532" s="5" t="str">
        <f>IFERROR(__xludf.DUMMYFUNCTION("""COMPUTED_VALUE"""),"Stock")</f>
        <v>Stock</v>
      </c>
      <c r="F532" s="5" t="str">
        <f>IFERROR(__xludf.DUMMYFUNCTION("""COMPUTED_VALUE"""),"HKD")</f>
        <v>HKD</v>
      </c>
      <c r="G532" s="30" t="str">
        <f>IFERROR(__xludf.DUMMYFUNCTION("""COMPUTED_VALUE"""),"Email Account/ TraderID Recognized")</f>
        <v>Email Account/ TraderID Recognized</v>
      </c>
      <c r="H532" s="121" t="str">
        <f>IFERROR(__xludf.DUMMYFUNCTION("""COMPUTED_VALUE"""),"3800.HK")</f>
        <v>3800.HK</v>
      </c>
      <c r="I532" s="30">
        <f>IFERROR(__xludf.DUMMYFUNCTION("""COMPUTED_VALUE"""),10000.0)</f>
        <v>10000</v>
      </c>
      <c r="J532" s="30"/>
      <c r="K532" s="30" t="str">
        <f>IFERROR(__xludf.DUMMYFUNCTION("""COMPUTED_VALUE"""),"QTY, Limit Price (if any) &amp; Password input correct")</f>
        <v>QTY, Limit Price (if any) &amp; Password input correct</v>
      </c>
      <c r="L532" s="30"/>
    </row>
    <row r="533">
      <c r="A533" s="5"/>
      <c r="B533" s="118">
        <f>IFERROR(__xludf.DUMMYFUNCTION("""COMPUTED_VALUE"""),44636.741576678236)</f>
        <v>44636.74158</v>
      </c>
      <c r="C533" s="120">
        <f>IFERROR(__xludf.DUMMYFUNCTION("""COMPUTED_VALUE"""),44637.666666666664)</f>
        <v>44637.66667</v>
      </c>
      <c r="D533" s="5" t="str">
        <f>IFERROR(__xludf.DUMMYFUNCTION("""COMPUTED_VALUE"""),"95516")</f>
        <v>95516</v>
      </c>
      <c r="E533" s="5" t="str">
        <f>IFERROR(__xludf.DUMMYFUNCTION("""COMPUTED_VALUE"""),"Stock")</f>
        <v>Stock</v>
      </c>
      <c r="F533" s="5" t="str">
        <f>IFERROR(__xludf.DUMMYFUNCTION("""COMPUTED_VALUE"""),"HKD")</f>
        <v>HKD</v>
      </c>
      <c r="G533" s="30" t="str">
        <f>IFERROR(__xludf.DUMMYFUNCTION("""COMPUTED_VALUE"""),"Email Account/ TraderID Recognized")</f>
        <v>Email Account/ TraderID Recognized</v>
      </c>
      <c r="H533" s="121" t="str">
        <f>IFERROR(__xludf.DUMMYFUNCTION("""COMPUTED_VALUE"""),"0175.HK")</f>
        <v>0175.HK</v>
      </c>
      <c r="I533" s="30">
        <f>IFERROR(__xludf.DUMMYFUNCTION("""COMPUTED_VALUE"""),5000.0)</f>
        <v>5000</v>
      </c>
      <c r="J533" s="30"/>
      <c r="K533" s="30" t="str">
        <f>IFERROR(__xludf.DUMMYFUNCTION("""COMPUTED_VALUE"""),"QTY, Limit Price (if any) &amp; Password input correct")</f>
        <v>QTY, Limit Price (if any) &amp; Password input correct</v>
      </c>
      <c r="L533" s="30"/>
    </row>
    <row r="534">
      <c r="A534" s="5"/>
      <c r="B534" s="118">
        <f>IFERROR(__xludf.DUMMYFUNCTION("""COMPUTED_VALUE"""),44636.74434885416)</f>
        <v>44636.74435</v>
      </c>
      <c r="C534" s="120">
        <f>IFERROR(__xludf.DUMMYFUNCTION("""COMPUTED_VALUE"""),44637.666666666664)</f>
        <v>44637.66667</v>
      </c>
      <c r="D534" s="5" t="str">
        <f>IFERROR(__xludf.DUMMYFUNCTION("""COMPUTED_VALUE"""),"95516")</f>
        <v>95516</v>
      </c>
      <c r="E534" s="5" t="str">
        <f>IFERROR(__xludf.DUMMYFUNCTION("""COMPUTED_VALUE"""),"Stock")</f>
        <v>Stock</v>
      </c>
      <c r="F534" s="5" t="str">
        <f>IFERROR(__xludf.DUMMYFUNCTION("""COMPUTED_VALUE"""),"HKD")</f>
        <v>HKD</v>
      </c>
      <c r="G534" s="30" t="str">
        <f>IFERROR(__xludf.DUMMYFUNCTION("""COMPUTED_VALUE"""),"Email Account/ TraderID Recognized")</f>
        <v>Email Account/ TraderID Recognized</v>
      </c>
      <c r="H534" s="121" t="str">
        <f>IFERROR(__xludf.DUMMYFUNCTION("""COMPUTED_VALUE"""),"9988.HK")</f>
        <v>9988.HK</v>
      </c>
      <c r="I534" s="30">
        <f>IFERROR(__xludf.DUMMYFUNCTION("""COMPUTED_VALUE"""),500.0)</f>
        <v>500</v>
      </c>
      <c r="J534" s="30"/>
      <c r="K534" s="30" t="str">
        <f>IFERROR(__xludf.DUMMYFUNCTION("""COMPUTED_VALUE"""),"QTY, Limit Price (if any) &amp; Password input correct")</f>
        <v>QTY, Limit Price (if any) &amp; Password input correct</v>
      </c>
      <c r="L534" s="30"/>
    </row>
    <row r="535">
      <c r="A535" s="5"/>
      <c r="B535" s="118">
        <f>IFERROR(__xludf.DUMMYFUNCTION("""COMPUTED_VALUE"""),44636.74548481482)</f>
        <v>44636.74548</v>
      </c>
      <c r="C535" s="120">
        <f>IFERROR(__xludf.DUMMYFUNCTION("""COMPUTED_VALUE"""),44636.666666666664)</f>
        <v>44636.66667</v>
      </c>
      <c r="D535" s="5" t="str">
        <f>IFERROR(__xludf.DUMMYFUNCTION("""COMPUTED_VALUE"""),"95516")</f>
        <v>95516</v>
      </c>
      <c r="E535" s="5" t="str">
        <f>IFERROR(__xludf.DUMMYFUNCTION("""COMPUTED_VALUE"""),"Stock")</f>
        <v>Stock</v>
      </c>
      <c r="F535" s="5" t="str">
        <f>IFERROR(__xludf.DUMMYFUNCTION("""COMPUTED_VALUE"""),"USD")</f>
        <v>USD</v>
      </c>
      <c r="G535" s="30" t="str">
        <f>IFERROR(__xludf.DUMMYFUNCTION("""COMPUTED_VALUE"""),"Email Account/ TraderID Recognized")</f>
        <v>Email Account/ TraderID Recognized</v>
      </c>
      <c r="H535" s="121" t="str">
        <f>IFERROR(__xludf.DUMMYFUNCTION("""COMPUTED_VALUE"""),"9999.HK")</f>
        <v>9999.HK</v>
      </c>
      <c r="I535" s="30">
        <f>IFERROR(__xludf.DUMMYFUNCTION("""COMPUTED_VALUE"""),500.0)</f>
        <v>500</v>
      </c>
      <c r="J535" s="30"/>
      <c r="K535" s="30" t="str">
        <f>IFERROR(__xludf.DUMMYFUNCTION("""COMPUTED_VALUE"""),"QTY, Limit Price (if any) &amp; Password input correct")</f>
        <v>QTY, Limit Price (if any) &amp; Password input correct</v>
      </c>
      <c r="L535" s="30"/>
    </row>
    <row r="536">
      <c r="A536" s="5"/>
      <c r="B536" s="118">
        <f>IFERROR(__xludf.DUMMYFUNCTION("""COMPUTED_VALUE"""),44637.32579190972)</f>
        <v>44637.32579</v>
      </c>
      <c r="C536" s="120" t="str">
        <f>IFERROR(__xludf.DUMMYFUNCTION("""COMPUTED_VALUE"""),"")</f>
        <v/>
      </c>
      <c r="D536" s="5" t="str">
        <f>IFERROR(__xludf.DUMMYFUNCTION("""COMPUTED_VALUE"""),"")</f>
        <v/>
      </c>
      <c r="E536" s="5" t="str">
        <f>IFERROR(__xludf.DUMMYFUNCTION("""COMPUTED_VALUE"""),"Stock")</f>
        <v>Stock</v>
      </c>
      <c r="F536" s="5" t="str">
        <f>IFERROR(__xludf.DUMMYFUNCTION("""COMPUTED_VALUE"""),"error")</f>
        <v>error</v>
      </c>
      <c r="G536" s="30" t="str">
        <f>IFERROR(__xludf.DUMMYFUNCTION("""COMPUTED_VALUE"""),"testxxxxxx@nonHKMUemail")</f>
        <v>testxxxxxx@nonHKMUemail</v>
      </c>
      <c r="H536" s="119" t="str">
        <f>IFERROR(__xludf.DUMMYFUNCTION("""COMPUTED_VALUE"""),"TEST")</f>
        <v>TEST</v>
      </c>
      <c r="I536" s="30">
        <f>IFERROR(__xludf.DUMMYFUNCTION("""COMPUTED_VALUE"""),1.0)</f>
        <v>1</v>
      </c>
      <c r="J536" s="30"/>
      <c r="K536" s="30" t="str">
        <f>IFERROR(__xludf.DUMMYFUNCTION("""COMPUTED_VALUE"""),"QTY, Limit Price (if any) &amp; Password input correct")</f>
        <v>QTY, Limit Price (if any) &amp; Password input correct</v>
      </c>
      <c r="L536" s="30" t="str">
        <f>IFERROR(__xludf.DUMMYFUNCTION("""COMPUTED_VALUE"""),"Order Testing")</f>
        <v>Order Testing</v>
      </c>
    </row>
    <row r="537">
      <c r="A537" s="5"/>
      <c r="B537" s="118">
        <f>IFERROR(__xludf.DUMMYFUNCTION("""COMPUTED_VALUE"""),44637.39548497685)</f>
        <v>44637.39548</v>
      </c>
      <c r="C537" s="120" t="str">
        <f>IFERROR(__xludf.DUMMYFUNCTION("""COMPUTED_VALUE"""),"")</f>
        <v/>
      </c>
      <c r="D537" s="5" t="str">
        <f>IFERROR(__xludf.DUMMYFUNCTION("""COMPUTED_VALUE"""),"38093")</f>
        <v>38093</v>
      </c>
      <c r="E537" s="5" t="str">
        <f>IFERROR(__xludf.DUMMYFUNCTION("""COMPUTED_VALUE"""),"Stock")</f>
        <v>Stock</v>
      </c>
      <c r="F537" s="5" t="str">
        <f>IFERROR(__xludf.DUMMYFUNCTION("""COMPUTED_VALUE"""),"error")</f>
        <v>error</v>
      </c>
      <c r="G537" s="30" t="str">
        <f>IFERROR(__xludf.DUMMYFUNCTION("""COMPUTED_VALUE"""),"Email Account/ TraderID Recognized")</f>
        <v>Email Account/ TraderID Recognized</v>
      </c>
      <c r="H537" s="119" t="str">
        <f>IFERROR(__xludf.DUMMYFUNCTION("""COMPUTED_VALUE"""),"2331")</f>
        <v>2331</v>
      </c>
      <c r="I537" s="30">
        <f>IFERROR(__xludf.DUMMYFUNCTION("""COMPUTED_VALUE"""),2000.0)</f>
        <v>2000</v>
      </c>
      <c r="J537" s="30">
        <f>IFERROR(__xludf.DUMMYFUNCTION("""COMPUTED_VALUE"""),40.0)</f>
        <v>40</v>
      </c>
      <c r="K537" s="30" t="str">
        <f>IFERROR(__xludf.DUMMYFUNCTION("""COMPUTED_VALUE"""),"QTY, Limit Price (if any) &amp; Password input correct")</f>
        <v>QTY, Limit Price (if any) &amp; Password input correct</v>
      </c>
      <c r="L537" s="30" t="str">
        <f>IFERROR(__xludf.DUMMYFUNCTION("""COMPUTED_VALUE"""),"Order rejected due to wrong school email account and wrong ticker code. Should be 2331.HK, not 2331 only.")</f>
        <v>Order rejected due to wrong school email account and wrong ticker code. Should be 2331.HK, not 2331 only.</v>
      </c>
    </row>
    <row r="538">
      <c r="A538" s="5"/>
      <c r="B538" s="118">
        <f>IFERROR(__xludf.DUMMYFUNCTION("""COMPUTED_VALUE"""),44637.39588603009)</f>
        <v>44637.39589</v>
      </c>
      <c r="C538" s="120" t="str">
        <f>IFERROR(__xludf.DUMMYFUNCTION("""COMPUTED_VALUE"""),"")</f>
        <v/>
      </c>
      <c r="D538" s="5" t="str">
        <f>IFERROR(__xludf.DUMMYFUNCTION("""COMPUTED_VALUE"""),"")</f>
        <v/>
      </c>
      <c r="E538" s="5" t="str">
        <f>IFERROR(__xludf.DUMMYFUNCTION("""COMPUTED_VALUE"""),"Stock")</f>
        <v>Stock</v>
      </c>
      <c r="F538" s="5" t="str">
        <f>IFERROR(__xludf.DUMMYFUNCTION("""COMPUTED_VALUE"""),"error")</f>
        <v>error</v>
      </c>
      <c r="G538" s="30" t="str">
        <f>IFERROR(__xludf.DUMMYFUNCTION("""COMPUTED_VALUE"""),"yqiaxxxxxx@nonHKMUemail")</f>
        <v>yqiaxxxxxx@nonHKMUemail</v>
      </c>
      <c r="H538" s="119" t="str">
        <f>IFERROR(__xludf.DUMMYFUNCTION("""COMPUTED_VALUE"""),"NIO")</f>
        <v>NIO</v>
      </c>
      <c r="I538" s="30">
        <f>IFERROR(__xludf.DUMMYFUNCTION("""COMPUTED_VALUE"""),1000.0)</f>
        <v>1000</v>
      </c>
      <c r="J538" s="30" t="str">
        <f>IFERROR(__xludf.DUMMYFUNCTION("""COMPUTED_VALUE"""),"Limit Sell @ 55")</f>
        <v>Limit Sell @ 55</v>
      </c>
      <c r="K538" s="30" t="str">
        <f>IFERROR(__xludf.DUMMYFUNCTION("""COMPUTED_VALUE"""),"Non-number input in Quantity or Limit Price")</f>
        <v>Non-number input in Quantity or Limit Price</v>
      </c>
      <c r="L538" s="30" t="str">
        <f>IFERROR(__xludf.DUMMYFUNCTION("""COMPUTED_VALUE"""),"Order rejected due to non school account. Also, system detects non number character in Limit price input.")</f>
        <v>Order rejected due to non school account. Also, system detects non number character in Limit price input.</v>
      </c>
    </row>
    <row r="539">
      <c r="A539" s="5"/>
      <c r="B539" s="118">
        <f>IFERROR(__xludf.DUMMYFUNCTION("""COMPUTED_VALUE"""),44637.402670173615)</f>
        <v>44637.40267</v>
      </c>
      <c r="C539" s="120" t="str">
        <f>IFERROR(__xludf.DUMMYFUNCTION("""COMPUTED_VALUE"""),"")</f>
        <v/>
      </c>
      <c r="D539" s="5" t="str">
        <f>IFERROR(__xludf.DUMMYFUNCTION("""COMPUTED_VALUE"""),"35702")</f>
        <v>35702</v>
      </c>
      <c r="E539" s="5" t="str">
        <f>IFERROR(__xludf.DUMMYFUNCTION("""COMPUTED_VALUE"""),"Stock")</f>
        <v>Stock</v>
      </c>
      <c r="F539" s="5" t="str">
        <f>IFERROR(__xludf.DUMMYFUNCTION("""COMPUTED_VALUE"""),"error")</f>
        <v>error</v>
      </c>
      <c r="G539" s="30" t="str">
        <f>IFERROR(__xludf.DUMMYFUNCTION("""COMPUTED_VALUE"""),"Email Account/ TraderID Recognized")</f>
        <v>Email Account/ TraderID Recognized</v>
      </c>
      <c r="H539" s="119" t="str">
        <f>IFERROR(__xludf.DUMMYFUNCTION("""COMPUTED_VALUE"""),"TME")</f>
        <v>TME</v>
      </c>
      <c r="I539" s="30">
        <f>IFERROR(__xludf.DUMMYFUNCTION("""COMPUTED_VALUE"""),1000.0)</f>
        <v>1000</v>
      </c>
      <c r="J539" s="30" t="str">
        <f>IFERROR(__xludf.DUMMYFUNCTION("""COMPUTED_VALUE"""),"Limit Sell @ 25")</f>
        <v>Limit Sell @ 25</v>
      </c>
      <c r="K539" s="30" t="str">
        <f>IFERROR(__xludf.DUMMYFUNCTION("""COMPUTED_VALUE"""),"Non-number input in Quantity or Limit Price")</f>
        <v>Non-number input in Quantity or Limit Price</v>
      </c>
      <c r="L539" s="30" t="str">
        <f>IFERROR(__xludf.DUMMYFUNCTION("""COMPUTED_VALUE"""),"Order rejected due to non number character in Limit price input.")</f>
        <v>Order rejected due to non number character in Limit price input.</v>
      </c>
    </row>
    <row r="540">
      <c r="A540" s="5"/>
      <c r="B540" s="118">
        <f>IFERROR(__xludf.DUMMYFUNCTION("""COMPUTED_VALUE"""),44637.40498377314)</f>
        <v>44637.40498</v>
      </c>
      <c r="C540" s="120">
        <f>IFERROR(__xludf.DUMMYFUNCTION("""COMPUTED_VALUE"""),44637.625)</f>
        <v>44637.625</v>
      </c>
      <c r="D540" s="5" t="str">
        <f>IFERROR(__xludf.DUMMYFUNCTION("""COMPUTED_VALUE"""),"79521")</f>
        <v>79521</v>
      </c>
      <c r="E540" s="5" t="str">
        <f>IFERROR(__xludf.DUMMYFUNCTION("""COMPUTED_VALUE"""),"Stock")</f>
        <v>Stock</v>
      </c>
      <c r="F540" s="5" t="str">
        <f>IFERROR(__xludf.DUMMYFUNCTION("""COMPUTED_VALUE"""),"CNY")</f>
        <v>CNY</v>
      </c>
      <c r="G540" s="30" t="str">
        <f>IFERROR(__xludf.DUMMYFUNCTION("""COMPUTED_VALUE"""),"Email Account/ TraderID Recognized")</f>
        <v>Email Account/ TraderID Recognized</v>
      </c>
      <c r="H540" s="121" t="str">
        <f>IFERROR(__xludf.DUMMYFUNCTION("""COMPUTED_VALUE"""),"000950.SZ")</f>
        <v>000950.SZ</v>
      </c>
      <c r="I540" s="30">
        <f>IFERROR(__xludf.DUMMYFUNCTION("""COMPUTED_VALUE"""),32500.0)</f>
        <v>32500</v>
      </c>
      <c r="J540" s="30"/>
      <c r="K540" s="30" t="str">
        <f>IFERROR(__xludf.DUMMYFUNCTION("""COMPUTED_VALUE"""),"QTY, Limit Price (if any) &amp; Password input correct")</f>
        <v>QTY, Limit Price (if any) &amp; Password input correct</v>
      </c>
      <c r="L540" s="30"/>
    </row>
    <row r="541">
      <c r="A541" s="5"/>
      <c r="B541" s="118">
        <f>IFERROR(__xludf.DUMMYFUNCTION("""COMPUTED_VALUE"""),44637.40574898148)</f>
        <v>44637.40575</v>
      </c>
      <c r="C541" s="120">
        <f>IFERROR(__xludf.DUMMYFUNCTION("""COMPUTED_VALUE"""),44637.625)</f>
        <v>44637.625</v>
      </c>
      <c r="D541" s="5" t="str">
        <f>IFERROR(__xludf.DUMMYFUNCTION("""COMPUTED_VALUE"""),"79521")</f>
        <v>79521</v>
      </c>
      <c r="E541" s="5" t="str">
        <f>IFERROR(__xludf.DUMMYFUNCTION("""COMPUTED_VALUE"""),"Stock")</f>
        <v>Stock</v>
      </c>
      <c r="F541" s="5" t="str">
        <f>IFERROR(__xludf.DUMMYFUNCTION("""COMPUTED_VALUE"""),"CNY")</f>
        <v>CNY</v>
      </c>
      <c r="G541" s="30" t="str">
        <f>IFERROR(__xludf.DUMMYFUNCTION("""COMPUTED_VALUE"""),"Email Account/ TraderID Recognized")</f>
        <v>Email Account/ TraderID Recognized</v>
      </c>
      <c r="H541" s="121" t="str">
        <f>IFERROR(__xludf.DUMMYFUNCTION("""COMPUTED_VALUE"""),"600661.SS")</f>
        <v>600661.SS</v>
      </c>
      <c r="I541" s="30">
        <f>IFERROR(__xludf.DUMMYFUNCTION("""COMPUTED_VALUE"""),15000.0)</f>
        <v>15000</v>
      </c>
      <c r="J541" s="30"/>
      <c r="K541" s="30" t="str">
        <f>IFERROR(__xludf.DUMMYFUNCTION("""COMPUTED_VALUE"""),"QTY, Limit Price (if any) &amp; Password input correct")</f>
        <v>QTY, Limit Price (if any) &amp; Password input correct</v>
      </c>
      <c r="L541" s="30"/>
    </row>
    <row r="542">
      <c r="A542" s="5"/>
      <c r="B542" s="118">
        <f>IFERROR(__xludf.DUMMYFUNCTION("""COMPUTED_VALUE"""),44637.40952078704)</f>
        <v>44637.40952</v>
      </c>
      <c r="C542" s="120" t="str">
        <f>IFERROR(__xludf.DUMMYFUNCTION("""COMPUTED_VALUE"""),"")</f>
        <v/>
      </c>
      <c r="D542" s="5" t="str">
        <f>IFERROR(__xludf.DUMMYFUNCTION("""COMPUTED_VALUE"""),"35702")</f>
        <v>35702</v>
      </c>
      <c r="E542" s="5" t="str">
        <f>IFERROR(__xludf.DUMMYFUNCTION("""COMPUTED_VALUE"""),"Stock")</f>
        <v>Stock</v>
      </c>
      <c r="F542" s="5" t="str">
        <f>IFERROR(__xludf.DUMMYFUNCTION("""COMPUTED_VALUE"""),"error")</f>
        <v>error</v>
      </c>
      <c r="G542" s="30" t="str">
        <f>IFERROR(__xludf.DUMMYFUNCTION("""COMPUTED_VALUE"""),"Email Account/ TraderID Recognized")</f>
        <v>Email Account/ TraderID Recognized</v>
      </c>
      <c r="H542" s="119" t="str">
        <f>IFERROR(__xludf.DUMMYFUNCTION("""COMPUTED_VALUE"""),"NIO")</f>
        <v>NIO</v>
      </c>
      <c r="I542" s="30">
        <f>IFERROR(__xludf.DUMMYFUNCTION("""COMPUTED_VALUE"""),1000.0)</f>
        <v>1000</v>
      </c>
      <c r="J542" s="30" t="str">
        <f>IFERROR(__xludf.DUMMYFUNCTION("""COMPUTED_VALUE"""),"Limit Sell @ 55")</f>
        <v>Limit Sell @ 55</v>
      </c>
      <c r="K542" s="30" t="str">
        <f>IFERROR(__xludf.DUMMYFUNCTION("""COMPUTED_VALUE"""),"Non-number input in Quantity or Limit Price")</f>
        <v>Non-number input in Quantity or Limit Price</v>
      </c>
      <c r="L542" s="30" t="str">
        <f>IFERROR(__xludf.DUMMYFUNCTION("""COMPUTED_VALUE"""),"Order rejected due to non number character in Limit price input.")</f>
        <v>Order rejected due to non number character in Limit price input.</v>
      </c>
    </row>
    <row r="543">
      <c r="A543" s="5"/>
      <c r="B543" s="118">
        <f>IFERROR(__xludf.DUMMYFUNCTION("""COMPUTED_VALUE"""),44637.41057209491)</f>
        <v>44637.41057</v>
      </c>
      <c r="C543" s="120" t="str">
        <f>IFERROR(__xludf.DUMMYFUNCTION("""COMPUTED_VALUE"""),"")</f>
        <v/>
      </c>
      <c r="D543" s="5" t="str">
        <f>IFERROR(__xludf.DUMMYFUNCTION("""COMPUTED_VALUE"""),"37198")</f>
        <v>37198</v>
      </c>
      <c r="E543" s="5" t="str">
        <f>IFERROR(__xludf.DUMMYFUNCTION("""COMPUTED_VALUE"""),"Stock")</f>
        <v>Stock</v>
      </c>
      <c r="F543" s="5" t="str">
        <f>IFERROR(__xludf.DUMMYFUNCTION("""COMPUTED_VALUE"""),"error")</f>
        <v>error</v>
      </c>
      <c r="G543" s="30" t="str">
        <f>IFERROR(__xludf.DUMMYFUNCTION("""COMPUTED_VALUE"""),"Email Account/ TraderID Recognized")</f>
        <v>Email Account/ TraderID Recognized</v>
      </c>
      <c r="H543" s="119" t="str">
        <f>IFERROR(__xludf.DUMMYFUNCTION("""COMPUTED_VALUE"""),"TME")</f>
        <v>TME</v>
      </c>
      <c r="I543" s="30">
        <f>IFERROR(__xludf.DUMMYFUNCTION("""COMPUTED_VALUE"""),20.0)</f>
        <v>20</v>
      </c>
      <c r="J543" s="30" t="str">
        <f>IFERROR(__xludf.DUMMYFUNCTION("""COMPUTED_VALUE"""),"Limit Buy @ 4.47")</f>
        <v>Limit Buy @ 4.47</v>
      </c>
      <c r="K543" s="30" t="str">
        <f>IFERROR(__xludf.DUMMYFUNCTION("""COMPUTED_VALUE"""),"Non-number input in Quantity or Limit Price")</f>
        <v>Non-number input in Quantity or Limit Price</v>
      </c>
      <c r="L543" s="30" t="str">
        <f>IFERROR(__xludf.DUMMYFUNCTION("""COMPUTED_VALUE"""),"Order rejected due to non number character in Limit price input.")</f>
        <v>Order rejected due to non number character in Limit price input.</v>
      </c>
    </row>
    <row r="544">
      <c r="A544" s="5"/>
      <c r="B544" s="118">
        <f>IFERROR(__xludf.DUMMYFUNCTION("""COMPUTED_VALUE"""),44637.451712442125)</f>
        <v>44637.45171</v>
      </c>
      <c r="C544" s="120" t="str">
        <f>IFERROR(__xludf.DUMMYFUNCTION("""COMPUTED_VALUE"""),"")</f>
        <v/>
      </c>
      <c r="D544" s="5" t="str">
        <f>IFERROR(__xludf.DUMMYFUNCTION("""COMPUTED_VALUE"""),"37198")</f>
        <v>37198</v>
      </c>
      <c r="E544" s="5" t="str">
        <f>IFERROR(__xludf.DUMMYFUNCTION("""COMPUTED_VALUE"""),"Stock")</f>
        <v>Stock</v>
      </c>
      <c r="F544" s="5" t="str">
        <f>IFERROR(__xludf.DUMMYFUNCTION("""COMPUTED_VALUE"""),"error")</f>
        <v>error</v>
      </c>
      <c r="G544" s="30" t="str">
        <f>IFERROR(__xludf.DUMMYFUNCTION("""COMPUTED_VALUE"""),"Email Account/ TraderID Recognized")</f>
        <v>Email Account/ TraderID Recognized</v>
      </c>
      <c r="H544" s="119" t="str">
        <f>IFERROR(__xludf.DUMMYFUNCTION("""COMPUTED_VALUE"""),"BNTX")</f>
        <v>BNTX</v>
      </c>
      <c r="I544" s="30">
        <f>IFERROR(__xludf.DUMMYFUNCTION("""COMPUTED_VALUE"""),30.0)</f>
        <v>30</v>
      </c>
      <c r="J544" s="30" t="str">
        <f>IFERROR(__xludf.DUMMYFUNCTION("""COMPUTED_VALUE"""),"Limit Buy @ 147.40")</f>
        <v>Limit Buy @ 147.40</v>
      </c>
      <c r="K544" s="30" t="str">
        <f>IFERROR(__xludf.DUMMYFUNCTION("""COMPUTED_VALUE"""),"Non-number input in Quantity or Limit Price")</f>
        <v>Non-number input in Quantity or Limit Price</v>
      </c>
      <c r="L544" s="30" t="str">
        <f>IFERROR(__xludf.DUMMYFUNCTION("""COMPUTED_VALUE"""),"Order rejected due to non number character in Limit price input.")</f>
        <v>Order rejected due to non number character in Limit price input.</v>
      </c>
    </row>
    <row r="545">
      <c r="A545" s="5"/>
      <c r="B545" s="118">
        <f>IFERROR(__xludf.DUMMYFUNCTION("""COMPUTED_VALUE"""),44637.46334635417)</f>
        <v>44637.46335</v>
      </c>
      <c r="C545" s="120">
        <f>IFERROR(__xludf.DUMMYFUNCTION("""COMPUTED_VALUE"""),44637.666666666664)</f>
        <v>44637.66667</v>
      </c>
      <c r="D545" s="5" t="str">
        <f>IFERROR(__xludf.DUMMYFUNCTION("""COMPUTED_VALUE"""),"37198")</f>
        <v>37198</v>
      </c>
      <c r="E545" s="5" t="str">
        <f>IFERROR(__xludf.DUMMYFUNCTION("""COMPUTED_VALUE"""),"Stock")</f>
        <v>Stock</v>
      </c>
      <c r="F545" s="5" t="str">
        <f>IFERROR(__xludf.DUMMYFUNCTION("""COMPUTED_VALUE"""),"USD")</f>
        <v>USD</v>
      </c>
      <c r="G545" s="30" t="str">
        <f>IFERROR(__xludf.DUMMYFUNCTION("""COMPUTED_VALUE"""),"Email Account/ TraderID Recognized")</f>
        <v>Email Account/ TraderID Recognized</v>
      </c>
      <c r="H545" s="119" t="str">
        <f>IFERROR(__xludf.DUMMYFUNCTION("""COMPUTED_VALUE"""),"TME")</f>
        <v>TME</v>
      </c>
      <c r="I545" s="30">
        <f>IFERROR(__xludf.DUMMYFUNCTION("""COMPUTED_VALUE"""),200.0)</f>
        <v>200</v>
      </c>
      <c r="J545" s="30">
        <f>IFERROR(__xludf.DUMMYFUNCTION("""COMPUTED_VALUE"""),4.47)</f>
        <v>4.47</v>
      </c>
      <c r="K545" s="30" t="str">
        <f>IFERROR(__xludf.DUMMYFUNCTION("""COMPUTED_VALUE"""),"QTY, Limit Price (if any) &amp; Password input correct")</f>
        <v>QTY, Limit Price (if any) &amp; Password input correct</v>
      </c>
      <c r="L545" s="30"/>
    </row>
    <row r="546">
      <c r="A546" s="5"/>
      <c r="B546" s="118">
        <f>IFERROR(__xludf.DUMMYFUNCTION("""COMPUTED_VALUE"""),44637.48340546296)</f>
        <v>44637.48341</v>
      </c>
      <c r="C546" s="120">
        <f>IFERROR(__xludf.DUMMYFUNCTION("""COMPUTED_VALUE"""),44637.666666666664)</f>
        <v>44637.66667</v>
      </c>
      <c r="D546" s="5" t="str">
        <f>IFERROR(__xludf.DUMMYFUNCTION("""COMPUTED_VALUE"""),"37198")</f>
        <v>37198</v>
      </c>
      <c r="E546" s="5" t="str">
        <f>IFERROR(__xludf.DUMMYFUNCTION("""COMPUTED_VALUE"""),"Stock")</f>
        <v>Stock</v>
      </c>
      <c r="F546" s="5" t="str">
        <f>IFERROR(__xludf.DUMMYFUNCTION("""COMPUTED_VALUE"""),"USD")</f>
        <v>USD</v>
      </c>
      <c r="G546" s="30" t="str">
        <f>IFERROR(__xludf.DUMMYFUNCTION("""COMPUTED_VALUE"""),"Email Account/ TraderID Recognized")</f>
        <v>Email Account/ TraderID Recognized</v>
      </c>
      <c r="H546" s="119" t="str">
        <f>IFERROR(__xludf.DUMMYFUNCTION("""COMPUTED_VALUE"""),"BNTX")</f>
        <v>BNTX</v>
      </c>
      <c r="I546" s="30">
        <f>IFERROR(__xludf.DUMMYFUNCTION("""COMPUTED_VALUE"""),20.0)</f>
        <v>20</v>
      </c>
      <c r="J546" s="30">
        <f>IFERROR(__xludf.DUMMYFUNCTION("""COMPUTED_VALUE"""),147.4)</f>
        <v>147.4</v>
      </c>
      <c r="K546" s="30" t="str">
        <f>IFERROR(__xludf.DUMMYFUNCTION("""COMPUTED_VALUE"""),"QTY, Limit Price (if any) &amp; Password input correct")</f>
        <v>QTY, Limit Price (if any) &amp; Password input correct</v>
      </c>
      <c r="L546" s="30"/>
    </row>
    <row r="547">
      <c r="A547" s="5"/>
      <c r="B547" s="118">
        <f>IFERROR(__xludf.DUMMYFUNCTION("""COMPUTED_VALUE"""),44637.5128890162)</f>
        <v>44637.51289</v>
      </c>
      <c r="C547" s="120">
        <f>IFERROR(__xludf.DUMMYFUNCTION("""COMPUTED_VALUE"""),44637.666666666664)</f>
        <v>44637.66667</v>
      </c>
      <c r="D547" s="5" t="str">
        <f>IFERROR(__xludf.DUMMYFUNCTION("""COMPUTED_VALUE"""),"40318")</f>
        <v>40318</v>
      </c>
      <c r="E547" s="5" t="str">
        <f>IFERROR(__xludf.DUMMYFUNCTION("""COMPUTED_VALUE"""),"Stock")</f>
        <v>Stock</v>
      </c>
      <c r="F547" s="5" t="str">
        <f>IFERROR(__xludf.DUMMYFUNCTION("""COMPUTED_VALUE"""),"USD")</f>
        <v>USD</v>
      </c>
      <c r="G547" s="30" t="str">
        <f>IFERROR(__xludf.DUMMYFUNCTION("""COMPUTED_VALUE"""),"Email Account/ TraderID Recognized")</f>
        <v>Email Account/ TraderID Recognized</v>
      </c>
      <c r="H547" s="119" t="str">
        <f>IFERROR(__xludf.DUMMYFUNCTION("""COMPUTED_VALUE"""),"AAPL")</f>
        <v>AAPL</v>
      </c>
      <c r="I547" s="30">
        <f>IFERROR(__xludf.DUMMYFUNCTION("""COMPUTED_VALUE"""),80.0)</f>
        <v>80</v>
      </c>
      <c r="J547" s="30">
        <f>IFERROR(__xludf.DUMMYFUNCTION("""COMPUTED_VALUE"""),145.0)</f>
        <v>145</v>
      </c>
      <c r="K547" s="30" t="str">
        <f>IFERROR(__xludf.DUMMYFUNCTION("""COMPUTED_VALUE"""),"QTY, Limit Price (if any) &amp; Password input correct")</f>
        <v>QTY, Limit Price (if any) &amp; Password input correct</v>
      </c>
      <c r="L547" s="30"/>
    </row>
    <row r="548">
      <c r="A548" s="5"/>
      <c r="B548" s="118">
        <f>IFERROR(__xludf.DUMMYFUNCTION("""COMPUTED_VALUE"""),44637.52796998843)</f>
        <v>44637.52797</v>
      </c>
      <c r="C548" s="120">
        <f>IFERROR(__xludf.DUMMYFUNCTION("""COMPUTED_VALUE"""),44637.666666666664)</f>
        <v>44637.66667</v>
      </c>
      <c r="D548" s="5" t="str">
        <f>IFERROR(__xludf.DUMMYFUNCTION("""COMPUTED_VALUE"""),"76369")</f>
        <v>76369</v>
      </c>
      <c r="E548" s="5" t="str">
        <f>IFERROR(__xludf.DUMMYFUNCTION("""COMPUTED_VALUE"""),"Stock")</f>
        <v>Stock</v>
      </c>
      <c r="F548" s="5" t="str">
        <f>IFERROR(__xludf.DUMMYFUNCTION("""COMPUTED_VALUE"""),"USD")</f>
        <v>USD</v>
      </c>
      <c r="G548" s="30" t="str">
        <f>IFERROR(__xludf.DUMMYFUNCTION("""COMPUTED_VALUE"""),"Email Account/ TraderID Recognized")</f>
        <v>Email Account/ TraderID Recognized</v>
      </c>
      <c r="H548" s="119" t="str">
        <f>IFERROR(__xludf.DUMMYFUNCTION("""COMPUTED_VALUE"""),"GC=F")</f>
        <v>GC=F</v>
      </c>
      <c r="I548" s="30">
        <f>IFERROR(__xludf.DUMMYFUNCTION("""COMPUTED_VALUE"""),5.0)</f>
        <v>5</v>
      </c>
      <c r="J548" s="30"/>
      <c r="K548" s="30" t="str">
        <f>IFERROR(__xludf.DUMMYFUNCTION("""COMPUTED_VALUE"""),"QTY, Limit Price (if any) &amp; Password input correct")</f>
        <v>QTY, Limit Price (if any) &amp; Password input correct</v>
      </c>
      <c r="L548" s="30"/>
    </row>
    <row r="549">
      <c r="A549" s="5"/>
      <c r="B549" s="118">
        <f>IFERROR(__xludf.DUMMYFUNCTION("""COMPUTED_VALUE"""),44637.57517627315)</f>
        <v>44637.57518</v>
      </c>
      <c r="C549" s="120">
        <f>IFERROR(__xludf.DUMMYFUNCTION("""COMPUTED_VALUE"""),44637.666666666664)</f>
        <v>44637.66667</v>
      </c>
      <c r="D549" s="5" t="str">
        <f>IFERROR(__xludf.DUMMYFUNCTION("""COMPUTED_VALUE"""),"38209")</f>
        <v>38209</v>
      </c>
      <c r="E549" s="5" t="str">
        <f>IFERROR(__xludf.DUMMYFUNCTION("""COMPUTED_VALUE"""),"Stock")</f>
        <v>Stock</v>
      </c>
      <c r="F549" s="5" t="str">
        <f>IFERROR(__xludf.DUMMYFUNCTION("""COMPUTED_VALUE"""),"HKD")</f>
        <v>HKD</v>
      </c>
      <c r="G549" s="30" t="str">
        <f>IFERROR(__xludf.DUMMYFUNCTION("""COMPUTED_VALUE"""),"Email Account/ TraderID Recognized")</f>
        <v>Email Account/ TraderID Recognized</v>
      </c>
      <c r="H549" s="121" t="str">
        <f>IFERROR(__xludf.DUMMYFUNCTION("""COMPUTED_VALUE"""),"9988.HK")</f>
        <v>9988.HK</v>
      </c>
      <c r="I549" s="30">
        <f>IFERROR(__xludf.DUMMYFUNCTION("""COMPUTED_VALUE"""),1000.0)</f>
        <v>1000</v>
      </c>
      <c r="J549" s="30"/>
      <c r="K549" s="30" t="str">
        <f>IFERROR(__xludf.DUMMYFUNCTION("""COMPUTED_VALUE"""),"QTY, Limit Price (if any) &amp; Password input correct")</f>
        <v>QTY, Limit Price (if any) &amp; Password input correct</v>
      </c>
      <c r="L549" s="30"/>
    </row>
    <row r="550">
      <c r="A550" s="5"/>
      <c r="B550" s="118">
        <f>IFERROR(__xludf.DUMMYFUNCTION("""COMPUTED_VALUE"""),44637.581818437495)</f>
        <v>44637.58182</v>
      </c>
      <c r="C550" s="120" t="str">
        <f>IFERROR(__xludf.DUMMYFUNCTION("""COMPUTED_VALUE"""),"")</f>
        <v/>
      </c>
      <c r="D550" s="5" t="str">
        <f>IFERROR(__xludf.DUMMYFUNCTION("""COMPUTED_VALUE"""),"")</f>
        <v/>
      </c>
      <c r="E550" s="5" t="str">
        <f>IFERROR(__xludf.DUMMYFUNCTION("""COMPUTED_VALUE"""),"Stock")</f>
        <v>Stock</v>
      </c>
      <c r="F550" s="5" t="str">
        <f>IFERROR(__xludf.DUMMYFUNCTION("""COMPUTED_VALUE"""),"error")</f>
        <v>error</v>
      </c>
      <c r="G550" s="30" t="str">
        <f>IFERROR(__xludf.DUMMYFUNCTION("""COMPUTED_VALUE"""),"1198xxxxxx@nonHKMUemail")</f>
        <v>1198xxxxxx@nonHKMUemail</v>
      </c>
      <c r="H550" s="121" t="str">
        <f>IFERROR(__xludf.DUMMYFUNCTION("""COMPUTED_VALUE"""),"600519.SS")</f>
        <v>600519.SS</v>
      </c>
      <c r="I550" s="30">
        <f>IFERROR(__xludf.DUMMYFUNCTION("""COMPUTED_VALUE"""),50.0)</f>
        <v>50</v>
      </c>
      <c r="J550" s="30">
        <f>IFERROR(__xludf.DUMMYFUNCTION("""COMPUTED_VALUE"""),1791.0)</f>
        <v>1791</v>
      </c>
      <c r="K550" s="30" t="str">
        <f>IFERROR(__xludf.DUMMYFUNCTION("""COMPUTED_VALUE"""),"QTY, Limit Price (if any) &amp; Password input correct")</f>
        <v>QTY, Limit Price (if any) &amp; Password input correct</v>
      </c>
      <c r="L550" s="30" t="str">
        <f>IFERROR(__xludf.DUMMYFUNCTION("""COMPUTED_VALUE"""),"Order rejected due to non school email address")</f>
        <v>Order rejected due to non school email address</v>
      </c>
    </row>
    <row r="551">
      <c r="A551" s="5"/>
      <c r="B551" s="118">
        <f>IFERROR(__xludf.DUMMYFUNCTION("""COMPUTED_VALUE"""),44637.58646196759)</f>
        <v>44637.58646</v>
      </c>
      <c r="C551" s="120">
        <f>IFERROR(__xludf.DUMMYFUNCTION("""COMPUTED_VALUE"""),44637.666666666664)</f>
        <v>44637.66667</v>
      </c>
      <c r="D551" s="5" t="str">
        <f>IFERROR(__xludf.DUMMYFUNCTION("""COMPUTED_VALUE"""),"46600")</f>
        <v>46600</v>
      </c>
      <c r="E551" s="5" t="str">
        <f>IFERROR(__xludf.DUMMYFUNCTION("""COMPUTED_VALUE"""),"Stock")</f>
        <v>Stock</v>
      </c>
      <c r="F551" s="5" t="str">
        <f>IFERROR(__xludf.DUMMYFUNCTION("""COMPUTED_VALUE"""),"HKD")</f>
        <v>HKD</v>
      </c>
      <c r="G551" s="30" t="str">
        <f>IFERROR(__xludf.DUMMYFUNCTION("""COMPUTED_VALUE"""),"Email Account/ TraderID Recognized")</f>
        <v>Email Account/ TraderID Recognized</v>
      </c>
      <c r="H551" s="121" t="str">
        <f>IFERROR(__xludf.DUMMYFUNCTION("""COMPUTED_VALUE"""),"0700.HK")</f>
        <v>0700.HK</v>
      </c>
      <c r="I551" s="30">
        <f>IFERROR(__xludf.DUMMYFUNCTION("""COMPUTED_VALUE"""),50.0)</f>
        <v>50</v>
      </c>
      <c r="J551" s="30">
        <f>IFERROR(__xludf.DUMMYFUNCTION("""COMPUTED_VALUE"""),300.0)</f>
        <v>300</v>
      </c>
      <c r="K551" s="30" t="str">
        <f>IFERROR(__xludf.DUMMYFUNCTION("""COMPUTED_VALUE"""),"QTY, Limit Price (if any) &amp; Password input correct")</f>
        <v>QTY, Limit Price (if any) &amp; Password input correct</v>
      </c>
      <c r="L551" s="30"/>
    </row>
    <row r="552">
      <c r="A552" s="5"/>
      <c r="B552" s="118">
        <f>IFERROR(__xludf.DUMMYFUNCTION("""COMPUTED_VALUE"""),44637.593658935184)</f>
        <v>44637.59366</v>
      </c>
      <c r="C552" s="120">
        <f>IFERROR(__xludf.DUMMYFUNCTION("""COMPUTED_VALUE"""),44637.666666666664)</f>
        <v>44637.66667</v>
      </c>
      <c r="D552" s="5" t="str">
        <f>IFERROR(__xludf.DUMMYFUNCTION("""COMPUTED_VALUE"""),"14626")</f>
        <v>14626</v>
      </c>
      <c r="E552" s="5" t="str">
        <f>IFERROR(__xludf.DUMMYFUNCTION("""COMPUTED_VALUE"""),"Stock")</f>
        <v>Stock</v>
      </c>
      <c r="F552" s="5" t="str">
        <f>IFERROR(__xludf.DUMMYFUNCTION("""COMPUTED_VALUE"""),"USD")</f>
        <v>USD</v>
      </c>
      <c r="G552" s="30" t="str">
        <f>IFERROR(__xludf.DUMMYFUNCTION("""COMPUTED_VALUE"""),"Email Account/ TraderID Recognized")</f>
        <v>Email Account/ TraderID Recognized</v>
      </c>
      <c r="H552" s="119" t="str">
        <f>IFERROR(__xludf.DUMMYFUNCTION("""COMPUTED_VALUE"""),"CL=F")</f>
        <v>CL=F</v>
      </c>
      <c r="I552" s="30">
        <f>IFERROR(__xludf.DUMMYFUNCTION("""COMPUTED_VALUE"""),100.0)</f>
        <v>100</v>
      </c>
      <c r="J552" s="30"/>
      <c r="K552" s="30" t="str">
        <f>IFERROR(__xludf.DUMMYFUNCTION("""COMPUTED_VALUE"""),"QTY, Limit Price (if any) &amp; Password input correct")</f>
        <v>QTY, Limit Price (if any) &amp; Password input correct</v>
      </c>
      <c r="L552" s="30"/>
    </row>
    <row r="553">
      <c r="A553" s="5"/>
      <c r="B553" s="118">
        <f>IFERROR(__xludf.DUMMYFUNCTION("""COMPUTED_VALUE"""),44637.59416037037)</f>
        <v>44637.59416</v>
      </c>
      <c r="C553" s="120">
        <f>IFERROR(__xludf.DUMMYFUNCTION("""COMPUTED_VALUE"""),44637.666666666664)</f>
        <v>44637.66667</v>
      </c>
      <c r="D553" s="5" t="str">
        <f>IFERROR(__xludf.DUMMYFUNCTION("""COMPUTED_VALUE"""),"14626")</f>
        <v>14626</v>
      </c>
      <c r="E553" s="5" t="str">
        <f>IFERROR(__xludf.DUMMYFUNCTION("""COMPUTED_VALUE"""),"Stock")</f>
        <v>Stock</v>
      </c>
      <c r="F553" s="5" t="str">
        <f>IFERROR(__xludf.DUMMYFUNCTION("""COMPUTED_VALUE"""),"USD")</f>
        <v>USD</v>
      </c>
      <c r="G553" s="30" t="str">
        <f>IFERROR(__xludf.DUMMYFUNCTION("""COMPUTED_VALUE"""),"Email Account/ TraderID Recognized")</f>
        <v>Email Account/ TraderID Recognized</v>
      </c>
      <c r="H553" s="119" t="str">
        <f>IFERROR(__xludf.DUMMYFUNCTION("""COMPUTED_VALUE"""),"SI=F")</f>
        <v>SI=F</v>
      </c>
      <c r="I553" s="30">
        <f>IFERROR(__xludf.DUMMYFUNCTION("""COMPUTED_VALUE"""),100.0)</f>
        <v>100</v>
      </c>
      <c r="J553" s="30"/>
      <c r="K553" s="30" t="str">
        <f>IFERROR(__xludf.DUMMYFUNCTION("""COMPUTED_VALUE"""),"QTY, Limit Price (if any) &amp; Password input correct")</f>
        <v>QTY, Limit Price (if any) &amp; Password input correct</v>
      </c>
      <c r="L553" s="30"/>
    </row>
    <row r="554">
      <c r="A554" s="5"/>
      <c r="B554" s="118">
        <f>IFERROR(__xludf.DUMMYFUNCTION("""COMPUTED_VALUE"""),44637.60904496528)</f>
        <v>44637.60904</v>
      </c>
      <c r="C554" s="120">
        <f>IFERROR(__xludf.DUMMYFUNCTION("""COMPUTED_VALUE"""),44637.666666666664)</f>
        <v>44637.66667</v>
      </c>
      <c r="D554" s="5" t="str">
        <f>IFERROR(__xludf.DUMMYFUNCTION("""COMPUTED_VALUE"""),"75288")</f>
        <v>75288</v>
      </c>
      <c r="E554" s="5" t="str">
        <f>IFERROR(__xludf.DUMMYFUNCTION("""COMPUTED_VALUE"""),"Stock")</f>
        <v>Stock</v>
      </c>
      <c r="F554" s="5" t="str">
        <f>IFERROR(__xludf.DUMMYFUNCTION("""COMPUTED_VALUE"""),"HKD")</f>
        <v>HKD</v>
      </c>
      <c r="G554" s="30" t="str">
        <f>IFERROR(__xludf.DUMMYFUNCTION("""COMPUTED_VALUE"""),"Email Account/ TraderID Recognized")</f>
        <v>Email Account/ TraderID Recognized</v>
      </c>
      <c r="H554" s="121" t="str">
        <f>IFERROR(__xludf.DUMMYFUNCTION("""COMPUTED_VALUE"""),"0700.HK")</f>
        <v>0700.HK</v>
      </c>
      <c r="I554" s="30">
        <f>IFERROR(__xludf.DUMMYFUNCTION("""COMPUTED_VALUE"""),210.0)</f>
        <v>210</v>
      </c>
      <c r="J554" s="30"/>
      <c r="K554" s="30" t="str">
        <f>IFERROR(__xludf.DUMMYFUNCTION("""COMPUTED_VALUE"""),"QTY, Limit Price (if any) &amp; Password input correct")</f>
        <v>QTY, Limit Price (if any) &amp; Password input correct</v>
      </c>
      <c r="L554" s="30"/>
    </row>
    <row r="555">
      <c r="A555" s="5"/>
      <c r="B555" s="118">
        <f>IFERROR(__xludf.DUMMYFUNCTION("""COMPUTED_VALUE"""),44637.66365549769)</f>
        <v>44637.66366</v>
      </c>
      <c r="C555" s="120">
        <f>IFERROR(__xludf.DUMMYFUNCTION("""COMPUTED_VALUE"""),44637.666666666664)</f>
        <v>44637.66667</v>
      </c>
      <c r="D555" s="5" t="str">
        <f>IFERROR(__xludf.DUMMYFUNCTION("""COMPUTED_VALUE"""),"38381")</f>
        <v>38381</v>
      </c>
      <c r="E555" s="5" t="str">
        <f>IFERROR(__xludf.DUMMYFUNCTION("""COMPUTED_VALUE"""),"Stock")</f>
        <v>Stock</v>
      </c>
      <c r="F555" s="5" t="str">
        <f>IFERROR(__xludf.DUMMYFUNCTION("""COMPUTED_VALUE"""),"HKD")</f>
        <v>HKD</v>
      </c>
      <c r="G555" s="30" t="str">
        <f>IFERROR(__xludf.DUMMYFUNCTION("""COMPUTED_VALUE"""),"Email Account/ TraderID Recognized")</f>
        <v>Email Account/ TraderID Recognized</v>
      </c>
      <c r="H555" s="121" t="str">
        <f>IFERROR(__xludf.DUMMYFUNCTION("""COMPUTED_VALUE"""),"3988.HK")</f>
        <v>3988.HK</v>
      </c>
      <c r="I555" s="30">
        <f>IFERROR(__xludf.DUMMYFUNCTION("""COMPUTED_VALUE"""),300.0)</f>
        <v>300</v>
      </c>
      <c r="J555" s="30"/>
      <c r="K555" s="30" t="str">
        <f>IFERROR(__xludf.DUMMYFUNCTION("""COMPUTED_VALUE"""),"QTY, Limit Price (if any) &amp; Password input correct")</f>
        <v>QTY, Limit Price (if any) &amp; Password input correct</v>
      </c>
      <c r="L555" s="30"/>
    </row>
    <row r="556">
      <c r="A556" s="5"/>
      <c r="B556" s="118">
        <f>IFERROR(__xludf.DUMMYFUNCTION("""COMPUTED_VALUE"""),44637.66476017361)</f>
        <v>44637.66476</v>
      </c>
      <c r="C556" s="120">
        <f>IFERROR(__xludf.DUMMYFUNCTION("""COMPUTED_VALUE"""),44637.666666666664)</f>
        <v>44637.66667</v>
      </c>
      <c r="D556" s="5" t="str">
        <f>IFERROR(__xludf.DUMMYFUNCTION("""COMPUTED_VALUE"""),"38381")</f>
        <v>38381</v>
      </c>
      <c r="E556" s="5" t="str">
        <f>IFERROR(__xludf.DUMMYFUNCTION("""COMPUTED_VALUE"""),"Stock")</f>
        <v>Stock</v>
      </c>
      <c r="F556" s="5" t="str">
        <f>IFERROR(__xludf.DUMMYFUNCTION("""COMPUTED_VALUE"""),"USD")</f>
        <v>USD</v>
      </c>
      <c r="G556" s="30" t="str">
        <f>IFERROR(__xludf.DUMMYFUNCTION("""COMPUTED_VALUE"""),"Email Account/ TraderID Recognized")</f>
        <v>Email Account/ TraderID Recognized</v>
      </c>
      <c r="H556" s="119" t="str">
        <f>IFERROR(__xludf.DUMMYFUNCTION("""COMPUTED_VALUE"""),"JPM")</f>
        <v>JPM</v>
      </c>
      <c r="I556" s="30">
        <f>IFERROR(__xludf.DUMMYFUNCTION("""COMPUTED_VALUE"""),300.0)</f>
        <v>300</v>
      </c>
      <c r="J556" s="30"/>
      <c r="K556" s="30" t="str">
        <f>IFERROR(__xludf.DUMMYFUNCTION("""COMPUTED_VALUE"""),"QTY, Limit Price (if any) &amp; Password input correct")</f>
        <v>QTY, Limit Price (if any) &amp; Password input correct</v>
      </c>
      <c r="L556" s="30"/>
    </row>
    <row r="557">
      <c r="A557" s="5"/>
      <c r="B557" s="118">
        <f>IFERROR(__xludf.DUMMYFUNCTION("""COMPUTED_VALUE"""),44637.6910152662)</f>
        <v>44637.69102</v>
      </c>
      <c r="C557" s="120">
        <f>IFERROR(__xludf.DUMMYFUNCTION("""COMPUTED_VALUE"""),44637.666666666664)</f>
        <v>44637.66667</v>
      </c>
      <c r="D557" s="5" t="str">
        <f>IFERROR(__xludf.DUMMYFUNCTION("""COMPUTED_VALUE"""),"39441")</f>
        <v>39441</v>
      </c>
      <c r="E557" s="5" t="str">
        <f>IFERROR(__xludf.DUMMYFUNCTION("""COMPUTED_VALUE"""),"Stock")</f>
        <v>Stock</v>
      </c>
      <c r="F557" s="5" t="str">
        <f>IFERROR(__xludf.DUMMYFUNCTION("""COMPUTED_VALUE"""),"USD")</f>
        <v>USD</v>
      </c>
      <c r="G557" s="30" t="str">
        <f>IFERROR(__xludf.DUMMYFUNCTION("""COMPUTED_VALUE"""),"Email Account/ TraderID Recognized")</f>
        <v>Email Account/ TraderID Recognized</v>
      </c>
      <c r="H557" s="119" t="str">
        <f>IFERROR(__xludf.DUMMYFUNCTION("""COMPUTED_VALUE"""),"BABA")</f>
        <v>BABA</v>
      </c>
      <c r="I557" s="30">
        <f>IFERROR(__xludf.DUMMYFUNCTION("""COMPUTED_VALUE"""),100.0)</f>
        <v>100</v>
      </c>
      <c r="J557" s="30">
        <f>IFERROR(__xludf.DUMMYFUNCTION("""COMPUTED_VALUE"""),104.98)</f>
        <v>104.98</v>
      </c>
      <c r="K557" s="30" t="str">
        <f>IFERROR(__xludf.DUMMYFUNCTION("""COMPUTED_VALUE"""),"QTY, Limit Price (if any) &amp; Password input correct")</f>
        <v>QTY, Limit Price (if any) &amp; Password input correct</v>
      </c>
      <c r="L557" s="30"/>
    </row>
    <row r="558">
      <c r="A558" s="5"/>
      <c r="B558" s="118">
        <f>IFERROR(__xludf.DUMMYFUNCTION("""COMPUTED_VALUE"""),44637.7527427662)</f>
        <v>44637.75274</v>
      </c>
      <c r="C558" s="120">
        <f>IFERROR(__xludf.DUMMYFUNCTION("""COMPUTED_VALUE"""),44638.666666666664)</f>
        <v>44638.66667</v>
      </c>
      <c r="D558" s="5" t="str">
        <f>IFERROR(__xludf.DUMMYFUNCTION("""COMPUTED_VALUE"""),"46600")</f>
        <v>46600</v>
      </c>
      <c r="E558" s="5" t="str">
        <f>IFERROR(__xludf.DUMMYFUNCTION("""COMPUTED_VALUE"""),"Stock")</f>
        <v>Stock</v>
      </c>
      <c r="F558" s="5" t="str">
        <f>IFERROR(__xludf.DUMMYFUNCTION("""COMPUTED_VALUE"""),"HKD")</f>
        <v>HKD</v>
      </c>
      <c r="G558" s="30" t="str">
        <f>IFERROR(__xludf.DUMMYFUNCTION("""COMPUTED_VALUE"""),"Email Account/ TraderID Recognized")</f>
        <v>Email Account/ TraderID Recognized</v>
      </c>
      <c r="H558" s="121" t="str">
        <f>IFERROR(__xludf.DUMMYFUNCTION("""COMPUTED_VALUE"""),"9988.HK")</f>
        <v>9988.HK</v>
      </c>
      <c r="I558" s="30">
        <f>IFERROR(__xludf.DUMMYFUNCTION("""COMPUTED_VALUE"""),30.0)</f>
        <v>30</v>
      </c>
      <c r="J558" s="30">
        <f>IFERROR(__xludf.DUMMYFUNCTION("""COMPUTED_VALUE"""),105.0)</f>
        <v>105</v>
      </c>
      <c r="K558" s="30" t="str">
        <f>IFERROR(__xludf.DUMMYFUNCTION("""COMPUTED_VALUE"""),"QTY, Limit Price (if any) &amp; Password input correct")</f>
        <v>QTY, Limit Price (if any) &amp; Password input correct</v>
      </c>
      <c r="L558" s="30"/>
    </row>
    <row r="559">
      <c r="A559" s="5"/>
      <c r="B559" s="118">
        <f>IFERROR(__xludf.DUMMYFUNCTION("""COMPUTED_VALUE"""),44637.81993516204)</f>
        <v>44637.81994</v>
      </c>
      <c r="C559" s="120">
        <f>IFERROR(__xludf.DUMMYFUNCTION("""COMPUTED_VALUE"""),44638.666666666664)</f>
        <v>44638.66667</v>
      </c>
      <c r="D559" s="5" t="str">
        <f>IFERROR(__xludf.DUMMYFUNCTION("""COMPUTED_VALUE"""),"76369")</f>
        <v>76369</v>
      </c>
      <c r="E559" s="5" t="str">
        <f>IFERROR(__xludf.DUMMYFUNCTION("""COMPUTED_VALUE"""),"Stock")</f>
        <v>Stock</v>
      </c>
      <c r="F559" s="5" t="str">
        <f>IFERROR(__xludf.DUMMYFUNCTION("""COMPUTED_VALUE"""),"HKD")</f>
        <v>HKD</v>
      </c>
      <c r="G559" s="30" t="str">
        <f>IFERROR(__xludf.DUMMYFUNCTION("""COMPUTED_VALUE"""),"Email Account/ TraderID Recognized")</f>
        <v>Email Account/ TraderID Recognized</v>
      </c>
      <c r="H559" s="121" t="str">
        <f>IFERROR(__xludf.DUMMYFUNCTION("""COMPUTED_VALUE"""),"0700.HK")</f>
        <v>0700.HK</v>
      </c>
      <c r="I559" s="30">
        <f>IFERROR(__xludf.DUMMYFUNCTION("""COMPUTED_VALUE"""),50.0)</f>
        <v>50</v>
      </c>
      <c r="J559" s="30"/>
      <c r="K559" s="30" t="str">
        <f>IFERROR(__xludf.DUMMYFUNCTION("""COMPUTED_VALUE"""),"QTY, Limit Price (if any) &amp; Password input correct")</f>
        <v>QTY, Limit Price (if any) &amp; Password input correct</v>
      </c>
      <c r="L559" s="30"/>
    </row>
    <row r="560">
      <c r="A560" s="5"/>
      <c r="B560" s="118">
        <f>IFERROR(__xludf.DUMMYFUNCTION("""COMPUTED_VALUE"""),44637.82070520833)</f>
        <v>44637.82071</v>
      </c>
      <c r="C560" s="120">
        <f>IFERROR(__xludf.DUMMYFUNCTION("""COMPUTED_VALUE"""),44638.666666666664)</f>
        <v>44638.66667</v>
      </c>
      <c r="D560" s="5" t="str">
        <f>IFERROR(__xludf.DUMMYFUNCTION("""COMPUTED_VALUE"""),"76369")</f>
        <v>76369</v>
      </c>
      <c r="E560" s="5" t="str">
        <f>IFERROR(__xludf.DUMMYFUNCTION("""COMPUTED_VALUE"""),"Stock")</f>
        <v>Stock</v>
      </c>
      <c r="F560" s="5" t="str">
        <f>IFERROR(__xludf.DUMMYFUNCTION("""COMPUTED_VALUE"""),"HKD")</f>
        <v>HKD</v>
      </c>
      <c r="G560" s="30" t="str">
        <f>IFERROR(__xludf.DUMMYFUNCTION("""COMPUTED_VALUE"""),"Email Account/ TraderID Recognized")</f>
        <v>Email Account/ TraderID Recognized</v>
      </c>
      <c r="H560" s="121" t="str">
        <f>IFERROR(__xludf.DUMMYFUNCTION("""COMPUTED_VALUE"""),"9988.HK")</f>
        <v>9988.HK</v>
      </c>
      <c r="I560" s="30">
        <f>IFERROR(__xludf.DUMMYFUNCTION("""COMPUTED_VALUE"""),50.0)</f>
        <v>50</v>
      </c>
      <c r="J560" s="30"/>
      <c r="K560" s="30" t="str">
        <f>IFERROR(__xludf.DUMMYFUNCTION("""COMPUTED_VALUE"""),"QTY, Limit Price (if any) &amp; Password input correct")</f>
        <v>QTY, Limit Price (if any) &amp; Password input correct</v>
      </c>
      <c r="L560" s="30"/>
    </row>
    <row r="561">
      <c r="A561" s="5"/>
      <c r="B561" s="118">
        <f>IFERROR(__xludf.DUMMYFUNCTION("""COMPUTED_VALUE"""),44637.83743760417)</f>
        <v>44637.83744</v>
      </c>
      <c r="C561" s="120">
        <f>IFERROR(__xludf.DUMMYFUNCTION("""COMPUTED_VALUE"""),44638.625)</f>
        <v>44638.625</v>
      </c>
      <c r="D561" s="5" t="str">
        <f>IFERROR(__xludf.DUMMYFUNCTION("""COMPUTED_VALUE"""),"76369")</f>
        <v>76369</v>
      </c>
      <c r="E561" s="5" t="str">
        <f>IFERROR(__xludf.DUMMYFUNCTION("""COMPUTED_VALUE"""),"Stock")</f>
        <v>Stock</v>
      </c>
      <c r="F561" s="5" t="str">
        <f>IFERROR(__xludf.DUMMYFUNCTION("""COMPUTED_VALUE"""),"CNY")</f>
        <v>CNY</v>
      </c>
      <c r="G561" s="30" t="str">
        <f>IFERROR(__xludf.DUMMYFUNCTION("""COMPUTED_VALUE"""),"Email Account/ TraderID Recognized")</f>
        <v>Email Account/ TraderID Recognized</v>
      </c>
      <c r="H561" s="121" t="str">
        <f>IFERROR(__xludf.DUMMYFUNCTION("""COMPUTED_VALUE"""),"002670.SZ")</f>
        <v>002670.SZ</v>
      </c>
      <c r="I561" s="30">
        <f>IFERROR(__xludf.DUMMYFUNCTION("""COMPUTED_VALUE"""),500.0)</f>
        <v>500</v>
      </c>
      <c r="J561" s="30"/>
      <c r="K561" s="30" t="str">
        <f>IFERROR(__xludf.DUMMYFUNCTION("""COMPUTED_VALUE"""),"QTY, Limit Price (if any) &amp; Password input correct")</f>
        <v>QTY, Limit Price (if any) &amp; Password input correct</v>
      </c>
      <c r="L561" s="30"/>
    </row>
    <row r="562">
      <c r="A562" s="5"/>
      <c r="B562" s="118">
        <f>IFERROR(__xludf.DUMMYFUNCTION("""COMPUTED_VALUE"""),44637.95095135417)</f>
        <v>44637.95095</v>
      </c>
      <c r="C562" s="120">
        <f>IFERROR(__xludf.DUMMYFUNCTION("""COMPUTED_VALUE"""),44637.666666666664)</f>
        <v>44637.66667</v>
      </c>
      <c r="D562" s="5" t="str">
        <f>IFERROR(__xludf.DUMMYFUNCTION("""COMPUTED_VALUE"""),"56118")</f>
        <v>56118</v>
      </c>
      <c r="E562" s="5" t="str">
        <f>IFERROR(__xludf.DUMMYFUNCTION("""COMPUTED_VALUE"""),"Stock")</f>
        <v>Stock</v>
      </c>
      <c r="F562" s="5" t="str">
        <f>IFERROR(__xludf.DUMMYFUNCTION("""COMPUTED_VALUE"""),"USD")</f>
        <v>USD</v>
      </c>
      <c r="G562" s="30" t="str">
        <f>IFERROR(__xludf.DUMMYFUNCTION("""COMPUTED_VALUE"""),"Email Account/ TraderID Recognized")</f>
        <v>Email Account/ TraderID Recognized</v>
      </c>
      <c r="H562" s="119" t="str">
        <f>IFERROR(__xludf.DUMMYFUNCTION("""COMPUTED_VALUE"""),"SOFI")</f>
        <v>SOFI</v>
      </c>
      <c r="I562" s="30">
        <f>IFERROR(__xludf.DUMMYFUNCTION("""COMPUTED_VALUE"""),200.0)</f>
        <v>200</v>
      </c>
      <c r="J562" s="30">
        <f>IFERROR(__xludf.DUMMYFUNCTION("""COMPUTED_VALUE"""),69.0)</f>
        <v>69</v>
      </c>
      <c r="K562" s="30" t="str">
        <f>IFERROR(__xludf.DUMMYFUNCTION("""COMPUTED_VALUE"""),"QTY, Limit Price (if any) &amp; Password input correct")</f>
        <v>QTY, Limit Price (if any) &amp; Password input correct</v>
      </c>
      <c r="L562" s="30"/>
    </row>
    <row r="563">
      <c r="A563" s="5"/>
      <c r="B563" s="118">
        <f>IFERROR(__xludf.DUMMYFUNCTION("""COMPUTED_VALUE"""),44637.95336270833)</f>
        <v>44637.95336</v>
      </c>
      <c r="C563" s="120">
        <f>IFERROR(__xludf.DUMMYFUNCTION("""COMPUTED_VALUE"""),44637.666666666664)</f>
        <v>44637.66667</v>
      </c>
      <c r="D563" s="5" t="str">
        <f>IFERROR(__xludf.DUMMYFUNCTION("""COMPUTED_VALUE"""),"76848")</f>
        <v>76848</v>
      </c>
      <c r="E563" s="5" t="str">
        <f>IFERROR(__xludf.DUMMYFUNCTION("""COMPUTED_VALUE"""),"Stock")</f>
        <v>Stock</v>
      </c>
      <c r="F563" s="5" t="str">
        <f>IFERROR(__xludf.DUMMYFUNCTION("""COMPUTED_VALUE"""),"USD")</f>
        <v>USD</v>
      </c>
      <c r="G563" s="30" t="str">
        <f>IFERROR(__xludf.DUMMYFUNCTION("""COMPUTED_VALUE"""),"Email Account/ TraderID Recognized")</f>
        <v>Email Account/ TraderID Recognized</v>
      </c>
      <c r="H563" s="119" t="str">
        <f>IFERROR(__xludf.DUMMYFUNCTION("""COMPUTED_VALUE"""),"IXHL")</f>
        <v>IXHL</v>
      </c>
      <c r="I563" s="30">
        <f>IFERROR(__xludf.DUMMYFUNCTION("""COMPUTED_VALUE"""),1000.0)</f>
        <v>1000</v>
      </c>
      <c r="J563" s="30">
        <f>IFERROR(__xludf.DUMMYFUNCTION("""COMPUTED_VALUE"""),8.0)</f>
        <v>8</v>
      </c>
      <c r="K563" s="30" t="str">
        <f>IFERROR(__xludf.DUMMYFUNCTION("""COMPUTED_VALUE"""),"QTY, Limit Price (if any) &amp; Password input correct")</f>
        <v>QTY, Limit Price (if any) &amp; Password input correct</v>
      </c>
      <c r="L563" s="30"/>
    </row>
    <row r="564">
      <c r="A564" s="5"/>
      <c r="B564" s="118">
        <f>IFERROR(__xludf.DUMMYFUNCTION("""COMPUTED_VALUE"""),44637.95375864583)</f>
        <v>44637.95376</v>
      </c>
      <c r="C564" s="120" t="str">
        <f>IFERROR(__xludf.DUMMYFUNCTION("""COMPUTED_VALUE"""),"")</f>
        <v/>
      </c>
      <c r="D564" s="5" t="str">
        <f>IFERROR(__xludf.DUMMYFUNCTION("""COMPUTED_VALUE"""),"73456")</f>
        <v>73456</v>
      </c>
      <c r="E564" s="5" t="str">
        <f>IFERROR(__xludf.DUMMYFUNCTION("""COMPUTED_VALUE"""),"Stock")</f>
        <v>Stock</v>
      </c>
      <c r="F564" s="5" t="str">
        <f>IFERROR(__xludf.DUMMYFUNCTION("""COMPUTED_VALUE"""),"error")</f>
        <v>error</v>
      </c>
      <c r="G564" s="30" t="str">
        <f>IFERROR(__xludf.DUMMYFUNCTION("""COMPUTED_VALUE"""),"Email Account/ TraderID Recognized")</f>
        <v>Email Account/ TraderID Recognized</v>
      </c>
      <c r="H564" s="119" t="str">
        <f>IFERROR(__xludf.DUMMYFUNCTION("""COMPUTED_VALUE"""),"IXHL")</f>
        <v>IXHL</v>
      </c>
      <c r="I564" s="30">
        <f>IFERROR(__xludf.DUMMYFUNCTION("""COMPUTED_VALUE"""),1000.0)</f>
        <v>1000</v>
      </c>
      <c r="J564" s="30">
        <f>IFERROR(__xludf.DUMMYFUNCTION("""COMPUTED_VALUE"""),8.0)</f>
        <v>8</v>
      </c>
      <c r="K564" s="30" t="str">
        <f>IFERROR(__xludf.DUMMYFUNCTION("""COMPUTED_VALUE"""),"QTY, Limit Price (if any) &amp; Password input correct")</f>
        <v>QTY, Limit Price (if any) &amp; Password input correct</v>
      </c>
      <c r="L564" s="30" t="str">
        <f>IFERROR(__xludf.DUMMYFUNCTION("""COMPUTED_VALUE"""),"Order rejected. Account non-exists.")</f>
        <v>Order rejected. Account non-exists.</v>
      </c>
    </row>
    <row r="565">
      <c r="A565" s="5"/>
      <c r="B565" s="118">
        <f>IFERROR(__xludf.DUMMYFUNCTION("""COMPUTED_VALUE"""),44637.980645104166)</f>
        <v>44637.98065</v>
      </c>
      <c r="C565" s="120" t="str">
        <f>IFERROR(__xludf.DUMMYFUNCTION("""COMPUTED_VALUE"""),"")</f>
        <v/>
      </c>
      <c r="D565" s="5" t="str">
        <f>IFERROR(__xludf.DUMMYFUNCTION("""COMPUTED_VALUE"""),"36252")</f>
        <v>36252</v>
      </c>
      <c r="E565" s="5" t="str">
        <f>IFERROR(__xludf.DUMMYFUNCTION("""COMPUTED_VALUE"""),"Stock")</f>
        <v>Stock</v>
      </c>
      <c r="F565" s="5" t="str">
        <f>IFERROR(__xludf.DUMMYFUNCTION("""COMPUTED_VALUE"""),"error")</f>
        <v>error</v>
      </c>
      <c r="G565" s="30" t="str">
        <f>IFERROR(__xludf.DUMMYFUNCTION("""COMPUTED_VALUE"""),"Email Account/ TraderID Recognized")</f>
        <v>Email Account/ TraderID Recognized</v>
      </c>
      <c r="H565" s="119" t="str">
        <f>IFERROR(__xludf.DUMMYFUNCTION("""COMPUTED_VALUE"""),"00386")</f>
        <v>00386</v>
      </c>
      <c r="I565" s="30">
        <f>IFERROR(__xludf.DUMMYFUNCTION("""COMPUTED_VALUE"""),50000.0)</f>
        <v>50000</v>
      </c>
      <c r="J565" s="30" t="str">
        <f>IFERROR(__xludf.DUMMYFUNCTION("""COMPUTED_VALUE"""),"Limit Buy @ 3.8 - Closing @ 4.5 = Executed price @ 4.5 . if Closing @ 3.6 = no execution")</f>
        <v>Limit Buy @ 3.8 - Closing @ 4.5 = Executed price @ 4.5 . if Closing @ 3.6 = no execution</v>
      </c>
      <c r="K565" s="30" t="str">
        <f>IFERROR(__xludf.DUMMYFUNCTION("""COMPUTED_VALUE"""),"Non-number input in Quantity or Limit Price")</f>
        <v>Non-number input in Quantity or Limit Price</v>
      </c>
      <c r="L565" s="30" t="str">
        <f>IFERROR(__xludf.DUMMYFUNCTION("""COMPUTED_VALUE"""),"Order rejected due to non-numerica characters in limit price input.")</f>
        <v>Order rejected due to non-numerica characters in limit price input.</v>
      </c>
    </row>
    <row r="566">
      <c r="A566" s="5"/>
      <c r="B566" s="118">
        <f>IFERROR(__xludf.DUMMYFUNCTION("""COMPUTED_VALUE"""),44637.98370115741)</f>
        <v>44637.9837</v>
      </c>
      <c r="C566" s="120" t="str">
        <f>IFERROR(__xludf.DUMMYFUNCTION("""COMPUTED_VALUE"""),"")</f>
        <v/>
      </c>
      <c r="D566" s="5" t="str">
        <f>IFERROR(__xludf.DUMMYFUNCTION("""COMPUTED_VALUE"""),"36252")</f>
        <v>36252</v>
      </c>
      <c r="E566" s="5" t="str">
        <f>IFERROR(__xludf.DUMMYFUNCTION("""COMPUTED_VALUE"""),"Stock")</f>
        <v>Stock</v>
      </c>
      <c r="F566" s="5" t="str">
        <f>IFERROR(__xludf.DUMMYFUNCTION("""COMPUTED_VALUE"""),"error")</f>
        <v>error</v>
      </c>
      <c r="G566" s="30" t="str">
        <f>IFERROR(__xludf.DUMMYFUNCTION("""COMPUTED_VALUE"""),"Email Account/ TraderID Recognized")</f>
        <v>Email Account/ TraderID Recognized</v>
      </c>
      <c r="H566" s="121" t="str">
        <f>IFERROR(__xludf.DUMMYFUNCTION("""COMPUTED_VALUE"""),"02607.hk")</f>
        <v>02607.hk</v>
      </c>
      <c r="I566" s="30">
        <f>IFERROR(__xludf.DUMMYFUNCTION("""COMPUTED_VALUE"""),10000.0)</f>
        <v>10000</v>
      </c>
      <c r="J566" s="30" t="str">
        <f>IFERROR(__xludf.DUMMYFUNCTION("""COMPUTED_VALUE"""),"Limit Buy @ 18 - Closing @ 18 = Executed price @ 18. if Closing @ 20 = no execution")</f>
        <v>Limit Buy @ 18 - Closing @ 18 = Executed price @ 18. if Closing @ 20 = no execution</v>
      </c>
      <c r="K566" s="30" t="str">
        <f>IFERROR(__xludf.DUMMYFUNCTION("""COMPUTED_VALUE"""),"Non-number input in Quantity or Limit Price")</f>
        <v>Non-number input in Quantity or Limit Price</v>
      </c>
      <c r="L566" s="30" t="str">
        <f>IFERROR(__xludf.DUMMYFUNCTION("""COMPUTED_VALUE"""),"Order rejected due to non-numerica characters in limit price input.")</f>
        <v>Order rejected due to non-numerica characters in limit price input.</v>
      </c>
    </row>
    <row r="567">
      <c r="A567" s="5"/>
      <c r="B567" s="118">
        <f>IFERROR(__xludf.DUMMYFUNCTION("""COMPUTED_VALUE"""),44638.030068402775)</f>
        <v>44638.03007</v>
      </c>
      <c r="C567" s="120">
        <f>IFERROR(__xludf.DUMMYFUNCTION("""COMPUTED_VALUE"""),44637.666666666664)</f>
        <v>44637.66667</v>
      </c>
      <c r="D567" s="5" t="str">
        <f>IFERROR(__xludf.DUMMYFUNCTION("""COMPUTED_VALUE"""),"89750")</f>
        <v>89750</v>
      </c>
      <c r="E567" s="5" t="str">
        <f>IFERROR(__xludf.DUMMYFUNCTION("""COMPUTED_VALUE"""),"Option")</f>
        <v>Option</v>
      </c>
      <c r="F567" s="5" t="str">
        <f>IFERROR(__xludf.DUMMYFUNCTION("""COMPUTED_VALUE"""),"USD")</f>
        <v>USD</v>
      </c>
      <c r="G567" s="30" t="str">
        <f>IFERROR(__xludf.DUMMYFUNCTION("""COMPUTED_VALUE"""),"Email Account/ TraderID Recognized")</f>
        <v>Email Account/ TraderID Recognized</v>
      </c>
      <c r="H567" s="119" t="str">
        <f>IFERROR(__xludf.DUMMYFUNCTION("""COMPUTED_VALUE"""),"OXY220318P00065000")</f>
        <v>OXY220318P00065000</v>
      </c>
      <c r="I567" s="30">
        <f>IFERROR(__xludf.DUMMYFUNCTION("""COMPUTED_VALUE"""),2.0)</f>
        <v>2</v>
      </c>
      <c r="J567" s="30"/>
      <c r="K567" s="30" t="str">
        <f>IFERROR(__xludf.DUMMYFUNCTION("""COMPUTED_VALUE"""),"QTY, Limit Price (if any) &amp; Password input correct")</f>
        <v>QTY, Limit Price (if any) &amp; Password input correct</v>
      </c>
      <c r="L567" s="30"/>
    </row>
    <row r="568">
      <c r="A568" s="5"/>
      <c r="B568" s="118">
        <f>IFERROR(__xludf.DUMMYFUNCTION("""COMPUTED_VALUE"""),44638.37458333333)</f>
        <v>44638.37458</v>
      </c>
      <c r="C568" s="120">
        <f>IFERROR(__xludf.DUMMYFUNCTION("""COMPUTED_VALUE"""),44638.666666666664)</f>
        <v>44638.66667</v>
      </c>
      <c r="D568" s="5" t="str">
        <f>IFERROR(__xludf.DUMMYFUNCTION("""COMPUTED_VALUE"""),"46876")</f>
        <v>46876</v>
      </c>
      <c r="E568" s="5" t="str">
        <f>IFERROR(__xludf.DUMMYFUNCTION("""COMPUTED_VALUE"""),"Stock")</f>
        <v>Stock</v>
      </c>
      <c r="F568" s="5" t="str">
        <f>IFERROR(__xludf.DUMMYFUNCTION("""COMPUTED_VALUE"""),"HKD")</f>
        <v>HKD</v>
      </c>
      <c r="G568" s="30" t="str">
        <f>IFERROR(__xludf.DUMMYFUNCTION("""COMPUTED_VALUE"""),"Email Account/ TraderID Recognized")</f>
        <v>Email Account/ TraderID Recognized</v>
      </c>
      <c r="H568" s="121" t="str">
        <f>IFERROR(__xludf.DUMMYFUNCTION("""COMPUTED_VALUE"""),"9988.HK")</f>
        <v>9988.HK</v>
      </c>
      <c r="I568" s="30">
        <f>IFERROR(__xludf.DUMMYFUNCTION("""COMPUTED_VALUE"""),1000.0)</f>
        <v>1000</v>
      </c>
      <c r="J568" s="30">
        <f>IFERROR(__xludf.DUMMYFUNCTION("""COMPUTED_VALUE"""),95.0)</f>
        <v>95</v>
      </c>
      <c r="K568" s="30" t="str">
        <f>IFERROR(__xludf.DUMMYFUNCTION("""COMPUTED_VALUE"""),"QTY, Limit Price (if any) &amp; Password input correct")</f>
        <v>QTY, Limit Price (if any) &amp; Password input correct</v>
      </c>
      <c r="L568" s="30"/>
    </row>
    <row r="569">
      <c r="A569" s="5"/>
      <c r="B569" s="118">
        <f>IFERROR(__xludf.DUMMYFUNCTION("""COMPUTED_VALUE"""),44638.40157255787)</f>
        <v>44638.40157</v>
      </c>
      <c r="C569" s="120">
        <f>IFERROR(__xludf.DUMMYFUNCTION("""COMPUTED_VALUE"""),44638.666666666664)</f>
        <v>44638.66667</v>
      </c>
      <c r="D569" s="5" t="str">
        <f>IFERROR(__xludf.DUMMYFUNCTION("""COMPUTED_VALUE"""),"37198")</f>
        <v>37198</v>
      </c>
      <c r="E569" s="5" t="str">
        <f>IFERROR(__xludf.DUMMYFUNCTION("""COMPUTED_VALUE"""),"Stock")</f>
        <v>Stock</v>
      </c>
      <c r="F569" s="5" t="str">
        <f>IFERROR(__xludf.DUMMYFUNCTION("""COMPUTED_VALUE"""),"USD")</f>
        <v>USD</v>
      </c>
      <c r="G569" s="30" t="str">
        <f>IFERROR(__xludf.DUMMYFUNCTION("""COMPUTED_VALUE"""),"Email Account/ TraderID Recognized")</f>
        <v>Email Account/ TraderID Recognized</v>
      </c>
      <c r="H569" s="119" t="str">
        <f>IFERROR(__xludf.DUMMYFUNCTION("""COMPUTED_VALUE"""),"BNTX")</f>
        <v>BNTX</v>
      </c>
      <c r="I569" s="30">
        <f>IFERROR(__xludf.DUMMYFUNCTION("""COMPUTED_VALUE"""),20.0)</f>
        <v>20</v>
      </c>
      <c r="J569" s="30">
        <f>IFERROR(__xludf.DUMMYFUNCTION("""COMPUTED_VALUE"""),166.5)</f>
        <v>166.5</v>
      </c>
      <c r="K569" s="30" t="str">
        <f>IFERROR(__xludf.DUMMYFUNCTION("""COMPUTED_VALUE"""),"QTY, Limit Price (if any) &amp; Password input correct")</f>
        <v>QTY, Limit Price (if any) &amp; Password input correct</v>
      </c>
      <c r="L569" s="30"/>
    </row>
    <row r="570">
      <c r="A570" s="5"/>
      <c r="B570" s="118">
        <f>IFERROR(__xludf.DUMMYFUNCTION("""COMPUTED_VALUE"""),44638.40609769676)</f>
        <v>44638.4061</v>
      </c>
      <c r="C570" s="120">
        <f>IFERROR(__xludf.DUMMYFUNCTION("""COMPUTED_VALUE"""),44638.666666666664)</f>
        <v>44638.66667</v>
      </c>
      <c r="D570" s="5" t="str">
        <f>IFERROR(__xludf.DUMMYFUNCTION("""COMPUTED_VALUE"""),"37198")</f>
        <v>37198</v>
      </c>
      <c r="E570" s="5" t="str">
        <f>IFERROR(__xludf.DUMMYFUNCTION("""COMPUTED_VALUE"""),"Stock")</f>
        <v>Stock</v>
      </c>
      <c r="F570" s="5" t="str">
        <f>IFERROR(__xludf.DUMMYFUNCTION("""COMPUTED_VALUE"""),"USD")</f>
        <v>USD</v>
      </c>
      <c r="G570" s="30" t="str">
        <f>IFERROR(__xludf.DUMMYFUNCTION("""COMPUTED_VALUE"""),"Email Account/ TraderID Recognized")</f>
        <v>Email Account/ TraderID Recognized</v>
      </c>
      <c r="H570" s="119" t="str">
        <f>IFERROR(__xludf.DUMMYFUNCTION("""COMPUTED_VALUE"""),"DVN")</f>
        <v>DVN</v>
      </c>
      <c r="I570" s="30">
        <f>IFERROR(__xludf.DUMMYFUNCTION("""COMPUTED_VALUE"""),50.0)</f>
        <v>50</v>
      </c>
      <c r="J570" s="30">
        <f>IFERROR(__xludf.DUMMYFUNCTION("""COMPUTED_VALUE"""),58.0)</f>
        <v>58</v>
      </c>
      <c r="K570" s="30" t="str">
        <f>IFERROR(__xludf.DUMMYFUNCTION("""COMPUTED_VALUE"""),"QTY, Limit Price (if any) &amp; Password input correct")</f>
        <v>QTY, Limit Price (if any) &amp; Password input correct</v>
      </c>
      <c r="L570" s="30"/>
    </row>
    <row r="571">
      <c r="A571" s="5"/>
      <c r="B571" s="118">
        <f>IFERROR(__xludf.DUMMYFUNCTION("""COMPUTED_VALUE"""),44638.414759004634)</f>
        <v>44638.41476</v>
      </c>
      <c r="C571" s="120">
        <f>IFERROR(__xludf.DUMMYFUNCTION("""COMPUTED_VALUE"""),44638.666666666664)</f>
        <v>44638.66667</v>
      </c>
      <c r="D571" s="5" t="str">
        <f>IFERROR(__xludf.DUMMYFUNCTION("""COMPUTED_VALUE"""),"37198")</f>
        <v>37198</v>
      </c>
      <c r="E571" s="5" t="str">
        <f>IFERROR(__xludf.DUMMYFUNCTION("""COMPUTED_VALUE"""),"Stock")</f>
        <v>Stock</v>
      </c>
      <c r="F571" s="5" t="str">
        <f>IFERROR(__xludf.DUMMYFUNCTION("""COMPUTED_VALUE"""),"USD")</f>
        <v>USD</v>
      </c>
      <c r="G571" s="30" t="str">
        <f>IFERROR(__xludf.DUMMYFUNCTION("""COMPUTED_VALUE"""),"Email Account/ TraderID Recognized")</f>
        <v>Email Account/ TraderID Recognized</v>
      </c>
      <c r="H571" s="119" t="str">
        <f>IFERROR(__xludf.DUMMYFUNCTION("""COMPUTED_VALUE"""),"CL=F")</f>
        <v>CL=F</v>
      </c>
      <c r="I571" s="30">
        <f>IFERROR(__xludf.DUMMYFUNCTION("""COMPUTED_VALUE"""),50.0)</f>
        <v>50</v>
      </c>
      <c r="J571" s="30">
        <f>IFERROR(__xludf.DUMMYFUNCTION("""COMPUTED_VALUE"""),105.65)</f>
        <v>105.65</v>
      </c>
      <c r="K571" s="30" t="str">
        <f>IFERROR(__xludf.DUMMYFUNCTION("""COMPUTED_VALUE"""),"QTY, Limit Price (if any) &amp; Password input correct")</f>
        <v>QTY, Limit Price (if any) &amp; Password input correct</v>
      </c>
      <c r="L571" s="30"/>
    </row>
    <row r="572">
      <c r="A572" s="5"/>
      <c r="B572" s="118">
        <f>IFERROR(__xludf.DUMMYFUNCTION("""COMPUTED_VALUE"""),44638.41632924769)</f>
        <v>44638.41633</v>
      </c>
      <c r="C572" s="120">
        <f>IFERROR(__xludf.DUMMYFUNCTION("""COMPUTED_VALUE"""),44638.666666666664)</f>
        <v>44638.66667</v>
      </c>
      <c r="D572" s="5" t="str">
        <f>IFERROR(__xludf.DUMMYFUNCTION("""COMPUTED_VALUE"""),"14626")</f>
        <v>14626</v>
      </c>
      <c r="E572" s="5" t="str">
        <f>IFERROR(__xludf.DUMMYFUNCTION("""COMPUTED_VALUE"""),"Stock")</f>
        <v>Stock</v>
      </c>
      <c r="F572" s="5" t="str">
        <f>IFERROR(__xludf.DUMMYFUNCTION("""COMPUTED_VALUE"""),"USD")</f>
        <v>USD</v>
      </c>
      <c r="G572" s="30" t="str">
        <f>IFERROR(__xludf.DUMMYFUNCTION("""COMPUTED_VALUE"""),"Email Account/ TraderID Recognized")</f>
        <v>Email Account/ TraderID Recognized</v>
      </c>
      <c r="H572" s="119" t="str">
        <f>IFERROR(__xludf.DUMMYFUNCTION("""COMPUTED_VALUE"""),"OXY")</f>
        <v>OXY</v>
      </c>
      <c r="I572" s="30">
        <f>IFERROR(__xludf.DUMMYFUNCTION("""COMPUTED_VALUE"""),100.0)</f>
        <v>100</v>
      </c>
      <c r="J572" s="30">
        <f>IFERROR(__xludf.DUMMYFUNCTION("""COMPUTED_VALUE"""),50.0)</f>
        <v>50</v>
      </c>
      <c r="K572" s="30" t="str">
        <f>IFERROR(__xludf.DUMMYFUNCTION("""COMPUTED_VALUE"""),"QTY, Limit Price (if any) &amp; Password input correct")</f>
        <v>QTY, Limit Price (if any) &amp; Password input correct</v>
      </c>
      <c r="L572" s="30"/>
    </row>
    <row r="573">
      <c r="A573" s="5"/>
      <c r="B573" s="118">
        <f>IFERROR(__xludf.DUMMYFUNCTION("""COMPUTED_VALUE"""),44638.41860508102)</f>
        <v>44638.41861</v>
      </c>
      <c r="C573" s="120">
        <f>IFERROR(__xludf.DUMMYFUNCTION("""COMPUTED_VALUE"""),44638.666666666664)</f>
        <v>44638.66667</v>
      </c>
      <c r="D573" s="5" t="str">
        <f>IFERROR(__xludf.DUMMYFUNCTION("""COMPUTED_VALUE"""),"79521")</f>
        <v>79521</v>
      </c>
      <c r="E573" s="5" t="str">
        <f>IFERROR(__xludf.DUMMYFUNCTION("""COMPUTED_VALUE"""),"Stock")</f>
        <v>Stock</v>
      </c>
      <c r="F573" s="5" t="str">
        <f>IFERROR(__xludf.DUMMYFUNCTION("""COMPUTED_VALUE"""),"HKD")</f>
        <v>HKD</v>
      </c>
      <c r="G573" s="30" t="str">
        <f>IFERROR(__xludf.DUMMYFUNCTION("""COMPUTED_VALUE"""),"Email Account/ TraderID Recognized")</f>
        <v>Email Account/ TraderID Recognized</v>
      </c>
      <c r="H573" s="121" t="str">
        <f>IFERROR(__xludf.DUMMYFUNCTION("""COMPUTED_VALUE"""),"0700.HK")</f>
        <v>0700.HK</v>
      </c>
      <c r="I573" s="30">
        <f>IFERROR(__xludf.DUMMYFUNCTION("""COMPUTED_VALUE"""),1000.0)</f>
        <v>1000</v>
      </c>
      <c r="J573" s="30"/>
      <c r="K573" s="30" t="str">
        <f>IFERROR(__xludf.DUMMYFUNCTION("""COMPUTED_VALUE"""),"QTY, Limit Price (if any) &amp; Password input correct")</f>
        <v>QTY, Limit Price (if any) &amp; Password input correct</v>
      </c>
      <c r="L573" s="30"/>
    </row>
    <row r="574">
      <c r="A574" s="5"/>
      <c r="B574" s="118">
        <f>IFERROR(__xludf.DUMMYFUNCTION("""COMPUTED_VALUE"""),44638.466938067126)</f>
        <v>44638.46694</v>
      </c>
      <c r="C574" s="120">
        <f>IFERROR(__xludf.DUMMYFUNCTION("""COMPUTED_VALUE"""),44638.625)</f>
        <v>44638.625</v>
      </c>
      <c r="D574" s="5" t="str">
        <f>IFERROR(__xludf.DUMMYFUNCTION("""COMPUTED_VALUE"""),"79521")</f>
        <v>79521</v>
      </c>
      <c r="E574" s="5" t="str">
        <f>IFERROR(__xludf.DUMMYFUNCTION("""COMPUTED_VALUE"""),"Stock")</f>
        <v>Stock</v>
      </c>
      <c r="F574" s="5" t="str">
        <f>IFERROR(__xludf.DUMMYFUNCTION("""COMPUTED_VALUE"""),"CNY")</f>
        <v>CNY</v>
      </c>
      <c r="G574" s="30" t="str">
        <f>IFERROR(__xludf.DUMMYFUNCTION("""COMPUTED_VALUE"""),"Email Account/ TraderID Recognized")</f>
        <v>Email Account/ TraderID Recognized</v>
      </c>
      <c r="H574" s="121" t="str">
        <f>IFERROR(__xludf.DUMMYFUNCTION("""COMPUTED_VALUE"""),"001896.SZ")</f>
        <v>001896.SZ</v>
      </c>
      <c r="I574" s="30">
        <f>IFERROR(__xludf.DUMMYFUNCTION("""COMPUTED_VALUE"""),10000.0)</f>
        <v>10000</v>
      </c>
      <c r="J574" s="30">
        <f>IFERROR(__xludf.DUMMYFUNCTION("""COMPUTED_VALUE"""),6.16)</f>
        <v>6.16</v>
      </c>
      <c r="K574" s="30" t="str">
        <f>IFERROR(__xludf.DUMMYFUNCTION("""COMPUTED_VALUE"""),"QTY, Limit Price (if any) &amp; Password input correct")</f>
        <v>QTY, Limit Price (if any) &amp; Password input correct</v>
      </c>
      <c r="L574" s="30"/>
    </row>
    <row r="575">
      <c r="A575" s="5"/>
      <c r="B575" s="118">
        <f>IFERROR(__xludf.DUMMYFUNCTION("""COMPUTED_VALUE"""),44638.57862966435)</f>
        <v>44638.57863</v>
      </c>
      <c r="C575" s="120">
        <f>IFERROR(__xludf.DUMMYFUNCTION("""COMPUTED_VALUE"""),44638.666666666664)</f>
        <v>44638.66667</v>
      </c>
      <c r="D575" s="5" t="str">
        <f>IFERROR(__xludf.DUMMYFUNCTION("""COMPUTED_VALUE"""),"46600")</f>
        <v>46600</v>
      </c>
      <c r="E575" s="5" t="str">
        <f>IFERROR(__xludf.DUMMYFUNCTION("""COMPUTED_VALUE"""),"Stock")</f>
        <v>Stock</v>
      </c>
      <c r="F575" s="5" t="str">
        <f>IFERROR(__xludf.DUMMYFUNCTION("""COMPUTED_VALUE"""),"HKD")</f>
        <v>HKD</v>
      </c>
      <c r="G575" s="30" t="str">
        <f>IFERROR(__xludf.DUMMYFUNCTION("""COMPUTED_VALUE"""),"Email Account/ TraderID Recognized")</f>
        <v>Email Account/ TraderID Recognized</v>
      </c>
      <c r="H575" s="121" t="str">
        <f>IFERROR(__xludf.DUMMYFUNCTION("""COMPUTED_VALUE"""),"0700.HK")</f>
        <v>0700.HK</v>
      </c>
      <c r="I575" s="30">
        <f>IFERROR(__xludf.DUMMYFUNCTION("""COMPUTED_VALUE"""),50.0)</f>
        <v>50</v>
      </c>
      <c r="J575" s="30"/>
      <c r="K575" s="30" t="str">
        <f>IFERROR(__xludf.DUMMYFUNCTION("""COMPUTED_VALUE"""),"QTY, Limit Price (if any) &amp; Password input correct")</f>
        <v>QTY, Limit Price (if any) &amp; Password input correct</v>
      </c>
      <c r="L575" s="30"/>
    </row>
    <row r="576">
      <c r="A576" s="5"/>
      <c r="B576" s="118">
        <f>IFERROR(__xludf.DUMMYFUNCTION("""COMPUTED_VALUE"""),44638.60806079861)</f>
        <v>44638.60806</v>
      </c>
      <c r="C576" s="120">
        <f>IFERROR(__xludf.DUMMYFUNCTION("""COMPUTED_VALUE"""),44638.666666666664)</f>
        <v>44638.66667</v>
      </c>
      <c r="D576" s="5" t="str">
        <f>IFERROR(__xludf.DUMMYFUNCTION("""COMPUTED_VALUE"""),"37649")</f>
        <v>37649</v>
      </c>
      <c r="E576" s="5" t="str">
        <f>IFERROR(__xludf.DUMMYFUNCTION("""COMPUTED_VALUE"""),"Stock")</f>
        <v>Stock</v>
      </c>
      <c r="F576" s="5" t="str">
        <f>IFERROR(__xludf.DUMMYFUNCTION("""COMPUTED_VALUE"""),"HKD")</f>
        <v>HKD</v>
      </c>
      <c r="G576" s="30" t="str">
        <f>IFERROR(__xludf.DUMMYFUNCTION("""COMPUTED_VALUE"""),"Email Account/ TraderID Recognized")</f>
        <v>Email Account/ TraderID Recognized</v>
      </c>
      <c r="H576" s="121" t="str">
        <f>IFERROR(__xludf.DUMMYFUNCTION("""COMPUTED_VALUE"""),"1109.HK")</f>
        <v>1109.HK</v>
      </c>
      <c r="I576" s="30">
        <f>IFERROR(__xludf.DUMMYFUNCTION("""COMPUTED_VALUE"""),4000.0)</f>
        <v>4000</v>
      </c>
      <c r="J576" s="30"/>
      <c r="K576" s="30" t="str">
        <f>IFERROR(__xludf.DUMMYFUNCTION("""COMPUTED_VALUE"""),"QTY, Limit Price (if any) &amp; Password input correct")</f>
        <v>QTY, Limit Price (if any) &amp; Password input correct</v>
      </c>
      <c r="L576" s="30"/>
    </row>
    <row r="577">
      <c r="A577" s="5"/>
      <c r="B577" s="118">
        <f>IFERROR(__xludf.DUMMYFUNCTION("""COMPUTED_VALUE"""),44638.609918472226)</f>
        <v>44638.60992</v>
      </c>
      <c r="C577" s="120">
        <f>IFERROR(__xludf.DUMMYFUNCTION("""COMPUTED_VALUE"""),44638.666666666664)</f>
        <v>44638.66667</v>
      </c>
      <c r="D577" s="5" t="str">
        <f>IFERROR(__xludf.DUMMYFUNCTION("""COMPUTED_VALUE"""),"39776")</f>
        <v>39776</v>
      </c>
      <c r="E577" s="5" t="str">
        <f>IFERROR(__xludf.DUMMYFUNCTION("""COMPUTED_VALUE"""),"Stock")</f>
        <v>Stock</v>
      </c>
      <c r="F577" s="5" t="str">
        <f>IFERROR(__xludf.DUMMYFUNCTION("""COMPUTED_VALUE"""),"HKD")</f>
        <v>HKD</v>
      </c>
      <c r="G577" s="30" t="str">
        <f>IFERROR(__xludf.DUMMYFUNCTION("""COMPUTED_VALUE"""),"Email Account/ TraderID Recognized")</f>
        <v>Email Account/ TraderID Recognized</v>
      </c>
      <c r="H577" s="121" t="str">
        <f>IFERROR(__xludf.DUMMYFUNCTION("""COMPUTED_VALUE"""),"3800.HK")</f>
        <v>3800.HK</v>
      </c>
      <c r="I577" s="30">
        <f>IFERROR(__xludf.DUMMYFUNCTION("""COMPUTED_VALUE"""),10000.0)</f>
        <v>10000</v>
      </c>
      <c r="J577" s="30">
        <f>IFERROR(__xludf.DUMMYFUNCTION("""COMPUTED_VALUE"""),2.58)</f>
        <v>2.58</v>
      </c>
      <c r="K577" s="30" t="str">
        <f>IFERROR(__xludf.DUMMYFUNCTION("""COMPUTED_VALUE"""),"QTY, Limit Price (if any) &amp; Password input correct")</f>
        <v>QTY, Limit Price (if any) &amp; Password input correct</v>
      </c>
      <c r="L577" s="30"/>
    </row>
    <row r="578">
      <c r="A578" s="5"/>
      <c r="B578" s="118">
        <f>IFERROR(__xludf.DUMMYFUNCTION("""COMPUTED_VALUE"""),44638.61358689815)</f>
        <v>44638.61359</v>
      </c>
      <c r="C578" s="120">
        <f>IFERROR(__xludf.DUMMYFUNCTION("""COMPUTED_VALUE"""),44638.625)</f>
        <v>44638.625</v>
      </c>
      <c r="D578" s="5" t="str">
        <f>IFERROR(__xludf.DUMMYFUNCTION("""COMPUTED_VALUE"""),"38209")</f>
        <v>38209</v>
      </c>
      <c r="E578" s="5" t="str">
        <f>IFERROR(__xludf.DUMMYFUNCTION("""COMPUTED_VALUE"""),"Stock")</f>
        <v>Stock</v>
      </c>
      <c r="F578" s="5" t="str">
        <f>IFERROR(__xludf.DUMMYFUNCTION("""COMPUTED_VALUE"""),"CNY")</f>
        <v>CNY</v>
      </c>
      <c r="G578" s="30" t="str">
        <f>IFERROR(__xludf.DUMMYFUNCTION("""COMPUTED_VALUE"""),"Email Account/ TraderID Recognized")</f>
        <v>Email Account/ TraderID Recognized</v>
      </c>
      <c r="H578" s="121" t="str">
        <f>IFERROR(__xludf.DUMMYFUNCTION("""COMPUTED_VALUE"""),"600519.SS")</f>
        <v>600519.SS</v>
      </c>
      <c r="I578" s="30">
        <f>IFERROR(__xludf.DUMMYFUNCTION("""COMPUTED_VALUE"""),100.0)</f>
        <v>100</v>
      </c>
      <c r="J578" s="30"/>
      <c r="K578" s="30" t="str">
        <f>IFERROR(__xludf.DUMMYFUNCTION("""COMPUTED_VALUE"""),"QTY, Limit Price (if any) &amp; Password input correct")</f>
        <v>QTY, Limit Price (if any) &amp; Password input correct</v>
      </c>
      <c r="L578" s="30"/>
    </row>
    <row r="579">
      <c r="A579" s="5"/>
      <c r="B579" s="118">
        <f>IFERROR(__xludf.DUMMYFUNCTION("""COMPUTED_VALUE"""),44638.675569328705)</f>
        <v>44638.67557</v>
      </c>
      <c r="C579" s="120">
        <f>IFERROR(__xludf.DUMMYFUNCTION("""COMPUTED_VALUE"""),44638.666666666664)</f>
        <v>44638.66667</v>
      </c>
      <c r="D579" s="5" t="str">
        <f>IFERROR(__xludf.DUMMYFUNCTION("""COMPUTED_VALUE"""),"89845")</f>
        <v>89845</v>
      </c>
      <c r="E579" s="5" t="str">
        <f>IFERROR(__xludf.DUMMYFUNCTION("""COMPUTED_VALUE"""),"Stock")</f>
        <v>Stock</v>
      </c>
      <c r="F579" s="5" t="str">
        <f>IFERROR(__xludf.DUMMYFUNCTION("""COMPUTED_VALUE"""),"USD")</f>
        <v>USD</v>
      </c>
      <c r="G579" s="30" t="str">
        <f>IFERROR(__xludf.DUMMYFUNCTION("""COMPUTED_VALUE"""),"Email Account/ TraderID Recognized")</f>
        <v>Email Account/ TraderID Recognized</v>
      </c>
      <c r="H579" s="119" t="str">
        <f>IFERROR(__xludf.DUMMYFUNCTION("""COMPUTED_VALUE"""),"ASML")</f>
        <v>ASML</v>
      </c>
      <c r="I579" s="30">
        <f>IFERROR(__xludf.DUMMYFUNCTION("""COMPUTED_VALUE"""),200.0)</f>
        <v>200</v>
      </c>
      <c r="J579" s="30">
        <f>IFERROR(__xludf.DUMMYFUNCTION("""COMPUTED_VALUE"""),600.0)</f>
        <v>600</v>
      </c>
      <c r="K579" s="30" t="str">
        <f>IFERROR(__xludf.DUMMYFUNCTION("""COMPUTED_VALUE"""),"QTY, Limit Price (if any) &amp; Password input correct")</f>
        <v>QTY, Limit Price (if any) &amp; Password input correct</v>
      </c>
      <c r="L579" s="30"/>
    </row>
    <row r="580">
      <c r="A580" s="5"/>
      <c r="B580" s="118">
        <f>IFERROR(__xludf.DUMMYFUNCTION("""COMPUTED_VALUE"""),44638.67582512731)</f>
        <v>44638.67583</v>
      </c>
      <c r="C580" s="120">
        <f>IFERROR(__xludf.DUMMYFUNCTION("""COMPUTED_VALUE"""),44641.0)</f>
        <v>44641</v>
      </c>
      <c r="D580" s="5" t="str">
        <f>IFERROR(__xludf.DUMMYFUNCTION("""COMPUTED_VALUE"""),"75597")</f>
        <v>75597</v>
      </c>
      <c r="E580" s="5" t="str">
        <f>IFERROR(__xludf.DUMMYFUNCTION("""COMPUTED_VALUE"""),"Stock")</f>
        <v>Stock</v>
      </c>
      <c r="F580" s="5" t="str">
        <f>IFERROR(__xludf.DUMMYFUNCTION("""COMPUTED_VALUE"""),"CNY")</f>
        <v>CNY</v>
      </c>
      <c r="G580" s="30" t="str">
        <f>IFERROR(__xludf.DUMMYFUNCTION("""COMPUTED_VALUE"""),"Email Account/ TraderID Recognized")</f>
        <v>Email Account/ TraderID Recognized</v>
      </c>
      <c r="H580" s="121" t="str">
        <f>IFERROR(__xludf.DUMMYFUNCTION("""COMPUTED_VALUE"""),"600519.SS")</f>
        <v>600519.SS</v>
      </c>
      <c r="I580" s="30">
        <f>IFERROR(__xludf.DUMMYFUNCTION("""COMPUTED_VALUE"""),50.0)</f>
        <v>50</v>
      </c>
      <c r="J580" s="30">
        <f>IFERROR(__xludf.DUMMYFUNCTION("""COMPUTED_VALUE"""),1791.0)</f>
        <v>1791</v>
      </c>
      <c r="K580" s="30" t="str">
        <f>IFERROR(__xludf.DUMMYFUNCTION("""COMPUTED_VALUE"""),"QTY, Limit Price (if any) &amp; Password input correct")</f>
        <v>QTY, Limit Price (if any) &amp; Password input correct</v>
      </c>
      <c r="L580" s="30"/>
    </row>
    <row r="581">
      <c r="A581" s="5"/>
      <c r="B581" s="118">
        <f>IFERROR(__xludf.DUMMYFUNCTION("""COMPUTED_VALUE"""),44638.67785758102)</f>
        <v>44638.67786</v>
      </c>
      <c r="C581" s="120">
        <f>IFERROR(__xludf.DUMMYFUNCTION("""COMPUTED_VALUE"""),44638.666666666664)</f>
        <v>44638.66667</v>
      </c>
      <c r="D581" s="5" t="str">
        <f>IFERROR(__xludf.DUMMYFUNCTION("""COMPUTED_VALUE"""),"89845")</f>
        <v>89845</v>
      </c>
      <c r="E581" s="5" t="str">
        <f>IFERROR(__xludf.DUMMYFUNCTION("""COMPUTED_VALUE"""),"Stock")</f>
        <v>Stock</v>
      </c>
      <c r="F581" s="5" t="str">
        <f>IFERROR(__xludf.DUMMYFUNCTION("""COMPUTED_VALUE"""),"USD")</f>
        <v>USD</v>
      </c>
      <c r="G581" s="30" t="str">
        <f>IFERROR(__xludf.DUMMYFUNCTION("""COMPUTED_VALUE"""),"Email Account/ TraderID Recognized")</f>
        <v>Email Account/ TraderID Recognized</v>
      </c>
      <c r="H581" s="119" t="str">
        <f>IFERROR(__xludf.DUMMYFUNCTION("""COMPUTED_VALUE"""),"ASML")</f>
        <v>ASML</v>
      </c>
      <c r="I581" s="30">
        <f>IFERROR(__xludf.DUMMYFUNCTION("""COMPUTED_VALUE"""),200.0)</f>
        <v>200</v>
      </c>
      <c r="J581" s="30">
        <f>IFERROR(__xludf.DUMMYFUNCTION("""COMPUTED_VALUE"""),600.0)</f>
        <v>600</v>
      </c>
      <c r="K581" s="30" t="str">
        <f>IFERROR(__xludf.DUMMYFUNCTION("""COMPUTED_VALUE"""),"QTY, Limit Price (if any) &amp; Password input correct")</f>
        <v>QTY, Limit Price (if any) &amp; Password input correct</v>
      </c>
      <c r="L581" s="30"/>
    </row>
    <row r="582">
      <c r="A582" s="5"/>
      <c r="B582" s="118">
        <f>IFERROR(__xludf.DUMMYFUNCTION("""COMPUTED_VALUE"""),44638.687797164355)</f>
        <v>44638.6878</v>
      </c>
      <c r="C582" s="120">
        <f>IFERROR(__xludf.DUMMYFUNCTION("""COMPUTED_VALUE"""),44638.666666666664)</f>
        <v>44638.66667</v>
      </c>
      <c r="D582" s="5" t="str">
        <f>IFERROR(__xludf.DUMMYFUNCTION("""COMPUTED_VALUE"""),"39441")</f>
        <v>39441</v>
      </c>
      <c r="E582" s="5" t="str">
        <f>IFERROR(__xludf.DUMMYFUNCTION("""COMPUTED_VALUE"""),"Stock")</f>
        <v>Stock</v>
      </c>
      <c r="F582" s="5" t="str">
        <f>IFERROR(__xludf.DUMMYFUNCTION("""COMPUTED_VALUE"""),"USD")</f>
        <v>USD</v>
      </c>
      <c r="G582" s="30" t="str">
        <f>IFERROR(__xludf.DUMMYFUNCTION("""COMPUTED_VALUE"""),"Email Account/ TraderID Recognized")</f>
        <v>Email Account/ TraderID Recognized</v>
      </c>
      <c r="H582" s="119" t="str">
        <f>IFERROR(__xludf.DUMMYFUNCTION("""COMPUTED_VALUE"""),"AMZN")</f>
        <v>AMZN</v>
      </c>
      <c r="I582" s="30">
        <f>IFERROR(__xludf.DUMMYFUNCTION("""COMPUTED_VALUE"""),11.0)</f>
        <v>11</v>
      </c>
      <c r="J582" s="30">
        <f>IFERROR(__xludf.DUMMYFUNCTION("""COMPUTED_VALUE"""),3144.78)</f>
        <v>3144.78</v>
      </c>
      <c r="K582" s="30" t="str">
        <f>IFERROR(__xludf.DUMMYFUNCTION("""COMPUTED_VALUE"""),"QTY, Limit Price (if any) &amp; Password input correct")</f>
        <v>QTY, Limit Price (if any) &amp; Password input correct</v>
      </c>
      <c r="L582" s="30"/>
    </row>
    <row r="583">
      <c r="A583" s="5"/>
      <c r="B583" s="118">
        <f>IFERROR(__xludf.DUMMYFUNCTION("""COMPUTED_VALUE"""),44638.697386099535)</f>
        <v>44638.69739</v>
      </c>
      <c r="C583" s="120" t="str">
        <f>IFERROR(__xludf.DUMMYFUNCTION("""COMPUTED_VALUE"""),"")</f>
        <v/>
      </c>
      <c r="D583" s="5" t="str">
        <f>IFERROR(__xludf.DUMMYFUNCTION("""COMPUTED_VALUE"""),"36252")</f>
        <v>36252</v>
      </c>
      <c r="E583" s="5" t="str">
        <f>IFERROR(__xludf.DUMMYFUNCTION("""COMPUTED_VALUE"""),"Stock")</f>
        <v>Stock</v>
      </c>
      <c r="F583" s="5" t="str">
        <f>IFERROR(__xludf.DUMMYFUNCTION("""COMPUTED_VALUE"""),"error")</f>
        <v>error</v>
      </c>
      <c r="G583" s="30" t="str">
        <f>IFERROR(__xludf.DUMMYFUNCTION("""COMPUTED_VALUE"""),"Email Account/ TraderID Recognized")</f>
        <v>Email Account/ TraderID Recognized</v>
      </c>
      <c r="H583" s="121" t="str">
        <f>IFERROR(__xludf.DUMMYFUNCTION("""COMPUTED_VALUE"""),"00386.hk")</f>
        <v>00386.hk</v>
      </c>
      <c r="I583" s="30">
        <f>IFERROR(__xludf.DUMMYFUNCTION("""COMPUTED_VALUE"""),50000.0)</f>
        <v>50000</v>
      </c>
      <c r="J583" s="30"/>
      <c r="K583" s="30" t="str">
        <f>IFERROR(__xludf.DUMMYFUNCTION("""COMPUTED_VALUE"""),"QTY, Limit Price (if any) &amp; Password input correct")</f>
        <v>QTY, Limit Price (if any) &amp; Password input correct</v>
      </c>
      <c r="L583" s="30" t="str">
        <f>IFERROR(__xludf.DUMMYFUNCTION("""COMPUTED_VALUE"""),"Rejected due to wrong ticker code.")</f>
        <v>Rejected due to wrong ticker code.</v>
      </c>
    </row>
    <row r="584">
      <c r="A584" s="5"/>
      <c r="B584" s="118">
        <f>IFERROR(__xludf.DUMMYFUNCTION("""COMPUTED_VALUE"""),44638.69738932871)</f>
        <v>44638.69739</v>
      </c>
      <c r="C584" s="120">
        <f>IFERROR(__xludf.DUMMYFUNCTION("""COMPUTED_VALUE"""),44638.666666666664)</f>
        <v>44638.66667</v>
      </c>
      <c r="D584" s="5" t="str">
        <f>IFERROR(__xludf.DUMMYFUNCTION("""COMPUTED_VALUE"""),"89845")</f>
        <v>89845</v>
      </c>
      <c r="E584" s="5" t="str">
        <f>IFERROR(__xludf.DUMMYFUNCTION("""COMPUTED_VALUE"""),"Stock")</f>
        <v>Stock</v>
      </c>
      <c r="F584" s="5" t="str">
        <f>IFERROR(__xludf.DUMMYFUNCTION("""COMPUTED_VALUE"""),"USD")</f>
        <v>USD</v>
      </c>
      <c r="G584" s="30" t="str">
        <f>IFERROR(__xludf.DUMMYFUNCTION("""COMPUTED_VALUE"""),"Email Account/ TraderID Recognized")</f>
        <v>Email Account/ TraderID Recognized</v>
      </c>
      <c r="H584" s="119" t="str">
        <f>IFERROR(__xludf.DUMMYFUNCTION("""COMPUTED_VALUE"""),"ASML")</f>
        <v>ASML</v>
      </c>
      <c r="I584" s="30">
        <f>IFERROR(__xludf.DUMMYFUNCTION("""COMPUTED_VALUE"""),200.0)</f>
        <v>200</v>
      </c>
      <c r="J584" s="30">
        <f>IFERROR(__xludf.DUMMYFUNCTION("""COMPUTED_VALUE"""),600.0)</f>
        <v>600</v>
      </c>
      <c r="K584" s="30" t="str">
        <f>IFERROR(__xludf.DUMMYFUNCTION("""COMPUTED_VALUE"""),"QTY, Limit Price (if any) &amp; Password input correct")</f>
        <v>QTY, Limit Price (if any) &amp; Password input correct</v>
      </c>
      <c r="L584" s="30"/>
    </row>
    <row r="585">
      <c r="A585" s="5"/>
      <c r="B585" s="118">
        <f>IFERROR(__xludf.DUMMYFUNCTION("""COMPUTED_VALUE"""),44638.69893591435)</f>
        <v>44638.69894</v>
      </c>
      <c r="C585" s="120">
        <f>IFERROR(__xludf.DUMMYFUNCTION("""COMPUTED_VALUE"""),44641.0)</f>
        <v>44641</v>
      </c>
      <c r="D585" s="5" t="str">
        <f>IFERROR(__xludf.DUMMYFUNCTION("""COMPUTED_VALUE"""),"39441")</f>
        <v>39441</v>
      </c>
      <c r="E585" s="5" t="str">
        <f>IFERROR(__xludf.DUMMYFUNCTION("""COMPUTED_VALUE"""),"Stock")</f>
        <v>Stock</v>
      </c>
      <c r="F585" s="5" t="str">
        <f>IFERROR(__xludf.DUMMYFUNCTION("""COMPUTED_VALUE"""),"HKD")</f>
        <v>HKD</v>
      </c>
      <c r="G585" s="30" t="str">
        <f>IFERROR(__xludf.DUMMYFUNCTION("""COMPUTED_VALUE"""),"Email Account/ TraderID Recognized")</f>
        <v>Email Account/ TraderID Recognized</v>
      </c>
      <c r="H585" s="121" t="str">
        <f>IFERROR(__xludf.DUMMYFUNCTION("""COMPUTED_VALUE"""),"0700.HK")</f>
        <v>0700.HK</v>
      </c>
      <c r="I585" s="30">
        <f>IFERROR(__xludf.DUMMYFUNCTION("""COMPUTED_VALUE"""),10.0)</f>
        <v>10</v>
      </c>
      <c r="J585" s="30">
        <f>IFERROR(__xludf.DUMMYFUNCTION("""COMPUTED_VALUE"""),381.0)</f>
        <v>381</v>
      </c>
      <c r="K585" s="30" t="str">
        <f>IFERROR(__xludf.DUMMYFUNCTION("""COMPUTED_VALUE"""),"QTY, Limit Price (if any) &amp; Password input correct")</f>
        <v>QTY, Limit Price (if any) &amp; Password input correct</v>
      </c>
      <c r="L585" s="30"/>
    </row>
    <row r="586">
      <c r="A586" s="5"/>
      <c r="B586" s="118">
        <f>IFERROR(__xludf.DUMMYFUNCTION("""COMPUTED_VALUE"""),44638.7046978125)</f>
        <v>44638.7047</v>
      </c>
      <c r="C586" s="120" t="str">
        <f>IFERROR(__xludf.DUMMYFUNCTION("""COMPUTED_VALUE"""),"")</f>
        <v/>
      </c>
      <c r="D586" s="5" t="str">
        <f>IFERROR(__xludf.DUMMYFUNCTION("""COMPUTED_VALUE"""),"36252")</f>
        <v>36252</v>
      </c>
      <c r="E586" s="5" t="str">
        <f>IFERROR(__xludf.DUMMYFUNCTION("""COMPUTED_VALUE"""),"Stock")</f>
        <v>Stock</v>
      </c>
      <c r="F586" s="5" t="str">
        <f>IFERROR(__xludf.DUMMYFUNCTION("""COMPUTED_VALUE"""),"error")</f>
        <v>error</v>
      </c>
      <c r="G586" s="30" t="str">
        <f>IFERROR(__xludf.DUMMYFUNCTION("""COMPUTED_VALUE"""),"Email Account/ TraderID Recognized")</f>
        <v>Email Account/ TraderID Recognized</v>
      </c>
      <c r="H586" s="121" t="str">
        <f>IFERROR(__xludf.DUMMYFUNCTION("""COMPUTED_VALUE"""),"02607.hk")</f>
        <v>02607.hk</v>
      </c>
      <c r="I586" s="30">
        <f>IFERROR(__xludf.DUMMYFUNCTION("""COMPUTED_VALUE"""),10500.0)</f>
        <v>10500</v>
      </c>
      <c r="J586" s="30"/>
      <c r="K586" s="30" t="str">
        <f>IFERROR(__xludf.DUMMYFUNCTION("""COMPUTED_VALUE"""),"QTY, Limit Price (if any) &amp; Password input correct")</f>
        <v>QTY, Limit Price (if any) &amp; Password input correct</v>
      </c>
      <c r="L586" s="30" t="str">
        <f>IFERROR(__xludf.DUMMYFUNCTION("""COMPUTED_VALUE"""),"Rejected due to wrong ticker code.")</f>
        <v>Rejected due to wrong ticker code.</v>
      </c>
    </row>
    <row r="587">
      <c r="A587" s="5"/>
      <c r="B587" s="118">
        <f>IFERROR(__xludf.DUMMYFUNCTION("""COMPUTED_VALUE"""),44638.704728425924)</f>
        <v>44638.70473</v>
      </c>
      <c r="C587" s="120">
        <f>IFERROR(__xludf.DUMMYFUNCTION("""COMPUTED_VALUE"""),44638.666666666664)</f>
        <v>44638.66667</v>
      </c>
      <c r="D587" s="5" t="str">
        <f>IFERROR(__xludf.DUMMYFUNCTION("""COMPUTED_VALUE"""),"39441")</f>
        <v>39441</v>
      </c>
      <c r="E587" s="5" t="str">
        <f>IFERROR(__xludf.DUMMYFUNCTION("""COMPUTED_VALUE"""),"Stock")</f>
        <v>Stock</v>
      </c>
      <c r="F587" s="5" t="str">
        <f>IFERROR(__xludf.DUMMYFUNCTION("""COMPUTED_VALUE"""),"USD")</f>
        <v>USD</v>
      </c>
      <c r="G587" s="30" t="str">
        <f>IFERROR(__xludf.DUMMYFUNCTION("""COMPUTED_VALUE"""),"Email Account/ TraderID Recognized")</f>
        <v>Email Account/ TraderID Recognized</v>
      </c>
      <c r="H587" s="119" t="str">
        <f>IFERROR(__xludf.DUMMYFUNCTION("""COMPUTED_VALUE"""),"GC=F")</f>
        <v>GC=F</v>
      </c>
      <c r="I587" s="30">
        <f>IFERROR(__xludf.DUMMYFUNCTION("""COMPUTED_VALUE"""),10.0)</f>
        <v>10</v>
      </c>
      <c r="J587" s="30">
        <f>IFERROR(__xludf.DUMMYFUNCTION("""COMPUTED_VALUE"""),1935.0)</f>
        <v>1935</v>
      </c>
      <c r="K587" s="30" t="str">
        <f>IFERROR(__xludf.DUMMYFUNCTION("""COMPUTED_VALUE"""),"QTY, Limit Price (if any) &amp; Password input correct")</f>
        <v>QTY, Limit Price (if any) &amp; Password input correct</v>
      </c>
      <c r="L587" s="30"/>
    </row>
    <row r="588">
      <c r="A588" s="5"/>
      <c r="B588" s="118">
        <f>IFERROR(__xludf.DUMMYFUNCTION("""COMPUTED_VALUE"""),44638.70748709491)</f>
        <v>44638.70749</v>
      </c>
      <c r="C588" s="120">
        <f>IFERROR(__xludf.DUMMYFUNCTION("""COMPUTED_VALUE"""),44641.0)</f>
        <v>44641</v>
      </c>
      <c r="D588" s="5" t="str">
        <f>IFERROR(__xludf.DUMMYFUNCTION("""COMPUTED_VALUE"""),"46600")</f>
        <v>46600</v>
      </c>
      <c r="E588" s="5" t="str">
        <f>IFERROR(__xludf.DUMMYFUNCTION("""COMPUTED_VALUE"""),"Stock")</f>
        <v>Stock</v>
      </c>
      <c r="F588" s="5" t="str">
        <f>IFERROR(__xludf.DUMMYFUNCTION("""COMPUTED_VALUE"""),"HKD")</f>
        <v>HKD</v>
      </c>
      <c r="G588" s="30" t="str">
        <f>IFERROR(__xludf.DUMMYFUNCTION("""COMPUTED_VALUE"""),"Email Account/ TraderID Recognized")</f>
        <v>Email Account/ TraderID Recognized</v>
      </c>
      <c r="H588" s="121" t="str">
        <f>IFERROR(__xludf.DUMMYFUNCTION("""COMPUTED_VALUE"""),"9988.HK")</f>
        <v>9988.HK</v>
      </c>
      <c r="I588" s="30">
        <f>IFERROR(__xludf.DUMMYFUNCTION("""COMPUTED_VALUE"""),100.0)</f>
        <v>100</v>
      </c>
      <c r="J588" s="30"/>
      <c r="K588" s="30" t="str">
        <f>IFERROR(__xludf.DUMMYFUNCTION("""COMPUTED_VALUE"""),"QTY, Limit Price (if any) &amp; Password input correct")</f>
        <v>QTY, Limit Price (if any) &amp; Password input correct</v>
      </c>
      <c r="L588" s="30"/>
    </row>
    <row r="589">
      <c r="A589" s="5"/>
      <c r="B589" s="118">
        <f>IFERROR(__xludf.DUMMYFUNCTION("""COMPUTED_VALUE"""),44638.71363021991)</f>
        <v>44638.71363</v>
      </c>
      <c r="C589" s="120">
        <f>IFERROR(__xludf.DUMMYFUNCTION("""COMPUTED_VALUE"""),44638.666666666664)</f>
        <v>44638.66667</v>
      </c>
      <c r="D589" s="5" t="str">
        <f>IFERROR(__xludf.DUMMYFUNCTION("""COMPUTED_VALUE"""),"14626")</f>
        <v>14626</v>
      </c>
      <c r="E589" s="5" t="str">
        <f>IFERROR(__xludf.DUMMYFUNCTION("""COMPUTED_VALUE"""),"Stock")</f>
        <v>Stock</v>
      </c>
      <c r="F589" s="5" t="str">
        <f>IFERROR(__xludf.DUMMYFUNCTION("""COMPUTED_VALUE"""),"USD")</f>
        <v>USD</v>
      </c>
      <c r="G589" s="30" t="str">
        <f>IFERROR(__xludf.DUMMYFUNCTION("""COMPUTED_VALUE"""),"Email Account/ TraderID Recognized")</f>
        <v>Email Account/ TraderID Recognized</v>
      </c>
      <c r="H589" s="119" t="str">
        <f>IFERROR(__xludf.DUMMYFUNCTION("""COMPUTED_VALUE"""),"ABBV")</f>
        <v>ABBV</v>
      </c>
      <c r="I589" s="30">
        <f>IFERROR(__xludf.DUMMYFUNCTION("""COMPUTED_VALUE"""),500.0)</f>
        <v>500</v>
      </c>
      <c r="J589" s="30"/>
      <c r="K589" s="30" t="str">
        <f>IFERROR(__xludf.DUMMYFUNCTION("""COMPUTED_VALUE"""),"QTY, Limit Price (if any) &amp; Password input correct")</f>
        <v>QTY, Limit Price (if any) &amp; Password input correct</v>
      </c>
      <c r="L589" s="30"/>
    </row>
    <row r="590">
      <c r="A590" s="5"/>
      <c r="B590" s="118">
        <f>IFERROR(__xludf.DUMMYFUNCTION("""COMPUTED_VALUE"""),44638.71717574074)</f>
        <v>44638.71718</v>
      </c>
      <c r="C590" s="120">
        <f>IFERROR(__xludf.DUMMYFUNCTION("""COMPUTED_VALUE"""),44638.666666666664)</f>
        <v>44638.66667</v>
      </c>
      <c r="D590" s="5" t="str">
        <f>IFERROR(__xludf.DUMMYFUNCTION("""COMPUTED_VALUE"""),"14626")</f>
        <v>14626</v>
      </c>
      <c r="E590" s="5" t="str">
        <f>IFERROR(__xludf.DUMMYFUNCTION("""COMPUTED_VALUE"""),"Stock")</f>
        <v>Stock</v>
      </c>
      <c r="F590" s="5" t="str">
        <f>IFERROR(__xludf.DUMMYFUNCTION("""COMPUTED_VALUE"""),"USD")</f>
        <v>USD</v>
      </c>
      <c r="G590" s="30" t="str">
        <f>IFERROR(__xludf.DUMMYFUNCTION("""COMPUTED_VALUE"""),"Email Account/ TraderID Recognized")</f>
        <v>Email Account/ TraderID Recognized</v>
      </c>
      <c r="H590" s="119" t="str">
        <f>IFERROR(__xludf.DUMMYFUNCTION("""COMPUTED_VALUE"""),"AAPL")</f>
        <v>AAPL</v>
      </c>
      <c r="I590" s="30">
        <f>IFERROR(__xludf.DUMMYFUNCTION("""COMPUTED_VALUE"""),1000.0)</f>
        <v>1000</v>
      </c>
      <c r="J590" s="30"/>
      <c r="K590" s="30" t="str">
        <f>IFERROR(__xludf.DUMMYFUNCTION("""COMPUTED_VALUE"""),"QTY, Limit Price (if any) &amp; Password input correct")</f>
        <v>QTY, Limit Price (if any) &amp; Password input correct</v>
      </c>
      <c r="L590" s="30"/>
    </row>
    <row r="591">
      <c r="A591" s="5"/>
      <c r="B591" s="118">
        <f>IFERROR(__xludf.DUMMYFUNCTION("""COMPUTED_VALUE"""),44638.71947653935)</f>
        <v>44638.71948</v>
      </c>
      <c r="C591" s="120">
        <f>IFERROR(__xludf.DUMMYFUNCTION("""COMPUTED_VALUE"""),44638.666666666664)</f>
        <v>44638.66667</v>
      </c>
      <c r="D591" s="5" t="str">
        <f>IFERROR(__xludf.DUMMYFUNCTION("""COMPUTED_VALUE"""),"14626")</f>
        <v>14626</v>
      </c>
      <c r="E591" s="5" t="str">
        <f>IFERROR(__xludf.DUMMYFUNCTION("""COMPUTED_VALUE"""),"Stock")</f>
        <v>Stock</v>
      </c>
      <c r="F591" s="5" t="str">
        <f>IFERROR(__xludf.DUMMYFUNCTION("""COMPUTED_VALUE"""),"USD")</f>
        <v>USD</v>
      </c>
      <c r="G591" s="30" t="str">
        <f>IFERROR(__xludf.DUMMYFUNCTION("""COMPUTED_VALUE"""),"Email Account/ TraderID Recognized")</f>
        <v>Email Account/ TraderID Recognized</v>
      </c>
      <c r="H591" s="119" t="str">
        <f>IFERROR(__xludf.DUMMYFUNCTION("""COMPUTED_VALUE"""),"MSFT")</f>
        <v>MSFT</v>
      </c>
      <c r="I591" s="30">
        <f>IFERROR(__xludf.DUMMYFUNCTION("""COMPUTED_VALUE"""),500.0)</f>
        <v>500</v>
      </c>
      <c r="J591" s="30"/>
      <c r="K591" s="30" t="str">
        <f>IFERROR(__xludf.DUMMYFUNCTION("""COMPUTED_VALUE"""),"QTY, Limit Price (if any) &amp; Password input correct")</f>
        <v>QTY, Limit Price (if any) &amp; Password input correct</v>
      </c>
      <c r="L591" s="30"/>
    </row>
    <row r="592">
      <c r="A592" s="5"/>
      <c r="B592" s="118">
        <f>IFERROR(__xludf.DUMMYFUNCTION("""COMPUTED_VALUE"""),44638.72101119213)</f>
        <v>44638.72101</v>
      </c>
      <c r="C592" s="120">
        <f>IFERROR(__xludf.DUMMYFUNCTION("""COMPUTED_VALUE"""),44638.666666666664)</f>
        <v>44638.66667</v>
      </c>
      <c r="D592" s="5" t="str">
        <f>IFERROR(__xludf.DUMMYFUNCTION("""COMPUTED_VALUE"""),"14626")</f>
        <v>14626</v>
      </c>
      <c r="E592" s="5" t="str">
        <f>IFERROR(__xludf.DUMMYFUNCTION("""COMPUTED_VALUE"""),"Stock")</f>
        <v>Stock</v>
      </c>
      <c r="F592" s="5" t="str">
        <f>IFERROR(__xludf.DUMMYFUNCTION("""COMPUTED_VALUE"""),"USD")</f>
        <v>USD</v>
      </c>
      <c r="G592" s="30" t="str">
        <f>IFERROR(__xludf.DUMMYFUNCTION("""COMPUTED_VALUE"""),"Email Account/ TraderID Recognized")</f>
        <v>Email Account/ TraderID Recognized</v>
      </c>
      <c r="H592" s="119" t="str">
        <f>IFERROR(__xludf.DUMMYFUNCTION("""COMPUTED_VALUE"""),"AMZN")</f>
        <v>AMZN</v>
      </c>
      <c r="I592" s="30">
        <f>IFERROR(__xludf.DUMMYFUNCTION("""COMPUTED_VALUE"""),500.0)</f>
        <v>500</v>
      </c>
      <c r="J592" s="30"/>
      <c r="K592" s="30" t="str">
        <f>IFERROR(__xludf.DUMMYFUNCTION("""COMPUTED_VALUE"""),"QTY, Limit Price (if any) &amp; Password input correct")</f>
        <v>QTY, Limit Price (if any) &amp; Password input correct</v>
      </c>
      <c r="L592" s="30"/>
    </row>
    <row r="593">
      <c r="A593" s="5"/>
      <c r="B593" s="118">
        <f>IFERROR(__xludf.DUMMYFUNCTION("""COMPUTED_VALUE"""),44638.72991663194)</f>
        <v>44638.72992</v>
      </c>
      <c r="C593" s="120">
        <f>IFERROR(__xludf.DUMMYFUNCTION("""COMPUTED_VALUE"""),44641.0)</f>
        <v>44641</v>
      </c>
      <c r="D593" s="5" t="str">
        <f>IFERROR(__xludf.DUMMYFUNCTION("""COMPUTED_VALUE"""),"36252")</f>
        <v>36252</v>
      </c>
      <c r="E593" s="5" t="str">
        <f>IFERROR(__xludf.DUMMYFUNCTION("""COMPUTED_VALUE"""),"Stock")</f>
        <v>Stock</v>
      </c>
      <c r="F593" s="5" t="str">
        <f>IFERROR(__xludf.DUMMYFUNCTION("""COMPUTED_VALUE"""),"HKD")</f>
        <v>HKD</v>
      </c>
      <c r="G593" s="30" t="str">
        <f>IFERROR(__xludf.DUMMYFUNCTION("""COMPUTED_VALUE"""),"Email Account/ TraderID Recognized")</f>
        <v>Email Account/ TraderID Recognized</v>
      </c>
      <c r="H593" s="121" t="str">
        <f>IFERROR(__xludf.DUMMYFUNCTION("""COMPUTED_VALUE"""),"0346.hk")</f>
        <v>0346.hk</v>
      </c>
      <c r="I593" s="30">
        <f>IFERROR(__xludf.DUMMYFUNCTION("""COMPUTED_VALUE"""),500000.0)</f>
        <v>500000</v>
      </c>
      <c r="J593" s="30"/>
      <c r="K593" s="30" t="str">
        <f>IFERROR(__xludf.DUMMYFUNCTION("""COMPUTED_VALUE"""),"QTY, Limit Price (if any) &amp; Password input correct")</f>
        <v>QTY, Limit Price (if any) &amp; Password input correct</v>
      </c>
      <c r="L593" s="30"/>
    </row>
    <row r="594">
      <c r="A594" s="5"/>
      <c r="B594" s="118">
        <f>IFERROR(__xludf.DUMMYFUNCTION("""COMPUTED_VALUE"""),44638.74749525463)</f>
        <v>44638.7475</v>
      </c>
      <c r="C594" s="120">
        <f>IFERROR(__xludf.DUMMYFUNCTION("""COMPUTED_VALUE"""),44641.0)</f>
        <v>44641</v>
      </c>
      <c r="D594" s="5" t="str">
        <f>IFERROR(__xludf.DUMMYFUNCTION("""COMPUTED_VALUE"""),"36252")</f>
        <v>36252</v>
      </c>
      <c r="E594" s="5" t="str">
        <f>IFERROR(__xludf.DUMMYFUNCTION("""COMPUTED_VALUE"""),"Stock")</f>
        <v>Stock</v>
      </c>
      <c r="F594" s="5" t="str">
        <f>IFERROR(__xludf.DUMMYFUNCTION("""COMPUTED_VALUE"""),"HKD")</f>
        <v>HKD</v>
      </c>
      <c r="G594" s="30" t="str">
        <f>IFERROR(__xludf.DUMMYFUNCTION("""COMPUTED_VALUE"""),"Email Account/ TraderID Recognized")</f>
        <v>Email Account/ TraderID Recognized</v>
      </c>
      <c r="H594" s="121" t="str">
        <f>IFERROR(__xludf.DUMMYFUNCTION("""COMPUTED_VALUE"""),"2607.hk")</f>
        <v>2607.hk</v>
      </c>
      <c r="I594" s="30">
        <f>IFERROR(__xludf.DUMMYFUNCTION("""COMPUTED_VALUE"""),11000.0)</f>
        <v>11000</v>
      </c>
      <c r="J594" s="30"/>
      <c r="K594" s="30" t="str">
        <f>IFERROR(__xludf.DUMMYFUNCTION("""COMPUTED_VALUE"""),"QTY, Limit Price (if any) &amp; Password input correct")</f>
        <v>QTY, Limit Price (if any) &amp; Password input correct</v>
      </c>
      <c r="L594" s="30"/>
    </row>
    <row r="595">
      <c r="A595" s="5"/>
      <c r="B595" s="118">
        <f>IFERROR(__xludf.DUMMYFUNCTION("""COMPUTED_VALUE"""),44638.91175313658)</f>
        <v>44638.91175</v>
      </c>
      <c r="C595" s="120">
        <f>IFERROR(__xludf.DUMMYFUNCTION("""COMPUTED_VALUE"""),44638.666666666664)</f>
        <v>44638.66667</v>
      </c>
      <c r="D595" s="5" t="str">
        <f>IFERROR(__xludf.DUMMYFUNCTION("""COMPUTED_VALUE"""),"46322")</f>
        <v>46322</v>
      </c>
      <c r="E595" s="5" t="str">
        <f>IFERROR(__xludf.DUMMYFUNCTION("""COMPUTED_VALUE"""),"Stock")</f>
        <v>Stock</v>
      </c>
      <c r="F595" s="5" t="str">
        <f>IFERROR(__xludf.DUMMYFUNCTION("""COMPUTED_VALUE"""),"USD")</f>
        <v>USD</v>
      </c>
      <c r="G595" s="30" t="str">
        <f>IFERROR(__xludf.DUMMYFUNCTION("""COMPUTED_VALUE"""),"Email Account/ TraderID Recognized")</f>
        <v>Email Account/ TraderID Recognized</v>
      </c>
      <c r="H595" s="119" t="str">
        <f>IFERROR(__xludf.DUMMYFUNCTION("""COMPUTED_VALUE"""),"SARK")</f>
        <v>SARK</v>
      </c>
      <c r="I595" s="30">
        <f>IFERROR(__xludf.DUMMYFUNCTION("""COMPUTED_VALUE"""),800.0)</f>
        <v>800</v>
      </c>
      <c r="J595" s="30"/>
      <c r="K595" s="30" t="str">
        <f>IFERROR(__xludf.DUMMYFUNCTION("""COMPUTED_VALUE"""),"QTY, Limit Price (if any) &amp; Password input correct")</f>
        <v>QTY, Limit Price (if any) &amp; Password input correct</v>
      </c>
      <c r="L595" s="30"/>
    </row>
    <row r="596">
      <c r="A596" s="5"/>
      <c r="B596" s="118">
        <f>IFERROR(__xludf.DUMMYFUNCTION("""COMPUTED_VALUE"""),44638.91866252315)</f>
        <v>44638.91866</v>
      </c>
      <c r="C596" s="120">
        <f>IFERROR(__xludf.DUMMYFUNCTION("""COMPUTED_VALUE"""),44641.0)</f>
        <v>44641</v>
      </c>
      <c r="D596" s="5" t="str">
        <f>IFERROR(__xludf.DUMMYFUNCTION("""COMPUTED_VALUE"""),"77393")</f>
        <v>77393</v>
      </c>
      <c r="E596" s="5" t="str">
        <f>IFERROR(__xludf.DUMMYFUNCTION("""COMPUTED_VALUE"""),"Stock")</f>
        <v>Stock</v>
      </c>
      <c r="F596" s="5" t="str">
        <f>IFERROR(__xludf.DUMMYFUNCTION("""COMPUTED_VALUE"""),"CNY")</f>
        <v>CNY</v>
      </c>
      <c r="G596" s="30" t="str">
        <f>IFERROR(__xludf.DUMMYFUNCTION("""COMPUTED_VALUE"""),"Email Account/ TraderID Recognized")</f>
        <v>Email Account/ TraderID Recognized</v>
      </c>
      <c r="H596" s="121" t="str">
        <f>IFERROR(__xludf.DUMMYFUNCTION("""COMPUTED_VALUE"""),"000568.SZ")</f>
        <v>000568.SZ</v>
      </c>
      <c r="I596" s="30">
        <f>IFERROR(__xludf.DUMMYFUNCTION("""COMPUTED_VALUE"""),1000.0)</f>
        <v>1000</v>
      </c>
      <c r="J596" s="30">
        <f>IFERROR(__xludf.DUMMYFUNCTION("""COMPUTED_VALUE"""),203.88)</f>
        <v>203.88</v>
      </c>
      <c r="K596" s="30" t="str">
        <f>IFERROR(__xludf.DUMMYFUNCTION("""COMPUTED_VALUE"""),"QTY, Limit Price (if any) &amp; Password input correct")</f>
        <v>QTY, Limit Price (if any) &amp; Password input correct</v>
      </c>
      <c r="L596" s="30"/>
    </row>
    <row r="597">
      <c r="A597" s="5"/>
      <c r="B597" s="118">
        <f>IFERROR(__xludf.DUMMYFUNCTION("""COMPUTED_VALUE"""),44638.98799170139)</f>
        <v>44638.98799</v>
      </c>
      <c r="C597" s="120">
        <f>IFERROR(__xludf.DUMMYFUNCTION("""COMPUTED_VALUE"""),44638.666666666664)</f>
        <v>44638.66667</v>
      </c>
      <c r="D597" s="5" t="str">
        <f>IFERROR(__xludf.DUMMYFUNCTION("""COMPUTED_VALUE"""),"38209")</f>
        <v>38209</v>
      </c>
      <c r="E597" s="5" t="str">
        <f>IFERROR(__xludf.DUMMYFUNCTION("""COMPUTED_VALUE"""),"Stock")</f>
        <v>Stock</v>
      </c>
      <c r="F597" s="5" t="str">
        <f>IFERROR(__xludf.DUMMYFUNCTION("""COMPUTED_VALUE"""),"USD")</f>
        <v>USD</v>
      </c>
      <c r="G597" s="30" t="str">
        <f>IFERROR(__xludf.DUMMYFUNCTION("""COMPUTED_VALUE"""),"Email Account/ TraderID Recognized")</f>
        <v>Email Account/ TraderID Recognized</v>
      </c>
      <c r="H597" s="119" t="str">
        <f>IFERROR(__xludf.DUMMYFUNCTION("""COMPUTED_VALUE"""),"XLV")</f>
        <v>XLV</v>
      </c>
      <c r="I597" s="30">
        <f>IFERROR(__xludf.DUMMYFUNCTION("""COMPUTED_VALUE"""),200.0)</f>
        <v>200</v>
      </c>
      <c r="J597" s="30"/>
      <c r="K597" s="30" t="str">
        <f>IFERROR(__xludf.DUMMYFUNCTION("""COMPUTED_VALUE"""),"QTY, Limit Price (if any) &amp; Password input correct")</f>
        <v>QTY, Limit Price (if any) &amp; Password input correct</v>
      </c>
      <c r="L597" s="30"/>
    </row>
    <row r="598">
      <c r="A598" s="5"/>
      <c r="B598" s="118">
        <f>IFERROR(__xludf.DUMMYFUNCTION("""COMPUTED_VALUE"""),44639.47945972222)</f>
        <v>44639.47946</v>
      </c>
      <c r="C598" s="120">
        <f>IFERROR(__xludf.DUMMYFUNCTION("""COMPUTED_VALUE"""),44639.666666666664)</f>
        <v>44639.66667</v>
      </c>
      <c r="D598" s="5" t="str">
        <f>IFERROR(__xludf.DUMMYFUNCTION("""COMPUTED_VALUE"""),"36252")</f>
        <v>36252</v>
      </c>
      <c r="E598" s="5" t="str">
        <f>IFERROR(__xludf.DUMMYFUNCTION("""COMPUTED_VALUE"""),"Stock")</f>
        <v>Stock</v>
      </c>
      <c r="F598" s="5" t="str">
        <f>IFERROR(__xludf.DUMMYFUNCTION("""COMPUTED_VALUE"""),"HKD")</f>
        <v>HKD</v>
      </c>
      <c r="G598" s="30" t="str">
        <f>IFERROR(__xludf.DUMMYFUNCTION("""COMPUTED_VALUE"""),"Email Account/ TraderID Recognized")</f>
        <v>Email Account/ TraderID Recognized</v>
      </c>
      <c r="H598" s="121" t="str">
        <f>IFERROR(__xludf.DUMMYFUNCTION("""COMPUTED_VALUE"""),"2318.hk")</f>
        <v>2318.hk</v>
      </c>
      <c r="I598" s="30">
        <f>IFERROR(__xludf.DUMMYFUNCTION("""COMPUTED_VALUE"""),1600.0)</f>
        <v>1600</v>
      </c>
      <c r="J598" s="30"/>
      <c r="K598" s="30" t="str">
        <f>IFERROR(__xludf.DUMMYFUNCTION("""COMPUTED_VALUE"""),"QTY, Limit Price (if any) &amp; Password input correct")</f>
        <v>QTY, Limit Price (if any) &amp; Password input correct</v>
      </c>
      <c r="L598" s="30"/>
    </row>
    <row r="599">
      <c r="A599" s="5"/>
      <c r="B599" s="118">
        <f>IFERROR(__xludf.DUMMYFUNCTION("""COMPUTED_VALUE"""),44639.48425927083)</f>
        <v>44639.48426</v>
      </c>
      <c r="C599" s="120">
        <f>IFERROR(__xludf.DUMMYFUNCTION("""COMPUTED_VALUE"""),44641.0)</f>
        <v>44641</v>
      </c>
      <c r="D599" s="5" t="str">
        <f>IFERROR(__xludf.DUMMYFUNCTION("""COMPUTED_VALUE"""),"76796")</f>
        <v>76796</v>
      </c>
      <c r="E599" s="5" t="str">
        <f>IFERROR(__xludf.DUMMYFUNCTION("""COMPUTED_VALUE"""),"Stock")</f>
        <v>Stock</v>
      </c>
      <c r="F599" s="5" t="str">
        <f>IFERROR(__xludf.DUMMYFUNCTION("""COMPUTED_VALUE"""),"USD")</f>
        <v>USD</v>
      </c>
      <c r="G599" s="30" t="str">
        <f>IFERROR(__xludf.DUMMYFUNCTION("""COMPUTED_VALUE"""),"Email Account/ TraderID Recognized")</f>
        <v>Email Account/ TraderID Recognized</v>
      </c>
      <c r="H599" s="119" t="str">
        <f>IFERROR(__xludf.DUMMYFUNCTION("""COMPUTED_VALUE"""),"MSFT")</f>
        <v>MSFT</v>
      </c>
      <c r="I599" s="30">
        <f>IFERROR(__xludf.DUMMYFUNCTION("""COMPUTED_VALUE"""),1000.0)</f>
        <v>1000</v>
      </c>
      <c r="J599" s="30"/>
      <c r="K599" s="30" t="str">
        <f>IFERROR(__xludf.DUMMYFUNCTION("""COMPUTED_VALUE"""),"QTY, Limit Price (if any) &amp; Password input correct")</f>
        <v>QTY, Limit Price (if any) &amp; Password input correct</v>
      </c>
      <c r="L599" s="30"/>
    </row>
    <row r="600">
      <c r="A600" s="5"/>
      <c r="B600" s="118">
        <f>IFERROR(__xludf.DUMMYFUNCTION("""COMPUTED_VALUE"""),44639.52523717593)</f>
        <v>44639.52524</v>
      </c>
      <c r="C600" s="120">
        <f>IFERROR(__xludf.DUMMYFUNCTION("""COMPUTED_VALUE"""),44641.0)</f>
        <v>44641</v>
      </c>
      <c r="D600" s="5" t="str">
        <f>IFERROR(__xludf.DUMMYFUNCTION("""COMPUTED_VALUE"""),"38705")</f>
        <v>38705</v>
      </c>
      <c r="E600" s="5" t="str">
        <f>IFERROR(__xludf.DUMMYFUNCTION("""COMPUTED_VALUE"""),"Stock")</f>
        <v>Stock</v>
      </c>
      <c r="F600" s="5" t="str">
        <f>IFERROR(__xludf.DUMMYFUNCTION("""COMPUTED_VALUE"""),"USD")</f>
        <v>USD</v>
      </c>
      <c r="G600" s="30" t="str">
        <f>IFERROR(__xludf.DUMMYFUNCTION("""COMPUTED_VALUE"""),"Email Account/ TraderID Recognized")</f>
        <v>Email Account/ TraderID Recognized</v>
      </c>
      <c r="H600" s="119" t="str">
        <f>IFERROR(__xludf.DUMMYFUNCTION("""COMPUTED_VALUE"""),"ANTM")</f>
        <v>ANTM</v>
      </c>
      <c r="I600" s="30">
        <f>IFERROR(__xludf.DUMMYFUNCTION("""COMPUTED_VALUE"""),100.0)</f>
        <v>100</v>
      </c>
      <c r="J600" s="30"/>
      <c r="K600" s="30" t="str">
        <f>IFERROR(__xludf.DUMMYFUNCTION("""COMPUTED_VALUE"""),"QTY, Limit Price (if any) &amp; Password input correct")</f>
        <v>QTY, Limit Price (if any) &amp; Password input correct</v>
      </c>
      <c r="L600" s="30"/>
    </row>
    <row r="601">
      <c r="A601" s="5"/>
      <c r="B601" s="118">
        <f>IFERROR(__xludf.DUMMYFUNCTION("""COMPUTED_VALUE"""),44639.5323359375)</f>
        <v>44639.53234</v>
      </c>
      <c r="C601" s="120">
        <f>IFERROR(__xludf.DUMMYFUNCTION("""COMPUTED_VALUE"""),44641.0)</f>
        <v>44641</v>
      </c>
      <c r="D601" s="5" t="str">
        <f>IFERROR(__xludf.DUMMYFUNCTION("""COMPUTED_VALUE"""),"38705")</f>
        <v>38705</v>
      </c>
      <c r="E601" s="5" t="str">
        <f>IFERROR(__xludf.DUMMYFUNCTION("""COMPUTED_VALUE"""),"Stock")</f>
        <v>Stock</v>
      </c>
      <c r="F601" s="5" t="str">
        <f>IFERROR(__xludf.DUMMYFUNCTION("""COMPUTED_VALUE"""),"USD")</f>
        <v>USD</v>
      </c>
      <c r="G601" s="30" t="str">
        <f>IFERROR(__xludf.DUMMYFUNCTION("""COMPUTED_VALUE"""),"Email Account/ TraderID Recognized")</f>
        <v>Email Account/ TraderID Recognized</v>
      </c>
      <c r="H601" s="119" t="str">
        <f>IFERROR(__xludf.DUMMYFUNCTION("""COMPUTED_VALUE"""),"NKE")</f>
        <v>NKE</v>
      </c>
      <c r="I601" s="30">
        <f>IFERROR(__xludf.DUMMYFUNCTION("""COMPUTED_VALUE"""),50.0)</f>
        <v>50</v>
      </c>
      <c r="J601" s="30"/>
      <c r="K601" s="30" t="str">
        <f>IFERROR(__xludf.DUMMYFUNCTION("""COMPUTED_VALUE"""),"QTY, Limit Price (if any) &amp; Password input correct")</f>
        <v>QTY, Limit Price (if any) &amp; Password input correct</v>
      </c>
      <c r="L601" s="30"/>
    </row>
    <row r="602">
      <c r="A602" s="5"/>
      <c r="B602" s="118">
        <f>IFERROR(__xludf.DUMMYFUNCTION("""COMPUTED_VALUE"""),44639.55127642361)</f>
        <v>44639.55128</v>
      </c>
      <c r="C602" s="120">
        <f>IFERROR(__xludf.DUMMYFUNCTION("""COMPUTED_VALUE"""),44641.0)</f>
        <v>44641</v>
      </c>
      <c r="D602" s="5" t="str">
        <f>IFERROR(__xludf.DUMMYFUNCTION("""COMPUTED_VALUE"""),"14626")</f>
        <v>14626</v>
      </c>
      <c r="E602" s="5" t="str">
        <f>IFERROR(__xludf.DUMMYFUNCTION("""COMPUTED_VALUE"""),"Stock")</f>
        <v>Stock</v>
      </c>
      <c r="F602" s="5" t="str">
        <f>IFERROR(__xludf.DUMMYFUNCTION("""COMPUTED_VALUE"""),"USD")</f>
        <v>USD</v>
      </c>
      <c r="G602" s="30" t="str">
        <f>IFERROR(__xludf.DUMMYFUNCTION("""COMPUTED_VALUE"""),"Email Account/ TraderID Recognized")</f>
        <v>Email Account/ TraderID Recognized</v>
      </c>
      <c r="H602" s="119" t="str">
        <f>IFERROR(__xludf.DUMMYFUNCTION("""COMPUTED_VALUE"""),"^CMC200")</f>
        <v>^CMC200</v>
      </c>
      <c r="I602" s="30">
        <f>IFERROR(__xludf.DUMMYFUNCTION("""COMPUTED_VALUE"""),500.0)</f>
        <v>500</v>
      </c>
      <c r="J602" s="30"/>
      <c r="K602" s="30" t="str">
        <f>IFERROR(__xludf.DUMMYFUNCTION("""COMPUTED_VALUE"""),"QTY, Limit Price (if any) &amp; Password input correct")</f>
        <v>QTY, Limit Price (if any) &amp; Password input correct</v>
      </c>
      <c r="L602" s="30"/>
    </row>
    <row r="603">
      <c r="A603" s="5"/>
      <c r="B603" s="118">
        <f>IFERROR(__xludf.DUMMYFUNCTION("""COMPUTED_VALUE"""),44639.55232396991)</f>
        <v>44639.55232</v>
      </c>
      <c r="C603" s="120">
        <f>IFERROR(__xludf.DUMMYFUNCTION("""COMPUTED_VALUE"""),44641.0)</f>
        <v>44641</v>
      </c>
      <c r="D603" s="5" t="str">
        <f>IFERROR(__xludf.DUMMYFUNCTION("""COMPUTED_VALUE"""),"14626")</f>
        <v>14626</v>
      </c>
      <c r="E603" s="5" t="str">
        <f>IFERROR(__xludf.DUMMYFUNCTION("""COMPUTED_VALUE"""),"Stock")</f>
        <v>Stock</v>
      </c>
      <c r="F603" s="5" t="str">
        <f>IFERROR(__xludf.DUMMYFUNCTION("""COMPUTED_VALUE"""),"USD")</f>
        <v>USD</v>
      </c>
      <c r="G603" s="30" t="str">
        <f>IFERROR(__xludf.DUMMYFUNCTION("""COMPUTED_VALUE"""),"Email Account/ TraderID Recognized")</f>
        <v>Email Account/ TraderID Recognized</v>
      </c>
      <c r="H603" s="119" t="str">
        <f>IFERROR(__xludf.DUMMYFUNCTION("""COMPUTED_VALUE"""),"SHOP")</f>
        <v>SHOP</v>
      </c>
      <c r="I603" s="30">
        <f>IFERROR(__xludf.DUMMYFUNCTION("""COMPUTED_VALUE"""),500.0)</f>
        <v>500</v>
      </c>
      <c r="J603" s="30"/>
      <c r="K603" s="30" t="str">
        <f>IFERROR(__xludf.DUMMYFUNCTION("""COMPUTED_VALUE"""),"QTY, Limit Price (if any) &amp; Password input correct")</f>
        <v>QTY, Limit Price (if any) &amp; Password input correct</v>
      </c>
      <c r="L603" s="30"/>
    </row>
    <row r="604">
      <c r="A604" s="5"/>
      <c r="B604" s="118">
        <f>IFERROR(__xludf.DUMMYFUNCTION("""COMPUTED_VALUE"""),44639.988422951385)</f>
        <v>44639.98842</v>
      </c>
      <c r="C604" s="120">
        <f>IFERROR(__xludf.DUMMYFUNCTION("""COMPUTED_VALUE"""),44641.0)</f>
        <v>44641</v>
      </c>
      <c r="D604" s="5" t="str">
        <f>IFERROR(__xludf.DUMMYFUNCTION("""COMPUTED_VALUE"""),"40433")</f>
        <v>40433</v>
      </c>
      <c r="E604" s="5" t="str">
        <f>IFERROR(__xludf.DUMMYFUNCTION("""COMPUTED_VALUE"""),"Stock")</f>
        <v>Stock</v>
      </c>
      <c r="F604" s="5" t="str">
        <f>IFERROR(__xludf.DUMMYFUNCTION("""COMPUTED_VALUE"""),"SAR")</f>
        <v>SAR</v>
      </c>
      <c r="G604" s="30" t="str">
        <f>IFERROR(__xludf.DUMMYFUNCTION("""COMPUTED_VALUE"""),"Email Account/ TraderID Recognized")</f>
        <v>Email Account/ TraderID Recognized</v>
      </c>
      <c r="H604" s="121" t="str">
        <f>IFERROR(__xludf.DUMMYFUNCTION("""COMPUTED_VALUE"""),"2222.SR")</f>
        <v>2222.SR</v>
      </c>
      <c r="I604" s="30">
        <f>IFERROR(__xludf.DUMMYFUNCTION("""COMPUTED_VALUE"""),20.0)</f>
        <v>20</v>
      </c>
      <c r="J604" s="30"/>
      <c r="K604" s="30" t="str">
        <f>IFERROR(__xludf.DUMMYFUNCTION("""COMPUTED_VALUE"""),"QTY, Limit Price (if any) &amp; Password input correct")</f>
        <v>QTY, Limit Price (if any) &amp; Password input correct</v>
      </c>
      <c r="L604" s="30"/>
    </row>
    <row r="605">
      <c r="A605" s="5"/>
      <c r="B605" s="118">
        <f>IFERROR(__xludf.DUMMYFUNCTION("""COMPUTED_VALUE"""),44639.989903043985)</f>
        <v>44639.9899</v>
      </c>
      <c r="C605" s="120">
        <f>IFERROR(__xludf.DUMMYFUNCTION("""COMPUTED_VALUE"""),44641.0)</f>
        <v>44641</v>
      </c>
      <c r="D605" s="5" t="str">
        <f>IFERROR(__xludf.DUMMYFUNCTION("""COMPUTED_VALUE"""),"40433")</f>
        <v>40433</v>
      </c>
      <c r="E605" s="5" t="str">
        <f>IFERROR(__xludf.DUMMYFUNCTION("""COMPUTED_VALUE"""),"Option")</f>
        <v>Option</v>
      </c>
      <c r="F605" s="5" t="str">
        <f>IFERROR(__xludf.DUMMYFUNCTION("""COMPUTED_VALUE"""),"error")</f>
        <v>error</v>
      </c>
      <c r="G605" s="30" t="str">
        <f>IFERROR(__xludf.DUMMYFUNCTION("""COMPUTED_VALUE"""),"Email Account/ TraderID Recognized")</f>
        <v>Email Account/ TraderID Recognized</v>
      </c>
      <c r="H605" s="119" t="str">
        <f>IFERROR(__xludf.DUMMYFUNCTION("""COMPUTED_VALUE"""),"GC=F")</f>
        <v>GC=F</v>
      </c>
      <c r="I605" s="30">
        <f>IFERROR(__xludf.DUMMYFUNCTION("""COMPUTED_VALUE"""),5.0)</f>
        <v>5</v>
      </c>
      <c r="J605" s="30">
        <f>IFERROR(__xludf.DUMMYFUNCTION("""COMPUTED_VALUE"""),1905.0)</f>
        <v>1905</v>
      </c>
      <c r="K605" s="30" t="str">
        <f>IFERROR(__xludf.DUMMYFUNCTION("""COMPUTED_VALUE"""),"QTY, Limit Price (if any) &amp; Password input correct")</f>
        <v>QTY, Limit Price (if any) &amp; Password input correct</v>
      </c>
      <c r="L605" s="30" t="str">
        <f>IFERROR(__xludf.DUMMYFUNCTION("""COMPUTED_VALUE"""),"Order rejected due to wrong asset class")</f>
        <v>Order rejected due to wrong asset class</v>
      </c>
    </row>
    <row r="606">
      <c r="A606" s="5"/>
      <c r="B606" s="118">
        <f>IFERROR(__xludf.DUMMYFUNCTION("""COMPUTED_VALUE"""),44640.04499608796)</f>
        <v>44640.045</v>
      </c>
      <c r="C606" s="120">
        <f>IFERROR(__xludf.DUMMYFUNCTION("""COMPUTED_VALUE"""),44641.0)</f>
        <v>44641</v>
      </c>
      <c r="D606" s="5" t="str">
        <f>IFERROR(__xludf.DUMMYFUNCTION("""COMPUTED_VALUE"""),"14626")</f>
        <v>14626</v>
      </c>
      <c r="E606" s="5" t="str">
        <f>IFERROR(__xludf.DUMMYFUNCTION("""COMPUTED_VALUE"""),"Stock")</f>
        <v>Stock</v>
      </c>
      <c r="F606" s="5" t="str">
        <f>IFERROR(__xludf.DUMMYFUNCTION("""COMPUTED_VALUE"""),"error")</f>
        <v>error</v>
      </c>
      <c r="G606" s="30" t="str">
        <f>IFERROR(__xludf.DUMMYFUNCTION("""COMPUTED_VALUE"""),"Email Account/ TraderID Recognized")</f>
        <v>Email Account/ TraderID Recognized</v>
      </c>
      <c r="H606" s="119" t="str">
        <f>IFERROR(__xludf.DUMMYFUNCTION("""COMPUTED_VALUE"""),"^IXIC")</f>
        <v>^IXIC</v>
      </c>
      <c r="I606" s="30">
        <f>IFERROR(__xludf.DUMMYFUNCTION("""COMPUTED_VALUE"""),500.0)</f>
        <v>500</v>
      </c>
      <c r="J606" s="30"/>
      <c r="K606" s="30" t="str">
        <f>IFERROR(__xludf.DUMMYFUNCTION("""COMPUTED_VALUE"""),"QTY, Limit Price (if any) &amp; Password input correct")</f>
        <v>QTY, Limit Price (if any) &amp; Password input correct</v>
      </c>
      <c r="L606" s="30" t="str">
        <f>IFERROR(__xludf.DUMMYFUNCTION("""COMPUTED_VALUE"""),"Order rejected preliminary, based on insufficient fund - SPX index * 7.85 &gt; initial capital")</f>
        <v>Order rejected preliminary, based on insufficient fund - SPX index * 7.85 &gt; initial capital</v>
      </c>
    </row>
    <row r="607">
      <c r="A607" s="5"/>
      <c r="B607" s="118">
        <f>IFERROR(__xludf.DUMMYFUNCTION("""COMPUTED_VALUE"""),44640.04786409722)</f>
        <v>44640.04786</v>
      </c>
      <c r="C607" s="120">
        <f>IFERROR(__xludf.DUMMYFUNCTION("""COMPUTED_VALUE"""),44641.0)</f>
        <v>44641</v>
      </c>
      <c r="D607" s="5" t="str">
        <f>IFERROR(__xludf.DUMMYFUNCTION("""COMPUTED_VALUE"""),"14626")</f>
        <v>14626</v>
      </c>
      <c r="E607" s="5" t="str">
        <f>IFERROR(__xludf.DUMMYFUNCTION("""COMPUTED_VALUE"""),"Stock")</f>
        <v>Stock</v>
      </c>
      <c r="F607" s="5" t="str">
        <f>IFERROR(__xludf.DUMMYFUNCTION("""COMPUTED_VALUE"""),"error")</f>
        <v>error</v>
      </c>
      <c r="G607" s="30" t="str">
        <f>IFERROR(__xludf.DUMMYFUNCTION("""COMPUTED_VALUE"""),"Email Account/ TraderID Recognized")</f>
        <v>Email Account/ TraderID Recognized</v>
      </c>
      <c r="H607" s="119" t="str">
        <f>IFERROR(__xludf.DUMMYFUNCTION("""COMPUTED_VALUE"""),"^RUT")</f>
        <v>^RUT</v>
      </c>
      <c r="I607" s="30">
        <f>IFERROR(__xludf.DUMMYFUNCTION("""COMPUTED_VALUE"""),1000.0)</f>
        <v>1000</v>
      </c>
      <c r="J607" s="30">
        <f>IFERROR(__xludf.DUMMYFUNCTION("""COMPUTED_VALUE"""),1000.0)</f>
        <v>1000</v>
      </c>
      <c r="K607" s="30" t="str">
        <f>IFERROR(__xludf.DUMMYFUNCTION("""COMPUTED_VALUE"""),"QTY, Limit Price (if any) &amp; Password input correct")</f>
        <v>QTY, Limit Price (if any) &amp; Password input correct</v>
      </c>
      <c r="L607" s="30" t="str">
        <f>IFERROR(__xludf.DUMMYFUNCTION("""COMPUTED_VALUE"""),"Order rejected preliminary, based on insufficient fund - R2000 index * 7.85 &gt; initial capital")</f>
        <v>Order rejected preliminary, based on insufficient fund - R2000 index * 7.85 &gt; initial capital</v>
      </c>
    </row>
    <row r="608">
      <c r="A608" s="5"/>
      <c r="B608" s="118">
        <f>IFERROR(__xludf.DUMMYFUNCTION("""COMPUTED_VALUE"""),44640.0488262963)</f>
        <v>44640.04883</v>
      </c>
      <c r="C608" s="120">
        <f>IFERROR(__xludf.DUMMYFUNCTION("""COMPUTED_VALUE"""),44641.0)</f>
        <v>44641</v>
      </c>
      <c r="D608" s="5" t="str">
        <f>IFERROR(__xludf.DUMMYFUNCTION("""COMPUTED_VALUE"""),"14626")</f>
        <v>14626</v>
      </c>
      <c r="E608" s="5" t="str">
        <f>IFERROR(__xludf.DUMMYFUNCTION("""COMPUTED_VALUE"""),"Stock")</f>
        <v>Stock</v>
      </c>
      <c r="F608" s="5" t="str">
        <f>IFERROR(__xludf.DUMMYFUNCTION("""COMPUTED_VALUE"""),"JPY")</f>
        <v>JPY</v>
      </c>
      <c r="G608" s="30" t="str">
        <f>IFERROR(__xludf.DUMMYFUNCTION("""COMPUTED_VALUE"""),"Email Account/ TraderID Recognized")</f>
        <v>Email Account/ TraderID Recognized</v>
      </c>
      <c r="H608" s="119" t="str">
        <f>IFERROR(__xludf.DUMMYFUNCTION("""COMPUTED_VALUE"""),"^N225")</f>
        <v>^N225</v>
      </c>
      <c r="I608" s="30">
        <f>IFERROR(__xludf.DUMMYFUNCTION("""COMPUTED_VALUE"""),500.0)</f>
        <v>500</v>
      </c>
      <c r="J608" s="30"/>
      <c r="K608" s="30" t="str">
        <f>IFERROR(__xludf.DUMMYFUNCTION("""COMPUTED_VALUE"""),"QTY, Limit Price (if any) &amp; Password input correct")</f>
        <v>QTY, Limit Price (if any) &amp; Password input correct</v>
      </c>
      <c r="L608" s="30"/>
    </row>
    <row r="609">
      <c r="A609" s="5"/>
      <c r="B609" s="118">
        <f>IFERROR(__xludf.DUMMYFUNCTION("""COMPUTED_VALUE"""),44640.050203611114)</f>
        <v>44640.0502</v>
      </c>
      <c r="C609" s="120">
        <f>IFERROR(__xludf.DUMMYFUNCTION("""COMPUTED_VALUE"""),44641.0)</f>
        <v>44641</v>
      </c>
      <c r="D609" s="5" t="str">
        <f>IFERROR(__xludf.DUMMYFUNCTION("""COMPUTED_VALUE"""),"14626")</f>
        <v>14626</v>
      </c>
      <c r="E609" s="5" t="str">
        <f>IFERROR(__xludf.DUMMYFUNCTION("""COMPUTED_VALUE"""),"Stock")</f>
        <v>Stock</v>
      </c>
      <c r="F609" s="5" t="str">
        <f>IFERROR(__xludf.DUMMYFUNCTION("""COMPUTED_VALUE"""),"USD")</f>
        <v>USD</v>
      </c>
      <c r="G609" s="30" t="str">
        <f>IFERROR(__xludf.DUMMYFUNCTION("""COMPUTED_VALUE"""),"Email Account/ TraderID Recognized")</f>
        <v>Email Account/ TraderID Recognized</v>
      </c>
      <c r="H609" s="119" t="str">
        <f>IFERROR(__xludf.DUMMYFUNCTION("""COMPUTED_VALUE"""),"PFE")</f>
        <v>PFE</v>
      </c>
      <c r="I609" s="30">
        <f>IFERROR(__xludf.DUMMYFUNCTION("""COMPUTED_VALUE"""),1000.0)</f>
        <v>1000</v>
      </c>
      <c r="J609" s="30"/>
      <c r="K609" s="30" t="str">
        <f>IFERROR(__xludf.DUMMYFUNCTION("""COMPUTED_VALUE"""),"QTY, Limit Price (if any) &amp; Password input correct")</f>
        <v>QTY, Limit Price (if any) &amp; Password input correct</v>
      </c>
      <c r="L609" s="30"/>
    </row>
    <row r="610">
      <c r="A610" s="5"/>
      <c r="B610" s="118">
        <f>IFERROR(__xludf.DUMMYFUNCTION("""COMPUTED_VALUE"""),44640.05247976852)</f>
        <v>44640.05248</v>
      </c>
      <c r="C610" s="120">
        <f>IFERROR(__xludf.DUMMYFUNCTION("""COMPUTED_VALUE"""),44641.0)</f>
        <v>44641</v>
      </c>
      <c r="D610" s="5" t="str">
        <f>IFERROR(__xludf.DUMMYFUNCTION("""COMPUTED_VALUE"""),"14626")</f>
        <v>14626</v>
      </c>
      <c r="E610" s="5" t="str">
        <f>IFERROR(__xludf.DUMMYFUNCTION("""COMPUTED_VALUE"""),"Stock")</f>
        <v>Stock</v>
      </c>
      <c r="F610" s="5" t="str">
        <f>IFERROR(__xludf.DUMMYFUNCTION("""COMPUTED_VALUE"""),"USD")</f>
        <v>USD</v>
      </c>
      <c r="G610" s="30" t="str">
        <f>IFERROR(__xludf.DUMMYFUNCTION("""COMPUTED_VALUE"""),"Email Account/ TraderID Recognized")</f>
        <v>Email Account/ TraderID Recognized</v>
      </c>
      <c r="H610" s="119" t="str">
        <f>IFERROR(__xludf.DUMMYFUNCTION("""COMPUTED_VALUE"""),"LUNA1-USD")</f>
        <v>LUNA1-USD</v>
      </c>
      <c r="I610" s="30">
        <f>IFERROR(__xludf.DUMMYFUNCTION("""COMPUTED_VALUE"""),1000.0)</f>
        <v>1000</v>
      </c>
      <c r="J610" s="30"/>
      <c r="K610" s="30" t="str">
        <f>IFERROR(__xludf.DUMMYFUNCTION("""COMPUTED_VALUE"""),"QTY, Limit Price (if any) &amp; Password input correct")</f>
        <v>QTY, Limit Price (if any) &amp; Password input correct</v>
      </c>
      <c r="L610" s="30"/>
    </row>
    <row r="611">
      <c r="A611" s="5"/>
      <c r="B611" s="118">
        <f>IFERROR(__xludf.DUMMYFUNCTION("""COMPUTED_VALUE"""),44640.06354851852)</f>
        <v>44640.06355</v>
      </c>
      <c r="C611" s="120">
        <f>IFERROR(__xludf.DUMMYFUNCTION("""COMPUTED_VALUE"""),44641.0)</f>
        <v>44641</v>
      </c>
      <c r="D611" s="5" t="str">
        <f>IFERROR(__xludf.DUMMYFUNCTION("""COMPUTED_VALUE"""),"14626")</f>
        <v>14626</v>
      </c>
      <c r="E611" s="5" t="str">
        <f>IFERROR(__xludf.DUMMYFUNCTION("""COMPUTED_VALUE"""),"Stock")</f>
        <v>Stock</v>
      </c>
      <c r="F611" s="5" t="str">
        <f>IFERROR(__xludf.DUMMYFUNCTION("""COMPUTED_VALUE"""),"USD")</f>
        <v>USD</v>
      </c>
      <c r="G611" s="30" t="str">
        <f>IFERROR(__xludf.DUMMYFUNCTION("""COMPUTED_VALUE"""),"Email Account/ TraderID Recognized")</f>
        <v>Email Account/ TraderID Recognized</v>
      </c>
      <c r="H611" s="119" t="str">
        <f>IFERROR(__xludf.DUMMYFUNCTION("""COMPUTED_VALUE"""),"NFLX")</f>
        <v>NFLX</v>
      </c>
      <c r="I611" s="30">
        <f>IFERROR(__xludf.DUMMYFUNCTION("""COMPUTED_VALUE"""),1000.0)</f>
        <v>1000</v>
      </c>
      <c r="J611" s="30"/>
      <c r="K611" s="30" t="str">
        <f>IFERROR(__xludf.DUMMYFUNCTION("""COMPUTED_VALUE"""),"QTY, Limit Price (if any) &amp; Password input correct")</f>
        <v>QTY, Limit Price (if any) &amp; Password input correct</v>
      </c>
      <c r="L611" s="30"/>
    </row>
    <row r="612">
      <c r="A612" s="5"/>
      <c r="B612" s="118">
        <f>IFERROR(__xludf.DUMMYFUNCTION("""COMPUTED_VALUE"""),44640.11039138889)</f>
        <v>44640.11039</v>
      </c>
      <c r="C612" s="120">
        <f>IFERROR(__xludf.DUMMYFUNCTION("""COMPUTED_VALUE"""),44641.0)</f>
        <v>44641</v>
      </c>
      <c r="D612" s="5" t="str">
        <f>IFERROR(__xludf.DUMMYFUNCTION("""COMPUTED_VALUE"""),"14626")</f>
        <v>14626</v>
      </c>
      <c r="E612" s="5" t="str">
        <f>IFERROR(__xludf.DUMMYFUNCTION("""COMPUTED_VALUE"""),"Stock")</f>
        <v>Stock</v>
      </c>
      <c r="F612" s="5" t="str">
        <f>IFERROR(__xludf.DUMMYFUNCTION("""COMPUTED_VALUE"""),"error")</f>
        <v>error</v>
      </c>
      <c r="G612" s="30" t="str">
        <f>IFERROR(__xludf.DUMMYFUNCTION("""COMPUTED_VALUE"""),"Email Account/ TraderID Recognized")</f>
        <v>Email Account/ TraderID Recognized</v>
      </c>
      <c r="H612" s="119" t="str">
        <f>IFERROR(__xludf.DUMMYFUNCTION("""COMPUTED_VALUE"""),"BTC-USD")</f>
        <v>BTC-USD</v>
      </c>
      <c r="I612" s="30">
        <f>IFERROR(__xludf.DUMMYFUNCTION("""COMPUTED_VALUE"""),500.0)</f>
        <v>500</v>
      </c>
      <c r="J612" s="30"/>
      <c r="K612" s="30" t="str">
        <f>IFERROR(__xludf.DUMMYFUNCTION("""COMPUTED_VALUE"""),"QTY, Limit Price (if any) &amp; Password input correct")</f>
        <v>QTY, Limit Price (if any) &amp; Password input correct</v>
      </c>
      <c r="L612" s="30" t="str">
        <f>IFERROR(__xludf.DUMMYFUNCTION("""COMPUTED_VALUE"""),"Order rejected preliminary due to insufficient cash")</f>
        <v>Order rejected preliminary due to insufficient cash</v>
      </c>
    </row>
    <row r="613">
      <c r="A613" s="5"/>
      <c r="B613" s="118">
        <f>IFERROR(__xludf.DUMMYFUNCTION("""COMPUTED_VALUE"""),44640.11127983796)</f>
        <v>44640.11128</v>
      </c>
      <c r="C613" s="120">
        <f>IFERROR(__xludf.DUMMYFUNCTION("""COMPUTED_VALUE"""),44641.0)</f>
        <v>44641</v>
      </c>
      <c r="D613" s="5" t="str">
        <f>IFERROR(__xludf.DUMMYFUNCTION("""COMPUTED_VALUE"""),"14626")</f>
        <v>14626</v>
      </c>
      <c r="E613" s="5" t="str">
        <f>IFERROR(__xludf.DUMMYFUNCTION("""COMPUTED_VALUE"""),"Stock")</f>
        <v>Stock</v>
      </c>
      <c r="F613" s="5" t="str">
        <f>IFERROR(__xludf.DUMMYFUNCTION("""COMPUTED_VALUE"""),"USD")</f>
        <v>USD</v>
      </c>
      <c r="G613" s="30" t="str">
        <f>IFERROR(__xludf.DUMMYFUNCTION("""COMPUTED_VALUE"""),"Email Account/ TraderID Recognized")</f>
        <v>Email Account/ TraderID Recognized</v>
      </c>
      <c r="H613" s="119" t="str">
        <f>IFERROR(__xludf.DUMMYFUNCTION("""COMPUTED_VALUE"""),"NVDA")</f>
        <v>NVDA</v>
      </c>
      <c r="I613" s="30">
        <f>IFERROR(__xludf.DUMMYFUNCTION("""COMPUTED_VALUE"""),1000.0)</f>
        <v>1000</v>
      </c>
      <c r="J613" s="30"/>
      <c r="K613" s="30" t="str">
        <f>IFERROR(__xludf.DUMMYFUNCTION("""COMPUTED_VALUE"""),"QTY, Limit Price (if any) &amp; Password input correct")</f>
        <v>QTY, Limit Price (if any) &amp; Password input correct</v>
      </c>
      <c r="L613" s="30"/>
    </row>
    <row r="614">
      <c r="A614" s="5"/>
      <c r="B614" s="118">
        <f>IFERROR(__xludf.DUMMYFUNCTION("""COMPUTED_VALUE"""),44640.606857418985)</f>
        <v>44640.60686</v>
      </c>
      <c r="C614" s="120">
        <f>IFERROR(__xludf.DUMMYFUNCTION("""COMPUTED_VALUE"""),44641.0)</f>
        <v>44641</v>
      </c>
      <c r="D614" s="5" t="str">
        <f>IFERROR(__xludf.DUMMYFUNCTION("""COMPUTED_VALUE"""),"73341")</f>
        <v>73341</v>
      </c>
      <c r="E614" s="5" t="str">
        <f>IFERROR(__xludf.DUMMYFUNCTION("""COMPUTED_VALUE"""),"Stock")</f>
        <v>Stock</v>
      </c>
      <c r="F614" s="5" t="str">
        <f>IFERROR(__xludf.DUMMYFUNCTION("""COMPUTED_VALUE"""),"error")</f>
        <v>error</v>
      </c>
      <c r="G614" s="30" t="str">
        <f>IFERROR(__xludf.DUMMYFUNCTION("""COMPUTED_VALUE"""),"Email Account/ TraderID Recognized")</f>
        <v>Email Account/ TraderID Recognized</v>
      </c>
      <c r="H614" s="119" t="str">
        <f>IFERROR(__xludf.DUMMYFUNCTION("""COMPUTED_VALUE"""),"00700")</f>
        <v>00700</v>
      </c>
      <c r="I614" s="30">
        <f>IFERROR(__xludf.DUMMYFUNCTION("""COMPUTED_VALUE"""),10.0)</f>
        <v>10</v>
      </c>
      <c r="J614" s="30">
        <f>IFERROR(__xludf.DUMMYFUNCTION("""COMPUTED_VALUE"""),90.0)</f>
        <v>90</v>
      </c>
      <c r="K614" s="30" t="str">
        <f>IFERROR(__xludf.DUMMYFUNCTION("""COMPUTED_VALUE"""),"QTY, Limit Price (if any) &amp; Password input correct")</f>
        <v>QTY, Limit Price (if any) &amp; Password input correct</v>
      </c>
      <c r="L614" s="30" t="str">
        <f>IFERROR(__xludf.DUMMYFUNCTION("""COMPUTED_VALUE"""),"Order rejected due to wrong ticker code")</f>
        <v>Order rejected due to wrong ticker code</v>
      </c>
    </row>
    <row r="615">
      <c r="A615" s="5"/>
      <c r="B615" s="118">
        <f>IFERROR(__xludf.DUMMYFUNCTION("""COMPUTED_VALUE"""),44640.72119408565)</f>
        <v>44640.72119</v>
      </c>
      <c r="C615" s="120">
        <f>IFERROR(__xludf.DUMMYFUNCTION("""COMPUTED_VALUE"""),44641.0)</f>
        <v>44641</v>
      </c>
      <c r="D615" s="5" t="str">
        <f>IFERROR(__xludf.DUMMYFUNCTION("""COMPUTED_VALUE"""),"76369")</f>
        <v>76369</v>
      </c>
      <c r="E615" s="5" t="str">
        <f>IFERROR(__xludf.DUMMYFUNCTION("""COMPUTED_VALUE"""),"Stock")</f>
        <v>Stock</v>
      </c>
      <c r="F615" s="5" t="str">
        <f>IFERROR(__xludf.DUMMYFUNCTION("""COMPUTED_VALUE"""),"USD")</f>
        <v>USD</v>
      </c>
      <c r="G615" s="30" t="str">
        <f>IFERROR(__xludf.DUMMYFUNCTION("""COMPUTED_VALUE"""),"Email Account/ TraderID Recognized")</f>
        <v>Email Account/ TraderID Recognized</v>
      </c>
      <c r="H615" s="119" t="str">
        <f>IFERROR(__xludf.DUMMYFUNCTION("""COMPUTED_VALUE"""),"GC=F")</f>
        <v>GC=F</v>
      </c>
      <c r="I615" s="30">
        <f>IFERROR(__xludf.DUMMYFUNCTION("""COMPUTED_VALUE"""),5.0)</f>
        <v>5</v>
      </c>
      <c r="J615" s="30"/>
      <c r="K615" s="30" t="str">
        <f>IFERROR(__xludf.DUMMYFUNCTION("""COMPUTED_VALUE"""),"QTY, Limit Price (if any) &amp; Password input correct")</f>
        <v>QTY, Limit Price (if any) &amp; Password input correct</v>
      </c>
      <c r="L615" s="30"/>
    </row>
    <row r="616">
      <c r="A616" s="5"/>
      <c r="B616" s="118">
        <f>IFERROR(__xludf.DUMMYFUNCTION("""COMPUTED_VALUE"""),44640.89291273148)</f>
        <v>44640.89291</v>
      </c>
      <c r="C616" s="120">
        <f>IFERROR(__xludf.DUMMYFUNCTION("""COMPUTED_VALUE"""),44641.0)</f>
        <v>44641</v>
      </c>
      <c r="D616" s="5" t="str">
        <f>IFERROR(__xludf.DUMMYFUNCTION("""COMPUTED_VALUE"""),"95516")</f>
        <v>95516</v>
      </c>
      <c r="E616" s="5" t="str">
        <f>IFERROR(__xludf.DUMMYFUNCTION("""COMPUTED_VALUE"""),"Stock")</f>
        <v>Stock</v>
      </c>
      <c r="F616" s="5" t="str">
        <f>IFERROR(__xludf.DUMMYFUNCTION("""COMPUTED_VALUE"""),"error")</f>
        <v>error</v>
      </c>
      <c r="G616" s="30" t="str">
        <f>IFERROR(__xludf.DUMMYFUNCTION("""COMPUTED_VALUE"""),"Email Account/ TraderID Recognized")</f>
        <v>Email Account/ TraderID Recognized</v>
      </c>
      <c r="H616" s="121" t="str">
        <f>IFERROR(__xludf.DUMMYFUNCTION("""COMPUTED_VALUE"""),"9988.HK")</f>
        <v>9988.HK</v>
      </c>
      <c r="I616" s="30">
        <f>IFERROR(__xludf.DUMMYFUNCTION("""COMPUTED_VALUE"""),1500.0)</f>
        <v>1500</v>
      </c>
      <c r="J616" s="30"/>
      <c r="K616" s="30" t="str">
        <f>IFERROR(__xludf.DUMMYFUNCTION("""COMPUTED_VALUE"""),"Wrong Password Submitted, Order will be rejected")</f>
        <v>Wrong Password Submitted, Order will be rejected</v>
      </c>
      <c r="L616" s="30" t="str">
        <f>IFERROR(__xludf.DUMMYFUNCTION("""COMPUTED_VALUE"""),"Order rejected due to wrong password")</f>
        <v>Order rejected due to wrong password</v>
      </c>
    </row>
    <row r="617">
      <c r="A617" s="5"/>
      <c r="B617" s="118">
        <f>IFERROR(__xludf.DUMMYFUNCTION("""COMPUTED_VALUE"""),44640.91122094907)</f>
        <v>44640.91122</v>
      </c>
      <c r="C617" s="120">
        <f>IFERROR(__xludf.DUMMYFUNCTION("""COMPUTED_VALUE"""),44641.0)</f>
        <v>44641</v>
      </c>
      <c r="D617" s="5" t="str">
        <f>IFERROR(__xludf.DUMMYFUNCTION("""COMPUTED_VALUE"""),"56118")</f>
        <v>56118</v>
      </c>
      <c r="E617" s="5" t="str">
        <f>IFERROR(__xludf.DUMMYFUNCTION("""COMPUTED_VALUE"""),"Stock")</f>
        <v>Stock</v>
      </c>
      <c r="F617" s="5" t="str">
        <f>IFERROR(__xludf.DUMMYFUNCTION("""COMPUTED_VALUE"""),"USD")</f>
        <v>USD</v>
      </c>
      <c r="G617" s="30" t="str">
        <f>IFERROR(__xludf.DUMMYFUNCTION("""COMPUTED_VALUE"""),"Email Account/ TraderID Recognized")</f>
        <v>Email Account/ TraderID Recognized</v>
      </c>
      <c r="H617" s="119" t="str">
        <f>IFERROR(__xludf.DUMMYFUNCTION("""COMPUTED_VALUE"""),"NFLX")</f>
        <v>NFLX</v>
      </c>
      <c r="I617" s="30">
        <f>IFERROR(__xludf.DUMMYFUNCTION("""COMPUTED_VALUE"""),10.0)</f>
        <v>10</v>
      </c>
      <c r="J617" s="30">
        <f>IFERROR(__xludf.DUMMYFUNCTION("""COMPUTED_VALUE"""),3000.0)</f>
        <v>3000</v>
      </c>
      <c r="K617" s="30" t="str">
        <f>IFERROR(__xludf.DUMMYFUNCTION("""COMPUTED_VALUE"""),"QTY, Limit Price (if any) &amp; Password input correct")</f>
        <v>QTY, Limit Price (if any) &amp; Password input correct</v>
      </c>
      <c r="L617" s="30"/>
    </row>
    <row r="618">
      <c r="A618" s="5"/>
      <c r="B618" s="118">
        <f>IFERROR(__xludf.DUMMYFUNCTION("""COMPUTED_VALUE"""),44640.91249190972)</f>
        <v>44640.91249</v>
      </c>
      <c r="C618" s="120">
        <f>IFERROR(__xludf.DUMMYFUNCTION("""COMPUTED_VALUE"""),44641.0)</f>
        <v>44641</v>
      </c>
      <c r="D618" s="5" t="str">
        <f>IFERROR(__xludf.DUMMYFUNCTION("""COMPUTED_VALUE"""),"56118")</f>
        <v>56118</v>
      </c>
      <c r="E618" s="5" t="str">
        <f>IFERROR(__xludf.DUMMYFUNCTION("""COMPUTED_VALUE"""),"Stock")</f>
        <v>Stock</v>
      </c>
      <c r="F618" s="5" t="str">
        <f>IFERROR(__xludf.DUMMYFUNCTION("""COMPUTED_VALUE"""),"USD")</f>
        <v>USD</v>
      </c>
      <c r="G618" s="30" t="str">
        <f>IFERROR(__xludf.DUMMYFUNCTION("""COMPUTED_VALUE"""),"Email Account/ TraderID Recognized")</f>
        <v>Email Account/ TraderID Recognized</v>
      </c>
      <c r="H618" s="119" t="str">
        <f>IFERROR(__xludf.DUMMYFUNCTION("""COMPUTED_VALUE"""),"SOFI")</f>
        <v>SOFI</v>
      </c>
      <c r="I618" s="30">
        <f>IFERROR(__xludf.DUMMYFUNCTION("""COMPUTED_VALUE"""),200.0)</f>
        <v>200</v>
      </c>
      <c r="J618" s="30">
        <f>IFERROR(__xludf.DUMMYFUNCTION("""COMPUTED_VALUE"""),80.0)</f>
        <v>80</v>
      </c>
      <c r="K618" s="30" t="str">
        <f>IFERROR(__xludf.DUMMYFUNCTION("""COMPUTED_VALUE"""),"QTY, Limit Price (if any) &amp; Password input correct")</f>
        <v>QTY, Limit Price (if any) &amp; Password input correct</v>
      </c>
      <c r="L618" s="30"/>
    </row>
    <row r="619">
      <c r="A619" s="5"/>
      <c r="B619" s="118">
        <f>IFERROR(__xludf.DUMMYFUNCTION("""COMPUTED_VALUE"""),44640.9291781713)</f>
        <v>44640.92918</v>
      </c>
      <c r="C619" s="120">
        <f>IFERROR(__xludf.DUMMYFUNCTION("""COMPUTED_VALUE"""),44641.0)</f>
        <v>44641</v>
      </c>
      <c r="D619" s="5" t="str">
        <f>IFERROR(__xludf.DUMMYFUNCTION("""COMPUTED_VALUE"""),"56118")</f>
        <v>56118</v>
      </c>
      <c r="E619" s="5" t="str">
        <f>IFERROR(__xludf.DUMMYFUNCTION("""COMPUTED_VALUE"""),"Stock")</f>
        <v>Stock</v>
      </c>
      <c r="F619" s="5" t="str">
        <f>IFERROR(__xludf.DUMMYFUNCTION("""COMPUTED_VALUE"""),"USD")</f>
        <v>USD</v>
      </c>
      <c r="G619" s="30" t="str">
        <f>IFERROR(__xludf.DUMMYFUNCTION("""COMPUTED_VALUE"""),"Email Account/ TraderID Recognized")</f>
        <v>Email Account/ TraderID Recognized</v>
      </c>
      <c r="H619" s="119" t="str">
        <f>IFERROR(__xludf.DUMMYFUNCTION("""COMPUTED_VALUE"""),"LMT")</f>
        <v>LMT</v>
      </c>
      <c r="I619" s="30">
        <f>IFERROR(__xludf.DUMMYFUNCTION("""COMPUTED_VALUE"""),20.0)</f>
        <v>20</v>
      </c>
      <c r="J619" s="30">
        <f>IFERROR(__xludf.DUMMYFUNCTION("""COMPUTED_VALUE"""),430.0)</f>
        <v>430</v>
      </c>
      <c r="K619" s="30" t="str">
        <f>IFERROR(__xludf.DUMMYFUNCTION("""COMPUTED_VALUE"""),"QTY, Limit Price (if any) &amp; Password input correct")</f>
        <v>QTY, Limit Price (if any) &amp; Password input correct</v>
      </c>
      <c r="L619" s="30"/>
    </row>
    <row r="620">
      <c r="A620" s="5"/>
      <c r="B620" s="118">
        <f>IFERROR(__xludf.DUMMYFUNCTION("""COMPUTED_VALUE"""),44640.93177704861)</f>
        <v>44640.93178</v>
      </c>
      <c r="C620" s="120">
        <f>IFERROR(__xludf.DUMMYFUNCTION("""COMPUTED_VALUE"""),44641.0)</f>
        <v>44641</v>
      </c>
      <c r="D620" s="5" t="str">
        <f>IFERROR(__xludf.DUMMYFUNCTION("""COMPUTED_VALUE"""),"56118")</f>
        <v>56118</v>
      </c>
      <c r="E620" s="5" t="str">
        <f>IFERROR(__xludf.DUMMYFUNCTION("""COMPUTED_VALUE"""),"Stock")</f>
        <v>Stock</v>
      </c>
      <c r="F620" s="5" t="str">
        <f>IFERROR(__xludf.DUMMYFUNCTION("""COMPUTED_VALUE"""),"error")</f>
        <v>error</v>
      </c>
      <c r="G620" s="30" t="str">
        <f>IFERROR(__xludf.DUMMYFUNCTION("""COMPUTED_VALUE"""),"Email Account/ TraderID Recognized")</f>
        <v>Email Account/ TraderID Recognized</v>
      </c>
      <c r="H620" s="119" t="str">
        <f>IFERROR(__xludf.DUMMYFUNCTION("""COMPUTED_VALUE"""),"56118")</f>
        <v>56118</v>
      </c>
      <c r="I620" s="30">
        <f>IFERROR(__xludf.DUMMYFUNCTION("""COMPUTED_VALUE"""),200.0)</f>
        <v>200</v>
      </c>
      <c r="J620" s="30">
        <f>IFERROR(__xludf.DUMMYFUNCTION("""COMPUTED_VALUE"""),335.0)</f>
        <v>335</v>
      </c>
      <c r="K620" s="30" t="str">
        <f>IFERROR(__xludf.DUMMYFUNCTION("""COMPUTED_VALUE"""),"QTY, Limit Price (if any) &amp; Password input correct")</f>
        <v>QTY, Limit Price (if any) &amp; Password input correct</v>
      </c>
      <c r="L620" s="30" t="str">
        <f>IFERROR(__xludf.DUMMYFUNCTION("""COMPUTED_VALUE"""),"Order rejected due to wrong ticker code.")</f>
        <v>Order rejected due to wrong ticker code.</v>
      </c>
    </row>
    <row r="621">
      <c r="A621" s="5"/>
      <c r="B621" s="118">
        <f>IFERROR(__xludf.DUMMYFUNCTION("""COMPUTED_VALUE"""),44641.347162418984)</f>
        <v>44641.34716</v>
      </c>
      <c r="C621" s="120" t="str">
        <f>IFERROR(__xludf.DUMMYFUNCTION("""COMPUTED_VALUE"""),"")</f>
        <v/>
      </c>
      <c r="D621" s="5" t="str">
        <f>IFERROR(__xludf.DUMMYFUNCTION("""COMPUTED_VALUE"""),"69930")</f>
        <v>69930</v>
      </c>
      <c r="E621" s="5" t="str">
        <f>IFERROR(__xludf.DUMMYFUNCTION("""COMPUTED_VALUE"""),"Stock")</f>
        <v>Stock</v>
      </c>
      <c r="F621" s="5" t="str">
        <f>IFERROR(__xludf.DUMMYFUNCTION("""COMPUTED_VALUE"""),"error")</f>
        <v>error</v>
      </c>
      <c r="G621" s="30" t="str">
        <f>IFERROR(__xludf.DUMMYFUNCTION("""COMPUTED_VALUE"""),"Email Account/ TraderID Recognized")</f>
        <v>Email Account/ TraderID Recognized</v>
      </c>
      <c r="H621" s="119" t="str">
        <f>IFERROR(__xludf.DUMMYFUNCTION("""COMPUTED_VALUE"""),"(002759.SZ)")</f>
        <v>(002759.SZ)</v>
      </c>
      <c r="I621" s="30">
        <f>IFERROR(__xludf.DUMMYFUNCTION("""COMPUTED_VALUE"""),2000.0)</f>
        <v>2000</v>
      </c>
      <c r="J621" s="30" t="str">
        <f>IFERROR(__xludf.DUMMYFUNCTION("""COMPUTED_VALUE"""),"￥30.15")</f>
        <v>￥30.15</v>
      </c>
      <c r="K621" s="30" t="str">
        <f>IFERROR(__xludf.DUMMYFUNCTION("""COMPUTED_VALUE"""),"Non-number input in Quantity or Limit Price")</f>
        <v>Non-number input in Quantity or Limit Price</v>
      </c>
      <c r="L621" s="30" t="str">
        <f>IFERROR(__xludf.DUMMYFUNCTION("""COMPUTED_VALUE"""),"Order rejected due to wrong password")</f>
        <v>Order rejected due to wrong password</v>
      </c>
    </row>
    <row r="622">
      <c r="A622" s="5"/>
      <c r="B622" s="118">
        <f>IFERROR(__xludf.DUMMYFUNCTION("""COMPUTED_VALUE"""),44641.35712400463)</f>
        <v>44641.35712</v>
      </c>
      <c r="C622" s="120" t="str">
        <f>IFERROR(__xludf.DUMMYFUNCTION("""COMPUTED_VALUE"""),"")</f>
        <v/>
      </c>
      <c r="D622" s="5" t="str">
        <f>IFERROR(__xludf.DUMMYFUNCTION("""COMPUTED_VALUE"""),"69930")</f>
        <v>69930</v>
      </c>
      <c r="E622" s="5" t="str">
        <f>IFERROR(__xludf.DUMMYFUNCTION("""COMPUTED_VALUE"""),"Stock")</f>
        <v>Stock</v>
      </c>
      <c r="F622" s="5" t="str">
        <f>IFERROR(__xludf.DUMMYFUNCTION("""COMPUTED_VALUE"""),"error")</f>
        <v>error</v>
      </c>
      <c r="G622" s="30" t="str">
        <f>IFERROR(__xludf.DUMMYFUNCTION("""COMPUTED_VALUE"""),"Email Account/ TraderID Recognized")</f>
        <v>Email Account/ TraderID Recognized</v>
      </c>
      <c r="H622" s="119" t="str">
        <f>IFERROR(__xludf.DUMMYFUNCTION("""COMPUTED_VALUE""")," (000002.SZ)")</f>
        <v> (000002.SZ)</v>
      </c>
      <c r="I622" s="30">
        <f>IFERROR(__xludf.DUMMYFUNCTION("""COMPUTED_VALUE"""),2000.0)</f>
        <v>2000</v>
      </c>
      <c r="J622" s="30" t="str">
        <f>IFERROR(__xludf.DUMMYFUNCTION("""COMPUTED_VALUE"""),"￥18.30")</f>
        <v>￥18.30</v>
      </c>
      <c r="K622" s="30" t="str">
        <f>IFERROR(__xludf.DUMMYFUNCTION("""COMPUTED_VALUE"""),"Non-number input in Quantity or Limit Price")</f>
        <v>Non-number input in Quantity or Limit Price</v>
      </c>
      <c r="L622" s="30" t="str">
        <f>IFERROR(__xludf.DUMMYFUNCTION("""COMPUTED_VALUE"""),"Order rejected due to wrong password")</f>
        <v>Order rejected due to wrong password</v>
      </c>
    </row>
    <row r="623">
      <c r="A623" s="5"/>
      <c r="B623" s="118">
        <f>IFERROR(__xludf.DUMMYFUNCTION("""COMPUTED_VALUE"""),44641.41776318287)</f>
        <v>44641.41776</v>
      </c>
      <c r="C623" s="120">
        <f>IFERROR(__xludf.DUMMYFUNCTION("""COMPUTED_VALUE"""),44641.666666666664)</f>
        <v>44641.66667</v>
      </c>
      <c r="D623" s="5" t="str">
        <f>IFERROR(__xludf.DUMMYFUNCTION("""COMPUTED_VALUE"""),"79521")</f>
        <v>79521</v>
      </c>
      <c r="E623" s="5" t="str">
        <f>IFERROR(__xludf.DUMMYFUNCTION("""COMPUTED_VALUE"""),"Stock")</f>
        <v>Stock</v>
      </c>
      <c r="F623" s="5" t="str">
        <f>IFERROR(__xludf.DUMMYFUNCTION("""COMPUTED_VALUE"""),"HKD")</f>
        <v>HKD</v>
      </c>
      <c r="G623" s="30" t="str">
        <f>IFERROR(__xludf.DUMMYFUNCTION("""COMPUTED_VALUE"""),"Email Account/ TraderID Recognized")</f>
        <v>Email Account/ TraderID Recognized</v>
      </c>
      <c r="H623" s="121" t="str">
        <f>IFERROR(__xludf.DUMMYFUNCTION("""COMPUTED_VALUE"""),"0700.HK")</f>
        <v>0700.HK</v>
      </c>
      <c r="I623" s="30">
        <f>IFERROR(__xludf.DUMMYFUNCTION("""COMPUTED_VALUE"""),1000.0)</f>
        <v>1000</v>
      </c>
      <c r="J623" s="30"/>
      <c r="K623" s="30" t="str">
        <f>IFERROR(__xludf.DUMMYFUNCTION("""COMPUTED_VALUE"""),"QTY, Limit Price (if any) &amp; Password input correct")</f>
        <v>QTY, Limit Price (if any) &amp; Password input correct</v>
      </c>
      <c r="L623" s="30"/>
    </row>
    <row r="624">
      <c r="A624" s="5"/>
      <c r="B624" s="118">
        <f>IFERROR(__xludf.DUMMYFUNCTION("""COMPUTED_VALUE"""),44641.43366278935)</f>
        <v>44641.43366</v>
      </c>
      <c r="C624" s="120">
        <f>IFERROR(__xludf.DUMMYFUNCTION("""COMPUTED_VALUE"""),44641.666666666664)</f>
        <v>44641.66667</v>
      </c>
      <c r="D624" s="5" t="str">
        <f>IFERROR(__xludf.DUMMYFUNCTION("""COMPUTED_VALUE"""),"14626")</f>
        <v>14626</v>
      </c>
      <c r="E624" s="5" t="str">
        <f>IFERROR(__xludf.DUMMYFUNCTION("""COMPUTED_VALUE"""),"Stock")</f>
        <v>Stock</v>
      </c>
      <c r="F624" s="5" t="str">
        <f>IFERROR(__xludf.DUMMYFUNCTION("""COMPUTED_VALUE"""),"USD")</f>
        <v>USD</v>
      </c>
      <c r="G624" s="30" t="str">
        <f>IFERROR(__xludf.DUMMYFUNCTION("""COMPUTED_VALUE"""),"Email Account/ TraderID Recognized")</f>
        <v>Email Account/ TraderID Recognized</v>
      </c>
      <c r="H624" s="119" t="str">
        <f>IFERROR(__xludf.DUMMYFUNCTION("""COMPUTED_VALUE"""),"CL=F")</f>
        <v>CL=F</v>
      </c>
      <c r="I624" s="30">
        <f>IFERROR(__xludf.DUMMYFUNCTION("""COMPUTED_VALUE"""),500.0)</f>
        <v>500</v>
      </c>
      <c r="J624" s="30"/>
      <c r="K624" s="30" t="str">
        <f>IFERROR(__xludf.DUMMYFUNCTION("""COMPUTED_VALUE"""),"QTY, Limit Price (if any) &amp; Password input correct")</f>
        <v>QTY, Limit Price (if any) &amp; Password input correct</v>
      </c>
      <c r="L624" s="30"/>
    </row>
    <row r="625">
      <c r="A625" s="5"/>
      <c r="B625" s="118">
        <f>IFERROR(__xludf.DUMMYFUNCTION("""COMPUTED_VALUE"""),44641.436461018515)</f>
        <v>44641.43646</v>
      </c>
      <c r="C625" s="120">
        <f>IFERROR(__xludf.DUMMYFUNCTION("""COMPUTED_VALUE"""),44641.666666666664)</f>
        <v>44641.66667</v>
      </c>
      <c r="D625" s="5" t="str">
        <f>IFERROR(__xludf.DUMMYFUNCTION("""COMPUTED_VALUE"""),"14626")</f>
        <v>14626</v>
      </c>
      <c r="E625" s="5" t="str">
        <f>IFERROR(__xludf.DUMMYFUNCTION("""COMPUTED_VALUE"""),"Stock")</f>
        <v>Stock</v>
      </c>
      <c r="F625" s="5" t="str">
        <f>IFERROR(__xludf.DUMMYFUNCTION("""COMPUTED_VALUE"""),"USD")</f>
        <v>USD</v>
      </c>
      <c r="G625" s="30" t="str">
        <f>IFERROR(__xludf.DUMMYFUNCTION("""COMPUTED_VALUE"""),"Email Account/ TraderID Recognized")</f>
        <v>Email Account/ TraderID Recognized</v>
      </c>
      <c r="H625" s="119" t="str">
        <f>IFERROR(__xludf.DUMMYFUNCTION("""COMPUTED_VALUE"""),"NKE")</f>
        <v>NKE</v>
      </c>
      <c r="I625" s="30">
        <f>IFERROR(__xludf.DUMMYFUNCTION("""COMPUTED_VALUE"""),500.0)</f>
        <v>500</v>
      </c>
      <c r="J625" s="30"/>
      <c r="K625" s="30" t="str">
        <f>IFERROR(__xludf.DUMMYFUNCTION("""COMPUTED_VALUE"""),"QTY, Limit Price (if any) &amp; Password input correct")</f>
        <v>QTY, Limit Price (if any) &amp; Password input correct</v>
      </c>
      <c r="L625" s="30"/>
    </row>
    <row r="626">
      <c r="A626" s="5"/>
      <c r="B626" s="118">
        <f>IFERROR(__xludf.DUMMYFUNCTION("""COMPUTED_VALUE"""),44641.438362141205)</f>
        <v>44641.43836</v>
      </c>
      <c r="C626" s="120">
        <f>IFERROR(__xludf.DUMMYFUNCTION("""COMPUTED_VALUE"""),44641.666666666664)</f>
        <v>44641.66667</v>
      </c>
      <c r="D626" s="5" t="str">
        <f>IFERROR(__xludf.DUMMYFUNCTION("""COMPUTED_VALUE"""),"14626")</f>
        <v>14626</v>
      </c>
      <c r="E626" s="5" t="str">
        <f>IFERROR(__xludf.DUMMYFUNCTION("""COMPUTED_VALUE"""),"Stock")</f>
        <v>Stock</v>
      </c>
      <c r="F626" s="5" t="str">
        <f>IFERROR(__xludf.DUMMYFUNCTION("""COMPUTED_VALUE"""),"USD")</f>
        <v>USD</v>
      </c>
      <c r="G626" s="30" t="str">
        <f>IFERROR(__xludf.DUMMYFUNCTION("""COMPUTED_VALUE"""),"Email Account/ TraderID Recognized")</f>
        <v>Email Account/ TraderID Recognized</v>
      </c>
      <c r="H626" s="119" t="str">
        <f>IFERROR(__xludf.DUMMYFUNCTION("""COMPUTED_VALUE"""),"DIDI")</f>
        <v>DIDI</v>
      </c>
      <c r="I626" s="30">
        <f>IFERROR(__xludf.DUMMYFUNCTION("""COMPUTED_VALUE"""),500.0)</f>
        <v>500</v>
      </c>
      <c r="J626" s="30"/>
      <c r="K626" s="30" t="str">
        <f>IFERROR(__xludf.DUMMYFUNCTION("""COMPUTED_VALUE"""),"QTY, Limit Price (if any) &amp; Password input correct")</f>
        <v>QTY, Limit Price (if any) &amp; Password input correct</v>
      </c>
      <c r="L626" s="30"/>
    </row>
    <row r="627">
      <c r="A627" s="5"/>
      <c r="B627" s="118">
        <f>IFERROR(__xludf.DUMMYFUNCTION("""COMPUTED_VALUE"""),44641.44009351852)</f>
        <v>44641.44009</v>
      </c>
      <c r="C627" s="120">
        <f>IFERROR(__xludf.DUMMYFUNCTION("""COMPUTED_VALUE"""),44641.666666666664)</f>
        <v>44641.66667</v>
      </c>
      <c r="D627" s="5" t="str">
        <f>IFERROR(__xludf.DUMMYFUNCTION("""COMPUTED_VALUE"""),"14626")</f>
        <v>14626</v>
      </c>
      <c r="E627" s="5" t="str">
        <f>IFERROR(__xludf.DUMMYFUNCTION("""COMPUTED_VALUE"""),"Stock")</f>
        <v>Stock</v>
      </c>
      <c r="F627" s="5" t="str">
        <f>IFERROR(__xludf.DUMMYFUNCTION("""COMPUTED_VALUE"""),"HKD")</f>
        <v>HKD</v>
      </c>
      <c r="G627" s="30" t="str">
        <f>IFERROR(__xludf.DUMMYFUNCTION("""COMPUTED_VALUE"""),"Email Account/ TraderID Recognized")</f>
        <v>Email Account/ TraderID Recognized</v>
      </c>
      <c r="H627" s="121" t="str">
        <f>IFERROR(__xludf.DUMMYFUNCTION("""COMPUTED_VALUE"""),"0700.HK")</f>
        <v>0700.HK</v>
      </c>
      <c r="I627" s="30">
        <f>IFERROR(__xludf.DUMMYFUNCTION("""COMPUTED_VALUE"""),500.0)</f>
        <v>500</v>
      </c>
      <c r="J627" s="30"/>
      <c r="K627" s="30" t="str">
        <f>IFERROR(__xludf.DUMMYFUNCTION("""COMPUTED_VALUE"""),"QTY, Limit Price (if any) &amp; Password input correct")</f>
        <v>QTY, Limit Price (if any) &amp; Password input correct</v>
      </c>
      <c r="L627" s="30"/>
    </row>
    <row r="628">
      <c r="A628" s="5"/>
      <c r="B628" s="118">
        <f>IFERROR(__xludf.DUMMYFUNCTION("""COMPUTED_VALUE"""),44641.44172986111)</f>
        <v>44641.44173</v>
      </c>
      <c r="C628" s="120">
        <f>IFERROR(__xludf.DUMMYFUNCTION("""COMPUTED_VALUE"""),44641.666666666664)</f>
        <v>44641.66667</v>
      </c>
      <c r="D628" s="5" t="str">
        <f>IFERROR(__xludf.DUMMYFUNCTION("""COMPUTED_VALUE"""),"14626")</f>
        <v>14626</v>
      </c>
      <c r="E628" s="5" t="str">
        <f>IFERROR(__xludf.DUMMYFUNCTION("""COMPUTED_VALUE"""),"Stock")</f>
        <v>Stock</v>
      </c>
      <c r="F628" s="5" t="str">
        <f>IFERROR(__xludf.DUMMYFUNCTION("""COMPUTED_VALUE"""),"USD")</f>
        <v>USD</v>
      </c>
      <c r="G628" s="30" t="str">
        <f>IFERROR(__xludf.DUMMYFUNCTION("""COMPUTED_VALUE"""),"Email Account/ TraderID Recognized")</f>
        <v>Email Account/ TraderID Recognized</v>
      </c>
      <c r="H628" s="119" t="str">
        <f>IFERROR(__xludf.DUMMYFUNCTION("""COMPUTED_VALUE"""),"GOOG")</f>
        <v>GOOG</v>
      </c>
      <c r="I628" s="30">
        <f>IFERROR(__xludf.DUMMYFUNCTION("""COMPUTED_VALUE"""),500.0)</f>
        <v>500</v>
      </c>
      <c r="J628" s="30"/>
      <c r="K628" s="30" t="str">
        <f>IFERROR(__xludf.DUMMYFUNCTION("""COMPUTED_VALUE"""),"QTY, Limit Price (if any) &amp; Password input correct")</f>
        <v>QTY, Limit Price (if any) &amp; Password input correct</v>
      </c>
      <c r="L628" s="30"/>
    </row>
    <row r="629">
      <c r="A629" s="5"/>
      <c r="B629" s="118">
        <f>IFERROR(__xludf.DUMMYFUNCTION("""COMPUTED_VALUE"""),44641.44217826389)</f>
        <v>44641.44218</v>
      </c>
      <c r="C629" s="120">
        <f>IFERROR(__xludf.DUMMYFUNCTION("""COMPUTED_VALUE"""),44641.666666666664)</f>
        <v>44641.66667</v>
      </c>
      <c r="D629" s="5" t="str">
        <f>IFERROR(__xludf.DUMMYFUNCTION("""COMPUTED_VALUE"""),"14626")</f>
        <v>14626</v>
      </c>
      <c r="E629" s="5" t="str">
        <f>IFERROR(__xludf.DUMMYFUNCTION("""COMPUTED_VALUE"""),"Stock")</f>
        <v>Stock</v>
      </c>
      <c r="F629" s="5" t="str">
        <f>IFERROR(__xludf.DUMMYFUNCTION("""COMPUTED_VALUE"""),"USD")</f>
        <v>USD</v>
      </c>
      <c r="G629" s="30" t="str">
        <f>IFERROR(__xludf.DUMMYFUNCTION("""COMPUTED_VALUE"""),"Email Account/ TraderID Recognized")</f>
        <v>Email Account/ TraderID Recognized</v>
      </c>
      <c r="H629" s="119" t="str">
        <f>IFERROR(__xludf.DUMMYFUNCTION("""COMPUTED_VALUE"""),"FB")</f>
        <v>FB</v>
      </c>
      <c r="I629" s="30">
        <f>IFERROR(__xludf.DUMMYFUNCTION("""COMPUTED_VALUE"""),500.0)</f>
        <v>500</v>
      </c>
      <c r="J629" s="30"/>
      <c r="K629" s="30" t="str">
        <f>IFERROR(__xludf.DUMMYFUNCTION("""COMPUTED_VALUE"""),"QTY, Limit Price (if any) &amp; Password input correct")</f>
        <v>QTY, Limit Price (if any) &amp; Password input correct</v>
      </c>
      <c r="L629" s="30"/>
    </row>
    <row r="630">
      <c r="A630" s="5"/>
      <c r="B630" s="118">
        <f>IFERROR(__xludf.DUMMYFUNCTION("""COMPUTED_VALUE"""),44641.44265328704)</f>
        <v>44641.44265</v>
      </c>
      <c r="C630" s="120">
        <f>IFERROR(__xludf.DUMMYFUNCTION("""COMPUTED_VALUE"""),44641.666666666664)</f>
        <v>44641.66667</v>
      </c>
      <c r="D630" s="5" t="str">
        <f>IFERROR(__xludf.DUMMYFUNCTION("""COMPUTED_VALUE"""),"14626")</f>
        <v>14626</v>
      </c>
      <c r="E630" s="5" t="str">
        <f>IFERROR(__xludf.DUMMYFUNCTION("""COMPUTED_VALUE"""),"Stock")</f>
        <v>Stock</v>
      </c>
      <c r="F630" s="5" t="str">
        <f>IFERROR(__xludf.DUMMYFUNCTION("""COMPUTED_VALUE"""),"USD")</f>
        <v>USD</v>
      </c>
      <c r="G630" s="30" t="str">
        <f>IFERROR(__xludf.DUMMYFUNCTION("""COMPUTED_VALUE"""),"Email Account/ TraderID Recognized")</f>
        <v>Email Account/ TraderID Recognized</v>
      </c>
      <c r="H630" s="119" t="str">
        <f>IFERROR(__xludf.DUMMYFUNCTION("""COMPUTED_VALUE"""),"MSFT")</f>
        <v>MSFT</v>
      </c>
      <c r="I630" s="30">
        <f>IFERROR(__xludf.DUMMYFUNCTION("""COMPUTED_VALUE"""),500.0)</f>
        <v>500</v>
      </c>
      <c r="J630" s="30"/>
      <c r="K630" s="30" t="str">
        <f>IFERROR(__xludf.DUMMYFUNCTION("""COMPUTED_VALUE"""),"QTY, Limit Price (if any) &amp; Password input correct")</f>
        <v>QTY, Limit Price (if any) &amp; Password input correct</v>
      </c>
      <c r="L630" s="30"/>
    </row>
    <row r="631">
      <c r="A631" s="5"/>
      <c r="B631" s="118">
        <f>IFERROR(__xludf.DUMMYFUNCTION("""COMPUTED_VALUE"""),44641.443246215276)</f>
        <v>44641.44325</v>
      </c>
      <c r="C631" s="120">
        <f>IFERROR(__xludf.DUMMYFUNCTION("""COMPUTED_VALUE"""),44641.666666666664)</f>
        <v>44641.66667</v>
      </c>
      <c r="D631" s="5" t="str">
        <f>IFERROR(__xludf.DUMMYFUNCTION("""COMPUTED_VALUE"""),"14626")</f>
        <v>14626</v>
      </c>
      <c r="E631" s="5" t="str">
        <f>IFERROR(__xludf.DUMMYFUNCTION("""COMPUTED_VALUE"""),"Stock")</f>
        <v>Stock</v>
      </c>
      <c r="F631" s="5" t="str">
        <f>IFERROR(__xludf.DUMMYFUNCTION("""COMPUTED_VALUE"""),"USD")</f>
        <v>USD</v>
      </c>
      <c r="G631" s="30" t="str">
        <f>IFERROR(__xludf.DUMMYFUNCTION("""COMPUTED_VALUE"""),"Email Account/ TraderID Recognized")</f>
        <v>Email Account/ TraderID Recognized</v>
      </c>
      <c r="H631" s="119" t="str">
        <f>IFERROR(__xludf.DUMMYFUNCTION("""COMPUTED_VALUE"""),"TSLA")</f>
        <v>TSLA</v>
      </c>
      <c r="I631" s="30">
        <f>IFERROR(__xludf.DUMMYFUNCTION("""COMPUTED_VALUE"""),500.0)</f>
        <v>500</v>
      </c>
      <c r="J631" s="30"/>
      <c r="K631" s="30" t="str">
        <f>IFERROR(__xludf.DUMMYFUNCTION("""COMPUTED_VALUE"""),"QTY, Limit Price (if any) &amp; Password input correct")</f>
        <v>QTY, Limit Price (if any) &amp; Password input correct</v>
      </c>
      <c r="L631" s="30"/>
    </row>
    <row r="632">
      <c r="A632" s="5"/>
      <c r="B632" s="118">
        <f>IFERROR(__xludf.DUMMYFUNCTION("""COMPUTED_VALUE"""),44641.44405142361)</f>
        <v>44641.44405</v>
      </c>
      <c r="C632" s="120">
        <f>IFERROR(__xludf.DUMMYFUNCTION("""COMPUTED_VALUE"""),44641.666666666664)</f>
        <v>44641.66667</v>
      </c>
      <c r="D632" s="5" t="str">
        <f>IFERROR(__xludf.DUMMYFUNCTION("""COMPUTED_VALUE"""),"14626")</f>
        <v>14626</v>
      </c>
      <c r="E632" s="5" t="str">
        <f>IFERROR(__xludf.DUMMYFUNCTION("""COMPUTED_VALUE"""),"Stock")</f>
        <v>Stock</v>
      </c>
      <c r="F632" s="5" t="str">
        <f>IFERROR(__xludf.DUMMYFUNCTION("""COMPUTED_VALUE"""),"USD")</f>
        <v>USD</v>
      </c>
      <c r="G632" s="30" t="str">
        <f>IFERROR(__xludf.DUMMYFUNCTION("""COMPUTED_VALUE"""),"Email Account/ TraderID Recognized")</f>
        <v>Email Account/ TraderID Recognized</v>
      </c>
      <c r="H632" s="119" t="str">
        <f>IFERROR(__xludf.DUMMYFUNCTION("""COMPUTED_VALUE"""),"F")</f>
        <v>F</v>
      </c>
      <c r="I632" s="30">
        <f>IFERROR(__xludf.DUMMYFUNCTION("""COMPUTED_VALUE"""),500.0)</f>
        <v>500</v>
      </c>
      <c r="J632" s="30"/>
      <c r="K632" s="30" t="str">
        <f>IFERROR(__xludf.DUMMYFUNCTION("""COMPUTED_VALUE"""),"QTY, Limit Price (if any) &amp; Password input correct")</f>
        <v>QTY, Limit Price (if any) &amp; Password input correct</v>
      </c>
      <c r="L632" s="30"/>
    </row>
    <row r="633">
      <c r="A633" s="5"/>
      <c r="B633" s="118">
        <f>IFERROR(__xludf.DUMMYFUNCTION("""COMPUTED_VALUE"""),44641.44479245371)</f>
        <v>44641.44479</v>
      </c>
      <c r="C633" s="120">
        <f>IFERROR(__xludf.DUMMYFUNCTION("""COMPUTED_VALUE"""),44641.666666666664)</f>
        <v>44641.66667</v>
      </c>
      <c r="D633" s="5" t="str">
        <f>IFERROR(__xludf.DUMMYFUNCTION("""COMPUTED_VALUE"""),"14626")</f>
        <v>14626</v>
      </c>
      <c r="E633" s="5" t="str">
        <f>IFERROR(__xludf.DUMMYFUNCTION("""COMPUTED_VALUE"""),"Stock")</f>
        <v>Stock</v>
      </c>
      <c r="F633" s="5" t="str">
        <f>IFERROR(__xludf.DUMMYFUNCTION("""COMPUTED_VALUE"""),"USD")</f>
        <v>USD</v>
      </c>
      <c r="G633" s="30" t="str">
        <f>IFERROR(__xludf.DUMMYFUNCTION("""COMPUTED_VALUE"""),"Email Account/ TraderID Recognized")</f>
        <v>Email Account/ TraderID Recognized</v>
      </c>
      <c r="H633" s="119" t="str">
        <f>IFERROR(__xludf.DUMMYFUNCTION("""COMPUTED_VALUE"""),"BA")</f>
        <v>BA</v>
      </c>
      <c r="I633" s="30">
        <f>IFERROR(__xludf.DUMMYFUNCTION("""COMPUTED_VALUE"""),500.0)</f>
        <v>500</v>
      </c>
      <c r="J633" s="30"/>
      <c r="K633" s="30" t="str">
        <f>IFERROR(__xludf.DUMMYFUNCTION("""COMPUTED_VALUE"""),"QTY, Limit Price (if any) &amp; Password input correct")</f>
        <v>QTY, Limit Price (if any) &amp; Password input correct</v>
      </c>
      <c r="L633" s="30"/>
    </row>
    <row r="634">
      <c r="A634" s="5"/>
      <c r="B634" s="118">
        <f>IFERROR(__xludf.DUMMYFUNCTION("""COMPUTED_VALUE"""),44641.4451650463)</f>
        <v>44641.44517</v>
      </c>
      <c r="C634" s="120">
        <f>IFERROR(__xludf.DUMMYFUNCTION("""COMPUTED_VALUE"""),44641.666666666664)</f>
        <v>44641.66667</v>
      </c>
      <c r="D634" s="5" t="str">
        <f>IFERROR(__xludf.DUMMYFUNCTION("""COMPUTED_VALUE"""),"14626")</f>
        <v>14626</v>
      </c>
      <c r="E634" s="5" t="str">
        <f>IFERROR(__xludf.DUMMYFUNCTION("""COMPUTED_VALUE"""),"Stock")</f>
        <v>Stock</v>
      </c>
      <c r="F634" s="5" t="str">
        <f>IFERROR(__xludf.DUMMYFUNCTION("""COMPUTED_VALUE"""),"USD")</f>
        <v>USD</v>
      </c>
      <c r="G634" s="30" t="str">
        <f>IFERROR(__xludf.DUMMYFUNCTION("""COMPUTED_VALUE"""),"Email Account/ TraderID Recognized")</f>
        <v>Email Account/ TraderID Recognized</v>
      </c>
      <c r="H634" s="119" t="str">
        <f>IFERROR(__xludf.DUMMYFUNCTION("""COMPUTED_VALUE"""),"MMM")</f>
        <v>MMM</v>
      </c>
      <c r="I634" s="30">
        <f>IFERROR(__xludf.DUMMYFUNCTION("""COMPUTED_VALUE"""),500.0)</f>
        <v>500</v>
      </c>
      <c r="J634" s="30"/>
      <c r="K634" s="30" t="str">
        <f>IFERROR(__xludf.DUMMYFUNCTION("""COMPUTED_VALUE"""),"QTY, Limit Price (if any) &amp; Password input correct")</f>
        <v>QTY, Limit Price (if any) &amp; Password input correct</v>
      </c>
      <c r="L634" s="30"/>
    </row>
    <row r="635">
      <c r="A635" s="5"/>
      <c r="B635" s="118">
        <f>IFERROR(__xludf.DUMMYFUNCTION("""COMPUTED_VALUE"""),44641.445818865745)</f>
        <v>44641.44582</v>
      </c>
      <c r="C635" s="120">
        <f>IFERROR(__xludf.DUMMYFUNCTION("""COMPUTED_VALUE"""),44641.666666666664)</f>
        <v>44641.66667</v>
      </c>
      <c r="D635" s="5" t="str">
        <f>IFERROR(__xludf.DUMMYFUNCTION("""COMPUTED_VALUE"""),"14626")</f>
        <v>14626</v>
      </c>
      <c r="E635" s="5" t="str">
        <f>IFERROR(__xludf.DUMMYFUNCTION("""COMPUTED_VALUE"""),"Stock")</f>
        <v>Stock</v>
      </c>
      <c r="F635" s="5" t="str">
        <f>IFERROR(__xludf.DUMMYFUNCTION("""COMPUTED_VALUE"""),"USD")</f>
        <v>USD</v>
      </c>
      <c r="G635" s="30" t="str">
        <f>IFERROR(__xludf.DUMMYFUNCTION("""COMPUTED_VALUE"""),"Email Account/ TraderID Recognized")</f>
        <v>Email Account/ TraderID Recognized</v>
      </c>
      <c r="H635" s="119" t="str">
        <f>IFERROR(__xludf.DUMMYFUNCTION("""COMPUTED_VALUE"""),"AMC")</f>
        <v>AMC</v>
      </c>
      <c r="I635" s="30">
        <f>IFERROR(__xludf.DUMMYFUNCTION("""COMPUTED_VALUE"""),500.0)</f>
        <v>500</v>
      </c>
      <c r="J635" s="30"/>
      <c r="K635" s="30" t="str">
        <f>IFERROR(__xludf.DUMMYFUNCTION("""COMPUTED_VALUE"""),"QTY, Limit Price (if any) &amp; Password input correct")</f>
        <v>QTY, Limit Price (if any) &amp; Password input correct</v>
      </c>
      <c r="L635" s="30"/>
    </row>
    <row r="636">
      <c r="A636" s="5"/>
      <c r="B636" s="118">
        <f>IFERROR(__xludf.DUMMYFUNCTION("""COMPUTED_VALUE"""),44641.50917525463)</f>
        <v>44641.50918</v>
      </c>
      <c r="C636" s="120" t="str">
        <f>IFERROR(__xludf.DUMMYFUNCTION("""COMPUTED_VALUE"""),"")</f>
        <v/>
      </c>
      <c r="D636" s="5" t="str">
        <f>IFERROR(__xludf.DUMMYFUNCTION("""COMPUTED_VALUE"""),"")</f>
        <v/>
      </c>
      <c r="E636" s="5" t="str">
        <f>IFERROR(__xludf.DUMMYFUNCTION("""COMPUTED_VALUE"""),"Stock")</f>
        <v>Stock</v>
      </c>
      <c r="F636" s="5" t="str">
        <f>IFERROR(__xludf.DUMMYFUNCTION("""COMPUTED_VALUE"""),"error")</f>
        <v>error</v>
      </c>
      <c r="G636" s="30" t="str">
        <f>IFERROR(__xludf.DUMMYFUNCTION("""COMPUTED_VALUE"""),"s127xxxxxx@nonHKMUemail")</f>
        <v>s127xxxxxx@nonHKMUemail</v>
      </c>
      <c r="H636" s="119" t="str">
        <f>IFERROR(__xludf.DUMMYFUNCTION("""COMPUTED_VALUE"""),"2820")</f>
        <v>2820</v>
      </c>
      <c r="I636" s="30" t="str">
        <f>IFERROR(__xludf.DUMMYFUNCTION("""COMPUTED_VALUE"""),"50units")</f>
        <v>50units</v>
      </c>
      <c r="J636" s="30"/>
      <c r="K636" s="30" t="str">
        <f>IFERROR(__xludf.DUMMYFUNCTION("""COMPUTED_VALUE"""),"Non-number input in Quantity or Limit Price")</f>
        <v>Non-number input in Quantity or Limit Price</v>
      </c>
      <c r="L636" s="30" t="str">
        <f>IFERROR(__xludf.DUMMYFUNCTION("""COMPUTED_VALUE"""),"Order rejected due to wrong ticker code and password.")</f>
        <v>Order rejected due to wrong ticker code and password.</v>
      </c>
    </row>
    <row r="637">
      <c r="A637" s="5"/>
      <c r="B637" s="118">
        <f>IFERROR(__xludf.DUMMYFUNCTION("""COMPUTED_VALUE"""),44641.58221443287)</f>
        <v>44641.58221</v>
      </c>
      <c r="C637" s="120">
        <f>IFERROR(__xludf.DUMMYFUNCTION("""COMPUTED_VALUE"""),44641.666666666664)</f>
        <v>44641.66667</v>
      </c>
      <c r="D637" s="5" t="str">
        <f>IFERROR(__xludf.DUMMYFUNCTION("""COMPUTED_VALUE"""),"95516")</f>
        <v>95516</v>
      </c>
      <c r="E637" s="5" t="str">
        <f>IFERROR(__xludf.DUMMYFUNCTION("""COMPUTED_VALUE"""),"Stock")</f>
        <v>Stock</v>
      </c>
      <c r="F637" s="5" t="str">
        <f>IFERROR(__xludf.DUMMYFUNCTION("""COMPUTED_VALUE"""),"HKD")</f>
        <v>HKD</v>
      </c>
      <c r="G637" s="30" t="str">
        <f>IFERROR(__xludf.DUMMYFUNCTION("""COMPUTED_VALUE"""),"Email Account/ TraderID Recognized")</f>
        <v>Email Account/ TraderID Recognized</v>
      </c>
      <c r="H637" s="121" t="str">
        <f>IFERROR(__xludf.DUMMYFUNCTION("""COMPUTED_VALUE"""),"9988.HK")</f>
        <v>9988.HK</v>
      </c>
      <c r="I637" s="30">
        <f>IFERROR(__xludf.DUMMYFUNCTION("""COMPUTED_VALUE"""),1500.0)</f>
        <v>1500</v>
      </c>
      <c r="J637" s="30"/>
      <c r="K637" s="30" t="str">
        <f>IFERROR(__xludf.DUMMYFUNCTION("""COMPUTED_VALUE"""),"QTY, Limit Price (if any) &amp; Password input correct")</f>
        <v>QTY, Limit Price (if any) &amp; Password input correct</v>
      </c>
      <c r="L637" s="30"/>
    </row>
    <row r="638">
      <c r="A638" s="5"/>
      <c r="B638" s="118">
        <f>IFERROR(__xludf.DUMMYFUNCTION("""COMPUTED_VALUE"""),44641.586381064815)</f>
        <v>44641.58638</v>
      </c>
      <c r="C638" s="120">
        <f>IFERROR(__xludf.DUMMYFUNCTION("""COMPUTED_VALUE"""),44641.666666666664)</f>
        <v>44641.66667</v>
      </c>
      <c r="D638" s="5" t="str">
        <f>IFERROR(__xludf.DUMMYFUNCTION("""COMPUTED_VALUE"""),"75288")</f>
        <v>75288</v>
      </c>
      <c r="E638" s="5" t="str">
        <f>IFERROR(__xludf.DUMMYFUNCTION("""COMPUTED_VALUE"""),"Stock")</f>
        <v>Stock</v>
      </c>
      <c r="F638" s="5" t="str">
        <f>IFERROR(__xludf.DUMMYFUNCTION("""COMPUTED_VALUE"""),"HKD")</f>
        <v>HKD</v>
      </c>
      <c r="G638" s="30" t="str">
        <f>IFERROR(__xludf.DUMMYFUNCTION("""COMPUTED_VALUE"""),"Email Account/ TraderID Recognized")</f>
        <v>Email Account/ TraderID Recognized</v>
      </c>
      <c r="H638" s="121" t="str">
        <f>IFERROR(__xludf.DUMMYFUNCTION("""COMPUTED_VALUE"""),"0700.HK")</f>
        <v>0700.HK</v>
      </c>
      <c r="I638" s="30">
        <f>IFERROR(__xludf.DUMMYFUNCTION("""COMPUTED_VALUE"""),150.0)</f>
        <v>150</v>
      </c>
      <c r="J638" s="30"/>
      <c r="K638" s="30" t="str">
        <f>IFERROR(__xludf.DUMMYFUNCTION("""COMPUTED_VALUE"""),"QTY, Limit Price (if any) &amp; Password input correct")</f>
        <v>QTY, Limit Price (if any) &amp; Password input correct</v>
      </c>
      <c r="L638" s="30"/>
    </row>
    <row r="639">
      <c r="A639" s="5"/>
      <c r="B639" s="118">
        <f>IFERROR(__xludf.DUMMYFUNCTION("""COMPUTED_VALUE"""),44641.59105725694)</f>
        <v>44641.59106</v>
      </c>
      <c r="C639" s="120">
        <f>IFERROR(__xludf.DUMMYFUNCTION("""COMPUTED_VALUE"""),44641.666666666664)</f>
        <v>44641.66667</v>
      </c>
      <c r="D639" s="5" t="str">
        <f>IFERROR(__xludf.DUMMYFUNCTION("""COMPUTED_VALUE"""),"75288")</f>
        <v>75288</v>
      </c>
      <c r="E639" s="5" t="str">
        <f>IFERROR(__xludf.DUMMYFUNCTION("""COMPUTED_VALUE"""),"Stock")</f>
        <v>Stock</v>
      </c>
      <c r="F639" s="5" t="str">
        <f>IFERROR(__xludf.DUMMYFUNCTION("""COMPUTED_VALUE"""),"HKD")</f>
        <v>HKD</v>
      </c>
      <c r="G639" s="30" t="str">
        <f>IFERROR(__xludf.DUMMYFUNCTION("""COMPUTED_VALUE"""),"Email Account/ TraderID Recognized")</f>
        <v>Email Account/ TraderID Recognized</v>
      </c>
      <c r="H639" s="121" t="str">
        <f>IFERROR(__xludf.DUMMYFUNCTION("""COMPUTED_VALUE"""),"9868.HK")</f>
        <v>9868.HK</v>
      </c>
      <c r="I639" s="30">
        <f>IFERROR(__xludf.DUMMYFUNCTION("""COMPUTED_VALUE"""),450.0)</f>
        <v>450</v>
      </c>
      <c r="J639" s="30"/>
      <c r="K639" s="30" t="str">
        <f>IFERROR(__xludf.DUMMYFUNCTION("""COMPUTED_VALUE"""),"QTY, Limit Price (if any) &amp; Password input correct")</f>
        <v>QTY, Limit Price (if any) &amp; Password input correct</v>
      </c>
      <c r="L639" s="30"/>
    </row>
    <row r="640">
      <c r="A640" s="5"/>
      <c r="B640" s="118">
        <f>IFERROR(__xludf.DUMMYFUNCTION("""COMPUTED_VALUE"""),44641.598847939815)</f>
        <v>44641.59885</v>
      </c>
      <c r="C640" s="120">
        <f>IFERROR(__xludf.DUMMYFUNCTION("""COMPUTED_VALUE"""),44641.666666666664)</f>
        <v>44641.66667</v>
      </c>
      <c r="D640" s="5" t="str">
        <f>IFERROR(__xludf.DUMMYFUNCTION("""COMPUTED_VALUE"""),"75415")</f>
        <v>75415</v>
      </c>
      <c r="E640" s="5" t="str">
        <f>IFERROR(__xludf.DUMMYFUNCTION("""COMPUTED_VALUE"""),"Stock")</f>
        <v>Stock</v>
      </c>
      <c r="F640" s="5" t="str">
        <f>IFERROR(__xludf.DUMMYFUNCTION("""COMPUTED_VALUE"""),"USD")</f>
        <v>USD</v>
      </c>
      <c r="G640" s="30" t="str">
        <f>IFERROR(__xludf.DUMMYFUNCTION("""COMPUTED_VALUE"""),"Email Account/ TraderID Recognized")</f>
        <v>Email Account/ TraderID Recognized</v>
      </c>
      <c r="H640" s="119" t="str">
        <f>IFERROR(__xludf.DUMMYFUNCTION("""COMPUTED_VALUE"""),"UVXY")</f>
        <v>UVXY</v>
      </c>
      <c r="I640" s="30">
        <f>IFERROR(__xludf.DUMMYFUNCTION("""COMPUTED_VALUE"""),1000.0)</f>
        <v>1000</v>
      </c>
      <c r="J640" s="30"/>
      <c r="K640" s="30" t="str">
        <f>IFERROR(__xludf.DUMMYFUNCTION("""COMPUTED_VALUE"""),"QTY, Limit Price (if any) &amp; Password input correct")</f>
        <v>QTY, Limit Price (if any) &amp; Password input correct</v>
      </c>
      <c r="L640" s="30"/>
    </row>
    <row r="641">
      <c r="A641" s="5"/>
      <c r="B641" s="118">
        <f>IFERROR(__xludf.DUMMYFUNCTION("""COMPUTED_VALUE"""),44641.60760430555)</f>
        <v>44641.6076</v>
      </c>
      <c r="C641" s="120">
        <f>IFERROR(__xludf.DUMMYFUNCTION("""COMPUTED_VALUE"""),44641.625)</f>
        <v>44641.625</v>
      </c>
      <c r="D641" s="5" t="str">
        <f>IFERROR(__xludf.DUMMYFUNCTION("""COMPUTED_VALUE"""),"40433")</f>
        <v>40433</v>
      </c>
      <c r="E641" s="5" t="str">
        <f>IFERROR(__xludf.DUMMYFUNCTION("""COMPUTED_VALUE"""),"Stock")</f>
        <v>Stock</v>
      </c>
      <c r="F641" s="5" t="str">
        <f>IFERROR(__xludf.DUMMYFUNCTION("""COMPUTED_VALUE"""),"SAR")</f>
        <v>SAR</v>
      </c>
      <c r="G641" s="30" t="str">
        <f>IFERROR(__xludf.DUMMYFUNCTION("""COMPUTED_VALUE"""),"Email Account/ TraderID Recognized")</f>
        <v>Email Account/ TraderID Recognized</v>
      </c>
      <c r="H641" s="121" t="str">
        <f>IFERROR(__xludf.DUMMYFUNCTION("""COMPUTED_VALUE"""),"2222.SR")</f>
        <v>2222.SR</v>
      </c>
      <c r="I641" s="30">
        <f>IFERROR(__xludf.DUMMYFUNCTION("""COMPUTED_VALUE"""),10.0)</f>
        <v>10</v>
      </c>
      <c r="J641" s="30"/>
      <c r="K641" s="30" t="str">
        <f>IFERROR(__xludf.DUMMYFUNCTION("""COMPUTED_VALUE"""),"QTY, Limit Price (if any) &amp; Password input correct")</f>
        <v>QTY, Limit Price (if any) &amp; Password input correct</v>
      </c>
      <c r="L641" s="30"/>
    </row>
    <row r="642">
      <c r="A642" s="5"/>
      <c r="B642" s="118">
        <f>IFERROR(__xludf.DUMMYFUNCTION("""COMPUTED_VALUE"""),44641.608770833336)</f>
        <v>44641.60877</v>
      </c>
      <c r="C642" s="120">
        <f>IFERROR(__xludf.DUMMYFUNCTION("""COMPUTED_VALUE"""),44641.666666666664)</f>
        <v>44641.66667</v>
      </c>
      <c r="D642" s="5" t="str">
        <f>IFERROR(__xludf.DUMMYFUNCTION("""COMPUTED_VALUE"""),"40433")</f>
        <v>40433</v>
      </c>
      <c r="E642" s="5" t="str">
        <f>IFERROR(__xludf.DUMMYFUNCTION("""COMPUTED_VALUE"""),"Stock")</f>
        <v>Stock</v>
      </c>
      <c r="F642" s="5" t="str">
        <f>IFERROR(__xludf.DUMMYFUNCTION("""COMPUTED_VALUE"""),"USD")</f>
        <v>USD</v>
      </c>
      <c r="G642" s="30" t="str">
        <f>IFERROR(__xludf.DUMMYFUNCTION("""COMPUTED_VALUE"""),"Email Account/ TraderID Recognized")</f>
        <v>Email Account/ TraderID Recognized</v>
      </c>
      <c r="H642" s="119" t="str">
        <f>IFERROR(__xludf.DUMMYFUNCTION("""COMPUTED_VALUE"""),"GOLD")</f>
        <v>GOLD</v>
      </c>
      <c r="I642" s="30">
        <f>IFERROR(__xludf.DUMMYFUNCTION("""COMPUTED_VALUE"""),5.0)</f>
        <v>5</v>
      </c>
      <c r="J642" s="30"/>
      <c r="K642" s="30" t="str">
        <f>IFERROR(__xludf.DUMMYFUNCTION("""COMPUTED_VALUE"""),"QTY, Limit Price (if any) &amp; Password input correct")</f>
        <v>QTY, Limit Price (if any) &amp; Password input correct</v>
      </c>
      <c r="L642" s="30"/>
    </row>
    <row r="643">
      <c r="A643" s="5"/>
      <c r="B643" s="118">
        <f>IFERROR(__xludf.DUMMYFUNCTION("""COMPUTED_VALUE"""),44641.659283877314)</f>
        <v>44641.65928</v>
      </c>
      <c r="C643" s="120">
        <f>IFERROR(__xludf.DUMMYFUNCTION("""COMPUTED_VALUE"""),44641.666666666664)</f>
        <v>44641.66667</v>
      </c>
      <c r="D643" s="5" t="str">
        <f>IFERROR(__xludf.DUMMYFUNCTION("""COMPUTED_VALUE"""),"76796")</f>
        <v>76796</v>
      </c>
      <c r="E643" s="5" t="str">
        <f>IFERROR(__xludf.DUMMYFUNCTION("""COMPUTED_VALUE"""),"Stock")</f>
        <v>Stock</v>
      </c>
      <c r="F643" s="5" t="str">
        <f>IFERROR(__xludf.DUMMYFUNCTION("""COMPUTED_VALUE"""),"USD")</f>
        <v>USD</v>
      </c>
      <c r="G643" s="30" t="str">
        <f>IFERROR(__xludf.DUMMYFUNCTION("""COMPUTED_VALUE"""),"Email Account/ TraderID Recognized")</f>
        <v>Email Account/ TraderID Recognized</v>
      </c>
      <c r="H643" s="119" t="str">
        <f>IFERROR(__xludf.DUMMYFUNCTION("""COMPUTED_VALUE"""),"MSFT")</f>
        <v>MSFT</v>
      </c>
      <c r="I643" s="30">
        <f>IFERROR(__xludf.DUMMYFUNCTION("""COMPUTED_VALUE"""),1000.0)</f>
        <v>1000</v>
      </c>
      <c r="J643" s="30"/>
      <c r="K643" s="30" t="str">
        <f>IFERROR(__xludf.DUMMYFUNCTION("""COMPUTED_VALUE"""),"QTY, Limit Price (if any) &amp; Password input correct")</f>
        <v>QTY, Limit Price (if any) &amp; Password input correct</v>
      </c>
      <c r="L643" s="30"/>
    </row>
    <row r="644">
      <c r="A644" s="5"/>
      <c r="B644" s="118">
        <f>IFERROR(__xludf.DUMMYFUNCTION("""COMPUTED_VALUE"""),44641.67740262732)</f>
        <v>44641.6774</v>
      </c>
      <c r="C644" s="120">
        <f>IFERROR(__xludf.DUMMYFUNCTION("""COMPUTED_VALUE"""),44642.666666666664)</f>
        <v>44642.66667</v>
      </c>
      <c r="D644" s="5" t="str">
        <f>IFERROR(__xludf.DUMMYFUNCTION("""COMPUTED_VALUE"""),"38758")</f>
        <v>38758</v>
      </c>
      <c r="E644" s="5" t="str">
        <f>IFERROR(__xludf.DUMMYFUNCTION("""COMPUTED_VALUE"""),"Stock")</f>
        <v>Stock</v>
      </c>
      <c r="F644" s="5" t="str">
        <f>IFERROR(__xludf.DUMMYFUNCTION("""COMPUTED_VALUE"""),"HKD")</f>
        <v>HKD</v>
      </c>
      <c r="G644" s="30" t="str">
        <f>IFERROR(__xludf.DUMMYFUNCTION("""COMPUTED_VALUE"""),"Email Account/ TraderID Recognized")</f>
        <v>Email Account/ TraderID Recognized</v>
      </c>
      <c r="H644" s="121" t="str">
        <f>IFERROR(__xludf.DUMMYFUNCTION("""COMPUTED_VALUE"""),"0700.HK")</f>
        <v>0700.HK</v>
      </c>
      <c r="I644" s="30">
        <f>IFERROR(__xludf.DUMMYFUNCTION("""COMPUTED_VALUE"""),20.0)</f>
        <v>20</v>
      </c>
      <c r="J644" s="30">
        <f>IFERROR(__xludf.DUMMYFUNCTION("""COMPUTED_VALUE"""),375.0)</f>
        <v>375</v>
      </c>
      <c r="K644" s="30" t="str">
        <f>IFERROR(__xludf.DUMMYFUNCTION("""COMPUTED_VALUE"""),"QTY, Limit Price (if any) &amp; Password input correct")</f>
        <v>QTY, Limit Price (if any) &amp; Password input correct</v>
      </c>
      <c r="L644" s="30"/>
    </row>
    <row r="645">
      <c r="A645" s="5"/>
      <c r="B645" s="118">
        <f>IFERROR(__xludf.DUMMYFUNCTION("""COMPUTED_VALUE"""),44641.681097187495)</f>
        <v>44641.6811</v>
      </c>
      <c r="C645" s="120">
        <f>IFERROR(__xludf.DUMMYFUNCTION("""COMPUTED_VALUE"""),44642.666666666664)</f>
        <v>44642.66667</v>
      </c>
      <c r="D645" s="5" t="str">
        <f>IFERROR(__xludf.DUMMYFUNCTION("""COMPUTED_VALUE"""),"75369")</f>
        <v>75369</v>
      </c>
      <c r="E645" s="5" t="str">
        <f>IFERROR(__xludf.DUMMYFUNCTION("""COMPUTED_VALUE"""),"Stock")</f>
        <v>Stock</v>
      </c>
      <c r="F645" s="5" t="str">
        <f>IFERROR(__xludf.DUMMYFUNCTION("""COMPUTED_VALUE"""),"HKD")</f>
        <v>HKD</v>
      </c>
      <c r="G645" s="30" t="str">
        <f>IFERROR(__xludf.DUMMYFUNCTION("""COMPUTED_VALUE"""),"Email Account/ TraderID Recognized")</f>
        <v>Email Account/ TraderID Recognized</v>
      </c>
      <c r="H645" s="121" t="str">
        <f>IFERROR(__xludf.DUMMYFUNCTION("""COMPUTED_VALUE"""),"1810.hk")</f>
        <v>1810.hk</v>
      </c>
      <c r="I645" s="30" t="str">
        <f>IFERROR(__xludf.DUMMYFUNCTION("""COMPUTED_VALUE"""),"20units")</f>
        <v>20units</v>
      </c>
      <c r="J645" s="30"/>
      <c r="K645" s="30" t="str">
        <f>IFERROR(__xludf.DUMMYFUNCTION("""COMPUTED_VALUE"""),"Non-number input in Quantity or Limit Price")</f>
        <v>Non-number input in Quantity or Limit Price</v>
      </c>
      <c r="L645" s="30" t="str">
        <f>IFERROR(__xludf.DUMMYFUNCTION("""COMPUTED_VALUE"""),"Order rejected due to wrong password")</f>
        <v>Order rejected due to wrong password</v>
      </c>
    </row>
    <row r="646">
      <c r="A646" s="5"/>
      <c r="B646" s="118">
        <f>IFERROR(__xludf.DUMMYFUNCTION("""COMPUTED_VALUE"""),44641.69165087963)</f>
        <v>44641.69165</v>
      </c>
      <c r="C646" s="120">
        <f>IFERROR(__xludf.DUMMYFUNCTION("""COMPUTED_VALUE"""),44642.625)</f>
        <v>44642.625</v>
      </c>
      <c r="D646" s="5" t="str">
        <f>IFERROR(__xludf.DUMMYFUNCTION("""COMPUTED_VALUE"""),"38758")</f>
        <v>38758</v>
      </c>
      <c r="E646" s="5" t="str">
        <f>IFERROR(__xludf.DUMMYFUNCTION("""COMPUTED_VALUE"""),"Stock")</f>
        <v>Stock</v>
      </c>
      <c r="F646" s="5" t="str">
        <f>IFERROR(__xludf.DUMMYFUNCTION("""COMPUTED_VALUE"""),"CNY")</f>
        <v>CNY</v>
      </c>
      <c r="G646" s="30" t="str">
        <f>IFERROR(__xludf.DUMMYFUNCTION("""COMPUTED_VALUE"""),"Email Account/ TraderID Recognized")</f>
        <v>Email Account/ TraderID Recognized</v>
      </c>
      <c r="H646" s="121" t="str">
        <f>IFERROR(__xludf.DUMMYFUNCTION("""COMPUTED_VALUE"""),"600519.SS")</f>
        <v>600519.SS</v>
      </c>
      <c r="I646" s="30">
        <f>IFERROR(__xludf.DUMMYFUNCTION("""COMPUTED_VALUE"""),15.0)</f>
        <v>15</v>
      </c>
      <c r="J646" s="30">
        <f>IFERROR(__xludf.DUMMYFUNCTION("""COMPUTED_VALUE"""),1600.0)</f>
        <v>1600</v>
      </c>
      <c r="K646" s="30" t="str">
        <f>IFERROR(__xludf.DUMMYFUNCTION("""COMPUTED_VALUE"""),"QTY, Limit Price (if any) &amp; Password input correct")</f>
        <v>QTY, Limit Price (if any) &amp; Password input correct</v>
      </c>
      <c r="L646" s="30"/>
    </row>
    <row r="647">
      <c r="A647" s="5"/>
      <c r="B647" s="118">
        <f>IFERROR(__xludf.DUMMYFUNCTION("""COMPUTED_VALUE"""),44641.697683715276)</f>
        <v>44641.69768</v>
      </c>
      <c r="C647" s="120">
        <f>IFERROR(__xludf.DUMMYFUNCTION("""COMPUTED_VALUE"""),44641.666666666664)</f>
        <v>44641.66667</v>
      </c>
      <c r="D647" s="5" t="str">
        <f>IFERROR(__xludf.DUMMYFUNCTION("""COMPUTED_VALUE"""),"40105")</f>
        <v>40105</v>
      </c>
      <c r="E647" s="5" t="str">
        <f>IFERROR(__xludf.DUMMYFUNCTION("""COMPUTED_VALUE"""),"Bond")</f>
        <v>Bond</v>
      </c>
      <c r="F647" s="5" t="str">
        <f>IFERROR(__xludf.DUMMYFUNCTION("""COMPUTED_VALUE"""),"USD")</f>
        <v>USD</v>
      </c>
      <c r="G647" s="30" t="str">
        <f>IFERROR(__xludf.DUMMYFUNCTION("""COMPUTED_VALUE"""),"Email Account/ TraderID Recognized")</f>
        <v>Email Account/ TraderID Recognized</v>
      </c>
      <c r="H647" s="119" t="str">
        <f>IFERROR(__xludf.DUMMYFUNCTION("""COMPUTED_VALUE"""),"US88032XAE40")</f>
        <v>US88032XAE40</v>
      </c>
      <c r="I647" s="30">
        <f>IFERROR(__xludf.DUMMYFUNCTION("""COMPUTED_VALUE"""),100.0)</f>
        <v>100</v>
      </c>
      <c r="J647" s="30"/>
      <c r="K647" s="30" t="str">
        <f>IFERROR(__xludf.DUMMYFUNCTION("""COMPUTED_VALUE"""),"QTY, Limit Price (if any) &amp; Password input correct")</f>
        <v>QTY, Limit Price (if any) &amp; Password input correct</v>
      </c>
      <c r="L647" s="30"/>
    </row>
    <row r="648">
      <c r="A648" s="5"/>
      <c r="B648" s="118">
        <f>IFERROR(__xludf.DUMMYFUNCTION("""COMPUTED_VALUE"""),44641.750560775465)</f>
        <v>44641.75056</v>
      </c>
      <c r="C648" s="120">
        <f>IFERROR(__xludf.DUMMYFUNCTION("""COMPUTED_VALUE"""),44641.666666666664)</f>
        <v>44641.66667</v>
      </c>
      <c r="D648" s="5" t="str">
        <f>IFERROR(__xludf.DUMMYFUNCTION("""COMPUTED_VALUE"""),"40318")</f>
        <v>40318</v>
      </c>
      <c r="E648" s="5" t="str">
        <f>IFERROR(__xludf.DUMMYFUNCTION("""COMPUTED_VALUE"""),"Stock")</f>
        <v>Stock</v>
      </c>
      <c r="F648" s="5" t="str">
        <f>IFERROR(__xludf.DUMMYFUNCTION("""COMPUTED_VALUE"""),"USD")</f>
        <v>USD</v>
      </c>
      <c r="G648" s="30" t="str">
        <f>IFERROR(__xludf.DUMMYFUNCTION("""COMPUTED_VALUE"""),"Email Account/ TraderID Recognized")</f>
        <v>Email Account/ TraderID Recognized</v>
      </c>
      <c r="H648" s="119" t="str">
        <f>IFERROR(__xludf.DUMMYFUNCTION("""COMPUTED_VALUE"""),"BA")</f>
        <v>BA</v>
      </c>
      <c r="I648" s="30">
        <f>IFERROR(__xludf.DUMMYFUNCTION("""COMPUTED_VALUE"""),160.0)</f>
        <v>160</v>
      </c>
      <c r="J648" s="30">
        <f>IFERROR(__xludf.DUMMYFUNCTION("""COMPUTED_VALUE"""),150.0)</f>
        <v>150</v>
      </c>
      <c r="K648" s="30" t="str">
        <f>IFERROR(__xludf.DUMMYFUNCTION("""COMPUTED_VALUE"""),"QTY, Limit Price (if any) &amp; Password input correct")</f>
        <v>QTY, Limit Price (if any) &amp; Password input correct</v>
      </c>
      <c r="L648" s="30"/>
    </row>
    <row r="649">
      <c r="A649" s="5"/>
      <c r="B649" s="118">
        <f>IFERROR(__xludf.DUMMYFUNCTION("""COMPUTED_VALUE"""),44641.761952002315)</f>
        <v>44641.76195</v>
      </c>
      <c r="C649" s="120">
        <f>IFERROR(__xludf.DUMMYFUNCTION("""COMPUTED_VALUE"""),44642.666666666664)</f>
        <v>44642.66667</v>
      </c>
      <c r="D649" s="5" t="str">
        <f>IFERROR(__xludf.DUMMYFUNCTION("""COMPUTED_VALUE"""),"39441")</f>
        <v>39441</v>
      </c>
      <c r="E649" s="5" t="str">
        <f>IFERROR(__xludf.DUMMYFUNCTION("""COMPUTED_VALUE"""),"Stock")</f>
        <v>Stock</v>
      </c>
      <c r="F649" s="5" t="str">
        <f>IFERROR(__xludf.DUMMYFUNCTION("""COMPUTED_VALUE"""),"HKD")</f>
        <v>HKD</v>
      </c>
      <c r="G649" s="30" t="str">
        <f>IFERROR(__xludf.DUMMYFUNCTION("""COMPUTED_VALUE"""),"Email Account/ TraderID Recognized")</f>
        <v>Email Account/ TraderID Recognized</v>
      </c>
      <c r="H649" s="121" t="str">
        <f>IFERROR(__xludf.DUMMYFUNCTION("""COMPUTED_VALUE"""),"0700.HK")</f>
        <v>0700.HK</v>
      </c>
      <c r="I649" s="30">
        <f>IFERROR(__xludf.DUMMYFUNCTION("""COMPUTED_VALUE"""),10.0)</f>
        <v>10</v>
      </c>
      <c r="J649" s="30">
        <f>IFERROR(__xludf.DUMMYFUNCTION("""COMPUTED_VALUE"""),372.4)</f>
        <v>372.4</v>
      </c>
      <c r="K649" s="30" t="str">
        <f>IFERROR(__xludf.DUMMYFUNCTION("""COMPUTED_VALUE"""),"QTY, Limit Price (if any) &amp; Password input correct")</f>
        <v>QTY, Limit Price (if any) &amp; Password input correct</v>
      </c>
      <c r="L649" s="30"/>
    </row>
    <row r="650">
      <c r="A650" s="5"/>
      <c r="B650" s="118">
        <f>IFERROR(__xludf.DUMMYFUNCTION("""COMPUTED_VALUE"""),44641.77747606482)</f>
        <v>44641.77748</v>
      </c>
      <c r="C650" s="120">
        <f>IFERROR(__xludf.DUMMYFUNCTION("""COMPUTED_VALUE"""),44641.666666666664)</f>
        <v>44641.66667</v>
      </c>
      <c r="D650" s="5" t="str">
        <f>IFERROR(__xludf.DUMMYFUNCTION("""COMPUTED_VALUE"""),"39441")</f>
        <v>39441</v>
      </c>
      <c r="E650" s="5" t="str">
        <f>IFERROR(__xludf.DUMMYFUNCTION("""COMPUTED_VALUE"""),"Stock")</f>
        <v>Stock</v>
      </c>
      <c r="F650" s="5" t="str">
        <f>IFERROR(__xludf.DUMMYFUNCTION("""COMPUTED_VALUE"""),"USD")</f>
        <v>USD</v>
      </c>
      <c r="G650" s="30" t="str">
        <f>IFERROR(__xludf.DUMMYFUNCTION("""COMPUTED_VALUE"""),"Email Account/ TraderID Recognized")</f>
        <v>Email Account/ TraderID Recognized</v>
      </c>
      <c r="H650" s="119" t="str">
        <f>IFERROR(__xludf.DUMMYFUNCTION("""COMPUTED_VALUE"""),"AMZN")</f>
        <v>AMZN</v>
      </c>
      <c r="I650" s="30">
        <f>IFERROR(__xludf.DUMMYFUNCTION("""COMPUTED_VALUE"""),50.0)</f>
        <v>50</v>
      </c>
      <c r="J650" s="30"/>
      <c r="K650" s="30" t="str">
        <f>IFERROR(__xludf.DUMMYFUNCTION("""COMPUTED_VALUE"""),"QTY, Limit Price (if any) &amp; Password input correct")</f>
        <v>QTY, Limit Price (if any) &amp; Password input correct</v>
      </c>
      <c r="L650" s="30"/>
    </row>
    <row r="651">
      <c r="A651" s="5"/>
      <c r="B651" s="118">
        <f>IFERROR(__xludf.DUMMYFUNCTION("""COMPUTED_VALUE"""),44641.78139396991)</f>
        <v>44641.78139</v>
      </c>
      <c r="C651" s="120">
        <f>IFERROR(__xludf.DUMMYFUNCTION("""COMPUTED_VALUE"""),44641.666666666664)</f>
        <v>44641.66667</v>
      </c>
      <c r="D651" s="5" t="str">
        <f>IFERROR(__xludf.DUMMYFUNCTION("""COMPUTED_VALUE"""),"39441")</f>
        <v>39441</v>
      </c>
      <c r="E651" s="5" t="str">
        <f>IFERROR(__xludf.DUMMYFUNCTION("""COMPUTED_VALUE"""),"Stock")</f>
        <v>Stock</v>
      </c>
      <c r="F651" s="5" t="str">
        <f>IFERROR(__xludf.DUMMYFUNCTION("""COMPUTED_VALUE"""),"USD")</f>
        <v>USD</v>
      </c>
      <c r="G651" s="30" t="str">
        <f>IFERROR(__xludf.DUMMYFUNCTION("""COMPUTED_VALUE"""),"Email Account/ TraderID Recognized")</f>
        <v>Email Account/ TraderID Recognized</v>
      </c>
      <c r="H651" s="119" t="str">
        <f>IFERROR(__xludf.DUMMYFUNCTION("""COMPUTED_VALUE"""),"AAPL")</f>
        <v>AAPL</v>
      </c>
      <c r="I651" s="30">
        <f>IFERROR(__xludf.DUMMYFUNCTION("""COMPUTED_VALUE"""),100.0)</f>
        <v>100</v>
      </c>
      <c r="J651" s="30"/>
      <c r="K651" s="30" t="str">
        <f>IFERROR(__xludf.DUMMYFUNCTION("""COMPUTED_VALUE"""),"QTY, Limit Price (if any) &amp; Password input correct")</f>
        <v>QTY, Limit Price (if any) &amp; Password input correct</v>
      </c>
      <c r="L651" s="30"/>
    </row>
    <row r="652">
      <c r="A652" s="5"/>
      <c r="B652" s="118">
        <f>IFERROR(__xludf.DUMMYFUNCTION("""COMPUTED_VALUE"""),44641.78376125)</f>
        <v>44641.78376</v>
      </c>
      <c r="C652" s="120">
        <f>IFERROR(__xludf.DUMMYFUNCTION("""COMPUTED_VALUE"""),44641.666666666664)</f>
        <v>44641.66667</v>
      </c>
      <c r="D652" s="5" t="str">
        <f>IFERROR(__xludf.DUMMYFUNCTION("""COMPUTED_VALUE"""),"39441")</f>
        <v>39441</v>
      </c>
      <c r="E652" s="5" t="str">
        <f>IFERROR(__xludf.DUMMYFUNCTION("""COMPUTED_VALUE"""),"Stock")</f>
        <v>Stock</v>
      </c>
      <c r="F652" s="5" t="str">
        <f>IFERROR(__xludf.DUMMYFUNCTION("""COMPUTED_VALUE"""),"USD")</f>
        <v>USD</v>
      </c>
      <c r="G652" s="30" t="str">
        <f>IFERROR(__xludf.DUMMYFUNCTION("""COMPUTED_VALUE"""),"Email Account/ TraderID Recognized")</f>
        <v>Email Account/ TraderID Recognized</v>
      </c>
      <c r="H652" s="119" t="str">
        <f>IFERROR(__xludf.DUMMYFUNCTION("""COMPUTED_VALUE"""),"BABA")</f>
        <v>BABA</v>
      </c>
      <c r="I652" s="30">
        <f>IFERROR(__xludf.DUMMYFUNCTION("""COMPUTED_VALUE"""),500.0)</f>
        <v>500</v>
      </c>
      <c r="J652" s="30"/>
      <c r="K652" s="30" t="str">
        <f>IFERROR(__xludf.DUMMYFUNCTION("""COMPUTED_VALUE"""),"QTY, Limit Price (if any) &amp; Password input correct")</f>
        <v>QTY, Limit Price (if any) &amp; Password input correct</v>
      </c>
      <c r="L652" s="30"/>
    </row>
    <row r="653">
      <c r="A653" s="5"/>
      <c r="B653" s="118">
        <f>IFERROR(__xludf.DUMMYFUNCTION("""COMPUTED_VALUE"""),44641.8495815162)</f>
        <v>44641.84958</v>
      </c>
      <c r="C653" s="120">
        <f>IFERROR(__xludf.DUMMYFUNCTION("""COMPUTED_VALUE"""),44641.666666666664)</f>
        <v>44641.66667</v>
      </c>
      <c r="D653" s="5" t="str">
        <f>IFERROR(__xludf.DUMMYFUNCTION("""COMPUTED_VALUE"""),"37400")</f>
        <v>37400</v>
      </c>
      <c r="E653" s="5" t="str">
        <f>IFERROR(__xludf.DUMMYFUNCTION("""COMPUTED_VALUE"""),"Stock")</f>
        <v>Stock</v>
      </c>
      <c r="F653" s="5" t="str">
        <f>IFERROR(__xludf.DUMMYFUNCTION("""COMPUTED_VALUE"""),"USD")</f>
        <v>USD</v>
      </c>
      <c r="G653" s="30" t="str">
        <f>IFERROR(__xludf.DUMMYFUNCTION("""COMPUTED_VALUE"""),"Email Account/ TraderID Recognized")</f>
        <v>Email Account/ TraderID Recognized</v>
      </c>
      <c r="H653" s="119" t="str">
        <f>IFERROR(__xludf.DUMMYFUNCTION("""COMPUTED_VALUE"""),"TSLA")</f>
        <v>TSLA</v>
      </c>
      <c r="I653" s="30">
        <f>IFERROR(__xludf.DUMMYFUNCTION("""COMPUTED_VALUE"""),36.0)</f>
        <v>36</v>
      </c>
      <c r="J653" s="30"/>
      <c r="K653" s="30" t="str">
        <f>IFERROR(__xludf.DUMMYFUNCTION("""COMPUTED_VALUE"""),"QTY, Limit Price (if any) &amp; Password input correct")</f>
        <v>QTY, Limit Price (if any) &amp; Password input correct</v>
      </c>
      <c r="L653" s="30"/>
    </row>
    <row r="654">
      <c r="A654" s="5"/>
      <c r="B654" s="118">
        <f>IFERROR(__xludf.DUMMYFUNCTION("""COMPUTED_VALUE"""),44641.85046402778)</f>
        <v>44641.85046</v>
      </c>
      <c r="C654" s="120">
        <f>IFERROR(__xludf.DUMMYFUNCTION("""COMPUTED_VALUE"""),44641.666666666664)</f>
        <v>44641.66667</v>
      </c>
      <c r="D654" s="5" t="str">
        <f>IFERROR(__xludf.DUMMYFUNCTION("""COMPUTED_VALUE"""),"39608")</f>
        <v>39608</v>
      </c>
      <c r="E654" s="5" t="str">
        <f>IFERROR(__xludf.DUMMYFUNCTION("""COMPUTED_VALUE"""),"Stock")</f>
        <v>Stock</v>
      </c>
      <c r="F654" s="5" t="str">
        <f>IFERROR(__xludf.DUMMYFUNCTION("""COMPUTED_VALUE"""),"USD")</f>
        <v>USD</v>
      </c>
      <c r="G654" s="30" t="str">
        <f>IFERROR(__xludf.DUMMYFUNCTION("""COMPUTED_VALUE"""),"Email Account/ TraderID Recognized")</f>
        <v>Email Account/ TraderID Recognized</v>
      </c>
      <c r="H654" s="119" t="str">
        <f>IFERROR(__xludf.DUMMYFUNCTION("""COMPUTED_VALUE"""),"TSLA")</f>
        <v>TSLA</v>
      </c>
      <c r="I654" s="30">
        <f>IFERROR(__xludf.DUMMYFUNCTION("""COMPUTED_VALUE"""),36.0)</f>
        <v>36</v>
      </c>
      <c r="J654" s="30"/>
      <c r="K654" s="30" t="str">
        <f>IFERROR(__xludf.DUMMYFUNCTION("""COMPUTED_VALUE"""),"QTY, Limit Price (if any) &amp; Password input correct")</f>
        <v>QTY, Limit Price (if any) &amp; Password input correct</v>
      </c>
      <c r="L654" s="30"/>
    </row>
    <row r="655">
      <c r="A655" s="5"/>
      <c r="B655" s="118">
        <f>IFERROR(__xludf.DUMMYFUNCTION("""COMPUTED_VALUE"""),44641.85075869213)</f>
        <v>44641.85076</v>
      </c>
      <c r="C655" s="120">
        <f>IFERROR(__xludf.DUMMYFUNCTION("""COMPUTED_VALUE"""),44641.666666666664)</f>
        <v>44641.66667</v>
      </c>
      <c r="D655" s="5" t="str">
        <f>IFERROR(__xludf.DUMMYFUNCTION("""COMPUTED_VALUE"""),"32312")</f>
        <v>32312</v>
      </c>
      <c r="E655" s="5" t="str">
        <f>IFERROR(__xludf.DUMMYFUNCTION("""COMPUTED_VALUE"""),"Stock")</f>
        <v>Stock</v>
      </c>
      <c r="F655" s="5" t="str">
        <f>IFERROR(__xludf.DUMMYFUNCTION("""COMPUTED_VALUE"""),"USD")</f>
        <v>USD</v>
      </c>
      <c r="G655" s="30" t="str">
        <f>IFERROR(__xludf.DUMMYFUNCTION("""COMPUTED_VALUE"""),"Email Account/ TraderID Recognized")</f>
        <v>Email Account/ TraderID Recognized</v>
      </c>
      <c r="H655" s="119" t="str">
        <f>IFERROR(__xludf.DUMMYFUNCTION("""COMPUTED_VALUE"""),"TSLA")</f>
        <v>TSLA</v>
      </c>
      <c r="I655" s="30">
        <f>IFERROR(__xludf.DUMMYFUNCTION("""COMPUTED_VALUE"""),36.0)</f>
        <v>36</v>
      </c>
      <c r="J655" s="30"/>
      <c r="K655" s="30" t="str">
        <f>IFERROR(__xludf.DUMMYFUNCTION("""COMPUTED_VALUE"""),"QTY, Limit Price (if any) &amp; Password input correct")</f>
        <v>QTY, Limit Price (if any) &amp; Password input correct</v>
      </c>
      <c r="L655" s="30"/>
    </row>
    <row r="656">
      <c r="A656" s="5"/>
      <c r="B656" s="118">
        <f>IFERROR(__xludf.DUMMYFUNCTION("""COMPUTED_VALUE"""),44642.48163447916)</f>
        <v>44642.48163</v>
      </c>
      <c r="C656" s="120">
        <f>IFERROR(__xludf.DUMMYFUNCTION("""COMPUTED_VALUE"""),44642.666666666664)</f>
        <v>44642.66667</v>
      </c>
      <c r="D656" s="5" t="str">
        <f>IFERROR(__xludf.DUMMYFUNCTION("""COMPUTED_VALUE"""),"75415")</f>
        <v>75415</v>
      </c>
      <c r="E656" s="5" t="str">
        <f>IFERROR(__xludf.DUMMYFUNCTION("""COMPUTED_VALUE"""),"Stock")</f>
        <v>Stock</v>
      </c>
      <c r="F656" s="5" t="str">
        <f>IFERROR(__xludf.DUMMYFUNCTION("""COMPUTED_VALUE"""),"USD")</f>
        <v>USD</v>
      </c>
      <c r="G656" s="30" t="str">
        <f>IFERROR(__xludf.DUMMYFUNCTION("""COMPUTED_VALUE"""),"Email Account/ TraderID Recognized")</f>
        <v>Email Account/ TraderID Recognized</v>
      </c>
      <c r="H656" s="119" t="str">
        <f>IFERROR(__xludf.DUMMYFUNCTION("""COMPUTED_VALUE"""),"UVXY")</f>
        <v>UVXY</v>
      </c>
      <c r="I656" s="30">
        <f>IFERROR(__xludf.DUMMYFUNCTION("""COMPUTED_VALUE"""),10000.0)</f>
        <v>10000</v>
      </c>
      <c r="J656" s="30"/>
      <c r="K656" s="30" t="str">
        <f>IFERROR(__xludf.DUMMYFUNCTION("""COMPUTED_VALUE"""),"QTY, Limit Price (if any) &amp; Password input correct")</f>
        <v>QTY, Limit Price (if any) &amp; Password input correct</v>
      </c>
      <c r="L656" s="30"/>
    </row>
    <row r="657">
      <c r="A657" s="5"/>
      <c r="B657" s="118">
        <f>IFERROR(__xludf.DUMMYFUNCTION("""COMPUTED_VALUE"""),44642.493169803245)</f>
        <v>44642.49317</v>
      </c>
      <c r="C657" s="120">
        <f>IFERROR(__xludf.DUMMYFUNCTION("""COMPUTED_VALUE"""),44642.666666666664)</f>
        <v>44642.66667</v>
      </c>
      <c r="D657" s="5" t="str">
        <f>IFERROR(__xludf.DUMMYFUNCTION("""COMPUTED_VALUE"""),"75415")</f>
        <v>75415</v>
      </c>
      <c r="E657" s="5" t="str">
        <f>IFERROR(__xludf.DUMMYFUNCTION("""COMPUTED_VALUE"""),"Stock")</f>
        <v>Stock</v>
      </c>
      <c r="F657" s="5" t="str">
        <f>IFERROR(__xludf.DUMMYFUNCTION("""COMPUTED_VALUE"""),"USD")</f>
        <v>USD</v>
      </c>
      <c r="G657" s="30" t="str">
        <f>IFERROR(__xludf.DUMMYFUNCTION("""COMPUTED_VALUE"""),"Email Account/ TraderID Recognized")</f>
        <v>Email Account/ TraderID Recognized</v>
      </c>
      <c r="H657" s="119" t="str">
        <f>IFERROR(__xludf.DUMMYFUNCTION("""COMPUTED_VALUE"""),"WEAT")</f>
        <v>WEAT</v>
      </c>
      <c r="I657" s="30">
        <f>IFERROR(__xludf.DUMMYFUNCTION("""COMPUTED_VALUE"""),1000.0)</f>
        <v>1000</v>
      </c>
      <c r="J657" s="30"/>
      <c r="K657" s="30" t="str">
        <f>IFERROR(__xludf.DUMMYFUNCTION("""COMPUTED_VALUE"""),"QTY, Limit Price (if any) &amp; Password input correct")</f>
        <v>QTY, Limit Price (if any) &amp; Password input correct</v>
      </c>
      <c r="L657" s="30"/>
    </row>
    <row r="658">
      <c r="A658" s="5"/>
      <c r="B658" s="118">
        <f>IFERROR(__xludf.DUMMYFUNCTION("""COMPUTED_VALUE"""),44642.54008730324)</f>
        <v>44642.54009</v>
      </c>
      <c r="C658" s="120">
        <f>IFERROR(__xludf.DUMMYFUNCTION("""COMPUTED_VALUE"""),44642.666666666664)</f>
        <v>44642.66667</v>
      </c>
      <c r="D658" s="5" t="str">
        <f>IFERROR(__xludf.DUMMYFUNCTION("""COMPUTED_VALUE"""),"14626")</f>
        <v>14626</v>
      </c>
      <c r="E658" s="5" t="str">
        <f>IFERROR(__xludf.DUMMYFUNCTION("""COMPUTED_VALUE"""),"Stock")</f>
        <v>Stock</v>
      </c>
      <c r="F658" s="5" t="str">
        <f>IFERROR(__xludf.DUMMYFUNCTION("""COMPUTED_VALUE"""),"USD")</f>
        <v>USD</v>
      </c>
      <c r="G658" s="30" t="str">
        <f>IFERROR(__xludf.DUMMYFUNCTION("""COMPUTED_VALUE"""),"Email Account/ TraderID Recognized")</f>
        <v>Email Account/ TraderID Recognized</v>
      </c>
      <c r="H658" s="119" t="str">
        <f>IFERROR(__xludf.DUMMYFUNCTION("""COMPUTED_VALUE"""),"MSFT")</f>
        <v>MSFT</v>
      </c>
      <c r="I658" s="30">
        <f>IFERROR(__xludf.DUMMYFUNCTION("""COMPUTED_VALUE"""),100.0)</f>
        <v>100</v>
      </c>
      <c r="J658" s="30">
        <f>IFERROR(__xludf.DUMMYFUNCTION("""COMPUTED_VALUE"""),100.0)</f>
        <v>100</v>
      </c>
      <c r="K658" s="30" t="str">
        <f>IFERROR(__xludf.DUMMYFUNCTION("""COMPUTED_VALUE"""),"QTY, Limit Price (if any) &amp; Password input correct")</f>
        <v>QTY, Limit Price (if any) &amp; Password input correct</v>
      </c>
      <c r="L658" s="30"/>
    </row>
    <row r="659">
      <c r="A659" s="5"/>
      <c r="B659" s="118">
        <f>IFERROR(__xludf.DUMMYFUNCTION("""COMPUTED_VALUE"""),44642.54121619213)</f>
        <v>44642.54122</v>
      </c>
      <c r="C659" s="120">
        <f>IFERROR(__xludf.DUMMYFUNCTION("""COMPUTED_VALUE"""),44642.666666666664)</f>
        <v>44642.66667</v>
      </c>
      <c r="D659" s="5" t="str">
        <f>IFERROR(__xludf.DUMMYFUNCTION("""COMPUTED_VALUE"""),"14626")</f>
        <v>14626</v>
      </c>
      <c r="E659" s="5" t="str">
        <f>IFERROR(__xludf.DUMMYFUNCTION("""COMPUTED_VALUE"""),"Stock")</f>
        <v>Stock</v>
      </c>
      <c r="F659" s="5" t="str">
        <f>IFERROR(__xludf.DUMMYFUNCTION("""COMPUTED_VALUE"""),"USD")</f>
        <v>USD</v>
      </c>
      <c r="G659" s="30" t="str">
        <f>IFERROR(__xludf.DUMMYFUNCTION("""COMPUTED_VALUE"""),"Email Account/ TraderID Recognized")</f>
        <v>Email Account/ TraderID Recognized</v>
      </c>
      <c r="H659" s="119" t="str">
        <f>IFERROR(__xludf.DUMMYFUNCTION("""COMPUTED_VALUE"""),"FB")</f>
        <v>FB</v>
      </c>
      <c r="I659" s="30">
        <f>IFERROR(__xludf.DUMMYFUNCTION("""COMPUTED_VALUE"""),50.0)</f>
        <v>50</v>
      </c>
      <c r="J659" s="30">
        <f>IFERROR(__xludf.DUMMYFUNCTION("""COMPUTED_VALUE"""),80.0)</f>
        <v>80</v>
      </c>
      <c r="K659" s="30" t="str">
        <f>IFERROR(__xludf.DUMMYFUNCTION("""COMPUTED_VALUE"""),"QTY, Limit Price (if any) &amp; Password input correct")</f>
        <v>QTY, Limit Price (if any) &amp; Password input correct</v>
      </c>
      <c r="L659" s="30"/>
    </row>
    <row r="660">
      <c r="A660" s="5"/>
      <c r="B660" s="118">
        <f>IFERROR(__xludf.DUMMYFUNCTION("""COMPUTED_VALUE"""),44642.542024560185)</f>
        <v>44642.54202</v>
      </c>
      <c r="C660" s="120">
        <f>IFERROR(__xludf.DUMMYFUNCTION("""COMPUTED_VALUE"""),44642.666666666664)</f>
        <v>44642.66667</v>
      </c>
      <c r="D660" s="5" t="str">
        <f>IFERROR(__xludf.DUMMYFUNCTION("""COMPUTED_VALUE"""),"14626")</f>
        <v>14626</v>
      </c>
      <c r="E660" s="5" t="str">
        <f>IFERROR(__xludf.DUMMYFUNCTION("""COMPUTED_VALUE"""),"Stock")</f>
        <v>Stock</v>
      </c>
      <c r="F660" s="5" t="str">
        <f>IFERROR(__xludf.DUMMYFUNCTION("""COMPUTED_VALUE"""),"USD")</f>
        <v>USD</v>
      </c>
      <c r="G660" s="30" t="str">
        <f>IFERROR(__xludf.DUMMYFUNCTION("""COMPUTED_VALUE"""),"Email Account/ TraderID Recognized")</f>
        <v>Email Account/ TraderID Recognized</v>
      </c>
      <c r="H660" s="119" t="str">
        <f>IFERROR(__xludf.DUMMYFUNCTION("""COMPUTED_VALUE"""),"GOOG")</f>
        <v>GOOG</v>
      </c>
      <c r="I660" s="30">
        <f>IFERROR(__xludf.DUMMYFUNCTION("""COMPUTED_VALUE"""),100.0)</f>
        <v>100</v>
      </c>
      <c r="J660" s="30">
        <f>IFERROR(__xludf.DUMMYFUNCTION("""COMPUTED_VALUE"""),100.0)</f>
        <v>100</v>
      </c>
      <c r="K660" s="30" t="str">
        <f>IFERROR(__xludf.DUMMYFUNCTION("""COMPUTED_VALUE"""),"QTY, Limit Price (if any) &amp; Password input correct")</f>
        <v>QTY, Limit Price (if any) &amp; Password input correct</v>
      </c>
      <c r="L660" s="30"/>
    </row>
    <row r="661">
      <c r="A661" s="5"/>
      <c r="B661" s="118">
        <f>IFERROR(__xludf.DUMMYFUNCTION("""COMPUTED_VALUE"""),44642.5432108449)</f>
        <v>44642.54321</v>
      </c>
      <c r="C661" s="120">
        <f>IFERROR(__xludf.DUMMYFUNCTION("""COMPUTED_VALUE"""),44642.666666666664)</f>
        <v>44642.66667</v>
      </c>
      <c r="D661" s="5" t="str">
        <f>IFERROR(__xludf.DUMMYFUNCTION("""COMPUTED_VALUE"""),"14626")</f>
        <v>14626</v>
      </c>
      <c r="E661" s="5" t="str">
        <f>IFERROR(__xludf.DUMMYFUNCTION("""COMPUTED_VALUE"""),"Stock")</f>
        <v>Stock</v>
      </c>
      <c r="F661" s="5" t="str">
        <f>IFERROR(__xludf.DUMMYFUNCTION("""COMPUTED_VALUE"""),"USD")</f>
        <v>USD</v>
      </c>
      <c r="G661" s="30" t="str">
        <f>IFERROR(__xludf.DUMMYFUNCTION("""COMPUTED_VALUE"""),"Email Account/ TraderID Recognized")</f>
        <v>Email Account/ TraderID Recognized</v>
      </c>
      <c r="H661" s="119" t="str">
        <f>IFERROR(__xludf.DUMMYFUNCTION("""COMPUTED_VALUE"""),"TSLA")</f>
        <v>TSLA</v>
      </c>
      <c r="I661" s="30">
        <f>IFERROR(__xludf.DUMMYFUNCTION("""COMPUTED_VALUE"""),1000.0)</f>
        <v>1000</v>
      </c>
      <c r="J661" s="30"/>
      <c r="K661" s="30" t="str">
        <f>IFERROR(__xludf.DUMMYFUNCTION("""COMPUTED_VALUE"""),"QTY, Limit Price (if any) &amp; Password input correct")</f>
        <v>QTY, Limit Price (if any) &amp; Password input correct</v>
      </c>
      <c r="L661" s="30"/>
    </row>
    <row r="662">
      <c r="A662" s="5"/>
      <c r="B662" s="118">
        <f>IFERROR(__xludf.DUMMYFUNCTION("""COMPUTED_VALUE"""),44642.54379269676)</f>
        <v>44642.54379</v>
      </c>
      <c r="C662" s="120">
        <f>IFERROR(__xludf.DUMMYFUNCTION("""COMPUTED_VALUE"""),44642.666666666664)</f>
        <v>44642.66667</v>
      </c>
      <c r="D662" s="5" t="str">
        <f>IFERROR(__xludf.DUMMYFUNCTION("""COMPUTED_VALUE"""),"14626")</f>
        <v>14626</v>
      </c>
      <c r="E662" s="5" t="str">
        <f>IFERROR(__xludf.DUMMYFUNCTION("""COMPUTED_VALUE"""),"Stock")</f>
        <v>Stock</v>
      </c>
      <c r="F662" s="5" t="str">
        <f>IFERROR(__xludf.DUMMYFUNCTION("""COMPUTED_VALUE"""),"USD")</f>
        <v>USD</v>
      </c>
      <c r="G662" s="30" t="str">
        <f>IFERROR(__xludf.DUMMYFUNCTION("""COMPUTED_VALUE"""),"Email Account/ TraderID Recognized")</f>
        <v>Email Account/ TraderID Recognized</v>
      </c>
      <c r="H662" s="119" t="str">
        <f>IFERROR(__xludf.DUMMYFUNCTION("""COMPUTED_VALUE"""),"F")</f>
        <v>F</v>
      </c>
      <c r="I662" s="30">
        <f>IFERROR(__xludf.DUMMYFUNCTION("""COMPUTED_VALUE"""),100.0)</f>
        <v>100</v>
      </c>
      <c r="J662" s="30"/>
      <c r="K662" s="30" t="str">
        <f>IFERROR(__xludf.DUMMYFUNCTION("""COMPUTED_VALUE"""),"QTY, Limit Price (if any) &amp; Password input correct")</f>
        <v>QTY, Limit Price (if any) &amp; Password input correct</v>
      </c>
      <c r="L662" s="30"/>
    </row>
    <row r="663">
      <c r="A663" s="5"/>
      <c r="B663" s="118">
        <f>IFERROR(__xludf.DUMMYFUNCTION("""COMPUTED_VALUE"""),44642.54679594908)</f>
        <v>44642.5468</v>
      </c>
      <c r="C663" s="120">
        <f>IFERROR(__xludf.DUMMYFUNCTION("""COMPUTED_VALUE"""),44642.666666666664)</f>
        <v>44642.66667</v>
      </c>
      <c r="D663" s="5" t="str">
        <f>IFERROR(__xludf.DUMMYFUNCTION("""COMPUTED_VALUE"""),"14626")</f>
        <v>14626</v>
      </c>
      <c r="E663" s="5" t="str">
        <f>IFERROR(__xludf.DUMMYFUNCTION("""COMPUTED_VALUE"""),"Stock")</f>
        <v>Stock</v>
      </c>
      <c r="F663" s="5" t="str">
        <f>IFERROR(__xludf.DUMMYFUNCTION("""COMPUTED_VALUE"""),"USD")</f>
        <v>USD</v>
      </c>
      <c r="G663" s="30" t="str">
        <f>IFERROR(__xludf.DUMMYFUNCTION("""COMPUTED_VALUE"""),"Email Account/ TraderID Recognized")</f>
        <v>Email Account/ TraderID Recognized</v>
      </c>
      <c r="H663" s="119" t="str">
        <f>IFERROR(__xludf.DUMMYFUNCTION("""COMPUTED_VALUE"""),"BA")</f>
        <v>BA</v>
      </c>
      <c r="I663" s="30">
        <f>IFERROR(__xludf.DUMMYFUNCTION("""COMPUTED_VALUE"""),50.0)</f>
        <v>50</v>
      </c>
      <c r="J663" s="30">
        <f>IFERROR(__xludf.DUMMYFUNCTION("""COMPUTED_VALUE"""),50.0)</f>
        <v>50</v>
      </c>
      <c r="K663" s="30" t="str">
        <f>IFERROR(__xludf.DUMMYFUNCTION("""COMPUTED_VALUE"""),"QTY, Limit Price (if any) &amp; Password input correct")</f>
        <v>QTY, Limit Price (if any) &amp; Password input correct</v>
      </c>
      <c r="L663" s="30"/>
    </row>
    <row r="664">
      <c r="A664" s="5"/>
      <c r="B664" s="118">
        <f>IFERROR(__xludf.DUMMYFUNCTION("""COMPUTED_VALUE"""),44642.5475500926)</f>
        <v>44642.54755</v>
      </c>
      <c r="C664" s="120">
        <f>IFERROR(__xludf.DUMMYFUNCTION("""COMPUTED_VALUE"""),44642.666666666664)</f>
        <v>44642.66667</v>
      </c>
      <c r="D664" s="5" t="str">
        <f>IFERROR(__xludf.DUMMYFUNCTION("""COMPUTED_VALUE"""),"14626")</f>
        <v>14626</v>
      </c>
      <c r="E664" s="5" t="str">
        <f>IFERROR(__xludf.DUMMYFUNCTION("""COMPUTED_VALUE"""),"Stock")</f>
        <v>Stock</v>
      </c>
      <c r="F664" s="5" t="str">
        <f>IFERROR(__xludf.DUMMYFUNCTION("""COMPUTED_VALUE"""),"USD")</f>
        <v>USD</v>
      </c>
      <c r="G664" s="30" t="str">
        <f>IFERROR(__xludf.DUMMYFUNCTION("""COMPUTED_VALUE"""),"Email Account/ TraderID Recognized")</f>
        <v>Email Account/ TraderID Recognized</v>
      </c>
      <c r="H664" s="119" t="str">
        <f>IFERROR(__xludf.DUMMYFUNCTION("""COMPUTED_VALUE"""),"BRK-B")</f>
        <v>BRK-B</v>
      </c>
      <c r="I664" s="30">
        <f>IFERROR(__xludf.DUMMYFUNCTION("""COMPUTED_VALUE"""),500.0)</f>
        <v>500</v>
      </c>
      <c r="J664" s="30"/>
      <c r="K664" s="30" t="str">
        <f>IFERROR(__xludf.DUMMYFUNCTION("""COMPUTED_VALUE"""),"QTY, Limit Price (if any) &amp; Password input correct")</f>
        <v>QTY, Limit Price (if any) &amp; Password input correct</v>
      </c>
      <c r="L664" s="30"/>
    </row>
    <row r="665">
      <c r="A665" s="5"/>
      <c r="B665" s="118">
        <f>IFERROR(__xludf.DUMMYFUNCTION("""COMPUTED_VALUE"""),44642.548392337965)</f>
        <v>44642.54839</v>
      </c>
      <c r="C665" s="120">
        <f>IFERROR(__xludf.DUMMYFUNCTION("""COMPUTED_VALUE"""),44642.666666666664)</f>
        <v>44642.66667</v>
      </c>
      <c r="D665" s="5" t="str">
        <f>IFERROR(__xludf.DUMMYFUNCTION("""COMPUTED_VALUE"""),"14626")</f>
        <v>14626</v>
      </c>
      <c r="E665" s="5" t="str">
        <f>IFERROR(__xludf.DUMMYFUNCTION("""COMPUTED_VALUE"""),"Stock")</f>
        <v>Stock</v>
      </c>
      <c r="F665" s="5" t="str">
        <f>IFERROR(__xludf.DUMMYFUNCTION("""COMPUTED_VALUE"""),"USD")</f>
        <v>USD</v>
      </c>
      <c r="G665" s="30" t="str">
        <f>IFERROR(__xludf.DUMMYFUNCTION("""COMPUTED_VALUE"""),"Email Account/ TraderID Recognized")</f>
        <v>Email Account/ TraderID Recognized</v>
      </c>
      <c r="H665" s="119" t="str">
        <f>IFERROR(__xludf.DUMMYFUNCTION("""COMPUTED_VALUE"""),"OXY")</f>
        <v>OXY</v>
      </c>
      <c r="I665" s="30">
        <f>IFERROR(__xludf.DUMMYFUNCTION("""COMPUTED_VALUE"""),500.0)</f>
        <v>500</v>
      </c>
      <c r="J665" s="30"/>
      <c r="K665" s="30" t="str">
        <f>IFERROR(__xludf.DUMMYFUNCTION("""COMPUTED_VALUE"""),"QTY, Limit Price (if any) &amp; Password input correct")</f>
        <v>QTY, Limit Price (if any) &amp; Password input correct</v>
      </c>
      <c r="L665" s="30"/>
    </row>
    <row r="666">
      <c r="A666" s="5"/>
      <c r="B666" s="118">
        <f>IFERROR(__xludf.DUMMYFUNCTION("""COMPUTED_VALUE"""),44642.55056329861)</f>
        <v>44642.55056</v>
      </c>
      <c r="C666" s="120">
        <f>IFERROR(__xludf.DUMMYFUNCTION("""COMPUTED_VALUE"""),44642.666666666664)</f>
        <v>44642.66667</v>
      </c>
      <c r="D666" s="5" t="str">
        <f>IFERROR(__xludf.DUMMYFUNCTION("""COMPUTED_VALUE"""),"14626")</f>
        <v>14626</v>
      </c>
      <c r="E666" s="5" t="str">
        <f>IFERROR(__xludf.DUMMYFUNCTION("""COMPUTED_VALUE"""),"Stock")</f>
        <v>Stock</v>
      </c>
      <c r="F666" s="5" t="str">
        <f>IFERROR(__xludf.DUMMYFUNCTION("""COMPUTED_VALUE"""),"USD")</f>
        <v>USD</v>
      </c>
      <c r="G666" s="30" t="str">
        <f>IFERROR(__xludf.DUMMYFUNCTION("""COMPUTED_VALUE"""),"Email Account/ TraderID Recognized")</f>
        <v>Email Account/ TraderID Recognized</v>
      </c>
      <c r="H666" s="119" t="str">
        <f>IFERROR(__xludf.DUMMYFUNCTION("""COMPUTED_VALUE"""),"PFE")</f>
        <v>PFE</v>
      </c>
      <c r="I666" s="30">
        <f>IFERROR(__xludf.DUMMYFUNCTION("""COMPUTED_VALUE"""),500.0)</f>
        <v>500</v>
      </c>
      <c r="J666" s="30"/>
      <c r="K666" s="30" t="str">
        <f>IFERROR(__xludf.DUMMYFUNCTION("""COMPUTED_VALUE"""),"QTY, Limit Price (if any) &amp; Password input correct")</f>
        <v>QTY, Limit Price (if any) &amp; Password input correct</v>
      </c>
      <c r="L666" s="30"/>
    </row>
    <row r="667">
      <c r="A667" s="5"/>
      <c r="B667" s="118">
        <f>IFERROR(__xludf.DUMMYFUNCTION("""COMPUTED_VALUE"""),44642.55161643519)</f>
        <v>44642.55162</v>
      </c>
      <c r="C667" s="120">
        <f>IFERROR(__xludf.DUMMYFUNCTION("""COMPUTED_VALUE"""),44642.666666666664)</f>
        <v>44642.66667</v>
      </c>
      <c r="D667" s="5" t="str">
        <f>IFERROR(__xludf.DUMMYFUNCTION("""COMPUTED_VALUE"""),"14626")</f>
        <v>14626</v>
      </c>
      <c r="E667" s="5" t="str">
        <f>IFERROR(__xludf.DUMMYFUNCTION("""COMPUTED_VALUE"""),"Stock")</f>
        <v>Stock</v>
      </c>
      <c r="F667" s="5" t="str">
        <f>IFERROR(__xludf.DUMMYFUNCTION("""COMPUTED_VALUE"""),"USD")</f>
        <v>USD</v>
      </c>
      <c r="G667" s="30" t="str">
        <f>IFERROR(__xludf.DUMMYFUNCTION("""COMPUTED_VALUE"""),"Email Account/ TraderID Recognized")</f>
        <v>Email Account/ TraderID Recognized</v>
      </c>
      <c r="H667" s="119" t="str">
        <f>IFERROR(__xludf.DUMMYFUNCTION("""COMPUTED_VALUE"""),"GOOG")</f>
        <v>GOOG</v>
      </c>
      <c r="I667" s="30">
        <f>IFERROR(__xludf.DUMMYFUNCTION("""COMPUTED_VALUE"""),1000.0)</f>
        <v>1000</v>
      </c>
      <c r="J667" s="30"/>
      <c r="K667" s="30" t="str">
        <f>IFERROR(__xludf.DUMMYFUNCTION("""COMPUTED_VALUE"""),"QTY, Limit Price (if any) &amp; Password input correct")</f>
        <v>QTY, Limit Price (if any) &amp; Password input correct</v>
      </c>
      <c r="L667" s="30"/>
    </row>
    <row r="668">
      <c r="A668" s="5"/>
      <c r="B668" s="118">
        <f>IFERROR(__xludf.DUMMYFUNCTION("""COMPUTED_VALUE"""),44642.62711630787)</f>
        <v>44642.62712</v>
      </c>
      <c r="C668" s="120">
        <f>IFERROR(__xludf.DUMMYFUNCTION("""COMPUTED_VALUE"""),44642.666666666664)</f>
        <v>44642.66667</v>
      </c>
      <c r="D668" s="5" t="str">
        <f>IFERROR(__xludf.DUMMYFUNCTION("""COMPUTED_VALUE"""),"82124")</f>
        <v>82124</v>
      </c>
      <c r="E668" s="5" t="str">
        <f>IFERROR(__xludf.DUMMYFUNCTION("""COMPUTED_VALUE"""),"Stock")</f>
        <v>Stock</v>
      </c>
      <c r="F668" s="5" t="str">
        <f>IFERROR(__xludf.DUMMYFUNCTION("""COMPUTED_VALUE"""),"HKD")</f>
        <v>HKD</v>
      </c>
      <c r="G668" s="30" t="str">
        <f>IFERROR(__xludf.DUMMYFUNCTION("""COMPUTED_VALUE"""),"Email Account/ TraderID Recognized")</f>
        <v>Email Account/ TraderID Recognized</v>
      </c>
      <c r="H668" s="121" t="str">
        <f>IFERROR(__xludf.DUMMYFUNCTION("""COMPUTED_VALUE"""),"9988.HK")</f>
        <v>9988.HK</v>
      </c>
      <c r="I668" s="30">
        <f>IFERROR(__xludf.DUMMYFUNCTION("""COMPUTED_VALUE"""),200.0)</f>
        <v>200</v>
      </c>
      <c r="J668" s="30"/>
      <c r="K668" s="30" t="str">
        <f>IFERROR(__xludf.DUMMYFUNCTION("""COMPUTED_VALUE"""),"QTY, Limit Price (if any) &amp; Password input correct")</f>
        <v>QTY, Limit Price (if any) &amp; Password input correct</v>
      </c>
      <c r="L668" s="30"/>
    </row>
    <row r="669">
      <c r="A669" s="5"/>
      <c r="B669" s="118">
        <f>IFERROR(__xludf.DUMMYFUNCTION("""COMPUTED_VALUE"""),44642.68514450231)</f>
        <v>44642.68514</v>
      </c>
      <c r="C669" s="120" t="str">
        <f>IFERROR(__xludf.DUMMYFUNCTION("""COMPUTED_VALUE"""),"")</f>
        <v/>
      </c>
      <c r="D669" s="5" t="str">
        <f>IFERROR(__xludf.DUMMYFUNCTION("""COMPUTED_VALUE"""),"")</f>
        <v/>
      </c>
      <c r="E669" s="5" t="str">
        <f>IFERROR(__xludf.DUMMYFUNCTION("""COMPUTED_VALUE"""),"Stock")</f>
        <v>Stock</v>
      </c>
      <c r="F669" s="5" t="str">
        <f>IFERROR(__xludf.DUMMYFUNCTION("""COMPUTED_VALUE"""),"error")</f>
        <v>error</v>
      </c>
      <c r="G669" s="30" t="str">
        <f>IFERROR(__xludf.DUMMYFUNCTION("""COMPUTED_VALUE"""),"s127xxxxxx@nonHKMUemail")</f>
        <v>s127xxxxxx@nonHKMUemail</v>
      </c>
      <c r="H669" s="121" t="str">
        <f>IFERROR(__xludf.DUMMYFUNCTION("""COMPUTED_VALUE"""),"1810.hk")</f>
        <v>1810.hk</v>
      </c>
      <c r="I669" s="30">
        <f>IFERROR(__xludf.DUMMYFUNCTION("""COMPUTED_VALUE"""),20.0)</f>
        <v>20</v>
      </c>
      <c r="J669" s="30"/>
      <c r="K669" s="30" t="str">
        <f>IFERROR(__xludf.DUMMYFUNCTION("""COMPUTED_VALUE"""),"QTY, Limit Price (if any) &amp; Password input correct")</f>
        <v>QTY, Limit Price (if any) &amp; Password input correct</v>
      </c>
      <c r="L669" s="30" t="str">
        <f>IFERROR(__xludf.DUMMYFUNCTION("""COMPUTED_VALUE"""),"Order rejected due to non school email address and wrong quantity (input = 20units, should be 20)")</f>
        <v>Order rejected due to non school email address and wrong quantity (input = 20units, should be 20)</v>
      </c>
    </row>
    <row r="670">
      <c r="A670" s="5"/>
      <c r="B670" s="118">
        <f>IFERROR(__xludf.DUMMYFUNCTION("""COMPUTED_VALUE"""),44642.79587078704)</f>
        <v>44642.79587</v>
      </c>
      <c r="C670" s="120">
        <f>IFERROR(__xludf.DUMMYFUNCTION("""COMPUTED_VALUE"""),44643.666666666664)</f>
        <v>44643.66667</v>
      </c>
      <c r="D670" s="5" t="str">
        <f>IFERROR(__xludf.DUMMYFUNCTION("""COMPUTED_VALUE"""),"38758")</f>
        <v>38758</v>
      </c>
      <c r="E670" s="5" t="str">
        <f>IFERROR(__xludf.DUMMYFUNCTION("""COMPUTED_VALUE"""),"Time Deposit")</f>
        <v>Time Deposit</v>
      </c>
      <c r="F670" s="5" t="str">
        <f>IFERROR(__xludf.DUMMYFUNCTION("""COMPUTED_VALUE"""),"HKD")</f>
        <v>HKD</v>
      </c>
      <c r="G670" s="30" t="str">
        <f>IFERROR(__xludf.DUMMYFUNCTION("""COMPUTED_VALUE"""),"Email Account/ TraderID Recognized")</f>
        <v>Email Account/ TraderID Recognized</v>
      </c>
      <c r="H670" s="119" t="str">
        <f>IFERROR(__xludf.DUMMYFUNCTION("""COMPUTED_VALUE"""),"1M")</f>
        <v>1M</v>
      </c>
      <c r="I670" s="30">
        <f>IFERROR(__xludf.DUMMYFUNCTION("""COMPUTED_VALUE"""),20000.0)</f>
        <v>20000</v>
      </c>
      <c r="J670" s="30"/>
      <c r="K670" s="30" t="str">
        <f>IFERROR(__xludf.DUMMYFUNCTION("""COMPUTED_VALUE"""),"QTY, Limit Price (if any) &amp; Password input correct")</f>
        <v>QTY, Limit Price (if any) &amp; Password input correct</v>
      </c>
      <c r="L670" s="30"/>
    </row>
    <row r="671">
      <c r="A671" s="5"/>
      <c r="B671" s="118">
        <f>IFERROR(__xludf.DUMMYFUNCTION("""COMPUTED_VALUE"""),44642.808391597224)</f>
        <v>44642.80839</v>
      </c>
      <c r="C671" s="120" t="str">
        <f>IFERROR(__xludf.DUMMYFUNCTION("""COMPUTED_VALUE"""),"")</f>
        <v/>
      </c>
      <c r="D671" s="5" t="str">
        <f>IFERROR(__xludf.DUMMYFUNCTION("""COMPUTED_VALUE"""),"")</f>
        <v/>
      </c>
      <c r="E671" s="5" t="str">
        <f>IFERROR(__xludf.DUMMYFUNCTION("""COMPUTED_VALUE"""),"Stock")</f>
        <v>Stock</v>
      </c>
      <c r="F671" s="5" t="str">
        <f>IFERROR(__xludf.DUMMYFUNCTION("""COMPUTED_VALUE"""),"error")</f>
        <v>error</v>
      </c>
      <c r="G671" s="30" t="str">
        <f>IFERROR(__xludf.DUMMYFUNCTION("""COMPUTED_VALUE"""),"homixxxxxx@nonHKMUemail")</f>
        <v>homixxxxxx@nonHKMUemail</v>
      </c>
      <c r="H671" s="119" t="str">
        <f>IFERROR(__xludf.DUMMYFUNCTION("""COMPUTED_VALUE"""),"00386")</f>
        <v>00386</v>
      </c>
      <c r="I671" s="30">
        <f>IFERROR(__xludf.DUMMYFUNCTION("""COMPUTED_VALUE"""),10000.0)</f>
        <v>10000</v>
      </c>
      <c r="J671" s="30">
        <f>IFERROR(__xludf.DUMMYFUNCTION("""COMPUTED_VALUE"""),3.75)</f>
        <v>3.75</v>
      </c>
      <c r="K671" s="30" t="str">
        <f>IFERROR(__xludf.DUMMYFUNCTION("""COMPUTED_VALUE"""),"QTY, Limit Price (if any) &amp; Password input correct")</f>
        <v>QTY, Limit Price (if any) &amp; Password input correct</v>
      </c>
      <c r="L671" s="30" t="str">
        <f>IFERROR(__xludf.DUMMYFUNCTION("""COMPUTED_VALUE"""),"Order rejected due to non school email address and wrong ticker code")</f>
        <v>Order rejected due to non school email address and wrong ticker code</v>
      </c>
    </row>
    <row r="672">
      <c r="A672" s="5"/>
      <c r="B672" s="118">
        <f>IFERROR(__xludf.DUMMYFUNCTION("""COMPUTED_VALUE"""),44642.808416342596)</f>
        <v>44642.80842</v>
      </c>
      <c r="C672" s="120">
        <f>IFERROR(__xludf.DUMMYFUNCTION("""COMPUTED_VALUE"""),44643.666666666664)</f>
        <v>44643.66667</v>
      </c>
      <c r="D672" s="5" t="str">
        <f>IFERROR(__xludf.DUMMYFUNCTION("""COMPUTED_VALUE"""),"46322")</f>
        <v>46322</v>
      </c>
      <c r="E672" s="5" t="str">
        <f>IFERROR(__xludf.DUMMYFUNCTION("""COMPUTED_VALUE"""),"Stock")</f>
        <v>Stock</v>
      </c>
      <c r="F672" s="5" t="str">
        <f>IFERROR(__xludf.DUMMYFUNCTION("""COMPUTED_VALUE"""),"HKD")</f>
        <v>HKD</v>
      </c>
      <c r="G672" s="30" t="str">
        <f>IFERROR(__xludf.DUMMYFUNCTION("""COMPUTED_VALUE"""),"Email Account/ TraderID Recognized")</f>
        <v>Email Account/ TraderID Recognized</v>
      </c>
      <c r="H672" s="121" t="str">
        <f>IFERROR(__xludf.DUMMYFUNCTION("""COMPUTED_VALUE"""),"9988.HK")</f>
        <v>9988.HK</v>
      </c>
      <c r="I672" s="30">
        <f>IFERROR(__xludf.DUMMYFUNCTION("""COMPUTED_VALUE"""),200.0)</f>
        <v>200</v>
      </c>
      <c r="J672" s="30"/>
      <c r="K672" s="30" t="str">
        <f>IFERROR(__xludf.DUMMYFUNCTION("""COMPUTED_VALUE"""),"QTY, Limit Price (if any) &amp; Password input correct")</f>
        <v>QTY, Limit Price (if any) &amp; Password input correct</v>
      </c>
      <c r="L672" s="30"/>
    </row>
    <row r="673">
      <c r="A673" s="5"/>
      <c r="B673" s="118">
        <f>IFERROR(__xludf.DUMMYFUNCTION("""COMPUTED_VALUE"""),44642.809379108796)</f>
        <v>44642.80938</v>
      </c>
      <c r="C673" s="120">
        <f>IFERROR(__xludf.DUMMYFUNCTION("""COMPUTED_VALUE"""),44643.666666666664)</f>
        <v>44643.66667</v>
      </c>
      <c r="D673" s="5" t="str">
        <f>IFERROR(__xludf.DUMMYFUNCTION("""COMPUTED_VALUE"""),"46322")</f>
        <v>46322</v>
      </c>
      <c r="E673" s="5" t="str">
        <f>IFERROR(__xludf.DUMMYFUNCTION("""COMPUTED_VALUE"""),"Stock")</f>
        <v>Stock</v>
      </c>
      <c r="F673" s="5" t="str">
        <f>IFERROR(__xludf.DUMMYFUNCTION("""COMPUTED_VALUE"""),"HKD")</f>
        <v>HKD</v>
      </c>
      <c r="G673" s="30" t="str">
        <f>IFERROR(__xludf.DUMMYFUNCTION("""COMPUTED_VALUE"""),"Email Account/ TraderID Recognized")</f>
        <v>Email Account/ TraderID Recognized</v>
      </c>
      <c r="H673" s="121" t="str">
        <f>IFERROR(__xludf.DUMMYFUNCTION("""COMPUTED_VALUE"""),"3047.HK")</f>
        <v>3047.HK</v>
      </c>
      <c r="I673" s="30">
        <f>IFERROR(__xludf.DUMMYFUNCTION("""COMPUTED_VALUE"""),5.0)</f>
        <v>5</v>
      </c>
      <c r="J673" s="30"/>
      <c r="K673" s="30" t="str">
        <f>IFERROR(__xludf.DUMMYFUNCTION("""COMPUTED_VALUE"""),"QTY, Limit Price (if any) &amp; Password input correct")</f>
        <v>QTY, Limit Price (if any) &amp; Password input correct</v>
      </c>
      <c r="L673" s="30"/>
    </row>
    <row r="674">
      <c r="A674" s="5"/>
      <c r="B674" s="118">
        <f>IFERROR(__xludf.DUMMYFUNCTION("""COMPUTED_VALUE"""),44642.81834409722)</f>
        <v>44642.81834</v>
      </c>
      <c r="C674" s="120" t="str">
        <f>IFERROR(__xludf.DUMMYFUNCTION("""COMPUTED_VALUE"""),"")</f>
        <v/>
      </c>
      <c r="D674" s="5" t="str">
        <f>IFERROR(__xludf.DUMMYFUNCTION("""COMPUTED_VALUE"""),"")</f>
        <v/>
      </c>
      <c r="E674" s="5" t="str">
        <f>IFERROR(__xludf.DUMMYFUNCTION("""COMPUTED_VALUE"""),"Stock")</f>
        <v>Stock</v>
      </c>
      <c r="F674" s="5" t="str">
        <f>IFERROR(__xludf.DUMMYFUNCTION("""COMPUTED_VALUE"""),"error")</f>
        <v>error</v>
      </c>
      <c r="G674" s="30" t="str">
        <f>IFERROR(__xludf.DUMMYFUNCTION("""COMPUTED_VALUE"""),"homixxxxxx@nonHKMUemail")</f>
        <v>homixxxxxx@nonHKMUemail</v>
      </c>
      <c r="H674" s="119" t="str">
        <f>IFERROR(__xludf.DUMMYFUNCTION("""COMPUTED_VALUE"""),"09988")</f>
        <v>09988</v>
      </c>
      <c r="I674" s="30">
        <f>IFERROR(__xludf.DUMMYFUNCTION("""COMPUTED_VALUE"""),200.0)</f>
        <v>200</v>
      </c>
      <c r="J674" s="30">
        <f>IFERROR(__xludf.DUMMYFUNCTION("""COMPUTED_VALUE"""),110.3)</f>
        <v>110.3</v>
      </c>
      <c r="K674" s="30" t="str">
        <f>IFERROR(__xludf.DUMMYFUNCTION("""COMPUTED_VALUE"""),"QTY, Limit Price (if any) &amp; Password input correct")</f>
        <v>QTY, Limit Price (if any) &amp; Password input correct</v>
      </c>
      <c r="L674" s="30" t="str">
        <f>IFERROR(__xludf.DUMMYFUNCTION("""COMPUTED_VALUE"""),"Order rejected due to non school email address and wrong ticker code")</f>
        <v>Order rejected due to non school email address and wrong ticker code</v>
      </c>
    </row>
    <row r="675">
      <c r="A675" s="5"/>
      <c r="B675" s="118">
        <f>IFERROR(__xludf.DUMMYFUNCTION("""COMPUTED_VALUE"""),44642.82178576389)</f>
        <v>44642.82179</v>
      </c>
      <c r="C675" s="120" t="str">
        <f>IFERROR(__xludf.DUMMYFUNCTION("""COMPUTED_VALUE"""),"")</f>
        <v/>
      </c>
      <c r="D675" s="5" t="str">
        <f>IFERROR(__xludf.DUMMYFUNCTION("""COMPUTED_VALUE"""),"")</f>
        <v/>
      </c>
      <c r="E675" s="5" t="str">
        <f>IFERROR(__xludf.DUMMYFUNCTION("""COMPUTED_VALUE"""),"Stock")</f>
        <v>Stock</v>
      </c>
      <c r="F675" s="5" t="str">
        <f>IFERROR(__xludf.DUMMYFUNCTION("""COMPUTED_VALUE"""),"error")</f>
        <v>error</v>
      </c>
      <c r="G675" s="30" t="str">
        <f>IFERROR(__xludf.DUMMYFUNCTION("""COMPUTED_VALUE"""),"homixxxxxx@nonHKMUemail")</f>
        <v>homixxxxxx@nonHKMUemail</v>
      </c>
      <c r="H675" s="119" t="str">
        <f>IFERROR(__xludf.DUMMYFUNCTION("""COMPUTED_VALUE"""),"0883")</f>
        <v>0883</v>
      </c>
      <c r="I675" s="30">
        <f>IFERROR(__xludf.DUMMYFUNCTION("""COMPUTED_VALUE"""),2000.0)</f>
        <v>2000</v>
      </c>
      <c r="J675" s="30">
        <f>IFERROR(__xludf.DUMMYFUNCTION("""COMPUTED_VALUE"""),10.15)</f>
        <v>10.15</v>
      </c>
      <c r="K675" s="30" t="str">
        <f>IFERROR(__xludf.DUMMYFUNCTION("""COMPUTED_VALUE"""),"QTY, Limit Price (if any) &amp; Password input correct")</f>
        <v>QTY, Limit Price (if any) &amp; Password input correct</v>
      </c>
      <c r="L675" s="30" t="str">
        <f>IFERROR(__xludf.DUMMYFUNCTION("""COMPUTED_VALUE"""),"Order rejected due to non school email address and wrong ticker code")</f>
        <v>Order rejected due to non school email address and wrong ticker code</v>
      </c>
    </row>
    <row r="676">
      <c r="A676" s="5"/>
      <c r="B676" s="118">
        <f>IFERROR(__xludf.DUMMYFUNCTION("""COMPUTED_VALUE"""),44642.83384037037)</f>
        <v>44642.83384</v>
      </c>
      <c r="C676" s="120" t="str">
        <f>IFERROR(__xludf.DUMMYFUNCTION("""COMPUTED_VALUE"""),"")</f>
        <v/>
      </c>
      <c r="D676" s="5" t="str">
        <f>IFERROR(__xludf.DUMMYFUNCTION("""COMPUTED_VALUE"""),"")</f>
        <v/>
      </c>
      <c r="E676" s="5" t="str">
        <f>IFERROR(__xludf.DUMMYFUNCTION("""COMPUTED_VALUE"""),"Stock")</f>
        <v>Stock</v>
      </c>
      <c r="F676" s="5" t="str">
        <f>IFERROR(__xludf.DUMMYFUNCTION("""COMPUTED_VALUE"""),"error")</f>
        <v>error</v>
      </c>
      <c r="G676" s="30" t="str">
        <f>IFERROR(__xludf.DUMMYFUNCTION("""COMPUTED_VALUE"""),"homixxxxxx@nonHKMUemail")</f>
        <v>homixxxxxx@nonHKMUemail</v>
      </c>
      <c r="H676" s="119" t="str">
        <f>IFERROR(__xludf.DUMMYFUNCTION("""COMPUTED_VALUE"""),"1810")</f>
        <v>1810</v>
      </c>
      <c r="I676" s="30">
        <f>IFERROR(__xludf.DUMMYFUNCTION("""COMPUTED_VALUE"""),2000.0)</f>
        <v>2000</v>
      </c>
      <c r="J676" s="30">
        <f>IFERROR(__xludf.DUMMYFUNCTION("""COMPUTED_VALUE"""),14.2)</f>
        <v>14.2</v>
      </c>
      <c r="K676" s="30" t="str">
        <f>IFERROR(__xludf.DUMMYFUNCTION("""COMPUTED_VALUE"""),"QTY, Limit Price (if any) &amp; Password input correct")</f>
        <v>QTY, Limit Price (if any) &amp; Password input correct</v>
      </c>
      <c r="L676" s="30" t="str">
        <f>IFERROR(__xludf.DUMMYFUNCTION("""COMPUTED_VALUE"""),"Order rejected due to non school email address and wrong ticker code")</f>
        <v>Order rejected due to non school email address and wrong ticker code</v>
      </c>
    </row>
    <row r="677">
      <c r="A677" s="5"/>
      <c r="B677" s="118">
        <f>IFERROR(__xludf.DUMMYFUNCTION("""COMPUTED_VALUE"""),44642.85306504629)</f>
        <v>44642.85307</v>
      </c>
      <c r="C677" s="120">
        <f>IFERROR(__xludf.DUMMYFUNCTION("""COMPUTED_VALUE"""),44642.666666666664)</f>
        <v>44642.66667</v>
      </c>
      <c r="D677" s="5" t="str">
        <f>IFERROR(__xludf.DUMMYFUNCTION("""COMPUTED_VALUE"""),"89845")</f>
        <v>89845</v>
      </c>
      <c r="E677" s="5" t="str">
        <f>IFERROR(__xludf.DUMMYFUNCTION("""COMPUTED_VALUE"""),"Stock")</f>
        <v>Stock</v>
      </c>
      <c r="F677" s="5" t="str">
        <f>IFERROR(__xludf.DUMMYFUNCTION("""COMPUTED_VALUE"""),"USD")</f>
        <v>USD</v>
      </c>
      <c r="G677" s="30" t="str">
        <f>IFERROR(__xludf.DUMMYFUNCTION("""COMPUTED_VALUE"""),"Email Account/ TraderID Recognized")</f>
        <v>Email Account/ TraderID Recognized</v>
      </c>
      <c r="H677" s="119" t="str">
        <f>IFERROR(__xludf.DUMMYFUNCTION("""COMPUTED_VALUE"""),"ASML")</f>
        <v>ASML</v>
      </c>
      <c r="I677" s="30">
        <f>IFERROR(__xludf.DUMMYFUNCTION("""COMPUTED_VALUE"""),200.0)</f>
        <v>200</v>
      </c>
      <c r="J677" s="30"/>
      <c r="K677" s="30" t="str">
        <f>IFERROR(__xludf.DUMMYFUNCTION("""COMPUTED_VALUE"""),"QTY, Limit Price (if any) &amp; Password input correct")</f>
        <v>QTY, Limit Price (if any) &amp; Password input correct</v>
      </c>
      <c r="L677" s="30"/>
    </row>
    <row r="678">
      <c r="A678" s="5"/>
      <c r="B678" s="118">
        <f>IFERROR(__xludf.DUMMYFUNCTION("""COMPUTED_VALUE"""),44642.89071990741)</f>
        <v>44642.89072</v>
      </c>
      <c r="C678" s="120">
        <f>IFERROR(__xludf.DUMMYFUNCTION("""COMPUTED_VALUE"""),44642.666666666664)</f>
        <v>44642.66667</v>
      </c>
      <c r="D678" s="5" t="str">
        <f>IFERROR(__xludf.DUMMYFUNCTION("""COMPUTED_VALUE"""),"38705")</f>
        <v>38705</v>
      </c>
      <c r="E678" s="5" t="str">
        <f>IFERROR(__xludf.DUMMYFUNCTION("""COMPUTED_VALUE"""),"Stock")</f>
        <v>Stock</v>
      </c>
      <c r="F678" s="5" t="str">
        <f>IFERROR(__xludf.DUMMYFUNCTION("""COMPUTED_VALUE"""),"USD")</f>
        <v>USD</v>
      </c>
      <c r="G678" s="30" t="str">
        <f>IFERROR(__xludf.DUMMYFUNCTION("""COMPUTED_VALUE"""),"Email Account/ TraderID Recognized")</f>
        <v>Email Account/ TraderID Recognized</v>
      </c>
      <c r="H678" s="119" t="str">
        <f>IFERROR(__xludf.DUMMYFUNCTION("""COMPUTED_VALUE"""),"NKE")</f>
        <v>NKE</v>
      </c>
      <c r="I678" s="30">
        <f>IFERROR(__xludf.DUMMYFUNCTION("""COMPUTED_VALUE"""),50.0)</f>
        <v>50</v>
      </c>
      <c r="J678" s="30"/>
      <c r="K678" s="30" t="str">
        <f>IFERROR(__xludf.DUMMYFUNCTION("""COMPUTED_VALUE"""),"QTY, Limit Price (if any) &amp; Password input correct")</f>
        <v>QTY, Limit Price (if any) &amp; Password input correct</v>
      </c>
      <c r="L678" s="30"/>
    </row>
    <row r="679">
      <c r="A679" s="5"/>
      <c r="B679" s="118">
        <f>IFERROR(__xludf.DUMMYFUNCTION("""COMPUTED_VALUE"""),44643.00370460648)</f>
        <v>44643.0037</v>
      </c>
      <c r="C679" s="120">
        <f>IFERROR(__xludf.DUMMYFUNCTION("""COMPUTED_VALUE"""),44642.666666666664)</f>
        <v>44642.66667</v>
      </c>
      <c r="D679" s="5" t="str">
        <f>IFERROR(__xludf.DUMMYFUNCTION("""COMPUTED_VALUE"""),"35577")</f>
        <v>35577</v>
      </c>
      <c r="E679" s="5" t="str">
        <f>IFERROR(__xludf.DUMMYFUNCTION("""COMPUTED_VALUE"""),"Stock")</f>
        <v>Stock</v>
      </c>
      <c r="F679" s="5" t="str">
        <f>IFERROR(__xludf.DUMMYFUNCTION("""COMPUTED_VALUE"""),"USD")</f>
        <v>USD</v>
      </c>
      <c r="G679" s="30" t="str">
        <f>IFERROR(__xludf.DUMMYFUNCTION("""COMPUTED_VALUE"""),"Email Account/ TraderID Recognized")</f>
        <v>Email Account/ TraderID Recognized</v>
      </c>
      <c r="H679" s="119" t="str">
        <f>IFERROR(__xludf.DUMMYFUNCTION("""COMPUTED_VALUE"""),"AAPL")</f>
        <v>AAPL</v>
      </c>
      <c r="I679" s="30">
        <f>IFERROR(__xludf.DUMMYFUNCTION("""COMPUTED_VALUE"""),20.0)</f>
        <v>20</v>
      </c>
      <c r="J679" s="30">
        <f>IFERROR(__xludf.DUMMYFUNCTION("""COMPUTED_VALUE"""),166.5)</f>
        <v>166.5</v>
      </c>
      <c r="K679" s="30" t="str">
        <f>IFERROR(__xludf.DUMMYFUNCTION("""COMPUTED_VALUE"""),"QTY, Limit Price (if any) &amp; Password input correct")</f>
        <v>QTY, Limit Price (if any) &amp; Password input correct</v>
      </c>
      <c r="L679" s="30"/>
    </row>
    <row r="680">
      <c r="A680" s="5"/>
      <c r="B680" s="118">
        <f>IFERROR(__xludf.DUMMYFUNCTION("""COMPUTED_VALUE"""),44643.009673912034)</f>
        <v>44643.00967</v>
      </c>
      <c r="C680" s="120">
        <f>IFERROR(__xludf.DUMMYFUNCTION("""COMPUTED_VALUE"""),44643.666666666664)</f>
        <v>44643.66667</v>
      </c>
      <c r="D680" s="5" t="str">
        <f>IFERROR(__xludf.DUMMYFUNCTION("""COMPUTED_VALUE"""),"37922")</f>
        <v>37922</v>
      </c>
      <c r="E680" s="5" t="str">
        <f>IFERROR(__xludf.DUMMYFUNCTION("""COMPUTED_VALUE"""),"Stock")</f>
        <v>Stock</v>
      </c>
      <c r="F680" s="5" t="str">
        <f>IFERROR(__xludf.DUMMYFUNCTION("""COMPUTED_VALUE"""),"HKD")</f>
        <v>HKD</v>
      </c>
      <c r="G680" s="30" t="str">
        <f>IFERROR(__xludf.DUMMYFUNCTION("""COMPUTED_VALUE"""),"Email Account/ TraderID Recognized")</f>
        <v>Email Account/ TraderID Recognized</v>
      </c>
      <c r="H680" s="121" t="str">
        <f>IFERROR(__xludf.DUMMYFUNCTION("""COMPUTED_VALUE"""),"0700.HK")</f>
        <v>0700.HK</v>
      </c>
      <c r="I680" s="30">
        <f>IFERROR(__xludf.DUMMYFUNCTION("""COMPUTED_VALUE"""),1.0)</f>
        <v>1</v>
      </c>
      <c r="J680" s="30">
        <f>IFERROR(__xludf.DUMMYFUNCTION("""COMPUTED_VALUE"""),140.0)</f>
        <v>140</v>
      </c>
      <c r="K680" s="30" t="str">
        <f>IFERROR(__xludf.DUMMYFUNCTION("""COMPUTED_VALUE"""),"QTY, Limit Price (if any) &amp; Password input correct")</f>
        <v>QTY, Limit Price (if any) &amp; Password input correct</v>
      </c>
      <c r="L680" s="30"/>
    </row>
    <row r="681">
      <c r="A681" s="5"/>
      <c r="B681" s="118">
        <f>IFERROR(__xludf.DUMMYFUNCTION("""COMPUTED_VALUE"""),44643.43723913195)</f>
        <v>44643.43724</v>
      </c>
      <c r="C681" s="120" t="str">
        <f>IFERROR(__xludf.DUMMYFUNCTION("""COMPUTED_VALUE"""),"")</f>
        <v/>
      </c>
      <c r="D681" s="5" t="str">
        <f>IFERROR(__xludf.DUMMYFUNCTION("""COMPUTED_VALUE"""),"39704")</f>
        <v>39704</v>
      </c>
      <c r="E681" s="5" t="str">
        <f>IFERROR(__xludf.DUMMYFUNCTION("""COMPUTED_VALUE"""),"Stock")</f>
        <v>Stock</v>
      </c>
      <c r="F681" s="5" t="str">
        <f>IFERROR(__xludf.DUMMYFUNCTION("""COMPUTED_VALUE"""),"error")</f>
        <v>error</v>
      </c>
      <c r="G681" s="30" t="str">
        <f>IFERROR(__xludf.DUMMYFUNCTION("""COMPUTED_VALUE"""),"Email Account/ TraderID Recognized")</f>
        <v>Email Account/ TraderID Recognized</v>
      </c>
      <c r="H681" s="119" t="str">
        <f>IFERROR(__xludf.DUMMYFUNCTION("""COMPUTED_VALUE"""),"PYPL.O")</f>
        <v>PYPL.O</v>
      </c>
      <c r="I681" s="30">
        <f>IFERROR(__xludf.DUMMYFUNCTION("""COMPUTED_VALUE"""),100.0)</f>
        <v>100</v>
      </c>
      <c r="J681" s="30"/>
      <c r="K681" s="30" t="str">
        <f>IFERROR(__xludf.DUMMYFUNCTION("""COMPUTED_VALUE"""),"QTY, Limit Price (if any) &amp; Password input correct")</f>
        <v>QTY, Limit Price (if any) &amp; Password input correct</v>
      </c>
      <c r="L681" s="30" t="str">
        <f>IFERROR(__xludf.DUMMYFUNCTION("""COMPUTED_VALUE"""),"Order rejected due to wrong ticker code")</f>
        <v>Order rejected due to wrong ticker code</v>
      </c>
    </row>
    <row r="682">
      <c r="A682" s="5"/>
      <c r="B682" s="118">
        <f>IFERROR(__xludf.DUMMYFUNCTION("""COMPUTED_VALUE"""),44643.443791956015)</f>
        <v>44643.44379</v>
      </c>
      <c r="C682" s="120">
        <f>IFERROR(__xludf.DUMMYFUNCTION("""COMPUTED_VALUE"""),44643.666666666664)</f>
        <v>44643.66667</v>
      </c>
      <c r="D682" s="5" t="str">
        <f>IFERROR(__xludf.DUMMYFUNCTION("""COMPUTED_VALUE"""),"82124")</f>
        <v>82124</v>
      </c>
      <c r="E682" s="5" t="str">
        <f>IFERROR(__xludf.DUMMYFUNCTION("""COMPUTED_VALUE"""),"Stock")</f>
        <v>Stock</v>
      </c>
      <c r="F682" s="5" t="str">
        <f>IFERROR(__xludf.DUMMYFUNCTION("""COMPUTED_VALUE"""),"HKD")</f>
        <v>HKD</v>
      </c>
      <c r="G682" s="30" t="str">
        <f>IFERROR(__xludf.DUMMYFUNCTION("""COMPUTED_VALUE"""),"Email Account/ TraderID Recognized")</f>
        <v>Email Account/ TraderID Recognized</v>
      </c>
      <c r="H682" s="121" t="str">
        <f>IFERROR(__xludf.DUMMYFUNCTION("""COMPUTED_VALUE"""),"2800.HK")</f>
        <v>2800.HK</v>
      </c>
      <c r="I682" s="30">
        <f>IFERROR(__xludf.DUMMYFUNCTION("""COMPUTED_VALUE"""),2000.0)</f>
        <v>2000</v>
      </c>
      <c r="J682" s="30"/>
      <c r="K682" s="30" t="str">
        <f>IFERROR(__xludf.DUMMYFUNCTION("""COMPUTED_VALUE"""),"QTY, Limit Price (if any) &amp; Password input correct")</f>
        <v>QTY, Limit Price (if any) &amp; Password input correct</v>
      </c>
      <c r="L682" s="30"/>
    </row>
    <row r="683">
      <c r="A683" s="5"/>
      <c r="B683" s="118">
        <f>IFERROR(__xludf.DUMMYFUNCTION("""COMPUTED_VALUE"""),44643.44649633102)</f>
        <v>44643.4465</v>
      </c>
      <c r="C683" s="120">
        <f>IFERROR(__xludf.DUMMYFUNCTION("""COMPUTED_VALUE"""),44643.666666666664)</f>
        <v>44643.66667</v>
      </c>
      <c r="D683" s="5" t="str">
        <f>IFERROR(__xludf.DUMMYFUNCTION("""COMPUTED_VALUE"""),"82124")</f>
        <v>82124</v>
      </c>
      <c r="E683" s="5" t="str">
        <f>IFERROR(__xludf.DUMMYFUNCTION("""COMPUTED_VALUE"""),"Stock")</f>
        <v>Stock</v>
      </c>
      <c r="F683" s="5" t="str">
        <f>IFERROR(__xludf.DUMMYFUNCTION("""COMPUTED_VALUE"""),"HKD")</f>
        <v>HKD</v>
      </c>
      <c r="G683" s="30" t="str">
        <f>IFERROR(__xludf.DUMMYFUNCTION("""COMPUTED_VALUE"""),"Email Account/ TraderID Recognized")</f>
        <v>Email Account/ TraderID Recognized</v>
      </c>
      <c r="H683" s="121" t="str">
        <f>IFERROR(__xludf.DUMMYFUNCTION("""COMPUTED_VALUE"""),"9988.HK")</f>
        <v>9988.HK</v>
      </c>
      <c r="I683" s="30">
        <f>IFERROR(__xludf.DUMMYFUNCTION("""COMPUTED_VALUE"""),400.0)</f>
        <v>400</v>
      </c>
      <c r="J683" s="30"/>
      <c r="K683" s="30" t="str">
        <f>IFERROR(__xludf.DUMMYFUNCTION("""COMPUTED_VALUE"""),"QTY, Limit Price (if any) &amp; Password input correct")</f>
        <v>QTY, Limit Price (if any) &amp; Password input correct</v>
      </c>
      <c r="L683" s="30"/>
    </row>
    <row r="684">
      <c r="A684" s="5"/>
      <c r="B684" s="118">
        <f>IFERROR(__xludf.DUMMYFUNCTION("""COMPUTED_VALUE"""),44643.46376141204)</f>
        <v>44643.46376</v>
      </c>
      <c r="C684" s="120" t="str">
        <f>IFERROR(__xludf.DUMMYFUNCTION("""COMPUTED_VALUE"""),"")</f>
        <v/>
      </c>
      <c r="D684" s="5" t="str">
        <f>IFERROR(__xludf.DUMMYFUNCTION("""COMPUTED_VALUE"""),"")</f>
        <v/>
      </c>
      <c r="E684" s="5" t="str">
        <f>IFERROR(__xludf.DUMMYFUNCTION("""COMPUTED_VALUE"""),"Stock")</f>
        <v>Stock</v>
      </c>
      <c r="F684" s="5" t="str">
        <f>IFERROR(__xludf.DUMMYFUNCTION("""COMPUTED_VALUE"""),"error")</f>
        <v>error</v>
      </c>
      <c r="G684" s="30" t="str">
        <f>IFERROR(__xludf.DUMMYFUNCTION("""COMPUTED_VALUE"""),"2508xxxxxx@nonHKMUemail")</f>
        <v>2508xxxxxx@nonHKMUemail</v>
      </c>
      <c r="H684" s="119" t="str">
        <f>IFERROR(__xludf.DUMMYFUNCTION("""COMPUTED_VALUE"""),"01882")</f>
        <v>01882</v>
      </c>
      <c r="I684" s="30">
        <f>IFERROR(__xludf.DUMMYFUNCTION("""COMPUTED_VALUE"""),100.0)</f>
        <v>100</v>
      </c>
      <c r="J684" s="30">
        <f>IFERROR(__xludf.DUMMYFUNCTION("""COMPUTED_VALUE"""),19.0)</f>
        <v>19</v>
      </c>
      <c r="K684" s="30" t="str">
        <f>IFERROR(__xludf.DUMMYFUNCTION("""COMPUTED_VALUE"""),"QTY, Limit Price (if any) &amp; Password input correct")</f>
        <v>QTY, Limit Price (if any) &amp; Password input correct</v>
      </c>
      <c r="L684" s="30" t="str">
        <f>IFERROR(__xludf.DUMMYFUNCTION("""COMPUTED_VALUE"""),"Order rejected due to wrong ticker code and non school email account")</f>
        <v>Order rejected due to wrong ticker code and non school email account</v>
      </c>
    </row>
    <row r="685">
      <c r="A685" s="5"/>
      <c r="B685" s="118">
        <f>IFERROR(__xludf.DUMMYFUNCTION("""COMPUTED_VALUE"""),44643.46798351852)</f>
        <v>44643.46798</v>
      </c>
      <c r="C685" s="120">
        <f>IFERROR(__xludf.DUMMYFUNCTION("""COMPUTED_VALUE"""),44643.666666666664)</f>
        <v>44643.66667</v>
      </c>
      <c r="D685" s="5" t="str">
        <f>IFERROR(__xludf.DUMMYFUNCTION("""COMPUTED_VALUE"""),"36460")</f>
        <v>36460</v>
      </c>
      <c r="E685" s="5" t="str">
        <f>IFERROR(__xludf.DUMMYFUNCTION("""COMPUTED_VALUE"""),"Stock")</f>
        <v>Stock</v>
      </c>
      <c r="F685" s="5" t="str">
        <f>IFERROR(__xludf.DUMMYFUNCTION("""COMPUTED_VALUE"""),"HKD")</f>
        <v>HKD</v>
      </c>
      <c r="G685" s="30" t="str">
        <f>IFERROR(__xludf.DUMMYFUNCTION("""COMPUTED_VALUE"""),"Email Account/ TraderID Recognized")</f>
        <v>Email Account/ TraderID Recognized</v>
      </c>
      <c r="H685" s="121" t="str">
        <f>IFERROR(__xludf.DUMMYFUNCTION("""COMPUTED_VALUE"""),"0700.HK")</f>
        <v>0700.HK</v>
      </c>
      <c r="I685" s="30">
        <f>IFERROR(__xludf.DUMMYFUNCTION("""COMPUTED_VALUE"""),150.0)</f>
        <v>150</v>
      </c>
      <c r="J685" s="30"/>
      <c r="K685" s="30" t="str">
        <f>IFERROR(__xludf.DUMMYFUNCTION("""COMPUTED_VALUE"""),"QTY, Limit Price (if any) &amp; Password input correct")</f>
        <v>QTY, Limit Price (if any) &amp; Password input correct</v>
      </c>
      <c r="L685" s="30"/>
    </row>
    <row r="686">
      <c r="A686" s="5"/>
      <c r="B686" s="118">
        <f>IFERROR(__xludf.DUMMYFUNCTION("""COMPUTED_VALUE"""),44643.475149791666)</f>
        <v>44643.47515</v>
      </c>
      <c r="C686" s="120">
        <f>IFERROR(__xludf.DUMMYFUNCTION("""COMPUTED_VALUE"""),44643.666666666664)</f>
        <v>44643.66667</v>
      </c>
      <c r="D686" s="5" t="str">
        <f>IFERROR(__xludf.DUMMYFUNCTION("""COMPUTED_VALUE"""),"36460")</f>
        <v>36460</v>
      </c>
      <c r="E686" s="5" t="str">
        <f>IFERROR(__xludf.DUMMYFUNCTION("""COMPUTED_VALUE"""),"Option")</f>
        <v>Option</v>
      </c>
      <c r="F686" s="5" t="str">
        <f>IFERROR(__xludf.DUMMYFUNCTION("""COMPUTED_VALUE"""),"USD")</f>
        <v>USD</v>
      </c>
      <c r="G686" s="30" t="str">
        <f>IFERROR(__xludf.DUMMYFUNCTION("""COMPUTED_VALUE"""),"Email Account/ TraderID Recognized")</f>
        <v>Email Account/ TraderID Recognized</v>
      </c>
      <c r="H686" s="119" t="str">
        <f>IFERROR(__xludf.DUMMYFUNCTION("""COMPUTED_VALUE"""),"F220325C00010000")</f>
        <v>F220325C00010000</v>
      </c>
      <c r="I686" s="30">
        <f>IFERROR(__xludf.DUMMYFUNCTION("""COMPUTED_VALUE"""),1.0)</f>
        <v>1</v>
      </c>
      <c r="J686" s="30"/>
      <c r="K686" s="30" t="str">
        <f>IFERROR(__xludf.DUMMYFUNCTION("""COMPUTED_VALUE"""),"QTY, Limit Price (if any) &amp; Password input correct")</f>
        <v>QTY, Limit Price (if any) &amp; Password input correct</v>
      </c>
      <c r="L686" s="30"/>
    </row>
    <row r="687">
      <c r="A687" s="5"/>
      <c r="B687" s="118">
        <f>IFERROR(__xludf.DUMMYFUNCTION("""COMPUTED_VALUE"""),44643.47614408565)</f>
        <v>44643.47614</v>
      </c>
      <c r="C687" s="120" t="str">
        <f>IFERROR(__xludf.DUMMYFUNCTION("""COMPUTED_VALUE"""),"")</f>
        <v/>
      </c>
      <c r="D687" s="5" t="str">
        <f>IFERROR(__xludf.DUMMYFUNCTION("""COMPUTED_VALUE"""),"")</f>
        <v/>
      </c>
      <c r="E687" s="5" t="str">
        <f>IFERROR(__xludf.DUMMYFUNCTION("""COMPUTED_VALUE"""),"Stock")</f>
        <v>Stock</v>
      </c>
      <c r="F687" s="5" t="str">
        <f>IFERROR(__xludf.DUMMYFUNCTION("""COMPUTED_VALUE"""),"error")</f>
        <v>error</v>
      </c>
      <c r="G687" s="30" t="str">
        <f>IFERROR(__xludf.DUMMYFUNCTION("""COMPUTED_VALUE"""),"2508xxxxxx@nonHKMUemail")</f>
        <v>2508xxxxxx@nonHKMUemail</v>
      </c>
      <c r="H687" s="119" t="str">
        <f>IFERROR(__xludf.DUMMYFUNCTION("""COMPUTED_VALUE"""),"BA")</f>
        <v>BA</v>
      </c>
      <c r="I687" s="30">
        <f>IFERROR(__xludf.DUMMYFUNCTION("""COMPUTED_VALUE"""),200.0)</f>
        <v>200</v>
      </c>
      <c r="J687" s="30">
        <f>IFERROR(__xludf.DUMMYFUNCTION("""COMPUTED_VALUE"""),188.0)</f>
        <v>188</v>
      </c>
      <c r="K687" s="30" t="str">
        <f>IFERROR(__xludf.DUMMYFUNCTION("""COMPUTED_VALUE"""),"QTY, Limit Price (if any) &amp; Password input correct")</f>
        <v>QTY, Limit Price (if any) &amp; Password input correct</v>
      </c>
      <c r="L687" s="30" t="str">
        <f>IFERROR(__xludf.DUMMYFUNCTION("""COMPUTED_VALUE"""),"Order rejected due to wrong ticker code and non school email account")</f>
        <v>Order rejected due to wrong ticker code and non school email account</v>
      </c>
    </row>
    <row r="688">
      <c r="A688" s="5"/>
      <c r="B688" s="118">
        <f>IFERROR(__xludf.DUMMYFUNCTION("""COMPUTED_VALUE"""),44643.49924424769)</f>
        <v>44643.49924</v>
      </c>
      <c r="C688" s="120" t="str">
        <f>IFERROR(__xludf.DUMMYFUNCTION("""COMPUTED_VALUE"""),"")</f>
        <v/>
      </c>
      <c r="D688" s="5" t="str">
        <f>IFERROR(__xludf.DUMMYFUNCTION("""COMPUTED_VALUE"""),"36242")</f>
        <v>36242</v>
      </c>
      <c r="E688" s="5" t="str">
        <f>IFERROR(__xludf.DUMMYFUNCTION("""COMPUTED_VALUE"""),"Stock")</f>
        <v>Stock</v>
      </c>
      <c r="F688" s="5" t="str">
        <f>IFERROR(__xludf.DUMMYFUNCTION("""COMPUTED_VALUE"""),"error")</f>
        <v>error</v>
      </c>
      <c r="G688" s="30" t="str">
        <f>IFERROR(__xludf.DUMMYFUNCTION("""COMPUTED_VALUE"""),"Email Account/ TraderID Recognized")</f>
        <v>Email Account/ TraderID Recognized</v>
      </c>
      <c r="H688" s="119" t="str">
        <f>IFERROR(__xludf.DUMMYFUNCTION("""COMPUTED_VALUE"""),"01882")</f>
        <v>01882</v>
      </c>
      <c r="I688" s="30">
        <f>IFERROR(__xludf.DUMMYFUNCTION("""COMPUTED_VALUE"""),200.0)</f>
        <v>200</v>
      </c>
      <c r="J688" s="30">
        <f>IFERROR(__xludf.DUMMYFUNCTION("""COMPUTED_VALUE"""),20.0)</f>
        <v>20</v>
      </c>
      <c r="K688" s="30" t="str">
        <f>IFERROR(__xludf.DUMMYFUNCTION("""COMPUTED_VALUE"""),"QTY, Limit Price (if any) &amp; Password input correct")</f>
        <v>QTY, Limit Price (if any) &amp; Password input correct</v>
      </c>
      <c r="L688" s="30" t="str">
        <f>IFERROR(__xludf.DUMMYFUNCTION("""COMPUTED_VALUE"""),"Order rejected due to wrong ticker code")</f>
        <v>Order rejected due to wrong ticker code</v>
      </c>
    </row>
    <row r="689">
      <c r="A689" s="5"/>
      <c r="B689" s="118">
        <f>IFERROR(__xludf.DUMMYFUNCTION("""COMPUTED_VALUE"""),44643.50115037037)</f>
        <v>44643.50115</v>
      </c>
      <c r="C689" s="120">
        <f>IFERROR(__xludf.DUMMYFUNCTION("""COMPUTED_VALUE"""),44643.666666666664)</f>
        <v>44643.66667</v>
      </c>
      <c r="D689" s="5" t="str">
        <f>IFERROR(__xludf.DUMMYFUNCTION("""COMPUTED_VALUE"""),"36242")</f>
        <v>36242</v>
      </c>
      <c r="E689" s="5" t="str">
        <f>IFERROR(__xludf.DUMMYFUNCTION("""COMPUTED_VALUE"""),"Stock")</f>
        <v>Stock</v>
      </c>
      <c r="F689" s="5" t="str">
        <f>IFERROR(__xludf.DUMMYFUNCTION("""COMPUTED_VALUE"""),"USD")</f>
        <v>USD</v>
      </c>
      <c r="G689" s="30" t="str">
        <f>IFERROR(__xludf.DUMMYFUNCTION("""COMPUTED_VALUE"""),"Email Account/ TraderID Recognized")</f>
        <v>Email Account/ TraderID Recognized</v>
      </c>
      <c r="H689" s="119" t="str">
        <f>IFERROR(__xludf.DUMMYFUNCTION("""COMPUTED_VALUE"""),"BA")</f>
        <v>BA</v>
      </c>
      <c r="I689" s="30">
        <f>IFERROR(__xludf.DUMMYFUNCTION("""COMPUTED_VALUE"""),160.0)</f>
        <v>160</v>
      </c>
      <c r="J689" s="30">
        <f>IFERROR(__xludf.DUMMYFUNCTION("""COMPUTED_VALUE"""),186.0)</f>
        <v>186</v>
      </c>
      <c r="K689" s="30" t="str">
        <f>IFERROR(__xludf.DUMMYFUNCTION("""COMPUTED_VALUE"""),"QTY, Limit Price (if any) &amp; Password input correct")</f>
        <v>QTY, Limit Price (if any) &amp; Password input correct</v>
      </c>
      <c r="L689" s="30"/>
    </row>
    <row r="690">
      <c r="A690" s="5"/>
      <c r="B690" s="118">
        <f>IFERROR(__xludf.DUMMYFUNCTION("""COMPUTED_VALUE"""),44643.55237609954)</f>
        <v>44643.55238</v>
      </c>
      <c r="C690" s="120">
        <f>IFERROR(__xludf.DUMMYFUNCTION("""COMPUTED_VALUE"""),44643.666666666664)</f>
        <v>44643.66667</v>
      </c>
      <c r="D690" s="5" t="str">
        <f>IFERROR(__xludf.DUMMYFUNCTION("""COMPUTED_VALUE"""),"46600")</f>
        <v>46600</v>
      </c>
      <c r="E690" s="5" t="str">
        <f>IFERROR(__xludf.DUMMYFUNCTION("""COMPUTED_VALUE"""),"Stock")</f>
        <v>Stock</v>
      </c>
      <c r="F690" s="5" t="str">
        <f>IFERROR(__xludf.DUMMYFUNCTION("""COMPUTED_VALUE"""),"HKD")</f>
        <v>HKD</v>
      </c>
      <c r="G690" s="30" t="str">
        <f>IFERROR(__xludf.DUMMYFUNCTION("""COMPUTED_VALUE"""),"Email Account/ TraderID Recognized")</f>
        <v>Email Account/ TraderID Recognized</v>
      </c>
      <c r="H690" s="121" t="str">
        <f>IFERROR(__xludf.DUMMYFUNCTION("""COMPUTED_VALUE"""),"9988.HK")</f>
        <v>9988.HK</v>
      </c>
      <c r="I690" s="30">
        <f>IFERROR(__xludf.DUMMYFUNCTION("""COMPUTED_VALUE"""),130.0)</f>
        <v>130</v>
      </c>
      <c r="J690" s="30"/>
      <c r="K690" s="30" t="str">
        <f>IFERROR(__xludf.DUMMYFUNCTION("""COMPUTED_VALUE"""),"QTY, Limit Price (if any) &amp; Password input correct")</f>
        <v>QTY, Limit Price (if any) &amp; Password input correct</v>
      </c>
      <c r="L690" s="30"/>
    </row>
    <row r="691">
      <c r="A691" s="5"/>
      <c r="B691" s="118">
        <f>IFERROR(__xludf.DUMMYFUNCTION("""COMPUTED_VALUE"""),44643.55352006944)</f>
        <v>44643.55352</v>
      </c>
      <c r="C691" s="120">
        <f>IFERROR(__xludf.DUMMYFUNCTION("""COMPUTED_VALUE"""),44643.666666666664)</f>
        <v>44643.66667</v>
      </c>
      <c r="D691" s="5" t="str">
        <f>IFERROR(__xludf.DUMMYFUNCTION("""COMPUTED_VALUE"""),"46600")</f>
        <v>46600</v>
      </c>
      <c r="E691" s="5" t="str">
        <f>IFERROR(__xludf.DUMMYFUNCTION("""COMPUTED_VALUE"""),"Stock")</f>
        <v>Stock</v>
      </c>
      <c r="F691" s="5" t="str">
        <f>IFERROR(__xludf.DUMMYFUNCTION("""COMPUTED_VALUE"""),"HKD")</f>
        <v>HKD</v>
      </c>
      <c r="G691" s="30" t="str">
        <f>IFERROR(__xludf.DUMMYFUNCTION("""COMPUTED_VALUE"""),"Email Account/ TraderID Recognized")</f>
        <v>Email Account/ TraderID Recognized</v>
      </c>
      <c r="H691" s="121" t="str">
        <f>IFERROR(__xludf.DUMMYFUNCTION("""COMPUTED_VALUE"""),"0700.HK")</f>
        <v>0700.HK</v>
      </c>
      <c r="I691" s="30">
        <f>IFERROR(__xludf.DUMMYFUNCTION("""COMPUTED_VALUE"""),250.0)</f>
        <v>250</v>
      </c>
      <c r="J691" s="30"/>
      <c r="K691" s="30" t="str">
        <f>IFERROR(__xludf.DUMMYFUNCTION("""COMPUTED_VALUE"""),"QTY, Limit Price (if any) &amp; Password input correct")</f>
        <v>QTY, Limit Price (if any) &amp; Password input correct</v>
      </c>
      <c r="L691" s="30"/>
    </row>
    <row r="692">
      <c r="A692" s="5"/>
      <c r="B692" s="118">
        <f>IFERROR(__xludf.DUMMYFUNCTION("""COMPUTED_VALUE"""),44643.55798378472)</f>
        <v>44643.55798</v>
      </c>
      <c r="C692" s="120" t="str">
        <f>IFERROR(__xludf.DUMMYFUNCTION("""COMPUTED_VALUE"""),"")</f>
        <v/>
      </c>
      <c r="D692" s="5" t="str">
        <f>IFERROR(__xludf.DUMMYFUNCTION("""COMPUTED_VALUE"""),"35702")</f>
        <v>35702</v>
      </c>
      <c r="E692" s="5" t="str">
        <f>IFERROR(__xludf.DUMMYFUNCTION("""COMPUTED_VALUE"""),"Stock")</f>
        <v>Stock</v>
      </c>
      <c r="F692" s="5" t="str">
        <f>IFERROR(__xludf.DUMMYFUNCTION("""COMPUTED_VALUE"""),"error")</f>
        <v>error</v>
      </c>
      <c r="G692" s="30" t="str">
        <f>IFERROR(__xludf.DUMMYFUNCTION("""COMPUTED_VALUE"""),"Email Account/ TraderID Recognized")</f>
        <v>Email Account/ TraderID Recognized</v>
      </c>
      <c r="H692" s="119" t="str">
        <f>IFERROR(__xludf.DUMMYFUNCTION("""COMPUTED_VALUE"""),"600522")</f>
        <v>600522</v>
      </c>
      <c r="I692" s="30">
        <f>IFERROR(__xludf.DUMMYFUNCTION("""COMPUTED_VALUE"""),1000.0)</f>
        <v>1000</v>
      </c>
      <c r="J692" s="30"/>
      <c r="K692" s="30" t="str">
        <f>IFERROR(__xludf.DUMMYFUNCTION("""COMPUTED_VALUE"""),"QTY, Limit Price (if any) &amp; Password input correct")</f>
        <v>QTY, Limit Price (if any) &amp; Password input correct</v>
      </c>
      <c r="L692" s="30" t="str">
        <f>IFERROR(__xludf.DUMMYFUNCTION("""COMPUTED_VALUE"""),"Order rejected due to wrong ticker code")</f>
        <v>Order rejected due to wrong ticker code</v>
      </c>
    </row>
    <row r="693">
      <c r="A693" s="5"/>
      <c r="B693" s="118">
        <f>IFERROR(__xludf.DUMMYFUNCTION("""COMPUTED_VALUE"""),44643.55859151621)</f>
        <v>44643.55859</v>
      </c>
      <c r="C693" s="120">
        <f>IFERROR(__xludf.DUMMYFUNCTION("""COMPUTED_VALUE"""),44643.666666666664)</f>
        <v>44643.66667</v>
      </c>
      <c r="D693" s="5" t="str">
        <f>IFERROR(__xludf.DUMMYFUNCTION("""COMPUTED_VALUE"""),"46600")</f>
        <v>46600</v>
      </c>
      <c r="E693" s="5" t="str">
        <f>IFERROR(__xludf.DUMMYFUNCTION("""COMPUTED_VALUE"""),"Stock")</f>
        <v>Stock</v>
      </c>
      <c r="F693" s="5" t="str">
        <f>IFERROR(__xludf.DUMMYFUNCTION("""COMPUTED_VALUE"""),"HKD")</f>
        <v>HKD</v>
      </c>
      <c r="G693" s="30" t="str">
        <f>IFERROR(__xludf.DUMMYFUNCTION("""COMPUTED_VALUE"""),"Email Account/ TraderID Recognized")</f>
        <v>Email Account/ TraderID Recognized</v>
      </c>
      <c r="H693" s="121" t="str">
        <f>IFERROR(__xludf.DUMMYFUNCTION("""COMPUTED_VALUE"""),"1810.HK")</f>
        <v>1810.HK</v>
      </c>
      <c r="I693" s="30">
        <f>IFERROR(__xludf.DUMMYFUNCTION("""COMPUTED_VALUE"""),300.0)</f>
        <v>300</v>
      </c>
      <c r="J693" s="30"/>
      <c r="K693" s="30" t="str">
        <f>IFERROR(__xludf.DUMMYFUNCTION("""COMPUTED_VALUE"""),"QTY, Limit Price (if any) &amp; Password input correct")</f>
        <v>QTY, Limit Price (if any) &amp; Password input correct</v>
      </c>
      <c r="L693" s="30"/>
    </row>
    <row r="694">
      <c r="A694" s="5"/>
      <c r="B694" s="118">
        <f>IFERROR(__xludf.DUMMYFUNCTION("""COMPUTED_VALUE"""),44643.5759200926)</f>
        <v>44643.57592</v>
      </c>
      <c r="C694" s="120">
        <f>IFERROR(__xludf.DUMMYFUNCTION("""COMPUTED_VALUE"""),44643.666666666664)</f>
        <v>44643.66667</v>
      </c>
      <c r="D694" s="5" t="str">
        <f>IFERROR(__xludf.DUMMYFUNCTION("""COMPUTED_VALUE"""),"46600")</f>
        <v>46600</v>
      </c>
      <c r="E694" s="5" t="str">
        <f>IFERROR(__xludf.DUMMYFUNCTION("""COMPUTED_VALUE"""),"Stock")</f>
        <v>Stock</v>
      </c>
      <c r="F694" s="5" t="str">
        <f>IFERROR(__xludf.DUMMYFUNCTION("""COMPUTED_VALUE"""),"HKD")</f>
        <v>HKD</v>
      </c>
      <c r="G694" s="30" t="str">
        <f>IFERROR(__xludf.DUMMYFUNCTION("""COMPUTED_VALUE"""),"Email Account/ TraderID Recognized")</f>
        <v>Email Account/ TraderID Recognized</v>
      </c>
      <c r="H694" s="121" t="str">
        <f>IFERROR(__xludf.DUMMYFUNCTION("""COMPUTED_VALUE"""),"1299.HK")</f>
        <v>1299.HK</v>
      </c>
      <c r="I694" s="30">
        <f>IFERROR(__xludf.DUMMYFUNCTION("""COMPUTED_VALUE"""),200.0)</f>
        <v>200</v>
      </c>
      <c r="J694" s="30"/>
      <c r="K694" s="30" t="str">
        <f>IFERROR(__xludf.DUMMYFUNCTION("""COMPUTED_VALUE"""),"QTY, Limit Price (if any) &amp; Password input correct")</f>
        <v>QTY, Limit Price (if any) &amp; Password input correct</v>
      </c>
      <c r="L694" s="30"/>
    </row>
    <row r="695">
      <c r="A695" s="5"/>
      <c r="B695" s="118">
        <f>IFERROR(__xludf.DUMMYFUNCTION("""COMPUTED_VALUE"""),44643.58248207176)</f>
        <v>44643.58248</v>
      </c>
      <c r="C695" s="120">
        <f>IFERROR(__xludf.DUMMYFUNCTION("""COMPUTED_VALUE"""),44643.666666666664)</f>
        <v>44643.66667</v>
      </c>
      <c r="D695" s="5" t="str">
        <f>IFERROR(__xludf.DUMMYFUNCTION("""COMPUTED_VALUE"""),"40158")</f>
        <v>40158</v>
      </c>
      <c r="E695" s="5" t="str">
        <f>IFERROR(__xludf.DUMMYFUNCTION("""COMPUTED_VALUE"""),"Stock")</f>
        <v>Stock</v>
      </c>
      <c r="F695" s="5" t="str">
        <f>IFERROR(__xludf.DUMMYFUNCTION("""COMPUTED_VALUE"""),"HKD")</f>
        <v>HKD</v>
      </c>
      <c r="G695" s="30" t="str">
        <f>IFERROR(__xludf.DUMMYFUNCTION("""COMPUTED_VALUE"""),"Email Account/ TraderID Recognized")</f>
        <v>Email Account/ TraderID Recognized</v>
      </c>
      <c r="H695" s="121" t="str">
        <f>IFERROR(__xludf.DUMMYFUNCTION("""COMPUTED_VALUE"""),"6049.HK")</f>
        <v>6049.HK</v>
      </c>
      <c r="I695" s="30">
        <f>IFERROR(__xludf.DUMMYFUNCTION("""COMPUTED_VALUE"""),400.0)</f>
        <v>400</v>
      </c>
      <c r="J695" s="30">
        <f>IFERROR(__xludf.DUMMYFUNCTION("""COMPUTED_VALUE"""),60.0)</f>
        <v>60</v>
      </c>
      <c r="K695" s="30" t="str">
        <f>IFERROR(__xludf.DUMMYFUNCTION("""COMPUTED_VALUE"""),"QTY, Limit Price (if any) &amp; Password input correct")</f>
        <v>QTY, Limit Price (if any) &amp; Password input correct</v>
      </c>
      <c r="L695" s="30"/>
    </row>
    <row r="696">
      <c r="A696" s="5"/>
      <c r="B696" s="118">
        <f>IFERROR(__xludf.DUMMYFUNCTION("""COMPUTED_VALUE"""),44643.59943850695)</f>
        <v>44643.59944</v>
      </c>
      <c r="C696" s="120" t="str">
        <f>IFERROR(__xludf.DUMMYFUNCTION("""COMPUTED_VALUE"""),"")</f>
        <v/>
      </c>
      <c r="D696" s="5" t="str">
        <f>IFERROR(__xludf.DUMMYFUNCTION("""COMPUTED_VALUE"""),"")</f>
        <v/>
      </c>
      <c r="E696" s="5" t="str">
        <f>IFERROR(__xludf.DUMMYFUNCTION("""COMPUTED_VALUE"""),"Stock")</f>
        <v>Stock</v>
      </c>
      <c r="F696" s="5" t="str">
        <f>IFERROR(__xludf.DUMMYFUNCTION("""COMPUTED_VALUE"""),"error")</f>
        <v>error</v>
      </c>
      <c r="G696" s="30" t="str">
        <f>IFERROR(__xludf.DUMMYFUNCTION("""COMPUTED_VALUE"""),"jiaxxxxxxx@nonHKMUemail")</f>
        <v>jiaxxxxxxx@nonHKMUemail</v>
      </c>
      <c r="H696" s="121" t="str">
        <f>IFERROR(__xludf.DUMMYFUNCTION("""COMPUTED_VALUE"""),"1024.HK")</f>
        <v>1024.HK</v>
      </c>
      <c r="I696" s="30">
        <f>IFERROR(__xludf.DUMMYFUNCTION("""COMPUTED_VALUE"""),2000.0)</f>
        <v>2000</v>
      </c>
      <c r="J696" s="30">
        <f>IFERROR(__xludf.DUMMYFUNCTION("""COMPUTED_VALUE"""),80.0)</f>
        <v>80</v>
      </c>
      <c r="K696" s="30" t="str">
        <f>IFERROR(__xludf.DUMMYFUNCTION("""COMPUTED_VALUE"""),"QTY, Limit Price (if any) &amp; Password input correct")</f>
        <v>QTY, Limit Price (if any) &amp; Password input correct</v>
      </c>
      <c r="L696" s="30" t="str">
        <f>IFERROR(__xludf.DUMMYFUNCTION("""COMPUTED_VALUE"""),"Order rejected due to wrong ticker code and non school email account")</f>
        <v>Order rejected due to wrong ticker code and non school email account</v>
      </c>
    </row>
    <row r="697">
      <c r="A697" s="5"/>
      <c r="B697" s="118">
        <f>IFERROR(__xludf.DUMMYFUNCTION("""COMPUTED_VALUE"""),44643.60007542824)</f>
        <v>44643.60008</v>
      </c>
      <c r="C697" s="120" t="str">
        <f>IFERROR(__xludf.DUMMYFUNCTION("""COMPUTED_VALUE"""),"")</f>
        <v/>
      </c>
      <c r="D697" s="5" t="str">
        <f>IFERROR(__xludf.DUMMYFUNCTION("""COMPUTED_VALUE"""),"")</f>
        <v/>
      </c>
      <c r="E697" s="5" t="str">
        <f>IFERROR(__xludf.DUMMYFUNCTION("""COMPUTED_VALUE"""),"Stock")</f>
        <v>Stock</v>
      </c>
      <c r="F697" s="5" t="str">
        <f>IFERROR(__xludf.DUMMYFUNCTION("""COMPUTED_VALUE"""),"error")</f>
        <v>error</v>
      </c>
      <c r="G697" s="30" t="str">
        <f>IFERROR(__xludf.DUMMYFUNCTION("""COMPUTED_VALUE"""),"jiaxxxxxxx@nonHKMUemail")</f>
        <v>jiaxxxxxxx@nonHKMUemail</v>
      </c>
      <c r="H697" s="121" t="str">
        <f>IFERROR(__xludf.DUMMYFUNCTION("""COMPUTED_VALUE"""),"1024.HK")</f>
        <v>1024.HK</v>
      </c>
      <c r="I697" s="30">
        <f>IFERROR(__xludf.DUMMYFUNCTION("""COMPUTED_VALUE"""),2000.0)</f>
        <v>2000</v>
      </c>
      <c r="J697" s="30">
        <f>IFERROR(__xludf.DUMMYFUNCTION("""COMPUTED_VALUE"""),81.5)</f>
        <v>81.5</v>
      </c>
      <c r="K697" s="30" t="str">
        <f>IFERROR(__xludf.DUMMYFUNCTION("""COMPUTED_VALUE"""),"QTY, Limit Price (if any) &amp; Password input correct")</f>
        <v>QTY, Limit Price (if any) &amp; Password input correct</v>
      </c>
      <c r="L697" s="30" t="str">
        <f>IFERROR(__xludf.DUMMYFUNCTION("""COMPUTED_VALUE"""),"Order rejected due to wrong ticker code and non school email account")</f>
        <v>Order rejected due to wrong ticker code and non school email account</v>
      </c>
    </row>
    <row r="698">
      <c r="A698" s="5"/>
      <c r="B698" s="118">
        <f>IFERROR(__xludf.DUMMYFUNCTION("""COMPUTED_VALUE"""),44643.60056730324)</f>
        <v>44643.60057</v>
      </c>
      <c r="C698" s="120">
        <f>IFERROR(__xludf.DUMMYFUNCTION("""COMPUTED_VALUE"""),44643.666666666664)</f>
        <v>44643.66667</v>
      </c>
      <c r="D698" s="5" t="str">
        <f>IFERROR(__xludf.DUMMYFUNCTION("""COMPUTED_VALUE"""),"39857")</f>
        <v>39857</v>
      </c>
      <c r="E698" s="5" t="str">
        <f>IFERROR(__xludf.DUMMYFUNCTION("""COMPUTED_VALUE"""),"Stock")</f>
        <v>Stock</v>
      </c>
      <c r="F698" s="5" t="str">
        <f>IFERROR(__xludf.DUMMYFUNCTION("""COMPUTED_VALUE"""),"HKD")</f>
        <v>HKD</v>
      </c>
      <c r="G698" s="30" t="str">
        <f>IFERROR(__xludf.DUMMYFUNCTION("""COMPUTED_VALUE"""),"Email Account/ TraderID Recognized")</f>
        <v>Email Account/ TraderID Recognized</v>
      </c>
      <c r="H698" s="121" t="str">
        <f>IFERROR(__xludf.DUMMYFUNCTION("""COMPUTED_VALUE"""),"9988.HK")</f>
        <v>9988.HK</v>
      </c>
      <c r="I698" s="30">
        <f>IFERROR(__xludf.DUMMYFUNCTION("""COMPUTED_VALUE"""),800.0)</f>
        <v>800</v>
      </c>
      <c r="J698" s="30"/>
      <c r="K698" s="30" t="str">
        <f>IFERROR(__xludf.DUMMYFUNCTION("""COMPUTED_VALUE"""),"QTY, Limit Price (if any) &amp; Password input correct")</f>
        <v>QTY, Limit Price (if any) &amp; Password input correct</v>
      </c>
      <c r="L698" s="30"/>
    </row>
    <row r="699">
      <c r="A699" s="5"/>
      <c r="B699" s="118">
        <f>IFERROR(__xludf.DUMMYFUNCTION("""COMPUTED_VALUE"""),44643.61764222222)</f>
        <v>44643.61764</v>
      </c>
      <c r="C699" s="120">
        <f>IFERROR(__xludf.DUMMYFUNCTION("""COMPUTED_VALUE"""),44643.666666666664)</f>
        <v>44643.66667</v>
      </c>
      <c r="D699" s="5" t="str">
        <f>IFERROR(__xludf.DUMMYFUNCTION("""COMPUTED_VALUE"""),"39776")</f>
        <v>39776</v>
      </c>
      <c r="E699" s="5" t="str">
        <f>IFERROR(__xludf.DUMMYFUNCTION("""COMPUTED_VALUE"""),"Stock")</f>
        <v>Stock</v>
      </c>
      <c r="F699" s="5" t="str">
        <f>IFERROR(__xludf.DUMMYFUNCTION("""COMPUTED_VALUE"""),"HKD")</f>
        <v>HKD</v>
      </c>
      <c r="G699" s="30" t="str">
        <f>IFERROR(__xludf.DUMMYFUNCTION("""COMPUTED_VALUE"""),"Email Account/ TraderID Recognized")</f>
        <v>Email Account/ TraderID Recognized</v>
      </c>
      <c r="H699" s="121" t="str">
        <f>IFERROR(__xludf.DUMMYFUNCTION("""COMPUTED_VALUE"""),"3315.HK")</f>
        <v>3315.HK</v>
      </c>
      <c r="I699" s="30">
        <f>IFERROR(__xludf.DUMMYFUNCTION("""COMPUTED_VALUE"""),20000.0)</f>
        <v>20000</v>
      </c>
      <c r="J699" s="30">
        <f>IFERROR(__xludf.DUMMYFUNCTION("""COMPUTED_VALUE"""),2.08)</f>
        <v>2.08</v>
      </c>
      <c r="K699" s="30" t="str">
        <f>IFERROR(__xludf.DUMMYFUNCTION("""COMPUTED_VALUE"""),"QTY, Limit Price (if any) &amp; Password input correct")</f>
        <v>QTY, Limit Price (if any) &amp; Password input correct</v>
      </c>
      <c r="L699" s="30"/>
    </row>
    <row r="700">
      <c r="A700" s="5"/>
      <c r="B700" s="118">
        <f>IFERROR(__xludf.DUMMYFUNCTION("""COMPUTED_VALUE"""),44643.6713678588)</f>
        <v>44643.67137</v>
      </c>
      <c r="C700" s="120" t="str">
        <f>IFERROR(__xludf.DUMMYFUNCTION("""COMPUTED_VALUE"""),"")</f>
        <v/>
      </c>
      <c r="D700" s="5" t="str">
        <f>IFERROR(__xludf.DUMMYFUNCTION("""COMPUTED_VALUE"""),"")</f>
        <v/>
      </c>
      <c r="E700" s="5" t="str">
        <f>IFERROR(__xludf.DUMMYFUNCTION("""COMPUTED_VALUE"""),"Stock")</f>
        <v>Stock</v>
      </c>
      <c r="F700" s="5" t="str">
        <f>IFERROR(__xludf.DUMMYFUNCTION("""COMPUTED_VALUE"""),"error")</f>
        <v>error</v>
      </c>
      <c r="G700" s="30" t="str">
        <f>IFERROR(__xludf.DUMMYFUNCTION("""COMPUTED_VALUE"""),"s124xxxxxx@nonHKMUemail")</f>
        <v>s124xxxxxx@nonHKMUemail</v>
      </c>
      <c r="H700" s="121" t="str">
        <f>IFERROR(__xludf.DUMMYFUNCTION("""COMPUTED_VALUE"""),"9988.HK")</f>
        <v>9988.HK</v>
      </c>
      <c r="I700" s="30">
        <f>IFERROR(__xludf.DUMMYFUNCTION("""COMPUTED_VALUE"""),102.0)</f>
        <v>102</v>
      </c>
      <c r="J700" s="30"/>
      <c r="K700" s="30" t="str">
        <f>IFERROR(__xludf.DUMMYFUNCTION("""COMPUTED_VALUE"""),"QTY, Limit Price (if any) &amp; Password input correct")</f>
        <v>QTY, Limit Price (if any) &amp; Password input correct</v>
      </c>
      <c r="L700" s="30" t="str">
        <f>IFERROR(__xludf.DUMMYFUNCTION("""COMPUTED_VALUE"""),"Order rejected due to non school email account")</f>
        <v>Order rejected due to non school email account</v>
      </c>
    </row>
    <row r="701">
      <c r="A701" s="5"/>
      <c r="B701" s="118">
        <f>IFERROR(__xludf.DUMMYFUNCTION("""COMPUTED_VALUE"""),44643.785811828704)</f>
        <v>44643.78581</v>
      </c>
      <c r="C701" s="120" t="str">
        <f>IFERROR(__xludf.DUMMYFUNCTION("""COMPUTED_VALUE"""),"")</f>
        <v/>
      </c>
      <c r="D701" s="5" t="str">
        <f>IFERROR(__xludf.DUMMYFUNCTION("""COMPUTED_VALUE"""),"75973")</f>
        <v>75973</v>
      </c>
      <c r="E701" s="5" t="str">
        <f>IFERROR(__xludf.DUMMYFUNCTION("""COMPUTED_VALUE"""),"Stock")</f>
        <v>Stock</v>
      </c>
      <c r="F701" s="5" t="str">
        <f>IFERROR(__xludf.DUMMYFUNCTION("""COMPUTED_VALUE"""),"error")</f>
        <v>error</v>
      </c>
      <c r="G701" s="30" t="str">
        <f>IFERROR(__xludf.DUMMYFUNCTION("""COMPUTED_VALUE"""),"Email Account/ TraderID Recognized")</f>
        <v>Email Account/ TraderID Recognized</v>
      </c>
      <c r="H701" s="121" t="str">
        <f>IFERROR(__xludf.DUMMYFUNCTION("""COMPUTED_VALUE"""),"600519.SH")</f>
        <v>600519.SH</v>
      </c>
      <c r="I701" s="30">
        <f>IFERROR(__xludf.DUMMYFUNCTION("""COMPUTED_VALUE"""),50.0)</f>
        <v>50</v>
      </c>
      <c r="J701" s="30"/>
      <c r="K701" s="30" t="str">
        <f>IFERROR(__xludf.DUMMYFUNCTION("""COMPUTED_VALUE"""),"QTY, Limit Price (if any) &amp; Password input correct")</f>
        <v>QTY, Limit Price (if any) &amp; Password input correct</v>
      </c>
      <c r="L701" s="30" t="str">
        <f>IFERROR(__xludf.DUMMYFUNCTION("""COMPUTED_VALUE"""),"Order rejected due to wrong ticker code")</f>
        <v>Order rejected due to wrong ticker code</v>
      </c>
    </row>
    <row r="702">
      <c r="A702" s="5"/>
      <c r="B702" s="118">
        <f>IFERROR(__xludf.DUMMYFUNCTION("""COMPUTED_VALUE"""),44643.79100837963)</f>
        <v>44643.79101</v>
      </c>
      <c r="C702" s="120" t="str">
        <f>IFERROR(__xludf.DUMMYFUNCTION("""COMPUTED_VALUE"""),"")</f>
        <v/>
      </c>
      <c r="D702" s="5" t="str">
        <f>IFERROR(__xludf.DUMMYFUNCTION("""COMPUTED_VALUE"""),"75973")</f>
        <v>75973</v>
      </c>
      <c r="E702" s="5" t="str">
        <f>IFERROR(__xludf.DUMMYFUNCTION("""COMPUTED_VALUE"""),"Stock")</f>
        <v>Stock</v>
      </c>
      <c r="F702" s="5" t="str">
        <f>IFERROR(__xludf.DUMMYFUNCTION("""COMPUTED_VALUE"""),"error")</f>
        <v>error</v>
      </c>
      <c r="G702" s="30" t="str">
        <f>IFERROR(__xludf.DUMMYFUNCTION("""COMPUTED_VALUE"""),"Email Account/ TraderID Recognized")</f>
        <v>Email Account/ TraderID Recognized</v>
      </c>
      <c r="H702" s="121" t="str">
        <f>IFERROR(__xludf.DUMMYFUNCTION("""COMPUTED_VALUE"""),"AROW.US")</f>
        <v>AROW.US</v>
      </c>
      <c r="I702" s="30">
        <f>IFERROR(__xludf.DUMMYFUNCTION("""COMPUTED_VALUE"""),1400.0)</f>
        <v>1400</v>
      </c>
      <c r="J702" s="30"/>
      <c r="K702" s="30" t="str">
        <f>IFERROR(__xludf.DUMMYFUNCTION("""COMPUTED_VALUE"""),"QTY, Limit Price (if any) &amp; Password input correct")</f>
        <v>QTY, Limit Price (if any) &amp; Password input correct</v>
      </c>
      <c r="L702" s="30" t="str">
        <f>IFERROR(__xludf.DUMMYFUNCTION("""COMPUTED_VALUE"""),"Order rejected due to wrong ticker code")</f>
        <v>Order rejected due to wrong ticker code</v>
      </c>
    </row>
    <row r="703">
      <c r="A703" s="5"/>
      <c r="B703" s="118">
        <f>IFERROR(__xludf.DUMMYFUNCTION("""COMPUTED_VALUE"""),44643.79419587963)</f>
        <v>44643.7942</v>
      </c>
      <c r="C703" s="120">
        <f>IFERROR(__xludf.DUMMYFUNCTION("""COMPUTED_VALUE"""),44643.666666666664)</f>
        <v>44643.66667</v>
      </c>
      <c r="D703" s="5" t="str">
        <f>IFERROR(__xludf.DUMMYFUNCTION("""COMPUTED_VALUE"""),"39441")</f>
        <v>39441</v>
      </c>
      <c r="E703" s="5" t="str">
        <f>IFERROR(__xludf.DUMMYFUNCTION("""COMPUTED_VALUE"""),"Stock")</f>
        <v>Stock</v>
      </c>
      <c r="F703" s="5" t="str">
        <f>IFERROR(__xludf.DUMMYFUNCTION("""COMPUTED_VALUE"""),"USD")</f>
        <v>USD</v>
      </c>
      <c r="G703" s="30" t="str">
        <f>IFERROR(__xludf.DUMMYFUNCTION("""COMPUTED_VALUE"""),"Email Account/ TraderID Recognized")</f>
        <v>Email Account/ TraderID Recognized</v>
      </c>
      <c r="H703" s="119" t="str">
        <f>IFERROR(__xludf.DUMMYFUNCTION("""COMPUTED_VALUE"""),"AMZN")</f>
        <v>AMZN</v>
      </c>
      <c r="I703" s="30">
        <f>IFERROR(__xludf.DUMMYFUNCTION("""COMPUTED_VALUE"""),50.0)</f>
        <v>50</v>
      </c>
      <c r="J703" s="30">
        <f>IFERROR(__xludf.DUMMYFUNCTION("""COMPUTED_VALUE"""),3297.78)</f>
        <v>3297.78</v>
      </c>
      <c r="K703" s="30" t="str">
        <f>IFERROR(__xludf.DUMMYFUNCTION("""COMPUTED_VALUE"""),"QTY, Limit Price (if any) &amp; Password input correct")</f>
        <v>QTY, Limit Price (if any) &amp; Password input correct</v>
      </c>
      <c r="L703" s="30"/>
    </row>
    <row r="704">
      <c r="A704" s="5"/>
      <c r="B704" s="118">
        <f>IFERROR(__xludf.DUMMYFUNCTION("""COMPUTED_VALUE"""),44643.810868078705)</f>
        <v>44643.81087</v>
      </c>
      <c r="C704" s="120" t="str">
        <f>IFERROR(__xludf.DUMMYFUNCTION("""COMPUTED_VALUE"""),"")</f>
        <v/>
      </c>
      <c r="D704" s="5" t="str">
        <f>IFERROR(__xludf.DUMMYFUNCTION("""COMPUTED_VALUE"""),"75973")</f>
        <v>75973</v>
      </c>
      <c r="E704" s="5" t="str">
        <f>IFERROR(__xludf.DUMMYFUNCTION("""COMPUTED_VALUE"""),"Stock")</f>
        <v>Stock</v>
      </c>
      <c r="F704" s="5" t="str">
        <f>IFERROR(__xludf.DUMMYFUNCTION("""COMPUTED_VALUE"""),"error")</f>
        <v>error</v>
      </c>
      <c r="G704" s="30" t="str">
        <f>IFERROR(__xludf.DUMMYFUNCTION("""COMPUTED_VALUE"""),"Email Account/ TraderID Recognized")</f>
        <v>Email Account/ TraderID Recognized</v>
      </c>
      <c r="H704" s="121" t="str">
        <f>IFERROR(__xludf.DUMMYFUNCTION("""COMPUTED_VALUE"""),"ATAX.US")</f>
        <v>ATAX.US</v>
      </c>
      <c r="I704" s="30">
        <f>IFERROR(__xludf.DUMMYFUNCTION("""COMPUTED_VALUE"""),12000.0)</f>
        <v>12000</v>
      </c>
      <c r="J704" s="30"/>
      <c r="K704" s="30" t="str">
        <f>IFERROR(__xludf.DUMMYFUNCTION("""COMPUTED_VALUE"""),"QTY, Limit Price (if any) &amp; Password input correct")</f>
        <v>QTY, Limit Price (if any) &amp; Password input correct</v>
      </c>
      <c r="L704" s="30" t="str">
        <f>IFERROR(__xludf.DUMMYFUNCTION("""COMPUTED_VALUE"""),"Order rejected due to wrong ticker code")</f>
        <v>Order rejected due to wrong ticker code</v>
      </c>
    </row>
    <row r="705">
      <c r="A705" s="5"/>
      <c r="B705" s="118">
        <f>IFERROR(__xludf.DUMMYFUNCTION("""COMPUTED_VALUE"""),44643.82835210648)</f>
        <v>44643.82835</v>
      </c>
      <c r="C705" s="120" t="str">
        <f>IFERROR(__xludf.DUMMYFUNCTION("""COMPUTED_VALUE"""),"")</f>
        <v/>
      </c>
      <c r="D705" s="5" t="str">
        <f>IFERROR(__xludf.DUMMYFUNCTION("""COMPUTED_VALUE"""),"75973")</f>
        <v>75973</v>
      </c>
      <c r="E705" s="5" t="str">
        <f>IFERROR(__xludf.DUMMYFUNCTION("""COMPUTED_VALUE"""),"Stock")</f>
        <v>Stock</v>
      </c>
      <c r="F705" s="5" t="str">
        <f>IFERROR(__xludf.DUMMYFUNCTION("""COMPUTED_VALUE"""),"error")</f>
        <v>error</v>
      </c>
      <c r="G705" s="30" t="str">
        <f>IFERROR(__xludf.DUMMYFUNCTION("""COMPUTED_VALUE"""),"Email Account/ TraderID Recognized")</f>
        <v>Email Account/ TraderID Recognized</v>
      </c>
      <c r="H705" s="121" t="str">
        <f>IFERROR(__xludf.DUMMYFUNCTION("""COMPUTED_VALUE"""),"BKSC.US")</f>
        <v>BKSC.US</v>
      </c>
      <c r="I705" s="30">
        <f>IFERROR(__xludf.DUMMYFUNCTION("""COMPUTED_VALUE"""),2500.0)</f>
        <v>2500</v>
      </c>
      <c r="J705" s="30"/>
      <c r="K705" s="30" t="str">
        <f>IFERROR(__xludf.DUMMYFUNCTION("""COMPUTED_VALUE"""),"QTY, Limit Price (if any) &amp; Password input correct")</f>
        <v>QTY, Limit Price (if any) &amp; Password input correct</v>
      </c>
      <c r="L705" s="30" t="str">
        <f>IFERROR(__xludf.DUMMYFUNCTION("""COMPUTED_VALUE"""),"Order rejected due to wrong ticker code")</f>
        <v>Order rejected due to wrong ticker code</v>
      </c>
    </row>
    <row r="706">
      <c r="A706" s="5"/>
      <c r="B706" s="118">
        <f>IFERROR(__xludf.DUMMYFUNCTION("""COMPUTED_VALUE"""),44643.83875552083)</f>
        <v>44643.83876</v>
      </c>
      <c r="C706" s="120" t="str">
        <f>IFERROR(__xludf.DUMMYFUNCTION("""COMPUTED_VALUE"""),"")</f>
        <v/>
      </c>
      <c r="D706" s="5" t="str">
        <f>IFERROR(__xludf.DUMMYFUNCTION("""COMPUTED_VALUE"""),"75973")</f>
        <v>75973</v>
      </c>
      <c r="E706" s="5" t="str">
        <f>IFERROR(__xludf.DUMMYFUNCTION("""COMPUTED_VALUE"""),"Stock")</f>
        <v>Stock</v>
      </c>
      <c r="F706" s="5" t="str">
        <f>IFERROR(__xludf.DUMMYFUNCTION("""COMPUTED_VALUE"""),"error")</f>
        <v>error</v>
      </c>
      <c r="G706" s="30" t="str">
        <f>IFERROR(__xludf.DUMMYFUNCTION("""COMPUTED_VALUE"""),"Email Account/ TraderID Recognized")</f>
        <v>Email Account/ TraderID Recognized</v>
      </c>
      <c r="H706" s="121" t="str">
        <f>IFERROR(__xludf.DUMMYFUNCTION("""COMPUTED_VALUE"""),"01211.HK")</f>
        <v>01211.HK</v>
      </c>
      <c r="I706" s="30">
        <f>IFERROR(__xludf.DUMMYFUNCTION("""COMPUTED_VALUE"""),500.0)</f>
        <v>500</v>
      </c>
      <c r="J706" s="30"/>
      <c r="K706" s="30" t="str">
        <f>IFERROR(__xludf.DUMMYFUNCTION("""COMPUTED_VALUE"""),"QTY, Limit Price (if any) &amp; Password input correct")</f>
        <v>QTY, Limit Price (if any) &amp; Password input correct</v>
      </c>
      <c r="L706" s="30" t="str">
        <f>IFERROR(__xludf.DUMMYFUNCTION("""COMPUTED_VALUE"""),"Order rejected due to wrong ticker code")</f>
        <v>Order rejected due to wrong ticker code</v>
      </c>
    </row>
    <row r="707">
      <c r="A707" s="5"/>
      <c r="B707" s="118">
        <f>IFERROR(__xludf.DUMMYFUNCTION("""COMPUTED_VALUE"""),44643.83980190972)</f>
        <v>44643.8398</v>
      </c>
      <c r="C707" s="120">
        <f>IFERROR(__xludf.DUMMYFUNCTION("""COMPUTED_VALUE"""),44644.666666666664)</f>
        <v>44644.66667</v>
      </c>
      <c r="D707" s="5" t="str">
        <f>IFERROR(__xludf.DUMMYFUNCTION("""COMPUTED_VALUE"""),"38758")</f>
        <v>38758</v>
      </c>
      <c r="E707" s="5" t="str">
        <f>IFERROR(__xludf.DUMMYFUNCTION("""COMPUTED_VALUE"""),"Stock")</f>
        <v>Stock</v>
      </c>
      <c r="F707" s="5" t="str">
        <f>IFERROR(__xludf.DUMMYFUNCTION("""COMPUTED_VALUE"""),"HKD")</f>
        <v>HKD</v>
      </c>
      <c r="G707" s="30" t="str">
        <f>IFERROR(__xludf.DUMMYFUNCTION("""COMPUTED_VALUE"""),"Email Account/ TraderID Recognized")</f>
        <v>Email Account/ TraderID Recognized</v>
      </c>
      <c r="H707" s="121" t="str">
        <f>IFERROR(__xludf.DUMMYFUNCTION("""COMPUTED_VALUE"""),"0700.HK")</f>
        <v>0700.HK</v>
      </c>
      <c r="I707" s="30">
        <f>IFERROR(__xludf.DUMMYFUNCTION("""COMPUTED_VALUE"""),50.0)</f>
        <v>50</v>
      </c>
      <c r="J707" s="30">
        <f>IFERROR(__xludf.DUMMYFUNCTION("""COMPUTED_VALUE"""),385.0)</f>
        <v>385</v>
      </c>
      <c r="K707" s="30" t="str">
        <f>IFERROR(__xludf.DUMMYFUNCTION("""COMPUTED_VALUE"""),"QTY, Limit Price (if any) &amp; Password input correct")</f>
        <v>QTY, Limit Price (if any) &amp; Password input correct</v>
      </c>
      <c r="L707" s="30"/>
    </row>
    <row r="708">
      <c r="A708" s="5"/>
      <c r="B708" s="118">
        <f>IFERROR(__xludf.DUMMYFUNCTION("""COMPUTED_VALUE"""),44643.848833993055)</f>
        <v>44643.84883</v>
      </c>
      <c r="C708" s="120" t="str">
        <f>IFERROR(__xludf.DUMMYFUNCTION("""COMPUTED_VALUE"""),"")</f>
        <v/>
      </c>
      <c r="D708" s="5" t="str">
        <f>IFERROR(__xludf.DUMMYFUNCTION("""COMPUTED_VALUE"""),"82533")</f>
        <v>82533</v>
      </c>
      <c r="E708" s="5" t="str">
        <f>IFERROR(__xludf.DUMMYFUNCTION("""COMPUTED_VALUE"""),"Stock")</f>
        <v>Stock</v>
      </c>
      <c r="F708" s="5" t="str">
        <f>IFERROR(__xludf.DUMMYFUNCTION("""COMPUTED_VALUE"""),"error")</f>
        <v>error</v>
      </c>
      <c r="G708" s="30" t="str">
        <f>IFERROR(__xludf.DUMMYFUNCTION("""COMPUTED_VALUE"""),"Email Account/ TraderID Recognized")</f>
        <v>Email Account/ TraderID Recognized</v>
      </c>
      <c r="H708" s="119" t="str">
        <f>IFERROR(__xludf.DUMMYFUNCTION("""COMPUTED_VALUE"""),"COIN")</f>
        <v>COIN</v>
      </c>
      <c r="I708" s="30">
        <f>IFERROR(__xludf.DUMMYFUNCTION("""COMPUTED_VALUE"""),100.0)</f>
        <v>100</v>
      </c>
      <c r="J708" s="30"/>
      <c r="K708" s="30" t="str">
        <f>IFERROR(__xludf.DUMMYFUNCTION("""COMPUTED_VALUE"""),"Wrong Password Submitted, Order will be rejected")</f>
        <v>Wrong Password Submitted, Order will be rejected</v>
      </c>
      <c r="L708" s="30" t="str">
        <f>IFERROR(__xludf.DUMMYFUNCTION("""COMPUTED_VALUE"""),"Order rejected due to wrong password")</f>
        <v>Order rejected due to wrong password</v>
      </c>
    </row>
    <row r="709">
      <c r="A709" s="5"/>
      <c r="B709" s="118">
        <f>IFERROR(__xludf.DUMMYFUNCTION("""COMPUTED_VALUE"""),44643.85262796296)</f>
        <v>44643.85263</v>
      </c>
      <c r="C709" s="120">
        <f>IFERROR(__xludf.DUMMYFUNCTION("""COMPUTED_VALUE"""),44643.666666666664)</f>
        <v>44643.66667</v>
      </c>
      <c r="D709" s="5" t="str">
        <f>IFERROR(__xludf.DUMMYFUNCTION("""COMPUTED_VALUE"""),"75973")</f>
        <v>75973</v>
      </c>
      <c r="E709" s="5" t="str">
        <f>IFERROR(__xludf.DUMMYFUNCTION("""COMPUTED_VALUE"""),"Bond")</f>
        <v>Bond</v>
      </c>
      <c r="F709" s="5" t="str">
        <f>IFERROR(__xludf.DUMMYFUNCTION("""COMPUTED_VALUE"""),"USD")</f>
        <v>USD</v>
      </c>
      <c r="G709" s="30" t="str">
        <f>IFERROR(__xludf.DUMMYFUNCTION("""COMPUTED_VALUE"""),"Email Account/ TraderID Recognized")</f>
        <v>Email Account/ TraderID Recognized</v>
      </c>
      <c r="H709" s="119" t="str">
        <f>IFERROR(__xludf.DUMMYFUNCTION("""COMPUTED_VALUE"""),"XS1974522853")</f>
        <v>XS1974522853</v>
      </c>
      <c r="I709" s="30">
        <f>IFERROR(__xludf.DUMMYFUNCTION("""COMPUTED_VALUE"""),17.0)</f>
        <v>17</v>
      </c>
      <c r="J709" s="30"/>
      <c r="K709" s="30" t="str">
        <f>IFERROR(__xludf.DUMMYFUNCTION("""COMPUTED_VALUE"""),"QTY, Limit Price (if any) &amp; Password input correct")</f>
        <v>QTY, Limit Price (if any) &amp; Password input correct</v>
      </c>
      <c r="L709" s="30"/>
    </row>
    <row r="710">
      <c r="A710" s="5"/>
      <c r="B710" s="118">
        <f>IFERROR(__xludf.DUMMYFUNCTION("""COMPUTED_VALUE"""),44643.889597835645)</f>
        <v>44643.8896</v>
      </c>
      <c r="C710" s="120">
        <f>IFERROR(__xludf.DUMMYFUNCTION("""COMPUTED_VALUE"""),44643.666666666664)</f>
        <v>44643.66667</v>
      </c>
      <c r="D710" s="5" t="str">
        <f>IFERROR(__xludf.DUMMYFUNCTION("""COMPUTED_VALUE"""),"38705")</f>
        <v>38705</v>
      </c>
      <c r="E710" s="5" t="str">
        <f>IFERROR(__xludf.DUMMYFUNCTION("""COMPUTED_VALUE"""),"Stock")</f>
        <v>Stock</v>
      </c>
      <c r="F710" s="5" t="str">
        <f>IFERROR(__xludf.DUMMYFUNCTION("""COMPUTED_VALUE"""),"USD")</f>
        <v>USD</v>
      </c>
      <c r="G710" s="30" t="str">
        <f>IFERROR(__xludf.DUMMYFUNCTION("""COMPUTED_VALUE"""),"Email Account/ TraderID Recognized")</f>
        <v>Email Account/ TraderID Recognized</v>
      </c>
      <c r="H710" s="119" t="str">
        <f>IFERROR(__xludf.DUMMYFUNCTION("""COMPUTED_VALUE"""),"UNP")</f>
        <v>UNP</v>
      </c>
      <c r="I710" s="30">
        <f>IFERROR(__xludf.DUMMYFUNCTION("""COMPUTED_VALUE"""),100.0)</f>
        <v>100</v>
      </c>
      <c r="J710" s="30"/>
      <c r="K710" s="30" t="str">
        <f>IFERROR(__xludf.DUMMYFUNCTION("""COMPUTED_VALUE"""),"QTY, Limit Price (if any) &amp; Password input correct")</f>
        <v>QTY, Limit Price (if any) &amp; Password input correct</v>
      </c>
      <c r="L710" s="30"/>
    </row>
    <row r="711">
      <c r="A711" s="5"/>
      <c r="B711" s="118">
        <f>IFERROR(__xludf.DUMMYFUNCTION("""COMPUTED_VALUE"""),44643.89314585648)</f>
        <v>44643.89315</v>
      </c>
      <c r="C711" s="120">
        <f>IFERROR(__xludf.DUMMYFUNCTION("""COMPUTED_VALUE"""),44643.666666666664)</f>
        <v>44643.66667</v>
      </c>
      <c r="D711" s="5" t="str">
        <f>IFERROR(__xludf.DUMMYFUNCTION("""COMPUTED_VALUE"""),"38705")</f>
        <v>38705</v>
      </c>
      <c r="E711" s="5" t="str">
        <f>IFERROR(__xludf.DUMMYFUNCTION("""COMPUTED_VALUE"""),"Stock")</f>
        <v>Stock</v>
      </c>
      <c r="F711" s="5" t="str">
        <f>IFERROR(__xludf.DUMMYFUNCTION("""COMPUTED_VALUE"""),"USD")</f>
        <v>USD</v>
      </c>
      <c r="G711" s="30" t="str">
        <f>IFERROR(__xludf.DUMMYFUNCTION("""COMPUTED_VALUE"""),"Email Account/ TraderID Recognized")</f>
        <v>Email Account/ TraderID Recognized</v>
      </c>
      <c r="H711" s="119" t="str">
        <f>IFERROR(__xludf.DUMMYFUNCTION("""COMPUTED_VALUE"""),"UNH")</f>
        <v>UNH</v>
      </c>
      <c r="I711" s="30">
        <f>IFERROR(__xludf.DUMMYFUNCTION("""COMPUTED_VALUE"""),50.0)</f>
        <v>50</v>
      </c>
      <c r="J711" s="30"/>
      <c r="K711" s="30" t="str">
        <f>IFERROR(__xludf.DUMMYFUNCTION("""COMPUTED_VALUE"""),"QTY, Limit Price (if any) &amp; Password input correct")</f>
        <v>QTY, Limit Price (if any) &amp; Password input correct</v>
      </c>
      <c r="L711" s="30"/>
    </row>
    <row r="712">
      <c r="A712" s="5"/>
      <c r="B712" s="118">
        <f>IFERROR(__xludf.DUMMYFUNCTION("""COMPUTED_VALUE"""),44643.92783901621)</f>
        <v>44643.92784</v>
      </c>
      <c r="C712" s="120" t="str">
        <f>IFERROR(__xludf.DUMMYFUNCTION("""COMPUTED_VALUE"""),"")</f>
        <v/>
      </c>
      <c r="D712" s="5" t="str">
        <f>IFERROR(__xludf.DUMMYFUNCTION("""COMPUTED_VALUE"""),"89833")</f>
        <v>89833</v>
      </c>
      <c r="E712" s="5" t="str">
        <f>IFERROR(__xludf.DUMMYFUNCTION("""COMPUTED_VALUE"""),"Stock")</f>
        <v>Stock</v>
      </c>
      <c r="F712" s="5" t="str">
        <f>IFERROR(__xludf.DUMMYFUNCTION("""COMPUTED_VALUE"""),"error")</f>
        <v>error</v>
      </c>
      <c r="G712" s="30" t="str">
        <f>IFERROR(__xludf.DUMMYFUNCTION("""COMPUTED_VALUE"""),"Email Account/ TraderID Recognized")</f>
        <v>Email Account/ TraderID Recognized</v>
      </c>
      <c r="H712" s="119" t="str">
        <f>IFERROR(__xludf.DUMMYFUNCTION("""COMPUTED_VALUE"""),"OXY ")</f>
        <v>OXY </v>
      </c>
      <c r="I712" s="30">
        <f>IFERROR(__xludf.DUMMYFUNCTION("""COMPUTED_VALUE"""),500.0)</f>
        <v>500</v>
      </c>
      <c r="J712" s="30" t="str">
        <f>IFERROR(__xludf.DUMMYFUNCTION("""COMPUTED_VALUE"""),"limit buy:61.8")</f>
        <v>limit buy:61.8</v>
      </c>
      <c r="K712" s="30" t="str">
        <f>IFERROR(__xludf.DUMMYFUNCTION("""COMPUTED_VALUE"""),"Non-number input in Quantity or Limit Price")</f>
        <v>Non-number input in Quantity or Limit Price</v>
      </c>
      <c r="L712" s="30" t="str">
        <f>IFERROR(__xludf.DUMMYFUNCTION("""COMPUTED_VALUE"""),"Order rejected due to non numeric character in limit box")</f>
        <v>Order rejected due to non numeric character in limit box</v>
      </c>
    </row>
    <row r="713">
      <c r="A713" s="5"/>
      <c r="B713" s="118">
        <f>IFERROR(__xludf.DUMMYFUNCTION("""COMPUTED_VALUE"""),44643.93527930556)</f>
        <v>44643.93528</v>
      </c>
      <c r="C713" s="120" t="str">
        <f>IFERROR(__xludf.DUMMYFUNCTION("""COMPUTED_VALUE"""),"")</f>
        <v/>
      </c>
      <c r="D713" s="5" t="str">
        <f>IFERROR(__xludf.DUMMYFUNCTION("""COMPUTED_VALUE"""),"89833")</f>
        <v>89833</v>
      </c>
      <c r="E713" s="5" t="str">
        <f>IFERROR(__xludf.DUMMYFUNCTION("""COMPUTED_VALUE"""),"Stock")</f>
        <v>Stock</v>
      </c>
      <c r="F713" s="5" t="str">
        <f>IFERROR(__xludf.DUMMYFUNCTION("""COMPUTED_VALUE"""),"error")</f>
        <v>error</v>
      </c>
      <c r="G713" s="30" t="str">
        <f>IFERROR(__xludf.DUMMYFUNCTION("""COMPUTED_VALUE"""),"Email Account/ TraderID Recognized")</f>
        <v>Email Account/ TraderID Recognized</v>
      </c>
      <c r="H713" s="119" t="str">
        <f>IFERROR(__xludf.DUMMYFUNCTION("""COMPUTED_VALUE"""),"00700")</f>
        <v>00700</v>
      </c>
      <c r="I713" s="30">
        <f>IFERROR(__xludf.DUMMYFUNCTION("""COMPUTED_VALUE"""),200.0)</f>
        <v>200</v>
      </c>
      <c r="J713" s="30">
        <f>IFERROR(__xludf.DUMMYFUNCTION("""COMPUTED_VALUE"""),389.0)</f>
        <v>389</v>
      </c>
      <c r="K713" s="30" t="str">
        <f>IFERROR(__xludf.DUMMYFUNCTION("""COMPUTED_VALUE"""),"QTY, Limit Price (if any) &amp; Password input correct")</f>
        <v>QTY, Limit Price (if any) &amp; Password input correct</v>
      </c>
      <c r="L713" s="30" t="str">
        <f>IFERROR(__xludf.DUMMYFUNCTION("""COMPUTED_VALUE"""),"Order rejected due to wrong ticker code")</f>
        <v>Order rejected due to wrong ticker code</v>
      </c>
    </row>
    <row r="714">
      <c r="A714" s="5"/>
      <c r="B714" s="118">
        <f>IFERROR(__xludf.DUMMYFUNCTION("""COMPUTED_VALUE"""),44643.96748949074)</f>
        <v>44643.96749</v>
      </c>
      <c r="C714" s="120" t="str">
        <f>IFERROR(__xludf.DUMMYFUNCTION("""COMPUTED_VALUE"""),"")</f>
        <v/>
      </c>
      <c r="D714" s="5" t="str">
        <f>IFERROR(__xludf.DUMMYFUNCTION("""COMPUTED_VALUE"""),"82533")</f>
        <v>82533</v>
      </c>
      <c r="E714" s="5" t="str">
        <f>IFERROR(__xludf.DUMMYFUNCTION("""COMPUTED_VALUE"""),"Option")</f>
        <v>Option</v>
      </c>
      <c r="F714" s="5" t="str">
        <f>IFERROR(__xludf.DUMMYFUNCTION("""COMPUTED_VALUE"""),"error")</f>
        <v>error</v>
      </c>
      <c r="G714" s="30" t="str">
        <f>IFERROR(__xludf.DUMMYFUNCTION("""COMPUTED_VALUE"""),"Email Account/ TraderID Recognized")</f>
        <v>Email Account/ TraderID Recognized</v>
      </c>
      <c r="H714" s="119" t="str">
        <f>IFERROR(__xludf.DUMMYFUNCTION("""COMPUTED_VALUE"""),"TSLA220318C00005000")</f>
        <v>TSLA220318C00005000</v>
      </c>
      <c r="I714" s="30">
        <f>IFERROR(__xludf.DUMMYFUNCTION("""COMPUTED_VALUE"""),15.0)</f>
        <v>15</v>
      </c>
      <c r="J714" s="30"/>
      <c r="K714" s="30" t="str">
        <f>IFERROR(__xludf.DUMMYFUNCTION("""COMPUTED_VALUE"""),"Wrong Password Submitted, Order will be rejected")</f>
        <v>Wrong Password Submitted, Order will be rejected</v>
      </c>
      <c r="L714" s="30" t="str">
        <f>IFERROR(__xludf.DUMMYFUNCTION("""COMPUTED_VALUE"""),"Order rejected due to wrong pasword")</f>
        <v>Order rejected due to wrong pasword</v>
      </c>
    </row>
    <row r="715">
      <c r="A715" s="5"/>
      <c r="B715" s="118">
        <f>IFERROR(__xludf.DUMMYFUNCTION("""COMPUTED_VALUE"""),44643.96810644676)</f>
        <v>44643.96811</v>
      </c>
      <c r="C715" s="120" t="str">
        <f>IFERROR(__xludf.DUMMYFUNCTION("""COMPUTED_VALUE"""),"")</f>
        <v/>
      </c>
      <c r="D715" s="5" t="str">
        <f>IFERROR(__xludf.DUMMYFUNCTION("""COMPUTED_VALUE"""),"82533")</f>
        <v>82533</v>
      </c>
      <c r="E715" s="5" t="str">
        <f>IFERROR(__xludf.DUMMYFUNCTION("""COMPUTED_VALUE"""),"Stock")</f>
        <v>Stock</v>
      </c>
      <c r="F715" s="5" t="str">
        <f>IFERROR(__xludf.DUMMYFUNCTION("""COMPUTED_VALUE"""),"error")</f>
        <v>error</v>
      </c>
      <c r="G715" s="30" t="str">
        <f>IFERROR(__xludf.DUMMYFUNCTION("""COMPUTED_VALUE"""),"Email Account/ TraderID Recognized")</f>
        <v>Email Account/ TraderID Recognized</v>
      </c>
      <c r="H715" s="119" t="str">
        <f>IFERROR(__xludf.DUMMYFUNCTION("""COMPUTED_VALUE"""),"TSLA")</f>
        <v>TSLA</v>
      </c>
      <c r="I715" s="30">
        <f>IFERROR(__xludf.DUMMYFUNCTION("""COMPUTED_VALUE"""),10.0)</f>
        <v>10</v>
      </c>
      <c r="J715" s="30"/>
      <c r="K715" s="30" t="str">
        <f>IFERROR(__xludf.DUMMYFUNCTION("""COMPUTED_VALUE"""),"Wrong Password Submitted, Order will be rejected")</f>
        <v>Wrong Password Submitted, Order will be rejected</v>
      </c>
      <c r="L715" s="30" t="str">
        <f>IFERROR(__xludf.DUMMYFUNCTION("""COMPUTED_VALUE"""),"Order rejected due to wrong pasword")</f>
        <v>Order rejected due to wrong pasword</v>
      </c>
    </row>
    <row r="716">
      <c r="A716" s="5"/>
      <c r="B716" s="118">
        <f>IFERROR(__xludf.DUMMYFUNCTION("""COMPUTED_VALUE"""),44643.968564282404)</f>
        <v>44643.96856</v>
      </c>
      <c r="C716" s="120" t="str">
        <f>IFERROR(__xludf.DUMMYFUNCTION("""COMPUTED_VALUE"""),"")</f>
        <v/>
      </c>
      <c r="D716" s="5" t="str">
        <f>IFERROR(__xludf.DUMMYFUNCTION("""COMPUTED_VALUE"""),"82533")</f>
        <v>82533</v>
      </c>
      <c r="E716" s="5" t="str">
        <f>IFERROR(__xludf.DUMMYFUNCTION("""COMPUTED_VALUE"""),"Stock")</f>
        <v>Stock</v>
      </c>
      <c r="F716" s="5" t="str">
        <f>IFERROR(__xludf.DUMMYFUNCTION("""COMPUTED_VALUE"""),"error")</f>
        <v>error</v>
      </c>
      <c r="G716" s="30" t="str">
        <f>IFERROR(__xludf.DUMMYFUNCTION("""COMPUTED_VALUE"""),"Email Account/ TraderID Recognized")</f>
        <v>Email Account/ TraderID Recognized</v>
      </c>
      <c r="H716" s="119" t="str">
        <f>IFERROR(__xludf.DUMMYFUNCTION("""COMPUTED_VALUE"""),"COIN")</f>
        <v>COIN</v>
      </c>
      <c r="I716" s="30">
        <f>IFERROR(__xludf.DUMMYFUNCTION("""COMPUTED_VALUE"""),60.0)</f>
        <v>60</v>
      </c>
      <c r="J716" s="30"/>
      <c r="K716" s="30" t="str">
        <f>IFERROR(__xludf.DUMMYFUNCTION("""COMPUTED_VALUE"""),"Wrong Password Submitted, Order will be rejected")</f>
        <v>Wrong Password Submitted, Order will be rejected</v>
      </c>
      <c r="L716" s="30" t="str">
        <f>IFERROR(__xludf.DUMMYFUNCTION("""COMPUTED_VALUE"""),"Order rejected due to wrong pasword")</f>
        <v>Order rejected due to wrong pasword</v>
      </c>
    </row>
    <row r="717">
      <c r="A717" s="5"/>
      <c r="B717" s="118">
        <f>IFERROR(__xludf.DUMMYFUNCTION("""COMPUTED_VALUE"""),44643.98242292824)</f>
        <v>44643.98242</v>
      </c>
      <c r="C717" s="120">
        <f>IFERROR(__xludf.DUMMYFUNCTION("""COMPUTED_VALUE"""),44644.666666666664)</f>
        <v>44644.66667</v>
      </c>
      <c r="D717" s="5" t="str">
        <f>IFERROR(__xludf.DUMMYFUNCTION("""COMPUTED_VALUE"""),"46220")</f>
        <v>46220</v>
      </c>
      <c r="E717" s="5" t="str">
        <f>IFERROR(__xludf.DUMMYFUNCTION("""COMPUTED_VALUE"""),"Stock")</f>
        <v>Stock</v>
      </c>
      <c r="F717" s="5" t="str">
        <f>IFERROR(__xludf.DUMMYFUNCTION("""COMPUTED_VALUE"""),"HKD")</f>
        <v>HKD</v>
      </c>
      <c r="G717" s="30" t="str">
        <f>IFERROR(__xludf.DUMMYFUNCTION("""COMPUTED_VALUE"""),"Email Account/ TraderID Recognized")</f>
        <v>Email Account/ TraderID Recognized</v>
      </c>
      <c r="H717" s="121" t="str">
        <f>IFERROR(__xludf.DUMMYFUNCTION("""COMPUTED_VALUE"""),"9988.HK")</f>
        <v>9988.HK</v>
      </c>
      <c r="I717" s="30">
        <f>IFERROR(__xludf.DUMMYFUNCTION("""COMPUTED_VALUE"""),1.0)</f>
        <v>1</v>
      </c>
      <c r="J717" s="30"/>
      <c r="K717" s="30" t="str">
        <f>IFERROR(__xludf.DUMMYFUNCTION("""COMPUTED_VALUE"""),"QTY, Limit Price (if any) &amp; Password input correct")</f>
        <v>QTY, Limit Price (if any) &amp; Password input correct</v>
      </c>
      <c r="L717" s="30"/>
    </row>
    <row r="718">
      <c r="A718" s="5"/>
      <c r="B718" s="118">
        <f>IFERROR(__xludf.DUMMYFUNCTION("""COMPUTED_VALUE"""),44644.000012476856)</f>
        <v>44644.00001</v>
      </c>
      <c r="C718" s="120" t="str">
        <f>IFERROR(__xludf.DUMMYFUNCTION("""COMPUTED_VALUE"""),"")</f>
        <v/>
      </c>
      <c r="D718" s="5" t="str">
        <f>IFERROR(__xludf.DUMMYFUNCTION("""COMPUTED_VALUE"""),"36252")</f>
        <v>36252</v>
      </c>
      <c r="E718" s="5" t="str">
        <f>IFERROR(__xludf.DUMMYFUNCTION("""COMPUTED_VALUE"""),"Stock")</f>
        <v>Stock</v>
      </c>
      <c r="F718" s="5" t="str">
        <f>IFERROR(__xludf.DUMMYFUNCTION("""COMPUTED_VALUE"""),"error")</f>
        <v>error</v>
      </c>
      <c r="G718" s="30" t="str">
        <f>IFERROR(__xludf.DUMMYFUNCTION("""COMPUTED_VALUE"""),"Email Account/ TraderID Recognized")</f>
        <v>Email Account/ TraderID Recognized</v>
      </c>
      <c r="H718" s="121" t="str">
        <f>IFERROR(__xludf.DUMMYFUNCTION("""COMPUTED_VALUE"""),"0059.sz")</f>
        <v>0059.sz</v>
      </c>
      <c r="I718" s="30">
        <f>IFERROR(__xludf.DUMMYFUNCTION("""COMPUTED_VALUE"""),3000.0)</f>
        <v>3000</v>
      </c>
      <c r="J718" s="30"/>
      <c r="K718" s="30" t="str">
        <f>IFERROR(__xludf.DUMMYFUNCTION("""COMPUTED_VALUE"""),"QTY, Limit Price (if any) &amp; Password input correct")</f>
        <v>QTY, Limit Price (if any) &amp; Password input correct</v>
      </c>
      <c r="L718" s="30" t="str">
        <f>IFERROR(__xludf.DUMMYFUNCTION("""COMPUTED_VALUE"""),"Order rejected due to wrong ticker code")</f>
        <v>Order rejected due to wrong ticker code</v>
      </c>
    </row>
    <row r="719">
      <c r="A719" s="5"/>
      <c r="B719" s="118">
        <f>IFERROR(__xludf.DUMMYFUNCTION("""COMPUTED_VALUE"""),44644.00642722222)</f>
        <v>44644.00643</v>
      </c>
      <c r="C719" s="120" t="str">
        <f>IFERROR(__xludf.DUMMYFUNCTION("""COMPUTED_VALUE"""),"")</f>
        <v/>
      </c>
      <c r="D719" s="5" t="str">
        <f>IFERROR(__xludf.DUMMYFUNCTION("""COMPUTED_VALUE"""),"36252")</f>
        <v>36252</v>
      </c>
      <c r="E719" s="5" t="str">
        <f>IFERROR(__xludf.DUMMYFUNCTION("""COMPUTED_VALUE"""),"Stock")</f>
        <v>Stock</v>
      </c>
      <c r="F719" s="5" t="str">
        <f>IFERROR(__xludf.DUMMYFUNCTION("""COMPUTED_VALUE"""),"error")</f>
        <v>error</v>
      </c>
      <c r="G719" s="30" t="str">
        <f>IFERROR(__xludf.DUMMYFUNCTION("""COMPUTED_VALUE"""),"Email Account/ TraderID Recognized")</f>
        <v>Email Account/ TraderID Recognized</v>
      </c>
      <c r="H719" s="121" t="str">
        <f>IFERROR(__xludf.DUMMYFUNCTION("""COMPUTED_VALUE"""),"3261.sh")</f>
        <v>3261.sh</v>
      </c>
      <c r="I719" s="30">
        <f>IFERROR(__xludf.DUMMYFUNCTION("""COMPUTED_VALUE"""),2000.0)</f>
        <v>2000</v>
      </c>
      <c r="J719" s="30"/>
      <c r="K719" s="30" t="str">
        <f>IFERROR(__xludf.DUMMYFUNCTION("""COMPUTED_VALUE"""),"QTY, Limit Price (if any) &amp; Password input correct")</f>
        <v>QTY, Limit Price (if any) &amp; Password input correct</v>
      </c>
      <c r="L719" s="30" t="str">
        <f>IFERROR(__xludf.DUMMYFUNCTION("""COMPUTED_VALUE"""),"Order rejected due to wrong ticker code")</f>
        <v>Order rejected due to wrong ticker code</v>
      </c>
    </row>
    <row r="720">
      <c r="A720" s="5"/>
      <c r="B720" s="118">
        <f>IFERROR(__xludf.DUMMYFUNCTION("""COMPUTED_VALUE"""),44644.046272719905)</f>
        <v>44644.04627</v>
      </c>
      <c r="C720" s="120">
        <f>IFERROR(__xludf.DUMMYFUNCTION("""COMPUTED_VALUE"""),44643.666666666664)</f>
        <v>44643.66667</v>
      </c>
      <c r="D720" s="5" t="str">
        <f>IFERROR(__xludf.DUMMYFUNCTION("""COMPUTED_VALUE"""),"73542")</f>
        <v>73542</v>
      </c>
      <c r="E720" s="5" t="str">
        <f>IFERROR(__xludf.DUMMYFUNCTION("""COMPUTED_VALUE"""),"Stock")</f>
        <v>Stock</v>
      </c>
      <c r="F720" s="5" t="str">
        <f>IFERROR(__xludf.DUMMYFUNCTION("""COMPUTED_VALUE"""),"USD")</f>
        <v>USD</v>
      </c>
      <c r="G720" s="30" t="str">
        <f>IFERROR(__xludf.DUMMYFUNCTION("""COMPUTED_VALUE"""),"Email Account/ TraderID Recognized")</f>
        <v>Email Account/ TraderID Recognized</v>
      </c>
      <c r="H720" s="119" t="str">
        <f>IFERROR(__xludf.DUMMYFUNCTION("""COMPUTED_VALUE"""),"TSLA")</f>
        <v>TSLA</v>
      </c>
      <c r="I720" s="30">
        <f>IFERROR(__xludf.DUMMYFUNCTION("""COMPUTED_VALUE"""),12.0)</f>
        <v>12</v>
      </c>
      <c r="J720" s="30">
        <f>IFERROR(__xludf.DUMMYFUNCTION("""COMPUTED_VALUE"""),1016.0)</f>
        <v>1016</v>
      </c>
      <c r="K720" s="30" t="str">
        <f>IFERROR(__xludf.DUMMYFUNCTION("""COMPUTED_VALUE"""),"QTY, Limit Price (if any) &amp; Password input correct")</f>
        <v>QTY, Limit Price (if any) &amp; Password input correct</v>
      </c>
      <c r="L720" s="30"/>
    </row>
    <row r="721">
      <c r="A721" s="5"/>
      <c r="B721" s="118">
        <f>IFERROR(__xludf.DUMMYFUNCTION("""COMPUTED_VALUE"""),44644.08699921296)</f>
        <v>44644.087</v>
      </c>
      <c r="C721" s="120">
        <f>IFERROR(__xludf.DUMMYFUNCTION("""COMPUTED_VALUE"""),44644.625)</f>
        <v>44644.625</v>
      </c>
      <c r="D721" s="5" t="str">
        <f>IFERROR(__xludf.DUMMYFUNCTION("""COMPUTED_VALUE"""),"75973")</f>
        <v>75973</v>
      </c>
      <c r="E721" s="5" t="str">
        <f>IFERROR(__xludf.DUMMYFUNCTION("""COMPUTED_VALUE"""),"Stock")</f>
        <v>Stock</v>
      </c>
      <c r="F721" s="5" t="str">
        <f>IFERROR(__xludf.DUMMYFUNCTION("""COMPUTED_VALUE"""),"CNY")</f>
        <v>CNY</v>
      </c>
      <c r="G721" s="30" t="str">
        <f>IFERROR(__xludf.DUMMYFUNCTION("""COMPUTED_VALUE"""),"Email Account/ TraderID Recognized")</f>
        <v>Email Account/ TraderID Recognized</v>
      </c>
      <c r="H721" s="121" t="str">
        <f>IFERROR(__xludf.DUMMYFUNCTION("""COMPUTED_VALUE"""),"600519.SS")</f>
        <v>600519.SS</v>
      </c>
      <c r="I721" s="30">
        <f>IFERROR(__xludf.DUMMYFUNCTION("""COMPUTED_VALUE"""),20.0)</f>
        <v>20</v>
      </c>
      <c r="J721" s="30"/>
      <c r="K721" s="30" t="str">
        <f>IFERROR(__xludf.DUMMYFUNCTION("""COMPUTED_VALUE"""),"QTY, Limit Price (if any) &amp; Password input correct")</f>
        <v>QTY, Limit Price (if any) &amp; Password input correct</v>
      </c>
      <c r="L721" s="30"/>
    </row>
    <row r="722">
      <c r="A722" s="5"/>
      <c r="B722" s="118">
        <f>IFERROR(__xludf.DUMMYFUNCTION("""COMPUTED_VALUE"""),44644.09405728009)</f>
        <v>44644.09406</v>
      </c>
      <c r="C722" s="120">
        <f>IFERROR(__xludf.DUMMYFUNCTION("""COMPUTED_VALUE"""),44644.666666666664)</f>
        <v>44644.66667</v>
      </c>
      <c r="D722" s="5" t="str">
        <f>IFERROR(__xludf.DUMMYFUNCTION("""COMPUTED_VALUE"""),"75973")</f>
        <v>75973</v>
      </c>
      <c r="E722" s="5" t="str">
        <f>IFERROR(__xludf.DUMMYFUNCTION("""COMPUTED_VALUE"""),"Stock")</f>
        <v>Stock</v>
      </c>
      <c r="F722" s="5" t="str">
        <f>IFERROR(__xludf.DUMMYFUNCTION("""COMPUTED_VALUE"""),"HKD")</f>
        <v>HKD</v>
      </c>
      <c r="G722" s="30" t="str">
        <f>IFERROR(__xludf.DUMMYFUNCTION("""COMPUTED_VALUE"""),"Email Account/ TraderID Recognized")</f>
        <v>Email Account/ TraderID Recognized</v>
      </c>
      <c r="H722" s="121" t="str">
        <f>IFERROR(__xludf.DUMMYFUNCTION("""COMPUTED_VALUE"""),"1211.HK")</f>
        <v>1211.HK</v>
      </c>
      <c r="I722" s="30">
        <f>IFERROR(__xludf.DUMMYFUNCTION("""COMPUTED_VALUE"""),2000.0)</f>
        <v>2000</v>
      </c>
      <c r="J722" s="30"/>
      <c r="K722" s="30" t="str">
        <f>IFERROR(__xludf.DUMMYFUNCTION("""COMPUTED_VALUE"""),"QTY, Limit Price (if any) &amp; Password input correct")</f>
        <v>QTY, Limit Price (if any) &amp; Password input correct</v>
      </c>
      <c r="L722" s="30"/>
    </row>
    <row r="723">
      <c r="A723" s="5"/>
      <c r="B723" s="118">
        <f>IFERROR(__xludf.DUMMYFUNCTION("""COMPUTED_VALUE"""),44644.09867961805)</f>
        <v>44644.09868</v>
      </c>
      <c r="C723" s="120">
        <f>IFERROR(__xludf.DUMMYFUNCTION("""COMPUTED_VALUE"""),44644.666666666664)</f>
        <v>44644.66667</v>
      </c>
      <c r="D723" s="5" t="str">
        <f>IFERROR(__xludf.DUMMYFUNCTION("""COMPUTED_VALUE"""),"95516")</f>
        <v>95516</v>
      </c>
      <c r="E723" s="5" t="str">
        <f>IFERROR(__xludf.DUMMYFUNCTION("""COMPUTED_VALUE"""),"Stock")</f>
        <v>Stock</v>
      </c>
      <c r="F723" s="5" t="str">
        <f>IFERROR(__xludf.DUMMYFUNCTION("""COMPUTED_VALUE"""),"HKD")</f>
        <v>HKD</v>
      </c>
      <c r="G723" s="30" t="str">
        <f>IFERROR(__xludf.DUMMYFUNCTION("""COMPUTED_VALUE"""),"Email Account/ TraderID Recognized")</f>
        <v>Email Account/ TraderID Recognized</v>
      </c>
      <c r="H723" s="121" t="str">
        <f>IFERROR(__xludf.DUMMYFUNCTION("""COMPUTED_VALUE"""),"0968.HK")</f>
        <v>0968.HK</v>
      </c>
      <c r="I723" s="30">
        <f>IFERROR(__xludf.DUMMYFUNCTION("""COMPUTED_VALUE"""),10000.0)</f>
        <v>10000</v>
      </c>
      <c r="J723" s="30"/>
      <c r="K723" s="30" t="str">
        <f>IFERROR(__xludf.DUMMYFUNCTION("""COMPUTED_VALUE"""),"QTY, Limit Price (if any) &amp; Password input correct")</f>
        <v>QTY, Limit Price (if any) &amp; Password input correct</v>
      </c>
      <c r="L723" s="30"/>
    </row>
    <row r="724">
      <c r="A724" s="5"/>
      <c r="B724" s="118">
        <f>IFERROR(__xludf.DUMMYFUNCTION("""COMPUTED_VALUE"""),44644.10485177083)</f>
        <v>44644.10485</v>
      </c>
      <c r="C724" s="120">
        <f>IFERROR(__xludf.DUMMYFUNCTION("""COMPUTED_VALUE"""),44643.666666666664)</f>
        <v>44643.66667</v>
      </c>
      <c r="D724" s="5" t="str">
        <f>IFERROR(__xludf.DUMMYFUNCTION("""COMPUTED_VALUE"""),"89750")</f>
        <v>89750</v>
      </c>
      <c r="E724" s="5" t="str">
        <f>IFERROR(__xludf.DUMMYFUNCTION("""COMPUTED_VALUE"""),"Option")</f>
        <v>Option</v>
      </c>
      <c r="F724" s="5" t="str">
        <f>IFERROR(__xludf.DUMMYFUNCTION("""COMPUTED_VALUE"""),"USD")</f>
        <v>USD</v>
      </c>
      <c r="G724" s="30" t="str">
        <f>IFERROR(__xludf.DUMMYFUNCTION("""COMPUTED_VALUE"""),"Email Account/ TraderID Recognized")</f>
        <v>Email Account/ TraderID Recognized</v>
      </c>
      <c r="H724" s="119" t="str">
        <f>IFERROR(__xludf.DUMMYFUNCTION("""COMPUTED_VALUE"""),"NU220414C00006000")</f>
        <v>NU220414C00006000</v>
      </c>
      <c r="I724" s="30">
        <f>IFERROR(__xludf.DUMMYFUNCTION("""COMPUTED_VALUE"""),2.0)</f>
        <v>2</v>
      </c>
      <c r="J724" s="30"/>
      <c r="K724" s="30" t="str">
        <f>IFERROR(__xludf.DUMMYFUNCTION("""COMPUTED_VALUE"""),"QTY, Limit Price (if any) &amp; Password input correct")</f>
        <v>QTY, Limit Price (if any) &amp; Password input correct</v>
      </c>
      <c r="L724" s="30"/>
    </row>
    <row r="725">
      <c r="A725" s="5"/>
      <c r="B725" s="118">
        <f>IFERROR(__xludf.DUMMYFUNCTION("""COMPUTED_VALUE"""),44644.1053675)</f>
        <v>44644.10537</v>
      </c>
      <c r="C725" s="120">
        <f>IFERROR(__xludf.DUMMYFUNCTION("""COMPUTED_VALUE"""),44643.666666666664)</f>
        <v>44643.66667</v>
      </c>
      <c r="D725" s="5" t="str">
        <f>IFERROR(__xludf.DUMMYFUNCTION("""COMPUTED_VALUE"""),"89750")</f>
        <v>89750</v>
      </c>
      <c r="E725" s="5" t="str">
        <f>IFERROR(__xludf.DUMMYFUNCTION("""COMPUTED_VALUE"""),"Stock")</f>
        <v>Stock</v>
      </c>
      <c r="F725" s="5" t="str">
        <f>IFERROR(__xludf.DUMMYFUNCTION("""COMPUTED_VALUE"""),"USD")</f>
        <v>USD</v>
      </c>
      <c r="G725" s="30" t="str">
        <f>IFERROR(__xludf.DUMMYFUNCTION("""COMPUTED_VALUE"""),"Email Account/ TraderID Recognized")</f>
        <v>Email Account/ TraderID Recognized</v>
      </c>
      <c r="H725" s="119" t="str">
        <f>IFERROR(__xludf.DUMMYFUNCTION("""COMPUTED_VALUE"""),"TCEHY")</f>
        <v>TCEHY</v>
      </c>
      <c r="I725" s="30">
        <f>IFERROR(__xludf.DUMMYFUNCTION("""COMPUTED_VALUE"""),100.0)</f>
        <v>100</v>
      </c>
      <c r="J725" s="30"/>
      <c r="K725" s="30" t="str">
        <f>IFERROR(__xludf.DUMMYFUNCTION("""COMPUTED_VALUE"""),"QTY, Limit Price (if any) &amp; Password input correct")</f>
        <v>QTY, Limit Price (if any) &amp; Password input correct</v>
      </c>
      <c r="L725" s="30"/>
    </row>
    <row r="726">
      <c r="A726" s="5"/>
      <c r="B726" s="118">
        <f>IFERROR(__xludf.DUMMYFUNCTION("""COMPUTED_VALUE"""),44644.37777471065)</f>
        <v>44644.37777</v>
      </c>
      <c r="C726" s="120" t="str">
        <f>IFERROR(__xludf.DUMMYFUNCTION("""COMPUTED_VALUE"""),"")</f>
        <v/>
      </c>
      <c r="D726" s="5" t="str">
        <f>IFERROR(__xludf.DUMMYFUNCTION("""COMPUTED_VALUE"""),"36252")</f>
        <v>36252</v>
      </c>
      <c r="E726" s="5" t="str">
        <f>IFERROR(__xludf.DUMMYFUNCTION("""COMPUTED_VALUE"""),"Stock")</f>
        <v>Stock</v>
      </c>
      <c r="F726" s="5" t="str">
        <f>IFERROR(__xludf.DUMMYFUNCTION("""COMPUTED_VALUE"""),"error")</f>
        <v>error</v>
      </c>
      <c r="G726" s="30" t="str">
        <f>IFERROR(__xludf.DUMMYFUNCTION("""COMPUTED_VALUE"""),"Email Account/ TraderID Recognized")</f>
        <v>Email Account/ TraderID Recognized</v>
      </c>
      <c r="H726" s="121" t="str">
        <f>IFERROR(__xludf.DUMMYFUNCTION("""COMPUTED_VALUE"""),"603261.sh")</f>
        <v>603261.sh</v>
      </c>
      <c r="I726" s="30">
        <f>IFERROR(__xludf.DUMMYFUNCTION("""COMPUTED_VALUE"""),2500.0)</f>
        <v>2500</v>
      </c>
      <c r="J726" s="30"/>
      <c r="K726" s="30" t="str">
        <f>IFERROR(__xludf.DUMMYFUNCTION("""COMPUTED_VALUE"""),"QTY, Limit Price (if any) &amp; Password input correct")</f>
        <v>QTY, Limit Price (if any) &amp; Password input correct</v>
      </c>
      <c r="L726" s="30" t="str">
        <f>IFERROR(__xludf.DUMMYFUNCTION("""COMPUTED_VALUE"""),"Order rejected due to wrong ticker code")</f>
        <v>Order rejected due to wrong ticker code</v>
      </c>
    </row>
    <row r="727">
      <c r="A727" s="5"/>
      <c r="B727" s="118">
        <f>IFERROR(__xludf.DUMMYFUNCTION("""COMPUTED_VALUE"""),44644.42308550926)</f>
        <v>44644.42309</v>
      </c>
      <c r="C727" s="120">
        <f>IFERROR(__xludf.DUMMYFUNCTION("""COMPUTED_VALUE"""),44644.625)</f>
        <v>44644.625</v>
      </c>
      <c r="D727" s="5" t="str">
        <f>IFERROR(__xludf.DUMMYFUNCTION("""COMPUTED_VALUE"""),"36252")</f>
        <v>36252</v>
      </c>
      <c r="E727" s="5" t="str">
        <f>IFERROR(__xludf.DUMMYFUNCTION("""COMPUTED_VALUE"""),"Stock")</f>
        <v>Stock</v>
      </c>
      <c r="F727" s="5" t="str">
        <f>IFERROR(__xludf.DUMMYFUNCTION("""COMPUTED_VALUE"""),"CNY")</f>
        <v>CNY</v>
      </c>
      <c r="G727" s="30" t="str">
        <f>IFERROR(__xludf.DUMMYFUNCTION("""COMPUTED_VALUE"""),"Email Account/ TraderID Recognized")</f>
        <v>Email Account/ TraderID Recognized</v>
      </c>
      <c r="H727" s="121" t="str">
        <f>IFERROR(__xludf.DUMMYFUNCTION("""COMPUTED_VALUE"""),"603261.SS")</f>
        <v>603261.SS</v>
      </c>
      <c r="I727" s="30">
        <f>IFERROR(__xludf.DUMMYFUNCTION("""COMPUTED_VALUE"""),3000.0)</f>
        <v>3000</v>
      </c>
      <c r="J727" s="30"/>
      <c r="K727" s="30" t="str">
        <f>IFERROR(__xludf.DUMMYFUNCTION("""COMPUTED_VALUE"""),"QTY, Limit Price (if any) &amp; Password input correct")</f>
        <v>QTY, Limit Price (if any) &amp; Password input correct</v>
      </c>
      <c r="L727" s="30"/>
    </row>
    <row r="728">
      <c r="A728" s="5"/>
      <c r="B728" s="118">
        <f>IFERROR(__xludf.DUMMYFUNCTION("""COMPUTED_VALUE"""),44644.424110775464)</f>
        <v>44644.42411</v>
      </c>
      <c r="C728" s="120">
        <f>IFERROR(__xludf.DUMMYFUNCTION("""COMPUTED_VALUE"""),44644.666666666664)</f>
        <v>44644.66667</v>
      </c>
      <c r="D728" s="5" t="str">
        <f>IFERROR(__xludf.DUMMYFUNCTION("""COMPUTED_VALUE"""),"75369")</f>
        <v>75369</v>
      </c>
      <c r="E728" s="5" t="str">
        <f>IFERROR(__xludf.DUMMYFUNCTION("""COMPUTED_VALUE"""),"Stock")</f>
        <v>Stock</v>
      </c>
      <c r="F728" s="5" t="str">
        <f>IFERROR(__xludf.DUMMYFUNCTION("""COMPUTED_VALUE"""),"HKD")</f>
        <v>HKD</v>
      </c>
      <c r="G728" s="30" t="str">
        <f>IFERROR(__xludf.DUMMYFUNCTION("""COMPUTED_VALUE"""),"Email Account/ TraderID Recognized")</f>
        <v>Email Account/ TraderID Recognized</v>
      </c>
      <c r="H728" s="121" t="str">
        <f>IFERROR(__xludf.DUMMYFUNCTION("""COMPUTED_VALUE"""),"0700.hk")</f>
        <v>0700.hk</v>
      </c>
      <c r="I728" s="30">
        <f>IFERROR(__xludf.DUMMYFUNCTION("""COMPUTED_VALUE"""),100.0)</f>
        <v>100</v>
      </c>
      <c r="J728" s="30"/>
      <c r="K728" s="30" t="str">
        <f>IFERROR(__xludf.DUMMYFUNCTION("""COMPUTED_VALUE"""),"QTY, Limit Price (if any) &amp; Password input correct")</f>
        <v>QTY, Limit Price (if any) &amp; Password input correct</v>
      </c>
      <c r="L728" s="30"/>
    </row>
    <row r="729">
      <c r="A729" s="5"/>
      <c r="B729" s="118">
        <f>IFERROR(__xludf.DUMMYFUNCTION("""COMPUTED_VALUE"""),44644.42542519676)</f>
        <v>44644.42543</v>
      </c>
      <c r="C729" s="120">
        <f>IFERROR(__xludf.DUMMYFUNCTION("""COMPUTED_VALUE"""),44644.666666666664)</f>
        <v>44644.66667</v>
      </c>
      <c r="D729" s="5" t="str">
        <f>IFERROR(__xludf.DUMMYFUNCTION("""COMPUTED_VALUE"""),"75369")</f>
        <v>75369</v>
      </c>
      <c r="E729" s="5" t="str">
        <f>IFERROR(__xludf.DUMMYFUNCTION("""COMPUTED_VALUE"""),"Stock")</f>
        <v>Stock</v>
      </c>
      <c r="F729" s="5" t="str">
        <f>IFERROR(__xludf.DUMMYFUNCTION("""COMPUTED_VALUE"""),"HKD")</f>
        <v>HKD</v>
      </c>
      <c r="G729" s="30" t="str">
        <f>IFERROR(__xludf.DUMMYFUNCTION("""COMPUTED_VALUE"""),"Email Account/ TraderID Recognized")</f>
        <v>Email Account/ TraderID Recognized</v>
      </c>
      <c r="H729" s="121" t="str">
        <f>IFERROR(__xludf.DUMMYFUNCTION("""COMPUTED_VALUE"""),"3690.hk")</f>
        <v>3690.hk</v>
      </c>
      <c r="I729" s="30">
        <f>IFERROR(__xludf.DUMMYFUNCTION("""COMPUTED_VALUE"""),200.0)</f>
        <v>200</v>
      </c>
      <c r="J729" s="30"/>
      <c r="K729" s="30" t="str">
        <f>IFERROR(__xludf.DUMMYFUNCTION("""COMPUTED_VALUE"""),"QTY, Limit Price (if any) &amp; Password input correct")</f>
        <v>QTY, Limit Price (if any) &amp; Password input correct</v>
      </c>
      <c r="L729" s="30"/>
    </row>
    <row r="730">
      <c r="A730" s="5"/>
      <c r="B730" s="118">
        <f>IFERROR(__xludf.DUMMYFUNCTION("""COMPUTED_VALUE"""),44644.43098900463)</f>
        <v>44644.43099</v>
      </c>
      <c r="C730" s="120">
        <f>IFERROR(__xludf.DUMMYFUNCTION("""COMPUTED_VALUE"""),44644.666666666664)</f>
        <v>44644.66667</v>
      </c>
      <c r="D730" s="5" t="str">
        <f>IFERROR(__xludf.DUMMYFUNCTION("""COMPUTED_VALUE"""),"75369")</f>
        <v>75369</v>
      </c>
      <c r="E730" s="5" t="str">
        <f>IFERROR(__xludf.DUMMYFUNCTION("""COMPUTED_VALUE"""),"Stock")</f>
        <v>Stock</v>
      </c>
      <c r="F730" s="5" t="str">
        <f>IFERROR(__xludf.DUMMYFUNCTION("""COMPUTED_VALUE"""),"USD")</f>
        <v>USD</v>
      </c>
      <c r="G730" s="30" t="str">
        <f>IFERROR(__xludf.DUMMYFUNCTION("""COMPUTED_VALUE"""),"Email Account/ TraderID Recognized")</f>
        <v>Email Account/ TraderID Recognized</v>
      </c>
      <c r="H730" s="119" t="str">
        <f>IFERROR(__xludf.DUMMYFUNCTION("""COMPUTED_VALUE"""),"TSLA")</f>
        <v>TSLA</v>
      </c>
      <c r="I730" s="30">
        <f>IFERROR(__xludf.DUMMYFUNCTION("""COMPUTED_VALUE"""),100.0)</f>
        <v>100</v>
      </c>
      <c r="J730" s="30"/>
      <c r="K730" s="30" t="str">
        <f>IFERROR(__xludf.DUMMYFUNCTION("""COMPUTED_VALUE"""),"QTY, Limit Price (if any) &amp; Password input correct")</f>
        <v>QTY, Limit Price (if any) &amp; Password input correct</v>
      </c>
      <c r="L730" s="30"/>
    </row>
    <row r="731">
      <c r="A731" s="5"/>
      <c r="B731" s="118">
        <f>IFERROR(__xludf.DUMMYFUNCTION("""COMPUTED_VALUE"""),44644.433258854166)</f>
        <v>44644.43326</v>
      </c>
      <c r="C731" s="120">
        <f>IFERROR(__xludf.DUMMYFUNCTION("""COMPUTED_VALUE"""),44644.666666666664)</f>
        <v>44644.66667</v>
      </c>
      <c r="D731" s="5" t="str">
        <f>IFERROR(__xludf.DUMMYFUNCTION("""COMPUTED_VALUE"""),"36252")</f>
        <v>36252</v>
      </c>
      <c r="E731" s="5" t="str">
        <f>IFERROR(__xludf.DUMMYFUNCTION("""COMPUTED_VALUE"""),"Stock")</f>
        <v>Stock</v>
      </c>
      <c r="F731" s="5" t="str">
        <f>IFERROR(__xludf.DUMMYFUNCTION("""COMPUTED_VALUE"""),"HKD")</f>
        <v>HKD</v>
      </c>
      <c r="G731" s="30" t="str">
        <f>IFERROR(__xludf.DUMMYFUNCTION("""COMPUTED_VALUE"""),"Email Account/ TraderID Recognized")</f>
        <v>Email Account/ TraderID Recognized</v>
      </c>
      <c r="H731" s="121" t="str">
        <f>IFERROR(__xludf.DUMMYFUNCTION("""COMPUTED_VALUE"""),"0346.hk")</f>
        <v>0346.hk</v>
      </c>
      <c r="I731" s="30">
        <f>IFERROR(__xludf.DUMMYFUNCTION("""COMPUTED_VALUE"""),500000.0)</f>
        <v>500000</v>
      </c>
      <c r="J731" s="30"/>
      <c r="K731" s="30" t="str">
        <f>IFERROR(__xludf.DUMMYFUNCTION("""COMPUTED_VALUE"""),"QTY, Limit Price (if any) &amp; Password input correct")</f>
        <v>QTY, Limit Price (if any) &amp; Password input correct</v>
      </c>
      <c r="L731" s="30"/>
    </row>
    <row r="732">
      <c r="A732" s="5"/>
      <c r="B732" s="118">
        <f>IFERROR(__xludf.DUMMYFUNCTION("""COMPUTED_VALUE"""),44644.44196815972)</f>
        <v>44644.44197</v>
      </c>
      <c r="C732" s="120">
        <f>IFERROR(__xludf.DUMMYFUNCTION("""COMPUTED_VALUE"""),44644.666666666664)</f>
        <v>44644.66667</v>
      </c>
      <c r="D732" s="5" t="str">
        <f>IFERROR(__xludf.DUMMYFUNCTION("""COMPUTED_VALUE"""),"36242")</f>
        <v>36242</v>
      </c>
      <c r="E732" s="5" t="str">
        <f>IFERROR(__xludf.DUMMYFUNCTION("""COMPUTED_VALUE"""),"Stock")</f>
        <v>Stock</v>
      </c>
      <c r="F732" s="5" t="str">
        <f>IFERROR(__xludf.DUMMYFUNCTION("""COMPUTED_VALUE"""),"USD")</f>
        <v>USD</v>
      </c>
      <c r="G732" s="30" t="str">
        <f>IFERROR(__xludf.DUMMYFUNCTION("""COMPUTED_VALUE"""),"Email Account/ TraderID Recognized")</f>
        <v>Email Account/ TraderID Recognized</v>
      </c>
      <c r="H732" s="119" t="str">
        <f>IFERROR(__xludf.DUMMYFUNCTION("""COMPUTED_VALUE"""),"BA")</f>
        <v>BA</v>
      </c>
      <c r="I732" s="30">
        <f>IFERROR(__xludf.DUMMYFUNCTION("""COMPUTED_VALUE"""),100.0)</f>
        <v>100</v>
      </c>
      <c r="J732" s="30">
        <f>IFERROR(__xludf.DUMMYFUNCTION("""COMPUTED_VALUE"""),189.0)</f>
        <v>189</v>
      </c>
      <c r="K732" s="30" t="str">
        <f>IFERROR(__xludf.DUMMYFUNCTION("""COMPUTED_VALUE"""),"QTY, Limit Price (if any) &amp; Password input correct")</f>
        <v>QTY, Limit Price (if any) &amp; Password input correct</v>
      </c>
      <c r="L732" s="30"/>
    </row>
    <row r="733">
      <c r="A733" s="5"/>
      <c r="B733" s="118">
        <f>IFERROR(__xludf.DUMMYFUNCTION("""COMPUTED_VALUE"""),44644.48342185185)</f>
        <v>44644.48342</v>
      </c>
      <c r="C733" s="120">
        <f>IFERROR(__xludf.DUMMYFUNCTION("""COMPUTED_VALUE"""),44644.666666666664)</f>
        <v>44644.66667</v>
      </c>
      <c r="D733" s="5" t="str">
        <f>IFERROR(__xludf.DUMMYFUNCTION("""COMPUTED_VALUE"""),"35702")</f>
        <v>35702</v>
      </c>
      <c r="E733" s="5" t="str">
        <f>IFERROR(__xludf.DUMMYFUNCTION("""COMPUTED_VALUE"""),"Stock")</f>
        <v>Stock</v>
      </c>
      <c r="F733" s="5" t="str">
        <f>IFERROR(__xludf.DUMMYFUNCTION("""COMPUTED_VALUE"""),"HKD")</f>
        <v>HKD</v>
      </c>
      <c r="G733" s="30" t="str">
        <f>IFERROR(__xludf.DUMMYFUNCTION("""COMPUTED_VALUE"""),"Email Account/ TraderID Recognized")</f>
        <v>Email Account/ TraderID Recognized</v>
      </c>
      <c r="H733" s="121" t="str">
        <f>IFERROR(__xludf.DUMMYFUNCTION("""COMPUTED_VALUE"""),"0853.HK")</f>
        <v>0853.HK</v>
      </c>
      <c r="I733" s="30">
        <f>IFERROR(__xludf.DUMMYFUNCTION("""COMPUTED_VALUE"""),1000.0)</f>
        <v>1000</v>
      </c>
      <c r="J733" s="30"/>
      <c r="K733" s="30" t="str">
        <f>IFERROR(__xludf.DUMMYFUNCTION("""COMPUTED_VALUE"""),"QTY, Limit Price (if any) &amp; Password input correct")</f>
        <v>QTY, Limit Price (if any) &amp; Password input correct</v>
      </c>
      <c r="L733" s="30"/>
    </row>
    <row r="734">
      <c r="A734" s="5"/>
      <c r="B734" s="118">
        <f>IFERROR(__xludf.DUMMYFUNCTION("""COMPUTED_VALUE"""),44644.48609800926)</f>
        <v>44644.4861</v>
      </c>
      <c r="C734" s="120">
        <f>IFERROR(__xludf.DUMMYFUNCTION("""COMPUTED_VALUE"""),44644.666666666664)</f>
        <v>44644.66667</v>
      </c>
      <c r="D734" s="5" t="str">
        <f>IFERROR(__xludf.DUMMYFUNCTION("""COMPUTED_VALUE"""),"35702")</f>
        <v>35702</v>
      </c>
      <c r="E734" s="5" t="str">
        <f>IFERROR(__xludf.DUMMYFUNCTION("""COMPUTED_VALUE"""),"Stock")</f>
        <v>Stock</v>
      </c>
      <c r="F734" s="5" t="str">
        <f>IFERROR(__xludf.DUMMYFUNCTION("""COMPUTED_VALUE"""),"USD")</f>
        <v>USD</v>
      </c>
      <c r="G734" s="30" t="str">
        <f>IFERROR(__xludf.DUMMYFUNCTION("""COMPUTED_VALUE"""),"Email Account/ TraderID Recognized")</f>
        <v>Email Account/ TraderID Recognized</v>
      </c>
      <c r="H734" s="119" t="str">
        <f>IFERROR(__xludf.DUMMYFUNCTION("""COMPUTED_VALUE"""),"NIO")</f>
        <v>NIO</v>
      </c>
      <c r="I734" s="30">
        <f>IFERROR(__xludf.DUMMYFUNCTION("""COMPUTED_VALUE"""),1000.0)</f>
        <v>1000</v>
      </c>
      <c r="J734" s="30"/>
      <c r="K734" s="30" t="str">
        <f>IFERROR(__xludf.DUMMYFUNCTION("""COMPUTED_VALUE"""),"QTY, Limit Price (if any) &amp; Password input correct")</f>
        <v>QTY, Limit Price (if any) &amp; Password input correct</v>
      </c>
      <c r="L734" s="30"/>
    </row>
    <row r="735">
      <c r="A735" s="5"/>
      <c r="B735" s="118">
        <f>IFERROR(__xludf.DUMMYFUNCTION("""COMPUTED_VALUE"""),44644.54957853009)</f>
        <v>44644.54958</v>
      </c>
      <c r="C735" s="120" t="str">
        <f>IFERROR(__xludf.DUMMYFUNCTION("""COMPUTED_VALUE"""),"")</f>
        <v/>
      </c>
      <c r="D735" s="5" t="str">
        <f>IFERROR(__xludf.DUMMYFUNCTION("""COMPUTED_VALUE"""),"70236")</f>
        <v>70236</v>
      </c>
      <c r="E735" s="5" t="str">
        <f>IFERROR(__xludf.DUMMYFUNCTION("""COMPUTED_VALUE"""),"Stock")</f>
        <v>Stock</v>
      </c>
      <c r="F735" s="5" t="str">
        <f>IFERROR(__xludf.DUMMYFUNCTION("""COMPUTED_VALUE"""),"error")</f>
        <v>error</v>
      </c>
      <c r="G735" s="30" t="str">
        <f>IFERROR(__xludf.DUMMYFUNCTION("""COMPUTED_VALUE"""),"Email Account/ TraderID Recognized")</f>
        <v>Email Account/ TraderID Recognized</v>
      </c>
      <c r="H735" s="119" t="str">
        <f>IFERROR(__xludf.DUMMYFUNCTION("""COMPUTED_VALUE"""),"990613")</f>
        <v>990613</v>
      </c>
      <c r="I735" s="30">
        <f>IFERROR(__xludf.DUMMYFUNCTION("""COMPUTED_VALUE"""),100.0)</f>
        <v>100</v>
      </c>
      <c r="J735" s="30"/>
      <c r="K735" s="30" t="str">
        <f>IFERROR(__xludf.DUMMYFUNCTION("""COMPUTED_VALUE"""),"QTY, Limit Price (if any) &amp; Password input correct")</f>
        <v>QTY, Limit Price (if any) &amp; Password input correct</v>
      </c>
      <c r="L735" s="30" t="str">
        <f>IFERROR(__xludf.DUMMYFUNCTION("""COMPUTED_VALUE"""),"Order rejected due to wrong ticker code")</f>
        <v>Order rejected due to wrong ticker code</v>
      </c>
    </row>
    <row r="736">
      <c r="A736" s="5"/>
      <c r="B736" s="118">
        <f>IFERROR(__xludf.DUMMYFUNCTION("""COMPUTED_VALUE"""),44644.551551909724)</f>
        <v>44644.55155</v>
      </c>
      <c r="C736" s="120">
        <f>IFERROR(__xludf.DUMMYFUNCTION("""COMPUTED_VALUE"""),44644.666666666664)</f>
        <v>44644.66667</v>
      </c>
      <c r="D736" s="5" t="str">
        <f>IFERROR(__xludf.DUMMYFUNCTION("""COMPUTED_VALUE"""),"70236")</f>
        <v>70236</v>
      </c>
      <c r="E736" s="5" t="str">
        <f>IFERROR(__xludf.DUMMYFUNCTION("""COMPUTED_VALUE"""),"Stock")</f>
        <v>Stock</v>
      </c>
      <c r="F736" s="5" t="str">
        <f>IFERROR(__xludf.DUMMYFUNCTION("""COMPUTED_VALUE"""),"HKD")</f>
        <v>HKD</v>
      </c>
      <c r="G736" s="30" t="str">
        <f>IFERROR(__xludf.DUMMYFUNCTION("""COMPUTED_VALUE"""),"Email Account/ TraderID Recognized")</f>
        <v>Email Account/ TraderID Recognized</v>
      </c>
      <c r="H736" s="121" t="str">
        <f>IFERROR(__xludf.DUMMYFUNCTION("""COMPUTED_VALUE"""),"0708.hk")</f>
        <v>0708.hk</v>
      </c>
      <c r="I736" s="30">
        <f>IFERROR(__xludf.DUMMYFUNCTION("""COMPUTED_VALUE"""),100.0)</f>
        <v>100</v>
      </c>
      <c r="J736" s="30"/>
      <c r="K736" s="30" t="str">
        <f>IFERROR(__xludf.DUMMYFUNCTION("""COMPUTED_VALUE"""),"QTY, Limit Price (if any) &amp; Password input correct")</f>
        <v>QTY, Limit Price (if any) &amp; Password input correct</v>
      </c>
      <c r="L736" s="30"/>
    </row>
    <row r="737">
      <c r="A737" s="5"/>
      <c r="B737" s="118">
        <f>IFERROR(__xludf.DUMMYFUNCTION("""COMPUTED_VALUE"""),44644.55645004629)</f>
        <v>44644.55645</v>
      </c>
      <c r="C737" s="120">
        <f>IFERROR(__xludf.DUMMYFUNCTION("""COMPUTED_VALUE"""),44644.666666666664)</f>
        <v>44644.66667</v>
      </c>
      <c r="D737" s="5" t="str">
        <f>IFERROR(__xludf.DUMMYFUNCTION("""COMPUTED_VALUE"""),"70236")</f>
        <v>70236</v>
      </c>
      <c r="E737" s="5" t="str">
        <f>IFERROR(__xludf.DUMMYFUNCTION("""COMPUTED_VALUE"""),"Stock")</f>
        <v>Stock</v>
      </c>
      <c r="F737" s="5" t="str">
        <f>IFERROR(__xludf.DUMMYFUNCTION("""COMPUTED_VALUE"""),"HKD")</f>
        <v>HKD</v>
      </c>
      <c r="G737" s="30" t="str">
        <f>IFERROR(__xludf.DUMMYFUNCTION("""COMPUTED_VALUE"""),"Email Account/ TraderID Recognized")</f>
        <v>Email Account/ TraderID Recognized</v>
      </c>
      <c r="H737" s="121" t="str">
        <f>IFERROR(__xludf.DUMMYFUNCTION("""COMPUTED_VALUE"""),"0708.HK")</f>
        <v>0708.HK</v>
      </c>
      <c r="I737" s="30">
        <f>IFERROR(__xludf.DUMMYFUNCTION("""COMPUTED_VALUE"""),100.0)</f>
        <v>100</v>
      </c>
      <c r="J737" s="30"/>
      <c r="K737" s="30" t="str">
        <f>IFERROR(__xludf.DUMMYFUNCTION("""COMPUTED_VALUE"""),"QTY, Limit Price (if any) &amp; Password input correct")</f>
        <v>QTY, Limit Price (if any) &amp; Password input correct</v>
      </c>
      <c r="L737" s="30"/>
    </row>
    <row r="738">
      <c r="A738" s="5"/>
      <c r="B738" s="118">
        <f>IFERROR(__xludf.DUMMYFUNCTION("""COMPUTED_VALUE"""),44644.56364086806)</f>
        <v>44644.56364</v>
      </c>
      <c r="C738" s="120">
        <f>IFERROR(__xludf.DUMMYFUNCTION("""COMPUTED_VALUE"""),44644.666666666664)</f>
        <v>44644.66667</v>
      </c>
      <c r="D738" s="5" t="str">
        <f>IFERROR(__xludf.DUMMYFUNCTION("""COMPUTED_VALUE"""),"70236")</f>
        <v>70236</v>
      </c>
      <c r="E738" s="5" t="str">
        <f>IFERROR(__xludf.DUMMYFUNCTION("""COMPUTED_VALUE"""),"Stock")</f>
        <v>Stock</v>
      </c>
      <c r="F738" s="5" t="str">
        <f>IFERROR(__xludf.DUMMYFUNCTION("""COMPUTED_VALUE"""),"HKD")</f>
        <v>HKD</v>
      </c>
      <c r="G738" s="30" t="str">
        <f>IFERROR(__xludf.DUMMYFUNCTION("""COMPUTED_VALUE"""),"Email Account/ TraderID Recognized")</f>
        <v>Email Account/ TraderID Recognized</v>
      </c>
      <c r="H738" s="119" t="str">
        <f>IFERROR(__xludf.DUMMYFUNCTION("""COMPUTED_VALUE"""),"CLOV")</f>
        <v>CLOV</v>
      </c>
      <c r="I738" s="30">
        <f>IFERROR(__xludf.DUMMYFUNCTION("""COMPUTED_VALUE"""),100.0)</f>
        <v>100</v>
      </c>
      <c r="J738" s="30"/>
      <c r="K738" s="30" t="str">
        <f>IFERROR(__xludf.DUMMYFUNCTION("""COMPUTED_VALUE"""),"QTY, Limit Price (if any) &amp; Password input correct")</f>
        <v>QTY, Limit Price (if any) &amp; Password input correct</v>
      </c>
      <c r="L738" s="30"/>
    </row>
    <row r="739">
      <c r="A739" s="5"/>
      <c r="B739" s="118">
        <f>IFERROR(__xludf.DUMMYFUNCTION("""COMPUTED_VALUE"""),44644.565518958334)</f>
        <v>44644.56552</v>
      </c>
      <c r="C739" s="120">
        <f>IFERROR(__xludf.DUMMYFUNCTION("""COMPUTED_VALUE"""),44644.666666666664)</f>
        <v>44644.66667</v>
      </c>
      <c r="D739" s="5" t="str">
        <f>IFERROR(__xludf.DUMMYFUNCTION("""COMPUTED_VALUE"""),"35702")</f>
        <v>35702</v>
      </c>
      <c r="E739" s="5" t="str">
        <f>IFERROR(__xludf.DUMMYFUNCTION("""COMPUTED_VALUE"""),"Stock")</f>
        <v>Stock</v>
      </c>
      <c r="F739" s="5" t="str">
        <f>IFERROR(__xludf.DUMMYFUNCTION("""COMPUTED_VALUE"""),"HKD")</f>
        <v>HKD</v>
      </c>
      <c r="G739" s="30" t="str">
        <f>IFERROR(__xludf.DUMMYFUNCTION("""COMPUTED_VALUE"""),"Email Account/ TraderID Recognized")</f>
        <v>Email Account/ TraderID Recognized</v>
      </c>
      <c r="H739" s="121" t="str">
        <f>IFERROR(__xludf.DUMMYFUNCTION("""COMPUTED_VALUE"""),"0853.HK")</f>
        <v>0853.HK</v>
      </c>
      <c r="I739" s="30">
        <f>IFERROR(__xludf.DUMMYFUNCTION("""COMPUTED_VALUE"""),1000.0)</f>
        <v>1000</v>
      </c>
      <c r="J739" s="30"/>
      <c r="K739" s="30" t="str">
        <f>IFERROR(__xludf.DUMMYFUNCTION("""COMPUTED_VALUE"""),"QTY, Limit Price (if any) &amp; Password input correct")</f>
        <v>QTY, Limit Price (if any) &amp; Password input correct</v>
      </c>
      <c r="L739" s="30"/>
    </row>
    <row r="740">
      <c r="A740" s="5"/>
      <c r="B740" s="118">
        <f>IFERROR(__xludf.DUMMYFUNCTION("""COMPUTED_VALUE"""),44644.57223770833)</f>
        <v>44644.57224</v>
      </c>
      <c r="C740" s="120">
        <f>IFERROR(__xludf.DUMMYFUNCTION("""COMPUTED_VALUE"""),44644.666666666664)</f>
        <v>44644.66667</v>
      </c>
      <c r="D740" s="5" t="str">
        <f>IFERROR(__xludf.DUMMYFUNCTION("""COMPUTED_VALUE"""),"46600")</f>
        <v>46600</v>
      </c>
      <c r="E740" s="5" t="str">
        <f>IFERROR(__xludf.DUMMYFUNCTION("""COMPUTED_VALUE"""),"Stock")</f>
        <v>Stock</v>
      </c>
      <c r="F740" s="5" t="str">
        <f>IFERROR(__xludf.DUMMYFUNCTION("""COMPUTED_VALUE"""),"HKD")</f>
        <v>HKD</v>
      </c>
      <c r="G740" s="30" t="str">
        <f>IFERROR(__xludf.DUMMYFUNCTION("""COMPUTED_VALUE"""),"Email Account/ TraderID Recognized")</f>
        <v>Email Account/ TraderID Recognized</v>
      </c>
      <c r="H740" s="121" t="str">
        <f>IFERROR(__xludf.DUMMYFUNCTION("""COMPUTED_VALUE"""),"9988.HK")</f>
        <v>9988.HK</v>
      </c>
      <c r="I740" s="30">
        <f>IFERROR(__xludf.DUMMYFUNCTION("""COMPUTED_VALUE"""),150.0)</f>
        <v>150</v>
      </c>
      <c r="J740" s="30"/>
      <c r="K740" s="30" t="str">
        <f>IFERROR(__xludf.DUMMYFUNCTION("""COMPUTED_VALUE"""),"QTY, Limit Price (if any) &amp; Password input correct")</f>
        <v>QTY, Limit Price (if any) &amp; Password input correct</v>
      </c>
      <c r="L740" s="30"/>
    </row>
    <row r="741">
      <c r="A741" s="5"/>
      <c r="B741" s="118">
        <f>IFERROR(__xludf.DUMMYFUNCTION("""COMPUTED_VALUE"""),44644.57411962963)</f>
        <v>44644.57412</v>
      </c>
      <c r="C741" s="120">
        <f>IFERROR(__xludf.DUMMYFUNCTION("""COMPUTED_VALUE"""),44644.666666666664)</f>
        <v>44644.66667</v>
      </c>
      <c r="D741" s="5" t="str">
        <f>IFERROR(__xludf.DUMMYFUNCTION("""COMPUTED_VALUE"""),"46600")</f>
        <v>46600</v>
      </c>
      <c r="E741" s="5" t="str">
        <f>IFERROR(__xludf.DUMMYFUNCTION("""COMPUTED_VALUE"""),"Stock")</f>
        <v>Stock</v>
      </c>
      <c r="F741" s="5" t="str">
        <f>IFERROR(__xludf.DUMMYFUNCTION("""COMPUTED_VALUE"""),"HKD")</f>
        <v>HKD</v>
      </c>
      <c r="G741" s="30" t="str">
        <f>IFERROR(__xludf.DUMMYFUNCTION("""COMPUTED_VALUE"""),"Email Account/ TraderID Recognized")</f>
        <v>Email Account/ TraderID Recognized</v>
      </c>
      <c r="H741" s="121" t="str">
        <f>IFERROR(__xludf.DUMMYFUNCTION("""COMPUTED_VALUE"""),"0700.HK")</f>
        <v>0700.HK</v>
      </c>
      <c r="I741" s="30">
        <f>IFERROR(__xludf.DUMMYFUNCTION("""COMPUTED_VALUE"""),300.0)</f>
        <v>300</v>
      </c>
      <c r="J741" s="30"/>
      <c r="K741" s="30" t="str">
        <f>IFERROR(__xludf.DUMMYFUNCTION("""COMPUTED_VALUE"""),"QTY, Limit Price (if any) &amp; Password input correct")</f>
        <v>QTY, Limit Price (if any) &amp; Password input correct</v>
      </c>
      <c r="L741" s="30"/>
    </row>
    <row r="742">
      <c r="A742" s="5"/>
      <c r="B742" s="118">
        <f>IFERROR(__xludf.DUMMYFUNCTION("""COMPUTED_VALUE"""),44644.58431665509)</f>
        <v>44644.58432</v>
      </c>
      <c r="C742" s="120">
        <f>IFERROR(__xludf.DUMMYFUNCTION("""COMPUTED_VALUE"""),44644.666666666664)</f>
        <v>44644.66667</v>
      </c>
      <c r="D742" s="5" t="str">
        <f>IFERROR(__xludf.DUMMYFUNCTION("""COMPUTED_VALUE"""),"38093")</f>
        <v>38093</v>
      </c>
      <c r="E742" s="5" t="str">
        <f>IFERROR(__xludf.DUMMYFUNCTION("""COMPUTED_VALUE"""),"Stock")</f>
        <v>Stock</v>
      </c>
      <c r="F742" s="5" t="str">
        <f>IFERROR(__xludf.DUMMYFUNCTION("""COMPUTED_VALUE"""),"USD")</f>
        <v>USD</v>
      </c>
      <c r="G742" s="30" t="str">
        <f>IFERROR(__xludf.DUMMYFUNCTION("""COMPUTED_VALUE"""),"Email Account/ TraderID Recognized")</f>
        <v>Email Account/ TraderID Recognized</v>
      </c>
      <c r="H742" s="119" t="str">
        <f>IFERROR(__xludf.DUMMYFUNCTION("""COMPUTED_VALUE"""),"NKE")</f>
        <v>NKE</v>
      </c>
      <c r="I742" s="30">
        <f>IFERROR(__xludf.DUMMYFUNCTION("""COMPUTED_VALUE"""),1200.0)</f>
        <v>1200</v>
      </c>
      <c r="J742" s="30"/>
      <c r="K742" s="30" t="str">
        <f>IFERROR(__xludf.DUMMYFUNCTION("""COMPUTED_VALUE"""),"QTY, Limit Price (if any) &amp; Password input correct")</f>
        <v>QTY, Limit Price (if any) &amp; Password input correct</v>
      </c>
      <c r="L742" s="30"/>
    </row>
    <row r="743">
      <c r="A743" s="5"/>
      <c r="B743" s="118">
        <f>IFERROR(__xludf.DUMMYFUNCTION("""COMPUTED_VALUE"""),44644.58556630787)</f>
        <v>44644.58557</v>
      </c>
      <c r="C743" s="120">
        <f>IFERROR(__xludf.DUMMYFUNCTION("""COMPUTED_VALUE"""),44644.666666666664)</f>
        <v>44644.66667</v>
      </c>
      <c r="D743" s="5" t="str">
        <f>IFERROR(__xludf.DUMMYFUNCTION("""COMPUTED_VALUE"""),"38093")</f>
        <v>38093</v>
      </c>
      <c r="E743" s="5" t="str">
        <f>IFERROR(__xludf.DUMMYFUNCTION("""COMPUTED_VALUE"""),"Stock")</f>
        <v>Stock</v>
      </c>
      <c r="F743" s="5" t="str">
        <f>IFERROR(__xludf.DUMMYFUNCTION("""COMPUTED_VALUE"""),"USD")</f>
        <v>USD</v>
      </c>
      <c r="G743" s="30" t="str">
        <f>IFERROR(__xludf.DUMMYFUNCTION("""COMPUTED_VALUE"""),"Email Account/ TraderID Recognized")</f>
        <v>Email Account/ TraderID Recognized</v>
      </c>
      <c r="H743" s="119" t="str">
        <f>IFERROR(__xludf.DUMMYFUNCTION("""COMPUTED_VALUE"""),"TSLA")</f>
        <v>TSLA</v>
      </c>
      <c r="I743" s="30">
        <f>IFERROR(__xludf.DUMMYFUNCTION("""COMPUTED_VALUE"""),500.0)</f>
        <v>500</v>
      </c>
      <c r="J743" s="30"/>
      <c r="K743" s="30" t="str">
        <f>IFERROR(__xludf.DUMMYFUNCTION("""COMPUTED_VALUE"""),"QTY, Limit Price (if any) &amp; Password input correct")</f>
        <v>QTY, Limit Price (if any) &amp; Password input correct</v>
      </c>
      <c r="L743" s="30"/>
    </row>
    <row r="744">
      <c r="A744" s="5"/>
      <c r="B744" s="118">
        <f>IFERROR(__xludf.DUMMYFUNCTION("""COMPUTED_VALUE"""),44644.593177083334)</f>
        <v>44644.59318</v>
      </c>
      <c r="C744" s="120" t="str">
        <f>IFERROR(__xludf.DUMMYFUNCTION("""COMPUTED_VALUE"""),"")</f>
        <v/>
      </c>
      <c r="D744" s="5" t="str">
        <f>IFERROR(__xludf.DUMMYFUNCTION("""COMPUTED_VALUE"""),"")</f>
        <v/>
      </c>
      <c r="E744" s="5" t="str">
        <f>IFERROR(__xludf.DUMMYFUNCTION("""COMPUTED_VALUE"""),"Stock")</f>
        <v>Stock</v>
      </c>
      <c r="F744" s="5" t="str">
        <f>IFERROR(__xludf.DUMMYFUNCTION("""COMPUTED_VALUE"""),"error")</f>
        <v>error</v>
      </c>
      <c r="G744" s="30" t="str">
        <f>IFERROR(__xludf.DUMMYFUNCTION("""COMPUTED_VALUE"""),"jiaxxxxxxx@nonHKMUemail")</f>
        <v>jiaxxxxxxx@nonHKMUemail</v>
      </c>
      <c r="H744" s="121" t="str">
        <f>IFERROR(__xludf.DUMMYFUNCTION("""COMPUTED_VALUE"""),"2800.HK")</f>
        <v>2800.HK</v>
      </c>
      <c r="I744" s="30">
        <f>IFERROR(__xludf.DUMMYFUNCTION("""COMPUTED_VALUE"""),1000.0)</f>
        <v>1000</v>
      </c>
      <c r="J744" s="30">
        <f>IFERROR(__xludf.DUMMYFUNCTION("""COMPUTED_VALUE"""),22.28)</f>
        <v>22.28</v>
      </c>
      <c r="K744" s="30" t="str">
        <f>IFERROR(__xludf.DUMMYFUNCTION("""COMPUTED_VALUE"""),"QTY, Limit Price (if any) &amp; Password input correct")</f>
        <v>QTY, Limit Price (if any) &amp; Password input correct</v>
      </c>
      <c r="L744" s="30" t="str">
        <f>IFERROR(__xludf.DUMMYFUNCTION("""COMPUTED_VALUE"""),"Order rejected due to non school email")</f>
        <v>Order rejected due to non school email</v>
      </c>
    </row>
    <row r="745">
      <c r="A745" s="5"/>
      <c r="B745" s="118">
        <f>IFERROR(__xludf.DUMMYFUNCTION("""COMPUTED_VALUE"""),44644.59446121528)</f>
        <v>44644.59446</v>
      </c>
      <c r="C745" s="120" t="str">
        <f>IFERROR(__xludf.DUMMYFUNCTION("""COMPUTED_VALUE"""),"")</f>
        <v/>
      </c>
      <c r="D745" s="5" t="str">
        <f>IFERROR(__xludf.DUMMYFUNCTION("""COMPUTED_VALUE"""),"")</f>
        <v/>
      </c>
      <c r="E745" s="5" t="str">
        <f>IFERROR(__xludf.DUMMYFUNCTION("""COMPUTED_VALUE"""),"Stock")</f>
        <v>Stock</v>
      </c>
      <c r="F745" s="5" t="str">
        <f>IFERROR(__xludf.DUMMYFUNCTION("""COMPUTED_VALUE"""),"error")</f>
        <v>error</v>
      </c>
      <c r="G745" s="30" t="str">
        <f>IFERROR(__xludf.DUMMYFUNCTION("""COMPUTED_VALUE"""),"jiaxxxxxxx@nonHKMUemail")</f>
        <v>jiaxxxxxxx@nonHKMUemail</v>
      </c>
      <c r="H745" s="121" t="str">
        <f>IFERROR(__xludf.DUMMYFUNCTION("""COMPUTED_VALUE"""),"2800.HK")</f>
        <v>2800.HK</v>
      </c>
      <c r="I745" s="30">
        <f>IFERROR(__xludf.DUMMYFUNCTION("""COMPUTED_VALUE"""),1000.0)</f>
        <v>1000</v>
      </c>
      <c r="J745" s="30">
        <f>IFERROR(__xludf.DUMMYFUNCTION("""COMPUTED_VALUE"""),22.34)</f>
        <v>22.34</v>
      </c>
      <c r="K745" s="30" t="str">
        <f>IFERROR(__xludf.DUMMYFUNCTION("""COMPUTED_VALUE"""),"QTY, Limit Price (if any) &amp; Password input correct")</f>
        <v>QTY, Limit Price (if any) &amp; Password input correct</v>
      </c>
      <c r="L745" s="30" t="str">
        <f>IFERROR(__xludf.DUMMYFUNCTION("""COMPUTED_VALUE"""),"Order rejected due to non school email")</f>
        <v>Order rejected due to non school email</v>
      </c>
    </row>
    <row r="746">
      <c r="A746" s="5"/>
      <c r="B746" s="118">
        <f>IFERROR(__xludf.DUMMYFUNCTION("""COMPUTED_VALUE"""),44644.60421633102)</f>
        <v>44644.60422</v>
      </c>
      <c r="C746" s="120">
        <f>IFERROR(__xludf.DUMMYFUNCTION("""COMPUTED_VALUE"""),44644.666666666664)</f>
        <v>44644.66667</v>
      </c>
      <c r="D746" s="5" t="str">
        <f>IFERROR(__xludf.DUMMYFUNCTION("""COMPUTED_VALUE"""),"38209")</f>
        <v>38209</v>
      </c>
      <c r="E746" s="5" t="str">
        <f>IFERROR(__xludf.DUMMYFUNCTION("""COMPUTED_VALUE"""),"Stock")</f>
        <v>Stock</v>
      </c>
      <c r="F746" s="5" t="str">
        <f>IFERROR(__xludf.DUMMYFUNCTION("""COMPUTED_VALUE"""),"HKD")</f>
        <v>HKD</v>
      </c>
      <c r="G746" s="30" t="str">
        <f>IFERROR(__xludf.DUMMYFUNCTION("""COMPUTED_VALUE"""),"Email Account/ TraderID Recognized")</f>
        <v>Email Account/ TraderID Recognized</v>
      </c>
      <c r="H746" s="121" t="str">
        <f>IFERROR(__xludf.DUMMYFUNCTION("""COMPUTED_VALUE"""),"1810.HK")</f>
        <v>1810.HK</v>
      </c>
      <c r="I746" s="30">
        <f>IFERROR(__xludf.DUMMYFUNCTION("""COMPUTED_VALUE"""),5000.0)</f>
        <v>5000</v>
      </c>
      <c r="J746" s="30"/>
      <c r="K746" s="30" t="str">
        <f>IFERROR(__xludf.DUMMYFUNCTION("""COMPUTED_VALUE"""),"QTY, Limit Price (if any) &amp; Password input correct")</f>
        <v>QTY, Limit Price (if any) &amp; Password input correct</v>
      </c>
      <c r="L746" s="30"/>
    </row>
    <row r="747">
      <c r="A747" s="5"/>
      <c r="B747" s="118">
        <f>IFERROR(__xludf.DUMMYFUNCTION("""COMPUTED_VALUE"""),44644.605488877314)</f>
        <v>44644.60549</v>
      </c>
      <c r="C747" s="120">
        <f>IFERROR(__xludf.DUMMYFUNCTION("""COMPUTED_VALUE"""),44644.666666666664)</f>
        <v>44644.66667</v>
      </c>
      <c r="D747" s="5" t="str">
        <f>IFERROR(__xludf.DUMMYFUNCTION("""COMPUTED_VALUE"""),"38209")</f>
        <v>38209</v>
      </c>
      <c r="E747" s="5" t="str">
        <f>IFERROR(__xludf.DUMMYFUNCTION("""COMPUTED_VALUE"""),"Stock")</f>
        <v>Stock</v>
      </c>
      <c r="F747" s="5" t="str">
        <f>IFERROR(__xludf.DUMMYFUNCTION("""COMPUTED_VALUE"""),"HKD")</f>
        <v>HKD</v>
      </c>
      <c r="G747" s="30" t="str">
        <f>IFERROR(__xludf.DUMMYFUNCTION("""COMPUTED_VALUE"""),"Email Account/ TraderID Recognized")</f>
        <v>Email Account/ TraderID Recognized</v>
      </c>
      <c r="H747" s="121" t="str">
        <f>IFERROR(__xludf.DUMMYFUNCTION("""COMPUTED_VALUE"""),"6862.HK")</f>
        <v>6862.HK</v>
      </c>
      <c r="I747" s="30">
        <f>IFERROR(__xludf.DUMMYFUNCTION("""COMPUTED_VALUE"""),2500.0)</f>
        <v>2500</v>
      </c>
      <c r="J747" s="30"/>
      <c r="K747" s="30" t="str">
        <f>IFERROR(__xludf.DUMMYFUNCTION("""COMPUTED_VALUE"""),"QTY, Limit Price (if any) &amp; Password input correct")</f>
        <v>QTY, Limit Price (if any) &amp; Password input correct</v>
      </c>
      <c r="L747" s="30"/>
    </row>
    <row r="748">
      <c r="A748" s="5"/>
      <c r="B748" s="118">
        <f>IFERROR(__xludf.DUMMYFUNCTION("""COMPUTED_VALUE"""),44644.611471365744)</f>
        <v>44644.61147</v>
      </c>
      <c r="C748" s="120">
        <f>IFERROR(__xludf.DUMMYFUNCTION("""COMPUTED_VALUE"""),44644.666666666664)</f>
        <v>44644.66667</v>
      </c>
      <c r="D748" s="5" t="str">
        <f>IFERROR(__xludf.DUMMYFUNCTION("""COMPUTED_VALUE"""),"38209")</f>
        <v>38209</v>
      </c>
      <c r="E748" s="5" t="str">
        <f>IFERROR(__xludf.DUMMYFUNCTION("""COMPUTED_VALUE"""),"Stock")</f>
        <v>Stock</v>
      </c>
      <c r="F748" s="5" t="str">
        <f>IFERROR(__xludf.DUMMYFUNCTION("""COMPUTED_VALUE"""),"HKD")</f>
        <v>HKD</v>
      </c>
      <c r="G748" s="30" t="str">
        <f>IFERROR(__xludf.DUMMYFUNCTION("""COMPUTED_VALUE"""),"Email Account/ TraderID Recognized")</f>
        <v>Email Account/ TraderID Recognized</v>
      </c>
      <c r="H748" s="121" t="str">
        <f>IFERROR(__xludf.DUMMYFUNCTION("""COMPUTED_VALUE"""),"0700.HK")</f>
        <v>0700.HK</v>
      </c>
      <c r="I748" s="30">
        <f>IFERROR(__xludf.DUMMYFUNCTION("""COMPUTED_VALUE"""),1000.0)</f>
        <v>1000</v>
      </c>
      <c r="J748" s="30"/>
      <c r="K748" s="30" t="str">
        <f>IFERROR(__xludf.DUMMYFUNCTION("""COMPUTED_VALUE"""),"QTY, Limit Price (if any) &amp; Password input correct")</f>
        <v>QTY, Limit Price (if any) &amp; Password input correct</v>
      </c>
      <c r="L748" s="30"/>
    </row>
    <row r="749">
      <c r="A749" s="5"/>
      <c r="B749" s="118">
        <f>IFERROR(__xludf.DUMMYFUNCTION("""COMPUTED_VALUE"""),44644.61731103009)</f>
        <v>44644.61731</v>
      </c>
      <c r="C749" s="120">
        <f>IFERROR(__xludf.DUMMYFUNCTION("""COMPUTED_VALUE"""),44644.666666666664)</f>
        <v>44644.66667</v>
      </c>
      <c r="D749" s="5" t="str">
        <f>IFERROR(__xludf.DUMMYFUNCTION("""COMPUTED_VALUE"""),"75288")</f>
        <v>75288</v>
      </c>
      <c r="E749" s="5" t="str">
        <f>IFERROR(__xludf.DUMMYFUNCTION("""COMPUTED_VALUE"""),"Stock")</f>
        <v>Stock</v>
      </c>
      <c r="F749" s="5" t="str">
        <f>IFERROR(__xludf.DUMMYFUNCTION("""COMPUTED_VALUE"""),"HKD")</f>
        <v>HKD</v>
      </c>
      <c r="G749" s="30" t="str">
        <f>IFERROR(__xludf.DUMMYFUNCTION("""COMPUTED_VALUE"""),"Email Account/ TraderID Recognized")</f>
        <v>Email Account/ TraderID Recognized</v>
      </c>
      <c r="H749" s="121" t="str">
        <f>IFERROR(__xludf.DUMMYFUNCTION("""COMPUTED_VALUE"""),"9868.HK")</f>
        <v>9868.HK</v>
      </c>
      <c r="I749" s="30">
        <f>IFERROR(__xludf.DUMMYFUNCTION("""COMPUTED_VALUE"""),300.0)</f>
        <v>300</v>
      </c>
      <c r="J749" s="30"/>
      <c r="K749" s="30" t="str">
        <f>IFERROR(__xludf.DUMMYFUNCTION("""COMPUTED_VALUE"""),"QTY, Limit Price (if any) &amp; Password input correct")</f>
        <v>QTY, Limit Price (if any) &amp; Password input correct</v>
      </c>
      <c r="L749" s="30"/>
    </row>
    <row r="750">
      <c r="A750" s="5"/>
      <c r="B750" s="118">
        <f>IFERROR(__xludf.DUMMYFUNCTION("""COMPUTED_VALUE"""),44644.62252868056)</f>
        <v>44644.62253</v>
      </c>
      <c r="C750" s="120">
        <f>IFERROR(__xludf.DUMMYFUNCTION("""COMPUTED_VALUE"""),44644.666666666664)</f>
        <v>44644.66667</v>
      </c>
      <c r="D750" s="5" t="str">
        <f>IFERROR(__xludf.DUMMYFUNCTION("""COMPUTED_VALUE"""),"77936")</f>
        <v>77936</v>
      </c>
      <c r="E750" s="5" t="str">
        <f>IFERROR(__xludf.DUMMYFUNCTION("""COMPUTED_VALUE"""),"Stock")</f>
        <v>Stock</v>
      </c>
      <c r="F750" s="5" t="str">
        <f>IFERROR(__xludf.DUMMYFUNCTION("""COMPUTED_VALUE"""),"HKD")</f>
        <v>HKD</v>
      </c>
      <c r="G750" s="30" t="str">
        <f>IFERROR(__xludf.DUMMYFUNCTION("""COMPUTED_VALUE"""),"Email Account/ TraderID Recognized")</f>
        <v>Email Account/ TraderID Recognized</v>
      </c>
      <c r="H750" s="121" t="str">
        <f>IFERROR(__xludf.DUMMYFUNCTION("""COMPUTED_VALUE"""),"0700.HK")</f>
        <v>0700.HK</v>
      </c>
      <c r="I750" s="30">
        <f>IFERROR(__xludf.DUMMYFUNCTION("""COMPUTED_VALUE"""),100.0)</f>
        <v>100</v>
      </c>
      <c r="J750" s="30"/>
      <c r="K750" s="30" t="str">
        <f>IFERROR(__xludf.DUMMYFUNCTION("""COMPUTED_VALUE"""),"QTY, Limit Price (if any) &amp; Password input correct")</f>
        <v>QTY, Limit Price (if any) &amp; Password input correct</v>
      </c>
      <c r="L750" s="30"/>
    </row>
    <row r="751">
      <c r="A751" s="5"/>
      <c r="B751" s="118">
        <f>IFERROR(__xludf.DUMMYFUNCTION("""COMPUTED_VALUE"""),44644.62305041667)</f>
        <v>44644.62305</v>
      </c>
      <c r="C751" s="120">
        <f>IFERROR(__xludf.DUMMYFUNCTION("""COMPUTED_VALUE"""),44644.666666666664)</f>
        <v>44644.66667</v>
      </c>
      <c r="D751" s="5" t="str">
        <f>IFERROR(__xludf.DUMMYFUNCTION("""COMPUTED_VALUE"""),"79521")</f>
        <v>79521</v>
      </c>
      <c r="E751" s="5" t="str">
        <f>IFERROR(__xludf.DUMMYFUNCTION("""COMPUTED_VALUE"""),"Stock")</f>
        <v>Stock</v>
      </c>
      <c r="F751" s="5" t="str">
        <f>IFERROR(__xludf.DUMMYFUNCTION("""COMPUTED_VALUE"""),"HKD")</f>
        <v>HKD</v>
      </c>
      <c r="G751" s="30" t="str">
        <f>IFERROR(__xludf.DUMMYFUNCTION("""COMPUTED_VALUE"""),"Email Account/ TraderID Recognized")</f>
        <v>Email Account/ TraderID Recognized</v>
      </c>
      <c r="H751" s="121" t="str">
        <f>IFERROR(__xludf.DUMMYFUNCTION("""COMPUTED_VALUE"""),"000965.SZ")</f>
        <v>000965.SZ</v>
      </c>
      <c r="I751" s="30">
        <f>IFERROR(__xludf.DUMMYFUNCTION("""COMPUTED_VALUE"""),50000.0)</f>
        <v>50000</v>
      </c>
      <c r="J751" s="30"/>
      <c r="K751" s="30" t="str">
        <f>IFERROR(__xludf.DUMMYFUNCTION("""COMPUTED_VALUE"""),"QTY, Limit Price (if any) &amp; Password input correct")</f>
        <v>QTY, Limit Price (if any) &amp; Password input correct</v>
      </c>
      <c r="L751" s="30"/>
    </row>
    <row r="752">
      <c r="A752" s="5"/>
      <c r="B752" s="118">
        <f>IFERROR(__xludf.DUMMYFUNCTION("""COMPUTED_VALUE"""),44644.661124363425)</f>
        <v>44644.66112</v>
      </c>
      <c r="C752" s="120">
        <f>IFERROR(__xludf.DUMMYFUNCTION("""COMPUTED_VALUE"""),44644.666666666664)</f>
        <v>44644.66667</v>
      </c>
      <c r="D752" s="5" t="str">
        <f>IFERROR(__xludf.DUMMYFUNCTION("""COMPUTED_VALUE"""),"39441")</f>
        <v>39441</v>
      </c>
      <c r="E752" s="5" t="str">
        <f>IFERROR(__xludf.DUMMYFUNCTION("""COMPUTED_VALUE"""),"Stock")</f>
        <v>Stock</v>
      </c>
      <c r="F752" s="5" t="str">
        <f>IFERROR(__xludf.DUMMYFUNCTION("""COMPUTED_VALUE"""),"USD")</f>
        <v>USD</v>
      </c>
      <c r="G752" s="30" t="str">
        <f>IFERROR(__xludf.DUMMYFUNCTION("""COMPUTED_VALUE"""),"Email Account/ TraderID Recognized")</f>
        <v>Email Account/ TraderID Recognized</v>
      </c>
      <c r="H752" s="119" t="str">
        <f>IFERROR(__xludf.DUMMYFUNCTION("""COMPUTED_VALUE"""),"AAPL")</f>
        <v>AAPL</v>
      </c>
      <c r="I752" s="30">
        <f>IFERROR(__xludf.DUMMYFUNCTION("""COMPUTED_VALUE"""),100.0)</f>
        <v>100</v>
      </c>
      <c r="J752" s="30"/>
      <c r="K752" s="30" t="str">
        <f>IFERROR(__xludf.DUMMYFUNCTION("""COMPUTED_VALUE"""),"QTY, Limit Price (if any) &amp; Password input correct")</f>
        <v>QTY, Limit Price (if any) &amp; Password input correct</v>
      </c>
      <c r="L752" s="30"/>
    </row>
    <row r="753">
      <c r="A753" s="5"/>
      <c r="B753" s="118">
        <f>IFERROR(__xludf.DUMMYFUNCTION("""COMPUTED_VALUE"""),44644.66479627315)</f>
        <v>44644.6648</v>
      </c>
      <c r="C753" s="120">
        <f>IFERROR(__xludf.DUMMYFUNCTION("""COMPUTED_VALUE"""),44644.666666666664)</f>
        <v>44644.66667</v>
      </c>
      <c r="D753" s="5" t="str">
        <f>IFERROR(__xludf.DUMMYFUNCTION("""COMPUTED_VALUE"""),"46975")</f>
        <v>46975</v>
      </c>
      <c r="E753" s="5" t="str">
        <f>IFERROR(__xludf.DUMMYFUNCTION("""COMPUTED_VALUE"""),"Stock")</f>
        <v>Stock</v>
      </c>
      <c r="F753" s="5" t="str">
        <f>IFERROR(__xludf.DUMMYFUNCTION("""COMPUTED_VALUE"""),"HKD")</f>
        <v>HKD</v>
      </c>
      <c r="G753" s="30" t="str">
        <f>IFERROR(__xludf.DUMMYFUNCTION("""COMPUTED_VALUE"""),"Email Account/ TraderID Recognized")</f>
        <v>Email Account/ TraderID Recognized</v>
      </c>
      <c r="H753" s="121" t="str">
        <f>IFERROR(__xludf.DUMMYFUNCTION("""COMPUTED_VALUE"""),"6862.HK")</f>
        <v>6862.HK</v>
      </c>
      <c r="I753" s="30">
        <f>IFERROR(__xludf.DUMMYFUNCTION("""COMPUTED_VALUE"""),100.0)</f>
        <v>100</v>
      </c>
      <c r="J753" s="30">
        <f>IFERROR(__xludf.DUMMYFUNCTION("""COMPUTED_VALUE"""),13.5)</f>
        <v>13.5</v>
      </c>
      <c r="K753" s="30" t="str">
        <f>IFERROR(__xludf.DUMMYFUNCTION("""COMPUTED_VALUE"""),"QTY, Limit Price (if any) &amp; Password input correct")</f>
        <v>QTY, Limit Price (if any) &amp; Password input correct</v>
      </c>
      <c r="L753" s="30"/>
    </row>
    <row r="754">
      <c r="A754" s="5"/>
      <c r="B754" s="118">
        <f>IFERROR(__xludf.DUMMYFUNCTION("""COMPUTED_VALUE"""),44644.66487685185)</f>
        <v>44644.66488</v>
      </c>
      <c r="C754" s="120">
        <f>IFERROR(__xludf.DUMMYFUNCTION("""COMPUTED_VALUE"""),44644.666666666664)</f>
        <v>44644.66667</v>
      </c>
      <c r="D754" s="5" t="str">
        <f>IFERROR(__xludf.DUMMYFUNCTION("""COMPUTED_VALUE"""),"82124")</f>
        <v>82124</v>
      </c>
      <c r="E754" s="5" t="str">
        <f>IFERROR(__xludf.DUMMYFUNCTION("""COMPUTED_VALUE"""),"Stock")</f>
        <v>Stock</v>
      </c>
      <c r="F754" s="5" t="str">
        <f>IFERROR(__xludf.DUMMYFUNCTION("""COMPUTED_VALUE"""),"HKD")</f>
        <v>HKD</v>
      </c>
      <c r="G754" s="30" t="str">
        <f>IFERROR(__xludf.DUMMYFUNCTION("""COMPUTED_VALUE"""),"Email Account/ TraderID Recognized")</f>
        <v>Email Account/ TraderID Recognized</v>
      </c>
      <c r="H754" s="121" t="str">
        <f>IFERROR(__xludf.DUMMYFUNCTION("""COMPUTED_VALUE"""),"0941.HK")</f>
        <v>0941.HK</v>
      </c>
      <c r="I754" s="30">
        <f>IFERROR(__xludf.DUMMYFUNCTION("""COMPUTED_VALUE"""),1000.0)</f>
        <v>1000</v>
      </c>
      <c r="J754" s="30"/>
      <c r="K754" s="30" t="str">
        <f>IFERROR(__xludf.DUMMYFUNCTION("""COMPUTED_VALUE"""),"QTY, Limit Price (if any) &amp; Password input correct")</f>
        <v>QTY, Limit Price (if any) &amp; Password input correct</v>
      </c>
      <c r="L754" s="30"/>
    </row>
    <row r="755">
      <c r="A755" s="5"/>
      <c r="B755" s="118">
        <f>IFERROR(__xludf.DUMMYFUNCTION("""COMPUTED_VALUE"""),44644.75435482639)</f>
        <v>44644.75435</v>
      </c>
      <c r="C755" s="120">
        <f>IFERROR(__xludf.DUMMYFUNCTION("""COMPUTED_VALUE"""),44644.666666666664)</f>
        <v>44644.66667</v>
      </c>
      <c r="D755" s="5" t="str">
        <f>IFERROR(__xludf.DUMMYFUNCTION("""COMPUTED_VALUE"""),"39441")</f>
        <v>39441</v>
      </c>
      <c r="E755" s="5" t="str">
        <f>IFERROR(__xludf.DUMMYFUNCTION("""COMPUTED_VALUE"""),"Stock")</f>
        <v>Stock</v>
      </c>
      <c r="F755" s="5" t="str">
        <f>IFERROR(__xludf.DUMMYFUNCTION("""COMPUTED_VALUE"""),"USD")</f>
        <v>USD</v>
      </c>
      <c r="G755" s="30" t="str">
        <f>IFERROR(__xludf.DUMMYFUNCTION("""COMPUTED_VALUE"""),"Email Account/ TraderID Recognized")</f>
        <v>Email Account/ TraderID Recognized</v>
      </c>
      <c r="H755" s="119" t="str">
        <f>IFERROR(__xludf.DUMMYFUNCTION("""COMPUTED_VALUE"""),"BABA")</f>
        <v>BABA</v>
      </c>
      <c r="I755" s="30">
        <f>IFERROR(__xludf.DUMMYFUNCTION("""COMPUTED_VALUE"""),100.0)</f>
        <v>100</v>
      </c>
      <c r="J755" s="30">
        <f>IFERROR(__xludf.DUMMYFUNCTION("""COMPUTED_VALUE"""),117.25)</f>
        <v>117.25</v>
      </c>
      <c r="K755" s="30" t="str">
        <f>IFERROR(__xludf.DUMMYFUNCTION("""COMPUTED_VALUE"""),"QTY, Limit Price (if any) &amp; Password input correct")</f>
        <v>QTY, Limit Price (if any) &amp; Password input correct</v>
      </c>
      <c r="L755" s="30"/>
    </row>
    <row r="756">
      <c r="A756" s="5"/>
      <c r="B756" s="118">
        <f>IFERROR(__xludf.DUMMYFUNCTION("""COMPUTED_VALUE"""),44644.75819472222)</f>
        <v>44644.75819</v>
      </c>
      <c r="C756" s="120">
        <f>IFERROR(__xludf.DUMMYFUNCTION("""COMPUTED_VALUE"""),44644.666666666664)</f>
        <v>44644.66667</v>
      </c>
      <c r="D756" s="5" t="str">
        <f>IFERROR(__xludf.DUMMYFUNCTION("""COMPUTED_VALUE"""),"38705")</f>
        <v>38705</v>
      </c>
      <c r="E756" s="5" t="str">
        <f>IFERROR(__xludf.DUMMYFUNCTION("""COMPUTED_VALUE"""),"Stock")</f>
        <v>Stock</v>
      </c>
      <c r="F756" s="5" t="str">
        <f>IFERROR(__xludf.DUMMYFUNCTION("""COMPUTED_VALUE"""),"USD")</f>
        <v>USD</v>
      </c>
      <c r="G756" s="30" t="str">
        <f>IFERROR(__xludf.DUMMYFUNCTION("""COMPUTED_VALUE"""),"Email Account/ TraderID Recognized")</f>
        <v>Email Account/ TraderID Recognized</v>
      </c>
      <c r="H756" s="119" t="str">
        <f>IFERROR(__xludf.DUMMYFUNCTION("""COMPUTED_VALUE"""),"UNP")</f>
        <v>UNP</v>
      </c>
      <c r="I756" s="30">
        <f>IFERROR(__xludf.DUMMYFUNCTION("""COMPUTED_VALUE"""),20.0)</f>
        <v>20</v>
      </c>
      <c r="J756" s="30"/>
      <c r="K756" s="30" t="str">
        <f>IFERROR(__xludf.DUMMYFUNCTION("""COMPUTED_VALUE"""),"QTY, Limit Price (if any) &amp; Password input correct")</f>
        <v>QTY, Limit Price (if any) &amp; Password input correct</v>
      </c>
      <c r="L756" s="30"/>
    </row>
    <row r="757">
      <c r="A757" s="5"/>
      <c r="B757" s="118">
        <f>IFERROR(__xludf.DUMMYFUNCTION("""COMPUTED_VALUE"""),44644.75922087963)</f>
        <v>44644.75922</v>
      </c>
      <c r="C757" s="120">
        <f>IFERROR(__xludf.DUMMYFUNCTION("""COMPUTED_VALUE"""),44644.666666666664)</f>
        <v>44644.66667</v>
      </c>
      <c r="D757" s="5" t="str">
        <f>IFERROR(__xludf.DUMMYFUNCTION("""COMPUTED_VALUE"""),"38705")</f>
        <v>38705</v>
      </c>
      <c r="E757" s="5" t="str">
        <f>IFERROR(__xludf.DUMMYFUNCTION("""COMPUTED_VALUE"""),"Stock")</f>
        <v>Stock</v>
      </c>
      <c r="F757" s="5" t="str">
        <f>IFERROR(__xludf.DUMMYFUNCTION("""COMPUTED_VALUE"""),"USD")</f>
        <v>USD</v>
      </c>
      <c r="G757" s="30" t="str">
        <f>IFERROR(__xludf.DUMMYFUNCTION("""COMPUTED_VALUE"""),"Email Account/ TraderID Recognized")</f>
        <v>Email Account/ TraderID Recognized</v>
      </c>
      <c r="H757" s="119" t="str">
        <f>IFERROR(__xludf.DUMMYFUNCTION("""COMPUTED_VALUE"""),"UNH")</f>
        <v>UNH</v>
      </c>
      <c r="I757" s="30">
        <f>IFERROR(__xludf.DUMMYFUNCTION("""COMPUTED_VALUE"""),10.0)</f>
        <v>10</v>
      </c>
      <c r="J757" s="30"/>
      <c r="K757" s="30" t="str">
        <f>IFERROR(__xludf.DUMMYFUNCTION("""COMPUTED_VALUE"""),"QTY, Limit Price (if any) &amp; Password input correct")</f>
        <v>QTY, Limit Price (if any) &amp; Password input correct</v>
      </c>
      <c r="L757" s="30"/>
    </row>
    <row r="758">
      <c r="A758" s="5"/>
      <c r="B758" s="118">
        <f>IFERROR(__xludf.DUMMYFUNCTION("""COMPUTED_VALUE"""),44644.84322556713)</f>
        <v>44644.84323</v>
      </c>
      <c r="C758" s="120" t="str">
        <f>IFERROR(__xludf.DUMMYFUNCTION("""COMPUTED_VALUE"""),"")</f>
        <v/>
      </c>
      <c r="D758" s="5" t="str">
        <f>IFERROR(__xludf.DUMMYFUNCTION("""COMPUTED_VALUE"""),"75965")</f>
        <v>75965</v>
      </c>
      <c r="E758" s="5" t="str">
        <f>IFERROR(__xludf.DUMMYFUNCTION("""COMPUTED_VALUE"""),"Stock")</f>
        <v>Stock</v>
      </c>
      <c r="F758" s="5" t="str">
        <f>IFERROR(__xludf.DUMMYFUNCTION("""COMPUTED_VALUE"""),"error")</f>
        <v>error</v>
      </c>
      <c r="G758" s="30" t="str">
        <f>IFERROR(__xludf.DUMMYFUNCTION("""COMPUTED_VALUE"""),"Email Account/ TraderID Recognized")</f>
        <v>Email Account/ TraderID Recognized</v>
      </c>
      <c r="H758" s="119" t="str">
        <f>IFERROR(__xludf.DUMMYFUNCTION("""COMPUTED_VALUE"""),"AAPL")</f>
        <v>AAPL</v>
      </c>
      <c r="I758" s="30">
        <f>IFERROR(__xludf.DUMMYFUNCTION("""COMPUTED_VALUE"""),100.0)</f>
        <v>100</v>
      </c>
      <c r="J758" s="30"/>
      <c r="K758" s="30" t="str">
        <f>IFERROR(__xludf.DUMMYFUNCTION("""COMPUTED_VALUE"""),"Wrong Password Submitted, Order will be rejected")</f>
        <v>Wrong Password Submitted, Order will be rejected</v>
      </c>
      <c r="L758" s="30" t="str">
        <f>IFERROR(__xludf.DUMMYFUNCTION("""COMPUTED_VALUE"""),"Order rejected due to wrong password")</f>
        <v>Order rejected due to wrong password</v>
      </c>
    </row>
    <row r="759">
      <c r="A759" s="5"/>
      <c r="B759" s="118">
        <f>IFERROR(__xludf.DUMMYFUNCTION("""COMPUTED_VALUE"""),44644.848836122685)</f>
        <v>44644.84884</v>
      </c>
      <c r="C759" s="120">
        <f>IFERROR(__xludf.DUMMYFUNCTION("""COMPUTED_VALUE"""),44645.625)</f>
        <v>44645.625</v>
      </c>
      <c r="D759" s="5" t="str">
        <f>IFERROR(__xludf.DUMMYFUNCTION("""COMPUTED_VALUE"""),"75973")</f>
        <v>75973</v>
      </c>
      <c r="E759" s="5" t="str">
        <f>IFERROR(__xludf.DUMMYFUNCTION("""COMPUTED_VALUE"""),"Stock")</f>
        <v>Stock</v>
      </c>
      <c r="F759" s="5" t="str">
        <f>IFERROR(__xludf.DUMMYFUNCTION("""COMPUTED_VALUE"""),"CNY")</f>
        <v>CNY</v>
      </c>
      <c r="G759" s="30" t="str">
        <f>IFERROR(__xludf.DUMMYFUNCTION("""COMPUTED_VALUE"""),"Email Account/ TraderID Recognized")</f>
        <v>Email Account/ TraderID Recognized</v>
      </c>
      <c r="H759" s="121" t="str">
        <f>IFERROR(__xludf.DUMMYFUNCTION("""COMPUTED_VALUE"""),"601398.SS")</f>
        <v>601398.SS</v>
      </c>
      <c r="I759" s="30">
        <f>IFERROR(__xludf.DUMMYFUNCTION("""COMPUTED_VALUE"""),10000.0)</f>
        <v>10000</v>
      </c>
      <c r="J759" s="30"/>
      <c r="K759" s="30" t="str">
        <f>IFERROR(__xludf.DUMMYFUNCTION("""COMPUTED_VALUE"""),"QTY, Limit Price (if any) &amp; Password input correct")</f>
        <v>QTY, Limit Price (if any) &amp; Password input correct</v>
      </c>
      <c r="L759" s="30"/>
    </row>
    <row r="760">
      <c r="A760" s="5"/>
      <c r="B760" s="118">
        <f>IFERROR(__xludf.DUMMYFUNCTION("""COMPUTED_VALUE"""),44644.849795428236)</f>
        <v>44644.8498</v>
      </c>
      <c r="C760" s="120">
        <f>IFERROR(__xludf.DUMMYFUNCTION("""COMPUTED_VALUE"""),44645.625)</f>
        <v>44645.625</v>
      </c>
      <c r="D760" s="5" t="str">
        <f>IFERROR(__xludf.DUMMYFUNCTION("""COMPUTED_VALUE"""),"75973")</f>
        <v>75973</v>
      </c>
      <c r="E760" s="5" t="str">
        <f>IFERROR(__xludf.DUMMYFUNCTION("""COMPUTED_VALUE"""),"Stock")</f>
        <v>Stock</v>
      </c>
      <c r="F760" s="5" t="str">
        <f>IFERROR(__xludf.DUMMYFUNCTION("""COMPUTED_VALUE"""),"CNY")</f>
        <v>CNY</v>
      </c>
      <c r="G760" s="30" t="str">
        <f>IFERROR(__xludf.DUMMYFUNCTION("""COMPUTED_VALUE"""),"Email Account/ TraderID Recognized")</f>
        <v>Email Account/ TraderID Recognized</v>
      </c>
      <c r="H760" s="121" t="str">
        <f>IFERROR(__xludf.DUMMYFUNCTION("""COMPUTED_VALUE"""),"601939.SS")</f>
        <v>601939.SS</v>
      </c>
      <c r="I760" s="30">
        <f>IFERROR(__xludf.DUMMYFUNCTION("""COMPUTED_VALUE"""),6800.0)</f>
        <v>6800</v>
      </c>
      <c r="J760" s="30"/>
      <c r="K760" s="30" t="str">
        <f>IFERROR(__xludf.DUMMYFUNCTION("""COMPUTED_VALUE"""),"QTY, Limit Price (if any) &amp; Password input correct")</f>
        <v>QTY, Limit Price (if any) &amp; Password input correct</v>
      </c>
      <c r="L760" s="30"/>
    </row>
    <row r="761">
      <c r="A761" s="5"/>
      <c r="B761" s="118">
        <f>IFERROR(__xludf.DUMMYFUNCTION("""COMPUTED_VALUE"""),44644.8512452662)</f>
        <v>44644.85125</v>
      </c>
      <c r="C761" s="120">
        <f>IFERROR(__xludf.DUMMYFUNCTION("""COMPUTED_VALUE"""),44645.625)</f>
        <v>44645.625</v>
      </c>
      <c r="D761" s="5" t="str">
        <f>IFERROR(__xludf.DUMMYFUNCTION("""COMPUTED_VALUE"""),"75973")</f>
        <v>75973</v>
      </c>
      <c r="E761" s="5" t="str">
        <f>IFERROR(__xludf.DUMMYFUNCTION("""COMPUTED_VALUE"""),"Stock")</f>
        <v>Stock</v>
      </c>
      <c r="F761" s="5" t="str">
        <f>IFERROR(__xludf.DUMMYFUNCTION("""COMPUTED_VALUE"""),"CNY")</f>
        <v>CNY</v>
      </c>
      <c r="G761" s="30" t="str">
        <f>IFERROR(__xludf.DUMMYFUNCTION("""COMPUTED_VALUE"""),"Email Account/ TraderID Recognized")</f>
        <v>Email Account/ TraderID Recognized</v>
      </c>
      <c r="H761" s="121" t="str">
        <f>IFERROR(__xludf.DUMMYFUNCTION("""COMPUTED_VALUE"""),"600036.SS")</f>
        <v>600036.SS</v>
      </c>
      <c r="I761" s="30">
        <f>IFERROR(__xludf.DUMMYFUNCTION("""COMPUTED_VALUE"""),800.0)</f>
        <v>800</v>
      </c>
      <c r="J761" s="30"/>
      <c r="K761" s="30" t="str">
        <f>IFERROR(__xludf.DUMMYFUNCTION("""COMPUTED_VALUE"""),"QTY, Limit Price (if any) &amp; Password input correct")</f>
        <v>QTY, Limit Price (if any) &amp; Password input correct</v>
      </c>
      <c r="L761" s="30"/>
    </row>
    <row r="762">
      <c r="A762" s="5"/>
      <c r="B762" s="118">
        <f>IFERROR(__xludf.DUMMYFUNCTION("""COMPUTED_VALUE"""),44644.85402175926)</f>
        <v>44644.85402</v>
      </c>
      <c r="C762" s="120">
        <f>IFERROR(__xludf.DUMMYFUNCTION("""COMPUTED_VALUE"""),44645.625)</f>
        <v>44645.625</v>
      </c>
      <c r="D762" s="5" t="str">
        <f>IFERROR(__xludf.DUMMYFUNCTION("""COMPUTED_VALUE"""),"75973")</f>
        <v>75973</v>
      </c>
      <c r="E762" s="5" t="str">
        <f>IFERROR(__xludf.DUMMYFUNCTION("""COMPUTED_VALUE"""),"Stock")</f>
        <v>Stock</v>
      </c>
      <c r="F762" s="5" t="str">
        <f>IFERROR(__xludf.DUMMYFUNCTION("""COMPUTED_VALUE"""),"CNY")</f>
        <v>CNY</v>
      </c>
      <c r="G762" s="30" t="str">
        <f>IFERROR(__xludf.DUMMYFUNCTION("""COMPUTED_VALUE"""),"Email Account/ TraderID Recognized")</f>
        <v>Email Account/ TraderID Recognized</v>
      </c>
      <c r="H762" s="121" t="str">
        <f>IFERROR(__xludf.DUMMYFUNCTION("""COMPUTED_VALUE"""),"601658.SS")</f>
        <v>601658.SS</v>
      </c>
      <c r="I762" s="30">
        <f>IFERROR(__xludf.DUMMYFUNCTION("""COMPUTED_VALUE"""),6800.0)</f>
        <v>6800</v>
      </c>
      <c r="J762" s="30"/>
      <c r="K762" s="30" t="str">
        <f>IFERROR(__xludf.DUMMYFUNCTION("""COMPUTED_VALUE"""),"QTY, Limit Price (if any) &amp; Password input correct")</f>
        <v>QTY, Limit Price (if any) &amp; Password input correct</v>
      </c>
      <c r="L762" s="30"/>
    </row>
    <row r="763">
      <c r="A763" s="5"/>
      <c r="B763" s="118">
        <f>IFERROR(__xludf.DUMMYFUNCTION("""COMPUTED_VALUE"""),44644.936451574074)</f>
        <v>44644.93645</v>
      </c>
      <c r="C763" s="120" t="str">
        <f>IFERROR(__xludf.DUMMYFUNCTION("""COMPUTED_VALUE"""),"")</f>
        <v/>
      </c>
      <c r="D763" s="5" t="str">
        <f>IFERROR(__xludf.DUMMYFUNCTION("""COMPUTED_VALUE"""),"89833")</f>
        <v>89833</v>
      </c>
      <c r="E763" s="5" t="str">
        <f>IFERROR(__xludf.DUMMYFUNCTION("""COMPUTED_VALUE"""),"Stock")</f>
        <v>Stock</v>
      </c>
      <c r="F763" s="5" t="str">
        <f>IFERROR(__xludf.DUMMYFUNCTION("""COMPUTED_VALUE"""),"error")</f>
        <v>error</v>
      </c>
      <c r="G763" s="30" t="str">
        <f>IFERROR(__xludf.DUMMYFUNCTION("""COMPUTED_VALUE"""),"Email Account/ TraderID Recognized")</f>
        <v>Email Account/ TraderID Recognized</v>
      </c>
      <c r="H763" s="121" t="str">
        <f>IFERROR(__xludf.DUMMYFUNCTION("""COMPUTED_VALUE"""),"00700.HK")</f>
        <v>00700.HK</v>
      </c>
      <c r="I763" s="30">
        <f>IFERROR(__xludf.DUMMYFUNCTION("""COMPUTED_VALUE"""),300.0)</f>
        <v>300</v>
      </c>
      <c r="J763" s="30" t="str">
        <f>IFERROR(__xludf.DUMMYFUNCTION("""COMPUTED_VALUE"""),"Market price")</f>
        <v>Market price</v>
      </c>
      <c r="K763" s="30" t="str">
        <f>IFERROR(__xludf.DUMMYFUNCTION("""COMPUTED_VALUE"""),"Non-number input in Quantity or Limit Price")</f>
        <v>Non-number input in Quantity or Limit Price</v>
      </c>
      <c r="L763" s="30" t="str">
        <f>IFERROR(__xludf.DUMMYFUNCTION("""COMPUTED_VALUE"""),"Order rejected due to non-numeric character in limit price box")</f>
        <v>Order rejected due to non-numeric character in limit price box</v>
      </c>
    </row>
    <row r="764">
      <c r="A764" s="5"/>
      <c r="B764" s="118">
        <f>IFERROR(__xludf.DUMMYFUNCTION("""COMPUTED_VALUE"""),44644.93861861111)</f>
        <v>44644.93862</v>
      </c>
      <c r="C764" s="120">
        <f>IFERROR(__xludf.DUMMYFUNCTION("""COMPUTED_VALUE"""),44644.666666666664)</f>
        <v>44644.66667</v>
      </c>
      <c r="D764" s="5" t="str">
        <f>IFERROR(__xludf.DUMMYFUNCTION("""COMPUTED_VALUE"""),"35577")</f>
        <v>35577</v>
      </c>
      <c r="E764" s="5" t="str">
        <f>IFERROR(__xludf.DUMMYFUNCTION("""COMPUTED_VALUE"""),"Stock")</f>
        <v>Stock</v>
      </c>
      <c r="F764" s="5" t="str">
        <f>IFERROR(__xludf.DUMMYFUNCTION("""COMPUTED_VALUE"""),"USD")</f>
        <v>USD</v>
      </c>
      <c r="G764" s="30" t="str">
        <f>IFERROR(__xludf.DUMMYFUNCTION("""COMPUTED_VALUE"""),"Email Account/ TraderID Recognized")</f>
        <v>Email Account/ TraderID Recognized</v>
      </c>
      <c r="H764" s="119" t="str">
        <f>IFERROR(__xludf.DUMMYFUNCTION("""COMPUTED_VALUE"""),"AAPL")</f>
        <v>AAPL</v>
      </c>
      <c r="I764" s="30">
        <f>IFERROR(__xludf.DUMMYFUNCTION("""COMPUTED_VALUE"""),11.0)</f>
        <v>11</v>
      </c>
      <c r="J764" s="30">
        <f>IFERROR(__xludf.DUMMYFUNCTION("""COMPUTED_VALUE"""),168.86)</f>
        <v>168.86</v>
      </c>
      <c r="K764" s="30" t="str">
        <f>IFERROR(__xludf.DUMMYFUNCTION("""COMPUTED_VALUE"""),"QTY, Limit Price (if any) &amp; Password input correct")</f>
        <v>QTY, Limit Price (if any) &amp; Password input correct</v>
      </c>
      <c r="L764" s="30"/>
    </row>
    <row r="765">
      <c r="A765" s="5"/>
      <c r="B765" s="118">
        <f>IFERROR(__xludf.DUMMYFUNCTION("""COMPUTED_VALUE"""),44644.98307311343)</f>
        <v>44644.98307</v>
      </c>
      <c r="C765" s="120">
        <f>IFERROR(__xludf.DUMMYFUNCTION("""COMPUTED_VALUE"""),44644.666666666664)</f>
        <v>44644.66667</v>
      </c>
      <c r="D765" s="5" t="str">
        <f>IFERROR(__xludf.DUMMYFUNCTION("""COMPUTED_VALUE"""),"38307")</f>
        <v>38307</v>
      </c>
      <c r="E765" s="5" t="str">
        <f>IFERROR(__xludf.DUMMYFUNCTION("""COMPUTED_VALUE"""),"Stock")</f>
        <v>Stock</v>
      </c>
      <c r="F765" s="5" t="str">
        <f>IFERROR(__xludf.DUMMYFUNCTION("""COMPUTED_VALUE"""),"USD")</f>
        <v>USD</v>
      </c>
      <c r="G765" s="30" t="str">
        <f>IFERROR(__xludf.DUMMYFUNCTION("""COMPUTED_VALUE"""),"Email Account/ TraderID Recognized")</f>
        <v>Email Account/ TraderID Recognized</v>
      </c>
      <c r="H765" s="119" t="str">
        <f>IFERROR(__xludf.DUMMYFUNCTION("""COMPUTED_VALUE"""),"FWONK")</f>
        <v>FWONK</v>
      </c>
      <c r="I765" s="30">
        <f>IFERROR(__xludf.DUMMYFUNCTION("""COMPUTED_VALUE"""),100.0)</f>
        <v>100</v>
      </c>
      <c r="J765" s="30"/>
      <c r="K765" s="30" t="str">
        <f>IFERROR(__xludf.DUMMYFUNCTION("""COMPUTED_VALUE"""),"QTY, Limit Price (if any) &amp; Password input correct")</f>
        <v>QTY, Limit Price (if any) &amp; Password input correct</v>
      </c>
      <c r="L765" s="30"/>
    </row>
    <row r="766">
      <c r="A766" s="5"/>
      <c r="B766" s="118">
        <f>IFERROR(__xludf.DUMMYFUNCTION("""COMPUTED_VALUE"""),44645.00895310185)</f>
        <v>44645.00895</v>
      </c>
      <c r="C766" s="120">
        <f>IFERROR(__xludf.DUMMYFUNCTION("""COMPUTED_VALUE"""),44644.666666666664)</f>
        <v>44644.66667</v>
      </c>
      <c r="D766" s="5" t="str">
        <f>IFERROR(__xludf.DUMMYFUNCTION("""COMPUTED_VALUE"""),"38307")</f>
        <v>38307</v>
      </c>
      <c r="E766" s="5" t="str">
        <f>IFERROR(__xludf.DUMMYFUNCTION("""COMPUTED_VALUE"""),"Stock")</f>
        <v>Stock</v>
      </c>
      <c r="F766" s="5" t="str">
        <f>IFERROR(__xludf.DUMMYFUNCTION("""COMPUTED_VALUE"""),"USD")</f>
        <v>USD</v>
      </c>
      <c r="G766" s="30" t="str">
        <f>IFERROR(__xludf.DUMMYFUNCTION("""COMPUTED_VALUE"""),"Email Account/ TraderID Recognized")</f>
        <v>Email Account/ TraderID Recognized</v>
      </c>
      <c r="H766" s="119" t="str">
        <f>IFERROR(__xludf.DUMMYFUNCTION("""COMPUTED_VALUE"""),"NVAX")</f>
        <v>NVAX</v>
      </c>
      <c r="I766" s="30">
        <f>IFERROR(__xludf.DUMMYFUNCTION("""COMPUTED_VALUE"""),200.0)</f>
        <v>200</v>
      </c>
      <c r="J766" s="30"/>
      <c r="K766" s="30" t="str">
        <f>IFERROR(__xludf.DUMMYFUNCTION("""COMPUTED_VALUE"""),"QTY, Limit Price (if any) &amp; Password input correct")</f>
        <v>QTY, Limit Price (if any) &amp; Password input correct</v>
      </c>
      <c r="L766" s="30"/>
    </row>
    <row r="767">
      <c r="A767" s="5"/>
      <c r="B767" s="118">
        <f>IFERROR(__xludf.DUMMYFUNCTION("""COMPUTED_VALUE"""),44645.01660047454)</f>
        <v>44645.0166</v>
      </c>
      <c r="C767" s="120">
        <f>IFERROR(__xludf.DUMMYFUNCTION("""COMPUTED_VALUE"""),44644.666666666664)</f>
        <v>44644.66667</v>
      </c>
      <c r="D767" s="5" t="str">
        <f>IFERROR(__xludf.DUMMYFUNCTION("""COMPUTED_VALUE"""),"38307")</f>
        <v>38307</v>
      </c>
      <c r="E767" s="5" t="str">
        <f>IFERROR(__xludf.DUMMYFUNCTION("""COMPUTED_VALUE"""),"Stock")</f>
        <v>Stock</v>
      </c>
      <c r="F767" s="5" t="str">
        <f>IFERROR(__xludf.DUMMYFUNCTION("""COMPUTED_VALUE"""),"USD")</f>
        <v>USD</v>
      </c>
      <c r="G767" s="30" t="str">
        <f>IFERROR(__xludf.DUMMYFUNCTION("""COMPUTED_VALUE"""),"Email Account/ TraderID Recognized")</f>
        <v>Email Account/ TraderID Recognized</v>
      </c>
      <c r="H767" s="119" t="str">
        <f>IFERROR(__xludf.DUMMYFUNCTION("""COMPUTED_VALUE"""),"FWONK")</f>
        <v>FWONK</v>
      </c>
      <c r="I767" s="30">
        <f>IFERROR(__xludf.DUMMYFUNCTION("""COMPUTED_VALUE"""),200.0)</f>
        <v>200</v>
      </c>
      <c r="J767" s="30"/>
      <c r="K767" s="30" t="str">
        <f>IFERROR(__xludf.DUMMYFUNCTION("""COMPUTED_VALUE"""),"QTY, Limit Price (if any) &amp; Password input correct")</f>
        <v>QTY, Limit Price (if any) &amp; Password input correct</v>
      </c>
      <c r="L767" s="30"/>
    </row>
    <row r="768">
      <c r="A768" s="5"/>
      <c r="B768" s="118">
        <f>IFERROR(__xludf.DUMMYFUNCTION("""COMPUTED_VALUE"""),44645.02247848379)</f>
        <v>44645.02248</v>
      </c>
      <c r="C768" s="120">
        <f>IFERROR(__xludf.DUMMYFUNCTION("""COMPUTED_VALUE"""),44644.666666666664)</f>
        <v>44644.66667</v>
      </c>
      <c r="D768" s="5" t="str">
        <f>IFERROR(__xludf.DUMMYFUNCTION("""COMPUTED_VALUE"""),"38307")</f>
        <v>38307</v>
      </c>
      <c r="E768" s="5" t="str">
        <f>IFERROR(__xludf.DUMMYFUNCTION("""COMPUTED_VALUE"""),"Stock")</f>
        <v>Stock</v>
      </c>
      <c r="F768" s="5" t="str">
        <f>IFERROR(__xludf.DUMMYFUNCTION("""COMPUTED_VALUE"""),"USD")</f>
        <v>USD</v>
      </c>
      <c r="G768" s="30" t="str">
        <f>IFERROR(__xludf.DUMMYFUNCTION("""COMPUTED_VALUE"""),"Email Account/ TraderID Recognized")</f>
        <v>Email Account/ TraderID Recognized</v>
      </c>
      <c r="H768" s="119" t="str">
        <f>IFERROR(__xludf.DUMMYFUNCTION("""COMPUTED_VALUE"""),"AAPL")</f>
        <v>AAPL</v>
      </c>
      <c r="I768" s="30">
        <f>IFERROR(__xludf.DUMMYFUNCTION("""COMPUTED_VALUE"""),100.0)</f>
        <v>100</v>
      </c>
      <c r="J768" s="30"/>
      <c r="K768" s="30" t="str">
        <f>IFERROR(__xludf.DUMMYFUNCTION("""COMPUTED_VALUE"""),"QTY, Limit Price (if any) &amp; Password input correct")</f>
        <v>QTY, Limit Price (if any) &amp; Password input correct</v>
      </c>
      <c r="L768" s="30"/>
    </row>
    <row r="769">
      <c r="A769" s="5"/>
      <c r="B769" s="118">
        <f>IFERROR(__xludf.DUMMYFUNCTION("""COMPUTED_VALUE"""),44645.03599354166)</f>
        <v>44645.03599</v>
      </c>
      <c r="C769" s="120" t="str">
        <f>IFERROR(__xludf.DUMMYFUNCTION("""COMPUTED_VALUE"""),"")</f>
        <v/>
      </c>
      <c r="D769" s="5" t="str">
        <f>IFERROR(__xludf.DUMMYFUNCTION("""COMPUTED_VALUE"""),"38307")</f>
        <v>38307</v>
      </c>
      <c r="E769" s="5" t="str">
        <f>IFERROR(__xludf.DUMMYFUNCTION("""COMPUTED_VALUE"""),"Stock")</f>
        <v>Stock</v>
      </c>
      <c r="F769" s="5" t="str">
        <f>IFERROR(__xludf.DUMMYFUNCTION("""COMPUTED_VALUE"""),"error")</f>
        <v>error</v>
      </c>
      <c r="G769" s="30" t="str">
        <f>IFERROR(__xludf.DUMMYFUNCTION("""COMPUTED_VALUE"""),"Email Account/ TraderID Recognized")</f>
        <v>Email Account/ TraderID Recognized</v>
      </c>
      <c r="H769" s="119" t="str">
        <f>IFERROR(__xludf.DUMMYFUNCTION("""COMPUTED_VALUE"""),"AAPL")</f>
        <v>AAPL</v>
      </c>
      <c r="I769" s="30">
        <f>IFERROR(__xludf.DUMMYFUNCTION("""COMPUTED_VALUE"""),100.0)</f>
        <v>100</v>
      </c>
      <c r="J769" s="30"/>
      <c r="K769" s="30" t="str">
        <f>IFERROR(__xludf.DUMMYFUNCTION("""COMPUTED_VALUE"""),"QTY, Limit Price (if any) &amp; Password input correct")</f>
        <v>QTY, Limit Price (if any) &amp; Password input correct</v>
      </c>
      <c r="L769" s="30" t="str">
        <f>IFERROR(__xludf.DUMMYFUNCTION("""COMPUTED_VALUE"""),"Order rejected due to same day buy sell. Same day reverse trade is prohibited.")</f>
        <v>Order rejected due to same day buy sell. Same day reverse trade is prohibited.</v>
      </c>
    </row>
    <row r="770">
      <c r="A770" s="5"/>
      <c r="B770" s="118">
        <f>IFERROR(__xludf.DUMMYFUNCTION("""COMPUTED_VALUE"""),44645.03779854167)</f>
        <v>44645.0378</v>
      </c>
      <c r="C770" s="120">
        <f>IFERROR(__xludf.DUMMYFUNCTION("""COMPUTED_VALUE"""),44644.666666666664)</f>
        <v>44644.66667</v>
      </c>
      <c r="D770" s="5" t="str">
        <f>IFERROR(__xludf.DUMMYFUNCTION("""COMPUTED_VALUE"""),"38307")</f>
        <v>38307</v>
      </c>
      <c r="E770" s="5" t="str">
        <f>IFERROR(__xludf.DUMMYFUNCTION("""COMPUTED_VALUE"""),"Stock")</f>
        <v>Stock</v>
      </c>
      <c r="F770" s="5" t="str">
        <f>IFERROR(__xludf.DUMMYFUNCTION("""COMPUTED_VALUE"""),"USD")</f>
        <v>USD</v>
      </c>
      <c r="G770" s="30" t="str">
        <f>IFERROR(__xludf.DUMMYFUNCTION("""COMPUTED_VALUE"""),"Email Account/ TraderID Recognized")</f>
        <v>Email Account/ TraderID Recognized</v>
      </c>
      <c r="H770" s="119" t="str">
        <f>IFERROR(__xludf.DUMMYFUNCTION("""COMPUTED_VALUE"""),"NVAX")</f>
        <v>NVAX</v>
      </c>
      <c r="I770" s="30">
        <f>IFERROR(__xludf.DUMMYFUNCTION("""COMPUTED_VALUE"""),100.0)</f>
        <v>100</v>
      </c>
      <c r="J770" s="30"/>
      <c r="K770" s="30" t="str">
        <f>IFERROR(__xludf.DUMMYFUNCTION("""COMPUTED_VALUE"""),"QTY, Limit Price (if any) &amp; Password input correct")</f>
        <v>QTY, Limit Price (if any) &amp; Password input correct</v>
      </c>
      <c r="L770" s="30"/>
    </row>
    <row r="771">
      <c r="A771" s="5"/>
      <c r="B771" s="118">
        <f>IFERROR(__xludf.DUMMYFUNCTION("""COMPUTED_VALUE"""),44645.03788391204)</f>
        <v>44645.03788</v>
      </c>
      <c r="C771" s="120" t="str">
        <f>IFERROR(__xludf.DUMMYFUNCTION("""COMPUTED_VALUE"""),"")</f>
        <v/>
      </c>
      <c r="D771" s="5" t="str">
        <f>IFERROR(__xludf.DUMMYFUNCTION("""COMPUTED_VALUE"""),"37922")</f>
        <v>37922</v>
      </c>
      <c r="E771" s="5" t="str">
        <f>IFERROR(__xludf.DUMMYFUNCTION("""COMPUTED_VALUE"""),"Time Deposit")</f>
        <v>Time Deposit</v>
      </c>
      <c r="F771" s="5" t="str">
        <f>IFERROR(__xludf.DUMMYFUNCTION("""COMPUTED_VALUE"""),"error")</f>
        <v>error</v>
      </c>
      <c r="G771" s="30" t="str">
        <f>IFERROR(__xludf.DUMMYFUNCTION("""COMPUTED_VALUE"""),"Email Account/ TraderID Recognized")</f>
        <v>Email Account/ TraderID Recognized</v>
      </c>
      <c r="H771" s="119" t="str">
        <f>IFERROR(__xludf.DUMMYFUNCTION("""COMPUTED_VALUE"""),"004")</f>
        <v>004</v>
      </c>
      <c r="I771" s="30">
        <f>IFERROR(__xludf.DUMMYFUNCTION("""COMPUTED_VALUE"""),50000.0)</f>
        <v>50000</v>
      </c>
      <c r="J771" s="30"/>
      <c r="K771" s="30" t="str">
        <f>IFERROR(__xludf.DUMMYFUNCTION("""COMPUTED_VALUE"""),"QTY, Limit Price (if any) &amp; Password input correct")</f>
        <v>QTY, Limit Price (if any) &amp; Password input correct</v>
      </c>
      <c r="L771" s="30" t="str">
        <f>IFERROR(__xludf.DUMMYFUNCTION("""COMPUTED_VALUE"""),"Order rejected due to wrong ticker for time deposit.")</f>
        <v>Order rejected due to wrong ticker for time deposit.</v>
      </c>
    </row>
    <row r="772">
      <c r="A772" s="5"/>
      <c r="B772" s="118">
        <f>IFERROR(__xludf.DUMMYFUNCTION("""COMPUTED_VALUE"""),44645.04565850695)</f>
        <v>44645.04566</v>
      </c>
      <c r="C772" s="120">
        <f>IFERROR(__xludf.DUMMYFUNCTION("""COMPUTED_VALUE"""),44645.625)</f>
        <v>44645.625</v>
      </c>
      <c r="D772" s="5" t="str">
        <f>IFERROR(__xludf.DUMMYFUNCTION("""COMPUTED_VALUE"""),"38307")</f>
        <v>38307</v>
      </c>
      <c r="E772" s="5" t="str">
        <f>IFERROR(__xludf.DUMMYFUNCTION("""COMPUTED_VALUE"""),"Stock")</f>
        <v>Stock</v>
      </c>
      <c r="F772" s="5" t="str">
        <f>IFERROR(__xludf.DUMMYFUNCTION("""COMPUTED_VALUE"""),"CNY")</f>
        <v>CNY</v>
      </c>
      <c r="G772" s="30" t="str">
        <f>IFERROR(__xludf.DUMMYFUNCTION("""COMPUTED_VALUE"""),"Email Account/ TraderID Recognized")</f>
        <v>Email Account/ TraderID Recognized</v>
      </c>
      <c r="H772" s="121" t="str">
        <f>IFERROR(__xludf.DUMMYFUNCTION("""COMPUTED_VALUE"""),"603392.SS")</f>
        <v>603392.SS</v>
      </c>
      <c r="I772" s="30">
        <f>IFERROR(__xludf.DUMMYFUNCTION("""COMPUTED_VALUE"""),800.0)</f>
        <v>800</v>
      </c>
      <c r="J772" s="30"/>
      <c r="K772" s="30" t="str">
        <f>IFERROR(__xludf.DUMMYFUNCTION("""COMPUTED_VALUE"""),"QTY, Limit Price (if any) &amp; Password input correct")</f>
        <v>QTY, Limit Price (if any) &amp; Password input correct</v>
      </c>
      <c r="L772" s="30"/>
    </row>
    <row r="773">
      <c r="A773" s="5"/>
      <c r="B773" s="118">
        <f>IFERROR(__xludf.DUMMYFUNCTION("""COMPUTED_VALUE"""),44645.130553587966)</f>
        <v>44645.13055</v>
      </c>
      <c r="C773" s="120">
        <f>IFERROR(__xludf.DUMMYFUNCTION("""COMPUTED_VALUE"""),44644.666666666664)</f>
        <v>44644.66667</v>
      </c>
      <c r="D773" s="5" t="str">
        <f>IFERROR(__xludf.DUMMYFUNCTION("""COMPUTED_VALUE"""),"46975")</f>
        <v>46975</v>
      </c>
      <c r="E773" s="5" t="str">
        <f>IFERROR(__xludf.DUMMYFUNCTION("""COMPUTED_VALUE"""),"Stock")</f>
        <v>Stock</v>
      </c>
      <c r="F773" s="5" t="str">
        <f>IFERROR(__xludf.DUMMYFUNCTION("""COMPUTED_VALUE"""),"USD")</f>
        <v>USD</v>
      </c>
      <c r="G773" s="30" t="str">
        <f>IFERROR(__xludf.DUMMYFUNCTION("""COMPUTED_VALUE"""),"Email Account/ TraderID Recognized")</f>
        <v>Email Account/ TraderID Recognized</v>
      </c>
      <c r="H773" s="119" t="str">
        <f>IFERROR(__xludf.DUMMYFUNCTION("""COMPUTED_VALUE"""),"AAPL")</f>
        <v>AAPL</v>
      </c>
      <c r="I773" s="30">
        <f>IFERROR(__xludf.DUMMYFUNCTION("""COMPUTED_VALUE"""),50.0)</f>
        <v>50</v>
      </c>
      <c r="J773" s="30">
        <f>IFERROR(__xludf.DUMMYFUNCTION("""COMPUTED_VALUE"""),165.0)</f>
        <v>165</v>
      </c>
      <c r="K773" s="30" t="str">
        <f>IFERROR(__xludf.DUMMYFUNCTION("""COMPUTED_VALUE"""),"QTY, Limit Price (if any) &amp; Password input correct")</f>
        <v>QTY, Limit Price (if any) &amp; Password input correct</v>
      </c>
      <c r="L773" s="30"/>
    </row>
    <row r="774">
      <c r="A774" s="5"/>
      <c r="B774" s="118">
        <f>IFERROR(__xludf.DUMMYFUNCTION("""COMPUTED_VALUE"""),44645.399296284726)</f>
        <v>44645.3993</v>
      </c>
      <c r="C774" s="120">
        <f>IFERROR(__xludf.DUMMYFUNCTION("""COMPUTED_VALUE"""),44645.625)</f>
        <v>44645.625</v>
      </c>
      <c r="D774" s="5" t="str">
        <f>IFERROR(__xludf.DUMMYFUNCTION("""COMPUTED_VALUE"""),"79521")</f>
        <v>79521</v>
      </c>
      <c r="E774" s="5" t="str">
        <f>IFERROR(__xludf.DUMMYFUNCTION("""COMPUTED_VALUE"""),"Stock")</f>
        <v>Stock</v>
      </c>
      <c r="F774" s="5" t="str">
        <f>IFERROR(__xludf.DUMMYFUNCTION("""COMPUTED_VALUE"""),"CNY")</f>
        <v>CNY</v>
      </c>
      <c r="G774" s="30" t="str">
        <f>IFERROR(__xludf.DUMMYFUNCTION("""COMPUTED_VALUE"""),"Email Account/ TraderID Recognized")</f>
        <v>Email Account/ TraderID Recognized</v>
      </c>
      <c r="H774" s="121" t="str">
        <f>IFERROR(__xludf.DUMMYFUNCTION("""COMPUTED_VALUE"""),"000965.SZ")</f>
        <v>000965.SZ</v>
      </c>
      <c r="I774" s="30">
        <f>IFERROR(__xludf.DUMMYFUNCTION("""COMPUTED_VALUE"""),50000.0)</f>
        <v>50000</v>
      </c>
      <c r="J774" s="30"/>
      <c r="K774" s="30" t="str">
        <f>IFERROR(__xludf.DUMMYFUNCTION("""COMPUTED_VALUE"""),"QTY, Limit Price (if any) &amp; Password input correct")</f>
        <v>QTY, Limit Price (if any) &amp; Password input correct</v>
      </c>
      <c r="L774" s="30"/>
    </row>
    <row r="775">
      <c r="A775" s="5"/>
      <c r="B775" s="118">
        <f>IFERROR(__xludf.DUMMYFUNCTION("""COMPUTED_VALUE"""),44645.40633474537)</f>
        <v>44645.40633</v>
      </c>
      <c r="C775" s="120">
        <f>IFERROR(__xludf.DUMMYFUNCTION("""COMPUTED_VALUE"""),44645.625)</f>
        <v>44645.625</v>
      </c>
      <c r="D775" s="5" t="str">
        <f>IFERROR(__xludf.DUMMYFUNCTION("""COMPUTED_VALUE"""),"79521")</f>
        <v>79521</v>
      </c>
      <c r="E775" s="5" t="str">
        <f>IFERROR(__xludf.DUMMYFUNCTION("""COMPUTED_VALUE"""),"Stock")</f>
        <v>Stock</v>
      </c>
      <c r="F775" s="5" t="str">
        <f>IFERROR(__xludf.DUMMYFUNCTION("""COMPUTED_VALUE"""),"CNY")</f>
        <v>CNY</v>
      </c>
      <c r="G775" s="30" t="str">
        <f>IFERROR(__xludf.DUMMYFUNCTION("""COMPUTED_VALUE"""),"Email Account/ TraderID Recognized")</f>
        <v>Email Account/ TraderID Recognized</v>
      </c>
      <c r="H775" s="121" t="str">
        <f>IFERROR(__xludf.DUMMYFUNCTION("""COMPUTED_VALUE"""),"000505.SZ")</f>
        <v>000505.SZ</v>
      </c>
      <c r="I775" s="30">
        <f>IFERROR(__xludf.DUMMYFUNCTION("""COMPUTED_VALUE"""),30000.0)</f>
        <v>30000</v>
      </c>
      <c r="J775" s="30"/>
      <c r="K775" s="30" t="str">
        <f>IFERROR(__xludf.DUMMYFUNCTION("""COMPUTED_VALUE"""),"QTY, Limit Price (if any) &amp; Password input correct")</f>
        <v>QTY, Limit Price (if any) &amp; Password input correct</v>
      </c>
      <c r="L775" s="30"/>
    </row>
    <row r="776">
      <c r="A776" s="5"/>
      <c r="B776" s="118">
        <f>IFERROR(__xludf.DUMMYFUNCTION("""COMPUTED_VALUE"""),44645.407342280094)</f>
        <v>44645.40734</v>
      </c>
      <c r="C776" s="120">
        <f>IFERROR(__xludf.DUMMYFUNCTION("""COMPUTED_VALUE"""),44645.625)</f>
        <v>44645.625</v>
      </c>
      <c r="D776" s="5" t="str">
        <f>IFERROR(__xludf.DUMMYFUNCTION("""COMPUTED_VALUE"""),"38307")</f>
        <v>38307</v>
      </c>
      <c r="E776" s="5" t="str">
        <f>IFERROR(__xludf.DUMMYFUNCTION("""COMPUTED_VALUE"""),"Stock")</f>
        <v>Stock</v>
      </c>
      <c r="F776" s="5" t="str">
        <f>IFERROR(__xludf.DUMMYFUNCTION("""COMPUTED_VALUE"""),"CNY")</f>
        <v>CNY</v>
      </c>
      <c r="G776" s="30" t="str">
        <f>IFERROR(__xludf.DUMMYFUNCTION("""COMPUTED_VALUE"""),"Email Account/ TraderID Recognized")</f>
        <v>Email Account/ TraderID Recognized</v>
      </c>
      <c r="H776" s="121" t="str">
        <f>IFERROR(__xludf.DUMMYFUNCTION("""COMPUTED_VALUE"""),"600511.SS")</f>
        <v>600511.SS</v>
      </c>
      <c r="I776" s="30">
        <f>IFERROR(__xludf.DUMMYFUNCTION("""COMPUTED_VALUE"""),600.0)</f>
        <v>600</v>
      </c>
      <c r="J776" s="30"/>
      <c r="K776" s="30" t="str">
        <f>IFERROR(__xludf.DUMMYFUNCTION("""COMPUTED_VALUE"""),"QTY, Limit Price (if any) &amp; Password input correct")</f>
        <v>QTY, Limit Price (if any) &amp; Password input correct</v>
      </c>
      <c r="L776" s="30"/>
    </row>
    <row r="777">
      <c r="A777" s="5"/>
      <c r="B777" s="118">
        <f>IFERROR(__xludf.DUMMYFUNCTION("""COMPUTED_VALUE"""),44645.42051012731)</f>
        <v>44645.42051</v>
      </c>
      <c r="C777" s="120">
        <f>IFERROR(__xludf.DUMMYFUNCTION("""COMPUTED_VALUE"""),44645.625)</f>
        <v>44645.625</v>
      </c>
      <c r="D777" s="5" t="str">
        <f>IFERROR(__xludf.DUMMYFUNCTION("""COMPUTED_VALUE"""),"38307")</f>
        <v>38307</v>
      </c>
      <c r="E777" s="5" t="str">
        <f>IFERROR(__xludf.DUMMYFUNCTION("""COMPUTED_VALUE"""),"Stock")</f>
        <v>Stock</v>
      </c>
      <c r="F777" s="5" t="str">
        <f>IFERROR(__xludf.DUMMYFUNCTION("""COMPUTED_VALUE"""),"CNY")</f>
        <v>CNY</v>
      </c>
      <c r="G777" s="30" t="str">
        <f>IFERROR(__xludf.DUMMYFUNCTION("""COMPUTED_VALUE"""),"Email Account/ TraderID Recognized")</f>
        <v>Email Account/ TraderID Recognized</v>
      </c>
      <c r="H777" s="121" t="str">
        <f>IFERROR(__xludf.DUMMYFUNCTION("""COMPUTED_VALUE"""),"002104.SZ")</f>
        <v>002104.SZ</v>
      </c>
      <c r="I777" s="30">
        <f>IFERROR(__xludf.DUMMYFUNCTION("""COMPUTED_VALUE"""),2000.0)</f>
        <v>2000</v>
      </c>
      <c r="J777" s="30"/>
      <c r="K777" s="30" t="str">
        <f>IFERROR(__xludf.DUMMYFUNCTION("""COMPUTED_VALUE"""),"QTY, Limit Price (if any) &amp; Password input correct")</f>
        <v>QTY, Limit Price (if any) &amp; Password input correct</v>
      </c>
      <c r="L777" s="30"/>
    </row>
    <row r="778">
      <c r="A778" s="5"/>
      <c r="B778" s="118">
        <f>IFERROR(__xludf.DUMMYFUNCTION("""COMPUTED_VALUE"""),44645.46574372685)</f>
        <v>44645.46574</v>
      </c>
      <c r="C778" s="120" t="str">
        <f>IFERROR(__xludf.DUMMYFUNCTION("""COMPUTED_VALUE"""),"")</f>
        <v/>
      </c>
      <c r="D778" s="5" t="str">
        <f>IFERROR(__xludf.DUMMYFUNCTION("""COMPUTED_VALUE"""),"36242")</f>
        <v>36242</v>
      </c>
      <c r="E778" s="5" t="str">
        <f>IFERROR(__xludf.DUMMYFUNCTION("""COMPUTED_VALUE"""),"Stock")</f>
        <v>Stock</v>
      </c>
      <c r="F778" s="5" t="str">
        <f>IFERROR(__xludf.DUMMYFUNCTION("""COMPUTED_VALUE"""),"error")</f>
        <v>error</v>
      </c>
      <c r="G778" s="30" t="str">
        <f>IFERROR(__xludf.DUMMYFUNCTION("""COMPUTED_VALUE"""),"Email Account/ TraderID Recognized")</f>
        <v>Email Account/ TraderID Recognized</v>
      </c>
      <c r="H778" s="119" t="str">
        <f>IFERROR(__xludf.DUMMYFUNCTION("""COMPUTED_VALUE"""),"01882")</f>
        <v>01882</v>
      </c>
      <c r="I778" s="30">
        <f>IFERROR(__xludf.DUMMYFUNCTION("""COMPUTED_VALUE"""),150.0)</f>
        <v>150</v>
      </c>
      <c r="J778" s="30">
        <f>IFERROR(__xludf.DUMMYFUNCTION("""COMPUTED_VALUE"""),21.0)</f>
        <v>21</v>
      </c>
      <c r="K778" s="30" t="str">
        <f>IFERROR(__xludf.DUMMYFUNCTION("""COMPUTED_VALUE"""),"QTY, Limit Price (if any) &amp; Password input correct")</f>
        <v>QTY, Limit Price (if any) &amp; Password input correct</v>
      </c>
      <c r="L778" s="30" t="str">
        <f>IFERROR(__xludf.DUMMYFUNCTION("""COMPUTED_VALUE"""),"Order rejected due to wrong ticker code")</f>
        <v>Order rejected due to wrong ticker code</v>
      </c>
    </row>
    <row r="779">
      <c r="A779" s="5"/>
      <c r="B779" s="118">
        <f>IFERROR(__xludf.DUMMYFUNCTION("""COMPUTED_VALUE"""),44645.47878046296)</f>
        <v>44645.47878</v>
      </c>
      <c r="C779" s="120" t="str">
        <f>IFERROR(__xludf.DUMMYFUNCTION("""COMPUTED_VALUE"""),"")</f>
        <v/>
      </c>
      <c r="D779" s="5" t="str">
        <f>IFERROR(__xludf.DUMMYFUNCTION("""COMPUTED_VALUE"""),"")</f>
        <v/>
      </c>
      <c r="E779" s="5" t="str">
        <f>IFERROR(__xludf.DUMMYFUNCTION("""COMPUTED_VALUE"""),"Stock")</f>
        <v>Stock</v>
      </c>
      <c r="F779" s="5" t="str">
        <f>IFERROR(__xludf.DUMMYFUNCTION("""COMPUTED_VALUE"""),"error")</f>
        <v>error</v>
      </c>
      <c r="G779" s="30" t="str">
        <f>IFERROR(__xludf.DUMMYFUNCTION("""COMPUTED_VALUE"""),"s800xxxxxx@nonHKMUemail")</f>
        <v>s800xxxxxx@nonHKMUemail</v>
      </c>
      <c r="H779" s="119" t="str">
        <f>IFERROR(__xludf.DUMMYFUNCTION("""COMPUTED_VALUE"""),"03988")</f>
        <v>03988</v>
      </c>
      <c r="I779" s="30">
        <f>IFERROR(__xludf.DUMMYFUNCTION("""COMPUTED_VALUE"""),500.0)</f>
        <v>500</v>
      </c>
      <c r="J779" s="30">
        <f>IFERROR(__xludf.DUMMYFUNCTION("""COMPUTED_VALUE"""),3.05)</f>
        <v>3.05</v>
      </c>
      <c r="K779" s="30" t="str">
        <f>IFERROR(__xludf.DUMMYFUNCTION("""COMPUTED_VALUE"""),"QTY, Limit Price (if any) &amp; Password input correct")</f>
        <v>QTY, Limit Price (if any) &amp; Password input correct</v>
      </c>
      <c r="L779" s="30" t="str">
        <f>IFERROR(__xludf.DUMMYFUNCTION("""COMPUTED_VALUE"""),"Order rejected due to wrong ticker code and non school email address")</f>
        <v>Order rejected due to wrong ticker code and non school email address</v>
      </c>
    </row>
    <row r="780">
      <c r="A780" s="5"/>
      <c r="B780" s="118">
        <f>IFERROR(__xludf.DUMMYFUNCTION("""COMPUTED_VALUE"""),44645.48227677083)</f>
        <v>44645.48228</v>
      </c>
      <c r="C780" s="120">
        <f>IFERROR(__xludf.DUMMYFUNCTION("""COMPUTED_VALUE"""),44645.666666666664)</f>
        <v>44645.66667</v>
      </c>
      <c r="D780" s="5" t="str">
        <f>IFERROR(__xludf.DUMMYFUNCTION("""COMPUTED_VALUE"""),"37922")</f>
        <v>37922</v>
      </c>
      <c r="E780" s="5" t="str">
        <f>IFERROR(__xludf.DUMMYFUNCTION("""COMPUTED_VALUE"""),"Time Deposit")</f>
        <v>Time Deposit</v>
      </c>
      <c r="F780" s="5" t="str">
        <f>IFERROR(__xludf.DUMMYFUNCTION("""COMPUTED_VALUE"""),"HKD")</f>
        <v>HKD</v>
      </c>
      <c r="G780" s="30" t="str">
        <f>IFERROR(__xludf.DUMMYFUNCTION("""COMPUTED_VALUE"""),"Email Account/ TraderID Recognized")</f>
        <v>Email Account/ TraderID Recognized</v>
      </c>
      <c r="H780" s="119" t="str">
        <f>IFERROR(__xludf.DUMMYFUNCTION("""COMPUTED_VALUE"""),"3M")</f>
        <v>3M</v>
      </c>
      <c r="I780" s="30">
        <f>IFERROR(__xludf.DUMMYFUNCTION("""COMPUTED_VALUE"""),100000.0)</f>
        <v>100000</v>
      </c>
      <c r="J780" s="30"/>
      <c r="K780" s="30" t="str">
        <f>IFERROR(__xludf.DUMMYFUNCTION("""COMPUTED_VALUE"""),"QTY, Limit Price (if any) &amp; Password input correct")</f>
        <v>QTY, Limit Price (if any) &amp; Password input correct</v>
      </c>
      <c r="L780" s="30"/>
    </row>
    <row r="781">
      <c r="A781" s="5"/>
      <c r="B781" s="118">
        <f>IFERROR(__xludf.DUMMYFUNCTION("""COMPUTED_VALUE"""),44645.48672277778)</f>
        <v>44645.48672</v>
      </c>
      <c r="C781" s="120">
        <f>IFERROR(__xludf.DUMMYFUNCTION("""COMPUTED_VALUE"""),44645.666666666664)</f>
        <v>44645.66667</v>
      </c>
      <c r="D781" s="5" t="str">
        <f>IFERROR(__xludf.DUMMYFUNCTION("""COMPUTED_VALUE"""),"38758")</f>
        <v>38758</v>
      </c>
      <c r="E781" s="5" t="str">
        <f>IFERROR(__xludf.DUMMYFUNCTION("""COMPUTED_VALUE"""),"Stock")</f>
        <v>Stock</v>
      </c>
      <c r="F781" s="5" t="str">
        <f>IFERROR(__xludf.DUMMYFUNCTION("""COMPUTED_VALUE"""),"HKD")</f>
        <v>HKD</v>
      </c>
      <c r="G781" s="30" t="str">
        <f>IFERROR(__xludf.DUMMYFUNCTION("""COMPUTED_VALUE"""),"Email Account/ TraderID Recognized")</f>
        <v>Email Account/ TraderID Recognized</v>
      </c>
      <c r="H781" s="121" t="str">
        <f>IFERROR(__xludf.DUMMYFUNCTION("""COMPUTED_VALUE"""),"0700.HK")</f>
        <v>0700.HK</v>
      </c>
      <c r="I781" s="30">
        <f>IFERROR(__xludf.DUMMYFUNCTION("""COMPUTED_VALUE"""),50.0)</f>
        <v>50</v>
      </c>
      <c r="J781" s="30">
        <f>IFERROR(__xludf.DUMMYFUNCTION("""COMPUTED_VALUE"""),360.0)</f>
        <v>360</v>
      </c>
      <c r="K781" s="30" t="str">
        <f>IFERROR(__xludf.DUMMYFUNCTION("""COMPUTED_VALUE"""),"QTY, Limit Price (if any) &amp; Password input correct")</f>
        <v>QTY, Limit Price (if any) &amp; Password input correct</v>
      </c>
      <c r="L781" s="30"/>
    </row>
    <row r="782">
      <c r="A782" s="5"/>
      <c r="B782" s="118">
        <f>IFERROR(__xludf.DUMMYFUNCTION("""COMPUTED_VALUE"""),44645.48723864583)</f>
        <v>44645.48724</v>
      </c>
      <c r="C782" s="120">
        <f>IFERROR(__xludf.DUMMYFUNCTION("""COMPUTED_VALUE"""),44645.666666666664)</f>
        <v>44645.66667</v>
      </c>
      <c r="D782" s="5" t="str">
        <f>IFERROR(__xludf.DUMMYFUNCTION("""COMPUTED_VALUE"""),"38758")</f>
        <v>38758</v>
      </c>
      <c r="E782" s="5" t="str">
        <f>IFERROR(__xludf.DUMMYFUNCTION("""COMPUTED_VALUE"""),"Stock")</f>
        <v>Stock</v>
      </c>
      <c r="F782" s="5" t="str">
        <f>IFERROR(__xludf.DUMMYFUNCTION("""COMPUTED_VALUE"""),"HKD")</f>
        <v>HKD</v>
      </c>
      <c r="G782" s="30" t="str">
        <f>IFERROR(__xludf.DUMMYFUNCTION("""COMPUTED_VALUE"""),"Email Account/ TraderID Recognized")</f>
        <v>Email Account/ TraderID Recognized</v>
      </c>
      <c r="H782" s="121" t="str">
        <f>IFERROR(__xludf.DUMMYFUNCTION("""COMPUTED_VALUE"""),"0700.HK")</f>
        <v>0700.HK</v>
      </c>
      <c r="I782" s="30">
        <f>IFERROR(__xludf.DUMMYFUNCTION("""COMPUTED_VALUE"""),50.0)</f>
        <v>50</v>
      </c>
      <c r="J782" s="30">
        <f>IFERROR(__xludf.DUMMYFUNCTION("""COMPUTED_VALUE"""),350.0)</f>
        <v>350</v>
      </c>
      <c r="K782" s="30" t="str">
        <f>IFERROR(__xludf.DUMMYFUNCTION("""COMPUTED_VALUE"""),"QTY, Limit Price (if any) &amp; Password input correct")</f>
        <v>QTY, Limit Price (if any) &amp; Password input correct</v>
      </c>
      <c r="L782" s="30"/>
    </row>
    <row r="783">
      <c r="A783" s="5"/>
      <c r="B783" s="118">
        <f>IFERROR(__xludf.DUMMYFUNCTION("""COMPUTED_VALUE"""),44645.531563958335)</f>
        <v>44645.53156</v>
      </c>
      <c r="C783" s="120" t="str">
        <f>IFERROR(__xludf.DUMMYFUNCTION("""COMPUTED_VALUE"""),"")</f>
        <v/>
      </c>
      <c r="D783" s="5" t="str">
        <f>IFERROR(__xludf.DUMMYFUNCTION("""COMPUTED_VALUE"""),"82458")</f>
        <v>82458</v>
      </c>
      <c r="E783" s="5" t="str">
        <f>IFERROR(__xludf.DUMMYFUNCTION("""COMPUTED_VALUE"""),"Stock")</f>
        <v>Stock</v>
      </c>
      <c r="F783" s="5" t="str">
        <f>IFERROR(__xludf.DUMMYFUNCTION("""COMPUTED_VALUE"""),"error")</f>
        <v>error</v>
      </c>
      <c r="G783" s="30" t="str">
        <f>IFERROR(__xludf.DUMMYFUNCTION("""COMPUTED_VALUE"""),"Email Account/ TraderID Recognized")</f>
        <v>Email Account/ TraderID Recognized</v>
      </c>
      <c r="H783" s="119" t="str">
        <f>IFERROR(__xludf.DUMMYFUNCTION("""COMPUTED_VALUE"""),"1130")</f>
        <v>1130</v>
      </c>
      <c r="I783" s="30" t="str">
        <f>IFERROR(__xludf.DUMMYFUNCTION("""COMPUTED_VALUE"""),"0011")</f>
        <v>0011</v>
      </c>
      <c r="J783" s="30" t="str">
        <f>IFERROR(__xludf.DUMMYFUNCTION("""COMPUTED_VALUE"""),"Limit Buy @ 20 - Closing @ 18 = Executed price @ 18. if Closing @ 22 = no execution")</f>
        <v>Limit Buy @ 20 - Closing @ 18 = Executed price @ 18. if Closing @ 22 = no execution</v>
      </c>
      <c r="K783" s="30" t="str">
        <f>IFERROR(__xludf.DUMMYFUNCTION("""COMPUTED_VALUE"""),"Non-number input in Quantity or Limit Price")</f>
        <v>Non-number input in Quantity or Limit Price</v>
      </c>
      <c r="L783" s="30" t="str">
        <f>IFERROR(__xludf.DUMMYFUNCTION("""COMPUTED_VALUE"""),"Order rejected due to wrong ticker code")</f>
        <v>Order rejected due to wrong ticker code</v>
      </c>
    </row>
    <row r="784">
      <c r="A784" s="5"/>
      <c r="B784" s="118">
        <f>IFERROR(__xludf.DUMMYFUNCTION("""COMPUTED_VALUE"""),44645.5848306713)</f>
        <v>44645.58483</v>
      </c>
      <c r="C784" s="120">
        <f>IFERROR(__xludf.DUMMYFUNCTION("""COMPUTED_VALUE"""),44645.666666666664)</f>
        <v>44645.66667</v>
      </c>
      <c r="D784" s="5" t="str">
        <f>IFERROR(__xludf.DUMMYFUNCTION("""COMPUTED_VALUE"""),"36460")</f>
        <v>36460</v>
      </c>
      <c r="E784" s="5" t="str">
        <f>IFERROR(__xludf.DUMMYFUNCTION("""COMPUTED_VALUE"""),"Option")</f>
        <v>Option</v>
      </c>
      <c r="F784" s="5" t="str">
        <f>IFERROR(__xludf.DUMMYFUNCTION("""COMPUTED_VALUE"""),"USD")</f>
        <v>USD</v>
      </c>
      <c r="G784" s="30" t="str">
        <f>IFERROR(__xludf.DUMMYFUNCTION("""COMPUTED_VALUE"""),"Email Account/ TraderID Recognized")</f>
        <v>Email Account/ TraderID Recognized</v>
      </c>
      <c r="H784" s="119" t="str">
        <f>IFERROR(__xludf.DUMMYFUNCTION("""COMPUTED_VALUE"""),"F220325C00010000")</f>
        <v>F220325C00010000</v>
      </c>
      <c r="I784" s="30">
        <f>IFERROR(__xludf.DUMMYFUNCTION("""COMPUTED_VALUE"""),1.0)</f>
        <v>1</v>
      </c>
      <c r="J784" s="30"/>
      <c r="K784" s="30" t="str">
        <f>IFERROR(__xludf.DUMMYFUNCTION("""COMPUTED_VALUE"""),"QTY, Limit Price (if any) &amp; Password input correct")</f>
        <v>QTY, Limit Price (if any) &amp; Password input correct</v>
      </c>
      <c r="L784" s="30"/>
    </row>
    <row r="785">
      <c r="A785" s="5"/>
      <c r="B785" s="118">
        <f>IFERROR(__xludf.DUMMYFUNCTION("""COMPUTED_VALUE"""),44645.59400354167)</f>
        <v>44645.594</v>
      </c>
      <c r="C785" s="120">
        <f>IFERROR(__xludf.DUMMYFUNCTION("""COMPUTED_VALUE"""),44645.666666666664)</f>
        <v>44645.66667</v>
      </c>
      <c r="D785" s="5" t="str">
        <f>IFERROR(__xludf.DUMMYFUNCTION("""COMPUTED_VALUE"""),"36460")</f>
        <v>36460</v>
      </c>
      <c r="E785" s="5" t="str">
        <f>IFERROR(__xludf.DUMMYFUNCTION("""COMPUTED_VALUE"""),"Option")</f>
        <v>Option</v>
      </c>
      <c r="F785" s="5" t="str">
        <f>IFERROR(__xludf.DUMMYFUNCTION("""COMPUTED_VALUE"""),"USD")</f>
        <v>USD</v>
      </c>
      <c r="G785" s="30" t="str">
        <f>IFERROR(__xludf.DUMMYFUNCTION("""COMPUTED_VALUE"""),"Email Account/ TraderID Recognized")</f>
        <v>Email Account/ TraderID Recognized</v>
      </c>
      <c r="H785" s="119" t="str">
        <f>IFERROR(__xludf.DUMMYFUNCTION("""COMPUTED_VALUE"""),"F220325C00010000")</f>
        <v>F220325C00010000</v>
      </c>
      <c r="I785" s="30">
        <f>IFERROR(__xludf.DUMMYFUNCTION("""COMPUTED_VALUE"""),1.0)</f>
        <v>1</v>
      </c>
      <c r="J785" s="30"/>
      <c r="K785" s="30" t="str">
        <f>IFERROR(__xludf.DUMMYFUNCTION("""COMPUTED_VALUE"""),"QTY, Limit Price (if any) &amp; Password input correct")</f>
        <v>QTY, Limit Price (if any) &amp; Password input correct</v>
      </c>
      <c r="L785" s="30"/>
    </row>
    <row r="786">
      <c r="A786" s="5"/>
      <c r="B786" s="118">
        <f>IFERROR(__xludf.DUMMYFUNCTION("""COMPUTED_VALUE"""),44645.596247106485)</f>
        <v>44645.59625</v>
      </c>
      <c r="C786" s="120">
        <f>IFERROR(__xludf.DUMMYFUNCTION("""COMPUTED_VALUE"""),44645.666666666664)</f>
        <v>44645.66667</v>
      </c>
      <c r="D786" s="5" t="str">
        <f>IFERROR(__xludf.DUMMYFUNCTION("""COMPUTED_VALUE"""),"39776")</f>
        <v>39776</v>
      </c>
      <c r="E786" s="5" t="str">
        <f>IFERROR(__xludf.DUMMYFUNCTION("""COMPUTED_VALUE"""),"Stock")</f>
        <v>Stock</v>
      </c>
      <c r="F786" s="5" t="str">
        <f>IFERROR(__xludf.DUMMYFUNCTION("""COMPUTED_VALUE"""),"HKD")</f>
        <v>HKD</v>
      </c>
      <c r="G786" s="30" t="str">
        <f>IFERROR(__xludf.DUMMYFUNCTION("""COMPUTED_VALUE"""),"Email Account/ TraderID Recognized")</f>
        <v>Email Account/ TraderID Recognized</v>
      </c>
      <c r="H786" s="121" t="str">
        <f>IFERROR(__xludf.DUMMYFUNCTION("""COMPUTED_VALUE"""),"0700.HK")</f>
        <v>0700.HK</v>
      </c>
      <c r="I786" s="30">
        <f>IFERROR(__xludf.DUMMYFUNCTION("""COMPUTED_VALUE"""),150.0)</f>
        <v>150</v>
      </c>
      <c r="J786" s="30">
        <f>IFERROR(__xludf.DUMMYFUNCTION("""COMPUTED_VALUE"""),355.5)</f>
        <v>355.5</v>
      </c>
      <c r="K786" s="30" t="str">
        <f>IFERROR(__xludf.DUMMYFUNCTION("""COMPUTED_VALUE"""),"QTY, Limit Price (if any) &amp; Password input correct")</f>
        <v>QTY, Limit Price (if any) &amp; Password input correct</v>
      </c>
      <c r="L786" s="30"/>
    </row>
    <row r="787">
      <c r="A787" s="5"/>
      <c r="B787" s="118">
        <f>IFERROR(__xludf.DUMMYFUNCTION("""COMPUTED_VALUE"""),44645.59783466435)</f>
        <v>44645.59783</v>
      </c>
      <c r="C787" s="120">
        <f>IFERROR(__xludf.DUMMYFUNCTION("""COMPUTED_VALUE"""),44645.666666666664)</f>
        <v>44645.66667</v>
      </c>
      <c r="D787" s="5" t="str">
        <f>IFERROR(__xludf.DUMMYFUNCTION("""COMPUTED_VALUE"""),"39776")</f>
        <v>39776</v>
      </c>
      <c r="E787" s="5" t="str">
        <f>IFERROR(__xludf.DUMMYFUNCTION("""COMPUTED_VALUE"""),"Stock")</f>
        <v>Stock</v>
      </c>
      <c r="F787" s="5" t="str">
        <f>IFERROR(__xludf.DUMMYFUNCTION("""COMPUTED_VALUE"""),"HKD")</f>
        <v>HKD</v>
      </c>
      <c r="G787" s="30" t="str">
        <f>IFERROR(__xludf.DUMMYFUNCTION("""COMPUTED_VALUE"""),"Email Account/ TraderID Recognized")</f>
        <v>Email Account/ TraderID Recognized</v>
      </c>
      <c r="H787" s="121" t="str">
        <f>IFERROR(__xludf.DUMMYFUNCTION("""COMPUTED_VALUE"""),"0288.HK")</f>
        <v>0288.HK</v>
      </c>
      <c r="I787" s="30">
        <f>IFERROR(__xludf.DUMMYFUNCTION("""COMPUTED_VALUE"""),10000.0)</f>
        <v>10000</v>
      </c>
      <c r="J787" s="30">
        <f>IFERROR(__xludf.DUMMYFUNCTION("""COMPUTED_VALUE"""),4.7)</f>
        <v>4.7</v>
      </c>
      <c r="K787" s="30" t="str">
        <f>IFERROR(__xludf.DUMMYFUNCTION("""COMPUTED_VALUE"""),"QTY, Limit Price (if any) &amp; Password input correct")</f>
        <v>QTY, Limit Price (if any) &amp; Password input correct</v>
      </c>
      <c r="L787" s="30"/>
    </row>
    <row r="788">
      <c r="A788" s="5"/>
      <c r="B788" s="118">
        <f>IFERROR(__xludf.DUMMYFUNCTION("""COMPUTED_VALUE"""),44645.60436923611)</f>
        <v>44645.60437</v>
      </c>
      <c r="C788" s="120" t="str">
        <f>IFERROR(__xludf.DUMMYFUNCTION("""COMPUTED_VALUE"""),"")</f>
        <v/>
      </c>
      <c r="D788" s="5" t="str">
        <f>IFERROR(__xludf.DUMMYFUNCTION("""COMPUTED_VALUE"""),"75965")</f>
        <v>75965</v>
      </c>
      <c r="E788" s="5" t="str">
        <f>IFERROR(__xludf.DUMMYFUNCTION("""COMPUTED_VALUE"""),"Stock")</f>
        <v>Stock</v>
      </c>
      <c r="F788" s="5" t="str">
        <f>IFERROR(__xludf.DUMMYFUNCTION("""COMPUTED_VALUE"""),"error")</f>
        <v>error</v>
      </c>
      <c r="G788" s="30" t="str">
        <f>IFERROR(__xludf.DUMMYFUNCTION("""COMPUTED_VALUE"""),"Email Account/ TraderID Recognized")</f>
        <v>Email Account/ TraderID Recognized</v>
      </c>
      <c r="H788" s="119" t="str">
        <f>IFERROR(__xludf.DUMMYFUNCTION("""COMPUTED_VALUE"""),"TSLA")</f>
        <v>TSLA</v>
      </c>
      <c r="I788" s="30">
        <f>IFERROR(__xludf.DUMMYFUNCTION("""COMPUTED_VALUE"""),100.0)</f>
        <v>100</v>
      </c>
      <c r="J788" s="30"/>
      <c r="K788" s="30" t="str">
        <f>IFERROR(__xludf.DUMMYFUNCTION("""COMPUTED_VALUE"""),"Wrong Password Submitted, Order will be rejected")</f>
        <v>Wrong Password Submitted, Order will be rejected</v>
      </c>
      <c r="L788" s="30" t="str">
        <f>IFERROR(__xludf.DUMMYFUNCTION("""COMPUTED_VALUE"""),"Order rejected due to wrong password")</f>
        <v>Order rejected due to wrong password</v>
      </c>
    </row>
    <row r="789">
      <c r="A789" s="5"/>
      <c r="B789" s="118">
        <f>IFERROR(__xludf.DUMMYFUNCTION("""COMPUTED_VALUE"""),44645.60507895834)</f>
        <v>44645.60508</v>
      </c>
      <c r="C789" s="120" t="str">
        <f>IFERROR(__xludf.DUMMYFUNCTION("""COMPUTED_VALUE"""),"")</f>
        <v/>
      </c>
      <c r="D789" s="5" t="str">
        <f>IFERROR(__xludf.DUMMYFUNCTION("""COMPUTED_VALUE"""),"75965")</f>
        <v>75965</v>
      </c>
      <c r="E789" s="5" t="str">
        <f>IFERROR(__xludf.DUMMYFUNCTION("""COMPUTED_VALUE"""),"Stock")</f>
        <v>Stock</v>
      </c>
      <c r="F789" s="5" t="str">
        <f>IFERROR(__xludf.DUMMYFUNCTION("""COMPUTED_VALUE"""),"error")</f>
        <v>error</v>
      </c>
      <c r="G789" s="30" t="str">
        <f>IFERROR(__xludf.DUMMYFUNCTION("""COMPUTED_VALUE"""),"Email Account/ TraderID Recognized")</f>
        <v>Email Account/ TraderID Recognized</v>
      </c>
      <c r="H789" s="119" t="str">
        <f>IFERROR(__xludf.DUMMYFUNCTION("""COMPUTED_VALUE"""),"TSLA")</f>
        <v>TSLA</v>
      </c>
      <c r="I789" s="30">
        <f>IFERROR(__xludf.DUMMYFUNCTION("""COMPUTED_VALUE"""),50.0)</f>
        <v>50</v>
      </c>
      <c r="J789" s="30"/>
      <c r="K789" s="30" t="str">
        <f>IFERROR(__xludf.DUMMYFUNCTION("""COMPUTED_VALUE"""),"Wrong Password Submitted, Order will be rejected")</f>
        <v>Wrong Password Submitted, Order will be rejected</v>
      </c>
      <c r="L789" s="30" t="str">
        <f>IFERROR(__xludf.DUMMYFUNCTION("""COMPUTED_VALUE"""),"Order rejected due to wrong password")</f>
        <v>Order rejected due to wrong password</v>
      </c>
    </row>
    <row r="790">
      <c r="A790" s="5"/>
      <c r="B790" s="118">
        <f>IFERROR(__xludf.DUMMYFUNCTION("""COMPUTED_VALUE"""),44645.609965219905)</f>
        <v>44645.60997</v>
      </c>
      <c r="C790" s="120">
        <f>IFERROR(__xludf.DUMMYFUNCTION("""COMPUTED_VALUE"""),44645.666666666664)</f>
        <v>44645.66667</v>
      </c>
      <c r="D790" s="5" t="str">
        <f>IFERROR(__xludf.DUMMYFUNCTION("""COMPUTED_VALUE"""),"36252")</f>
        <v>36252</v>
      </c>
      <c r="E790" s="5" t="str">
        <f>IFERROR(__xludf.DUMMYFUNCTION("""COMPUTED_VALUE"""),"Stock")</f>
        <v>Stock</v>
      </c>
      <c r="F790" s="5" t="str">
        <f>IFERROR(__xludf.DUMMYFUNCTION("""COMPUTED_VALUE"""),"HKD")</f>
        <v>HKD</v>
      </c>
      <c r="G790" s="30" t="str">
        <f>IFERROR(__xludf.DUMMYFUNCTION("""COMPUTED_VALUE"""),"Email Account/ TraderID Recognized")</f>
        <v>Email Account/ TraderID Recognized</v>
      </c>
      <c r="H790" s="121" t="str">
        <f>IFERROR(__xludf.DUMMYFUNCTION("""COMPUTED_VALUE"""),"2607.hk")</f>
        <v>2607.hk</v>
      </c>
      <c r="I790" s="30">
        <f>IFERROR(__xludf.DUMMYFUNCTION("""COMPUTED_VALUE"""),5000.0)</f>
        <v>5000</v>
      </c>
      <c r="J790" s="30"/>
      <c r="K790" s="30" t="str">
        <f>IFERROR(__xludf.DUMMYFUNCTION("""COMPUTED_VALUE"""),"QTY, Limit Price (if any) &amp; Password input correct")</f>
        <v>QTY, Limit Price (if any) &amp; Password input correct</v>
      </c>
      <c r="L790" s="30"/>
    </row>
    <row r="791">
      <c r="A791" s="5"/>
      <c r="B791" s="118">
        <f>IFERROR(__xludf.DUMMYFUNCTION("""COMPUTED_VALUE"""),44645.61110278935)</f>
        <v>44645.6111</v>
      </c>
      <c r="C791" s="120">
        <f>IFERROR(__xludf.DUMMYFUNCTION("""COMPUTED_VALUE"""),44645.666666666664)</f>
        <v>44645.66667</v>
      </c>
      <c r="D791" s="5" t="str">
        <f>IFERROR(__xludf.DUMMYFUNCTION("""COMPUTED_VALUE"""),"38093")</f>
        <v>38093</v>
      </c>
      <c r="E791" s="5" t="str">
        <f>IFERROR(__xludf.DUMMYFUNCTION("""COMPUTED_VALUE"""),"Stock")</f>
        <v>Stock</v>
      </c>
      <c r="F791" s="5" t="str">
        <f>IFERROR(__xludf.DUMMYFUNCTION("""COMPUTED_VALUE"""),"USD")</f>
        <v>USD</v>
      </c>
      <c r="G791" s="30" t="str">
        <f>IFERROR(__xludf.DUMMYFUNCTION("""COMPUTED_VALUE"""),"Email Account/ TraderID Recognized")</f>
        <v>Email Account/ TraderID Recognized</v>
      </c>
      <c r="H791" s="119" t="str">
        <f>IFERROR(__xludf.DUMMYFUNCTION("""COMPUTED_VALUE"""),"NKE")</f>
        <v>NKE</v>
      </c>
      <c r="I791" s="30">
        <f>IFERROR(__xludf.DUMMYFUNCTION("""COMPUTED_VALUE"""),100.0)</f>
        <v>100</v>
      </c>
      <c r="J791" s="30"/>
      <c r="K791" s="30" t="str">
        <f>IFERROR(__xludf.DUMMYFUNCTION("""COMPUTED_VALUE"""),"QTY, Limit Price (if any) &amp; Password input correct")</f>
        <v>QTY, Limit Price (if any) &amp; Password input correct</v>
      </c>
      <c r="L791" s="30"/>
    </row>
    <row r="792">
      <c r="A792" s="5"/>
      <c r="B792" s="118">
        <f>IFERROR(__xludf.DUMMYFUNCTION("""COMPUTED_VALUE"""),44645.61165364583)</f>
        <v>44645.61165</v>
      </c>
      <c r="C792" s="120">
        <f>IFERROR(__xludf.DUMMYFUNCTION("""COMPUTED_VALUE"""),44645.666666666664)</f>
        <v>44645.66667</v>
      </c>
      <c r="D792" s="5" t="str">
        <f>IFERROR(__xludf.DUMMYFUNCTION("""COMPUTED_VALUE"""),"38093")</f>
        <v>38093</v>
      </c>
      <c r="E792" s="5" t="str">
        <f>IFERROR(__xludf.DUMMYFUNCTION("""COMPUTED_VALUE"""),"Stock")</f>
        <v>Stock</v>
      </c>
      <c r="F792" s="5" t="str">
        <f>IFERROR(__xludf.DUMMYFUNCTION("""COMPUTED_VALUE"""),"USD")</f>
        <v>USD</v>
      </c>
      <c r="G792" s="30" t="str">
        <f>IFERROR(__xludf.DUMMYFUNCTION("""COMPUTED_VALUE"""),"Email Account/ TraderID Recognized")</f>
        <v>Email Account/ TraderID Recognized</v>
      </c>
      <c r="H792" s="119" t="str">
        <f>IFERROR(__xludf.DUMMYFUNCTION("""COMPUTED_VALUE"""),"TSLA")</f>
        <v>TSLA</v>
      </c>
      <c r="I792" s="30">
        <f>IFERROR(__xludf.DUMMYFUNCTION("""COMPUTED_VALUE"""),50.0)</f>
        <v>50</v>
      </c>
      <c r="J792" s="30"/>
      <c r="K792" s="30" t="str">
        <f>IFERROR(__xludf.DUMMYFUNCTION("""COMPUTED_VALUE"""),"QTY, Limit Price (if any) &amp; Password input correct")</f>
        <v>QTY, Limit Price (if any) &amp; Password input correct</v>
      </c>
      <c r="L792" s="30"/>
    </row>
    <row r="793">
      <c r="A793" s="5"/>
      <c r="B793" s="118">
        <f>IFERROR(__xludf.DUMMYFUNCTION("""COMPUTED_VALUE"""),44645.612527199075)</f>
        <v>44645.61253</v>
      </c>
      <c r="C793" s="120">
        <f>IFERROR(__xludf.DUMMYFUNCTION("""COMPUTED_VALUE"""),44645.666666666664)</f>
        <v>44645.66667</v>
      </c>
      <c r="D793" s="5" t="str">
        <f>IFERROR(__xludf.DUMMYFUNCTION("""COMPUTED_VALUE"""),"38093")</f>
        <v>38093</v>
      </c>
      <c r="E793" s="5" t="str">
        <f>IFERROR(__xludf.DUMMYFUNCTION("""COMPUTED_VALUE"""),"Stock")</f>
        <v>Stock</v>
      </c>
      <c r="F793" s="5" t="str">
        <f>IFERROR(__xludf.DUMMYFUNCTION("""COMPUTED_VALUE"""),"USD")</f>
        <v>USD</v>
      </c>
      <c r="G793" s="30" t="str">
        <f>IFERROR(__xludf.DUMMYFUNCTION("""COMPUTED_VALUE"""),"Email Account/ TraderID Recognized")</f>
        <v>Email Account/ TraderID Recognized</v>
      </c>
      <c r="H793" s="119" t="str">
        <f>IFERROR(__xludf.DUMMYFUNCTION("""COMPUTED_VALUE"""),"ADA-USD")</f>
        <v>ADA-USD</v>
      </c>
      <c r="I793" s="30">
        <f>IFERROR(__xludf.DUMMYFUNCTION("""COMPUTED_VALUE"""),500.0)</f>
        <v>500</v>
      </c>
      <c r="J793" s="30"/>
      <c r="K793" s="30" t="str">
        <f>IFERROR(__xludf.DUMMYFUNCTION("""COMPUTED_VALUE"""),"QTY, Limit Price (if any) &amp; Password input correct")</f>
        <v>QTY, Limit Price (if any) &amp; Password input correct</v>
      </c>
      <c r="L793" s="30"/>
    </row>
    <row r="794">
      <c r="A794" s="5"/>
      <c r="B794" s="118">
        <f>IFERROR(__xludf.DUMMYFUNCTION("""COMPUTED_VALUE"""),44645.614853692125)</f>
        <v>44645.61485</v>
      </c>
      <c r="C794" s="120">
        <f>IFERROR(__xludf.DUMMYFUNCTION("""COMPUTED_VALUE"""),44645.625)</f>
        <v>44645.625</v>
      </c>
      <c r="D794" s="5" t="str">
        <f>IFERROR(__xludf.DUMMYFUNCTION("""COMPUTED_VALUE"""),"36252")</f>
        <v>36252</v>
      </c>
      <c r="E794" s="5" t="str">
        <f>IFERROR(__xludf.DUMMYFUNCTION("""COMPUTED_VALUE"""),"Stock")</f>
        <v>Stock</v>
      </c>
      <c r="F794" s="5" t="str">
        <f>IFERROR(__xludf.DUMMYFUNCTION("""COMPUTED_VALUE"""),"CNY")</f>
        <v>CNY</v>
      </c>
      <c r="G794" s="30" t="str">
        <f>IFERROR(__xludf.DUMMYFUNCTION("""COMPUTED_VALUE"""),"Email Account/ TraderID Recognized")</f>
        <v>Email Account/ TraderID Recognized</v>
      </c>
      <c r="H794" s="121" t="str">
        <f>IFERROR(__xludf.DUMMYFUNCTION("""COMPUTED_VALUE"""),"002864.SZ")</f>
        <v>002864.SZ</v>
      </c>
      <c r="I794" s="30">
        <f>IFERROR(__xludf.DUMMYFUNCTION("""COMPUTED_VALUE"""),600.0)</f>
        <v>600</v>
      </c>
      <c r="J794" s="30"/>
      <c r="K794" s="30" t="str">
        <f>IFERROR(__xludf.DUMMYFUNCTION("""COMPUTED_VALUE"""),"QTY, Limit Price (if any) &amp; Password input correct")</f>
        <v>QTY, Limit Price (if any) &amp; Password input correct</v>
      </c>
      <c r="L794" s="30"/>
    </row>
    <row r="795">
      <c r="A795" s="5"/>
      <c r="B795" s="118">
        <f>IFERROR(__xludf.DUMMYFUNCTION("""COMPUTED_VALUE"""),44645.616138576384)</f>
        <v>44645.61614</v>
      </c>
      <c r="C795" s="120">
        <f>IFERROR(__xludf.DUMMYFUNCTION("""COMPUTED_VALUE"""),44645.666666666664)</f>
        <v>44645.66667</v>
      </c>
      <c r="D795" s="5" t="str">
        <f>IFERROR(__xludf.DUMMYFUNCTION("""COMPUTED_VALUE"""),"38381")</f>
        <v>38381</v>
      </c>
      <c r="E795" s="5" t="str">
        <f>IFERROR(__xludf.DUMMYFUNCTION("""COMPUTED_VALUE"""),"Stock")</f>
        <v>Stock</v>
      </c>
      <c r="F795" s="5" t="str">
        <f>IFERROR(__xludf.DUMMYFUNCTION("""COMPUTED_VALUE"""),"USD")</f>
        <v>USD</v>
      </c>
      <c r="G795" s="30" t="str">
        <f>IFERROR(__xludf.DUMMYFUNCTION("""COMPUTED_VALUE"""),"Email Account/ TraderID Recognized")</f>
        <v>Email Account/ TraderID Recognized</v>
      </c>
      <c r="H795" s="119" t="str">
        <f>IFERROR(__xludf.DUMMYFUNCTION("""COMPUTED_VALUE"""),"BZ=F")</f>
        <v>BZ=F</v>
      </c>
      <c r="I795" s="30">
        <f>IFERROR(__xludf.DUMMYFUNCTION("""COMPUTED_VALUE"""),500.0)</f>
        <v>500</v>
      </c>
      <c r="J795" s="30"/>
      <c r="K795" s="30" t="str">
        <f>IFERROR(__xludf.DUMMYFUNCTION("""COMPUTED_VALUE"""),"QTY, Limit Price (if any) &amp; Password input correct")</f>
        <v>QTY, Limit Price (if any) &amp; Password input correct</v>
      </c>
      <c r="L795" s="30"/>
    </row>
    <row r="796">
      <c r="A796" s="5"/>
      <c r="B796" s="118">
        <f>IFERROR(__xludf.DUMMYFUNCTION("""COMPUTED_VALUE"""),44645.61859431713)</f>
        <v>44645.61859</v>
      </c>
      <c r="C796" s="120">
        <f>IFERROR(__xludf.DUMMYFUNCTION("""COMPUTED_VALUE"""),44645.666666666664)</f>
        <v>44645.66667</v>
      </c>
      <c r="D796" s="5" t="str">
        <f>IFERROR(__xludf.DUMMYFUNCTION("""COMPUTED_VALUE"""),"36252")</f>
        <v>36252</v>
      </c>
      <c r="E796" s="5" t="str">
        <f>IFERROR(__xludf.DUMMYFUNCTION("""COMPUTED_VALUE"""),"Stock")</f>
        <v>Stock</v>
      </c>
      <c r="F796" s="5" t="str">
        <f>IFERROR(__xludf.DUMMYFUNCTION("""COMPUTED_VALUE"""),"HKD")</f>
        <v>HKD</v>
      </c>
      <c r="G796" s="30" t="str">
        <f>IFERROR(__xludf.DUMMYFUNCTION("""COMPUTED_VALUE"""),"Email Account/ TraderID Recognized")</f>
        <v>Email Account/ TraderID Recognized</v>
      </c>
      <c r="H796" s="121" t="str">
        <f>IFERROR(__xludf.DUMMYFUNCTION("""COMPUTED_VALUE"""),"2328.hk")</f>
        <v>2328.hk</v>
      </c>
      <c r="I796" s="30">
        <f>IFERROR(__xludf.DUMMYFUNCTION("""COMPUTED_VALUE"""),1600.0)</f>
        <v>1600</v>
      </c>
      <c r="J796" s="30"/>
      <c r="K796" s="30" t="str">
        <f>IFERROR(__xludf.DUMMYFUNCTION("""COMPUTED_VALUE"""),"QTY, Limit Price (if any) &amp; Password input correct")</f>
        <v>QTY, Limit Price (if any) &amp; Password input correct</v>
      </c>
      <c r="L796" s="30"/>
    </row>
    <row r="797">
      <c r="A797" s="5"/>
      <c r="B797" s="118">
        <f>IFERROR(__xludf.DUMMYFUNCTION("""COMPUTED_VALUE"""),44645.62227290509)</f>
        <v>44645.62227</v>
      </c>
      <c r="C797" s="120">
        <f>IFERROR(__xludf.DUMMYFUNCTION("""COMPUTED_VALUE"""),44645.666666666664)</f>
        <v>44645.66667</v>
      </c>
      <c r="D797" s="5" t="str">
        <f>IFERROR(__xludf.DUMMYFUNCTION("""COMPUTED_VALUE"""),"38381")</f>
        <v>38381</v>
      </c>
      <c r="E797" s="5" t="str">
        <f>IFERROR(__xludf.DUMMYFUNCTION("""COMPUTED_VALUE"""),"Stock")</f>
        <v>Stock</v>
      </c>
      <c r="F797" s="5" t="str">
        <f>IFERROR(__xludf.DUMMYFUNCTION("""COMPUTED_VALUE"""),"HKD")</f>
        <v>HKD</v>
      </c>
      <c r="G797" s="30" t="str">
        <f>IFERROR(__xludf.DUMMYFUNCTION("""COMPUTED_VALUE"""),"Email Account/ TraderID Recognized")</f>
        <v>Email Account/ TraderID Recognized</v>
      </c>
      <c r="H797" s="121" t="str">
        <f>IFERROR(__xludf.DUMMYFUNCTION("""COMPUTED_VALUE"""),"1398.HK")</f>
        <v>1398.HK</v>
      </c>
      <c r="I797" s="30">
        <f>IFERROR(__xludf.DUMMYFUNCTION("""COMPUTED_VALUE"""),300.0)</f>
        <v>300</v>
      </c>
      <c r="J797" s="30"/>
      <c r="K797" s="30" t="str">
        <f>IFERROR(__xludf.DUMMYFUNCTION("""COMPUTED_VALUE"""),"QTY, Limit Price (if any) &amp; Password input correct")</f>
        <v>QTY, Limit Price (if any) &amp; Password input correct</v>
      </c>
      <c r="L797" s="30"/>
    </row>
    <row r="798">
      <c r="A798" s="5"/>
      <c r="B798" s="118">
        <f>IFERROR(__xludf.DUMMYFUNCTION("""COMPUTED_VALUE"""),44645.64382803241)</f>
        <v>44645.64383</v>
      </c>
      <c r="C798" s="120">
        <f>IFERROR(__xludf.DUMMYFUNCTION("""COMPUTED_VALUE"""),44645.666666666664)</f>
        <v>44645.66667</v>
      </c>
      <c r="D798" s="5" t="str">
        <f>IFERROR(__xludf.DUMMYFUNCTION("""COMPUTED_VALUE"""),"89845")</f>
        <v>89845</v>
      </c>
      <c r="E798" s="5" t="str">
        <f>IFERROR(__xludf.DUMMYFUNCTION("""COMPUTED_VALUE"""),"Stock")</f>
        <v>Stock</v>
      </c>
      <c r="F798" s="5" t="str">
        <f>IFERROR(__xludf.DUMMYFUNCTION("""COMPUTED_VALUE"""),"USD")</f>
        <v>USD</v>
      </c>
      <c r="G798" s="30" t="str">
        <f>IFERROR(__xludf.DUMMYFUNCTION("""COMPUTED_VALUE"""),"Email Account/ TraderID Recognized")</f>
        <v>Email Account/ TraderID Recognized</v>
      </c>
      <c r="H798" s="119" t="str">
        <f>IFERROR(__xludf.DUMMYFUNCTION("""COMPUTED_VALUE"""),"AAPL")</f>
        <v>AAPL</v>
      </c>
      <c r="I798" s="30">
        <f>IFERROR(__xludf.DUMMYFUNCTION("""COMPUTED_VALUE"""),100.0)</f>
        <v>100</v>
      </c>
      <c r="J798" s="30"/>
      <c r="K798" s="30" t="str">
        <f>IFERROR(__xludf.DUMMYFUNCTION("""COMPUTED_VALUE"""),"QTY, Limit Price (if any) &amp; Password input correct")</f>
        <v>QTY, Limit Price (if any) &amp; Password input correct</v>
      </c>
      <c r="L798" s="30"/>
    </row>
    <row r="799">
      <c r="A799" s="5"/>
      <c r="B799" s="118">
        <f>IFERROR(__xludf.DUMMYFUNCTION("""COMPUTED_VALUE"""),44645.643884571764)</f>
        <v>44645.64388</v>
      </c>
      <c r="C799" s="120">
        <f>IFERROR(__xludf.DUMMYFUNCTION("""COMPUTED_VALUE"""),44648.666666666664)</f>
        <v>44648.66667</v>
      </c>
      <c r="D799" s="5" t="str">
        <f>IFERROR(__xludf.DUMMYFUNCTION("""COMPUTED_VALUE"""),"38209")</f>
        <v>38209</v>
      </c>
      <c r="E799" s="5" t="str">
        <f>IFERROR(__xludf.DUMMYFUNCTION("""COMPUTED_VALUE"""),"Stock")</f>
        <v>Stock</v>
      </c>
      <c r="F799" s="5" t="str">
        <f>IFERROR(__xludf.DUMMYFUNCTION("""COMPUTED_VALUE"""),"CNY")</f>
        <v>CNY</v>
      </c>
      <c r="G799" s="30" t="str">
        <f>IFERROR(__xludf.DUMMYFUNCTION("""COMPUTED_VALUE"""),"Email Account/ TraderID Recognized")</f>
        <v>Email Account/ TraderID Recognized</v>
      </c>
      <c r="H799" s="121" t="str">
        <f>IFERROR(__xludf.DUMMYFUNCTION("""COMPUTED_VALUE"""),"600519.SS")</f>
        <v>600519.SS</v>
      </c>
      <c r="I799" s="30">
        <f>IFERROR(__xludf.DUMMYFUNCTION("""COMPUTED_VALUE"""),100.0)</f>
        <v>100</v>
      </c>
      <c r="J799" s="30"/>
      <c r="K799" s="30" t="str">
        <f>IFERROR(__xludf.DUMMYFUNCTION("""COMPUTED_VALUE"""),"QTY, Limit Price (if any) &amp; Password input correct")</f>
        <v>QTY, Limit Price (if any) &amp; Password input correct</v>
      </c>
      <c r="L799" s="30"/>
    </row>
    <row r="800">
      <c r="A800" s="5"/>
      <c r="B800" s="118">
        <f>IFERROR(__xludf.DUMMYFUNCTION("""COMPUTED_VALUE"""),44645.644372731476)</f>
        <v>44645.64437</v>
      </c>
      <c r="C800" s="120">
        <f>IFERROR(__xludf.DUMMYFUNCTION("""COMPUTED_VALUE"""),44645.666666666664)</f>
        <v>44645.66667</v>
      </c>
      <c r="D800" s="5" t="str">
        <f>IFERROR(__xludf.DUMMYFUNCTION("""COMPUTED_VALUE"""),"89845")</f>
        <v>89845</v>
      </c>
      <c r="E800" s="5" t="str">
        <f>IFERROR(__xludf.DUMMYFUNCTION("""COMPUTED_VALUE"""),"Stock")</f>
        <v>Stock</v>
      </c>
      <c r="F800" s="5" t="str">
        <f>IFERROR(__xludf.DUMMYFUNCTION("""COMPUTED_VALUE"""),"USD")</f>
        <v>USD</v>
      </c>
      <c r="G800" s="30" t="str">
        <f>IFERROR(__xludf.DUMMYFUNCTION("""COMPUTED_VALUE"""),"Email Account/ TraderID Recognized")</f>
        <v>Email Account/ TraderID Recognized</v>
      </c>
      <c r="H800" s="119" t="str">
        <f>IFERROR(__xludf.DUMMYFUNCTION("""COMPUTED_VALUE"""),"TSLA")</f>
        <v>TSLA</v>
      </c>
      <c r="I800" s="30">
        <f>IFERROR(__xludf.DUMMYFUNCTION("""COMPUTED_VALUE"""),300.0)</f>
        <v>300</v>
      </c>
      <c r="J800" s="30"/>
      <c r="K800" s="30" t="str">
        <f>IFERROR(__xludf.DUMMYFUNCTION("""COMPUTED_VALUE"""),"QTY, Limit Price (if any) &amp; Password input correct")</f>
        <v>QTY, Limit Price (if any) &amp; Password input correct</v>
      </c>
      <c r="L800" s="30"/>
    </row>
    <row r="801">
      <c r="A801" s="5"/>
      <c r="B801" s="118">
        <f>IFERROR(__xludf.DUMMYFUNCTION("""COMPUTED_VALUE"""),44645.65512697917)</f>
        <v>44645.65513</v>
      </c>
      <c r="C801" s="120">
        <f>IFERROR(__xludf.DUMMYFUNCTION("""COMPUTED_VALUE"""),44645.666666666664)</f>
        <v>44645.66667</v>
      </c>
      <c r="D801" s="5" t="str">
        <f>IFERROR(__xludf.DUMMYFUNCTION("""COMPUTED_VALUE"""),"82533")</f>
        <v>82533</v>
      </c>
      <c r="E801" s="5" t="str">
        <f>IFERROR(__xludf.DUMMYFUNCTION("""COMPUTED_VALUE"""),"Stock")</f>
        <v>Stock</v>
      </c>
      <c r="F801" s="5" t="str">
        <f>IFERROR(__xludf.DUMMYFUNCTION("""COMPUTED_VALUE"""),"USD")</f>
        <v>USD</v>
      </c>
      <c r="G801" s="30" t="str">
        <f>IFERROR(__xludf.DUMMYFUNCTION("""COMPUTED_VALUE"""),"Email Account/ TraderID Recognized")</f>
        <v>Email Account/ TraderID Recognized</v>
      </c>
      <c r="H801" s="119" t="str">
        <f>IFERROR(__xludf.DUMMYFUNCTION("""COMPUTED_VALUE"""),"COIN")</f>
        <v>COIN</v>
      </c>
      <c r="I801" s="30">
        <f>IFERROR(__xludf.DUMMYFUNCTION("""COMPUTED_VALUE"""),50.0)</f>
        <v>50</v>
      </c>
      <c r="J801" s="30"/>
      <c r="K801" s="30" t="str">
        <f>IFERROR(__xludf.DUMMYFUNCTION("""COMPUTED_VALUE"""),"QTY, Limit Price (if any) &amp; Password input correct")</f>
        <v>QTY, Limit Price (if any) &amp; Password input correct</v>
      </c>
      <c r="L801" s="30"/>
    </row>
    <row r="802">
      <c r="A802" s="5"/>
      <c r="B802" s="118">
        <f>IFERROR(__xludf.DUMMYFUNCTION("""COMPUTED_VALUE"""),44645.67416388889)</f>
        <v>44645.67416</v>
      </c>
      <c r="C802" s="120">
        <f>IFERROR(__xludf.DUMMYFUNCTION("""COMPUTED_VALUE"""),44645.666666666664)</f>
        <v>44645.66667</v>
      </c>
      <c r="D802" s="5" t="str">
        <f>IFERROR(__xludf.DUMMYFUNCTION("""COMPUTED_VALUE"""),"76796")</f>
        <v>76796</v>
      </c>
      <c r="E802" s="5" t="str">
        <f>IFERROR(__xludf.DUMMYFUNCTION("""COMPUTED_VALUE"""),"Stock")</f>
        <v>Stock</v>
      </c>
      <c r="F802" s="5" t="str">
        <f>IFERROR(__xludf.DUMMYFUNCTION("""COMPUTED_VALUE"""),"USD")</f>
        <v>USD</v>
      </c>
      <c r="G802" s="30" t="str">
        <f>IFERROR(__xludf.DUMMYFUNCTION("""COMPUTED_VALUE"""),"Email Account/ TraderID Recognized")</f>
        <v>Email Account/ TraderID Recognized</v>
      </c>
      <c r="H802" s="119" t="str">
        <f>IFERROR(__xludf.DUMMYFUNCTION("""COMPUTED_VALUE"""),"MSFT")</f>
        <v>MSFT</v>
      </c>
      <c r="I802" s="30">
        <f>IFERROR(__xludf.DUMMYFUNCTION("""COMPUTED_VALUE"""),1500.0)</f>
        <v>1500</v>
      </c>
      <c r="J802" s="30"/>
      <c r="K802" s="30" t="str">
        <f>IFERROR(__xludf.DUMMYFUNCTION("""COMPUTED_VALUE"""),"QTY, Limit Price (if any) &amp; Password input correct")</f>
        <v>QTY, Limit Price (if any) &amp; Password input correct</v>
      </c>
      <c r="L802" s="30"/>
    </row>
    <row r="803">
      <c r="A803" s="5"/>
      <c r="B803" s="118">
        <f>IFERROR(__xludf.DUMMYFUNCTION("""COMPUTED_VALUE"""),44645.676293564815)</f>
        <v>44645.67629</v>
      </c>
      <c r="C803" s="120">
        <f>IFERROR(__xludf.DUMMYFUNCTION("""COMPUTED_VALUE"""),44645.666666666664)</f>
        <v>44645.66667</v>
      </c>
      <c r="D803" s="5" t="str">
        <f>IFERROR(__xludf.DUMMYFUNCTION("""COMPUTED_VALUE"""),"76796")</f>
        <v>76796</v>
      </c>
      <c r="E803" s="5" t="str">
        <f>IFERROR(__xludf.DUMMYFUNCTION("""COMPUTED_VALUE"""),"Stock")</f>
        <v>Stock</v>
      </c>
      <c r="F803" s="5" t="str">
        <f>IFERROR(__xludf.DUMMYFUNCTION("""COMPUTED_VALUE"""),"USD")</f>
        <v>USD</v>
      </c>
      <c r="G803" s="30" t="str">
        <f>IFERROR(__xludf.DUMMYFUNCTION("""COMPUTED_VALUE"""),"Email Account/ TraderID Recognized")</f>
        <v>Email Account/ TraderID Recognized</v>
      </c>
      <c r="H803" s="119" t="str">
        <f>IFERROR(__xludf.DUMMYFUNCTION("""COMPUTED_VALUE"""),"MSFT")</f>
        <v>MSFT</v>
      </c>
      <c r="I803" s="30">
        <f>IFERROR(__xludf.DUMMYFUNCTION("""COMPUTED_VALUE"""),1000.0)</f>
        <v>1000</v>
      </c>
      <c r="J803" s="30">
        <f>IFERROR(__xludf.DUMMYFUNCTION("""COMPUTED_VALUE"""),305.0)</f>
        <v>305</v>
      </c>
      <c r="K803" s="30" t="str">
        <f>IFERROR(__xludf.DUMMYFUNCTION("""COMPUTED_VALUE"""),"QTY, Limit Price (if any) &amp; Password input correct")</f>
        <v>QTY, Limit Price (if any) &amp; Password input correct</v>
      </c>
      <c r="L803" s="30"/>
    </row>
    <row r="804">
      <c r="A804" s="5"/>
      <c r="B804" s="118">
        <f>IFERROR(__xludf.DUMMYFUNCTION("""COMPUTED_VALUE"""),44645.67634996527)</f>
        <v>44645.67635</v>
      </c>
      <c r="C804" s="120">
        <f>IFERROR(__xludf.DUMMYFUNCTION("""COMPUTED_VALUE"""),44648.666666666664)</f>
        <v>44648.66667</v>
      </c>
      <c r="D804" s="5" t="str">
        <f>IFERROR(__xludf.DUMMYFUNCTION("""COMPUTED_VALUE"""),"38093")</f>
        <v>38093</v>
      </c>
      <c r="E804" s="5" t="str">
        <f>IFERROR(__xludf.DUMMYFUNCTION("""COMPUTED_VALUE"""),"Stock")</f>
        <v>Stock</v>
      </c>
      <c r="F804" s="5" t="str">
        <f>IFERROR(__xludf.DUMMYFUNCTION("""COMPUTED_VALUE"""),"HKD")</f>
        <v>HKD</v>
      </c>
      <c r="G804" s="30" t="str">
        <f>IFERROR(__xludf.DUMMYFUNCTION("""COMPUTED_VALUE"""),"Email Account/ TraderID Recognized")</f>
        <v>Email Account/ TraderID Recognized</v>
      </c>
      <c r="H804" s="121" t="str">
        <f>IFERROR(__xludf.DUMMYFUNCTION("""COMPUTED_VALUE"""),"0700.HK")</f>
        <v>0700.HK</v>
      </c>
      <c r="I804" s="30">
        <f>IFERROR(__xludf.DUMMYFUNCTION("""COMPUTED_VALUE"""),100.0)</f>
        <v>100</v>
      </c>
      <c r="J804" s="30"/>
      <c r="K804" s="30" t="str">
        <f>IFERROR(__xludf.DUMMYFUNCTION("""COMPUTED_VALUE"""),"QTY, Limit Price (if any) &amp; Password input correct")</f>
        <v>QTY, Limit Price (if any) &amp; Password input correct</v>
      </c>
      <c r="L804" s="30"/>
    </row>
    <row r="805">
      <c r="A805" s="5"/>
      <c r="B805" s="118">
        <f>IFERROR(__xludf.DUMMYFUNCTION("""COMPUTED_VALUE"""),44645.67926311343)</f>
        <v>44645.67926</v>
      </c>
      <c r="C805" s="120">
        <f>IFERROR(__xludf.DUMMYFUNCTION("""COMPUTED_VALUE"""),44648.666666666664)</f>
        <v>44648.66667</v>
      </c>
      <c r="D805" s="5" t="str">
        <f>IFERROR(__xludf.DUMMYFUNCTION("""COMPUTED_VALUE"""),"70236")</f>
        <v>70236</v>
      </c>
      <c r="E805" s="5" t="str">
        <f>IFERROR(__xludf.DUMMYFUNCTION("""COMPUTED_VALUE"""),"Stock")</f>
        <v>Stock</v>
      </c>
      <c r="F805" s="5" t="str">
        <f>IFERROR(__xludf.DUMMYFUNCTION("""COMPUTED_VALUE"""),"error")</f>
        <v>error</v>
      </c>
      <c r="G805" s="30" t="str">
        <f>IFERROR(__xludf.DUMMYFUNCTION("""COMPUTED_VALUE"""),"Email Account/ TraderID Recognized")</f>
        <v>Email Account/ TraderID Recognized</v>
      </c>
      <c r="H805" s="121" t="str">
        <f>IFERROR(__xludf.DUMMYFUNCTION("""COMPUTED_VALUE"""),"0708.HK")</f>
        <v>0708.HK</v>
      </c>
      <c r="I805" s="30">
        <f>IFERROR(__xludf.DUMMYFUNCTION("""COMPUTED_VALUE"""),100.0)</f>
        <v>100</v>
      </c>
      <c r="J805" s="30">
        <f>IFERROR(__xludf.DUMMYFUNCTION("""COMPUTED_VALUE"""),90.0)</f>
        <v>90</v>
      </c>
      <c r="K805" s="30" t="str">
        <f>IFERROR(__xludf.DUMMYFUNCTION("""COMPUTED_VALUE"""),"Wrong Password Submitted, Order will be rejected")</f>
        <v>Wrong Password Submitted, Order will be rejected</v>
      </c>
      <c r="L805" s="30" t="str">
        <f>IFERROR(__xludf.DUMMYFUNCTION("""COMPUTED_VALUE"""),"Order rejected due to wrong password")</f>
        <v>Order rejected due to wrong password</v>
      </c>
    </row>
    <row r="806">
      <c r="A806" s="5"/>
      <c r="B806" s="118">
        <f>IFERROR(__xludf.DUMMYFUNCTION("""COMPUTED_VALUE"""),44645.67982138889)</f>
        <v>44645.67982</v>
      </c>
      <c r="C806" s="120">
        <f>IFERROR(__xludf.DUMMYFUNCTION("""COMPUTED_VALUE"""),44648.666666666664)</f>
        <v>44648.66667</v>
      </c>
      <c r="D806" s="5" t="str">
        <f>IFERROR(__xludf.DUMMYFUNCTION("""COMPUTED_VALUE"""),"89833")</f>
        <v>89833</v>
      </c>
      <c r="E806" s="5" t="str">
        <f>IFERROR(__xludf.DUMMYFUNCTION("""COMPUTED_VALUE"""),"Stock")</f>
        <v>Stock</v>
      </c>
      <c r="F806" s="5" t="str">
        <f>IFERROR(__xludf.DUMMYFUNCTION("""COMPUTED_VALUE"""),"HKD")</f>
        <v>HKD</v>
      </c>
      <c r="G806" s="30" t="str">
        <f>IFERROR(__xludf.DUMMYFUNCTION("""COMPUTED_VALUE"""),"Email Account/ TraderID Recognized")</f>
        <v>Email Account/ TraderID Recognized</v>
      </c>
      <c r="H806" s="121" t="str">
        <f>IFERROR(__xludf.DUMMYFUNCTION("""COMPUTED_VALUE"""),"0700.HK")</f>
        <v>0700.HK</v>
      </c>
      <c r="I806" s="30">
        <f>IFERROR(__xludf.DUMMYFUNCTION("""COMPUTED_VALUE"""),400.0)</f>
        <v>400</v>
      </c>
      <c r="J806" s="30"/>
      <c r="K806" s="30" t="str">
        <f>IFERROR(__xludf.DUMMYFUNCTION("""COMPUTED_VALUE"""),"QTY, Limit Price (if any) &amp; Password input correct")</f>
        <v>QTY, Limit Price (if any) &amp; Password input correct</v>
      </c>
      <c r="L806" s="30"/>
    </row>
    <row r="807">
      <c r="A807" s="5"/>
      <c r="B807" s="118">
        <f>IFERROR(__xludf.DUMMYFUNCTION("""COMPUTED_VALUE"""),44645.68255273148)</f>
        <v>44645.68255</v>
      </c>
      <c r="C807" s="120">
        <f>IFERROR(__xludf.DUMMYFUNCTION("""COMPUTED_VALUE"""),44645.666666666664)</f>
        <v>44645.66667</v>
      </c>
      <c r="D807" s="5" t="str">
        <f>IFERROR(__xludf.DUMMYFUNCTION("""COMPUTED_VALUE"""),"75369")</f>
        <v>75369</v>
      </c>
      <c r="E807" s="5" t="str">
        <f>IFERROR(__xludf.DUMMYFUNCTION("""COMPUTED_VALUE"""),"Stock")</f>
        <v>Stock</v>
      </c>
      <c r="F807" s="5" t="str">
        <f>IFERROR(__xludf.DUMMYFUNCTION("""COMPUTED_VALUE"""),"USD")</f>
        <v>USD</v>
      </c>
      <c r="G807" s="30" t="str">
        <f>IFERROR(__xludf.DUMMYFUNCTION("""COMPUTED_VALUE"""),"Email Account/ TraderID Recognized")</f>
        <v>Email Account/ TraderID Recognized</v>
      </c>
      <c r="H807" s="119" t="str">
        <f>IFERROR(__xludf.DUMMYFUNCTION("""COMPUTED_VALUE"""),"TSLA")</f>
        <v>TSLA</v>
      </c>
      <c r="I807" s="30">
        <f>IFERROR(__xludf.DUMMYFUNCTION("""COMPUTED_VALUE"""),100.0)</f>
        <v>100</v>
      </c>
      <c r="J807" s="30"/>
      <c r="K807" s="30" t="str">
        <f>IFERROR(__xludf.DUMMYFUNCTION("""COMPUTED_VALUE"""),"QTY, Limit Price (if any) &amp; Password input correct")</f>
        <v>QTY, Limit Price (if any) &amp; Password input correct</v>
      </c>
      <c r="L807" s="30"/>
    </row>
    <row r="808">
      <c r="A808" s="5"/>
      <c r="B808" s="118">
        <f>IFERROR(__xludf.DUMMYFUNCTION("""COMPUTED_VALUE"""),44645.683128125005)</f>
        <v>44645.68313</v>
      </c>
      <c r="C808" s="120">
        <f>IFERROR(__xludf.DUMMYFUNCTION("""COMPUTED_VALUE"""),44648.666666666664)</f>
        <v>44648.66667</v>
      </c>
      <c r="D808" s="5" t="str">
        <f>IFERROR(__xludf.DUMMYFUNCTION("""COMPUTED_VALUE"""),"70236")</f>
        <v>70236</v>
      </c>
      <c r="E808" s="5" t="str">
        <f>IFERROR(__xludf.DUMMYFUNCTION("""COMPUTED_VALUE"""),"Stock")</f>
        <v>Stock</v>
      </c>
      <c r="F808" s="5" t="str">
        <f>IFERROR(__xludf.DUMMYFUNCTION("""COMPUTED_VALUE"""),"error")</f>
        <v>error</v>
      </c>
      <c r="G808" s="30" t="str">
        <f>IFERROR(__xludf.DUMMYFUNCTION("""COMPUTED_VALUE"""),"Email Account/ TraderID Recognized")</f>
        <v>Email Account/ TraderID Recognized</v>
      </c>
      <c r="H808" s="121" t="str">
        <f>IFERROR(__xludf.DUMMYFUNCTION("""COMPUTED_VALUE"""),"0708.HK")</f>
        <v>0708.HK</v>
      </c>
      <c r="I808" s="30">
        <f>IFERROR(__xludf.DUMMYFUNCTION("""COMPUTED_VALUE"""),100.0)</f>
        <v>100</v>
      </c>
      <c r="J808" s="30">
        <f>IFERROR(__xludf.DUMMYFUNCTION("""COMPUTED_VALUE"""),3.12)</f>
        <v>3.12</v>
      </c>
      <c r="K808" s="30" t="str">
        <f>IFERROR(__xludf.DUMMYFUNCTION("""COMPUTED_VALUE"""),"Wrong Password Submitted, Order will be rejected")</f>
        <v>Wrong Password Submitted, Order will be rejected</v>
      </c>
      <c r="L808" s="30" t="str">
        <f>IFERROR(__xludf.DUMMYFUNCTION("""COMPUTED_VALUE"""),"Order rejected due to wrong password")</f>
        <v>Order rejected due to wrong password</v>
      </c>
    </row>
    <row r="809">
      <c r="A809" s="5"/>
      <c r="B809" s="118">
        <f>IFERROR(__xludf.DUMMYFUNCTION("""COMPUTED_VALUE"""),44645.6936591088)</f>
        <v>44645.69366</v>
      </c>
      <c r="C809" s="120">
        <f>IFERROR(__xludf.DUMMYFUNCTION("""COMPUTED_VALUE"""),44648.666666666664)</f>
        <v>44648.66667</v>
      </c>
      <c r="D809" s="5" t="str">
        <f>IFERROR(__xludf.DUMMYFUNCTION("""COMPUTED_VALUE"""),"39296")</f>
        <v>39296</v>
      </c>
      <c r="E809" s="5" t="str">
        <f>IFERROR(__xludf.DUMMYFUNCTION("""COMPUTED_VALUE"""),"Stock")</f>
        <v>Stock</v>
      </c>
      <c r="F809" s="5" t="str">
        <f>IFERROR(__xludf.DUMMYFUNCTION("""COMPUTED_VALUE"""),"HKD")</f>
        <v>HKD</v>
      </c>
      <c r="G809" s="30" t="str">
        <f>IFERROR(__xludf.DUMMYFUNCTION("""COMPUTED_VALUE"""),"Email Account/ TraderID Recognized")</f>
        <v>Email Account/ TraderID Recognized</v>
      </c>
      <c r="H809" s="121" t="str">
        <f>IFERROR(__xludf.DUMMYFUNCTION("""COMPUTED_VALUE"""),"0700.HK")</f>
        <v>0700.HK</v>
      </c>
      <c r="I809" s="30">
        <f>IFERROR(__xludf.DUMMYFUNCTION("""COMPUTED_VALUE"""),50.0)</f>
        <v>50</v>
      </c>
      <c r="J809" s="30"/>
      <c r="K809" s="30" t="str">
        <f>IFERROR(__xludf.DUMMYFUNCTION("""COMPUTED_VALUE"""),"QTY, Limit Price (if any) &amp; Password input correct")</f>
        <v>QTY, Limit Price (if any) &amp; Password input correct</v>
      </c>
      <c r="L809" s="30"/>
    </row>
    <row r="810">
      <c r="A810" s="5"/>
      <c r="B810" s="118">
        <f>IFERROR(__xludf.DUMMYFUNCTION("""COMPUTED_VALUE"""),44645.69421538194)</f>
        <v>44645.69422</v>
      </c>
      <c r="C810" s="120">
        <f>IFERROR(__xludf.DUMMYFUNCTION("""COMPUTED_VALUE"""),44645.666666666664)</f>
        <v>44645.66667</v>
      </c>
      <c r="D810" s="5" t="str">
        <f>IFERROR(__xludf.DUMMYFUNCTION("""COMPUTED_VALUE"""),"82533")</f>
        <v>82533</v>
      </c>
      <c r="E810" s="5" t="str">
        <f>IFERROR(__xludf.DUMMYFUNCTION("""COMPUTED_VALUE"""),"Stock")</f>
        <v>Stock</v>
      </c>
      <c r="F810" s="5" t="str">
        <f>IFERROR(__xludf.DUMMYFUNCTION("""COMPUTED_VALUE"""),"USD")</f>
        <v>USD</v>
      </c>
      <c r="G810" s="30" t="str">
        <f>IFERROR(__xludf.DUMMYFUNCTION("""COMPUTED_VALUE"""),"Email Account/ TraderID Recognized")</f>
        <v>Email Account/ TraderID Recognized</v>
      </c>
      <c r="H810" s="119" t="str">
        <f>IFERROR(__xludf.DUMMYFUNCTION("""COMPUTED_VALUE"""),"SNDL")</f>
        <v>SNDL</v>
      </c>
      <c r="I810" s="30">
        <f>IFERROR(__xludf.DUMMYFUNCTION("""COMPUTED_VALUE"""),35000.0)</f>
        <v>35000</v>
      </c>
      <c r="J810" s="30"/>
      <c r="K810" s="30" t="str">
        <f>IFERROR(__xludf.DUMMYFUNCTION("""COMPUTED_VALUE"""),"QTY, Limit Price (if any) &amp; Password input correct")</f>
        <v>QTY, Limit Price (if any) &amp; Password input correct</v>
      </c>
      <c r="L810" s="30"/>
    </row>
    <row r="811">
      <c r="A811" s="5"/>
      <c r="B811" s="118">
        <f>IFERROR(__xludf.DUMMYFUNCTION("""COMPUTED_VALUE"""),44645.69513173611)</f>
        <v>44645.69513</v>
      </c>
      <c r="C811" s="120">
        <f>IFERROR(__xludf.DUMMYFUNCTION("""COMPUTED_VALUE"""),44645.666666666664)</f>
        <v>44645.66667</v>
      </c>
      <c r="D811" s="5" t="str">
        <f>IFERROR(__xludf.DUMMYFUNCTION("""COMPUTED_VALUE"""),"82533")</f>
        <v>82533</v>
      </c>
      <c r="E811" s="5" t="str">
        <f>IFERROR(__xludf.DUMMYFUNCTION("""COMPUTED_VALUE"""),"Stock")</f>
        <v>Stock</v>
      </c>
      <c r="F811" s="5" t="str">
        <f>IFERROR(__xludf.DUMMYFUNCTION("""COMPUTED_VALUE"""),"USD")</f>
        <v>USD</v>
      </c>
      <c r="G811" s="30" t="str">
        <f>IFERROR(__xludf.DUMMYFUNCTION("""COMPUTED_VALUE"""),"Email Account/ TraderID Recognized")</f>
        <v>Email Account/ TraderID Recognized</v>
      </c>
      <c r="H811" s="119" t="str">
        <f>IFERROR(__xludf.DUMMYFUNCTION("""COMPUTED_VALUE"""),"SNDL")</f>
        <v>SNDL</v>
      </c>
      <c r="I811" s="30">
        <f>IFERROR(__xludf.DUMMYFUNCTION("""COMPUTED_VALUE"""),34999.0)</f>
        <v>34999</v>
      </c>
      <c r="J811" s="30"/>
      <c r="K811" s="30" t="str">
        <f>IFERROR(__xludf.DUMMYFUNCTION("""COMPUTED_VALUE"""),"QTY, Limit Price (if any) &amp; Password input correct")</f>
        <v>QTY, Limit Price (if any) &amp; Password input correct</v>
      </c>
      <c r="L811" s="30"/>
    </row>
    <row r="812">
      <c r="A812" s="5"/>
      <c r="B812" s="118">
        <f>IFERROR(__xludf.DUMMYFUNCTION("""COMPUTED_VALUE"""),44645.69781273148)</f>
        <v>44645.69781</v>
      </c>
      <c r="C812" s="120">
        <f>IFERROR(__xludf.DUMMYFUNCTION("""COMPUTED_VALUE"""),44648.666666666664)</f>
        <v>44648.66667</v>
      </c>
      <c r="D812" s="5" t="str">
        <f>IFERROR(__xludf.DUMMYFUNCTION("""COMPUTED_VALUE"""),"37934")</f>
        <v>37934</v>
      </c>
      <c r="E812" s="5" t="str">
        <f>IFERROR(__xludf.DUMMYFUNCTION("""COMPUTED_VALUE"""),"Stock")</f>
        <v>Stock</v>
      </c>
      <c r="F812" s="5" t="str">
        <f>IFERROR(__xludf.DUMMYFUNCTION("""COMPUTED_VALUE"""),"HKD")</f>
        <v>HKD</v>
      </c>
      <c r="G812" s="30" t="str">
        <f>IFERROR(__xludf.DUMMYFUNCTION("""COMPUTED_VALUE"""),"Email Account/ TraderID Recognized")</f>
        <v>Email Account/ TraderID Recognized</v>
      </c>
      <c r="H812" s="121" t="str">
        <f>IFERROR(__xludf.DUMMYFUNCTION("""COMPUTED_VALUE"""),"9988.HK")</f>
        <v>9988.HK</v>
      </c>
      <c r="I812" s="30">
        <f>IFERROR(__xludf.DUMMYFUNCTION("""COMPUTED_VALUE"""),450.0)</f>
        <v>450</v>
      </c>
      <c r="J812" s="30">
        <f>IFERROR(__xludf.DUMMYFUNCTION("""COMPUTED_VALUE"""),107.0)</f>
        <v>107</v>
      </c>
      <c r="K812" s="30" t="str">
        <f>IFERROR(__xludf.DUMMYFUNCTION("""COMPUTED_VALUE"""),"QTY, Limit Price (if any) &amp; Password input correct")</f>
        <v>QTY, Limit Price (if any) &amp; Password input correct</v>
      </c>
      <c r="L812" s="30"/>
    </row>
    <row r="813">
      <c r="A813" s="5"/>
      <c r="B813" s="118">
        <f>IFERROR(__xludf.DUMMYFUNCTION("""COMPUTED_VALUE"""),44645.69894445602)</f>
        <v>44645.69894</v>
      </c>
      <c r="C813" s="120" t="str">
        <f>IFERROR(__xludf.DUMMYFUNCTION("""COMPUTED_VALUE"""),"")</f>
        <v/>
      </c>
      <c r="D813" s="5" t="str">
        <f>IFERROR(__xludf.DUMMYFUNCTION("""COMPUTED_VALUE"""),"39296")</f>
        <v>39296</v>
      </c>
      <c r="E813" s="5" t="str">
        <f>IFERROR(__xludf.DUMMYFUNCTION("""COMPUTED_VALUE"""),"Option")</f>
        <v>Option</v>
      </c>
      <c r="F813" s="5" t="str">
        <f>IFERROR(__xludf.DUMMYFUNCTION("""COMPUTED_VALUE"""),"error")</f>
        <v>error</v>
      </c>
      <c r="G813" s="30" t="str">
        <f>IFERROR(__xludf.DUMMYFUNCTION("""COMPUTED_VALUE"""),"Email Account/ TraderID Recognized")</f>
        <v>Email Account/ TraderID Recognized</v>
      </c>
      <c r="H813" s="119" t="str">
        <f>IFERROR(__xludf.DUMMYFUNCTION("""COMPUTED_VALUE"""),"NG=F")</f>
        <v>NG=F</v>
      </c>
      <c r="I813" s="30">
        <f>IFERROR(__xludf.DUMMYFUNCTION("""COMPUTED_VALUE"""),100.0)</f>
        <v>100</v>
      </c>
      <c r="J813" s="30"/>
      <c r="K813" s="30" t="str">
        <f>IFERROR(__xludf.DUMMYFUNCTION("""COMPUTED_VALUE"""),"QTY, Limit Price (if any) &amp; Password input correct")</f>
        <v>QTY, Limit Price (if any) &amp; Password input correct</v>
      </c>
      <c r="L813" s="30" t="str">
        <f>IFERROR(__xludf.DUMMYFUNCTION("""COMPUTED_VALUE"""),"Order rejected due to wrong asset class")</f>
        <v>Order rejected due to wrong asset class</v>
      </c>
    </row>
    <row r="814">
      <c r="A814" s="5"/>
      <c r="B814" s="118">
        <f>IFERROR(__xludf.DUMMYFUNCTION("""COMPUTED_VALUE"""),44645.709706249996)</f>
        <v>44645.70971</v>
      </c>
      <c r="C814" s="120" t="str">
        <f>IFERROR(__xludf.DUMMYFUNCTION("""COMPUTED_VALUE"""),"")</f>
        <v/>
      </c>
      <c r="D814" s="5" t="str">
        <f>IFERROR(__xludf.DUMMYFUNCTION("""COMPUTED_VALUE"""),"27150")</f>
        <v>27150</v>
      </c>
      <c r="E814" s="5" t="str">
        <f>IFERROR(__xludf.DUMMYFUNCTION("""COMPUTED_VALUE"""),"Stock")</f>
        <v>Stock</v>
      </c>
      <c r="F814" s="5" t="str">
        <f>IFERROR(__xludf.DUMMYFUNCTION("""COMPUTED_VALUE"""),"error")</f>
        <v>error</v>
      </c>
      <c r="G814" s="30" t="str">
        <f>IFERROR(__xludf.DUMMYFUNCTION("""COMPUTED_VALUE"""),"Email Account/ TraderID Recognized")</f>
        <v>Email Account/ TraderID Recognized</v>
      </c>
      <c r="H814" s="119" t="str">
        <f>IFERROR(__xludf.DUMMYFUNCTION("""COMPUTED_VALUE"""),"AAPL")</f>
        <v>AAPL</v>
      </c>
      <c r="I814" s="30">
        <f>IFERROR(__xludf.DUMMYFUNCTION("""COMPUTED_VALUE"""),100.0)</f>
        <v>100</v>
      </c>
      <c r="J814" s="30">
        <f>IFERROR(__xludf.DUMMYFUNCTION("""COMPUTED_VALUE"""),180.0)</f>
        <v>180</v>
      </c>
      <c r="K814" s="30" t="str">
        <f>IFERROR(__xludf.DUMMYFUNCTION("""COMPUTED_VALUE"""),"QTY, Limit Price (if any) &amp; Password input correct")</f>
        <v>QTY, Limit Price (if any) &amp; Password input correct</v>
      </c>
      <c r="L814" s="30" t="str">
        <f>IFERROR(__xludf.DUMMYFUNCTION("""COMPUTED_VALUE"""),"Order rejected due to wrong email address")</f>
        <v>Order rejected due to wrong email address</v>
      </c>
    </row>
    <row r="815">
      <c r="A815" s="5"/>
      <c r="B815" s="118">
        <f>IFERROR(__xludf.DUMMYFUNCTION("""COMPUTED_VALUE"""),44645.71171053241)</f>
        <v>44645.71171</v>
      </c>
      <c r="C815" s="120" t="str">
        <f>IFERROR(__xludf.DUMMYFUNCTION("""COMPUTED_VALUE"""),"")</f>
        <v/>
      </c>
      <c r="D815" s="5" t="str">
        <f>IFERROR(__xludf.DUMMYFUNCTION("""COMPUTED_VALUE"""),"")</f>
        <v/>
      </c>
      <c r="E815" s="5" t="str">
        <f>IFERROR(__xludf.DUMMYFUNCTION("""COMPUTED_VALUE"""),"Stock")</f>
        <v>Stock</v>
      </c>
      <c r="F815" s="5" t="str">
        <f>IFERROR(__xludf.DUMMYFUNCTION("""COMPUTED_VALUE"""),"error")</f>
        <v>error</v>
      </c>
      <c r="G815" s="30" t="str">
        <f>IFERROR(__xludf.DUMMYFUNCTION("""COMPUTED_VALUE"""),"s127xxxxxx@nonHKMUemail")</f>
        <v>s127xxxxxx@nonHKMUemail</v>
      </c>
      <c r="H815" s="119" t="str">
        <f>IFERROR(__xludf.DUMMYFUNCTION("""COMPUTED_VALUE"""),"AAPL")</f>
        <v>AAPL</v>
      </c>
      <c r="I815" s="30">
        <f>IFERROR(__xludf.DUMMYFUNCTION("""COMPUTED_VALUE"""),100.0)</f>
        <v>100</v>
      </c>
      <c r="J815" s="30">
        <f>IFERROR(__xludf.DUMMYFUNCTION("""COMPUTED_VALUE"""),174.0)</f>
        <v>174</v>
      </c>
      <c r="K815" s="30" t="str">
        <f>IFERROR(__xludf.DUMMYFUNCTION("""COMPUTED_VALUE"""),"QTY, Limit Price (if any) &amp; Password input correct")</f>
        <v>QTY, Limit Price (if any) &amp; Password input correct</v>
      </c>
      <c r="L815" s="30" t="str">
        <f>IFERROR(__xludf.DUMMYFUNCTION("""COMPUTED_VALUE"""),"Order rejected due to wrong email address")</f>
        <v>Order rejected due to wrong email address</v>
      </c>
    </row>
    <row r="816">
      <c r="A816" s="5"/>
      <c r="B816" s="118">
        <f>IFERROR(__xludf.DUMMYFUNCTION("""COMPUTED_VALUE"""),44645.75103017361)</f>
        <v>44645.75103</v>
      </c>
      <c r="C816" s="120">
        <f>IFERROR(__xludf.DUMMYFUNCTION("""COMPUTED_VALUE"""),44648.666666666664)</f>
        <v>44648.66667</v>
      </c>
      <c r="D816" s="5" t="str">
        <f>IFERROR(__xludf.DUMMYFUNCTION("""COMPUTED_VALUE"""),"37934")</f>
        <v>37934</v>
      </c>
      <c r="E816" s="5" t="str">
        <f>IFERROR(__xludf.DUMMYFUNCTION("""COMPUTED_VALUE"""),"Stock")</f>
        <v>Stock</v>
      </c>
      <c r="F816" s="5" t="str">
        <f>IFERROR(__xludf.DUMMYFUNCTION("""COMPUTED_VALUE"""),"HKD")</f>
        <v>HKD</v>
      </c>
      <c r="G816" s="30" t="str">
        <f>IFERROR(__xludf.DUMMYFUNCTION("""COMPUTED_VALUE"""),"Email Account/ TraderID Recognized")</f>
        <v>Email Account/ TraderID Recognized</v>
      </c>
      <c r="H816" s="121" t="str">
        <f>IFERROR(__xludf.DUMMYFUNCTION("""COMPUTED_VALUE"""),"0700.HK")</f>
        <v>0700.HK</v>
      </c>
      <c r="I816" s="30">
        <f>IFERROR(__xludf.DUMMYFUNCTION("""COMPUTED_VALUE"""),200.0)</f>
        <v>200</v>
      </c>
      <c r="J816" s="30">
        <f>IFERROR(__xludf.DUMMYFUNCTION("""COMPUTED_VALUE"""),358.0)</f>
        <v>358</v>
      </c>
      <c r="K816" s="30" t="str">
        <f>IFERROR(__xludf.DUMMYFUNCTION("""COMPUTED_VALUE"""),"QTY, Limit Price (if any) &amp; Password input correct")</f>
        <v>QTY, Limit Price (if any) &amp; Password input correct</v>
      </c>
      <c r="L816" s="30"/>
    </row>
    <row r="817">
      <c r="A817" s="5"/>
      <c r="B817" s="118">
        <f>IFERROR(__xludf.DUMMYFUNCTION("""COMPUTED_VALUE"""),44645.79512019676)</f>
        <v>44645.79512</v>
      </c>
      <c r="C817" s="120">
        <f>IFERROR(__xludf.DUMMYFUNCTION("""COMPUTED_VALUE"""),44648.666666666664)</f>
        <v>44648.66667</v>
      </c>
      <c r="D817" s="5" t="str">
        <f>IFERROR(__xludf.DUMMYFUNCTION("""COMPUTED_VALUE"""),"95516")</f>
        <v>95516</v>
      </c>
      <c r="E817" s="5" t="str">
        <f>IFERROR(__xludf.DUMMYFUNCTION("""COMPUTED_VALUE"""),"Stock")</f>
        <v>Stock</v>
      </c>
      <c r="F817" s="5" t="str">
        <f>IFERROR(__xludf.DUMMYFUNCTION("""COMPUTED_VALUE"""),"HKD")</f>
        <v>HKD</v>
      </c>
      <c r="G817" s="30" t="str">
        <f>IFERROR(__xludf.DUMMYFUNCTION("""COMPUTED_VALUE"""),"Email Account/ TraderID Recognized")</f>
        <v>Email Account/ TraderID Recognized</v>
      </c>
      <c r="H817" s="121" t="str">
        <f>IFERROR(__xludf.DUMMYFUNCTION("""COMPUTED_VALUE"""),"1919.HK")</f>
        <v>1919.HK</v>
      </c>
      <c r="I817" s="30">
        <f>IFERROR(__xludf.DUMMYFUNCTION("""COMPUTED_VALUE"""),10000.0)</f>
        <v>10000</v>
      </c>
      <c r="J817" s="30"/>
      <c r="K817" s="30" t="str">
        <f>IFERROR(__xludf.DUMMYFUNCTION("""COMPUTED_VALUE"""),"QTY, Limit Price (if any) &amp; Password input correct")</f>
        <v>QTY, Limit Price (if any) &amp; Password input correct</v>
      </c>
      <c r="L817" s="30"/>
    </row>
    <row r="818">
      <c r="A818" s="5"/>
      <c r="B818" s="118">
        <f>IFERROR(__xludf.DUMMYFUNCTION("""COMPUTED_VALUE"""),44645.84729672453)</f>
        <v>44645.8473</v>
      </c>
      <c r="C818" s="120">
        <f>IFERROR(__xludf.DUMMYFUNCTION("""COMPUTED_VALUE"""),44645.666666666664)</f>
        <v>44645.66667</v>
      </c>
      <c r="D818" s="5" t="str">
        <f>IFERROR(__xludf.DUMMYFUNCTION("""COMPUTED_VALUE"""),"37400")</f>
        <v>37400</v>
      </c>
      <c r="E818" s="5" t="str">
        <f>IFERROR(__xludf.DUMMYFUNCTION("""COMPUTED_VALUE"""),"Stock")</f>
        <v>Stock</v>
      </c>
      <c r="F818" s="5" t="str">
        <f>IFERROR(__xludf.DUMMYFUNCTION("""COMPUTED_VALUE"""),"USD")</f>
        <v>USD</v>
      </c>
      <c r="G818" s="30" t="str">
        <f>IFERROR(__xludf.DUMMYFUNCTION("""COMPUTED_VALUE"""),"Email Account/ TraderID Recognized")</f>
        <v>Email Account/ TraderID Recognized</v>
      </c>
      <c r="H818" s="119" t="str">
        <f>IFERROR(__xludf.DUMMYFUNCTION("""COMPUTED_VALUE"""),"GOLD")</f>
        <v>GOLD</v>
      </c>
      <c r="I818" s="30">
        <f>IFERROR(__xludf.DUMMYFUNCTION("""COMPUTED_VALUE"""),500.0)</f>
        <v>500</v>
      </c>
      <c r="J818" s="30"/>
      <c r="K818" s="30" t="str">
        <f>IFERROR(__xludf.DUMMYFUNCTION("""COMPUTED_VALUE"""),"QTY, Limit Price (if any) &amp; Password input correct")</f>
        <v>QTY, Limit Price (if any) &amp; Password input correct</v>
      </c>
      <c r="L818" s="30"/>
    </row>
    <row r="819">
      <c r="A819" s="5"/>
      <c r="B819" s="118">
        <f>IFERROR(__xludf.DUMMYFUNCTION("""COMPUTED_VALUE"""),44645.84754274305)</f>
        <v>44645.84754</v>
      </c>
      <c r="C819" s="120">
        <f>IFERROR(__xludf.DUMMYFUNCTION("""COMPUTED_VALUE"""),44645.666666666664)</f>
        <v>44645.66667</v>
      </c>
      <c r="D819" s="5" t="str">
        <f>IFERROR(__xludf.DUMMYFUNCTION("""COMPUTED_VALUE"""),"32312")</f>
        <v>32312</v>
      </c>
      <c r="E819" s="5" t="str">
        <f>IFERROR(__xludf.DUMMYFUNCTION("""COMPUTED_VALUE"""),"Stock")</f>
        <v>Stock</v>
      </c>
      <c r="F819" s="5" t="str">
        <f>IFERROR(__xludf.DUMMYFUNCTION("""COMPUTED_VALUE"""),"USD")</f>
        <v>USD</v>
      </c>
      <c r="G819" s="30" t="str">
        <f>IFERROR(__xludf.DUMMYFUNCTION("""COMPUTED_VALUE"""),"Email Account/ TraderID Recognized")</f>
        <v>Email Account/ TraderID Recognized</v>
      </c>
      <c r="H819" s="119" t="str">
        <f>IFERROR(__xludf.DUMMYFUNCTION("""COMPUTED_VALUE"""),"GOLD")</f>
        <v>GOLD</v>
      </c>
      <c r="I819" s="30">
        <f>IFERROR(__xludf.DUMMYFUNCTION("""COMPUTED_VALUE"""),500.0)</f>
        <v>500</v>
      </c>
      <c r="J819" s="30"/>
      <c r="K819" s="30" t="str">
        <f>IFERROR(__xludf.DUMMYFUNCTION("""COMPUTED_VALUE"""),"QTY, Limit Price (if any) &amp; Password input correct")</f>
        <v>QTY, Limit Price (if any) &amp; Password input correct</v>
      </c>
      <c r="L819" s="30"/>
    </row>
    <row r="820">
      <c r="A820" s="5"/>
      <c r="B820" s="118">
        <f>IFERROR(__xludf.DUMMYFUNCTION("""COMPUTED_VALUE"""),44645.849651157405)</f>
        <v>44645.84965</v>
      </c>
      <c r="C820" s="120">
        <f>IFERROR(__xludf.DUMMYFUNCTION("""COMPUTED_VALUE"""),44645.666666666664)</f>
        <v>44645.66667</v>
      </c>
      <c r="D820" s="5" t="str">
        <f>IFERROR(__xludf.DUMMYFUNCTION("""COMPUTED_VALUE"""),"39608")</f>
        <v>39608</v>
      </c>
      <c r="E820" s="5" t="str">
        <f>IFERROR(__xludf.DUMMYFUNCTION("""COMPUTED_VALUE"""),"Stock")</f>
        <v>Stock</v>
      </c>
      <c r="F820" s="5" t="str">
        <f>IFERROR(__xludf.DUMMYFUNCTION("""COMPUTED_VALUE"""),"USD")</f>
        <v>USD</v>
      </c>
      <c r="G820" s="30" t="str">
        <f>IFERROR(__xludf.DUMMYFUNCTION("""COMPUTED_VALUE"""),"Email Account/ TraderID Recognized")</f>
        <v>Email Account/ TraderID Recognized</v>
      </c>
      <c r="H820" s="119" t="str">
        <f>IFERROR(__xludf.DUMMYFUNCTION("""COMPUTED_VALUE"""),"GOLD")</f>
        <v>GOLD</v>
      </c>
      <c r="I820" s="30">
        <f>IFERROR(__xludf.DUMMYFUNCTION("""COMPUTED_VALUE"""),500.0)</f>
        <v>500</v>
      </c>
      <c r="J820" s="30"/>
      <c r="K820" s="30" t="str">
        <f>IFERROR(__xludf.DUMMYFUNCTION("""COMPUTED_VALUE"""),"QTY, Limit Price (if any) &amp; Password input correct")</f>
        <v>QTY, Limit Price (if any) &amp; Password input correct</v>
      </c>
      <c r="L820" s="30"/>
    </row>
    <row r="821">
      <c r="A821" s="5"/>
      <c r="B821" s="118">
        <f>IFERROR(__xludf.DUMMYFUNCTION("""COMPUTED_VALUE"""),44645.85334494213)</f>
        <v>44645.85334</v>
      </c>
      <c r="C821" s="120" t="str">
        <f>IFERROR(__xludf.DUMMYFUNCTION("""COMPUTED_VALUE"""),"")</f>
        <v/>
      </c>
      <c r="D821" s="5" t="str">
        <f>IFERROR(__xludf.DUMMYFUNCTION("""COMPUTED_VALUE"""),"")</f>
        <v/>
      </c>
      <c r="E821" s="5" t="str">
        <f>IFERROR(__xludf.DUMMYFUNCTION("""COMPUTED_VALUE"""),"Stock")</f>
        <v>Stock</v>
      </c>
      <c r="F821" s="5" t="str">
        <f>IFERROR(__xludf.DUMMYFUNCTION("""COMPUTED_VALUE"""),"error")</f>
        <v>error</v>
      </c>
      <c r="G821" s="30" t="str">
        <f>IFERROR(__xludf.DUMMYFUNCTION("""COMPUTED_VALUE"""),"s127xxxxxx@nonHKMUemail")</f>
        <v>s127xxxxxx@nonHKMUemail</v>
      </c>
      <c r="H821" s="121" t="str">
        <f>IFERROR(__xludf.DUMMYFUNCTION("""COMPUTED_VALUE"""),"600745.SS")</f>
        <v>600745.SS</v>
      </c>
      <c r="I821" s="30">
        <f>IFERROR(__xludf.DUMMYFUNCTION("""COMPUTED_VALUE"""),1800.0)</f>
        <v>1800</v>
      </c>
      <c r="J821" s="30"/>
      <c r="K821" s="30" t="str">
        <f>IFERROR(__xludf.DUMMYFUNCTION("""COMPUTED_VALUE"""),"QTY, Limit Price (if any) &amp; Password input correct")</f>
        <v>QTY, Limit Price (if any) &amp; Password input correct</v>
      </c>
      <c r="L821" s="30" t="str">
        <f>IFERROR(__xludf.DUMMYFUNCTION("""COMPUTED_VALUE"""),"Order rejected due to non school email address")</f>
        <v>Order rejected due to non school email address</v>
      </c>
    </row>
    <row r="822">
      <c r="A822" s="5"/>
      <c r="B822" s="118">
        <f>IFERROR(__xludf.DUMMYFUNCTION("""COMPUTED_VALUE"""),44645.930890856485)</f>
        <v>44645.93089</v>
      </c>
      <c r="C822" s="120">
        <f>IFERROR(__xludf.DUMMYFUNCTION("""COMPUTED_VALUE"""),44648.666666666664)</f>
        <v>44648.66667</v>
      </c>
      <c r="D822" s="5" t="str">
        <f>IFERROR(__xludf.DUMMYFUNCTION("""COMPUTED_VALUE"""),"75369")</f>
        <v>75369</v>
      </c>
      <c r="E822" s="5" t="str">
        <f>IFERROR(__xludf.DUMMYFUNCTION("""COMPUTED_VALUE"""),"Stock")</f>
        <v>Stock</v>
      </c>
      <c r="F822" s="5" t="str">
        <f>IFERROR(__xludf.DUMMYFUNCTION("""COMPUTED_VALUE"""),"HKD")</f>
        <v>HKD</v>
      </c>
      <c r="G822" s="30" t="str">
        <f>IFERROR(__xludf.DUMMYFUNCTION("""COMPUTED_VALUE"""),"Email Account/ TraderID Recognized")</f>
        <v>Email Account/ TraderID Recognized</v>
      </c>
      <c r="H822" s="121" t="str">
        <f>IFERROR(__xludf.DUMMYFUNCTION("""COMPUTED_VALUE"""),"3690.hk")</f>
        <v>3690.hk</v>
      </c>
      <c r="I822" s="30">
        <f>IFERROR(__xludf.DUMMYFUNCTION("""COMPUTED_VALUE"""),200.0)</f>
        <v>200</v>
      </c>
      <c r="J822" s="30"/>
      <c r="K822" s="30" t="str">
        <f>IFERROR(__xludf.DUMMYFUNCTION("""COMPUTED_VALUE"""),"QTY, Limit Price (if any) &amp; Password input correct")</f>
        <v>QTY, Limit Price (if any) &amp; Password input correct</v>
      </c>
      <c r="L822" s="30"/>
    </row>
    <row r="823">
      <c r="A823" s="5"/>
      <c r="B823" s="118">
        <f>IFERROR(__xludf.DUMMYFUNCTION("""COMPUTED_VALUE"""),44645.98312798611)</f>
        <v>44645.98313</v>
      </c>
      <c r="C823" s="120">
        <f>IFERROR(__xludf.DUMMYFUNCTION("""COMPUTED_VALUE"""),44645.666666666664)</f>
        <v>44645.66667</v>
      </c>
      <c r="D823" s="5" t="str">
        <f>IFERROR(__xludf.DUMMYFUNCTION("""COMPUTED_VALUE"""),"89750")</f>
        <v>89750</v>
      </c>
      <c r="E823" s="5" t="str">
        <f>IFERROR(__xludf.DUMMYFUNCTION("""COMPUTED_VALUE"""),"Option")</f>
        <v>Option</v>
      </c>
      <c r="F823" s="5" t="str">
        <f>IFERROR(__xludf.DUMMYFUNCTION("""COMPUTED_VALUE"""),"USD")</f>
        <v>USD</v>
      </c>
      <c r="G823" s="30" t="str">
        <f>IFERROR(__xludf.DUMMYFUNCTION("""COMPUTED_VALUE"""),"Email Account/ TraderID Recognized")</f>
        <v>Email Account/ TraderID Recognized</v>
      </c>
      <c r="H823" s="119" t="str">
        <f>IFERROR(__xludf.DUMMYFUNCTION("""COMPUTED_VALUE"""),"ARKF220408P00028500")</f>
        <v>ARKF220408P00028500</v>
      </c>
      <c r="I823" s="30">
        <f>IFERROR(__xludf.DUMMYFUNCTION("""COMPUTED_VALUE"""),100.0)</f>
        <v>100</v>
      </c>
      <c r="J823" s="30">
        <f>IFERROR(__xludf.DUMMYFUNCTION("""COMPUTED_VALUE"""),0.8)</f>
        <v>0.8</v>
      </c>
      <c r="K823" s="30" t="str">
        <f>IFERROR(__xludf.DUMMYFUNCTION("""COMPUTED_VALUE"""),"QTY, Limit Price (if any) &amp; Password input correct")</f>
        <v>QTY, Limit Price (if any) &amp; Password input correct</v>
      </c>
      <c r="L823" s="30"/>
    </row>
    <row r="824">
      <c r="A824" s="5"/>
      <c r="B824" s="118">
        <f>IFERROR(__xludf.DUMMYFUNCTION("""COMPUTED_VALUE"""),44646.09369298611)</f>
        <v>44646.09369</v>
      </c>
      <c r="C824" s="120">
        <f>IFERROR(__xludf.DUMMYFUNCTION("""COMPUTED_VALUE"""),44645.666666666664)</f>
        <v>44645.66667</v>
      </c>
      <c r="D824" s="5" t="str">
        <f>IFERROR(__xludf.DUMMYFUNCTION("""COMPUTED_VALUE"""),"38307")</f>
        <v>38307</v>
      </c>
      <c r="E824" s="5" t="str">
        <f>IFERROR(__xludf.DUMMYFUNCTION("""COMPUTED_VALUE"""),"Stock")</f>
        <v>Stock</v>
      </c>
      <c r="F824" s="5" t="str">
        <f>IFERROR(__xludf.DUMMYFUNCTION("""COMPUTED_VALUE"""),"USD")</f>
        <v>USD</v>
      </c>
      <c r="G824" s="30" t="str">
        <f>IFERROR(__xludf.DUMMYFUNCTION("""COMPUTED_VALUE"""),"Email Account/ TraderID Recognized")</f>
        <v>Email Account/ TraderID Recognized</v>
      </c>
      <c r="H824" s="119" t="str">
        <f>IFERROR(__xludf.DUMMYFUNCTION("""COMPUTED_VALUE"""),"FWONK")</f>
        <v>FWONK</v>
      </c>
      <c r="I824" s="30">
        <f>IFERROR(__xludf.DUMMYFUNCTION("""COMPUTED_VALUE"""),300.0)</f>
        <v>300</v>
      </c>
      <c r="J824" s="30"/>
      <c r="K824" s="30" t="str">
        <f>IFERROR(__xludf.DUMMYFUNCTION("""COMPUTED_VALUE"""),"QTY, Limit Price (if any) &amp; Password input correct")</f>
        <v>QTY, Limit Price (if any) &amp; Password input correct</v>
      </c>
      <c r="L824" s="30"/>
    </row>
    <row r="825">
      <c r="A825" s="5"/>
      <c r="B825" s="118">
        <f>IFERROR(__xludf.DUMMYFUNCTION("""COMPUTED_VALUE"""),44646.10364113426)</f>
        <v>44646.10364</v>
      </c>
      <c r="C825" s="120">
        <f>IFERROR(__xludf.DUMMYFUNCTION("""COMPUTED_VALUE"""),44645.666666666664)</f>
        <v>44645.66667</v>
      </c>
      <c r="D825" s="5" t="str">
        <f>IFERROR(__xludf.DUMMYFUNCTION("""COMPUTED_VALUE"""),"38307")</f>
        <v>38307</v>
      </c>
      <c r="E825" s="5" t="str">
        <f>IFERROR(__xludf.DUMMYFUNCTION("""COMPUTED_VALUE"""),"Stock")</f>
        <v>Stock</v>
      </c>
      <c r="F825" s="5" t="str">
        <f>IFERROR(__xludf.DUMMYFUNCTION("""COMPUTED_VALUE"""),"USD")</f>
        <v>USD</v>
      </c>
      <c r="G825" s="30" t="str">
        <f>IFERROR(__xludf.DUMMYFUNCTION("""COMPUTED_VALUE"""),"Email Account/ TraderID Recognized")</f>
        <v>Email Account/ TraderID Recognized</v>
      </c>
      <c r="H825" s="119" t="str">
        <f>IFERROR(__xludf.DUMMYFUNCTION("""COMPUTED_VALUE"""),"PFE")</f>
        <v>PFE</v>
      </c>
      <c r="I825" s="30">
        <f>IFERROR(__xludf.DUMMYFUNCTION("""COMPUTED_VALUE"""),500.0)</f>
        <v>500</v>
      </c>
      <c r="J825" s="30"/>
      <c r="K825" s="30" t="str">
        <f>IFERROR(__xludf.DUMMYFUNCTION("""COMPUTED_VALUE"""),"QTY, Limit Price (if any) &amp; Password input correct")</f>
        <v>QTY, Limit Price (if any) &amp; Password input correct</v>
      </c>
      <c r="L825" s="30"/>
    </row>
    <row r="826">
      <c r="A826" s="5"/>
      <c r="B826" s="118">
        <f>IFERROR(__xludf.DUMMYFUNCTION("""COMPUTED_VALUE"""),44646.40224383102)</f>
        <v>44646.40224</v>
      </c>
      <c r="C826" s="120">
        <f>IFERROR(__xludf.DUMMYFUNCTION("""COMPUTED_VALUE"""),44648.666666666664)</f>
        <v>44648.66667</v>
      </c>
      <c r="D826" s="5" t="str">
        <f>IFERROR(__xludf.DUMMYFUNCTION("""COMPUTED_VALUE"""),"46600")</f>
        <v>46600</v>
      </c>
      <c r="E826" s="5" t="str">
        <f>IFERROR(__xludf.DUMMYFUNCTION("""COMPUTED_VALUE"""),"Stock")</f>
        <v>Stock</v>
      </c>
      <c r="F826" s="5" t="str">
        <f>IFERROR(__xludf.DUMMYFUNCTION("""COMPUTED_VALUE"""),"USD")</f>
        <v>USD</v>
      </c>
      <c r="G826" s="30" t="str">
        <f>IFERROR(__xludf.DUMMYFUNCTION("""COMPUTED_VALUE"""),"Email Account/ TraderID Recognized")</f>
        <v>Email Account/ TraderID Recognized</v>
      </c>
      <c r="H826" s="119" t="str">
        <f>IFERROR(__xludf.DUMMYFUNCTION("""COMPUTED_VALUE"""),"TSLA")</f>
        <v>TSLA</v>
      </c>
      <c r="I826" s="30">
        <f>IFERROR(__xludf.DUMMYFUNCTION("""COMPUTED_VALUE"""),200.0)</f>
        <v>200</v>
      </c>
      <c r="J826" s="30"/>
      <c r="K826" s="30" t="str">
        <f>IFERROR(__xludf.DUMMYFUNCTION("""COMPUTED_VALUE"""),"QTY, Limit Price (if any) &amp; Password input correct")</f>
        <v>QTY, Limit Price (if any) &amp; Password input correct</v>
      </c>
      <c r="L826" s="30"/>
    </row>
    <row r="827">
      <c r="A827" s="5"/>
      <c r="B827" s="118">
        <f>IFERROR(__xludf.DUMMYFUNCTION("""COMPUTED_VALUE"""),44646.402596307875)</f>
        <v>44646.4026</v>
      </c>
      <c r="C827" s="120">
        <f>IFERROR(__xludf.DUMMYFUNCTION("""COMPUTED_VALUE"""),44648.666666666664)</f>
        <v>44648.66667</v>
      </c>
      <c r="D827" s="5" t="str">
        <f>IFERROR(__xludf.DUMMYFUNCTION("""COMPUTED_VALUE"""),"46600")</f>
        <v>46600</v>
      </c>
      <c r="E827" s="5" t="str">
        <f>IFERROR(__xludf.DUMMYFUNCTION("""COMPUTED_VALUE"""),"Stock")</f>
        <v>Stock</v>
      </c>
      <c r="F827" s="5" t="str">
        <f>IFERROR(__xludf.DUMMYFUNCTION("""COMPUTED_VALUE"""),"USD")</f>
        <v>USD</v>
      </c>
      <c r="G827" s="30" t="str">
        <f>IFERROR(__xludf.DUMMYFUNCTION("""COMPUTED_VALUE"""),"Email Account/ TraderID Recognized")</f>
        <v>Email Account/ TraderID Recognized</v>
      </c>
      <c r="H827" s="119" t="str">
        <f>IFERROR(__xludf.DUMMYFUNCTION("""COMPUTED_VALUE"""),"AAPL")</f>
        <v>AAPL</v>
      </c>
      <c r="I827" s="30">
        <f>IFERROR(__xludf.DUMMYFUNCTION("""COMPUTED_VALUE"""),200.0)</f>
        <v>200</v>
      </c>
      <c r="J827" s="30"/>
      <c r="K827" s="30" t="str">
        <f>IFERROR(__xludf.DUMMYFUNCTION("""COMPUTED_VALUE"""),"QTY, Limit Price (if any) &amp; Password input correct")</f>
        <v>QTY, Limit Price (if any) &amp; Password input correct</v>
      </c>
      <c r="L827" s="30"/>
    </row>
    <row r="828">
      <c r="A828" s="5"/>
      <c r="B828" s="118">
        <f>IFERROR(__xludf.DUMMYFUNCTION("""COMPUTED_VALUE"""),44646.40309807871)</f>
        <v>44646.4031</v>
      </c>
      <c r="C828" s="120">
        <f>IFERROR(__xludf.DUMMYFUNCTION("""COMPUTED_VALUE"""),44648.666666666664)</f>
        <v>44648.66667</v>
      </c>
      <c r="D828" s="5" t="str">
        <f>IFERROR(__xludf.DUMMYFUNCTION("""COMPUTED_VALUE"""),"46600")</f>
        <v>46600</v>
      </c>
      <c r="E828" s="5" t="str">
        <f>IFERROR(__xludf.DUMMYFUNCTION("""COMPUTED_VALUE"""),"Stock")</f>
        <v>Stock</v>
      </c>
      <c r="F828" s="5" t="str">
        <f>IFERROR(__xludf.DUMMYFUNCTION("""COMPUTED_VALUE"""),"HKD")</f>
        <v>HKD</v>
      </c>
      <c r="G828" s="30" t="str">
        <f>IFERROR(__xludf.DUMMYFUNCTION("""COMPUTED_VALUE"""),"Email Account/ TraderID Recognized")</f>
        <v>Email Account/ TraderID Recognized</v>
      </c>
      <c r="H828" s="121" t="str">
        <f>IFERROR(__xludf.DUMMYFUNCTION("""COMPUTED_VALUE"""),"0700.HK")</f>
        <v>0700.HK</v>
      </c>
      <c r="I828" s="30">
        <f>IFERROR(__xludf.DUMMYFUNCTION("""COMPUTED_VALUE"""),300.0)</f>
        <v>300</v>
      </c>
      <c r="J828" s="30"/>
      <c r="K828" s="30" t="str">
        <f>IFERROR(__xludf.DUMMYFUNCTION("""COMPUTED_VALUE"""),"QTY, Limit Price (if any) &amp; Password input correct")</f>
        <v>QTY, Limit Price (if any) &amp; Password input correct</v>
      </c>
      <c r="L828" s="30"/>
    </row>
    <row r="829">
      <c r="A829" s="5"/>
      <c r="B829" s="118">
        <f>IFERROR(__xludf.DUMMYFUNCTION("""COMPUTED_VALUE"""),44646.431763217595)</f>
        <v>44646.43176</v>
      </c>
      <c r="C829" s="120">
        <f>IFERROR(__xludf.DUMMYFUNCTION("""COMPUTED_VALUE"""),44648.666666666664)</f>
        <v>44648.66667</v>
      </c>
      <c r="D829" s="5" t="str">
        <f>IFERROR(__xludf.DUMMYFUNCTION("""COMPUTED_VALUE"""),"99308")</f>
        <v>99308</v>
      </c>
      <c r="E829" s="5" t="str">
        <f>IFERROR(__xludf.DUMMYFUNCTION("""COMPUTED_VALUE"""),"Stock")</f>
        <v>Stock</v>
      </c>
      <c r="F829" s="5" t="str">
        <f>IFERROR(__xludf.DUMMYFUNCTION("""COMPUTED_VALUE"""),"error")</f>
        <v>error</v>
      </c>
      <c r="G829" s="30" t="str">
        <f>IFERROR(__xludf.DUMMYFUNCTION("""COMPUTED_VALUE"""),"Email Account/ TraderID Recognized")</f>
        <v>Email Account/ TraderID Recognized</v>
      </c>
      <c r="H829" s="119" t="str">
        <f>IFERROR(__xludf.DUMMYFUNCTION("""COMPUTED_VALUE"""),"ANTM")</f>
        <v>ANTM</v>
      </c>
      <c r="I829" s="30">
        <f>IFERROR(__xludf.DUMMYFUNCTION("""COMPUTED_VALUE"""),80.0)</f>
        <v>80</v>
      </c>
      <c r="J829" s="30">
        <f>IFERROR(__xludf.DUMMYFUNCTION("""COMPUTED_VALUE"""),480.0)</f>
        <v>480</v>
      </c>
      <c r="K829" s="30" t="str">
        <f>IFERROR(__xludf.DUMMYFUNCTION("""COMPUTED_VALUE"""),"QTY, Limit Price (if any) &amp; Password input correct")</f>
        <v>QTY, Limit Price (if any) &amp; Password input correct</v>
      </c>
      <c r="L829" s="30" t="str">
        <f>IFERROR(__xludf.DUMMYFUNCTION("""COMPUTED_VALUE"""),"Order rejected due to non-school email address")</f>
        <v>Order rejected due to non-school email address</v>
      </c>
    </row>
    <row r="830">
      <c r="A830" s="5"/>
      <c r="B830" s="118">
        <f>IFERROR(__xludf.DUMMYFUNCTION("""COMPUTED_VALUE"""),44646.47613018518)</f>
        <v>44646.47613</v>
      </c>
      <c r="C830" s="120">
        <f>IFERROR(__xludf.DUMMYFUNCTION("""COMPUTED_VALUE"""),44648.666666666664)</f>
        <v>44648.66667</v>
      </c>
      <c r="D830" s="5" t="str">
        <f>IFERROR(__xludf.DUMMYFUNCTION("""COMPUTED_VALUE"""),"38705")</f>
        <v>38705</v>
      </c>
      <c r="E830" s="5" t="str">
        <f>IFERROR(__xludf.DUMMYFUNCTION("""COMPUTED_VALUE"""),"Stock")</f>
        <v>Stock</v>
      </c>
      <c r="F830" s="5" t="str">
        <f>IFERROR(__xludf.DUMMYFUNCTION("""COMPUTED_VALUE"""),"USD")</f>
        <v>USD</v>
      </c>
      <c r="G830" s="30" t="str">
        <f>IFERROR(__xludf.DUMMYFUNCTION("""COMPUTED_VALUE"""),"Email Account/ TraderID Recognized")</f>
        <v>Email Account/ TraderID Recognized</v>
      </c>
      <c r="H830" s="119" t="str">
        <f>IFERROR(__xludf.DUMMYFUNCTION("""COMPUTED_VALUE"""),"ANTM")</f>
        <v>ANTM</v>
      </c>
      <c r="I830" s="30">
        <f>IFERROR(__xludf.DUMMYFUNCTION("""COMPUTED_VALUE"""),20.0)</f>
        <v>20</v>
      </c>
      <c r="J830" s="30"/>
      <c r="K830" s="30" t="str">
        <f>IFERROR(__xludf.DUMMYFUNCTION("""COMPUTED_VALUE"""),"QTY, Limit Price (if any) &amp; Password input correct")</f>
        <v>QTY, Limit Price (if any) &amp; Password input correct</v>
      </c>
      <c r="L830" s="30"/>
    </row>
    <row r="831">
      <c r="A831" s="5"/>
      <c r="B831" s="118">
        <f>IFERROR(__xludf.DUMMYFUNCTION("""COMPUTED_VALUE"""),44646.48038792824)</f>
        <v>44646.48039</v>
      </c>
      <c r="C831" s="120">
        <f>IFERROR(__xludf.DUMMYFUNCTION("""COMPUTED_VALUE"""),44648.666666666664)</f>
        <v>44648.66667</v>
      </c>
      <c r="D831" s="5" t="str">
        <f>IFERROR(__xludf.DUMMYFUNCTION("""COMPUTED_VALUE"""),"36242")</f>
        <v>36242</v>
      </c>
      <c r="E831" s="5" t="str">
        <f>IFERROR(__xludf.DUMMYFUNCTION("""COMPUTED_VALUE"""),"Stock")</f>
        <v>Stock</v>
      </c>
      <c r="F831" s="5" t="str">
        <f>IFERROR(__xludf.DUMMYFUNCTION("""COMPUTED_VALUE"""),"USD")</f>
        <v>USD</v>
      </c>
      <c r="G831" s="30" t="str">
        <f>IFERROR(__xludf.DUMMYFUNCTION("""COMPUTED_VALUE"""),"Email Account/ TraderID Recognized")</f>
        <v>Email Account/ TraderID Recognized</v>
      </c>
      <c r="H831" s="119" t="str">
        <f>IFERROR(__xludf.DUMMYFUNCTION("""COMPUTED_VALUE"""),"TSLA")</f>
        <v>TSLA</v>
      </c>
      <c r="I831" s="30">
        <f>IFERROR(__xludf.DUMMYFUNCTION("""COMPUTED_VALUE"""),50.0)</f>
        <v>50</v>
      </c>
      <c r="J831" s="30">
        <f>IFERROR(__xludf.DUMMYFUNCTION("""COMPUTED_VALUE"""),1010.0)</f>
        <v>1010</v>
      </c>
      <c r="K831" s="30" t="str">
        <f>IFERROR(__xludf.DUMMYFUNCTION("""COMPUTED_VALUE"""),"QTY, Limit Price (if any) &amp; Password input correct")</f>
        <v>QTY, Limit Price (if any) &amp; Password input correct</v>
      </c>
      <c r="L831" s="30"/>
    </row>
    <row r="832">
      <c r="A832" s="5"/>
      <c r="B832" s="118">
        <f>IFERROR(__xludf.DUMMYFUNCTION("""COMPUTED_VALUE"""),44646.78214282407)</f>
        <v>44646.78214</v>
      </c>
      <c r="C832" s="120">
        <f>IFERROR(__xludf.DUMMYFUNCTION("""COMPUTED_VALUE"""),44648.666666666664)</f>
        <v>44648.66667</v>
      </c>
      <c r="D832" s="5" t="str">
        <f>IFERROR(__xludf.DUMMYFUNCTION("""COMPUTED_VALUE"""),"")</f>
        <v/>
      </c>
      <c r="E832" s="5" t="str">
        <f>IFERROR(__xludf.DUMMYFUNCTION("""COMPUTED_VALUE"""),"Stock")</f>
        <v>Stock</v>
      </c>
      <c r="F832" s="5" t="str">
        <f>IFERROR(__xludf.DUMMYFUNCTION("""COMPUTED_VALUE"""),"error")</f>
        <v>error</v>
      </c>
      <c r="G832" s="30" t="str">
        <f>IFERROR(__xludf.DUMMYFUNCTION("""COMPUTED_VALUE"""),"jiaxxxxxxx@nonHKMUemail")</f>
        <v>jiaxxxxxxx@nonHKMUemail</v>
      </c>
      <c r="H832" s="121" t="str">
        <f>IFERROR(__xludf.DUMMYFUNCTION("""COMPUTED_VALUE"""),"0006.HK")</f>
        <v>0006.HK</v>
      </c>
      <c r="I832" s="30">
        <f>IFERROR(__xludf.DUMMYFUNCTION("""COMPUTED_VALUE"""),500.0)</f>
        <v>500</v>
      </c>
      <c r="J832" s="30">
        <f>IFERROR(__xludf.DUMMYFUNCTION("""COMPUTED_VALUE"""),51.25)</f>
        <v>51.25</v>
      </c>
      <c r="K832" s="30" t="str">
        <f>IFERROR(__xludf.DUMMYFUNCTION("""COMPUTED_VALUE"""),"QTY, Limit Price (if any) &amp; Password input correct")</f>
        <v>QTY, Limit Price (if any) &amp; Password input correct</v>
      </c>
      <c r="L832" s="30" t="str">
        <f>IFERROR(__xludf.DUMMYFUNCTION("""COMPUTED_VALUE"""),"Order rejected due to non-school email address")</f>
        <v>Order rejected due to non-school email address</v>
      </c>
    </row>
    <row r="833">
      <c r="A833" s="5"/>
      <c r="B833" s="118">
        <f>IFERROR(__xludf.DUMMYFUNCTION("""COMPUTED_VALUE"""),44646.92803697917)</f>
        <v>44646.92804</v>
      </c>
      <c r="C833" s="120">
        <f>IFERROR(__xludf.DUMMYFUNCTION("""COMPUTED_VALUE"""),44648.666666666664)</f>
        <v>44648.66667</v>
      </c>
      <c r="D833" s="5" t="str">
        <f>IFERROR(__xludf.DUMMYFUNCTION("""COMPUTED_VALUE"""),"40105")</f>
        <v>40105</v>
      </c>
      <c r="E833" s="5" t="str">
        <f>IFERROR(__xludf.DUMMYFUNCTION("""COMPUTED_VALUE"""),"Stock")</f>
        <v>Stock</v>
      </c>
      <c r="F833" s="5" t="str">
        <f>IFERROR(__xludf.DUMMYFUNCTION("""COMPUTED_VALUE"""),"USD")</f>
        <v>USD</v>
      </c>
      <c r="G833" s="30" t="str">
        <f>IFERROR(__xludf.DUMMYFUNCTION("""COMPUTED_VALUE"""),"Email Account/ TraderID Recognized")</f>
        <v>Email Account/ TraderID Recognized</v>
      </c>
      <c r="H833" s="119" t="str">
        <f>IFERROR(__xludf.DUMMYFUNCTION("""COMPUTED_VALUE"""),"DIS")</f>
        <v>DIS</v>
      </c>
      <c r="I833" s="30">
        <f>IFERROR(__xludf.DUMMYFUNCTION("""COMPUTED_VALUE"""),150.0)</f>
        <v>150</v>
      </c>
      <c r="J833" s="30"/>
      <c r="K833" s="30" t="str">
        <f>IFERROR(__xludf.DUMMYFUNCTION("""COMPUTED_VALUE"""),"QTY, Limit Price (if any) &amp; Password input correct")</f>
        <v>QTY, Limit Price (if any) &amp; Password input correct</v>
      </c>
      <c r="L833" s="30"/>
    </row>
    <row r="834">
      <c r="A834" s="5"/>
      <c r="B834" s="118">
        <f>IFERROR(__xludf.DUMMYFUNCTION("""COMPUTED_VALUE"""),44646.92911394676)</f>
        <v>44646.92911</v>
      </c>
      <c r="C834" s="120">
        <f>IFERROR(__xludf.DUMMYFUNCTION("""COMPUTED_VALUE"""),44648.666666666664)</f>
        <v>44648.66667</v>
      </c>
      <c r="D834" s="5" t="str">
        <f>IFERROR(__xludf.DUMMYFUNCTION("""COMPUTED_VALUE"""),"40105")</f>
        <v>40105</v>
      </c>
      <c r="E834" s="5" t="str">
        <f>IFERROR(__xludf.DUMMYFUNCTION("""COMPUTED_VALUE"""),"Stock")</f>
        <v>Stock</v>
      </c>
      <c r="F834" s="5" t="str">
        <f>IFERROR(__xludf.DUMMYFUNCTION("""COMPUTED_VALUE"""),"error")</f>
        <v>error</v>
      </c>
      <c r="G834" s="30" t="str">
        <f>IFERROR(__xludf.DUMMYFUNCTION("""COMPUTED_VALUE"""),"Email Account/ TraderID Recognized")</f>
        <v>Email Account/ TraderID Recognized</v>
      </c>
      <c r="H834" s="119" t="str">
        <f>IFERROR(__xludf.DUMMYFUNCTION("""COMPUTED_VALUE"""),"S&amp;P 500")</f>
        <v>S&amp;P 500</v>
      </c>
      <c r="I834" s="30">
        <f>IFERROR(__xludf.DUMMYFUNCTION("""COMPUTED_VALUE"""),4.0)</f>
        <v>4</v>
      </c>
      <c r="J834" s="30"/>
      <c r="K834" s="30" t="str">
        <f>IFERROR(__xludf.DUMMYFUNCTION("""COMPUTED_VALUE"""),"QTY, Limit Price (if any) &amp; Password input correct")</f>
        <v>QTY, Limit Price (if any) &amp; Password input correct</v>
      </c>
      <c r="L834" s="30" t="str">
        <f>IFERROR(__xludf.DUMMYFUNCTION("""COMPUTED_VALUE"""),"Order rejected due to non-school email address and wrong ticker code")</f>
        <v>Order rejected due to non-school email address and wrong ticker code</v>
      </c>
    </row>
    <row r="835">
      <c r="A835" s="5"/>
      <c r="B835" s="118">
        <f>IFERROR(__xludf.DUMMYFUNCTION("""COMPUTED_VALUE"""),44647.450072418986)</f>
        <v>44647.45007</v>
      </c>
      <c r="C835" s="120">
        <f>IFERROR(__xludf.DUMMYFUNCTION("""COMPUTED_VALUE"""),44648.666666666664)</f>
        <v>44648.66667</v>
      </c>
      <c r="D835" s="5" t="str">
        <f>IFERROR(__xludf.DUMMYFUNCTION("""COMPUTED_VALUE"""),"")</f>
        <v/>
      </c>
      <c r="E835" s="5" t="str">
        <f>IFERROR(__xludf.DUMMYFUNCTION("""COMPUTED_VALUE"""),"Stock")</f>
        <v>Stock</v>
      </c>
      <c r="F835" s="5" t="str">
        <f>IFERROR(__xludf.DUMMYFUNCTION("""COMPUTED_VALUE"""),"error")</f>
        <v>error</v>
      </c>
      <c r="G835" s="30" t="str">
        <f>IFERROR(__xludf.DUMMYFUNCTION("""COMPUTED_VALUE"""),"1012xxxxxx@nonHKMUemail")</f>
        <v>1012xxxxxx@nonHKMUemail</v>
      </c>
      <c r="H835" s="121" t="str">
        <f>IFERROR(__xludf.DUMMYFUNCTION("""COMPUTED_VALUE"""),"002657.SZ")</f>
        <v>002657.SZ</v>
      </c>
      <c r="I835" s="123">
        <f>IFERROR(__xludf.DUMMYFUNCTION("""COMPUTED_VALUE"""),2657.0)</f>
        <v>2657</v>
      </c>
      <c r="J835" s="30">
        <f>IFERROR(__xludf.DUMMYFUNCTION("""COMPUTED_VALUE"""),15.5)</f>
        <v>15.5</v>
      </c>
      <c r="K835" s="30" t="str">
        <f>IFERROR(__xludf.DUMMYFUNCTION("""COMPUTED_VALUE"""),"QTY, Limit Price (if any) &amp; Password input correct")</f>
        <v>QTY, Limit Price (if any) &amp; Password input correct</v>
      </c>
      <c r="L835" s="30" t="str">
        <f>IFERROR(__xludf.DUMMYFUNCTION("""COMPUTED_VALUE"""),"Order rejected due to non-school email address and wrong quantity input")</f>
        <v>Order rejected due to non-school email address and wrong quantity input</v>
      </c>
    </row>
    <row r="836">
      <c r="A836" s="5"/>
      <c r="B836" s="118">
        <f>IFERROR(__xludf.DUMMYFUNCTION("""COMPUTED_VALUE"""),44647.86768269676)</f>
        <v>44647.86768</v>
      </c>
      <c r="C836" s="120">
        <f>IFERROR(__xludf.DUMMYFUNCTION("""COMPUTED_VALUE"""),44648.666666666664)</f>
        <v>44648.66667</v>
      </c>
      <c r="D836" s="5" t="str">
        <f>IFERROR(__xludf.DUMMYFUNCTION("""COMPUTED_VALUE"""),"38758")</f>
        <v>38758</v>
      </c>
      <c r="E836" s="5" t="str">
        <f>IFERROR(__xludf.DUMMYFUNCTION("""COMPUTED_VALUE"""),"Time Deposit")</f>
        <v>Time Deposit</v>
      </c>
      <c r="F836" s="5" t="str">
        <f>IFERROR(__xludf.DUMMYFUNCTION("""COMPUTED_VALUE"""),"HKD")</f>
        <v>HKD</v>
      </c>
      <c r="G836" s="30" t="str">
        <f>IFERROR(__xludf.DUMMYFUNCTION("""COMPUTED_VALUE"""),"Email Account/ TraderID Recognized")</f>
        <v>Email Account/ TraderID Recognized</v>
      </c>
      <c r="H836" s="119" t="str">
        <f>IFERROR(__xludf.DUMMYFUNCTION("""COMPUTED_VALUE"""),"1M")</f>
        <v>1M</v>
      </c>
      <c r="I836" s="30">
        <f>IFERROR(__xludf.DUMMYFUNCTION("""COMPUTED_VALUE"""),15000.0)</f>
        <v>15000</v>
      </c>
      <c r="J836" s="30"/>
      <c r="K836" s="30" t="str">
        <f>IFERROR(__xludf.DUMMYFUNCTION("""COMPUTED_VALUE"""),"QTY, Limit Price (if any) &amp; Password input correct")</f>
        <v>QTY, Limit Price (if any) &amp; Password input correct</v>
      </c>
      <c r="L836" s="30"/>
    </row>
    <row r="837">
      <c r="A837" s="5"/>
      <c r="B837" s="118">
        <f>IFERROR(__xludf.DUMMYFUNCTION("""COMPUTED_VALUE"""),44648.44795726852)</f>
        <v>44648.44796</v>
      </c>
      <c r="C837" s="120">
        <f>IFERROR(__xludf.DUMMYFUNCTION("""COMPUTED_VALUE"""),44648.666666666664)</f>
        <v>44648.66667</v>
      </c>
      <c r="D837" s="5" t="str">
        <f>IFERROR(__xludf.DUMMYFUNCTION("""COMPUTED_VALUE"""),"46600")</f>
        <v>46600</v>
      </c>
      <c r="E837" s="5" t="str">
        <f>IFERROR(__xludf.DUMMYFUNCTION("""COMPUTED_VALUE"""),"Stock")</f>
        <v>Stock</v>
      </c>
      <c r="F837" s="5" t="str">
        <f>IFERROR(__xludf.DUMMYFUNCTION("""COMPUTED_VALUE"""),"HKD")</f>
        <v>HKD</v>
      </c>
      <c r="G837" s="30" t="str">
        <f>IFERROR(__xludf.DUMMYFUNCTION("""COMPUTED_VALUE"""),"Email Account/ TraderID Recognized")</f>
        <v>Email Account/ TraderID Recognized</v>
      </c>
      <c r="H837" s="121" t="str">
        <f>IFERROR(__xludf.DUMMYFUNCTION("""COMPUTED_VALUE"""),"0700.HK")</f>
        <v>0700.HK</v>
      </c>
      <c r="I837" s="30">
        <f>IFERROR(__xludf.DUMMYFUNCTION("""COMPUTED_VALUE"""),300.0)</f>
        <v>300</v>
      </c>
      <c r="J837" s="30"/>
      <c r="K837" s="30" t="str">
        <f>IFERROR(__xludf.DUMMYFUNCTION("""COMPUTED_VALUE"""),"QTY, Limit Price (if any) &amp; Password input correct")</f>
        <v>QTY, Limit Price (if any) &amp; Password input correct</v>
      </c>
      <c r="L837" s="30"/>
    </row>
    <row r="838">
      <c r="A838" s="5"/>
      <c r="B838" s="118">
        <f>IFERROR(__xludf.DUMMYFUNCTION("""COMPUTED_VALUE"""),44648.48049128472)</f>
        <v>44648.48049</v>
      </c>
      <c r="C838" s="120">
        <f>IFERROR(__xludf.DUMMYFUNCTION("""COMPUTED_VALUE"""),44648.666666666664)</f>
        <v>44648.66667</v>
      </c>
      <c r="D838" s="5" t="str">
        <f>IFERROR(__xludf.DUMMYFUNCTION("""COMPUTED_VALUE"""),"36252")</f>
        <v>36252</v>
      </c>
      <c r="E838" s="5" t="str">
        <f>IFERROR(__xludf.DUMMYFUNCTION("""COMPUTED_VALUE"""),"Stock")</f>
        <v>Stock</v>
      </c>
      <c r="F838" s="5" t="str">
        <f>IFERROR(__xludf.DUMMYFUNCTION("""COMPUTED_VALUE"""),"HKD")</f>
        <v>HKD</v>
      </c>
      <c r="G838" s="30" t="str">
        <f>IFERROR(__xludf.DUMMYFUNCTION("""COMPUTED_VALUE"""),"Email Account/ TraderID Recognized")</f>
        <v>Email Account/ TraderID Recognized</v>
      </c>
      <c r="H838" s="121" t="str">
        <f>IFERROR(__xludf.DUMMYFUNCTION("""COMPUTED_VALUE"""),"2318.hk")</f>
        <v>2318.hk</v>
      </c>
      <c r="I838" s="30">
        <f>IFERROR(__xludf.DUMMYFUNCTION("""COMPUTED_VALUE"""),1600.0)</f>
        <v>1600</v>
      </c>
      <c r="J838" s="30"/>
      <c r="K838" s="30" t="str">
        <f>IFERROR(__xludf.DUMMYFUNCTION("""COMPUTED_VALUE"""),"QTY, Limit Price (if any) &amp; Password input correct")</f>
        <v>QTY, Limit Price (if any) &amp; Password input correct</v>
      </c>
      <c r="L838" s="30"/>
    </row>
    <row r="839">
      <c r="A839" s="5"/>
      <c r="B839" s="118">
        <f>IFERROR(__xludf.DUMMYFUNCTION("""COMPUTED_VALUE"""),44648.48377774305)</f>
        <v>44648.48378</v>
      </c>
      <c r="C839" s="120" t="str">
        <f>IFERROR(__xludf.DUMMYFUNCTION("""COMPUTED_VALUE"""),"")</f>
        <v/>
      </c>
      <c r="D839" s="5" t="str">
        <f>IFERROR(__xludf.DUMMYFUNCTION("""COMPUTED_VALUE"""),"")</f>
        <v/>
      </c>
      <c r="E839" s="5" t="str">
        <f>IFERROR(__xludf.DUMMYFUNCTION("""COMPUTED_VALUE"""),"Stock")</f>
        <v>Stock</v>
      </c>
      <c r="F839" s="5" t="str">
        <f>IFERROR(__xludf.DUMMYFUNCTION("""COMPUTED_VALUE"""),"error")</f>
        <v>error</v>
      </c>
      <c r="G839" s="30" t="str">
        <f>IFERROR(__xludf.DUMMYFUNCTION("""COMPUTED_VALUE"""),"1012xxxxxx@nonHKMUemail")</f>
        <v>1012xxxxxx@nonHKMUemail</v>
      </c>
      <c r="H839" s="121" t="str">
        <f>IFERROR(__xludf.DUMMYFUNCTION("""COMPUTED_VALUE"""),"002657.SZ")</f>
        <v>002657.SZ</v>
      </c>
      <c r="I839" s="123" t="str">
        <f>IFERROR(__xludf.DUMMYFUNCTION("""COMPUTED_VALUE"""),"002657.SZ")</f>
        <v>002657.SZ</v>
      </c>
      <c r="J839" s="30">
        <f>IFERROR(__xludf.DUMMYFUNCTION("""COMPUTED_VALUE"""),16.0)</f>
        <v>16</v>
      </c>
      <c r="K839" s="30" t="str">
        <f>IFERROR(__xludf.DUMMYFUNCTION("""COMPUTED_VALUE"""),"Non-number input in Quantity or Limit Price")</f>
        <v>Non-number input in Quantity or Limit Price</v>
      </c>
      <c r="L839" s="30" t="str">
        <f>IFERROR(__xludf.DUMMYFUNCTION("""COMPUTED_VALUE"""),"Order rejected due to non-school email account")</f>
        <v>Order rejected due to non-school email account</v>
      </c>
    </row>
    <row r="840">
      <c r="A840" s="5"/>
      <c r="B840" s="118">
        <f>IFERROR(__xludf.DUMMYFUNCTION("""COMPUTED_VALUE"""),44648.48835490741)</f>
        <v>44648.48835</v>
      </c>
      <c r="C840" s="120">
        <f>IFERROR(__xludf.DUMMYFUNCTION("""COMPUTED_VALUE"""),44648.625)</f>
        <v>44648.625</v>
      </c>
      <c r="D840" s="5" t="str">
        <f>IFERROR(__xludf.DUMMYFUNCTION("""COMPUTED_VALUE"""),"36252")</f>
        <v>36252</v>
      </c>
      <c r="E840" s="5" t="str">
        <f>IFERROR(__xludf.DUMMYFUNCTION("""COMPUTED_VALUE"""),"Stock")</f>
        <v>Stock</v>
      </c>
      <c r="F840" s="5" t="str">
        <f>IFERROR(__xludf.DUMMYFUNCTION("""COMPUTED_VALUE"""),"CNY")</f>
        <v>CNY</v>
      </c>
      <c r="G840" s="30" t="str">
        <f>IFERROR(__xludf.DUMMYFUNCTION("""COMPUTED_VALUE"""),"Email Account/ TraderID Recognized")</f>
        <v>Email Account/ TraderID Recognized</v>
      </c>
      <c r="H840" s="121" t="str">
        <f>IFERROR(__xludf.DUMMYFUNCTION("""COMPUTED_VALUE"""),"002864.SZ")</f>
        <v>002864.SZ</v>
      </c>
      <c r="I840" s="30">
        <f>IFERROR(__xludf.DUMMYFUNCTION("""COMPUTED_VALUE"""),600.0)</f>
        <v>600</v>
      </c>
      <c r="J840" s="30"/>
      <c r="K840" s="30" t="str">
        <f>IFERROR(__xludf.DUMMYFUNCTION("""COMPUTED_VALUE"""),"QTY, Limit Price (if any) &amp; Password input correct")</f>
        <v>QTY, Limit Price (if any) &amp; Password input correct</v>
      </c>
      <c r="L840" s="30"/>
    </row>
    <row r="841">
      <c r="A841" s="5"/>
      <c r="B841" s="118">
        <f>IFERROR(__xludf.DUMMYFUNCTION("""COMPUTED_VALUE"""),44648.488543287036)</f>
        <v>44648.48854</v>
      </c>
      <c r="C841" s="120" t="str">
        <f>IFERROR(__xludf.DUMMYFUNCTION("""COMPUTED_VALUE"""),"")</f>
        <v/>
      </c>
      <c r="D841" s="5" t="str">
        <f>IFERROR(__xludf.DUMMYFUNCTION("""COMPUTED_VALUE"""),"")</f>
        <v/>
      </c>
      <c r="E841" s="5" t="str">
        <f>IFERROR(__xludf.DUMMYFUNCTION("""COMPUTED_VALUE"""),"Stock")</f>
        <v>Stock</v>
      </c>
      <c r="F841" s="5" t="str">
        <f>IFERROR(__xludf.DUMMYFUNCTION("""COMPUTED_VALUE"""),"error")</f>
        <v>error</v>
      </c>
      <c r="G841" s="30" t="str">
        <f>IFERROR(__xludf.DUMMYFUNCTION("""COMPUTED_VALUE"""),"1012xxxxxx@nonHKMUemail")</f>
        <v>1012xxxxxx@nonHKMUemail</v>
      </c>
      <c r="H841" s="121" t="str">
        <f>IFERROR(__xludf.DUMMYFUNCTION("""COMPUTED_VALUE"""),"002864.SZ")</f>
        <v>002864.SZ</v>
      </c>
      <c r="I841" s="123" t="str">
        <f>IFERROR(__xludf.DUMMYFUNCTION("""COMPUTED_VALUE"""),"002864.SZ")</f>
        <v>002864.SZ</v>
      </c>
      <c r="J841" s="30">
        <f>IFERROR(__xludf.DUMMYFUNCTION("""COMPUTED_VALUE"""),62.5)</f>
        <v>62.5</v>
      </c>
      <c r="K841" s="30" t="str">
        <f>IFERROR(__xludf.DUMMYFUNCTION("""COMPUTED_VALUE"""),"Non-number input in Quantity or Limit Price")</f>
        <v>Non-number input in Quantity or Limit Price</v>
      </c>
      <c r="L841" s="30" t="str">
        <f>IFERROR(__xludf.DUMMYFUNCTION("""COMPUTED_VALUE"""),"Order rejected due to non-school email account")</f>
        <v>Order rejected due to non-school email account</v>
      </c>
    </row>
    <row r="842">
      <c r="A842" s="5"/>
      <c r="B842" s="118">
        <f>IFERROR(__xludf.DUMMYFUNCTION("""COMPUTED_VALUE"""),44648.52234429398)</f>
        <v>44648.52234</v>
      </c>
      <c r="C842" s="120">
        <f>IFERROR(__xludf.DUMMYFUNCTION("""COMPUTED_VALUE"""),44648.666666666664)</f>
        <v>44648.66667</v>
      </c>
      <c r="D842" s="5" t="str">
        <f>IFERROR(__xludf.DUMMYFUNCTION("""COMPUTED_VALUE"""),"36252")</f>
        <v>36252</v>
      </c>
      <c r="E842" s="5" t="str">
        <f>IFERROR(__xludf.DUMMYFUNCTION("""COMPUTED_VALUE"""),"Stock")</f>
        <v>Stock</v>
      </c>
      <c r="F842" s="5" t="str">
        <f>IFERROR(__xludf.DUMMYFUNCTION("""COMPUTED_VALUE"""),"HKD")</f>
        <v>HKD</v>
      </c>
      <c r="G842" s="30" t="str">
        <f>IFERROR(__xludf.DUMMYFUNCTION("""COMPUTED_VALUE"""),"Email Account/ TraderID Recognized")</f>
        <v>Email Account/ TraderID Recognized</v>
      </c>
      <c r="H842" s="121" t="str">
        <f>IFERROR(__xludf.DUMMYFUNCTION("""COMPUTED_VALUE"""),"2328.hk")</f>
        <v>2328.hk</v>
      </c>
      <c r="I842" s="30">
        <f>IFERROR(__xludf.DUMMYFUNCTION("""COMPUTED_VALUE"""),1600.0)</f>
        <v>1600</v>
      </c>
      <c r="J842" s="30"/>
      <c r="K842" s="30" t="str">
        <f>IFERROR(__xludf.DUMMYFUNCTION("""COMPUTED_VALUE"""),"QTY, Limit Price (if any) &amp; Password input correct")</f>
        <v>QTY, Limit Price (if any) &amp; Password input correct</v>
      </c>
      <c r="L842" s="30"/>
    </row>
    <row r="843">
      <c r="A843" s="5"/>
      <c r="B843" s="118">
        <f>IFERROR(__xludf.DUMMYFUNCTION("""COMPUTED_VALUE"""),44648.54277530093)</f>
        <v>44648.54278</v>
      </c>
      <c r="C843" s="120" t="str">
        <f>IFERROR(__xludf.DUMMYFUNCTION("""COMPUTED_VALUE"""),"")</f>
        <v/>
      </c>
      <c r="D843" s="5" t="str">
        <f>IFERROR(__xludf.DUMMYFUNCTION("""COMPUTED_VALUE"""),"")</f>
        <v/>
      </c>
      <c r="E843" s="5" t="str">
        <f>IFERROR(__xludf.DUMMYFUNCTION("""COMPUTED_VALUE"""),"Stock")</f>
        <v>Stock</v>
      </c>
      <c r="F843" s="5" t="str">
        <f>IFERROR(__xludf.DUMMYFUNCTION("""COMPUTED_VALUE"""),"error")</f>
        <v>error</v>
      </c>
      <c r="G843" s="30" t="str">
        <f>IFERROR(__xludf.DUMMYFUNCTION("""COMPUTED_VALUE"""),"s128xxxxxx@nonHKMUemail")</f>
        <v>s128xxxxxx@nonHKMUemail</v>
      </c>
      <c r="H843" s="119" t="str">
        <f>IFERROR(__xludf.DUMMYFUNCTION("""COMPUTED_VALUE"""),"BEKE")</f>
        <v>BEKE</v>
      </c>
      <c r="I843" s="30">
        <f>IFERROR(__xludf.DUMMYFUNCTION("""COMPUTED_VALUE"""),1000.0)</f>
        <v>1000</v>
      </c>
      <c r="J843" s="30"/>
      <c r="K843" s="30" t="str">
        <f>IFERROR(__xludf.DUMMYFUNCTION("""COMPUTED_VALUE"""),"QTY, Limit Price (if any) &amp; Password input correct")</f>
        <v>QTY, Limit Price (if any) &amp; Password input correct</v>
      </c>
      <c r="L843" s="30" t="str">
        <f>IFERROR(__xludf.DUMMYFUNCTION("""COMPUTED_VALUE"""),"Order rejected due to non-school email account")</f>
        <v>Order rejected due to non-school email account</v>
      </c>
    </row>
    <row r="844">
      <c r="A844" s="5"/>
      <c r="B844" s="118">
        <f>IFERROR(__xludf.DUMMYFUNCTION("""COMPUTED_VALUE"""),44648.559694027776)</f>
        <v>44648.55969</v>
      </c>
      <c r="C844" s="120">
        <f>IFERROR(__xludf.DUMMYFUNCTION("""COMPUTED_VALUE"""),44648.666666666664)</f>
        <v>44648.66667</v>
      </c>
      <c r="D844" s="5" t="str">
        <f>IFERROR(__xludf.DUMMYFUNCTION("""COMPUTED_VALUE"""),"75369")</f>
        <v>75369</v>
      </c>
      <c r="E844" s="5" t="str">
        <f>IFERROR(__xludf.DUMMYFUNCTION("""COMPUTED_VALUE"""),"Stock")</f>
        <v>Stock</v>
      </c>
      <c r="F844" s="5" t="str">
        <f>IFERROR(__xludf.DUMMYFUNCTION("""COMPUTED_VALUE"""),"USD")</f>
        <v>USD</v>
      </c>
      <c r="G844" s="30" t="str">
        <f>IFERROR(__xludf.DUMMYFUNCTION("""COMPUTED_VALUE"""),"Email Account/ TraderID Recognized")</f>
        <v>Email Account/ TraderID Recognized</v>
      </c>
      <c r="H844" s="119" t="str">
        <f>IFERROR(__xludf.DUMMYFUNCTION("""COMPUTED_VALUE"""),"FB")</f>
        <v>FB</v>
      </c>
      <c r="I844" s="30">
        <f>IFERROR(__xludf.DUMMYFUNCTION("""COMPUTED_VALUE"""),250.0)</f>
        <v>250</v>
      </c>
      <c r="J844" s="30"/>
      <c r="K844" s="30" t="str">
        <f>IFERROR(__xludf.DUMMYFUNCTION("""COMPUTED_VALUE"""),"QTY, Limit Price (if any) &amp; Password input correct")</f>
        <v>QTY, Limit Price (if any) &amp; Password input correct</v>
      </c>
      <c r="L844" s="30"/>
    </row>
    <row r="845">
      <c r="A845" s="5"/>
      <c r="B845" s="118">
        <f>IFERROR(__xludf.DUMMYFUNCTION("""COMPUTED_VALUE"""),44648.56210740741)</f>
        <v>44648.56211</v>
      </c>
      <c r="C845" s="120" t="str">
        <f>IFERROR(__xludf.DUMMYFUNCTION("""COMPUTED_VALUE"""),"")</f>
        <v/>
      </c>
      <c r="D845" s="5" t="str">
        <f>IFERROR(__xludf.DUMMYFUNCTION("""COMPUTED_VALUE"""),"75369")</f>
        <v>75369</v>
      </c>
      <c r="E845" s="5" t="str">
        <f>IFERROR(__xludf.DUMMYFUNCTION("""COMPUTED_VALUE"""),"Stock")</f>
        <v>Stock</v>
      </c>
      <c r="F845" s="5" t="str">
        <f>IFERROR(__xludf.DUMMYFUNCTION("""COMPUTED_VALUE"""),"error")</f>
        <v>error</v>
      </c>
      <c r="G845" s="30" t="str">
        <f>IFERROR(__xludf.DUMMYFUNCTION("""COMPUTED_VALUE"""),"Email Account/ TraderID Recognized")</f>
        <v>Email Account/ TraderID Recognized</v>
      </c>
      <c r="H845" s="119" t="str">
        <f>IFERROR(__xludf.DUMMYFUNCTION("""COMPUTED_VALUE"""),"1810")</f>
        <v>1810</v>
      </c>
      <c r="I845" s="30">
        <f>IFERROR(__xludf.DUMMYFUNCTION("""COMPUTED_VALUE"""),2000.0)</f>
        <v>2000</v>
      </c>
      <c r="J845" s="30"/>
      <c r="K845" s="30" t="str">
        <f>IFERROR(__xludf.DUMMYFUNCTION("""COMPUTED_VALUE"""),"QTY, Limit Price (if any) &amp; Password input correct")</f>
        <v>QTY, Limit Price (if any) &amp; Password input correct</v>
      </c>
      <c r="L845" s="30" t="str">
        <f>IFERROR(__xludf.DUMMYFUNCTION("""COMPUTED_VALUE"""),"Order rejected due to non-school email account")</f>
        <v>Order rejected due to non-school email account</v>
      </c>
    </row>
    <row r="846">
      <c r="A846" s="5"/>
      <c r="B846" s="118">
        <f>IFERROR(__xludf.DUMMYFUNCTION("""COMPUTED_VALUE"""),44648.571727187504)</f>
        <v>44648.57173</v>
      </c>
      <c r="C846" s="120" t="str">
        <f>IFERROR(__xludf.DUMMYFUNCTION("""COMPUTED_VALUE"""),"")</f>
        <v/>
      </c>
      <c r="D846" s="5" t="str">
        <f>IFERROR(__xludf.DUMMYFUNCTION("""COMPUTED_VALUE"""),"")</f>
        <v/>
      </c>
      <c r="E846" s="5" t="str">
        <f>IFERROR(__xludf.DUMMYFUNCTION("""COMPUTED_VALUE"""),"Stock")</f>
        <v>Stock</v>
      </c>
      <c r="F846" s="5" t="str">
        <f>IFERROR(__xludf.DUMMYFUNCTION("""COMPUTED_VALUE"""),"error")</f>
        <v>error</v>
      </c>
      <c r="G846" s="30" t="str">
        <f>IFERROR(__xludf.DUMMYFUNCTION("""COMPUTED_VALUE"""),"1012xxxxxx@nonHKMUemail")</f>
        <v>1012xxxxxx@nonHKMUemail</v>
      </c>
      <c r="H846" s="121" t="str">
        <f>IFERROR(__xludf.DUMMYFUNCTION("""COMPUTED_VALUE"""),"002657.SZ")</f>
        <v>002657.SZ</v>
      </c>
      <c r="I846" s="123" t="str">
        <f>IFERROR(__xludf.DUMMYFUNCTION("""COMPUTED_VALUE"""),"002657.SZ")</f>
        <v>002657.SZ</v>
      </c>
      <c r="J846" s="30">
        <f>IFERROR(__xludf.DUMMYFUNCTION("""COMPUTED_VALUE"""),16.3)</f>
        <v>16.3</v>
      </c>
      <c r="K846" s="30" t="str">
        <f>IFERROR(__xludf.DUMMYFUNCTION("""COMPUTED_VALUE"""),"Non-number input in Quantity or Limit Price")</f>
        <v>Non-number input in Quantity or Limit Price</v>
      </c>
      <c r="L846" s="30" t="str">
        <f>IFERROR(__xludf.DUMMYFUNCTION("""COMPUTED_VALUE"""),"Order rejected due to non-school email account")</f>
        <v>Order rejected due to non-school email account</v>
      </c>
    </row>
    <row r="847">
      <c r="A847" s="5"/>
      <c r="B847" s="118">
        <f>IFERROR(__xludf.DUMMYFUNCTION("""COMPUTED_VALUE"""),44648.574895115744)</f>
        <v>44648.5749</v>
      </c>
      <c r="C847" s="120">
        <f>IFERROR(__xludf.DUMMYFUNCTION("""COMPUTED_VALUE"""),44648.666666666664)</f>
        <v>44648.66667</v>
      </c>
      <c r="D847" s="5" t="str">
        <f>IFERROR(__xludf.DUMMYFUNCTION("""COMPUTED_VALUE"""),"38209")</f>
        <v>38209</v>
      </c>
      <c r="E847" s="5" t="str">
        <f>IFERROR(__xludf.DUMMYFUNCTION("""COMPUTED_VALUE"""),"Stock")</f>
        <v>Stock</v>
      </c>
      <c r="F847" s="5" t="str">
        <f>IFERROR(__xludf.DUMMYFUNCTION("""COMPUTED_VALUE"""),"HKD")</f>
        <v>HKD</v>
      </c>
      <c r="G847" s="30" t="str">
        <f>IFERROR(__xludf.DUMMYFUNCTION("""COMPUTED_VALUE"""),"Email Account/ TraderID Recognized")</f>
        <v>Email Account/ TraderID Recognized</v>
      </c>
      <c r="H847" s="121" t="str">
        <f>IFERROR(__xludf.DUMMYFUNCTION("""COMPUTED_VALUE"""),"6680.HK")</f>
        <v>6680.HK</v>
      </c>
      <c r="I847" s="30">
        <f>IFERROR(__xludf.DUMMYFUNCTION("""COMPUTED_VALUE"""),1000.0)</f>
        <v>1000</v>
      </c>
      <c r="J847" s="30"/>
      <c r="K847" s="30" t="str">
        <f>IFERROR(__xludf.DUMMYFUNCTION("""COMPUTED_VALUE"""),"QTY, Limit Price (if any) &amp; Password input correct")</f>
        <v>QTY, Limit Price (if any) &amp; Password input correct</v>
      </c>
      <c r="L847" s="30"/>
    </row>
    <row r="848">
      <c r="A848" s="5"/>
      <c r="B848" s="118">
        <f>IFERROR(__xludf.DUMMYFUNCTION("""COMPUTED_VALUE"""),44648.59065099537)</f>
        <v>44648.59065</v>
      </c>
      <c r="C848" s="120">
        <f>IFERROR(__xludf.DUMMYFUNCTION("""COMPUTED_VALUE"""),44648.666666666664)</f>
        <v>44648.66667</v>
      </c>
      <c r="D848" s="5" t="str">
        <f>IFERROR(__xludf.DUMMYFUNCTION("""COMPUTED_VALUE"""),"37649")</f>
        <v>37649</v>
      </c>
      <c r="E848" s="5" t="str">
        <f>IFERROR(__xludf.DUMMYFUNCTION("""COMPUTED_VALUE"""),"Stock")</f>
        <v>Stock</v>
      </c>
      <c r="F848" s="5" t="str">
        <f>IFERROR(__xludf.DUMMYFUNCTION("""COMPUTED_VALUE"""),"USD")</f>
        <v>USD</v>
      </c>
      <c r="G848" s="30" t="str">
        <f>IFERROR(__xludf.DUMMYFUNCTION("""COMPUTED_VALUE"""),"Email Account/ TraderID Recognized")</f>
        <v>Email Account/ TraderID Recognized</v>
      </c>
      <c r="H848" s="119" t="str">
        <f>IFERROR(__xludf.DUMMYFUNCTION("""COMPUTED_VALUE"""),"NDAQ")</f>
        <v>NDAQ</v>
      </c>
      <c r="I848" s="30">
        <f>IFERROR(__xludf.DUMMYFUNCTION("""COMPUTED_VALUE"""),50.0)</f>
        <v>50</v>
      </c>
      <c r="J848" s="30">
        <f>IFERROR(__xludf.DUMMYFUNCTION("""COMPUTED_VALUE"""),180.0)</f>
        <v>180</v>
      </c>
      <c r="K848" s="30" t="str">
        <f>IFERROR(__xludf.DUMMYFUNCTION("""COMPUTED_VALUE"""),"QTY, Limit Price (if any) &amp; Password input correct")</f>
        <v>QTY, Limit Price (if any) &amp; Password input correct</v>
      </c>
      <c r="L848" s="30"/>
    </row>
    <row r="849">
      <c r="A849" s="5"/>
      <c r="B849" s="118">
        <f>IFERROR(__xludf.DUMMYFUNCTION("""COMPUTED_VALUE"""),44648.592098333334)</f>
        <v>44648.5921</v>
      </c>
      <c r="C849" s="120">
        <f>IFERROR(__xludf.DUMMYFUNCTION("""COMPUTED_VALUE"""),44648.666666666664)</f>
        <v>44648.66667</v>
      </c>
      <c r="D849" s="5" t="str">
        <f>IFERROR(__xludf.DUMMYFUNCTION("""COMPUTED_VALUE"""),"37649")</f>
        <v>37649</v>
      </c>
      <c r="E849" s="5" t="str">
        <f>IFERROR(__xludf.DUMMYFUNCTION("""COMPUTED_VALUE"""),"Stock")</f>
        <v>Stock</v>
      </c>
      <c r="F849" s="5" t="str">
        <f>IFERROR(__xludf.DUMMYFUNCTION("""COMPUTED_VALUE"""),"USD")</f>
        <v>USD</v>
      </c>
      <c r="G849" s="30" t="str">
        <f>IFERROR(__xludf.DUMMYFUNCTION("""COMPUTED_VALUE"""),"Email Account/ TraderID Recognized")</f>
        <v>Email Account/ TraderID Recognized</v>
      </c>
      <c r="H849" s="119" t="str">
        <f>IFERROR(__xludf.DUMMYFUNCTION("""COMPUTED_VALUE"""),"AAPL")</f>
        <v>AAPL</v>
      </c>
      <c r="I849" s="30">
        <f>IFERROR(__xludf.DUMMYFUNCTION("""COMPUTED_VALUE"""),50.0)</f>
        <v>50</v>
      </c>
      <c r="J849" s="30">
        <f>IFERROR(__xludf.DUMMYFUNCTION("""COMPUTED_VALUE"""),180.0)</f>
        <v>180</v>
      </c>
      <c r="K849" s="30" t="str">
        <f>IFERROR(__xludf.DUMMYFUNCTION("""COMPUTED_VALUE"""),"QTY, Limit Price (if any) &amp; Password input correct")</f>
        <v>QTY, Limit Price (if any) &amp; Password input correct</v>
      </c>
      <c r="L849" s="30"/>
    </row>
    <row r="850">
      <c r="A850" s="5"/>
      <c r="B850" s="118">
        <f>IFERROR(__xludf.DUMMYFUNCTION("""COMPUTED_VALUE"""),44648.599952766206)</f>
        <v>44648.59995</v>
      </c>
      <c r="C850" s="120" t="str">
        <f>IFERROR(__xludf.DUMMYFUNCTION("""COMPUTED_VALUE"""),"")</f>
        <v/>
      </c>
      <c r="D850" s="5" t="str">
        <f>IFERROR(__xludf.DUMMYFUNCTION("""COMPUTED_VALUE"""),"76796")</f>
        <v>76796</v>
      </c>
      <c r="E850" s="5" t="str">
        <f>IFERROR(__xludf.DUMMYFUNCTION("""COMPUTED_VALUE"""),"Stock")</f>
        <v>Stock</v>
      </c>
      <c r="F850" s="5" t="str">
        <f>IFERROR(__xludf.DUMMYFUNCTION("""COMPUTED_VALUE"""),"error")</f>
        <v>error</v>
      </c>
      <c r="G850" s="30" t="str">
        <f>IFERROR(__xludf.DUMMYFUNCTION("""COMPUTED_VALUE"""),"Email Account/ TraderID Recognized")</f>
        <v>Email Account/ TraderID Recognized</v>
      </c>
      <c r="H850" s="119" t="str">
        <f>IFERROR(__xludf.DUMMYFUNCTION("""COMPUTED_VALUE"""),"GOOGL")</f>
        <v>GOOGL</v>
      </c>
      <c r="I850" s="30" t="str">
        <f>IFERROR(__xludf.DUMMYFUNCTION("""COMPUTED_VALUE"""),"all")</f>
        <v>all</v>
      </c>
      <c r="J850" s="30"/>
      <c r="K850" s="30" t="str">
        <f>IFERROR(__xludf.DUMMYFUNCTION("""COMPUTED_VALUE"""),"Non-number input in Quantity or Limit Price")</f>
        <v>Non-number input in Quantity or Limit Price</v>
      </c>
      <c r="L850" s="30" t="str">
        <f>IFERROR(__xludf.DUMMYFUNCTION("""COMPUTED_VALUE"""),"Order rejected due to non-numeric character in quantity cell")</f>
        <v>Order rejected due to non-numeric character in quantity cell</v>
      </c>
    </row>
    <row r="851">
      <c r="A851" s="5"/>
      <c r="B851" s="118">
        <f>IFERROR(__xludf.DUMMYFUNCTION("""COMPUTED_VALUE"""),44648.6173030787)</f>
        <v>44648.6173</v>
      </c>
      <c r="C851" s="120" t="str">
        <f>IFERROR(__xludf.DUMMYFUNCTION("""COMPUTED_VALUE"""),"")</f>
        <v/>
      </c>
      <c r="D851" s="5" t="str">
        <f>IFERROR(__xludf.DUMMYFUNCTION("""COMPUTED_VALUE"""),"")</f>
        <v/>
      </c>
      <c r="E851" s="5" t="str">
        <f>IFERROR(__xludf.DUMMYFUNCTION("""COMPUTED_VALUE"""),"Stock")</f>
        <v>Stock</v>
      </c>
      <c r="F851" s="5" t="str">
        <f>IFERROR(__xludf.DUMMYFUNCTION("""COMPUTED_VALUE"""),"error")</f>
        <v>error</v>
      </c>
      <c r="G851" s="30" t="str">
        <f>IFERROR(__xludf.DUMMYFUNCTION("""COMPUTED_VALUE"""),"s123xxxxxx@nonHKMUemail")</f>
        <v>s123xxxxxx@nonHKMUemail</v>
      </c>
      <c r="H851" s="119" t="str">
        <f>IFERROR(__xludf.DUMMYFUNCTION("""COMPUTED_VALUE"""),"AMZN")</f>
        <v>AMZN</v>
      </c>
      <c r="I851" s="30">
        <f>IFERROR(__xludf.DUMMYFUNCTION("""COMPUTED_VALUE"""),10.0)</f>
        <v>10</v>
      </c>
      <c r="J851" s="30">
        <f>IFERROR(__xludf.DUMMYFUNCTION("""COMPUTED_VALUE"""),3500.0)</f>
        <v>3500</v>
      </c>
      <c r="K851" s="30" t="str">
        <f>IFERROR(__xludf.DUMMYFUNCTION("""COMPUTED_VALUE"""),"QTY, Limit Price (if any) &amp; Password input correct")</f>
        <v>QTY, Limit Price (if any) &amp; Password input correct</v>
      </c>
      <c r="L851" s="30" t="str">
        <f>IFERROR(__xludf.DUMMYFUNCTION("""COMPUTED_VALUE"""),"Order rejected due to non-school email account")</f>
        <v>Order rejected due to non-school email account</v>
      </c>
    </row>
    <row r="852">
      <c r="A852" s="5"/>
      <c r="B852" s="118">
        <f>IFERROR(__xludf.DUMMYFUNCTION("""COMPUTED_VALUE"""),44648.62164819444)</f>
        <v>44648.62165</v>
      </c>
      <c r="C852" s="120">
        <f>IFERROR(__xludf.DUMMYFUNCTION("""COMPUTED_VALUE"""),44648.625)</f>
        <v>44648.625</v>
      </c>
      <c r="D852" s="5" t="str">
        <f>IFERROR(__xludf.DUMMYFUNCTION("""COMPUTED_VALUE"""),"79521")</f>
        <v>79521</v>
      </c>
      <c r="E852" s="5" t="str">
        <f>IFERROR(__xludf.DUMMYFUNCTION("""COMPUTED_VALUE"""),"Stock")</f>
        <v>Stock</v>
      </c>
      <c r="F852" s="5" t="str">
        <f>IFERROR(__xludf.DUMMYFUNCTION("""COMPUTED_VALUE"""),"CNY")</f>
        <v>CNY</v>
      </c>
      <c r="G852" s="30" t="str">
        <f>IFERROR(__xludf.DUMMYFUNCTION("""COMPUTED_VALUE"""),"Email Account/ TraderID Recognized")</f>
        <v>Email Account/ TraderID Recognized</v>
      </c>
      <c r="H852" s="121" t="str">
        <f>IFERROR(__xludf.DUMMYFUNCTION("""COMPUTED_VALUE"""),"000505.SZ")</f>
        <v>000505.SZ</v>
      </c>
      <c r="I852" s="30">
        <f>IFERROR(__xludf.DUMMYFUNCTION("""COMPUTED_VALUE"""),30000.0)</f>
        <v>30000</v>
      </c>
      <c r="J852" s="30"/>
      <c r="K852" s="30" t="str">
        <f>IFERROR(__xludf.DUMMYFUNCTION("""COMPUTED_VALUE"""),"QTY, Limit Price (if any) &amp; Password input correct")</f>
        <v>QTY, Limit Price (if any) &amp; Password input correct</v>
      </c>
      <c r="L852" s="30"/>
    </row>
    <row r="853">
      <c r="A853" s="5"/>
      <c r="B853" s="118">
        <f>IFERROR(__xludf.DUMMYFUNCTION("""COMPUTED_VALUE"""),44648.624186967594)</f>
        <v>44648.62419</v>
      </c>
      <c r="C853" s="120">
        <f>IFERROR(__xludf.DUMMYFUNCTION("""COMPUTED_VALUE"""),44648.666666666664)</f>
        <v>44648.66667</v>
      </c>
      <c r="D853" s="5" t="str">
        <f>IFERROR(__xludf.DUMMYFUNCTION("""COMPUTED_VALUE"""),"36252")</f>
        <v>36252</v>
      </c>
      <c r="E853" s="5" t="str">
        <f>IFERROR(__xludf.DUMMYFUNCTION("""COMPUTED_VALUE"""),"Stock")</f>
        <v>Stock</v>
      </c>
      <c r="F853" s="5" t="str">
        <f>IFERROR(__xludf.DUMMYFUNCTION("""COMPUTED_VALUE"""),"HKD")</f>
        <v>HKD</v>
      </c>
      <c r="G853" s="30" t="str">
        <f>IFERROR(__xludf.DUMMYFUNCTION("""COMPUTED_VALUE"""),"Email Account/ TraderID Recognized")</f>
        <v>Email Account/ TraderID Recognized</v>
      </c>
      <c r="H853" s="121" t="str">
        <f>IFERROR(__xludf.DUMMYFUNCTION("""COMPUTED_VALUE"""),"2607.hk")</f>
        <v>2607.hk</v>
      </c>
      <c r="I853" s="30">
        <f>IFERROR(__xludf.DUMMYFUNCTION("""COMPUTED_VALUE"""),6000.0)</f>
        <v>6000</v>
      </c>
      <c r="J853" s="30"/>
      <c r="K853" s="30" t="str">
        <f>IFERROR(__xludf.DUMMYFUNCTION("""COMPUTED_VALUE"""),"QTY, Limit Price (if any) &amp; Password input correct")</f>
        <v>QTY, Limit Price (if any) &amp; Password input correct</v>
      </c>
      <c r="L853" s="30"/>
    </row>
    <row r="854">
      <c r="A854" s="5"/>
      <c r="B854" s="118">
        <f>IFERROR(__xludf.DUMMYFUNCTION("""COMPUTED_VALUE"""),44648.62430635416)</f>
        <v>44648.62431</v>
      </c>
      <c r="C854" s="120">
        <f>IFERROR(__xludf.DUMMYFUNCTION("""COMPUTED_VALUE"""),44648.625)</f>
        <v>44648.625</v>
      </c>
      <c r="D854" s="5" t="str">
        <f>IFERROR(__xludf.DUMMYFUNCTION("""COMPUTED_VALUE"""),"79521")</f>
        <v>79521</v>
      </c>
      <c r="E854" s="5" t="str">
        <f>IFERROR(__xludf.DUMMYFUNCTION("""COMPUTED_VALUE"""),"Stock")</f>
        <v>Stock</v>
      </c>
      <c r="F854" s="5" t="str">
        <f>IFERROR(__xludf.DUMMYFUNCTION("""COMPUTED_VALUE"""),"CNY")</f>
        <v>CNY</v>
      </c>
      <c r="G854" s="30" t="str">
        <f>IFERROR(__xludf.DUMMYFUNCTION("""COMPUTED_VALUE"""),"Email Account/ TraderID Recognized")</f>
        <v>Email Account/ TraderID Recognized</v>
      </c>
      <c r="H854" s="121" t="str">
        <f>IFERROR(__xludf.DUMMYFUNCTION("""COMPUTED_VALUE"""),"000665.SZ")</f>
        <v>000665.SZ</v>
      </c>
      <c r="I854" s="30">
        <f>IFERROR(__xludf.DUMMYFUNCTION("""COMPUTED_VALUE"""),45000.0)</f>
        <v>45000</v>
      </c>
      <c r="J854" s="30"/>
      <c r="K854" s="30" t="str">
        <f>IFERROR(__xludf.DUMMYFUNCTION("""COMPUTED_VALUE"""),"QTY, Limit Price (if any) &amp; Password input correct")</f>
        <v>QTY, Limit Price (if any) &amp; Password input correct</v>
      </c>
      <c r="L854" s="30"/>
    </row>
    <row r="855">
      <c r="A855" s="5"/>
      <c r="B855" s="118">
        <f>IFERROR(__xludf.DUMMYFUNCTION("""COMPUTED_VALUE"""),44648.64024259259)</f>
        <v>44648.64024</v>
      </c>
      <c r="C855" s="120">
        <f>IFERROR(__xludf.DUMMYFUNCTION("""COMPUTED_VALUE"""),44648.666666666664)</f>
        <v>44648.66667</v>
      </c>
      <c r="D855" s="5" t="str">
        <f>IFERROR(__xludf.DUMMYFUNCTION("""COMPUTED_VALUE"""),"38105")</f>
        <v>38105</v>
      </c>
      <c r="E855" s="5" t="str">
        <f>IFERROR(__xludf.DUMMYFUNCTION("""COMPUTED_VALUE"""),"Stock")</f>
        <v>Stock</v>
      </c>
      <c r="F855" s="5" t="str">
        <f>IFERROR(__xludf.DUMMYFUNCTION("""COMPUTED_VALUE"""),"USD")</f>
        <v>USD</v>
      </c>
      <c r="G855" s="30" t="str">
        <f>IFERROR(__xludf.DUMMYFUNCTION("""COMPUTED_VALUE"""),"Email Account/ TraderID Recognized")</f>
        <v>Email Account/ TraderID Recognized</v>
      </c>
      <c r="H855" s="119" t="str">
        <f>IFERROR(__xludf.DUMMYFUNCTION("""COMPUTED_VALUE"""),"GME")</f>
        <v>GME</v>
      </c>
      <c r="I855" s="30">
        <f>IFERROR(__xludf.DUMMYFUNCTION("""COMPUTED_VALUE"""),30.0)</f>
        <v>30</v>
      </c>
      <c r="J855" s="30">
        <f>IFERROR(__xludf.DUMMYFUNCTION("""COMPUTED_VALUE"""),160.0)</f>
        <v>160</v>
      </c>
      <c r="K855" s="30" t="str">
        <f>IFERROR(__xludf.DUMMYFUNCTION("""COMPUTED_VALUE"""),"QTY, Limit Price (if any) &amp; Password input correct")</f>
        <v>QTY, Limit Price (if any) &amp; Password input correct</v>
      </c>
      <c r="L855" s="30"/>
    </row>
    <row r="856">
      <c r="A856" s="5"/>
      <c r="B856" s="118">
        <f>IFERROR(__xludf.DUMMYFUNCTION("""COMPUTED_VALUE"""),44648.64549174768)</f>
        <v>44648.64549</v>
      </c>
      <c r="C856" s="120">
        <f>IFERROR(__xludf.DUMMYFUNCTION("""COMPUTED_VALUE"""),44649.625)</f>
        <v>44649.625</v>
      </c>
      <c r="D856" s="5" t="str">
        <f>IFERROR(__xludf.DUMMYFUNCTION("""COMPUTED_VALUE"""),"74641")</f>
        <v>74641</v>
      </c>
      <c r="E856" s="5" t="str">
        <f>IFERROR(__xludf.DUMMYFUNCTION("""COMPUTED_VALUE"""),"Stock")</f>
        <v>Stock</v>
      </c>
      <c r="F856" s="5" t="str">
        <f>IFERROR(__xludf.DUMMYFUNCTION("""COMPUTED_VALUE"""),"CNY")</f>
        <v>CNY</v>
      </c>
      <c r="G856" s="30" t="str">
        <f>IFERROR(__xludf.DUMMYFUNCTION("""COMPUTED_VALUE"""),"Email Account/ TraderID Recognized")</f>
        <v>Email Account/ TraderID Recognized</v>
      </c>
      <c r="H856" s="121" t="str">
        <f>IFERROR(__xludf.DUMMYFUNCTION("""COMPUTED_VALUE"""),"000568.sz")</f>
        <v>000568.sz</v>
      </c>
      <c r="I856" s="30">
        <f>IFERROR(__xludf.DUMMYFUNCTION("""COMPUTED_VALUE"""),1500.0)</f>
        <v>1500</v>
      </c>
      <c r="J856" s="30">
        <f>IFERROR(__xludf.DUMMYFUNCTION("""COMPUTED_VALUE"""),181.91)</f>
        <v>181.91</v>
      </c>
      <c r="K856" s="30" t="str">
        <f>IFERROR(__xludf.DUMMYFUNCTION("""COMPUTED_VALUE"""),"QTY, Limit Price (if any) &amp; Password input correct")</f>
        <v>QTY, Limit Price (if any) &amp; Password input correct</v>
      </c>
      <c r="L856" s="30"/>
    </row>
    <row r="857">
      <c r="A857" s="5"/>
      <c r="B857" s="118">
        <f>IFERROR(__xludf.DUMMYFUNCTION("""COMPUTED_VALUE"""),44648.70118423611)</f>
        <v>44648.70118</v>
      </c>
      <c r="C857" s="120">
        <f>IFERROR(__xludf.DUMMYFUNCTION("""COMPUTED_VALUE"""),44649.625)</f>
        <v>44649.625</v>
      </c>
      <c r="D857" s="5" t="str">
        <f>IFERROR(__xludf.DUMMYFUNCTION("""COMPUTED_VALUE"""),"37922")</f>
        <v>37922</v>
      </c>
      <c r="E857" s="5" t="str">
        <f>IFERROR(__xludf.DUMMYFUNCTION("""COMPUTED_VALUE"""),"Stock")</f>
        <v>Stock</v>
      </c>
      <c r="F857" s="5" t="str">
        <f>IFERROR(__xludf.DUMMYFUNCTION("""COMPUTED_VALUE"""),"CNY")</f>
        <v>CNY</v>
      </c>
      <c r="G857" s="30" t="str">
        <f>IFERROR(__xludf.DUMMYFUNCTION("""COMPUTED_VALUE"""),"Email Account/ TraderID Recognized")</f>
        <v>Email Account/ TraderID Recognized</v>
      </c>
      <c r="H857" s="121" t="str">
        <f>IFERROR(__xludf.DUMMYFUNCTION("""COMPUTED_VALUE"""),"600056.SS")</f>
        <v>600056.SS</v>
      </c>
      <c r="I857" s="30">
        <f>IFERROR(__xludf.DUMMYFUNCTION("""COMPUTED_VALUE"""),10.0)</f>
        <v>10</v>
      </c>
      <c r="J857" s="30">
        <f>IFERROR(__xludf.DUMMYFUNCTION("""COMPUTED_VALUE"""),40.0)</f>
        <v>40</v>
      </c>
      <c r="K857" s="30" t="str">
        <f>IFERROR(__xludf.DUMMYFUNCTION("""COMPUTED_VALUE"""),"QTY, Limit Price (if any) &amp; Password input correct")</f>
        <v>QTY, Limit Price (if any) &amp; Password input correct</v>
      </c>
      <c r="L857" s="30"/>
    </row>
    <row r="858">
      <c r="A858" s="5"/>
      <c r="B858" s="118">
        <f>IFERROR(__xludf.DUMMYFUNCTION("""COMPUTED_VALUE"""),44648.70413371528)</f>
        <v>44648.70413</v>
      </c>
      <c r="C858" s="120">
        <f>IFERROR(__xludf.DUMMYFUNCTION("""COMPUTED_VALUE"""),44649.625)</f>
        <v>44649.625</v>
      </c>
      <c r="D858" s="5" t="str">
        <f>IFERROR(__xludf.DUMMYFUNCTION("""COMPUTED_VALUE"""),"37922")</f>
        <v>37922</v>
      </c>
      <c r="E858" s="5" t="str">
        <f>IFERROR(__xludf.DUMMYFUNCTION("""COMPUTED_VALUE"""),"Stock")</f>
        <v>Stock</v>
      </c>
      <c r="F858" s="5" t="str">
        <f>IFERROR(__xludf.DUMMYFUNCTION("""COMPUTED_VALUE"""),"CNY")</f>
        <v>CNY</v>
      </c>
      <c r="G858" s="30" t="str">
        <f>IFERROR(__xludf.DUMMYFUNCTION("""COMPUTED_VALUE"""),"Email Account/ TraderID Recognized")</f>
        <v>Email Account/ TraderID Recognized</v>
      </c>
      <c r="H858" s="121" t="str">
        <f>IFERROR(__xludf.DUMMYFUNCTION("""COMPUTED_VALUE"""),"002060.SZ")</f>
        <v>002060.SZ</v>
      </c>
      <c r="I858" s="30">
        <f>IFERROR(__xludf.DUMMYFUNCTION("""COMPUTED_VALUE"""),10.0)</f>
        <v>10</v>
      </c>
      <c r="J858" s="30">
        <f>IFERROR(__xludf.DUMMYFUNCTION("""COMPUTED_VALUE"""),8.8)</f>
        <v>8.8</v>
      </c>
      <c r="K858" s="30" t="str">
        <f>IFERROR(__xludf.DUMMYFUNCTION("""COMPUTED_VALUE"""),"QTY, Limit Price (if any) &amp; Password input correct")</f>
        <v>QTY, Limit Price (if any) &amp; Password input correct</v>
      </c>
      <c r="L858" s="30"/>
    </row>
    <row r="859">
      <c r="A859" s="5"/>
      <c r="B859" s="118">
        <f>IFERROR(__xludf.DUMMYFUNCTION("""COMPUTED_VALUE"""),44648.85903289352)</f>
        <v>44648.85903</v>
      </c>
      <c r="C859" s="120">
        <f>IFERROR(__xludf.DUMMYFUNCTION("""COMPUTED_VALUE"""),44648.666666666664)</f>
        <v>44648.66667</v>
      </c>
      <c r="D859" s="5" t="str">
        <f>IFERROR(__xludf.DUMMYFUNCTION("""COMPUTED_VALUE"""),"75965")</f>
        <v>75965</v>
      </c>
      <c r="E859" s="5" t="str">
        <f>IFERROR(__xludf.DUMMYFUNCTION("""COMPUTED_VALUE"""),"Stock")</f>
        <v>Stock</v>
      </c>
      <c r="F859" s="5" t="str">
        <f>IFERROR(__xludf.DUMMYFUNCTION("""COMPUTED_VALUE"""),"USD")</f>
        <v>USD</v>
      </c>
      <c r="G859" s="30" t="str">
        <f>IFERROR(__xludf.DUMMYFUNCTION("""COMPUTED_VALUE"""),"Email Account/ TraderID Recognized")</f>
        <v>Email Account/ TraderID Recognized</v>
      </c>
      <c r="H859" s="119" t="str">
        <f>IFERROR(__xludf.DUMMYFUNCTION("""COMPUTED_VALUE"""),"TSLA")</f>
        <v>TSLA</v>
      </c>
      <c r="I859" s="30">
        <f>IFERROR(__xludf.DUMMYFUNCTION("""COMPUTED_VALUE"""),50.0)</f>
        <v>50</v>
      </c>
      <c r="J859" s="30"/>
      <c r="K859" s="30" t="str">
        <f>IFERROR(__xludf.DUMMYFUNCTION("""COMPUTED_VALUE"""),"QTY, Limit Price (if any) &amp; Password input correct")</f>
        <v>QTY, Limit Price (if any) &amp; Password input correct</v>
      </c>
      <c r="L859" s="30"/>
    </row>
    <row r="860">
      <c r="A860" s="5"/>
      <c r="B860" s="118">
        <f>IFERROR(__xludf.DUMMYFUNCTION("""COMPUTED_VALUE"""),44648.87066483796)</f>
        <v>44648.87066</v>
      </c>
      <c r="C860" s="120">
        <f>IFERROR(__xludf.DUMMYFUNCTION("""COMPUTED_VALUE"""),44648.666666666664)</f>
        <v>44648.66667</v>
      </c>
      <c r="D860" s="5" t="str">
        <f>IFERROR(__xludf.DUMMYFUNCTION("""COMPUTED_VALUE"""),"75965")</f>
        <v>75965</v>
      </c>
      <c r="E860" s="5" t="str">
        <f>IFERROR(__xludf.DUMMYFUNCTION("""COMPUTED_VALUE"""),"Stock")</f>
        <v>Stock</v>
      </c>
      <c r="F860" s="5" t="str">
        <f>IFERROR(__xludf.DUMMYFUNCTION("""COMPUTED_VALUE"""),"USD")</f>
        <v>USD</v>
      </c>
      <c r="G860" s="30" t="str">
        <f>IFERROR(__xludf.DUMMYFUNCTION("""COMPUTED_VALUE"""),"Email Account/ TraderID Recognized")</f>
        <v>Email Account/ TraderID Recognized</v>
      </c>
      <c r="H860" s="119" t="str">
        <f>IFERROR(__xludf.DUMMYFUNCTION("""COMPUTED_VALUE"""),"MULN")</f>
        <v>MULN</v>
      </c>
      <c r="I860" s="30">
        <f>IFERROR(__xludf.DUMMYFUNCTION("""COMPUTED_VALUE"""),9900.0)</f>
        <v>9900</v>
      </c>
      <c r="J860" s="30"/>
      <c r="K860" s="30" t="str">
        <f>IFERROR(__xludf.DUMMYFUNCTION("""COMPUTED_VALUE"""),"QTY, Limit Price (if any) &amp; Password input correct")</f>
        <v>QTY, Limit Price (if any) &amp; Password input correct</v>
      </c>
      <c r="L860" s="30"/>
    </row>
    <row r="861">
      <c r="A861" s="5"/>
      <c r="B861" s="118">
        <f>IFERROR(__xludf.DUMMYFUNCTION("""COMPUTED_VALUE"""),44648.924115752314)</f>
        <v>44648.92412</v>
      </c>
      <c r="C861" s="120" t="str">
        <f>IFERROR(__xludf.DUMMYFUNCTION("""COMPUTED_VALUE"""),"")</f>
        <v/>
      </c>
      <c r="D861" s="5" t="str">
        <f>IFERROR(__xludf.DUMMYFUNCTION("""COMPUTED_VALUE"""),"73542")</f>
        <v>73542</v>
      </c>
      <c r="E861" s="5" t="str">
        <f>IFERROR(__xludf.DUMMYFUNCTION("""COMPUTED_VALUE"""),"Stock")</f>
        <v>Stock</v>
      </c>
      <c r="F861" s="5" t="str">
        <f>IFERROR(__xludf.DUMMYFUNCTION("""COMPUTED_VALUE"""),"error")</f>
        <v>error</v>
      </c>
      <c r="G861" s="30" t="str">
        <f>IFERROR(__xludf.DUMMYFUNCTION("""COMPUTED_VALUE"""),"Email Account/ TraderID Recognized")</f>
        <v>Email Account/ TraderID Recognized</v>
      </c>
      <c r="H861" s="119" t="str">
        <f>IFERROR(__xludf.DUMMYFUNCTION("""COMPUTED_VALUE"""),"TSLA")</f>
        <v>TSLA</v>
      </c>
      <c r="I861" s="30">
        <f>IFERROR(__xludf.DUMMYFUNCTION("""COMPUTED_VALUE"""),10.0)</f>
        <v>10</v>
      </c>
      <c r="J861" s="30">
        <f>IFERROR(__xludf.DUMMYFUNCTION("""COMPUTED_VALUE"""),1066.0)</f>
        <v>1066</v>
      </c>
      <c r="K861" s="30" t="str">
        <f>IFERROR(__xludf.DUMMYFUNCTION("""COMPUTED_VALUE"""),"Wrong Password Submitted, Order will be rejected")</f>
        <v>Wrong Password Submitted, Order will be rejected</v>
      </c>
      <c r="L861" s="30" t="str">
        <f>IFERROR(__xludf.DUMMYFUNCTION("""COMPUTED_VALUE"""),"Order rejected due to wrong password")</f>
        <v>Order rejected due to wrong password</v>
      </c>
    </row>
    <row r="862">
      <c r="A862" s="5"/>
      <c r="B862" s="118">
        <f>IFERROR(__xludf.DUMMYFUNCTION("""COMPUTED_VALUE"""),44648.927901041665)</f>
        <v>44648.9279</v>
      </c>
      <c r="C862" s="120">
        <f>IFERROR(__xludf.DUMMYFUNCTION("""COMPUTED_VALUE"""),44649.625)</f>
        <v>44649.625</v>
      </c>
      <c r="D862" s="5" t="str">
        <f>IFERROR(__xludf.DUMMYFUNCTION("""COMPUTED_VALUE"""),"38758")</f>
        <v>38758</v>
      </c>
      <c r="E862" s="5" t="str">
        <f>IFERROR(__xludf.DUMMYFUNCTION("""COMPUTED_VALUE"""),"Stock")</f>
        <v>Stock</v>
      </c>
      <c r="F862" s="5" t="str">
        <f>IFERROR(__xludf.DUMMYFUNCTION("""COMPUTED_VALUE"""),"CNY")</f>
        <v>CNY</v>
      </c>
      <c r="G862" s="30" t="str">
        <f>IFERROR(__xludf.DUMMYFUNCTION("""COMPUTED_VALUE"""),"Email Account/ TraderID Recognized")</f>
        <v>Email Account/ TraderID Recognized</v>
      </c>
      <c r="H862" s="121" t="str">
        <f>IFERROR(__xludf.DUMMYFUNCTION("""COMPUTED_VALUE"""),"600519.SS")</f>
        <v>600519.SS</v>
      </c>
      <c r="I862" s="30">
        <f>IFERROR(__xludf.DUMMYFUNCTION("""COMPUTED_VALUE"""),25.0)</f>
        <v>25</v>
      </c>
      <c r="J862" s="30">
        <f>IFERROR(__xludf.DUMMYFUNCTION("""COMPUTED_VALUE"""),1600.0)</f>
        <v>1600</v>
      </c>
      <c r="K862" s="30" t="str">
        <f>IFERROR(__xludf.DUMMYFUNCTION("""COMPUTED_VALUE"""),"QTY, Limit Price (if any) &amp; Password input correct")</f>
        <v>QTY, Limit Price (if any) &amp; Password input correct</v>
      </c>
      <c r="L862" s="30"/>
    </row>
    <row r="863">
      <c r="A863" s="5"/>
      <c r="B863" s="118">
        <f>IFERROR(__xludf.DUMMYFUNCTION("""COMPUTED_VALUE"""),44648.92877033565)</f>
        <v>44648.92877</v>
      </c>
      <c r="C863" s="120">
        <f>IFERROR(__xludf.DUMMYFUNCTION("""COMPUTED_VALUE"""),44649.625)</f>
        <v>44649.625</v>
      </c>
      <c r="D863" s="5" t="str">
        <f>IFERROR(__xludf.DUMMYFUNCTION("""COMPUTED_VALUE"""),"75973")</f>
        <v>75973</v>
      </c>
      <c r="E863" s="5" t="str">
        <f>IFERROR(__xludf.DUMMYFUNCTION("""COMPUTED_VALUE"""),"Stock")</f>
        <v>Stock</v>
      </c>
      <c r="F863" s="5" t="str">
        <f>IFERROR(__xludf.DUMMYFUNCTION("""COMPUTED_VALUE"""),"CNY")</f>
        <v>CNY</v>
      </c>
      <c r="G863" s="30" t="str">
        <f>IFERROR(__xludf.DUMMYFUNCTION("""COMPUTED_VALUE"""),"Email Account/ TraderID Recognized")</f>
        <v>Email Account/ TraderID Recognized</v>
      </c>
      <c r="H863" s="121" t="str">
        <f>IFERROR(__xludf.DUMMYFUNCTION("""COMPUTED_VALUE"""),"600745.SS")</f>
        <v>600745.SS</v>
      </c>
      <c r="I863" s="30">
        <f>IFERROR(__xludf.DUMMYFUNCTION("""COMPUTED_VALUE"""),2000.0)</f>
        <v>2000</v>
      </c>
      <c r="J863" s="30">
        <f>IFERROR(__xludf.DUMMYFUNCTION("""COMPUTED_VALUE"""),88.0)</f>
        <v>88</v>
      </c>
      <c r="K863" s="30" t="str">
        <f>IFERROR(__xludf.DUMMYFUNCTION("""COMPUTED_VALUE"""),"QTY, Limit Price (if any) &amp; Password input correct")</f>
        <v>QTY, Limit Price (if any) &amp; Password input correct</v>
      </c>
      <c r="L863" s="30"/>
    </row>
    <row r="864">
      <c r="A864" s="5"/>
      <c r="B864" s="118">
        <f>IFERROR(__xludf.DUMMYFUNCTION("""COMPUTED_VALUE"""),44648.93083157408)</f>
        <v>44648.93083</v>
      </c>
      <c r="C864" s="120">
        <f>IFERROR(__xludf.DUMMYFUNCTION("""COMPUTED_VALUE"""),44649.625)</f>
        <v>44649.625</v>
      </c>
      <c r="D864" s="5" t="str">
        <f>IFERROR(__xludf.DUMMYFUNCTION("""COMPUTED_VALUE"""),"75973")</f>
        <v>75973</v>
      </c>
      <c r="E864" s="5" t="str">
        <f>IFERROR(__xludf.DUMMYFUNCTION("""COMPUTED_VALUE"""),"Stock")</f>
        <v>Stock</v>
      </c>
      <c r="F864" s="5" t="str">
        <f>IFERROR(__xludf.DUMMYFUNCTION("""COMPUTED_VALUE"""),"CNY")</f>
        <v>CNY</v>
      </c>
      <c r="G864" s="30" t="str">
        <f>IFERROR(__xludf.DUMMYFUNCTION("""COMPUTED_VALUE"""),"Email Account/ TraderID Recognized")</f>
        <v>Email Account/ TraderID Recognized</v>
      </c>
      <c r="H864" s="121" t="str">
        <f>IFERROR(__xludf.DUMMYFUNCTION("""COMPUTED_VALUE"""),"600745.SS")</f>
        <v>600745.SS</v>
      </c>
      <c r="I864" s="30">
        <f>IFERROR(__xludf.DUMMYFUNCTION("""COMPUTED_VALUE"""),2000.0)</f>
        <v>2000</v>
      </c>
      <c r="J864" s="30">
        <f>IFERROR(__xludf.DUMMYFUNCTION("""COMPUTED_VALUE"""),89.0)</f>
        <v>89</v>
      </c>
      <c r="K864" s="30" t="str">
        <f>IFERROR(__xludf.DUMMYFUNCTION("""COMPUTED_VALUE"""),"QTY, Limit Price (if any) &amp; Password input correct")</f>
        <v>QTY, Limit Price (if any) &amp; Password input correct</v>
      </c>
      <c r="L864" s="30"/>
    </row>
    <row r="865">
      <c r="A865" s="5"/>
      <c r="B865" s="118">
        <f>IFERROR(__xludf.DUMMYFUNCTION("""COMPUTED_VALUE"""),44649.021768506944)</f>
        <v>44649.02177</v>
      </c>
      <c r="C865" s="120">
        <f>IFERROR(__xludf.DUMMYFUNCTION("""COMPUTED_VALUE"""),44648.666666666664)</f>
        <v>44648.66667</v>
      </c>
      <c r="D865" s="5" t="str">
        <f>IFERROR(__xludf.DUMMYFUNCTION("""COMPUTED_VALUE"""),"35577")</f>
        <v>35577</v>
      </c>
      <c r="E865" s="5" t="str">
        <f>IFERROR(__xludf.DUMMYFUNCTION("""COMPUTED_VALUE"""),"Stock")</f>
        <v>Stock</v>
      </c>
      <c r="F865" s="5" t="str">
        <f>IFERROR(__xludf.DUMMYFUNCTION("""COMPUTED_VALUE"""),"USD")</f>
        <v>USD</v>
      </c>
      <c r="G865" s="30" t="str">
        <f>IFERROR(__xludf.DUMMYFUNCTION("""COMPUTED_VALUE"""),"Email Account/ TraderID Recognized")</f>
        <v>Email Account/ TraderID Recognized</v>
      </c>
      <c r="H865" s="119" t="str">
        <f>IFERROR(__xludf.DUMMYFUNCTION("""COMPUTED_VALUE"""),"ADBE")</f>
        <v>ADBE</v>
      </c>
      <c r="I865" s="30">
        <f>IFERROR(__xludf.DUMMYFUNCTION("""COMPUTED_VALUE"""),25.0)</f>
        <v>25</v>
      </c>
      <c r="J865" s="30">
        <f>IFERROR(__xludf.DUMMYFUNCTION("""COMPUTED_VALUE"""),432.0)</f>
        <v>432</v>
      </c>
      <c r="K865" s="30" t="str">
        <f>IFERROR(__xludf.DUMMYFUNCTION("""COMPUTED_VALUE"""),"QTY, Limit Price (if any) &amp; Password input correct")</f>
        <v>QTY, Limit Price (if any) &amp; Password input correct</v>
      </c>
      <c r="L865" s="30"/>
    </row>
    <row r="866">
      <c r="A866" s="5"/>
      <c r="B866" s="118">
        <f>IFERROR(__xludf.DUMMYFUNCTION("""COMPUTED_VALUE"""),44649.41540096064)</f>
        <v>44649.4154</v>
      </c>
      <c r="C866" s="120">
        <f>IFERROR(__xludf.DUMMYFUNCTION("""COMPUTED_VALUE"""),44649.625)</f>
        <v>44649.625</v>
      </c>
      <c r="D866" s="5" t="str">
        <f>IFERROR(__xludf.DUMMYFUNCTION("""COMPUTED_VALUE"""),"74641")</f>
        <v>74641</v>
      </c>
      <c r="E866" s="5" t="str">
        <f>IFERROR(__xludf.DUMMYFUNCTION("""COMPUTED_VALUE"""),"Stock")</f>
        <v>Stock</v>
      </c>
      <c r="F866" s="5" t="str">
        <f>IFERROR(__xludf.DUMMYFUNCTION("""COMPUTED_VALUE"""),"CNY")</f>
        <v>CNY</v>
      </c>
      <c r="G866" s="30" t="str">
        <f>IFERROR(__xludf.DUMMYFUNCTION("""COMPUTED_VALUE"""),"Email Account/ TraderID Recognized")</f>
        <v>Email Account/ TraderID Recognized</v>
      </c>
      <c r="H866" s="121" t="str">
        <f>IFERROR(__xludf.DUMMYFUNCTION("""COMPUTED_VALUE"""),"000568.sz")</f>
        <v>000568.sz</v>
      </c>
      <c r="I866" s="30">
        <f>IFERROR(__xludf.DUMMYFUNCTION("""COMPUTED_VALUE"""),1000.0)</f>
        <v>1000</v>
      </c>
      <c r="J866" s="30">
        <f>IFERROR(__xludf.DUMMYFUNCTION("""COMPUTED_VALUE"""),180.99)</f>
        <v>180.99</v>
      </c>
      <c r="K866" s="30" t="str">
        <f>IFERROR(__xludf.DUMMYFUNCTION("""COMPUTED_VALUE"""),"QTY, Limit Price (if any) &amp; Password input correct")</f>
        <v>QTY, Limit Price (if any) &amp; Password input correct</v>
      </c>
      <c r="L866" s="30"/>
    </row>
    <row r="867">
      <c r="A867" s="5"/>
      <c r="B867" s="118">
        <f>IFERROR(__xludf.DUMMYFUNCTION("""COMPUTED_VALUE"""),44649.4240866551)</f>
        <v>44649.42409</v>
      </c>
      <c r="C867" s="120">
        <f>IFERROR(__xludf.DUMMYFUNCTION("""COMPUTED_VALUE"""),44649.625)</f>
        <v>44649.625</v>
      </c>
      <c r="D867" s="5" t="str">
        <f>IFERROR(__xludf.DUMMYFUNCTION("""COMPUTED_VALUE"""),"38307")</f>
        <v>38307</v>
      </c>
      <c r="E867" s="5" t="str">
        <f>IFERROR(__xludf.DUMMYFUNCTION("""COMPUTED_VALUE"""),"Stock")</f>
        <v>Stock</v>
      </c>
      <c r="F867" s="5" t="str">
        <f>IFERROR(__xludf.DUMMYFUNCTION("""COMPUTED_VALUE"""),"CNY")</f>
        <v>CNY</v>
      </c>
      <c r="G867" s="30" t="str">
        <f>IFERROR(__xludf.DUMMYFUNCTION("""COMPUTED_VALUE"""),"Email Account/ TraderID Recognized")</f>
        <v>Email Account/ TraderID Recognized</v>
      </c>
      <c r="H867" s="121" t="str">
        <f>IFERROR(__xludf.DUMMYFUNCTION("""COMPUTED_VALUE"""),"603392.SS")</f>
        <v>603392.SS</v>
      </c>
      <c r="I867" s="30">
        <f>IFERROR(__xludf.DUMMYFUNCTION("""COMPUTED_VALUE"""),400.0)</f>
        <v>400</v>
      </c>
      <c r="J867" s="30"/>
      <c r="K867" s="30" t="str">
        <f>IFERROR(__xludf.DUMMYFUNCTION("""COMPUTED_VALUE"""),"QTY, Limit Price (if any) &amp; Password input correct")</f>
        <v>QTY, Limit Price (if any) &amp; Password input correct</v>
      </c>
      <c r="L867" s="30"/>
    </row>
    <row r="868">
      <c r="A868" s="5"/>
      <c r="B868" s="118">
        <f>IFERROR(__xludf.DUMMYFUNCTION("""COMPUTED_VALUE"""),44649.465195729164)</f>
        <v>44649.4652</v>
      </c>
      <c r="C868" s="120">
        <f>IFERROR(__xludf.DUMMYFUNCTION("""COMPUTED_VALUE"""),44649.666666666664)</f>
        <v>44649.66667</v>
      </c>
      <c r="D868" s="5" t="str">
        <f>IFERROR(__xludf.DUMMYFUNCTION("""COMPUTED_VALUE"""),"38381")</f>
        <v>38381</v>
      </c>
      <c r="E868" s="5" t="str">
        <f>IFERROR(__xludf.DUMMYFUNCTION("""COMPUTED_VALUE"""),"Stock")</f>
        <v>Stock</v>
      </c>
      <c r="F868" s="5" t="str">
        <f>IFERROR(__xludf.DUMMYFUNCTION("""COMPUTED_VALUE"""),"USD")</f>
        <v>USD</v>
      </c>
      <c r="G868" s="30" t="str">
        <f>IFERROR(__xludf.DUMMYFUNCTION("""COMPUTED_VALUE"""),"Email Account/ TraderID Recognized")</f>
        <v>Email Account/ TraderID Recognized</v>
      </c>
      <c r="H868" s="119" t="str">
        <f>IFERROR(__xludf.DUMMYFUNCTION("""COMPUTED_VALUE"""),"BZ=F")</f>
        <v>BZ=F</v>
      </c>
      <c r="I868" s="30">
        <f>IFERROR(__xludf.DUMMYFUNCTION("""COMPUTED_VALUE"""),300.0)</f>
        <v>300</v>
      </c>
      <c r="J868" s="30"/>
      <c r="K868" s="30" t="str">
        <f>IFERROR(__xludf.DUMMYFUNCTION("""COMPUTED_VALUE"""),"QTY, Limit Price (if any) &amp; Password input correct")</f>
        <v>QTY, Limit Price (if any) &amp; Password input correct</v>
      </c>
      <c r="L868" s="30"/>
    </row>
    <row r="869">
      <c r="A869" s="5"/>
      <c r="B869" s="118">
        <f>IFERROR(__xludf.DUMMYFUNCTION("""COMPUTED_VALUE"""),44649.46975950232)</f>
        <v>44649.46976</v>
      </c>
      <c r="C869" s="120">
        <f>IFERROR(__xludf.DUMMYFUNCTION("""COMPUTED_VALUE"""),44649.625)</f>
        <v>44649.625</v>
      </c>
      <c r="D869" s="5" t="str">
        <f>IFERROR(__xludf.DUMMYFUNCTION("""COMPUTED_VALUE"""),"76369")</f>
        <v>76369</v>
      </c>
      <c r="E869" s="5" t="str">
        <f>IFERROR(__xludf.DUMMYFUNCTION("""COMPUTED_VALUE"""),"Stock")</f>
        <v>Stock</v>
      </c>
      <c r="F869" s="5" t="str">
        <f>IFERROR(__xludf.DUMMYFUNCTION("""COMPUTED_VALUE"""),"CNY")</f>
        <v>CNY</v>
      </c>
      <c r="G869" s="30" t="str">
        <f>IFERROR(__xludf.DUMMYFUNCTION("""COMPUTED_VALUE"""),"Email Account/ TraderID Recognized")</f>
        <v>Email Account/ TraderID Recognized</v>
      </c>
      <c r="H869" s="121" t="str">
        <f>IFERROR(__xludf.DUMMYFUNCTION("""COMPUTED_VALUE"""),"002670.SZ")</f>
        <v>002670.SZ</v>
      </c>
      <c r="I869" s="30">
        <f>IFERROR(__xludf.DUMMYFUNCTION("""COMPUTED_VALUE"""),500.0)</f>
        <v>500</v>
      </c>
      <c r="J869" s="30"/>
      <c r="K869" s="30" t="str">
        <f>IFERROR(__xludf.DUMMYFUNCTION("""COMPUTED_VALUE"""),"QTY, Limit Price (if any) &amp; Password input correct")</f>
        <v>QTY, Limit Price (if any) &amp; Password input correct</v>
      </c>
      <c r="L869" s="30"/>
    </row>
    <row r="870">
      <c r="A870" s="5"/>
      <c r="B870" s="118">
        <f>IFERROR(__xludf.DUMMYFUNCTION("""COMPUTED_VALUE"""),44649.496111134256)</f>
        <v>44649.49611</v>
      </c>
      <c r="C870" s="120">
        <f>IFERROR(__xludf.DUMMYFUNCTION("""COMPUTED_VALUE"""),44649.625)</f>
        <v>44649.625</v>
      </c>
      <c r="D870" s="5" t="str">
        <f>IFERROR(__xludf.DUMMYFUNCTION("""COMPUTED_VALUE"""),"76369")</f>
        <v>76369</v>
      </c>
      <c r="E870" s="5" t="str">
        <f>IFERROR(__xludf.DUMMYFUNCTION("""COMPUTED_VALUE"""),"Stock")</f>
        <v>Stock</v>
      </c>
      <c r="F870" s="5" t="str">
        <f>IFERROR(__xludf.DUMMYFUNCTION("""COMPUTED_VALUE"""),"CNY")</f>
        <v>CNY</v>
      </c>
      <c r="G870" s="30" t="str">
        <f>IFERROR(__xludf.DUMMYFUNCTION("""COMPUTED_VALUE"""),"Email Account/ TraderID Recognized")</f>
        <v>Email Account/ TraderID Recognized</v>
      </c>
      <c r="H870" s="121" t="str">
        <f>IFERROR(__xludf.DUMMYFUNCTION("""COMPUTED_VALUE"""),"600227.SS")</f>
        <v>600227.SS</v>
      </c>
      <c r="I870" s="30">
        <f>IFERROR(__xludf.DUMMYFUNCTION("""COMPUTED_VALUE"""),1000.0)</f>
        <v>1000</v>
      </c>
      <c r="J870" s="30"/>
      <c r="K870" s="30" t="str">
        <f>IFERROR(__xludf.DUMMYFUNCTION("""COMPUTED_VALUE"""),"QTY, Limit Price (if any) &amp; Password input correct")</f>
        <v>QTY, Limit Price (if any) &amp; Password input correct</v>
      </c>
      <c r="L870" s="30"/>
    </row>
    <row r="871">
      <c r="A871" s="5"/>
      <c r="B871" s="118">
        <f>IFERROR(__xludf.DUMMYFUNCTION("""COMPUTED_VALUE"""),44649.50015825231)</f>
        <v>44649.50016</v>
      </c>
      <c r="C871" s="120">
        <f>IFERROR(__xludf.DUMMYFUNCTION("""COMPUTED_VALUE"""),44649.625)</f>
        <v>44649.625</v>
      </c>
      <c r="D871" s="5" t="str">
        <f>IFERROR(__xludf.DUMMYFUNCTION("""COMPUTED_VALUE"""),"76369")</f>
        <v>76369</v>
      </c>
      <c r="E871" s="5" t="str">
        <f>IFERROR(__xludf.DUMMYFUNCTION("""COMPUTED_VALUE"""),"Stock")</f>
        <v>Stock</v>
      </c>
      <c r="F871" s="5" t="str">
        <f>IFERROR(__xludf.DUMMYFUNCTION("""COMPUTED_VALUE"""),"CNY")</f>
        <v>CNY</v>
      </c>
      <c r="G871" s="30" t="str">
        <f>IFERROR(__xludf.DUMMYFUNCTION("""COMPUTED_VALUE"""),"Email Account/ TraderID Recognized")</f>
        <v>Email Account/ TraderID Recognized</v>
      </c>
      <c r="H871" s="121" t="str">
        <f>IFERROR(__xludf.DUMMYFUNCTION("""COMPUTED_VALUE"""),"000999.SZ")</f>
        <v>000999.SZ</v>
      </c>
      <c r="I871" s="30">
        <f>IFERROR(__xludf.DUMMYFUNCTION("""COMPUTED_VALUE"""),100.0)</f>
        <v>100</v>
      </c>
      <c r="J871" s="30"/>
      <c r="K871" s="30" t="str">
        <f>IFERROR(__xludf.DUMMYFUNCTION("""COMPUTED_VALUE"""),"QTY, Limit Price (if any) &amp; Password input correct")</f>
        <v>QTY, Limit Price (if any) &amp; Password input correct</v>
      </c>
      <c r="L871" s="30"/>
    </row>
    <row r="872">
      <c r="A872" s="5"/>
      <c r="B872" s="118">
        <f>IFERROR(__xludf.DUMMYFUNCTION("""COMPUTED_VALUE"""),44649.540399317135)</f>
        <v>44649.5404</v>
      </c>
      <c r="C872" s="120">
        <f>IFERROR(__xludf.DUMMYFUNCTION("""COMPUTED_VALUE"""),44649.666666666664)</f>
        <v>44649.66667</v>
      </c>
      <c r="D872" s="5" t="str">
        <f>IFERROR(__xludf.DUMMYFUNCTION("""COMPUTED_VALUE"""),"36242")</f>
        <v>36242</v>
      </c>
      <c r="E872" s="5" t="str">
        <f>IFERROR(__xludf.DUMMYFUNCTION("""COMPUTED_VALUE"""),"Stock")</f>
        <v>Stock</v>
      </c>
      <c r="F872" s="5" t="str">
        <f>IFERROR(__xludf.DUMMYFUNCTION("""COMPUTED_VALUE"""),"USD")</f>
        <v>USD</v>
      </c>
      <c r="G872" s="30" t="str">
        <f>IFERROR(__xludf.DUMMYFUNCTION("""COMPUTED_VALUE"""),"Email Account/ TraderID Recognized")</f>
        <v>Email Account/ TraderID Recognized</v>
      </c>
      <c r="H872" s="119" t="str">
        <f>IFERROR(__xludf.DUMMYFUNCTION("""COMPUTED_VALUE"""),"TSLA")</f>
        <v>TSLA</v>
      </c>
      <c r="I872" s="30">
        <f>IFERROR(__xludf.DUMMYFUNCTION("""COMPUTED_VALUE"""),50.0)</f>
        <v>50</v>
      </c>
      <c r="J872" s="30">
        <f>IFERROR(__xludf.DUMMYFUNCTION("""COMPUTED_VALUE"""),1090.0)</f>
        <v>1090</v>
      </c>
      <c r="K872" s="30" t="str">
        <f>IFERROR(__xludf.DUMMYFUNCTION("""COMPUTED_VALUE"""),"QTY, Limit Price (if any) &amp; Password input correct")</f>
        <v>QTY, Limit Price (if any) &amp; Password input correct</v>
      </c>
      <c r="L872" s="30"/>
    </row>
    <row r="873">
      <c r="A873" s="5"/>
      <c r="B873" s="118">
        <f>IFERROR(__xludf.DUMMYFUNCTION("""COMPUTED_VALUE"""),44649.59082679398)</f>
        <v>44649.59083</v>
      </c>
      <c r="C873" s="120">
        <f>IFERROR(__xludf.DUMMYFUNCTION("""COMPUTED_VALUE"""),44649.666666666664)</f>
        <v>44649.66667</v>
      </c>
      <c r="D873" s="5" t="str">
        <f>IFERROR(__xludf.DUMMYFUNCTION("""COMPUTED_VALUE"""),"46600")</f>
        <v>46600</v>
      </c>
      <c r="E873" s="5" t="str">
        <f>IFERROR(__xludf.DUMMYFUNCTION("""COMPUTED_VALUE"""),"Stock")</f>
        <v>Stock</v>
      </c>
      <c r="F873" s="5" t="str">
        <f>IFERROR(__xludf.DUMMYFUNCTION("""COMPUTED_VALUE"""),"HKD")</f>
        <v>HKD</v>
      </c>
      <c r="G873" s="30" t="str">
        <f>IFERROR(__xludf.DUMMYFUNCTION("""COMPUTED_VALUE"""),"Email Account/ TraderID Recognized")</f>
        <v>Email Account/ TraderID Recognized</v>
      </c>
      <c r="H873" s="121" t="str">
        <f>IFERROR(__xludf.DUMMYFUNCTION("""COMPUTED_VALUE"""),"0700.HK")</f>
        <v>0700.HK</v>
      </c>
      <c r="I873" s="30">
        <f>IFERROR(__xludf.DUMMYFUNCTION("""COMPUTED_VALUE"""),300.0)</f>
        <v>300</v>
      </c>
      <c r="J873" s="30"/>
      <c r="K873" s="30" t="str">
        <f>IFERROR(__xludf.DUMMYFUNCTION("""COMPUTED_VALUE"""),"QTY, Limit Price (if any) &amp; Password input correct")</f>
        <v>QTY, Limit Price (if any) &amp; Password input correct</v>
      </c>
      <c r="L873" s="30"/>
    </row>
    <row r="874">
      <c r="A874" s="5"/>
      <c r="B874" s="118">
        <f>IFERROR(__xludf.DUMMYFUNCTION("""COMPUTED_VALUE"""),44649.659478229165)</f>
        <v>44649.65948</v>
      </c>
      <c r="C874" s="120" t="str">
        <f>IFERROR(__xludf.DUMMYFUNCTION("""COMPUTED_VALUE"""),"")</f>
        <v/>
      </c>
      <c r="D874" s="5" t="str">
        <f>IFERROR(__xludf.DUMMYFUNCTION("""COMPUTED_VALUE"""),"75965")</f>
        <v>75965</v>
      </c>
      <c r="E874" s="5" t="str">
        <f>IFERROR(__xludf.DUMMYFUNCTION("""COMPUTED_VALUE"""),"Stock")</f>
        <v>Stock</v>
      </c>
      <c r="F874" s="5" t="str">
        <f>IFERROR(__xludf.DUMMYFUNCTION("""COMPUTED_VALUE"""),"error")</f>
        <v>error</v>
      </c>
      <c r="G874" s="30" t="str">
        <f>IFERROR(__xludf.DUMMYFUNCTION("""COMPUTED_VALUE"""),"Email Account/ TraderID Recognized")</f>
        <v>Email Account/ TraderID Recognized</v>
      </c>
      <c r="H874" s="119" t="str">
        <f>IFERROR(__xludf.DUMMYFUNCTION("""COMPUTED_VALUE"""),"MULN")</f>
        <v>MULN</v>
      </c>
      <c r="I874" s="30">
        <f>IFERROR(__xludf.DUMMYFUNCTION("""COMPUTED_VALUE"""),20000.0)</f>
        <v>20000</v>
      </c>
      <c r="J874" s="30"/>
      <c r="K874" s="30" t="str">
        <f>IFERROR(__xludf.DUMMYFUNCTION("""COMPUTED_VALUE"""),"Wrong Password Submitted, Order will be rejected")</f>
        <v>Wrong Password Submitted, Order will be rejected</v>
      </c>
      <c r="L874" s="30" t="str">
        <f>IFERROR(__xludf.DUMMYFUNCTION("""COMPUTED_VALUE"""),"Order rejected due to wrong password")</f>
        <v>Order rejected due to wrong password</v>
      </c>
    </row>
    <row r="875">
      <c r="A875" s="5"/>
      <c r="B875" s="118">
        <f>IFERROR(__xludf.DUMMYFUNCTION("""COMPUTED_VALUE"""),44649.66742362268)</f>
        <v>44649.66742</v>
      </c>
      <c r="C875" s="120">
        <f>IFERROR(__xludf.DUMMYFUNCTION("""COMPUTED_VALUE"""),44649.666666666664)</f>
        <v>44649.66667</v>
      </c>
      <c r="D875" s="5" t="str">
        <f>IFERROR(__xludf.DUMMYFUNCTION("""COMPUTED_VALUE"""),"75965")</f>
        <v>75965</v>
      </c>
      <c r="E875" s="5" t="str">
        <f>IFERROR(__xludf.DUMMYFUNCTION("""COMPUTED_VALUE"""),"Stock")</f>
        <v>Stock</v>
      </c>
      <c r="F875" s="5" t="str">
        <f>IFERROR(__xludf.DUMMYFUNCTION("""COMPUTED_VALUE"""),"USD")</f>
        <v>USD</v>
      </c>
      <c r="G875" s="30" t="str">
        <f>IFERROR(__xludf.DUMMYFUNCTION("""COMPUTED_VALUE"""),"Email Account/ TraderID Recognized")</f>
        <v>Email Account/ TraderID Recognized</v>
      </c>
      <c r="H875" s="119" t="str">
        <f>IFERROR(__xludf.DUMMYFUNCTION("""COMPUTED_VALUE"""),"TSLA")</f>
        <v>TSLA</v>
      </c>
      <c r="I875" s="30">
        <f>IFERROR(__xludf.DUMMYFUNCTION("""COMPUTED_VALUE"""),50.0)</f>
        <v>50</v>
      </c>
      <c r="J875" s="30"/>
      <c r="K875" s="30" t="str">
        <f>IFERROR(__xludf.DUMMYFUNCTION("""COMPUTED_VALUE"""),"QTY, Limit Price (if any) &amp; Password input correct")</f>
        <v>QTY, Limit Price (if any) &amp; Password input correct</v>
      </c>
      <c r="L875" s="30"/>
    </row>
    <row r="876">
      <c r="A876" s="5"/>
      <c r="B876" s="118">
        <f>IFERROR(__xludf.DUMMYFUNCTION("""COMPUTED_VALUE"""),44649.66856548611)</f>
        <v>44649.66857</v>
      </c>
      <c r="C876" s="120" t="str">
        <f>IFERROR(__xludf.DUMMYFUNCTION("""COMPUTED_VALUE"""),"")</f>
        <v/>
      </c>
      <c r="D876" s="5" t="str">
        <f>IFERROR(__xludf.DUMMYFUNCTION("""COMPUTED_VALUE"""),"75965")</f>
        <v>75965</v>
      </c>
      <c r="E876" s="5" t="str">
        <f>IFERROR(__xludf.DUMMYFUNCTION("""COMPUTED_VALUE"""),"Stock")</f>
        <v>Stock</v>
      </c>
      <c r="F876" s="5" t="str">
        <f>IFERROR(__xludf.DUMMYFUNCTION("""COMPUTED_VALUE"""),"error")</f>
        <v>error</v>
      </c>
      <c r="G876" s="30" t="str">
        <f>IFERROR(__xludf.DUMMYFUNCTION("""COMPUTED_VALUE"""),"Email Account/ TraderID Recognized")</f>
        <v>Email Account/ TraderID Recognized</v>
      </c>
      <c r="H876" s="119" t="str">
        <f>IFERROR(__xludf.DUMMYFUNCTION("""COMPUTED_VALUE"""),"TSLA")</f>
        <v>TSLA</v>
      </c>
      <c r="I876" s="30">
        <f>IFERROR(__xludf.DUMMYFUNCTION("""COMPUTED_VALUE"""),200.0)</f>
        <v>200</v>
      </c>
      <c r="J876" s="30"/>
      <c r="K876" s="30" t="str">
        <f>IFERROR(__xludf.DUMMYFUNCTION("""COMPUTED_VALUE"""),"Wrong Password Submitted, Order will be rejected")</f>
        <v>Wrong Password Submitted, Order will be rejected</v>
      </c>
      <c r="L876" s="30" t="str">
        <f>IFERROR(__xludf.DUMMYFUNCTION("""COMPUTED_VALUE"""),"Order rejected due to wrong password")</f>
        <v>Order rejected due to wrong password</v>
      </c>
    </row>
    <row r="877">
      <c r="A877" s="5"/>
      <c r="B877" s="118">
        <f>IFERROR(__xludf.DUMMYFUNCTION("""COMPUTED_VALUE"""),44649.70416761574)</f>
        <v>44649.70417</v>
      </c>
      <c r="C877" s="120">
        <f>IFERROR(__xludf.DUMMYFUNCTION("""COMPUTED_VALUE"""),44649.666666666664)</f>
        <v>44649.66667</v>
      </c>
      <c r="D877" s="5" t="str">
        <f>IFERROR(__xludf.DUMMYFUNCTION("""COMPUTED_VALUE"""),"75369")</f>
        <v>75369</v>
      </c>
      <c r="E877" s="5" t="str">
        <f>IFERROR(__xludf.DUMMYFUNCTION("""COMPUTED_VALUE"""),"Stock")</f>
        <v>Stock</v>
      </c>
      <c r="F877" s="5" t="str">
        <f>IFERROR(__xludf.DUMMYFUNCTION("""COMPUTED_VALUE"""),"USD")</f>
        <v>USD</v>
      </c>
      <c r="G877" s="30" t="str">
        <f>IFERROR(__xludf.DUMMYFUNCTION("""COMPUTED_VALUE"""),"Email Account/ TraderID Recognized")</f>
        <v>Email Account/ TraderID Recognized</v>
      </c>
      <c r="H877" s="119" t="str">
        <f>IFERROR(__xludf.DUMMYFUNCTION("""COMPUTED_VALUE"""),"AAPL")</f>
        <v>AAPL</v>
      </c>
      <c r="I877" s="30">
        <f>IFERROR(__xludf.DUMMYFUNCTION("""COMPUTED_VALUE"""),350.0)</f>
        <v>350</v>
      </c>
      <c r="J877" s="30"/>
      <c r="K877" s="30" t="str">
        <f>IFERROR(__xludf.DUMMYFUNCTION("""COMPUTED_VALUE"""),"QTY, Limit Price (if any) &amp; Password input correct")</f>
        <v>QTY, Limit Price (if any) &amp; Password input correct</v>
      </c>
      <c r="L877" s="30"/>
    </row>
    <row r="878">
      <c r="A878" s="5"/>
      <c r="B878" s="118">
        <f>IFERROR(__xludf.DUMMYFUNCTION("""COMPUTED_VALUE"""),44649.706393518514)</f>
        <v>44649.70639</v>
      </c>
      <c r="C878" s="120" t="str">
        <f>IFERROR(__xludf.DUMMYFUNCTION("""COMPUTED_VALUE"""),"")</f>
        <v/>
      </c>
      <c r="D878" s="5" t="str">
        <f>IFERROR(__xludf.DUMMYFUNCTION("""COMPUTED_VALUE"""),"75369")</f>
        <v>75369</v>
      </c>
      <c r="E878" s="5" t="str">
        <f>IFERROR(__xludf.DUMMYFUNCTION("""COMPUTED_VALUE"""),"Stock")</f>
        <v>Stock</v>
      </c>
      <c r="F878" s="5" t="str">
        <f>IFERROR(__xludf.DUMMYFUNCTION("""COMPUTED_VALUE"""),"error")</f>
        <v>error</v>
      </c>
      <c r="G878" s="30" t="str">
        <f>IFERROR(__xludf.DUMMYFUNCTION("""COMPUTED_VALUE"""),"Email Account/ TraderID Recognized")</f>
        <v>Email Account/ TraderID Recognized</v>
      </c>
      <c r="H878" s="119" t="str">
        <f>IFERROR(__xludf.DUMMYFUNCTION("""COMPUTED_VALUE"""),"9698")</f>
        <v>9698</v>
      </c>
      <c r="I878" s="30">
        <f>IFERROR(__xludf.DUMMYFUNCTION("""COMPUTED_VALUE"""),2000.0)</f>
        <v>2000</v>
      </c>
      <c r="J878" s="30"/>
      <c r="K878" s="30" t="str">
        <f>IFERROR(__xludf.DUMMYFUNCTION("""COMPUTED_VALUE"""),"QTY, Limit Price (if any) &amp; Password input correct")</f>
        <v>QTY, Limit Price (if any) &amp; Password input correct</v>
      </c>
      <c r="L878" s="30" t="str">
        <f>IFERROR(__xludf.DUMMYFUNCTION("""COMPUTED_VALUE"""),"Order rejected due to wrong ticker code")</f>
        <v>Order rejected due to wrong ticker code</v>
      </c>
    </row>
    <row r="879">
      <c r="A879" s="5"/>
      <c r="B879" s="118">
        <f>IFERROR(__xludf.DUMMYFUNCTION("""COMPUTED_VALUE"""),44649.70997809028)</f>
        <v>44649.70998</v>
      </c>
      <c r="C879" s="120">
        <f>IFERROR(__xludf.DUMMYFUNCTION("""COMPUTED_VALUE"""),44649.666666666664)</f>
        <v>44649.66667</v>
      </c>
      <c r="D879" s="5" t="str">
        <f>IFERROR(__xludf.DUMMYFUNCTION("""COMPUTED_VALUE"""),"75369")</f>
        <v>75369</v>
      </c>
      <c r="E879" s="5" t="str">
        <f>IFERROR(__xludf.DUMMYFUNCTION("""COMPUTED_VALUE"""),"Stock")</f>
        <v>Stock</v>
      </c>
      <c r="F879" s="5" t="str">
        <f>IFERROR(__xludf.DUMMYFUNCTION("""COMPUTED_VALUE"""),"USD")</f>
        <v>USD</v>
      </c>
      <c r="G879" s="30" t="str">
        <f>IFERROR(__xludf.DUMMYFUNCTION("""COMPUTED_VALUE"""),"Email Account/ TraderID Recognized")</f>
        <v>Email Account/ TraderID Recognized</v>
      </c>
      <c r="H879" s="119" t="str">
        <f>IFERROR(__xludf.DUMMYFUNCTION("""COMPUTED_VALUE"""),"YINN")</f>
        <v>YINN</v>
      </c>
      <c r="I879" s="30">
        <f>IFERROR(__xludf.DUMMYFUNCTION("""COMPUTED_VALUE"""),5000.0)</f>
        <v>5000</v>
      </c>
      <c r="J879" s="30"/>
      <c r="K879" s="30" t="str">
        <f>IFERROR(__xludf.DUMMYFUNCTION("""COMPUTED_VALUE"""),"QTY, Limit Price (if any) &amp; Password input correct")</f>
        <v>QTY, Limit Price (if any) &amp; Password input correct</v>
      </c>
      <c r="L879" s="30"/>
    </row>
    <row r="880">
      <c r="A880" s="5"/>
      <c r="B880" s="118">
        <f>IFERROR(__xludf.DUMMYFUNCTION("""COMPUTED_VALUE"""),44649.71117782407)</f>
        <v>44649.71118</v>
      </c>
      <c r="C880" s="120">
        <f>IFERROR(__xludf.DUMMYFUNCTION("""COMPUTED_VALUE"""),44650.666666666664)</f>
        <v>44650.66667</v>
      </c>
      <c r="D880" s="5" t="str">
        <f>IFERROR(__xludf.DUMMYFUNCTION("""COMPUTED_VALUE"""),"75369")</f>
        <v>75369</v>
      </c>
      <c r="E880" s="5" t="str">
        <f>IFERROR(__xludf.DUMMYFUNCTION("""COMPUTED_VALUE"""),"Stock")</f>
        <v>Stock</v>
      </c>
      <c r="F880" s="5" t="str">
        <f>IFERROR(__xludf.DUMMYFUNCTION("""COMPUTED_VALUE"""),"HKD")</f>
        <v>HKD</v>
      </c>
      <c r="G880" s="30" t="str">
        <f>IFERROR(__xludf.DUMMYFUNCTION("""COMPUTED_VALUE"""),"Email Account/ TraderID Recognized")</f>
        <v>Email Account/ TraderID Recognized</v>
      </c>
      <c r="H880" s="121" t="str">
        <f>IFERROR(__xludf.DUMMYFUNCTION("""COMPUTED_VALUE"""),"9988.hk")</f>
        <v>9988.hk</v>
      </c>
      <c r="I880" s="30">
        <f>IFERROR(__xludf.DUMMYFUNCTION("""COMPUTED_VALUE"""),500.0)</f>
        <v>500</v>
      </c>
      <c r="J880" s="30"/>
      <c r="K880" s="30" t="str">
        <f>IFERROR(__xludf.DUMMYFUNCTION("""COMPUTED_VALUE"""),"QTY, Limit Price (if any) &amp; Password input correct")</f>
        <v>QTY, Limit Price (if any) &amp; Password input correct</v>
      </c>
      <c r="L880" s="30"/>
    </row>
    <row r="881">
      <c r="A881" s="5"/>
      <c r="B881" s="118">
        <f>IFERROR(__xludf.DUMMYFUNCTION("""COMPUTED_VALUE"""),44649.714890601856)</f>
        <v>44649.71489</v>
      </c>
      <c r="C881" s="120">
        <f>IFERROR(__xludf.DUMMYFUNCTION("""COMPUTED_VALUE"""),44650.666666666664)</f>
        <v>44650.66667</v>
      </c>
      <c r="D881" s="5" t="str">
        <f>IFERROR(__xludf.DUMMYFUNCTION("""COMPUTED_VALUE"""),"75369")</f>
        <v>75369</v>
      </c>
      <c r="E881" s="5" t="str">
        <f>IFERROR(__xludf.DUMMYFUNCTION("""COMPUTED_VALUE"""),"Stock")</f>
        <v>Stock</v>
      </c>
      <c r="F881" s="5" t="str">
        <f>IFERROR(__xludf.DUMMYFUNCTION("""COMPUTED_VALUE"""),"HKD")</f>
        <v>HKD</v>
      </c>
      <c r="G881" s="30" t="str">
        <f>IFERROR(__xludf.DUMMYFUNCTION("""COMPUTED_VALUE"""),"Email Account/ TraderID Recognized")</f>
        <v>Email Account/ TraderID Recognized</v>
      </c>
      <c r="H881" s="121" t="str">
        <f>IFERROR(__xludf.DUMMYFUNCTION("""COMPUTED_VALUE"""),"9999.hk")</f>
        <v>9999.hk</v>
      </c>
      <c r="I881" s="30">
        <f>IFERROR(__xludf.DUMMYFUNCTION("""COMPUTED_VALUE"""),500.0)</f>
        <v>500</v>
      </c>
      <c r="J881" s="30"/>
      <c r="K881" s="30" t="str">
        <f>IFERROR(__xludf.DUMMYFUNCTION("""COMPUTED_VALUE"""),"QTY, Limit Price (if any) &amp; Password input correct")</f>
        <v>QTY, Limit Price (if any) &amp; Password input correct</v>
      </c>
      <c r="L881" s="30"/>
    </row>
    <row r="882">
      <c r="A882" s="5"/>
      <c r="B882" s="118">
        <f>IFERROR(__xludf.DUMMYFUNCTION("""COMPUTED_VALUE"""),44649.71727717592)</f>
        <v>44649.71728</v>
      </c>
      <c r="C882" s="120">
        <f>IFERROR(__xludf.DUMMYFUNCTION("""COMPUTED_VALUE"""),44649.666666666664)</f>
        <v>44649.66667</v>
      </c>
      <c r="D882" s="5" t="str">
        <f>IFERROR(__xludf.DUMMYFUNCTION("""COMPUTED_VALUE"""),"75369")</f>
        <v>75369</v>
      </c>
      <c r="E882" s="5" t="str">
        <f>IFERROR(__xludf.DUMMYFUNCTION("""COMPUTED_VALUE"""),"Stock")</f>
        <v>Stock</v>
      </c>
      <c r="F882" s="5" t="str">
        <f>IFERROR(__xludf.DUMMYFUNCTION("""COMPUTED_VALUE"""),"USD")</f>
        <v>USD</v>
      </c>
      <c r="G882" s="30" t="str">
        <f>IFERROR(__xludf.DUMMYFUNCTION("""COMPUTED_VALUE"""),"Email Account/ TraderID Recognized")</f>
        <v>Email Account/ TraderID Recognized</v>
      </c>
      <c r="H882" s="119" t="str">
        <f>IFERROR(__xludf.DUMMYFUNCTION("""COMPUTED_VALUE"""),"BABA")</f>
        <v>BABA</v>
      </c>
      <c r="I882" s="30">
        <f>IFERROR(__xludf.DUMMYFUNCTION("""COMPUTED_VALUE"""),500.0)</f>
        <v>500</v>
      </c>
      <c r="J882" s="30"/>
      <c r="K882" s="30" t="str">
        <f>IFERROR(__xludf.DUMMYFUNCTION("""COMPUTED_VALUE"""),"QTY, Limit Price (if any) &amp; Password input correct")</f>
        <v>QTY, Limit Price (if any) &amp; Password input correct</v>
      </c>
      <c r="L882" s="30"/>
    </row>
    <row r="883">
      <c r="A883" s="5"/>
      <c r="B883" s="118">
        <f>IFERROR(__xludf.DUMMYFUNCTION("""COMPUTED_VALUE"""),44649.71898773148)</f>
        <v>44649.71899</v>
      </c>
      <c r="C883" s="120">
        <f>IFERROR(__xludf.DUMMYFUNCTION("""COMPUTED_VALUE"""),44649.666666666664)</f>
        <v>44649.66667</v>
      </c>
      <c r="D883" s="5" t="str">
        <f>IFERROR(__xludf.DUMMYFUNCTION("""COMPUTED_VALUE"""),"75369")</f>
        <v>75369</v>
      </c>
      <c r="E883" s="5" t="str">
        <f>IFERROR(__xludf.DUMMYFUNCTION("""COMPUTED_VALUE"""),"Stock")</f>
        <v>Stock</v>
      </c>
      <c r="F883" s="5" t="str">
        <f>IFERROR(__xludf.DUMMYFUNCTION("""COMPUTED_VALUE"""),"USD")</f>
        <v>USD</v>
      </c>
      <c r="G883" s="30" t="str">
        <f>IFERROR(__xludf.DUMMYFUNCTION("""COMPUTED_VALUE"""),"Email Account/ TraderID Recognized")</f>
        <v>Email Account/ TraderID Recognized</v>
      </c>
      <c r="H883" s="119" t="str">
        <f>IFERROR(__xludf.DUMMYFUNCTION("""COMPUTED_VALUE"""),"LCID")</f>
        <v>LCID</v>
      </c>
      <c r="I883" s="30">
        <f>IFERROR(__xludf.DUMMYFUNCTION("""COMPUTED_VALUE"""),500.0)</f>
        <v>500</v>
      </c>
      <c r="J883" s="30"/>
      <c r="K883" s="30" t="str">
        <f>IFERROR(__xludf.DUMMYFUNCTION("""COMPUTED_VALUE"""),"QTY, Limit Price (if any) &amp; Password input correct")</f>
        <v>QTY, Limit Price (if any) &amp; Password input correct</v>
      </c>
      <c r="L883" s="30"/>
    </row>
    <row r="884">
      <c r="A884" s="5"/>
      <c r="B884" s="118">
        <f>IFERROR(__xludf.DUMMYFUNCTION("""COMPUTED_VALUE"""),44649.72255177083)</f>
        <v>44649.72255</v>
      </c>
      <c r="C884" s="120">
        <f>IFERROR(__xludf.DUMMYFUNCTION("""COMPUTED_VALUE"""),44649.666666666664)</f>
        <v>44649.66667</v>
      </c>
      <c r="D884" s="5" t="str">
        <f>IFERROR(__xludf.DUMMYFUNCTION("""COMPUTED_VALUE"""),"75369")</f>
        <v>75369</v>
      </c>
      <c r="E884" s="5" t="str">
        <f>IFERROR(__xludf.DUMMYFUNCTION("""COMPUTED_VALUE"""),"Stock")</f>
        <v>Stock</v>
      </c>
      <c r="F884" s="5" t="str">
        <f>IFERROR(__xludf.DUMMYFUNCTION("""COMPUTED_VALUE"""),"USD")</f>
        <v>USD</v>
      </c>
      <c r="G884" s="30" t="str">
        <f>IFERROR(__xludf.DUMMYFUNCTION("""COMPUTED_VALUE"""),"Email Account/ TraderID Recognized")</f>
        <v>Email Account/ TraderID Recognized</v>
      </c>
      <c r="H884" s="119" t="str">
        <f>IFERROR(__xludf.DUMMYFUNCTION("""COMPUTED_VALUE"""),"LMT")</f>
        <v>LMT</v>
      </c>
      <c r="I884" s="30">
        <f>IFERROR(__xludf.DUMMYFUNCTION("""COMPUTED_VALUE"""),200.0)</f>
        <v>200</v>
      </c>
      <c r="J884" s="30"/>
      <c r="K884" s="30" t="str">
        <f>IFERROR(__xludf.DUMMYFUNCTION("""COMPUTED_VALUE"""),"QTY, Limit Price (if any) &amp; Password input correct")</f>
        <v>QTY, Limit Price (if any) &amp; Password input correct</v>
      </c>
      <c r="L884" s="30"/>
    </row>
    <row r="885">
      <c r="A885" s="5"/>
      <c r="B885" s="118">
        <f>IFERROR(__xludf.DUMMYFUNCTION("""COMPUTED_VALUE"""),44649.724644965274)</f>
        <v>44649.72464</v>
      </c>
      <c r="C885" s="120">
        <f>IFERROR(__xludf.DUMMYFUNCTION("""COMPUTED_VALUE"""),44649.666666666664)</f>
        <v>44649.66667</v>
      </c>
      <c r="D885" s="5" t="str">
        <f>IFERROR(__xludf.DUMMYFUNCTION("""COMPUTED_VALUE"""),"75369")</f>
        <v>75369</v>
      </c>
      <c r="E885" s="5" t="str">
        <f>IFERROR(__xludf.DUMMYFUNCTION("""COMPUTED_VALUE"""),"Stock")</f>
        <v>Stock</v>
      </c>
      <c r="F885" s="5" t="str">
        <f>IFERROR(__xludf.DUMMYFUNCTION("""COMPUTED_VALUE"""),"USD")</f>
        <v>USD</v>
      </c>
      <c r="G885" s="30" t="str">
        <f>IFERROR(__xludf.DUMMYFUNCTION("""COMPUTED_VALUE"""),"Email Account/ TraderID Recognized")</f>
        <v>Email Account/ TraderID Recognized</v>
      </c>
      <c r="H885" s="119" t="str">
        <f>IFERROR(__xludf.DUMMYFUNCTION("""COMPUTED_VALUE"""),"RBLX")</f>
        <v>RBLX</v>
      </c>
      <c r="I885" s="30">
        <f>IFERROR(__xludf.DUMMYFUNCTION("""COMPUTED_VALUE"""),600.0)</f>
        <v>600</v>
      </c>
      <c r="J885" s="30"/>
      <c r="K885" s="30" t="str">
        <f>IFERROR(__xludf.DUMMYFUNCTION("""COMPUTED_VALUE"""),"QTY, Limit Price (if any) &amp; Password input correct")</f>
        <v>QTY, Limit Price (if any) &amp; Password input correct</v>
      </c>
      <c r="L885" s="30"/>
    </row>
    <row r="886">
      <c r="A886" s="5"/>
      <c r="B886" s="118">
        <f>IFERROR(__xludf.DUMMYFUNCTION("""COMPUTED_VALUE"""),44649.725511261575)</f>
        <v>44649.72551</v>
      </c>
      <c r="C886" s="120" t="str">
        <f>IFERROR(__xludf.DUMMYFUNCTION("""COMPUTED_VALUE"""),"")</f>
        <v/>
      </c>
      <c r="D886" s="5" t="str">
        <f>IFERROR(__xludf.DUMMYFUNCTION("""COMPUTED_VALUE"""),"75369")</f>
        <v>75369</v>
      </c>
      <c r="E886" s="5" t="str">
        <f>IFERROR(__xludf.DUMMYFUNCTION("""COMPUTED_VALUE"""),"Stock")</f>
        <v>Stock</v>
      </c>
      <c r="F886" s="5" t="str">
        <f>IFERROR(__xludf.DUMMYFUNCTION("""COMPUTED_VALUE"""),"error")</f>
        <v>error</v>
      </c>
      <c r="G886" s="30" t="str">
        <f>IFERROR(__xludf.DUMMYFUNCTION("""COMPUTED_VALUE"""),"Email Account/ TraderID Recognized")</f>
        <v>Email Account/ TraderID Recognized</v>
      </c>
      <c r="H886" s="119" t="str">
        <f>IFERROR(__xludf.DUMMYFUNCTION("""COMPUTED_VALUE"""),"BK2561")</f>
        <v>BK2561</v>
      </c>
      <c r="I886" s="30">
        <f>IFERROR(__xludf.DUMMYFUNCTION("""COMPUTED_VALUE"""),50.0)</f>
        <v>50</v>
      </c>
      <c r="J886" s="30"/>
      <c r="K886" s="30" t="str">
        <f>IFERROR(__xludf.DUMMYFUNCTION("""COMPUTED_VALUE"""),"QTY, Limit Price (if any) &amp; Password input correct")</f>
        <v>QTY, Limit Price (if any) &amp; Password input correct</v>
      </c>
      <c r="L886" s="30" t="str">
        <f>IFERROR(__xludf.DUMMYFUNCTION("""COMPUTED_VALUE"""),"Order rejected due to wrong ticker code")</f>
        <v>Order rejected due to wrong ticker code</v>
      </c>
    </row>
    <row r="887">
      <c r="A887" s="5"/>
      <c r="B887" s="118">
        <f>IFERROR(__xludf.DUMMYFUNCTION("""COMPUTED_VALUE"""),44649.74130630787)</f>
        <v>44649.74131</v>
      </c>
      <c r="C887" s="120">
        <f>IFERROR(__xludf.DUMMYFUNCTION("""COMPUTED_VALUE"""),44649.666666666664)</f>
        <v>44649.66667</v>
      </c>
      <c r="D887" s="5" t="str">
        <f>IFERROR(__xludf.DUMMYFUNCTION("""COMPUTED_VALUE"""),"38105")</f>
        <v>38105</v>
      </c>
      <c r="E887" s="5" t="str">
        <f>IFERROR(__xludf.DUMMYFUNCTION("""COMPUTED_VALUE"""),"Stock")</f>
        <v>Stock</v>
      </c>
      <c r="F887" s="5" t="str">
        <f>IFERROR(__xludf.DUMMYFUNCTION("""COMPUTED_VALUE"""),"USD")</f>
        <v>USD</v>
      </c>
      <c r="G887" s="30" t="str">
        <f>IFERROR(__xludf.DUMMYFUNCTION("""COMPUTED_VALUE"""),"Email Account/ TraderID Recognized")</f>
        <v>Email Account/ TraderID Recognized</v>
      </c>
      <c r="H887" s="119" t="str">
        <f>IFERROR(__xludf.DUMMYFUNCTION("""COMPUTED_VALUE"""),"XOM")</f>
        <v>XOM</v>
      </c>
      <c r="I887" s="30">
        <f>IFERROR(__xludf.DUMMYFUNCTION("""COMPUTED_VALUE"""),30.0)</f>
        <v>30</v>
      </c>
      <c r="J887" s="30">
        <f>IFERROR(__xludf.DUMMYFUNCTION("""COMPUTED_VALUE"""),80.0)</f>
        <v>80</v>
      </c>
      <c r="K887" s="30" t="str">
        <f>IFERROR(__xludf.DUMMYFUNCTION("""COMPUTED_VALUE"""),"QTY, Limit Price (if any) &amp; Password input correct")</f>
        <v>QTY, Limit Price (if any) &amp; Password input correct</v>
      </c>
      <c r="L887" s="30"/>
    </row>
    <row r="888">
      <c r="A888" s="5"/>
      <c r="B888" s="118">
        <f>IFERROR(__xludf.DUMMYFUNCTION("""COMPUTED_VALUE"""),44649.818535266204)</f>
        <v>44649.81854</v>
      </c>
      <c r="C888" s="120">
        <f>IFERROR(__xludf.DUMMYFUNCTION("""COMPUTED_VALUE"""),44649.666666666664)</f>
        <v>44649.66667</v>
      </c>
      <c r="D888" s="5" t="str">
        <f>IFERROR(__xludf.DUMMYFUNCTION("""COMPUTED_VALUE"""),"75965")</f>
        <v>75965</v>
      </c>
      <c r="E888" s="5" t="str">
        <f>IFERROR(__xludf.DUMMYFUNCTION("""COMPUTED_VALUE"""),"Stock")</f>
        <v>Stock</v>
      </c>
      <c r="F888" s="5" t="str">
        <f>IFERROR(__xludf.DUMMYFUNCTION("""COMPUTED_VALUE"""),"USD")</f>
        <v>USD</v>
      </c>
      <c r="G888" s="30" t="str">
        <f>IFERROR(__xludf.DUMMYFUNCTION("""COMPUTED_VALUE"""),"Email Account/ TraderID Recognized")</f>
        <v>Email Account/ TraderID Recognized</v>
      </c>
      <c r="H888" s="119" t="str">
        <f>IFERROR(__xludf.DUMMYFUNCTION("""COMPUTED_VALUE"""),"HYMC")</f>
        <v>HYMC</v>
      </c>
      <c r="I888" s="30">
        <f>IFERROR(__xludf.DUMMYFUNCTION("""COMPUTED_VALUE"""),20000.0)</f>
        <v>20000</v>
      </c>
      <c r="J888" s="30"/>
      <c r="K888" s="30" t="str">
        <f>IFERROR(__xludf.DUMMYFUNCTION("""COMPUTED_VALUE"""),"QTY, Limit Price (if any) &amp; Password input correct")</f>
        <v>QTY, Limit Price (if any) &amp; Password input correct</v>
      </c>
      <c r="L888" s="30"/>
    </row>
    <row r="889">
      <c r="A889" s="5"/>
      <c r="B889" s="118">
        <f>IFERROR(__xludf.DUMMYFUNCTION("""COMPUTED_VALUE"""),44649.828846805554)</f>
        <v>44649.82885</v>
      </c>
      <c r="C889" s="120">
        <f>IFERROR(__xludf.DUMMYFUNCTION("""COMPUTED_VALUE"""),44650.625)</f>
        <v>44650.625</v>
      </c>
      <c r="D889" s="5" t="str">
        <f>IFERROR(__xludf.DUMMYFUNCTION("""COMPUTED_VALUE"""),"75973")</f>
        <v>75973</v>
      </c>
      <c r="E889" s="5" t="str">
        <f>IFERROR(__xludf.DUMMYFUNCTION("""COMPUTED_VALUE"""),"Stock")</f>
        <v>Stock</v>
      </c>
      <c r="F889" s="5" t="str">
        <f>IFERROR(__xludf.DUMMYFUNCTION("""COMPUTED_VALUE"""),"CNY")</f>
        <v>CNY</v>
      </c>
      <c r="G889" s="30" t="str">
        <f>IFERROR(__xludf.DUMMYFUNCTION("""COMPUTED_VALUE"""),"Email Account/ TraderID Recognized")</f>
        <v>Email Account/ TraderID Recognized</v>
      </c>
      <c r="H889" s="121" t="str">
        <f>IFERROR(__xludf.DUMMYFUNCTION("""COMPUTED_VALUE"""),"600745.SS")</f>
        <v>600745.SS</v>
      </c>
      <c r="I889" s="30">
        <f>IFERROR(__xludf.DUMMYFUNCTION("""COMPUTED_VALUE"""),2000.0)</f>
        <v>2000</v>
      </c>
      <c r="J889" s="30"/>
      <c r="K889" s="30" t="str">
        <f>IFERROR(__xludf.DUMMYFUNCTION("""COMPUTED_VALUE"""),"QTY, Limit Price (if any) &amp; Password input correct")</f>
        <v>QTY, Limit Price (if any) &amp; Password input correct</v>
      </c>
      <c r="L889" s="30"/>
    </row>
    <row r="890">
      <c r="A890" s="5"/>
      <c r="B890" s="118">
        <f>IFERROR(__xludf.DUMMYFUNCTION("""COMPUTED_VALUE"""),44649.82976988426)</f>
        <v>44649.82977</v>
      </c>
      <c r="C890" s="120">
        <f>IFERROR(__xludf.DUMMYFUNCTION("""COMPUTED_VALUE"""),44650.625)</f>
        <v>44650.625</v>
      </c>
      <c r="D890" s="5" t="str">
        <f>IFERROR(__xludf.DUMMYFUNCTION("""COMPUTED_VALUE"""),"75973")</f>
        <v>75973</v>
      </c>
      <c r="E890" s="5" t="str">
        <f>IFERROR(__xludf.DUMMYFUNCTION("""COMPUTED_VALUE"""),"Stock")</f>
        <v>Stock</v>
      </c>
      <c r="F890" s="5" t="str">
        <f>IFERROR(__xludf.DUMMYFUNCTION("""COMPUTED_VALUE"""),"CNY")</f>
        <v>CNY</v>
      </c>
      <c r="G890" s="30" t="str">
        <f>IFERROR(__xludf.DUMMYFUNCTION("""COMPUTED_VALUE"""),"Email Account/ TraderID Recognized")</f>
        <v>Email Account/ TraderID Recognized</v>
      </c>
      <c r="H890" s="121" t="str">
        <f>IFERROR(__xludf.DUMMYFUNCTION("""COMPUTED_VALUE"""),"600745.SS")</f>
        <v>600745.SS</v>
      </c>
      <c r="I890" s="30">
        <f>IFERROR(__xludf.DUMMYFUNCTION("""COMPUTED_VALUE"""),2000.0)</f>
        <v>2000</v>
      </c>
      <c r="J890" s="30">
        <f>IFERROR(__xludf.DUMMYFUNCTION("""COMPUTED_VALUE"""),84.0)</f>
        <v>84</v>
      </c>
      <c r="K890" s="30" t="str">
        <f>IFERROR(__xludf.DUMMYFUNCTION("""COMPUTED_VALUE"""),"QTY, Limit Price (if any) &amp; Password input correct")</f>
        <v>QTY, Limit Price (if any) &amp; Password input correct</v>
      </c>
      <c r="L890" s="30"/>
    </row>
    <row r="891">
      <c r="A891" s="5"/>
      <c r="B891" s="118">
        <f>IFERROR(__xludf.DUMMYFUNCTION("""COMPUTED_VALUE"""),44649.89883130787)</f>
        <v>44649.89883</v>
      </c>
      <c r="C891" s="120" t="str">
        <f>IFERROR(__xludf.DUMMYFUNCTION("""COMPUTED_VALUE"""),"")</f>
        <v/>
      </c>
      <c r="D891" s="5" t="str">
        <f>IFERROR(__xludf.DUMMYFUNCTION("""COMPUTED_VALUE"""),"")</f>
        <v/>
      </c>
      <c r="E891" s="5" t="str">
        <f>IFERROR(__xludf.DUMMYFUNCTION("""COMPUTED_VALUE"""),"Option")</f>
        <v>Option</v>
      </c>
      <c r="F891" s="5" t="str">
        <f>IFERROR(__xludf.DUMMYFUNCTION("""COMPUTED_VALUE"""),"error")</f>
        <v>error</v>
      </c>
      <c r="G891" s="30" t="str">
        <f>IFERROR(__xludf.DUMMYFUNCTION("""COMPUTED_VALUE"""),"topcxxxxxx@nonHKMUemail")</f>
        <v>topcxxxxxx@nonHKMUemail</v>
      </c>
      <c r="H891" s="119" t="str">
        <f>IFERROR(__xludf.DUMMYFUNCTION("""COMPUTED_VALUE"""),"TQQQ220414C00055500")</f>
        <v>TQQQ220414C00055500</v>
      </c>
      <c r="I891" s="30">
        <f>IFERROR(__xludf.DUMMYFUNCTION("""COMPUTED_VALUE"""),75.0)</f>
        <v>75</v>
      </c>
      <c r="J891" s="30"/>
      <c r="K891" s="30" t="str">
        <f>IFERROR(__xludf.DUMMYFUNCTION("""COMPUTED_VALUE"""),"QTY, Limit Price (if any) &amp; Password input correct")</f>
        <v>QTY, Limit Price (if any) &amp; Password input correct</v>
      </c>
      <c r="L891" s="30" t="str">
        <f>IFERROR(__xludf.DUMMYFUNCTION("""COMPUTED_VALUE"""),"Order rejected due to non school email")</f>
        <v>Order rejected due to non school email</v>
      </c>
    </row>
    <row r="892">
      <c r="A892" s="5"/>
      <c r="B892" s="118">
        <f>IFERROR(__xludf.DUMMYFUNCTION("""COMPUTED_VALUE"""),44649.90197612268)</f>
        <v>44649.90198</v>
      </c>
      <c r="C892" s="120">
        <f>IFERROR(__xludf.DUMMYFUNCTION("""COMPUTED_VALUE"""),44650.625)</f>
        <v>44650.625</v>
      </c>
      <c r="D892" s="5" t="str">
        <f>IFERROR(__xludf.DUMMYFUNCTION("""COMPUTED_VALUE"""),"37922")</f>
        <v>37922</v>
      </c>
      <c r="E892" s="5" t="str">
        <f>IFERROR(__xludf.DUMMYFUNCTION("""COMPUTED_VALUE"""),"Bond")</f>
        <v>Bond</v>
      </c>
      <c r="F892" s="5" t="str">
        <f>IFERROR(__xludf.DUMMYFUNCTION("""COMPUTED_VALUE"""),"CNY")</f>
        <v>CNY</v>
      </c>
      <c r="G892" s="30" t="str">
        <f>IFERROR(__xludf.DUMMYFUNCTION("""COMPUTED_VALUE"""),"Email Account/ TraderID Recognized")</f>
        <v>Email Account/ TraderID Recognized</v>
      </c>
      <c r="H892" s="119" t="str">
        <f>IFERROR(__xludf.DUMMYFUNCTION("""COMPUTED_VALUE"""),"HK0000814290")</f>
        <v>HK0000814290</v>
      </c>
      <c r="I892" s="30">
        <f>IFERROR(__xludf.DUMMYFUNCTION("""COMPUTED_VALUE"""),1.0)</f>
        <v>1</v>
      </c>
      <c r="J892" s="30"/>
      <c r="K892" s="30" t="str">
        <f>IFERROR(__xludf.DUMMYFUNCTION("""COMPUTED_VALUE"""),"QTY, Limit Price (if any) &amp; Password input correct")</f>
        <v>QTY, Limit Price (if any) &amp; Password input correct</v>
      </c>
      <c r="L892" s="30"/>
    </row>
    <row r="893">
      <c r="A893" s="5"/>
      <c r="B893" s="118">
        <f>IFERROR(__xludf.DUMMYFUNCTION("""COMPUTED_VALUE"""),44649.9763196875)</f>
        <v>44649.97632</v>
      </c>
      <c r="C893" s="120">
        <f>IFERROR(__xludf.DUMMYFUNCTION("""COMPUTED_VALUE"""),44649.666666666664)</f>
        <v>44649.66667</v>
      </c>
      <c r="D893" s="5" t="str">
        <f>IFERROR(__xludf.DUMMYFUNCTION("""COMPUTED_VALUE"""),"39296")</f>
        <v>39296</v>
      </c>
      <c r="E893" s="5" t="str">
        <f>IFERROR(__xludf.DUMMYFUNCTION("""COMPUTED_VALUE"""),"Option")</f>
        <v>Option</v>
      </c>
      <c r="F893" s="5" t="str">
        <f>IFERROR(__xludf.DUMMYFUNCTION("""COMPUTED_VALUE"""),"USD")</f>
        <v>USD</v>
      </c>
      <c r="G893" s="30" t="str">
        <f>IFERROR(__xludf.DUMMYFUNCTION("""COMPUTED_VALUE"""),"Email Account/ TraderID Recognized")</f>
        <v>Email Account/ TraderID Recognized</v>
      </c>
      <c r="H893" s="119" t="str">
        <f>IFERROR(__xludf.DUMMYFUNCTION("""COMPUTED_VALUE"""),"TQQQ220408P00056000")</f>
        <v>TQQQ220408P00056000</v>
      </c>
      <c r="I893" s="30">
        <f>IFERROR(__xludf.DUMMYFUNCTION("""COMPUTED_VALUE"""),100.0)</f>
        <v>100</v>
      </c>
      <c r="J893" s="30"/>
      <c r="K893" s="30" t="str">
        <f>IFERROR(__xludf.DUMMYFUNCTION("""COMPUTED_VALUE"""),"QTY, Limit Price (if any) &amp; Password input correct")</f>
        <v>QTY, Limit Price (if any) &amp; Password input correct</v>
      </c>
      <c r="L893" s="30"/>
    </row>
    <row r="894">
      <c r="A894" s="5"/>
      <c r="B894" s="118">
        <f>IFERROR(__xludf.DUMMYFUNCTION("""COMPUTED_VALUE"""),44650.03083913194)</f>
        <v>44650.03084</v>
      </c>
      <c r="C894" s="120">
        <f>IFERROR(__xludf.DUMMYFUNCTION("""COMPUTED_VALUE"""),44649.666666666664)</f>
        <v>44649.66667</v>
      </c>
      <c r="D894" s="5" t="str">
        <f>IFERROR(__xludf.DUMMYFUNCTION("""COMPUTED_VALUE"""),"35577")</f>
        <v>35577</v>
      </c>
      <c r="E894" s="5" t="str">
        <f>IFERROR(__xludf.DUMMYFUNCTION("""COMPUTED_VALUE"""),"Stock")</f>
        <v>Stock</v>
      </c>
      <c r="F894" s="5" t="str">
        <f>IFERROR(__xludf.DUMMYFUNCTION("""COMPUTED_VALUE"""),"USD")</f>
        <v>USD</v>
      </c>
      <c r="G894" s="30" t="str">
        <f>IFERROR(__xludf.DUMMYFUNCTION("""COMPUTED_VALUE"""),"Email Account/ TraderID Recognized")</f>
        <v>Email Account/ TraderID Recognized</v>
      </c>
      <c r="H894" s="119" t="str">
        <f>IFERROR(__xludf.DUMMYFUNCTION("""COMPUTED_VALUE"""),"BAC")</f>
        <v>BAC</v>
      </c>
      <c r="I894" s="30">
        <f>IFERROR(__xludf.DUMMYFUNCTION("""COMPUTED_VALUE"""),235.0)</f>
        <v>235</v>
      </c>
      <c r="J894" s="30"/>
      <c r="K894" s="30" t="str">
        <f>IFERROR(__xludf.DUMMYFUNCTION("""COMPUTED_VALUE"""),"QTY, Limit Price (if any) &amp; Password input correct")</f>
        <v>QTY, Limit Price (if any) &amp; Password input correct</v>
      </c>
      <c r="L894" s="30"/>
    </row>
    <row r="895">
      <c r="A895" s="5"/>
      <c r="B895" s="118">
        <f>IFERROR(__xludf.DUMMYFUNCTION("""COMPUTED_VALUE"""),44650.03312412037)</f>
        <v>44650.03312</v>
      </c>
      <c r="C895" s="120">
        <f>IFERROR(__xludf.DUMMYFUNCTION("""COMPUTED_VALUE"""),44649.666666666664)</f>
        <v>44649.66667</v>
      </c>
      <c r="D895" s="5" t="str">
        <f>IFERROR(__xludf.DUMMYFUNCTION("""COMPUTED_VALUE"""),"35577")</f>
        <v>35577</v>
      </c>
      <c r="E895" s="5" t="str">
        <f>IFERROR(__xludf.DUMMYFUNCTION("""COMPUTED_VALUE"""),"Stock")</f>
        <v>Stock</v>
      </c>
      <c r="F895" s="5" t="str">
        <f>IFERROR(__xludf.DUMMYFUNCTION("""COMPUTED_VALUE"""),"USD")</f>
        <v>USD</v>
      </c>
      <c r="G895" s="30" t="str">
        <f>IFERROR(__xludf.DUMMYFUNCTION("""COMPUTED_VALUE"""),"Email Account/ TraderID Recognized")</f>
        <v>Email Account/ TraderID Recognized</v>
      </c>
      <c r="H895" s="119" t="str">
        <f>IFERROR(__xludf.DUMMYFUNCTION("""COMPUTED_VALUE"""),"ADBE")</f>
        <v>ADBE</v>
      </c>
      <c r="I895" s="30">
        <f>IFERROR(__xludf.DUMMYFUNCTION("""COMPUTED_VALUE"""),25.0)</f>
        <v>25</v>
      </c>
      <c r="J895" s="30"/>
      <c r="K895" s="30" t="str">
        <f>IFERROR(__xludf.DUMMYFUNCTION("""COMPUTED_VALUE"""),"QTY, Limit Price (if any) &amp; Password input correct")</f>
        <v>QTY, Limit Price (if any) &amp; Password input correct</v>
      </c>
      <c r="L895" s="30"/>
    </row>
    <row r="896">
      <c r="A896" s="5"/>
      <c r="B896" s="118">
        <f>IFERROR(__xludf.DUMMYFUNCTION("""COMPUTED_VALUE"""),44650.04464462963)</f>
        <v>44650.04464</v>
      </c>
      <c r="C896" s="120">
        <f>IFERROR(__xludf.DUMMYFUNCTION("""COMPUTED_VALUE"""),44649.666666666664)</f>
        <v>44649.66667</v>
      </c>
      <c r="D896" s="5" t="str">
        <f>IFERROR(__xludf.DUMMYFUNCTION("""COMPUTED_VALUE"""),"89750")</f>
        <v>89750</v>
      </c>
      <c r="E896" s="5" t="str">
        <f>IFERROR(__xludf.DUMMYFUNCTION("""COMPUTED_VALUE"""),"Option")</f>
        <v>Option</v>
      </c>
      <c r="F896" s="5" t="str">
        <f>IFERROR(__xludf.DUMMYFUNCTION("""COMPUTED_VALUE"""),"USD")</f>
        <v>USD</v>
      </c>
      <c r="G896" s="30" t="str">
        <f>IFERROR(__xludf.DUMMYFUNCTION("""COMPUTED_VALUE"""),"Email Account/ TraderID Recognized")</f>
        <v>Email Account/ TraderID Recognized</v>
      </c>
      <c r="H896" s="119" t="str">
        <f>IFERROR(__xludf.DUMMYFUNCTION("""COMPUTED_VALUE"""),"ARKF220408P00028500")</f>
        <v>ARKF220408P00028500</v>
      </c>
      <c r="I896" s="30">
        <f>IFERROR(__xludf.DUMMYFUNCTION("""COMPUTED_VALUE"""),100.0)</f>
        <v>100</v>
      </c>
      <c r="J896" s="30">
        <f>IFERROR(__xludf.DUMMYFUNCTION("""COMPUTED_VALUE"""),0.88)</f>
        <v>0.88</v>
      </c>
      <c r="K896" s="30" t="str">
        <f>IFERROR(__xludf.DUMMYFUNCTION("""COMPUTED_VALUE"""),"QTY, Limit Price (if any) &amp; Password input correct")</f>
        <v>QTY, Limit Price (if any) &amp; Password input correct</v>
      </c>
      <c r="L896" s="30"/>
    </row>
    <row r="897">
      <c r="A897" s="5"/>
      <c r="B897" s="118">
        <f>IFERROR(__xludf.DUMMYFUNCTION("""COMPUTED_VALUE"""),44650.046041134265)</f>
        <v>44650.04604</v>
      </c>
      <c r="C897" s="120">
        <f>IFERROR(__xludf.DUMMYFUNCTION("""COMPUTED_VALUE"""),44649.666666666664)</f>
        <v>44649.66667</v>
      </c>
      <c r="D897" s="5" t="str">
        <f>IFERROR(__xludf.DUMMYFUNCTION("""COMPUTED_VALUE"""),"89750")</f>
        <v>89750</v>
      </c>
      <c r="E897" s="5" t="str">
        <f>IFERROR(__xludf.DUMMYFUNCTION("""COMPUTED_VALUE"""),"Stock")</f>
        <v>Stock</v>
      </c>
      <c r="F897" s="5" t="str">
        <f>IFERROR(__xludf.DUMMYFUNCTION("""COMPUTED_VALUE"""),"USD")</f>
        <v>USD</v>
      </c>
      <c r="G897" s="30" t="str">
        <f>IFERROR(__xludf.DUMMYFUNCTION("""COMPUTED_VALUE"""),"Email Account/ TraderID Recognized")</f>
        <v>Email Account/ TraderID Recognized</v>
      </c>
      <c r="H897" s="119" t="str">
        <f>IFERROR(__xludf.DUMMYFUNCTION("""COMPUTED_VALUE"""),"TCEHY")</f>
        <v>TCEHY</v>
      </c>
      <c r="I897" s="30">
        <f>IFERROR(__xludf.DUMMYFUNCTION("""COMPUTED_VALUE"""),50.0)</f>
        <v>50</v>
      </c>
      <c r="J897" s="30"/>
      <c r="K897" s="30" t="str">
        <f>IFERROR(__xludf.DUMMYFUNCTION("""COMPUTED_VALUE"""),"QTY, Limit Price (if any) &amp; Password input correct")</f>
        <v>QTY, Limit Price (if any) &amp; Password input correct</v>
      </c>
      <c r="L897" s="30"/>
    </row>
    <row r="898">
      <c r="A898" s="5"/>
      <c r="B898" s="118">
        <f>IFERROR(__xludf.DUMMYFUNCTION("""COMPUTED_VALUE"""),44650.0734896412)</f>
        <v>44650.07349</v>
      </c>
      <c r="C898" s="120">
        <f>IFERROR(__xludf.DUMMYFUNCTION("""COMPUTED_VALUE"""),44649.666666666664)</f>
        <v>44649.66667</v>
      </c>
      <c r="D898" s="5" t="str">
        <f>IFERROR(__xludf.DUMMYFUNCTION("""COMPUTED_VALUE"""),"38307")</f>
        <v>38307</v>
      </c>
      <c r="E898" s="5" t="str">
        <f>IFERROR(__xludf.DUMMYFUNCTION("""COMPUTED_VALUE"""),"Stock")</f>
        <v>Stock</v>
      </c>
      <c r="F898" s="5" t="str">
        <f>IFERROR(__xludf.DUMMYFUNCTION("""COMPUTED_VALUE"""),"USD")</f>
        <v>USD</v>
      </c>
      <c r="G898" s="30" t="str">
        <f>IFERROR(__xludf.DUMMYFUNCTION("""COMPUTED_VALUE"""),"Email Account/ TraderID Recognized")</f>
        <v>Email Account/ TraderID Recognized</v>
      </c>
      <c r="H898" s="119" t="str">
        <f>IFERROR(__xludf.DUMMYFUNCTION("""COMPUTED_VALUE"""),"BA")</f>
        <v>BA</v>
      </c>
      <c r="I898" s="30">
        <f>IFERROR(__xludf.DUMMYFUNCTION("""COMPUTED_VALUE"""),100.0)</f>
        <v>100</v>
      </c>
      <c r="J898" s="30"/>
      <c r="K898" s="30" t="str">
        <f>IFERROR(__xludf.DUMMYFUNCTION("""COMPUTED_VALUE"""),"QTY, Limit Price (if any) &amp; Password input correct")</f>
        <v>QTY, Limit Price (if any) &amp; Password input correct</v>
      </c>
      <c r="L898" s="30"/>
    </row>
    <row r="899">
      <c r="A899" s="5"/>
      <c r="B899" s="118">
        <f>IFERROR(__xludf.DUMMYFUNCTION("""COMPUTED_VALUE"""),44650.38559644676)</f>
        <v>44650.3856</v>
      </c>
      <c r="C899" s="120">
        <f>IFERROR(__xludf.DUMMYFUNCTION("""COMPUTED_VALUE"""),44650.666666666664)</f>
        <v>44650.66667</v>
      </c>
      <c r="D899" s="5" t="str">
        <f>IFERROR(__xludf.DUMMYFUNCTION("""COMPUTED_VALUE"""),"38063")</f>
        <v>38063</v>
      </c>
      <c r="E899" s="5" t="str">
        <f>IFERROR(__xludf.DUMMYFUNCTION("""COMPUTED_VALUE"""),"Stock")</f>
        <v>Stock</v>
      </c>
      <c r="F899" s="5" t="str">
        <f>IFERROR(__xludf.DUMMYFUNCTION("""COMPUTED_VALUE"""),"HKD")</f>
        <v>HKD</v>
      </c>
      <c r="G899" s="30" t="str">
        <f>IFERROR(__xludf.DUMMYFUNCTION("""COMPUTED_VALUE"""),"Email Account/ TraderID Recognized")</f>
        <v>Email Account/ TraderID Recognized</v>
      </c>
      <c r="H899" s="121" t="str">
        <f>IFERROR(__xludf.DUMMYFUNCTION("""COMPUTED_VALUE"""),"2007.hk")</f>
        <v>2007.hk</v>
      </c>
      <c r="I899" s="30">
        <f>IFERROR(__xludf.DUMMYFUNCTION("""COMPUTED_VALUE"""),500.0)</f>
        <v>500</v>
      </c>
      <c r="J899" s="30"/>
      <c r="K899" s="30" t="str">
        <f>IFERROR(__xludf.DUMMYFUNCTION("""COMPUTED_VALUE"""),"QTY, Limit Price (if any) &amp; Password input correct")</f>
        <v>QTY, Limit Price (if any) &amp; Password input correct</v>
      </c>
      <c r="L899" s="30"/>
    </row>
    <row r="900">
      <c r="A900" s="5"/>
      <c r="B900" s="118">
        <f>IFERROR(__xludf.DUMMYFUNCTION("""COMPUTED_VALUE"""),44650.432748182866)</f>
        <v>44650.43275</v>
      </c>
      <c r="C900" s="120" t="str">
        <f>IFERROR(__xludf.DUMMYFUNCTION("""COMPUTED_VALUE"""),"")</f>
        <v/>
      </c>
      <c r="D900" s="5" t="str">
        <f>IFERROR(__xludf.DUMMYFUNCTION("""COMPUTED_VALUE"""),"")</f>
        <v/>
      </c>
      <c r="E900" s="5" t="str">
        <f>IFERROR(__xludf.DUMMYFUNCTION("""COMPUTED_VALUE"""),"Stock")</f>
        <v>Stock</v>
      </c>
      <c r="F900" s="5" t="str">
        <f>IFERROR(__xludf.DUMMYFUNCTION("""COMPUTED_VALUE"""),"error")</f>
        <v>error</v>
      </c>
      <c r="G900" s="30" t="str">
        <f>IFERROR(__xludf.DUMMYFUNCTION("""COMPUTED_VALUE"""),"1012xxxxxx@nonHKMUemail")</f>
        <v>1012xxxxxx@nonHKMUemail</v>
      </c>
      <c r="H900" s="121" t="str">
        <f>IFERROR(__xludf.DUMMYFUNCTION("""COMPUTED_VALUE"""),"002864.SZ")</f>
        <v>002864.SZ</v>
      </c>
      <c r="I900" s="30" t="str">
        <f>IFERROR(__xludf.DUMMYFUNCTION("""COMPUTED_VALUE"""),"100 share")</f>
        <v>100 share</v>
      </c>
      <c r="J900" s="30">
        <f>IFERROR(__xludf.DUMMYFUNCTION("""COMPUTED_VALUE"""),64.7)</f>
        <v>64.7</v>
      </c>
      <c r="K900" s="30" t="str">
        <f>IFERROR(__xludf.DUMMYFUNCTION("""COMPUTED_VALUE"""),"Non-number input in Quantity or Limit Price")</f>
        <v>Non-number input in Quantity or Limit Price</v>
      </c>
      <c r="L900" s="30" t="str">
        <f>IFERROR(__xludf.DUMMYFUNCTION("""COMPUTED_VALUE"""),"Order rejected due to non school email address")</f>
        <v>Order rejected due to non school email address</v>
      </c>
    </row>
    <row r="901">
      <c r="A901" s="5"/>
      <c r="B901" s="118">
        <f>IFERROR(__xludf.DUMMYFUNCTION("""COMPUTED_VALUE"""),44650.43617482639)</f>
        <v>44650.43617</v>
      </c>
      <c r="C901" s="120" t="str">
        <f>IFERROR(__xludf.DUMMYFUNCTION("""COMPUTED_VALUE"""),"")</f>
        <v/>
      </c>
      <c r="D901" s="5" t="str">
        <f>IFERROR(__xludf.DUMMYFUNCTION("""COMPUTED_VALUE"""),"")</f>
        <v/>
      </c>
      <c r="E901" s="5" t="str">
        <f>IFERROR(__xludf.DUMMYFUNCTION("""COMPUTED_VALUE"""),"Stock")</f>
        <v>Stock</v>
      </c>
      <c r="F901" s="5" t="str">
        <f>IFERROR(__xludf.DUMMYFUNCTION("""COMPUTED_VALUE"""),"error")</f>
        <v>error</v>
      </c>
      <c r="G901" s="30" t="str">
        <f>IFERROR(__xludf.DUMMYFUNCTION("""COMPUTED_VALUE"""),"1012xxxxxx@nonHKMUemail")</f>
        <v>1012xxxxxx@nonHKMUemail</v>
      </c>
      <c r="H901" s="121" t="str">
        <f>IFERROR(__xludf.DUMMYFUNCTION("""COMPUTED_VALUE"""),"002864.SZ")</f>
        <v>002864.SZ</v>
      </c>
      <c r="I901" s="30">
        <f>IFERROR(__xludf.DUMMYFUNCTION("""COMPUTED_VALUE"""),100.0)</f>
        <v>100</v>
      </c>
      <c r="J901" s="30">
        <f>IFERROR(__xludf.DUMMYFUNCTION("""COMPUTED_VALUE"""),66.0)</f>
        <v>66</v>
      </c>
      <c r="K901" s="30" t="str">
        <f>IFERROR(__xludf.DUMMYFUNCTION("""COMPUTED_VALUE"""),"QTY, Limit Price (if any) &amp; Password input correct")</f>
        <v>QTY, Limit Price (if any) &amp; Password input correct</v>
      </c>
      <c r="L901" s="30" t="str">
        <f>IFERROR(__xludf.DUMMYFUNCTION("""COMPUTED_VALUE"""),"Order rejected due to non school email address")</f>
        <v>Order rejected due to non school email address</v>
      </c>
    </row>
    <row r="902">
      <c r="A902" s="5"/>
      <c r="B902" s="118">
        <f>IFERROR(__xludf.DUMMYFUNCTION("""COMPUTED_VALUE"""),44650.4392949537)</f>
        <v>44650.43929</v>
      </c>
      <c r="C902" s="120" t="str">
        <f>IFERROR(__xludf.DUMMYFUNCTION("""COMPUTED_VALUE"""),"")</f>
        <v/>
      </c>
      <c r="D902" s="5" t="str">
        <f>IFERROR(__xludf.DUMMYFUNCTION("""COMPUTED_VALUE"""),"")</f>
        <v/>
      </c>
      <c r="E902" s="5" t="str">
        <f>IFERROR(__xludf.DUMMYFUNCTION("""COMPUTED_VALUE"""),"Stock")</f>
        <v>Stock</v>
      </c>
      <c r="F902" s="5" t="str">
        <f>IFERROR(__xludf.DUMMYFUNCTION("""COMPUTED_VALUE"""),"error")</f>
        <v>error</v>
      </c>
      <c r="G902" s="30" t="str">
        <f>IFERROR(__xludf.DUMMYFUNCTION("""COMPUTED_VALUE"""),"1012xxxxxx@nonHKMUemail")</f>
        <v>1012xxxxxx@nonHKMUemail</v>
      </c>
      <c r="H902" s="121" t="str">
        <f>IFERROR(__xludf.DUMMYFUNCTION("""COMPUTED_VALUE"""),"002864.SZ")</f>
        <v>002864.SZ</v>
      </c>
      <c r="I902" s="30">
        <f>IFERROR(__xludf.DUMMYFUNCTION("""COMPUTED_VALUE"""),100.0)</f>
        <v>100</v>
      </c>
      <c r="J902" s="30"/>
      <c r="K902" s="30" t="str">
        <f>IFERROR(__xludf.DUMMYFUNCTION("""COMPUTED_VALUE"""),"QTY, Limit Price (if any) &amp; Password input correct")</f>
        <v>QTY, Limit Price (if any) &amp; Password input correct</v>
      </c>
      <c r="L902" s="30" t="str">
        <f>IFERROR(__xludf.DUMMYFUNCTION("""COMPUTED_VALUE"""),"Order rejected due to non school email address")</f>
        <v>Order rejected due to non school email address</v>
      </c>
    </row>
    <row r="903">
      <c r="A903" s="5"/>
      <c r="B903" s="118">
        <f>IFERROR(__xludf.DUMMYFUNCTION("""COMPUTED_VALUE"""),44650.440698356484)</f>
        <v>44650.4407</v>
      </c>
      <c r="C903" s="120" t="str">
        <f>IFERROR(__xludf.DUMMYFUNCTION("""COMPUTED_VALUE"""),"")</f>
        <v/>
      </c>
      <c r="D903" s="5" t="str">
        <f>IFERROR(__xludf.DUMMYFUNCTION("""COMPUTED_VALUE"""),"")</f>
        <v/>
      </c>
      <c r="E903" s="5" t="str">
        <f>IFERROR(__xludf.DUMMYFUNCTION("""COMPUTED_VALUE"""),"Stock")</f>
        <v>Stock</v>
      </c>
      <c r="F903" s="5" t="str">
        <f>IFERROR(__xludf.DUMMYFUNCTION("""COMPUTED_VALUE"""),"error")</f>
        <v>error</v>
      </c>
      <c r="G903" s="30" t="str">
        <f>IFERROR(__xludf.DUMMYFUNCTION("""COMPUTED_VALUE"""),"1012xxxxxx@nonHKMUemail")</f>
        <v>1012xxxxxx@nonHKMUemail</v>
      </c>
      <c r="H903" s="121" t="str">
        <f>IFERROR(__xludf.DUMMYFUNCTION("""COMPUTED_VALUE"""),"002657.SZ")</f>
        <v>002657.SZ</v>
      </c>
      <c r="I903" s="30">
        <f>IFERROR(__xludf.DUMMYFUNCTION("""COMPUTED_VALUE"""),100.0)</f>
        <v>100</v>
      </c>
      <c r="J903" s="30"/>
      <c r="K903" s="30" t="str">
        <f>IFERROR(__xludf.DUMMYFUNCTION("""COMPUTED_VALUE"""),"QTY, Limit Price (if any) &amp; Password input correct")</f>
        <v>QTY, Limit Price (if any) &amp; Password input correct</v>
      </c>
      <c r="L903" s="30" t="str">
        <f>IFERROR(__xludf.DUMMYFUNCTION("""COMPUTED_VALUE"""),"Order rejected due to non school email address")</f>
        <v>Order rejected due to non school email address</v>
      </c>
    </row>
    <row r="904">
      <c r="A904" s="5"/>
      <c r="B904" s="118">
        <f>IFERROR(__xludf.DUMMYFUNCTION("""COMPUTED_VALUE"""),44650.45627627315)</f>
        <v>44650.45628</v>
      </c>
      <c r="C904" s="120">
        <f>IFERROR(__xludf.DUMMYFUNCTION("""COMPUTED_VALUE"""),44650.666666666664)</f>
        <v>44650.66667</v>
      </c>
      <c r="D904" s="5" t="str">
        <f>IFERROR(__xludf.DUMMYFUNCTION("""COMPUTED_VALUE"""),"82124")</f>
        <v>82124</v>
      </c>
      <c r="E904" s="5" t="str">
        <f>IFERROR(__xludf.DUMMYFUNCTION("""COMPUTED_VALUE"""),"Stock")</f>
        <v>Stock</v>
      </c>
      <c r="F904" s="5" t="str">
        <f>IFERROR(__xludf.DUMMYFUNCTION("""COMPUTED_VALUE"""),"HKD")</f>
        <v>HKD</v>
      </c>
      <c r="G904" s="30" t="str">
        <f>IFERROR(__xludf.DUMMYFUNCTION("""COMPUTED_VALUE"""),"Email Account/ TraderID Recognized")</f>
        <v>Email Account/ TraderID Recognized</v>
      </c>
      <c r="H904" s="121" t="str">
        <f>IFERROR(__xludf.DUMMYFUNCTION("""COMPUTED_VALUE"""),"2800.HK")</f>
        <v>2800.HK</v>
      </c>
      <c r="I904" s="30">
        <f>IFERROR(__xludf.DUMMYFUNCTION("""COMPUTED_VALUE"""),2000.0)</f>
        <v>2000</v>
      </c>
      <c r="J904" s="30"/>
      <c r="K904" s="30" t="str">
        <f>IFERROR(__xludf.DUMMYFUNCTION("""COMPUTED_VALUE"""),"QTY, Limit Price (if any) &amp; Password input correct")</f>
        <v>QTY, Limit Price (if any) &amp; Password input correct</v>
      </c>
      <c r="L904" s="30"/>
    </row>
    <row r="905">
      <c r="A905" s="5"/>
      <c r="B905" s="118">
        <f>IFERROR(__xludf.DUMMYFUNCTION("""COMPUTED_VALUE"""),44650.461422824075)</f>
        <v>44650.46142</v>
      </c>
      <c r="C905" s="120">
        <f>IFERROR(__xludf.DUMMYFUNCTION("""COMPUTED_VALUE"""),44650.666666666664)</f>
        <v>44650.66667</v>
      </c>
      <c r="D905" s="5" t="str">
        <f>IFERROR(__xludf.DUMMYFUNCTION("""COMPUTED_VALUE"""),"71502")</f>
        <v>71502</v>
      </c>
      <c r="E905" s="5" t="str">
        <f>IFERROR(__xludf.DUMMYFUNCTION("""COMPUTED_VALUE"""),"Stock")</f>
        <v>Stock</v>
      </c>
      <c r="F905" s="5" t="str">
        <f>IFERROR(__xludf.DUMMYFUNCTION("""COMPUTED_VALUE"""),"USD")</f>
        <v>USD</v>
      </c>
      <c r="G905" s="30" t="str">
        <f>IFERROR(__xludf.DUMMYFUNCTION("""COMPUTED_VALUE"""),"Email Account/ TraderID Recognized")</f>
        <v>Email Account/ TraderID Recognized</v>
      </c>
      <c r="H905" s="119" t="str">
        <f>IFERROR(__xludf.DUMMYFUNCTION("""COMPUTED_VALUE"""),"AAPL")</f>
        <v>AAPL</v>
      </c>
      <c r="I905" s="30">
        <f>IFERROR(__xludf.DUMMYFUNCTION("""COMPUTED_VALUE"""),200.0)</f>
        <v>200</v>
      </c>
      <c r="J905" s="30"/>
      <c r="K905" s="30" t="str">
        <f>IFERROR(__xludf.DUMMYFUNCTION("""COMPUTED_VALUE"""),"QTY, Limit Price (if any) &amp; Password input correct")</f>
        <v>QTY, Limit Price (if any) &amp; Password input correct</v>
      </c>
      <c r="L905" s="30"/>
    </row>
    <row r="906">
      <c r="A906" s="5"/>
      <c r="B906" s="118">
        <f>IFERROR(__xludf.DUMMYFUNCTION("""COMPUTED_VALUE"""),44650.46478060185)</f>
        <v>44650.46478</v>
      </c>
      <c r="C906" s="120">
        <f>IFERROR(__xludf.DUMMYFUNCTION("""COMPUTED_VALUE"""),44650.625)</f>
        <v>44650.625</v>
      </c>
      <c r="D906" s="5" t="str">
        <f>IFERROR(__xludf.DUMMYFUNCTION("""COMPUTED_VALUE"""),"79521")</f>
        <v>79521</v>
      </c>
      <c r="E906" s="5" t="str">
        <f>IFERROR(__xludf.DUMMYFUNCTION("""COMPUTED_VALUE"""),"Stock")</f>
        <v>Stock</v>
      </c>
      <c r="F906" s="5" t="str">
        <f>IFERROR(__xludf.DUMMYFUNCTION("""COMPUTED_VALUE"""),"CNY")</f>
        <v>CNY</v>
      </c>
      <c r="G906" s="30" t="str">
        <f>IFERROR(__xludf.DUMMYFUNCTION("""COMPUTED_VALUE"""),"Email Account/ TraderID Recognized")</f>
        <v>Email Account/ TraderID Recognized</v>
      </c>
      <c r="H906" s="121" t="str">
        <f>IFERROR(__xludf.DUMMYFUNCTION("""COMPUTED_VALUE"""),"000665.SZ")</f>
        <v>000665.SZ</v>
      </c>
      <c r="I906" s="30">
        <f>IFERROR(__xludf.DUMMYFUNCTION("""COMPUTED_VALUE"""),45000.0)</f>
        <v>45000</v>
      </c>
      <c r="J906" s="30"/>
      <c r="K906" s="30" t="str">
        <f>IFERROR(__xludf.DUMMYFUNCTION("""COMPUTED_VALUE"""),"QTY, Limit Price (if any) &amp; Password input correct")</f>
        <v>QTY, Limit Price (if any) &amp; Password input correct</v>
      </c>
      <c r="L906" s="30"/>
    </row>
    <row r="907">
      <c r="A907" s="5"/>
      <c r="B907" s="118">
        <f>IFERROR(__xludf.DUMMYFUNCTION("""COMPUTED_VALUE"""),44650.47192268519)</f>
        <v>44650.47192</v>
      </c>
      <c r="C907" s="120">
        <f>IFERROR(__xludf.DUMMYFUNCTION("""COMPUTED_VALUE"""),44650.625)</f>
        <v>44650.625</v>
      </c>
      <c r="D907" s="5" t="str">
        <f>IFERROR(__xludf.DUMMYFUNCTION("""COMPUTED_VALUE"""),"36252")</f>
        <v>36252</v>
      </c>
      <c r="E907" s="5" t="str">
        <f>IFERROR(__xludf.DUMMYFUNCTION("""COMPUTED_VALUE"""),"Stock")</f>
        <v>Stock</v>
      </c>
      <c r="F907" s="5" t="str">
        <f>IFERROR(__xludf.DUMMYFUNCTION("""COMPUTED_VALUE"""),"CNY")</f>
        <v>CNY</v>
      </c>
      <c r="G907" s="30" t="str">
        <f>IFERROR(__xludf.DUMMYFUNCTION("""COMPUTED_VALUE"""),"Email Account/ TraderID Recognized")</f>
        <v>Email Account/ TraderID Recognized</v>
      </c>
      <c r="H907" s="121" t="str">
        <f>IFERROR(__xludf.DUMMYFUNCTION("""COMPUTED_VALUE"""),"603261.SS")</f>
        <v>603261.SS</v>
      </c>
      <c r="I907" s="30">
        <f>IFERROR(__xludf.DUMMYFUNCTION("""COMPUTED_VALUE"""),3000.0)</f>
        <v>3000</v>
      </c>
      <c r="J907" s="30"/>
      <c r="K907" s="30" t="str">
        <f>IFERROR(__xludf.DUMMYFUNCTION("""COMPUTED_VALUE"""),"QTY, Limit Price (if any) &amp; Password input correct")</f>
        <v>QTY, Limit Price (if any) &amp; Password input correct</v>
      </c>
      <c r="L907" s="30"/>
    </row>
    <row r="908">
      <c r="A908" s="5"/>
      <c r="B908" s="118">
        <f>IFERROR(__xludf.DUMMYFUNCTION("""COMPUTED_VALUE"""),44650.52499679398)</f>
        <v>44650.525</v>
      </c>
      <c r="C908" s="120">
        <f>IFERROR(__xludf.DUMMYFUNCTION("""COMPUTED_VALUE"""),44650.625)</f>
        <v>44650.625</v>
      </c>
      <c r="D908" s="5" t="str">
        <f>IFERROR(__xludf.DUMMYFUNCTION("""COMPUTED_VALUE"""),"74641")</f>
        <v>74641</v>
      </c>
      <c r="E908" s="5" t="str">
        <f>IFERROR(__xludf.DUMMYFUNCTION("""COMPUTED_VALUE"""),"Stock")</f>
        <v>Stock</v>
      </c>
      <c r="F908" s="5" t="str">
        <f>IFERROR(__xludf.DUMMYFUNCTION("""COMPUTED_VALUE"""),"CNY")</f>
        <v>CNY</v>
      </c>
      <c r="G908" s="30" t="str">
        <f>IFERROR(__xludf.DUMMYFUNCTION("""COMPUTED_VALUE"""),"Email Account/ TraderID Recognized")</f>
        <v>Email Account/ TraderID Recognized</v>
      </c>
      <c r="H908" s="121" t="str">
        <f>IFERROR(__xludf.DUMMYFUNCTION("""COMPUTED_VALUE"""),"000568.sz")</f>
        <v>000568.sz</v>
      </c>
      <c r="I908" s="30">
        <f>IFERROR(__xludf.DUMMYFUNCTION("""COMPUTED_VALUE"""),1000.0)</f>
        <v>1000</v>
      </c>
      <c r="J908" s="30">
        <f>IFERROR(__xludf.DUMMYFUNCTION("""COMPUTED_VALUE"""),183.13)</f>
        <v>183.13</v>
      </c>
      <c r="K908" s="30" t="str">
        <f>IFERROR(__xludf.DUMMYFUNCTION("""COMPUTED_VALUE"""),"QTY, Limit Price (if any) &amp; Password input correct")</f>
        <v>QTY, Limit Price (if any) &amp; Password input correct</v>
      </c>
      <c r="L908" s="30"/>
    </row>
    <row r="909">
      <c r="A909" s="5"/>
      <c r="B909" s="118">
        <f>IFERROR(__xludf.DUMMYFUNCTION("""COMPUTED_VALUE"""),44650.54406706018)</f>
        <v>44650.54407</v>
      </c>
      <c r="C909" s="120">
        <f>IFERROR(__xludf.DUMMYFUNCTION("""COMPUTED_VALUE"""),44650.625)</f>
        <v>44650.625</v>
      </c>
      <c r="D909" s="5" t="str">
        <f>IFERROR(__xludf.DUMMYFUNCTION("""COMPUTED_VALUE"""),"36252")</f>
        <v>36252</v>
      </c>
      <c r="E909" s="5" t="str">
        <f>IFERROR(__xludf.DUMMYFUNCTION("""COMPUTED_VALUE"""),"Stock")</f>
        <v>Stock</v>
      </c>
      <c r="F909" s="5" t="str">
        <f>IFERROR(__xludf.DUMMYFUNCTION("""COMPUTED_VALUE"""),"CNY")</f>
        <v>CNY</v>
      </c>
      <c r="G909" s="30" t="str">
        <f>IFERROR(__xludf.DUMMYFUNCTION("""COMPUTED_VALUE"""),"Email Account/ TraderID Recognized")</f>
        <v>Email Account/ TraderID Recognized</v>
      </c>
      <c r="H909" s="121" t="str">
        <f>IFERROR(__xludf.DUMMYFUNCTION("""COMPUTED_VALUE"""),"000545.SZ")</f>
        <v>000545.SZ</v>
      </c>
      <c r="I909" s="30">
        <f>IFERROR(__xludf.DUMMYFUNCTION("""COMPUTED_VALUE"""),10000.0)</f>
        <v>10000</v>
      </c>
      <c r="J909" s="30"/>
      <c r="K909" s="30" t="str">
        <f>IFERROR(__xludf.DUMMYFUNCTION("""COMPUTED_VALUE"""),"QTY, Limit Price (if any) &amp; Password input correct")</f>
        <v>QTY, Limit Price (if any) &amp; Password input correct</v>
      </c>
      <c r="L909" s="30"/>
    </row>
    <row r="910">
      <c r="A910" s="5"/>
      <c r="B910" s="118">
        <f>IFERROR(__xludf.DUMMYFUNCTION("""COMPUTED_VALUE"""),44650.62471452546)</f>
        <v>44650.62471</v>
      </c>
      <c r="C910" s="120">
        <f>IFERROR(__xludf.DUMMYFUNCTION("""COMPUTED_VALUE"""),44650.625)</f>
        <v>44650.625</v>
      </c>
      <c r="D910" s="5" t="str">
        <f>IFERROR(__xludf.DUMMYFUNCTION("""COMPUTED_VALUE"""),"76369")</f>
        <v>76369</v>
      </c>
      <c r="E910" s="5" t="str">
        <f>IFERROR(__xludf.DUMMYFUNCTION("""COMPUTED_VALUE"""),"Stock")</f>
        <v>Stock</v>
      </c>
      <c r="F910" s="5" t="str">
        <f>IFERROR(__xludf.DUMMYFUNCTION("""COMPUTED_VALUE"""),"CNY")</f>
        <v>CNY</v>
      </c>
      <c r="G910" s="30" t="str">
        <f>IFERROR(__xludf.DUMMYFUNCTION("""COMPUTED_VALUE"""),"Email Account/ TraderID Recognized")</f>
        <v>Email Account/ TraderID Recognized</v>
      </c>
      <c r="H910" s="121" t="str">
        <f>IFERROR(__xludf.DUMMYFUNCTION("""COMPUTED_VALUE"""),"002670.SZ")</f>
        <v>002670.SZ</v>
      </c>
      <c r="I910" s="30">
        <f>IFERROR(__xludf.DUMMYFUNCTION("""COMPUTED_VALUE"""),500.0)</f>
        <v>500</v>
      </c>
      <c r="J910" s="30"/>
      <c r="K910" s="30" t="str">
        <f>IFERROR(__xludf.DUMMYFUNCTION("""COMPUTED_VALUE"""),"QTY, Limit Price (if any) &amp; Password input correct")</f>
        <v>QTY, Limit Price (if any) &amp; Password input correct</v>
      </c>
      <c r="L910" s="30"/>
    </row>
    <row r="911">
      <c r="A911" s="5"/>
      <c r="B911" s="118">
        <f>IFERROR(__xludf.DUMMYFUNCTION("""COMPUTED_VALUE"""),44650.62871991898)</f>
        <v>44650.62872</v>
      </c>
      <c r="C911" s="120" t="str">
        <f>IFERROR(__xludf.DUMMYFUNCTION("""COMPUTED_VALUE"""),"")</f>
        <v/>
      </c>
      <c r="D911" s="5" t="str">
        <f>IFERROR(__xludf.DUMMYFUNCTION("""COMPUTED_VALUE"""),"76369")</f>
        <v>76369</v>
      </c>
      <c r="E911" s="5" t="str">
        <f>IFERROR(__xludf.DUMMYFUNCTION("""COMPUTED_VALUE"""),"Stock")</f>
        <v>Stock</v>
      </c>
      <c r="F911" s="5" t="str">
        <f>IFERROR(__xludf.DUMMYFUNCTION("""COMPUTED_VALUE"""),"error")</f>
        <v>error</v>
      </c>
      <c r="G911" s="30" t="str">
        <f>IFERROR(__xludf.DUMMYFUNCTION("""COMPUTED_VALUE"""),"Email Account/ TraderID Recognized")</f>
        <v>Email Account/ TraderID Recognized</v>
      </c>
      <c r="H911" s="121" t="str">
        <f>IFERROR(__xludf.DUMMYFUNCTION("""COMPUTED_VALUE"""),"300917.SZ")</f>
        <v>300917.SZ</v>
      </c>
      <c r="I911" s="30">
        <f>IFERROR(__xludf.DUMMYFUNCTION("""COMPUTED_VALUE"""),300.0)</f>
        <v>300</v>
      </c>
      <c r="J911" s="30"/>
      <c r="K911" s="30" t="str">
        <f>IFERROR(__xludf.DUMMYFUNCTION("""COMPUTED_VALUE"""),"Wrong Password Submitted, Order will be rejected")</f>
        <v>Wrong Password Submitted, Order will be rejected</v>
      </c>
      <c r="L911" s="30" t="str">
        <f>IFERROR(__xludf.DUMMYFUNCTION("""COMPUTED_VALUE"""),"Order rejected due to wrong password")</f>
        <v>Order rejected due to wrong password</v>
      </c>
    </row>
    <row r="912">
      <c r="A912" s="5"/>
      <c r="B912" s="118">
        <f>IFERROR(__xludf.DUMMYFUNCTION("""COMPUTED_VALUE"""),44650.63667515047)</f>
        <v>44650.63668</v>
      </c>
      <c r="C912" s="120">
        <f>IFERROR(__xludf.DUMMYFUNCTION("""COMPUTED_VALUE"""),44650.666666666664)</f>
        <v>44650.66667</v>
      </c>
      <c r="D912" s="5" t="str">
        <f>IFERROR(__xludf.DUMMYFUNCTION("""COMPUTED_VALUE"""),"89750")</f>
        <v>89750</v>
      </c>
      <c r="E912" s="5" t="str">
        <f>IFERROR(__xludf.DUMMYFUNCTION("""COMPUTED_VALUE"""),"Stock")</f>
        <v>Stock</v>
      </c>
      <c r="F912" s="5" t="str">
        <f>IFERROR(__xludf.DUMMYFUNCTION("""COMPUTED_VALUE"""),"HKD")</f>
        <v>HKD</v>
      </c>
      <c r="G912" s="30" t="str">
        <f>IFERROR(__xludf.DUMMYFUNCTION("""COMPUTED_VALUE"""),"Email Account/ TraderID Recognized")</f>
        <v>Email Account/ TraderID Recognized</v>
      </c>
      <c r="H912" s="121" t="str">
        <f>IFERROR(__xludf.DUMMYFUNCTION("""COMPUTED_VALUE"""),"3690.HK")</f>
        <v>3690.HK</v>
      </c>
      <c r="I912" s="30">
        <f>IFERROR(__xludf.DUMMYFUNCTION("""COMPUTED_VALUE"""),500.0)</f>
        <v>500</v>
      </c>
      <c r="J912" s="30"/>
      <c r="K912" s="30" t="str">
        <f>IFERROR(__xludf.DUMMYFUNCTION("""COMPUTED_VALUE"""),"QTY, Limit Price (if any) &amp; Password input correct")</f>
        <v>QTY, Limit Price (if any) &amp; Password input correct</v>
      </c>
      <c r="L912" s="30"/>
    </row>
    <row r="913">
      <c r="A913" s="5"/>
      <c r="B913" s="118">
        <f>IFERROR(__xludf.DUMMYFUNCTION("""COMPUTED_VALUE"""),44650.66271304398)</f>
        <v>44650.66271</v>
      </c>
      <c r="C913" s="120">
        <f>IFERROR(__xludf.DUMMYFUNCTION("""COMPUTED_VALUE"""),44651.625)</f>
        <v>44651.625</v>
      </c>
      <c r="D913" s="5" t="str">
        <f>IFERROR(__xludf.DUMMYFUNCTION("""COMPUTED_VALUE"""),"36252")</f>
        <v>36252</v>
      </c>
      <c r="E913" s="5" t="str">
        <f>IFERROR(__xludf.DUMMYFUNCTION("""COMPUTED_VALUE"""),"Stock")</f>
        <v>Stock</v>
      </c>
      <c r="F913" s="5" t="str">
        <f>IFERROR(__xludf.DUMMYFUNCTION("""COMPUTED_VALUE"""),"CNY")</f>
        <v>CNY</v>
      </c>
      <c r="G913" s="30" t="str">
        <f>IFERROR(__xludf.DUMMYFUNCTION("""COMPUTED_VALUE"""),"Email Account/ TraderID Recognized")</f>
        <v>Email Account/ TraderID Recognized</v>
      </c>
      <c r="H913" s="121" t="str">
        <f>IFERROR(__xludf.DUMMYFUNCTION("""COMPUTED_VALUE"""),"603051.SS")</f>
        <v>603051.SS</v>
      </c>
      <c r="I913" s="30">
        <f>IFERROR(__xludf.DUMMYFUNCTION("""COMPUTED_VALUE"""),1500.0)</f>
        <v>1500</v>
      </c>
      <c r="J913" s="30"/>
      <c r="K913" s="30" t="str">
        <f>IFERROR(__xludf.DUMMYFUNCTION("""COMPUTED_VALUE"""),"QTY, Limit Price (if any) &amp; Password input correct")</f>
        <v>QTY, Limit Price (if any) &amp; Password input correct</v>
      </c>
      <c r="L913" s="30"/>
    </row>
    <row r="914">
      <c r="A914" s="5"/>
      <c r="B914" s="118">
        <f>IFERROR(__xludf.DUMMYFUNCTION("""COMPUTED_VALUE"""),44650.68675811343)</f>
        <v>44650.68676</v>
      </c>
      <c r="C914" s="120" t="str">
        <f>IFERROR(__xludf.DUMMYFUNCTION("""COMPUTED_VALUE"""),"")</f>
        <v/>
      </c>
      <c r="D914" s="5" t="str">
        <f>IFERROR(__xludf.DUMMYFUNCTION("""COMPUTED_VALUE"""),"")</f>
        <v/>
      </c>
      <c r="E914" s="5" t="str">
        <f>IFERROR(__xludf.DUMMYFUNCTION("""COMPUTED_VALUE"""),"Stock")</f>
        <v>Stock</v>
      </c>
      <c r="F914" s="5" t="str">
        <f>IFERROR(__xludf.DUMMYFUNCTION("""COMPUTED_VALUE"""),"error")</f>
        <v>error</v>
      </c>
      <c r="G914" s="30" t="str">
        <f>IFERROR(__xludf.DUMMYFUNCTION("""COMPUTED_VALUE"""),"s127xxxxxx@nonHKMUemail")</f>
        <v>s127xxxxxx@nonHKMUemail</v>
      </c>
      <c r="H914" s="119" t="str">
        <f>IFERROR(__xludf.DUMMYFUNCTION("""COMPUTED_VALUE"""),"BRK-B")</f>
        <v>BRK-B</v>
      </c>
      <c r="I914" s="30">
        <f>IFERROR(__xludf.DUMMYFUNCTION("""COMPUTED_VALUE"""),40.0)</f>
        <v>40</v>
      </c>
      <c r="J914" s="30"/>
      <c r="K914" s="30" t="str">
        <f>IFERROR(__xludf.DUMMYFUNCTION("""COMPUTED_VALUE"""),"QTY, Limit Price (if any) &amp; Password input correct")</f>
        <v>QTY, Limit Price (if any) &amp; Password input correct</v>
      </c>
      <c r="L914" s="30" t="str">
        <f>IFERROR(__xludf.DUMMYFUNCTION("""COMPUTED_VALUE"""),"Order rejected due to non school email address")</f>
        <v>Order rejected due to non school email address</v>
      </c>
    </row>
    <row r="915">
      <c r="A915" s="5"/>
      <c r="B915" s="118">
        <f>IFERROR(__xludf.DUMMYFUNCTION("""COMPUTED_VALUE"""),44650.73923380787)</f>
        <v>44650.73923</v>
      </c>
      <c r="C915" s="120">
        <f>IFERROR(__xludf.DUMMYFUNCTION("""COMPUTED_VALUE"""),44651.666666666664)</f>
        <v>44651.66667</v>
      </c>
      <c r="D915" s="5" t="str">
        <f>IFERROR(__xludf.DUMMYFUNCTION("""COMPUTED_VALUE"""),"89833")</f>
        <v>89833</v>
      </c>
      <c r="E915" s="5" t="str">
        <f>IFERROR(__xludf.DUMMYFUNCTION("""COMPUTED_VALUE"""),"Stock")</f>
        <v>Stock</v>
      </c>
      <c r="F915" s="5" t="str">
        <f>IFERROR(__xludf.DUMMYFUNCTION("""COMPUTED_VALUE"""),"HKD")</f>
        <v>HKD</v>
      </c>
      <c r="G915" s="30" t="str">
        <f>IFERROR(__xludf.DUMMYFUNCTION("""COMPUTED_VALUE"""),"Email Account/ TraderID Recognized")</f>
        <v>Email Account/ TraderID Recognized</v>
      </c>
      <c r="H915" s="121" t="str">
        <f>IFERROR(__xludf.DUMMYFUNCTION("""COMPUTED_VALUE"""),"0700.HK")</f>
        <v>0700.HK</v>
      </c>
      <c r="I915" s="30">
        <f>IFERROR(__xludf.DUMMYFUNCTION("""COMPUTED_VALUE"""),400.0)</f>
        <v>400</v>
      </c>
      <c r="J915" s="30"/>
      <c r="K915" s="30" t="str">
        <f>IFERROR(__xludf.DUMMYFUNCTION("""COMPUTED_VALUE"""),"QTY, Limit Price (if any) &amp; Password input correct")</f>
        <v>QTY, Limit Price (if any) &amp; Password input correct</v>
      </c>
      <c r="L915" s="30"/>
    </row>
    <row r="916">
      <c r="A916" s="5"/>
      <c r="B916" s="118">
        <f>IFERROR(__xludf.DUMMYFUNCTION("""COMPUTED_VALUE"""),44650.938226620376)</f>
        <v>44650.93823</v>
      </c>
      <c r="C916" s="120">
        <f>IFERROR(__xludf.DUMMYFUNCTION("""COMPUTED_VALUE"""),44650.666666666664)</f>
        <v>44650.66667</v>
      </c>
      <c r="D916" s="5" t="str">
        <f>IFERROR(__xludf.DUMMYFUNCTION("""COMPUTED_VALUE"""),"45969")</f>
        <v>45969</v>
      </c>
      <c r="E916" s="5" t="str">
        <f>IFERROR(__xludf.DUMMYFUNCTION("""COMPUTED_VALUE"""),"Option")</f>
        <v>Option</v>
      </c>
      <c r="F916" s="5" t="str">
        <f>IFERROR(__xludf.DUMMYFUNCTION("""COMPUTED_VALUE"""),"USD")</f>
        <v>USD</v>
      </c>
      <c r="G916" s="30" t="str">
        <f>IFERROR(__xludf.DUMMYFUNCTION("""COMPUTED_VALUE"""),"Email Account/ TraderID Recognized")</f>
        <v>Email Account/ TraderID Recognized</v>
      </c>
      <c r="H916" s="119" t="str">
        <f>IFERROR(__xludf.DUMMYFUNCTION("""COMPUTED_VALUE"""),"TQQQ220414P00064000")</f>
        <v>TQQQ220414P00064000</v>
      </c>
      <c r="I916" s="30">
        <f>IFERROR(__xludf.DUMMYFUNCTION("""COMPUTED_VALUE"""),70.0)</f>
        <v>70</v>
      </c>
      <c r="J916" s="30"/>
      <c r="K916" s="30" t="str">
        <f>IFERROR(__xludf.DUMMYFUNCTION("""COMPUTED_VALUE"""),"QTY, Limit Price (if any) &amp; Password input correct")</f>
        <v>QTY, Limit Price (if any) &amp; Password input correct</v>
      </c>
      <c r="L916" s="30"/>
    </row>
    <row r="917">
      <c r="A917" s="5"/>
      <c r="B917" s="118">
        <f>IFERROR(__xludf.DUMMYFUNCTION("""COMPUTED_VALUE"""),44650.994074884264)</f>
        <v>44650.99407</v>
      </c>
      <c r="C917" s="120">
        <f>IFERROR(__xludf.DUMMYFUNCTION("""COMPUTED_VALUE"""),44650.666666666664)</f>
        <v>44650.66667</v>
      </c>
      <c r="D917" s="5" t="str">
        <f>IFERROR(__xludf.DUMMYFUNCTION("""COMPUTED_VALUE"""),"75076")</f>
        <v>75076</v>
      </c>
      <c r="E917" s="5" t="str">
        <f>IFERROR(__xludf.DUMMYFUNCTION("""COMPUTED_VALUE"""),"Stock")</f>
        <v>Stock</v>
      </c>
      <c r="F917" s="5" t="str">
        <f>IFERROR(__xludf.DUMMYFUNCTION("""COMPUTED_VALUE"""),"USD")</f>
        <v>USD</v>
      </c>
      <c r="G917" s="30" t="str">
        <f>IFERROR(__xludf.DUMMYFUNCTION("""COMPUTED_VALUE"""),"Email Account/ TraderID Recognized")</f>
        <v>Email Account/ TraderID Recognized</v>
      </c>
      <c r="H917" s="119" t="str">
        <f>IFERROR(__xludf.DUMMYFUNCTION("""COMPUTED_VALUE"""),"XLE")</f>
        <v>XLE</v>
      </c>
      <c r="I917" s="30">
        <f>IFERROR(__xludf.DUMMYFUNCTION("""COMPUTED_VALUE"""),800.0)</f>
        <v>800</v>
      </c>
      <c r="J917" s="30">
        <f>IFERROR(__xludf.DUMMYFUNCTION("""COMPUTED_VALUE"""),78.15)</f>
        <v>78.15</v>
      </c>
      <c r="K917" s="30" t="str">
        <f>IFERROR(__xludf.DUMMYFUNCTION("""COMPUTED_VALUE"""),"QTY, Limit Price (if any) &amp; Password input correct")</f>
        <v>QTY, Limit Price (if any) &amp; Password input correct</v>
      </c>
      <c r="L917" s="30"/>
    </row>
    <row r="918">
      <c r="A918" s="5"/>
      <c r="B918" s="118">
        <f>IFERROR(__xludf.DUMMYFUNCTION("""COMPUTED_VALUE"""),44651.04150206019)</f>
        <v>44651.0415</v>
      </c>
      <c r="C918" s="120">
        <f>IFERROR(__xludf.DUMMYFUNCTION("""COMPUTED_VALUE"""),44651.666666666664)</f>
        <v>44651.66667</v>
      </c>
      <c r="D918" s="5" t="str">
        <f>IFERROR(__xludf.DUMMYFUNCTION("""COMPUTED_VALUE"""),"46763")</f>
        <v>46763</v>
      </c>
      <c r="E918" s="5" t="str">
        <f>IFERROR(__xludf.DUMMYFUNCTION("""COMPUTED_VALUE"""),"Stock")</f>
        <v>Stock</v>
      </c>
      <c r="F918" s="5" t="str">
        <f>IFERROR(__xludf.DUMMYFUNCTION("""COMPUTED_VALUE"""),"HKD")</f>
        <v>HKD</v>
      </c>
      <c r="G918" s="30" t="str">
        <f>IFERROR(__xludf.DUMMYFUNCTION("""COMPUTED_VALUE"""),"Email Account/ TraderID Recognized")</f>
        <v>Email Account/ TraderID Recognized</v>
      </c>
      <c r="H918" s="121" t="str">
        <f>IFERROR(__xludf.DUMMYFUNCTION("""COMPUTED_VALUE"""),"0386.HK")</f>
        <v>0386.HK</v>
      </c>
      <c r="I918" s="30">
        <f>IFERROR(__xludf.DUMMYFUNCTION("""COMPUTED_VALUE"""),20000.0)</f>
        <v>20000</v>
      </c>
      <c r="J918" s="30"/>
      <c r="K918" s="30" t="str">
        <f>IFERROR(__xludf.DUMMYFUNCTION("""COMPUTED_VALUE"""),"QTY, Limit Price (if any) &amp; Password input correct")</f>
        <v>QTY, Limit Price (if any) &amp; Password input correct</v>
      </c>
      <c r="L918" s="30"/>
    </row>
    <row r="919">
      <c r="A919" s="5"/>
      <c r="B919" s="118">
        <f>IFERROR(__xludf.DUMMYFUNCTION("""COMPUTED_VALUE"""),44651.044926030096)</f>
        <v>44651.04493</v>
      </c>
      <c r="C919" s="120">
        <f>IFERROR(__xludf.DUMMYFUNCTION("""COMPUTED_VALUE"""),44651.666666666664)</f>
        <v>44651.66667</v>
      </c>
      <c r="D919" s="5" t="str">
        <f>IFERROR(__xludf.DUMMYFUNCTION("""COMPUTED_VALUE"""),"46763")</f>
        <v>46763</v>
      </c>
      <c r="E919" s="5" t="str">
        <f>IFERROR(__xludf.DUMMYFUNCTION("""COMPUTED_VALUE"""),"Stock")</f>
        <v>Stock</v>
      </c>
      <c r="F919" s="5" t="str">
        <f>IFERROR(__xludf.DUMMYFUNCTION("""COMPUTED_VALUE"""),"HKD")</f>
        <v>HKD</v>
      </c>
      <c r="G919" s="30" t="str">
        <f>IFERROR(__xludf.DUMMYFUNCTION("""COMPUTED_VALUE"""),"Email Account/ TraderID Recognized")</f>
        <v>Email Account/ TraderID Recognized</v>
      </c>
      <c r="H919" s="121" t="str">
        <f>IFERROR(__xludf.DUMMYFUNCTION("""COMPUTED_VALUE"""),"0241.HK")</f>
        <v>0241.HK</v>
      </c>
      <c r="I919" s="30">
        <f>IFERROR(__xludf.DUMMYFUNCTION("""COMPUTED_VALUE"""),10000.0)</f>
        <v>10000</v>
      </c>
      <c r="J919" s="30"/>
      <c r="K919" s="30" t="str">
        <f>IFERROR(__xludf.DUMMYFUNCTION("""COMPUTED_VALUE"""),"QTY, Limit Price (if any) &amp; Password input correct")</f>
        <v>QTY, Limit Price (if any) &amp; Password input correct</v>
      </c>
      <c r="L919" s="30"/>
    </row>
    <row r="920">
      <c r="A920" s="5"/>
      <c r="B920" s="118">
        <f>IFERROR(__xludf.DUMMYFUNCTION("""COMPUTED_VALUE"""),44651.04675178241)</f>
        <v>44651.04675</v>
      </c>
      <c r="C920" s="120">
        <f>IFERROR(__xludf.DUMMYFUNCTION("""COMPUTED_VALUE"""),44651.666666666664)</f>
        <v>44651.66667</v>
      </c>
      <c r="D920" s="5" t="str">
        <f>IFERROR(__xludf.DUMMYFUNCTION("""COMPUTED_VALUE"""),"46763")</f>
        <v>46763</v>
      </c>
      <c r="E920" s="5" t="str">
        <f>IFERROR(__xludf.DUMMYFUNCTION("""COMPUTED_VALUE"""),"Stock")</f>
        <v>Stock</v>
      </c>
      <c r="F920" s="5" t="str">
        <f>IFERROR(__xludf.DUMMYFUNCTION("""COMPUTED_VALUE"""),"HKD")</f>
        <v>HKD</v>
      </c>
      <c r="G920" s="30" t="str">
        <f>IFERROR(__xludf.DUMMYFUNCTION("""COMPUTED_VALUE"""),"Email Account/ TraderID Recognized")</f>
        <v>Email Account/ TraderID Recognized</v>
      </c>
      <c r="H920" s="121" t="str">
        <f>IFERROR(__xludf.DUMMYFUNCTION("""COMPUTED_VALUE"""),"0460.HK")</f>
        <v>0460.HK</v>
      </c>
      <c r="I920" s="30">
        <f>IFERROR(__xludf.DUMMYFUNCTION("""COMPUTED_VALUE"""),70000.0)</f>
        <v>70000</v>
      </c>
      <c r="J920" s="30"/>
      <c r="K920" s="30" t="str">
        <f>IFERROR(__xludf.DUMMYFUNCTION("""COMPUTED_VALUE"""),"QTY, Limit Price (if any) &amp; Password input correct")</f>
        <v>QTY, Limit Price (if any) &amp; Password input correct</v>
      </c>
      <c r="L920" s="30"/>
    </row>
    <row r="921">
      <c r="A921" s="5"/>
      <c r="B921" s="118">
        <f>IFERROR(__xludf.DUMMYFUNCTION("""COMPUTED_VALUE"""),44651.05410787037)</f>
        <v>44651.05411</v>
      </c>
      <c r="C921" s="120">
        <f>IFERROR(__xludf.DUMMYFUNCTION("""COMPUTED_VALUE"""),44650.666666666664)</f>
        <v>44650.66667</v>
      </c>
      <c r="D921" s="5" t="str">
        <f>IFERROR(__xludf.DUMMYFUNCTION("""COMPUTED_VALUE"""),"89750")</f>
        <v>89750</v>
      </c>
      <c r="E921" s="5" t="str">
        <f>IFERROR(__xludf.DUMMYFUNCTION("""COMPUTED_VALUE"""),"Option")</f>
        <v>Option</v>
      </c>
      <c r="F921" s="5" t="str">
        <f>IFERROR(__xludf.DUMMYFUNCTION("""COMPUTED_VALUE"""),"USD")</f>
        <v>USD</v>
      </c>
      <c r="G921" s="30" t="str">
        <f>IFERROR(__xludf.DUMMYFUNCTION("""COMPUTED_VALUE"""),"Email Account/ TraderID Recognized")</f>
        <v>Email Account/ TraderID Recognized</v>
      </c>
      <c r="H921" s="119" t="str">
        <f>IFERROR(__xludf.DUMMYFUNCTION("""COMPUTED_VALUE"""),"ASML220422P00680000")</f>
        <v>ASML220422P00680000</v>
      </c>
      <c r="I921" s="30">
        <f>IFERROR(__xludf.DUMMYFUNCTION("""COMPUTED_VALUE"""),10.0)</f>
        <v>10</v>
      </c>
      <c r="J921" s="30">
        <f>IFERROR(__xludf.DUMMYFUNCTION("""COMPUTED_VALUE"""),15.95)</f>
        <v>15.95</v>
      </c>
      <c r="K921" s="30" t="str">
        <f>IFERROR(__xludf.DUMMYFUNCTION("""COMPUTED_VALUE"""),"QTY, Limit Price (if any) &amp; Password input correct")</f>
        <v>QTY, Limit Price (if any) &amp; Password input correct</v>
      </c>
      <c r="L921" s="30"/>
    </row>
    <row r="922">
      <c r="A922" s="5"/>
      <c r="B922" s="118">
        <f>IFERROR(__xludf.DUMMYFUNCTION("""COMPUTED_VALUE"""),44651.159545462964)</f>
        <v>44651.15955</v>
      </c>
      <c r="C922" s="120">
        <f>IFERROR(__xludf.DUMMYFUNCTION("""COMPUTED_VALUE"""),44650.666666666664)</f>
        <v>44650.66667</v>
      </c>
      <c r="D922" s="5" t="str">
        <f>IFERROR(__xludf.DUMMYFUNCTION("""COMPUTED_VALUE"""),"39857")</f>
        <v>39857</v>
      </c>
      <c r="E922" s="5" t="str">
        <f>IFERROR(__xludf.DUMMYFUNCTION("""COMPUTED_VALUE"""),"Stock")</f>
        <v>Stock</v>
      </c>
      <c r="F922" s="5" t="str">
        <f>IFERROR(__xludf.DUMMYFUNCTION("""COMPUTED_VALUE"""),"USD")</f>
        <v>USD</v>
      </c>
      <c r="G922" s="30" t="str">
        <f>IFERROR(__xludf.DUMMYFUNCTION("""COMPUTED_VALUE"""),"Email Account/ TraderID Recognized")</f>
        <v>Email Account/ TraderID Recognized</v>
      </c>
      <c r="H922" s="119" t="str">
        <f>IFERROR(__xludf.DUMMYFUNCTION("""COMPUTED_VALUE"""),"TSLA")</f>
        <v>TSLA</v>
      </c>
      <c r="I922" s="30">
        <f>IFERROR(__xludf.DUMMYFUNCTION("""COMPUTED_VALUE"""),10.0)</f>
        <v>10</v>
      </c>
      <c r="J922" s="30"/>
      <c r="K922" s="30" t="str">
        <f>IFERROR(__xludf.DUMMYFUNCTION("""COMPUTED_VALUE"""),"QTY, Limit Price (if any) &amp; Password input correct")</f>
        <v>QTY, Limit Price (if any) &amp; Password input correct</v>
      </c>
      <c r="L922" s="30"/>
    </row>
    <row r="923">
      <c r="A923" s="5"/>
      <c r="B923" s="118">
        <f>IFERROR(__xludf.DUMMYFUNCTION("""COMPUTED_VALUE"""),44651.400021608795)</f>
        <v>44651.40002</v>
      </c>
      <c r="C923" s="120">
        <f>IFERROR(__xludf.DUMMYFUNCTION("""COMPUTED_VALUE"""),44651.625)</f>
        <v>44651.625</v>
      </c>
      <c r="D923" s="5" t="str">
        <f>IFERROR(__xludf.DUMMYFUNCTION("""COMPUTED_VALUE"""),"39302")</f>
        <v>39302</v>
      </c>
      <c r="E923" s="5" t="str">
        <f>IFERROR(__xludf.DUMMYFUNCTION("""COMPUTED_VALUE"""),"Stock")</f>
        <v>Stock</v>
      </c>
      <c r="F923" s="5" t="str">
        <f>IFERROR(__xludf.DUMMYFUNCTION("""COMPUTED_VALUE"""),"CNY")</f>
        <v>CNY</v>
      </c>
      <c r="G923" s="30" t="str">
        <f>IFERROR(__xludf.DUMMYFUNCTION("""COMPUTED_VALUE"""),"Email Account/ TraderID Recognized")</f>
        <v>Email Account/ TraderID Recognized</v>
      </c>
      <c r="H923" s="121" t="str">
        <f>IFERROR(__xludf.DUMMYFUNCTION("""COMPUTED_VALUE"""),"002864.SZ")</f>
        <v>002864.SZ</v>
      </c>
      <c r="I923" s="30">
        <f>IFERROR(__xludf.DUMMYFUNCTION("""COMPUTED_VALUE"""),100.0)</f>
        <v>100</v>
      </c>
      <c r="J923" s="30"/>
      <c r="K923" s="30" t="str">
        <f>IFERROR(__xludf.DUMMYFUNCTION("""COMPUTED_VALUE"""),"QTY, Limit Price (if any) &amp; Password input correct")</f>
        <v>QTY, Limit Price (if any) &amp; Password input correct</v>
      </c>
      <c r="L923" s="30"/>
    </row>
    <row r="924">
      <c r="A924" s="5"/>
      <c r="B924" s="118">
        <f>IFERROR(__xludf.DUMMYFUNCTION("""COMPUTED_VALUE"""),44651.40006778935)</f>
        <v>44651.40007</v>
      </c>
      <c r="C924" s="120">
        <f>IFERROR(__xludf.DUMMYFUNCTION("""COMPUTED_VALUE"""),44651.666666666664)</f>
        <v>44651.66667</v>
      </c>
      <c r="D924" s="5" t="str">
        <f>IFERROR(__xludf.DUMMYFUNCTION("""COMPUTED_VALUE"""),"38705")</f>
        <v>38705</v>
      </c>
      <c r="E924" s="5" t="str">
        <f>IFERROR(__xludf.DUMMYFUNCTION("""COMPUTED_VALUE"""),"Stock")</f>
        <v>Stock</v>
      </c>
      <c r="F924" s="5" t="str">
        <f>IFERROR(__xludf.DUMMYFUNCTION("""COMPUTED_VALUE"""),"USD")</f>
        <v>USD</v>
      </c>
      <c r="G924" s="30" t="str">
        <f>IFERROR(__xludf.DUMMYFUNCTION("""COMPUTED_VALUE"""),"Email Account/ TraderID Recognized")</f>
        <v>Email Account/ TraderID Recognized</v>
      </c>
      <c r="H924" s="119" t="str">
        <f>IFERROR(__xludf.DUMMYFUNCTION("""COMPUTED_VALUE"""),"ANTM")</f>
        <v>ANTM</v>
      </c>
      <c r="I924" s="30">
        <f>IFERROR(__xludf.DUMMYFUNCTION("""COMPUTED_VALUE"""),80.0)</f>
        <v>80</v>
      </c>
      <c r="J924" s="30"/>
      <c r="K924" s="30" t="str">
        <f>IFERROR(__xludf.DUMMYFUNCTION("""COMPUTED_VALUE"""),"QTY, Limit Price (if any) &amp; Password input correct")</f>
        <v>QTY, Limit Price (if any) &amp; Password input correct</v>
      </c>
      <c r="L924" s="30"/>
    </row>
    <row r="925">
      <c r="A925" s="5"/>
      <c r="B925" s="118">
        <f>IFERROR(__xludf.DUMMYFUNCTION("""COMPUTED_VALUE"""),44651.40046024305)</f>
        <v>44651.40046</v>
      </c>
      <c r="C925" s="120">
        <f>IFERROR(__xludf.DUMMYFUNCTION("""COMPUTED_VALUE"""),44651.625)</f>
        <v>44651.625</v>
      </c>
      <c r="D925" s="5" t="str">
        <f>IFERROR(__xludf.DUMMYFUNCTION("""COMPUTED_VALUE"""),"39302")</f>
        <v>39302</v>
      </c>
      <c r="E925" s="5" t="str">
        <f>IFERROR(__xludf.DUMMYFUNCTION("""COMPUTED_VALUE"""),"Stock")</f>
        <v>Stock</v>
      </c>
      <c r="F925" s="5" t="str">
        <f>IFERROR(__xludf.DUMMYFUNCTION("""COMPUTED_VALUE"""),"CNY")</f>
        <v>CNY</v>
      </c>
      <c r="G925" s="30" t="str">
        <f>IFERROR(__xludf.DUMMYFUNCTION("""COMPUTED_VALUE"""),"Email Account/ TraderID Recognized")</f>
        <v>Email Account/ TraderID Recognized</v>
      </c>
      <c r="H925" s="121" t="str">
        <f>IFERROR(__xludf.DUMMYFUNCTION("""COMPUTED_VALUE"""),"002657.SZ")</f>
        <v>002657.SZ</v>
      </c>
      <c r="I925" s="30">
        <f>IFERROR(__xludf.DUMMYFUNCTION("""COMPUTED_VALUE"""),500.0)</f>
        <v>500</v>
      </c>
      <c r="J925" s="30"/>
      <c r="K925" s="30" t="str">
        <f>IFERROR(__xludf.DUMMYFUNCTION("""COMPUTED_VALUE"""),"QTY, Limit Price (if any) &amp; Password input correct")</f>
        <v>QTY, Limit Price (if any) &amp; Password input correct</v>
      </c>
      <c r="L925" s="30"/>
    </row>
    <row r="926">
      <c r="A926" s="5"/>
      <c r="B926" s="118">
        <f>IFERROR(__xludf.DUMMYFUNCTION("""COMPUTED_VALUE"""),44651.421199212964)</f>
        <v>44651.4212</v>
      </c>
      <c r="C926" s="120" t="str">
        <f>IFERROR(__xludf.DUMMYFUNCTION("""COMPUTED_VALUE"""),"")</f>
        <v/>
      </c>
      <c r="D926" s="5" t="str">
        <f>IFERROR(__xludf.DUMMYFUNCTION("""COMPUTED_VALUE"""),"75973")</f>
        <v>75973</v>
      </c>
      <c r="E926" s="5" t="str">
        <f>IFERROR(__xludf.DUMMYFUNCTION("""COMPUTED_VALUE"""),"Stock")</f>
        <v>Stock</v>
      </c>
      <c r="F926" s="5" t="str">
        <f>IFERROR(__xludf.DUMMYFUNCTION("""COMPUTED_VALUE"""),"error")</f>
        <v>error</v>
      </c>
      <c r="G926" s="30" t="str">
        <f>IFERROR(__xludf.DUMMYFUNCTION("""COMPUTED_VALUE"""),"Email Account/ TraderID Recognized")</f>
        <v>Email Account/ TraderID Recognized</v>
      </c>
      <c r="H926" s="121" t="str">
        <f>IFERROR(__xludf.DUMMYFUNCTION("""COMPUTED_VALUE"""),"BABA.US")</f>
        <v>BABA.US</v>
      </c>
      <c r="I926" s="30">
        <f>IFERROR(__xludf.DUMMYFUNCTION("""COMPUTED_VALUE"""),220.0)</f>
        <v>220</v>
      </c>
      <c r="J926" s="30"/>
      <c r="K926" s="30" t="str">
        <f>IFERROR(__xludf.DUMMYFUNCTION("""COMPUTED_VALUE"""),"QTY, Limit Price (if any) &amp; Password input correct")</f>
        <v>QTY, Limit Price (if any) &amp; Password input correct</v>
      </c>
      <c r="L926" s="30" t="str">
        <f>IFERROR(__xludf.DUMMYFUNCTION("""COMPUTED_VALUE"""),"Order rejected due to wrong ticker")</f>
        <v>Order rejected due to wrong ticker</v>
      </c>
    </row>
    <row r="927">
      <c r="A927" s="5"/>
      <c r="B927" s="118">
        <f>IFERROR(__xludf.DUMMYFUNCTION("""COMPUTED_VALUE"""),44651.42693695602)</f>
        <v>44651.42694</v>
      </c>
      <c r="C927" s="120">
        <f>IFERROR(__xludf.DUMMYFUNCTION("""COMPUTED_VALUE"""),44651.625)</f>
        <v>44651.625</v>
      </c>
      <c r="D927" s="5" t="str">
        <f>IFERROR(__xludf.DUMMYFUNCTION("""COMPUTED_VALUE"""),"36252")</f>
        <v>36252</v>
      </c>
      <c r="E927" s="5" t="str">
        <f>IFERROR(__xludf.DUMMYFUNCTION("""COMPUTED_VALUE"""),"Stock")</f>
        <v>Stock</v>
      </c>
      <c r="F927" s="5" t="str">
        <f>IFERROR(__xludf.DUMMYFUNCTION("""COMPUTED_VALUE"""),"CNY")</f>
        <v>CNY</v>
      </c>
      <c r="G927" s="30" t="str">
        <f>IFERROR(__xludf.DUMMYFUNCTION("""COMPUTED_VALUE"""),"Email Account/ TraderID Recognized")</f>
        <v>Email Account/ TraderID Recognized</v>
      </c>
      <c r="H927" s="121" t="str">
        <f>IFERROR(__xludf.DUMMYFUNCTION("""COMPUTED_VALUE"""),"000545.SZ")</f>
        <v>000545.SZ</v>
      </c>
      <c r="I927" s="30">
        <f>IFERROR(__xludf.DUMMYFUNCTION("""COMPUTED_VALUE"""),10000.0)</f>
        <v>10000</v>
      </c>
      <c r="J927" s="30"/>
      <c r="K927" s="30" t="str">
        <f>IFERROR(__xludf.DUMMYFUNCTION("""COMPUTED_VALUE"""),"QTY, Limit Price (if any) &amp; Password input correct")</f>
        <v>QTY, Limit Price (if any) &amp; Password input correct</v>
      </c>
      <c r="L927" s="30"/>
    </row>
    <row r="928">
      <c r="A928" s="5"/>
      <c r="B928" s="118">
        <f>IFERROR(__xludf.DUMMYFUNCTION("""COMPUTED_VALUE"""),44651.451791238425)</f>
        <v>44651.45179</v>
      </c>
      <c r="C928" s="120">
        <f>IFERROR(__xludf.DUMMYFUNCTION("""COMPUTED_VALUE"""),44651.666666666664)</f>
        <v>44651.66667</v>
      </c>
      <c r="D928" s="5" t="str">
        <f>IFERROR(__xludf.DUMMYFUNCTION("""COMPUTED_VALUE"""),"75965")</f>
        <v>75965</v>
      </c>
      <c r="E928" s="5" t="str">
        <f>IFERROR(__xludf.DUMMYFUNCTION("""COMPUTED_VALUE"""),"Stock")</f>
        <v>Stock</v>
      </c>
      <c r="F928" s="5" t="str">
        <f>IFERROR(__xludf.DUMMYFUNCTION("""COMPUTED_VALUE"""),"USD")</f>
        <v>USD</v>
      </c>
      <c r="G928" s="30" t="str">
        <f>IFERROR(__xludf.DUMMYFUNCTION("""COMPUTED_VALUE"""),"Email Account/ TraderID Recognized")</f>
        <v>Email Account/ TraderID Recognized</v>
      </c>
      <c r="H928" s="119" t="str">
        <f>IFERROR(__xludf.DUMMYFUNCTION("""COMPUTED_VALUE"""),"MULN")</f>
        <v>MULN</v>
      </c>
      <c r="I928" s="30">
        <f>IFERROR(__xludf.DUMMYFUNCTION("""COMPUTED_VALUE"""),9900.0)</f>
        <v>9900</v>
      </c>
      <c r="J928" s="30"/>
      <c r="K928" s="30" t="str">
        <f>IFERROR(__xludf.DUMMYFUNCTION("""COMPUTED_VALUE"""),"QTY, Limit Price (if any) &amp; Password input correct")</f>
        <v>QTY, Limit Price (if any) &amp; Password input correct</v>
      </c>
      <c r="L928" s="30"/>
    </row>
    <row r="929">
      <c r="A929" s="5"/>
      <c r="B929" s="118">
        <f>IFERROR(__xludf.DUMMYFUNCTION("""COMPUTED_VALUE"""),44651.465900995376)</f>
        <v>44651.4659</v>
      </c>
      <c r="C929" s="120" t="str">
        <f>IFERROR(__xludf.DUMMYFUNCTION("""COMPUTED_VALUE"""),"")</f>
        <v/>
      </c>
      <c r="D929" s="5" t="str">
        <f>IFERROR(__xludf.DUMMYFUNCTION("""COMPUTED_VALUE"""),"")</f>
        <v/>
      </c>
      <c r="E929" s="5" t="str">
        <f>IFERROR(__xludf.DUMMYFUNCTION("""COMPUTED_VALUE"""),"Stock")</f>
        <v>Stock</v>
      </c>
      <c r="F929" s="5" t="str">
        <f>IFERROR(__xludf.DUMMYFUNCTION("""COMPUTED_VALUE"""),"error")</f>
        <v>error</v>
      </c>
      <c r="G929" s="30" t="str">
        <f>IFERROR(__xludf.DUMMYFUNCTION("""COMPUTED_VALUE"""),"Jiaxxxxxxx@nonHKMUemail")</f>
        <v>Jiaxxxxxxx@nonHKMUemail</v>
      </c>
      <c r="H929" s="121" t="str">
        <f>IFERROR(__xludf.DUMMYFUNCTION("""COMPUTED_VALUE"""),"9888.HK")</f>
        <v>9888.HK</v>
      </c>
      <c r="I929" s="30">
        <f>IFERROR(__xludf.DUMMYFUNCTION("""COMPUTED_VALUE"""),500.0)</f>
        <v>500</v>
      </c>
      <c r="J929" s="30">
        <f>IFERROR(__xludf.DUMMYFUNCTION("""COMPUTED_VALUE"""),140.2)</f>
        <v>140.2</v>
      </c>
      <c r="K929" s="30" t="str">
        <f>IFERROR(__xludf.DUMMYFUNCTION("""COMPUTED_VALUE"""),"QTY, Limit Price (if any) &amp; Password input correct")</f>
        <v>QTY, Limit Price (if any) &amp; Password input correct</v>
      </c>
      <c r="L929" s="30" t="str">
        <f>IFERROR(__xludf.DUMMYFUNCTION("""COMPUTED_VALUE"""),"Order rejected due to non school email")</f>
        <v>Order rejected due to non school email</v>
      </c>
    </row>
    <row r="930">
      <c r="A930" s="5"/>
      <c r="B930" s="118">
        <f>IFERROR(__xludf.DUMMYFUNCTION("""COMPUTED_VALUE"""),44651.46616619213)</f>
        <v>44651.46617</v>
      </c>
      <c r="C930" s="120">
        <f>IFERROR(__xludf.DUMMYFUNCTION("""COMPUTED_VALUE"""),44651.666666666664)</f>
        <v>44651.66667</v>
      </c>
      <c r="D930" s="5" t="str">
        <f>IFERROR(__xludf.DUMMYFUNCTION("""COMPUTED_VALUE"""),"89750")</f>
        <v>89750</v>
      </c>
      <c r="E930" s="5" t="str">
        <f>IFERROR(__xludf.DUMMYFUNCTION("""COMPUTED_VALUE"""),"Option")</f>
        <v>Option</v>
      </c>
      <c r="F930" s="5" t="str">
        <f>IFERROR(__xludf.DUMMYFUNCTION("""COMPUTED_VALUE"""),"USD")</f>
        <v>USD</v>
      </c>
      <c r="G930" s="30" t="str">
        <f>IFERROR(__xludf.DUMMYFUNCTION("""COMPUTED_VALUE"""),"Email Account/ TraderID Recognized")</f>
        <v>Email Account/ TraderID Recognized</v>
      </c>
      <c r="H930" s="119" t="str">
        <f>IFERROR(__xludf.DUMMYFUNCTION("""COMPUTED_VALUE"""),"ASML220422P00680000")</f>
        <v>ASML220422P00680000</v>
      </c>
      <c r="I930" s="30">
        <f>IFERROR(__xludf.DUMMYFUNCTION("""COMPUTED_VALUE"""),10.0)</f>
        <v>10</v>
      </c>
      <c r="J930" s="30">
        <f>IFERROR(__xludf.DUMMYFUNCTION("""COMPUTED_VALUE"""),15.95)</f>
        <v>15.95</v>
      </c>
      <c r="K930" s="30" t="str">
        <f>IFERROR(__xludf.DUMMYFUNCTION("""COMPUTED_VALUE"""),"QTY, Limit Price (if any) &amp; Password input correct")</f>
        <v>QTY, Limit Price (if any) &amp; Password input correct</v>
      </c>
      <c r="L930" s="30"/>
    </row>
    <row r="931">
      <c r="A931" s="5"/>
      <c r="B931" s="118">
        <f>IFERROR(__xludf.DUMMYFUNCTION("""COMPUTED_VALUE"""),44651.466274375)</f>
        <v>44651.46627</v>
      </c>
      <c r="C931" s="120" t="str">
        <f>IFERROR(__xludf.DUMMYFUNCTION("""COMPUTED_VALUE"""),"")</f>
        <v/>
      </c>
      <c r="D931" s="5" t="str">
        <f>IFERROR(__xludf.DUMMYFUNCTION("""COMPUTED_VALUE"""),"89833")</f>
        <v>89833</v>
      </c>
      <c r="E931" s="5" t="str">
        <f>IFERROR(__xludf.DUMMYFUNCTION("""COMPUTED_VALUE"""),"Stock")</f>
        <v>Stock</v>
      </c>
      <c r="F931" s="5" t="str">
        <f>IFERROR(__xludf.DUMMYFUNCTION("""COMPUTED_VALUE"""),"error")</f>
        <v>error</v>
      </c>
      <c r="G931" s="30" t="str">
        <f>IFERROR(__xludf.DUMMYFUNCTION("""COMPUTED_VALUE"""),"Email Account/ TraderID Recognized")</f>
        <v>Email Account/ TraderID Recognized</v>
      </c>
      <c r="H931" s="119" t="str">
        <f>IFERROR(__xludf.DUMMYFUNCTION("""COMPUTED_VALUE"""),"MVIS")</f>
        <v>MVIS</v>
      </c>
      <c r="I931" s="30">
        <f>IFERROR(__xludf.DUMMYFUNCTION("""COMPUTED_VALUE"""),2000.0)</f>
        <v>2000</v>
      </c>
      <c r="J931" s="30" t="str">
        <f>IFERROR(__xludf.DUMMYFUNCTION("""COMPUTED_VALUE"""),"Limit Buy @ 4.970")</f>
        <v>Limit Buy @ 4.970</v>
      </c>
      <c r="K931" s="30" t="str">
        <f>IFERROR(__xludf.DUMMYFUNCTION("""COMPUTED_VALUE"""),"Non-number input in Quantity or Limit Price")</f>
        <v>Non-number input in Quantity or Limit Price</v>
      </c>
      <c r="L931" s="30" t="str">
        <f>IFERROR(__xludf.DUMMYFUNCTION("""COMPUTED_VALUE"""),"Order rejected due to limit price box contains non number character")</f>
        <v>Order rejected due to limit price box contains non number character</v>
      </c>
    </row>
    <row r="932">
      <c r="A932" s="5"/>
      <c r="B932" s="118">
        <f>IFERROR(__xludf.DUMMYFUNCTION("""COMPUTED_VALUE"""),44651.46653601852)</f>
        <v>44651.46654</v>
      </c>
      <c r="C932" s="120">
        <f>IFERROR(__xludf.DUMMYFUNCTION("""COMPUTED_VALUE"""),44651.666666666664)</f>
        <v>44651.66667</v>
      </c>
      <c r="D932" s="5" t="str">
        <f>IFERROR(__xludf.DUMMYFUNCTION("""COMPUTED_VALUE"""),"77603")</f>
        <v>77603</v>
      </c>
      <c r="E932" s="5" t="str">
        <f>IFERROR(__xludf.DUMMYFUNCTION("""COMPUTED_VALUE"""),"Stock")</f>
        <v>Stock</v>
      </c>
      <c r="F932" s="5" t="str">
        <f>IFERROR(__xludf.DUMMYFUNCTION("""COMPUTED_VALUE"""),"HKD")</f>
        <v>HKD</v>
      </c>
      <c r="G932" s="30" t="str">
        <f>IFERROR(__xludf.DUMMYFUNCTION("""COMPUTED_VALUE"""),"Email Account/ TraderID Recognized")</f>
        <v>Email Account/ TraderID Recognized</v>
      </c>
      <c r="H932" s="121" t="str">
        <f>IFERROR(__xludf.DUMMYFUNCTION("""COMPUTED_VALUE"""),"9888.HK")</f>
        <v>9888.HK</v>
      </c>
      <c r="I932" s="30">
        <f>IFERROR(__xludf.DUMMYFUNCTION("""COMPUTED_VALUE"""),500.0)</f>
        <v>500</v>
      </c>
      <c r="J932" s="30">
        <f>IFERROR(__xludf.DUMMYFUNCTION("""COMPUTED_VALUE"""),140.3)</f>
        <v>140.3</v>
      </c>
      <c r="K932" s="30" t="str">
        <f>IFERROR(__xludf.DUMMYFUNCTION("""COMPUTED_VALUE"""),"Wrong Password Submitted, Order will be rejected")</f>
        <v>Wrong Password Submitted, Order will be rejected</v>
      </c>
      <c r="L932" s="30" t="str">
        <f>IFERROR(__xludf.DUMMYFUNCTION("""COMPUTED_VALUE"""),"Order rejected due to wrong password")</f>
        <v>Order rejected due to wrong password</v>
      </c>
    </row>
    <row r="933">
      <c r="A933" s="5"/>
      <c r="B933" s="118">
        <f>IFERROR(__xludf.DUMMYFUNCTION("""COMPUTED_VALUE"""),44651.503925219906)</f>
        <v>44651.50393</v>
      </c>
      <c r="C933" s="120">
        <f>IFERROR(__xludf.DUMMYFUNCTION("""COMPUTED_VALUE"""),44651.625)</f>
        <v>44651.625</v>
      </c>
      <c r="D933" s="5" t="str">
        <f>IFERROR(__xludf.DUMMYFUNCTION("""COMPUTED_VALUE"""),"36252")</f>
        <v>36252</v>
      </c>
      <c r="E933" s="5" t="str">
        <f>IFERROR(__xludf.DUMMYFUNCTION("""COMPUTED_VALUE"""),"Stock")</f>
        <v>Stock</v>
      </c>
      <c r="F933" s="5" t="str">
        <f>IFERROR(__xludf.DUMMYFUNCTION("""COMPUTED_VALUE"""),"CNY")</f>
        <v>CNY</v>
      </c>
      <c r="G933" s="30" t="str">
        <f>IFERROR(__xludf.DUMMYFUNCTION("""COMPUTED_VALUE"""),"Email Account/ TraderID Recognized")</f>
        <v>Email Account/ TraderID Recognized</v>
      </c>
      <c r="H933" s="121" t="str">
        <f>IFERROR(__xludf.DUMMYFUNCTION("""COMPUTED_VALUE"""),"603051.SS")</f>
        <v>603051.SS</v>
      </c>
      <c r="I933" s="30">
        <f>IFERROR(__xludf.DUMMYFUNCTION("""COMPUTED_VALUE"""),500.0)</f>
        <v>500</v>
      </c>
      <c r="J933" s="30"/>
      <c r="K933" s="30" t="str">
        <f>IFERROR(__xludf.DUMMYFUNCTION("""COMPUTED_VALUE"""),"QTY, Limit Price (if any) &amp; Password input correct")</f>
        <v>QTY, Limit Price (if any) &amp; Password input correct</v>
      </c>
      <c r="L933" s="30"/>
    </row>
    <row r="934">
      <c r="A934" s="5"/>
      <c r="B934" s="118">
        <f>IFERROR(__xludf.DUMMYFUNCTION("""COMPUTED_VALUE"""),44651.508064131944)</f>
        <v>44651.50806</v>
      </c>
      <c r="C934" s="120">
        <f>IFERROR(__xludf.DUMMYFUNCTION("""COMPUTED_VALUE"""),44651.625)</f>
        <v>44651.625</v>
      </c>
      <c r="D934" s="5" t="str">
        <f>IFERROR(__xludf.DUMMYFUNCTION("""COMPUTED_VALUE"""),"39302")</f>
        <v>39302</v>
      </c>
      <c r="E934" s="5" t="str">
        <f>IFERROR(__xludf.DUMMYFUNCTION("""COMPUTED_VALUE"""),"Stock")</f>
        <v>Stock</v>
      </c>
      <c r="F934" s="5" t="str">
        <f>IFERROR(__xludf.DUMMYFUNCTION("""COMPUTED_VALUE"""),"CNY")</f>
        <v>CNY</v>
      </c>
      <c r="G934" s="30" t="str">
        <f>IFERROR(__xludf.DUMMYFUNCTION("""COMPUTED_VALUE"""),"Email Account/ TraderID Recognized")</f>
        <v>Email Account/ TraderID Recognized</v>
      </c>
      <c r="H934" s="121" t="str">
        <f>IFERROR(__xludf.DUMMYFUNCTION("""COMPUTED_VALUE"""),"000788.SZ")</f>
        <v>000788.SZ</v>
      </c>
      <c r="I934" s="30">
        <f>IFERROR(__xludf.DUMMYFUNCTION("""COMPUTED_VALUE"""),500.0)</f>
        <v>500</v>
      </c>
      <c r="J934" s="30"/>
      <c r="K934" s="30" t="str">
        <f>IFERROR(__xludf.DUMMYFUNCTION("""COMPUTED_VALUE"""),"QTY, Limit Price (if any) &amp; Password input correct")</f>
        <v>QTY, Limit Price (if any) &amp; Password input correct</v>
      </c>
      <c r="L934" s="30"/>
    </row>
    <row r="935">
      <c r="A935" s="5"/>
      <c r="B935" s="118">
        <f>IFERROR(__xludf.DUMMYFUNCTION("""COMPUTED_VALUE"""),44651.58224076389)</f>
        <v>44651.58224</v>
      </c>
      <c r="C935" s="120">
        <f>IFERROR(__xludf.DUMMYFUNCTION("""COMPUTED_VALUE"""),44651.666666666664)</f>
        <v>44651.66667</v>
      </c>
      <c r="D935" s="5" t="str">
        <f>IFERROR(__xludf.DUMMYFUNCTION("""COMPUTED_VALUE"""),"39608")</f>
        <v>39608</v>
      </c>
      <c r="E935" s="5" t="str">
        <f>IFERROR(__xludf.DUMMYFUNCTION("""COMPUTED_VALUE"""),"Stock")</f>
        <v>Stock</v>
      </c>
      <c r="F935" s="5" t="str">
        <f>IFERROR(__xludf.DUMMYFUNCTION("""COMPUTED_VALUE"""),"USD")</f>
        <v>USD</v>
      </c>
      <c r="G935" s="30" t="str">
        <f>IFERROR(__xludf.DUMMYFUNCTION("""COMPUTED_VALUE"""),"Email Account/ TraderID Recognized")</f>
        <v>Email Account/ TraderID Recognized</v>
      </c>
      <c r="H935" s="119" t="str">
        <f>IFERROR(__xludf.DUMMYFUNCTION("""COMPUTED_VALUE"""),"BG")</f>
        <v>BG</v>
      </c>
      <c r="I935" s="30">
        <f>IFERROR(__xludf.DUMMYFUNCTION("""COMPUTED_VALUE"""),500.0)</f>
        <v>500</v>
      </c>
      <c r="J935" s="30"/>
      <c r="K935" s="30" t="str">
        <f>IFERROR(__xludf.DUMMYFUNCTION("""COMPUTED_VALUE"""),"QTY, Limit Price (if any) &amp; Password input correct")</f>
        <v>QTY, Limit Price (if any) &amp; Password input correct</v>
      </c>
      <c r="L935" s="30"/>
    </row>
    <row r="936">
      <c r="A936" s="5"/>
      <c r="B936" s="118">
        <f>IFERROR(__xludf.DUMMYFUNCTION("""COMPUTED_VALUE"""),44651.586912893516)</f>
        <v>44651.58691</v>
      </c>
      <c r="C936" s="120">
        <f>IFERROR(__xludf.DUMMYFUNCTION("""COMPUTED_VALUE"""),44651.666666666664)</f>
        <v>44651.66667</v>
      </c>
      <c r="D936" s="5" t="str">
        <f>IFERROR(__xludf.DUMMYFUNCTION("""COMPUTED_VALUE"""),"38093")</f>
        <v>38093</v>
      </c>
      <c r="E936" s="5" t="str">
        <f>IFERROR(__xludf.DUMMYFUNCTION("""COMPUTED_VALUE"""),"Stock")</f>
        <v>Stock</v>
      </c>
      <c r="F936" s="5" t="str">
        <f>IFERROR(__xludf.DUMMYFUNCTION("""COMPUTED_VALUE"""),"HKD")</f>
        <v>HKD</v>
      </c>
      <c r="G936" s="30" t="str">
        <f>IFERROR(__xludf.DUMMYFUNCTION("""COMPUTED_VALUE"""),"Email Account/ TraderID Recognized")</f>
        <v>Email Account/ TraderID Recognized</v>
      </c>
      <c r="H936" s="121" t="str">
        <f>IFERROR(__xludf.DUMMYFUNCTION("""COMPUTED_VALUE"""),"1398.HK")</f>
        <v>1398.HK</v>
      </c>
      <c r="I936" s="30">
        <f>IFERROR(__xludf.DUMMYFUNCTION("""COMPUTED_VALUE"""),200.0)</f>
        <v>200</v>
      </c>
      <c r="J936" s="30"/>
      <c r="K936" s="30" t="str">
        <f>IFERROR(__xludf.DUMMYFUNCTION("""COMPUTED_VALUE"""),"QTY, Limit Price (if any) &amp; Password input correct")</f>
        <v>QTY, Limit Price (if any) &amp; Password input correct</v>
      </c>
      <c r="L936" s="30"/>
    </row>
    <row r="937">
      <c r="A937" s="5"/>
      <c r="B937" s="118">
        <f>IFERROR(__xludf.DUMMYFUNCTION("""COMPUTED_VALUE"""),44651.58758046296)</f>
        <v>44651.58758</v>
      </c>
      <c r="C937" s="120">
        <f>IFERROR(__xludf.DUMMYFUNCTION("""COMPUTED_VALUE"""),44651.666666666664)</f>
        <v>44651.66667</v>
      </c>
      <c r="D937" s="5" t="str">
        <f>IFERROR(__xludf.DUMMYFUNCTION("""COMPUTED_VALUE"""),"38093")</f>
        <v>38093</v>
      </c>
      <c r="E937" s="5" t="str">
        <f>IFERROR(__xludf.DUMMYFUNCTION("""COMPUTED_VALUE"""),"Stock")</f>
        <v>Stock</v>
      </c>
      <c r="F937" s="5" t="str">
        <f>IFERROR(__xludf.DUMMYFUNCTION("""COMPUTED_VALUE"""),"HKD")</f>
        <v>HKD</v>
      </c>
      <c r="G937" s="30" t="str">
        <f>IFERROR(__xludf.DUMMYFUNCTION("""COMPUTED_VALUE"""),"Email Account/ TraderID Recognized")</f>
        <v>Email Account/ TraderID Recognized</v>
      </c>
      <c r="H937" s="121" t="str">
        <f>IFERROR(__xludf.DUMMYFUNCTION("""COMPUTED_VALUE"""),"0386.HK")</f>
        <v>0386.HK</v>
      </c>
      <c r="I937" s="30">
        <f>IFERROR(__xludf.DUMMYFUNCTION("""COMPUTED_VALUE"""),200.0)</f>
        <v>200</v>
      </c>
      <c r="J937" s="30"/>
      <c r="K937" s="30" t="str">
        <f>IFERROR(__xludf.DUMMYFUNCTION("""COMPUTED_VALUE"""),"QTY, Limit Price (if any) &amp; Password input correct")</f>
        <v>QTY, Limit Price (if any) &amp; Password input correct</v>
      </c>
      <c r="L937" s="30"/>
    </row>
    <row r="938">
      <c r="A938" s="5"/>
      <c r="B938" s="118">
        <f>IFERROR(__xludf.DUMMYFUNCTION("""COMPUTED_VALUE"""),44651.58808275463)</f>
        <v>44651.58808</v>
      </c>
      <c r="C938" s="120">
        <f>IFERROR(__xludf.DUMMYFUNCTION("""COMPUTED_VALUE"""),44651.666666666664)</f>
        <v>44651.66667</v>
      </c>
      <c r="D938" s="5" t="str">
        <f>IFERROR(__xludf.DUMMYFUNCTION("""COMPUTED_VALUE"""),"38093")</f>
        <v>38093</v>
      </c>
      <c r="E938" s="5" t="str">
        <f>IFERROR(__xludf.DUMMYFUNCTION("""COMPUTED_VALUE"""),"Stock")</f>
        <v>Stock</v>
      </c>
      <c r="F938" s="5" t="str">
        <f>IFERROR(__xludf.DUMMYFUNCTION("""COMPUTED_VALUE"""),"HKD")</f>
        <v>HKD</v>
      </c>
      <c r="G938" s="30" t="str">
        <f>IFERROR(__xludf.DUMMYFUNCTION("""COMPUTED_VALUE"""),"Email Account/ TraderID Recognized")</f>
        <v>Email Account/ TraderID Recognized</v>
      </c>
      <c r="H938" s="121" t="str">
        <f>IFERROR(__xludf.DUMMYFUNCTION("""COMPUTED_VALUE"""),"8055.HK")</f>
        <v>8055.HK</v>
      </c>
      <c r="I938" s="30">
        <f>IFERROR(__xludf.DUMMYFUNCTION("""COMPUTED_VALUE"""),500.0)</f>
        <v>500</v>
      </c>
      <c r="J938" s="30"/>
      <c r="K938" s="30" t="str">
        <f>IFERROR(__xludf.DUMMYFUNCTION("""COMPUTED_VALUE"""),"QTY, Limit Price (if any) &amp; Password input correct")</f>
        <v>QTY, Limit Price (if any) &amp; Password input correct</v>
      </c>
      <c r="L938" s="30"/>
    </row>
    <row r="939">
      <c r="A939" s="5"/>
      <c r="B939" s="118">
        <f>IFERROR(__xludf.DUMMYFUNCTION("""COMPUTED_VALUE"""),44651.588544479164)</f>
        <v>44651.58854</v>
      </c>
      <c r="C939" s="120">
        <f>IFERROR(__xludf.DUMMYFUNCTION("""COMPUTED_VALUE"""),44651.666666666664)</f>
        <v>44651.66667</v>
      </c>
      <c r="D939" s="5" t="str">
        <f>IFERROR(__xludf.DUMMYFUNCTION("""COMPUTED_VALUE"""),"38093")</f>
        <v>38093</v>
      </c>
      <c r="E939" s="5" t="str">
        <f>IFERROR(__xludf.DUMMYFUNCTION("""COMPUTED_VALUE"""),"Stock")</f>
        <v>Stock</v>
      </c>
      <c r="F939" s="5" t="str">
        <f>IFERROR(__xludf.DUMMYFUNCTION("""COMPUTED_VALUE"""),"HKD")</f>
        <v>HKD</v>
      </c>
      <c r="G939" s="30" t="str">
        <f>IFERROR(__xludf.DUMMYFUNCTION("""COMPUTED_VALUE"""),"Email Account/ TraderID Recognized")</f>
        <v>Email Account/ TraderID Recognized</v>
      </c>
      <c r="H939" s="121" t="str">
        <f>IFERROR(__xludf.DUMMYFUNCTION("""COMPUTED_VALUE"""),"3333.HK")</f>
        <v>3333.HK</v>
      </c>
      <c r="I939" s="30">
        <f>IFERROR(__xludf.DUMMYFUNCTION("""COMPUTED_VALUE"""),400.0)</f>
        <v>400</v>
      </c>
      <c r="J939" s="30"/>
      <c r="K939" s="30" t="str">
        <f>IFERROR(__xludf.DUMMYFUNCTION("""COMPUTED_VALUE"""),"QTY, Limit Price (if any) &amp; Password input correct")</f>
        <v>QTY, Limit Price (if any) &amp; Password input correct</v>
      </c>
      <c r="L939" s="30"/>
    </row>
    <row r="940">
      <c r="A940" s="5"/>
      <c r="B940" s="118">
        <f>IFERROR(__xludf.DUMMYFUNCTION("""COMPUTED_VALUE"""),44651.58885506944)</f>
        <v>44651.58886</v>
      </c>
      <c r="C940" s="120">
        <f>IFERROR(__xludf.DUMMYFUNCTION("""COMPUTED_VALUE"""),44651.666666666664)</f>
        <v>44651.66667</v>
      </c>
      <c r="D940" s="5" t="str">
        <f>IFERROR(__xludf.DUMMYFUNCTION("""COMPUTED_VALUE"""),"36242")</f>
        <v>36242</v>
      </c>
      <c r="E940" s="5" t="str">
        <f>IFERROR(__xludf.DUMMYFUNCTION("""COMPUTED_VALUE"""),"Stock")</f>
        <v>Stock</v>
      </c>
      <c r="F940" s="5" t="str">
        <f>IFERROR(__xludf.DUMMYFUNCTION("""COMPUTED_VALUE"""),"USD")</f>
        <v>USD</v>
      </c>
      <c r="G940" s="30" t="str">
        <f>IFERROR(__xludf.DUMMYFUNCTION("""COMPUTED_VALUE"""),"Email Account/ TraderID Recognized")</f>
        <v>Email Account/ TraderID Recognized</v>
      </c>
      <c r="H940" s="119" t="str">
        <f>IFERROR(__xludf.DUMMYFUNCTION("""COMPUTED_VALUE"""),"TSLA")</f>
        <v>TSLA</v>
      </c>
      <c r="I940" s="30">
        <f>IFERROR(__xludf.DUMMYFUNCTION("""COMPUTED_VALUE"""),50.0)</f>
        <v>50</v>
      </c>
      <c r="J940" s="30">
        <f>IFERROR(__xludf.DUMMYFUNCTION("""COMPUTED_VALUE"""),1090.0)</f>
        <v>1090</v>
      </c>
      <c r="K940" s="30" t="str">
        <f>IFERROR(__xludf.DUMMYFUNCTION("""COMPUTED_VALUE"""),"QTY, Limit Price (if any) &amp; Password input correct")</f>
        <v>QTY, Limit Price (if any) &amp; Password input correct</v>
      </c>
      <c r="L940" s="30"/>
    </row>
    <row r="941">
      <c r="A941" s="5"/>
      <c r="B941" s="118">
        <f>IFERROR(__xludf.DUMMYFUNCTION("""COMPUTED_VALUE"""),44651.64373465278)</f>
        <v>44651.64373</v>
      </c>
      <c r="C941" s="120" t="str">
        <f>IFERROR(__xludf.DUMMYFUNCTION("""COMPUTED_VALUE"""),"")</f>
        <v/>
      </c>
      <c r="D941" s="5" t="str">
        <f>IFERROR(__xludf.DUMMYFUNCTION("""COMPUTED_VALUE"""),"33419")</f>
        <v>33419</v>
      </c>
      <c r="E941" s="5" t="str">
        <f>IFERROR(__xludf.DUMMYFUNCTION("""COMPUTED_VALUE"""),"Stock")</f>
        <v>Stock</v>
      </c>
      <c r="F941" s="5" t="str">
        <f>IFERROR(__xludf.DUMMYFUNCTION("""COMPUTED_VALUE"""),"error")</f>
        <v>error</v>
      </c>
      <c r="G941" s="30" t="str">
        <f>IFERROR(__xludf.DUMMYFUNCTION("""COMPUTED_VALUE"""),"Email Account/ TraderID Recognized")</f>
        <v>Email Account/ TraderID Recognized</v>
      </c>
      <c r="H941" s="119" t="str">
        <f>IFERROR(__xludf.DUMMYFUNCTION("""COMPUTED_VALUE"""),"00700")</f>
        <v>00700</v>
      </c>
      <c r="I941" s="30">
        <f>IFERROR(__xludf.DUMMYFUNCTION("""COMPUTED_VALUE"""),100.0)</f>
        <v>100</v>
      </c>
      <c r="J941" s="30" t="str">
        <f>IFERROR(__xludf.DUMMYFUNCTION("""COMPUTED_VALUE"""),"Limit Sell @ 90 - if Closing @ 100 = Executed price @ 100; if Closing @ 80 = no execution")</f>
        <v>Limit Sell @ 90 - if Closing @ 100 = Executed price @ 100; if Closing @ 80 = no execution</v>
      </c>
      <c r="K941" s="30" t="str">
        <f>IFERROR(__xludf.DUMMYFUNCTION("""COMPUTED_VALUE"""),"Non-number input in Quantity or Limit Price")</f>
        <v>Non-number input in Quantity or Limit Price</v>
      </c>
      <c r="L941" s="30" t="str">
        <f>IFERROR(__xludf.DUMMYFUNCTION("""COMPUTED_VALUE"""),"Order rejected due to wrong ticker code and non numeric character in limit price box")</f>
        <v>Order rejected due to wrong ticker code and non numeric character in limit price box</v>
      </c>
    </row>
    <row r="942">
      <c r="A942" s="5"/>
      <c r="B942" s="118">
        <f>IFERROR(__xludf.DUMMYFUNCTION("""COMPUTED_VALUE"""),44651.653405370365)</f>
        <v>44651.65341</v>
      </c>
      <c r="C942" s="120">
        <f>IFERROR(__xludf.DUMMYFUNCTION("""COMPUTED_VALUE"""),44651.666666666664)</f>
        <v>44651.66667</v>
      </c>
      <c r="D942" s="5" t="str">
        <f>IFERROR(__xludf.DUMMYFUNCTION("""COMPUTED_VALUE"""),"39857")</f>
        <v>39857</v>
      </c>
      <c r="E942" s="5" t="str">
        <f>IFERROR(__xludf.DUMMYFUNCTION("""COMPUTED_VALUE"""),"Stock")</f>
        <v>Stock</v>
      </c>
      <c r="F942" s="5" t="str">
        <f>IFERROR(__xludf.DUMMYFUNCTION("""COMPUTED_VALUE"""),"HKD")</f>
        <v>HKD</v>
      </c>
      <c r="G942" s="30" t="str">
        <f>IFERROR(__xludf.DUMMYFUNCTION("""COMPUTED_VALUE"""),"Email Account/ TraderID Recognized")</f>
        <v>Email Account/ TraderID Recognized</v>
      </c>
      <c r="H942" s="121" t="str">
        <f>IFERROR(__xludf.DUMMYFUNCTION("""COMPUTED_VALUE"""),"9988.HK")</f>
        <v>9988.HK</v>
      </c>
      <c r="I942" s="30">
        <f>IFERROR(__xludf.DUMMYFUNCTION("""COMPUTED_VALUE"""),800.0)</f>
        <v>800</v>
      </c>
      <c r="J942" s="30"/>
      <c r="K942" s="30" t="str">
        <f>IFERROR(__xludf.DUMMYFUNCTION("""COMPUTED_VALUE"""),"QTY, Limit Price (if any) &amp; Password input correct")</f>
        <v>QTY, Limit Price (if any) &amp; Password input correct</v>
      </c>
      <c r="L942" s="30"/>
    </row>
    <row r="943">
      <c r="A943" s="5"/>
      <c r="B943" s="118">
        <f>IFERROR(__xludf.DUMMYFUNCTION("""COMPUTED_VALUE"""),44651.657594502314)</f>
        <v>44651.65759</v>
      </c>
      <c r="C943" s="120" t="str">
        <f>IFERROR(__xludf.DUMMYFUNCTION("""COMPUTED_VALUE"""),"")</f>
        <v/>
      </c>
      <c r="D943" s="5" t="str">
        <f>IFERROR(__xludf.DUMMYFUNCTION("""COMPUTED_VALUE"""),"73341")</f>
        <v>73341</v>
      </c>
      <c r="E943" s="5" t="str">
        <f>IFERROR(__xludf.DUMMYFUNCTION("""COMPUTED_VALUE"""),"Stock")</f>
        <v>Stock</v>
      </c>
      <c r="F943" s="5" t="str">
        <f>IFERROR(__xludf.DUMMYFUNCTION("""COMPUTED_VALUE"""),"error")</f>
        <v>error</v>
      </c>
      <c r="G943" s="30" t="str">
        <f>IFERROR(__xludf.DUMMYFUNCTION("""COMPUTED_VALUE"""),"Email Account/ TraderID Recognized")</f>
        <v>Email Account/ TraderID Recognized</v>
      </c>
      <c r="H943" s="119" t="str">
        <f>IFERROR(__xludf.DUMMYFUNCTION("""COMPUTED_VALUE"""),"00700")</f>
        <v>00700</v>
      </c>
      <c r="I943" s="30">
        <f>IFERROR(__xludf.DUMMYFUNCTION("""COMPUTED_VALUE"""),100.0)</f>
        <v>100</v>
      </c>
      <c r="J943" s="30">
        <f>IFERROR(__xludf.DUMMYFUNCTION("""COMPUTED_VALUE"""),50.0)</f>
        <v>50</v>
      </c>
      <c r="K943" s="30" t="str">
        <f>IFERROR(__xludf.DUMMYFUNCTION("""COMPUTED_VALUE"""),"QTY, Limit Price (if any) &amp; Password input correct")</f>
        <v>QTY, Limit Price (if any) &amp; Password input correct</v>
      </c>
      <c r="L943" s="30" t="str">
        <f>IFERROR(__xludf.DUMMYFUNCTION("""COMPUTED_VALUE"""),"Order rejected due to wrong ticker")</f>
        <v>Order rejected due to wrong ticker</v>
      </c>
    </row>
    <row r="944">
      <c r="A944" s="5"/>
      <c r="B944" s="118">
        <f>IFERROR(__xludf.DUMMYFUNCTION("""COMPUTED_VALUE"""),44651.66362274306)</f>
        <v>44651.66362</v>
      </c>
      <c r="C944" s="120" t="str">
        <f>IFERROR(__xludf.DUMMYFUNCTION("""COMPUTED_VALUE"""),"")</f>
        <v/>
      </c>
      <c r="D944" s="5" t="str">
        <f>IFERROR(__xludf.DUMMYFUNCTION("""COMPUTED_VALUE"""),"73341")</f>
        <v>73341</v>
      </c>
      <c r="E944" s="5" t="str">
        <f>IFERROR(__xludf.DUMMYFUNCTION("""COMPUTED_VALUE"""),"Stock")</f>
        <v>Stock</v>
      </c>
      <c r="F944" s="5" t="str">
        <f>IFERROR(__xludf.DUMMYFUNCTION("""COMPUTED_VALUE"""),"error")</f>
        <v>error</v>
      </c>
      <c r="G944" s="30" t="str">
        <f>IFERROR(__xludf.DUMMYFUNCTION("""COMPUTED_VALUE"""),"Email Account/ TraderID Recognized")</f>
        <v>Email Account/ TraderID Recognized</v>
      </c>
      <c r="H944" s="119" t="str">
        <f>IFERROR(__xludf.DUMMYFUNCTION("""COMPUTED_VALUE"""),"00700")</f>
        <v>00700</v>
      </c>
      <c r="I944" s="30">
        <f>IFERROR(__xludf.DUMMYFUNCTION("""COMPUTED_VALUE"""),100.0)</f>
        <v>100</v>
      </c>
      <c r="J944" s="30"/>
      <c r="K944" s="30" t="str">
        <f>IFERROR(__xludf.DUMMYFUNCTION("""COMPUTED_VALUE"""),"QTY, Limit Price (if any) &amp; Password input correct")</f>
        <v>QTY, Limit Price (if any) &amp; Password input correct</v>
      </c>
      <c r="L944" s="30" t="str">
        <f>IFERROR(__xludf.DUMMYFUNCTION("""COMPUTED_VALUE"""),"Order rejected due to wrong ticker")</f>
        <v>Order rejected due to wrong ticker</v>
      </c>
    </row>
    <row r="945">
      <c r="A945" s="5"/>
      <c r="B945" s="118">
        <f>IFERROR(__xludf.DUMMYFUNCTION("""COMPUTED_VALUE"""),44651.66677069444)</f>
        <v>44651.66677</v>
      </c>
      <c r="C945" s="120">
        <f>IFERROR(__xludf.DUMMYFUNCTION("""COMPUTED_VALUE"""),44652.666666666664)</f>
        <v>44652.66667</v>
      </c>
      <c r="D945" s="5" t="str">
        <f>IFERROR(__xludf.DUMMYFUNCTION("""COMPUTED_VALUE"""),"73341")</f>
        <v>73341</v>
      </c>
      <c r="E945" s="5" t="str">
        <f>IFERROR(__xludf.DUMMYFUNCTION("""COMPUTED_VALUE"""),"Stock")</f>
        <v>Stock</v>
      </c>
      <c r="F945" s="5" t="str">
        <f>IFERROR(__xludf.DUMMYFUNCTION("""COMPUTED_VALUE"""),"HKD")</f>
        <v>HKD</v>
      </c>
      <c r="G945" s="30" t="str">
        <f>IFERROR(__xludf.DUMMYFUNCTION("""COMPUTED_VALUE"""),"Email Account/ TraderID Recognized")</f>
        <v>Email Account/ TraderID Recognized</v>
      </c>
      <c r="H945" s="121" t="str">
        <f>IFERROR(__xludf.DUMMYFUNCTION("""COMPUTED_VALUE"""),"0700.HK")</f>
        <v>0700.HK</v>
      </c>
      <c r="I945" s="30">
        <f>IFERROR(__xludf.DUMMYFUNCTION("""COMPUTED_VALUE"""),30.0)</f>
        <v>30</v>
      </c>
      <c r="J945" s="30"/>
      <c r="K945" s="30" t="str">
        <f>IFERROR(__xludf.DUMMYFUNCTION("""COMPUTED_VALUE"""),"QTY, Limit Price (if any) &amp; Password input correct")</f>
        <v>QTY, Limit Price (if any) &amp; Password input correct</v>
      </c>
      <c r="L945" s="30"/>
    </row>
    <row r="946">
      <c r="A946" s="5"/>
      <c r="B946" s="118">
        <f>IFERROR(__xludf.DUMMYFUNCTION("""COMPUTED_VALUE"""),44651.668148020835)</f>
        <v>44651.66815</v>
      </c>
      <c r="C946" s="120" t="str">
        <f>IFERROR(__xludf.DUMMYFUNCTION("""COMPUTED_VALUE"""),"")</f>
        <v/>
      </c>
      <c r="D946" s="5" t="str">
        <f>IFERROR(__xludf.DUMMYFUNCTION("""COMPUTED_VALUE"""),"33419")</f>
        <v>33419</v>
      </c>
      <c r="E946" s="5" t="str">
        <f>IFERROR(__xludf.DUMMYFUNCTION("""COMPUTED_VALUE"""),"Bond")</f>
        <v>Bond</v>
      </c>
      <c r="F946" s="5" t="str">
        <f>IFERROR(__xludf.DUMMYFUNCTION("""COMPUTED_VALUE"""),"error")</f>
        <v>error</v>
      </c>
      <c r="G946" s="30" t="str">
        <f>IFERROR(__xludf.DUMMYFUNCTION("""COMPUTED_VALUE"""),"Email Account/ TraderID Recognized")</f>
        <v>Email Account/ TraderID Recognized</v>
      </c>
      <c r="H946" s="119" t="str">
        <f>IFERROR(__xludf.DUMMYFUNCTION("""COMPUTED_VALUE"""),"HK0000317724")</f>
        <v>HK0000317724</v>
      </c>
      <c r="I946" s="30">
        <f>IFERROR(__xludf.DUMMYFUNCTION("""COMPUTED_VALUE"""),30.0)</f>
        <v>30</v>
      </c>
      <c r="J946" s="30"/>
      <c r="K946" s="30" t="str">
        <f>IFERROR(__xludf.DUMMYFUNCTION("""COMPUTED_VALUE"""),"QTY, Limit Price (if any) &amp; Password input correct")</f>
        <v>QTY, Limit Price (if any) &amp; Password input correct</v>
      </c>
      <c r="L946" s="30" t="str">
        <f>IFERROR(__xludf.DUMMYFUNCTION("""COMPUTED_VALUE"""),"Order rejected due to wrong email address")</f>
        <v>Order rejected due to wrong email address</v>
      </c>
    </row>
    <row r="947">
      <c r="A947" s="5"/>
      <c r="B947" s="118">
        <f>IFERROR(__xludf.DUMMYFUNCTION("""COMPUTED_VALUE"""),44651.67035729167)</f>
        <v>44651.67036</v>
      </c>
      <c r="C947" s="120">
        <f>IFERROR(__xludf.DUMMYFUNCTION("""COMPUTED_VALUE"""),44652.625)</f>
        <v>44652.625</v>
      </c>
      <c r="D947" s="5" t="str">
        <f>IFERROR(__xludf.DUMMYFUNCTION("""COMPUTED_VALUE"""),"73341")</f>
        <v>73341</v>
      </c>
      <c r="E947" s="5" t="str">
        <f>IFERROR(__xludf.DUMMYFUNCTION("""COMPUTED_VALUE"""),"Bond")</f>
        <v>Bond</v>
      </c>
      <c r="F947" s="5" t="str">
        <f>IFERROR(__xludf.DUMMYFUNCTION("""COMPUTED_VALUE"""),"CNY")</f>
        <v>CNY</v>
      </c>
      <c r="G947" s="30" t="str">
        <f>IFERROR(__xludf.DUMMYFUNCTION("""COMPUTED_VALUE"""),"Email Account/ TraderID Recognized")</f>
        <v>Email Account/ TraderID Recognized</v>
      </c>
      <c r="H947" s="119" t="str">
        <f>IFERROR(__xludf.DUMMYFUNCTION("""COMPUTED_VALUE"""),"HK0000317724")</f>
        <v>HK0000317724</v>
      </c>
      <c r="I947" s="30">
        <f>IFERROR(__xludf.DUMMYFUNCTION("""COMPUTED_VALUE"""),30.0)</f>
        <v>30</v>
      </c>
      <c r="J947" s="30"/>
      <c r="K947" s="30" t="str">
        <f>IFERROR(__xludf.DUMMYFUNCTION("""COMPUTED_VALUE"""),"QTY, Limit Price (if any) &amp; Password input correct")</f>
        <v>QTY, Limit Price (if any) &amp; Password input correct</v>
      </c>
      <c r="L947" s="30"/>
    </row>
    <row r="948">
      <c r="A948" s="5"/>
      <c r="B948" s="118">
        <f>IFERROR(__xludf.DUMMYFUNCTION("""COMPUTED_VALUE"""),44651.67453842593)</f>
        <v>44651.67454</v>
      </c>
      <c r="C948" s="120" t="str">
        <f>IFERROR(__xludf.DUMMYFUNCTION("""COMPUTED_VALUE"""),"")</f>
        <v/>
      </c>
      <c r="D948" s="5" t="str">
        <f>IFERROR(__xludf.DUMMYFUNCTION("""COMPUTED_VALUE"""),"73341")</f>
        <v>73341</v>
      </c>
      <c r="E948" s="5" t="str">
        <f>IFERROR(__xludf.DUMMYFUNCTION("""COMPUTED_VALUE"""),"Stock")</f>
        <v>Stock</v>
      </c>
      <c r="F948" s="5" t="str">
        <f>IFERROR(__xludf.DUMMYFUNCTION("""COMPUTED_VALUE"""),"error")</f>
        <v>error</v>
      </c>
      <c r="G948" s="30" t="str">
        <f>IFERROR(__xludf.DUMMYFUNCTION("""COMPUTED_VALUE"""),"Email Account/ TraderID Recognized")</f>
        <v>Email Account/ TraderID Recognized</v>
      </c>
      <c r="H948" s="119" t="str">
        <f>IFERROR(__xludf.DUMMYFUNCTION("""COMPUTED_VALUE"""),"00700")</f>
        <v>00700</v>
      </c>
      <c r="I948" s="30">
        <f>IFERROR(__xludf.DUMMYFUNCTION("""COMPUTED_VALUE"""),1000.0)</f>
        <v>1000</v>
      </c>
      <c r="J948" s="30"/>
      <c r="K948" s="30" t="str">
        <f>IFERROR(__xludf.DUMMYFUNCTION("""COMPUTED_VALUE"""),"QTY, Limit Price (if any) &amp; Password input correct")</f>
        <v>QTY, Limit Price (if any) &amp; Password input correct</v>
      </c>
      <c r="L948" s="30" t="str">
        <f>IFERROR(__xludf.DUMMYFUNCTION("""COMPUTED_VALUE"""),"Order rejected due to wrong ticker code")</f>
        <v>Order rejected due to wrong ticker code</v>
      </c>
    </row>
    <row r="949">
      <c r="A949" s="5"/>
      <c r="B949" s="118">
        <f>IFERROR(__xludf.DUMMYFUNCTION("""COMPUTED_VALUE"""),44651.993187280095)</f>
        <v>44651.99319</v>
      </c>
      <c r="C949" s="120">
        <f>IFERROR(__xludf.DUMMYFUNCTION("""COMPUTED_VALUE"""),44651.666666666664)</f>
        <v>44651.66667</v>
      </c>
      <c r="D949" s="5" t="str">
        <f>IFERROR(__xludf.DUMMYFUNCTION("""COMPUTED_VALUE"""),"35577")</f>
        <v>35577</v>
      </c>
      <c r="E949" s="5" t="str">
        <f>IFERROR(__xludf.DUMMYFUNCTION("""COMPUTED_VALUE"""),"Stock")</f>
        <v>Stock</v>
      </c>
      <c r="F949" s="5" t="str">
        <f>IFERROR(__xludf.DUMMYFUNCTION("""COMPUTED_VALUE"""),"USD")</f>
        <v>USD</v>
      </c>
      <c r="G949" s="30" t="str">
        <f>IFERROR(__xludf.DUMMYFUNCTION("""COMPUTED_VALUE"""),"Email Account/ TraderID Recognized")</f>
        <v>Email Account/ TraderID Recognized</v>
      </c>
      <c r="H949" s="119" t="str">
        <f>IFERROR(__xludf.DUMMYFUNCTION("""COMPUTED_VALUE"""),"DIS")</f>
        <v>DIS</v>
      </c>
      <c r="I949" s="30">
        <f>IFERROR(__xludf.DUMMYFUNCTION("""COMPUTED_VALUE"""),36.0)</f>
        <v>36</v>
      </c>
      <c r="J949" s="30"/>
      <c r="K949" s="30" t="str">
        <f>IFERROR(__xludf.DUMMYFUNCTION("""COMPUTED_VALUE"""),"QTY, Limit Price (if any) &amp; Password input correct")</f>
        <v>QTY, Limit Price (if any) &amp; Password input correct</v>
      </c>
      <c r="L949" s="30"/>
    </row>
    <row r="950">
      <c r="A950" s="5"/>
      <c r="B950" s="118">
        <f>IFERROR(__xludf.DUMMYFUNCTION("""COMPUTED_VALUE"""),44652.04631521991)</f>
        <v>44652.04632</v>
      </c>
      <c r="C950" s="120">
        <f>IFERROR(__xludf.DUMMYFUNCTION("""COMPUTED_VALUE"""),44651.666666666664)</f>
        <v>44651.66667</v>
      </c>
      <c r="D950" s="5" t="str">
        <f>IFERROR(__xludf.DUMMYFUNCTION("""COMPUTED_VALUE"""),"75965")</f>
        <v>75965</v>
      </c>
      <c r="E950" s="5" t="str">
        <f>IFERROR(__xludf.DUMMYFUNCTION("""COMPUTED_VALUE"""),"Stock")</f>
        <v>Stock</v>
      </c>
      <c r="F950" s="5" t="str">
        <f>IFERROR(__xludf.DUMMYFUNCTION("""COMPUTED_VALUE"""),"USD")</f>
        <v>USD</v>
      </c>
      <c r="G950" s="30" t="str">
        <f>IFERROR(__xludf.DUMMYFUNCTION("""COMPUTED_VALUE"""),"Email Account/ TraderID Recognized")</f>
        <v>Email Account/ TraderID Recognized</v>
      </c>
      <c r="H950" s="119" t="str">
        <f>IFERROR(__xludf.DUMMYFUNCTION("""COMPUTED_VALUE"""),"MULN")</f>
        <v>MULN</v>
      </c>
      <c r="I950" s="30">
        <f>IFERROR(__xludf.DUMMYFUNCTION("""COMPUTED_VALUE"""),9900.0)</f>
        <v>9900</v>
      </c>
      <c r="J950" s="30"/>
      <c r="K950" s="30" t="str">
        <f>IFERROR(__xludf.DUMMYFUNCTION("""COMPUTED_VALUE"""),"QTY, Limit Price (if any) &amp; Password input correct")</f>
        <v>QTY, Limit Price (if any) &amp; Password input correct</v>
      </c>
      <c r="L950" s="30"/>
    </row>
    <row r="951">
      <c r="A951" s="5"/>
      <c r="B951" s="118">
        <f>IFERROR(__xludf.DUMMYFUNCTION("""COMPUTED_VALUE"""),44652.12522552084)</f>
        <v>44652.12523</v>
      </c>
      <c r="C951" s="120">
        <f>IFERROR(__xludf.DUMMYFUNCTION("""COMPUTED_VALUE"""),44651.666666666664)</f>
        <v>44651.66667</v>
      </c>
      <c r="D951" s="5" t="str">
        <f>IFERROR(__xludf.DUMMYFUNCTION("""COMPUTED_VALUE"""),"46975")</f>
        <v>46975</v>
      </c>
      <c r="E951" s="5" t="str">
        <f>IFERROR(__xludf.DUMMYFUNCTION("""COMPUTED_VALUE"""),"Stock")</f>
        <v>Stock</v>
      </c>
      <c r="F951" s="5" t="str">
        <f>IFERROR(__xludf.DUMMYFUNCTION("""COMPUTED_VALUE"""),"USD")</f>
        <v>USD</v>
      </c>
      <c r="G951" s="30" t="str">
        <f>IFERROR(__xludf.DUMMYFUNCTION("""COMPUTED_VALUE"""),"Email Account/ TraderID Recognized")</f>
        <v>Email Account/ TraderID Recognized</v>
      </c>
      <c r="H951" s="119" t="str">
        <f>IFERROR(__xludf.DUMMYFUNCTION("""COMPUTED_VALUE"""),"aapl")</f>
        <v>aapl</v>
      </c>
      <c r="I951" s="30">
        <f>IFERROR(__xludf.DUMMYFUNCTION("""COMPUTED_VALUE"""),25.0)</f>
        <v>25</v>
      </c>
      <c r="J951" s="30">
        <f>IFERROR(__xludf.DUMMYFUNCTION("""COMPUTED_VALUE"""),175.0)</f>
        <v>175</v>
      </c>
      <c r="K951" s="30" t="str">
        <f>IFERROR(__xludf.DUMMYFUNCTION("""COMPUTED_VALUE"""),"QTY, Limit Price (if any) &amp; Password input correct")</f>
        <v>QTY, Limit Price (if any) &amp; Password input correct</v>
      </c>
      <c r="L951" s="30"/>
    </row>
    <row r="952">
      <c r="A952" s="5"/>
      <c r="B952" s="118">
        <f>IFERROR(__xludf.DUMMYFUNCTION("""COMPUTED_VALUE"""),44652.374522962964)</f>
        <v>44652.37452</v>
      </c>
      <c r="C952" s="120" t="str">
        <f>IFERROR(__xludf.DUMMYFUNCTION("""COMPUTED_VALUE"""),"")</f>
        <v/>
      </c>
      <c r="D952" s="5" t="str">
        <f>IFERROR(__xludf.DUMMYFUNCTION("""COMPUTED_VALUE"""),"73341")</f>
        <v>73341</v>
      </c>
      <c r="E952" s="5" t="str">
        <f>IFERROR(__xludf.DUMMYFUNCTION("""COMPUTED_VALUE"""),"Stock")</f>
        <v>Stock</v>
      </c>
      <c r="F952" s="5" t="str">
        <f>IFERROR(__xludf.DUMMYFUNCTION("""COMPUTED_VALUE"""),"error")</f>
        <v>error</v>
      </c>
      <c r="G952" s="30" t="str">
        <f>IFERROR(__xludf.DUMMYFUNCTION("""COMPUTED_VALUE"""),"Email Account/ TraderID Recognized")</f>
        <v>Email Account/ TraderID Recognized</v>
      </c>
      <c r="H952" s="119" t="str">
        <f>IFERROR(__xludf.DUMMYFUNCTION("""COMPUTED_VALUE"""),"00698")</f>
        <v>00698</v>
      </c>
      <c r="I952" s="30">
        <f>IFERROR(__xludf.DUMMYFUNCTION("""COMPUTED_VALUE"""),100.0)</f>
        <v>100</v>
      </c>
      <c r="J952" s="30"/>
      <c r="K952" s="30" t="str">
        <f>IFERROR(__xludf.DUMMYFUNCTION("""COMPUTED_VALUE"""),"QTY, Limit Price (if any) &amp; Password input correct")</f>
        <v>QTY, Limit Price (if any) &amp; Password input correct</v>
      </c>
      <c r="L952" s="30" t="str">
        <f>IFERROR(__xludf.DUMMYFUNCTION("""COMPUTED_VALUE"""),"Order rejected due to wrong ticker")</f>
        <v>Order rejected due to wrong ticker</v>
      </c>
    </row>
    <row r="953">
      <c r="A953" s="5"/>
      <c r="B953" s="118">
        <f>IFERROR(__xludf.DUMMYFUNCTION("""COMPUTED_VALUE"""),44652.3790966088)</f>
        <v>44652.3791</v>
      </c>
      <c r="C953" s="120">
        <f>IFERROR(__xludf.DUMMYFUNCTION("""COMPUTED_VALUE"""),44652.666666666664)</f>
        <v>44652.66667</v>
      </c>
      <c r="D953" s="5" t="str">
        <f>IFERROR(__xludf.DUMMYFUNCTION("""COMPUTED_VALUE"""),"36460")</f>
        <v>36460</v>
      </c>
      <c r="E953" s="5" t="str">
        <f>IFERROR(__xludf.DUMMYFUNCTION("""COMPUTED_VALUE"""),"Stock")</f>
        <v>Stock</v>
      </c>
      <c r="F953" s="5" t="str">
        <f>IFERROR(__xludf.DUMMYFUNCTION("""COMPUTED_VALUE"""),"USD")</f>
        <v>USD</v>
      </c>
      <c r="G953" s="30" t="str">
        <f>IFERROR(__xludf.DUMMYFUNCTION("""COMPUTED_VALUE"""),"Email Account/ TraderID Recognized")</f>
        <v>Email Account/ TraderID Recognized</v>
      </c>
      <c r="H953" s="119" t="str">
        <f>IFERROR(__xludf.DUMMYFUNCTION("""COMPUTED_VALUE"""),"TSLA")</f>
        <v>TSLA</v>
      </c>
      <c r="I953" s="30">
        <f>IFERROR(__xludf.DUMMYFUNCTION("""COMPUTED_VALUE"""),20.0)</f>
        <v>20</v>
      </c>
      <c r="J953" s="30"/>
      <c r="K953" s="30" t="str">
        <f>IFERROR(__xludf.DUMMYFUNCTION("""COMPUTED_VALUE"""),"QTY, Limit Price (if any) &amp; Password input correct")</f>
        <v>QTY, Limit Price (if any) &amp; Password input correct</v>
      </c>
      <c r="L953" s="30"/>
    </row>
    <row r="954">
      <c r="A954" s="5"/>
      <c r="B954" s="118">
        <f>IFERROR(__xludf.DUMMYFUNCTION("""COMPUTED_VALUE"""),44652.40201351852)</f>
        <v>44652.40201</v>
      </c>
      <c r="C954" s="120">
        <f>IFERROR(__xludf.DUMMYFUNCTION("""COMPUTED_VALUE"""),44652.625)</f>
        <v>44652.625</v>
      </c>
      <c r="D954" s="5" t="str">
        <f>IFERROR(__xludf.DUMMYFUNCTION("""COMPUTED_VALUE"""),"39302")</f>
        <v>39302</v>
      </c>
      <c r="E954" s="5" t="str">
        <f>IFERROR(__xludf.DUMMYFUNCTION("""COMPUTED_VALUE"""),"Stock")</f>
        <v>Stock</v>
      </c>
      <c r="F954" s="5" t="str">
        <f>IFERROR(__xludf.DUMMYFUNCTION("""COMPUTED_VALUE"""),"CNY")</f>
        <v>CNY</v>
      </c>
      <c r="G954" s="30" t="str">
        <f>IFERROR(__xludf.DUMMYFUNCTION("""COMPUTED_VALUE"""),"Email Account/ TraderID Recognized")</f>
        <v>Email Account/ TraderID Recognized</v>
      </c>
      <c r="H954" s="121" t="str">
        <f>IFERROR(__xludf.DUMMYFUNCTION("""COMPUTED_VALUE"""),"002657.SZ")</f>
        <v>002657.SZ</v>
      </c>
      <c r="I954" s="30">
        <f>IFERROR(__xludf.DUMMYFUNCTION("""COMPUTED_VALUE"""),500.0)</f>
        <v>500</v>
      </c>
      <c r="J954" s="30"/>
      <c r="K954" s="30" t="str">
        <f>IFERROR(__xludf.DUMMYFUNCTION("""COMPUTED_VALUE"""),"QTY, Limit Price (if any) &amp; Password input correct")</f>
        <v>QTY, Limit Price (if any) &amp; Password input correct</v>
      </c>
      <c r="L954" s="30"/>
    </row>
    <row r="955">
      <c r="A955" s="5"/>
      <c r="B955" s="118">
        <f>IFERROR(__xludf.DUMMYFUNCTION("""COMPUTED_VALUE"""),44652.40307244213)</f>
        <v>44652.40307</v>
      </c>
      <c r="C955" s="120">
        <f>IFERROR(__xludf.DUMMYFUNCTION("""COMPUTED_VALUE"""),44652.625)</f>
        <v>44652.625</v>
      </c>
      <c r="D955" s="5" t="str">
        <f>IFERROR(__xludf.DUMMYFUNCTION("""COMPUTED_VALUE"""),"39302")</f>
        <v>39302</v>
      </c>
      <c r="E955" s="5" t="str">
        <f>IFERROR(__xludf.DUMMYFUNCTION("""COMPUTED_VALUE"""),"Stock")</f>
        <v>Stock</v>
      </c>
      <c r="F955" s="5" t="str">
        <f>IFERROR(__xludf.DUMMYFUNCTION("""COMPUTED_VALUE"""),"CNY")</f>
        <v>CNY</v>
      </c>
      <c r="G955" s="30" t="str">
        <f>IFERROR(__xludf.DUMMYFUNCTION("""COMPUTED_VALUE"""),"Email Account/ TraderID Recognized")</f>
        <v>Email Account/ TraderID Recognized</v>
      </c>
      <c r="H955" s="121" t="str">
        <f>IFERROR(__xludf.DUMMYFUNCTION("""COMPUTED_VALUE"""),"002864.SZ")</f>
        <v>002864.SZ</v>
      </c>
      <c r="I955" s="30">
        <f>IFERROR(__xludf.DUMMYFUNCTION("""COMPUTED_VALUE"""),200.0)</f>
        <v>200</v>
      </c>
      <c r="J955" s="30"/>
      <c r="K955" s="30" t="str">
        <f>IFERROR(__xludf.DUMMYFUNCTION("""COMPUTED_VALUE"""),"QTY, Limit Price (if any) &amp; Password input correct")</f>
        <v>QTY, Limit Price (if any) &amp; Password input correct</v>
      </c>
      <c r="L955" s="30"/>
    </row>
    <row r="956">
      <c r="A956" s="5"/>
      <c r="B956" s="118">
        <f>IFERROR(__xludf.DUMMYFUNCTION("""COMPUTED_VALUE"""),44652.40470172453)</f>
        <v>44652.4047</v>
      </c>
      <c r="C956" s="120">
        <f>IFERROR(__xludf.DUMMYFUNCTION("""COMPUTED_VALUE"""),44652.625)</f>
        <v>44652.625</v>
      </c>
      <c r="D956" s="5" t="str">
        <f>IFERROR(__xludf.DUMMYFUNCTION("""COMPUTED_VALUE"""),"39302")</f>
        <v>39302</v>
      </c>
      <c r="E956" s="5" t="str">
        <f>IFERROR(__xludf.DUMMYFUNCTION("""COMPUTED_VALUE"""),"Stock")</f>
        <v>Stock</v>
      </c>
      <c r="F956" s="5" t="str">
        <f>IFERROR(__xludf.DUMMYFUNCTION("""COMPUTED_VALUE"""),"CNY")</f>
        <v>CNY</v>
      </c>
      <c r="G956" s="30" t="str">
        <f>IFERROR(__xludf.DUMMYFUNCTION("""COMPUTED_VALUE"""),"Email Account/ TraderID Recognized")</f>
        <v>Email Account/ TraderID Recognized</v>
      </c>
      <c r="H956" s="121" t="str">
        <f>IFERROR(__xludf.DUMMYFUNCTION("""COMPUTED_VALUE"""),"000788.SZ")</f>
        <v>000788.SZ</v>
      </c>
      <c r="I956" s="30">
        <f>IFERROR(__xludf.DUMMYFUNCTION("""COMPUTED_VALUE"""),500.0)</f>
        <v>500</v>
      </c>
      <c r="J956" s="30"/>
      <c r="K956" s="30" t="str">
        <f>IFERROR(__xludf.DUMMYFUNCTION("""COMPUTED_VALUE"""),"QTY, Limit Price (if any) &amp; Password input correct")</f>
        <v>QTY, Limit Price (if any) &amp; Password input correct</v>
      </c>
      <c r="L956" s="30"/>
    </row>
    <row r="957">
      <c r="A957" s="5"/>
      <c r="B957" s="118">
        <f>IFERROR(__xludf.DUMMYFUNCTION("""COMPUTED_VALUE"""),44652.40961630787)</f>
        <v>44652.40962</v>
      </c>
      <c r="C957" s="120">
        <f>IFERROR(__xludf.DUMMYFUNCTION("""COMPUTED_VALUE"""),44652.625)</f>
        <v>44652.625</v>
      </c>
      <c r="D957" s="5" t="str">
        <f>IFERROR(__xludf.DUMMYFUNCTION("""COMPUTED_VALUE"""),"39302")</f>
        <v>39302</v>
      </c>
      <c r="E957" s="5" t="str">
        <f>IFERROR(__xludf.DUMMYFUNCTION("""COMPUTED_VALUE"""),"Stock")</f>
        <v>Stock</v>
      </c>
      <c r="F957" s="5" t="str">
        <f>IFERROR(__xludf.DUMMYFUNCTION("""COMPUTED_VALUE"""),"CNY")</f>
        <v>CNY</v>
      </c>
      <c r="G957" s="30" t="str">
        <f>IFERROR(__xludf.DUMMYFUNCTION("""COMPUTED_VALUE"""),"Email Account/ TraderID Recognized")</f>
        <v>Email Account/ TraderID Recognized</v>
      </c>
      <c r="H957" s="121" t="str">
        <f>IFERROR(__xludf.DUMMYFUNCTION("""COMPUTED_VALUE"""),"003040.SZ")</f>
        <v>003040.SZ</v>
      </c>
      <c r="I957" s="30">
        <f>IFERROR(__xludf.DUMMYFUNCTION("""COMPUTED_VALUE"""),300.0)</f>
        <v>300</v>
      </c>
      <c r="J957" s="30"/>
      <c r="K957" s="30" t="str">
        <f>IFERROR(__xludf.DUMMYFUNCTION("""COMPUTED_VALUE"""),"QTY, Limit Price (if any) &amp; Password input correct")</f>
        <v>QTY, Limit Price (if any) &amp; Password input correct</v>
      </c>
      <c r="L957" s="30"/>
    </row>
    <row r="958">
      <c r="A958" s="5"/>
      <c r="B958" s="118">
        <f>IFERROR(__xludf.DUMMYFUNCTION("""COMPUTED_VALUE"""),44652.42563174768)</f>
        <v>44652.42563</v>
      </c>
      <c r="C958" s="120">
        <f>IFERROR(__xludf.DUMMYFUNCTION("""COMPUTED_VALUE"""),44652.666666666664)</f>
        <v>44652.66667</v>
      </c>
      <c r="D958" s="5" t="str">
        <f>IFERROR(__xludf.DUMMYFUNCTION("""COMPUTED_VALUE"""),"38063")</f>
        <v>38063</v>
      </c>
      <c r="E958" s="5" t="str">
        <f>IFERROR(__xludf.DUMMYFUNCTION("""COMPUTED_VALUE"""),"Stock")</f>
        <v>Stock</v>
      </c>
      <c r="F958" s="5" t="str">
        <f>IFERROR(__xludf.DUMMYFUNCTION("""COMPUTED_VALUE"""),"HKD")</f>
        <v>HKD</v>
      </c>
      <c r="G958" s="30" t="str">
        <f>IFERROR(__xludf.DUMMYFUNCTION("""COMPUTED_VALUE"""),"Email Account/ TraderID Recognized")</f>
        <v>Email Account/ TraderID Recognized</v>
      </c>
      <c r="H958" s="121" t="str">
        <f>IFERROR(__xludf.DUMMYFUNCTION("""COMPUTED_VALUE"""),"0836.HK")</f>
        <v>0836.HK</v>
      </c>
      <c r="I958" s="30">
        <f>IFERROR(__xludf.DUMMYFUNCTION("""COMPUTED_VALUE"""),5000.0)</f>
        <v>5000</v>
      </c>
      <c r="J958" s="30"/>
      <c r="K958" s="30" t="str">
        <f>IFERROR(__xludf.DUMMYFUNCTION("""COMPUTED_VALUE"""),"QTY, Limit Price (if any) &amp; Password input correct")</f>
        <v>QTY, Limit Price (if any) &amp; Password input correct</v>
      </c>
      <c r="L958" s="30"/>
    </row>
    <row r="959">
      <c r="A959" s="5"/>
      <c r="B959" s="118">
        <f>IFERROR(__xludf.DUMMYFUNCTION("""COMPUTED_VALUE"""),44652.42785125)</f>
        <v>44652.42785</v>
      </c>
      <c r="C959" s="120" t="str">
        <f>IFERROR(__xludf.DUMMYFUNCTION("""COMPUTED_VALUE"""),"")</f>
        <v/>
      </c>
      <c r="D959" s="5" t="str">
        <f>IFERROR(__xludf.DUMMYFUNCTION("""COMPUTED_VALUE"""),"")</f>
        <v/>
      </c>
      <c r="E959" s="5" t="str">
        <f>IFERROR(__xludf.DUMMYFUNCTION("""COMPUTED_VALUE"""),"Stock")</f>
        <v>Stock</v>
      </c>
      <c r="F959" s="5" t="str">
        <f>IFERROR(__xludf.DUMMYFUNCTION("""COMPUTED_VALUE"""),"error")</f>
        <v>error</v>
      </c>
      <c r="G959" s="30" t="str">
        <f>IFERROR(__xludf.DUMMYFUNCTION("""COMPUTED_VALUE"""),"jiaxxxxxxx@nonHKMUemail")</f>
        <v>jiaxxxxxxx@nonHKMUemail</v>
      </c>
      <c r="H959" s="121" t="str">
        <f>IFERROR(__xludf.DUMMYFUNCTION("""COMPUTED_VALUE"""),"9888.HK")</f>
        <v>9888.HK</v>
      </c>
      <c r="I959" s="30">
        <f>IFERROR(__xludf.DUMMYFUNCTION("""COMPUTED_VALUE"""),550.0)</f>
        <v>550</v>
      </c>
      <c r="J959" s="30">
        <f>IFERROR(__xludf.DUMMYFUNCTION("""COMPUTED_VALUE"""),131.8)</f>
        <v>131.8</v>
      </c>
      <c r="K959" s="30" t="str">
        <f>IFERROR(__xludf.DUMMYFUNCTION("""COMPUTED_VALUE"""),"QTY, Limit Price (if any) &amp; Password input correct")</f>
        <v>QTY, Limit Price (if any) &amp; Password input correct</v>
      </c>
      <c r="L959" s="30" t="str">
        <f>IFERROR(__xludf.DUMMYFUNCTION("""COMPUTED_VALUE"""),"Order rejected due to non school email address")</f>
        <v>Order rejected due to non school email address</v>
      </c>
    </row>
    <row r="960">
      <c r="A960" s="5"/>
      <c r="B960" s="118">
        <f>IFERROR(__xludf.DUMMYFUNCTION("""COMPUTED_VALUE"""),44652.428412650464)</f>
        <v>44652.42841</v>
      </c>
      <c r="C960" s="120">
        <f>IFERROR(__xludf.DUMMYFUNCTION("""COMPUTED_VALUE"""),44652.666666666664)</f>
        <v>44652.66667</v>
      </c>
      <c r="D960" s="5" t="str">
        <f>IFERROR(__xludf.DUMMYFUNCTION("""COMPUTED_VALUE"""),"77603")</f>
        <v>77603</v>
      </c>
      <c r="E960" s="5" t="str">
        <f>IFERROR(__xludf.DUMMYFUNCTION("""COMPUTED_VALUE"""),"Stock")</f>
        <v>Stock</v>
      </c>
      <c r="F960" s="5" t="str">
        <f>IFERROR(__xludf.DUMMYFUNCTION("""COMPUTED_VALUE"""),"HKD")</f>
        <v>HKD</v>
      </c>
      <c r="G960" s="30" t="str">
        <f>IFERROR(__xludf.DUMMYFUNCTION("""COMPUTED_VALUE"""),"Email Account/ TraderID Recognized")</f>
        <v>Email Account/ TraderID Recognized</v>
      </c>
      <c r="H960" s="121" t="str">
        <f>IFERROR(__xludf.DUMMYFUNCTION("""COMPUTED_VALUE"""),"9888.HK")</f>
        <v>9888.HK</v>
      </c>
      <c r="I960" s="30">
        <f>IFERROR(__xludf.DUMMYFUNCTION("""COMPUTED_VALUE"""),550.0)</f>
        <v>550</v>
      </c>
      <c r="J960" s="30">
        <f>IFERROR(__xludf.DUMMYFUNCTION("""COMPUTED_VALUE"""),131.5)</f>
        <v>131.5</v>
      </c>
      <c r="K960" s="30" t="str">
        <f>IFERROR(__xludf.DUMMYFUNCTION("""COMPUTED_VALUE"""),"QTY, Limit Price (if any) &amp; Password input correct")</f>
        <v>QTY, Limit Price (if any) &amp; Password input correct</v>
      </c>
      <c r="L960" s="30"/>
    </row>
    <row r="961">
      <c r="A961" s="5"/>
      <c r="B961" s="118">
        <f>IFERROR(__xludf.DUMMYFUNCTION("""COMPUTED_VALUE"""),44652.42896158565)</f>
        <v>44652.42896</v>
      </c>
      <c r="C961" s="120" t="str">
        <f>IFERROR(__xludf.DUMMYFUNCTION("""COMPUTED_VALUE"""),"")</f>
        <v/>
      </c>
      <c r="D961" s="5" t="str">
        <f>IFERROR(__xludf.DUMMYFUNCTION("""COMPUTED_VALUE"""),"")</f>
        <v/>
      </c>
      <c r="E961" s="5" t="str">
        <f>IFERROR(__xludf.DUMMYFUNCTION("""COMPUTED_VALUE"""),"Stock")</f>
        <v>Stock</v>
      </c>
      <c r="F961" s="5" t="str">
        <f>IFERROR(__xludf.DUMMYFUNCTION("""COMPUTED_VALUE"""),"error")</f>
        <v>error</v>
      </c>
      <c r="G961" s="30" t="str">
        <f>IFERROR(__xludf.DUMMYFUNCTION("""COMPUTED_VALUE"""),"jiaxxxxxxx@nonHKMUemail")</f>
        <v>jiaxxxxxxx@nonHKMUemail</v>
      </c>
      <c r="H961" s="121" t="str">
        <f>IFERROR(__xludf.DUMMYFUNCTION("""COMPUTED_VALUE"""),"9888.HK")</f>
        <v>9888.HK</v>
      </c>
      <c r="I961" s="30">
        <f>IFERROR(__xludf.DUMMYFUNCTION("""COMPUTED_VALUE"""),550.0)</f>
        <v>550</v>
      </c>
      <c r="J961" s="30">
        <f>IFERROR(__xludf.DUMMYFUNCTION("""COMPUTED_VALUE"""),131.9)</f>
        <v>131.9</v>
      </c>
      <c r="K961" s="30" t="str">
        <f>IFERROR(__xludf.DUMMYFUNCTION("""COMPUTED_VALUE"""),"Wrong Password Submitted, Order will be rejected")</f>
        <v>Wrong Password Submitted, Order will be rejected</v>
      </c>
      <c r="L961" s="30" t="str">
        <f>IFERROR(__xludf.DUMMYFUNCTION("""COMPUTED_VALUE"""),"Order rejected due to non school email address")</f>
        <v>Order rejected due to non school email address</v>
      </c>
    </row>
    <row r="962">
      <c r="A962" s="5"/>
      <c r="B962" s="118">
        <f>IFERROR(__xludf.DUMMYFUNCTION("""COMPUTED_VALUE"""),44652.45300177083)</f>
        <v>44652.453</v>
      </c>
      <c r="C962" s="120">
        <f>IFERROR(__xludf.DUMMYFUNCTION("""COMPUTED_VALUE"""),44652.666666666664)</f>
        <v>44652.66667</v>
      </c>
      <c r="D962" s="5" t="str">
        <f>IFERROR(__xludf.DUMMYFUNCTION("""COMPUTED_VALUE"""),"76848")</f>
        <v>76848</v>
      </c>
      <c r="E962" s="5" t="str">
        <f>IFERROR(__xludf.DUMMYFUNCTION("""COMPUTED_VALUE"""),"Stock")</f>
        <v>Stock</v>
      </c>
      <c r="F962" s="5" t="str">
        <f>IFERROR(__xludf.DUMMYFUNCTION("""COMPUTED_VALUE"""),"USD")</f>
        <v>USD</v>
      </c>
      <c r="G962" s="30" t="str">
        <f>IFERROR(__xludf.DUMMYFUNCTION("""COMPUTED_VALUE"""),"Email Account/ TraderID Recognized")</f>
        <v>Email Account/ TraderID Recognized</v>
      </c>
      <c r="H962" s="119" t="str">
        <f>IFERROR(__xludf.DUMMYFUNCTION("""COMPUTED_VALUE"""),"AAPL")</f>
        <v>AAPL</v>
      </c>
      <c r="I962" s="30">
        <f>IFERROR(__xludf.DUMMYFUNCTION("""COMPUTED_VALUE"""),20.0)</f>
        <v>20</v>
      </c>
      <c r="J962" s="124">
        <f>IFERROR(__xludf.DUMMYFUNCTION("""COMPUTED_VALUE"""),1377.79)</f>
        <v>1377.79</v>
      </c>
      <c r="K962" s="30" t="str">
        <f>IFERROR(__xludf.DUMMYFUNCTION("""COMPUTED_VALUE"""),"QTY, Limit Price (if any) &amp; Password input correct")</f>
        <v>QTY, Limit Price (if any) &amp; Password input correct</v>
      </c>
      <c r="L962" s="30"/>
    </row>
    <row r="963">
      <c r="A963" s="5"/>
      <c r="B963" s="118">
        <f>IFERROR(__xludf.DUMMYFUNCTION("""COMPUTED_VALUE"""),44652.46991696759)</f>
        <v>44652.46992</v>
      </c>
      <c r="C963" s="120">
        <f>IFERROR(__xludf.DUMMYFUNCTION("""COMPUTED_VALUE"""),44652.625)</f>
        <v>44652.625</v>
      </c>
      <c r="D963" s="5" t="str">
        <f>IFERROR(__xludf.DUMMYFUNCTION("""COMPUTED_VALUE"""),"75597")</f>
        <v>75597</v>
      </c>
      <c r="E963" s="5" t="str">
        <f>IFERROR(__xludf.DUMMYFUNCTION("""COMPUTED_VALUE"""),"Stock")</f>
        <v>Stock</v>
      </c>
      <c r="F963" s="5" t="str">
        <f>IFERROR(__xludf.DUMMYFUNCTION("""COMPUTED_VALUE"""),"CNY")</f>
        <v>CNY</v>
      </c>
      <c r="G963" s="30" t="str">
        <f>IFERROR(__xludf.DUMMYFUNCTION("""COMPUTED_VALUE"""),"Email Account/ TraderID Recognized")</f>
        <v>Email Account/ TraderID Recognized</v>
      </c>
      <c r="H963" s="121" t="str">
        <f>IFERROR(__xludf.DUMMYFUNCTION("""COMPUTED_VALUE"""),"600519.SS")</f>
        <v>600519.SS</v>
      </c>
      <c r="I963" s="30">
        <f>IFERROR(__xludf.DUMMYFUNCTION("""COMPUTED_VALUE"""),200.0)</f>
        <v>200</v>
      </c>
      <c r="J963" s="30">
        <f>IFERROR(__xludf.DUMMYFUNCTION("""COMPUTED_VALUE"""),1791.0)</f>
        <v>1791</v>
      </c>
      <c r="K963" s="30" t="str">
        <f>IFERROR(__xludf.DUMMYFUNCTION("""COMPUTED_VALUE"""),"Wrong Password Submitted, Order will be rejected")</f>
        <v>Wrong Password Submitted, Order will be rejected</v>
      </c>
      <c r="L963" s="30" t="str">
        <f>IFERROR(__xludf.DUMMYFUNCTION("""COMPUTED_VALUE"""),"Order rejected due to wrong password")</f>
        <v>Order rejected due to wrong password</v>
      </c>
    </row>
    <row r="964">
      <c r="A964" s="5"/>
      <c r="B964" s="118">
        <f>IFERROR(__xludf.DUMMYFUNCTION("""COMPUTED_VALUE"""),44652.477935625)</f>
        <v>44652.47794</v>
      </c>
      <c r="C964" s="120">
        <f>IFERROR(__xludf.DUMMYFUNCTION("""COMPUTED_VALUE"""),44652.625)</f>
        <v>44652.625</v>
      </c>
      <c r="D964" s="5" t="str">
        <f>IFERROR(__xludf.DUMMYFUNCTION("""COMPUTED_VALUE"""),"77393")</f>
        <v>77393</v>
      </c>
      <c r="E964" s="5" t="str">
        <f>IFERROR(__xludf.DUMMYFUNCTION("""COMPUTED_VALUE"""),"Stock")</f>
        <v>Stock</v>
      </c>
      <c r="F964" s="5" t="str">
        <f>IFERROR(__xludf.DUMMYFUNCTION("""COMPUTED_VALUE"""),"CNY")</f>
        <v>CNY</v>
      </c>
      <c r="G964" s="30" t="str">
        <f>IFERROR(__xludf.DUMMYFUNCTION("""COMPUTED_VALUE"""),"Email Account/ TraderID Recognized")</f>
        <v>Email Account/ TraderID Recognized</v>
      </c>
      <c r="H964" s="121" t="str">
        <f>IFERROR(__xludf.DUMMYFUNCTION("""COMPUTED_VALUE"""),"000568.sz")</f>
        <v>000568.sz</v>
      </c>
      <c r="I964" s="30">
        <f>IFERROR(__xludf.DUMMYFUNCTION("""COMPUTED_VALUE"""),2000.0)</f>
        <v>2000</v>
      </c>
      <c r="J964" s="30">
        <f>IFERROR(__xludf.DUMMYFUNCTION("""COMPUTED_VALUE"""),191.88)</f>
        <v>191.88</v>
      </c>
      <c r="K964" s="30" t="str">
        <f>IFERROR(__xludf.DUMMYFUNCTION("""COMPUTED_VALUE"""),"QTY, Limit Price (if any) &amp; Password input correct")</f>
        <v>QTY, Limit Price (if any) &amp; Password input correct</v>
      </c>
      <c r="L964" s="30"/>
    </row>
    <row r="965">
      <c r="A965" s="5"/>
      <c r="B965" s="118">
        <f>IFERROR(__xludf.DUMMYFUNCTION("""COMPUTED_VALUE"""),44652.528545381945)</f>
        <v>44652.52855</v>
      </c>
      <c r="C965" s="120">
        <f>IFERROR(__xludf.DUMMYFUNCTION("""COMPUTED_VALUE"""),44652.625)</f>
        <v>44652.625</v>
      </c>
      <c r="D965" s="5" t="str">
        <f>IFERROR(__xludf.DUMMYFUNCTION("""COMPUTED_VALUE"""),"39302")</f>
        <v>39302</v>
      </c>
      <c r="E965" s="5" t="str">
        <f>IFERROR(__xludf.DUMMYFUNCTION("""COMPUTED_VALUE"""),"Stock")</f>
        <v>Stock</v>
      </c>
      <c r="F965" s="5" t="str">
        <f>IFERROR(__xludf.DUMMYFUNCTION("""COMPUTED_VALUE"""),"CNY")</f>
        <v>CNY</v>
      </c>
      <c r="G965" s="30" t="str">
        <f>IFERROR(__xludf.DUMMYFUNCTION("""COMPUTED_VALUE"""),"Email Account/ TraderID Recognized")</f>
        <v>Email Account/ TraderID Recognized</v>
      </c>
      <c r="H965" s="121" t="str">
        <f>IFERROR(__xludf.DUMMYFUNCTION("""COMPUTED_VALUE"""),"000950.SZ")</f>
        <v>000950.SZ</v>
      </c>
      <c r="I965" s="30">
        <f>IFERROR(__xludf.DUMMYFUNCTION("""COMPUTED_VALUE"""),1000.0)</f>
        <v>1000</v>
      </c>
      <c r="J965" s="30"/>
      <c r="K965" s="124" t="str">
        <f>IFERROR(__xludf.DUMMYFUNCTION("""COMPUTED_VALUE"""),"QTY, Limit Price (if any) &amp; Password input correct")</f>
        <v>QTY, Limit Price (if any) &amp; Password input correct</v>
      </c>
      <c r="L965" s="124"/>
    </row>
    <row r="966">
      <c r="A966" s="5"/>
      <c r="B966" s="118">
        <f>IFERROR(__xludf.DUMMYFUNCTION("""COMPUTED_VALUE"""),44652.58139944445)</f>
        <v>44652.5814</v>
      </c>
      <c r="C966" s="120">
        <f>IFERROR(__xludf.DUMMYFUNCTION("""COMPUTED_VALUE"""),44652.625)</f>
        <v>44652.625</v>
      </c>
      <c r="D966" s="5" t="str">
        <f>IFERROR(__xludf.DUMMYFUNCTION("""COMPUTED_VALUE"""),"76369")</f>
        <v>76369</v>
      </c>
      <c r="E966" s="5" t="str">
        <f>IFERROR(__xludf.DUMMYFUNCTION("""COMPUTED_VALUE"""),"Stock")</f>
        <v>Stock</v>
      </c>
      <c r="F966" s="5" t="str">
        <f>IFERROR(__xludf.DUMMYFUNCTION("""COMPUTED_VALUE"""),"CNY")</f>
        <v>CNY</v>
      </c>
      <c r="G966" s="30" t="str">
        <f>IFERROR(__xludf.DUMMYFUNCTION("""COMPUTED_VALUE"""),"Email Account/ TraderID Recognized")</f>
        <v>Email Account/ TraderID Recognized</v>
      </c>
      <c r="H966" s="121" t="str">
        <f>IFERROR(__xludf.DUMMYFUNCTION("""COMPUTED_VALUE"""),"603538.SS")</f>
        <v>603538.SS</v>
      </c>
      <c r="I966" s="30">
        <f>IFERROR(__xludf.DUMMYFUNCTION("""COMPUTED_VALUE"""),500.0)</f>
        <v>500</v>
      </c>
      <c r="J966" s="30"/>
      <c r="K966" s="30" t="str">
        <f>IFERROR(__xludf.DUMMYFUNCTION("""COMPUTED_VALUE"""),"QTY, Limit Price (if any) &amp; Password input correct")</f>
        <v>QTY, Limit Price (if any) &amp; Password input correct</v>
      </c>
      <c r="L966" s="30"/>
    </row>
    <row r="967">
      <c r="A967" s="5"/>
      <c r="B967" s="118">
        <f>IFERROR(__xludf.DUMMYFUNCTION("""COMPUTED_VALUE"""),44652.596242858795)</f>
        <v>44652.59624</v>
      </c>
      <c r="C967" s="120" t="str">
        <f>IFERROR(__xludf.DUMMYFUNCTION("""COMPUTED_VALUE"""),"")</f>
        <v/>
      </c>
      <c r="D967" s="5" t="str">
        <f>IFERROR(__xludf.DUMMYFUNCTION("""COMPUTED_VALUE"""),"06586")</f>
        <v>06586</v>
      </c>
      <c r="E967" s="5" t="str">
        <f>IFERROR(__xludf.DUMMYFUNCTION("""COMPUTED_VALUE"""),"Stock")</f>
        <v>Stock</v>
      </c>
      <c r="F967" s="5" t="str">
        <f>IFERROR(__xludf.DUMMYFUNCTION("""COMPUTED_VALUE"""),"error")</f>
        <v>error</v>
      </c>
      <c r="G967" s="30" t="str">
        <f>IFERROR(__xludf.DUMMYFUNCTION("""COMPUTED_VALUE"""),"Email Account/ TraderID Recognized")</f>
        <v>Email Account/ TraderID Recognized</v>
      </c>
      <c r="H967" s="119" t="str">
        <f>IFERROR(__xludf.DUMMYFUNCTION("""COMPUTED_VALUE"""),"aapl")</f>
        <v>aapl</v>
      </c>
      <c r="I967" s="30">
        <f>IFERROR(__xludf.DUMMYFUNCTION("""COMPUTED_VALUE"""),50.0)</f>
        <v>50</v>
      </c>
      <c r="J967" s="30" t="str">
        <f>IFERROR(__xludf.DUMMYFUNCTION("""COMPUTED_VALUE"""),"Limit Sell @ 170 - if Closing @ 200 = Executed price @ 200; if Closing @ 150 = no execution")</f>
        <v>Limit Sell @ 170 - if Closing @ 200 = Executed price @ 200; if Closing @ 150 = no execution</v>
      </c>
      <c r="K967" s="30" t="str">
        <f>IFERROR(__xludf.DUMMYFUNCTION("""COMPUTED_VALUE"""),"Non-number input in Quantity or Limit Price")</f>
        <v>Non-number input in Quantity or Limit Price</v>
      </c>
      <c r="L967" s="30" t="str">
        <f>IFERROR(__xludf.DUMMYFUNCTION("""COMPUTED_VALUE"""),"Order rejected due to non numeric characters in limit price input")</f>
        <v>Order rejected due to non numeric characters in limit price input</v>
      </c>
    </row>
    <row r="968">
      <c r="A968" s="5"/>
      <c r="B968" s="118">
        <f>IFERROR(__xludf.DUMMYFUNCTION("""COMPUTED_VALUE"""),44652.60499203704)</f>
        <v>44652.60499</v>
      </c>
      <c r="C968" s="120" t="str">
        <f>IFERROR(__xludf.DUMMYFUNCTION("""COMPUTED_VALUE"""),"")</f>
        <v/>
      </c>
      <c r="D968" s="5" t="str">
        <f>IFERROR(__xludf.DUMMYFUNCTION("""COMPUTED_VALUE"""),"89833")</f>
        <v>89833</v>
      </c>
      <c r="E968" s="5" t="str">
        <f>IFERROR(__xludf.DUMMYFUNCTION("""COMPUTED_VALUE"""),"Stock")</f>
        <v>Stock</v>
      </c>
      <c r="F968" s="5" t="str">
        <f>IFERROR(__xludf.DUMMYFUNCTION("""COMPUTED_VALUE"""),"error")</f>
        <v>error</v>
      </c>
      <c r="G968" s="30" t="str">
        <f>IFERROR(__xludf.DUMMYFUNCTION("""COMPUTED_VALUE"""),"Email Account/ TraderID Recognized")</f>
        <v>Email Account/ TraderID Recognized</v>
      </c>
      <c r="H968" s="121" t="str">
        <f>IFERROR(__xludf.DUMMYFUNCTION("""COMPUTED_VALUE"""),"6618.HK")</f>
        <v>6618.HK</v>
      </c>
      <c r="I968" s="30">
        <f>IFERROR(__xludf.DUMMYFUNCTION("""COMPUTED_VALUE"""),1500.0)</f>
        <v>1500</v>
      </c>
      <c r="J968" s="30" t="str">
        <f>IFERROR(__xludf.DUMMYFUNCTION("""COMPUTED_VALUE"""),"Limit Sell @ 47.1")</f>
        <v>Limit Sell @ 47.1</v>
      </c>
      <c r="K968" s="30" t="str">
        <f>IFERROR(__xludf.DUMMYFUNCTION("""COMPUTED_VALUE"""),"Non-number input in Quantity or Limit Price")</f>
        <v>Non-number input in Quantity or Limit Price</v>
      </c>
      <c r="L968" s="30" t="str">
        <f>IFERROR(__xludf.DUMMYFUNCTION("""COMPUTED_VALUE"""),"Order rejected due to non numeric characters in limit price input")</f>
        <v>Order rejected due to non numeric characters in limit price input</v>
      </c>
    </row>
    <row r="969">
      <c r="A969" s="5"/>
      <c r="B969" s="118">
        <f>IFERROR(__xludf.DUMMYFUNCTION("""COMPUTED_VALUE"""),44652.60540371528)</f>
        <v>44652.6054</v>
      </c>
      <c r="C969" s="120" t="str">
        <f>IFERROR(__xludf.DUMMYFUNCTION("""COMPUTED_VALUE"""),"")</f>
        <v/>
      </c>
      <c r="D969" s="5" t="str">
        <f>IFERROR(__xludf.DUMMYFUNCTION("""COMPUTED_VALUE"""),"40658")</f>
        <v>40658</v>
      </c>
      <c r="E969" s="5" t="str">
        <f>IFERROR(__xludf.DUMMYFUNCTION("""COMPUTED_VALUE"""),"Stock")</f>
        <v>Stock</v>
      </c>
      <c r="F969" s="5" t="str">
        <f>IFERROR(__xludf.DUMMYFUNCTION("""COMPUTED_VALUE"""),"error")</f>
        <v>error</v>
      </c>
      <c r="G969" s="30" t="str">
        <f>IFERROR(__xludf.DUMMYFUNCTION("""COMPUTED_VALUE"""),"Email Account/ TraderID Recognized")</f>
        <v>Email Account/ TraderID Recognized</v>
      </c>
      <c r="H969" s="119" t="str">
        <f>IFERROR(__xludf.DUMMYFUNCTION("""COMPUTED_VALUE"""),"994059")</f>
        <v>994059</v>
      </c>
      <c r="I969" s="30">
        <f>IFERROR(__xludf.DUMMYFUNCTION("""COMPUTED_VALUE"""),20.0)</f>
        <v>20</v>
      </c>
      <c r="J969" s="30" t="str">
        <f>IFERROR(__xludf.DUMMYFUNCTION("""COMPUTED_VALUE"""),"Limit Sell @  900- if Closing @ 1000= Executed price @ 1000; if Closing @ 800 = no execution")</f>
        <v>Limit Sell @  900- if Closing @ 1000= Executed price @ 1000; if Closing @ 800 = no execution</v>
      </c>
      <c r="K969" s="30" t="str">
        <f>IFERROR(__xludf.DUMMYFUNCTION("""COMPUTED_VALUE"""),"Non-number input in Quantity or Limit Price")</f>
        <v>Non-number input in Quantity or Limit Price</v>
      </c>
      <c r="L969" s="30" t="str">
        <f>IFERROR(__xludf.DUMMYFUNCTION("""COMPUTED_VALUE"""),"Order rejected due to non numeric characters in limit price input")</f>
        <v>Order rejected due to non numeric characters in limit price input</v>
      </c>
    </row>
    <row r="970">
      <c r="A970" s="5"/>
      <c r="B970" s="118">
        <f>IFERROR(__xludf.DUMMYFUNCTION("""COMPUTED_VALUE"""),44652.60651737268)</f>
        <v>44652.60652</v>
      </c>
      <c r="C970" s="120" t="str">
        <f>IFERROR(__xludf.DUMMYFUNCTION("""COMPUTED_VALUE"""),"")</f>
        <v/>
      </c>
      <c r="D970" s="5" t="str">
        <f>IFERROR(__xludf.DUMMYFUNCTION("""COMPUTED_VALUE"""),"89833")</f>
        <v>89833</v>
      </c>
      <c r="E970" s="5" t="str">
        <f>IFERROR(__xludf.DUMMYFUNCTION("""COMPUTED_VALUE"""),"Stock")</f>
        <v>Stock</v>
      </c>
      <c r="F970" s="5" t="str">
        <f>IFERROR(__xludf.DUMMYFUNCTION("""COMPUTED_VALUE"""),"error")</f>
        <v>error</v>
      </c>
      <c r="G970" s="30" t="str">
        <f>IFERROR(__xludf.DUMMYFUNCTION("""COMPUTED_VALUE"""),"Email Account/ TraderID Recognized")</f>
        <v>Email Account/ TraderID Recognized</v>
      </c>
      <c r="H970" s="121" t="str">
        <f>IFERROR(__xludf.DUMMYFUNCTION("""COMPUTED_VALUE"""),"0883.HK")</f>
        <v>0883.HK</v>
      </c>
      <c r="I970" s="30">
        <f>IFERROR(__xludf.DUMMYFUNCTION("""COMPUTED_VALUE"""),20000.0)</f>
        <v>20000</v>
      </c>
      <c r="J970" s="30" t="str">
        <f>IFERROR(__xludf.DUMMYFUNCTION("""COMPUTED_VALUE""")," Limit Buy @ 10.85")</f>
        <v> Limit Buy @ 10.85</v>
      </c>
      <c r="K970" s="30" t="str">
        <f>IFERROR(__xludf.DUMMYFUNCTION("""COMPUTED_VALUE"""),"Non-number input in Quantity or Limit Price")</f>
        <v>Non-number input in Quantity or Limit Price</v>
      </c>
      <c r="L970" s="30" t="str">
        <f>IFERROR(__xludf.DUMMYFUNCTION("""COMPUTED_VALUE"""),"Order rejected due to non numeric characters in limit price input")</f>
        <v>Order rejected due to non numeric characters in limit price input</v>
      </c>
    </row>
    <row r="971">
      <c r="A971" s="5"/>
      <c r="B971" s="118">
        <f>IFERROR(__xludf.DUMMYFUNCTION("""COMPUTED_VALUE"""),44652.62511209491)</f>
        <v>44652.62511</v>
      </c>
      <c r="C971" s="120" t="str">
        <f>IFERROR(__xludf.DUMMYFUNCTION("""COMPUTED_VALUE"""),"")</f>
        <v/>
      </c>
      <c r="D971" s="5" t="str">
        <f>IFERROR(__xludf.DUMMYFUNCTION("""COMPUTED_VALUE"""),"39302")</f>
        <v>39302</v>
      </c>
      <c r="E971" s="5" t="str">
        <f>IFERROR(__xludf.DUMMYFUNCTION("""COMPUTED_VALUE"""),"Stock")</f>
        <v>Stock</v>
      </c>
      <c r="F971" s="5" t="str">
        <f>IFERROR(__xludf.DUMMYFUNCTION("""COMPUTED_VALUE"""),"error")</f>
        <v>error</v>
      </c>
      <c r="G971" s="30" t="str">
        <f>IFERROR(__xludf.DUMMYFUNCTION("""COMPUTED_VALUE"""),"Email Account/ TraderID Recognized")</f>
        <v>Email Account/ TraderID Recognized</v>
      </c>
      <c r="H971" s="119" t="str">
        <f>IFERROR(__xludf.DUMMYFUNCTION("""COMPUTED_VALUE"""),"002864")</f>
        <v>002864</v>
      </c>
      <c r="I971" s="30">
        <f>IFERROR(__xludf.DUMMYFUNCTION("""COMPUTED_VALUE"""),200.0)</f>
        <v>200</v>
      </c>
      <c r="J971" s="30"/>
      <c r="K971" s="30" t="str">
        <f>IFERROR(__xludf.DUMMYFUNCTION("""COMPUTED_VALUE"""),"QTY, Limit Price (if any) &amp; Password input correct")</f>
        <v>QTY, Limit Price (if any) &amp; Password input correct</v>
      </c>
      <c r="L971" s="30" t="str">
        <f>IFERROR(__xludf.DUMMYFUNCTION("""COMPUTED_VALUE"""),"Order rejected due to wrong ticker code")</f>
        <v>Order rejected due to wrong ticker code</v>
      </c>
    </row>
    <row r="972">
      <c r="A972" s="5"/>
      <c r="B972" s="118">
        <f>IFERROR(__xludf.DUMMYFUNCTION("""COMPUTED_VALUE"""),44652.659916226854)</f>
        <v>44652.65992</v>
      </c>
      <c r="C972" s="120" t="str">
        <f>IFERROR(__xludf.DUMMYFUNCTION("""COMPUTED_VALUE"""),"")</f>
        <v/>
      </c>
      <c r="D972" s="5" t="str">
        <f>IFERROR(__xludf.DUMMYFUNCTION("""COMPUTED_VALUE"""),"")</f>
        <v/>
      </c>
      <c r="E972" s="5" t="str">
        <f>IFERROR(__xludf.DUMMYFUNCTION("""COMPUTED_VALUE"""),"Stock")</f>
        <v>Stock</v>
      </c>
      <c r="F972" s="5" t="str">
        <f>IFERROR(__xludf.DUMMYFUNCTION("""COMPUTED_VALUE"""),"error")</f>
        <v>error</v>
      </c>
      <c r="G972" s="30" t="str">
        <f>IFERROR(__xludf.DUMMYFUNCTION("""COMPUTED_VALUE"""),"jiaxxxxxxx@nonHKMUemail")</f>
        <v>jiaxxxxxxx@nonHKMUemail</v>
      </c>
      <c r="H972" s="121" t="str">
        <f>IFERROR(__xludf.DUMMYFUNCTION("""COMPUTED_VALUE"""),"9888.HK")</f>
        <v>9888.HK</v>
      </c>
      <c r="I972" s="30">
        <f>IFERROR(__xludf.DUMMYFUNCTION("""COMPUTED_VALUE"""),550.0)</f>
        <v>550</v>
      </c>
      <c r="J972" s="30">
        <f>IFERROR(__xludf.DUMMYFUNCTION("""COMPUTED_VALUE"""),134.4)</f>
        <v>134.4</v>
      </c>
      <c r="K972" s="30" t="str">
        <f>IFERROR(__xludf.DUMMYFUNCTION("""COMPUTED_VALUE"""),"Wrong Password Submitted, Order will be rejected")</f>
        <v>Wrong Password Submitted, Order will be rejected</v>
      </c>
      <c r="L972" s="30" t="str">
        <f>IFERROR(__xludf.DUMMYFUNCTION("""COMPUTED_VALUE"""),"Order rejected due to non school email address")</f>
        <v>Order rejected due to non school email address</v>
      </c>
    </row>
    <row r="973">
      <c r="A973" s="5"/>
      <c r="B973" s="118">
        <f>IFERROR(__xludf.DUMMYFUNCTION("""COMPUTED_VALUE"""),44652.66042356481)</f>
        <v>44652.66042</v>
      </c>
      <c r="C973" s="120" t="str">
        <f>IFERROR(__xludf.DUMMYFUNCTION("""COMPUTED_VALUE"""),"")</f>
        <v/>
      </c>
      <c r="D973" s="5" t="str">
        <f>IFERROR(__xludf.DUMMYFUNCTION("""COMPUTED_VALUE"""),"")</f>
        <v/>
      </c>
      <c r="E973" s="5" t="str">
        <f>IFERROR(__xludf.DUMMYFUNCTION("""COMPUTED_VALUE"""),"Stock")</f>
        <v>Stock</v>
      </c>
      <c r="F973" s="5" t="str">
        <f>IFERROR(__xludf.DUMMYFUNCTION("""COMPUTED_VALUE"""),"error")</f>
        <v>error</v>
      </c>
      <c r="G973" s="30" t="str">
        <f>IFERROR(__xludf.DUMMYFUNCTION("""COMPUTED_VALUE"""),"jiaxxxxxxx@nonHKMUemail")</f>
        <v>jiaxxxxxxx@nonHKMUemail</v>
      </c>
      <c r="H973" s="121" t="str">
        <f>IFERROR(__xludf.DUMMYFUNCTION("""COMPUTED_VALUE"""),"9888.HK")</f>
        <v>9888.HK</v>
      </c>
      <c r="I973" s="30">
        <f>IFERROR(__xludf.DUMMYFUNCTION("""COMPUTED_VALUE"""),550.0)</f>
        <v>550</v>
      </c>
      <c r="J973" s="30">
        <f>IFERROR(__xludf.DUMMYFUNCTION("""COMPUTED_VALUE"""),134.4)</f>
        <v>134.4</v>
      </c>
      <c r="K973" s="30" t="str">
        <f>IFERROR(__xludf.DUMMYFUNCTION("""COMPUTED_VALUE"""),"QTY, Limit Price (if any) &amp; Password input correct")</f>
        <v>QTY, Limit Price (if any) &amp; Password input correct</v>
      </c>
      <c r="L973" s="30" t="str">
        <f>IFERROR(__xludf.DUMMYFUNCTION("""COMPUTED_VALUE"""),"Order rejected due to non school email address")</f>
        <v>Order rejected due to non school email address</v>
      </c>
    </row>
    <row r="974">
      <c r="A974" s="5"/>
      <c r="B974" s="118">
        <f>IFERROR(__xludf.DUMMYFUNCTION("""COMPUTED_VALUE"""),44652.6619803125)</f>
        <v>44652.66198</v>
      </c>
      <c r="C974" s="120">
        <f>IFERROR(__xludf.DUMMYFUNCTION("""COMPUTED_VALUE"""),44652.666666666664)</f>
        <v>44652.66667</v>
      </c>
      <c r="D974" s="5" t="str">
        <f>IFERROR(__xludf.DUMMYFUNCTION("""COMPUTED_VALUE"""),"75369")</f>
        <v>75369</v>
      </c>
      <c r="E974" s="5" t="str">
        <f>IFERROR(__xludf.DUMMYFUNCTION("""COMPUTED_VALUE"""),"Stock")</f>
        <v>Stock</v>
      </c>
      <c r="F974" s="5" t="str">
        <f>IFERROR(__xludf.DUMMYFUNCTION("""COMPUTED_VALUE"""),"HKD")</f>
        <v>HKD</v>
      </c>
      <c r="G974" s="30" t="str">
        <f>IFERROR(__xludf.DUMMYFUNCTION("""COMPUTED_VALUE"""),"Email Account/ TraderID Recognized")</f>
        <v>Email Account/ TraderID Recognized</v>
      </c>
      <c r="H974" s="121" t="str">
        <f>IFERROR(__xludf.DUMMYFUNCTION("""COMPUTED_VALUE"""),"0700.hk")</f>
        <v>0700.hk</v>
      </c>
      <c r="I974" s="30">
        <f>IFERROR(__xludf.DUMMYFUNCTION("""COMPUTED_VALUE"""),100.0)</f>
        <v>100</v>
      </c>
      <c r="J974" s="30"/>
      <c r="K974" s="30" t="str">
        <f>IFERROR(__xludf.DUMMYFUNCTION("""COMPUTED_VALUE"""),"QTY, Limit Price (if any) &amp; Password input correct")</f>
        <v>QTY, Limit Price (if any) &amp; Password input correct</v>
      </c>
      <c r="L974" s="30"/>
    </row>
    <row r="975">
      <c r="A975" s="5"/>
      <c r="B975" s="118">
        <f>IFERROR(__xludf.DUMMYFUNCTION("""COMPUTED_VALUE"""),44652.662597939816)</f>
        <v>44652.6626</v>
      </c>
      <c r="C975" s="120">
        <f>IFERROR(__xludf.DUMMYFUNCTION("""COMPUTED_VALUE"""),44652.666666666664)</f>
        <v>44652.66667</v>
      </c>
      <c r="D975" s="5" t="str">
        <f>IFERROR(__xludf.DUMMYFUNCTION("""COMPUTED_VALUE"""),"37649")</f>
        <v>37649</v>
      </c>
      <c r="E975" s="5" t="str">
        <f>IFERROR(__xludf.DUMMYFUNCTION("""COMPUTED_VALUE"""),"Stock")</f>
        <v>Stock</v>
      </c>
      <c r="F975" s="5" t="str">
        <f>IFERROR(__xludf.DUMMYFUNCTION("""COMPUTED_VALUE"""),"HKD")</f>
        <v>HKD</v>
      </c>
      <c r="G975" s="30" t="str">
        <f>IFERROR(__xludf.DUMMYFUNCTION("""COMPUTED_VALUE"""),"Email Account/ TraderID Recognized")</f>
        <v>Email Account/ TraderID Recognized</v>
      </c>
      <c r="H975" s="121" t="str">
        <f>IFERROR(__xludf.DUMMYFUNCTION("""COMPUTED_VALUE"""),"9988.HK")</f>
        <v>9988.HK</v>
      </c>
      <c r="I975" s="30">
        <f>IFERROR(__xludf.DUMMYFUNCTION("""COMPUTED_VALUE"""),1500.0)</f>
        <v>1500</v>
      </c>
      <c r="J975" s="30"/>
      <c r="K975" s="30" t="str">
        <f>IFERROR(__xludf.DUMMYFUNCTION("""COMPUTED_VALUE"""),"QTY, Limit Price (if any) &amp; Password input correct")</f>
        <v>QTY, Limit Price (if any) &amp; Password input correct</v>
      </c>
      <c r="L975" s="30"/>
    </row>
    <row r="976">
      <c r="A976" s="5"/>
      <c r="B976" s="118">
        <f>IFERROR(__xludf.DUMMYFUNCTION("""COMPUTED_VALUE"""),44652.66573467593)</f>
        <v>44652.66573</v>
      </c>
      <c r="C976" s="120">
        <f>IFERROR(__xludf.DUMMYFUNCTION("""COMPUTED_VALUE"""),44652.666666666664)</f>
        <v>44652.66667</v>
      </c>
      <c r="D976" s="5" t="str">
        <f>IFERROR(__xludf.DUMMYFUNCTION("""COMPUTED_VALUE"""),"73341")</f>
        <v>73341</v>
      </c>
      <c r="E976" s="5" t="str">
        <f>IFERROR(__xludf.DUMMYFUNCTION("""COMPUTED_VALUE"""),"Option")</f>
        <v>Option</v>
      </c>
      <c r="F976" s="5" t="str">
        <f>IFERROR(__xludf.DUMMYFUNCTION("""COMPUTED_VALUE"""),"USD")</f>
        <v>USD</v>
      </c>
      <c r="G976" s="30" t="str">
        <f>IFERROR(__xludf.DUMMYFUNCTION("""COMPUTED_VALUE"""),"Email Account/ TraderID Recognized")</f>
        <v>Email Account/ TraderID Recognized</v>
      </c>
      <c r="H976" s="119" t="str">
        <f>IFERROR(__xludf.DUMMYFUNCTION("""COMPUTED_VALUE"""),"NDX220414C16500000")</f>
        <v>NDX220414C16500000</v>
      </c>
      <c r="I976" s="30">
        <f>IFERROR(__xludf.DUMMYFUNCTION("""COMPUTED_VALUE"""),1000.0)</f>
        <v>1000</v>
      </c>
      <c r="J976" s="30"/>
      <c r="K976" s="30" t="str">
        <f>IFERROR(__xludf.DUMMYFUNCTION("""COMPUTED_VALUE"""),"QTY, Limit Price (if any) &amp; Password input correct")</f>
        <v>QTY, Limit Price (if any) &amp; Password input correct</v>
      </c>
      <c r="L976" s="30"/>
    </row>
    <row r="977">
      <c r="A977" s="5"/>
      <c r="B977" s="118">
        <f>IFERROR(__xludf.DUMMYFUNCTION("""COMPUTED_VALUE"""),44652.674884884254)</f>
        <v>44652.67488</v>
      </c>
      <c r="C977" s="120">
        <f>IFERROR(__xludf.DUMMYFUNCTION("""COMPUTED_VALUE"""),44652.666666666664)</f>
        <v>44652.66667</v>
      </c>
      <c r="D977" s="5" t="str">
        <f>IFERROR(__xludf.DUMMYFUNCTION("""COMPUTED_VALUE"""),"46699")</f>
        <v>46699</v>
      </c>
      <c r="E977" s="5" t="str">
        <f>IFERROR(__xludf.DUMMYFUNCTION("""COMPUTED_VALUE"""),"Stock")</f>
        <v>Stock</v>
      </c>
      <c r="F977" s="5" t="str">
        <f>IFERROR(__xludf.DUMMYFUNCTION("""COMPUTED_VALUE"""),"USD")</f>
        <v>USD</v>
      </c>
      <c r="G977" s="30" t="str">
        <f>IFERROR(__xludf.DUMMYFUNCTION("""COMPUTED_VALUE"""),"Email Account/ TraderID Recognized")</f>
        <v>Email Account/ TraderID Recognized</v>
      </c>
      <c r="H977" s="119" t="str">
        <f>IFERROR(__xludf.DUMMYFUNCTION("""COMPUTED_VALUE"""),"AAPL")</f>
        <v>AAPL</v>
      </c>
      <c r="I977" s="30">
        <f>IFERROR(__xludf.DUMMYFUNCTION("""COMPUTED_VALUE"""),30.0)</f>
        <v>30</v>
      </c>
      <c r="J977" s="30"/>
      <c r="K977" s="30" t="str">
        <f>IFERROR(__xludf.DUMMYFUNCTION("""COMPUTED_VALUE"""),"Wrong Password Submitted, Order will be rejected")</f>
        <v>Wrong Password Submitted, Order will be rejected</v>
      </c>
      <c r="L977" s="30" t="str">
        <f>IFERROR(__xludf.DUMMYFUNCTION("""COMPUTED_VALUE"""),"Order rejected due to wrong password")</f>
        <v>Order rejected due to wrong password</v>
      </c>
    </row>
    <row r="978">
      <c r="A978" s="5"/>
      <c r="B978" s="118">
        <f>IFERROR(__xludf.DUMMYFUNCTION("""COMPUTED_VALUE"""),44652.67525878472)</f>
        <v>44652.67526</v>
      </c>
      <c r="C978" s="120">
        <f>IFERROR(__xludf.DUMMYFUNCTION("""COMPUTED_VALUE"""),44653.666666666664)</f>
        <v>44653.66667</v>
      </c>
      <c r="D978" s="5" t="str">
        <f>IFERROR(__xludf.DUMMYFUNCTION("""COMPUTED_VALUE"""),"38093")</f>
        <v>38093</v>
      </c>
      <c r="E978" s="5" t="str">
        <f>IFERROR(__xludf.DUMMYFUNCTION("""COMPUTED_VALUE"""),"Stock")</f>
        <v>Stock</v>
      </c>
      <c r="F978" s="5" t="str">
        <f>IFERROR(__xludf.DUMMYFUNCTION("""COMPUTED_VALUE"""),"HKD")</f>
        <v>HKD</v>
      </c>
      <c r="G978" s="30" t="str">
        <f>IFERROR(__xludf.DUMMYFUNCTION("""COMPUTED_VALUE"""),"Email Account/ TraderID Recognized")</f>
        <v>Email Account/ TraderID Recognized</v>
      </c>
      <c r="H978" s="121" t="str">
        <f>IFERROR(__xludf.DUMMYFUNCTION("""COMPUTED_VALUE"""),"2799.HK")</f>
        <v>2799.HK</v>
      </c>
      <c r="I978" s="30">
        <f>IFERROR(__xludf.DUMMYFUNCTION("""COMPUTED_VALUE"""),300.0)</f>
        <v>300</v>
      </c>
      <c r="J978" s="30"/>
      <c r="K978" s="30" t="str">
        <f>IFERROR(__xludf.DUMMYFUNCTION("""COMPUTED_VALUE"""),"QTY, Limit Price (if any) &amp; Password input correct")</f>
        <v>QTY, Limit Price (if any) &amp; Password input correct</v>
      </c>
      <c r="L978" s="30"/>
    </row>
    <row r="979">
      <c r="A979" s="5"/>
      <c r="B979" s="118">
        <f>IFERROR(__xludf.DUMMYFUNCTION("""COMPUTED_VALUE"""),44652.675954861115)</f>
        <v>44652.67595</v>
      </c>
      <c r="C979" s="120">
        <f>IFERROR(__xludf.DUMMYFUNCTION("""COMPUTED_VALUE"""),44653.666666666664)</f>
        <v>44653.66667</v>
      </c>
      <c r="D979" s="5" t="str">
        <f>IFERROR(__xludf.DUMMYFUNCTION("""COMPUTED_VALUE"""),"38093")</f>
        <v>38093</v>
      </c>
      <c r="E979" s="5" t="str">
        <f>IFERROR(__xludf.DUMMYFUNCTION("""COMPUTED_VALUE"""),"Stock")</f>
        <v>Stock</v>
      </c>
      <c r="F979" s="5" t="str">
        <f>IFERROR(__xludf.DUMMYFUNCTION("""COMPUTED_VALUE"""),"HKD")</f>
        <v>HKD</v>
      </c>
      <c r="G979" s="30" t="str">
        <f>IFERROR(__xludf.DUMMYFUNCTION("""COMPUTED_VALUE"""),"Email Account/ TraderID Recognized")</f>
        <v>Email Account/ TraderID Recognized</v>
      </c>
      <c r="H979" s="121" t="str">
        <f>IFERROR(__xludf.DUMMYFUNCTION("""COMPUTED_VALUE"""),"1919.HK")</f>
        <v>1919.HK</v>
      </c>
      <c r="I979" s="30">
        <f>IFERROR(__xludf.DUMMYFUNCTION("""COMPUTED_VALUE"""),150.0)</f>
        <v>150</v>
      </c>
      <c r="J979" s="30"/>
      <c r="K979" s="30" t="str">
        <f>IFERROR(__xludf.DUMMYFUNCTION("""COMPUTED_VALUE"""),"QTY, Limit Price (if any) &amp; Password input correct")</f>
        <v>QTY, Limit Price (if any) &amp; Password input correct</v>
      </c>
      <c r="L979" s="30"/>
    </row>
    <row r="980">
      <c r="A980" s="5"/>
      <c r="B980" s="118">
        <f>IFERROR(__xludf.DUMMYFUNCTION("""COMPUTED_VALUE"""),44652.676631608796)</f>
        <v>44652.67663</v>
      </c>
      <c r="C980" s="120">
        <f>IFERROR(__xludf.DUMMYFUNCTION("""COMPUTED_VALUE"""),44653.666666666664)</f>
        <v>44653.66667</v>
      </c>
      <c r="D980" s="5" t="str">
        <f>IFERROR(__xludf.DUMMYFUNCTION("""COMPUTED_VALUE"""),"38093")</f>
        <v>38093</v>
      </c>
      <c r="E980" s="5" t="str">
        <f>IFERROR(__xludf.DUMMYFUNCTION("""COMPUTED_VALUE"""),"Stock")</f>
        <v>Stock</v>
      </c>
      <c r="F980" s="5" t="str">
        <f>IFERROR(__xludf.DUMMYFUNCTION("""COMPUTED_VALUE"""),"HKD")</f>
        <v>HKD</v>
      </c>
      <c r="G980" s="30" t="str">
        <f>IFERROR(__xludf.DUMMYFUNCTION("""COMPUTED_VALUE"""),"Email Account/ TraderID Recognized")</f>
        <v>Email Account/ TraderID Recognized</v>
      </c>
      <c r="H980" s="121" t="str">
        <f>IFERROR(__xludf.DUMMYFUNCTION("""COMPUTED_VALUE"""),"0587.HK")</f>
        <v>0587.HK</v>
      </c>
      <c r="I980" s="30">
        <f>IFERROR(__xludf.DUMMYFUNCTION("""COMPUTED_VALUE"""),150.0)</f>
        <v>150</v>
      </c>
      <c r="J980" s="30"/>
      <c r="K980" s="30" t="str">
        <f>IFERROR(__xludf.DUMMYFUNCTION("""COMPUTED_VALUE"""),"QTY, Limit Price (if any) &amp; Password input correct")</f>
        <v>QTY, Limit Price (if any) &amp; Password input correct</v>
      </c>
      <c r="L980" s="30"/>
    </row>
    <row r="981">
      <c r="A981" s="5"/>
      <c r="B981" s="118">
        <f>IFERROR(__xludf.DUMMYFUNCTION("""COMPUTED_VALUE"""),44652.67914204861)</f>
        <v>44652.67914</v>
      </c>
      <c r="C981" s="120">
        <f>IFERROR(__xludf.DUMMYFUNCTION("""COMPUTED_VALUE"""),44653.645833333336)</f>
        <v>44653.64583</v>
      </c>
      <c r="D981" s="5" t="str">
        <f>IFERROR(__xludf.DUMMYFUNCTION("""COMPUTED_VALUE"""),"46699")</f>
        <v>46699</v>
      </c>
      <c r="E981" s="5" t="str">
        <f>IFERROR(__xludf.DUMMYFUNCTION("""COMPUTED_VALUE"""),"Stock")</f>
        <v>Stock</v>
      </c>
      <c r="F981" s="5" t="str">
        <f>IFERROR(__xludf.DUMMYFUNCTION("""COMPUTED_VALUE"""),"KRW")</f>
        <v>KRW</v>
      </c>
      <c r="G981" s="30" t="str">
        <f>IFERROR(__xludf.DUMMYFUNCTION("""COMPUTED_VALUE"""),"Email Account/ TraderID Recognized")</f>
        <v>Email Account/ TraderID Recognized</v>
      </c>
      <c r="H981" s="119" t="str">
        <f>IFERROR(__xludf.DUMMYFUNCTION("""COMPUTED_VALUE"""),"005930.KS")</f>
        <v>005930.KS</v>
      </c>
      <c r="I981" s="30">
        <f>IFERROR(__xludf.DUMMYFUNCTION("""COMPUTED_VALUE"""),30.0)</f>
        <v>30</v>
      </c>
      <c r="J981" s="30"/>
      <c r="K981" s="30" t="str">
        <f>IFERROR(__xludf.DUMMYFUNCTION("""COMPUTED_VALUE"""),"Wrong Password Submitted, Order will be rejected")</f>
        <v>Wrong Password Submitted, Order will be rejected</v>
      </c>
      <c r="L981" s="30" t="str">
        <f>IFERROR(__xludf.DUMMYFUNCTION("""COMPUTED_VALUE"""),"Order rejected due to wrong password")</f>
        <v>Order rejected due to wrong password</v>
      </c>
    </row>
    <row r="982">
      <c r="A982" s="5"/>
      <c r="B982" s="118">
        <f>IFERROR(__xludf.DUMMYFUNCTION("""COMPUTED_VALUE"""),44652.68103209491)</f>
        <v>44652.68103</v>
      </c>
      <c r="C982" s="120">
        <f>IFERROR(__xludf.DUMMYFUNCTION("""COMPUTED_VALUE"""),44652.666666666664)</f>
        <v>44652.66667</v>
      </c>
      <c r="D982" s="5" t="str">
        <f>IFERROR(__xludf.DUMMYFUNCTION("""COMPUTED_VALUE"""),"46699")</f>
        <v>46699</v>
      </c>
      <c r="E982" s="5" t="str">
        <f>IFERROR(__xludf.DUMMYFUNCTION("""COMPUTED_VALUE"""),"Stock")</f>
        <v>Stock</v>
      </c>
      <c r="F982" s="5" t="str">
        <f>IFERROR(__xludf.DUMMYFUNCTION("""COMPUTED_VALUE"""),"USD")</f>
        <v>USD</v>
      </c>
      <c r="G982" s="30" t="str">
        <f>IFERROR(__xludf.DUMMYFUNCTION("""COMPUTED_VALUE"""),"Email Account/ TraderID Recognized")</f>
        <v>Email Account/ TraderID Recognized</v>
      </c>
      <c r="H982" s="119" t="str">
        <f>IFERROR(__xludf.DUMMYFUNCTION("""COMPUTED_VALUE"""),"PATH")</f>
        <v>PATH</v>
      </c>
      <c r="I982" s="30">
        <f>IFERROR(__xludf.DUMMYFUNCTION("""COMPUTED_VALUE"""),30.0)</f>
        <v>30</v>
      </c>
      <c r="J982" s="30"/>
      <c r="K982" s="30" t="str">
        <f>IFERROR(__xludf.DUMMYFUNCTION("""COMPUTED_VALUE"""),"Wrong Password Submitted, Order will be rejected")</f>
        <v>Wrong Password Submitted, Order will be rejected</v>
      </c>
      <c r="L982" s="30" t="str">
        <f>IFERROR(__xludf.DUMMYFUNCTION("""COMPUTED_VALUE"""),"Order rejected due to wrong password")</f>
        <v>Order rejected due to wrong password</v>
      </c>
    </row>
    <row r="983">
      <c r="A983" s="5"/>
      <c r="B983" s="118">
        <f>IFERROR(__xludf.DUMMYFUNCTION("""COMPUTED_VALUE"""),44652.69185001157)</f>
        <v>44652.69185</v>
      </c>
      <c r="C983" s="120">
        <f>IFERROR(__xludf.DUMMYFUNCTION("""COMPUTED_VALUE"""),44652.666666666664)</f>
        <v>44652.66667</v>
      </c>
      <c r="D983" s="5" t="str">
        <f>IFERROR(__xludf.DUMMYFUNCTION("""COMPUTED_VALUE"""),"38105")</f>
        <v>38105</v>
      </c>
      <c r="E983" s="5" t="str">
        <f>IFERROR(__xludf.DUMMYFUNCTION("""COMPUTED_VALUE"""),"Stock")</f>
        <v>Stock</v>
      </c>
      <c r="F983" s="5" t="str">
        <f>IFERROR(__xludf.DUMMYFUNCTION("""COMPUTED_VALUE"""),"USD")</f>
        <v>USD</v>
      </c>
      <c r="G983" s="30" t="str">
        <f>IFERROR(__xludf.DUMMYFUNCTION("""COMPUTED_VALUE"""),"Email Account/ TraderID Recognized")</f>
        <v>Email Account/ TraderID Recognized</v>
      </c>
      <c r="H983" s="119" t="str">
        <f>IFERROR(__xludf.DUMMYFUNCTION("""COMPUTED_VALUE"""),"LMT")</f>
        <v>LMT</v>
      </c>
      <c r="I983" s="30">
        <f>IFERROR(__xludf.DUMMYFUNCTION("""COMPUTED_VALUE"""),200.0)</f>
        <v>200</v>
      </c>
      <c r="J983" s="30">
        <f>IFERROR(__xludf.DUMMYFUNCTION("""COMPUTED_VALUE"""),460.0)</f>
        <v>460</v>
      </c>
      <c r="K983" s="30" t="str">
        <f>IFERROR(__xludf.DUMMYFUNCTION("""COMPUTED_VALUE"""),"QTY, Limit Price (if any) &amp; Password input correct")</f>
        <v>QTY, Limit Price (if any) &amp; Password input correct</v>
      </c>
      <c r="L983" s="30"/>
    </row>
    <row r="984">
      <c r="A984" s="5"/>
      <c r="B984" s="118">
        <f>IFERROR(__xludf.DUMMYFUNCTION("""COMPUTED_VALUE"""),44652.72799745371)</f>
        <v>44652.728</v>
      </c>
      <c r="C984" s="120">
        <f>IFERROR(__xludf.DUMMYFUNCTION("""COMPUTED_VALUE"""),44653.625)</f>
        <v>44653.625</v>
      </c>
      <c r="D984" s="5" t="str">
        <f>IFERROR(__xludf.DUMMYFUNCTION("""COMPUTED_VALUE"""),"39302")</f>
        <v>39302</v>
      </c>
      <c r="E984" s="5" t="str">
        <f>IFERROR(__xludf.DUMMYFUNCTION("""COMPUTED_VALUE"""),"Stock")</f>
        <v>Stock</v>
      </c>
      <c r="F984" s="5" t="str">
        <f>IFERROR(__xludf.DUMMYFUNCTION("""COMPUTED_VALUE"""),"CNY")</f>
        <v>CNY</v>
      </c>
      <c r="G984" s="30" t="str">
        <f>IFERROR(__xludf.DUMMYFUNCTION("""COMPUTED_VALUE"""),"Email Account/ TraderID Recognized")</f>
        <v>Email Account/ TraderID Recognized</v>
      </c>
      <c r="H984" s="121" t="str">
        <f>IFERROR(__xludf.DUMMYFUNCTION("""COMPUTED_VALUE"""),"002307.SZ")</f>
        <v>002307.SZ</v>
      </c>
      <c r="I984" s="30">
        <f>IFERROR(__xludf.DUMMYFUNCTION("""COMPUTED_VALUE"""),4000.0)</f>
        <v>4000</v>
      </c>
      <c r="J984" s="30"/>
      <c r="K984" s="30" t="str">
        <f>IFERROR(__xludf.DUMMYFUNCTION("""COMPUTED_VALUE"""),"QTY, Limit Price (if any) &amp; Password input correct")</f>
        <v>QTY, Limit Price (if any) &amp; Password input correct</v>
      </c>
      <c r="L984" s="30"/>
    </row>
    <row r="985">
      <c r="A985" s="5"/>
      <c r="B985" s="118">
        <f>IFERROR(__xludf.DUMMYFUNCTION("""COMPUTED_VALUE"""),44652.78647261574)</f>
        <v>44652.78647</v>
      </c>
      <c r="C985" s="120">
        <f>IFERROR(__xludf.DUMMYFUNCTION("""COMPUTED_VALUE"""),44653.625)</f>
        <v>44653.625</v>
      </c>
      <c r="D985" s="5" t="str">
        <f>IFERROR(__xludf.DUMMYFUNCTION("""COMPUTED_VALUE"""),"75973")</f>
        <v>75973</v>
      </c>
      <c r="E985" s="5" t="str">
        <f>IFERROR(__xludf.DUMMYFUNCTION("""COMPUTED_VALUE"""),"Stock")</f>
        <v>Stock</v>
      </c>
      <c r="F985" s="5" t="str">
        <f>IFERROR(__xludf.DUMMYFUNCTION("""COMPUTED_VALUE"""),"CNY")</f>
        <v>CNY</v>
      </c>
      <c r="G985" s="30" t="str">
        <f>IFERROR(__xludf.DUMMYFUNCTION("""COMPUTED_VALUE"""),"Email Account/ TraderID Recognized")</f>
        <v>Email Account/ TraderID Recognized</v>
      </c>
      <c r="H985" s="121" t="str">
        <f>IFERROR(__xludf.DUMMYFUNCTION("""COMPUTED_VALUE"""),"600519.SS")</f>
        <v>600519.SS</v>
      </c>
      <c r="I985" s="30">
        <f>IFERROR(__xludf.DUMMYFUNCTION("""COMPUTED_VALUE"""),20.0)</f>
        <v>20</v>
      </c>
      <c r="J985" s="30"/>
      <c r="K985" s="30" t="str">
        <f>IFERROR(__xludf.DUMMYFUNCTION("""COMPUTED_VALUE"""),"QTY, Limit Price (if any) &amp; Password input correct")</f>
        <v>QTY, Limit Price (if any) &amp; Password input correct</v>
      </c>
      <c r="L985" s="30"/>
    </row>
    <row r="986">
      <c r="A986" s="5"/>
      <c r="B986" s="118">
        <f>IFERROR(__xludf.DUMMYFUNCTION("""COMPUTED_VALUE"""),44652.90645217593)</f>
        <v>44652.90645</v>
      </c>
      <c r="C986" s="120">
        <f>IFERROR(__xludf.DUMMYFUNCTION("""COMPUTED_VALUE"""),44653.666666666664)</f>
        <v>44653.66667</v>
      </c>
      <c r="D986" s="5" t="str">
        <f>IFERROR(__xludf.DUMMYFUNCTION("""COMPUTED_VALUE"""),"38758")</f>
        <v>38758</v>
      </c>
      <c r="E986" s="5" t="str">
        <f>IFERROR(__xludf.DUMMYFUNCTION("""COMPUTED_VALUE"""),"Time Deposit")</f>
        <v>Time Deposit</v>
      </c>
      <c r="F986" s="5" t="str">
        <f>IFERROR(__xludf.DUMMYFUNCTION("""COMPUTED_VALUE"""),"HKD")</f>
        <v>HKD</v>
      </c>
      <c r="G986" s="30" t="str">
        <f>IFERROR(__xludf.DUMMYFUNCTION("""COMPUTED_VALUE"""),"Email Account/ TraderID Recognized")</f>
        <v>Email Account/ TraderID Recognized</v>
      </c>
      <c r="H986" s="119" t="str">
        <f>IFERROR(__xludf.DUMMYFUNCTION("""COMPUTED_VALUE"""),"3M")</f>
        <v>3M</v>
      </c>
      <c r="I986" s="30">
        <f>IFERROR(__xludf.DUMMYFUNCTION("""COMPUTED_VALUE"""),20000.0)</f>
        <v>20000</v>
      </c>
      <c r="J986" s="30"/>
      <c r="K986" s="30" t="str">
        <f>IFERROR(__xludf.DUMMYFUNCTION("""COMPUTED_VALUE"""),"QTY, Limit Price (if any) &amp; Password input correct")</f>
        <v>QTY, Limit Price (if any) &amp; Password input correct</v>
      </c>
      <c r="L986" s="30"/>
    </row>
    <row r="987">
      <c r="A987" s="5"/>
      <c r="B987" s="118">
        <f>IFERROR(__xludf.DUMMYFUNCTION("""COMPUTED_VALUE"""),44652.971072581015)</f>
        <v>44652.97107</v>
      </c>
      <c r="C987" s="120">
        <f>IFERROR(__xludf.DUMMYFUNCTION("""COMPUTED_VALUE"""),44653.666666666664)</f>
        <v>44653.66667</v>
      </c>
      <c r="D987" s="5" t="str">
        <f>IFERROR(__xludf.DUMMYFUNCTION("""COMPUTED_VALUE"""),"95516")</f>
        <v>95516</v>
      </c>
      <c r="E987" s="5" t="str">
        <f>IFERROR(__xludf.DUMMYFUNCTION("""COMPUTED_VALUE"""),"Stock")</f>
        <v>Stock</v>
      </c>
      <c r="F987" s="5" t="str">
        <f>IFERROR(__xludf.DUMMYFUNCTION("""COMPUTED_VALUE"""),"HKD")</f>
        <v>HKD</v>
      </c>
      <c r="G987" s="30" t="str">
        <f>IFERROR(__xludf.DUMMYFUNCTION("""COMPUTED_VALUE"""),"Email Account/ TraderID Recognized")</f>
        <v>Email Account/ TraderID Recognized</v>
      </c>
      <c r="H987" s="121" t="str">
        <f>IFERROR(__xludf.DUMMYFUNCTION("""COMPUTED_VALUE"""),"9999.HK")</f>
        <v>9999.HK</v>
      </c>
      <c r="I987" s="30">
        <f>IFERROR(__xludf.DUMMYFUNCTION("""COMPUTED_VALUE"""),500.0)</f>
        <v>500</v>
      </c>
      <c r="J987" s="30"/>
      <c r="K987" s="30" t="str">
        <f>IFERROR(__xludf.DUMMYFUNCTION("""COMPUTED_VALUE"""),"QTY, Limit Price (if any) &amp; Password input correct")</f>
        <v>QTY, Limit Price (if any) &amp; Password input correct</v>
      </c>
      <c r="L987" s="30"/>
    </row>
    <row r="988">
      <c r="A988" s="5"/>
      <c r="B988" s="118">
        <f>IFERROR(__xludf.DUMMYFUNCTION("""COMPUTED_VALUE"""),44653.053758877315)</f>
        <v>44653.05376</v>
      </c>
      <c r="C988" s="120">
        <f>IFERROR(__xludf.DUMMYFUNCTION("""COMPUTED_VALUE"""),44652.666666666664)</f>
        <v>44652.66667</v>
      </c>
      <c r="D988" s="5" t="str">
        <f>IFERROR(__xludf.DUMMYFUNCTION("""COMPUTED_VALUE"""),"89750")</f>
        <v>89750</v>
      </c>
      <c r="E988" s="5" t="str">
        <f>IFERROR(__xludf.DUMMYFUNCTION("""COMPUTED_VALUE"""),"Option")</f>
        <v>Option</v>
      </c>
      <c r="F988" s="5" t="str">
        <f>IFERROR(__xludf.DUMMYFUNCTION("""COMPUTED_VALUE"""),"USD")</f>
        <v>USD</v>
      </c>
      <c r="G988" s="30" t="str">
        <f>IFERROR(__xludf.DUMMYFUNCTION("""COMPUTED_VALUE"""),"Email Account/ TraderID Recognized")</f>
        <v>Email Account/ TraderID Recognized</v>
      </c>
      <c r="H988" s="119" t="str">
        <f>IFERROR(__xludf.DUMMYFUNCTION("""COMPUTED_VALUE"""),"ASML220422P00680000")</f>
        <v>ASML220422P00680000</v>
      </c>
      <c r="I988" s="30">
        <f>IFERROR(__xludf.DUMMYFUNCTION("""COMPUTED_VALUE"""),5.0)</f>
        <v>5</v>
      </c>
      <c r="J988" s="30"/>
      <c r="K988" s="30" t="str">
        <f>IFERROR(__xludf.DUMMYFUNCTION("""COMPUTED_VALUE"""),"QTY, Limit Price (if any) &amp; Password input correct")</f>
        <v>QTY, Limit Price (if any) &amp; Password input correct</v>
      </c>
      <c r="L988" s="30"/>
    </row>
    <row r="989">
      <c r="A989" s="5"/>
      <c r="B989" s="118">
        <f>IFERROR(__xludf.DUMMYFUNCTION("""COMPUTED_VALUE"""),44653.061646180555)</f>
        <v>44653.06165</v>
      </c>
      <c r="C989" s="120">
        <f>IFERROR(__xludf.DUMMYFUNCTION("""COMPUTED_VALUE"""),44652.666666666664)</f>
        <v>44652.66667</v>
      </c>
      <c r="D989" s="5" t="str">
        <f>IFERROR(__xludf.DUMMYFUNCTION("""COMPUTED_VALUE"""),"46975")</f>
        <v>46975</v>
      </c>
      <c r="E989" s="5" t="str">
        <f>IFERROR(__xludf.DUMMYFUNCTION("""COMPUTED_VALUE"""),"Stock")</f>
        <v>Stock</v>
      </c>
      <c r="F989" s="5" t="str">
        <f>IFERROR(__xludf.DUMMYFUNCTION("""COMPUTED_VALUE"""),"USD")</f>
        <v>USD</v>
      </c>
      <c r="G989" s="30" t="str">
        <f>IFERROR(__xludf.DUMMYFUNCTION("""COMPUTED_VALUE"""),"Email Account/ TraderID Recognized")</f>
        <v>Email Account/ TraderID Recognized</v>
      </c>
      <c r="H989" s="119" t="str">
        <f>IFERROR(__xludf.DUMMYFUNCTION("""COMPUTED_VALUE"""),"AAPL")</f>
        <v>AAPL</v>
      </c>
      <c r="I989" s="30">
        <f>IFERROR(__xludf.DUMMYFUNCTION("""COMPUTED_VALUE"""),50.0)</f>
        <v>50</v>
      </c>
      <c r="J989" s="30">
        <f>IFERROR(__xludf.DUMMYFUNCTION("""COMPUTED_VALUE"""),174.07)</f>
        <v>174.07</v>
      </c>
      <c r="K989" s="30" t="str">
        <f>IFERROR(__xludf.DUMMYFUNCTION("""COMPUTED_VALUE"""),"QTY, Limit Price (if any) &amp; Password input correct")</f>
        <v>QTY, Limit Price (if any) &amp; Password input correct</v>
      </c>
      <c r="L989" s="30"/>
    </row>
    <row r="990">
      <c r="A990" s="5"/>
      <c r="B990" s="118">
        <f>IFERROR(__xludf.DUMMYFUNCTION("""COMPUTED_VALUE"""),44653.10174170139)</f>
        <v>44653.10174</v>
      </c>
      <c r="C990" s="120">
        <f>IFERROR(__xludf.DUMMYFUNCTION("""COMPUTED_VALUE"""),44652.666666666664)</f>
        <v>44652.66667</v>
      </c>
      <c r="D990" s="5" t="str">
        <f>IFERROR(__xludf.DUMMYFUNCTION("""COMPUTED_VALUE"""),"89750")</f>
        <v>89750</v>
      </c>
      <c r="E990" s="5" t="str">
        <f>IFERROR(__xludf.DUMMYFUNCTION("""COMPUTED_VALUE"""),"Option")</f>
        <v>Option</v>
      </c>
      <c r="F990" s="5" t="str">
        <f>IFERROR(__xludf.DUMMYFUNCTION("""COMPUTED_VALUE"""),"USD")</f>
        <v>USD</v>
      </c>
      <c r="G990" s="30" t="str">
        <f>IFERROR(__xludf.DUMMYFUNCTION("""COMPUTED_VALUE"""),"Email Account/ TraderID Recognized")</f>
        <v>Email Account/ TraderID Recognized</v>
      </c>
      <c r="H990" s="119" t="str">
        <f>IFERROR(__xludf.DUMMYFUNCTION("""COMPUTED_VALUE"""),"ARKF220414P00027500")</f>
        <v>ARKF220414P00027500</v>
      </c>
      <c r="I990" s="30">
        <f>IFERROR(__xludf.DUMMYFUNCTION("""COMPUTED_VALUE"""),400.0)</f>
        <v>400</v>
      </c>
      <c r="J990" s="30">
        <f>IFERROR(__xludf.DUMMYFUNCTION("""COMPUTED_VALUE"""),0.29)</f>
        <v>0.29</v>
      </c>
      <c r="K990" s="30" t="str">
        <f>IFERROR(__xludf.DUMMYFUNCTION("""COMPUTED_VALUE"""),"QTY, Limit Price (if any) &amp; Password input correct")</f>
        <v>QTY, Limit Price (if any) &amp; Password input correct</v>
      </c>
      <c r="L990" s="30"/>
    </row>
    <row r="991">
      <c r="A991" s="5"/>
      <c r="B991" s="118">
        <f>IFERROR(__xludf.DUMMYFUNCTION("""COMPUTED_VALUE"""),44653.13528134259)</f>
        <v>44653.13528</v>
      </c>
      <c r="C991" s="120">
        <f>IFERROR(__xludf.DUMMYFUNCTION("""COMPUTED_VALUE"""),44652.666666666664)</f>
        <v>44652.66667</v>
      </c>
      <c r="D991" s="5" t="str">
        <f>IFERROR(__xludf.DUMMYFUNCTION("""COMPUTED_VALUE"""),"75965")</f>
        <v>75965</v>
      </c>
      <c r="E991" s="5" t="str">
        <f>IFERROR(__xludf.DUMMYFUNCTION("""COMPUTED_VALUE"""),"Stock")</f>
        <v>Stock</v>
      </c>
      <c r="F991" s="5" t="str">
        <f>IFERROR(__xludf.DUMMYFUNCTION("""COMPUTED_VALUE"""),"USD")</f>
        <v>USD</v>
      </c>
      <c r="G991" s="30" t="str">
        <f>IFERROR(__xludf.DUMMYFUNCTION("""COMPUTED_VALUE"""),"Email Account/ TraderID Recognized")</f>
        <v>Email Account/ TraderID Recognized</v>
      </c>
      <c r="H991" s="119" t="str">
        <f>IFERROR(__xludf.DUMMYFUNCTION("""COMPUTED_VALUE"""),"AMC")</f>
        <v>AMC</v>
      </c>
      <c r="I991" s="30">
        <f>IFERROR(__xludf.DUMMYFUNCTION("""COMPUTED_VALUE"""),2000.0)</f>
        <v>2000</v>
      </c>
      <c r="J991" s="30"/>
      <c r="K991" s="30" t="str">
        <f>IFERROR(__xludf.DUMMYFUNCTION("""COMPUTED_VALUE"""),"QTY, Limit Price (if any) &amp; Password input correct")</f>
        <v>QTY, Limit Price (if any) &amp; Password input correct</v>
      </c>
      <c r="L991" s="30"/>
    </row>
    <row r="992">
      <c r="A992" s="5"/>
      <c r="B992" s="118">
        <f>IFERROR(__xludf.DUMMYFUNCTION("""COMPUTED_VALUE"""),44653.38136716435)</f>
        <v>44653.38137</v>
      </c>
      <c r="C992" s="120" t="str">
        <f>IFERROR(__xludf.DUMMYFUNCTION("""COMPUTED_VALUE"""),"")</f>
        <v/>
      </c>
      <c r="D992" s="5" t="str">
        <f>IFERROR(__xludf.DUMMYFUNCTION("""COMPUTED_VALUE"""),"36460")</f>
        <v>36460</v>
      </c>
      <c r="E992" s="5" t="str">
        <f>IFERROR(__xludf.DUMMYFUNCTION("""COMPUTED_VALUE"""),"Bond")</f>
        <v>Bond</v>
      </c>
      <c r="F992" s="5" t="str">
        <f>IFERROR(__xludf.DUMMYFUNCTION("""COMPUTED_VALUE"""),"error")</f>
        <v>error</v>
      </c>
      <c r="G992" s="30" t="str">
        <f>IFERROR(__xludf.DUMMYFUNCTION("""COMPUTED_VALUE"""),"Email Account/ TraderID Recognized")</f>
        <v>Email Account/ TraderID Recognized</v>
      </c>
      <c r="H992" s="119" t="str">
        <f>IFERROR(__xludf.DUMMYFUNCTION("""COMPUTED_VALUE"""),"SHIMAO 3.975% 16Sep2023 Corp")</f>
        <v>SHIMAO 3.975% 16Sep2023 Corp</v>
      </c>
      <c r="I992" s="30">
        <f>IFERROR(__xludf.DUMMYFUNCTION("""COMPUTED_VALUE"""),5.0)</f>
        <v>5</v>
      </c>
      <c r="J992" s="30"/>
      <c r="K992" s="30" t="str">
        <f>IFERROR(__xludf.DUMMYFUNCTION("""COMPUTED_VALUE"""),"QTY, Limit Price (if any) &amp; Password input correct")</f>
        <v>QTY, Limit Price (if any) &amp; Password input correct</v>
      </c>
      <c r="L992" s="30" t="str">
        <f>IFERROR(__xludf.DUMMYFUNCTION("""COMPUTED_VALUE"""),"Ticker code has to be ISIN code, can be found in Bondsupermart")</f>
        <v>Ticker code has to be ISIN code, can be found in Bondsupermart</v>
      </c>
    </row>
    <row r="993">
      <c r="A993" s="5"/>
      <c r="B993" s="118">
        <f>IFERROR(__xludf.DUMMYFUNCTION("""COMPUTED_VALUE"""),44653.67904834491)</f>
        <v>44653.67905</v>
      </c>
      <c r="C993" s="120">
        <f>IFERROR(__xludf.DUMMYFUNCTION("""COMPUTED_VALUE"""),44654.625)</f>
        <v>44654.625</v>
      </c>
      <c r="D993" s="5" t="str">
        <f>IFERROR(__xludf.DUMMYFUNCTION("""COMPUTED_VALUE"""),"36252")</f>
        <v>36252</v>
      </c>
      <c r="E993" s="5" t="str">
        <f>IFERROR(__xludf.DUMMYFUNCTION("""COMPUTED_VALUE"""),"Stock")</f>
        <v>Stock</v>
      </c>
      <c r="F993" s="5" t="str">
        <f>IFERROR(__xludf.DUMMYFUNCTION("""COMPUTED_VALUE"""),"CNY")</f>
        <v>CNY</v>
      </c>
      <c r="G993" s="30" t="str">
        <f>IFERROR(__xludf.DUMMYFUNCTION("""COMPUTED_VALUE"""),"Email Account/ TraderID Recognized")</f>
        <v>Email Account/ TraderID Recognized</v>
      </c>
      <c r="H993" s="121" t="str">
        <f>IFERROR(__xludf.DUMMYFUNCTION("""COMPUTED_VALUE"""),"603051.SS")</f>
        <v>603051.SS</v>
      </c>
      <c r="I993" s="30">
        <f>IFERROR(__xludf.DUMMYFUNCTION("""COMPUTED_VALUE"""),2000.0)</f>
        <v>2000</v>
      </c>
      <c r="J993" s="30"/>
      <c r="K993" s="30" t="str">
        <f>IFERROR(__xludf.DUMMYFUNCTION("""COMPUTED_VALUE"""),"QTY, Limit Price (if any) &amp; Password input correct")</f>
        <v>QTY, Limit Price (if any) &amp; Password input correct</v>
      </c>
      <c r="L993" s="30"/>
    </row>
    <row r="994">
      <c r="A994" s="5"/>
      <c r="B994" s="118">
        <f>IFERROR(__xludf.DUMMYFUNCTION("""COMPUTED_VALUE"""),44655.09736233796)</f>
        <v>44655.09736</v>
      </c>
      <c r="C994" s="120">
        <f>IFERROR(__xludf.DUMMYFUNCTION("""COMPUTED_VALUE"""),44654.666666666664)</f>
        <v>44654.66667</v>
      </c>
      <c r="D994" s="5" t="str">
        <f>IFERROR(__xludf.DUMMYFUNCTION("""COMPUTED_VALUE"""),"38302")</f>
        <v>38302</v>
      </c>
      <c r="E994" s="5" t="str">
        <f>IFERROR(__xludf.DUMMYFUNCTION("""COMPUTED_VALUE"""),"Stock")</f>
        <v>Stock</v>
      </c>
      <c r="F994" s="5" t="str">
        <f>IFERROR(__xludf.DUMMYFUNCTION("""COMPUTED_VALUE"""),"USD")</f>
        <v>USD</v>
      </c>
      <c r="G994" s="30" t="str">
        <f>IFERROR(__xludf.DUMMYFUNCTION("""COMPUTED_VALUE"""),"Email Account/ TraderID Recognized")</f>
        <v>Email Account/ TraderID Recognized</v>
      </c>
      <c r="H994" s="119" t="str">
        <f>IFERROR(__xludf.DUMMYFUNCTION("""COMPUTED_VALUE"""),"NEM")</f>
        <v>NEM</v>
      </c>
      <c r="I994" s="30">
        <f>IFERROR(__xludf.DUMMYFUNCTION("""COMPUTED_VALUE"""),1000.0)</f>
        <v>1000</v>
      </c>
      <c r="J994" s="30"/>
      <c r="K994" s="30" t="str">
        <f>IFERROR(__xludf.DUMMYFUNCTION("""COMPUTED_VALUE"""),"QTY, Limit Price (if any) &amp; Password input correct")</f>
        <v>QTY, Limit Price (if any) &amp; Password input correct</v>
      </c>
      <c r="L994" s="30"/>
    </row>
    <row r="995">
      <c r="A995" s="5"/>
      <c r="B995" s="118">
        <f>IFERROR(__xludf.DUMMYFUNCTION("""COMPUTED_VALUE"""),44655.100998124995)</f>
        <v>44655.101</v>
      </c>
      <c r="C995" s="120">
        <f>IFERROR(__xludf.DUMMYFUNCTION("""COMPUTED_VALUE"""),44654.666666666664)</f>
        <v>44654.66667</v>
      </c>
      <c r="D995" s="5" t="str">
        <f>IFERROR(__xludf.DUMMYFUNCTION("""COMPUTED_VALUE"""),"38302")</f>
        <v>38302</v>
      </c>
      <c r="E995" s="5" t="str">
        <f>IFERROR(__xludf.DUMMYFUNCTION("""COMPUTED_VALUE"""),"Stock")</f>
        <v>Stock</v>
      </c>
      <c r="F995" s="5" t="str">
        <f>IFERROR(__xludf.DUMMYFUNCTION("""COMPUTED_VALUE"""),"USD")</f>
        <v>USD</v>
      </c>
      <c r="G995" s="30" t="str">
        <f>IFERROR(__xludf.DUMMYFUNCTION("""COMPUTED_VALUE"""),"Email Account/ TraderID Recognized")</f>
        <v>Email Account/ TraderID Recognized</v>
      </c>
      <c r="H995" s="119" t="str">
        <f>IFERROR(__xludf.DUMMYFUNCTION("""COMPUTED_VALUE"""),"AU")</f>
        <v>AU</v>
      </c>
      <c r="I995" s="30">
        <f>IFERROR(__xludf.DUMMYFUNCTION("""COMPUTED_VALUE"""),1000.0)</f>
        <v>1000</v>
      </c>
      <c r="J995" s="30"/>
      <c r="K995" s="30" t="str">
        <f>IFERROR(__xludf.DUMMYFUNCTION("""COMPUTED_VALUE"""),"QTY, Limit Price (if any) &amp; Password input correct")</f>
        <v>QTY, Limit Price (if any) &amp; Password input correct</v>
      </c>
      <c r="L995" s="30"/>
    </row>
    <row r="996">
      <c r="A996" s="5"/>
      <c r="B996" s="118">
        <f>IFERROR(__xludf.DUMMYFUNCTION("""COMPUTED_VALUE"""),44655.522169351854)</f>
        <v>44655.52217</v>
      </c>
      <c r="C996" s="120">
        <f>IFERROR(__xludf.DUMMYFUNCTION("""COMPUTED_VALUE"""),44655.666666666664)</f>
        <v>44655.66667</v>
      </c>
      <c r="D996" s="5" t="str">
        <f>IFERROR(__xludf.DUMMYFUNCTION("""COMPUTED_VALUE"""),"75369")</f>
        <v>75369</v>
      </c>
      <c r="E996" s="5" t="str">
        <f>IFERROR(__xludf.DUMMYFUNCTION("""COMPUTED_VALUE"""),"Stock")</f>
        <v>Stock</v>
      </c>
      <c r="F996" s="5" t="str">
        <f>IFERROR(__xludf.DUMMYFUNCTION("""COMPUTED_VALUE"""),"HKD")</f>
        <v>HKD</v>
      </c>
      <c r="G996" s="30" t="str">
        <f>IFERROR(__xludf.DUMMYFUNCTION("""COMPUTED_VALUE"""),"Email Account/ TraderID Recognized")</f>
        <v>Email Account/ TraderID Recognized</v>
      </c>
      <c r="H996" s="121" t="str">
        <f>IFERROR(__xludf.DUMMYFUNCTION("""COMPUTED_VALUE"""),"9999.hk")</f>
        <v>9999.hk</v>
      </c>
      <c r="I996" s="30">
        <f>IFERROR(__xludf.DUMMYFUNCTION("""COMPUTED_VALUE"""),500.0)</f>
        <v>500</v>
      </c>
      <c r="J996" s="30"/>
      <c r="K996" s="30" t="str">
        <f>IFERROR(__xludf.DUMMYFUNCTION("""COMPUTED_VALUE"""),"QTY, Limit Price (if any) &amp; Password input correct")</f>
        <v>QTY, Limit Price (if any) &amp; Password input correct</v>
      </c>
      <c r="L996" s="30"/>
    </row>
    <row r="997">
      <c r="A997" s="5"/>
      <c r="B997" s="118">
        <f>IFERROR(__xludf.DUMMYFUNCTION("""COMPUTED_VALUE"""),44655.52448155092)</f>
        <v>44655.52448</v>
      </c>
      <c r="C997" s="120">
        <f>IFERROR(__xludf.DUMMYFUNCTION("""COMPUTED_VALUE"""),44655.666666666664)</f>
        <v>44655.66667</v>
      </c>
      <c r="D997" s="5" t="str">
        <f>IFERROR(__xludf.DUMMYFUNCTION("""COMPUTED_VALUE"""),"75369")</f>
        <v>75369</v>
      </c>
      <c r="E997" s="5" t="str">
        <f>IFERROR(__xludf.DUMMYFUNCTION("""COMPUTED_VALUE"""),"Stock")</f>
        <v>Stock</v>
      </c>
      <c r="F997" s="5" t="str">
        <f>IFERROR(__xludf.DUMMYFUNCTION("""COMPUTED_VALUE"""),"USD")</f>
        <v>USD</v>
      </c>
      <c r="G997" s="30" t="str">
        <f>IFERROR(__xludf.DUMMYFUNCTION("""COMPUTED_VALUE"""),"Email Account/ TraderID Recognized")</f>
        <v>Email Account/ TraderID Recognized</v>
      </c>
      <c r="H997" s="119" t="str">
        <f>IFERROR(__xludf.DUMMYFUNCTION("""COMPUTED_VALUE"""),"LMT")</f>
        <v>LMT</v>
      </c>
      <c r="I997" s="30">
        <f>IFERROR(__xludf.DUMMYFUNCTION("""COMPUTED_VALUE"""),200.0)</f>
        <v>200</v>
      </c>
      <c r="J997" s="30"/>
      <c r="K997" s="30" t="str">
        <f>IFERROR(__xludf.DUMMYFUNCTION("""COMPUTED_VALUE"""),"QTY, Limit Price (if any) &amp; Password input correct")</f>
        <v>QTY, Limit Price (if any) &amp; Password input correct</v>
      </c>
      <c r="L997" s="30"/>
    </row>
    <row r="998">
      <c r="A998" s="5"/>
      <c r="B998" s="118">
        <f>IFERROR(__xludf.DUMMYFUNCTION("""COMPUTED_VALUE"""),44655.5368422801)</f>
        <v>44655.53684</v>
      </c>
      <c r="C998" s="120">
        <f>IFERROR(__xludf.DUMMYFUNCTION("""COMPUTED_VALUE"""),44655.666666666664)</f>
        <v>44655.66667</v>
      </c>
      <c r="D998" s="5" t="str">
        <f>IFERROR(__xludf.DUMMYFUNCTION("""COMPUTED_VALUE"""),"38093")</f>
        <v>38093</v>
      </c>
      <c r="E998" s="5" t="str">
        <f>IFERROR(__xludf.DUMMYFUNCTION("""COMPUTED_VALUE"""),"Stock")</f>
        <v>Stock</v>
      </c>
      <c r="F998" s="5" t="str">
        <f>IFERROR(__xludf.DUMMYFUNCTION("""COMPUTED_VALUE"""),"HKD")</f>
        <v>HKD</v>
      </c>
      <c r="G998" s="30" t="str">
        <f>IFERROR(__xludf.DUMMYFUNCTION("""COMPUTED_VALUE"""),"Email Account/ TraderID Recognized")</f>
        <v>Email Account/ TraderID Recognized</v>
      </c>
      <c r="H998" s="121" t="str">
        <f>IFERROR(__xludf.DUMMYFUNCTION("""COMPUTED_VALUE"""),"0817.HK")</f>
        <v>0817.HK</v>
      </c>
      <c r="I998" s="30">
        <f>IFERROR(__xludf.DUMMYFUNCTION("""COMPUTED_VALUE"""),200.0)</f>
        <v>200</v>
      </c>
      <c r="J998" s="30"/>
      <c r="K998" s="30" t="str">
        <f>IFERROR(__xludf.DUMMYFUNCTION("""COMPUTED_VALUE"""),"QTY, Limit Price (if any) &amp; Password input correct")</f>
        <v>QTY, Limit Price (if any) &amp; Password input correct</v>
      </c>
      <c r="L998" s="30"/>
    </row>
    <row r="999">
      <c r="A999" s="5"/>
      <c r="B999" s="118">
        <f>IFERROR(__xludf.DUMMYFUNCTION("""COMPUTED_VALUE"""),44655.53731777778)</f>
        <v>44655.53732</v>
      </c>
      <c r="C999" s="120">
        <f>IFERROR(__xludf.DUMMYFUNCTION("""COMPUTED_VALUE"""),44655.666666666664)</f>
        <v>44655.66667</v>
      </c>
      <c r="D999" s="5" t="str">
        <f>IFERROR(__xludf.DUMMYFUNCTION("""COMPUTED_VALUE"""),"38093")</f>
        <v>38093</v>
      </c>
      <c r="E999" s="5" t="str">
        <f>IFERROR(__xludf.DUMMYFUNCTION("""COMPUTED_VALUE"""),"Stock")</f>
        <v>Stock</v>
      </c>
      <c r="F999" s="5" t="str">
        <f>IFERROR(__xludf.DUMMYFUNCTION("""COMPUTED_VALUE"""),"HKD")</f>
        <v>HKD</v>
      </c>
      <c r="G999" s="30" t="str">
        <f>IFERROR(__xludf.DUMMYFUNCTION("""COMPUTED_VALUE"""),"Email Account/ TraderID Recognized")</f>
        <v>Email Account/ TraderID Recognized</v>
      </c>
      <c r="H999" s="121" t="str">
        <f>IFERROR(__xludf.DUMMYFUNCTION("""COMPUTED_VALUE"""),"1638.HK")</f>
        <v>1638.HK</v>
      </c>
      <c r="I999" s="30">
        <f>IFERROR(__xludf.DUMMYFUNCTION("""COMPUTED_VALUE"""),500.0)</f>
        <v>500</v>
      </c>
      <c r="J999" s="30"/>
      <c r="K999" s="30" t="str">
        <f>IFERROR(__xludf.DUMMYFUNCTION("""COMPUTED_VALUE"""),"QTY, Limit Price (if any) &amp; Password input correct")</f>
        <v>QTY, Limit Price (if any) &amp; Password input correct</v>
      </c>
      <c r="L999" s="30"/>
    </row>
    <row r="1000">
      <c r="A1000" s="5"/>
      <c r="B1000" s="118">
        <f>IFERROR(__xludf.DUMMYFUNCTION("""COMPUTED_VALUE"""),44655.53786596065)</f>
        <v>44655.53787</v>
      </c>
      <c r="C1000" s="120">
        <f>IFERROR(__xludf.DUMMYFUNCTION("""COMPUTED_VALUE"""),44655.666666666664)</f>
        <v>44655.66667</v>
      </c>
      <c r="D1000" s="5" t="str">
        <f>IFERROR(__xludf.DUMMYFUNCTION("""COMPUTED_VALUE"""),"38093")</f>
        <v>38093</v>
      </c>
      <c r="E1000" s="5" t="str">
        <f>IFERROR(__xludf.DUMMYFUNCTION("""COMPUTED_VALUE"""),"Stock")</f>
        <v>Stock</v>
      </c>
      <c r="F1000" s="5" t="str">
        <f>IFERROR(__xludf.DUMMYFUNCTION("""COMPUTED_VALUE"""),"HKD")</f>
        <v>HKD</v>
      </c>
      <c r="G1000" s="30" t="str">
        <f>IFERROR(__xludf.DUMMYFUNCTION("""COMPUTED_VALUE"""),"Email Account/ TraderID Recognized")</f>
        <v>Email Account/ TraderID Recognized</v>
      </c>
      <c r="H1000" s="121" t="str">
        <f>IFERROR(__xludf.DUMMYFUNCTION("""COMPUTED_VALUE"""),"3380.HK")</f>
        <v>3380.HK</v>
      </c>
      <c r="I1000" s="30">
        <f>IFERROR(__xludf.DUMMYFUNCTION("""COMPUTED_VALUE"""),300.0)</f>
        <v>300</v>
      </c>
      <c r="J1000" s="30"/>
      <c r="K1000" s="30" t="str">
        <f>IFERROR(__xludf.DUMMYFUNCTION("""COMPUTED_VALUE"""),"QTY, Limit Price (if any) &amp; Password input correct")</f>
        <v>QTY, Limit Price (if any) &amp; Password input correct</v>
      </c>
      <c r="L1000" s="30"/>
    </row>
    <row r="1001">
      <c r="A1001" s="5"/>
      <c r="B1001" s="118">
        <f>IFERROR(__xludf.DUMMYFUNCTION("""COMPUTED_VALUE"""),44655.54854445602)</f>
        <v>44655.54854</v>
      </c>
      <c r="C1001" s="120">
        <f>IFERROR(__xludf.DUMMYFUNCTION("""COMPUTED_VALUE"""),44655.666666666664)</f>
        <v>44655.66667</v>
      </c>
      <c r="D1001" s="5" t="str">
        <f>IFERROR(__xludf.DUMMYFUNCTION("""COMPUTED_VALUE"""),"38093")</f>
        <v>38093</v>
      </c>
      <c r="E1001" s="5" t="str">
        <f>IFERROR(__xludf.DUMMYFUNCTION("""COMPUTED_VALUE"""),"Stock")</f>
        <v>Stock</v>
      </c>
      <c r="F1001" s="5" t="str">
        <f>IFERROR(__xludf.DUMMYFUNCTION("""COMPUTED_VALUE"""),"USD")</f>
        <v>USD</v>
      </c>
      <c r="G1001" s="30" t="str">
        <f>IFERROR(__xludf.DUMMYFUNCTION("""COMPUTED_VALUE"""),"Email Account/ TraderID Recognized")</f>
        <v>Email Account/ TraderID Recognized</v>
      </c>
      <c r="H1001" s="119" t="str">
        <f>IFERROR(__xludf.DUMMYFUNCTION("""COMPUTED_VALUE"""),"NKE")</f>
        <v>NKE</v>
      </c>
      <c r="I1001" s="30">
        <f>IFERROR(__xludf.DUMMYFUNCTION("""COMPUTED_VALUE"""),100.0)</f>
        <v>100</v>
      </c>
      <c r="J1001" s="30"/>
      <c r="K1001" s="30" t="str">
        <f>IFERROR(__xludf.DUMMYFUNCTION("""COMPUTED_VALUE"""),"QTY, Limit Price (if any) &amp; Password input correct")</f>
        <v>QTY, Limit Price (if any) &amp; Password input correct</v>
      </c>
      <c r="L1001" s="30"/>
    </row>
    <row r="1002">
      <c r="A1002" s="5"/>
      <c r="B1002" s="118">
        <f>IFERROR(__xludf.DUMMYFUNCTION("""COMPUTED_VALUE"""),44655.59634657408)</f>
        <v>44655.59635</v>
      </c>
      <c r="C1002" s="120">
        <f>IFERROR(__xludf.DUMMYFUNCTION("""COMPUTED_VALUE"""),44655.625)</f>
        <v>44655.625</v>
      </c>
      <c r="D1002" s="5" t="str">
        <f>IFERROR(__xludf.DUMMYFUNCTION("""COMPUTED_VALUE"""),"38307")</f>
        <v>38307</v>
      </c>
      <c r="E1002" s="5" t="str">
        <f>IFERROR(__xludf.DUMMYFUNCTION("""COMPUTED_VALUE"""),"Stock")</f>
        <v>Stock</v>
      </c>
      <c r="F1002" s="5" t="str">
        <f>IFERROR(__xludf.DUMMYFUNCTION("""COMPUTED_VALUE"""),"CNY")</f>
        <v>CNY</v>
      </c>
      <c r="G1002" s="30" t="str">
        <f>IFERROR(__xludf.DUMMYFUNCTION("""COMPUTED_VALUE"""),"Email Account/ TraderID Recognized")</f>
        <v>Email Account/ TraderID Recognized</v>
      </c>
      <c r="H1002" s="121" t="str">
        <f>IFERROR(__xludf.DUMMYFUNCTION("""COMPUTED_VALUE"""),"603392.SS")</f>
        <v>603392.SS</v>
      </c>
      <c r="I1002" s="30">
        <f>IFERROR(__xludf.DUMMYFUNCTION("""COMPUTED_VALUE"""),400.0)</f>
        <v>400</v>
      </c>
      <c r="J1002" s="30"/>
      <c r="K1002" s="30" t="str">
        <f>IFERROR(__xludf.DUMMYFUNCTION("""COMPUTED_VALUE"""),"QTY, Limit Price (if any) &amp; Password input correct")</f>
        <v>QTY, Limit Price (if any) &amp; Password input correct</v>
      </c>
      <c r="L1002" s="30"/>
    </row>
    <row r="1003">
      <c r="A1003" s="5"/>
      <c r="B1003" s="118">
        <f>IFERROR(__xludf.DUMMYFUNCTION("""COMPUTED_VALUE"""),44655.597205972226)</f>
        <v>44655.59721</v>
      </c>
      <c r="C1003" s="120">
        <f>IFERROR(__xludf.DUMMYFUNCTION("""COMPUTED_VALUE"""),44655.666666666664)</f>
        <v>44655.66667</v>
      </c>
      <c r="D1003" s="5" t="str">
        <f>IFERROR(__xludf.DUMMYFUNCTION("""COMPUTED_VALUE"""),"70236")</f>
        <v>70236</v>
      </c>
      <c r="E1003" s="5" t="str">
        <f>IFERROR(__xludf.DUMMYFUNCTION("""COMPUTED_VALUE"""),"Stock")</f>
        <v>Stock</v>
      </c>
      <c r="F1003" s="5" t="str">
        <f>IFERROR(__xludf.DUMMYFUNCTION("""COMPUTED_VALUE"""),"HKD")</f>
        <v>HKD</v>
      </c>
      <c r="G1003" s="30" t="str">
        <f>IFERROR(__xludf.DUMMYFUNCTION("""COMPUTED_VALUE"""),"Email Account/ TraderID Recognized")</f>
        <v>Email Account/ TraderID Recognized</v>
      </c>
      <c r="H1003" s="121" t="str">
        <f>IFERROR(__xludf.DUMMYFUNCTION("""COMPUTED_VALUE"""),"2333.HK")</f>
        <v>2333.HK</v>
      </c>
      <c r="I1003" s="30">
        <f>IFERROR(__xludf.DUMMYFUNCTION("""COMPUTED_VALUE"""),100.0)</f>
        <v>100</v>
      </c>
      <c r="J1003" s="30">
        <f>IFERROR(__xludf.DUMMYFUNCTION("""COMPUTED_VALUE"""),12.54)</f>
        <v>12.54</v>
      </c>
      <c r="K1003" s="30" t="str">
        <f>IFERROR(__xludf.DUMMYFUNCTION("""COMPUTED_VALUE"""),"QTY, Limit Price (if any) &amp; Password input correct")</f>
        <v>QTY, Limit Price (if any) &amp; Password input correct</v>
      </c>
      <c r="L1003" s="30"/>
    </row>
    <row r="1004">
      <c r="A1004" s="5"/>
      <c r="B1004" s="118">
        <f>IFERROR(__xludf.DUMMYFUNCTION("""COMPUTED_VALUE"""),44655.61801951389)</f>
        <v>44655.61802</v>
      </c>
      <c r="C1004" s="120">
        <f>IFERROR(__xludf.DUMMYFUNCTION("""COMPUTED_VALUE"""),44655.625)</f>
        <v>44655.625</v>
      </c>
      <c r="D1004" s="5" t="str">
        <f>IFERROR(__xludf.DUMMYFUNCTION("""COMPUTED_VALUE"""),"38307")</f>
        <v>38307</v>
      </c>
      <c r="E1004" s="5" t="str">
        <f>IFERROR(__xludf.DUMMYFUNCTION("""COMPUTED_VALUE"""),"Stock")</f>
        <v>Stock</v>
      </c>
      <c r="F1004" s="5" t="str">
        <f>IFERROR(__xludf.DUMMYFUNCTION("""COMPUTED_VALUE"""),"CNY")</f>
        <v>CNY</v>
      </c>
      <c r="G1004" s="30" t="str">
        <f>IFERROR(__xludf.DUMMYFUNCTION("""COMPUTED_VALUE"""),"Email Account/ TraderID Recognized")</f>
        <v>Email Account/ TraderID Recognized</v>
      </c>
      <c r="H1004" s="121" t="str">
        <f>IFERROR(__xludf.DUMMYFUNCTION("""COMPUTED_VALUE"""),"600511.SS")</f>
        <v>600511.SS</v>
      </c>
      <c r="I1004" s="30">
        <f>IFERROR(__xludf.DUMMYFUNCTION("""COMPUTED_VALUE"""),600.0)</f>
        <v>600</v>
      </c>
      <c r="J1004" s="30"/>
      <c r="K1004" s="30" t="str">
        <f>IFERROR(__xludf.DUMMYFUNCTION("""COMPUTED_VALUE"""),"QTY, Limit Price (if any) &amp; Password input correct")</f>
        <v>QTY, Limit Price (if any) &amp; Password input correct</v>
      </c>
      <c r="L1004" s="30"/>
    </row>
    <row r="1005">
      <c r="A1005" s="5"/>
      <c r="B1005" s="118">
        <f>IFERROR(__xludf.DUMMYFUNCTION("""COMPUTED_VALUE"""),44655.62079310185)</f>
        <v>44655.62079</v>
      </c>
      <c r="C1005" s="120" t="str">
        <f>IFERROR(__xludf.DUMMYFUNCTION("""COMPUTED_VALUE"""),"")</f>
        <v/>
      </c>
      <c r="D1005" s="5" t="str">
        <f>IFERROR(__xludf.DUMMYFUNCTION("""COMPUTED_VALUE"""),"38307")</f>
        <v>38307</v>
      </c>
      <c r="E1005" s="5" t="str">
        <f>IFERROR(__xludf.DUMMYFUNCTION("""COMPUTED_VALUE"""),"Stock")</f>
        <v>Stock</v>
      </c>
      <c r="F1005" s="5" t="str">
        <f>IFERROR(__xludf.DUMMYFUNCTION("""COMPUTED_VALUE"""),"error")</f>
        <v>error</v>
      </c>
      <c r="G1005" s="30" t="str">
        <f>IFERROR(__xludf.DUMMYFUNCTION("""COMPUTED_VALUE"""),"Email Account/ TraderID Recognized")</f>
        <v>Email Account/ TraderID Recognized</v>
      </c>
      <c r="H1005" s="119" t="str">
        <f>IFERROR(__xludf.DUMMYFUNCTION("""COMPUTED_VALUE"""),"HK1211")</f>
        <v>HK1211</v>
      </c>
      <c r="I1005" s="30">
        <f>IFERROR(__xludf.DUMMYFUNCTION("""COMPUTED_VALUE"""),200.0)</f>
        <v>200</v>
      </c>
      <c r="J1005" s="30"/>
      <c r="K1005" s="30" t="str">
        <f>IFERROR(__xludf.DUMMYFUNCTION("""COMPUTED_VALUE"""),"QTY, Limit Price (if any) &amp; Password input correct")</f>
        <v>QTY, Limit Price (if any) &amp; Password input correct</v>
      </c>
      <c r="L1005" s="30"/>
    </row>
    <row r="1006">
      <c r="A1006" s="5"/>
      <c r="B1006" s="118">
        <f>IFERROR(__xludf.DUMMYFUNCTION("""COMPUTED_VALUE"""),44655.63757259259)</f>
        <v>44655.63757</v>
      </c>
      <c r="C1006" s="120">
        <f>IFERROR(__xludf.DUMMYFUNCTION("""COMPUTED_VALUE"""),44655.666666666664)</f>
        <v>44655.66667</v>
      </c>
      <c r="D1006" s="5" t="str">
        <f>IFERROR(__xludf.DUMMYFUNCTION("""COMPUTED_VALUE"""),"70628")</f>
        <v>70628</v>
      </c>
      <c r="E1006" s="5" t="str">
        <f>IFERROR(__xludf.DUMMYFUNCTION("""COMPUTED_VALUE"""),"Stock")</f>
        <v>Stock</v>
      </c>
      <c r="F1006" s="5" t="str">
        <f>IFERROR(__xludf.DUMMYFUNCTION("""COMPUTED_VALUE"""),"HKD")</f>
        <v>HKD</v>
      </c>
      <c r="G1006" s="30" t="str">
        <f>IFERROR(__xludf.DUMMYFUNCTION("""COMPUTED_VALUE"""),"Email Account/ TraderID Recognized")</f>
        <v>Email Account/ TraderID Recognized</v>
      </c>
      <c r="H1006" s="121" t="str">
        <f>IFERROR(__xludf.DUMMYFUNCTION("""COMPUTED_VALUE"""),"1610.HK")</f>
        <v>1610.HK</v>
      </c>
      <c r="I1006" s="30">
        <f>IFERROR(__xludf.DUMMYFUNCTION("""COMPUTED_VALUE"""),26000.0)</f>
        <v>26000</v>
      </c>
      <c r="J1006" s="30">
        <f>IFERROR(__xludf.DUMMYFUNCTION("""COMPUTED_VALUE"""),3.8)</f>
        <v>3.8</v>
      </c>
      <c r="K1006" s="30" t="str">
        <f>IFERROR(__xludf.DUMMYFUNCTION("""COMPUTED_VALUE"""),"QTY, Limit Price (if any) &amp; Password input correct")</f>
        <v>QTY, Limit Price (if any) &amp; Password input correct</v>
      </c>
      <c r="L1006" s="30"/>
    </row>
    <row r="1007">
      <c r="A1007" s="5"/>
      <c r="B1007" s="118">
        <f>IFERROR(__xludf.DUMMYFUNCTION("""COMPUTED_VALUE"""),44655.65996931713)</f>
        <v>44655.65997</v>
      </c>
      <c r="C1007" s="120">
        <f>IFERROR(__xludf.DUMMYFUNCTION("""COMPUTED_VALUE"""),44655.666666666664)</f>
        <v>44655.66667</v>
      </c>
      <c r="D1007" s="5" t="str">
        <f>IFERROR(__xludf.DUMMYFUNCTION("""COMPUTED_VALUE"""),"39857")</f>
        <v>39857</v>
      </c>
      <c r="E1007" s="5" t="str">
        <f>IFERROR(__xludf.DUMMYFUNCTION("""COMPUTED_VALUE"""),"Stock")</f>
        <v>Stock</v>
      </c>
      <c r="F1007" s="5" t="str">
        <f>IFERROR(__xludf.DUMMYFUNCTION("""COMPUTED_VALUE"""),"HKD")</f>
        <v>HKD</v>
      </c>
      <c r="G1007" s="30" t="str">
        <f>IFERROR(__xludf.DUMMYFUNCTION("""COMPUTED_VALUE"""),"Email Account/ TraderID Recognized")</f>
        <v>Email Account/ TraderID Recognized</v>
      </c>
      <c r="H1007" s="121" t="str">
        <f>IFERROR(__xludf.DUMMYFUNCTION("""COMPUTED_VALUE"""),"9939.HK")</f>
        <v>9939.HK</v>
      </c>
      <c r="I1007" s="30">
        <f>IFERROR(__xludf.DUMMYFUNCTION("""COMPUTED_VALUE"""),20000.0)</f>
        <v>20000</v>
      </c>
      <c r="J1007" s="30"/>
      <c r="K1007" s="30" t="str">
        <f>IFERROR(__xludf.DUMMYFUNCTION("""COMPUTED_VALUE"""),"QTY, Limit Price (if any) &amp; Password input correct")</f>
        <v>QTY, Limit Price (if any) &amp; Password input correct</v>
      </c>
      <c r="L1007" s="30"/>
    </row>
    <row r="1008">
      <c r="A1008" s="5"/>
      <c r="B1008" s="118">
        <f>IFERROR(__xludf.DUMMYFUNCTION("""COMPUTED_VALUE"""),44655.66103621528)</f>
        <v>44655.66104</v>
      </c>
      <c r="C1008" s="120" t="str">
        <f>IFERROR(__xludf.DUMMYFUNCTION("""COMPUTED_VALUE"""),"")</f>
        <v/>
      </c>
      <c r="D1008" s="5" t="str">
        <f>IFERROR(__xludf.DUMMYFUNCTION("""COMPUTED_VALUE"""),"39857")</f>
        <v>39857</v>
      </c>
      <c r="E1008" s="5" t="str">
        <f>IFERROR(__xludf.DUMMYFUNCTION("""COMPUTED_VALUE"""),"Stock")</f>
        <v>Stock</v>
      </c>
      <c r="F1008" s="5" t="str">
        <f>IFERROR(__xludf.DUMMYFUNCTION("""COMPUTED_VALUE"""),"error")</f>
        <v>error</v>
      </c>
      <c r="G1008" s="30" t="str">
        <f>IFERROR(__xludf.DUMMYFUNCTION("""COMPUTED_VALUE"""),"Email Account/ TraderID Recognized")</f>
        <v>Email Account/ TraderID Recognized</v>
      </c>
      <c r="H1008" s="121" t="str">
        <f>IFERROR(__xludf.DUMMYFUNCTION("""COMPUTED_VALUE"""),"9939.HK")</f>
        <v>9939.HK</v>
      </c>
      <c r="I1008" s="30">
        <f>IFERROR(__xludf.DUMMYFUNCTION("""COMPUTED_VALUE"""),10000.0)</f>
        <v>10000</v>
      </c>
      <c r="J1008" s="30"/>
      <c r="K1008" s="30" t="str">
        <f>IFERROR(__xludf.DUMMYFUNCTION("""COMPUTED_VALUE"""),"Wrong Password Submitted, Order will be rejected")</f>
        <v>Wrong Password Submitted, Order will be rejected</v>
      </c>
      <c r="L1008" s="30"/>
    </row>
    <row r="1009">
      <c r="A1009" s="5"/>
      <c r="B1009" s="118">
        <f>IFERROR(__xludf.DUMMYFUNCTION("""COMPUTED_VALUE"""),44655.663537789354)</f>
        <v>44655.66354</v>
      </c>
      <c r="C1009" s="120">
        <f>IFERROR(__xludf.DUMMYFUNCTION("""COMPUTED_VALUE"""),44655.666666666664)</f>
        <v>44655.66667</v>
      </c>
      <c r="D1009" s="5" t="str">
        <f>IFERROR(__xludf.DUMMYFUNCTION("""COMPUTED_VALUE"""),"39704")</f>
        <v>39704</v>
      </c>
      <c r="E1009" s="5" t="str">
        <f>IFERROR(__xludf.DUMMYFUNCTION("""COMPUTED_VALUE"""),"Stock")</f>
        <v>Stock</v>
      </c>
      <c r="F1009" s="5" t="str">
        <f>IFERROR(__xludf.DUMMYFUNCTION("""COMPUTED_VALUE"""),"HKD")</f>
        <v>HKD</v>
      </c>
      <c r="G1009" s="30" t="str">
        <f>IFERROR(__xludf.DUMMYFUNCTION("""COMPUTED_VALUE"""),"Email Account/ TraderID Recognized")</f>
        <v>Email Account/ TraderID Recognized</v>
      </c>
      <c r="H1009" s="121" t="str">
        <f>IFERROR(__xludf.DUMMYFUNCTION("""COMPUTED_VALUE"""),"9939.HK")</f>
        <v>9939.HK</v>
      </c>
      <c r="I1009" s="30">
        <f>IFERROR(__xludf.DUMMYFUNCTION("""COMPUTED_VALUE"""),5000.0)</f>
        <v>5000</v>
      </c>
      <c r="J1009" s="30"/>
      <c r="K1009" s="30" t="str">
        <f>IFERROR(__xludf.DUMMYFUNCTION("""COMPUTED_VALUE"""),"QTY, Limit Price (if any) &amp; Password input correct")</f>
        <v>QTY, Limit Price (if any) &amp; Password input correct</v>
      </c>
      <c r="L1009" s="30"/>
    </row>
    <row r="1010">
      <c r="A1010" s="5"/>
      <c r="B1010" s="118">
        <f>IFERROR(__xludf.DUMMYFUNCTION("""COMPUTED_VALUE"""),44655.90004865741)</f>
        <v>44655.90005</v>
      </c>
      <c r="C1010" s="120" t="str">
        <f>IFERROR(__xludf.DUMMYFUNCTION("""COMPUTED_VALUE"""),"")</f>
        <v/>
      </c>
      <c r="D1010" s="5" t="str">
        <f>IFERROR(__xludf.DUMMYFUNCTION("""COMPUTED_VALUE"""),"89833")</f>
        <v>89833</v>
      </c>
      <c r="E1010" s="5" t="str">
        <f>IFERROR(__xludf.DUMMYFUNCTION("""COMPUTED_VALUE"""),"Stock")</f>
        <v>Stock</v>
      </c>
      <c r="F1010" s="5" t="str">
        <f>IFERROR(__xludf.DUMMYFUNCTION("""COMPUTED_VALUE"""),"error")</f>
        <v>error</v>
      </c>
      <c r="G1010" s="30" t="str">
        <f>IFERROR(__xludf.DUMMYFUNCTION("""COMPUTED_VALUE"""),"Email Account/ TraderID Recognized")</f>
        <v>Email Account/ TraderID Recognized</v>
      </c>
      <c r="H1010" s="119" t="str">
        <f>IFERROR(__xludf.DUMMYFUNCTION("""COMPUTED_VALUE"""),"OXY")</f>
        <v>OXY</v>
      </c>
      <c r="I1010" s="30">
        <f>IFERROR(__xludf.DUMMYFUNCTION("""COMPUTED_VALUE"""),500.0)</f>
        <v>500</v>
      </c>
      <c r="J1010" s="30" t="str">
        <f>IFERROR(__xludf.DUMMYFUNCTION("""COMPUTED_VALUE""")," Limit Buy @ 58.3 - Closing @ 58 = Executed price @ 58. if Closing @ 60 = no execution")</f>
        <v> Limit Buy @ 58.3 - Closing @ 58 = Executed price @ 58. if Closing @ 60 = no execution</v>
      </c>
      <c r="K1010" s="30" t="str">
        <f>IFERROR(__xludf.DUMMYFUNCTION("""COMPUTED_VALUE"""),"Non-number input in Quantity or Limit Price")</f>
        <v>Non-number input in Quantity or Limit Price</v>
      </c>
      <c r="L1010" s="30"/>
    </row>
    <row r="1011">
      <c r="A1011" s="5"/>
      <c r="B1011" s="118">
        <f>IFERROR(__xludf.DUMMYFUNCTION("""COMPUTED_VALUE"""),44655.95933539352)</f>
        <v>44655.95934</v>
      </c>
      <c r="C1011" s="120">
        <f>IFERROR(__xludf.DUMMYFUNCTION("""COMPUTED_VALUE"""),44655.666666666664)</f>
        <v>44655.66667</v>
      </c>
      <c r="D1011" s="5" t="str">
        <f>IFERROR(__xludf.DUMMYFUNCTION("""COMPUTED_VALUE"""),"39608")</f>
        <v>39608</v>
      </c>
      <c r="E1011" s="5" t="str">
        <f>IFERROR(__xludf.DUMMYFUNCTION("""COMPUTED_VALUE"""),"Stock")</f>
        <v>Stock</v>
      </c>
      <c r="F1011" s="5" t="str">
        <f>IFERROR(__xludf.DUMMYFUNCTION("""COMPUTED_VALUE"""),"USD")</f>
        <v>USD</v>
      </c>
      <c r="G1011" s="30" t="str">
        <f>IFERROR(__xludf.DUMMYFUNCTION("""COMPUTED_VALUE"""),"Email Account/ TraderID Recognized")</f>
        <v>Email Account/ TraderID Recognized</v>
      </c>
      <c r="H1011" s="119" t="str">
        <f>IFERROR(__xludf.DUMMYFUNCTION("""COMPUTED_VALUE"""),"BG")</f>
        <v>BG</v>
      </c>
      <c r="I1011" s="30">
        <f>IFERROR(__xludf.DUMMYFUNCTION("""COMPUTED_VALUE"""),300.0)</f>
        <v>300</v>
      </c>
      <c r="J1011" s="30">
        <f>IFERROR(__xludf.DUMMYFUNCTION("""COMPUTED_VALUE"""),113.4)</f>
        <v>113.4</v>
      </c>
      <c r="K1011" s="30" t="str">
        <f>IFERROR(__xludf.DUMMYFUNCTION("""COMPUTED_VALUE"""),"QTY, Limit Price (if any) &amp; Password input correct")</f>
        <v>QTY, Limit Price (if any) &amp; Password input correct</v>
      </c>
      <c r="L1011" s="30"/>
    </row>
    <row r="1012">
      <c r="A1012" s="5"/>
      <c r="B1012" s="118">
        <f>IFERROR(__xludf.DUMMYFUNCTION("""COMPUTED_VALUE"""),44655.96914652778)</f>
        <v>44655.96915</v>
      </c>
      <c r="C1012" s="120">
        <f>IFERROR(__xludf.DUMMYFUNCTION("""COMPUTED_VALUE"""),44655.666666666664)</f>
        <v>44655.66667</v>
      </c>
      <c r="D1012" s="5" t="str">
        <f>IFERROR(__xludf.DUMMYFUNCTION("""COMPUTED_VALUE"""),"75965")</f>
        <v>75965</v>
      </c>
      <c r="E1012" s="5" t="str">
        <f>IFERROR(__xludf.DUMMYFUNCTION("""COMPUTED_VALUE"""),"Stock")</f>
        <v>Stock</v>
      </c>
      <c r="F1012" s="5" t="str">
        <f>IFERROR(__xludf.DUMMYFUNCTION("""COMPUTED_VALUE"""),"USD")</f>
        <v>USD</v>
      </c>
      <c r="G1012" s="30" t="str">
        <f>IFERROR(__xludf.DUMMYFUNCTION("""COMPUTED_VALUE"""),"Email Account/ TraderID Recognized")</f>
        <v>Email Account/ TraderID Recognized</v>
      </c>
      <c r="H1012" s="119" t="str">
        <f>IFERROR(__xludf.DUMMYFUNCTION("""COMPUTED_VALUE"""),"AMC")</f>
        <v>AMC</v>
      </c>
      <c r="I1012" s="30">
        <f>IFERROR(__xludf.DUMMYFUNCTION("""COMPUTED_VALUE"""),2000.0)</f>
        <v>2000</v>
      </c>
      <c r="J1012" s="30"/>
      <c r="K1012" s="30" t="str">
        <f>IFERROR(__xludf.DUMMYFUNCTION("""COMPUTED_VALUE"""),"QTY, Limit Price (if any) &amp; Password input correct")</f>
        <v>QTY, Limit Price (if any) &amp; Password input correct</v>
      </c>
      <c r="L1012" s="30"/>
    </row>
    <row r="1013">
      <c r="A1013" s="5"/>
      <c r="B1013" s="118">
        <f>IFERROR(__xludf.DUMMYFUNCTION("""COMPUTED_VALUE"""),44655.98962064815)</f>
        <v>44655.98962</v>
      </c>
      <c r="C1013" s="120">
        <f>IFERROR(__xludf.DUMMYFUNCTION("""COMPUTED_VALUE"""),44655.666666666664)</f>
        <v>44655.66667</v>
      </c>
      <c r="D1013" s="5" t="str">
        <f>IFERROR(__xludf.DUMMYFUNCTION("""COMPUTED_VALUE"""),"TraderX")</f>
        <v>TraderX</v>
      </c>
      <c r="E1013" s="5" t="str">
        <f>IFERROR(__xludf.DUMMYFUNCTION("""COMPUTED_VALUE"""),"Option")</f>
        <v>Option</v>
      </c>
      <c r="F1013" s="5" t="str">
        <f>IFERROR(__xludf.DUMMYFUNCTION("""COMPUTED_VALUE"""),"USD")</f>
        <v>USD</v>
      </c>
      <c r="G1013" s="30" t="str">
        <f>IFERROR(__xludf.DUMMYFUNCTION("""COMPUTED_VALUE"""),"Email Account/ TraderID Recognized")</f>
        <v>Email Account/ TraderID Recognized</v>
      </c>
      <c r="H1013" s="119" t="str">
        <f>IFERROR(__xludf.DUMMYFUNCTION("""COMPUTED_VALUE"""),"NDXP220406P14400000")</f>
        <v>NDXP220406P14400000</v>
      </c>
      <c r="I1013" s="30">
        <f>IFERROR(__xludf.DUMMYFUNCTION("""COMPUTED_VALUE"""),6.0)</f>
        <v>6</v>
      </c>
      <c r="J1013" s="30"/>
      <c r="K1013" s="30" t="str">
        <f>IFERROR(__xludf.DUMMYFUNCTION("""COMPUTED_VALUE"""),"QTY, Limit Price (if any) &amp; Password input correct")</f>
        <v>QTY, Limit Price (if any) &amp; Password input correct</v>
      </c>
      <c r="L1013" s="30"/>
    </row>
    <row r="1014">
      <c r="A1014" s="5"/>
      <c r="B1014" s="118">
        <f>IFERROR(__xludf.DUMMYFUNCTION("""COMPUTED_VALUE"""),44655.99013961805)</f>
        <v>44655.99014</v>
      </c>
      <c r="C1014" s="120">
        <f>IFERROR(__xludf.DUMMYFUNCTION("""COMPUTED_VALUE"""),44655.666666666664)</f>
        <v>44655.66667</v>
      </c>
      <c r="D1014" s="5" t="str">
        <f>IFERROR(__xludf.DUMMYFUNCTION("""COMPUTED_VALUE"""),"TraderX")</f>
        <v>TraderX</v>
      </c>
      <c r="E1014" s="5" t="str">
        <f>IFERROR(__xludf.DUMMYFUNCTION("""COMPUTED_VALUE"""),"Option")</f>
        <v>Option</v>
      </c>
      <c r="F1014" s="5" t="str">
        <f>IFERROR(__xludf.DUMMYFUNCTION("""COMPUTED_VALUE"""),"USD")</f>
        <v>USD</v>
      </c>
      <c r="G1014" s="30" t="str">
        <f>IFERROR(__xludf.DUMMYFUNCTION("""COMPUTED_VALUE"""),"Email Account/ TraderID Recognized")</f>
        <v>Email Account/ TraderID Recognized</v>
      </c>
      <c r="H1014" s="119" t="str">
        <f>IFERROR(__xludf.DUMMYFUNCTION("""COMPUTED_VALUE"""),"NDXP220406P14500000")</f>
        <v>NDXP220406P14500000</v>
      </c>
      <c r="I1014" s="30">
        <f>IFERROR(__xludf.DUMMYFUNCTION("""COMPUTED_VALUE"""),6.0)</f>
        <v>6</v>
      </c>
      <c r="J1014" s="30"/>
      <c r="K1014" s="30" t="str">
        <f>IFERROR(__xludf.DUMMYFUNCTION("""COMPUTED_VALUE"""),"QTY, Limit Price (if any) &amp; Password input correct")</f>
        <v>QTY, Limit Price (if any) &amp; Password input correct</v>
      </c>
      <c r="L1014" s="30"/>
    </row>
    <row r="1015">
      <c r="A1015" s="5"/>
      <c r="B1015" s="118">
        <f>IFERROR(__xludf.DUMMYFUNCTION("""COMPUTED_VALUE"""),44656.03103777778)</f>
        <v>44656.03104</v>
      </c>
      <c r="C1015" s="120">
        <f>IFERROR(__xludf.DUMMYFUNCTION("""COMPUTED_VALUE"""),44655.666666666664)</f>
        <v>44655.66667</v>
      </c>
      <c r="D1015" s="5" t="str">
        <f>IFERROR(__xludf.DUMMYFUNCTION("""COMPUTED_VALUE"""),"89750")</f>
        <v>89750</v>
      </c>
      <c r="E1015" s="5" t="str">
        <f>IFERROR(__xludf.DUMMYFUNCTION("""COMPUTED_VALUE"""),"Option")</f>
        <v>Option</v>
      </c>
      <c r="F1015" s="5" t="str">
        <f>IFERROR(__xludf.DUMMYFUNCTION("""COMPUTED_VALUE"""),"USD")</f>
        <v>USD</v>
      </c>
      <c r="G1015" s="30" t="str">
        <f>IFERROR(__xludf.DUMMYFUNCTION("""COMPUTED_VALUE"""),"Email Account/ TraderID Recognized")</f>
        <v>Email Account/ TraderID Recognized</v>
      </c>
      <c r="H1015" s="119" t="str">
        <f>IFERROR(__xludf.DUMMYFUNCTION("""COMPUTED_VALUE"""),"ASML220422P00680000")</f>
        <v>ASML220422P00680000</v>
      </c>
      <c r="I1015" s="30">
        <f>IFERROR(__xludf.DUMMYFUNCTION("""COMPUTED_VALUE"""),5.0)</f>
        <v>5</v>
      </c>
      <c r="J1015" s="30">
        <f>IFERROR(__xludf.DUMMYFUNCTION("""COMPUTED_VALUE"""),28.07)</f>
        <v>28.07</v>
      </c>
      <c r="K1015" s="30" t="str">
        <f>IFERROR(__xludf.DUMMYFUNCTION("""COMPUTED_VALUE"""),"QTY, Limit Price (if any) &amp; Password input correct")</f>
        <v>QTY, Limit Price (if any) &amp; Password input correct</v>
      </c>
      <c r="L1015" s="30"/>
    </row>
    <row r="1016">
      <c r="A1016" s="5"/>
      <c r="B1016" s="118">
        <f>IFERROR(__xludf.DUMMYFUNCTION("""COMPUTED_VALUE"""),44656.03222172454)</f>
        <v>44656.03222</v>
      </c>
      <c r="C1016" s="120">
        <f>IFERROR(__xludf.DUMMYFUNCTION("""COMPUTED_VALUE"""),44655.666666666664)</f>
        <v>44655.66667</v>
      </c>
      <c r="D1016" s="5" t="str">
        <f>IFERROR(__xludf.DUMMYFUNCTION("""COMPUTED_VALUE"""),"89750")</f>
        <v>89750</v>
      </c>
      <c r="E1016" s="5" t="str">
        <f>IFERROR(__xludf.DUMMYFUNCTION("""COMPUTED_VALUE"""),"Option")</f>
        <v>Option</v>
      </c>
      <c r="F1016" s="5" t="str">
        <f>IFERROR(__xludf.DUMMYFUNCTION("""COMPUTED_VALUE"""),"USD")</f>
        <v>USD</v>
      </c>
      <c r="G1016" s="30" t="str">
        <f>IFERROR(__xludf.DUMMYFUNCTION("""COMPUTED_VALUE"""),"Email Account/ TraderID Recognized")</f>
        <v>Email Account/ TraderID Recognized</v>
      </c>
      <c r="H1016" s="119" t="str">
        <f>IFERROR(__xludf.DUMMYFUNCTION("""COMPUTED_VALUE"""),"ARKF220414P00027500")</f>
        <v>ARKF220414P00027500</v>
      </c>
      <c r="I1016" s="30">
        <f>IFERROR(__xludf.DUMMYFUNCTION("""COMPUTED_VALUE"""),400.0)</f>
        <v>400</v>
      </c>
      <c r="J1016" s="30"/>
      <c r="K1016" s="30" t="str">
        <f>IFERROR(__xludf.DUMMYFUNCTION("""COMPUTED_VALUE"""),"QTY, Limit Price (if any) &amp; Password input correct")</f>
        <v>QTY, Limit Price (if any) &amp; Password input correct</v>
      </c>
      <c r="L1016" s="30"/>
    </row>
    <row r="1017">
      <c r="A1017" s="5"/>
      <c r="B1017" s="118">
        <f>IFERROR(__xludf.DUMMYFUNCTION("""COMPUTED_VALUE"""),44656.11952432871)</f>
        <v>44656.11952</v>
      </c>
      <c r="C1017" s="120">
        <f>IFERROR(__xludf.DUMMYFUNCTION("""COMPUTED_VALUE"""),44655.666666666664)</f>
        <v>44655.66667</v>
      </c>
      <c r="D1017" s="5" t="str">
        <f>IFERROR(__xludf.DUMMYFUNCTION("""COMPUTED_VALUE"""),"75965")</f>
        <v>75965</v>
      </c>
      <c r="E1017" s="5" t="str">
        <f>IFERROR(__xludf.DUMMYFUNCTION("""COMPUTED_VALUE"""),"Stock")</f>
        <v>Stock</v>
      </c>
      <c r="F1017" s="5" t="str">
        <f>IFERROR(__xludf.DUMMYFUNCTION("""COMPUTED_VALUE"""),"USD")</f>
        <v>USD</v>
      </c>
      <c r="G1017" s="30" t="str">
        <f>IFERROR(__xludf.DUMMYFUNCTION("""COMPUTED_VALUE"""),"Email Account/ TraderID Recognized")</f>
        <v>Email Account/ TraderID Recognized</v>
      </c>
      <c r="H1017" s="119" t="str">
        <f>IFERROR(__xludf.DUMMYFUNCTION("""COMPUTED_VALUE"""),"TSLA")</f>
        <v>TSLA</v>
      </c>
      <c r="I1017" s="30">
        <f>IFERROR(__xludf.DUMMYFUNCTION("""COMPUTED_VALUE"""),120.0)</f>
        <v>120</v>
      </c>
      <c r="J1017" s="30"/>
      <c r="K1017" s="30" t="str">
        <f>IFERROR(__xludf.DUMMYFUNCTION("""COMPUTED_VALUE"""),"QTY, Limit Price (if any) &amp; Password input correct")</f>
        <v>QTY, Limit Price (if any) &amp; Password input correct</v>
      </c>
      <c r="L1017" s="30"/>
    </row>
    <row r="1018">
      <c r="A1018" s="5"/>
      <c r="B1018" s="118">
        <f>IFERROR(__xludf.DUMMYFUNCTION("""COMPUTED_VALUE"""),44656.55563479167)</f>
        <v>44656.55563</v>
      </c>
      <c r="C1018" s="120">
        <f>IFERROR(__xludf.DUMMYFUNCTION("""COMPUTED_VALUE"""),44657.666666666664)</f>
        <v>44657.66667</v>
      </c>
      <c r="D1018" s="5" t="str">
        <f>IFERROR(__xludf.DUMMYFUNCTION("""COMPUTED_VALUE"""),"75288")</f>
        <v>75288</v>
      </c>
      <c r="E1018" s="5" t="str">
        <f>IFERROR(__xludf.DUMMYFUNCTION("""COMPUTED_VALUE"""),"Stock")</f>
        <v>Stock</v>
      </c>
      <c r="F1018" s="5" t="str">
        <f>IFERROR(__xludf.DUMMYFUNCTION("""COMPUTED_VALUE"""),"HKD")</f>
        <v>HKD</v>
      </c>
      <c r="G1018" s="30" t="str">
        <f>IFERROR(__xludf.DUMMYFUNCTION("""COMPUTED_VALUE"""),"Email Account/ TraderID Recognized")</f>
        <v>Email Account/ TraderID Recognized</v>
      </c>
      <c r="H1018" s="121" t="str">
        <f>IFERROR(__xludf.DUMMYFUNCTION("""COMPUTED_VALUE"""),"0241.HK")</f>
        <v>0241.HK</v>
      </c>
      <c r="I1018" s="30">
        <f>IFERROR(__xludf.DUMMYFUNCTION("""COMPUTED_VALUE"""),9210.0)</f>
        <v>9210</v>
      </c>
      <c r="J1018" s="30"/>
      <c r="K1018" s="30" t="str">
        <f>IFERROR(__xludf.DUMMYFUNCTION("""COMPUTED_VALUE"""),"QTY, Limit Price (if any) &amp; Password input correct")</f>
        <v>QTY, Limit Price (if any) &amp; Password input correct</v>
      </c>
      <c r="L1018" s="30"/>
    </row>
    <row r="1019">
      <c r="A1019" s="5"/>
      <c r="B1019" s="118">
        <f>IFERROR(__xludf.DUMMYFUNCTION("""COMPUTED_VALUE"""),44656.58722920139)</f>
        <v>44656.58723</v>
      </c>
      <c r="C1019" s="120">
        <f>IFERROR(__xludf.DUMMYFUNCTION("""COMPUTED_VALUE"""),44656.666666666664)</f>
        <v>44656.66667</v>
      </c>
      <c r="D1019" s="5" t="str">
        <f>IFERROR(__xludf.DUMMYFUNCTION("""COMPUTED_VALUE"""),"75965")</f>
        <v>75965</v>
      </c>
      <c r="E1019" s="5" t="str">
        <f>IFERROR(__xludf.DUMMYFUNCTION("""COMPUTED_VALUE"""),"Stock")</f>
        <v>Stock</v>
      </c>
      <c r="F1019" s="5" t="str">
        <f>IFERROR(__xludf.DUMMYFUNCTION("""COMPUTED_VALUE"""),"USD")</f>
        <v>USD</v>
      </c>
      <c r="G1019" s="30" t="str">
        <f>IFERROR(__xludf.DUMMYFUNCTION("""COMPUTED_VALUE"""),"Email Account/ TraderID Recognized")</f>
        <v>Email Account/ TraderID Recognized</v>
      </c>
      <c r="H1019" s="119" t="str">
        <f>IFERROR(__xludf.DUMMYFUNCTION("""COMPUTED_VALUE"""),"TSLA")</f>
        <v>TSLA</v>
      </c>
      <c r="I1019" s="30">
        <f>IFERROR(__xludf.DUMMYFUNCTION("""COMPUTED_VALUE"""),170.0)</f>
        <v>170</v>
      </c>
      <c r="J1019" s="30"/>
      <c r="K1019" s="30" t="str">
        <f>IFERROR(__xludf.DUMMYFUNCTION("""COMPUTED_VALUE"""),"QTY, Limit Price (if any) &amp; Password input correct")</f>
        <v>QTY, Limit Price (if any) &amp; Password input correct</v>
      </c>
      <c r="L1019" s="30"/>
    </row>
    <row r="1020">
      <c r="A1020" s="5"/>
      <c r="B1020" s="118">
        <f>IFERROR(__xludf.DUMMYFUNCTION("""COMPUTED_VALUE"""),44656.660357465276)</f>
        <v>44656.66036</v>
      </c>
      <c r="C1020" s="120" t="str">
        <f>IFERROR(__xludf.DUMMYFUNCTION("""COMPUTED_VALUE"""),"")</f>
        <v/>
      </c>
      <c r="D1020" s="5" t="str">
        <f>IFERROR(__xludf.DUMMYFUNCTION("""COMPUTED_VALUE"""),"38307")</f>
        <v>38307</v>
      </c>
      <c r="E1020" s="5" t="str">
        <f>IFERROR(__xludf.DUMMYFUNCTION("""COMPUTED_VALUE"""),"Stock")</f>
        <v>Stock</v>
      </c>
      <c r="F1020" s="5" t="str">
        <f>IFERROR(__xludf.DUMMYFUNCTION("""COMPUTED_VALUE"""),"error")</f>
        <v>error</v>
      </c>
      <c r="G1020" s="30" t="str">
        <f>IFERROR(__xludf.DUMMYFUNCTION("""COMPUTED_VALUE"""),"Email Account/ TraderID Recognized")</f>
        <v>Email Account/ TraderID Recognized</v>
      </c>
      <c r="H1020" s="119" t="str">
        <f>IFERROR(__xludf.DUMMYFUNCTION("""COMPUTED_VALUE"""),"HK2359")</f>
        <v>HK2359</v>
      </c>
      <c r="I1020" s="30">
        <f>IFERROR(__xludf.DUMMYFUNCTION("""COMPUTED_VALUE"""),300.0)</f>
        <v>300</v>
      </c>
      <c r="J1020" s="30"/>
      <c r="K1020" s="30" t="str">
        <f>IFERROR(__xludf.DUMMYFUNCTION("""COMPUTED_VALUE"""),"QTY, Limit Price (if any) &amp; Password input correct")</f>
        <v>QTY, Limit Price (if any) &amp; Password input correct</v>
      </c>
      <c r="L1020" s="30"/>
    </row>
    <row r="1021">
      <c r="A1021" s="5"/>
      <c r="B1021" s="118">
        <f>IFERROR(__xludf.DUMMYFUNCTION("""COMPUTED_VALUE"""),44656.666984421296)</f>
        <v>44656.66698</v>
      </c>
      <c r="C1021" s="120">
        <f>IFERROR(__xludf.DUMMYFUNCTION("""COMPUTED_VALUE"""),44657.666666666664)</f>
        <v>44657.66667</v>
      </c>
      <c r="D1021" s="5" t="str">
        <f>IFERROR(__xludf.DUMMYFUNCTION("""COMPUTED_VALUE"""),"70236")</f>
        <v>70236</v>
      </c>
      <c r="E1021" s="5" t="str">
        <f>IFERROR(__xludf.DUMMYFUNCTION("""COMPUTED_VALUE"""),"Stock")</f>
        <v>Stock</v>
      </c>
      <c r="F1021" s="5" t="str">
        <f>IFERROR(__xludf.DUMMYFUNCTION("""COMPUTED_VALUE"""),"HKD")</f>
        <v>HKD</v>
      </c>
      <c r="G1021" s="30" t="str">
        <f>IFERROR(__xludf.DUMMYFUNCTION("""COMPUTED_VALUE"""),"Email Account/ TraderID Recognized")</f>
        <v>Email Account/ TraderID Recognized</v>
      </c>
      <c r="H1021" s="121" t="str">
        <f>IFERROR(__xludf.DUMMYFUNCTION("""COMPUTED_VALUE"""),"2333.HK")</f>
        <v>2333.HK</v>
      </c>
      <c r="I1021" s="30">
        <f>IFERROR(__xludf.DUMMYFUNCTION("""COMPUTED_VALUE"""),100.0)</f>
        <v>100</v>
      </c>
      <c r="J1021" s="30">
        <f>IFERROR(__xludf.DUMMYFUNCTION("""COMPUTED_VALUE"""),12.9)</f>
        <v>12.9</v>
      </c>
      <c r="K1021" s="30" t="str">
        <f>IFERROR(__xludf.DUMMYFUNCTION("""COMPUTED_VALUE"""),"QTY, Limit Price (if any) &amp; Password input correct")</f>
        <v>QTY, Limit Price (if any) &amp; Password input correct</v>
      </c>
      <c r="L1021" s="30"/>
    </row>
    <row r="1022">
      <c r="A1022" s="5"/>
      <c r="B1022" s="118">
        <f>IFERROR(__xludf.DUMMYFUNCTION("""COMPUTED_VALUE"""),44656.70686089121)</f>
        <v>44656.70686</v>
      </c>
      <c r="C1022" s="120">
        <f>IFERROR(__xludf.DUMMYFUNCTION("""COMPUTED_VALUE"""),44656.666666666664)</f>
        <v>44656.66667</v>
      </c>
      <c r="D1022" s="5" t="str">
        <f>IFERROR(__xludf.DUMMYFUNCTION("""COMPUTED_VALUE"""),"77216")</f>
        <v>77216</v>
      </c>
      <c r="E1022" s="5" t="str">
        <f>IFERROR(__xludf.DUMMYFUNCTION("""COMPUTED_VALUE"""),"Stock")</f>
        <v>Stock</v>
      </c>
      <c r="F1022" s="5" t="str">
        <f>IFERROR(__xludf.DUMMYFUNCTION("""COMPUTED_VALUE"""),"USD")</f>
        <v>USD</v>
      </c>
      <c r="G1022" s="30" t="str">
        <f>IFERROR(__xludf.DUMMYFUNCTION("""COMPUTED_VALUE"""),"Email Account/ TraderID Recognized")</f>
        <v>Email Account/ TraderID Recognized</v>
      </c>
      <c r="H1022" s="119" t="str">
        <f>IFERROR(__xludf.DUMMYFUNCTION("""COMPUTED_VALUE"""),"ABML")</f>
        <v>ABML</v>
      </c>
      <c r="I1022" s="30">
        <f>IFERROR(__xludf.DUMMYFUNCTION("""COMPUTED_VALUE"""),30000.0)</f>
        <v>30000</v>
      </c>
      <c r="J1022" s="30">
        <f>IFERROR(__xludf.DUMMYFUNCTION("""COMPUTED_VALUE"""),1.69)</f>
        <v>1.69</v>
      </c>
      <c r="K1022" s="30" t="str">
        <f>IFERROR(__xludf.DUMMYFUNCTION("""COMPUTED_VALUE"""),"QTY, Limit Price (if any) &amp; Password input correct")</f>
        <v>QTY, Limit Price (if any) &amp; Password input correct</v>
      </c>
      <c r="L1022" s="30"/>
    </row>
    <row r="1023">
      <c r="A1023" s="5"/>
      <c r="B1023" s="118">
        <f>IFERROR(__xludf.DUMMYFUNCTION("""COMPUTED_VALUE"""),44656.73043869213)</f>
        <v>44656.73044</v>
      </c>
      <c r="C1023" s="120" t="str">
        <f>IFERROR(__xludf.DUMMYFUNCTION("""COMPUTED_VALUE"""),"")</f>
        <v/>
      </c>
      <c r="D1023" s="5" t="str">
        <f>IFERROR(__xludf.DUMMYFUNCTION("""COMPUTED_VALUE"""),"")</f>
        <v/>
      </c>
      <c r="E1023" s="5" t="str">
        <f>IFERROR(__xludf.DUMMYFUNCTION("""COMPUTED_VALUE"""),"Stock")</f>
        <v>Stock</v>
      </c>
      <c r="F1023" s="5" t="str">
        <f>IFERROR(__xludf.DUMMYFUNCTION("""COMPUTED_VALUE"""),"error")</f>
        <v>error</v>
      </c>
      <c r="G1023" s="30" t="str">
        <f>IFERROR(__xludf.DUMMYFUNCTION("""COMPUTED_VALUE"""),"s127xxxxxx@nonHKMUemail")</f>
        <v>s127xxxxxx@nonHKMUemail</v>
      </c>
      <c r="H1023" s="119" t="str">
        <f>IFERROR(__xludf.DUMMYFUNCTION("""COMPUTED_VALUE"""),"BRK-B")</f>
        <v>BRK-B</v>
      </c>
      <c r="I1023" s="30">
        <f>IFERROR(__xludf.DUMMYFUNCTION("""COMPUTED_VALUE"""),40.0)</f>
        <v>40</v>
      </c>
      <c r="J1023" s="30"/>
      <c r="K1023" s="30" t="str">
        <f>IFERROR(__xludf.DUMMYFUNCTION("""COMPUTED_VALUE"""),"QTY, Limit Price (if any) &amp; Password input correct")</f>
        <v>QTY, Limit Price (if any) &amp; Password input correct</v>
      </c>
      <c r="L1023" s="30"/>
    </row>
    <row r="1024">
      <c r="A1024" s="5"/>
      <c r="B1024" s="118">
        <f>IFERROR(__xludf.DUMMYFUNCTION("""COMPUTED_VALUE"""),44656.73598328704)</f>
        <v>44656.73598</v>
      </c>
      <c r="C1024" s="120">
        <f>IFERROR(__xludf.DUMMYFUNCTION("""COMPUTED_VALUE"""),44656.666666666664)</f>
        <v>44656.66667</v>
      </c>
      <c r="D1024" s="5" t="str">
        <f>IFERROR(__xludf.DUMMYFUNCTION("""COMPUTED_VALUE"""),"74356")</f>
        <v>74356</v>
      </c>
      <c r="E1024" s="5" t="str">
        <f>IFERROR(__xludf.DUMMYFUNCTION("""COMPUTED_VALUE"""),"Stock")</f>
        <v>Stock</v>
      </c>
      <c r="F1024" s="5" t="str">
        <f>IFERROR(__xludf.DUMMYFUNCTION("""COMPUTED_VALUE"""),"USD")</f>
        <v>USD</v>
      </c>
      <c r="G1024" s="30" t="str">
        <f>IFERROR(__xludf.DUMMYFUNCTION("""COMPUTED_VALUE"""),"Email Account/ TraderID Recognized")</f>
        <v>Email Account/ TraderID Recognized</v>
      </c>
      <c r="H1024" s="119" t="str">
        <f>IFERROR(__xludf.DUMMYFUNCTION("""COMPUTED_VALUE"""),"BRK-B")</f>
        <v>BRK-B</v>
      </c>
      <c r="I1024" s="30">
        <f>IFERROR(__xludf.DUMMYFUNCTION("""COMPUTED_VALUE"""),140.0)</f>
        <v>140</v>
      </c>
      <c r="J1024" s="30"/>
      <c r="K1024" s="30" t="str">
        <f>IFERROR(__xludf.DUMMYFUNCTION("""COMPUTED_VALUE"""),"QTY, Limit Price (if any) &amp; Password input correct")</f>
        <v>QTY, Limit Price (if any) &amp; Password input correct</v>
      </c>
      <c r="L1024" s="30"/>
    </row>
    <row r="1025">
      <c r="A1025" s="5"/>
      <c r="B1025" s="118">
        <f>IFERROR(__xludf.DUMMYFUNCTION("""COMPUTED_VALUE"""),44656.74811215278)</f>
        <v>44656.74811</v>
      </c>
      <c r="C1025" s="120">
        <f>IFERROR(__xludf.DUMMYFUNCTION("""COMPUTED_VALUE"""),44656.666666666664)</f>
        <v>44656.66667</v>
      </c>
      <c r="D1025" s="5" t="str">
        <f>IFERROR(__xludf.DUMMYFUNCTION("""COMPUTED_VALUE"""),"74356")</f>
        <v>74356</v>
      </c>
      <c r="E1025" s="5" t="str">
        <f>IFERROR(__xludf.DUMMYFUNCTION("""COMPUTED_VALUE"""),"Stock")</f>
        <v>Stock</v>
      </c>
      <c r="F1025" s="5" t="str">
        <f>IFERROR(__xludf.DUMMYFUNCTION("""COMPUTED_VALUE"""),"USD")</f>
        <v>USD</v>
      </c>
      <c r="G1025" s="30" t="str">
        <f>IFERROR(__xludf.DUMMYFUNCTION("""COMPUTED_VALUE"""),"Email Account/ TraderID Recognized")</f>
        <v>Email Account/ TraderID Recognized</v>
      </c>
      <c r="H1025" s="119" t="str">
        <f>IFERROR(__xludf.DUMMYFUNCTION("""COMPUTED_VALUE"""),"AMAT")</f>
        <v>AMAT</v>
      </c>
      <c r="I1025" s="30">
        <f>IFERROR(__xludf.DUMMYFUNCTION("""COMPUTED_VALUE"""),100.0)</f>
        <v>100</v>
      </c>
      <c r="J1025" s="30"/>
      <c r="K1025" s="30" t="str">
        <f>IFERROR(__xludf.DUMMYFUNCTION("""COMPUTED_VALUE"""),"QTY, Limit Price (if any) &amp; Password input correct")</f>
        <v>QTY, Limit Price (if any) &amp; Password input correct</v>
      </c>
      <c r="L1025" s="30"/>
    </row>
    <row r="1026">
      <c r="A1026" s="5"/>
      <c r="B1026" s="118">
        <f>IFERROR(__xludf.DUMMYFUNCTION("""COMPUTED_VALUE"""),44656.8554950463)</f>
        <v>44656.8555</v>
      </c>
      <c r="C1026" s="120" t="str">
        <f>IFERROR(__xludf.DUMMYFUNCTION("""COMPUTED_VALUE"""),"")</f>
        <v/>
      </c>
      <c r="D1026" s="5" t="str">
        <f>IFERROR(__xludf.DUMMYFUNCTION("""COMPUTED_VALUE"""),"39563")</f>
        <v>39563</v>
      </c>
      <c r="E1026" s="5" t="str">
        <f>IFERROR(__xludf.DUMMYFUNCTION("""COMPUTED_VALUE"""),"Stock")</f>
        <v>Stock</v>
      </c>
      <c r="F1026" s="5" t="str">
        <f>IFERROR(__xludf.DUMMYFUNCTION("""COMPUTED_VALUE"""),"error")</f>
        <v>error</v>
      </c>
      <c r="G1026" s="30" t="str">
        <f>IFERROR(__xludf.DUMMYFUNCTION("""COMPUTED_VALUE"""),"Email Account/ TraderID Recognized")</f>
        <v>Email Account/ TraderID Recognized</v>
      </c>
      <c r="H1026" s="119" t="str">
        <f>IFERROR(__xludf.DUMMYFUNCTION("""COMPUTED_VALUE"""),"HK9939")</f>
        <v>HK9939</v>
      </c>
      <c r="I1026" s="30">
        <f>IFERROR(__xludf.DUMMYFUNCTION("""COMPUTED_VALUE"""),1500.0)</f>
        <v>1500</v>
      </c>
      <c r="J1026" s="30"/>
      <c r="K1026" s="30" t="str">
        <f>IFERROR(__xludf.DUMMYFUNCTION("""COMPUTED_VALUE"""),"QTY, Limit Price (if any) &amp; Password input correct")</f>
        <v>QTY, Limit Price (if any) &amp; Password input correct</v>
      </c>
      <c r="L1026" s="30"/>
    </row>
    <row r="1027">
      <c r="A1027" s="5"/>
      <c r="B1027" s="118">
        <f>IFERROR(__xludf.DUMMYFUNCTION("""COMPUTED_VALUE"""),44656.856989293985)</f>
        <v>44656.85699</v>
      </c>
      <c r="C1027" s="120" t="str">
        <f>IFERROR(__xludf.DUMMYFUNCTION("""COMPUTED_VALUE"""),"")</f>
        <v/>
      </c>
      <c r="D1027" s="5" t="str">
        <f>IFERROR(__xludf.DUMMYFUNCTION("""COMPUTED_VALUE"""),"39563")</f>
        <v>39563</v>
      </c>
      <c r="E1027" s="5" t="str">
        <f>IFERROR(__xludf.DUMMYFUNCTION("""COMPUTED_VALUE"""),"Stock")</f>
        <v>Stock</v>
      </c>
      <c r="F1027" s="5" t="str">
        <f>IFERROR(__xludf.DUMMYFUNCTION("""COMPUTED_VALUE"""),"error")</f>
        <v>error</v>
      </c>
      <c r="G1027" s="30" t="str">
        <f>IFERROR(__xludf.DUMMYFUNCTION("""COMPUTED_VALUE"""),"Email Account/ TraderID Recognized")</f>
        <v>Email Account/ TraderID Recognized</v>
      </c>
      <c r="H1027" s="119" t="str">
        <f>IFERROR(__xludf.DUMMYFUNCTION("""COMPUTED_VALUE"""),"HK9868")</f>
        <v>HK9868</v>
      </c>
      <c r="I1027" s="30">
        <f>IFERROR(__xludf.DUMMYFUNCTION("""COMPUTED_VALUE"""),100.0)</f>
        <v>100</v>
      </c>
      <c r="J1027" s="30"/>
      <c r="K1027" s="30" t="str">
        <f>IFERROR(__xludf.DUMMYFUNCTION("""COMPUTED_VALUE"""),"QTY, Limit Price (if any) &amp; Password input correct")</f>
        <v>QTY, Limit Price (if any) &amp; Password input correct</v>
      </c>
      <c r="L1027" s="30"/>
    </row>
    <row r="1028">
      <c r="A1028" s="5"/>
      <c r="B1028" s="118">
        <f>IFERROR(__xludf.DUMMYFUNCTION("""COMPUTED_VALUE"""),44656.86842326389)</f>
        <v>44656.86842</v>
      </c>
      <c r="C1028" s="120">
        <f>IFERROR(__xludf.DUMMYFUNCTION("""COMPUTED_VALUE"""),44657.666666666664)</f>
        <v>44657.66667</v>
      </c>
      <c r="D1028" s="5" t="str">
        <f>IFERROR(__xludf.DUMMYFUNCTION("""COMPUTED_VALUE"""),"39563")</f>
        <v>39563</v>
      </c>
      <c r="E1028" s="5" t="str">
        <f>IFERROR(__xludf.DUMMYFUNCTION("""COMPUTED_VALUE"""),"Stock")</f>
        <v>Stock</v>
      </c>
      <c r="F1028" s="5" t="str">
        <f>IFERROR(__xludf.DUMMYFUNCTION("""COMPUTED_VALUE"""),"HKD")</f>
        <v>HKD</v>
      </c>
      <c r="G1028" s="30" t="str">
        <f>IFERROR(__xludf.DUMMYFUNCTION("""COMPUTED_VALUE"""),"Email Account/ TraderID Recognized")</f>
        <v>Email Account/ TraderID Recognized</v>
      </c>
      <c r="H1028" s="121" t="str">
        <f>IFERROR(__xludf.DUMMYFUNCTION("""COMPUTED_VALUE"""),"2196.HK")</f>
        <v>2196.HK</v>
      </c>
      <c r="I1028" s="30">
        <f>IFERROR(__xludf.DUMMYFUNCTION("""COMPUTED_VALUE"""),1000.0)</f>
        <v>1000</v>
      </c>
      <c r="J1028" s="30"/>
      <c r="K1028" s="30" t="str">
        <f>IFERROR(__xludf.DUMMYFUNCTION("""COMPUTED_VALUE"""),"QTY, Limit Price (if any) &amp; Password input correct")</f>
        <v>QTY, Limit Price (if any) &amp; Password input correct</v>
      </c>
      <c r="L1028" s="30"/>
    </row>
    <row r="1029">
      <c r="A1029" s="5"/>
      <c r="B1029" s="118">
        <f>IFERROR(__xludf.DUMMYFUNCTION("""COMPUTED_VALUE"""),44656.869268622686)</f>
        <v>44656.86927</v>
      </c>
      <c r="C1029" s="120">
        <f>IFERROR(__xludf.DUMMYFUNCTION("""COMPUTED_VALUE"""),44657.666666666664)</f>
        <v>44657.66667</v>
      </c>
      <c r="D1029" s="5" t="str">
        <f>IFERROR(__xludf.DUMMYFUNCTION("""COMPUTED_VALUE"""),"39563")</f>
        <v>39563</v>
      </c>
      <c r="E1029" s="5" t="str">
        <f>IFERROR(__xludf.DUMMYFUNCTION("""COMPUTED_VALUE"""),"Stock")</f>
        <v>Stock</v>
      </c>
      <c r="F1029" s="5" t="str">
        <f>IFERROR(__xludf.DUMMYFUNCTION("""COMPUTED_VALUE"""),"HKD")</f>
        <v>HKD</v>
      </c>
      <c r="G1029" s="30" t="str">
        <f>IFERROR(__xludf.DUMMYFUNCTION("""COMPUTED_VALUE"""),"Email Account/ TraderID Recognized")</f>
        <v>Email Account/ TraderID Recognized</v>
      </c>
      <c r="H1029" s="121" t="str">
        <f>IFERROR(__xludf.DUMMYFUNCTION("""COMPUTED_VALUE"""),"9868.HK")</f>
        <v>9868.HK</v>
      </c>
      <c r="I1029" s="30">
        <f>IFERROR(__xludf.DUMMYFUNCTION("""COMPUTED_VALUE"""),500.0)</f>
        <v>500</v>
      </c>
      <c r="J1029" s="30"/>
      <c r="K1029" s="30" t="str">
        <f>IFERROR(__xludf.DUMMYFUNCTION("""COMPUTED_VALUE"""),"QTY, Limit Price (if any) &amp; Password input correct")</f>
        <v>QTY, Limit Price (if any) &amp; Password input correct</v>
      </c>
      <c r="L1029" s="30"/>
    </row>
    <row r="1030">
      <c r="A1030" s="5"/>
      <c r="B1030" s="118">
        <f>IFERROR(__xludf.DUMMYFUNCTION("""COMPUTED_VALUE"""),44656.97597101852)</f>
        <v>44656.97597</v>
      </c>
      <c r="C1030" s="120">
        <f>IFERROR(__xludf.DUMMYFUNCTION("""COMPUTED_VALUE"""),44656.666666666664)</f>
        <v>44656.66667</v>
      </c>
      <c r="D1030" s="5" t="str">
        <f>IFERROR(__xludf.DUMMYFUNCTION("""COMPUTED_VALUE"""),"35577")</f>
        <v>35577</v>
      </c>
      <c r="E1030" s="5" t="str">
        <f>IFERROR(__xludf.DUMMYFUNCTION("""COMPUTED_VALUE"""),"Stock")</f>
        <v>Stock</v>
      </c>
      <c r="F1030" s="5" t="str">
        <f>IFERROR(__xludf.DUMMYFUNCTION("""COMPUTED_VALUE"""),"USD")</f>
        <v>USD</v>
      </c>
      <c r="G1030" s="30" t="str">
        <f>IFERROR(__xludf.DUMMYFUNCTION("""COMPUTED_VALUE"""),"Email Account/ TraderID Recognized")</f>
        <v>Email Account/ TraderID Recognized</v>
      </c>
      <c r="H1030" s="119" t="str">
        <f>IFERROR(__xludf.DUMMYFUNCTION("""COMPUTED_VALUE"""),"BAC")</f>
        <v>BAC</v>
      </c>
      <c r="I1030" s="30">
        <f>IFERROR(__xludf.DUMMYFUNCTION("""COMPUTED_VALUE"""),80.0)</f>
        <v>80</v>
      </c>
      <c r="J1030" s="30"/>
      <c r="K1030" s="30" t="str">
        <f>IFERROR(__xludf.DUMMYFUNCTION("""COMPUTED_VALUE"""),"QTY, Limit Price (if any) &amp; Password input correct")</f>
        <v>QTY, Limit Price (if any) &amp; Password input correct</v>
      </c>
      <c r="L1030" s="30"/>
    </row>
    <row r="1031">
      <c r="A1031" s="5"/>
      <c r="B1031" s="118">
        <f>IFERROR(__xludf.DUMMYFUNCTION("""COMPUTED_VALUE"""),44657.0019613426)</f>
        <v>44657.00196</v>
      </c>
      <c r="C1031" s="120">
        <f>IFERROR(__xludf.DUMMYFUNCTION("""COMPUTED_VALUE"""),44656.666666666664)</f>
        <v>44656.66667</v>
      </c>
      <c r="D1031" s="5" t="str">
        <f>IFERROR(__xludf.DUMMYFUNCTION("""COMPUTED_VALUE"""),"89750")</f>
        <v>89750</v>
      </c>
      <c r="E1031" s="5" t="str">
        <f>IFERROR(__xludf.DUMMYFUNCTION("""COMPUTED_VALUE"""),"Option")</f>
        <v>Option</v>
      </c>
      <c r="F1031" s="5" t="str">
        <f>IFERROR(__xludf.DUMMYFUNCTION("""COMPUTED_VALUE"""),"USD")</f>
        <v>USD</v>
      </c>
      <c r="G1031" s="30" t="str">
        <f>IFERROR(__xludf.DUMMYFUNCTION("""COMPUTED_VALUE"""),"Email Account/ TraderID Recognized")</f>
        <v>Email Account/ TraderID Recognized</v>
      </c>
      <c r="H1031" s="119" t="str">
        <f>IFERROR(__xludf.DUMMYFUNCTION("""COMPUTED_VALUE"""),"ASML220429P00660000")</f>
        <v>ASML220429P00660000</v>
      </c>
      <c r="I1031" s="30">
        <f>IFERROR(__xludf.DUMMYFUNCTION("""COMPUTED_VALUE"""),15.0)</f>
        <v>15</v>
      </c>
      <c r="J1031" s="30">
        <f>IFERROR(__xludf.DUMMYFUNCTION("""COMPUTED_VALUE"""),19.0)</f>
        <v>19</v>
      </c>
      <c r="K1031" s="30" t="str">
        <f>IFERROR(__xludf.DUMMYFUNCTION("""COMPUTED_VALUE"""),"QTY, Limit Price (if any) &amp; Password input correct")</f>
        <v>QTY, Limit Price (if any) &amp; Password input correct</v>
      </c>
      <c r="L1031" s="30"/>
    </row>
    <row r="1032">
      <c r="A1032" s="5"/>
      <c r="B1032" s="118">
        <f>IFERROR(__xludf.DUMMYFUNCTION("""COMPUTED_VALUE"""),44657.08241423611)</f>
        <v>44657.08241</v>
      </c>
      <c r="C1032" s="120" t="str">
        <f>IFERROR(__xludf.DUMMYFUNCTION("""COMPUTED_VALUE"""),"")</f>
        <v/>
      </c>
      <c r="D1032" s="5" t="str">
        <f>IFERROR(__xludf.DUMMYFUNCTION("""COMPUTED_VALUE"""),"89833")</f>
        <v>89833</v>
      </c>
      <c r="E1032" s="5" t="str">
        <f>IFERROR(__xludf.DUMMYFUNCTION("""COMPUTED_VALUE"""),"Stock")</f>
        <v>Stock</v>
      </c>
      <c r="F1032" s="5" t="str">
        <f>IFERROR(__xludf.DUMMYFUNCTION("""COMPUTED_VALUE"""),"error")</f>
        <v>error</v>
      </c>
      <c r="G1032" s="30" t="str">
        <f>IFERROR(__xludf.DUMMYFUNCTION("""COMPUTED_VALUE"""),"Email Account/ TraderID Recognized")</f>
        <v>Email Account/ TraderID Recognized</v>
      </c>
      <c r="H1032" s="119" t="str">
        <f>IFERROR(__xludf.DUMMYFUNCTION("""COMPUTED_VALUE"""),"MVIS")</f>
        <v>MVIS</v>
      </c>
      <c r="I1032" s="30">
        <f>IFERROR(__xludf.DUMMYFUNCTION("""COMPUTED_VALUE"""),2000.0)</f>
        <v>2000</v>
      </c>
      <c r="J1032" s="30" t="str">
        <f>IFERROR(__xludf.DUMMYFUNCTION("""COMPUTED_VALUE""")," Limit Sell @ 4.4 - if Closing @ 4 = Executed price @ 4.5; if Closing @  = no execution")</f>
        <v> Limit Sell @ 4.4 - if Closing @ 4 = Executed price @ 4.5; if Closing @  = no execution</v>
      </c>
      <c r="K1032" s="30" t="str">
        <f>IFERROR(__xludf.DUMMYFUNCTION("""COMPUTED_VALUE"""),"Non-number input in Quantity or Limit Price")</f>
        <v>Non-number input in Quantity or Limit Price</v>
      </c>
      <c r="L1032" s="30"/>
    </row>
    <row r="1033">
      <c r="A1033" s="5"/>
      <c r="B1033" s="118">
        <f>IFERROR(__xludf.DUMMYFUNCTION("""COMPUTED_VALUE"""),44657.102430625004)</f>
        <v>44657.10243</v>
      </c>
      <c r="C1033" s="120">
        <f>IFERROR(__xludf.DUMMYFUNCTION("""COMPUTED_VALUE"""),44656.666666666664)</f>
        <v>44656.66667</v>
      </c>
      <c r="D1033" s="5" t="str">
        <f>IFERROR(__xludf.DUMMYFUNCTION("""COMPUTED_VALUE"""),"39704")</f>
        <v>39704</v>
      </c>
      <c r="E1033" s="5" t="str">
        <f>IFERROR(__xludf.DUMMYFUNCTION("""COMPUTED_VALUE"""),"Stock")</f>
        <v>Stock</v>
      </c>
      <c r="F1033" s="5" t="str">
        <f>IFERROR(__xludf.DUMMYFUNCTION("""COMPUTED_VALUE"""),"USD")</f>
        <v>USD</v>
      </c>
      <c r="G1033" s="30" t="str">
        <f>IFERROR(__xludf.DUMMYFUNCTION("""COMPUTED_VALUE"""),"Email Account/ TraderID Recognized")</f>
        <v>Email Account/ TraderID Recognized</v>
      </c>
      <c r="H1033" s="119" t="str">
        <f>IFERROR(__xludf.DUMMYFUNCTION("""COMPUTED_VALUE"""),"TSLA")</f>
        <v>TSLA</v>
      </c>
      <c r="I1033" s="30">
        <f>IFERROR(__xludf.DUMMYFUNCTION("""COMPUTED_VALUE"""),10.0)</f>
        <v>10</v>
      </c>
      <c r="J1033" s="30"/>
      <c r="K1033" s="30" t="str">
        <f>IFERROR(__xludf.DUMMYFUNCTION("""COMPUTED_VALUE"""),"QTY, Limit Price (if any) &amp; Password input correct")</f>
        <v>QTY, Limit Price (if any) &amp; Password input correct</v>
      </c>
      <c r="L1033" s="30"/>
    </row>
    <row r="1034">
      <c r="A1034" s="5"/>
      <c r="B1034" s="118">
        <f>IFERROR(__xludf.DUMMYFUNCTION("""COMPUTED_VALUE"""),44657.32251978009)</f>
        <v>44657.32252</v>
      </c>
      <c r="C1034" s="120">
        <f>IFERROR(__xludf.DUMMYFUNCTION("""COMPUTED_VALUE"""),44657.666666666664)</f>
        <v>44657.66667</v>
      </c>
      <c r="D1034" s="5" t="str">
        <f>IFERROR(__xludf.DUMMYFUNCTION("""COMPUTED_VALUE"""),"77665")</f>
        <v>77665</v>
      </c>
      <c r="E1034" s="5" t="str">
        <f>IFERROR(__xludf.DUMMYFUNCTION("""COMPUTED_VALUE"""),"Stock")</f>
        <v>Stock</v>
      </c>
      <c r="F1034" s="5" t="str">
        <f>IFERROR(__xludf.DUMMYFUNCTION("""COMPUTED_VALUE"""),"USD")</f>
        <v>USD</v>
      </c>
      <c r="G1034" s="30" t="str">
        <f>IFERROR(__xludf.DUMMYFUNCTION("""COMPUTED_VALUE"""),"Email Account/ TraderID Recognized")</f>
        <v>Email Account/ TraderID Recognized</v>
      </c>
      <c r="H1034" s="119" t="str">
        <f>IFERROR(__xludf.DUMMYFUNCTION("""COMPUTED_VALUE"""),"KO")</f>
        <v>KO</v>
      </c>
      <c r="I1034" s="30">
        <f>IFERROR(__xludf.DUMMYFUNCTION("""COMPUTED_VALUE"""),10.0)</f>
        <v>10</v>
      </c>
      <c r="J1034" s="30"/>
      <c r="K1034" s="30" t="str">
        <f>IFERROR(__xludf.DUMMYFUNCTION("""COMPUTED_VALUE"""),"QTY, Limit Price (if any) &amp; Password input correct")</f>
        <v>QTY, Limit Price (if any) &amp; Password input correct</v>
      </c>
      <c r="L1034" s="30"/>
    </row>
    <row r="1035">
      <c r="A1035" s="5"/>
      <c r="B1035" s="118">
        <f>IFERROR(__xludf.DUMMYFUNCTION("""COMPUTED_VALUE"""),44657.37677108796)</f>
        <v>44657.37677</v>
      </c>
      <c r="C1035" s="120">
        <f>IFERROR(__xludf.DUMMYFUNCTION("""COMPUTED_VALUE"""),44657.666666666664)</f>
        <v>44657.66667</v>
      </c>
      <c r="D1035" s="5" t="str">
        <f>IFERROR(__xludf.DUMMYFUNCTION("""COMPUTED_VALUE"""),"36460")</f>
        <v>36460</v>
      </c>
      <c r="E1035" s="5" t="str">
        <f>IFERROR(__xludf.DUMMYFUNCTION("""COMPUTED_VALUE"""),"Bond")</f>
        <v>Bond</v>
      </c>
      <c r="F1035" s="5" t="str">
        <f>IFERROR(__xludf.DUMMYFUNCTION("""COMPUTED_VALUE"""),"USD")</f>
        <v>USD</v>
      </c>
      <c r="G1035" s="30" t="str">
        <f>IFERROR(__xludf.DUMMYFUNCTION("""COMPUTED_VALUE"""),"Email Account/ TraderID Recognized")</f>
        <v>Email Account/ TraderID Recognized</v>
      </c>
      <c r="H1035" s="119" t="str">
        <f>IFERROR(__xludf.DUMMYFUNCTION("""COMPUTED_VALUE"""),"XS1637274124")</f>
        <v>XS1637274124</v>
      </c>
      <c r="I1035" s="30">
        <f>IFERROR(__xludf.DUMMYFUNCTION("""COMPUTED_VALUE"""),5.0)</f>
        <v>5</v>
      </c>
      <c r="J1035" s="30"/>
      <c r="K1035" s="30" t="str">
        <f>IFERROR(__xludf.DUMMYFUNCTION("""COMPUTED_VALUE"""),"QTY, Limit Price (if any) &amp; Password input correct")</f>
        <v>QTY, Limit Price (if any) &amp; Password input correct</v>
      </c>
      <c r="L1035" s="30"/>
    </row>
    <row r="1036">
      <c r="A1036" s="5"/>
      <c r="B1036" s="118">
        <f>IFERROR(__xludf.DUMMYFUNCTION("""COMPUTED_VALUE"""),44657.409889629635)</f>
        <v>44657.40989</v>
      </c>
      <c r="C1036" s="120">
        <f>IFERROR(__xludf.DUMMYFUNCTION("""COMPUTED_VALUE"""),44657.625)</f>
        <v>44657.625</v>
      </c>
      <c r="D1036" s="5" t="str">
        <f>IFERROR(__xludf.DUMMYFUNCTION("""COMPUTED_VALUE"""),"39302")</f>
        <v>39302</v>
      </c>
      <c r="E1036" s="5" t="str">
        <f>IFERROR(__xludf.DUMMYFUNCTION("""COMPUTED_VALUE"""),"Stock")</f>
        <v>Stock</v>
      </c>
      <c r="F1036" s="5" t="str">
        <f>IFERROR(__xludf.DUMMYFUNCTION("""COMPUTED_VALUE"""),"CNY")</f>
        <v>CNY</v>
      </c>
      <c r="G1036" s="30" t="str">
        <f>IFERROR(__xludf.DUMMYFUNCTION("""COMPUTED_VALUE"""),"Email Account/ TraderID Recognized")</f>
        <v>Email Account/ TraderID Recognized</v>
      </c>
      <c r="H1036" s="121" t="str">
        <f>IFERROR(__xludf.DUMMYFUNCTION("""COMPUTED_VALUE"""),"002657.SZ")</f>
        <v>002657.SZ</v>
      </c>
      <c r="I1036" s="30">
        <f>IFERROR(__xludf.DUMMYFUNCTION("""COMPUTED_VALUE"""),1000.0)</f>
        <v>1000</v>
      </c>
      <c r="J1036" s="30"/>
      <c r="K1036" s="30" t="str">
        <f>IFERROR(__xludf.DUMMYFUNCTION("""COMPUTED_VALUE"""),"QTY, Limit Price (if any) &amp; Password input correct")</f>
        <v>QTY, Limit Price (if any) &amp; Password input correct</v>
      </c>
      <c r="L1036" s="30"/>
    </row>
    <row r="1037">
      <c r="A1037" s="5"/>
      <c r="B1037" s="118">
        <f>IFERROR(__xludf.DUMMYFUNCTION("""COMPUTED_VALUE"""),44657.4271306713)</f>
        <v>44657.42713</v>
      </c>
      <c r="C1037" s="120">
        <f>IFERROR(__xludf.DUMMYFUNCTION("""COMPUTED_VALUE"""),44657.625)</f>
        <v>44657.625</v>
      </c>
      <c r="D1037" s="5" t="str">
        <f>IFERROR(__xludf.DUMMYFUNCTION("""COMPUTED_VALUE"""),"39302")</f>
        <v>39302</v>
      </c>
      <c r="E1037" s="5" t="str">
        <f>IFERROR(__xludf.DUMMYFUNCTION("""COMPUTED_VALUE"""),"Stock")</f>
        <v>Stock</v>
      </c>
      <c r="F1037" s="5" t="str">
        <f>IFERROR(__xludf.DUMMYFUNCTION("""COMPUTED_VALUE"""),"CNY")</f>
        <v>CNY</v>
      </c>
      <c r="G1037" s="30" t="str">
        <f>IFERROR(__xludf.DUMMYFUNCTION("""COMPUTED_VALUE"""),"Email Account/ TraderID Recognized")</f>
        <v>Email Account/ TraderID Recognized</v>
      </c>
      <c r="H1037" s="121" t="str">
        <f>IFERROR(__xludf.DUMMYFUNCTION("""COMPUTED_VALUE"""),"002657.SZ")</f>
        <v>002657.SZ</v>
      </c>
      <c r="I1037" s="30">
        <f>IFERROR(__xludf.DUMMYFUNCTION("""COMPUTED_VALUE"""),2000.0)</f>
        <v>2000</v>
      </c>
      <c r="J1037" s="30">
        <f>IFERROR(__xludf.DUMMYFUNCTION("""COMPUTED_VALUE"""),23.8)</f>
        <v>23.8</v>
      </c>
      <c r="K1037" s="30" t="str">
        <f>IFERROR(__xludf.DUMMYFUNCTION("""COMPUTED_VALUE"""),"QTY, Limit Price (if any) &amp; Password input correct")</f>
        <v>QTY, Limit Price (if any) &amp; Password input correct</v>
      </c>
      <c r="L1037" s="30" t="str">
        <f>IFERROR(__xludf.DUMMYFUNCTION("""COMPUTED_VALUE"""),"Order should be rejected as no same day buy sell, but allowed this time")</f>
        <v>Order should be rejected as no same day buy sell, but allowed this time</v>
      </c>
    </row>
    <row r="1038">
      <c r="A1038" s="5"/>
      <c r="B1038" s="118">
        <f>IFERROR(__xludf.DUMMYFUNCTION("""COMPUTED_VALUE"""),44657.42764581018)</f>
        <v>44657.42765</v>
      </c>
      <c r="C1038" s="120">
        <f>IFERROR(__xludf.DUMMYFUNCTION("""COMPUTED_VALUE"""),44657.625)</f>
        <v>44657.625</v>
      </c>
      <c r="D1038" s="5" t="str">
        <f>IFERROR(__xludf.DUMMYFUNCTION("""COMPUTED_VALUE"""),"39302")</f>
        <v>39302</v>
      </c>
      <c r="E1038" s="5" t="str">
        <f>IFERROR(__xludf.DUMMYFUNCTION("""COMPUTED_VALUE"""),"Stock")</f>
        <v>Stock</v>
      </c>
      <c r="F1038" s="5" t="str">
        <f>IFERROR(__xludf.DUMMYFUNCTION("""COMPUTED_VALUE"""),"CNY")</f>
        <v>CNY</v>
      </c>
      <c r="G1038" s="30" t="str">
        <f>IFERROR(__xludf.DUMMYFUNCTION("""COMPUTED_VALUE"""),"Email Account/ TraderID Recognized")</f>
        <v>Email Account/ TraderID Recognized</v>
      </c>
      <c r="H1038" s="121" t="str">
        <f>IFERROR(__xludf.DUMMYFUNCTION("""COMPUTED_VALUE"""),"002657.SZ")</f>
        <v>002657.SZ</v>
      </c>
      <c r="I1038" s="30">
        <f>IFERROR(__xludf.DUMMYFUNCTION("""COMPUTED_VALUE"""),1000.0)</f>
        <v>1000</v>
      </c>
      <c r="J1038" s="30"/>
      <c r="K1038" s="30" t="str">
        <f>IFERROR(__xludf.DUMMYFUNCTION("""COMPUTED_VALUE"""),"QTY, Limit Price (if any) &amp; Password input correct")</f>
        <v>QTY, Limit Price (if any) &amp; Password input correct</v>
      </c>
      <c r="L1038" s="30" t="str">
        <f>IFERROR(__xludf.DUMMYFUNCTION("""COMPUTED_VALUE"""),"Order should be rejected as no same day buy sell, but allowed this time")</f>
        <v>Order should be rejected as no same day buy sell, but allowed this time</v>
      </c>
    </row>
    <row r="1039">
      <c r="A1039" s="5"/>
      <c r="B1039" s="118">
        <f>IFERROR(__xludf.DUMMYFUNCTION("""COMPUTED_VALUE"""),44657.459327847224)</f>
        <v>44657.45933</v>
      </c>
      <c r="C1039" s="120">
        <f>IFERROR(__xludf.DUMMYFUNCTION("""COMPUTED_VALUE"""),44657.666666666664)</f>
        <v>44657.66667</v>
      </c>
      <c r="D1039" s="5" t="str">
        <f>IFERROR(__xludf.DUMMYFUNCTION("""COMPUTED_VALUE"""),"89750")</f>
        <v>89750</v>
      </c>
      <c r="E1039" s="5" t="str">
        <f>IFERROR(__xludf.DUMMYFUNCTION("""COMPUTED_VALUE"""),"Option")</f>
        <v>Option</v>
      </c>
      <c r="F1039" s="5" t="str">
        <f>IFERROR(__xludf.DUMMYFUNCTION("""COMPUTED_VALUE"""),"USD")</f>
        <v>USD</v>
      </c>
      <c r="G1039" s="30" t="str">
        <f>IFERROR(__xludf.DUMMYFUNCTION("""COMPUTED_VALUE"""),"Email Account/ TraderID Recognized")</f>
        <v>Email Account/ TraderID Recognized</v>
      </c>
      <c r="H1039" s="119" t="str">
        <f>IFERROR(__xludf.DUMMYFUNCTION("""COMPUTED_VALUE"""),"ASML220422P00680000")</f>
        <v>ASML220422P00680000</v>
      </c>
      <c r="I1039" s="30">
        <f>IFERROR(__xludf.DUMMYFUNCTION("""COMPUTED_VALUE"""),10.0)</f>
        <v>10</v>
      </c>
      <c r="J1039" s="30">
        <f>IFERROR(__xludf.DUMMYFUNCTION("""COMPUTED_VALUE"""),28.07)</f>
        <v>28.07</v>
      </c>
      <c r="K1039" s="30" t="str">
        <f>IFERROR(__xludf.DUMMYFUNCTION("""COMPUTED_VALUE"""),"QTY, Limit Price (if any) &amp; Password input correct")</f>
        <v>QTY, Limit Price (if any) &amp; Password input correct</v>
      </c>
      <c r="L1039" s="30"/>
    </row>
    <row r="1040">
      <c r="A1040" s="5"/>
      <c r="B1040" s="118">
        <f>IFERROR(__xludf.DUMMYFUNCTION("""COMPUTED_VALUE"""),44657.46643418982)</f>
        <v>44657.46643</v>
      </c>
      <c r="C1040" s="120">
        <f>IFERROR(__xludf.DUMMYFUNCTION("""COMPUTED_VALUE"""),44657.666666666664)</f>
        <v>44657.66667</v>
      </c>
      <c r="D1040" s="5" t="str">
        <f>IFERROR(__xludf.DUMMYFUNCTION("""COMPUTED_VALUE"""),"95516")</f>
        <v>95516</v>
      </c>
      <c r="E1040" s="5" t="str">
        <f>IFERROR(__xludf.DUMMYFUNCTION("""COMPUTED_VALUE"""),"Stock")</f>
        <v>Stock</v>
      </c>
      <c r="F1040" s="5" t="str">
        <f>IFERROR(__xludf.DUMMYFUNCTION("""COMPUTED_VALUE"""),"HKD")</f>
        <v>HKD</v>
      </c>
      <c r="G1040" s="30" t="str">
        <f>IFERROR(__xludf.DUMMYFUNCTION("""COMPUTED_VALUE"""),"Email Account/ TraderID Recognized")</f>
        <v>Email Account/ TraderID Recognized</v>
      </c>
      <c r="H1040" s="121" t="str">
        <f>IFERROR(__xludf.DUMMYFUNCTION("""COMPUTED_VALUE"""),"1919.HK")</f>
        <v>1919.HK</v>
      </c>
      <c r="I1040" s="30">
        <f>IFERROR(__xludf.DUMMYFUNCTION("""COMPUTED_VALUE"""),5500.0)</f>
        <v>5500</v>
      </c>
      <c r="J1040" s="30"/>
      <c r="K1040" s="30" t="str">
        <f>IFERROR(__xludf.DUMMYFUNCTION("""COMPUTED_VALUE"""),"QTY, Limit Price (if any) &amp; Password input correct")</f>
        <v>QTY, Limit Price (if any) &amp; Password input correct</v>
      </c>
      <c r="L1040" s="30"/>
    </row>
    <row r="1041">
      <c r="A1041" s="5"/>
      <c r="B1041" s="118">
        <f>IFERROR(__xludf.DUMMYFUNCTION("""COMPUTED_VALUE"""),44657.47307061343)</f>
        <v>44657.47307</v>
      </c>
      <c r="C1041" s="120">
        <f>IFERROR(__xludf.DUMMYFUNCTION("""COMPUTED_VALUE"""),44657.666666666664)</f>
        <v>44657.66667</v>
      </c>
      <c r="D1041" s="5" t="str">
        <f>IFERROR(__xludf.DUMMYFUNCTION("""COMPUTED_VALUE"""),"38063")</f>
        <v>38063</v>
      </c>
      <c r="E1041" s="5" t="str">
        <f>IFERROR(__xludf.DUMMYFUNCTION("""COMPUTED_VALUE"""),"Stock")</f>
        <v>Stock</v>
      </c>
      <c r="F1041" s="5" t="str">
        <f>IFERROR(__xludf.DUMMYFUNCTION("""COMPUTED_VALUE"""),"HKD")</f>
        <v>HKD</v>
      </c>
      <c r="G1041" s="30" t="str">
        <f>IFERROR(__xludf.DUMMYFUNCTION("""COMPUTED_VALUE"""),"Email Account/ TraderID Recognized")</f>
        <v>Email Account/ TraderID Recognized</v>
      </c>
      <c r="H1041" s="121" t="str">
        <f>IFERROR(__xludf.DUMMYFUNCTION("""COMPUTED_VALUE"""),"0095.HK")</f>
        <v>0095.HK</v>
      </c>
      <c r="I1041" s="30">
        <f>IFERROR(__xludf.DUMMYFUNCTION("""COMPUTED_VALUE"""),1000.0)</f>
        <v>1000</v>
      </c>
      <c r="J1041" s="30"/>
      <c r="K1041" s="30" t="str">
        <f>IFERROR(__xludf.DUMMYFUNCTION("""COMPUTED_VALUE"""),"QTY, Limit Price (if any) &amp; Password input correct")</f>
        <v>QTY, Limit Price (if any) &amp; Password input correct</v>
      </c>
      <c r="L1041" s="30"/>
    </row>
    <row r="1042">
      <c r="A1042" s="5"/>
      <c r="B1042" s="118">
        <f>IFERROR(__xludf.DUMMYFUNCTION("""COMPUTED_VALUE"""),44657.542571620375)</f>
        <v>44657.54257</v>
      </c>
      <c r="C1042" s="120" t="str">
        <f>IFERROR(__xludf.DUMMYFUNCTION("""COMPUTED_VALUE"""),"")</f>
        <v/>
      </c>
      <c r="D1042" s="5" t="str">
        <f>IFERROR(__xludf.DUMMYFUNCTION("""COMPUTED_VALUE"""),"")</f>
        <v/>
      </c>
      <c r="E1042" s="5" t="str">
        <f>IFERROR(__xludf.DUMMYFUNCTION("""COMPUTED_VALUE"""),"Stock")</f>
        <v>Stock</v>
      </c>
      <c r="F1042" s="5" t="str">
        <f>IFERROR(__xludf.DUMMYFUNCTION("""COMPUTED_VALUE"""),"error")</f>
        <v>error</v>
      </c>
      <c r="G1042" s="30" t="str">
        <f>IFERROR(__xludf.DUMMYFUNCTION("""COMPUTED_VALUE"""),"jiaxxxxxxx@nonHKMUemail")</f>
        <v>jiaxxxxxxx@nonHKMUemail</v>
      </c>
      <c r="H1042" s="121" t="str">
        <f>IFERROR(__xludf.DUMMYFUNCTION("""COMPUTED_VALUE"""),"1024.HK")</f>
        <v>1024.HK</v>
      </c>
      <c r="I1042" s="30">
        <f>IFERROR(__xludf.DUMMYFUNCTION("""COMPUTED_VALUE"""),1000.0)</f>
        <v>1000</v>
      </c>
      <c r="J1042" s="30">
        <f>IFERROR(__xludf.DUMMYFUNCTION("""COMPUTED_VALUE"""),77.35)</f>
        <v>77.35</v>
      </c>
      <c r="K1042" s="30" t="str">
        <f>IFERROR(__xludf.DUMMYFUNCTION("""COMPUTED_VALUE"""),"Wrong Password Submitted, Order will be rejected")</f>
        <v>Wrong Password Submitted, Order will be rejected</v>
      </c>
      <c r="L1042" s="30" t="str">
        <f>IFERROR(__xludf.DUMMYFUNCTION("""COMPUTED_VALUE"""),"Order rejected due to non school email")</f>
        <v>Order rejected due to non school email</v>
      </c>
    </row>
    <row r="1043">
      <c r="A1043" s="5"/>
      <c r="B1043" s="118">
        <f>IFERROR(__xludf.DUMMYFUNCTION("""COMPUTED_VALUE"""),44657.54326607639)</f>
        <v>44657.54327</v>
      </c>
      <c r="C1043" s="120" t="str">
        <f>IFERROR(__xludf.DUMMYFUNCTION("""COMPUTED_VALUE"""),"")</f>
        <v/>
      </c>
      <c r="D1043" s="5" t="str">
        <f>IFERROR(__xludf.DUMMYFUNCTION("""COMPUTED_VALUE"""),"")</f>
        <v/>
      </c>
      <c r="E1043" s="5" t="str">
        <f>IFERROR(__xludf.DUMMYFUNCTION("""COMPUTED_VALUE"""),"Stock")</f>
        <v>Stock</v>
      </c>
      <c r="F1043" s="5" t="str">
        <f>IFERROR(__xludf.DUMMYFUNCTION("""COMPUTED_VALUE"""),"error")</f>
        <v>error</v>
      </c>
      <c r="G1043" s="30" t="str">
        <f>IFERROR(__xludf.DUMMYFUNCTION("""COMPUTED_VALUE"""),"jiaxxxxxxx@nonHKMUemail")</f>
        <v>jiaxxxxxxx@nonHKMUemail</v>
      </c>
      <c r="H1043" s="121" t="str">
        <f>IFERROR(__xludf.DUMMYFUNCTION("""COMPUTED_VALUE"""),"1024.HK")</f>
        <v>1024.HK</v>
      </c>
      <c r="I1043" s="30">
        <f>IFERROR(__xludf.DUMMYFUNCTION("""COMPUTED_VALUE"""),1000.0)</f>
        <v>1000</v>
      </c>
      <c r="J1043" s="30">
        <f>IFERROR(__xludf.DUMMYFUNCTION("""COMPUTED_VALUE"""),77.2)</f>
        <v>77.2</v>
      </c>
      <c r="K1043" s="30" t="str">
        <f>IFERROR(__xludf.DUMMYFUNCTION("""COMPUTED_VALUE"""),"QTY, Limit Price (if any) &amp; Password input correct")</f>
        <v>QTY, Limit Price (if any) &amp; Password input correct</v>
      </c>
      <c r="L1043" s="30" t="str">
        <f>IFERROR(__xludf.DUMMYFUNCTION("""COMPUTED_VALUE"""),"Order rejected due to non school email")</f>
        <v>Order rejected due to non school email</v>
      </c>
    </row>
    <row r="1044">
      <c r="A1044" s="5"/>
      <c r="B1044" s="118">
        <f>IFERROR(__xludf.DUMMYFUNCTION("""COMPUTED_VALUE"""),44657.54452998843)</f>
        <v>44657.54453</v>
      </c>
      <c r="C1044" s="120" t="str">
        <f>IFERROR(__xludf.DUMMYFUNCTION("""COMPUTED_VALUE"""),"")</f>
        <v/>
      </c>
      <c r="D1044" s="5" t="str">
        <f>IFERROR(__xludf.DUMMYFUNCTION("""COMPUTED_VALUE"""),"")</f>
        <v/>
      </c>
      <c r="E1044" s="5" t="str">
        <f>IFERROR(__xludf.DUMMYFUNCTION("""COMPUTED_VALUE"""),"Stock")</f>
        <v>Stock</v>
      </c>
      <c r="F1044" s="5" t="str">
        <f>IFERROR(__xludf.DUMMYFUNCTION("""COMPUTED_VALUE"""),"error")</f>
        <v>error</v>
      </c>
      <c r="G1044" s="30" t="str">
        <f>IFERROR(__xludf.DUMMYFUNCTION("""COMPUTED_VALUE"""),"jiaxxxxxxx@nonHKMUemail")</f>
        <v>jiaxxxxxxx@nonHKMUemail</v>
      </c>
      <c r="H1044" s="121" t="str">
        <f>IFERROR(__xludf.DUMMYFUNCTION("""COMPUTED_VALUE"""),"0006.HK")</f>
        <v>0006.HK</v>
      </c>
      <c r="I1044" s="30">
        <f>IFERROR(__xludf.DUMMYFUNCTION("""COMPUTED_VALUE"""),1000.0)</f>
        <v>1000</v>
      </c>
      <c r="J1044" s="30">
        <f>IFERROR(__xludf.DUMMYFUNCTION("""COMPUTED_VALUE"""),51.4)</f>
        <v>51.4</v>
      </c>
      <c r="K1044" s="30" t="str">
        <f>IFERROR(__xludf.DUMMYFUNCTION("""COMPUTED_VALUE"""),"QTY, Limit Price (if any) &amp; Password input correct")</f>
        <v>QTY, Limit Price (if any) &amp; Password input correct</v>
      </c>
      <c r="L1044" s="30" t="str">
        <f>IFERROR(__xludf.DUMMYFUNCTION("""COMPUTED_VALUE"""),"Order rejected due to non school email")</f>
        <v>Order rejected due to non school email</v>
      </c>
    </row>
    <row r="1045">
      <c r="A1045" s="5"/>
      <c r="B1045" s="118">
        <f>IFERROR(__xludf.DUMMYFUNCTION("""COMPUTED_VALUE"""),44657.544986249995)</f>
        <v>44657.54499</v>
      </c>
      <c r="C1045" s="120" t="str">
        <f>IFERROR(__xludf.DUMMYFUNCTION("""COMPUTED_VALUE"""),"")</f>
        <v/>
      </c>
      <c r="D1045" s="5" t="str">
        <f>IFERROR(__xludf.DUMMYFUNCTION("""COMPUTED_VALUE"""),"")</f>
        <v/>
      </c>
      <c r="E1045" s="5" t="str">
        <f>IFERROR(__xludf.DUMMYFUNCTION("""COMPUTED_VALUE"""),"Stock")</f>
        <v>Stock</v>
      </c>
      <c r="F1045" s="5" t="str">
        <f>IFERROR(__xludf.DUMMYFUNCTION("""COMPUTED_VALUE"""),"error")</f>
        <v>error</v>
      </c>
      <c r="G1045" s="30" t="str">
        <f>IFERROR(__xludf.DUMMYFUNCTION("""COMPUTED_VALUE"""),"jiaxxxxxxx@nonHKMUemail")</f>
        <v>jiaxxxxxxx@nonHKMUemail</v>
      </c>
      <c r="H1045" s="121" t="str">
        <f>IFERROR(__xludf.DUMMYFUNCTION("""COMPUTED_VALUE"""),"0006.HK")</f>
        <v>0006.HK</v>
      </c>
      <c r="I1045" s="30">
        <f>IFERROR(__xludf.DUMMYFUNCTION("""COMPUTED_VALUE"""),1000.0)</f>
        <v>1000</v>
      </c>
      <c r="J1045" s="30">
        <f>IFERROR(__xludf.DUMMYFUNCTION("""COMPUTED_VALUE"""),51.4)</f>
        <v>51.4</v>
      </c>
      <c r="K1045" s="30" t="str">
        <f>IFERROR(__xludf.DUMMYFUNCTION("""COMPUTED_VALUE"""),"Wrong Password Submitted, Order will be rejected")</f>
        <v>Wrong Password Submitted, Order will be rejected</v>
      </c>
      <c r="L1045" s="30" t="str">
        <f>IFERROR(__xludf.DUMMYFUNCTION("""COMPUTED_VALUE"""),"Order rejected due to non school email")</f>
        <v>Order rejected due to non school email</v>
      </c>
    </row>
    <row r="1046">
      <c r="A1046" s="5"/>
      <c r="B1046" s="118">
        <f>IFERROR(__xludf.DUMMYFUNCTION("""COMPUTED_VALUE"""),44657.54736349537)</f>
        <v>44657.54736</v>
      </c>
      <c r="C1046" s="120">
        <f>IFERROR(__xludf.DUMMYFUNCTION("""COMPUTED_VALUE"""),44657.666666666664)</f>
        <v>44657.66667</v>
      </c>
      <c r="D1046" s="5" t="str">
        <f>IFERROR(__xludf.DUMMYFUNCTION("""COMPUTED_VALUE"""),"77603")</f>
        <v>77603</v>
      </c>
      <c r="E1046" s="5" t="str">
        <f>IFERROR(__xludf.DUMMYFUNCTION("""COMPUTED_VALUE"""),"Stock")</f>
        <v>Stock</v>
      </c>
      <c r="F1046" s="5" t="str">
        <f>IFERROR(__xludf.DUMMYFUNCTION("""COMPUTED_VALUE"""),"HKD")</f>
        <v>HKD</v>
      </c>
      <c r="G1046" s="30" t="str">
        <f>IFERROR(__xludf.DUMMYFUNCTION("""COMPUTED_VALUE"""),"Email Account/ TraderID Recognized")</f>
        <v>Email Account/ TraderID Recognized</v>
      </c>
      <c r="H1046" s="121" t="str">
        <f>IFERROR(__xludf.DUMMYFUNCTION("""COMPUTED_VALUE"""),"1024.HK")</f>
        <v>1024.HK</v>
      </c>
      <c r="I1046" s="30">
        <f>IFERROR(__xludf.DUMMYFUNCTION("""COMPUTED_VALUE"""),1000.0)</f>
        <v>1000</v>
      </c>
      <c r="J1046" s="30">
        <f>IFERROR(__xludf.DUMMYFUNCTION("""COMPUTED_VALUE"""),77.25)</f>
        <v>77.25</v>
      </c>
      <c r="K1046" s="30" t="str">
        <f>IFERROR(__xludf.DUMMYFUNCTION("""COMPUTED_VALUE"""),"QTY, Limit Price (if any) &amp; Password input correct")</f>
        <v>QTY, Limit Price (if any) &amp; Password input correct</v>
      </c>
      <c r="L1046" s="30"/>
    </row>
    <row r="1047">
      <c r="A1047" s="5"/>
      <c r="B1047" s="118">
        <f>IFERROR(__xludf.DUMMYFUNCTION("""COMPUTED_VALUE"""),44657.54815574074)</f>
        <v>44657.54816</v>
      </c>
      <c r="C1047" s="120" t="str">
        <f>IFERROR(__xludf.DUMMYFUNCTION("""COMPUTED_VALUE"""),"")</f>
        <v/>
      </c>
      <c r="D1047" s="5" t="str">
        <f>IFERROR(__xludf.DUMMYFUNCTION("""COMPUTED_VALUE"""),"77603")</f>
        <v>77603</v>
      </c>
      <c r="E1047" s="5" t="str">
        <f>IFERROR(__xludf.DUMMYFUNCTION("""COMPUTED_VALUE"""),"Stock")</f>
        <v>Stock</v>
      </c>
      <c r="F1047" s="5" t="str">
        <f>IFERROR(__xludf.DUMMYFUNCTION("""COMPUTED_VALUE"""),"error")</f>
        <v>error</v>
      </c>
      <c r="G1047" s="30" t="str">
        <f>IFERROR(__xludf.DUMMYFUNCTION("""COMPUTED_VALUE"""),"Email Account/ TraderID Recognized")</f>
        <v>Email Account/ TraderID Recognized</v>
      </c>
      <c r="H1047" s="121" t="str">
        <f>IFERROR(__xludf.DUMMYFUNCTION("""COMPUTED_VALUE"""),"1024.HK")</f>
        <v>1024.HK</v>
      </c>
      <c r="I1047" s="30">
        <f>IFERROR(__xludf.DUMMYFUNCTION("""COMPUTED_VALUE"""),1000.0)</f>
        <v>1000</v>
      </c>
      <c r="J1047" s="30">
        <f>IFERROR(__xludf.DUMMYFUNCTION("""COMPUTED_VALUE"""),77.4)</f>
        <v>77.4</v>
      </c>
      <c r="K1047" s="30" t="str">
        <f>IFERROR(__xludf.DUMMYFUNCTION("""COMPUTED_VALUE"""),"Wrong Password Submitted, Order will be rejected")</f>
        <v>Wrong Password Submitted, Order will be rejected</v>
      </c>
      <c r="L1047" s="30" t="str">
        <f>IFERROR(__xludf.DUMMYFUNCTION("""COMPUTED_VALUE"""),"Order rejected due to wrong password")</f>
        <v>Order rejected due to wrong password</v>
      </c>
    </row>
    <row r="1048">
      <c r="A1048" s="5"/>
      <c r="B1048" s="118">
        <f>IFERROR(__xludf.DUMMYFUNCTION("""COMPUTED_VALUE"""),44657.54888677083)</f>
        <v>44657.54889</v>
      </c>
      <c r="C1048" s="120">
        <f>IFERROR(__xludf.DUMMYFUNCTION("""COMPUTED_VALUE"""),44657.666666666664)</f>
        <v>44657.66667</v>
      </c>
      <c r="D1048" s="5" t="str">
        <f>IFERROR(__xludf.DUMMYFUNCTION("""COMPUTED_VALUE"""),"77603")</f>
        <v>77603</v>
      </c>
      <c r="E1048" s="5" t="str">
        <f>IFERROR(__xludf.DUMMYFUNCTION("""COMPUTED_VALUE"""),"Stock")</f>
        <v>Stock</v>
      </c>
      <c r="F1048" s="5" t="str">
        <f>IFERROR(__xludf.DUMMYFUNCTION("""COMPUTED_VALUE"""),"HKD")</f>
        <v>HKD</v>
      </c>
      <c r="G1048" s="30" t="str">
        <f>IFERROR(__xludf.DUMMYFUNCTION("""COMPUTED_VALUE"""),"Email Account/ TraderID Recognized")</f>
        <v>Email Account/ TraderID Recognized</v>
      </c>
      <c r="H1048" s="121" t="str">
        <f>IFERROR(__xludf.DUMMYFUNCTION("""COMPUTED_VALUE"""),"0006.HK")</f>
        <v>0006.HK</v>
      </c>
      <c r="I1048" s="30">
        <f>IFERROR(__xludf.DUMMYFUNCTION("""COMPUTED_VALUE"""),1000.0)</f>
        <v>1000</v>
      </c>
      <c r="J1048" s="30">
        <f>IFERROR(__xludf.DUMMYFUNCTION("""COMPUTED_VALUE"""),51.45)</f>
        <v>51.45</v>
      </c>
      <c r="K1048" s="30" t="str">
        <f>IFERROR(__xludf.DUMMYFUNCTION("""COMPUTED_VALUE"""),"QTY, Limit Price (if any) &amp; Password input correct")</f>
        <v>QTY, Limit Price (if any) &amp; Password input correct</v>
      </c>
      <c r="L1048" s="30"/>
    </row>
    <row r="1049">
      <c r="A1049" s="5"/>
      <c r="B1049" s="118">
        <f>IFERROR(__xludf.DUMMYFUNCTION("""COMPUTED_VALUE"""),44657.54931969907)</f>
        <v>44657.54932</v>
      </c>
      <c r="C1049" s="120" t="str">
        <f>IFERROR(__xludf.DUMMYFUNCTION("""COMPUTED_VALUE"""),"")</f>
        <v/>
      </c>
      <c r="D1049" s="5" t="str">
        <f>IFERROR(__xludf.DUMMYFUNCTION("""COMPUTED_VALUE"""),"77603")</f>
        <v>77603</v>
      </c>
      <c r="E1049" s="5" t="str">
        <f>IFERROR(__xludf.DUMMYFUNCTION("""COMPUTED_VALUE"""),"Stock")</f>
        <v>Stock</v>
      </c>
      <c r="F1049" s="5" t="str">
        <f>IFERROR(__xludf.DUMMYFUNCTION("""COMPUTED_VALUE"""),"error")</f>
        <v>error</v>
      </c>
      <c r="G1049" s="30" t="str">
        <f>IFERROR(__xludf.DUMMYFUNCTION("""COMPUTED_VALUE"""),"Email Account/ TraderID Recognized")</f>
        <v>Email Account/ TraderID Recognized</v>
      </c>
      <c r="H1049" s="121" t="str">
        <f>IFERROR(__xludf.DUMMYFUNCTION("""COMPUTED_VALUE"""),"0006.HK")</f>
        <v>0006.HK</v>
      </c>
      <c r="I1049" s="30">
        <f>IFERROR(__xludf.DUMMYFUNCTION("""COMPUTED_VALUE"""),1000.0)</f>
        <v>1000</v>
      </c>
      <c r="J1049" s="30">
        <f>IFERROR(__xludf.DUMMYFUNCTION("""COMPUTED_VALUE"""),51.5)</f>
        <v>51.5</v>
      </c>
      <c r="K1049" s="30" t="str">
        <f>IFERROR(__xludf.DUMMYFUNCTION("""COMPUTED_VALUE"""),"Wrong Password Submitted, Order will be rejected")</f>
        <v>Wrong Password Submitted, Order will be rejected</v>
      </c>
      <c r="L1049" s="30" t="str">
        <f>IFERROR(__xludf.DUMMYFUNCTION("""COMPUTED_VALUE"""),"Order rejected due to wrong password")</f>
        <v>Order rejected due to wrong password</v>
      </c>
    </row>
    <row r="1050">
      <c r="A1050" s="5"/>
      <c r="B1050" s="118">
        <f>IFERROR(__xludf.DUMMYFUNCTION("""COMPUTED_VALUE"""),44657.55541539352)</f>
        <v>44657.55542</v>
      </c>
      <c r="C1050" s="120" t="str">
        <f>IFERROR(__xludf.DUMMYFUNCTION("""COMPUTED_VALUE"""),"")</f>
        <v/>
      </c>
      <c r="D1050" s="5" t="str">
        <f>IFERROR(__xludf.DUMMYFUNCTION("""COMPUTED_VALUE"""),"")</f>
        <v/>
      </c>
      <c r="E1050" s="5" t="str">
        <f>IFERROR(__xludf.DUMMYFUNCTION("""COMPUTED_VALUE"""),"Stock")</f>
        <v>Stock</v>
      </c>
      <c r="F1050" s="5" t="str">
        <f>IFERROR(__xludf.DUMMYFUNCTION("""COMPUTED_VALUE"""),"error")</f>
        <v>error</v>
      </c>
      <c r="G1050" s="30" t="str">
        <f>IFERROR(__xludf.DUMMYFUNCTION("""COMPUTED_VALUE"""),"lamhxxxxxx@nonHKMUemail")</f>
        <v>lamhxxxxxx@nonHKMUemail</v>
      </c>
      <c r="H1050" s="121" t="str">
        <f>IFERROR(__xludf.DUMMYFUNCTION("""COMPUTED_VALUE"""),"0700.HK")</f>
        <v>0700.HK</v>
      </c>
      <c r="I1050" s="30">
        <f>IFERROR(__xludf.DUMMYFUNCTION("""COMPUTED_VALUE"""),200000.0)</f>
        <v>200000</v>
      </c>
      <c r="J1050" s="30" t="str">
        <f>IFERROR(__xludf.DUMMYFUNCTION("""COMPUTED_VALUE""")," Limit Sell @ 378 - if Closing @ 380 = Executed price @ 380; if Closing @ 385 = no execution")</f>
        <v> Limit Sell @ 378 - if Closing @ 380 = Executed price @ 380; if Closing @ 385 = no execution</v>
      </c>
      <c r="K1050" s="30" t="str">
        <f>IFERROR(__xludf.DUMMYFUNCTION("""COMPUTED_VALUE"""),"Non-number input in Quantity or Limit Price")</f>
        <v>Non-number input in Quantity or Limit Price</v>
      </c>
      <c r="L1050" s="30" t="str">
        <f>IFERROR(__xludf.DUMMYFUNCTION("""COMPUTED_VALUE"""),"Order rejected due to non school email")</f>
        <v>Order rejected due to non school email</v>
      </c>
    </row>
    <row r="1051">
      <c r="A1051" s="5"/>
      <c r="B1051" s="118">
        <f>IFERROR(__xludf.DUMMYFUNCTION("""COMPUTED_VALUE"""),44657.56499452546)</f>
        <v>44657.56499</v>
      </c>
      <c r="C1051" s="120">
        <f>IFERROR(__xludf.DUMMYFUNCTION("""COMPUTED_VALUE"""),44657.625)</f>
        <v>44657.625</v>
      </c>
      <c r="D1051" s="5" t="str">
        <f>IFERROR(__xludf.DUMMYFUNCTION("""COMPUTED_VALUE"""),"79521")</f>
        <v>79521</v>
      </c>
      <c r="E1051" s="5" t="str">
        <f>IFERROR(__xludf.DUMMYFUNCTION("""COMPUTED_VALUE"""),"Stock")</f>
        <v>Stock</v>
      </c>
      <c r="F1051" s="5" t="str">
        <f>IFERROR(__xludf.DUMMYFUNCTION("""COMPUTED_VALUE"""),"CNY")</f>
        <v>CNY</v>
      </c>
      <c r="G1051" s="30" t="str">
        <f>IFERROR(__xludf.DUMMYFUNCTION("""COMPUTED_VALUE"""),"Email Account/ TraderID Recognized")</f>
        <v>Email Account/ TraderID Recognized</v>
      </c>
      <c r="H1051" s="121" t="str">
        <f>IFERROR(__xludf.DUMMYFUNCTION("""COMPUTED_VALUE"""),"600533.SS")</f>
        <v>600533.SS</v>
      </c>
      <c r="I1051" s="30">
        <f>IFERROR(__xludf.DUMMYFUNCTION("""COMPUTED_VALUE"""),106200.0)</f>
        <v>106200</v>
      </c>
      <c r="J1051" s="30"/>
      <c r="K1051" s="30" t="str">
        <f>IFERROR(__xludf.DUMMYFUNCTION("""COMPUTED_VALUE"""),"QTY, Limit Price (if any) &amp; Password input correct")</f>
        <v>QTY, Limit Price (if any) &amp; Password input correct</v>
      </c>
      <c r="L1051" s="30"/>
    </row>
    <row r="1052">
      <c r="A1052" s="5"/>
      <c r="B1052" s="118">
        <f>IFERROR(__xludf.DUMMYFUNCTION("""COMPUTED_VALUE"""),44657.57713747685)</f>
        <v>44657.57714</v>
      </c>
      <c r="C1052" s="120" t="str">
        <f>IFERROR(__xludf.DUMMYFUNCTION("""COMPUTED_VALUE"""),"")</f>
        <v/>
      </c>
      <c r="D1052" s="5" t="str">
        <f>IFERROR(__xludf.DUMMYFUNCTION("""COMPUTED_VALUE"""),"75597")</f>
        <v>75597</v>
      </c>
      <c r="E1052" s="5" t="str">
        <f>IFERROR(__xludf.DUMMYFUNCTION("""COMPUTED_VALUE"""),"Stock")</f>
        <v>Stock</v>
      </c>
      <c r="F1052" s="5" t="str">
        <f>IFERROR(__xludf.DUMMYFUNCTION("""COMPUTED_VALUE"""),"error")</f>
        <v>error</v>
      </c>
      <c r="G1052" s="30" t="str">
        <f>IFERROR(__xludf.DUMMYFUNCTION("""COMPUTED_VALUE"""),"Email Account/ TraderID Recognized")</f>
        <v>Email Account/ TraderID Recognized</v>
      </c>
      <c r="H1052" s="121" t="str">
        <f>IFERROR(__xludf.DUMMYFUNCTION("""COMPUTED_VALUE"""),"600519.ss")</f>
        <v>600519.ss</v>
      </c>
      <c r="I1052" s="30">
        <f>IFERROR(__xludf.DUMMYFUNCTION("""COMPUTED_VALUE"""),150.0)</f>
        <v>150</v>
      </c>
      <c r="J1052" s="30">
        <f>IFERROR(__xludf.DUMMYFUNCTION("""COMPUTED_VALUE"""),1770.12)</f>
        <v>1770.12</v>
      </c>
      <c r="K1052" s="30" t="str">
        <f>IFERROR(__xludf.DUMMYFUNCTION("""COMPUTED_VALUE"""),"Wrong Password Submitted, Order will be rejected")</f>
        <v>Wrong Password Submitted, Order will be rejected</v>
      </c>
      <c r="L1052" s="30" t="str">
        <f>IFERROR(__xludf.DUMMYFUNCTION("""COMPUTED_VALUE"""),"Order rejected due to wrong password")</f>
        <v>Order rejected due to wrong password</v>
      </c>
    </row>
    <row r="1053">
      <c r="A1053" s="5"/>
      <c r="B1053" s="118">
        <f>IFERROR(__xludf.DUMMYFUNCTION("""COMPUTED_VALUE"""),44657.578880092595)</f>
        <v>44657.57888</v>
      </c>
      <c r="C1053" s="120">
        <f>IFERROR(__xludf.DUMMYFUNCTION("""COMPUTED_VALUE"""),44657.666666666664)</f>
        <v>44657.66667</v>
      </c>
      <c r="D1053" s="5" t="str">
        <f>IFERROR(__xludf.DUMMYFUNCTION("""COMPUTED_VALUE"""),"75965")</f>
        <v>75965</v>
      </c>
      <c r="E1053" s="5" t="str">
        <f>IFERROR(__xludf.DUMMYFUNCTION("""COMPUTED_VALUE"""),"Stock")</f>
        <v>Stock</v>
      </c>
      <c r="F1053" s="5" t="str">
        <f>IFERROR(__xludf.DUMMYFUNCTION("""COMPUTED_VALUE"""),"USD")</f>
        <v>USD</v>
      </c>
      <c r="G1053" s="30" t="str">
        <f>IFERROR(__xludf.DUMMYFUNCTION("""COMPUTED_VALUE"""),"Email Account/ TraderID Recognized")</f>
        <v>Email Account/ TraderID Recognized</v>
      </c>
      <c r="H1053" s="119" t="str">
        <f>IFERROR(__xludf.DUMMYFUNCTION("""COMPUTED_VALUE"""),"TSLA")</f>
        <v>TSLA</v>
      </c>
      <c r="I1053" s="30">
        <f>IFERROR(__xludf.DUMMYFUNCTION("""COMPUTED_VALUE"""),50.0)</f>
        <v>50</v>
      </c>
      <c r="J1053" s="30"/>
      <c r="K1053" s="30" t="str">
        <f>IFERROR(__xludf.DUMMYFUNCTION("""COMPUTED_VALUE"""),"QTY, Limit Price (if any) &amp; Password input correct")</f>
        <v>QTY, Limit Price (if any) &amp; Password input correct</v>
      </c>
      <c r="L1053" s="30"/>
    </row>
    <row r="1054">
      <c r="A1054" s="5"/>
      <c r="B1054" s="118">
        <f>IFERROR(__xludf.DUMMYFUNCTION("""COMPUTED_VALUE"""),44657.58124151621)</f>
        <v>44657.58124</v>
      </c>
      <c r="C1054" s="120">
        <f>IFERROR(__xludf.DUMMYFUNCTION("""COMPUTED_VALUE"""),44657.625)</f>
        <v>44657.625</v>
      </c>
      <c r="D1054" s="5" t="str">
        <f>IFERROR(__xludf.DUMMYFUNCTION("""COMPUTED_VALUE"""),"77393")</f>
        <v>77393</v>
      </c>
      <c r="E1054" s="5" t="str">
        <f>IFERROR(__xludf.DUMMYFUNCTION("""COMPUTED_VALUE"""),"Stock")</f>
        <v>Stock</v>
      </c>
      <c r="F1054" s="5" t="str">
        <f>IFERROR(__xludf.DUMMYFUNCTION("""COMPUTED_VALUE"""),"CNY")</f>
        <v>CNY</v>
      </c>
      <c r="G1054" s="30" t="str">
        <f>IFERROR(__xludf.DUMMYFUNCTION("""COMPUTED_VALUE"""),"Email Account/ TraderID Recognized")</f>
        <v>Email Account/ TraderID Recognized</v>
      </c>
      <c r="H1054" s="121" t="str">
        <f>IFERROR(__xludf.DUMMYFUNCTION("""COMPUTED_VALUE"""),"000568.sz")</f>
        <v>000568.sz</v>
      </c>
      <c r="I1054" s="30">
        <f>IFERROR(__xludf.DUMMYFUNCTION("""COMPUTED_VALUE"""),1500.0)</f>
        <v>1500</v>
      </c>
      <c r="J1054" s="30">
        <f>IFERROR(__xludf.DUMMYFUNCTION("""COMPUTED_VALUE"""),187.64)</f>
        <v>187.64</v>
      </c>
      <c r="K1054" s="30" t="str">
        <f>IFERROR(__xludf.DUMMYFUNCTION("""COMPUTED_VALUE"""),"QTY, Limit Price (if any) &amp; Password input correct")</f>
        <v>QTY, Limit Price (if any) &amp; Password input correct</v>
      </c>
      <c r="L1054" s="30"/>
    </row>
    <row r="1055">
      <c r="A1055" s="5"/>
      <c r="B1055" s="118">
        <f>IFERROR(__xludf.DUMMYFUNCTION("""COMPUTED_VALUE"""),44657.59313634259)</f>
        <v>44657.59314</v>
      </c>
      <c r="C1055" s="120">
        <f>IFERROR(__xludf.DUMMYFUNCTION("""COMPUTED_VALUE"""),44657.666666666664)</f>
        <v>44657.66667</v>
      </c>
      <c r="D1055" s="5" t="str">
        <f>IFERROR(__xludf.DUMMYFUNCTION("""COMPUTED_VALUE"""),"75965")</f>
        <v>75965</v>
      </c>
      <c r="E1055" s="5" t="str">
        <f>IFERROR(__xludf.DUMMYFUNCTION("""COMPUTED_VALUE"""),"Stock")</f>
        <v>Stock</v>
      </c>
      <c r="F1055" s="5" t="str">
        <f>IFERROR(__xludf.DUMMYFUNCTION("""COMPUTED_VALUE"""),"USD")</f>
        <v>USD</v>
      </c>
      <c r="G1055" s="30" t="str">
        <f>IFERROR(__xludf.DUMMYFUNCTION("""COMPUTED_VALUE"""),"Email Account/ TraderID Recognized")</f>
        <v>Email Account/ TraderID Recognized</v>
      </c>
      <c r="H1055" s="119" t="str">
        <f>IFERROR(__xludf.DUMMYFUNCTION("""COMPUTED_VALUE"""),"Nio")</f>
        <v>Nio</v>
      </c>
      <c r="I1055" s="30">
        <f>IFERROR(__xludf.DUMMYFUNCTION("""COMPUTED_VALUE"""),3000.0)</f>
        <v>3000</v>
      </c>
      <c r="J1055" s="30"/>
      <c r="K1055" s="30" t="str">
        <f>IFERROR(__xludf.DUMMYFUNCTION("""COMPUTED_VALUE"""),"QTY, Limit Price (if any) &amp; Password input correct")</f>
        <v>QTY, Limit Price (if any) &amp; Password input correct</v>
      </c>
      <c r="L1055" s="30"/>
    </row>
    <row r="1056">
      <c r="A1056" s="5"/>
      <c r="B1056" s="118">
        <f>IFERROR(__xludf.DUMMYFUNCTION("""COMPUTED_VALUE"""),44657.598426157405)</f>
        <v>44657.59843</v>
      </c>
      <c r="C1056" s="120">
        <f>IFERROR(__xludf.DUMMYFUNCTION("""COMPUTED_VALUE"""),44657.666666666664)</f>
        <v>44657.66667</v>
      </c>
      <c r="D1056" s="5" t="str">
        <f>IFERROR(__xludf.DUMMYFUNCTION("""COMPUTED_VALUE"""),"46600")</f>
        <v>46600</v>
      </c>
      <c r="E1056" s="5" t="str">
        <f>IFERROR(__xludf.DUMMYFUNCTION("""COMPUTED_VALUE"""),"Stock")</f>
        <v>Stock</v>
      </c>
      <c r="F1056" s="5" t="str">
        <f>IFERROR(__xludf.DUMMYFUNCTION("""COMPUTED_VALUE"""),"HKD")</f>
        <v>HKD</v>
      </c>
      <c r="G1056" s="30" t="str">
        <f>IFERROR(__xludf.DUMMYFUNCTION("""COMPUTED_VALUE"""),"Email Account/ TraderID Recognized")</f>
        <v>Email Account/ TraderID Recognized</v>
      </c>
      <c r="H1056" s="121" t="str">
        <f>IFERROR(__xludf.DUMMYFUNCTION("""COMPUTED_VALUE"""),"0700.HK")</f>
        <v>0700.HK</v>
      </c>
      <c r="I1056" s="30">
        <f>IFERROR(__xludf.DUMMYFUNCTION("""COMPUTED_VALUE"""),600.0)</f>
        <v>600</v>
      </c>
      <c r="J1056" s="30"/>
      <c r="K1056" s="30" t="str">
        <f>IFERROR(__xludf.DUMMYFUNCTION("""COMPUTED_VALUE"""),"QTY, Limit Price (if any) &amp; Password input correct")</f>
        <v>QTY, Limit Price (if any) &amp; Password input correct</v>
      </c>
      <c r="L1056" s="30"/>
    </row>
    <row r="1057">
      <c r="A1057" s="5"/>
      <c r="B1057" s="118">
        <f>IFERROR(__xludf.DUMMYFUNCTION("""COMPUTED_VALUE"""),44657.66024162037)</f>
        <v>44657.66024</v>
      </c>
      <c r="C1057" s="120">
        <f>IFERROR(__xludf.DUMMYFUNCTION("""COMPUTED_VALUE"""),44657.666666666664)</f>
        <v>44657.66667</v>
      </c>
      <c r="D1057" s="5" t="str">
        <f>IFERROR(__xludf.DUMMYFUNCTION("""COMPUTED_VALUE"""),"39776")</f>
        <v>39776</v>
      </c>
      <c r="E1057" s="5" t="str">
        <f>IFERROR(__xludf.DUMMYFUNCTION("""COMPUTED_VALUE"""),"Stock")</f>
        <v>Stock</v>
      </c>
      <c r="F1057" s="5" t="str">
        <f>IFERROR(__xludf.DUMMYFUNCTION("""COMPUTED_VALUE"""),"HKD")</f>
        <v>HKD</v>
      </c>
      <c r="G1057" s="30" t="str">
        <f>IFERROR(__xludf.DUMMYFUNCTION("""COMPUTED_VALUE"""),"Email Account/ TraderID Recognized")</f>
        <v>Email Account/ TraderID Recognized</v>
      </c>
      <c r="H1057" s="121" t="str">
        <f>IFERROR(__xludf.DUMMYFUNCTION("""COMPUTED_VALUE"""),"2319.HK")</f>
        <v>2319.HK</v>
      </c>
      <c r="I1057" s="30">
        <f>IFERROR(__xludf.DUMMYFUNCTION("""COMPUTED_VALUE"""),1000.0)</f>
        <v>1000</v>
      </c>
      <c r="J1057" s="30"/>
      <c r="K1057" s="30" t="str">
        <f>IFERROR(__xludf.DUMMYFUNCTION("""COMPUTED_VALUE"""),"QTY, Limit Price (if any) &amp; Password input correct")</f>
        <v>QTY, Limit Price (if any) &amp; Password input correct</v>
      </c>
      <c r="L1057" s="30"/>
    </row>
    <row r="1058">
      <c r="A1058" s="5"/>
      <c r="B1058" s="118">
        <f>IFERROR(__xludf.DUMMYFUNCTION("""COMPUTED_VALUE"""),44657.69466710648)</f>
        <v>44657.69467</v>
      </c>
      <c r="C1058" s="120">
        <f>IFERROR(__xludf.DUMMYFUNCTION("""COMPUTED_VALUE"""),44657.666666666664)</f>
        <v>44657.66667</v>
      </c>
      <c r="D1058" s="5" t="str">
        <f>IFERROR(__xludf.DUMMYFUNCTION("""COMPUTED_VALUE"""),"38307")</f>
        <v>38307</v>
      </c>
      <c r="E1058" s="5" t="str">
        <f>IFERROR(__xludf.DUMMYFUNCTION("""COMPUTED_VALUE"""),"Stock")</f>
        <v>Stock</v>
      </c>
      <c r="F1058" s="5" t="str">
        <f>IFERROR(__xludf.DUMMYFUNCTION("""COMPUTED_VALUE"""),"USD")</f>
        <v>USD</v>
      </c>
      <c r="G1058" s="30" t="str">
        <f>IFERROR(__xludf.DUMMYFUNCTION("""COMPUTED_VALUE"""),"Email Account/ TraderID Recognized")</f>
        <v>Email Account/ TraderID Recognized</v>
      </c>
      <c r="H1058" s="119" t="str">
        <f>IFERROR(__xludf.DUMMYFUNCTION("""COMPUTED_VALUE"""),"BA")</f>
        <v>BA</v>
      </c>
      <c r="I1058" s="30">
        <f>IFERROR(__xludf.DUMMYFUNCTION("""COMPUTED_VALUE"""),100.0)</f>
        <v>100</v>
      </c>
      <c r="J1058" s="30"/>
      <c r="K1058" s="30" t="str">
        <f>IFERROR(__xludf.DUMMYFUNCTION("""COMPUTED_VALUE"""),"QTY, Limit Price (if any) &amp; Password input correct")</f>
        <v>QTY, Limit Price (if any) &amp; Password input correct</v>
      </c>
      <c r="L1058" s="30"/>
    </row>
    <row r="1059">
      <c r="A1059" s="5"/>
      <c r="B1059" s="118">
        <f>IFERROR(__xludf.DUMMYFUNCTION("""COMPUTED_VALUE"""),44657.69603274306)</f>
        <v>44657.69603</v>
      </c>
      <c r="C1059" s="120">
        <f>IFERROR(__xludf.DUMMYFUNCTION("""COMPUTED_VALUE"""),44657.666666666664)</f>
        <v>44657.66667</v>
      </c>
      <c r="D1059" s="5" t="str">
        <f>IFERROR(__xludf.DUMMYFUNCTION("""COMPUTED_VALUE"""),"39563")</f>
        <v>39563</v>
      </c>
      <c r="E1059" s="5" t="str">
        <f>IFERROR(__xludf.DUMMYFUNCTION("""COMPUTED_VALUE"""),"Stock")</f>
        <v>Stock</v>
      </c>
      <c r="F1059" s="5" t="str">
        <f>IFERROR(__xludf.DUMMYFUNCTION("""COMPUTED_VALUE"""),"USD")</f>
        <v>USD</v>
      </c>
      <c r="G1059" s="30" t="str">
        <f>IFERROR(__xludf.DUMMYFUNCTION("""COMPUTED_VALUE"""),"Email Account/ TraderID Recognized")</f>
        <v>Email Account/ TraderID Recognized</v>
      </c>
      <c r="H1059" s="119" t="str">
        <f>IFERROR(__xludf.DUMMYFUNCTION("""COMPUTED_VALUE"""),"TSLA")</f>
        <v>TSLA</v>
      </c>
      <c r="I1059" s="30">
        <f>IFERROR(__xludf.DUMMYFUNCTION("""COMPUTED_VALUE"""),100.0)</f>
        <v>100</v>
      </c>
      <c r="J1059" s="30"/>
      <c r="K1059" s="30" t="str">
        <f>IFERROR(__xludf.DUMMYFUNCTION("""COMPUTED_VALUE"""),"QTY, Limit Price (if any) &amp; Password input correct")</f>
        <v>QTY, Limit Price (if any) &amp; Password input correct</v>
      </c>
      <c r="L1059" s="30"/>
    </row>
    <row r="1060">
      <c r="A1060" s="5"/>
      <c r="B1060" s="118">
        <f>IFERROR(__xludf.DUMMYFUNCTION("""COMPUTED_VALUE"""),44657.69856849537)</f>
        <v>44657.69857</v>
      </c>
      <c r="C1060" s="120" t="str">
        <f>IFERROR(__xludf.DUMMYFUNCTION("""COMPUTED_VALUE"""),"")</f>
        <v/>
      </c>
      <c r="D1060" s="5" t="str">
        <f>IFERROR(__xludf.DUMMYFUNCTION("""COMPUTED_VALUE"""),"38307")</f>
        <v>38307</v>
      </c>
      <c r="E1060" s="5" t="str">
        <f>IFERROR(__xludf.DUMMYFUNCTION("""COMPUTED_VALUE"""),"Stock")</f>
        <v>Stock</v>
      </c>
      <c r="F1060" s="5" t="str">
        <f>IFERROR(__xludf.DUMMYFUNCTION("""COMPUTED_VALUE"""),"error")</f>
        <v>error</v>
      </c>
      <c r="G1060" s="30" t="str">
        <f>IFERROR(__xludf.DUMMYFUNCTION("""COMPUTED_VALUE"""),"Email Account/ TraderID Recognized")</f>
        <v>Email Account/ TraderID Recognized</v>
      </c>
      <c r="H1060" s="119" t="str">
        <f>IFERROR(__xludf.DUMMYFUNCTION("""COMPUTED_VALUE"""),"BA")</f>
        <v>BA</v>
      </c>
      <c r="I1060" s="30">
        <f>IFERROR(__xludf.DUMMYFUNCTION("""COMPUTED_VALUE"""),200.0)</f>
        <v>200</v>
      </c>
      <c r="J1060" s="30" t="str">
        <f>IFERROR(__xludf.DUMMYFUNCTION("""COMPUTED_VALUE"""),"Limit Buy@189.700-Closing@182.650=Executed price@182.650.if Closing@190.000=no execution")</f>
        <v>Limit Buy@189.700-Closing@182.650=Executed price@182.650.if Closing@190.000=no execution</v>
      </c>
      <c r="K1060" s="30" t="str">
        <f>IFERROR(__xludf.DUMMYFUNCTION("""COMPUTED_VALUE"""),"Non-number input in Quantity or Limit Price")</f>
        <v>Non-number input in Quantity or Limit Price</v>
      </c>
      <c r="L1060" s="30" t="str">
        <f>IFERROR(__xludf.DUMMYFUNCTION("""COMPUTED_VALUE"""),"Order rejected due to non number input in limit price")</f>
        <v>Order rejected due to non number input in limit price</v>
      </c>
    </row>
    <row r="1061">
      <c r="A1061" s="5"/>
      <c r="B1061" s="118">
        <f>IFERROR(__xludf.DUMMYFUNCTION("""COMPUTED_VALUE"""),44657.70020332176)</f>
        <v>44657.7002</v>
      </c>
      <c r="C1061" s="120">
        <f>IFERROR(__xludf.DUMMYFUNCTION("""COMPUTED_VALUE"""),44657.666666666664)</f>
        <v>44657.66667</v>
      </c>
      <c r="D1061" s="5" t="str">
        <f>IFERROR(__xludf.DUMMYFUNCTION("""COMPUTED_VALUE"""),"38705")</f>
        <v>38705</v>
      </c>
      <c r="E1061" s="5" t="str">
        <f>IFERROR(__xludf.DUMMYFUNCTION("""COMPUTED_VALUE"""),"Stock")</f>
        <v>Stock</v>
      </c>
      <c r="F1061" s="5" t="str">
        <f>IFERROR(__xludf.DUMMYFUNCTION("""COMPUTED_VALUE"""),"USD")</f>
        <v>USD</v>
      </c>
      <c r="G1061" s="30" t="str">
        <f>IFERROR(__xludf.DUMMYFUNCTION("""COMPUTED_VALUE"""),"Email Account/ TraderID Recognized")</f>
        <v>Email Account/ TraderID Recognized</v>
      </c>
      <c r="H1061" s="119" t="str">
        <f>IFERROR(__xludf.DUMMYFUNCTION("""COMPUTED_VALUE"""),"UNH")</f>
        <v>UNH</v>
      </c>
      <c r="I1061" s="30">
        <f>IFERROR(__xludf.DUMMYFUNCTION("""COMPUTED_VALUE"""),10.0)</f>
        <v>10</v>
      </c>
      <c r="J1061" s="30"/>
      <c r="K1061" s="30" t="str">
        <f>IFERROR(__xludf.DUMMYFUNCTION("""COMPUTED_VALUE"""),"QTY, Limit Price (if any) &amp; Password input correct")</f>
        <v>QTY, Limit Price (if any) &amp; Password input correct</v>
      </c>
      <c r="L1061" s="30"/>
    </row>
    <row r="1062">
      <c r="A1062" s="5"/>
      <c r="B1062" s="118">
        <f>IFERROR(__xludf.DUMMYFUNCTION("""COMPUTED_VALUE"""),44657.70462930556)</f>
        <v>44657.70463</v>
      </c>
      <c r="C1062" s="120">
        <f>IFERROR(__xludf.DUMMYFUNCTION("""COMPUTED_VALUE"""),44657.666666666664)</f>
        <v>44657.66667</v>
      </c>
      <c r="D1062" s="5" t="str">
        <f>IFERROR(__xludf.DUMMYFUNCTION("""COMPUTED_VALUE"""),"38705")</f>
        <v>38705</v>
      </c>
      <c r="E1062" s="5" t="str">
        <f>IFERROR(__xludf.DUMMYFUNCTION("""COMPUTED_VALUE"""),"Stock")</f>
        <v>Stock</v>
      </c>
      <c r="F1062" s="5" t="str">
        <f>IFERROR(__xludf.DUMMYFUNCTION("""COMPUTED_VALUE"""),"USD")</f>
        <v>USD</v>
      </c>
      <c r="G1062" s="30" t="str">
        <f>IFERROR(__xludf.DUMMYFUNCTION("""COMPUTED_VALUE"""),"Email Account/ TraderID Recognized")</f>
        <v>Email Account/ TraderID Recognized</v>
      </c>
      <c r="H1062" s="119" t="str">
        <f>IFERROR(__xludf.DUMMYFUNCTION("""COMPUTED_VALUE"""),"SHEL")</f>
        <v>SHEL</v>
      </c>
      <c r="I1062" s="30">
        <f>IFERROR(__xludf.DUMMYFUNCTION("""COMPUTED_VALUE"""),100.0)</f>
        <v>100</v>
      </c>
      <c r="J1062" s="30"/>
      <c r="K1062" s="30" t="str">
        <f>IFERROR(__xludf.DUMMYFUNCTION("""COMPUTED_VALUE"""),"QTY, Limit Price (if any) &amp; Password input correct")</f>
        <v>QTY, Limit Price (if any) &amp; Password input correct</v>
      </c>
      <c r="L1062" s="30"/>
    </row>
    <row r="1063">
      <c r="A1063" s="5"/>
      <c r="B1063" s="118">
        <f>IFERROR(__xludf.DUMMYFUNCTION("""COMPUTED_VALUE"""),44657.866038101856)</f>
        <v>44657.86604</v>
      </c>
      <c r="C1063" s="120">
        <f>IFERROR(__xludf.DUMMYFUNCTION("""COMPUTED_VALUE"""),44657.666666666664)</f>
        <v>44657.66667</v>
      </c>
      <c r="D1063" s="5" t="str">
        <f>IFERROR(__xludf.DUMMYFUNCTION("""COMPUTED_VALUE"""),"TraderX")</f>
        <v>TraderX</v>
      </c>
      <c r="E1063" s="5" t="str">
        <f>IFERROR(__xludf.DUMMYFUNCTION("""COMPUTED_VALUE"""),"Option")</f>
        <v>Option</v>
      </c>
      <c r="F1063" s="5" t="str">
        <f>IFERROR(__xludf.DUMMYFUNCTION("""COMPUTED_VALUE"""),"USD")</f>
        <v>USD</v>
      </c>
      <c r="G1063" s="30" t="str">
        <f>IFERROR(__xludf.DUMMYFUNCTION("""COMPUTED_VALUE"""),"Email Account/ TraderID Recognized")</f>
        <v>Email Account/ TraderID Recognized</v>
      </c>
      <c r="H1063" s="119" t="str">
        <f>IFERROR(__xludf.DUMMYFUNCTION("""COMPUTED_VALUE"""),"NDXP220406P14500000")</f>
        <v>NDXP220406P14500000</v>
      </c>
      <c r="I1063" s="30">
        <f>IFERROR(__xludf.DUMMYFUNCTION("""COMPUTED_VALUE"""),6.0)</f>
        <v>6</v>
      </c>
      <c r="J1063" s="30"/>
      <c r="K1063" s="30" t="str">
        <f>IFERROR(__xludf.DUMMYFUNCTION("""COMPUTED_VALUE"""),"QTY, Limit Price (if any) &amp; Password input correct")</f>
        <v>QTY, Limit Price (if any) &amp; Password input correct</v>
      </c>
      <c r="L1063" s="30"/>
    </row>
    <row r="1064">
      <c r="A1064" s="5"/>
      <c r="B1064" s="118">
        <f>IFERROR(__xludf.DUMMYFUNCTION("""COMPUTED_VALUE"""),44657.86637337963)</f>
        <v>44657.86637</v>
      </c>
      <c r="C1064" s="120">
        <f>IFERROR(__xludf.DUMMYFUNCTION("""COMPUTED_VALUE"""),44657.666666666664)</f>
        <v>44657.66667</v>
      </c>
      <c r="D1064" s="5" t="str">
        <f>IFERROR(__xludf.DUMMYFUNCTION("""COMPUTED_VALUE"""),"TraderX")</f>
        <v>TraderX</v>
      </c>
      <c r="E1064" s="5" t="str">
        <f>IFERROR(__xludf.DUMMYFUNCTION("""COMPUTED_VALUE"""),"Option")</f>
        <v>Option</v>
      </c>
      <c r="F1064" s="5" t="str">
        <f>IFERROR(__xludf.DUMMYFUNCTION("""COMPUTED_VALUE"""),"USD")</f>
        <v>USD</v>
      </c>
      <c r="G1064" s="30" t="str">
        <f>IFERROR(__xludf.DUMMYFUNCTION("""COMPUTED_VALUE"""),"Email Account/ TraderID Recognized")</f>
        <v>Email Account/ TraderID Recognized</v>
      </c>
      <c r="H1064" s="119" t="str">
        <f>IFERROR(__xludf.DUMMYFUNCTION("""COMPUTED_VALUE"""),"NDXP220406P14400000")</f>
        <v>NDXP220406P14400000</v>
      </c>
      <c r="I1064" s="30">
        <f>IFERROR(__xludf.DUMMYFUNCTION("""COMPUTED_VALUE"""),6.0)</f>
        <v>6</v>
      </c>
      <c r="J1064" s="30"/>
      <c r="K1064" s="30" t="str">
        <f>IFERROR(__xludf.DUMMYFUNCTION("""COMPUTED_VALUE"""),"QTY, Limit Price (if any) &amp; Password input correct")</f>
        <v>QTY, Limit Price (if any) &amp; Password input correct</v>
      </c>
      <c r="L1064" s="30"/>
    </row>
    <row r="1065">
      <c r="A1065" s="5"/>
      <c r="B1065" s="118">
        <f>IFERROR(__xludf.DUMMYFUNCTION("""COMPUTED_VALUE"""),44657.90145689815)</f>
        <v>44657.90146</v>
      </c>
      <c r="C1065" s="120">
        <f>IFERROR(__xludf.DUMMYFUNCTION("""COMPUTED_VALUE"""),44658.666666666664)</f>
        <v>44658.66667</v>
      </c>
      <c r="D1065" s="5" t="str">
        <f>IFERROR(__xludf.DUMMYFUNCTION("""COMPUTED_VALUE"""),"89833")</f>
        <v>89833</v>
      </c>
      <c r="E1065" s="5" t="str">
        <f>IFERROR(__xludf.DUMMYFUNCTION("""COMPUTED_VALUE"""),"Stock")</f>
        <v>Stock</v>
      </c>
      <c r="F1065" s="5" t="str">
        <f>IFERROR(__xludf.DUMMYFUNCTION("""COMPUTED_VALUE"""),"HKD")</f>
        <v>HKD</v>
      </c>
      <c r="G1065" s="30" t="str">
        <f>IFERROR(__xludf.DUMMYFUNCTION("""COMPUTED_VALUE"""),"Email Account/ TraderID Recognized")</f>
        <v>Email Account/ TraderID Recognized</v>
      </c>
      <c r="H1065" s="121" t="str">
        <f>IFERROR(__xludf.DUMMYFUNCTION("""COMPUTED_VALUE"""),"0883.HK")</f>
        <v>0883.HK</v>
      </c>
      <c r="I1065" s="30">
        <f>IFERROR(__xludf.DUMMYFUNCTION("""COMPUTED_VALUE"""),15000.0)</f>
        <v>15000</v>
      </c>
      <c r="J1065" s="30"/>
      <c r="K1065" s="30" t="str">
        <f>IFERROR(__xludf.DUMMYFUNCTION("""COMPUTED_VALUE"""),"QTY, Limit Price (if any) &amp; Password input correct")</f>
        <v>QTY, Limit Price (if any) &amp; Password input correct</v>
      </c>
      <c r="L1065" s="30"/>
    </row>
    <row r="1066">
      <c r="A1066" s="5"/>
      <c r="B1066" s="118">
        <f>IFERROR(__xludf.DUMMYFUNCTION("""COMPUTED_VALUE"""),44657.95756414352)</f>
        <v>44657.95756</v>
      </c>
      <c r="C1066" s="120">
        <f>IFERROR(__xludf.DUMMYFUNCTION("""COMPUTED_VALUE"""),44657.666666666664)</f>
        <v>44657.66667</v>
      </c>
      <c r="D1066" s="5" t="str">
        <f>IFERROR(__xludf.DUMMYFUNCTION("""COMPUTED_VALUE"""),"39608")</f>
        <v>39608</v>
      </c>
      <c r="E1066" s="5" t="str">
        <f>IFERROR(__xludf.DUMMYFUNCTION("""COMPUTED_VALUE"""),"Stock")</f>
        <v>Stock</v>
      </c>
      <c r="F1066" s="5" t="str">
        <f>IFERROR(__xludf.DUMMYFUNCTION("""COMPUTED_VALUE"""),"USD")</f>
        <v>USD</v>
      </c>
      <c r="G1066" s="30" t="str">
        <f>IFERROR(__xludf.DUMMYFUNCTION("""COMPUTED_VALUE"""),"Email Account/ TraderID Recognized")</f>
        <v>Email Account/ TraderID Recognized</v>
      </c>
      <c r="H1066" s="119" t="str">
        <f>IFERROR(__xludf.DUMMYFUNCTION("""COMPUTED_VALUE"""),"BG")</f>
        <v>BG</v>
      </c>
      <c r="I1066" s="30">
        <f>IFERROR(__xludf.DUMMYFUNCTION("""COMPUTED_VALUE"""),300.0)</f>
        <v>300</v>
      </c>
      <c r="J1066" s="30">
        <f>IFERROR(__xludf.DUMMYFUNCTION("""COMPUTED_VALUE"""),114.4)</f>
        <v>114.4</v>
      </c>
      <c r="K1066" s="30" t="str">
        <f>IFERROR(__xludf.DUMMYFUNCTION("""COMPUTED_VALUE"""),"QTY, Limit Price (if any) &amp; Password input correct")</f>
        <v>QTY, Limit Price (if any) &amp; Password input correct</v>
      </c>
      <c r="L1066" s="30"/>
    </row>
    <row r="1067">
      <c r="A1067" s="5"/>
      <c r="B1067" s="118">
        <f>IFERROR(__xludf.DUMMYFUNCTION("""COMPUTED_VALUE"""),44658.13709171297)</f>
        <v>44658.13709</v>
      </c>
      <c r="C1067" s="120">
        <f>IFERROR(__xludf.DUMMYFUNCTION("""COMPUTED_VALUE"""),44657.666666666664)</f>
        <v>44657.66667</v>
      </c>
      <c r="D1067" s="5" t="str">
        <f>IFERROR(__xludf.DUMMYFUNCTION("""COMPUTED_VALUE"""),"39704")</f>
        <v>39704</v>
      </c>
      <c r="E1067" s="5" t="str">
        <f>IFERROR(__xludf.DUMMYFUNCTION("""COMPUTED_VALUE"""),"Stock")</f>
        <v>Stock</v>
      </c>
      <c r="F1067" s="5" t="str">
        <f>IFERROR(__xludf.DUMMYFUNCTION("""COMPUTED_VALUE"""),"USD")</f>
        <v>USD</v>
      </c>
      <c r="G1067" s="30" t="str">
        <f>IFERROR(__xludf.DUMMYFUNCTION("""COMPUTED_VALUE"""),"Email Account/ TraderID Recognized")</f>
        <v>Email Account/ TraderID Recognized</v>
      </c>
      <c r="H1067" s="119" t="str">
        <f>IFERROR(__xludf.DUMMYFUNCTION("""COMPUTED_VALUE"""),"TSLA")</f>
        <v>TSLA</v>
      </c>
      <c r="I1067" s="30">
        <f>IFERROR(__xludf.DUMMYFUNCTION("""COMPUTED_VALUE"""),10.0)</f>
        <v>10</v>
      </c>
      <c r="J1067" s="30"/>
      <c r="K1067" s="30" t="str">
        <f>IFERROR(__xludf.DUMMYFUNCTION("""COMPUTED_VALUE"""),"QTY, Limit Price (if any) &amp; Password input correct")</f>
        <v>QTY, Limit Price (if any) &amp; Password input correct</v>
      </c>
      <c r="L1067" s="30"/>
    </row>
    <row r="1068">
      <c r="A1068" s="5"/>
      <c r="B1068" s="118">
        <f>IFERROR(__xludf.DUMMYFUNCTION("""COMPUTED_VALUE"""),44658.2346182176)</f>
        <v>44658.23462</v>
      </c>
      <c r="C1068" s="120">
        <f>IFERROR(__xludf.DUMMYFUNCTION("""COMPUTED_VALUE"""),44658.666666666664)</f>
        <v>44658.66667</v>
      </c>
      <c r="D1068" s="5" t="str">
        <f>IFERROR(__xludf.DUMMYFUNCTION("""COMPUTED_VALUE"""),"75965")</f>
        <v>75965</v>
      </c>
      <c r="E1068" s="5" t="str">
        <f>IFERROR(__xludf.DUMMYFUNCTION("""COMPUTED_VALUE"""),"Stock")</f>
        <v>Stock</v>
      </c>
      <c r="F1068" s="5" t="str">
        <f>IFERROR(__xludf.DUMMYFUNCTION("""COMPUTED_VALUE"""),"USD")</f>
        <v>USD</v>
      </c>
      <c r="G1068" s="30" t="str">
        <f>IFERROR(__xludf.DUMMYFUNCTION("""COMPUTED_VALUE"""),"Email Account/ TraderID Recognized")</f>
        <v>Email Account/ TraderID Recognized</v>
      </c>
      <c r="H1068" s="119" t="str">
        <f>IFERROR(__xludf.DUMMYFUNCTION("""COMPUTED_VALUE"""),"TQqq")</f>
        <v>TQqq</v>
      </c>
      <c r="I1068" s="30">
        <f>IFERROR(__xludf.DUMMYFUNCTION("""COMPUTED_VALUE"""),500.0)</f>
        <v>500</v>
      </c>
      <c r="J1068" s="30"/>
      <c r="K1068" s="30" t="str">
        <f>IFERROR(__xludf.DUMMYFUNCTION("""COMPUTED_VALUE"""),"QTY, Limit Price (if any) &amp; Password input correct")</f>
        <v>QTY, Limit Price (if any) &amp; Password input correct</v>
      </c>
      <c r="L1068" s="30"/>
    </row>
    <row r="1069">
      <c r="A1069" s="5"/>
      <c r="B1069" s="118">
        <f>IFERROR(__xludf.DUMMYFUNCTION("""COMPUTED_VALUE"""),44658.2355369213)</f>
        <v>44658.23554</v>
      </c>
      <c r="C1069" s="120">
        <f>IFERROR(__xludf.DUMMYFUNCTION("""COMPUTED_VALUE"""),44658.666666666664)</f>
        <v>44658.66667</v>
      </c>
      <c r="D1069" s="5" t="str">
        <f>IFERROR(__xludf.DUMMYFUNCTION("""COMPUTED_VALUE"""),"75965")</f>
        <v>75965</v>
      </c>
      <c r="E1069" s="5" t="str">
        <f>IFERROR(__xludf.DUMMYFUNCTION("""COMPUTED_VALUE"""),"Stock")</f>
        <v>Stock</v>
      </c>
      <c r="F1069" s="5" t="str">
        <f>IFERROR(__xludf.DUMMYFUNCTION("""COMPUTED_VALUE"""),"USD")</f>
        <v>USD</v>
      </c>
      <c r="G1069" s="30" t="str">
        <f>IFERROR(__xludf.DUMMYFUNCTION("""COMPUTED_VALUE"""),"Email Account/ TraderID Recognized")</f>
        <v>Email Account/ TraderID Recognized</v>
      </c>
      <c r="H1069" s="119" t="str">
        <f>IFERROR(__xludf.DUMMYFUNCTION("""COMPUTED_VALUE"""),"Soxl")</f>
        <v>Soxl</v>
      </c>
      <c r="I1069" s="30">
        <f>IFERROR(__xludf.DUMMYFUNCTION("""COMPUTED_VALUE"""),500.0)</f>
        <v>500</v>
      </c>
      <c r="J1069" s="30"/>
      <c r="K1069" s="30" t="str">
        <f>IFERROR(__xludf.DUMMYFUNCTION("""COMPUTED_VALUE"""),"QTY, Limit Price (if any) &amp; Password input correct")</f>
        <v>QTY, Limit Price (if any) &amp; Password input correct</v>
      </c>
      <c r="L1069" s="30"/>
    </row>
    <row r="1070">
      <c r="A1070" s="5"/>
      <c r="B1070" s="118">
        <f>IFERROR(__xludf.DUMMYFUNCTION("""COMPUTED_VALUE"""),44658.38914756944)</f>
        <v>44658.38915</v>
      </c>
      <c r="C1070" s="120">
        <f>IFERROR(__xludf.DUMMYFUNCTION("""COMPUTED_VALUE"""),44658.666666666664)</f>
        <v>44658.66667</v>
      </c>
      <c r="D1070" s="5" t="str">
        <f>IFERROR(__xludf.DUMMYFUNCTION("""COMPUTED_VALUE"""),"37198")</f>
        <v>37198</v>
      </c>
      <c r="E1070" s="5" t="str">
        <f>IFERROR(__xludf.DUMMYFUNCTION("""COMPUTED_VALUE"""),"Stock")</f>
        <v>Stock</v>
      </c>
      <c r="F1070" s="5" t="str">
        <f>IFERROR(__xludf.DUMMYFUNCTION("""COMPUTED_VALUE"""),"USD")</f>
        <v>USD</v>
      </c>
      <c r="G1070" s="30" t="str">
        <f>IFERROR(__xludf.DUMMYFUNCTION("""COMPUTED_VALUE"""),"Email Account/ TraderID Recognized")</f>
        <v>Email Account/ TraderID Recognized</v>
      </c>
      <c r="H1070" s="119" t="str">
        <f>IFERROR(__xludf.DUMMYFUNCTION("""COMPUTED_VALUE"""),"MF")</f>
        <v>MF</v>
      </c>
      <c r="I1070" s="30">
        <f>IFERROR(__xludf.DUMMYFUNCTION("""COMPUTED_VALUE"""),1000.0)</f>
        <v>1000</v>
      </c>
      <c r="J1070" s="30">
        <f>IFERROR(__xludf.DUMMYFUNCTION("""COMPUTED_VALUE"""),0.0)</f>
        <v>0</v>
      </c>
      <c r="K1070" s="30" t="str">
        <f>IFERROR(__xludf.DUMMYFUNCTION("""COMPUTED_VALUE"""),"QTY, Limit Price (if any) &amp; Password input correct")</f>
        <v>QTY, Limit Price (if any) &amp; Password input correct</v>
      </c>
      <c r="L1070" s="30"/>
    </row>
    <row r="1071">
      <c r="A1071" s="5"/>
      <c r="B1071" s="118">
        <f>IFERROR(__xludf.DUMMYFUNCTION("""COMPUTED_VALUE"""),44658.3908300926)</f>
        <v>44658.39083</v>
      </c>
      <c r="C1071" s="120">
        <f>IFERROR(__xludf.DUMMYFUNCTION("""COMPUTED_VALUE"""),44658.666666666664)</f>
        <v>44658.66667</v>
      </c>
      <c r="D1071" s="5" t="str">
        <f>IFERROR(__xludf.DUMMYFUNCTION("""COMPUTED_VALUE"""),"37198")</f>
        <v>37198</v>
      </c>
      <c r="E1071" s="5" t="str">
        <f>IFERROR(__xludf.DUMMYFUNCTION("""COMPUTED_VALUE"""),"Stock")</f>
        <v>Stock</v>
      </c>
      <c r="F1071" s="5" t="str">
        <f>IFERROR(__xludf.DUMMYFUNCTION("""COMPUTED_VALUE"""),"USD")</f>
        <v>USD</v>
      </c>
      <c r="G1071" s="30" t="str">
        <f>IFERROR(__xludf.DUMMYFUNCTION("""COMPUTED_VALUE"""),"Email Account/ TraderID Recognized")</f>
        <v>Email Account/ TraderID Recognized</v>
      </c>
      <c r="H1071" s="119" t="str">
        <f>IFERROR(__xludf.DUMMYFUNCTION("""COMPUTED_VALUE"""),"ADN")</f>
        <v>ADN</v>
      </c>
      <c r="I1071" s="30">
        <f>IFERROR(__xludf.DUMMYFUNCTION("""COMPUTED_VALUE"""),500.0)</f>
        <v>500</v>
      </c>
      <c r="J1071" s="30">
        <f>IFERROR(__xludf.DUMMYFUNCTION("""COMPUTED_VALUE"""),0.0)</f>
        <v>0</v>
      </c>
      <c r="K1071" s="30" t="str">
        <f>IFERROR(__xludf.DUMMYFUNCTION("""COMPUTED_VALUE"""),"QTY, Limit Price (if any) &amp; Password input correct")</f>
        <v>QTY, Limit Price (if any) &amp; Password input correct</v>
      </c>
      <c r="L1071" s="30"/>
    </row>
    <row r="1072">
      <c r="A1072" s="5"/>
      <c r="B1072" s="118">
        <f>IFERROR(__xludf.DUMMYFUNCTION("""COMPUTED_VALUE"""),44658.393606516205)</f>
        <v>44658.39361</v>
      </c>
      <c r="C1072" s="120">
        <f>IFERROR(__xludf.DUMMYFUNCTION("""COMPUTED_VALUE"""),44658.666666666664)</f>
        <v>44658.66667</v>
      </c>
      <c r="D1072" s="5" t="str">
        <f>IFERROR(__xludf.DUMMYFUNCTION("""COMPUTED_VALUE"""),"37198")</f>
        <v>37198</v>
      </c>
      <c r="E1072" s="5" t="str">
        <f>IFERROR(__xludf.DUMMYFUNCTION("""COMPUTED_VALUE"""),"Stock")</f>
        <v>Stock</v>
      </c>
      <c r="F1072" s="5" t="str">
        <f>IFERROR(__xludf.DUMMYFUNCTION("""COMPUTED_VALUE"""),"USD")</f>
        <v>USD</v>
      </c>
      <c r="G1072" s="30" t="str">
        <f>IFERROR(__xludf.DUMMYFUNCTION("""COMPUTED_VALUE"""),"Email Account/ TraderID Recognized")</f>
        <v>Email Account/ TraderID Recognized</v>
      </c>
      <c r="H1072" s="119" t="str">
        <f>IFERROR(__xludf.DUMMYFUNCTION("""COMPUTED_VALUE"""),"MF")</f>
        <v>MF</v>
      </c>
      <c r="I1072" s="30">
        <f>IFERROR(__xludf.DUMMYFUNCTION("""COMPUTED_VALUE"""),1000.0)</f>
        <v>1000</v>
      </c>
      <c r="J1072" s="30"/>
      <c r="K1072" s="30" t="str">
        <f>IFERROR(__xludf.DUMMYFUNCTION("""COMPUTED_VALUE"""),"QTY, Limit Price (if any) &amp; Password input correct")</f>
        <v>QTY, Limit Price (if any) &amp; Password input correct</v>
      </c>
      <c r="L1072" s="30"/>
    </row>
    <row r="1073">
      <c r="A1073" s="5"/>
      <c r="B1073" s="118">
        <f>IFERROR(__xludf.DUMMYFUNCTION("""COMPUTED_VALUE"""),44658.39414211806)</f>
        <v>44658.39414</v>
      </c>
      <c r="C1073" s="120">
        <f>IFERROR(__xludf.DUMMYFUNCTION("""COMPUTED_VALUE"""),44658.666666666664)</f>
        <v>44658.66667</v>
      </c>
      <c r="D1073" s="5" t="str">
        <f>IFERROR(__xludf.DUMMYFUNCTION("""COMPUTED_VALUE"""),"37198")</f>
        <v>37198</v>
      </c>
      <c r="E1073" s="5" t="str">
        <f>IFERROR(__xludf.DUMMYFUNCTION("""COMPUTED_VALUE"""),"Stock")</f>
        <v>Stock</v>
      </c>
      <c r="F1073" s="5" t="str">
        <f>IFERROR(__xludf.DUMMYFUNCTION("""COMPUTED_VALUE"""),"USD")</f>
        <v>USD</v>
      </c>
      <c r="G1073" s="30" t="str">
        <f>IFERROR(__xludf.DUMMYFUNCTION("""COMPUTED_VALUE"""),"Email Account/ TraderID Recognized")</f>
        <v>Email Account/ TraderID Recognized</v>
      </c>
      <c r="H1073" s="119" t="str">
        <f>IFERROR(__xludf.DUMMYFUNCTION("""COMPUTED_VALUE"""),"ADN")</f>
        <v>ADN</v>
      </c>
      <c r="I1073" s="30">
        <f>IFERROR(__xludf.DUMMYFUNCTION("""COMPUTED_VALUE"""),500.0)</f>
        <v>500</v>
      </c>
      <c r="J1073" s="30"/>
      <c r="K1073" s="30" t="str">
        <f>IFERROR(__xludf.DUMMYFUNCTION("""COMPUTED_VALUE"""),"QTY, Limit Price (if any) &amp; Password input correct")</f>
        <v>QTY, Limit Price (if any) &amp; Password input correct</v>
      </c>
      <c r="L1073" s="30"/>
    </row>
    <row r="1074">
      <c r="A1074" s="5"/>
      <c r="B1074" s="118">
        <f>IFERROR(__xludf.DUMMYFUNCTION("""COMPUTED_VALUE"""),44658.41537199074)</f>
        <v>44658.41537</v>
      </c>
      <c r="C1074" s="120">
        <f>IFERROR(__xludf.DUMMYFUNCTION("""COMPUTED_VALUE"""),44658.666666666664)</f>
        <v>44658.66667</v>
      </c>
      <c r="D1074" s="5" t="str">
        <f>IFERROR(__xludf.DUMMYFUNCTION("""COMPUTED_VALUE"""),"77603")</f>
        <v>77603</v>
      </c>
      <c r="E1074" s="5" t="str">
        <f>IFERROR(__xludf.DUMMYFUNCTION("""COMPUTED_VALUE"""),"Stock")</f>
        <v>Stock</v>
      </c>
      <c r="F1074" s="5" t="str">
        <f>IFERROR(__xludf.DUMMYFUNCTION("""COMPUTED_VALUE"""),"HKD")</f>
        <v>HKD</v>
      </c>
      <c r="G1074" s="30" t="str">
        <f>IFERROR(__xludf.DUMMYFUNCTION("""COMPUTED_VALUE"""),"Email Account/ TraderID Recognized")</f>
        <v>Email Account/ TraderID Recognized</v>
      </c>
      <c r="H1074" s="121" t="str">
        <f>IFERROR(__xludf.DUMMYFUNCTION("""COMPUTED_VALUE"""),"9988.HK")</f>
        <v>9988.HK</v>
      </c>
      <c r="I1074" s="30">
        <f>IFERROR(__xludf.DUMMYFUNCTION("""COMPUTED_VALUE"""),5000.0)</f>
        <v>5000</v>
      </c>
      <c r="J1074" s="30">
        <f>IFERROR(__xludf.DUMMYFUNCTION("""COMPUTED_VALUE"""),139.1)</f>
        <v>139.1</v>
      </c>
      <c r="K1074" s="30" t="str">
        <f>IFERROR(__xludf.DUMMYFUNCTION("""COMPUTED_VALUE"""),"QTY, Limit Price (if any) &amp; Password input correct")</f>
        <v>QTY, Limit Price (if any) &amp; Password input correct</v>
      </c>
      <c r="L1074" s="30"/>
    </row>
    <row r="1075">
      <c r="A1075" s="5"/>
      <c r="B1075" s="118">
        <f>IFERROR(__xludf.DUMMYFUNCTION("""COMPUTED_VALUE"""),44658.41590083334)</f>
        <v>44658.4159</v>
      </c>
      <c r="C1075" s="120" t="str">
        <f>IFERROR(__xludf.DUMMYFUNCTION("""COMPUTED_VALUE"""),"")</f>
        <v/>
      </c>
      <c r="D1075" s="5" t="str">
        <f>IFERROR(__xludf.DUMMYFUNCTION("""COMPUTED_VALUE"""),"77603")</f>
        <v>77603</v>
      </c>
      <c r="E1075" s="5" t="str">
        <f>IFERROR(__xludf.DUMMYFUNCTION("""COMPUTED_VALUE"""),"Stock")</f>
        <v>Stock</v>
      </c>
      <c r="F1075" s="5" t="str">
        <f>IFERROR(__xludf.DUMMYFUNCTION("""COMPUTED_VALUE"""),"error")</f>
        <v>error</v>
      </c>
      <c r="G1075" s="30" t="str">
        <f>IFERROR(__xludf.DUMMYFUNCTION("""COMPUTED_VALUE"""),"Email Account/ TraderID Recognized")</f>
        <v>Email Account/ TraderID Recognized</v>
      </c>
      <c r="H1075" s="121" t="str">
        <f>IFERROR(__xludf.DUMMYFUNCTION("""COMPUTED_VALUE"""),"9988.HK")</f>
        <v>9988.HK</v>
      </c>
      <c r="I1075" s="30">
        <f>IFERROR(__xludf.DUMMYFUNCTION("""COMPUTED_VALUE"""),5000.0)</f>
        <v>5000</v>
      </c>
      <c r="J1075" s="30">
        <f>IFERROR(__xludf.DUMMYFUNCTION("""COMPUTED_VALUE"""),139.1)</f>
        <v>139.1</v>
      </c>
      <c r="K1075" s="30" t="str">
        <f>IFERROR(__xludf.DUMMYFUNCTION("""COMPUTED_VALUE"""),"Wrong Password Submitted, Order will be rejected")</f>
        <v>Wrong Password Submitted, Order will be rejected</v>
      </c>
      <c r="L1075" s="30"/>
    </row>
    <row r="1076">
      <c r="A1076" s="5"/>
      <c r="B1076" s="118">
        <f>IFERROR(__xludf.DUMMYFUNCTION("""COMPUTED_VALUE"""),44658.444232037036)</f>
        <v>44658.44423</v>
      </c>
      <c r="C1076" s="120">
        <f>IFERROR(__xludf.DUMMYFUNCTION("""COMPUTED_VALUE"""),44658.625)</f>
        <v>44658.625</v>
      </c>
      <c r="D1076" s="5" t="str">
        <f>IFERROR(__xludf.DUMMYFUNCTION("""COMPUTED_VALUE"""),"39302")</f>
        <v>39302</v>
      </c>
      <c r="E1076" s="5" t="str">
        <f>IFERROR(__xludf.DUMMYFUNCTION("""COMPUTED_VALUE"""),"Stock")</f>
        <v>Stock</v>
      </c>
      <c r="F1076" s="5" t="str">
        <f>IFERROR(__xludf.DUMMYFUNCTION("""COMPUTED_VALUE"""),"CNY")</f>
        <v>CNY</v>
      </c>
      <c r="G1076" s="30" t="str">
        <f>IFERROR(__xludf.DUMMYFUNCTION("""COMPUTED_VALUE"""),"Email Account/ TraderID Recognized")</f>
        <v>Email Account/ TraderID Recognized</v>
      </c>
      <c r="H1076" s="121" t="str">
        <f>IFERROR(__xludf.DUMMYFUNCTION("""COMPUTED_VALUE"""),"002864.SZ")</f>
        <v>002864.SZ</v>
      </c>
      <c r="I1076" s="30">
        <f>IFERROR(__xludf.DUMMYFUNCTION("""COMPUTED_VALUE"""),300.0)</f>
        <v>300</v>
      </c>
      <c r="J1076" s="30"/>
      <c r="K1076" s="30" t="str">
        <f>IFERROR(__xludf.DUMMYFUNCTION("""COMPUTED_VALUE"""),"QTY, Limit Price (if any) &amp; Password input correct")</f>
        <v>QTY, Limit Price (if any) &amp; Password input correct</v>
      </c>
      <c r="L1076" s="30"/>
    </row>
    <row r="1077">
      <c r="A1077" s="5"/>
      <c r="B1077" s="118">
        <f>IFERROR(__xludf.DUMMYFUNCTION("""COMPUTED_VALUE"""),44658.44535375)</f>
        <v>44658.44535</v>
      </c>
      <c r="C1077" s="120">
        <f>IFERROR(__xludf.DUMMYFUNCTION("""COMPUTED_VALUE"""),44658.625)</f>
        <v>44658.625</v>
      </c>
      <c r="D1077" s="5" t="str">
        <f>IFERROR(__xludf.DUMMYFUNCTION("""COMPUTED_VALUE"""),"39302")</f>
        <v>39302</v>
      </c>
      <c r="E1077" s="5" t="str">
        <f>IFERROR(__xludf.DUMMYFUNCTION("""COMPUTED_VALUE"""),"Stock")</f>
        <v>Stock</v>
      </c>
      <c r="F1077" s="5" t="str">
        <f>IFERROR(__xludf.DUMMYFUNCTION("""COMPUTED_VALUE"""),"CNY")</f>
        <v>CNY</v>
      </c>
      <c r="G1077" s="30" t="str">
        <f>IFERROR(__xludf.DUMMYFUNCTION("""COMPUTED_VALUE"""),"Email Account/ TraderID Recognized")</f>
        <v>Email Account/ TraderID Recognized</v>
      </c>
      <c r="H1077" s="121" t="str">
        <f>IFERROR(__xludf.DUMMYFUNCTION("""COMPUTED_VALUE"""),"002657.SZ")</f>
        <v>002657.SZ</v>
      </c>
      <c r="I1077" s="30">
        <f>IFERROR(__xludf.DUMMYFUNCTION("""COMPUTED_VALUE"""),3000.0)</f>
        <v>3000</v>
      </c>
      <c r="J1077" s="30"/>
      <c r="K1077" s="30" t="str">
        <f>IFERROR(__xludf.DUMMYFUNCTION("""COMPUTED_VALUE"""),"QTY, Limit Price (if any) &amp; Password input correct")</f>
        <v>QTY, Limit Price (if any) &amp; Password input correct</v>
      </c>
      <c r="L1077" s="30"/>
    </row>
    <row r="1078">
      <c r="A1078" s="5"/>
      <c r="B1078" s="118">
        <f>IFERROR(__xludf.DUMMYFUNCTION("""COMPUTED_VALUE"""),44658.45028748843)</f>
        <v>44658.45029</v>
      </c>
      <c r="C1078" s="120" t="str">
        <f>IFERROR(__xludf.DUMMYFUNCTION("""COMPUTED_VALUE"""),"")</f>
        <v/>
      </c>
      <c r="D1078" s="5" t="str">
        <f>IFERROR(__xludf.DUMMYFUNCTION("""COMPUTED_VALUE"""),"")</f>
        <v/>
      </c>
      <c r="E1078" s="5" t="str">
        <f>IFERROR(__xludf.DUMMYFUNCTION("""COMPUTED_VALUE"""),"Stock")</f>
        <v>Stock</v>
      </c>
      <c r="F1078" s="5" t="str">
        <f>IFERROR(__xludf.DUMMYFUNCTION("""COMPUTED_VALUE"""),"error")</f>
        <v>error</v>
      </c>
      <c r="G1078" s="30" t="str">
        <f>IFERROR(__xludf.DUMMYFUNCTION("""COMPUTED_VALUE"""),"9068xxxxxx@nonHKMUemail")</f>
        <v>9068xxxxxx@nonHKMUemail</v>
      </c>
      <c r="H1078" s="119" t="str">
        <f>IFERROR(__xludf.DUMMYFUNCTION("""COMPUTED_VALUE"""),"06078")</f>
        <v>06078</v>
      </c>
      <c r="I1078" s="30">
        <f>IFERROR(__xludf.DUMMYFUNCTION("""COMPUTED_VALUE"""),1000.0)</f>
        <v>1000</v>
      </c>
      <c r="J1078" s="30">
        <f>IFERROR(__xludf.DUMMYFUNCTION("""COMPUTED_VALUE"""),100.0)</f>
        <v>100</v>
      </c>
      <c r="K1078" s="30" t="str">
        <f>IFERROR(__xludf.DUMMYFUNCTION("""COMPUTED_VALUE"""),"QTY, Limit Price (if any) &amp; Password input correct")</f>
        <v>QTY, Limit Price (if any) &amp; Password input correct</v>
      </c>
      <c r="L1078" s="30"/>
    </row>
    <row r="1079">
      <c r="A1079" s="5"/>
      <c r="B1079" s="118">
        <f>IFERROR(__xludf.DUMMYFUNCTION("""COMPUTED_VALUE"""),44658.454329699074)</f>
        <v>44658.45433</v>
      </c>
      <c r="C1079" s="120">
        <f>IFERROR(__xludf.DUMMYFUNCTION("""COMPUTED_VALUE"""),44658.625)</f>
        <v>44658.625</v>
      </c>
      <c r="D1079" s="5" t="str">
        <f>IFERROR(__xludf.DUMMYFUNCTION("""COMPUTED_VALUE"""),"39302")</f>
        <v>39302</v>
      </c>
      <c r="E1079" s="5" t="str">
        <f>IFERROR(__xludf.DUMMYFUNCTION("""COMPUTED_VALUE"""),"Stock")</f>
        <v>Stock</v>
      </c>
      <c r="F1079" s="5" t="str">
        <f>IFERROR(__xludf.DUMMYFUNCTION("""COMPUTED_VALUE"""),"CNY")</f>
        <v>CNY</v>
      </c>
      <c r="G1079" s="30" t="str">
        <f>IFERROR(__xludf.DUMMYFUNCTION("""COMPUTED_VALUE"""),"Email Account/ TraderID Recognized")</f>
        <v>Email Account/ TraderID Recognized</v>
      </c>
      <c r="H1079" s="121" t="str">
        <f>IFERROR(__xludf.DUMMYFUNCTION("""COMPUTED_VALUE"""),"600724.SS")</f>
        <v>600724.SS</v>
      </c>
      <c r="I1079" s="30">
        <f>IFERROR(__xludf.DUMMYFUNCTION("""COMPUTED_VALUE"""),20000.0)</f>
        <v>20000</v>
      </c>
      <c r="J1079" s="30"/>
      <c r="K1079" s="30" t="str">
        <f>IFERROR(__xludf.DUMMYFUNCTION("""COMPUTED_VALUE"""),"QTY, Limit Price (if any) &amp; Password input correct")</f>
        <v>QTY, Limit Price (if any) &amp; Password input correct</v>
      </c>
      <c r="L1079" s="30"/>
    </row>
    <row r="1080">
      <c r="A1080" s="5"/>
      <c r="B1080" s="118">
        <f>IFERROR(__xludf.DUMMYFUNCTION("""COMPUTED_VALUE"""),44658.45534082176)</f>
        <v>44658.45534</v>
      </c>
      <c r="C1080" s="120">
        <f>IFERROR(__xludf.DUMMYFUNCTION("""COMPUTED_VALUE"""),44658.625)</f>
        <v>44658.625</v>
      </c>
      <c r="D1080" s="5" t="str">
        <f>IFERROR(__xludf.DUMMYFUNCTION("""COMPUTED_VALUE"""),"39302")</f>
        <v>39302</v>
      </c>
      <c r="E1080" s="5" t="str">
        <f>IFERROR(__xludf.DUMMYFUNCTION("""COMPUTED_VALUE"""),"Stock")</f>
        <v>Stock</v>
      </c>
      <c r="F1080" s="5" t="str">
        <f>IFERROR(__xludf.DUMMYFUNCTION("""COMPUTED_VALUE"""),"CNY")</f>
        <v>CNY</v>
      </c>
      <c r="G1080" s="30" t="str">
        <f>IFERROR(__xludf.DUMMYFUNCTION("""COMPUTED_VALUE"""),"Email Account/ TraderID Recognized")</f>
        <v>Email Account/ TraderID Recognized</v>
      </c>
      <c r="H1080" s="121" t="str">
        <f>IFERROR(__xludf.DUMMYFUNCTION("""COMPUTED_VALUE"""),"002307.SZ")</f>
        <v>002307.SZ</v>
      </c>
      <c r="I1080" s="30">
        <f>IFERROR(__xludf.DUMMYFUNCTION("""COMPUTED_VALUE"""),40000.0)</f>
        <v>40000</v>
      </c>
      <c r="J1080" s="30"/>
      <c r="K1080" s="30" t="str">
        <f>IFERROR(__xludf.DUMMYFUNCTION("""COMPUTED_VALUE"""),"QTY, Limit Price (if any) &amp; Password input correct")</f>
        <v>QTY, Limit Price (if any) &amp; Password input correct</v>
      </c>
      <c r="L1080" s="30"/>
    </row>
    <row r="1081">
      <c r="A1081" s="5"/>
      <c r="B1081" s="118">
        <f>IFERROR(__xludf.DUMMYFUNCTION("""COMPUTED_VALUE"""),44658.557071006944)</f>
        <v>44658.55707</v>
      </c>
      <c r="C1081" s="120">
        <f>IFERROR(__xludf.DUMMYFUNCTION("""COMPUTED_VALUE"""),44658.666666666664)</f>
        <v>44658.66667</v>
      </c>
      <c r="D1081" s="5" t="str">
        <f>IFERROR(__xludf.DUMMYFUNCTION("""COMPUTED_VALUE"""),"75965")</f>
        <v>75965</v>
      </c>
      <c r="E1081" s="5" t="str">
        <f>IFERROR(__xludf.DUMMYFUNCTION("""COMPUTED_VALUE"""),"Option")</f>
        <v>Option</v>
      </c>
      <c r="F1081" s="5" t="str">
        <f>IFERROR(__xludf.DUMMYFUNCTION("""COMPUTED_VALUE"""),"USD")</f>
        <v>USD</v>
      </c>
      <c r="G1081" s="30" t="str">
        <f>IFERROR(__xludf.DUMMYFUNCTION("""COMPUTED_VALUE"""),"Email Account/ TraderID Recognized")</f>
        <v>Email Account/ TraderID Recognized</v>
      </c>
      <c r="H1081" s="112" t="str">
        <f>IFERROR(__xludf.DUMMYFUNCTION("""COMPUTED_VALUE"""),"SOXL220414C00028000")</f>
        <v>SOXL220414C00028000</v>
      </c>
      <c r="I1081" s="30">
        <f>IFERROR(__xludf.DUMMYFUNCTION("""COMPUTED_VALUE"""),5000.0)</f>
        <v>5000</v>
      </c>
      <c r="J1081" s="30"/>
      <c r="K1081" s="30" t="str">
        <f>IFERROR(__xludf.DUMMYFUNCTION("""COMPUTED_VALUE"""),"QTY, Limit Price (if any) &amp; Password input correct")</f>
        <v>QTY, Limit Price (if any) &amp; Password input correct</v>
      </c>
      <c r="L1081" s="30"/>
    </row>
    <row r="1082">
      <c r="A1082" s="5"/>
      <c r="B1082" s="118">
        <f>IFERROR(__xludf.DUMMYFUNCTION("""COMPUTED_VALUE"""),44658.57826145833)</f>
        <v>44658.57826</v>
      </c>
      <c r="C1082" s="120">
        <f>IFERROR(__xludf.DUMMYFUNCTION("""COMPUTED_VALUE"""),44658.625)</f>
        <v>44658.625</v>
      </c>
      <c r="D1082" s="5" t="str">
        <f>IFERROR(__xludf.DUMMYFUNCTION("""COMPUTED_VALUE"""),"76369")</f>
        <v>76369</v>
      </c>
      <c r="E1082" s="5" t="str">
        <f>IFERROR(__xludf.DUMMYFUNCTION("""COMPUTED_VALUE"""),"Stock")</f>
        <v>Stock</v>
      </c>
      <c r="F1082" s="5" t="str">
        <f>IFERROR(__xludf.DUMMYFUNCTION("""COMPUTED_VALUE"""),"CNY")</f>
        <v>CNY</v>
      </c>
      <c r="G1082" s="30" t="str">
        <f>IFERROR(__xludf.DUMMYFUNCTION("""COMPUTED_VALUE"""),"Email Account/ TraderID Recognized")</f>
        <v>Email Account/ TraderID Recognized</v>
      </c>
      <c r="H1082" s="125" t="str">
        <f>IFERROR(__xludf.DUMMYFUNCTION("""COMPUTED_VALUE"""),"688076.SS")</f>
        <v>688076.SS</v>
      </c>
      <c r="I1082" s="30">
        <f>IFERROR(__xludf.DUMMYFUNCTION("""COMPUTED_VALUE"""),500.0)</f>
        <v>500</v>
      </c>
      <c r="J1082" s="30"/>
      <c r="K1082" s="30" t="str">
        <f>IFERROR(__xludf.DUMMYFUNCTION("""COMPUTED_VALUE"""),"QTY, Limit Price (if any) &amp; Password input correct")</f>
        <v>QTY, Limit Price (if any) &amp; Password input correct</v>
      </c>
      <c r="L1082" s="30"/>
    </row>
    <row r="1083">
      <c r="A1083" s="5"/>
      <c r="B1083" s="118">
        <f>IFERROR(__xludf.DUMMYFUNCTION("""COMPUTED_VALUE"""),44658.58635297454)</f>
        <v>44658.58635</v>
      </c>
      <c r="C1083" s="120">
        <f>IFERROR(__xludf.DUMMYFUNCTION("""COMPUTED_VALUE"""),44658.625)</f>
        <v>44658.625</v>
      </c>
      <c r="D1083" s="5" t="str">
        <f>IFERROR(__xludf.DUMMYFUNCTION("""COMPUTED_VALUE"""),"76369")</f>
        <v>76369</v>
      </c>
      <c r="E1083" s="5" t="str">
        <f>IFERROR(__xludf.DUMMYFUNCTION("""COMPUTED_VALUE"""),"Stock")</f>
        <v>Stock</v>
      </c>
      <c r="F1083" s="5" t="str">
        <f>IFERROR(__xludf.DUMMYFUNCTION("""COMPUTED_VALUE"""),"CNY")</f>
        <v>CNY</v>
      </c>
      <c r="G1083" s="30" t="str">
        <f>IFERROR(__xludf.DUMMYFUNCTION("""COMPUTED_VALUE"""),"Email Account/ TraderID Recognized")</f>
        <v>Email Account/ TraderID Recognized</v>
      </c>
      <c r="H1083" s="125" t="str">
        <f>IFERROR(__xludf.DUMMYFUNCTION("""COMPUTED_VALUE"""),"300147.SZ")</f>
        <v>300147.SZ</v>
      </c>
      <c r="I1083" s="30">
        <f>IFERROR(__xludf.DUMMYFUNCTION("""COMPUTED_VALUE"""),1000.0)</f>
        <v>1000</v>
      </c>
      <c r="J1083" s="30"/>
      <c r="K1083" s="30" t="str">
        <f>IFERROR(__xludf.DUMMYFUNCTION("""COMPUTED_VALUE"""),"QTY, Limit Price (if any) &amp; Password input correct")</f>
        <v>QTY, Limit Price (if any) &amp; Password input correct</v>
      </c>
      <c r="L1083" s="30"/>
    </row>
    <row r="1084">
      <c r="A1084" s="5"/>
      <c r="B1084" s="118">
        <f>IFERROR(__xludf.DUMMYFUNCTION("""COMPUTED_VALUE"""),44658.59591747685)</f>
        <v>44658.59592</v>
      </c>
      <c r="C1084" s="120">
        <f>IFERROR(__xludf.DUMMYFUNCTION("""COMPUTED_VALUE"""),44658.625)</f>
        <v>44658.625</v>
      </c>
      <c r="D1084" s="5" t="str">
        <f>IFERROR(__xludf.DUMMYFUNCTION("""COMPUTED_VALUE"""),"79521")</f>
        <v>79521</v>
      </c>
      <c r="E1084" s="5" t="str">
        <f>IFERROR(__xludf.DUMMYFUNCTION("""COMPUTED_VALUE"""),"Stock")</f>
        <v>Stock</v>
      </c>
      <c r="F1084" s="5" t="str">
        <f>IFERROR(__xludf.DUMMYFUNCTION("""COMPUTED_VALUE"""),"CNY")</f>
        <v>CNY</v>
      </c>
      <c r="G1084" s="30" t="str">
        <f>IFERROR(__xludf.DUMMYFUNCTION("""COMPUTED_VALUE"""),"Email Account/ TraderID Recognized")</f>
        <v>Email Account/ TraderID Recognized</v>
      </c>
      <c r="H1084" s="125" t="str">
        <f>IFERROR(__xludf.DUMMYFUNCTION("""COMPUTED_VALUE"""),"600533.SS")</f>
        <v>600533.SS</v>
      </c>
      <c r="I1084" s="30">
        <f>IFERROR(__xludf.DUMMYFUNCTION("""COMPUTED_VALUE"""),106200.0)</f>
        <v>106200</v>
      </c>
      <c r="J1084" s="30"/>
      <c r="K1084" s="30" t="str">
        <f>IFERROR(__xludf.DUMMYFUNCTION("""COMPUTED_VALUE"""),"QTY, Limit Price (if any) &amp; Password input correct")</f>
        <v>QTY, Limit Price (if any) &amp; Password input correct</v>
      </c>
      <c r="L1084" s="30"/>
    </row>
    <row r="1085">
      <c r="A1085" s="5"/>
      <c r="B1085" s="118">
        <f>IFERROR(__xludf.DUMMYFUNCTION("""COMPUTED_VALUE"""),44658.606931608796)</f>
        <v>44658.60693</v>
      </c>
      <c r="C1085" s="120">
        <f>IFERROR(__xludf.DUMMYFUNCTION("""COMPUTED_VALUE"""),44658.666666666664)</f>
        <v>44658.66667</v>
      </c>
      <c r="D1085" s="5" t="str">
        <f>IFERROR(__xludf.DUMMYFUNCTION("""COMPUTED_VALUE"""),"38093")</f>
        <v>38093</v>
      </c>
      <c r="E1085" s="5" t="str">
        <f>IFERROR(__xludf.DUMMYFUNCTION("""COMPUTED_VALUE"""),"Stock")</f>
        <v>Stock</v>
      </c>
      <c r="F1085" s="5" t="str">
        <f>IFERROR(__xludf.DUMMYFUNCTION("""COMPUTED_VALUE"""),"HKD")</f>
        <v>HKD</v>
      </c>
      <c r="G1085" s="30" t="str">
        <f>IFERROR(__xludf.DUMMYFUNCTION("""COMPUTED_VALUE"""),"Email Account/ TraderID Recognized")</f>
        <v>Email Account/ TraderID Recognized</v>
      </c>
      <c r="H1085" s="125" t="str">
        <f>IFERROR(__xludf.DUMMYFUNCTION("""COMPUTED_VALUE"""),"1725.HK")</f>
        <v>1725.HK</v>
      </c>
      <c r="I1085" s="30">
        <f>IFERROR(__xludf.DUMMYFUNCTION("""COMPUTED_VALUE"""),120.0)</f>
        <v>120</v>
      </c>
      <c r="J1085" s="30"/>
      <c r="K1085" s="30" t="str">
        <f>IFERROR(__xludf.DUMMYFUNCTION("""COMPUTED_VALUE"""),"QTY, Limit Price (if any) &amp; Password input correct")</f>
        <v>QTY, Limit Price (if any) &amp; Password input correct</v>
      </c>
      <c r="L1085" s="30"/>
    </row>
    <row r="1086">
      <c r="A1086" s="5"/>
      <c r="B1086" s="118">
        <f>IFERROR(__xludf.DUMMYFUNCTION("""COMPUTED_VALUE"""),44658.607989641205)</f>
        <v>44658.60799</v>
      </c>
      <c r="C1086" s="120">
        <f>IFERROR(__xludf.DUMMYFUNCTION("""COMPUTED_VALUE"""),44658.666666666664)</f>
        <v>44658.66667</v>
      </c>
      <c r="D1086" s="5" t="str">
        <f>IFERROR(__xludf.DUMMYFUNCTION("""COMPUTED_VALUE"""),"38093")</f>
        <v>38093</v>
      </c>
      <c r="E1086" s="5" t="str">
        <f>IFERROR(__xludf.DUMMYFUNCTION("""COMPUTED_VALUE"""),"Stock")</f>
        <v>Stock</v>
      </c>
      <c r="F1086" s="5" t="str">
        <f>IFERROR(__xludf.DUMMYFUNCTION("""COMPUTED_VALUE"""),"HKD")</f>
        <v>HKD</v>
      </c>
      <c r="G1086" s="30" t="str">
        <f>IFERROR(__xludf.DUMMYFUNCTION("""COMPUTED_VALUE"""),"Email Account/ TraderID Recognized")</f>
        <v>Email Account/ TraderID Recognized</v>
      </c>
      <c r="H1086" s="125" t="str">
        <f>IFERROR(__xludf.DUMMYFUNCTION("""COMPUTED_VALUE"""),"8009.HK")</f>
        <v>8009.HK</v>
      </c>
      <c r="I1086" s="30">
        <f>IFERROR(__xludf.DUMMYFUNCTION("""COMPUTED_VALUE"""),150.0)</f>
        <v>150</v>
      </c>
      <c r="J1086" s="30"/>
      <c r="K1086" s="30" t="str">
        <f>IFERROR(__xludf.DUMMYFUNCTION("""COMPUTED_VALUE"""),"QTY, Limit Price (if any) &amp; Password input correct")</f>
        <v>QTY, Limit Price (if any) &amp; Password input correct</v>
      </c>
      <c r="L1086" s="30"/>
    </row>
    <row r="1087">
      <c r="A1087" s="5"/>
      <c r="B1087" s="118">
        <f>IFERROR(__xludf.DUMMYFUNCTION("""COMPUTED_VALUE"""),44658.608070601855)</f>
        <v>44658.60807</v>
      </c>
      <c r="C1087" s="120">
        <f>IFERROR(__xludf.DUMMYFUNCTION("""COMPUTED_VALUE"""),44658.666666666664)</f>
        <v>44658.66667</v>
      </c>
      <c r="D1087" s="5" t="str">
        <f>IFERROR(__xludf.DUMMYFUNCTION("""COMPUTED_VALUE"""),"39563")</f>
        <v>39563</v>
      </c>
      <c r="E1087" s="5" t="str">
        <f>IFERROR(__xludf.DUMMYFUNCTION("""COMPUTED_VALUE"""),"Stock")</f>
        <v>Stock</v>
      </c>
      <c r="F1087" s="5" t="str">
        <f>IFERROR(__xludf.DUMMYFUNCTION("""COMPUTED_VALUE"""),"HKD")</f>
        <v>HKD</v>
      </c>
      <c r="G1087" s="30" t="str">
        <f>IFERROR(__xludf.DUMMYFUNCTION("""COMPUTED_VALUE"""),"Email Account/ TraderID Recognized")</f>
        <v>Email Account/ TraderID Recognized</v>
      </c>
      <c r="H1087" s="125" t="str">
        <f>IFERROR(__xludf.DUMMYFUNCTION("""COMPUTED_VALUE"""),"2196.HK")</f>
        <v>2196.HK</v>
      </c>
      <c r="I1087" s="30">
        <f>IFERROR(__xludf.DUMMYFUNCTION("""COMPUTED_VALUE"""),1000.0)</f>
        <v>1000</v>
      </c>
      <c r="J1087" s="30"/>
      <c r="K1087" s="30" t="str">
        <f>IFERROR(__xludf.DUMMYFUNCTION("""COMPUTED_VALUE"""),"QTY, Limit Price (if any) &amp; Password input correct")</f>
        <v>QTY, Limit Price (if any) &amp; Password input correct</v>
      </c>
      <c r="L1087" s="30"/>
    </row>
    <row r="1088">
      <c r="A1088" s="5"/>
      <c r="B1088" s="118">
        <f>IFERROR(__xludf.DUMMYFUNCTION("""COMPUTED_VALUE"""),44658.60857689814)</f>
        <v>44658.60858</v>
      </c>
      <c r="C1088" s="120">
        <f>IFERROR(__xludf.DUMMYFUNCTION("""COMPUTED_VALUE"""),44658.666666666664)</f>
        <v>44658.66667</v>
      </c>
      <c r="D1088" s="5" t="str">
        <f>IFERROR(__xludf.DUMMYFUNCTION("""COMPUTED_VALUE"""),"38093")</f>
        <v>38093</v>
      </c>
      <c r="E1088" s="5" t="str">
        <f>IFERROR(__xludf.DUMMYFUNCTION("""COMPUTED_VALUE"""),"Stock")</f>
        <v>Stock</v>
      </c>
      <c r="F1088" s="5" t="str">
        <f>IFERROR(__xludf.DUMMYFUNCTION("""COMPUTED_VALUE"""),"HKD")</f>
        <v>HKD</v>
      </c>
      <c r="G1088" s="30" t="str">
        <f>IFERROR(__xludf.DUMMYFUNCTION("""COMPUTED_VALUE"""),"Email Account/ TraderID Recognized")</f>
        <v>Email Account/ TraderID Recognized</v>
      </c>
      <c r="H1088" s="125" t="str">
        <f>IFERROR(__xludf.DUMMYFUNCTION("""COMPUTED_VALUE"""),"0510.HK")</f>
        <v>0510.HK</v>
      </c>
      <c r="I1088" s="30">
        <f>IFERROR(__xludf.DUMMYFUNCTION("""COMPUTED_VALUE"""),300.0)</f>
        <v>300</v>
      </c>
      <c r="J1088" s="30"/>
      <c r="K1088" s="30" t="str">
        <f>IFERROR(__xludf.DUMMYFUNCTION("""COMPUTED_VALUE"""),"QTY, Limit Price (if any) &amp; Password input correct")</f>
        <v>QTY, Limit Price (if any) &amp; Password input correct</v>
      </c>
      <c r="L1088" s="30"/>
    </row>
    <row r="1089">
      <c r="A1089" s="5"/>
      <c r="B1089" s="118">
        <f>IFERROR(__xludf.DUMMYFUNCTION("""COMPUTED_VALUE"""),44658.62295091435)</f>
        <v>44658.62295</v>
      </c>
      <c r="C1089" s="120">
        <f>IFERROR(__xludf.DUMMYFUNCTION("""COMPUTED_VALUE"""),44658.666666666664)</f>
        <v>44658.66667</v>
      </c>
      <c r="D1089" s="5" t="str">
        <f>IFERROR(__xludf.DUMMYFUNCTION("""COMPUTED_VALUE"""),"39857")</f>
        <v>39857</v>
      </c>
      <c r="E1089" s="5" t="str">
        <f>IFERROR(__xludf.DUMMYFUNCTION("""COMPUTED_VALUE"""),"Stock")</f>
        <v>Stock</v>
      </c>
      <c r="F1089" s="5" t="str">
        <f>IFERROR(__xludf.DUMMYFUNCTION("""COMPUTED_VALUE"""),"HKD")</f>
        <v>HKD</v>
      </c>
      <c r="G1089" s="30" t="str">
        <f>IFERROR(__xludf.DUMMYFUNCTION("""COMPUTED_VALUE"""),"Email Account/ TraderID Recognized")</f>
        <v>Email Account/ TraderID Recognized</v>
      </c>
      <c r="H1089" s="125" t="str">
        <f>IFERROR(__xludf.DUMMYFUNCTION("""COMPUTED_VALUE"""),"9939.HK")</f>
        <v>9939.HK</v>
      </c>
      <c r="I1089" s="30">
        <f>IFERROR(__xludf.DUMMYFUNCTION("""COMPUTED_VALUE"""),20000.0)</f>
        <v>20000</v>
      </c>
      <c r="J1089" s="30"/>
      <c r="K1089" s="30" t="str">
        <f>IFERROR(__xludf.DUMMYFUNCTION("""COMPUTED_VALUE"""),"QTY, Limit Price (if any) &amp; Password input correct")</f>
        <v>QTY, Limit Price (if any) &amp; Password input correct</v>
      </c>
      <c r="L1089" s="30"/>
    </row>
    <row r="1090">
      <c r="A1090" s="5"/>
      <c r="B1090" s="118">
        <f>IFERROR(__xludf.DUMMYFUNCTION("""COMPUTED_VALUE"""),44658.62372945602)</f>
        <v>44658.62373</v>
      </c>
      <c r="C1090" s="120">
        <f>IFERROR(__xludf.DUMMYFUNCTION("""COMPUTED_VALUE"""),44658.625)</f>
        <v>44658.625</v>
      </c>
      <c r="D1090" s="5" t="str">
        <f>IFERROR(__xludf.DUMMYFUNCTION("""COMPUTED_VALUE"""),"79521")</f>
        <v>79521</v>
      </c>
      <c r="E1090" s="5" t="str">
        <f>IFERROR(__xludf.DUMMYFUNCTION("""COMPUTED_VALUE"""),"Stock")</f>
        <v>Stock</v>
      </c>
      <c r="F1090" s="5" t="str">
        <f>IFERROR(__xludf.DUMMYFUNCTION("""COMPUTED_VALUE"""),"CNY")</f>
        <v>CNY</v>
      </c>
      <c r="G1090" s="30" t="str">
        <f>IFERROR(__xludf.DUMMYFUNCTION("""COMPUTED_VALUE"""),"Email Account/ TraderID Recognized")</f>
        <v>Email Account/ TraderID Recognized</v>
      </c>
      <c r="H1090" s="125" t="str">
        <f>IFERROR(__xludf.DUMMYFUNCTION("""COMPUTED_VALUE"""),"002205.SZ")</f>
        <v>002205.SZ</v>
      </c>
      <c r="I1090" s="30">
        <f>IFERROR(__xludf.DUMMYFUNCTION("""COMPUTED_VALUE"""),35000.0)</f>
        <v>35000</v>
      </c>
      <c r="J1090" s="30"/>
      <c r="K1090" s="30" t="str">
        <f>IFERROR(__xludf.DUMMYFUNCTION("""COMPUTED_VALUE"""),"QTY, Limit Price (if any) &amp; Password input correct")</f>
        <v>QTY, Limit Price (if any) &amp; Password input correct</v>
      </c>
      <c r="L1090" s="30"/>
    </row>
    <row r="1091">
      <c r="A1091" s="5"/>
      <c r="B1091" s="118">
        <f>IFERROR(__xludf.DUMMYFUNCTION("""COMPUTED_VALUE"""),44658.632237337966)</f>
        <v>44658.63224</v>
      </c>
      <c r="C1091" s="120">
        <f>IFERROR(__xludf.DUMMYFUNCTION("""COMPUTED_VALUE"""),44658.666666666664)</f>
        <v>44658.66667</v>
      </c>
      <c r="D1091" s="5" t="str">
        <f>IFERROR(__xludf.DUMMYFUNCTION("""COMPUTED_VALUE"""),"39704")</f>
        <v>39704</v>
      </c>
      <c r="E1091" s="5" t="str">
        <f>IFERROR(__xludf.DUMMYFUNCTION("""COMPUTED_VALUE"""),"Stock")</f>
        <v>Stock</v>
      </c>
      <c r="F1091" s="5" t="str">
        <f>IFERROR(__xludf.DUMMYFUNCTION("""COMPUTED_VALUE"""),"HKD")</f>
        <v>HKD</v>
      </c>
      <c r="G1091" s="30" t="str">
        <f>IFERROR(__xludf.DUMMYFUNCTION("""COMPUTED_VALUE"""),"Email Account/ TraderID Recognized")</f>
        <v>Email Account/ TraderID Recognized</v>
      </c>
      <c r="H1091" s="125" t="str">
        <f>IFERROR(__xludf.DUMMYFUNCTION("""COMPUTED_VALUE"""),"9939.HK")</f>
        <v>9939.HK</v>
      </c>
      <c r="I1091" s="30">
        <f>IFERROR(__xludf.DUMMYFUNCTION("""COMPUTED_VALUE"""),5000.0)</f>
        <v>5000</v>
      </c>
      <c r="J1091" s="30"/>
      <c r="K1091" s="30" t="str">
        <f>IFERROR(__xludf.DUMMYFUNCTION("""COMPUTED_VALUE"""),"QTY, Limit Price (if any) &amp; Password input correct")</f>
        <v>QTY, Limit Price (if any) &amp; Password input correct</v>
      </c>
      <c r="L1091" s="30"/>
    </row>
    <row r="1092">
      <c r="A1092" s="5"/>
      <c r="B1092" s="118">
        <f>IFERROR(__xludf.DUMMYFUNCTION("""COMPUTED_VALUE"""),44658.66225649306)</f>
        <v>44658.66226</v>
      </c>
      <c r="C1092" s="120">
        <f>IFERROR(__xludf.DUMMYFUNCTION("""COMPUTED_VALUE"""),44658.666666666664)</f>
        <v>44658.66667</v>
      </c>
      <c r="D1092" s="5" t="str">
        <f>IFERROR(__xludf.DUMMYFUNCTION("""COMPUTED_VALUE"""),"46600")</f>
        <v>46600</v>
      </c>
      <c r="E1092" s="5" t="str">
        <f>IFERROR(__xludf.DUMMYFUNCTION("""COMPUTED_VALUE"""),"Stock")</f>
        <v>Stock</v>
      </c>
      <c r="F1092" s="5" t="str">
        <f>IFERROR(__xludf.DUMMYFUNCTION("""COMPUTED_VALUE"""),"HKD")</f>
        <v>HKD</v>
      </c>
      <c r="G1092" s="30" t="str">
        <f>IFERROR(__xludf.DUMMYFUNCTION("""COMPUTED_VALUE"""),"Email Account/ TraderID Recognized")</f>
        <v>Email Account/ TraderID Recognized</v>
      </c>
      <c r="H1092" s="125" t="str">
        <f>IFERROR(__xludf.DUMMYFUNCTION("""COMPUTED_VALUE"""),"0700.HK")</f>
        <v>0700.HK</v>
      </c>
      <c r="I1092" s="30">
        <f>IFERROR(__xludf.DUMMYFUNCTION("""COMPUTED_VALUE"""),600.0)</f>
        <v>600</v>
      </c>
      <c r="J1092" s="30">
        <f>IFERROR(__xludf.DUMMYFUNCTION("""COMPUTED_VALUE"""),377.0)</f>
        <v>377</v>
      </c>
      <c r="K1092" s="30" t="str">
        <f>IFERROR(__xludf.DUMMYFUNCTION("""COMPUTED_VALUE"""),"QTY, Limit Price (if any) &amp; Password input correct")</f>
        <v>QTY, Limit Price (if any) &amp; Password input correct</v>
      </c>
      <c r="L1092" s="30"/>
    </row>
    <row r="1093">
      <c r="A1093" s="5"/>
      <c r="B1093" s="118">
        <f>IFERROR(__xludf.DUMMYFUNCTION("""COMPUTED_VALUE"""),44658.8267256713)</f>
        <v>44658.82673</v>
      </c>
      <c r="C1093" s="120">
        <f>IFERROR(__xludf.DUMMYFUNCTION("""COMPUTED_VALUE"""),44659.666666666664)</f>
        <v>44659.66667</v>
      </c>
      <c r="D1093" s="5" t="str">
        <f>IFERROR(__xludf.DUMMYFUNCTION("""COMPUTED_VALUE"""),"75965")</f>
        <v>75965</v>
      </c>
      <c r="E1093" s="5" t="str">
        <f>IFERROR(__xludf.DUMMYFUNCTION("""COMPUTED_VALUE"""),"Stock")</f>
        <v>Stock</v>
      </c>
      <c r="F1093" s="5" t="str">
        <f>IFERROR(__xludf.DUMMYFUNCTION("""COMPUTED_VALUE"""),"HKD")</f>
        <v>HKD</v>
      </c>
      <c r="G1093" s="30" t="str">
        <f>IFERROR(__xludf.DUMMYFUNCTION("""COMPUTED_VALUE"""),"Email Account/ TraderID Recognized")</f>
        <v>Email Account/ TraderID Recognized</v>
      </c>
      <c r="H1093" s="125" t="str">
        <f>IFERROR(__xludf.DUMMYFUNCTION("""COMPUTED_VALUE"""),"6185.HK")</f>
        <v>6185.HK</v>
      </c>
      <c r="I1093" s="30">
        <f>IFERROR(__xludf.DUMMYFUNCTION("""COMPUTED_VALUE"""),1000.0)</f>
        <v>1000</v>
      </c>
      <c r="J1093" s="30"/>
      <c r="K1093" s="30" t="str">
        <f>IFERROR(__xludf.DUMMYFUNCTION("""COMPUTED_VALUE"""),"QTY, Limit Price (if any) &amp; Password input correct")</f>
        <v>QTY, Limit Price (if any) &amp; Password input correct</v>
      </c>
      <c r="L1093" s="30"/>
    </row>
    <row r="1094">
      <c r="A1094" s="5"/>
      <c r="B1094" s="118">
        <f>IFERROR(__xludf.DUMMYFUNCTION("""COMPUTED_VALUE"""),44658.913714953705)</f>
        <v>44658.91371</v>
      </c>
      <c r="C1094" s="120">
        <f>IFERROR(__xludf.DUMMYFUNCTION("""COMPUTED_VALUE"""),44659.625)</f>
        <v>44659.625</v>
      </c>
      <c r="D1094" s="5" t="str">
        <f>IFERROR(__xludf.DUMMYFUNCTION("""COMPUTED_VALUE"""),"38307")</f>
        <v>38307</v>
      </c>
      <c r="E1094" s="5" t="str">
        <f>IFERROR(__xludf.DUMMYFUNCTION("""COMPUTED_VALUE"""),"Stock")</f>
        <v>Stock</v>
      </c>
      <c r="F1094" s="5" t="str">
        <f>IFERROR(__xludf.DUMMYFUNCTION("""COMPUTED_VALUE"""),"CNY")</f>
        <v>CNY</v>
      </c>
      <c r="G1094" s="30" t="str">
        <f>IFERROR(__xludf.DUMMYFUNCTION("""COMPUTED_VALUE"""),"Email Account/ TraderID Recognized")</f>
        <v>Email Account/ TraderID Recognized</v>
      </c>
      <c r="H1094" s="125" t="str">
        <f>IFERROR(__xludf.DUMMYFUNCTION("""COMPUTED_VALUE"""),"002104.SZ")</f>
        <v>002104.SZ</v>
      </c>
      <c r="I1094" s="30">
        <f>IFERROR(__xludf.DUMMYFUNCTION("""COMPUTED_VALUE"""),1000.0)</f>
        <v>1000</v>
      </c>
      <c r="J1094" s="30"/>
      <c r="K1094" s="30" t="str">
        <f>IFERROR(__xludf.DUMMYFUNCTION("""COMPUTED_VALUE"""),"QTY, Limit Price (if any) &amp; Password input correct")</f>
        <v>QTY, Limit Price (if any) &amp; Password input correct</v>
      </c>
      <c r="L1094" s="30" t="str">
        <f>IFERROR(__xludf.DUMMYFUNCTION("""COMPUTED_VALUE"""),"Wrong ticker, it was input as 002104.SS, should be 002104.SZ")</f>
        <v>Wrong ticker, it was input as 002104.SS, should be 002104.SZ</v>
      </c>
    </row>
    <row r="1095">
      <c r="A1095" s="5"/>
      <c r="B1095" s="118">
        <f>IFERROR(__xludf.DUMMYFUNCTION("""COMPUTED_VALUE"""),44658.91530216435)</f>
        <v>44658.9153</v>
      </c>
      <c r="C1095" s="120">
        <f>IFERROR(__xludf.DUMMYFUNCTION("""COMPUTED_VALUE"""),44658.666666666664)</f>
        <v>44658.66667</v>
      </c>
      <c r="D1095" s="5" t="str">
        <f>IFERROR(__xludf.DUMMYFUNCTION("""COMPUTED_VALUE"""),"38307")</f>
        <v>38307</v>
      </c>
      <c r="E1095" s="5" t="str">
        <f>IFERROR(__xludf.DUMMYFUNCTION("""COMPUTED_VALUE"""),"Stock")</f>
        <v>Stock</v>
      </c>
      <c r="F1095" s="5" t="str">
        <f>IFERROR(__xludf.DUMMYFUNCTION("""COMPUTED_VALUE"""),"USD")</f>
        <v>USD</v>
      </c>
      <c r="G1095" s="30" t="str">
        <f>IFERROR(__xludf.DUMMYFUNCTION("""COMPUTED_VALUE"""),"Email Account/ TraderID Recognized")</f>
        <v>Email Account/ TraderID Recognized</v>
      </c>
      <c r="H1095" s="112" t="str">
        <f>IFERROR(__xludf.DUMMYFUNCTION("""COMPUTED_VALUE"""),"NZRO")</f>
        <v>NZRO</v>
      </c>
      <c r="I1095" s="30">
        <f>IFERROR(__xludf.DUMMYFUNCTION("""COMPUTED_VALUE"""),300.0)</f>
        <v>300</v>
      </c>
      <c r="J1095" s="30"/>
      <c r="K1095" s="30" t="str">
        <f>IFERROR(__xludf.DUMMYFUNCTION("""COMPUTED_VALUE"""),"QTY, Limit Price (if any) &amp; Password input correct")</f>
        <v>QTY, Limit Price (if any) &amp; Password input correct</v>
      </c>
      <c r="L1095" s="30"/>
    </row>
    <row r="1096">
      <c r="A1096" s="5"/>
      <c r="B1096" s="118">
        <f>IFERROR(__xludf.DUMMYFUNCTION("""COMPUTED_VALUE"""),44658.9352390162)</f>
        <v>44658.93524</v>
      </c>
      <c r="C1096" s="120">
        <f>IFERROR(__xludf.DUMMYFUNCTION("""COMPUTED_VALUE"""),44658.666666666664)</f>
        <v>44658.66667</v>
      </c>
      <c r="D1096" s="5" t="str">
        <f>IFERROR(__xludf.DUMMYFUNCTION("""COMPUTED_VALUE"""),"89833")</f>
        <v>89833</v>
      </c>
      <c r="E1096" s="5" t="str">
        <f>IFERROR(__xludf.DUMMYFUNCTION("""COMPUTED_VALUE"""),"Stock")</f>
        <v>Stock</v>
      </c>
      <c r="F1096" s="5" t="str">
        <f>IFERROR(__xludf.DUMMYFUNCTION("""COMPUTED_VALUE"""),"USD")</f>
        <v>USD</v>
      </c>
      <c r="G1096" s="30" t="str">
        <f>IFERROR(__xludf.DUMMYFUNCTION("""COMPUTED_VALUE"""),"Email Account/ TraderID Recognized")</f>
        <v>Email Account/ TraderID Recognized</v>
      </c>
      <c r="H1096" s="112" t="str">
        <f>IFERROR(__xludf.DUMMYFUNCTION("""COMPUTED_VALUE"""),"OXY")</f>
        <v>OXY</v>
      </c>
      <c r="I1096" s="30">
        <f>IFERROR(__xludf.DUMMYFUNCTION("""COMPUTED_VALUE"""),500.0)</f>
        <v>500</v>
      </c>
      <c r="J1096" s="30"/>
      <c r="K1096" s="30" t="str">
        <f>IFERROR(__xludf.DUMMYFUNCTION("""COMPUTED_VALUE"""),"QTY, Limit Price (if any) &amp; Password input correct")</f>
        <v>QTY, Limit Price (if any) &amp; Password input correct</v>
      </c>
      <c r="L1096" s="30"/>
    </row>
    <row r="1097">
      <c r="A1097" s="5"/>
      <c r="B1097" s="118">
        <f>IFERROR(__xludf.DUMMYFUNCTION("""COMPUTED_VALUE"""),44658.9395988426)</f>
        <v>44658.9396</v>
      </c>
      <c r="C1097" s="120">
        <f>IFERROR(__xludf.DUMMYFUNCTION("""COMPUTED_VALUE"""),44659.666666666664)</f>
        <v>44659.66667</v>
      </c>
      <c r="D1097" s="5" t="str">
        <f>IFERROR(__xludf.DUMMYFUNCTION("""COMPUTED_VALUE"""),"70236")</f>
        <v>70236</v>
      </c>
      <c r="E1097" s="5" t="str">
        <f>IFERROR(__xludf.DUMMYFUNCTION("""COMPUTED_VALUE"""),"Stock")</f>
        <v>Stock</v>
      </c>
      <c r="F1097" s="5" t="str">
        <f>IFERROR(__xludf.DUMMYFUNCTION("""COMPUTED_VALUE"""),"HKD")</f>
        <v>HKD</v>
      </c>
      <c r="G1097" s="30" t="str">
        <f>IFERROR(__xludf.DUMMYFUNCTION("""COMPUTED_VALUE"""),"Email Account/ TraderID Recognized")</f>
        <v>Email Account/ TraderID Recognized</v>
      </c>
      <c r="H1097" s="125" t="str">
        <f>IFERROR(__xludf.DUMMYFUNCTION("""COMPUTED_VALUE"""),"0708.HK")</f>
        <v>0708.HK</v>
      </c>
      <c r="I1097" s="30">
        <f>IFERROR(__xludf.DUMMYFUNCTION("""COMPUTED_VALUE"""),500.0)</f>
        <v>500</v>
      </c>
      <c r="J1097" s="30">
        <f>IFERROR(__xludf.DUMMYFUNCTION("""COMPUTED_VALUE"""),3.2)</f>
        <v>3.2</v>
      </c>
      <c r="K1097" s="30" t="str">
        <f>IFERROR(__xludf.DUMMYFUNCTION("""COMPUTED_VALUE"""),"QTY, Limit Price (if any) &amp; Password input correct")</f>
        <v>QTY, Limit Price (if any) &amp; Password input correct</v>
      </c>
      <c r="L1097" s="30"/>
    </row>
    <row r="1098">
      <c r="A1098" s="5"/>
      <c r="B1098" s="118">
        <f>IFERROR(__xludf.DUMMYFUNCTION("""COMPUTED_VALUE"""),44658.94187202546)</f>
        <v>44658.94187</v>
      </c>
      <c r="C1098" s="120">
        <f>IFERROR(__xludf.DUMMYFUNCTION("""COMPUTED_VALUE"""),44658.666666666664)</f>
        <v>44658.66667</v>
      </c>
      <c r="D1098" s="5" t="str">
        <f>IFERROR(__xludf.DUMMYFUNCTION("""COMPUTED_VALUE"""),"45969")</f>
        <v>45969</v>
      </c>
      <c r="E1098" s="5" t="str">
        <f>IFERROR(__xludf.DUMMYFUNCTION("""COMPUTED_VALUE"""),"Option")</f>
        <v>Option</v>
      </c>
      <c r="F1098" s="5" t="str">
        <f>IFERROR(__xludf.DUMMYFUNCTION("""COMPUTED_VALUE"""),"USD")</f>
        <v>USD</v>
      </c>
      <c r="G1098" s="30" t="str">
        <f>IFERROR(__xludf.DUMMYFUNCTION("""COMPUTED_VALUE"""),"Email Account/ TraderID Recognized")</f>
        <v>Email Account/ TraderID Recognized</v>
      </c>
      <c r="H1098" s="112" t="str">
        <f>IFERROR(__xludf.DUMMYFUNCTION("""COMPUTED_VALUE"""),"TQQQ220414P00064000")</f>
        <v>TQQQ220414P00064000</v>
      </c>
      <c r="I1098" s="30">
        <f>IFERROR(__xludf.DUMMYFUNCTION("""COMPUTED_VALUE"""),70.0)</f>
        <v>70</v>
      </c>
      <c r="J1098" s="30">
        <f>IFERROR(__xludf.DUMMYFUNCTION("""COMPUTED_VALUE"""),8.5)</f>
        <v>8.5</v>
      </c>
      <c r="K1098" s="30" t="str">
        <f>IFERROR(__xludf.DUMMYFUNCTION("""COMPUTED_VALUE"""),"QTY, Limit Price (if any) &amp; Password input correct")</f>
        <v>QTY, Limit Price (if any) &amp; Password input correct</v>
      </c>
      <c r="L1098" s="30"/>
    </row>
    <row r="1099">
      <c r="A1099" s="5"/>
      <c r="B1099" s="118">
        <f>IFERROR(__xludf.DUMMYFUNCTION("""COMPUTED_VALUE"""),44658.95953496528)</f>
        <v>44658.95953</v>
      </c>
      <c r="C1099" s="120">
        <f>IFERROR(__xludf.DUMMYFUNCTION("""COMPUTED_VALUE"""),44658.666666666664)</f>
        <v>44658.66667</v>
      </c>
      <c r="D1099" s="5" t="str">
        <f>IFERROR(__xludf.DUMMYFUNCTION("""COMPUTED_VALUE"""),"46225")</f>
        <v>46225</v>
      </c>
      <c r="E1099" s="5" t="str">
        <f>IFERROR(__xludf.DUMMYFUNCTION("""COMPUTED_VALUE"""),"Stock")</f>
        <v>Stock</v>
      </c>
      <c r="F1099" s="5" t="str">
        <f>IFERROR(__xludf.DUMMYFUNCTION("""COMPUTED_VALUE"""),"USD")</f>
        <v>USD</v>
      </c>
      <c r="G1099" s="30" t="str">
        <f>IFERROR(__xludf.DUMMYFUNCTION("""COMPUTED_VALUE"""),"Email Account/ TraderID Recognized")</f>
        <v>Email Account/ TraderID Recognized</v>
      </c>
      <c r="H1099" s="112" t="str">
        <f>IFERROR(__xludf.DUMMYFUNCTION("""COMPUTED_VALUE"""),"BABA")</f>
        <v>BABA</v>
      </c>
      <c r="I1099" s="30">
        <f>IFERROR(__xludf.DUMMYFUNCTION("""COMPUTED_VALUE"""),912.0)</f>
        <v>912</v>
      </c>
      <c r="J1099" s="30"/>
      <c r="K1099" s="30" t="str">
        <f>IFERROR(__xludf.DUMMYFUNCTION("""COMPUTED_VALUE"""),"QTY, Limit Price (if any) &amp; Password input correct")</f>
        <v>QTY, Limit Price (if any) &amp; Password input correct</v>
      </c>
      <c r="L1099" s="30"/>
    </row>
    <row r="1100">
      <c r="A1100" s="5"/>
      <c r="B1100" s="118">
        <f>IFERROR(__xludf.DUMMYFUNCTION("""COMPUTED_VALUE"""),44658.96271815972)</f>
        <v>44658.96272</v>
      </c>
      <c r="C1100" s="120" t="str">
        <f>IFERROR(__xludf.DUMMYFUNCTION("""COMPUTED_VALUE"""),"")</f>
        <v/>
      </c>
      <c r="D1100" s="5" t="str">
        <f>IFERROR(__xludf.DUMMYFUNCTION("""COMPUTED_VALUE"""),"")</f>
        <v/>
      </c>
      <c r="E1100" s="5" t="str">
        <f>IFERROR(__xludf.DUMMYFUNCTION("""COMPUTED_VALUE"""),"Stock")</f>
        <v>Stock</v>
      </c>
      <c r="F1100" s="5" t="str">
        <f>IFERROR(__xludf.DUMMYFUNCTION("""COMPUTED_VALUE"""),"error")</f>
        <v>error</v>
      </c>
      <c r="G1100" s="30" t="str">
        <f>IFERROR(__xludf.DUMMYFUNCTION("""COMPUTED_VALUE"""),"sunnxxxxxx@nonHKMUemail")</f>
        <v>sunnxxxxxx@nonHKMUemail</v>
      </c>
      <c r="H1100" s="112" t="str">
        <f>IFERROR(__xludf.DUMMYFUNCTION("""COMPUTED_VALUE"""),"SNOW")</f>
        <v>SNOW</v>
      </c>
      <c r="I1100" s="30">
        <f>IFERROR(__xludf.DUMMYFUNCTION("""COMPUTED_VALUE"""),45.0)</f>
        <v>45</v>
      </c>
      <c r="J1100" s="30"/>
      <c r="K1100" s="30" t="str">
        <f>IFERROR(__xludf.DUMMYFUNCTION("""COMPUTED_VALUE"""),"QTY, Limit Price (if any) &amp; Password input correct")</f>
        <v>QTY, Limit Price (if any) &amp; Password input correct</v>
      </c>
      <c r="L1100" s="30"/>
    </row>
    <row r="1101">
      <c r="A1101" s="5"/>
      <c r="B1101" s="118">
        <f>IFERROR(__xludf.DUMMYFUNCTION("""COMPUTED_VALUE"""),44658.96492642361)</f>
        <v>44658.96493</v>
      </c>
      <c r="C1101" s="120" t="str">
        <f>IFERROR(__xludf.DUMMYFUNCTION("""COMPUTED_VALUE"""),"")</f>
        <v/>
      </c>
      <c r="D1101" s="5" t="str">
        <f>IFERROR(__xludf.DUMMYFUNCTION("""COMPUTED_VALUE"""),"")</f>
        <v/>
      </c>
      <c r="E1101" s="5" t="str">
        <f>IFERROR(__xludf.DUMMYFUNCTION("""COMPUTED_VALUE"""),"Stock")</f>
        <v>Stock</v>
      </c>
      <c r="F1101" s="5" t="str">
        <f>IFERROR(__xludf.DUMMYFUNCTION("""COMPUTED_VALUE"""),"error")</f>
        <v>error</v>
      </c>
      <c r="G1101" s="30" t="str">
        <f>IFERROR(__xludf.DUMMYFUNCTION("""COMPUTED_VALUE"""),"sunnxxxxxx@nonHKMUemail")</f>
        <v>sunnxxxxxx@nonHKMUemail</v>
      </c>
      <c r="H1101" s="112" t="str">
        <f>IFERROR(__xludf.DUMMYFUNCTION("""COMPUTED_VALUE"""),"SOL-USD")</f>
        <v>SOL-USD</v>
      </c>
      <c r="I1101" s="30">
        <f>IFERROR(__xludf.DUMMYFUNCTION("""COMPUTED_VALUE"""),84.0)</f>
        <v>84</v>
      </c>
      <c r="J1101" s="30"/>
      <c r="K1101" s="30" t="str">
        <f>IFERROR(__xludf.DUMMYFUNCTION("""COMPUTED_VALUE"""),"QTY, Limit Price (if any) &amp; Password input correct")</f>
        <v>QTY, Limit Price (if any) &amp; Password input correct</v>
      </c>
      <c r="L1101" s="30"/>
    </row>
    <row r="1102">
      <c r="A1102" s="5"/>
      <c r="B1102" s="118">
        <f>IFERROR(__xludf.DUMMYFUNCTION("""COMPUTED_VALUE"""),44658.96976085648)</f>
        <v>44658.96976</v>
      </c>
      <c r="C1102" s="120" t="str">
        <f>IFERROR(__xludf.DUMMYFUNCTION("""COMPUTED_VALUE"""),"")</f>
        <v/>
      </c>
      <c r="D1102" s="5" t="str">
        <f>IFERROR(__xludf.DUMMYFUNCTION("""COMPUTED_VALUE"""),"")</f>
        <v/>
      </c>
      <c r="E1102" s="5" t="str">
        <f>IFERROR(__xludf.DUMMYFUNCTION("""COMPUTED_VALUE"""),"Stock")</f>
        <v>Stock</v>
      </c>
      <c r="F1102" s="5" t="str">
        <f>IFERROR(__xludf.DUMMYFUNCTION("""COMPUTED_VALUE"""),"error")</f>
        <v>error</v>
      </c>
      <c r="G1102" s="30" t="str">
        <f>IFERROR(__xludf.DUMMYFUNCTION("""COMPUTED_VALUE"""),"sunnxxxxxx@nonHKMUemail")</f>
        <v>sunnxxxxxx@nonHKMUemail</v>
      </c>
      <c r="H1102" s="112" t="str">
        <f>IFERROR(__xludf.DUMMYFUNCTION("""COMPUTED_VALUE"""),"TSLA")</f>
        <v>TSLA</v>
      </c>
      <c r="I1102" s="30">
        <f>IFERROR(__xludf.DUMMYFUNCTION("""COMPUTED_VALUE"""),18.0)</f>
        <v>18</v>
      </c>
      <c r="J1102" s="30"/>
      <c r="K1102" s="30" t="str">
        <f>IFERROR(__xludf.DUMMYFUNCTION("""COMPUTED_VALUE"""),"QTY, Limit Price (if any) &amp; Password input correct")</f>
        <v>QTY, Limit Price (if any) &amp; Password input correct</v>
      </c>
      <c r="L1102" s="30"/>
    </row>
    <row r="1103">
      <c r="A1103" s="5"/>
      <c r="B1103" s="118">
        <f>IFERROR(__xludf.DUMMYFUNCTION("""COMPUTED_VALUE"""),44658.971058842595)</f>
        <v>44658.97106</v>
      </c>
      <c r="C1103" s="120">
        <f>IFERROR(__xludf.DUMMYFUNCTION("""COMPUTED_VALUE"""),44658.666666666664)</f>
        <v>44658.66667</v>
      </c>
      <c r="D1103" s="5" t="str">
        <f>IFERROR(__xludf.DUMMYFUNCTION("""COMPUTED_VALUE"""),"39815")</f>
        <v>39815</v>
      </c>
      <c r="E1103" s="5" t="str">
        <f>IFERROR(__xludf.DUMMYFUNCTION("""COMPUTED_VALUE"""),"Stock")</f>
        <v>Stock</v>
      </c>
      <c r="F1103" s="5" t="str">
        <f>IFERROR(__xludf.DUMMYFUNCTION("""COMPUTED_VALUE"""),"USD")</f>
        <v>USD</v>
      </c>
      <c r="G1103" s="30" t="str">
        <f>IFERROR(__xludf.DUMMYFUNCTION("""COMPUTED_VALUE"""),"Email Account/ TraderID Recognized")</f>
        <v>Email Account/ TraderID Recognized</v>
      </c>
      <c r="H1103" s="112" t="str">
        <f>IFERROR(__xludf.DUMMYFUNCTION("""COMPUTED_VALUE"""),"A")</f>
        <v>A</v>
      </c>
      <c r="I1103" s="30">
        <f>IFERROR(__xludf.DUMMYFUNCTION("""COMPUTED_VALUE"""),100.0)</f>
        <v>100</v>
      </c>
      <c r="J1103" s="30">
        <f>IFERROR(__xludf.DUMMYFUNCTION("""COMPUTED_VALUE"""),100.0)</f>
        <v>100</v>
      </c>
      <c r="K1103" s="30" t="str">
        <f>IFERROR(__xludf.DUMMYFUNCTION("""COMPUTED_VALUE"""),"QTY, Limit Price (if any) &amp; Password input correct")</f>
        <v>QTY, Limit Price (if any) &amp; Password input correct</v>
      </c>
      <c r="L1103" s="30"/>
    </row>
    <row r="1104">
      <c r="A1104" s="5"/>
      <c r="B1104" s="118">
        <f>IFERROR(__xludf.DUMMYFUNCTION("""COMPUTED_VALUE"""),44658.97298302084)</f>
        <v>44658.97298</v>
      </c>
      <c r="C1104" s="120">
        <f>IFERROR(__xludf.DUMMYFUNCTION("""COMPUTED_VALUE"""),44658.666666666664)</f>
        <v>44658.66667</v>
      </c>
      <c r="D1104" s="5" t="str">
        <f>IFERROR(__xludf.DUMMYFUNCTION("""COMPUTED_VALUE"""),"39815")</f>
        <v>39815</v>
      </c>
      <c r="E1104" s="5" t="str">
        <f>IFERROR(__xludf.DUMMYFUNCTION("""COMPUTED_VALUE"""),"Stock")</f>
        <v>Stock</v>
      </c>
      <c r="F1104" s="5" t="str">
        <f>IFERROR(__xludf.DUMMYFUNCTION("""COMPUTED_VALUE"""),"USD")</f>
        <v>USD</v>
      </c>
      <c r="G1104" s="30" t="str">
        <f>IFERROR(__xludf.DUMMYFUNCTION("""COMPUTED_VALUE"""),"Email Account/ TraderID Recognized")</f>
        <v>Email Account/ TraderID Recognized</v>
      </c>
      <c r="H1104" s="112" t="str">
        <f>IFERROR(__xludf.DUMMYFUNCTION("""COMPUTED_VALUE"""),"A")</f>
        <v>A</v>
      </c>
      <c r="I1104" s="30">
        <f>IFERROR(__xludf.DUMMYFUNCTION("""COMPUTED_VALUE"""),100.0)</f>
        <v>100</v>
      </c>
      <c r="J1104" s="30">
        <f>IFERROR(__xludf.DUMMYFUNCTION("""COMPUTED_VALUE"""),100.0)</f>
        <v>100</v>
      </c>
      <c r="K1104" s="30" t="str">
        <f>IFERROR(__xludf.DUMMYFUNCTION("""COMPUTED_VALUE"""),"QTY, Limit Price (if any) &amp; Password input correct")</f>
        <v>QTY, Limit Price (if any) &amp; Password input correct</v>
      </c>
      <c r="L1104" s="30"/>
    </row>
    <row r="1105">
      <c r="A1105" s="5"/>
      <c r="B1105" s="118">
        <f>IFERROR(__xludf.DUMMYFUNCTION("""COMPUTED_VALUE"""),44658.97645048611)</f>
        <v>44658.97645</v>
      </c>
      <c r="C1105" s="120">
        <f>IFERROR(__xludf.DUMMYFUNCTION("""COMPUTED_VALUE"""),44659.666666666664)</f>
        <v>44659.66667</v>
      </c>
      <c r="D1105" s="5" t="str">
        <f>IFERROR(__xludf.DUMMYFUNCTION("""COMPUTED_VALUE"""),"77665")</f>
        <v>77665</v>
      </c>
      <c r="E1105" s="5" t="str">
        <f>IFERROR(__xludf.DUMMYFUNCTION("""COMPUTED_VALUE"""),"Stock")</f>
        <v>Stock</v>
      </c>
      <c r="F1105" s="5" t="str">
        <f>IFERROR(__xludf.DUMMYFUNCTION("""COMPUTED_VALUE"""),"HKD")</f>
        <v>HKD</v>
      </c>
      <c r="G1105" s="30" t="str">
        <f>IFERROR(__xludf.DUMMYFUNCTION("""COMPUTED_VALUE"""),"Email Account/ TraderID Recognized")</f>
        <v>Email Account/ TraderID Recognized</v>
      </c>
      <c r="H1105" s="125" t="str">
        <f>IFERROR(__xludf.DUMMYFUNCTION("""COMPUTED_VALUE"""),"2217.HK")</f>
        <v>2217.HK</v>
      </c>
      <c r="I1105" s="30">
        <f>IFERROR(__xludf.DUMMYFUNCTION("""COMPUTED_VALUE"""),10.0)</f>
        <v>10</v>
      </c>
      <c r="J1105" s="30"/>
      <c r="K1105" s="30" t="str">
        <f>IFERROR(__xludf.DUMMYFUNCTION("""COMPUTED_VALUE"""),"QTY, Limit Price (if any) &amp; Password input correct")</f>
        <v>QTY, Limit Price (if any) &amp; Password input correct</v>
      </c>
      <c r="L1105" s="30"/>
    </row>
    <row r="1106">
      <c r="A1106" s="5"/>
      <c r="B1106" s="118">
        <f>IFERROR(__xludf.DUMMYFUNCTION("""COMPUTED_VALUE"""),44658.97747266204)</f>
        <v>44658.97747</v>
      </c>
      <c r="C1106" s="120">
        <f>IFERROR(__xludf.DUMMYFUNCTION("""COMPUTED_VALUE"""),44658.666666666664)</f>
        <v>44658.66667</v>
      </c>
      <c r="D1106" s="5" t="str">
        <f>IFERROR(__xludf.DUMMYFUNCTION("""COMPUTED_VALUE"""),"77665")</f>
        <v>77665</v>
      </c>
      <c r="E1106" s="5" t="str">
        <f>IFERROR(__xludf.DUMMYFUNCTION("""COMPUTED_VALUE"""),"Stock")</f>
        <v>Stock</v>
      </c>
      <c r="F1106" s="5" t="str">
        <f>IFERROR(__xludf.DUMMYFUNCTION("""COMPUTED_VALUE"""),"USD")</f>
        <v>USD</v>
      </c>
      <c r="G1106" s="30" t="str">
        <f>IFERROR(__xludf.DUMMYFUNCTION("""COMPUTED_VALUE"""),"Email Account/ TraderID Recognized")</f>
        <v>Email Account/ TraderID Recognized</v>
      </c>
      <c r="H1106" s="112" t="str">
        <f>IFERROR(__xludf.DUMMYFUNCTION("""COMPUTED_VALUE"""),"KO")</f>
        <v>KO</v>
      </c>
      <c r="I1106" s="30">
        <f>IFERROR(__xludf.DUMMYFUNCTION("""COMPUTED_VALUE"""),50.0)</f>
        <v>50</v>
      </c>
      <c r="J1106" s="30"/>
      <c r="K1106" s="30" t="str">
        <f>IFERROR(__xludf.DUMMYFUNCTION("""COMPUTED_VALUE"""),"QTY, Limit Price (if any) &amp; Password input correct")</f>
        <v>QTY, Limit Price (if any) &amp; Password input correct</v>
      </c>
      <c r="L1106" s="30"/>
    </row>
    <row r="1107">
      <c r="A1107" s="5"/>
      <c r="B1107" s="118">
        <f>IFERROR(__xludf.DUMMYFUNCTION("""COMPUTED_VALUE"""),44658.977981041666)</f>
        <v>44658.97798</v>
      </c>
      <c r="C1107" s="120">
        <f>IFERROR(__xludf.DUMMYFUNCTION("""COMPUTED_VALUE"""),44658.666666666664)</f>
        <v>44658.66667</v>
      </c>
      <c r="D1107" s="5" t="str">
        <f>IFERROR(__xludf.DUMMYFUNCTION("""COMPUTED_VALUE"""),"77665")</f>
        <v>77665</v>
      </c>
      <c r="E1107" s="5" t="str">
        <f>IFERROR(__xludf.DUMMYFUNCTION("""COMPUTED_VALUE"""),"Stock")</f>
        <v>Stock</v>
      </c>
      <c r="F1107" s="5" t="str">
        <f>IFERROR(__xludf.DUMMYFUNCTION("""COMPUTED_VALUE"""),"USD")</f>
        <v>USD</v>
      </c>
      <c r="G1107" s="30" t="str">
        <f>IFERROR(__xludf.DUMMYFUNCTION("""COMPUTED_VALUE"""),"Email Account/ TraderID Recognized")</f>
        <v>Email Account/ TraderID Recognized</v>
      </c>
      <c r="H1107" s="112" t="str">
        <f>IFERROR(__xludf.DUMMYFUNCTION("""COMPUTED_VALUE"""),"VNM")</f>
        <v>VNM</v>
      </c>
      <c r="I1107" s="30">
        <f>IFERROR(__xludf.DUMMYFUNCTION("""COMPUTED_VALUE"""),400.0)</f>
        <v>400</v>
      </c>
      <c r="J1107" s="30"/>
      <c r="K1107" s="30" t="str">
        <f>IFERROR(__xludf.DUMMYFUNCTION("""COMPUTED_VALUE"""),"QTY, Limit Price (if any) &amp; Password input correct")</f>
        <v>QTY, Limit Price (if any) &amp; Password input correct</v>
      </c>
      <c r="L1107" s="30"/>
    </row>
    <row r="1108">
      <c r="A1108" s="5"/>
      <c r="B1108" s="118">
        <f>IFERROR(__xludf.DUMMYFUNCTION("""COMPUTED_VALUE"""),44658.98144670139)</f>
        <v>44658.98145</v>
      </c>
      <c r="C1108" s="120" t="str">
        <f>IFERROR(__xludf.DUMMYFUNCTION("""COMPUTED_VALUE"""),"")</f>
        <v/>
      </c>
      <c r="D1108" s="5" t="str">
        <f>IFERROR(__xludf.DUMMYFUNCTION("""COMPUTED_VALUE"""),"")</f>
        <v/>
      </c>
      <c r="E1108" s="5" t="str">
        <f>IFERROR(__xludf.DUMMYFUNCTION("""COMPUTED_VALUE"""),"Option")</f>
        <v>Option</v>
      </c>
      <c r="F1108" s="5" t="str">
        <f>IFERROR(__xludf.DUMMYFUNCTION("""COMPUTED_VALUE"""),"error")</f>
        <v>error</v>
      </c>
      <c r="G1108" s="30" t="str">
        <f>IFERROR(__xludf.DUMMYFUNCTION("""COMPUTED_VALUE"""),"s123xxxxxx@nonHKMUemail")</f>
        <v>s123xxxxxx@nonHKMUemail</v>
      </c>
      <c r="H1108" s="112" t="str">
        <f>IFERROR(__xludf.DUMMYFUNCTION("""COMPUTED_VALUE"""),"GOLD")</f>
        <v>GOLD</v>
      </c>
      <c r="I1108" s="30">
        <f>IFERROR(__xludf.DUMMYFUNCTION("""COMPUTED_VALUE"""),100.0)</f>
        <v>100</v>
      </c>
      <c r="J1108" s="30">
        <f>IFERROR(__xludf.DUMMYFUNCTION("""COMPUTED_VALUE"""),100.0)</f>
        <v>100</v>
      </c>
      <c r="K1108" s="30" t="str">
        <f>IFERROR(__xludf.DUMMYFUNCTION("""COMPUTED_VALUE"""),"QTY, Limit Price (if any) &amp; Password input correct")</f>
        <v>QTY, Limit Price (if any) &amp; Password input correct</v>
      </c>
      <c r="L1108" s="30"/>
    </row>
    <row r="1109">
      <c r="A1109" s="5"/>
      <c r="B1109" s="118">
        <f>IFERROR(__xludf.DUMMYFUNCTION("""COMPUTED_VALUE"""),44658.98471829861)</f>
        <v>44658.98472</v>
      </c>
      <c r="C1109" s="120">
        <f>IFERROR(__xludf.DUMMYFUNCTION("""COMPUTED_VALUE"""),44658.666666666664)</f>
        <v>44658.66667</v>
      </c>
      <c r="D1109" s="5" t="str">
        <f>IFERROR(__xludf.DUMMYFUNCTION("""COMPUTED_VALUE"""),"39815")</f>
        <v>39815</v>
      </c>
      <c r="E1109" s="5" t="str">
        <f>IFERROR(__xludf.DUMMYFUNCTION("""COMPUTED_VALUE"""),"Stock")</f>
        <v>Stock</v>
      </c>
      <c r="F1109" s="5" t="str">
        <f>IFERROR(__xludf.DUMMYFUNCTION("""COMPUTED_VALUE"""),"USD")</f>
        <v>USD</v>
      </c>
      <c r="G1109" s="30" t="str">
        <f>IFERROR(__xludf.DUMMYFUNCTION("""COMPUTED_VALUE"""),"Email Account/ TraderID Recognized")</f>
        <v>Email Account/ TraderID Recognized</v>
      </c>
      <c r="H1109" s="112" t="str">
        <f>IFERROR(__xludf.DUMMYFUNCTION("""COMPUTED_VALUE"""),"MNTS")</f>
        <v>MNTS</v>
      </c>
      <c r="I1109" s="30">
        <f>IFERROR(__xludf.DUMMYFUNCTION("""COMPUTED_VALUE"""),100.0)</f>
        <v>100</v>
      </c>
      <c r="J1109" s="30">
        <f>IFERROR(__xludf.DUMMYFUNCTION("""COMPUTED_VALUE"""),100.0)</f>
        <v>100</v>
      </c>
      <c r="K1109" s="30" t="str">
        <f>IFERROR(__xludf.DUMMYFUNCTION("""COMPUTED_VALUE"""),"QTY, Limit Price (if any) &amp; Password input correct")</f>
        <v>QTY, Limit Price (if any) &amp; Password input correct</v>
      </c>
      <c r="L1109" s="30"/>
    </row>
    <row r="1110">
      <c r="A1110" s="5"/>
      <c r="B1110" s="118">
        <f>IFERROR(__xludf.DUMMYFUNCTION("""COMPUTED_VALUE"""),44658.98646591435)</f>
        <v>44658.98647</v>
      </c>
      <c r="C1110" s="120">
        <f>IFERROR(__xludf.DUMMYFUNCTION("""COMPUTED_VALUE"""),44658.666666666664)</f>
        <v>44658.66667</v>
      </c>
      <c r="D1110" s="5" t="str">
        <f>IFERROR(__xludf.DUMMYFUNCTION("""COMPUTED_VALUE"""),"39815")</f>
        <v>39815</v>
      </c>
      <c r="E1110" s="5" t="str">
        <f>IFERROR(__xludf.DUMMYFUNCTION("""COMPUTED_VALUE"""),"Stock")</f>
        <v>Stock</v>
      </c>
      <c r="F1110" s="5" t="str">
        <f>IFERROR(__xludf.DUMMYFUNCTION("""COMPUTED_VALUE"""),"USD")</f>
        <v>USD</v>
      </c>
      <c r="G1110" s="30" t="str">
        <f>IFERROR(__xludf.DUMMYFUNCTION("""COMPUTED_VALUE"""),"Email Account/ TraderID Recognized")</f>
        <v>Email Account/ TraderID Recognized</v>
      </c>
      <c r="H1110" s="112" t="str">
        <f>IFERROR(__xludf.DUMMYFUNCTION("""COMPUTED_VALUE"""),"COST")</f>
        <v>COST</v>
      </c>
      <c r="I1110" s="30">
        <f>IFERROR(__xludf.DUMMYFUNCTION("""COMPUTED_VALUE"""),100.0)</f>
        <v>100</v>
      </c>
      <c r="J1110" s="30">
        <f>IFERROR(__xludf.DUMMYFUNCTION("""COMPUTED_VALUE"""),100.0)</f>
        <v>100</v>
      </c>
      <c r="K1110" s="30" t="str">
        <f>IFERROR(__xludf.DUMMYFUNCTION("""COMPUTED_VALUE"""),"QTY, Limit Price (if any) &amp; Password input correct")</f>
        <v>QTY, Limit Price (if any) &amp; Password input correct</v>
      </c>
      <c r="L1110" s="30"/>
    </row>
    <row r="1111">
      <c r="A1111" s="5"/>
      <c r="B1111" s="118">
        <f>IFERROR(__xludf.DUMMYFUNCTION("""COMPUTED_VALUE"""),44658.98718548611)</f>
        <v>44658.98719</v>
      </c>
      <c r="C1111" s="120">
        <f>IFERROR(__xludf.DUMMYFUNCTION("""COMPUTED_VALUE"""),44658.666666666664)</f>
        <v>44658.66667</v>
      </c>
      <c r="D1111" s="5" t="str">
        <f>IFERROR(__xludf.DUMMYFUNCTION("""COMPUTED_VALUE"""),"77665")</f>
        <v>77665</v>
      </c>
      <c r="E1111" s="5" t="str">
        <f>IFERROR(__xludf.DUMMYFUNCTION("""COMPUTED_VALUE"""),"Stock")</f>
        <v>Stock</v>
      </c>
      <c r="F1111" s="5" t="str">
        <f>IFERROR(__xludf.DUMMYFUNCTION("""COMPUTED_VALUE"""),"USD")</f>
        <v>USD</v>
      </c>
      <c r="G1111" s="30" t="str">
        <f>IFERROR(__xludf.DUMMYFUNCTION("""COMPUTED_VALUE"""),"Email Account/ TraderID Recognized")</f>
        <v>Email Account/ TraderID Recognized</v>
      </c>
      <c r="H1111" s="112" t="str">
        <f>IFERROR(__xludf.DUMMYFUNCTION("""COMPUTED_VALUE"""),"KPLT")</f>
        <v>KPLT</v>
      </c>
      <c r="I1111" s="30">
        <f>IFERROR(__xludf.DUMMYFUNCTION("""COMPUTED_VALUE"""),1000.0)</f>
        <v>1000</v>
      </c>
      <c r="J1111" s="30"/>
      <c r="K1111" s="30" t="str">
        <f>IFERROR(__xludf.DUMMYFUNCTION("""COMPUTED_VALUE"""),"QTY, Limit Price (if any) &amp; Password input correct")</f>
        <v>QTY, Limit Price (if any) &amp; Password input correct</v>
      </c>
      <c r="L1111" s="30"/>
    </row>
    <row r="1112">
      <c r="A1112" s="5"/>
      <c r="B1112" s="118">
        <f>IFERROR(__xludf.DUMMYFUNCTION("""COMPUTED_VALUE"""),44658.98783854167)</f>
        <v>44658.98784</v>
      </c>
      <c r="C1112" s="120">
        <f>IFERROR(__xludf.DUMMYFUNCTION("""COMPUTED_VALUE"""),44658.666666666664)</f>
        <v>44658.66667</v>
      </c>
      <c r="D1112" s="5" t="str">
        <f>IFERROR(__xludf.DUMMYFUNCTION("""COMPUTED_VALUE"""),"39815")</f>
        <v>39815</v>
      </c>
      <c r="E1112" s="5" t="str">
        <f>IFERROR(__xludf.DUMMYFUNCTION("""COMPUTED_VALUE"""),"Stock")</f>
        <v>Stock</v>
      </c>
      <c r="F1112" s="5" t="str">
        <f>IFERROR(__xludf.DUMMYFUNCTION("""COMPUTED_VALUE"""),"USD")</f>
        <v>USD</v>
      </c>
      <c r="G1112" s="30" t="str">
        <f>IFERROR(__xludf.DUMMYFUNCTION("""COMPUTED_VALUE"""),"Email Account/ TraderID Recognized")</f>
        <v>Email Account/ TraderID Recognized</v>
      </c>
      <c r="H1112" s="112" t="str">
        <f>IFERROR(__xludf.DUMMYFUNCTION("""COMPUTED_VALUE"""),"HPQ")</f>
        <v>HPQ</v>
      </c>
      <c r="I1112" s="30">
        <f>IFERROR(__xludf.DUMMYFUNCTION("""COMPUTED_VALUE"""),100.0)</f>
        <v>100</v>
      </c>
      <c r="J1112" s="30">
        <f>IFERROR(__xludf.DUMMYFUNCTION("""COMPUTED_VALUE"""),100.0)</f>
        <v>100</v>
      </c>
      <c r="K1112" s="30" t="str">
        <f>IFERROR(__xludf.DUMMYFUNCTION("""COMPUTED_VALUE"""),"QTY, Limit Price (if any) &amp; Password input correct")</f>
        <v>QTY, Limit Price (if any) &amp; Password input correct</v>
      </c>
      <c r="L1112" s="30"/>
    </row>
    <row r="1113">
      <c r="A1113" s="5"/>
      <c r="B1113" s="118">
        <f>IFERROR(__xludf.DUMMYFUNCTION("""COMPUTED_VALUE"""),44658.99160981481)</f>
        <v>44658.99161</v>
      </c>
      <c r="C1113" s="120">
        <f>IFERROR(__xludf.DUMMYFUNCTION("""COMPUTED_VALUE"""),44659.625)</f>
        <v>44659.625</v>
      </c>
      <c r="D1113" s="5" t="str">
        <f>IFERROR(__xludf.DUMMYFUNCTION("""COMPUTED_VALUE"""),"39815")</f>
        <v>39815</v>
      </c>
      <c r="E1113" s="5" t="str">
        <f>IFERROR(__xludf.DUMMYFUNCTION("""COMPUTED_VALUE"""),"Stock")</f>
        <v>Stock</v>
      </c>
      <c r="F1113" s="5" t="str">
        <f>IFERROR(__xludf.DUMMYFUNCTION("""COMPUTED_VALUE"""),"CNY")</f>
        <v>CNY</v>
      </c>
      <c r="G1113" s="30" t="str">
        <f>IFERROR(__xludf.DUMMYFUNCTION("""COMPUTED_VALUE"""),"Email Account/ TraderID Recognized")</f>
        <v>Email Account/ TraderID Recognized</v>
      </c>
      <c r="H1113" s="125" t="str">
        <f>IFERROR(__xludf.DUMMYFUNCTION("""COMPUTED_VALUE"""),"600519.SS")</f>
        <v>600519.SS</v>
      </c>
      <c r="I1113" s="30">
        <f>IFERROR(__xludf.DUMMYFUNCTION("""COMPUTED_VALUE"""),100.0)</f>
        <v>100</v>
      </c>
      <c r="J1113" s="30">
        <f>IFERROR(__xludf.DUMMYFUNCTION("""COMPUTED_VALUE"""),100.0)</f>
        <v>100</v>
      </c>
      <c r="K1113" s="30" t="str">
        <f>IFERROR(__xludf.DUMMYFUNCTION("""COMPUTED_VALUE"""),"QTY, Limit Price (if any) &amp; Password input correct")</f>
        <v>QTY, Limit Price (if any) &amp; Password input correct</v>
      </c>
      <c r="L1113" s="30"/>
    </row>
    <row r="1114">
      <c r="A1114" s="5"/>
      <c r="B1114" s="118">
        <f>IFERROR(__xludf.DUMMYFUNCTION("""COMPUTED_VALUE"""),44658.993326805554)</f>
        <v>44658.99333</v>
      </c>
      <c r="C1114" s="120">
        <f>IFERROR(__xludf.DUMMYFUNCTION("""COMPUTED_VALUE"""),44658.666666666664)</f>
        <v>44658.66667</v>
      </c>
      <c r="D1114" s="5" t="str">
        <f>IFERROR(__xludf.DUMMYFUNCTION("""COMPUTED_VALUE"""),"46225")</f>
        <v>46225</v>
      </c>
      <c r="E1114" s="5" t="str">
        <f>IFERROR(__xludf.DUMMYFUNCTION("""COMPUTED_VALUE"""),"Stock")</f>
        <v>Stock</v>
      </c>
      <c r="F1114" s="5" t="str">
        <f>IFERROR(__xludf.DUMMYFUNCTION("""COMPUTED_VALUE"""),"USD")</f>
        <v>USD</v>
      </c>
      <c r="G1114" s="30" t="str">
        <f>IFERROR(__xludf.DUMMYFUNCTION("""COMPUTED_VALUE"""),"Email Account/ TraderID Recognized")</f>
        <v>Email Account/ TraderID Recognized</v>
      </c>
      <c r="H1114" s="112" t="str">
        <f>IFERROR(__xludf.DUMMYFUNCTION("""COMPUTED_VALUE"""),"SNOW")</f>
        <v>SNOW</v>
      </c>
      <c r="I1114" s="30">
        <f>IFERROR(__xludf.DUMMYFUNCTION("""COMPUTED_VALUE"""),123.0)</f>
        <v>123</v>
      </c>
      <c r="J1114" s="30"/>
      <c r="K1114" s="30" t="str">
        <f>IFERROR(__xludf.DUMMYFUNCTION("""COMPUTED_VALUE"""),"QTY, Limit Price (if any) &amp; Password input correct")</f>
        <v>QTY, Limit Price (if any) &amp; Password input correct</v>
      </c>
      <c r="L1114" s="30"/>
    </row>
    <row r="1115">
      <c r="A1115" s="5"/>
      <c r="B1115" s="118">
        <f>IFERROR(__xludf.DUMMYFUNCTION("""COMPUTED_VALUE"""),44658.99405417824)</f>
        <v>44658.99405</v>
      </c>
      <c r="C1115" s="120">
        <f>IFERROR(__xludf.DUMMYFUNCTION("""COMPUTED_VALUE"""),44658.666666666664)</f>
        <v>44658.66667</v>
      </c>
      <c r="D1115" s="5" t="str">
        <f>IFERROR(__xludf.DUMMYFUNCTION("""COMPUTED_VALUE"""),"46225")</f>
        <v>46225</v>
      </c>
      <c r="E1115" s="5" t="str">
        <f>IFERROR(__xludf.DUMMYFUNCTION("""COMPUTED_VALUE"""),"Stock")</f>
        <v>Stock</v>
      </c>
      <c r="F1115" s="5" t="str">
        <f>IFERROR(__xludf.DUMMYFUNCTION("""COMPUTED_VALUE"""),"USD")</f>
        <v>USD</v>
      </c>
      <c r="G1115" s="30" t="str">
        <f>IFERROR(__xludf.DUMMYFUNCTION("""COMPUTED_VALUE"""),"Email Account/ TraderID Recognized")</f>
        <v>Email Account/ TraderID Recognized</v>
      </c>
      <c r="H1115" s="112" t="str">
        <f>IFERROR(__xludf.DUMMYFUNCTION("""COMPUTED_VALUE"""),"SNOW")</f>
        <v>SNOW</v>
      </c>
      <c r="I1115" s="30">
        <f>IFERROR(__xludf.DUMMYFUNCTION("""COMPUTED_VALUE"""),45.0)</f>
        <v>45</v>
      </c>
      <c r="J1115" s="30"/>
      <c r="K1115" s="30" t="str">
        <f>IFERROR(__xludf.DUMMYFUNCTION("""COMPUTED_VALUE"""),"QTY, Limit Price (if any) &amp; Password input correct")</f>
        <v>QTY, Limit Price (if any) &amp; Password input correct</v>
      </c>
      <c r="L1115" s="30"/>
    </row>
    <row r="1116">
      <c r="A1116" s="5"/>
      <c r="B1116" s="118">
        <f>IFERROR(__xludf.DUMMYFUNCTION("""COMPUTED_VALUE"""),44658.99460203704)</f>
        <v>44658.9946</v>
      </c>
      <c r="C1116" s="120">
        <f>IFERROR(__xludf.DUMMYFUNCTION("""COMPUTED_VALUE"""),44658.666666666664)</f>
        <v>44658.66667</v>
      </c>
      <c r="D1116" s="5" t="str">
        <f>IFERROR(__xludf.DUMMYFUNCTION("""COMPUTED_VALUE"""),"46225")</f>
        <v>46225</v>
      </c>
      <c r="E1116" s="5" t="str">
        <f>IFERROR(__xludf.DUMMYFUNCTION("""COMPUTED_VALUE"""),"Stock")</f>
        <v>Stock</v>
      </c>
      <c r="F1116" s="5" t="str">
        <f>IFERROR(__xludf.DUMMYFUNCTION("""COMPUTED_VALUE"""),"USD")</f>
        <v>USD</v>
      </c>
      <c r="G1116" s="30" t="str">
        <f>IFERROR(__xludf.DUMMYFUNCTION("""COMPUTED_VALUE"""),"Email Account/ TraderID Recognized")</f>
        <v>Email Account/ TraderID Recognized</v>
      </c>
      <c r="H1116" s="112" t="str">
        <f>IFERROR(__xludf.DUMMYFUNCTION("""COMPUTED_VALUE"""),"SOL-USD")</f>
        <v>SOL-USD</v>
      </c>
      <c r="I1116" s="30">
        <f>IFERROR(__xludf.DUMMYFUNCTION("""COMPUTED_VALUE"""),84.0)</f>
        <v>84</v>
      </c>
      <c r="J1116" s="30"/>
      <c r="K1116" s="30" t="str">
        <f>IFERROR(__xludf.DUMMYFUNCTION("""COMPUTED_VALUE"""),"QTY, Limit Price (if any) &amp; Password input correct")</f>
        <v>QTY, Limit Price (if any) &amp; Password input correct</v>
      </c>
      <c r="L1116" s="30"/>
    </row>
    <row r="1117">
      <c r="A1117" s="5"/>
      <c r="B1117" s="118">
        <f>IFERROR(__xludf.DUMMYFUNCTION("""COMPUTED_VALUE"""),44658.99501640046)</f>
        <v>44658.99502</v>
      </c>
      <c r="C1117" s="120">
        <f>IFERROR(__xludf.DUMMYFUNCTION("""COMPUTED_VALUE"""),44658.666666666664)</f>
        <v>44658.66667</v>
      </c>
      <c r="D1117" s="5" t="str">
        <f>IFERROR(__xludf.DUMMYFUNCTION("""COMPUTED_VALUE"""),"46225")</f>
        <v>46225</v>
      </c>
      <c r="E1117" s="5" t="str">
        <f>IFERROR(__xludf.DUMMYFUNCTION("""COMPUTED_VALUE"""),"Stock")</f>
        <v>Stock</v>
      </c>
      <c r="F1117" s="5" t="str">
        <f>IFERROR(__xludf.DUMMYFUNCTION("""COMPUTED_VALUE"""),"USD")</f>
        <v>USD</v>
      </c>
      <c r="G1117" s="30" t="str">
        <f>IFERROR(__xludf.DUMMYFUNCTION("""COMPUTED_VALUE"""),"Email Account/ TraderID Recognized")</f>
        <v>Email Account/ TraderID Recognized</v>
      </c>
      <c r="H1117" s="112" t="str">
        <f>IFERROR(__xludf.DUMMYFUNCTION("""COMPUTED_VALUE"""),"TSLA")</f>
        <v>TSLA</v>
      </c>
      <c r="I1117" s="30">
        <f>IFERROR(__xludf.DUMMYFUNCTION("""COMPUTED_VALUE"""),18.0)</f>
        <v>18</v>
      </c>
      <c r="J1117" s="30"/>
      <c r="K1117" s="30" t="str">
        <f>IFERROR(__xludf.DUMMYFUNCTION("""COMPUTED_VALUE"""),"QTY, Limit Price (if any) &amp; Password input correct")</f>
        <v>QTY, Limit Price (if any) &amp; Password input correct</v>
      </c>
      <c r="L1117" s="30"/>
    </row>
    <row r="1118">
      <c r="A1118" s="5"/>
      <c r="B1118" s="118">
        <f>IFERROR(__xludf.DUMMYFUNCTION("""COMPUTED_VALUE"""),44659.01147265046)</f>
        <v>44659.01147</v>
      </c>
      <c r="C1118" s="120">
        <f>IFERROR(__xludf.DUMMYFUNCTION("""COMPUTED_VALUE"""),44658.666666666664)</f>
        <v>44658.66667</v>
      </c>
      <c r="D1118" s="5" t="str">
        <f>IFERROR(__xludf.DUMMYFUNCTION("""COMPUTED_VALUE"""),"89833")</f>
        <v>89833</v>
      </c>
      <c r="E1118" s="5" t="str">
        <f>IFERROR(__xludf.DUMMYFUNCTION("""COMPUTED_VALUE"""),"Stock")</f>
        <v>Stock</v>
      </c>
      <c r="F1118" s="5" t="str">
        <f>IFERROR(__xludf.DUMMYFUNCTION("""COMPUTED_VALUE"""),"USD")</f>
        <v>USD</v>
      </c>
      <c r="G1118" s="30" t="str">
        <f>IFERROR(__xludf.DUMMYFUNCTION("""COMPUTED_VALUE"""),"Email Account/ TraderID Recognized")</f>
        <v>Email Account/ TraderID Recognized</v>
      </c>
      <c r="H1118" s="112" t="str">
        <f>IFERROR(__xludf.DUMMYFUNCTION("""COMPUTED_VALUE"""),"BILI")</f>
        <v>BILI</v>
      </c>
      <c r="I1118" s="30">
        <f>IFERROR(__xludf.DUMMYFUNCTION("""COMPUTED_VALUE"""),100.0)</f>
        <v>100</v>
      </c>
      <c r="J1118" s="30"/>
      <c r="K1118" s="30" t="str">
        <f>IFERROR(__xludf.DUMMYFUNCTION("""COMPUTED_VALUE"""),"QTY, Limit Price (if any) &amp; Password input correct")</f>
        <v>QTY, Limit Price (if any) &amp; Password input correct</v>
      </c>
      <c r="L1118" s="30"/>
    </row>
    <row r="1119">
      <c r="A1119" s="5"/>
      <c r="B1119" s="118">
        <f>IFERROR(__xludf.DUMMYFUNCTION("""COMPUTED_VALUE"""),44659.047197708336)</f>
        <v>44659.0472</v>
      </c>
      <c r="C1119" s="120" t="str">
        <f>IFERROR(__xludf.DUMMYFUNCTION("""COMPUTED_VALUE"""),"")</f>
        <v/>
      </c>
      <c r="D1119" s="5" t="str">
        <f>IFERROR(__xludf.DUMMYFUNCTION("""COMPUTED_VALUE"""),"82458")</f>
        <v>82458</v>
      </c>
      <c r="E1119" s="5" t="str">
        <f>IFERROR(__xludf.DUMMYFUNCTION("""COMPUTED_VALUE"""),"Stock")</f>
        <v>Stock</v>
      </c>
      <c r="F1119" s="5" t="str">
        <f>IFERROR(__xludf.DUMMYFUNCTION("""COMPUTED_VALUE"""),"error")</f>
        <v>error</v>
      </c>
      <c r="G1119" s="30" t="str">
        <f>IFERROR(__xludf.DUMMYFUNCTION("""COMPUTED_VALUE"""),"Email Account/ TraderID Recognized")</f>
        <v>Email Account/ TraderID Recognized</v>
      </c>
      <c r="H1119" s="125" t="str">
        <f>IFERROR(__xludf.DUMMYFUNCTION("""COMPUTED_VALUE"""),"0928.HK")</f>
        <v>0928.HK</v>
      </c>
      <c r="I1119" s="30">
        <f>IFERROR(__xludf.DUMMYFUNCTION("""COMPUTED_VALUE"""),200000.0)</f>
        <v>200000</v>
      </c>
      <c r="J1119" s="30" t="str">
        <f>IFERROR(__xludf.DUMMYFUNCTION("""COMPUTED_VALUE"""),"Limit Buy @ 0.160 - Closing @ 0.161 = Executed price @ 0.161. If Closing @ 0.163 = no execution")</f>
        <v>Limit Buy @ 0.160 - Closing @ 0.161 = Executed price @ 0.161. If Closing @ 0.163 = no execution</v>
      </c>
      <c r="K1119" s="30" t="str">
        <f>IFERROR(__xludf.DUMMYFUNCTION("""COMPUTED_VALUE"""),"Non-number input in Quantity or Limit Price")</f>
        <v>Non-number input in Quantity or Limit Price</v>
      </c>
      <c r="L1119" s="30"/>
    </row>
    <row r="1120">
      <c r="A1120" s="5"/>
      <c r="B1120" s="118">
        <f>IFERROR(__xludf.DUMMYFUNCTION("""COMPUTED_VALUE"""),44659.075712199075)</f>
        <v>44659.07571</v>
      </c>
      <c r="C1120" s="120">
        <f>IFERROR(__xludf.DUMMYFUNCTION("""COMPUTED_VALUE"""),44658.666666666664)</f>
        <v>44658.66667</v>
      </c>
      <c r="D1120" s="5" t="str">
        <f>IFERROR(__xludf.DUMMYFUNCTION("""COMPUTED_VALUE"""),"40318")</f>
        <v>40318</v>
      </c>
      <c r="E1120" s="5" t="str">
        <f>IFERROR(__xludf.DUMMYFUNCTION("""COMPUTED_VALUE"""),"Stock")</f>
        <v>Stock</v>
      </c>
      <c r="F1120" s="5" t="str">
        <f>IFERROR(__xludf.DUMMYFUNCTION("""COMPUTED_VALUE"""),"USD")</f>
        <v>USD</v>
      </c>
      <c r="G1120" s="30" t="str">
        <f>IFERROR(__xludf.DUMMYFUNCTION("""COMPUTED_VALUE"""),"Email Account/ TraderID Recognized")</f>
        <v>Email Account/ TraderID Recognized</v>
      </c>
      <c r="H1120" s="112" t="str">
        <f>IFERROR(__xludf.DUMMYFUNCTION("""COMPUTED_VALUE"""),"ABNB")</f>
        <v>ABNB</v>
      </c>
      <c r="I1120" s="30">
        <f>IFERROR(__xludf.DUMMYFUNCTION("""COMPUTED_VALUE"""),60.0)</f>
        <v>60</v>
      </c>
      <c r="J1120" s="30">
        <f>IFERROR(__xludf.DUMMYFUNCTION("""COMPUTED_VALUE"""),170.0)</f>
        <v>170</v>
      </c>
      <c r="K1120" s="30" t="str">
        <f>IFERROR(__xludf.DUMMYFUNCTION("""COMPUTED_VALUE"""),"QTY, Limit Price (if any) &amp; Password input correct")</f>
        <v>QTY, Limit Price (if any) &amp; Password input correct</v>
      </c>
      <c r="L1120" s="30"/>
    </row>
    <row r="1121">
      <c r="A1121" s="5"/>
      <c r="B1121" s="118">
        <f>IFERROR(__xludf.DUMMYFUNCTION("""COMPUTED_VALUE"""),44659.078020243054)</f>
        <v>44659.07802</v>
      </c>
      <c r="C1121" s="120">
        <f>IFERROR(__xludf.DUMMYFUNCTION("""COMPUTED_VALUE"""),44658.666666666664)</f>
        <v>44658.66667</v>
      </c>
      <c r="D1121" s="5" t="str">
        <f>IFERROR(__xludf.DUMMYFUNCTION("""COMPUTED_VALUE"""),"40318")</f>
        <v>40318</v>
      </c>
      <c r="E1121" s="5" t="str">
        <f>IFERROR(__xludf.DUMMYFUNCTION("""COMPUTED_VALUE"""),"Stock")</f>
        <v>Stock</v>
      </c>
      <c r="F1121" s="5" t="str">
        <f>IFERROR(__xludf.DUMMYFUNCTION("""COMPUTED_VALUE"""),"USD")</f>
        <v>USD</v>
      </c>
      <c r="G1121" s="30" t="str">
        <f>IFERROR(__xludf.DUMMYFUNCTION("""COMPUTED_VALUE"""),"Email Account/ TraderID Recognized")</f>
        <v>Email Account/ TraderID Recognized</v>
      </c>
      <c r="H1121" s="112" t="str">
        <f>IFERROR(__xludf.DUMMYFUNCTION("""COMPUTED_VALUE"""),"ABNB")</f>
        <v>ABNB</v>
      </c>
      <c r="I1121" s="30">
        <f>IFERROR(__xludf.DUMMYFUNCTION("""COMPUTED_VALUE"""),60.0)</f>
        <v>60</v>
      </c>
      <c r="J1121" s="30">
        <f>IFERROR(__xludf.DUMMYFUNCTION("""COMPUTED_VALUE"""),160.0)</f>
        <v>160</v>
      </c>
      <c r="K1121" s="30" t="str">
        <f>IFERROR(__xludf.DUMMYFUNCTION("""COMPUTED_VALUE"""),"QTY, Limit Price (if any) &amp; Password input correct")</f>
        <v>QTY, Limit Price (if any) &amp; Password input correct</v>
      </c>
      <c r="L1121" s="30"/>
    </row>
    <row r="1122">
      <c r="A1122" s="5"/>
      <c r="B1122" s="118">
        <f>IFERROR(__xludf.DUMMYFUNCTION("""COMPUTED_VALUE"""),44659.1546890625)</f>
        <v>44659.15469</v>
      </c>
      <c r="C1122" s="120">
        <f>IFERROR(__xludf.DUMMYFUNCTION("""COMPUTED_VALUE"""),44658.666666666664)</f>
        <v>44658.66667</v>
      </c>
      <c r="D1122" s="5" t="str">
        <f>IFERROR(__xludf.DUMMYFUNCTION("""COMPUTED_VALUE"""),"TraderX")</f>
        <v>TraderX</v>
      </c>
      <c r="E1122" s="5" t="str">
        <f>IFERROR(__xludf.DUMMYFUNCTION("""COMPUTED_VALUE"""),"Option")</f>
        <v>Option</v>
      </c>
      <c r="F1122" s="5" t="str">
        <f>IFERROR(__xludf.DUMMYFUNCTION("""COMPUTED_VALUE"""),"USD")</f>
        <v>USD</v>
      </c>
      <c r="G1122" s="30" t="str">
        <f>IFERROR(__xludf.DUMMYFUNCTION("""COMPUTED_VALUE"""),"Email Account/ TraderID Recognized")</f>
        <v>Email Account/ TraderID Recognized</v>
      </c>
      <c r="H1122" s="112" t="str">
        <f>IFERROR(__xludf.DUMMYFUNCTION("""COMPUTED_VALUE"""),"NDXP220408P14100000")</f>
        <v>NDXP220408P14100000</v>
      </c>
      <c r="I1122" s="30">
        <f>IFERROR(__xludf.DUMMYFUNCTION("""COMPUTED_VALUE"""),6.0)</f>
        <v>6</v>
      </c>
      <c r="J1122" s="30"/>
      <c r="K1122" s="30" t="str">
        <f>IFERROR(__xludf.DUMMYFUNCTION("""COMPUTED_VALUE"""),"QTY, Limit Price (if any) &amp; Password input correct")</f>
        <v>QTY, Limit Price (if any) &amp; Password input correct</v>
      </c>
      <c r="L1122" s="30"/>
    </row>
    <row r="1123">
      <c r="A1123" s="5"/>
      <c r="B1123" s="118">
        <f>IFERROR(__xludf.DUMMYFUNCTION("""COMPUTED_VALUE"""),44659.15519680556)</f>
        <v>44659.1552</v>
      </c>
      <c r="C1123" s="120">
        <f>IFERROR(__xludf.DUMMYFUNCTION("""COMPUTED_VALUE"""),44658.666666666664)</f>
        <v>44658.66667</v>
      </c>
      <c r="D1123" s="5" t="str">
        <f>IFERROR(__xludf.DUMMYFUNCTION("""COMPUTED_VALUE"""),"TraderX")</f>
        <v>TraderX</v>
      </c>
      <c r="E1123" s="5" t="str">
        <f>IFERROR(__xludf.DUMMYFUNCTION("""COMPUTED_VALUE"""),"Option")</f>
        <v>Option</v>
      </c>
      <c r="F1123" s="5" t="str">
        <f>IFERROR(__xludf.DUMMYFUNCTION("""COMPUTED_VALUE"""),"USD")</f>
        <v>USD</v>
      </c>
      <c r="G1123" s="30" t="str">
        <f>IFERROR(__xludf.DUMMYFUNCTION("""COMPUTED_VALUE"""),"Email Account/ TraderID Recognized")</f>
        <v>Email Account/ TraderID Recognized</v>
      </c>
      <c r="H1123" s="112" t="str">
        <f>IFERROR(__xludf.DUMMYFUNCTION("""COMPUTED_VALUE"""),"NDXP220408P14200000")</f>
        <v>NDXP220408P14200000</v>
      </c>
      <c r="I1123" s="30">
        <f>IFERROR(__xludf.DUMMYFUNCTION("""COMPUTED_VALUE"""),6.0)</f>
        <v>6</v>
      </c>
      <c r="J1123" s="30"/>
      <c r="K1123" s="30" t="str">
        <f>IFERROR(__xludf.DUMMYFUNCTION("""COMPUTED_VALUE"""),"QTY, Limit Price (if any) &amp; Password input correct")</f>
        <v>QTY, Limit Price (if any) &amp; Password input correct</v>
      </c>
      <c r="L1123" s="30"/>
    </row>
    <row r="1124">
      <c r="A1124" s="5"/>
      <c r="B1124" s="118">
        <f>IFERROR(__xludf.DUMMYFUNCTION("""COMPUTED_VALUE"""),44659.15571445602)</f>
        <v>44659.15571</v>
      </c>
      <c r="C1124" s="120">
        <f>IFERROR(__xludf.DUMMYFUNCTION("""COMPUTED_VALUE"""),44658.666666666664)</f>
        <v>44658.66667</v>
      </c>
      <c r="D1124" s="5" t="str">
        <f>IFERROR(__xludf.DUMMYFUNCTION("""COMPUTED_VALUE"""),"TraderX")</f>
        <v>TraderX</v>
      </c>
      <c r="E1124" s="5" t="str">
        <f>IFERROR(__xludf.DUMMYFUNCTION("""COMPUTED_VALUE"""),"Option")</f>
        <v>Option</v>
      </c>
      <c r="F1124" s="5" t="str">
        <f>IFERROR(__xludf.DUMMYFUNCTION("""COMPUTED_VALUE"""),"USD")</f>
        <v>USD</v>
      </c>
      <c r="G1124" s="30" t="str">
        <f>IFERROR(__xludf.DUMMYFUNCTION("""COMPUTED_VALUE"""),"Email Account/ TraderID Recognized")</f>
        <v>Email Account/ TraderID Recognized</v>
      </c>
      <c r="H1124" s="112" t="str">
        <f>IFERROR(__xludf.DUMMYFUNCTION("""COMPUTED_VALUE"""),"NDXP220408C15100000")</f>
        <v>NDXP220408C15100000</v>
      </c>
      <c r="I1124" s="30">
        <f>IFERROR(__xludf.DUMMYFUNCTION("""COMPUTED_VALUE"""),6.0)</f>
        <v>6</v>
      </c>
      <c r="J1124" s="30"/>
      <c r="K1124" s="30" t="str">
        <f>IFERROR(__xludf.DUMMYFUNCTION("""COMPUTED_VALUE"""),"QTY, Limit Price (if any) &amp; Password input correct")</f>
        <v>QTY, Limit Price (if any) &amp; Password input correct</v>
      </c>
      <c r="L1124" s="30"/>
    </row>
    <row r="1125">
      <c r="A1125" s="5"/>
      <c r="B1125" s="118">
        <f>IFERROR(__xludf.DUMMYFUNCTION("""COMPUTED_VALUE"""),44659.15617915509)</f>
        <v>44659.15618</v>
      </c>
      <c r="C1125" s="120">
        <f>IFERROR(__xludf.DUMMYFUNCTION("""COMPUTED_VALUE"""),44658.666666666664)</f>
        <v>44658.66667</v>
      </c>
      <c r="D1125" s="5" t="str">
        <f>IFERROR(__xludf.DUMMYFUNCTION("""COMPUTED_VALUE"""),"TraderX")</f>
        <v>TraderX</v>
      </c>
      <c r="E1125" s="5" t="str">
        <f>IFERROR(__xludf.DUMMYFUNCTION("""COMPUTED_VALUE"""),"Option")</f>
        <v>Option</v>
      </c>
      <c r="F1125" s="5" t="str">
        <f>IFERROR(__xludf.DUMMYFUNCTION("""COMPUTED_VALUE"""),"USD")</f>
        <v>USD</v>
      </c>
      <c r="G1125" s="30" t="str">
        <f>IFERROR(__xludf.DUMMYFUNCTION("""COMPUTED_VALUE"""),"Email Account/ TraderID Recognized")</f>
        <v>Email Account/ TraderID Recognized</v>
      </c>
      <c r="H1125" s="112" t="str">
        <f>IFERROR(__xludf.DUMMYFUNCTION("""COMPUTED_VALUE"""),"NDXP220408C15000000")</f>
        <v>NDXP220408C15000000</v>
      </c>
      <c r="I1125" s="30">
        <f>IFERROR(__xludf.DUMMYFUNCTION("""COMPUTED_VALUE"""),6.0)</f>
        <v>6</v>
      </c>
      <c r="J1125" s="30"/>
      <c r="K1125" s="30" t="str">
        <f>IFERROR(__xludf.DUMMYFUNCTION("""COMPUTED_VALUE"""),"QTY, Limit Price (if any) &amp; Password input correct")</f>
        <v>QTY, Limit Price (if any) &amp; Password input correct</v>
      </c>
      <c r="L1125" s="30"/>
    </row>
    <row r="1126">
      <c r="A1126" s="5"/>
      <c r="B1126" s="118">
        <f>IFERROR(__xludf.DUMMYFUNCTION("""COMPUTED_VALUE"""),44659.390456608795)</f>
        <v>44659.39046</v>
      </c>
      <c r="C1126" s="120" t="str">
        <f>IFERROR(__xludf.DUMMYFUNCTION("""COMPUTED_VALUE"""),"")</f>
        <v/>
      </c>
      <c r="D1126" s="5" t="str">
        <f>IFERROR(__xludf.DUMMYFUNCTION("""COMPUTED_VALUE"""),"39815")</f>
        <v>39815</v>
      </c>
      <c r="E1126" s="5" t="str">
        <f>IFERROR(__xludf.DUMMYFUNCTION("""COMPUTED_VALUE"""),"Option")</f>
        <v>Option</v>
      </c>
      <c r="F1126" s="5" t="str">
        <f>IFERROR(__xludf.DUMMYFUNCTION("""COMPUTED_VALUE"""),"error")</f>
        <v>error</v>
      </c>
      <c r="G1126" s="30" t="str">
        <f>IFERROR(__xludf.DUMMYFUNCTION("""COMPUTED_VALUE"""),"Email Account/ TraderID Recognized")</f>
        <v>Email Account/ TraderID Recognized</v>
      </c>
      <c r="H1126" s="112" t="str">
        <f>IFERROR(__xludf.DUMMYFUNCTION("""COMPUTED_VALUE"""),"GC=F")</f>
        <v>GC=F</v>
      </c>
      <c r="I1126" s="30">
        <f>IFERROR(__xludf.DUMMYFUNCTION("""COMPUTED_VALUE"""),20.0)</f>
        <v>20</v>
      </c>
      <c r="J1126" s="30">
        <f>IFERROR(__xludf.DUMMYFUNCTION("""COMPUTED_VALUE"""),30.0)</f>
        <v>30</v>
      </c>
      <c r="K1126" s="30" t="str">
        <f>IFERROR(__xludf.DUMMYFUNCTION("""COMPUTED_VALUE"""),"QTY, Limit Price (if any) &amp; Password input correct")</f>
        <v>QTY, Limit Price (if any) &amp; Password input correct</v>
      </c>
      <c r="L1126" s="30"/>
    </row>
    <row r="1127">
      <c r="A1127" s="5"/>
      <c r="B1127" s="118">
        <f>IFERROR(__xludf.DUMMYFUNCTION("""COMPUTED_VALUE"""),44659.40979042824)</f>
        <v>44659.40979</v>
      </c>
      <c r="C1127" s="120">
        <f>IFERROR(__xludf.DUMMYFUNCTION("""COMPUTED_VALUE"""),44659.666666666664)</f>
        <v>44659.66667</v>
      </c>
      <c r="D1127" s="5" t="str">
        <f>IFERROR(__xludf.DUMMYFUNCTION("""COMPUTED_VALUE"""),"38063")</f>
        <v>38063</v>
      </c>
      <c r="E1127" s="5" t="str">
        <f>IFERROR(__xludf.DUMMYFUNCTION("""COMPUTED_VALUE"""),"Stock")</f>
        <v>Stock</v>
      </c>
      <c r="F1127" s="5" t="str">
        <f>IFERROR(__xludf.DUMMYFUNCTION("""COMPUTED_VALUE"""),"HKD")</f>
        <v>HKD</v>
      </c>
      <c r="G1127" s="30" t="str">
        <f>IFERROR(__xludf.DUMMYFUNCTION("""COMPUTED_VALUE"""),"Email Account/ TraderID Recognized")</f>
        <v>Email Account/ TraderID Recognized</v>
      </c>
      <c r="H1127" s="125" t="str">
        <f>IFERROR(__xludf.DUMMYFUNCTION("""COMPUTED_VALUE"""),"0001.HK")</f>
        <v>0001.HK</v>
      </c>
      <c r="I1127" s="30">
        <f>IFERROR(__xludf.DUMMYFUNCTION("""COMPUTED_VALUE"""),1000.0)</f>
        <v>1000</v>
      </c>
      <c r="J1127" s="30"/>
      <c r="K1127" s="30" t="str">
        <f>IFERROR(__xludf.DUMMYFUNCTION("""COMPUTED_VALUE"""),"QTY, Limit Price (if any) &amp; Password input correct")</f>
        <v>QTY, Limit Price (if any) &amp; Password input correct</v>
      </c>
      <c r="L1127" s="30"/>
    </row>
    <row r="1128">
      <c r="A1128" s="5"/>
      <c r="B1128" s="118">
        <f>IFERROR(__xludf.DUMMYFUNCTION("""COMPUTED_VALUE"""),44659.41150261574)</f>
        <v>44659.4115</v>
      </c>
      <c r="C1128" s="120">
        <f>IFERROR(__xludf.DUMMYFUNCTION("""COMPUTED_VALUE"""),44659.666666666664)</f>
        <v>44659.66667</v>
      </c>
      <c r="D1128" s="5" t="str">
        <f>IFERROR(__xludf.DUMMYFUNCTION("""COMPUTED_VALUE"""),"38063")</f>
        <v>38063</v>
      </c>
      <c r="E1128" s="5" t="str">
        <f>IFERROR(__xludf.DUMMYFUNCTION("""COMPUTED_VALUE"""),"Stock")</f>
        <v>Stock</v>
      </c>
      <c r="F1128" s="5" t="str">
        <f>IFERROR(__xludf.DUMMYFUNCTION("""COMPUTED_VALUE"""),"HKD")</f>
        <v>HKD</v>
      </c>
      <c r="G1128" s="30" t="str">
        <f>IFERROR(__xludf.DUMMYFUNCTION("""COMPUTED_VALUE"""),"Email Account/ TraderID Recognized")</f>
        <v>Email Account/ TraderID Recognized</v>
      </c>
      <c r="H1128" s="125" t="str">
        <f>IFERROR(__xludf.DUMMYFUNCTION("""COMPUTED_VALUE"""),"9988.HK")</f>
        <v>9988.HK</v>
      </c>
      <c r="I1128" s="30">
        <f>IFERROR(__xludf.DUMMYFUNCTION("""COMPUTED_VALUE"""),1000.0)</f>
        <v>1000</v>
      </c>
      <c r="J1128" s="30"/>
      <c r="K1128" s="30" t="str">
        <f>IFERROR(__xludf.DUMMYFUNCTION("""COMPUTED_VALUE"""),"QTY, Limit Price (if any) &amp; Password input correct")</f>
        <v>QTY, Limit Price (if any) &amp; Password input correct</v>
      </c>
      <c r="L1128" s="30"/>
    </row>
    <row r="1129">
      <c r="A1129" s="5"/>
      <c r="B1129" s="118">
        <f>IFERROR(__xludf.DUMMYFUNCTION("""COMPUTED_VALUE"""),44659.41396479167)</f>
        <v>44659.41396</v>
      </c>
      <c r="C1129" s="120">
        <f>IFERROR(__xludf.DUMMYFUNCTION("""COMPUTED_VALUE"""),44659.666666666664)</f>
        <v>44659.66667</v>
      </c>
      <c r="D1129" s="5" t="str">
        <f>IFERROR(__xludf.DUMMYFUNCTION("""COMPUTED_VALUE"""),"38063")</f>
        <v>38063</v>
      </c>
      <c r="E1129" s="5" t="str">
        <f>IFERROR(__xludf.DUMMYFUNCTION("""COMPUTED_VALUE"""),"Stock")</f>
        <v>Stock</v>
      </c>
      <c r="F1129" s="5" t="str">
        <f>IFERROR(__xludf.DUMMYFUNCTION("""COMPUTED_VALUE"""),"HKD")</f>
        <v>HKD</v>
      </c>
      <c r="G1129" s="30" t="str">
        <f>IFERROR(__xludf.DUMMYFUNCTION("""COMPUTED_VALUE"""),"Email Account/ TraderID Recognized")</f>
        <v>Email Account/ TraderID Recognized</v>
      </c>
      <c r="H1129" s="125" t="str">
        <f>IFERROR(__xludf.DUMMYFUNCTION("""COMPUTED_VALUE"""),"0836.HK")</f>
        <v>0836.HK</v>
      </c>
      <c r="I1129" s="30">
        <f>IFERROR(__xludf.DUMMYFUNCTION("""COMPUTED_VALUE"""),5000.0)</f>
        <v>5000</v>
      </c>
      <c r="J1129" s="30"/>
      <c r="K1129" s="30" t="str">
        <f>IFERROR(__xludf.DUMMYFUNCTION("""COMPUTED_VALUE"""),"QTY, Limit Price (if any) &amp; Password input correct")</f>
        <v>QTY, Limit Price (if any) &amp; Password input correct</v>
      </c>
      <c r="L1129" s="30"/>
    </row>
    <row r="1130">
      <c r="A1130" s="5"/>
      <c r="B1130" s="118">
        <f>IFERROR(__xludf.DUMMYFUNCTION("""COMPUTED_VALUE"""),44659.44626326389)</f>
        <v>44659.44626</v>
      </c>
      <c r="C1130" s="120">
        <f>IFERROR(__xludf.DUMMYFUNCTION("""COMPUTED_VALUE"""),44659.625)</f>
        <v>44659.625</v>
      </c>
      <c r="D1130" s="5" t="str">
        <f>IFERROR(__xludf.DUMMYFUNCTION("""COMPUTED_VALUE"""),"79521")</f>
        <v>79521</v>
      </c>
      <c r="E1130" s="5" t="str">
        <f>IFERROR(__xludf.DUMMYFUNCTION("""COMPUTED_VALUE"""),"Stock")</f>
        <v>Stock</v>
      </c>
      <c r="F1130" s="5" t="str">
        <f>IFERROR(__xludf.DUMMYFUNCTION("""COMPUTED_VALUE"""),"CNY")</f>
        <v>CNY</v>
      </c>
      <c r="G1130" s="30" t="str">
        <f>IFERROR(__xludf.DUMMYFUNCTION("""COMPUTED_VALUE"""),"Email Account/ TraderID Recognized")</f>
        <v>Email Account/ TraderID Recognized</v>
      </c>
      <c r="H1130" s="125" t="str">
        <f>IFERROR(__xludf.DUMMYFUNCTION("""COMPUTED_VALUE"""),"002205.SZ")</f>
        <v>002205.SZ</v>
      </c>
      <c r="I1130" s="30">
        <f>IFERROR(__xludf.DUMMYFUNCTION("""COMPUTED_VALUE"""),35000.0)</f>
        <v>35000</v>
      </c>
      <c r="J1130" s="30"/>
      <c r="K1130" s="30" t="str">
        <f>IFERROR(__xludf.DUMMYFUNCTION("""COMPUTED_VALUE"""),"QTY, Limit Price (if any) &amp; Password input correct")</f>
        <v>QTY, Limit Price (if any) &amp; Password input correct</v>
      </c>
      <c r="L1130" s="30"/>
    </row>
    <row r="1131">
      <c r="A1131" s="5"/>
      <c r="B1131" s="118">
        <f>IFERROR(__xludf.DUMMYFUNCTION("""COMPUTED_VALUE"""),44659.458126805555)</f>
        <v>44659.45813</v>
      </c>
      <c r="C1131" s="120" t="str">
        <f>IFERROR(__xludf.DUMMYFUNCTION("""COMPUTED_VALUE"""),"")</f>
        <v/>
      </c>
      <c r="D1131" s="5" t="str">
        <f>IFERROR(__xludf.DUMMYFUNCTION("""COMPUTED_VALUE"""),"75597")</f>
        <v>75597</v>
      </c>
      <c r="E1131" s="5" t="str">
        <f>IFERROR(__xludf.DUMMYFUNCTION("""COMPUTED_VALUE"""),"Stock")</f>
        <v>Stock</v>
      </c>
      <c r="F1131" s="5" t="str">
        <f>IFERROR(__xludf.DUMMYFUNCTION("""COMPUTED_VALUE"""),"error")</f>
        <v>error</v>
      </c>
      <c r="G1131" s="30" t="str">
        <f>IFERROR(__xludf.DUMMYFUNCTION("""COMPUTED_VALUE"""),"Email Account/ TraderID Recognized")</f>
        <v>Email Account/ TraderID Recognized</v>
      </c>
      <c r="H1131" s="125" t="str">
        <f>IFERROR(__xludf.DUMMYFUNCTION("""COMPUTED_VALUE"""),"600519.ss")</f>
        <v>600519.ss</v>
      </c>
      <c r="I1131" s="30">
        <f>IFERROR(__xludf.DUMMYFUNCTION("""COMPUTED_VALUE"""),150.0)</f>
        <v>150</v>
      </c>
      <c r="J1131" s="30">
        <f>IFERROR(__xludf.DUMMYFUNCTION("""COMPUTED_VALUE"""),1778.0)</f>
        <v>1778</v>
      </c>
      <c r="K1131" s="30" t="str">
        <f>IFERROR(__xludf.DUMMYFUNCTION("""COMPUTED_VALUE"""),"Wrong Password Submitted, Order will be rejected")</f>
        <v>Wrong Password Submitted, Order will be rejected</v>
      </c>
      <c r="L1131" s="30"/>
    </row>
    <row r="1132">
      <c r="A1132" s="5"/>
      <c r="B1132" s="118">
        <f>IFERROR(__xludf.DUMMYFUNCTION("""COMPUTED_VALUE"""),44659.46978349537)</f>
        <v>44659.46978</v>
      </c>
      <c r="C1132" s="120" t="str">
        <f>IFERROR(__xludf.DUMMYFUNCTION("""COMPUTED_VALUE"""),"")</f>
        <v/>
      </c>
      <c r="D1132" s="5" t="str">
        <f>IFERROR(__xludf.DUMMYFUNCTION("""COMPUTED_VALUE"""),"82458")</f>
        <v>82458</v>
      </c>
      <c r="E1132" s="5" t="str">
        <f>IFERROR(__xludf.DUMMYFUNCTION("""COMPUTED_VALUE"""),"Stock")</f>
        <v>Stock</v>
      </c>
      <c r="F1132" s="5" t="str">
        <f>IFERROR(__xludf.DUMMYFUNCTION("""COMPUTED_VALUE"""),"error")</f>
        <v>error</v>
      </c>
      <c r="G1132" s="30" t="str">
        <f>IFERROR(__xludf.DUMMYFUNCTION("""COMPUTED_VALUE"""),"Email Account/ TraderID Recognized")</f>
        <v>Email Account/ TraderID Recognized</v>
      </c>
      <c r="H1132" s="125" t="str">
        <f>IFERROR(__xludf.DUMMYFUNCTION("""COMPUTED_VALUE"""),"0503.HK")</f>
        <v>0503.HK</v>
      </c>
      <c r="I1132" s="30">
        <f>IFERROR(__xludf.DUMMYFUNCTION("""COMPUTED_VALUE"""),200000.0)</f>
        <v>200000</v>
      </c>
      <c r="J1132" s="30" t="str">
        <f>IFERROR(__xludf.DUMMYFUNCTION("""COMPUTED_VALUE"""),"Limit But @ 1.249 - Closing @ 1.250 = Executed price @ 1.250. If Closing @ 1.251 = no execution")</f>
        <v>Limit But @ 1.249 - Closing @ 1.250 = Executed price @ 1.250. If Closing @ 1.251 = no execution</v>
      </c>
      <c r="K1132" s="30" t="str">
        <f>IFERROR(__xludf.DUMMYFUNCTION("""COMPUTED_VALUE"""),"Non-number input in Quantity or Limit Price")</f>
        <v>Non-number input in Quantity or Limit Price</v>
      </c>
      <c r="L1132" s="30"/>
    </row>
    <row r="1133">
      <c r="A1133" s="5"/>
      <c r="B1133" s="118">
        <f>IFERROR(__xludf.DUMMYFUNCTION("""COMPUTED_VALUE"""),44659.47315815972)</f>
        <v>44659.47316</v>
      </c>
      <c r="C1133" s="120" t="str">
        <f>IFERROR(__xludf.DUMMYFUNCTION("""COMPUTED_VALUE"""),"")</f>
        <v/>
      </c>
      <c r="D1133" s="5" t="str">
        <f>IFERROR(__xludf.DUMMYFUNCTION("""COMPUTED_VALUE"""),"82458")</f>
        <v>82458</v>
      </c>
      <c r="E1133" s="5" t="str">
        <f>IFERROR(__xludf.DUMMYFUNCTION("""COMPUTED_VALUE"""),"Stock")</f>
        <v>Stock</v>
      </c>
      <c r="F1133" s="5" t="str">
        <f>IFERROR(__xludf.DUMMYFUNCTION("""COMPUTED_VALUE"""),"error")</f>
        <v>error</v>
      </c>
      <c r="G1133" s="30" t="str">
        <f>IFERROR(__xludf.DUMMYFUNCTION("""COMPUTED_VALUE"""),"Email Account/ TraderID Recognized")</f>
        <v>Email Account/ TraderID Recognized</v>
      </c>
      <c r="H1133" s="112" t="str">
        <f>IFERROR(__xludf.DUMMYFUNCTION("""COMPUTED_VALUE"""),"AAPL")</f>
        <v>AAPL</v>
      </c>
      <c r="I1133" s="30">
        <f>IFERROR(__xludf.DUMMYFUNCTION("""COMPUTED_VALUE"""),200000.0)</f>
        <v>200000</v>
      </c>
      <c r="J1133" s="30" t="str">
        <f>IFERROR(__xludf.DUMMYFUNCTION("""COMPUTED_VALUE"""),"Limit Buy @ 172.14 - Closing @ 172.13 = Executed price @ 172.13. If Closing @ 172.15 = no execution")</f>
        <v>Limit Buy @ 172.14 - Closing @ 172.13 = Executed price @ 172.13. If Closing @ 172.15 = no execution</v>
      </c>
      <c r="K1133" s="30" t="str">
        <f>IFERROR(__xludf.DUMMYFUNCTION("""COMPUTED_VALUE"""),"Non-number input in Quantity or Limit Price")</f>
        <v>Non-number input in Quantity or Limit Price</v>
      </c>
      <c r="L1133" s="30"/>
    </row>
    <row r="1134">
      <c r="A1134" s="5"/>
      <c r="B1134" s="118">
        <f>IFERROR(__xludf.DUMMYFUNCTION("""COMPUTED_VALUE"""),44659.57788726852)</f>
        <v>44659.57789</v>
      </c>
      <c r="C1134" s="120">
        <f>IFERROR(__xludf.DUMMYFUNCTION("""COMPUTED_VALUE"""),44659.666666666664)</f>
        <v>44659.66667</v>
      </c>
      <c r="D1134" s="5" t="str">
        <f>IFERROR(__xludf.DUMMYFUNCTION("""COMPUTED_VALUE"""),"46225")</f>
        <v>46225</v>
      </c>
      <c r="E1134" s="5" t="str">
        <f>IFERROR(__xludf.DUMMYFUNCTION("""COMPUTED_VALUE"""),"Stock")</f>
        <v>Stock</v>
      </c>
      <c r="F1134" s="5" t="str">
        <f>IFERROR(__xludf.DUMMYFUNCTION("""COMPUTED_VALUE"""),"USD")</f>
        <v>USD</v>
      </c>
      <c r="G1134" s="30" t="str">
        <f>IFERROR(__xludf.DUMMYFUNCTION("""COMPUTED_VALUE"""),"Email Account/ TraderID Recognized")</f>
        <v>Email Account/ TraderID Recognized</v>
      </c>
      <c r="H1134" s="112" t="str">
        <f>IFERROR(__xludf.DUMMYFUNCTION("""COMPUTED_VALUE"""),"BABA")</f>
        <v>BABA</v>
      </c>
      <c r="I1134" s="30">
        <f>IFERROR(__xludf.DUMMYFUNCTION("""COMPUTED_VALUE"""),822.0)</f>
        <v>822</v>
      </c>
      <c r="J1134" s="30"/>
      <c r="K1134" s="30" t="str">
        <f>IFERROR(__xludf.DUMMYFUNCTION("""COMPUTED_VALUE"""),"QTY, Limit Price (if any) &amp; Password input correct")</f>
        <v>QTY, Limit Price (if any) &amp; Password input correct</v>
      </c>
      <c r="L1134" s="30"/>
    </row>
    <row r="1135">
      <c r="A1135" s="5"/>
      <c r="B1135" s="118">
        <f>IFERROR(__xludf.DUMMYFUNCTION("""COMPUTED_VALUE"""),44659.57840903936)</f>
        <v>44659.57841</v>
      </c>
      <c r="C1135" s="120">
        <f>IFERROR(__xludf.DUMMYFUNCTION("""COMPUTED_VALUE"""),44659.666666666664)</f>
        <v>44659.66667</v>
      </c>
      <c r="D1135" s="5" t="str">
        <f>IFERROR(__xludf.DUMMYFUNCTION("""COMPUTED_VALUE"""),"46225")</f>
        <v>46225</v>
      </c>
      <c r="E1135" s="5" t="str">
        <f>IFERROR(__xludf.DUMMYFUNCTION("""COMPUTED_VALUE"""),"Stock")</f>
        <v>Stock</v>
      </c>
      <c r="F1135" s="5" t="str">
        <f>IFERROR(__xludf.DUMMYFUNCTION("""COMPUTED_VALUE"""),"USD")</f>
        <v>USD</v>
      </c>
      <c r="G1135" s="30" t="str">
        <f>IFERROR(__xludf.DUMMYFUNCTION("""COMPUTED_VALUE"""),"Email Account/ TraderID Recognized")</f>
        <v>Email Account/ TraderID Recognized</v>
      </c>
      <c r="H1135" s="112" t="str">
        <f>IFERROR(__xludf.DUMMYFUNCTION("""COMPUTED_VALUE"""),"SNOW")</f>
        <v>SNOW</v>
      </c>
      <c r="I1135" s="30">
        <f>IFERROR(__xludf.DUMMYFUNCTION("""COMPUTED_VALUE"""),45.0)</f>
        <v>45</v>
      </c>
      <c r="J1135" s="30"/>
      <c r="K1135" s="30" t="str">
        <f>IFERROR(__xludf.DUMMYFUNCTION("""COMPUTED_VALUE"""),"QTY, Limit Price (if any) &amp; Password input correct")</f>
        <v>QTY, Limit Price (if any) &amp; Password input correct</v>
      </c>
      <c r="L1135" s="30"/>
    </row>
    <row r="1136">
      <c r="A1136" s="5"/>
      <c r="B1136" s="118">
        <f>IFERROR(__xludf.DUMMYFUNCTION("""COMPUTED_VALUE"""),44659.578860532405)</f>
        <v>44659.57886</v>
      </c>
      <c r="C1136" s="120">
        <f>IFERROR(__xludf.DUMMYFUNCTION("""COMPUTED_VALUE"""),44659.666666666664)</f>
        <v>44659.66667</v>
      </c>
      <c r="D1136" s="5" t="str">
        <f>IFERROR(__xludf.DUMMYFUNCTION("""COMPUTED_VALUE"""),"46225")</f>
        <v>46225</v>
      </c>
      <c r="E1136" s="5" t="str">
        <f>IFERROR(__xludf.DUMMYFUNCTION("""COMPUTED_VALUE"""),"Stock")</f>
        <v>Stock</v>
      </c>
      <c r="F1136" s="5" t="str">
        <f>IFERROR(__xludf.DUMMYFUNCTION("""COMPUTED_VALUE"""),"USD")</f>
        <v>USD</v>
      </c>
      <c r="G1136" s="30" t="str">
        <f>IFERROR(__xludf.DUMMYFUNCTION("""COMPUTED_VALUE"""),"Email Account/ TraderID Recognized")</f>
        <v>Email Account/ TraderID Recognized</v>
      </c>
      <c r="H1136" s="112" t="str">
        <f>IFERROR(__xludf.DUMMYFUNCTION("""COMPUTED_VALUE"""),"SOL-USD")</f>
        <v>SOL-USD</v>
      </c>
      <c r="I1136" s="30">
        <f>IFERROR(__xludf.DUMMYFUNCTION("""COMPUTED_VALUE"""),84.0)</f>
        <v>84</v>
      </c>
      <c r="J1136" s="30"/>
      <c r="K1136" s="30" t="str">
        <f>IFERROR(__xludf.DUMMYFUNCTION("""COMPUTED_VALUE"""),"QTY, Limit Price (if any) &amp; Password input correct")</f>
        <v>QTY, Limit Price (if any) &amp; Password input correct</v>
      </c>
      <c r="L1136" s="30"/>
    </row>
    <row r="1137">
      <c r="A1137" s="5"/>
      <c r="B1137" s="118">
        <f>IFERROR(__xludf.DUMMYFUNCTION("""COMPUTED_VALUE"""),44659.57920158565)</f>
        <v>44659.5792</v>
      </c>
      <c r="C1137" s="120">
        <f>IFERROR(__xludf.DUMMYFUNCTION("""COMPUTED_VALUE"""),44659.666666666664)</f>
        <v>44659.66667</v>
      </c>
      <c r="D1137" s="5" t="str">
        <f>IFERROR(__xludf.DUMMYFUNCTION("""COMPUTED_VALUE"""),"46225")</f>
        <v>46225</v>
      </c>
      <c r="E1137" s="5" t="str">
        <f>IFERROR(__xludf.DUMMYFUNCTION("""COMPUTED_VALUE"""),"Stock")</f>
        <v>Stock</v>
      </c>
      <c r="F1137" s="5" t="str">
        <f>IFERROR(__xludf.DUMMYFUNCTION("""COMPUTED_VALUE"""),"USD")</f>
        <v>USD</v>
      </c>
      <c r="G1137" s="30" t="str">
        <f>IFERROR(__xludf.DUMMYFUNCTION("""COMPUTED_VALUE"""),"Email Account/ TraderID Recognized")</f>
        <v>Email Account/ TraderID Recognized</v>
      </c>
      <c r="H1137" s="112" t="str">
        <f>IFERROR(__xludf.DUMMYFUNCTION("""COMPUTED_VALUE"""),"TSLA")</f>
        <v>TSLA</v>
      </c>
      <c r="I1137" s="30">
        <f>IFERROR(__xludf.DUMMYFUNCTION("""COMPUTED_VALUE"""),18.0)</f>
        <v>18</v>
      </c>
      <c r="J1137" s="30"/>
      <c r="K1137" s="30" t="str">
        <f>IFERROR(__xludf.DUMMYFUNCTION("""COMPUTED_VALUE"""),"QTY, Limit Price (if any) &amp; Password input correct")</f>
        <v>QTY, Limit Price (if any) &amp; Password input correct</v>
      </c>
      <c r="L1137" s="30"/>
    </row>
    <row r="1138">
      <c r="A1138" s="5"/>
      <c r="B1138" s="118">
        <f>IFERROR(__xludf.DUMMYFUNCTION("""COMPUTED_VALUE"""),44659.587825995375)</f>
        <v>44659.58783</v>
      </c>
      <c r="C1138" s="120">
        <f>IFERROR(__xludf.DUMMYFUNCTION("""COMPUTED_VALUE"""),44659.666666666664)</f>
        <v>44659.66667</v>
      </c>
      <c r="D1138" s="5" t="str">
        <f>IFERROR(__xludf.DUMMYFUNCTION("""COMPUTED_VALUE"""),"46225")</f>
        <v>46225</v>
      </c>
      <c r="E1138" s="5" t="str">
        <f>IFERROR(__xludf.DUMMYFUNCTION("""COMPUTED_VALUE"""),"Stock")</f>
        <v>Stock</v>
      </c>
      <c r="F1138" s="5" t="str">
        <f>IFERROR(__xludf.DUMMYFUNCTION("""COMPUTED_VALUE"""),"USD")</f>
        <v>USD</v>
      </c>
      <c r="G1138" s="30" t="str">
        <f>IFERROR(__xludf.DUMMYFUNCTION("""COMPUTED_VALUE"""),"Email Account/ TraderID Recognized")</f>
        <v>Email Account/ TraderID Recognized</v>
      </c>
      <c r="H1138" s="112" t="str">
        <f>IFERROR(__xludf.DUMMYFUNCTION("""COMPUTED_VALUE"""),"NVDA")</f>
        <v>NVDA</v>
      </c>
      <c r="I1138" s="30">
        <f>IFERROR(__xludf.DUMMYFUNCTION("""COMPUTED_VALUE"""),39.0)</f>
        <v>39</v>
      </c>
      <c r="J1138" s="30"/>
      <c r="K1138" s="30" t="str">
        <f>IFERROR(__xludf.DUMMYFUNCTION("""COMPUTED_VALUE"""),"QTY, Limit Price (if any) &amp; Password input correct")</f>
        <v>QTY, Limit Price (if any) &amp; Password input correct</v>
      </c>
      <c r="L1138" s="30"/>
    </row>
    <row r="1139">
      <c r="A1139" s="5"/>
      <c r="B1139" s="118">
        <f>IFERROR(__xludf.DUMMYFUNCTION("""COMPUTED_VALUE"""),44659.59762901621)</f>
        <v>44659.59763</v>
      </c>
      <c r="C1139" s="120">
        <f>IFERROR(__xludf.DUMMYFUNCTION("""COMPUTED_VALUE"""),44659.666666666664)</f>
        <v>44659.66667</v>
      </c>
      <c r="D1139" s="5" t="str">
        <f>IFERROR(__xludf.DUMMYFUNCTION("""COMPUTED_VALUE"""),"39776")</f>
        <v>39776</v>
      </c>
      <c r="E1139" s="5" t="str">
        <f>IFERROR(__xludf.DUMMYFUNCTION("""COMPUTED_VALUE"""),"Stock")</f>
        <v>Stock</v>
      </c>
      <c r="F1139" s="5" t="str">
        <f>IFERROR(__xludf.DUMMYFUNCTION("""COMPUTED_VALUE"""),"HKD")</f>
        <v>HKD</v>
      </c>
      <c r="G1139" s="30" t="str">
        <f>IFERROR(__xludf.DUMMYFUNCTION("""COMPUTED_VALUE"""),"Email Account/ TraderID Recognized")</f>
        <v>Email Account/ TraderID Recognized</v>
      </c>
      <c r="H1139" s="125" t="str">
        <f>IFERROR(__xludf.DUMMYFUNCTION("""COMPUTED_VALUE"""),"3800.HK")</f>
        <v>3800.HK</v>
      </c>
      <c r="I1139" s="30">
        <f>IFERROR(__xludf.DUMMYFUNCTION("""COMPUTED_VALUE"""),10000.0)</f>
        <v>10000</v>
      </c>
      <c r="J1139" s="30">
        <f>IFERROR(__xludf.DUMMYFUNCTION("""COMPUTED_VALUE"""),2.5)</f>
        <v>2.5</v>
      </c>
      <c r="K1139" s="30" t="str">
        <f>IFERROR(__xludf.DUMMYFUNCTION("""COMPUTED_VALUE"""),"QTY, Limit Price (if any) &amp; Password input correct")</f>
        <v>QTY, Limit Price (if any) &amp; Password input correct</v>
      </c>
      <c r="L1139" s="30"/>
    </row>
    <row r="1140">
      <c r="A1140" s="5"/>
      <c r="B1140" s="118">
        <f>IFERROR(__xludf.DUMMYFUNCTION("""COMPUTED_VALUE"""),44659.605979976855)</f>
        <v>44659.60598</v>
      </c>
      <c r="C1140" s="120">
        <f>IFERROR(__xludf.DUMMYFUNCTION("""COMPUTED_VALUE"""),44659.666666666664)</f>
        <v>44659.66667</v>
      </c>
      <c r="D1140" s="5" t="str">
        <f>IFERROR(__xludf.DUMMYFUNCTION("""COMPUTED_VALUE"""),"39776")</f>
        <v>39776</v>
      </c>
      <c r="E1140" s="5" t="str">
        <f>IFERROR(__xludf.DUMMYFUNCTION("""COMPUTED_VALUE"""),"Stock")</f>
        <v>Stock</v>
      </c>
      <c r="F1140" s="5" t="str">
        <f>IFERROR(__xludf.DUMMYFUNCTION("""COMPUTED_VALUE"""),"HKD")</f>
        <v>HKD</v>
      </c>
      <c r="G1140" s="30" t="str">
        <f>IFERROR(__xludf.DUMMYFUNCTION("""COMPUTED_VALUE"""),"Email Account/ TraderID Recognized")</f>
        <v>Email Account/ TraderID Recognized</v>
      </c>
      <c r="H1140" s="125" t="str">
        <f>IFERROR(__xludf.DUMMYFUNCTION("""COMPUTED_VALUE"""),"9858.HK")</f>
        <v>9858.HK</v>
      </c>
      <c r="I1140" s="30">
        <f>IFERROR(__xludf.DUMMYFUNCTION("""COMPUTED_VALUE"""),15000.0)</f>
        <v>15000</v>
      </c>
      <c r="J1140" s="30">
        <f>IFERROR(__xludf.DUMMYFUNCTION("""COMPUTED_VALUE"""),3.46)</f>
        <v>3.46</v>
      </c>
      <c r="K1140" s="30" t="str">
        <f>IFERROR(__xludf.DUMMYFUNCTION("""COMPUTED_VALUE"""),"QTY, Limit Price (if any) &amp; Password input correct")</f>
        <v>QTY, Limit Price (if any) &amp; Password input correct</v>
      </c>
      <c r="L1140" s="30"/>
    </row>
    <row r="1141">
      <c r="A1141" s="5"/>
      <c r="B1141" s="118">
        <f>IFERROR(__xludf.DUMMYFUNCTION("""COMPUTED_VALUE"""),44659.629381446764)</f>
        <v>44659.62938</v>
      </c>
      <c r="C1141" s="120">
        <f>IFERROR(__xludf.DUMMYFUNCTION("""COMPUTED_VALUE"""),44659.666666666664)</f>
        <v>44659.66667</v>
      </c>
      <c r="D1141" s="5" t="str">
        <f>IFERROR(__xludf.DUMMYFUNCTION("""COMPUTED_VALUE"""),"38093")</f>
        <v>38093</v>
      </c>
      <c r="E1141" s="5" t="str">
        <f>IFERROR(__xludf.DUMMYFUNCTION("""COMPUTED_VALUE"""),"Stock")</f>
        <v>Stock</v>
      </c>
      <c r="F1141" s="5" t="str">
        <f>IFERROR(__xludf.DUMMYFUNCTION("""COMPUTED_VALUE"""),"HKD")</f>
        <v>HKD</v>
      </c>
      <c r="G1141" s="30" t="str">
        <f>IFERROR(__xludf.DUMMYFUNCTION("""COMPUTED_VALUE"""),"Email Account/ TraderID Recognized")</f>
        <v>Email Account/ TraderID Recognized</v>
      </c>
      <c r="H1141" s="125" t="str">
        <f>IFERROR(__xludf.DUMMYFUNCTION("""COMPUTED_VALUE"""),"9939.HK")</f>
        <v>9939.HK</v>
      </c>
      <c r="I1141" s="30">
        <f>IFERROR(__xludf.DUMMYFUNCTION("""COMPUTED_VALUE"""),200.0)</f>
        <v>200</v>
      </c>
      <c r="J1141" s="30"/>
      <c r="K1141" s="30" t="str">
        <f>IFERROR(__xludf.DUMMYFUNCTION("""COMPUTED_VALUE"""),"QTY, Limit Price (if any) &amp; Password input correct")</f>
        <v>QTY, Limit Price (if any) &amp; Password input correct</v>
      </c>
      <c r="L1141" s="30"/>
    </row>
    <row r="1142">
      <c r="A1142" s="5"/>
      <c r="B1142" s="118">
        <f>IFERROR(__xludf.DUMMYFUNCTION("""COMPUTED_VALUE"""),44659.62986825232)</f>
        <v>44659.62987</v>
      </c>
      <c r="C1142" s="120">
        <f>IFERROR(__xludf.DUMMYFUNCTION("""COMPUTED_VALUE"""),44659.666666666664)</f>
        <v>44659.66667</v>
      </c>
      <c r="D1142" s="5" t="str">
        <f>IFERROR(__xludf.DUMMYFUNCTION("""COMPUTED_VALUE"""),"38093")</f>
        <v>38093</v>
      </c>
      <c r="E1142" s="5" t="str">
        <f>IFERROR(__xludf.DUMMYFUNCTION("""COMPUTED_VALUE"""),"Stock")</f>
        <v>Stock</v>
      </c>
      <c r="F1142" s="5" t="str">
        <f>IFERROR(__xludf.DUMMYFUNCTION("""COMPUTED_VALUE"""),"HKD")</f>
        <v>HKD</v>
      </c>
      <c r="G1142" s="30" t="str">
        <f>IFERROR(__xludf.DUMMYFUNCTION("""COMPUTED_VALUE"""),"Email Account/ TraderID Recognized")</f>
        <v>Email Account/ TraderID Recognized</v>
      </c>
      <c r="H1142" s="125" t="str">
        <f>IFERROR(__xludf.DUMMYFUNCTION("""COMPUTED_VALUE"""),"1566.HK")</f>
        <v>1566.HK</v>
      </c>
      <c r="I1142" s="30">
        <f>IFERROR(__xludf.DUMMYFUNCTION("""COMPUTED_VALUE"""),200.0)</f>
        <v>200</v>
      </c>
      <c r="J1142" s="30"/>
      <c r="K1142" s="30" t="str">
        <f>IFERROR(__xludf.DUMMYFUNCTION("""COMPUTED_VALUE"""),"QTY, Limit Price (if any) &amp; Password input correct")</f>
        <v>QTY, Limit Price (if any) &amp; Password input correct</v>
      </c>
      <c r="L1142" s="30"/>
    </row>
    <row r="1143">
      <c r="A1143" s="5"/>
      <c r="B1143" s="118">
        <f>IFERROR(__xludf.DUMMYFUNCTION("""COMPUTED_VALUE"""),44659.65992563657)</f>
        <v>44659.65993</v>
      </c>
      <c r="C1143" s="120">
        <f>IFERROR(__xludf.DUMMYFUNCTION("""COMPUTED_VALUE"""),44659.666666666664)</f>
        <v>44659.66667</v>
      </c>
      <c r="D1143" s="5" t="str">
        <f>IFERROR(__xludf.DUMMYFUNCTION("""COMPUTED_VALUE"""),"39776")</f>
        <v>39776</v>
      </c>
      <c r="E1143" s="5" t="str">
        <f>IFERROR(__xludf.DUMMYFUNCTION("""COMPUTED_VALUE"""),"Stock")</f>
        <v>Stock</v>
      </c>
      <c r="F1143" s="5" t="str">
        <f>IFERROR(__xludf.DUMMYFUNCTION("""COMPUTED_VALUE"""),"HKD")</f>
        <v>HKD</v>
      </c>
      <c r="G1143" s="30" t="str">
        <f>IFERROR(__xludf.DUMMYFUNCTION("""COMPUTED_VALUE"""),"Email Account/ TraderID Recognized")</f>
        <v>Email Account/ TraderID Recognized</v>
      </c>
      <c r="H1143" s="125" t="str">
        <f>IFERROR(__xludf.DUMMYFUNCTION("""COMPUTED_VALUE"""),"3800.HK")</f>
        <v>3800.HK</v>
      </c>
      <c r="I1143" s="30">
        <f>IFERROR(__xludf.DUMMYFUNCTION("""COMPUTED_VALUE"""),10000.0)</f>
        <v>10000</v>
      </c>
      <c r="J1143" s="30">
        <f>IFERROR(__xludf.DUMMYFUNCTION("""COMPUTED_VALUE"""),2.51)</f>
        <v>2.51</v>
      </c>
      <c r="K1143" s="30" t="str">
        <f>IFERROR(__xludf.DUMMYFUNCTION("""COMPUTED_VALUE"""),"QTY, Limit Price (if any) &amp; Password input correct")</f>
        <v>QTY, Limit Price (if any) &amp; Password input correct</v>
      </c>
      <c r="L1143" s="30"/>
    </row>
    <row r="1144">
      <c r="A1144" s="5"/>
      <c r="B1144" s="118">
        <f>IFERROR(__xludf.DUMMYFUNCTION("""COMPUTED_VALUE"""),44659.661791493054)</f>
        <v>44659.66179</v>
      </c>
      <c r="C1144" s="120">
        <f>IFERROR(__xludf.DUMMYFUNCTION("""COMPUTED_VALUE"""),44659.666666666664)</f>
        <v>44659.66667</v>
      </c>
      <c r="D1144" s="5" t="str">
        <f>IFERROR(__xludf.DUMMYFUNCTION("""COMPUTED_VALUE"""),"39776")</f>
        <v>39776</v>
      </c>
      <c r="E1144" s="5" t="str">
        <f>IFERROR(__xludf.DUMMYFUNCTION("""COMPUTED_VALUE"""),"Stock")</f>
        <v>Stock</v>
      </c>
      <c r="F1144" s="5" t="str">
        <f>IFERROR(__xludf.DUMMYFUNCTION("""COMPUTED_VALUE"""),"HKD")</f>
        <v>HKD</v>
      </c>
      <c r="G1144" s="30" t="str">
        <f>IFERROR(__xludf.DUMMYFUNCTION("""COMPUTED_VALUE"""),"Email Account/ TraderID Recognized")</f>
        <v>Email Account/ TraderID Recognized</v>
      </c>
      <c r="H1144" s="125" t="str">
        <f>IFERROR(__xludf.DUMMYFUNCTION("""COMPUTED_VALUE"""),"9858.HK")</f>
        <v>9858.HK</v>
      </c>
      <c r="I1144" s="30">
        <f>IFERROR(__xludf.DUMMYFUNCTION("""COMPUTED_VALUE"""),15000.0)</f>
        <v>15000</v>
      </c>
      <c r="J1144" s="30">
        <f>IFERROR(__xludf.DUMMYFUNCTION("""COMPUTED_VALUE"""),3.5)</f>
        <v>3.5</v>
      </c>
      <c r="K1144" s="30" t="str">
        <f>IFERROR(__xludf.DUMMYFUNCTION("""COMPUTED_VALUE"""),"QTY, Limit Price (if any) &amp; Password input correct")</f>
        <v>QTY, Limit Price (if any) &amp; Password input correct</v>
      </c>
      <c r="L1144" s="30"/>
    </row>
    <row r="1145">
      <c r="A1145" s="5"/>
      <c r="B1145" s="118">
        <f>IFERROR(__xludf.DUMMYFUNCTION("""COMPUTED_VALUE"""),44659.662385)</f>
        <v>44659.66239</v>
      </c>
      <c r="C1145" s="120">
        <f>IFERROR(__xludf.DUMMYFUNCTION("""COMPUTED_VALUE"""),44659.666666666664)</f>
        <v>44659.66667</v>
      </c>
      <c r="D1145" s="5" t="str">
        <f>IFERROR(__xludf.DUMMYFUNCTION("""COMPUTED_VALUE"""),"39563")</f>
        <v>39563</v>
      </c>
      <c r="E1145" s="5" t="str">
        <f>IFERROR(__xludf.DUMMYFUNCTION("""COMPUTED_VALUE"""),"Stock")</f>
        <v>Stock</v>
      </c>
      <c r="F1145" s="5" t="str">
        <f>IFERROR(__xludf.DUMMYFUNCTION("""COMPUTED_VALUE"""),"HKD")</f>
        <v>HKD</v>
      </c>
      <c r="G1145" s="30" t="str">
        <f>IFERROR(__xludf.DUMMYFUNCTION("""COMPUTED_VALUE"""),"Email Account/ TraderID Recognized")</f>
        <v>Email Account/ TraderID Recognized</v>
      </c>
      <c r="H1145" s="125" t="str">
        <f>IFERROR(__xludf.DUMMYFUNCTION("""COMPUTED_VALUE"""),"2196.HK")</f>
        <v>2196.HK</v>
      </c>
      <c r="I1145" s="30">
        <f>IFERROR(__xludf.DUMMYFUNCTION("""COMPUTED_VALUE"""),2000.0)</f>
        <v>2000</v>
      </c>
      <c r="J1145" s="30"/>
      <c r="K1145" s="30" t="str">
        <f>IFERROR(__xludf.DUMMYFUNCTION("""COMPUTED_VALUE"""),"QTY, Limit Price (if any) &amp; Password input correct")</f>
        <v>QTY, Limit Price (if any) &amp; Password input correct</v>
      </c>
      <c r="L1145" s="30"/>
    </row>
    <row r="1146">
      <c r="A1146" s="5"/>
      <c r="B1146" s="118">
        <f>IFERROR(__xludf.DUMMYFUNCTION("""COMPUTED_VALUE"""),44659.662779618055)</f>
        <v>44659.66278</v>
      </c>
      <c r="C1146" s="120">
        <f>IFERROR(__xludf.DUMMYFUNCTION("""COMPUTED_VALUE"""),44659.666666666664)</f>
        <v>44659.66667</v>
      </c>
      <c r="D1146" s="5" t="str">
        <f>IFERROR(__xludf.DUMMYFUNCTION("""COMPUTED_VALUE"""),"39857")</f>
        <v>39857</v>
      </c>
      <c r="E1146" s="5" t="str">
        <f>IFERROR(__xludf.DUMMYFUNCTION("""COMPUTED_VALUE"""),"Stock")</f>
        <v>Stock</v>
      </c>
      <c r="F1146" s="5" t="str">
        <f>IFERROR(__xludf.DUMMYFUNCTION("""COMPUTED_VALUE"""),"HKD")</f>
        <v>HKD</v>
      </c>
      <c r="G1146" s="30" t="str">
        <f>IFERROR(__xludf.DUMMYFUNCTION("""COMPUTED_VALUE"""),"Email Account/ TraderID Recognized")</f>
        <v>Email Account/ TraderID Recognized</v>
      </c>
      <c r="H1146" s="125" t="str">
        <f>IFERROR(__xludf.DUMMYFUNCTION("""COMPUTED_VALUE"""),"9939.HK")</f>
        <v>9939.HK</v>
      </c>
      <c r="I1146" s="30">
        <f>IFERROR(__xludf.DUMMYFUNCTION("""COMPUTED_VALUE"""),5000.0)</f>
        <v>5000</v>
      </c>
      <c r="J1146" s="30"/>
      <c r="K1146" s="30" t="str">
        <f>IFERROR(__xludf.DUMMYFUNCTION("""COMPUTED_VALUE"""),"QTY, Limit Price (if any) &amp; Password input correct")</f>
        <v>QTY, Limit Price (if any) &amp; Password input correct</v>
      </c>
      <c r="L1146" s="30"/>
    </row>
    <row r="1147">
      <c r="A1147" s="5"/>
      <c r="B1147" s="118">
        <f>IFERROR(__xludf.DUMMYFUNCTION("""COMPUTED_VALUE"""),44659.6630571412)</f>
        <v>44659.66306</v>
      </c>
      <c r="C1147" s="120">
        <f>IFERROR(__xludf.DUMMYFUNCTION("""COMPUTED_VALUE"""),44659.666666666664)</f>
        <v>44659.66667</v>
      </c>
      <c r="D1147" s="5" t="str">
        <f>IFERROR(__xludf.DUMMYFUNCTION("""COMPUTED_VALUE"""),"39704")</f>
        <v>39704</v>
      </c>
      <c r="E1147" s="5" t="str">
        <f>IFERROR(__xludf.DUMMYFUNCTION("""COMPUTED_VALUE"""),"Stock")</f>
        <v>Stock</v>
      </c>
      <c r="F1147" s="5" t="str">
        <f>IFERROR(__xludf.DUMMYFUNCTION("""COMPUTED_VALUE"""),"HKD")</f>
        <v>HKD</v>
      </c>
      <c r="G1147" s="30" t="str">
        <f>IFERROR(__xludf.DUMMYFUNCTION("""COMPUTED_VALUE"""),"Email Account/ TraderID Recognized")</f>
        <v>Email Account/ TraderID Recognized</v>
      </c>
      <c r="H1147" s="125" t="str">
        <f>IFERROR(__xludf.DUMMYFUNCTION("""COMPUTED_VALUE"""),"9939.HK")</f>
        <v>9939.HK</v>
      </c>
      <c r="I1147" s="30">
        <f>IFERROR(__xludf.DUMMYFUNCTION("""COMPUTED_VALUE"""),5000.0)</f>
        <v>5000</v>
      </c>
      <c r="J1147" s="30"/>
      <c r="K1147" s="30" t="str">
        <f>IFERROR(__xludf.DUMMYFUNCTION("""COMPUTED_VALUE"""),"QTY, Limit Price (if any) &amp; Password input correct")</f>
        <v>QTY, Limit Price (if any) &amp; Password input correct</v>
      </c>
      <c r="L1147" s="30"/>
    </row>
    <row r="1148">
      <c r="A1148" s="5"/>
      <c r="B1148" s="118">
        <f>IFERROR(__xludf.DUMMYFUNCTION("""COMPUTED_VALUE"""),44659.66344974537)</f>
        <v>44659.66345</v>
      </c>
      <c r="C1148" s="120">
        <f>IFERROR(__xludf.DUMMYFUNCTION("""COMPUTED_VALUE"""),44659.666666666664)</f>
        <v>44659.66667</v>
      </c>
      <c r="D1148" s="5" t="str">
        <f>IFERROR(__xludf.DUMMYFUNCTION("""COMPUTED_VALUE"""),"39563")</f>
        <v>39563</v>
      </c>
      <c r="E1148" s="5" t="str">
        <f>IFERROR(__xludf.DUMMYFUNCTION("""COMPUTED_VALUE"""),"Stock")</f>
        <v>Stock</v>
      </c>
      <c r="F1148" s="5" t="str">
        <f>IFERROR(__xludf.DUMMYFUNCTION("""COMPUTED_VALUE"""),"HKD")</f>
        <v>HKD</v>
      </c>
      <c r="G1148" s="30" t="str">
        <f>IFERROR(__xludf.DUMMYFUNCTION("""COMPUTED_VALUE"""),"Email Account/ TraderID Recognized")</f>
        <v>Email Account/ TraderID Recognized</v>
      </c>
      <c r="H1148" s="125" t="str">
        <f>IFERROR(__xludf.DUMMYFUNCTION("""COMPUTED_VALUE"""),"9868.HK")</f>
        <v>9868.HK</v>
      </c>
      <c r="I1148" s="30">
        <f>IFERROR(__xludf.DUMMYFUNCTION("""COMPUTED_VALUE"""),500.0)</f>
        <v>500</v>
      </c>
      <c r="J1148" s="30"/>
      <c r="K1148" s="30" t="str">
        <f>IFERROR(__xludf.DUMMYFUNCTION("""COMPUTED_VALUE"""),"QTY, Limit Price (if any) &amp; Password input correct")</f>
        <v>QTY, Limit Price (if any) &amp; Password input correct</v>
      </c>
      <c r="L1148" s="30"/>
    </row>
    <row r="1149">
      <c r="A1149" s="5"/>
      <c r="B1149" s="118">
        <f>IFERROR(__xludf.DUMMYFUNCTION("""COMPUTED_VALUE"""),44659.67935847222)</f>
        <v>44659.67936</v>
      </c>
      <c r="C1149" s="120">
        <f>IFERROR(__xludf.DUMMYFUNCTION("""COMPUTED_VALUE"""),44660.666666666664)</f>
        <v>44660.66667</v>
      </c>
      <c r="D1149" s="5" t="str">
        <f>IFERROR(__xludf.DUMMYFUNCTION("""COMPUTED_VALUE"""),"89845")</f>
        <v>89845</v>
      </c>
      <c r="E1149" s="5" t="str">
        <f>IFERROR(__xludf.DUMMYFUNCTION("""COMPUTED_VALUE"""),"Stock")</f>
        <v>Stock</v>
      </c>
      <c r="F1149" s="5" t="str">
        <f>IFERROR(__xludf.DUMMYFUNCTION("""COMPUTED_VALUE"""),"HKD")</f>
        <v>HKD</v>
      </c>
      <c r="G1149" s="30" t="str">
        <f>IFERROR(__xludf.DUMMYFUNCTION("""COMPUTED_VALUE"""),"Email Account/ TraderID Recognized")</f>
        <v>Email Account/ TraderID Recognized</v>
      </c>
      <c r="H1149" s="125" t="str">
        <f>IFERROR(__xludf.DUMMYFUNCTION("""COMPUTED_VALUE"""),"9939.HK")</f>
        <v>9939.HK</v>
      </c>
      <c r="I1149" s="30">
        <f>IFERROR(__xludf.DUMMYFUNCTION("""COMPUTED_VALUE"""),500.0)</f>
        <v>500</v>
      </c>
      <c r="J1149" s="30"/>
      <c r="K1149" s="30" t="str">
        <f>IFERROR(__xludf.DUMMYFUNCTION("""COMPUTED_VALUE"""),"QTY, Limit Price (if any) &amp; Password input correct")</f>
        <v>QTY, Limit Price (if any) &amp; Password input correct</v>
      </c>
      <c r="L1149" s="30"/>
    </row>
    <row r="1150">
      <c r="A1150" s="5"/>
      <c r="B1150" s="118">
        <f>IFERROR(__xludf.DUMMYFUNCTION("""COMPUTED_VALUE"""),44659.682037025465)</f>
        <v>44659.68204</v>
      </c>
      <c r="C1150" s="120">
        <f>IFERROR(__xludf.DUMMYFUNCTION("""COMPUTED_VALUE"""),44660.666666666664)</f>
        <v>44660.66667</v>
      </c>
      <c r="D1150" s="5" t="str">
        <f>IFERROR(__xludf.DUMMYFUNCTION("""COMPUTED_VALUE"""),"89833")</f>
        <v>89833</v>
      </c>
      <c r="E1150" s="5" t="str">
        <f>IFERROR(__xludf.DUMMYFUNCTION("""COMPUTED_VALUE"""),"Stock")</f>
        <v>Stock</v>
      </c>
      <c r="F1150" s="5" t="str">
        <f>IFERROR(__xludf.DUMMYFUNCTION("""COMPUTED_VALUE"""),"HKD")</f>
        <v>HKD</v>
      </c>
      <c r="G1150" s="30" t="str">
        <f>IFERROR(__xludf.DUMMYFUNCTION("""COMPUTED_VALUE"""),"Email Account/ TraderID Recognized")</f>
        <v>Email Account/ TraderID Recognized</v>
      </c>
      <c r="H1150" s="125" t="str">
        <f>IFERROR(__xludf.DUMMYFUNCTION("""COMPUTED_VALUE"""),"0883.HK")</f>
        <v>0883.HK</v>
      </c>
      <c r="I1150" s="30">
        <f>IFERROR(__xludf.DUMMYFUNCTION("""COMPUTED_VALUE"""),15000.0)</f>
        <v>15000</v>
      </c>
      <c r="J1150" s="30"/>
      <c r="K1150" s="30" t="str">
        <f>IFERROR(__xludf.DUMMYFUNCTION("""COMPUTED_VALUE"""),"QTY, Limit Price (if any) &amp; Password input correct")</f>
        <v>QTY, Limit Price (if any) &amp; Password input correct</v>
      </c>
      <c r="L1150" s="30"/>
    </row>
    <row r="1151">
      <c r="A1151" s="5"/>
      <c r="B1151" s="118">
        <f>IFERROR(__xludf.DUMMYFUNCTION("""COMPUTED_VALUE"""),44659.69224674768)</f>
        <v>44659.69225</v>
      </c>
      <c r="C1151" s="120">
        <f>IFERROR(__xludf.DUMMYFUNCTION("""COMPUTED_VALUE"""),44659.666666666664)</f>
        <v>44659.66667</v>
      </c>
      <c r="D1151" s="5" t="str">
        <f>IFERROR(__xludf.DUMMYFUNCTION("""COMPUTED_VALUE"""),"77216")</f>
        <v>77216</v>
      </c>
      <c r="E1151" s="5" t="str">
        <f>IFERROR(__xludf.DUMMYFUNCTION("""COMPUTED_VALUE"""),"Stock")</f>
        <v>Stock</v>
      </c>
      <c r="F1151" s="5" t="str">
        <f>IFERROR(__xludf.DUMMYFUNCTION("""COMPUTED_VALUE"""),"USD")</f>
        <v>USD</v>
      </c>
      <c r="G1151" s="30" t="str">
        <f>IFERROR(__xludf.DUMMYFUNCTION("""COMPUTED_VALUE"""),"Email Account/ TraderID Recognized")</f>
        <v>Email Account/ TraderID Recognized</v>
      </c>
      <c r="H1151" s="112" t="str">
        <f>IFERROR(__xludf.DUMMYFUNCTION("""COMPUTED_VALUE"""),"DIDI")</f>
        <v>DIDI</v>
      </c>
      <c r="I1151" s="30">
        <f>IFERROR(__xludf.DUMMYFUNCTION("""COMPUTED_VALUE"""),24000.0)</f>
        <v>24000</v>
      </c>
      <c r="J1151" s="30">
        <f>IFERROR(__xludf.DUMMYFUNCTION("""COMPUTED_VALUE"""),2.5801)</f>
        <v>2.5801</v>
      </c>
      <c r="K1151" s="30" t="str">
        <f>IFERROR(__xludf.DUMMYFUNCTION("""COMPUTED_VALUE"""),"Wrong Password Submitted, Order will be rejected")</f>
        <v>Wrong Password Submitted, Order will be rejected</v>
      </c>
      <c r="L1151" s="30"/>
    </row>
    <row r="1152">
      <c r="A1152" s="5"/>
      <c r="B1152" s="118">
        <f>IFERROR(__xludf.DUMMYFUNCTION("""COMPUTED_VALUE"""),44659.69481166667)</f>
        <v>44659.69481</v>
      </c>
      <c r="C1152" s="120">
        <f>IFERROR(__xludf.DUMMYFUNCTION("""COMPUTED_VALUE"""),44659.666666666664)</f>
        <v>44659.66667</v>
      </c>
      <c r="D1152" s="5" t="str">
        <f>IFERROR(__xludf.DUMMYFUNCTION("""COMPUTED_VALUE"""),"77216")</f>
        <v>77216</v>
      </c>
      <c r="E1152" s="5" t="str">
        <f>IFERROR(__xludf.DUMMYFUNCTION("""COMPUTED_VALUE"""),"Stock")</f>
        <v>Stock</v>
      </c>
      <c r="F1152" s="5" t="str">
        <f>IFERROR(__xludf.DUMMYFUNCTION("""COMPUTED_VALUE"""),"USD")</f>
        <v>USD</v>
      </c>
      <c r="G1152" s="30" t="str">
        <f>IFERROR(__xludf.DUMMYFUNCTION("""COMPUTED_VALUE"""),"Email Account/ TraderID Recognized")</f>
        <v>Email Account/ TraderID Recognized</v>
      </c>
      <c r="H1152" s="112" t="str">
        <f>IFERROR(__xludf.DUMMYFUNCTION("""COMPUTED_VALUE"""),"DIDI")</f>
        <v>DIDI</v>
      </c>
      <c r="I1152" s="30">
        <f>IFERROR(__xludf.DUMMYFUNCTION("""COMPUTED_VALUE"""),24000.0)</f>
        <v>24000</v>
      </c>
      <c r="J1152" s="30">
        <f>IFERROR(__xludf.DUMMYFUNCTION("""COMPUTED_VALUE"""),2.581)</f>
        <v>2.581</v>
      </c>
      <c r="K1152" s="30" t="str">
        <f>IFERROR(__xludf.DUMMYFUNCTION("""COMPUTED_VALUE"""),"QTY, Limit Price (if any) &amp; Password input correct")</f>
        <v>QTY, Limit Price (if any) &amp; Password input correct</v>
      </c>
      <c r="L1152" s="30"/>
    </row>
    <row r="1153">
      <c r="A1153" s="5"/>
      <c r="B1153" s="118">
        <f>IFERROR(__xludf.DUMMYFUNCTION("""COMPUTED_VALUE"""),44659.69747950231)</f>
        <v>44659.69748</v>
      </c>
      <c r="C1153" s="120">
        <f>IFERROR(__xludf.DUMMYFUNCTION("""COMPUTED_VALUE"""),44659.666666666664)</f>
        <v>44659.66667</v>
      </c>
      <c r="D1153" s="5" t="str">
        <f>IFERROR(__xludf.DUMMYFUNCTION("""COMPUTED_VALUE"""),"77216")</f>
        <v>77216</v>
      </c>
      <c r="E1153" s="5" t="str">
        <f>IFERROR(__xludf.DUMMYFUNCTION("""COMPUTED_VALUE"""),"Stock")</f>
        <v>Stock</v>
      </c>
      <c r="F1153" s="5" t="str">
        <f>IFERROR(__xludf.DUMMYFUNCTION("""COMPUTED_VALUE"""),"USD")</f>
        <v>USD</v>
      </c>
      <c r="G1153" s="30" t="str">
        <f>IFERROR(__xludf.DUMMYFUNCTION("""COMPUTED_VALUE"""),"Email Account/ TraderID Recognized")</f>
        <v>Email Account/ TraderID Recognized</v>
      </c>
      <c r="H1153" s="112" t="str">
        <f>IFERROR(__xludf.DUMMYFUNCTION("""COMPUTED_VALUE"""),"DIDI")</f>
        <v>DIDI</v>
      </c>
      <c r="I1153" s="30">
        <f>IFERROR(__xludf.DUMMYFUNCTION("""COMPUTED_VALUE"""),24000.0)</f>
        <v>24000</v>
      </c>
      <c r="J1153" s="30">
        <f>IFERROR(__xludf.DUMMYFUNCTION("""COMPUTED_VALUE"""),2.581)</f>
        <v>2.581</v>
      </c>
      <c r="K1153" s="30" t="str">
        <f>IFERROR(__xludf.DUMMYFUNCTION("""COMPUTED_VALUE"""),"QTY, Limit Price (if any) &amp; Password input correct")</f>
        <v>QTY, Limit Price (if any) &amp; Password input correct</v>
      </c>
      <c r="L1153" s="30"/>
    </row>
    <row r="1154">
      <c r="A1154" s="5"/>
      <c r="B1154" s="118">
        <f>IFERROR(__xludf.DUMMYFUNCTION("""COMPUTED_VALUE"""),44659.72932982639)</f>
        <v>44659.72933</v>
      </c>
      <c r="C1154" s="120" t="str">
        <f>IFERROR(__xludf.DUMMYFUNCTION("""COMPUTED_VALUE"""),"")</f>
        <v/>
      </c>
      <c r="D1154" s="5" t="str">
        <f>IFERROR(__xludf.DUMMYFUNCTION("""COMPUTED_VALUE"""),"")</f>
        <v/>
      </c>
      <c r="E1154" s="5" t="str">
        <f>IFERROR(__xludf.DUMMYFUNCTION("""COMPUTED_VALUE"""),"Stock")</f>
        <v>Stock</v>
      </c>
      <c r="F1154" s="5" t="str">
        <f>IFERROR(__xludf.DUMMYFUNCTION("""COMPUTED_VALUE"""),"error")</f>
        <v>error</v>
      </c>
      <c r="G1154" s="30" t="str">
        <f>IFERROR(__xludf.DUMMYFUNCTION("""COMPUTED_VALUE"""),"mikexxxxxx@nonHKMUemail")</f>
        <v>mikexxxxxx@nonHKMUemail</v>
      </c>
      <c r="H1154" s="112">
        <f>IFERROR(__xludf.DUMMYFUNCTION("""COMPUTED_VALUE"""),89750.0)</f>
        <v>89750</v>
      </c>
      <c r="I1154" s="30">
        <f>IFERROR(__xludf.DUMMYFUNCTION("""COMPUTED_VALUE"""),89750.0)</f>
        <v>89750</v>
      </c>
      <c r="J1154" s="126">
        <f>IFERROR(__xludf.DUMMYFUNCTION("""COMPUTED_VALUE"""),100.0)</f>
        <v>100</v>
      </c>
      <c r="K1154" s="30" t="str">
        <f>IFERROR(__xludf.DUMMYFUNCTION("""COMPUTED_VALUE"""),"QTY, Limit Price (if any) &amp; Password input correct")</f>
        <v>QTY, Limit Price (if any) &amp; Password input correct</v>
      </c>
      <c r="L1154" s="30"/>
    </row>
    <row r="1155">
      <c r="A1155" s="5"/>
      <c r="B1155" s="118">
        <f>IFERROR(__xludf.DUMMYFUNCTION("""COMPUTED_VALUE"""),44659.73392803241)</f>
        <v>44659.73393</v>
      </c>
      <c r="C1155" s="120" t="str">
        <f>IFERROR(__xludf.DUMMYFUNCTION("""COMPUTED_VALUE"""),"")</f>
        <v/>
      </c>
      <c r="D1155" s="5" t="str">
        <f>IFERROR(__xludf.DUMMYFUNCTION("""COMPUTED_VALUE"""),"")</f>
        <v/>
      </c>
      <c r="E1155" s="5" t="str">
        <f>IFERROR(__xludf.DUMMYFUNCTION("""COMPUTED_VALUE"""),"Stock")</f>
        <v>Stock</v>
      </c>
      <c r="F1155" s="5" t="str">
        <f>IFERROR(__xludf.DUMMYFUNCTION("""COMPUTED_VALUE"""),"error")</f>
        <v>error</v>
      </c>
      <c r="G1155" s="30" t="str">
        <f>IFERROR(__xludf.DUMMYFUNCTION("""COMPUTED_VALUE"""),"2470xxxxxx@nonHKMUemail")</f>
        <v>2470xxxxxx@nonHKMUemail</v>
      </c>
      <c r="H1155" s="112" t="str">
        <f>IFERROR(__xludf.DUMMYFUNCTION("""COMPUTED_VALUE"""),"TSLA")</f>
        <v>TSLA</v>
      </c>
      <c r="I1155" s="30">
        <f>IFERROR(__xludf.DUMMYFUNCTION("""COMPUTED_VALUE"""),50.0)</f>
        <v>50</v>
      </c>
      <c r="J1155" s="30">
        <f>IFERROR(__xludf.DUMMYFUNCTION("""COMPUTED_VALUE"""),1020.0)</f>
        <v>1020</v>
      </c>
      <c r="K1155" s="30" t="str">
        <f>IFERROR(__xludf.DUMMYFUNCTION("""COMPUTED_VALUE"""),"QTY, Limit Price (if any) &amp; Password input correct")</f>
        <v>QTY, Limit Price (if any) &amp; Password input correct</v>
      </c>
      <c r="L1155" s="30"/>
    </row>
    <row r="1156">
      <c r="A1156" s="5"/>
      <c r="B1156" s="118">
        <f>IFERROR(__xludf.DUMMYFUNCTION("""COMPUTED_VALUE"""),44659.75716866898)</f>
        <v>44659.75717</v>
      </c>
      <c r="C1156" s="120">
        <f>IFERROR(__xludf.DUMMYFUNCTION("""COMPUTED_VALUE"""),44660.666666666664)</f>
        <v>44660.66667</v>
      </c>
      <c r="D1156" s="5" t="str">
        <f>IFERROR(__xludf.DUMMYFUNCTION("""COMPUTED_VALUE"""),"40105")</f>
        <v>40105</v>
      </c>
      <c r="E1156" s="5" t="str">
        <f>IFERROR(__xludf.DUMMYFUNCTION("""COMPUTED_VALUE"""),"Stock")</f>
        <v>Stock</v>
      </c>
      <c r="F1156" s="5" t="str">
        <f>IFERROR(__xludf.DUMMYFUNCTION("""COMPUTED_VALUE"""),"HKD")</f>
        <v>HKD</v>
      </c>
      <c r="G1156" s="30" t="str">
        <f>IFERROR(__xludf.DUMMYFUNCTION("""COMPUTED_VALUE"""),"Email Account/ TraderID Recognized")</f>
        <v>Email Account/ TraderID Recognized</v>
      </c>
      <c r="H1156" s="125" t="str">
        <f>IFERROR(__xludf.DUMMYFUNCTION("""COMPUTED_VALUE"""),"9939.HK")</f>
        <v>9939.HK</v>
      </c>
      <c r="I1156" s="30">
        <f>IFERROR(__xludf.DUMMYFUNCTION("""COMPUTED_VALUE"""),5000.0)</f>
        <v>5000</v>
      </c>
      <c r="J1156" s="30"/>
      <c r="K1156" s="30" t="str">
        <f>IFERROR(__xludf.DUMMYFUNCTION("""COMPUTED_VALUE"""),"QTY, Limit Price (if any) &amp; Password input correct")</f>
        <v>QTY, Limit Price (if any) &amp; Password input correct</v>
      </c>
      <c r="L1156" s="30"/>
    </row>
    <row r="1157">
      <c r="A1157" s="5"/>
      <c r="B1157" s="118">
        <f>IFERROR(__xludf.DUMMYFUNCTION("""COMPUTED_VALUE"""),44659.77123359954)</f>
        <v>44659.77123</v>
      </c>
      <c r="C1157" s="120">
        <f>IFERROR(__xludf.DUMMYFUNCTION("""COMPUTED_VALUE"""),44659.666666666664)</f>
        <v>44659.66667</v>
      </c>
      <c r="D1157" s="5" t="str">
        <f>IFERROR(__xludf.DUMMYFUNCTION("""COMPUTED_VALUE"""),"40776")</f>
        <v>40776</v>
      </c>
      <c r="E1157" s="5" t="str">
        <f>IFERROR(__xludf.DUMMYFUNCTION("""COMPUTED_VALUE"""),"Stock")</f>
        <v>Stock</v>
      </c>
      <c r="F1157" s="5" t="str">
        <f>IFERROR(__xludf.DUMMYFUNCTION("""COMPUTED_VALUE"""),"USD")</f>
        <v>USD</v>
      </c>
      <c r="G1157" s="30" t="str">
        <f>IFERROR(__xludf.DUMMYFUNCTION("""COMPUTED_VALUE"""),"Email Account/ TraderID Recognized")</f>
        <v>Email Account/ TraderID Recognized</v>
      </c>
      <c r="H1157" s="112" t="str">
        <f>IFERROR(__xludf.DUMMYFUNCTION("""COMPUTED_VALUE"""),"AAPL")</f>
        <v>AAPL</v>
      </c>
      <c r="I1157" s="30">
        <f>IFERROR(__xludf.DUMMYFUNCTION("""COMPUTED_VALUE"""),100.0)</f>
        <v>100</v>
      </c>
      <c r="J1157" s="30">
        <f>IFERROR(__xludf.DUMMYFUNCTION("""COMPUTED_VALUE"""),170.0)</f>
        <v>170</v>
      </c>
      <c r="K1157" s="30" t="str">
        <f>IFERROR(__xludf.DUMMYFUNCTION("""COMPUTED_VALUE"""),"QTY, Limit Price (if any) &amp; Password input correct")</f>
        <v>QTY, Limit Price (if any) &amp; Password input correct</v>
      </c>
      <c r="L1157" s="30"/>
    </row>
    <row r="1158">
      <c r="A1158" s="5"/>
      <c r="B1158" s="118">
        <f>IFERROR(__xludf.DUMMYFUNCTION("""COMPUTED_VALUE"""),44659.77421387732)</f>
        <v>44659.77421</v>
      </c>
      <c r="C1158" s="120">
        <f>IFERROR(__xludf.DUMMYFUNCTION("""COMPUTED_VALUE"""),44659.666666666664)</f>
        <v>44659.66667</v>
      </c>
      <c r="D1158" s="5" t="str">
        <f>IFERROR(__xludf.DUMMYFUNCTION("""COMPUTED_VALUE"""),"40776")</f>
        <v>40776</v>
      </c>
      <c r="E1158" s="5" t="str">
        <f>IFERROR(__xludf.DUMMYFUNCTION("""COMPUTED_VALUE"""),"Stock")</f>
        <v>Stock</v>
      </c>
      <c r="F1158" s="5" t="str">
        <f>IFERROR(__xludf.DUMMYFUNCTION("""COMPUTED_VALUE"""),"USD")</f>
        <v>USD</v>
      </c>
      <c r="G1158" s="30" t="str">
        <f>IFERROR(__xludf.DUMMYFUNCTION("""COMPUTED_VALUE"""),"Email Account/ TraderID Recognized")</f>
        <v>Email Account/ TraderID Recognized</v>
      </c>
      <c r="H1158" s="112" t="str">
        <f>IFERROR(__xludf.DUMMYFUNCTION("""COMPUTED_VALUE"""),"TSLA")</f>
        <v>TSLA</v>
      </c>
      <c r="I1158" s="30">
        <f>IFERROR(__xludf.DUMMYFUNCTION("""COMPUTED_VALUE"""),100.0)</f>
        <v>100</v>
      </c>
      <c r="J1158" s="30">
        <f>IFERROR(__xludf.DUMMYFUNCTION("""COMPUTED_VALUE"""),1036.67)</f>
        <v>1036.67</v>
      </c>
      <c r="K1158" s="30" t="str">
        <f>IFERROR(__xludf.DUMMYFUNCTION("""COMPUTED_VALUE"""),"QTY, Limit Price (if any) &amp; Password input correct")</f>
        <v>QTY, Limit Price (if any) &amp; Password input correct</v>
      </c>
      <c r="L1158" s="30"/>
    </row>
    <row r="1159">
      <c r="A1159" s="5"/>
      <c r="B1159" s="118">
        <f>IFERROR(__xludf.DUMMYFUNCTION("""COMPUTED_VALUE"""),44659.77614773148)</f>
        <v>44659.77615</v>
      </c>
      <c r="C1159" s="120" t="str">
        <f>IFERROR(__xludf.DUMMYFUNCTION("""COMPUTED_VALUE"""),"")</f>
        <v/>
      </c>
      <c r="D1159" s="5" t="str">
        <f>IFERROR(__xludf.DUMMYFUNCTION("""COMPUTED_VALUE"""),"")</f>
        <v/>
      </c>
      <c r="E1159" s="5" t="str">
        <f>IFERROR(__xludf.DUMMYFUNCTION("""COMPUTED_VALUE"""),"Stock")</f>
        <v>Stock</v>
      </c>
      <c r="F1159" s="5" t="str">
        <f>IFERROR(__xludf.DUMMYFUNCTION("""COMPUTED_VALUE"""),"error")</f>
        <v>error</v>
      </c>
      <c r="G1159" s="30" t="str">
        <f>IFERROR(__xludf.DUMMYFUNCTION("""COMPUTED_VALUE"""),"2470xxxxxx@nonHKMUemail")</f>
        <v>2470xxxxxx@nonHKMUemail</v>
      </c>
      <c r="H1159" s="112" t="str">
        <f>IFERROR(__xludf.DUMMYFUNCTION("""COMPUTED_VALUE"""),"AAPL")</f>
        <v>AAPL</v>
      </c>
      <c r="I1159" s="30">
        <f>IFERROR(__xludf.DUMMYFUNCTION("""COMPUTED_VALUE"""),100.0)</f>
        <v>100</v>
      </c>
      <c r="J1159" s="30">
        <f>IFERROR(__xludf.DUMMYFUNCTION("""COMPUTED_VALUE"""),171.0)</f>
        <v>171</v>
      </c>
      <c r="K1159" s="30" t="str">
        <f>IFERROR(__xludf.DUMMYFUNCTION("""COMPUTED_VALUE"""),"QTY, Limit Price (if any) &amp; Password input correct")</f>
        <v>QTY, Limit Price (if any) &amp; Password input correct</v>
      </c>
      <c r="L1159" s="30"/>
    </row>
    <row r="1160">
      <c r="A1160" s="5"/>
      <c r="B1160" s="118">
        <f>IFERROR(__xludf.DUMMYFUNCTION("""COMPUTED_VALUE"""),44659.882564907406)</f>
        <v>44659.88256</v>
      </c>
      <c r="C1160" s="120" t="str">
        <f>IFERROR(__xludf.DUMMYFUNCTION("""COMPUTED_VALUE"""),"")</f>
        <v/>
      </c>
      <c r="D1160" s="5" t="str">
        <f>IFERROR(__xludf.DUMMYFUNCTION("""COMPUTED_VALUE"""),"89833")</f>
        <v>89833</v>
      </c>
      <c r="E1160" s="5" t="str">
        <f>IFERROR(__xludf.DUMMYFUNCTION("""COMPUTED_VALUE"""),"Stock")</f>
        <v>Stock</v>
      </c>
      <c r="F1160" s="5" t="str">
        <f>IFERROR(__xludf.DUMMYFUNCTION("""COMPUTED_VALUE"""),"error")</f>
        <v>error</v>
      </c>
      <c r="G1160" s="30" t="str">
        <f>IFERROR(__xludf.DUMMYFUNCTION("""COMPUTED_VALUE"""),"Email Account/ TraderID Recognized")</f>
        <v>Email Account/ TraderID Recognized</v>
      </c>
      <c r="H1160" s="112" t="str">
        <f>IFERROR(__xludf.DUMMYFUNCTION("""COMPUTED_VALUE"""),"OXY")</f>
        <v>OXY</v>
      </c>
      <c r="I1160" s="30">
        <f>IFERROR(__xludf.DUMMYFUNCTION("""COMPUTED_VALUE"""),500.0)</f>
        <v>500</v>
      </c>
      <c r="J1160" s="30" t="str">
        <f>IFERROR(__xludf.DUMMYFUNCTION("""COMPUTED_VALUE"""),"Limit Sell @ 58 - if Closing @ 60 = Executed price @ 60; if Closing @ 57 = no execution")</f>
        <v>Limit Sell @ 58 - if Closing @ 60 = Executed price @ 60; if Closing @ 57 = no execution</v>
      </c>
      <c r="K1160" s="30" t="str">
        <f>IFERROR(__xludf.DUMMYFUNCTION("""COMPUTED_VALUE"""),"Non-number input in Quantity or Limit Price")</f>
        <v>Non-number input in Quantity or Limit Price</v>
      </c>
      <c r="L1160" s="30"/>
    </row>
    <row r="1161">
      <c r="A1161" s="5"/>
      <c r="B1161" s="118">
        <f>IFERROR(__xludf.DUMMYFUNCTION("""COMPUTED_VALUE"""),44659.916054456015)</f>
        <v>44659.91605</v>
      </c>
      <c r="C1161" s="120">
        <f>IFERROR(__xludf.DUMMYFUNCTION("""COMPUTED_VALUE"""),44659.666666666664)</f>
        <v>44659.66667</v>
      </c>
      <c r="D1161" s="5" t="str">
        <f>IFERROR(__xludf.DUMMYFUNCTION("""COMPUTED_VALUE"""),"39670")</f>
        <v>39670</v>
      </c>
      <c r="E1161" s="5" t="str">
        <f>IFERROR(__xludf.DUMMYFUNCTION("""COMPUTED_VALUE"""),"Stock")</f>
        <v>Stock</v>
      </c>
      <c r="F1161" s="5" t="str">
        <f>IFERROR(__xludf.DUMMYFUNCTION("""COMPUTED_VALUE"""),"USD")</f>
        <v>USD</v>
      </c>
      <c r="G1161" s="30" t="str">
        <f>IFERROR(__xludf.DUMMYFUNCTION("""COMPUTED_VALUE"""),"Email Account/ TraderID Recognized")</f>
        <v>Email Account/ TraderID Recognized</v>
      </c>
      <c r="H1161" s="112" t="str">
        <f>IFERROR(__xludf.DUMMYFUNCTION("""COMPUTED_VALUE"""),"TSLA")</f>
        <v>TSLA</v>
      </c>
      <c r="I1161" s="30">
        <f>IFERROR(__xludf.DUMMYFUNCTION("""COMPUTED_VALUE"""),50.0)</f>
        <v>50</v>
      </c>
      <c r="J1161" s="30">
        <f>IFERROR(__xludf.DUMMYFUNCTION("""COMPUTED_VALUE"""),1050.0)</f>
        <v>1050</v>
      </c>
      <c r="K1161" s="30" t="str">
        <f>IFERROR(__xludf.DUMMYFUNCTION("""COMPUTED_VALUE"""),"QTY, Limit Price (if any) &amp; Password input correct")</f>
        <v>QTY, Limit Price (if any) &amp; Password input correct</v>
      </c>
      <c r="L1161" s="30"/>
    </row>
    <row r="1162">
      <c r="A1162" s="5"/>
      <c r="B1162" s="118">
        <f>IFERROR(__xludf.DUMMYFUNCTION("""COMPUTED_VALUE"""),44659.917218912036)</f>
        <v>44659.91722</v>
      </c>
      <c r="C1162" s="120">
        <f>IFERROR(__xludf.DUMMYFUNCTION("""COMPUTED_VALUE"""),44659.666666666664)</f>
        <v>44659.66667</v>
      </c>
      <c r="D1162" s="5" t="str">
        <f>IFERROR(__xludf.DUMMYFUNCTION("""COMPUTED_VALUE"""),"39670")</f>
        <v>39670</v>
      </c>
      <c r="E1162" s="5" t="str">
        <f>IFERROR(__xludf.DUMMYFUNCTION("""COMPUTED_VALUE"""),"Stock")</f>
        <v>Stock</v>
      </c>
      <c r="F1162" s="5" t="str">
        <f>IFERROR(__xludf.DUMMYFUNCTION("""COMPUTED_VALUE"""),"USD")</f>
        <v>USD</v>
      </c>
      <c r="G1162" s="30" t="str">
        <f>IFERROR(__xludf.DUMMYFUNCTION("""COMPUTED_VALUE"""),"Email Account/ TraderID Recognized")</f>
        <v>Email Account/ TraderID Recognized</v>
      </c>
      <c r="H1162" s="112" t="str">
        <f>IFERROR(__xludf.DUMMYFUNCTION("""COMPUTED_VALUE"""),"AAPL")</f>
        <v>AAPL</v>
      </c>
      <c r="I1162" s="30">
        <f>IFERROR(__xludf.DUMMYFUNCTION("""COMPUTED_VALUE"""),100.0)</f>
        <v>100</v>
      </c>
      <c r="J1162" s="30">
        <f>IFERROR(__xludf.DUMMYFUNCTION("""COMPUTED_VALUE"""),170.0)</f>
        <v>170</v>
      </c>
      <c r="K1162" s="30" t="str">
        <f>IFERROR(__xludf.DUMMYFUNCTION("""COMPUTED_VALUE"""),"QTY, Limit Price (if any) &amp; Password input correct")</f>
        <v>QTY, Limit Price (if any) &amp; Password input correct</v>
      </c>
      <c r="L1162" s="30"/>
    </row>
    <row r="1163">
      <c r="A1163" s="5"/>
      <c r="B1163" s="118">
        <f>IFERROR(__xludf.DUMMYFUNCTION("""COMPUTED_VALUE"""),44659.92531209491)</f>
        <v>44659.92531</v>
      </c>
      <c r="C1163" s="120">
        <f>IFERROR(__xludf.DUMMYFUNCTION("""COMPUTED_VALUE"""),44659.666666666664)</f>
        <v>44659.66667</v>
      </c>
      <c r="D1163" s="5" t="str">
        <f>IFERROR(__xludf.DUMMYFUNCTION("""COMPUTED_VALUE"""),"40776")</f>
        <v>40776</v>
      </c>
      <c r="E1163" s="5" t="str">
        <f>IFERROR(__xludf.DUMMYFUNCTION("""COMPUTED_VALUE"""),"Stock")</f>
        <v>Stock</v>
      </c>
      <c r="F1163" s="5" t="str">
        <f>IFERROR(__xludf.DUMMYFUNCTION("""COMPUTED_VALUE"""),"USD")</f>
        <v>USD</v>
      </c>
      <c r="G1163" s="30" t="str">
        <f>IFERROR(__xludf.DUMMYFUNCTION("""COMPUTED_VALUE"""),"Email Account/ TraderID Recognized")</f>
        <v>Email Account/ TraderID Recognized</v>
      </c>
      <c r="H1163" s="112" t="str">
        <f>IFERROR(__xludf.DUMMYFUNCTION("""COMPUTED_VALUE"""),"TSLA")</f>
        <v>TSLA</v>
      </c>
      <c r="I1163" s="30">
        <f>IFERROR(__xludf.DUMMYFUNCTION("""COMPUTED_VALUE"""),50.0)</f>
        <v>50</v>
      </c>
      <c r="J1163" s="30">
        <f>IFERROR(__xludf.DUMMYFUNCTION("""COMPUTED_VALUE"""),1029.68)</f>
        <v>1029.68</v>
      </c>
      <c r="K1163" s="30" t="str">
        <f>IFERROR(__xludf.DUMMYFUNCTION("""COMPUTED_VALUE"""),"QTY, Limit Price (if any) &amp; Password input correct")</f>
        <v>QTY, Limit Price (if any) &amp; Password input correct</v>
      </c>
      <c r="L1163" s="30"/>
    </row>
    <row r="1164">
      <c r="A1164" s="5"/>
      <c r="B1164" s="118">
        <f>IFERROR(__xludf.DUMMYFUNCTION("""COMPUTED_VALUE"""),44659.92618991898)</f>
        <v>44659.92619</v>
      </c>
      <c r="C1164" s="120">
        <f>IFERROR(__xludf.DUMMYFUNCTION("""COMPUTED_VALUE"""),44659.666666666664)</f>
        <v>44659.66667</v>
      </c>
      <c r="D1164" s="5" t="str">
        <f>IFERROR(__xludf.DUMMYFUNCTION("""COMPUTED_VALUE"""),"40776")</f>
        <v>40776</v>
      </c>
      <c r="E1164" s="5" t="str">
        <f>IFERROR(__xludf.DUMMYFUNCTION("""COMPUTED_VALUE"""),"Stock")</f>
        <v>Stock</v>
      </c>
      <c r="F1164" s="5" t="str">
        <f>IFERROR(__xludf.DUMMYFUNCTION("""COMPUTED_VALUE"""),"USD")</f>
        <v>USD</v>
      </c>
      <c r="G1164" s="30" t="str">
        <f>IFERROR(__xludf.DUMMYFUNCTION("""COMPUTED_VALUE"""),"Email Account/ TraderID Recognized")</f>
        <v>Email Account/ TraderID Recognized</v>
      </c>
      <c r="H1164" s="112" t="str">
        <f>IFERROR(__xludf.DUMMYFUNCTION("""COMPUTED_VALUE"""),"AAPL")</f>
        <v>AAPL</v>
      </c>
      <c r="I1164" s="30">
        <f>IFERROR(__xludf.DUMMYFUNCTION("""COMPUTED_VALUE"""),100.0)</f>
        <v>100</v>
      </c>
      <c r="J1164" s="30">
        <f>IFERROR(__xludf.DUMMYFUNCTION("""COMPUTED_VALUE"""),168.5)</f>
        <v>168.5</v>
      </c>
      <c r="K1164" s="30" t="str">
        <f>IFERROR(__xludf.DUMMYFUNCTION("""COMPUTED_VALUE"""),"QTY, Limit Price (if any) &amp; Password input correct")</f>
        <v>QTY, Limit Price (if any) &amp; Password input correct</v>
      </c>
      <c r="L1164" s="30"/>
    </row>
    <row r="1165">
      <c r="A1165" s="5"/>
      <c r="B1165" s="118">
        <f>IFERROR(__xludf.DUMMYFUNCTION("""COMPUTED_VALUE"""),44659.93617028935)</f>
        <v>44659.93617</v>
      </c>
      <c r="C1165" s="120" t="str">
        <f>IFERROR(__xludf.DUMMYFUNCTION("""COMPUTED_VALUE"""),"")</f>
        <v/>
      </c>
      <c r="D1165" s="5" t="str">
        <f>IFERROR(__xludf.DUMMYFUNCTION("""COMPUTED_VALUE"""),"")</f>
        <v/>
      </c>
      <c r="E1165" s="5" t="str">
        <f>IFERROR(__xludf.DUMMYFUNCTION("""COMPUTED_VALUE"""),"Stock")</f>
        <v>Stock</v>
      </c>
      <c r="F1165" s="5" t="str">
        <f>IFERROR(__xludf.DUMMYFUNCTION("""COMPUTED_VALUE"""),"error")</f>
        <v>error</v>
      </c>
      <c r="G1165" s="30" t="str">
        <f>IFERROR(__xludf.DUMMYFUNCTION("""COMPUTED_VALUE"""),"zhu1xxxxxx@nonHKMUemail")</f>
        <v>zhu1xxxxxx@nonHKMUemail</v>
      </c>
      <c r="H1165" s="112" t="str">
        <f>IFERROR(__xludf.DUMMYFUNCTION("""COMPUTED_VALUE"""),"AAPL   TSLA")</f>
        <v>AAPL   TSLA</v>
      </c>
      <c r="I1165" s="30">
        <f>IFERROR(__xludf.DUMMYFUNCTION("""COMPUTED_VALUE"""),100.0)</f>
        <v>100</v>
      </c>
      <c r="J1165" s="30">
        <f>IFERROR(__xludf.DUMMYFUNCTION("""COMPUTED_VALUE"""),171.26)</f>
        <v>171.26</v>
      </c>
      <c r="K1165" s="30" t="str">
        <f>IFERROR(__xludf.DUMMYFUNCTION("""COMPUTED_VALUE"""),"QTY, Limit Price (if any) &amp; Password input correct")</f>
        <v>QTY, Limit Price (if any) &amp; Password input correct</v>
      </c>
      <c r="L1165" s="30"/>
    </row>
    <row r="1166">
      <c r="A1166" s="5"/>
      <c r="B1166" s="118">
        <f>IFERROR(__xludf.DUMMYFUNCTION("""COMPUTED_VALUE"""),44659.93811296296)</f>
        <v>44659.93811</v>
      </c>
      <c r="C1166" s="120">
        <f>IFERROR(__xludf.DUMMYFUNCTION("""COMPUTED_VALUE"""),44659.666666666664)</f>
        <v>44659.66667</v>
      </c>
      <c r="D1166" s="5" t="str">
        <f>IFERROR(__xludf.DUMMYFUNCTION("""COMPUTED_VALUE"""),"TraderX")</f>
        <v>TraderX</v>
      </c>
      <c r="E1166" s="5" t="str">
        <f>IFERROR(__xludf.DUMMYFUNCTION("""COMPUTED_VALUE"""),"Option")</f>
        <v>Option</v>
      </c>
      <c r="F1166" s="5" t="str">
        <f>IFERROR(__xludf.DUMMYFUNCTION("""COMPUTED_VALUE"""),"USD")</f>
        <v>USD</v>
      </c>
      <c r="G1166" s="30" t="str">
        <f>IFERROR(__xludf.DUMMYFUNCTION("""COMPUTED_VALUE"""),"Email Account/ TraderID Recognized")</f>
        <v>Email Account/ TraderID Recognized</v>
      </c>
      <c r="H1166" s="112" t="str">
        <f>IFERROR(__xludf.DUMMYFUNCTION("""COMPUTED_VALUE"""),"NDXP220408P14200000")</f>
        <v>NDXP220408P14200000</v>
      </c>
      <c r="I1166" s="30">
        <f>IFERROR(__xludf.DUMMYFUNCTION("""COMPUTED_VALUE"""),6.0)</f>
        <v>6</v>
      </c>
      <c r="J1166" s="30"/>
      <c r="K1166" s="30" t="str">
        <f>IFERROR(__xludf.DUMMYFUNCTION("""COMPUTED_VALUE"""),"QTY, Limit Price (if any) &amp; Password input correct")</f>
        <v>QTY, Limit Price (if any) &amp; Password input correct</v>
      </c>
      <c r="L1166" s="30"/>
    </row>
    <row r="1167">
      <c r="A1167" s="5"/>
      <c r="B1167" s="118">
        <f>IFERROR(__xludf.DUMMYFUNCTION("""COMPUTED_VALUE"""),44659.938521724536)</f>
        <v>44659.93852</v>
      </c>
      <c r="C1167" s="120">
        <f>IFERROR(__xludf.DUMMYFUNCTION("""COMPUTED_VALUE"""),44659.666666666664)</f>
        <v>44659.66667</v>
      </c>
      <c r="D1167" s="5" t="str">
        <f>IFERROR(__xludf.DUMMYFUNCTION("""COMPUTED_VALUE"""),"TraderX")</f>
        <v>TraderX</v>
      </c>
      <c r="E1167" s="5" t="str">
        <f>IFERROR(__xludf.DUMMYFUNCTION("""COMPUTED_VALUE"""),"Option")</f>
        <v>Option</v>
      </c>
      <c r="F1167" s="5" t="str">
        <f>IFERROR(__xludf.DUMMYFUNCTION("""COMPUTED_VALUE"""),"USD")</f>
        <v>USD</v>
      </c>
      <c r="G1167" s="30" t="str">
        <f>IFERROR(__xludf.DUMMYFUNCTION("""COMPUTED_VALUE"""),"Email Account/ TraderID Recognized")</f>
        <v>Email Account/ TraderID Recognized</v>
      </c>
      <c r="H1167" s="112" t="str">
        <f>IFERROR(__xludf.DUMMYFUNCTION("""COMPUTED_VALUE"""),"NDXP220408P14100000")</f>
        <v>NDXP220408P14100000</v>
      </c>
      <c r="I1167" s="30">
        <f>IFERROR(__xludf.DUMMYFUNCTION("""COMPUTED_VALUE"""),6.0)</f>
        <v>6</v>
      </c>
      <c r="J1167" s="30"/>
      <c r="K1167" s="30" t="str">
        <f>IFERROR(__xludf.DUMMYFUNCTION("""COMPUTED_VALUE"""),"QTY, Limit Price (if any) &amp; Password input correct")</f>
        <v>QTY, Limit Price (if any) &amp; Password input correct</v>
      </c>
      <c r="L1167" s="30"/>
    </row>
    <row r="1168">
      <c r="A1168" s="5"/>
      <c r="B1168" s="118">
        <f>IFERROR(__xludf.DUMMYFUNCTION("""COMPUTED_VALUE"""),44659.93933857639)</f>
        <v>44659.93934</v>
      </c>
      <c r="C1168" s="120">
        <f>IFERROR(__xludf.DUMMYFUNCTION("""COMPUTED_VALUE"""),44659.666666666664)</f>
        <v>44659.66667</v>
      </c>
      <c r="D1168" s="5" t="str">
        <f>IFERROR(__xludf.DUMMYFUNCTION("""COMPUTED_VALUE"""),"TraderX")</f>
        <v>TraderX</v>
      </c>
      <c r="E1168" s="5" t="str">
        <f>IFERROR(__xludf.DUMMYFUNCTION("""COMPUTED_VALUE"""),"Option")</f>
        <v>Option</v>
      </c>
      <c r="F1168" s="5" t="str">
        <f>IFERROR(__xludf.DUMMYFUNCTION("""COMPUTED_VALUE"""),"USD")</f>
        <v>USD</v>
      </c>
      <c r="G1168" s="30" t="str">
        <f>IFERROR(__xludf.DUMMYFUNCTION("""COMPUTED_VALUE"""),"Email Account/ TraderID Recognized")</f>
        <v>Email Account/ TraderID Recognized</v>
      </c>
      <c r="H1168" s="112" t="str">
        <f>IFERROR(__xludf.DUMMYFUNCTION("""COMPUTED_VALUE"""),"NDXP220408C15000000")</f>
        <v>NDXP220408C15000000</v>
      </c>
      <c r="I1168" s="30">
        <f>IFERROR(__xludf.DUMMYFUNCTION("""COMPUTED_VALUE"""),6.0)</f>
        <v>6</v>
      </c>
      <c r="J1168" s="30"/>
      <c r="K1168" s="30" t="str">
        <f>IFERROR(__xludf.DUMMYFUNCTION("""COMPUTED_VALUE"""),"QTY, Limit Price (if any) &amp; Password input correct")</f>
        <v>QTY, Limit Price (if any) &amp; Password input correct</v>
      </c>
      <c r="L1168" s="30"/>
    </row>
    <row r="1169">
      <c r="A1169" s="5"/>
      <c r="B1169" s="118">
        <f>IFERROR(__xludf.DUMMYFUNCTION("""COMPUTED_VALUE"""),44659.93969072917)</f>
        <v>44659.93969</v>
      </c>
      <c r="C1169" s="120">
        <f>IFERROR(__xludf.DUMMYFUNCTION("""COMPUTED_VALUE"""),44659.666666666664)</f>
        <v>44659.66667</v>
      </c>
      <c r="D1169" s="5" t="str">
        <f>IFERROR(__xludf.DUMMYFUNCTION("""COMPUTED_VALUE"""),"TraderX")</f>
        <v>TraderX</v>
      </c>
      <c r="E1169" s="5" t="str">
        <f>IFERROR(__xludf.DUMMYFUNCTION("""COMPUTED_VALUE"""),"Option")</f>
        <v>Option</v>
      </c>
      <c r="F1169" s="5" t="str">
        <f>IFERROR(__xludf.DUMMYFUNCTION("""COMPUTED_VALUE"""),"USD")</f>
        <v>USD</v>
      </c>
      <c r="G1169" s="30" t="str">
        <f>IFERROR(__xludf.DUMMYFUNCTION("""COMPUTED_VALUE"""),"Email Account/ TraderID Recognized")</f>
        <v>Email Account/ TraderID Recognized</v>
      </c>
      <c r="H1169" s="112" t="str">
        <f>IFERROR(__xludf.DUMMYFUNCTION("""COMPUTED_VALUE"""),"NDXP220408C15100000")</f>
        <v>NDXP220408C15100000</v>
      </c>
      <c r="I1169" s="30">
        <f>IFERROR(__xludf.DUMMYFUNCTION("""COMPUTED_VALUE"""),6.0)</f>
        <v>6</v>
      </c>
      <c r="J1169" s="30"/>
      <c r="K1169" s="30" t="str">
        <f>IFERROR(__xludf.DUMMYFUNCTION("""COMPUTED_VALUE"""),"QTY, Limit Price (if any) &amp; Password input correct")</f>
        <v>QTY, Limit Price (if any) &amp; Password input correct</v>
      </c>
      <c r="L1169" s="30"/>
    </row>
    <row r="1170">
      <c r="A1170" s="5"/>
      <c r="B1170" s="118">
        <f>IFERROR(__xludf.DUMMYFUNCTION("""COMPUTED_VALUE"""),44659.94577037037)</f>
        <v>44659.94577</v>
      </c>
      <c r="C1170" s="120" t="str">
        <f>IFERROR(__xludf.DUMMYFUNCTION("""COMPUTED_VALUE"""),"")</f>
        <v/>
      </c>
      <c r="D1170" s="5" t="str">
        <f>IFERROR(__xludf.DUMMYFUNCTION("""COMPUTED_VALUE"""),"18874")</f>
        <v>18874</v>
      </c>
      <c r="E1170" s="5" t="str">
        <f>IFERROR(__xludf.DUMMYFUNCTION("""COMPUTED_VALUE"""),"Stock")</f>
        <v>Stock</v>
      </c>
      <c r="F1170" s="5" t="str">
        <f>IFERROR(__xludf.DUMMYFUNCTION("""COMPUTED_VALUE"""),"error")</f>
        <v>error</v>
      </c>
      <c r="G1170" s="30" t="str">
        <f>IFERROR(__xludf.DUMMYFUNCTION("""COMPUTED_VALUE"""),"Email Account/ TraderID Recognized")</f>
        <v>Email Account/ TraderID Recognized</v>
      </c>
      <c r="H1170" s="112" t="str">
        <f>IFERROR(__xludf.DUMMYFUNCTION("""COMPUTED_VALUE"""),"AAPL TSLA")</f>
        <v>AAPL TSLA</v>
      </c>
      <c r="I1170" s="30">
        <f>IFERROR(__xludf.DUMMYFUNCTION("""COMPUTED_VALUE"""),50.0)</f>
        <v>50</v>
      </c>
      <c r="J1170" s="30" t="str">
        <f>IFERROR(__xludf.DUMMYFUNCTION("""COMPUTED_VALUE"""),"171.96    1050.235")</f>
        <v>171.96    1050.235</v>
      </c>
      <c r="K1170" s="30" t="str">
        <f>IFERROR(__xludf.DUMMYFUNCTION("""COMPUTED_VALUE"""),"Non-number input in Quantity or Limit Price")</f>
        <v>Non-number input in Quantity or Limit Price</v>
      </c>
      <c r="L1170" s="30"/>
    </row>
    <row r="1171">
      <c r="A1171" s="5"/>
      <c r="B1171" s="118">
        <f>IFERROR(__xludf.DUMMYFUNCTION("""COMPUTED_VALUE"""),44660.00416190972)</f>
        <v>44660.00416</v>
      </c>
      <c r="C1171" s="120">
        <f>IFERROR(__xludf.DUMMYFUNCTION("""COMPUTED_VALUE"""),44659.666666666664)</f>
        <v>44659.66667</v>
      </c>
      <c r="D1171" s="5" t="str">
        <f>IFERROR(__xludf.DUMMYFUNCTION("""COMPUTED_VALUE"""),"39608")</f>
        <v>39608</v>
      </c>
      <c r="E1171" s="5" t="str">
        <f>IFERROR(__xludf.DUMMYFUNCTION("""COMPUTED_VALUE"""),"Stock")</f>
        <v>Stock</v>
      </c>
      <c r="F1171" s="5" t="str">
        <f>IFERROR(__xludf.DUMMYFUNCTION("""COMPUTED_VALUE"""),"USD")</f>
        <v>USD</v>
      </c>
      <c r="G1171" s="30" t="str">
        <f>IFERROR(__xludf.DUMMYFUNCTION("""COMPUTED_VALUE"""),"Email Account/ TraderID Recognized")</f>
        <v>Email Account/ TraderID Recognized</v>
      </c>
      <c r="H1171" s="112" t="str">
        <f>IFERROR(__xludf.DUMMYFUNCTION("""COMPUTED_VALUE"""),"BG")</f>
        <v>BG</v>
      </c>
      <c r="I1171" s="30">
        <f>IFERROR(__xludf.DUMMYFUNCTION("""COMPUTED_VALUE"""),300.0)</f>
        <v>300</v>
      </c>
      <c r="J1171" s="30">
        <f>IFERROR(__xludf.DUMMYFUNCTION("""COMPUTED_VALUE"""),117.58)</f>
        <v>117.58</v>
      </c>
      <c r="K1171" s="30" t="str">
        <f>IFERROR(__xludf.DUMMYFUNCTION("""COMPUTED_VALUE"""),"QTY, Limit Price (if any) &amp; Password input correct")</f>
        <v>QTY, Limit Price (if any) &amp; Password input correct</v>
      </c>
      <c r="L1171" s="30"/>
    </row>
    <row r="1172">
      <c r="A1172" s="5"/>
      <c r="B1172" s="118">
        <f>IFERROR(__xludf.DUMMYFUNCTION("""COMPUTED_VALUE"""),44660.0044294213)</f>
        <v>44660.00443</v>
      </c>
      <c r="C1172" s="120">
        <f>IFERROR(__xludf.DUMMYFUNCTION("""COMPUTED_VALUE"""),44659.666666666664)</f>
        <v>44659.66667</v>
      </c>
      <c r="D1172" s="5" t="str">
        <f>IFERROR(__xludf.DUMMYFUNCTION("""COMPUTED_VALUE"""),"38369")</f>
        <v>38369</v>
      </c>
      <c r="E1172" s="5" t="str">
        <f>IFERROR(__xludf.DUMMYFUNCTION("""COMPUTED_VALUE"""),"Stock")</f>
        <v>Stock</v>
      </c>
      <c r="F1172" s="5" t="str">
        <f>IFERROR(__xludf.DUMMYFUNCTION("""COMPUTED_VALUE"""),"USD")</f>
        <v>USD</v>
      </c>
      <c r="G1172" s="30" t="str">
        <f>IFERROR(__xludf.DUMMYFUNCTION("""COMPUTED_VALUE"""),"Email Account/ TraderID Recognized")</f>
        <v>Email Account/ TraderID Recognized</v>
      </c>
      <c r="H1172" s="112" t="str">
        <f>IFERROR(__xludf.DUMMYFUNCTION("""COMPUTED_VALUE"""),"TSLA")</f>
        <v>TSLA</v>
      </c>
      <c r="I1172" s="30">
        <f>IFERROR(__xludf.DUMMYFUNCTION("""COMPUTED_VALUE"""),100.0)</f>
        <v>100</v>
      </c>
      <c r="J1172" s="30">
        <f>IFERROR(__xludf.DUMMYFUNCTION("""COMPUTED_VALUE"""),1040.0)</f>
        <v>1040</v>
      </c>
      <c r="K1172" s="30" t="str">
        <f>IFERROR(__xludf.DUMMYFUNCTION("""COMPUTED_VALUE"""),"QTY, Limit Price (if any) &amp; Password input correct")</f>
        <v>QTY, Limit Price (if any) &amp; Password input correct</v>
      </c>
      <c r="L1172" s="30"/>
    </row>
    <row r="1173">
      <c r="A1173" s="5"/>
      <c r="B1173" s="118">
        <f>IFERROR(__xludf.DUMMYFUNCTION("""COMPUTED_VALUE"""),44660.02643903936)</f>
        <v>44660.02644</v>
      </c>
      <c r="C1173" s="120">
        <f>IFERROR(__xludf.DUMMYFUNCTION("""COMPUTED_VALUE"""),44659.666666666664)</f>
        <v>44659.66667</v>
      </c>
      <c r="D1173" s="5" t="str">
        <f>IFERROR(__xludf.DUMMYFUNCTION("""COMPUTED_VALUE"""),"36242")</f>
        <v>36242</v>
      </c>
      <c r="E1173" s="5" t="str">
        <f>IFERROR(__xludf.DUMMYFUNCTION("""COMPUTED_VALUE"""),"Stock")</f>
        <v>Stock</v>
      </c>
      <c r="F1173" s="5" t="str">
        <f>IFERROR(__xludf.DUMMYFUNCTION("""COMPUTED_VALUE"""),"USD")</f>
        <v>USD</v>
      </c>
      <c r="G1173" s="30" t="str">
        <f>IFERROR(__xludf.DUMMYFUNCTION("""COMPUTED_VALUE"""),"Email Account/ TraderID Recognized")</f>
        <v>Email Account/ TraderID Recognized</v>
      </c>
      <c r="H1173" s="112" t="str">
        <f>IFERROR(__xludf.DUMMYFUNCTION("""COMPUTED_VALUE"""),"SOHU")</f>
        <v>SOHU</v>
      </c>
      <c r="I1173" s="30">
        <f>IFERROR(__xludf.DUMMYFUNCTION("""COMPUTED_VALUE"""),300.0)</f>
        <v>300</v>
      </c>
      <c r="J1173" s="30">
        <f>IFERROR(__xludf.DUMMYFUNCTION("""COMPUTED_VALUE"""),20.0)</f>
        <v>20</v>
      </c>
      <c r="K1173" s="30" t="str">
        <f>IFERROR(__xludf.DUMMYFUNCTION("""COMPUTED_VALUE"""),"QTY, Limit Price (if any) &amp; Password input correct")</f>
        <v>QTY, Limit Price (if any) &amp; Password input correct</v>
      </c>
      <c r="L1173" s="30"/>
    </row>
    <row r="1174">
      <c r="A1174" s="5"/>
      <c r="B1174" s="118">
        <f>IFERROR(__xludf.DUMMYFUNCTION("""COMPUTED_VALUE"""),44660.03306685185)</f>
        <v>44660.03307</v>
      </c>
      <c r="C1174" s="120">
        <f>IFERROR(__xludf.DUMMYFUNCTION("""COMPUTED_VALUE"""),44659.666666666664)</f>
        <v>44659.66667</v>
      </c>
      <c r="D1174" s="5" t="str">
        <f>IFERROR(__xludf.DUMMYFUNCTION("""COMPUTED_VALUE"""),"38109")</f>
        <v>38109</v>
      </c>
      <c r="E1174" s="5" t="str">
        <f>IFERROR(__xludf.DUMMYFUNCTION("""COMPUTED_VALUE"""),"Stock")</f>
        <v>Stock</v>
      </c>
      <c r="F1174" s="5" t="str">
        <f>IFERROR(__xludf.DUMMYFUNCTION("""COMPUTED_VALUE"""),"USD")</f>
        <v>USD</v>
      </c>
      <c r="G1174" s="30" t="str">
        <f>IFERROR(__xludf.DUMMYFUNCTION("""COMPUTED_VALUE"""),"Email Account/ TraderID Recognized")</f>
        <v>Email Account/ TraderID Recognized</v>
      </c>
      <c r="H1174" s="112" t="str">
        <f>IFERROR(__xludf.DUMMYFUNCTION("""COMPUTED_VALUE"""),"AMZN")</f>
        <v>AMZN</v>
      </c>
      <c r="I1174" s="30">
        <f>IFERROR(__xludf.DUMMYFUNCTION("""COMPUTED_VALUE"""),100.0)</f>
        <v>100</v>
      </c>
      <c r="J1174" s="30"/>
      <c r="K1174" s="30" t="str">
        <f>IFERROR(__xludf.DUMMYFUNCTION("""COMPUTED_VALUE"""),"QTY, Limit Price (if any) &amp; Password input correct")</f>
        <v>QTY, Limit Price (if any) &amp; Password input correct</v>
      </c>
      <c r="L1174" s="30"/>
    </row>
    <row r="1175">
      <c r="A1175" s="5"/>
      <c r="B1175" s="118">
        <f>IFERROR(__xludf.DUMMYFUNCTION("""COMPUTED_VALUE"""),44660.043529525465)</f>
        <v>44660.04353</v>
      </c>
      <c r="C1175" s="120">
        <f>IFERROR(__xludf.DUMMYFUNCTION("""COMPUTED_VALUE"""),44659.666666666664)</f>
        <v>44659.66667</v>
      </c>
      <c r="D1175" s="5" t="str">
        <f>IFERROR(__xludf.DUMMYFUNCTION("""COMPUTED_VALUE"""),"38109")</f>
        <v>38109</v>
      </c>
      <c r="E1175" s="5" t="str">
        <f>IFERROR(__xludf.DUMMYFUNCTION("""COMPUTED_VALUE"""),"Stock")</f>
        <v>Stock</v>
      </c>
      <c r="F1175" s="5" t="str">
        <f>IFERROR(__xludf.DUMMYFUNCTION("""COMPUTED_VALUE"""),"USD")</f>
        <v>USD</v>
      </c>
      <c r="G1175" s="30" t="str">
        <f>IFERROR(__xludf.DUMMYFUNCTION("""COMPUTED_VALUE"""),"Email Account/ TraderID Recognized")</f>
        <v>Email Account/ TraderID Recognized</v>
      </c>
      <c r="H1175" s="112" t="str">
        <f>IFERROR(__xludf.DUMMYFUNCTION("""COMPUTED_VALUE"""),"FB")</f>
        <v>FB</v>
      </c>
      <c r="I1175" s="30">
        <f>IFERROR(__xludf.DUMMYFUNCTION("""COMPUTED_VALUE"""),1000.0)</f>
        <v>1000</v>
      </c>
      <c r="J1175" s="30"/>
      <c r="K1175" s="30" t="str">
        <f>IFERROR(__xludf.DUMMYFUNCTION("""COMPUTED_VALUE"""),"QTY, Limit Price (if any) &amp; Password input correct")</f>
        <v>QTY, Limit Price (if any) &amp; Password input correct</v>
      </c>
      <c r="L1175" s="30"/>
    </row>
    <row r="1176">
      <c r="A1176" s="5"/>
      <c r="B1176" s="118">
        <f>IFERROR(__xludf.DUMMYFUNCTION("""COMPUTED_VALUE"""),44660.06605472222)</f>
        <v>44660.06605</v>
      </c>
      <c r="C1176" s="120">
        <f>IFERROR(__xludf.DUMMYFUNCTION("""COMPUTED_VALUE"""),44659.666666666664)</f>
        <v>44659.66667</v>
      </c>
      <c r="D1176" s="5" t="str">
        <f>IFERROR(__xludf.DUMMYFUNCTION("""COMPUTED_VALUE"""),"36242")</f>
        <v>36242</v>
      </c>
      <c r="E1176" s="5" t="str">
        <f>IFERROR(__xludf.DUMMYFUNCTION("""COMPUTED_VALUE"""),"Stock")</f>
        <v>Stock</v>
      </c>
      <c r="F1176" s="5" t="str">
        <f>IFERROR(__xludf.DUMMYFUNCTION("""COMPUTED_VALUE"""),"USD")</f>
        <v>USD</v>
      </c>
      <c r="G1176" s="30" t="str">
        <f>IFERROR(__xludf.DUMMYFUNCTION("""COMPUTED_VALUE"""),"Email Account/ TraderID Recognized")</f>
        <v>Email Account/ TraderID Recognized</v>
      </c>
      <c r="H1176" s="112" t="str">
        <f>IFERROR(__xludf.DUMMYFUNCTION("""COMPUTED_VALUE"""),"TSLA")</f>
        <v>TSLA</v>
      </c>
      <c r="I1176" s="30">
        <f>IFERROR(__xludf.DUMMYFUNCTION("""COMPUTED_VALUE"""),50.0)</f>
        <v>50</v>
      </c>
      <c r="J1176" s="30">
        <f>IFERROR(__xludf.DUMMYFUNCTION("""COMPUTED_VALUE"""),1040.0)</f>
        <v>1040</v>
      </c>
      <c r="K1176" s="30" t="str">
        <f>IFERROR(__xludf.DUMMYFUNCTION("""COMPUTED_VALUE"""),"QTY, Limit Price (if any) &amp; Password input correct")</f>
        <v>QTY, Limit Price (if any) &amp; Password input correct</v>
      </c>
      <c r="L1176" s="30"/>
    </row>
    <row r="1177">
      <c r="A1177" s="5"/>
      <c r="B1177" s="118">
        <f>IFERROR(__xludf.DUMMYFUNCTION("""COMPUTED_VALUE"""),44660.07543377315)</f>
        <v>44660.07543</v>
      </c>
      <c r="C1177" s="120">
        <f>IFERROR(__xludf.DUMMYFUNCTION("""COMPUTED_VALUE"""),44659.666666666664)</f>
        <v>44659.66667</v>
      </c>
      <c r="D1177" s="5" t="str">
        <f>IFERROR(__xludf.DUMMYFUNCTION("""COMPUTED_VALUE"""),"89750")</f>
        <v>89750</v>
      </c>
      <c r="E1177" s="5" t="str">
        <f>IFERROR(__xludf.DUMMYFUNCTION("""COMPUTED_VALUE"""),"Option")</f>
        <v>Option</v>
      </c>
      <c r="F1177" s="5" t="str">
        <f>IFERROR(__xludf.DUMMYFUNCTION("""COMPUTED_VALUE"""),"USD")</f>
        <v>USD</v>
      </c>
      <c r="G1177" s="30" t="str">
        <f>IFERROR(__xludf.DUMMYFUNCTION("""COMPUTED_VALUE"""),"Email Account/ TraderID Recognized")</f>
        <v>Email Account/ TraderID Recognized</v>
      </c>
      <c r="H1177" s="112" t="str">
        <f>IFERROR(__xludf.DUMMYFUNCTION("""COMPUTED_VALUE"""),"ASML220422P00680000")</f>
        <v>ASML220422P00680000</v>
      </c>
      <c r="I1177" s="30">
        <f>IFERROR(__xludf.DUMMYFUNCTION("""COMPUTED_VALUE"""),10.0)</f>
        <v>10</v>
      </c>
      <c r="J1177" s="30"/>
      <c r="K1177" s="30" t="str">
        <f>IFERROR(__xludf.DUMMYFUNCTION("""COMPUTED_VALUE"""),"QTY, Limit Price (if any) &amp; Password input correct")</f>
        <v>QTY, Limit Price (if any) &amp; Password input correct</v>
      </c>
      <c r="L1177" s="30"/>
    </row>
    <row r="1178">
      <c r="A1178" s="5"/>
      <c r="B1178" s="118">
        <f>IFERROR(__xludf.DUMMYFUNCTION("""COMPUTED_VALUE"""),44660.16373842592)</f>
        <v>44660.16374</v>
      </c>
      <c r="C1178" s="120">
        <f>IFERROR(__xludf.DUMMYFUNCTION("""COMPUTED_VALUE"""),44659.666666666664)</f>
        <v>44659.66667</v>
      </c>
      <c r="D1178" s="5" t="str">
        <f>IFERROR(__xludf.DUMMYFUNCTION("""COMPUTED_VALUE"""),"TraderX")</f>
        <v>TraderX</v>
      </c>
      <c r="E1178" s="5" t="str">
        <f>IFERROR(__xludf.DUMMYFUNCTION("""COMPUTED_VALUE"""),"Option")</f>
        <v>Option</v>
      </c>
      <c r="F1178" s="5" t="str">
        <f>IFERROR(__xludf.DUMMYFUNCTION("""COMPUTED_VALUE"""),"USD")</f>
        <v>USD</v>
      </c>
      <c r="G1178" s="30" t="str">
        <f>IFERROR(__xludf.DUMMYFUNCTION("""COMPUTED_VALUE"""),"Email Account/ TraderID Recognized")</f>
        <v>Email Account/ TraderID Recognized</v>
      </c>
      <c r="H1178" s="112" t="str">
        <f>IFERROR(__xludf.DUMMYFUNCTION("""COMPUTED_VALUE"""),"NDXP220411P13900000")</f>
        <v>NDXP220411P13900000</v>
      </c>
      <c r="I1178" s="30">
        <f>IFERROR(__xludf.DUMMYFUNCTION("""COMPUTED_VALUE"""),7.0)</f>
        <v>7</v>
      </c>
      <c r="J1178" s="30"/>
      <c r="K1178" s="30" t="str">
        <f>IFERROR(__xludf.DUMMYFUNCTION("""COMPUTED_VALUE"""),"QTY, Limit Price (if any) &amp; Password input correct")</f>
        <v>QTY, Limit Price (if any) &amp; Password input correct</v>
      </c>
      <c r="L1178" s="30"/>
    </row>
    <row r="1179">
      <c r="A1179" s="5"/>
      <c r="B1179" s="118">
        <f>IFERROR(__xludf.DUMMYFUNCTION("""COMPUTED_VALUE"""),44660.16425925926)</f>
        <v>44660.16426</v>
      </c>
      <c r="C1179" s="120">
        <f>IFERROR(__xludf.DUMMYFUNCTION("""COMPUTED_VALUE"""),44659.666666666664)</f>
        <v>44659.66667</v>
      </c>
      <c r="D1179" s="5" t="str">
        <f>IFERROR(__xludf.DUMMYFUNCTION("""COMPUTED_VALUE"""),"TraderX")</f>
        <v>TraderX</v>
      </c>
      <c r="E1179" s="5" t="str">
        <f>IFERROR(__xludf.DUMMYFUNCTION("""COMPUTED_VALUE"""),"Option")</f>
        <v>Option</v>
      </c>
      <c r="F1179" s="5" t="str">
        <f>IFERROR(__xludf.DUMMYFUNCTION("""COMPUTED_VALUE"""),"USD")</f>
        <v>USD</v>
      </c>
      <c r="G1179" s="30" t="str">
        <f>IFERROR(__xludf.DUMMYFUNCTION("""COMPUTED_VALUE"""),"Email Account/ TraderID Recognized")</f>
        <v>Email Account/ TraderID Recognized</v>
      </c>
      <c r="H1179" s="112" t="str">
        <f>IFERROR(__xludf.DUMMYFUNCTION("""COMPUTED_VALUE"""),"NDXP220411P14000000")</f>
        <v>NDXP220411P14000000</v>
      </c>
      <c r="I1179" s="30">
        <f>IFERROR(__xludf.DUMMYFUNCTION("""COMPUTED_VALUE"""),7.0)</f>
        <v>7</v>
      </c>
      <c r="J1179" s="30"/>
      <c r="K1179" s="30" t="str">
        <f>IFERROR(__xludf.DUMMYFUNCTION("""COMPUTED_VALUE"""),"QTY, Limit Price (if any) &amp; Password input correct")</f>
        <v>QTY, Limit Price (if any) &amp; Password input correct</v>
      </c>
      <c r="L1179" s="30"/>
    </row>
    <row r="1180">
      <c r="A1180" s="5"/>
      <c r="B1180" s="118">
        <f>IFERROR(__xludf.DUMMYFUNCTION("""COMPUTED_VALUE"""),44660.1646412037)</f>
        <v>44660.16464</v>
      </c>
      <c r="C1180" s="120">
        <f>IFERROR(__xludf.DUMMYFUNCTION("""COMPUTED_VALUE"""),44659.666666666664)</f>
        <v>44659.66667</v>
      </c>
      <c r="D1180" s="5" t="str">
        <f>IFERROR(__xludf.DUMMYFUNCTION("""COMPUTED_VALUE"""),"TraderX")</f>
        <v>TraderX</v>
      </c>
      <c r="E1180" s="5" t="str">
        <f>IFERROR(__xludf.DUMMYFUNCTION("""COMPUTED_VALUE"""),"Option")</f>
        <v>Option</v>
      </c>
      <c r="F1180" s="5" t="str">
        <f>IFERROR(__xludf.DUMMYFUNCTION("""COMPUTED_VALUE"""),"USD")</f>
        <v>USD</v>
      </c>
      <c r="G1180" s="30" t="str">
        <f>IFERROR(__xludf.DUMMYFUNCTION("""COMPUTED_VALUE"""),"Email Account/ TraderID Recognized")</f>
        <v>Email Account/ TraderID Recognized</v>
      </c>
      <c r="H1180" s="112" t="str">
        <f>IFERROR(__xludf.DUMMYFUNCTION("""COMPUTED_VALUE"""),"NDXP220411C14900000")</f>
        <v>NDXP220411C14900000</v>
      </c>
      <c r="I1180" s="30">
        <f>IFERROR(__xludf.DUMMYFUNCTION("""COMPUTED_VALUE"""),7.0)</f>
        <v>7</v>
      </c>
      <c r="J1180" s="30"/>
      <c r="K1180" s="30" t="str">
        <f>IFERROR(__xludf.DUMMYFUNCTION("""COMPUTED_VALUE"""),"QTY, Limit Price (if any) &amp; Password input correct")</f>
        <v>QTY, Limit Price (if any) &amp; Password input correct</v>
      </c>
      <c r="L1180" s="30"/>
    </row>
    <row r="1181">
      <c r="A1181" s="5"/>
      <c r="B1181" s="118">
        <f>IFERROR(__xludf.DUMMYFUNCTION("""COMPUTED_VALUE"""),44660.16576388889)</f>
        <v>44660.16576</v>
      </c>
      <c r="C1181" s="120">
        <f>IFERROR(__xludf.DUMMYFUNCTION("""COMPUTED_VALUE"""),44659.666666666664)</f>
        <v>44659.66667</v>
      </c>
      <c r="D1181" s="5" t="str">
        <f>IFERROR(__xludf.DUMMYFUNCTION("""COMPUTED_VALUE"""),"TraderX")</f>
        <v>TraderX</v>
      </c>
      <c r="E1181" s="5" t="str">
        <f>IFERROR(__xludf.DUMMYFUNCTION("""COMPUTED_VALUE"""),"Option")</f>
        <v>Option</v>
      </c>
      <c r="F1181" s="5" t="str">
        <f>IFERROR(__xludf.DUMMYFUNCTION("""COMPUTED_VALUE"""),"USD")</f>
        <v>USD</v>
      </c>
      <c r="G1181" s="30" t="str">
        <f>IFERROR(__xludf.DUMMYFUNCTION("""COMPUTED_VALUE"""),"Email Account/ TraderID Recognized")</f>
        <v>Email Account/ TraderID Recognized</v>
      </c>
      <c r="H1181" s="112" t="str">
        <f>IFERROR(__xludf.DUMMYFUNCTION("""COMPUTED_VALUE"""),"NDXP220411C14800000")</f>
        <v>NDXP220411C14800000</v>
      </c>
      <c r="I1181" s="30">
        <f>IFERROR(__xludf.DUMMYFUNCTION("""COMPUTED_VALUE"""),7.0)</f>
        <v>7</v>
      </c>
      <c r="J1181" s="30"/>
      <c r="K1181" s="30" t="str">
        <f>IFERROR(__xludf.DUMMYFUNCTION("""COMPUTED_VALUE"""),"QTY, Limit Price (if any) &amp; Password input correct")</f>
        <v>QTY, Limit Price (if any) &amp; Password input correct</v>
      </c>
      <c r="L1181" s="30"/>
    </row>
    <row r="1182">
      <c r="A1182" s="5"/>
      <c r="B1182" s="118">
        <f>IFERROR(__xludf.DUMMYFUNCTION("""COMPUTED_VALUE"""),44660.36458512732)</f>
        <v>44660.36459</v>
      </c>
      <c r="C1182" s="120">
        <f>IFERROR(__xludf.DUMMYFUNCTION("""COMPUTED_VALUE"""),44660.666666666664)</f>
        <v>44660.66667</v>
      </c>
      <c r="D1182" s="5" t="str">
        <f>IFERROR(__xludf.DUMMYFUNCTION("""COMPUTED_VALUE"""),"39441")</f>
        <v>39441</v>
      </c>
      <c r="E1182" s="5" t="str">
        <f>IFERROR(__xludf.DUMMYFUNCTION("""COMPUTED_VALUE"""),"Stock")</f>
        <v>Stock</v>
      </c>
      <c r="F1182" s="5" t="str">
        <f>IFERROR(__xludf.DUMMYFUNCTION("""COMPUTED_VALUE"""),"USD")</f>
        <v>USD</v>
      </c>
      <c r="G1182" s="30" t="str">
        <f>IFERROR(__xludf.DUMMYFUNCTION("""COMPUTED_VALUE"""),"Email Account/ TraderID Recognized")</f>
        <v>Email Account/ TraderID Recognized</v>
      </c>
      <c r="H1182" s="112" t="str">
        <f>IFERROR(__xludf.DUMMYFUNCTION("""COMPUTED_VALUE"""),"CL=F")</f>
        <v>CL=F</v>
      </c>
      <c r="I1182" s="30">
        <f>IFERROR(__xludf.DUMMYFUNCTION("""COMPUTED_VALUE"""),20.0)</f>
        <v>20</v>
      </c>
      <c r="J1182" s="30"/>
      <c r="K1182" s="30" t="str">
        <f>IFERROR(__xludf.DUMMYFUNCTION("""COMPUTED_VALUE"""),"QTY, Limit Price (if any) &amp; Password input correct")</f>
        <v>QTY, Limit Price (if any) &amp; Password input correct</v>
      </c>
      <c r="L1182" s="30"/>
    </row>
    <row r="1183">
      <c r="A1183" s="5"/>
      <c r="B1183" s="118">
        <f>IFERROR(__xludf.DUMMYFUNCTION("""COMPUTED_VALUE"""),44660.40988923611)</f>
        <v>44660.40989</v>
      </c>
      <c r="C1183" s="120">
        <f>IFERROR(__xludf.DUMMYFUNCTION("""COMPUTED_VALUE"""),44660.666666666664)</f>
        <v>44660.66667</v>
      </c>
      <c r="D1183" s="5" t="str">
        <f>IFERROR(__xludf.DUMMYFUNCTION("""COMPUTED_VALUE"""),"37198")</f>
        <v>37198</v>
      </c>
      <c r="E1183" s="5" t="str">
        <f>IFERROR(__xludf.DUMMYFUNCTION("""COMPUTED_VALUE"""),"Stock")</f>
        <v>Stock</v>
      </c>
      <c r="F1183" s="5" t="str">
        <f>IFERROR(__xludf.DUMMYFUNCTION("""COMPUTED_VALUE"""),"USD")</f>
        <v>USD</v>
      </c>
      <c r="G1183" s="30" t="str">
        <f>IFERROR(__xludf.DUMMYFUNCTION("""COMPUTED_VALUE"""),"Email Account/ TraderID Recognized")</f>
        <v>Email Account/ TraderID Recognized</v>
      </c>
      <c r="H1183" s="112" t="str">
        <f>IFERROR(__xludf.DUMMYFUNCTION("""COMPUTED_VALUE"""),"DVN")</f>
        <v>DVN</v>
      </c>
      <c r="I1183" s="30">
        <f>IFERROR(__xludf.DUMMYFUNCTION("""COMPUTED_VALUE"""),100.0)</f>
        <v>100</v>
      </c>
      <c r="J1183" s="30"/>
      <c r="K1183" s="30" t="str">
        <f>IFERROR(__xludf.DUMMYFUNCTION("""COMPUTED_VALUE"""),"QTY, Limit Price (if any) &amp; Password input correct")</f>
        <v>QTY, Limit Price (if any) &amp; Password input correct</v>
      </c>
      <c r="L1183" s="30"/>
    </row>
    <row r="1184">
      <c r="A1184" s="5"/>
      <c r="B1184" s="118">
        <f>IFERROR(__xludf.DUMMYFUNCTION("""COMPUTED_VALUE"""),44660.4199887037)</f>
        <v>44660.41999</v>
      </c>
      <c r="C1184" s="120">
        <f>IFERROR(__xludf.DUMMYFUNCTION("""COMPUTED_VALUE"""),44660.666666666664)</f>
        <v>44660.66667</v>
      </c>
      <c r="D1184" s="5" t="str">
        <f>IFERROR(__xludf.DUMMYFUNCTION("""COMPUTED_VALUE"""),"37198")</f>
        <v>37198</v>
      </c>
      <c r="E1184" s="5" t="str">
        <f>IFERROR(__xludf.DUMMYFUNCTION("""COMPUTED_VALUE"""),"Stock")</f>
        <v>Stock</v>
      </c>
      <c r="F1184" s="5" t="str">
        <f>IFERROR(__xludf.DUMMYFUNCTION("""COMPUTED_VALUE"""),"USD")</f>
        <v>USD</v>
      </c>
      <c r="G1184" s="30" t="str">
        <f>IFERROR(__xludf.DUMMYFUNCTION("""COMPUTED_VALUE"""),"Email Account/ TraderID Recognized")</f>
        <v>Email Account/ TraderID Recognized</v>
      </c>
      <c r="H1184" s="112" t="str">
        <f>IFERROR(__xludf.DUMMYFUNCTION("""COMPUTED_VALUE"""),"TME")</f>
        <v>TME</v>
      </c>
      <c r="I1184" s="30">
        <f>IFERROR(__xludf.DUMMYFUNCTION("""COMPUTED_VALUE"""),200.0)</f>
        <v>200</v>
      </c>
      <c r="J1184" s="30"/>
      <c r="K1184" s="30" t="str">
        <f>IFERROR(__xludf.DUMMYFUNCTION("""COMPUTED_VALUE"""),"QTY, Limit Price (if any) &amp; Password input correct")</f>
        <v>QTY, Limit Price (if any) &amp; Password input correct</v>
      </c>
      <c r="L1184" s="30"/>
    </row>
    <row r="1185">
      <c r="A1185" s="5"/>
      <c r="B1185" s="118">
        <f>IFERROR(__xludf.DUMMYFUNCTION("""COMPUTED_VALUE"""),44660.44997422454)</f>
        <v>44660.44997</v>
      </c>
      <c r="C1185" s="120" t="str">
        <f>IFERROR(__xludf.DUMMYFUNCTION("""COMPUTED_VALUE"""),"")</f>
        <v/>
      </c>
      <c r="D1185" s="5" t="str">
        <f>IFERROR(__xludf.DUMMYFUNCTION("""COMPUTED_VALUE"""),"82458")</f>
        <v>82458</v>
      </c>
      <c r="E1185" s="5" t="str">
        <f>IFERROR(__xludf.DUMMYFUNCTION("""COMPUTED_VALUE"""),"Stock")</f>
        <v>Stock</v>
      </c>
      <c r="F1185" s="5" t="str">
        <f>IFERROR(__xludf.DUMMYFUNCTION("""COMPUTED_VALUE"""),"error")</f>
        <v>error</v>
      </c>
      <c r="G1185" s="30" t="str">
        <f>IFERROR(__xludf.DUMMYFUNCTION("""COMPUTED_VALUE"""),"Email Account/ TraderID Recognized")</f>
        <v>Email Account/ TraderID Recognized</v>
      </c>
      <c r="H1185" s="125" t="str">
        <f>IFERROR(__xludf.DUMMYFUNCTION("""COMPUTED_VALUE"""),"6108.HK")</f>
        <v>6108.HK</v>
      </c>
      <c r="I1185" s="30">
        <f>IFERROR(__xludf.DUMMYFUNCTION("""COMPUTED_VALUE"""),150000.0)</f>
        <v>150000</v>
      </c>
      <c r="J1185" s="30"/>
      <c r="K1185" s="30" t="str">
        <f>IFERROR(__xludf.DUMMYFUNCTION("""COMPUTED_VALUE"""),"Wrong Password Submitted, Order will be rejected")</f>
        <v>Wrong Password Submitted, Order will be rejected</v>
      </c>
      <c r="L1185" s="30" t="str">
        <f>IFERROR(__xludf.DUMMYFUNCTION("""COMPUTED_VALUE"""),"The password you input in march is correct (you first order). Ticker code is correct.")</f>
        <v>The password you input in march is correct (you first order). Ticker code is correct.</v>
      </c>
    </row>
    <row r="1186">
      <c r="A1186" s="5"/>
      <c r="B1186" s="118">
        <f>IFERROR(__xludf.DUMMYFUNCTION("""COMPUTED_VALUE"""),44660.45233828704)</f>
        <v>44660.45234</v>
      </c>
      <c r="C1186" s="120" t="str">
        <f>IFERROR(__xludf.DUMMYFUNCTION("""COMPUTED_VALUE"""),"")</f>
        <v/>
      </c>
      <c r="D1186" s="5" t="str">
        <f>IFERROR(__xludf.DUMMYFUNCTION("""COMPUTED_VALUE"""),"")</f>
        <v/>
      </c>
      <c r="E1186" s="5" t="str">
        <f>IFERROR(__xludf.DUMMYFUNCTION("""COMPUTED_VALUE"""),"Stock")</f>
        <v>Stock</v>
      </c>
      <c r="F1186" s="5" t="str">
        <f>IFERROR(__xludf.DUMMYFUNCTION("""COMPUTED_VALUE"""),"error")</f>
        <v>error</v>
      </c>
      <c r="G1186" s="30" t="str">
        <f>IFERROR(__xludf.DUMMYFUNCTION("""COMPUTED_VALUE"""),"s128xxxxxx@nonHKMUemail")</f>
        <v>s128xxxxxx@nonHKMUemail</v>
      </c>
      <c r="H1186" s="112" t="str">
        <f>IFERROR(__xludf.DUMMYFUNCTION("""COMPUTED_VALUE"""),"AAPL")</f>
        <v>AAPL</v>
      </c>
      <c r="I1186" s="30">
        <f>IFERROR(__xludf.DUMMYFUNCTION("""COMPUTED_VALUE"""),200000.0)</f>
        <v>200000</v>
      </c>
      <c r="J1186" s="30"/>
      <c r="K1186" s="30" t="str">
        <f>IFERROR(__xludf.DUMMYFUNCTION("""COMPUTED_VALUE"""),"QTY, Limit Price (if any) &amp; Password input correct")</f>
        <v>QTY, Limit Price (if any) &amp; Password input correct</v>
      </c>
      <c r="L1186" s="30"/>
    </row>
    <row r="1187">
      <c r="A1187" s="5"/>
      <c r="B1187" s="118">
        <f>IFERROR(__xludf.DUMMYFUNCTION("""COMPUTED_VALUE"""),44660.464675763884)</f>
        <v>44660.46468</v>
      </c>
      <c r="C1187" s="120" t="str">
        <f>IFERROR(__xludf.DUMMYFUNCTION("""COMPUTED_VALUE"""),"")</f>
        <v/>
      </c>
      <c r="D1187" s="5" t="str">
        <f>IFERROR(__xludf.DUMMYFUNCTION("""COMPUTED_VALUE"""),"18874")</f>
        <v>18874</v>
      </c>
      <c r="E1187" s="5" t="str">
        <f>IFERROR(__xludf.DUMMYFUNCTION("""COMPUTED_VALUE"""),"Stock")</f>
        <v>Stock</v>
      </c>
      <c r="F1187" s="5" t="str">
        <f>IFERROR(__xludf.DUMMYFUNCTION("""COMPUTED_VALUE"""),"error")</f>
        <v>error</v>
      </c>
      <c r="G1187" s="30" t="str">
        <f>IFERROR(__xludf.DUMMYFUNCTION("""COMPUTED_VALUE"""),"Email Account/ TraderID Recognized")</f>
        <v>Email Account/ TraderID Recognized</v>
      </c>
      <c r="H1187" s="112" t="str">
        <f>IFERROR(__xludf.DUMMYFUNCTION("""COMPUTED_VALUE"""),"AAPL")</f>
        <v>AAPL</v>
      </c>
      <c r="I1187" s="30">
        <f>IFERROR(__xludf.DUMMYFUNCTION("""COMPUTED_VALUE"""),100.0)</f>
        <v>100</v>
      </c>
      <c r="J1187" s="30">
        <f>IFERROR(__xludf.DUMMYFUNCTION("""COMPUTED_VALUE"""),169.24)</f>
        <v>169.24</v>
      </c>
      <c r="K1187" s="30" t="str">
        <f>IFERROR(__xludf.DUMMYFUNCTION("""COMPUTED_VALUE"""),"QTY, Limit Price (if any) &amp; Password input correct")</f>
        <v>QTY, Limit Price (if any) &amp; Password input correct</v>
      </c>
      <c r="L1187" s="30" t="str">
        <f>IFERROR(__xludf.DUMMYFUNCTION("""COMPUTED_VALUE"""),"Order rejected due to non school email account")</f>
        <v>Order rejected due to non school email account</v>
      </c>
    </row>
    <row r="1188">
      <c r="A1188" s="5"/>
      <c r="B1188" s="118">
        <f>IFERROR(__xludf.DUMMYFUNCTION("""COMPUTED_VALUE"""),44660.49323391204)</f>
        <v>44660.49323</v>
      </c>
      <c r="C1188" s="120" t="str">
        <f>IFERROR(__xludf.DUMMYFUNCTION("""COMPUTED_VALUE"""),"")</f>
        <v/>
      </c>
      <c r="D1188" s="5" t="str">
        <f>IFERROR(__xludf.DUMMYFUNCTION("""COMPUTED_VALUE"""),"40776")</f>
        <v>40776</v>
      </c>
      <c r="E1188" s="5" t="str">
        <f>IFERROR(__xludf.DUMMYFUNCTION("""COMPUTED_VALUE"""),"Stock")</f>
        <v>Stock</v>
      </c>
      <c r="F1188" s="5" t="str">
        <f>IFERROR(__xludf.DUMMYFUNCTION("""COMPUTED_VALUE"""),"error")</f>
        <v>error</v>
      </c>
      <c r="G1188" s="30" t="str">
        <f>IFERROR(__xludf.DUMMYFUNCTION("""COMPUTED_VALUE"""),"Email Account/ TraderID Recognized")</f>
        <v>Email Account/ TraderID Recognized</v>
      </c>
      <c r="H1188" s="112">
        <f>IFERROR(__xludf.DUMMYFUNCTION("""COMPUTED_VALUE"""),700.0)</f>
        <v>700</v>
      </c>
      <c r="I1188" s="30">
        <f>IFERROR(__xludf.DUMMYFUNCTION("""COMPUTED_VALUE"""),100.0)</f>
        <v>100</v>
      </c>
      <c r="J1188" s="30">
        <f>IFERROR(__xludf.DUMMYFUNCTION("""COMPUTED_VALUE"""),366.6)</f>
        <v>366.6</v>
      </c>
      <c r="K1188" s="30" t="str">
        <f>IFERROR(__xludf.DUMMYFUNCTION("""COMPUTED_VALUE"""),"QTY, Limit Price (if any) &amp; Password input correct")</f>
        <v>QTY, Limit Price (if any) &amp; Password input correct</v>
      </c>
      <c r="L1188" s="30" t="str">
        <f>IFERROR(__xludf.DUMMYFUNCTION("""COMPUTED_VALUE"""),"Ticker symbol is not correct. We don't know if that is HK stock or Korea stock or Japan stock.")</f>
        <v>Ticker symbol is not correct. We don't know if that is HK stock or Korea stock or Japan stock.</v>
      </c>
    </row>
    <row r="1189">
      <c r="A1189" s="5"/>
      <c r="B1189" s="118">
        <f>IFERROR(__xludf.DUMMYFUNCTION("""COMPUTED_VALUE"""),44660.49653935185)</f>
        <v>44660.49654</v>
      </c>
      <c r="C1189" s="120" t="str">
        <f>IFERROR(__xludf.DUMMYFUNCTION("""COMPUTED_VALUE"""),"")</f>
        <v/>
      </c>
      <c r="D1189" s="5" t="str">
        <f>IFERROR(__xludf.DUMMYFUNCTION("""COMPUTED_VALUE"""),"40776")</f>
        <v>40776</v>
      </c>
      <c r="E1189" s="5" t="str">
        <f>IFERROR(__xludf.DUMMYFUNCTION("""COMPUTED_VALUE"""),"Stock")</f>
        <v>Stock</v>
      </c>
      <c r="F1189" s="5" t="str">
        <f>IFERROR(__xludf.DUMMYFUNCTION("""COMPUTED_VALUE"""),"error")</f>
        <v>error</v>
      </c>
      <c r="G1189" s="30" t="str">
        <f>IFERROR(__xludf.DUMMYFUNCTION("""COMPUTED_VALUE"""),"Email Account/ TraderID Recognized")</f>
        <v>Email Account/ TraderID Recognized</v>
      </c>
      <c r="H1189" s="112">
        <f>IFERROR(__xludf.DUMMYFUNCTION("""COMPUTED_VALUE"""),9988.0)</f>
        <v>9988</v>
      </c>
      <c r="I1189" s="30">
        <f>IFERROR(__xludf.DUMMYFUNCTION("""COMPUTED_VALUE"""),100.0)</f>
        <v>100</v>
      </c>
      <c r="J1189" s="30">
        <f>IFERROR(__xludf.DUMMYFUNCTION("""COMPUTED_VALUE"""),102.2)</f>
        <v>102.2</v>
      </c>
      <c r="K1189" s="30" t="str">
        <f>IFERROR(__xludf.DUMMYFUNCTION("""COMPUTED_VALUE"""),"QTY, Limit Price (if any) &amp; Password input correct")</f>
        <v>QTY, Limit Price (if any) &amp; Password input correct</v>
      </c>
      <c r="L1189" s="30" t="str">
        <f>IFERROR(__xludf.DUMMYFUNCTION("""COMPUTED_VALUE"""),"Ticker symbol is not correct. We don't know if that is HK stock or Korea stock or Japan stock.")</f>
        <v>Ticker symbol is not correct. We don't know if that is HK stock or Korea stock or Japan stock.</v>
      </c>
    </row>
    <row r="1190">
      <c r="A1190" s="5"/>
      <c r="B1190" s="118">
        <f>IFERROR(__xludf.DUMMYFUNCTION("""COMPUTED_VALUE"""),44660.50064)</f>
        <v>44660.50064</v>
      </c>
      <c r="C1190" s="120" t="str">
        <f>IFERROR(__xludf.DUMMYFUNCTION("""COMPUTED_VALUE"""),"")</f>
        <v/>
      </c>
      <c r="D1190" s="5" t="str">
        <f>IFERROR(__xludf.DUMMYFUNCTION("""COMPUTED_VALUE"""),"40776")</f>
        <v>40776</v>
      </c>
      <c r="E1190" s="5" t="str">
        <f>IFERROR(__xludf.DUMMYFUNCTION("""COMPUTED_VALUE"""),"Stock")</f>
        <v>Stock</v>
      </c>
      <c r="F1190" s="5" t="str">
        <f>IFERROR(__xludf.DUMMYFUNCTION("""COMPUTED_VALUE"""),"error")</f>
        <v>error</v>
      </c>
      <c r="G1190" s="30" t="str">
        <f>IFERROR(__xludf.DUMMYFUNCTION("""COMPUTED_VALUE"""),"Email Account/ TraderID Recognized")</f>
        <v>Email Account/ TraderID Recognized</v>
      </c>
      <c r="H1190" s="112">
        <f>IFERROR(__xludf.DUMMYFUNCTION("""COMPUTED_VALUE"""),386.0)</f>
        <v>386</v>
      </c>
      <c r="I1190" s="30">
        <f>IFERROR(__xludf.DUMMYFUNCTION("""COMPUTED_VALUE"""),10000.0)</f>
        <v>10000</v>
      </c>
      <c r="J1190" s="30">
        <f>IFERROR(__xludf.DUMMYFUNCTION("""COMPUTED_VALUE"""),3.38)</f>
        <v>3.38</v>
      </c>
      <c r="K1190" s="30" t="str">
        <f>IFERROR(__xludf.DUMMYFUNCTION("""COMPUTED_VALUE"""),"QTY, Limit Price (if any) &amp; Password input correct")</f>
        <v>QTY, Limit Price (if any) &amp; Password input correct</v>
      </c>
      <c r="L1190" s="30" t="str">
        <f>IFERROR(__xludf.DUMMYFUNCTION("""COMPUTED_VALUE"""),"Ticker symbol is not correct. We don't know if that is HK stock or Korea stock or Japan stock.")</f>
        <v>Ticker symbol is not correct. We don't know if that is HK stock or Korea stock or Japan stock.</v>
      </c>
    </row>
    <row r="1191">
      <c r="A1191" s="5"/>
      <c r="B1191" s="118">
        <f>IFERROR(__xludf.DUMMYFUNCTION("""COMPUTED_VALUE"""),44660.517667754626)</f>
        <v>44660.51767</v>
      </c>
      <c r="C1191" s="120" t="str">
        <f>IFERROR(__xludf.DUMMYFUNCTION("""COMPUTED_VALUE"""),"")</f>
        <v/>
      </c>
      <c r="D1191" s="5" t="str">
        <f>IFERROR(__xludf.DUMMYFUNCTION("""COMPUTED_VALUE"""),"18874")</f>
        <v>18874</v>
      </c>
      <c r="E1191" s="5" t="str">
        <f>IFERROR(__xludf.DUMMYFUNCTION("""COMPUTED_VALUE"""),"Stock")</f>
        <v>Stock</v>
      </c>
      <c r="F1191" s="5" t="str">
        <f>IFERROR(__xludf.DUMMYFUNCTION("""COMPUTED_VALUE"""),"error")</f>
        <v>error</v>
      </c>
      <c r="G1191" s="30" t="str">
        <f>IFERROR(__xludf.DUMMYFUNCTION("""COMPUTED_VALUE"""),"Email Account/ TraderID Recognized")</f>
        <v>Email Account/ TraderID Recognized</v>
      </c>
      <c r="H1191" s="112">
        <f>IFERROR(__xludf.DUMMYFUNCTION("""COMPUTED_VALUE"""),386.0)</f>
        <v>386</v>
      </c>
      <c r="I1191" s="30">
        <f>IFERROR(__xludf.DUMMYFUNCTION("""COMPUTED_VALUE"""),10000.0)</f>
        <v>10000</v>
      </c>
      <c r="J1191" s="30">
        <f>IFERROR(__xludf.DUMMYFUNCTION("""COMPUTED_VALUE"""),3.71)</f>
        <v>3.71</v>
      </c>
      <c r="K1191" s="30" t="str">
        <f>IFERROR(__xludf.DUMMYFUNCTION("""COMPUTED_VALUE"""),"QTY, Limit Price (if any) &amp; Password input correct")</f>
        <v>QTY, Limit Price (if any) &amp; Password input correct</v>
      </c>
      <c r="L1191" s="30" t="str">
        <f>IFERROR(__xludf.DUMMYFUNCTION("""COMPUTED_VALUE"""),"Ticker symbol is not correct. We don't know if that is HK stock or Korea stock or Japan stock.")</f>
        <v>Ticker symbol is not correct. We don't know if that is HK stock or Korea stock or Japan stock.</v>
      </c>
    </row>
    <row r="1192">
      <c r="A1192" s="5"/>
      <c r="B1192" s="118">
        <f>IFERROR(__xludf.DUMMYFUNCTION("""COMPUTED_VALUE"""),44660.52250515047)</f>
        <v>44660.52251</v>
      </c>
      <c r="C1192" s="120" t="str">
        <f>IFERROR(__xludf.DUMMYFUNCTION("""COMPUTED_VALUE"""),"")</f>
        <v/>
      </c>
      <c r="D1192" s="5" t="str">
        <f>IFERROR(__xludf.DUMMYFUNCTION("""COMPUTED_VALUE"""),"18874")</f>
        <v>18874</v>
      </c>
      <c r="E1192" s="5" t="str">
        <f>IFERROR(__xludf.DUMMYFUNCTION("""COMPUTED_VALUE"""),"Stock")</f>
        <v>Stock</v>
      </c>
      <c r="F1192" s="5" t="str">
        <f>IFERROR(__xludf.DUMMYFUNCTION("""COMPUTED_VALUE"""),"error")</f>
        <v>error</v>
      </c>
      <c r="G1192" s="30" t="str">
        <f>IFERROR(__xludf.DUMMYFUNCTION("""COMPUTED_VALUE"""),"Email Account/ TraderID Recognized")</f>
        <v>Email Account/ TraderID Recognized</v>
      </c>
      <c r="H1192" s="112" t="str">
        <f>IFERROR(__xludf.DUMMYFUNCTION("""COMPUTED_VALUE"""),"01929")</f>
        <v>01929</v>
      </c>
      <c r="I1192" s="30">
        <f>IFERROR(__xludf.DUMMYFUNCTION("""COMPUTED_VALUE"""),5000.0)</f>
        <v>5000</v>
      </c>
      <c r="J1192" s="30">
        <f>IFERROR(__xludf.DUMMYFUNCTION("""COMPUTED_VALUE"""),13.32)</f>
        <v>13.32</v>
      </c>
      <c r="K1192" s="30" t="str">
        <f>IFERROR(__xludf.DUMMYFUNCTION("""COMPUTED_VALUE"""),"QTY, Limit Price (if any) &amp; Password input correct")</f>
        <v>QTY, Limit Price (if any) &amp; Password input correct</v>
      </c>
      <c r="L1192" s="30" t="str">
        <f>IFERROR(__xludf.DUMMYFUNCTION("""COMPUTED_VALUE"""),"Ticker symbol is not correct. We don't know if that is HK stock or Korea stock or Japan stock.")</f>
        <v>Ticker symbol is not correct. We don't know if that is HK stock or Korea stock or Japan stock.</v>
      </c>
    </row>
    <row r="1193">
      <c r="A1193" s="5"/>
      <c r="B1193" s="118">
        <f>IFERROR(__xludf.DUMMYFUNCTION("""COMPUTED_VALUE"""),44660.52714027777)</f>
        <v>44660.52714</v>
      </c>
      <c r="C1193" s="120" t="str">
        <f>IFERROR(__xludf.DUMMYFUNCTION("""COMPUTED_VALUE"""),"")</f>
        <v/>
      </c>
      <c r="D1193" s="5" t="str">
        <f>IFERROR(__xludf.DUMMYFUNCTION("""COMPUTED_VALUE"""),"18874")</f>
        <v>18874</v>
      </c>
      <c r="E1193" s="5" t="str">
        <f>IFERROR(__xludf.DUMMYFUNCTION("""COMPUTED_VALUE"""),"Stock")</f>
        <v>Stock</v>
      </c>
      <c r="F1193" s="5" t="str">
        <f>IFERROR(__xludf.DUMMYFUNCTION("""COMPUTED_VALUE"""),"error")</f>
        <v>error</v>
      </c>
      <c r="G1193" s="30" t="str">
        <f>IFERROR(__xludf.DUMMYFUNCTION("""COMPUTED_VALUE"""),"Email Account/ TraderID Recognized")</f>
        <v>Email Account/ TraderID Recognized</v>
      </c>
      <c r="H1193" s="112">
        <f>IFERROR(__xludf.DUMMYFUNCTION("""COMPUTED_VALUE"""),9988.0)</f>
        <v>9988</v>
      </c>
      <c r="I1193" s="30">
        <f>IFERROR(__xludf.DUMMYFUNCTION("""COMPUTED_VALUE"""),500.0)</f>
        <v>500</v>
      </c>
      <c r="J1193" s="30">
        <f>IFERROR(__xludf.DUMMYFUNCTION("""COMPUTED_VALUE"""),99.1)</f>
        <v>99.1</v>
      </c>
      <c r="K1193" s="30" t="str">
        <f>IFERROR(__xludf.DUMMYFUNCTION("""COMPUTED_VALUE"""),"QTY, Limit Price (if any) &amp; Password input correct")</f>
        <v>QTY, Limit Price (if any) &amp; Password input correct</v>
      </c>
      <c r="L1193" s="30" t="str">
        <f>IFERROR(__xludf.DUMMYFUNCTION("""COMPUTED_VALUE"""),"Ticker symbol is not correct. We don't know if that is HK stock or Korea stock or Japan stock.")</f>
        <v>Ticker symbol is not correct. We don't know if that is HK stock or Korea stock or Japan stock.</v>
      </c>
    </row>
    <row r="1194">
      <c r="A1194" s="5"/>
      <c r="B1194" s="118">
        <f>IFERROR(__xludf.DUMMYFUNCTION("""COMPUTED_VALUE"""),44660.559143819446)</f>
        <v>44660.55914</v>
      </c>
      <c r="C1194" s="120">
        <f>IFERROR(__xludf.DUMMYFUNCTION("""COMPUTED_VALUE"""),44660.666666666664)</f>
        <v>44660.66667</v>
      </c>
      <c r="D1194" s="5" t="str">
        <f>IFERROR(__xludf.DUMMYFUNCTION("""COMPUTED_VALUE"""),"37934")</f>
        <v>37934</v>
      </c>
      <c r="E1194" s="5" t="str">
        <f>IFERROR(__xludf.DUMMYFUNCTION("""COMPUTED_VALUE"""),"Stock")</f>
        <v>Stock</v>
      </c>
      <c r="F1194" s="5" t="str">
        <f>IFERROR(__xludf.DUMMYFUNCTION("""COMPUTED_VALUE"""),"USD")</f>
        <v>USD</v>
      </c>
      <c r="G1194" s="30" t="str">
        <f>IFERROR(__xludf.DUMMYFUNCTION("""COMPUTED_VALUE"""),"Email Account/ TraderID Recognized")</f>
        <v>Email Account/ TraderID Recognized</v>
      </c>
      <c r="H1194" s="112" t="str">
        <f>IFERROR(__xludf.DUMMYFUNCTION("""COMPUTED_VALUE"""),"TSLA")</f>
        <v>TSLA</v>
      </c>
      <c r="I1194" s="30">
        <f>IFERROR(__xludf.DUMMYFUNCTION("""COMPUTED_VALUE"""),30.0)</f>
        <v>30</v>
      </c>
      <c r="J1194" s="30">
        <f>IFERROR(__xludf.DUMMYFUNCTION("""COMPUTED_VALUE"""),1015.0)</f>
        <v>1015</v>
      </c>
      <c r="K1194" s="30" t="str">
        <f>IFERROR(__xludf.DUMMYFUNCTION("""COMPUTED_VALUE"""),"QTY, Limit Price (if any) &amp; Password input correct")</f>
        <v>QTY, Limit Price (if any) &amp; Password input correct</v>
      </c>
      <c r="L1194" s="30"/>
    </row>
    <row r="1195">
      <c r="A1195" s="5"/>
      <c r="B1195" s="118">
        <f>IFERROR(__xludf.DUMMYFUNCTION("""COMPUTED_VALUE"""),44660.967985625)</f>
        <v>44660.96799</v>
      </c>
      <c r="C1195" s="120">
        <f>IFERROR(__xludf.DUMMYFUNCTION("""COMPUTED_VALUE"""),44660.666666666664)</f>
        <v>44660.66667</v>
      </c>
      <c r="D1195" s="5" t="str">
        <f>IFERROR(__xludf.DUMMYFUNCTION("""COMPUTED_VALUE"""),"39011")</f>
        <v>39011</v>
      </c>
      <c r="E1195" s="5" t="str">
        <f>IFERROR(__xludf.DUMMYFUNCTION("""COMPUTED_VALUE"""),"Stock")</f>
        <v>Stock</v>
      </c>
      <c r="F1195" s="5" t="str">
        <f>IFERROR(__xludf.DUMMYFUNCTION("""COMPUTED_VALUE"""),"USD")</f>
        <v>USD</v>
      </c>
      <c r="G1195" s="30" t="str">
        <f>IFERROR(__xludf.DUMMYFUNCTION("""COMPUTED_VALUE"""),"Email Account/ TraderID Recognized")</f>
        <v>Email Account/ TraderID Recognized</v>
      </c>
      <c r="H1195" s="112" t="str">
        <f>IFERROR(__xludf.DUMMYFUNCTION("""COMPUTED_VALUE"""),"GM")</f>
        <v>GM</v>
      </c>
      <c r="I1195" s="30">
        <f>IFERROR(__xludf.DUMMYFUNCTION("""COMPUTED_VALUE"""),2550.0)</f>
        <v>2550</v>
      </c>
      <c r="J1195" s="30">
        <f>IFERROR(__xludf.DUMMYFUNCTION("""COMPUTED_VALUE"""),46.32)</f>
        <v>46.32</v>
      </c>
      <c r="K1195" s="30" t="str">
        <f>IFERROR(__xludf.DUMMYFUNCTION("""COMPUTED_VALUE"""),"QTY, Limit Price (if any) &amp; Password input correct")</f>
        <v>QTY, Limit Price (if any) &amp; Password input correct</v>
      </c>
      <c r="L1195" s="30"/>
    </row>
    <row r="1196">
      <c r="A1196" s="5"/>
      <c r="B1196" s="118">
        <f>IFERROR(__xludf.DUMMYFUNCTION("""COMPUTED_VALUE"""),44660.97145577546)</f>
        <v>44660.97146</v>
      </c>
      <c r="C1196" s="120" t="str">
        <f>IFERROR(__xludf.DUMMYFUNCTION("""COMPUTED_VALUE"""),"")</f>
        <v/>
      </c>
      <c r="D1196" s="5" t="str">
        <f>IFERROR(__xludf.DUMMYFUNCTION("""COMPUTED_VALUE"""),"39011")</f>
        <v>39011</v>
      </c>
      <c r="E1196" s="5" t="str">
        <f>IFERROR(__xludf.DUMMYFUNCTION("""COMPUTED_VALUE"""),"Stock")</f>
        <v>Stock</v>
      </c>
      <c r="F1196" s="5" t="str">
        <f>IFERROR(__xludf.DUMMYFUNCTION("""COMPUTED_VALUE"""),"error")</f>
        <v>error</v>
      </c>
      <c r="G1196" s="30" t="str">
        <f>IFERROR(__xludf.DUMMYFUNCTION("""COMPUTED_VALUE"""),"Email Account/ TraderID Recognized")</f>
        <v>Email Account/ TraderID Recognized</v>
      </c>
      <c r="H1196" s="112" t="str">
        <f>IFERROR(__xludf.DUMMYFUNCTION("""COMPUTED_VALUE"""),"Tesla")</f>
        <v>Tesla</v>
      </c>
      <c r="I1196" s="30">
        <f>IFERROR(__xludf.DUMMYFUNCTION("""COMPUTED_VALUE"""),150.0)</f>
        <v>150</v>
      </c>
      <c r="J1196" s="30">
        <f>IFERROR(__xludf.DUMMYFUNCTION("""COMPUTED_VALUE"""),879.89)</f>
        <v>879.89</v>
      </c>
      <c r="K1196" s="30" t="str">
        <f>IFERROR(__xludf.DUMMYFUNCTION("""COMPUTED_VALUE"""),"QTY, Limit Price (if any) &amp; Password input correct")</f>
        <v>QTY, Limit Price (if any) &amp; Password input correct</v>
      </c>
      <c r="L1196" s="30"/>
    </row>
    <row r="1197">
      <c r="A1197" s="5"/>
      <c r="B1197" s="118">
        <f>IFERROR(__xludf.DUMMYFUNCTION("""COMPUTED_VALUE"""),44661.39876532408)</f>
        <v>44661.39877</v>
      </c>
      <c r="C1197" s="120">
        <f>IFERROR(__xludf.DUMMYFUNCTION("""COMPUTED_VALUE"""),44661.666666666664)</f>
        <v>44661.66667</v>
      </c>
      <c r="D1197" s="5" t="str">
        <f>IFERROR(__xludf.DUMMYFUNCTION("""COMPUTED_VALUE"""),"46322")</f>
        <v>46322</v>
      </c>
      <c r="E1197" s="5" t="str">
        <f>IFERROR(__xludf.DUMMYFUNCTION("""COMPUTED_VALUE"""),"Stock")</f>
        <v>Stock</v>
      </c>
      <c r="F1197" s="5" t="str">
        <f>IFERROR(__xludf.DUMMYFUNCTION("""COMPUTED_VALUE"""),"USD")</f>
        <v>USD</v>
      </c>
      <c r="G1197" s="30" t="str">
        <f>IFERROR(__xludf.DUMMYFUNCTION("""COMPUTED_VALUE"""),"Email Account/ TraderID Recognized")</f>
        <v>Email Account/ TraderID Recognized</v>
      </c>
      <c r="H1197" s="112" t="str">
        <f>IFERROR(__xludf.DUMMYFUNCTION("""COMPUTED_VALUE"""),"SARK")</f>
        <v>SARK</v>
      </c>
      <c r="I1197" s="30">
        <f>IFERROR(__xludf.DUMMYFUNCTION("""COMPUTED_VALUE"""),500.0)</f>
        <v>500</v>
      </c>
      <c r="J1197" s="30"/>
      <c r="K1197" s="30" t="str">
        <f>IFERROR(__xludf.DUMMYFUNCTION("""COMPUTED_VALUE"""),"QTY, Limit Price (if any) &amp; Password input correct")</f>
        <v>QTY, Limit Price (if any) &amp; Password input correct</v>
      </c>
      <c r="L1197" s="30"/>
    </row>
    <row r="1198">
      <c r="A1198" s="5"/>
      <c r="B1198" s="118">
        <f>IFERROR(__xludf.DUMMYFUNCTION("""COMPUTED_VALUE"""),44661.613315069444)</f>
        <v>44661.61332</v>
      </c>
      <c r="C1198" s="120" t="str">
        <f>IFERROR(__xludf.DUMMYFUNCTION("""COMPUTED_VALUE"""),"")</f>
        <v/>
      </c>
      <c r="D1198" s="5" t="str">
        <f>IFERROR(__xludf.DUMMYFUNCTION("""COMPUTED_VALUE"""),"40658")</f>
        <v>40658</v>
      </c>
      <c r="E1198" s="5" t="str">
        <f>IFERROR(__xludf.DUMMYFUNCTION("""COMPUTED_VALUE"""),"Stock")</f>
        <v>Stock</v>
      </c>
      <c r="F1198" s="5" t="str">
        <f>IFERROR(__xludf.DUMMYFUNCTION("""COMPUTED_VALUE"""),"error")</f>
        <v>error</v>
      </c>
      <c r="G1198" s="30" t="str">
        <f>IFERROR(__xludf.DUMMYFUNCTION("""COMPUTED_VALUE"""),"Email Account/ TraderID Recognized")</f>
        <v>Email Account/ TraderID Recognized</v>
      </c>
      <c r="H1198" s="112">
        <f>IFERROR(__xludf.DUMMYFUNCTION("""COMPUTED_VALUE"""),300750.0)</f>
        <v>300750</v>
      </c>
      <c r="I1198" s="30">
        <f>IFERROR(__xludf.DUMMYFUNCTION("""COMPUTED_VALUE"""),10.0)</f>
        <v>10</v>
      </c>
      <c r="J1198" s="30" t="str">
        <f>IFERROR(__xludf.DUMMYFUNCTION("""COMPUTED_VALUE"""),"Limit Buy @ 500 - Closing @ 480= Executed price @ 480. if Closing @ 520 = no execution")</f>
        <v>Limit Buy @ 500 - Closing @ 480= Executed price @ 480. if Closing @ 520 = no execution</v>
      </c>
      <c r="K1198" s="30" t="str">
        <f>IFERROR(__xludf.DUMMYFUNCTION("""COMPUTED_VALUE"""),"Non-number input in Quantity or Limit Price")</f>
        <v>Non-number input in Quantity or Limit Price</v>
      </c>
      <c r="L1198" s="30" t="str">
        <f>IFERROR(__xludf.DUMMYFUNCTION("""COMPUTED_VALUE"""),"Cannot set non-numeric character in limit price box")</f>
        <v>Cannot set non-numeric character in limit price box</v>
      </c>
    </row>
    <row r="1199">
      <c r="A1199" s="5"/>
      <c r="B1199" s="118">
        <f>IFERROR(__xludf.DUMMYFUNCTION("""COMPUTED_VALUE"""),44661.61502134259)</f>
        <v>44661.61502</v>
      </c>
      <c r="C1199" s="120" t="str">
        <f>IFERROR(__xludf.DUMMYFUNCTION("""COMPUTED_VALUE"""),"")</f>
        <v/>
      </c>
      <c r="D1199" s="5" t="str">
        <f>IFERROR(__xludf.DUMMYFUNCTION("""COMPUTED_VALUE"""),"40658")</f>
        <v>40658</v>
      </c>
      <c r="E1199" s="5" t="str">
        <f>IFERROR(__xludf.DUMMYFUNCTION("""COMPUTED_VALUE"""),"Stock")</f>
        <v>Stock</v>
      </c>
      <c r="F1199" s="5" t="str">
        <f>IFERROR(__xludf.DUMMYFUNCTION("""COMPUTED_VALUE"""),"error")</f>
        <v>error</v>
      </c>
      <c r="G1199" s="30" t="str">
        <f>IFERROR(__xludf.DUMMYFUNCTION("""COMPUTED_VALUE"""),"Email Account/ TraderID Recognized")</f>
        <v>Email Account/ TraderID Recognized</v>
      </c>
      <c r="H1199" s="112" t="str">
        <f>IFERROR(__xludf.DUMMYFUNCTION("""COMPUTED_VALUE"""),"AAPL")</f>
        <v>AAPL</v>
      </c>
      <c r="I1199" s="30">
        <f>IFERROR(__xludf.DUMMYFUNCTION("""COMPUTED_VALUE"""),50.0)</f>
        <v>50</v>
      </c>
      <c r="J1199" s="30" t="str">
        <f>IFERROR(__xludf.DUMMYFUNCTION("""COMPUTED_VALUE""")," Limit Buy @ 180 - Closing @ 160= Executed price @ 160. if Closing @ 200 = no execution")</f>
        <v> Limit Buy @ 180 - Closing @ 160= Executed price @ 160. if Closing @ 200 = no execution</v>
      </c>
      <c r="K1199" s="30" t="str">
        <f>IFERROR(__xludf.DUMMYFUNCTION("""COMPUTED_VALUE"""),"Non-number input in Quantity or Limit Price")</f>
        <v>Non-number input in Quantity or Limit Price</v>
      </c>
      <c r="L1199" s="30" t="str">
        <f>IFERROR(__xludf.DUMMYFUNCTION("""COMPUTED_VALUE"""),"Cannot set non-numeric character in limit price box")</f>
        <v>Cannot set non-numeric character in limit price box</v>
      </c>
    </row>
    <row r="1200">
      <c r="A1200" s="5"/>
      <c r="B1200" s="118">
        <f>IFERROR(__xludf.DUMMYFUNCTION("""COMPUTED_VALUE"""),44661.64435913194)</f>
        <v>44661.64436</v>
      </c>
      <c r="C1200" s="120" t="str">
        <f>IFERROR(__xludf.DUMMYFUNCTION("""COMPUTED_VALUE"""),"")</f>
        <v/>
      </c>
      <c r="D1200" s="5" t="str">
        <f>IFERROR(__xludf.DUMMYFUNCTION("""COMPUTED_VALUE"""),"82458")</f>
        <v>82458</v>
      </c>
      <c r="E1200" s="5" t="str">
        <f>IFERROR(__xludf.DUMMYFUNCTION("""COMPUTED_VALUE"""),"Stock")</f>
        <v>Stock</v>
      </c>
      <c r="F1200" s="5" t="str">
        <f>IFERROR(__xludf.DUMMYFUNCTION("""COMPUTED_VALUE"""),"error")</f>
        <v>error</v>
      </c>
      <c r="G1200" s="30" t="str">
        <f>IFERROR(__xludf.DUMMYFUNCTION("""COMPUTED_VALUE"""),"Email Account/ TraderID Recognized")</f>
        <v>Email Account/ TraderID Recognized</v>
      </c>
      <c r="H1200" s="125" t="str">
        <f>IFERROR(__xludf.DUMMYFUNCTION("""COMPUTED_VALUE"""),"4338.HK")</f>
        <v>4338.HK</v>
      </c>
      <c r="I1200" s="30">
        <f>IFERROR(__xludf.DUMMYFUNCTION("""COMPUTED_VALUE"""),150000.0)</f>
        <v>150000</v>
      </c>
      <c r="J1200" s="30"/>
      <c r="K1200" s="30" t="str">
        <f>IFERROR(__xludf.DUMMYFUNCTION("""COMPUTED_VALUE"""),"Wrong Password Submitted, Order will be rejected")</f>
        <v>Wrong Password Submitted, Order will be rejected</v>
      </c>
      <c r="L1200" s="30"/>
    </row>
    <row r="1201">
      <c r="A1201" s="5"/>
      <c r="B1201" s="118">
        <f>IFERROR(__xludf.DUMMYFUNCTION("""COMPUTED_VALUE"""),44661.64477298611)</f>
        <v>44661.64477</v>
      </c>
      <c r="C1201" s="120" t="str">
        <f>IFERROR(__xludf.DUMMYFUNCTION("""COMPUTED_VALUE"""),"")</f>
        <v/>
      </c>
      <c r="D1201" s="5" t="str">
        <f>IFERROR(__xludf.DUMMYFUNCTION("""COMPUTED_VALUE"""),"82458")</f>
        <v>82458</v>
      </c>
      <c r="E1201" s="5" t="str">
        <f>IFERROR(__xludf.DUMMYFUNCTION("""COMPUTED_VALUE"""),"Stock")</f>
        <v>Stock</v>
      </c>
      <c r="F1201" s="5" t="str">
        <f>IFERROR(__xludf.DUMMYFUNCTION("""COMPUTED_VALUE"""),"error")</f>
        <v>error</v>
      </c>
      <c r="G1201" s="30" t="str">
        <f>IFERROR(__xludf.DUMMYFUNCTION("""COMPUTED_VALUE"""),"Email Account/ TraderID Recognized")</f>
        <v>Email Account/ TraderID Recognized</v>
      </c>
      <c r="H1201" s="125" t="str">
        <f>IFERROR(__xludf.DUMMYFUNCTION("""COMPUTED_VALUE"""),"6108.HK")</f>
        <v>6108.HK</v>
      </c>
      <c r="I1201" s="30">
        <f>IFERROR(__xludf.DUMMYFUNCTION("""COMPUTED_VALUE"""),150000.0)</f>
        <v>150000</v>
      </c>
      <c r="J1201" s="30"/>
      <c r="K1201" s="30" t="str">
        <f>IFERROR(__xludf.DUMMYFUNCTION("""COMPUTED_VALUE"""),"Wrong Password Submitted, Order will be rejected")</f>
        <v>Wrong Password Submitted, Order will be rejected</v>
      </c>
      <c r="L1201" s="30"/>
    </row>
    <row r="1202">
      <c r="A1202" s="5"/>
      <c r="B1202" s="118">
        <f>IFERROR(__xludf.DUMMYFUNCTION("""COMPUTED_VALUE"""),44661.651017303244)</f>
        <v>44661.65102</v>
      </c>
      <c r="C1202" s="120" t="str">
        <f>IFERROR(__xludf.DUMMYFUNCTION("""COMPUTED_VALUE"""),"")</f>
        <v/>
      </c>
      <c r="D1202" s="5" t="str">
        <f>IFERROR(__xludf.DUMMYFUNCTION("""COMPUTED_VALUE"""),"82458")</f>
        <v>82458</v>
      </c>
      <c r="E1202" s="5" t="str">
        <f>IFERROR(__xludf.DUMMYFUNCTION("""COMPUTED_VALUE"""),"Stock")</f>
        <v>Stock</v>
      </c>
      <c r="F1202" s="5" t="str">
        <f>IFERROR(__xludf.DUMMYFUNCTION("""COMPUTED_VALUE"""),"error")</f>
        <v>error</v>
      </c>
      <c r="G1202" s="30" t="str">
        <f>IFERROR(__xludf.DUMMYFUNCTION("""COMPUTED_VALUE"""),"Email Account/ TraderID Recognized")</f>
        <v>Email Account/ TraderID Recognized</v>
      </c>
      <c r="H1202" s="112" t="str">
        <f>IFERROR(__xludf.DUMMYFUNCTION("""COMPUTED_VALUE"""),"FB")</f>
        <v>FB</v>
      </c>
      <c r="I1202" s="30">
        <f>IFERROR(__xludf.DUMMYFUNCTION("""COMPUTED_VALUE"""),20.0)</f>
        <v>20</v>
      </c>
      <c r="J1202" s="30"/>
      <c r="K1202" s="30" t="str">
        <f>IFERROR(__xludf.DUMMYFUNCTION("""COMPUTED_VALUE"""),"Wrong Password Submitted, Order will be rejected")</f>
        <v>Wrong Password Submitted, Order will be rejected</v>
      </c>
      <c r="L1202" s="30"/>
    </row>
    <row r="1203">
      <c r="A1203" s="5"/>
      <c r="B1203" s="118">
        <f>IFERROR(__xludf.DUMMYFUNCTION("""COMPUTED_VALUE"""),44661.65156134259)</f>
        <v>44661.65156</v>
      </c>
      <c r="C1203" s="120" t="str">
        <f>IFERROR(__xludf.DUMMYFUNCTION("""COMPUTED_VALUE"""),"")</f>
        <v/>
      </c>
      <c r="D1203" s="5" t="str">
        <f>IFERROR(__xludf.DUMMYFUNCTION("""COMPUTED_VALUE"""),"82458")</f>
        <v>82458</v>
      </c>
      <c r="E1203" s="5" t="str">
        <f>IFERROR(__xludf.DUMMYFUNCTION("""COMPUTED_VALUE"""),"Stock")</f>
        <v>Stock</v>
      </c>
      <c r="F1203" s="5" t="str">
        <f>IFERROR(__xludf.DUMMYFUNCTION("""COMPUTED_VALUE"""),"error")</f>
        <v>error</v>
      </c>
      <c r="G1203" s="30" t="str">
        <f>IFERROR(__xludf.DUMMYFUNCTION("""COMPUTED_VALUE"""),"Email Account/ TraderID Recognized")</f>
        <v>Email Account/ TraderID Recognized</v>
      </c>
      <c r="H1203" s="125" t="str">
        <f>IFERROR(__xludf.DUMMYFUNCTION("""COMPUTED_VALUE"""),"3690.HK")</f>
        <v>3690.HK</v>
      </c>
      <c r="I1203" s="30">
        <f>IFERROR(__xludf.DUMMYFUNCTION("""COMPUTED_VALUE"""),500.0)</f>
        <v>500</v>
      </c>
      <c r="J1203" s="30"/>
      <c r="K1203" s="30" t="str">
        <f>IFERROR(__xludf.DUMMYFUNCTION("""COMPUTED_VALUE"""),"Wrong Password Submitted, Order will be rejected")</f>
        <v>Wrong Password Submitted, Order will be rejected</v>
      </c>
      <c r="L1203" s="30"/>
    </row>
    <row r="1204">
      <c r="A1204" s="5"/>
      <c r="B1204" s="118">
        <f>IFERROR(__xludf.DUMMYFUNCTION("""COMPUTED_VALUE"""),44661.77025422454)</f>
        <v>44661.77025</v>
      </c>
      <c r="C1204" s="120" t="str">
        <f>IFERROR(__xludf.DUMMYFUNCTION("""COMPUTED_VALUE"""),"")</f>
        <v/>
      </c>
      <c r="D1204" s="5" t="str">
        <f>IFERROR(__xludf.DUMMYFUNCTION("""COMPUTED_VALUE"""),"")</f>
        <v/>
      </c>
      <c r="E1204" s="5" t="str">
        <f>IFERROR(__xludf.DUMMYFUNCTION("""COMPUTED_VALUE"""),"Stock")</f>
        <v>Stock</v>
      </c>
      <c r="F1204" s="5" t="str">
        <f>IFERROR(__xludf.DUMMYFUNCTION("""COMPUTED_VALUE"""),"error")</f>
        <v>error</v>
      </c>
      <c r="G1204" s="30" t="str">
        <f>IFERROR(__xludf.DUMMYFUNCTION("""COMPUTED_VALUE"""),"lamhxxxxxx@nonHKMUemail")</f>
        <v>lamhxxxxxx@nonHKMUemail</v>
      </c>
      <c r="H1204" s="112" t="str">
        <f>IFERROR(__xludf.DUMMYFUNCTION("""COMPUTED_VALUE"""),"FB")</f>
        <v>FB</v>
      </c>
      <c r="I1204" s="30">
        <f>IFERROR(__xludf.DUMMYFUNCTION("""COMPUTED_VALUE"""),20.0)</f>
        <v>20</v>
      </c>
      <c r="J1204" s="30"/>
      <c r="K1204" s="30" t="str">
        <f>IFERROR(__xludf.DUMMYFUNCTION("""COMPUTED_VALUE"""),"QTY, Limit Price (if any) &amp; Password input correct")</f>
        <v>QTY, Limit Price (if any) &amp; Password input correct</v>
      </c>
      <c r="L1204" s="30"/>
    </row>
    <row r="1205">
      <c r="A1205" s="5"/>
      <c r="B1205" s="118">
        <f>IFERROR(__xludf.DUMMYFUNCTION("""COMPUTED_VALUE"""),44661.77225722223)</f>
        <v>44661.77226</v>
      </c>
      <c r="C1205" s="120" t="str">
        <f>IFERROR(__xludf.DUMMYFUNCTION("""COMPUTED_VALUE"""),"")</f>
        <v/>
      </c>
      <c r="D1205" s="5" t="str">
        <f>IFERROR(__xludf.DUMMYFUNCTION("""COMPUTED_VALUE"""),"")</f>
        <v/>
      </c>
      <c r="E1205" s="5" t="str">
        <f>IFERROR(__xludf.DUMMYFUNCTION("""COMPUTED_VALUE"""),"Stock")</f>
        <v>Stock</v>
      </c>
      <c r="F1205" s="5" t="str">
        <f>IFERROR(__xludf.DUMMYFUNCTION("""COMPUTED_VALUE"""),"error")</f>
        <v>error</v>
      </c>
      <c r="G1205" s="30" t="str">
        <f>IFERROR(__xludf.DUMMYFUNCTION("""COMPUTED_VALUE"""),"lamhxxxxxx@nonHKMUemail")</f>
        <v>lamhxxxxxx@nonHKMUemail</v>
      </c>
      <c r="H1205" s="125" t="str">
        <f>IFERROR(__xludf.DUMMYFUNCTION("""COMPUTED_VALUE"""),"0883.HK")</f>
        <v>0883.HK</v>
      </c>
      <c r="I1205" s="30">
        <f>IFERROR(__xludf.DUMMYFUNCTION("""COMPUTED_VALUE"""),20.0)</f>
        <v>20</v>
      </c>
      <c r="J1205" s="30"/>
      <c r="K1205" s="30" t="str">
        <f>IFERROR(__xludf.DUMMYFUNCTION("""COMPUTED_VALUE"""),"QTY, Limit Price (if any) &amp; Password input correct")</f>
        <v>QTY, Limit Price (if any) &amp; Password input correct</v>
      </c>
      <c r="L1205" s="30"/>
    </row>
    <row r="1206">
      <c r="A1206" s="5"/>
      <c r="B1206" s="118">
        <f>IFERROR(__xludf.DUMMYFUNCTION("""COMPUTED_VALUE"""),44662.06617114584)</f>
        <v>44662.06617</v>
      </c>
      <c r="C1206" s="120">
        <f>IFERROR(__xludf.DUMMYFUNCTION("""COMPUTED_VALUE"""),44661.666666666664)</f>
        <v>44661.66667</v>
      </c>
      <c r="D1206" s="5" t="str">
        <f>IFERROR(__xludf.DUMMYFUNCTION("""COMPUTED_VALUE"""),"37568")</f>
        <v>37568</v>
      </c>
      <c r="E1206" s="5" t="str">
        <f>IFERROR(__xludf.DUMMYFUNCTION("""COMPUTED_VALUE"""),"Stock")</f>
        <v>Stock</v>
      </c>
      <c r="F1206" s="5" t="str">
        <f>IFERROR(__xludf.DUMMYFUNCTION("""COMPUTED_VALUE"""),"USD")</f>
        <v>USD</v>
      </c>
      <c r="G1206" s="30" t="str">
        <f>IFERROR(__xludf.DUMMYFUNCTION("""COMPUTED_VALUE"""),"Email Account/ TraderID Recognized")</f>
        <v>Email Account/ TraderID Recognized</v>
      </c>
      <c r="H1206" s="112" t="str">
        <f>IFERROR(__xludf.DUMMYFUNCTION("""COMPUTED_VALUE"""),"MSFT")</f>
        <v>MSFT</v>
      </c>
      <c r="I1206" s="30">
        <f>IFERROR(__xludf.DUMMYFUNCTION("""COMPUTED_VALUE"""),10.0)</f>
        <v>10</v>
      </c>
      <c r="J1206" s="30"/>
      <c r="K1206" s="30" t="str">
        <f>IFERROR(__xludf.DUMMYFUNCTION("""COMPUTED_VALUE"""),"QTY, Limit Price (if any) &amp; Password input correct")</f>
        <v>QTY, Limit Price (if any) &amp; Password input correct</v>
      </c>
      <c r="L1206" s="30"/>
    </row>
    <row r="1207">
      <c r="A1207" s="5"/>
      <c r="B1207" s="118">
        <f>IFERROR(__xludf.DUMMYFUNCTION("""COMPUTED_VALUE"""),44662.39951541666)</f>
        <v>44662.39952</v>
      </c>
      <c r="C1207" s="120">
        <f>IFERROR(__xludf.DUMMYFUNCTION("""COMPUTED_VALUE"""),44662.625)</f>
        <v>44662.625</v>
      </c>
      <c r="D1207" s="5" t="str">
        <f>IFERROR(__xludf.DUMMYFUNCTION("""COMPUTED_VALUE"""),"39302")</f>
        <v>39302</v>
      </c>
      <c r="E1207" s="5" t="str">
        <f>IFERROR(__xludf.DUMMYFUNCTION("""COMPUTED_VALUE"""),"Stock")</f>
        <v>Stock</v>
      </c>
      <c r="F1207" s="5" t="str">
        <f>IFERROR(__xludf.DUMMYFUNCTION("""COMPUTED_VALUE"""),"CNY")</f>
        <v>CNY</v>
      </c>
      <c r="G1207" s="30" t="str">
        <f>IFERROR(__xludf.DUMMYFUNCTION("""COMPUTED_VALUE"""),"Email Account/ TraderID Recognized")</f>
        <v>Email Account/ TraderID Recognized</v>
      </c>
      <c r="H1207" s="125" t="str">
        <f>IFERROR(__xludf.DUMMYFUNCTION("""COMPUTED_VALUE"""),"002307.SZ")</f>
        <v>002307.SZ</v>
      </c>
      <c r="I1207" s="30">
        <f>IFERROR(__xludf.DUMMYFUNCTION("""COMPUTED_VALUE"""),40000.0)</f>
        <v>40000</v>
      </c>
      <c r="J1207" s="30"/>
      <c r="K1207" s="30" t="str">
        <f>IFERROR(__xludf.DUMMYFUNCTION("""COMPUTED_VALUE"""),"QTY, Limit Price (if any) &amp; Password input correct")</f>
        <v>QTY, Limit Price (if any) &amp; Password input correct</v>
      </c>
      <c r="L1207" s="30"/>
    </row>
    <row r="1208">
      <c r="A1208" s="5"/>
      <c r="B1208" s="118">
        <f>IFERROR(__xludf.DUMMYFUNCTION("""COMPUTED_VALUE"""),44662.39999802083)</f>
        <v>44662.4</v>
      </c>
      <c r="C1208" s="120">
        <f>IFERROR(__xludf.DUMMYFUNCTION("""COMPUTED_VALUE"""),44662.625)</f>
        <v>44662.625</v>
      </c>
      <c r="D1208" s="5" t="str">
        <f>IFERROR(__xludf.DUMMYFUNCTION("""COMPUTED_VALUE"""),"39302")</f>
        <v>39302</v>
      </c>
      <c r="E1208" s="5" t="str">
        <f>IFERROR(__xludf.DUMMYFUNCTION("""COMPUTED_VALUE"""),"Stock")</f>
        <v>Stock</v>
      </c>
      <c r="F1208" s="5" t="str">
        <f>IFERROR(__xludf.DUMMYFUNCTION("""COMPUTED_VALUE"""),"CNY")</f>
        <v>CNY</v>
      </c>
      <c r="G1208" s="30" t="str">
        <f>IFERROR(__xludf.DUMMYFUNCTION("""COMPUTED_VALUE"""),"Email Account/ TraderID Recognized")</f>
        <v>Email Account/ TraderID Recognized</v>
      </c>
      <c r="H1208" s="125" t="str">
        <f>IFERROR(__xludf.DUMMYFUNCTION("""COMPUTED_VALUE"""),"600724.SS")</f>
        <v>600724.SS</v>
      </c>
      <c r="I1208" s="30">
        <f>IFERROR(__xludf.DUMMYFUNCTION("""COMPUTED_VALUE"""),20000.0)</f>
        <v>20000</v>
      </c>
      <c r="J1208" s="30"/>
      <c r="K1208" s="30" t="str">
        <f>IFERROR(__xludf.DUMMYFUNCTION("""COMPUTED_VALUE"""),"QTY, Limit Price (if any) &amp; Password input correct")</f>
        <v>QTY, Limit Price (if any) &amp; Password input correct</v>
      </c>
      <c r="L1208" s="30"/>
    </row>
    <row r="1209">
      <c r="A1209" s="5"/>
      <c r="B1209" s="118">
        <f>IFERROR(__xludf.DUMMYFUNCTION("""COMPUTED_VALUE"""),44662.41347770834)</f>
        <v>44662.41348</v>
      </c>
      <c r="C1209" s="120">
        <f>IFERROR(__xludf.DUMMYFUNCTION("""COMPUTED_VALUE"""),44662.625)</f>
        <v>44662.625</v>
      </c>
      <c r="D1209" s="5" t="str">
        <f>IFERROR(__xludf.DUMMYFUNCTION("""COMPUTED_VALUE"""),"39302")</f>
        <v>39302</v>
      </c>
      <c r="E1209" s="5" t="str">
        <f>IFERROR(__xludf.DUMMYFUNCTION("""COMPUTED_VALUE"""),"Stock")</f>
        <v>Stock</v>
      </c>
      <c r="F1209" s="5" t="str">
        <f>IFERROR(__xludf.DUMMYFUNCTION("""COMPUTED_VALUE"""),"CNY")</f>
        <v>CNY</v>
      </c>
      <c r="G1209" s="30" t="str">
        <f>IFERROR(__xludf.DUMMYFUNCTION("""COMPUTED_VALUE"""),"Email Account/ TraderID Recognized")</f>
        <v>Email Account/ TraderID Recognized</v>
      </c>
      <c r="H1209" s="125" t="str">
        <f>IFERROR(__xludf.DUMMYFUNCTION("""COMPUTED_VALUE"""),"002307.SZ")</f>
        <v>002307.SZ</v>
      </c>
      <c r="I1209" s="30">
        <f>IFERROR(__xludf.DUMMYFUNCTION("""COMPUTED_VALUE"""),4000.0)</f>
        <v>4000</v>
      </c>
      <c r="J1209" s="30"/>
      <c r="K1209" s="30" t="str">
        <f>IFERROR(__xludf.DUMMYFUNCTION("""COMPUTED_VALUE"""),"QTY, Limit Price (if any) &amp; Password input correct")</f>
        <v>QTY, Limit Price (if any) &amp; Password input correct</v>
      </c>
      <c r="L1209" s="30"/>
    </row>
    <row r="1210">
      <c r="A1210" s="5"/>
      <c r="B1210" s="118">
        <f>IFERROR(__xludf.DUMMYFUNCTION("""COMPUTED_VALUE"""),44662.41439989583)</f>
        <v>44662.4144</v>
      </c>
      <c r="C1210" s="120">
        <f>IFERROR(__xludf.DUMMYFUNCTION("""COMPUTED_VALUE"""),44662.625)</f>
        <v>44662.625</v>
      </c>
      <c r="D1210" s="5" t="str">
        <f>IFERROR(__xludf.DUMMYFUNCTION("""COMPUTED_VALUE"""),"39302")</f>
        <v>39302</v>
      </c>
      <c r="E1210" s="5" t="str">
        <f>IFERROR(__xludf.DUMMYFUNCTION("""COMPUTED_VALUE"""),"Stock")</f>
        <v>Stock</v>
      </c>
      <c r="F1210" s="5" t="str">
        <f>IFERROR(__xludf.DUMMYFUNCTION("""COMPUTED_VALUE"""),"CNY")</f>
        <v>CNY</v>
      </c>
      <c r="G1210" s="30" t="str">
        <f>IFERROR(__xludf.DUMMYFUNCTION("""COMPUTED_VALUE"""),"Email Account/ TraderID Recognized")</f>
        <v>Email Account/ TraderID Recognized</v>
      </c>
      <c r="H1210" s="125" t="str">
        <f>IFERROR(__xludf.DUMMYFUNCTION("""COMPUTED_VALUE"""),"003040.SZ")</f>
        <v>003040.SZ</v>
      </c>
      <c r="I1210" s="30">
        <f>IFERROR(__xludf.DUMMYFUNCTION("""COMPUTED_VALUE"""),300.0)</f>
        <v>300</v>
      </c>
      <c r="J1210" s="30"/>
      <c r="K1210" s="30" t="str">
        <f>IFERROR(__xludf.DUMMYFUNCTION("""COMPUTED_VALUE"""),"QTY, Limit Price (if any) &amp; Password input correct")</f>
        <v>QTY, Limit Price (if any) &amp; Password input correct</v>
      </c>
      <c r="L1210" s="30"/>
    </row>
    <row r="1211">
      <c r="A1211" s="5"/>
      <c r="B1211" s="118">
        <f>IFERROR(__xludf.DUMMYFUNCTION("""COMPUTED_VALUE"""),44662.41527283565)</f>
        <v>44662.41527</v>
      </c>
      <c r="C1211" s="120">
        <f>IFERROR(__xludf.DUMMYFUNCTION("""COMPUTED_VALUE"""),44662.625)</f>
        <v>44662.625</v>
      </c>
      <c r="D1211" s="5" t="str">
        <f>IFERROR(__xludf.DUMMYFUNCTION("""COMPUTED_VALUE"""),"39302")</f>
        <v>39302</v>
      </c>
      <c r="E1211" s="5" t="str">
        <f>IFERROR(__xludf.DUMMYFUNCTION("""COMPUTED_VALUE"""),"Stock")</f>
        <v>Stock</v>
      </c>
      <c r="F1211" s="5" t="str">
        <f>IFERROR(__xludf.DUMMYFUNCTION("""COMPUTED_VALUE"""),"CNY")</f>
        <v>CNY</v>
      </c>
      <c r="G1211" s="30" t="str">
        <f>IFERROR(__xludf.DUMMYFUNCTION("""COMPUTED_VALUE"""),"Email Account/ TraderID Recognized")</f>
        <v>Email Account/ TraderID Recognized</v>
      </c>
      <c r="H1211" s="125" t="str">
        <f>IFERROR(__xludf.DUMMYFUNCTION("""COMPUTED_VALUE"""),"000950.SZ")</f>
        <v>000950.SZ</v>
      </c>
      <c r="I1211" s="30">
        <f>IFERROR(__xludf.DUMMYFUNCTION("""COMPUTED_VALUE"""),1000.0)</f>
        <v>1000</v>
      </c>
      <c r="J1211" s="30"/>
      <c r="K1211" s="30" t="str">
        <f>IFERROR(__xludf.DUMMYFUNCTION("""COMPUTED_VALUE"""),"QTY, Limit Price (if any) &amp; Password input correct")</f>
        <v>QTY, Limit Price (if any) &amp; Password input correct</v>
      </c>
      <c r="L1211" s="30"/>
    </row>
    <row r="1212">
      <c r="A1212" s="5"/>
      <c r="B1212" s="118">
        <f>IFERROR(__xludf.DUMMYFUNCTION("""COMPUTED_VALUE"""),44662.44074884259)</f>
        <v>44662.44075</v>
      </c>
      <c r="C1212" s="120" t="str">
        <f>IFERROR(__xludf.DUMMYFUNCTION("""COMPUTED_VALUE"""),"")</f>
        <v/>
      </c>
      <c r="D1212" s="5" t="str">
        <f>IFERROR(__xludf.DUMMYFUNCTION("""COMPUTED_VALUE"""),"37568")</f>
        <v>37568</v>
      </c>
      <c r="E1212" s="5" t="str">
        <f>IFERROR(__xludf.DUMMYFUNCTION("""COMPUTED_VALUE"""),"Stock")</f>
        <v>Stock</v>
      </c>
      <c r="F1212" s="5" t="str">
        <f>IFERROR(__xludf.DUMMYFUNCTION("""COMPUTED_VALUE"""),"error")</f>
        <v>error</v>
      </c>
      <c r="G1212" s="30" t="str">
        <f>IFERROR(__xludf.DUMMYFUNCTION("""COMPUTED_VALUE"""),"Email Account/ TraderID Recognized")</f>
        <v>Email Account/ TraderID Recognized</v>
      </c>
      <c r="H1212" s="112" t="str">
        <f>IFERROR(__xludf.DUMMYFUNCTION("""COMPUTED_VALUE"""),"00700")</f>
        <v>00700</v>
      </c>
      <c r="I1212" s="30">
        <f>IFERROR(__xludf.DUMMYFUNCTION("""COMPUTED_VALUE"""),10.0)</f>
        <v>10</v>
      </c>
      <c r="J1212" s="30"/>
      <c r="K1212" s="30" t="str">
        <f>IFERROR(__xludf.DUMMYFUNCTION("""COMPUTED_VALUE"""),"QTY, Limit Price (if any) &amp; Password input correct")</f>
        <v>QTY, Limit Price (if any) &amp; Password input correct</v>
      </c>
      <c r="L1212" s="30"/>
    </row>
    <row r="1213">
      <c r="A1213" s="5"/>
      <c r="B1213" s="118">
        <f>IFERROR(__xludf.DUMMYFUNCTION("""COMPUTED_VALUE"""),44662.47697971065)</f>
        <v>44662.47698</v>
      </c>
      <c r="C1213" s="120">
        <f>IFERROR(__xludf.DUMMYFUNCTION("""COMPUTED_VALUE"""),44662.666666666664)</f>
        <v>44662.66667</v>
      </c>
      <c r="D1213" s="5" t="str">
        <f>IFERROR(__xludf.DUMMYFUNCTION("""COMPUTED_VALUE"""),"39776")</f>
        <v>39776</v>
      </c>
      <c r="E1213" s="5" t="str">
        <f>IFERROR(__xludf.DUMMYFUNCTION("""COMPUTED_VALUE"""),"Stock")</f>
        <v>Stock</v>
      </c>
      <c r="F1213" s="5" t="str">
        <f>IFERROR(__xludf.DUMMYFUNCTION("""COMPUTED_VALUE"""),"HKD")</f>
        <v>HKD</v>
      </c>
      <c r="G1213" s="30" t="str">
        <f>IFERROR(__xludf.DUMMYFUNCTION("""COMPUTED_VALUE"""),"Email Account/ TraderID Recognized")</f>
        <v>Email Account/ TraderID Recognized</v>
      </c>
      <c r="H1213" s="125" t="str">
        <f>IFERROR(__xludf.DUMMYFUNCTION("""COMPUTED_VALUE"""),"3800.HK")</f>
        <v>3800.HK</v>
      </c>
      <c r="I1213" s="30">
        <f>IFERROR(__xludf.DUMMYFUNCTION("""COMPUTED_VALUE"""),10000.0)</f>
        <v>10000</v>
      </c>
      <c r="J1213" s="30">
        <f>IFERROR(__xludf.DUMMYFUNCTION("""COMPUTED_VALUE"""),2.4)</f>
        <v>2.4</v>
      </c>
      <c r="K1213" s="30" t="str">
        <f>IFERROR(__xludf.DUMMYFUNCTION("""COMPUTED_VALUE"""),"QTY, Limit Price (if any) &amp; Password input correct")</f>
        <v>QTY, Limit Price (if any) &amp; Password input correct</v>
      </c>
      <c r="L1213" s="30"/>
    </row>
    <row r="1214">
      <c r="A1214" s="5"/>
      <c r="B1214" s="118">
        <f>IFERROR(__xludf.DUMMYFUNCTION("""COMPUTED_VALUE"""),44662.47995233796)</f>
        <v>44662.47995</v>
      </c>
      <c r="C1214" s="120" t="str">
        <f>IFERROR(__xludf.DUMMYFUNCTION("""COMPUTED_VALUE"""),"")</f>
        <v/>
      </c>
      <c r="D1214" s="5" t="str">
        <f>IFERROR(__xludf.DUMMYFUNCTION("""COMPUTED_VALUE"""),"37568")</f>
        <v>37568</v>
      </c>
      <c r="E1214" s="5" t="str">
        <f>IFERROR(__xludf.DUMMYFUNCTION("""COMPUTED_VALUE"""),"Stock")</f>
        <v>Stock</v>
      </c>
      <c r="F1214" s="5" t="str">
        <f>IFERROR(__xludf.DUMMYFUNCTION("""COMPUTED_VALUE"""),"error")</f>
        <v>error</v>
      </c>
      <c r="G1214" s="30" t="str">
        <f>IFERROR(__xludf.DUMMYFUNCTION("""COMPUTED_VALUE"""),"Email Account/ TraderID Recognized")</f>
        <v>Email Account/ TraderID Recognized</v>
      </c>
      <c r="H1214" s="112" t="str">
        <f>IFERROR(__xludf.DUMMYFUNCTION("""COMPUTED_VALUE"""),"00700")</f>
        <v>00700</v>
      </c>
      <c r="I1214" s="30">
        <f>IFERROR(__xludf.DUMMYFUNCTION("""COMPUTED_VALUE"""),90.0)</f>
        <v>90</v>
      </c>
      <c r="J1214" s="30"/>
      <c r="K1214" s="30" t="str">
        <f>IFERROR(__xludf.DUMMYFUNCTION("""COMPUTED_VALUE"""),"QTY, Limit Price (if any) &amp; Password input correct")</f>
        <v>QTY, Limit Price (if any) &amp; Password input correct</v>
      </c>
      <c r="L1214" s="30"/>
    </row>
    <row r="1215">
      <c r="A1215" s="5"/>
      <c r="B1215" s="118">
        <f>IFERROR(__xludf.DUMMYFUNCTION("""COMPUTED_VALUE"""),44662.48283584491)</f>
        <v>44662.48284</v>
      </c>
      <c r="C1215" s="120" t="str">
        <f>IFERROR(__xludf.DUMMYFUNCTION("""COMPUTED_VALUE"""),"")</f>
        <v/>
      </c>
      <c r="D1215" s="5" t="str">
        <f>IFERROR(__xludf.DUMMYFUNCTION("""COMPUTED_VALUE"""),"37568")</f>
        <v>37568</v>
      </c>
      <c r="E1215" s="5" t="str">
        <f>IFERROR(__xludf.DUMMYFUNCTION("""COMPUTED_VALUE"""),"Stock")</f>
        <v>Stock</v>
      </c>
      <c r="F1215" s="5" t="str">
        <f>IFERROR(__xludf.DUMMYFUNCTION("""COMPUTED_VALUE"""),"error")</f>
        <v>error</v>
      </c>
      <c r="G1215" s="30" t="str">
        <f>IFERROR(__xludf.DUMMYFUNCTION("""COMPUTED_VALUE"""),"Email Account/ TraderID Recognized")</f>
        <v>Email Account/ TraderID Recognized</v>
      </c>
      <c r="H1215" s="112" t="str">
        <f>IFERROR(__xludf.DUMMYFUNCTION("""COMPUTED_VALUE"""),"09939")</f>
        <v>09939</v>
      </c>
      <c r="I1215" s="30">
        <f>IFERROR(__xludf.DUMMYFUNCTION("""COMPUTED_VALUE"""),200.0)</f>
        <v>200</v>
      </c>
      <c r="J1215" s="30"/>
      <c r="K1215" s="30" t="str">
        <f>IFERROR(__xludf.DUMMYFUNCTION("""COMPUTED_VALUE"""),"QTY, Limit Price (if any) &amp; Password input correct")</f>
        <v>QTY, Limit Price (if any) &amp; Password input correct</v>
      </c>
      <c r="L1215" s="30"/>
    </row>
    <row r="1216">
      <c r="A1216" s="5"/>
      <c r="B1216" s="118">
        <f>IFERROR(__xludf.DUMMYFUNCTION("""COMPUTED_VALUE"""),44662.48603835648)</f>
        <v>44662.48604</v>
      </c>
      <c r="C1216" s="120" t="str">
        <f>IFERROR(__xludf.DUMMYFUNCTION("""COMPUTED_VALUE"""),"")</f>
        <v/>
      </c>
      <c r="D1216" s="5" t="str">
        <f>IFERROR(__xludf.DUMMYFUNCTION("""COMPUTED_VALUE"""),"69930")</f>
        <v>69930</v>
      </c>
      <c r="E1216" s="5" t="str">
        <f>IFERROR(__xludf.DUMMYFUNCTION("""COMPUTED_VALUE"""),"Stock")</f>
        <v>Stock</v>
      </c>
      <c r="F1216" s="5" t="str">
        <f>IFERROR(__xludf.DUMMYFUNCTION("""COMPUTED_VALUE"""),"error")</f>
        <v>error</v>
      </c>
      <c r="G1216" s="30" t="str">
        <f>IFERROR(__xludf.DUMMYFUNCTION("""COMPUTED_VALUE"""),"Email Account/ TraderID Recognized")</f>
        <v>Email Account/ TraderID Recognized</v>
      </c>
      <c r="H1216" s="112" t="str">
        <f>IFERROR(__xludf.DUMMYFUNCTION("""COMPUTED_VALUE"""),"(000965.SZ)")</f>
        <v>(000965.SZ)</v>
      </c>
      <c r="I1216" s="30">
        <f>IFERROR(__xludf.DUMMYFUNCTION("""COMPUTED_VALUE"""),10000.0)</f>
        <v>10000</v>
      </c>
      <c r="J1216" s="30" t="str">
        <f>IFERROR(__xludf.DUMMYFUNCTION("""COMPUTED_VALUE"""),"￥12")</f>
        <v>￥12</v>
      </c>
      <c r="K1216" s="30" t="str">
        <f>IFERROR(__xludf.DUMMYFUNCTION("""COMPUTED_VALUE"""),"Non-number input in Quantity or Limit Price")</f>
        <v>Non-number input in Quantity or Limit Price</v>
      </c>
      <c r="L1216" s="30"/>
    </row>
    <row r="1217">
      <c r="A1217" s="5"/>
      <c r="B1217" s="118">
        <f>IFERROR(__xludf.DUMMYFUNCTION("""COMPUTED_VALUE"""),44662.489901203706)</f>
        <v>44662.4899</v>
      </c>
      <c r="C1217" s="120" t="str">
        <f>IFERROR(__xludf.DUMMYFUNCTION("""COMPUTED_VALUE"""),"")</f>
        <v/>
      </c>
      <c r="D1217" s="5" t="str">
        <f>IFERROR(__xludf.DUMMYFUNCTION("""COMPUTED_VALUE"""),"69930")</f>
        <v>69930</v>
      </c>
      <c r="E1217" s="5" t="str">
        <f>IFERROR(__xludf.DUMMYFUNCTION("""COMPUTED_VALUE"""),"Stock")</f>
        <v>Stock</v>
      </c>
      <c r="F1217" s="5" t="str">
        <f>IFERROR(__xludf.DUMMYFUNCTION("""COMPUTED_VALUE"""),"error")</f>
        <v>error</v>
      </c>
      <c r="G1217" s="30" t="str">
        <f>IFERROR(__xludf.DUMMYFUNCTION("""COMPUTED_VALUE"""),"Email Account/ TraderID Recognized")</f>
        <v>Email Account/ TraderID Recognized</v>
      </c>
      <c r="H1217" s="125" t="str">
        <f>IFERROR(__xludf.DUMMYFUNCTION("""COMPUTED_VALUE"""),"3690.HK")</f>
        <v>3690.HK</v>
      </c>
      <c r="I1217" s="30">
        <f>IFERROR(__xludf.DUMMYFUNCTION("""COMPUTED_VALUE"""),2000.0)</f>
        <v>2000</v>
      </c>
      <c r="J1217" s="126">
        <f>IFERROR(__xludf.DUMMYFUNCTION("""COMPUTED_VALUE"""),155.0)</f>
        <v>155</v>
      </c>
      <c r="K1217" s="30" t="str">
        <f>IFERROR(__xludf.DUMMYFUNCTION("""COMPUTED_VALUE"""),"Wrong Password Submitted, Order will be rejected")</f>
        <v>Wrong Password Submitted, Order will be rejected</v>
      </c>
      <c r="L1217" s="30"/>
    </row>
    <row r="1218">
      <c r="A1218" s="5"/>
      <c r="B1218" s="118">
        <f>IFERROR(__xludf.DUMMYFUNCTION("""COMPUTED_VALUE"""),44662.498686122686)</f>
        <v>44662.49869</v>
      </c>
      <c r="C1218" s="120" t="str">
        <f>IFERROR(__xludf.DUMMYFUNCTION("""COMPUTED_VALUE"""),"")</f>
        <v/>
      </c>
      <c r="D1218" s="5" t="str">
        <f>IFERROR(__xludf.DUMMYFUNCTION("""COMPUTED_VALUE"""),"37568")</f>
        <v>37568</v>
      </c>
      <c r="E1218" s="5" t="str">
        <f>IFERROR(__xludf.DUMMYFUNCTION("""COMPUTED_VALUE"""),"Stock")</f>
        <v>Stock</v>
      </c>
      <c r="F1218" s="5" t="str">
        <f>IFERROR(__xludf.DUMMYFUNCTION("""COMPUTED_VALUE"""),"error")</f>
        <v>error</v>
      </c>
      <c r="G1218" s="30" t="str">
        <f>IFERROR(__xludf.DUMMYFUNCTION("""COMPUTED_VALUE"""),"Email Account/ TraderID Recognized")</f>
        <v>Email Account/ TraderID Recognized</v>
      </c>
      <c r="H1218" s="112" t="str">
        <f>IFERROR(__xludf.DUMMYFUNCTION("""COMPUTED_VALUE"""),"06108")</f>
        <v>06108</v>
      </c>
      <c r="I1218" s="30">
        <f>IFERROR(__xludf.DUMMYFUNCTION("""COMPUTED_VALUE"""),200.0)</f>
        <v>200</v>
      </c>
      <c r="J1218" s="30"/>
      <c r="K1218" s="30" t="str">
        <f>IFERROR(__xludf.DUMMYFUNCTION("""COMPUTED_VALUE"""),"QTY, Limit Price (if any) &amp; Password input correct")</f>
        <v>QTY, Limit Price (if any) &amp; Password input correct</v>
      </c>
      <c r="L1218" s="30"/>
    </row>
    <row r="1219">
      <c r="A1219" s="5"/>
      <c r="B1219" s="118">
        <f>IFERROR(__xludf.DUMMYFUNCTION("""COMPUTED_VALUE"""),44662.50128119213)</f>
        <v>44662.50128</v>
      </c>
      <c r="C1219" s="120">
        <f>IFERROR(__xludf.DUMMYFUNCTION("""COMPUTED_VALUE"""),44662.666666666664)</f>
        <v>44662.66667</v>
      </c>
      <c r="D1219" s="5" t="str">
        <f>IFERROR(__xludf.DUMMYFUNCTION("""COMPUTED_VALUE"""),"38093")</f>
        <v>38093</v>
      </c>
      <c r="E1219" s="5" t="str">
        <f>IFERROR(__xludf.DUMMYFUNCTION("""COMPUTED_VALUE"""),"Stock")</f>
        <v>Stock</v>
      </c>
      <c r="F1219" s="5" t="str">
        <f>IFERROR(__xludf.DUMMYFUNCTION("""COMPUTED_VALUE"""),"HKD")</f>
        <v>HKD</v>
      </c>
      <c r="G1219" s="30" t="str">
        <f>IFERROR(__xludf.DUMMYFUNCTION("""COMPUTED_VALUE"""),"Email Account/ TraderID Recognized")</f>
        <v>Email Account/ TraderID Recognized</v>
      </c>
      <c r="H1219" s="125" t="str">
        <f>IFERROR(__xludf.DUMMYFUNCTION("""COMPUTED_VALUE"""),"6928.HK")</f>
        <v>6928.HK</v>
      </c>
      <c r="I1219" s="30">
        <f>IFERROR(__xludf.DUMMYFUNCTION("""COMPUTED_VALUE"""),800.0)</f>
        <v>800</v>
      </c>
      <c r="J1219" s="30"/>
      <c r="K1219" s="30" t="str">
        <f>IFERROR(__xludf.DUMMYFUNCTION("""COMPUTED_VALUE"""),"QTY, Limit Price (if any) &amp; Password input correct")</f>
        <v>QTY, Limit Price (if any) &amp; Password input correct</v>
      </c>
      <c r="L1219" s="30"/>
    </row>
    <row r="1220">
      <c r="A1220" s="5"/>
      <c r="B1220" s="118">
        <f>IFERROR(__xludf.DUMMYFUNCTION("""COMPUTED_VALUE"""),44662.50286049768)</f>
        <v>44662.50286</v>
      </c>
      <c r="C1220" s="120">
        <f>IFERROR(__xludf.DUMMYFUNCTION("""COMPUTED_VALUE"""),44662.666666666664)</f>
        <v>44662.66667</v>
      </c>
      <c r="D1220" s="5" t="str">
        <f>IFERROR(__xludf.DUMMYFUNCTION("""COMPUTED_VALUE"""),"38093")</f>
        <v>38093</v>
      </c>
      <c r="E1220" s="5" t="str">
        <f>IFERROR(__xludf.DUMMYFUNCTION("""COMPUTED_VALUE"""),"Stock")</f>
        <v>Stock</v>
      </c>
      <c r="F1220" s="5" t="str">
        <f>IFERROR(__xludf.DUMMYFUNCTION("""COMPUTED_VALUE"""),"HKD")</f>
        <v>HKD</v>
      </c>
      <c r="G1220" s="30" t="str">
        <f>IFERROR(__xludf.DUMMYFUNCTION("""COMPUTED_VALUE"""),"Email Account/ TraderID Recognized")</f>
        <v>Email Account/ TraderID Recognized</v>
      </c>
      <c r="H1220" s="125" t="str">
        <f>IFERROR(__xludf.DUMMYFUNCTION("""COMPUTED_VALUE"""),"7552.HK")</f>
        <v>7552.HK</v>
      </c>
      <c r="I1220" s="30">
        <f>IFERROR(__xludf.DUMMYFUNCTION("""COMPUTED_VALUE"""),600.0)</f>
        <v>600</v>
      </c>
      <c r="J1220" s="30"/>
      <c r="K1220" s="30" t="str">
        <f>IFERROR(__xludf.DUMMYFUNCTION("""COMPUTED_VALUE"""),"QTY, Limit Price (if any) &amp; Password input correct")</f>
        <v>QTY, Limit Price (if any) &amp; Password input correct</v>
      </c>
      <c r="L1220" s="30"/>
    </row>
    <row r="1221">
      <c r="A1221" s="5"/>
      <c r="B1221" s="118">
        <f>IFERROR(__xludf.DUMMYFUNCTION("""COMPUTED_VALUE"""),44662.52876295139)</f>
        <v>44662.52876</v>
      </c>
      <c r="C1221" s="120">
        <f>IFERROR(__xludf.DUMMYFUNCTION("""COMPUTED_VALUE"""),44662.666666666664)</f>
        <v>44662.66667</v>
      </c>
      <c r="D1221" s="5" t="str">
        <f>IFERROR(__xludf.DUMMYFUNCTION("""COMPUTED_VALUE"""),"75369")</f>
        <v>75369</v>
      </c>
      <c r="E1221" s="5" t="str">
        <f>IFERROR(__xludf.DUMMYFUNCTION("""COMPUTED_VALUE"""),"Stock")</f>
        <v>Stock</v>
      </c>
      <c r="F1221" s="5" t="str">
        <f>IFERROR(__xludf.DUMMYFUNCTION("""COMPUTED_VALUE"""),"HKD")</f>
        <v>HKD</v>
      </c>
      <c r="G1221" s="30" t="str">
        <f>IFERROR(__xludf.DUMMYFUNCTION("""COMPUTED_VALUE"""),"Email Account/ TraderID Recognized")</f>
        <v>Email Account/ TraderID Recognized</v>
      </c>
      <c r="H1221" s="125" t="str">
        <f>IFERROR(__xludf.DUMMYFUNCTION("""COMPUTED_VALUE"""),"9988.hk")</f>
        <v>9988.hk</v>
      </c>
      <c r="I1221" s="30">
        <f>IFERROR(__xludf.DUMMYFUNCTION("""COMPUTED_VALUE"""),500.0)</f>
        <v>500</v>
      </c>
      <c r="J1221" s="30"/>
      <c r="K1221" s="30" t="str">
        <f>IFERROR(__xludf.DUMMYFUNCTION("""COMPUTED_VALUE"""),"QTY, Limit Price (if any) &amp; Password input correct")</f>
        <v>QTY, Limit Price (if any) &amp; Password input correct</v>
      </c>
      <c r="L1221" s="30"/>
    </row>
    <row r="1222">
      <c r="A1222" s="5"/>
      <c r="B1222" s="118">
        <f>IFERROR(__xludf.DUMMYFUNCTION("""COMPUTED_VALUE"""),44662.5711219213)</f>
        <v>44662.57112</v>
      </c>
      <c r="C1222" s="120">
        <f>IFERROR(__xludf.DUMMYFUNCTION("""COMPUTED_VALUE"""),44662.666666666664)</f>
        <v>44662.66667</v>
      </c>
      <c r="D1222" s="5" t="str">
        <f>IFERROR(__xludf.DUMMYFUNCTION("""COMPUTED_VALUE"""),"39776")</f>
        <v>39776</v>
      </c>
      <c r="E1222" s="5" t="str">
        <f>IFERROR(__xludf.DUMMYFUNCTION("""COMPUTED_VALUE"""),"Stock")</f>
        <v>Stock</v>
      </c>
      <c r="F1222" s="5" t="str">
        <f>IFERROR(__xludf.DUMMYFUNCTION("""COMPUTED_VALUE"""),"HKD")</f>
        <v>HKD</v>
      </c>
      <c r="G1222" s="30" t="str">
        <f>IFERROR(__xludf.DUMMYFUNCTION("""COMPUTED_VALUE"""),"Email Account/ TraderID Recognized")</f>
        <v>Email Account/ TraderID Recognized</v>
      </c>
      <c r="H1222" s="125" t="str">
        <f>IFERROR(__xludf.DUMMYFUNCTION("""COMPUTED_VALUE"""),"2319.HK")</f>
        <v>2319.HK</v>
      </c>
      <c r="I1222" s="30">
        <f>IFERROR(__xludf.DUMMYFUNCTION("""COMPUTED_VALUE"""),1000.0)</f>
        <v>1000</v>
      </c>
      <c r="J1222" s="30">
        <f>IFERROR(__xludf.DUMMYFUNCTION("""COMPUTED_VALUE"""),41.5)</f>
        <v>41.5</v>
      </c>
      <c r="K1222" s="30" t="str">
        <f>IFERROR(__xludf.DUMMYFUNCTION("""COMPUTED_VALUE"""),"QTY, Limit Price (if any) &amp; Password input correct")</f>
        <v>QTY, Limit Price (if any) &amp; Password input correct</v>
      </c>
      <c r="L1222" s="30"/>
    </row>
    <row r="1223">
      <c r="A1223" s="5"/>
      <c r="B1223" s="118">
        <f>IFERROR(__xludf.DUMMYFUNCTION("""COMPUTED_VALUE"""),44662.581911064815)</f>
        <v>44662.58191</v>
      </c>
      <c r="C1223" s="120">
        <f>IFERROR(__xludf.DUMMYFUNCTION("""COMPUTED_VALUE"""),44662.625)</f>
        <v>44662.625</v>
      </c>
      <c r="D1223" s="5" t="str">
        <f>IFERROR(__xludf.DUMMYFUNCTION("""COMPUTED_VALUE"""),"38209")</f>
        <v>38209</v>
      </c>
      <c r="E1223" s="5" t="str">
        <f>IFERROR(__xludf.DUMMYFUNCTION("""COMPUTED_VALUE"""),"Stock")</f>
        <v>Stock</v>
      </c>
      <c r="F1223" s="5" t="str">
        <f>IFERROR(__xludf.DUMMYFUNCTION("""COMPUTED_VALUE"""),"CNY")</f>
        <v>CNY</v>
      </c>
      <c r="G1223" s="30" t="str">
        <f>IFERROR(__xludf.DUMMYFUNCTION("""COMPUTED_VALUE"""),"Email Account/ TraderID Recognized")</f>
        <v>Email Account/ TraderID Recognized</v>
      </c>
      <c r="H1223" s="125" t="str">
        <f>IFERROR(__xludf.DUMMYFUNCTION("""COMPUTED_VALUE"""),"600519.SS")</f>
        <v>600519.SS</v>
      </c>
      <c r="I1223" s="30">
        <f>IFERROR(__xludf.DUMMYFUNCTION("""COMPUTED_VALUE"""),100.0)</f>
        <v>100</v>
      </c>
      <c r="J1223" s="30"/>
      <c r="K1223" s="30" t="str">
        <f>IFERROR(__xludf.DUMMYFUNCTION("""COMPUTED_VALUE"""),"QTY, Limit Price (if any) &amp; Password input correct")</f>
        <v>QTY, Limit Price (if any) &amp; Password input correct</v>
      </c>
      <c r="L1223" s="30"/>
    </row>
    <row r="1224">
      <c r="A1224" s="5"/>
      <c r="B1224" s="118">
        <f>IFERROR(__xludf.DUMMYFUNCTION("""COMPUTED_VALUE"""),44662.60105615741)</f>
        <v>44662.60106</v>
      </c>
      <c r="C1224" s="120">
        <f>IFERROR(__xludf.DUMMYFUNCTION("""COMPUTED_VALUE"""),44662.666666666664)</f>
        <v>44662.66667</v>
      </c>
      <c r="D1224" s="5" t="str">
        <f>IFERROR(__xludf.DUMMYFUNCTION("""COMPUTED_VALUE"""),"40105")</f>
        <v>40105</v>
      </c>
      <c r="E1224" s="5" t="str">
        <f>IFERROR(__xludf.DUMMYFUNCTION("""COMPUTED_VALUE"""),"Stock")</f>
        <v>Stock</v>
      </c>
      <c r="F1224" s="5" t="str">
        <f>IFERROR(__xludf.DUMMYFUNCTION("""COMPUTED_VALUE"""),"USD")</f>
        <v>USD</v>
      </c>
      <c r="G1224" s="30" t="str">
        <f>IFERROR(__xludf.DUMMYFUNCTION("""COMPUTED_VALUE"""),"Email Account/ TraderID Recognized")</f>
        <v>Email Account/ TraderID Recognized</v>
      </c>
      <c r="H1224" s="112" t="str">
        <f>IFERROR(__xludf.DUMMYFUNCTION("""COMPUTED_VALUE"""),"DIS")</f>
        <v>DIS</v>
      </c>
      <c r="I1224" s="30">
        <f>IFERROR(__xludf.DUMMYFUNCTION("""COMPUTED_VALUE"""),150.0)</f>
        <v>150</v>
      </c>
      <c r="J1224" s="30"/>
      <c r="K1224" s="30" t="str">
        <f>IFERROR(__xludf.DUMMYFUNCTION("""COMPUTED_VALUE"""),"QTY, Limit Price (if any) &amp; Password input correct")</f>
        <v>QTY, Limit Price (if any) &amp; Password input correct</v>
      </c>
      <c r="L1224" s="30"/>
    </row>
    <row r="1225">
      <c r="A1225" s="5"/>
      <c r="B1225" s="118">
        <f>IFERROR(__xludf.DUMMYFUNCTION("""COMPUTED_VALUE"""),44662.614365092595)</f>
        <v>44662.61437</v>
      </c>
      <c r="C1225" s="120">
        <f>IFERROR(__xludf.DUMMYFUNCTION("""COMPUTED_VALUE"""),44662.666666666664)</f>
        <v>44662.66667</v>
      </c>
      <c r="D1225" s="5" t="str">
        <f>IFERROR(__xludf.DUMMYFUNCTION("""COMPUTED_VALUE"""),"39776")</f>
        <v>39776</v>
      </c>
      <c r="E1225" s="5" t="str">
        <f>IFERROR(__xludf.DUMMYFUNCTION("""COMPUTED_VALUE"""),"Stock")</f>
        <v>Stock</v>
      </c>
      <c r="F1225" s="5" t="str">
        <f>IFERROR(__xludf.DUMMYFUNCTION("""COMPUTED_VALUE"""),"HKD")</f>
        <v>HKD</v>
      </c>
      <c r="G1225" s="30" t="str">
        <f>IFERROR(__xludf.DUMMYFUNCTION("""COMPUTED_VALUE"""),"Email Account/ TraderID Recognized")</f>
        <v>Email Account/ TraderID Recognized</v>
      </c>
      <c r="H1225" s="125" t="str">
        <f>IFERROR(__xludf.DUMMYFUNCTION("""COMPUTED_VALUE"""),"0570.HK")</f>
        <v>0570.HK</v>
      </c>
      <c r="I1225" s="30">
        <f>IFERROR(__xludf.DUMMYFUNCTION("""COMPUTED_VALUE"""),10000.0)</f>
        <v>10000</v>
      </c>
      <c r="J1225" s="30">
        <f>IFERROR(__xludf.DUMMYFUNCTION("""COMPUTED_VALUE"""),4.1)</f>
        <v>4.1</v>
      </c>
      <c r="K1225" s="30" t="str">
        <f>IFERROR(__xludf.DUMMYFUNCTION("""COMPUTED_VALUE"""),"QTY, Limit Price (if any) &amp; Password input correct")</f>
        <v>QTY, Limit Price (if any) &amp; Password input correct</v>
      </c>
      <c r="L1225" s="30"/>
    </row>
    <row r="1226">
      <c r="A1226" s="5"/>
      <c r="B1226" s="118">
        <f>IFERROR(__xludf.DUMMYFUNCTION("""COMPUTED_VALUE"""),44662.61983216435)</f>
        <v>44662.61983</v>
      </c>
      <c r="C1226" s="120">
        <f>IFERROR(__xludf.DUMMYFUNCTION("""COMPUTED_VALUE"""),44662.625)</f>
        <v>44662.625</v>
      </c>
      <c r="D1226" s="5" t="str">
        <f>IFERROR(__xludf.DUMMYFUNCTION("""COMPUTED_VALUE"""),"38209")</f>
        <v>38209</v>
      </c>
      <c r="E1226" s="5" t="str">
        <f>IFERROR(__xludf.DUMMYFUNCTION("""COMPUTED_VALUE"""),"Stock")</f>
        <v>Stock</v>
      </c>
      <c r="F1226" s="5" t="str">
        <f>IFERROR(__xludf.DUMMYFUNCTION("""COMPUTED_VALUE"""),"CNY")</f>
        <v>CNY</v>
      </c>
      <c r="G1226" s="30" t="str">
        <f>IFERROR(__xludf.DUMMYFUNCTION("""COMPUTED_VALUE"""),"Email Account/ TraderID Recognized")</f>
        <v>Email Account/ TraderID Recognized</v>
      </c>
      <c r="H1226" s="125" t="str">
        <f>IFERROR(__xludf.DUMMYFUNCTION("""COMPUTED_VALUE"""),"000568.SZ")</f>
        <v>000568.SZ</v>
      </c>
      <c r="I1226" s="30">
        <f>IFERROR(__xludf.DUMMYFUNCTION("""COMPUTED_VALUE"""),1000.0)</f>
        <v>1000</v>
      </c>
      <c r="J1226" s="30"/>
      <c r="K1226" s="30" t="str">
        <f>IFERROR(__xludf.DUMMYFUNCTION("""COMPUTED_VALUE"""),"QTY, Limit Price (if any) &amp; Password input correct")</f>
        <v>QTY, Limit Price (if any) &amp; Password input correct</v>
      </c>
      <c r="L1226" s="30"/>
    </row>
    <row r="1227">
      <c r="A1227" s="5"/>
      <c r="B1227" s="118">
        <f>IFERROR(__xludf.DUMMYFUNCTION("""COMPUTED_VALUE"""),44662.619984942125)</f>
        <v>44662.61998</v>
      </c>
      <c r="C1227" s="120">
        <f>IFERROR(__xludf.DUMMYFUNCTION("""COMPUTED_VALUE"""),44662.625)</f>
        <v>44662.625</v>
      </c>
      <c r="D1227" s="5" t="str">
        <f>IFERROR(__xludf.DUMMYFUNCTION("""COMPUTED_VALUE"""),"79521")</f>
        <v>79521</v>
      </c>
      <c r="E1227" s="5" t="str">
        <f>IFERROR(__xludf.DUMMYFUNCTION("""COMPUTED_VALUE"""),"Stock")</f>
        <v>Stock</v>
      </c>
      <c r="F1227" s="5" t="str">
        <f>IFERROR(__xludf.DUMMYFUNCTION("""COMPUTED_VALUE"""),"CNY")</f>
        <v>CNY</v>
      </c>
      <c r="G1227" s="30" t="str">
        <f>IFERROR(__xludf.DUMMYFUNCTION("""COMPUTED_VALUE"""),"Email Account/ TraderID Recognized")</f>
        <v>Email Account/ TraderID Recognized</v>
      </c>
      <c r="H1227" s="125" t="str">
        <f>IFERROR(__xludf.DUMMYFUNCTION("""COMPUTED_VALUE"""),"605089.SS")</f>
        <v>605089.SS</v>
      </c>
      <c r="I1227" s="30">
        <f>IFERROR(__xludf.DUMMYFUNCTION("""COMPUTED_VALUE"""),1500.0)</f>
        <v>1500</v>
      </c>
      <c r="J1227" s="30"/>
      <c r="K1227" s="30" t="str">
        <f>IFERROR(__xludf.DUMMYFUNCTION("""COMPUTED_VALUE"""),"QTY, Limit Price (if any) &amp; Password input correct")</f>
        <v>QTY, Limit Price (if any) &amp; Password input correct</v>
      </c>
      <c r="L1227" s="30"/>
    </row>
    <row r="1228">
      <c r="A1228" s="5"/>
      <c r="B1228" s="118">
        <f>IFERROR(__xludf.DUMMYFUNCTION("""COMPUTED_VALUE"""),44662.621911689814)</f>
        <v>44662.62191</v>
      </c>
      <c r="C1228" s="120">
        <f>IFERROR(__xludf.DUMMYFUNCTION("""COMPUTED_VALUE"""),44662.625)</f>
        <v>44662.625</v>
      </c>
      <c r="D1228" s="5" t="str">
        <f>IFERROR(__xludf.DUMMYFUNCTION("""COMPUTED_VALUE"""),"40318")</f>
        <v>40318</v>
      </c>
      <c r="E1228" s="5" t="str">
        <f>IFERROR(__xludf.DUMMYFUNCTION("""COMPUTED_VALUE"""),"Stock")</f>
        <v>Stock</v>
      </c>
      <c r="F1228" s="5" t="str">
        <f>IFERROR(__xludf.DUMMYFUNCTION("""COMPUTED_VALUE"""),"CNY")</f>
        <v>CNY</v>
      </c>
      <c r="G1228" s="30" t="str">
        <f>IFERROR(__xludf.DUMMYFUNCTION("""COMPUTED_VALUE"""),"Email Account/ TraderID Recognized")</f>
        <v>Email Account/ TraderID Recognized</v>
      </c>
      <c r="H1228" s="125" t="str">
        <f>IFERROR(__xludf.DUMMYFUNCTION("""COMPUTED_VALUE"""),"605089.SS")</f>
        <v>605089.SS</v>
      </c>
      <c r="I1228" s="30">
        <f>IFERROR(__xludf.DUMMYFUNCTION("""COMPUTED_VALUE"""),5500.0)</f>
        <v>5500</v>
      </c>
      <c r="J1228" s="30">
        <f>IFERROR(__xludf.DUMMYFUNCTION("""COMPUTED_VALUE"""),61.66)</f>
        <v>61.66</v>
      </c>
      <c r="K1228" s="30" t="str">
        <f>IFERROR(__xludf.DUMMYFUNCTION("""COMPUTED_VALUE"""),"QTY, Limit Price (if any) &amp; Password input correct")</f>
        <v>QTY, Limit Price (if any) &amp; Password input correct</v>
      </c>
      <c r="L1228" s="30"/>
    </row>
    <row r="1229">
      <c r="A1229" s="5"/>
      <c r="B1229" s="118">
        <f>IFERROR(__xludf.DUMMYFUNCTION("""COMPUTED_VALUE"""),44662.6247615162)</f>
        <v>44662.62476</v>
      </c>
      <c r="C1229" s="120">
        <f>IFERROR(__xludf.DUMMYFUNCTION("""COMPUTED_VALUE"""),44662.625)</f>
        <v>44662.625</v>
      </c>
      <c r="D1229" s="5" t="str">
        <f>IFERROR(__xludf.DUMMYFUNCTION("""COMPUTED_VALUE"""),"76369")</f>
        <v>76369</v>
      </c>
      <c r="E1229" s="5" t="str">
        <f>IFERROR(__xludf.DUMMYFUNCTION("""COMPUTED_VALUE"""),"Stock")</f>
        <v>Stock</v>
      </c>
      <c r="F1229" s="5" t="str">
        <f>IFERROR(__xludf.DUMMYFUNCTION("""COMPUTED_VALUE"""),"CNY")</f>
        <v>CNY</v>
      </c>
      <c r="G1229" s="30" t="str">
        <f>IFERROR(__xludf.DUMMYFUNCTION("""COMPUTED_VALUE"""),"Email Account/ TraderID Recognized")</f>
        <v>Email Account/ TraderID Recognized</v>
      </c>
      <c r="H1229" s="125" t="str">
        <f>IFERROR(__xludf.DUMMYFUNCTION("""COMPUTED_VALUE"""),"603963.SS")</f>
        <v>603963.SS</v>
      </c>
      <c r="I1229" s="30">
        <f>IFERROR(__xludf.DUMMYFUNCTION("""COMPUTED_VALUE"""),1000.0)</f>
        <v>1000</v>
      </c>
      <c r="J1229" s="30"/>
      <c r="K1229" s="30" t="str">
        <f>IFERROR(__xludf.DUMMYFUNCTION("""COMPUTED_VALUE"""),"QTY, Limit Price (if any) &amp; Password input correct")</f>
        <v>QTY, Limit Price (if any) &amp; Password input correct</v>
      </c>
      <c r="L1229" s="30"/>
    </row>
    <row r="1230">
      <c r="A1230" s="5"/>
      <c r="B1230" s="118">
        <f>IFERROR(__xludf.DUMMYFUNCTION("""COMPUTED_VALUE"""),44662.625793541665)</f>
        <v>44662.62579</v>
      </c>
      <c r="C1230" s="120">
        <f>IFERROR(__xludf.DUMMYFUNCTION("""COMPUTED_VALUE"""),44662.666666666664)</f>
        <v>44662.66667</v>
      </c>
      <c r="D1230" s="5" t="str">
        <f>IFERROR(__xludf.DUMMYFUNCTION("""COMPUTED_VALUE"""),"76369")</f>
        <v>76369</v>
      </c>
      <c r="E1230" s="5" t="str">
        <f>IFERROR(__xludf.DUMMYFUNCTION("""COMPUTED_VALUE"""),"Stock")</f>
        <v>Stock</v>
      </c>
      <c r="F1230" s="5" t="str">
        <f>IFERROR(__xludf.DUMMYFUNCTION("""COMPUTED_VALUE"""),"HKD")</f>
        <v>HKD</v>
      </c>
      <c r="G1230" s="30" t="str">
        <f>IFERROR(__xludf.DUMMYFUNCTION("""COMPUTED_VALUE"""),"Email Account/ TraderID Recognized")</f>
        <v>Email Account/ TraderID Recognized</v>
      </c>
      <c r="H1230" s="125" t="str">
        <f>IFERROR(__xludf.DUMMYFUNCTION("""COMPUTED_VALUE"""),"9988.HK")</f>
        <v>9988.HK</v>
      </c>
      <c r="I1230" s="30">
        <f>IFERROR(__xludf.DUMMYFUNCTION("""COMPUTED_VALUE"""),50.0)</f>
        <v>50</v>
      </c>
      <c r="J1230" s="30"/>
      <c r="K1230" s="30" t="str">
        <f>IFERROR(__xludf.DUMMYFUNCTION("""COMPUTED_VALUE"""),"QTY, Limit Price (if any) &amp; Password input correct")</f>
        <v>QTY, Limit Price (if any) &amp; Password input correct</v>
      </c>
      <c r="L1230" s="30"/>
    </row>
    <row r="1231">
      <c r="A1231" s="5"/>
      <c r="B1231" s="118">
        <f>IFERROR(__xludf.DUMMYFUNCTION("""COMPUTED_VALUE"""),44662.62618118056)</f>
        <v>44662.62618</v>
      </c>
      <c r="C1231" s="120">
        <f>IFERROR(__xludf.DUMMYFUNCTION("""COMPUTED_VALUE"""),44662.666666666664)</f>
        <v>44662.66667</v>
      </c>
      <c r="D1231" s="5" t="str">
        <f>IFERROR(__xludf.DUMMYFUNCTION("""COMPUTED_VALUE"""),"40105")</f>
        <v>40105</v>
      </c>
      <c r="E1231" s="5" t="str">
        <f>IFERROR(__xludf.DUMMYFUNCTION("""COMPUTED_VALUE"""),"Stock")</f>
        <v>Stock</v>
      </c>
      <c r="F1231" s="5" t="str">
        <f>IFERROR(__xludf.DUMMYFUNCTION("""COMPUTED_VALUE"""),"HKD")</f>
        <v>HKD</v>
      </c>
      <c r="G1231" s="30" t="str">
        <f>IFERROR(__xludf.DUMMYFUNCTION("""COMPUTED_VALUE"""),"Email Account/ TraderID Recognized")</f>
        <v>Email Account/ TraderID Recognized</v>
      </c>
      <c r="H1231" s="125" t="str">
        <f>IFERROR(__xludf.DUMMYFUNCTION("""COMPUTED_VALUE"""),"9866.HK")</f>
        <v>9866.HK</v>
      </c>
      <c r="I1231" s="30">
        <f>IFERROR(__xludf.DUMMYFUNCTION("""COMPUTED_VALUE"""),400.0)</f>
        <v>400</v>
      </c>
      <c r="J1231" s="30"/>
      <c r="K1231" s="30" t="str">
        <f>IFERROR(__xludf.DUMMYFUNCTION("""COMPUTED_VALUE"""),"QTY, Limit Price (if any) &amp; Password input correct")</f>
        <v>QTY, Limit Price (if any) &amp; Password input correct</v>
      </c>
      <c r="L1231" s="30"/>
    </row>
    <row r="1232">
      <c r="A1232" s="5"/>
      <c r="B1232" s="118">
        <f>IFERROR(__xludf.DUMMYFUNCTION("""COMPUTED_VALUE"""),44662.62644758102)</f>
        <v>44662.62645</v>
      </c>
      <c r="C1232" s="120">
        <f>IFERROR(__xludf.DUMMYFUNCTION("""COMPUTED_VALUE"""),44662.666666666664)</f>
        <v>44662.66667</v>
      </c>
      <c r="D1232" s="5" t="str">
        <f>IFERROR(__xludf.DUMMYFUNCTION("""COMPUTED_VALUE"""),"76369")</f>
        <v>76369</v>
      </c>
      <c r="E1232" s="5" t="str">
        <f>IFERROR(__xludf.DUMMYFUNCTION("""COMPUTED_VALUE"""),"Stock")</f>
        <v>Stock</v>
      </c>
      <c r="F1232" s="5" t="str">
        <f>IFERROR(__xludf.DUMMYFUNCTION("""COMPUTED_VALUE"""),"HKD")</f>
        <v>HKD</v>
      </c>
      <c r="G1232" s="30" t="str">
        <f>IFERROR(__xludf.DUMMYFUNCTION("""COMPUTED_VALUE"""),"Email Account/ TraderID Recognized")</f>
        <v>Email Account/ TraderID Recognized</v>
      </c>
      <c r="H1232" s="125" t="str">
        <f>IFERROR(__xludf.DUMMYFUNCTION("""COMPUTED_VALUE"""),"0700.HK")</f>
        <v>0700.HK</v>
      </c>
      <c r="I1232" s="30">
        <f>IFERROR(__xludf.DUMMYFUNCTION("""COMPUTED_VALUE"""),50.0)</f>
        <v>50</v>
      </c>
      <c r="J1232" s="30"/>
      <c r="K1232" s="30" t="str">
        <f>IFERROR(__xludf.DUMMYFUNCTION("""COMPUTED_VALUE"""),"QTY, Limit Price (if any) &amp; Password input correct")</f>
        <v>QTY, Limit Price (if any) &amp; Password input correct</v>
      </c>
      <c r="L1232" s="30"/>
    </row>
    <row r="1233">
      <c r="A1233" s="5"/>
      <c r="B1233" s="118">
        <f>IFERROR(__xludf.DUMMYFUNCTION("""COMPUTED_VALUE"""),44662.64031594907)</f>
        <v>44662.64032</v>
      </c>
      <c r="C1233" s="120">
        <f>IFERROR(__xludf.DUMMYFUNCTION("""COMPUTED_VALUE"""),44662.666666666664)</f>
        <v>44662.66667</v>
      </c>
      <c r="D1233" s="5" t="str">
        <f>IFERROR(__xludf.DUMMYFUNCTION("""COMPUTED_VALUE"""),"39857")</f>
        <v>39857</v>
      </c>
      <c r="E1233" s="5" t="str">
        <f>IFERROR(__xludf.DUMMYFUNCTION("""COMPUTED_VALUE"""),"Stock")</f>
        <v>Stock</v>
      </c>
      <c r="F1233" s="5" t="str">
        <f>IFERROR(__xludf.DUMMYFUNCTION("""COMPUTED_VALUE"""),"HKD")</f>
        <v>HKD</v>
      </c>
      <c r="G1233" s="30" t="str">
        <f>IFERROR(__xludf.DUMMYFUNCTION("""COMPUTED_VALUE"""),"Email Account/ TraderID Recognized")</f>
        <v>Email Account/ TraderID Recognized</v>
      </c>
      <c r="H1233" s="125" t="str">
        <f>IFERROR(__xludf.DUMMYFUNCTION("""COMPUTED_VALUE"""),"9939.HK")</f>
        <v>9939.HK</v>
      </c>
      <c r="I1233" s="30">
        <f>IFERROR(__xludf.DUMMYFUNCTION("""COMPUTED_VALUE"""),5000.0)</f>
        <v>5000</v>
      </c>
      <c r="J1233" s="30"/>
      <c r="K1233" s="30" t="str">
        <f>IFERROR(__xludf.DUMMYFUNCTION("""COMPUTED_VALUE"""),"QTY, Limit Price (if any) &amp; Password input correct")</f>
        <v>QTY, Limit Price (if any) &amp; Password input correct</v>
      </c>
      <c r="L1233" s="30"/>
    </row>
    <row r="1234">
      <c r="A1234" s="5"/>
      <c r="B1234" s="118">
        <f>IFERROR(__xludf.DUMMYFUNCTION("""COMPUTED_VALUE"""),44662.64123136574)</f>
        <v>44662.64123</v>
      </c>
      <c r="C1234" s="120">
        <f>IFERROR(__xludf.DUMMYFUNCTION("""COMPUTED_VALUE"""),44662.666666666664)</f>
        <v>44662.66667</v>
      </c>
      <c r="D1234" s="5" t="str">
        <f>IFERROR(__xludf.DUMMYFUNCTION("""COMPUTED_VALUE"""),"39704")</f>
        <v>39704</v>
      </c>
      <c r="E1234" s="5" t="str">
        <f>IFERROR(__xludf.DUMMYFUNCTION("""COMPUTED_VALUE"""),"Stock")</f>
        <v>Stock</v>
      </c>
      <c r="F1234" s="5" t="str">
        <f>IFERROR(__xludf.DUMMYFUNCTION("""COMPUTED_VALUE"""),"HKD")</f>
        <v>HKD</v>
      </c>
      <c r="G1234" s="30" t="str">
        <f>IFERROR(__xludf.DUMMYFUNCTION("""COMPUTED_VALUE"""),"Email Account/ TraderID Recognized")</f>
        <v>Email Account/ TraderID Recognized</v>
      </c>
      <c r="H1234" s="125" t="str">
        <f>IFERROR(__xludf.DUMMYFUNCTION("""COMPUTED_VALUE"""),"9939.HK")</f>
        <v>9939.HK</v>
      </c>
      <c r="I1234" s="30">
        <f>IFERROR(__xludf.DUMMYFUNCTION("""COMPUTED_VALUE"""),5000.0)</f>
        <v>5000</v>
      </c>
      <c r="J1234" s="30"/>
      <c r="K1234" s="30" t="str">
        <f>IFERROR(__xludf.DUMMYFUNCTION("""COMPUTED_VALUE"""),"QTY, Limit Price (if any) &amp; Password input correct")</f>
        <v>QTY, Limit Price (if any) &amp; Password input correct</v>
      </c>
      <c r="L1234" s="30"/>
    </row>
    <row r="1235">
      <c r="A1235" s="5"/>
      <c r="B1235" s="118">
        <f>IFERROR(__xludf.DUMMYFUNCTION("""COMPUTED_VALUE"""),44662.657427025464)</f>
        <v>44662.65743</v>
      </c>
      <c r="C1235" s="120">
        <f>IFERROR(__xludf.DUMMYFUNCTION("""COMPUTED_VALUE"""),44662.666666666664)</f>
        <v>44662.66667</v>
      </c>
      <c r="D1235" s="5" t="str">
        <f>IFERROR(__xludf.DUMMYFUNCTION("""COMPUTED_VALUE"""),"46600")</f>
        <v>46600</v>
      </c>
      <c r="E1235" s="5" t="str">
        <f>IFERROR(__xludf.DUMMYFUNCTION("""COMPUTED_VALUE"""),"Stock")</f>
        <v>Stock</v>
      </c>
      <c r="F1235" s="5" t="str">
        <f>IFERROR(__xludf.DUMMYFUNCTION("""COMPUTED_VALUE"""),"HKD")</f>
        <v>HKD</v>
      </c>
      <c r="G1235" s="30" t="str">
        <f>IFERROR(__xludf.DUMMYFUNCTION("""COMPUTED_VALUE"""),"Email Account/ TraderID Recognized")</f>
        <v>Email Account/ TraderID Recognized</v>
      </c>
      <c r="H1235" s="125" t="str">
        <f>IFERROR(__xludf.DUMMYFUNCTION("""COMPUTED_VALUE"""),"9988.HK")</f>
        <v>9988.HK</v>
      </c>
      <c r="I1235" s="30">
        <f>IFERROR(__xludf.DUMMYFUNCTION("""COMPUTED_VALUE"""),200.0)</f>
        <v>200</v>
      </c>
      <c r="J1235" s="30"/>
      <c r="K1235" s="30" t="str">
        <f>IFERROR(__xludf.DUMMYFUNCTION("""COMPUTED_VALUE"""),"QTY, Limit Price (if any) &amp; Password input correct")</f>
        <v>QTY, Limit Price (if any) &amp; Password input correct</v>
      </c>
      <c r="L1235" s="30"/>
    </row>
    <row r="1236">
      <c r="A1236" s="5"/>
      <c r="B1236" s="118">
        <f>IFERROR(__xludf.DUMMYFUNCTION("""COMPUTED_VALUE"""),44662.65765010417)</f>
        <v>44662.65765</v>
      </c>
      <c r="C1236" s="120">
        <f>IFERROR(__xludf.DUMMYFUNCTION("""COMPUTED_VALUE"""),44662.666666666664)</f>
        <v>44662.66667</v>
      </c>
      <c r="D1236" s="5" t="str">
        <f>IFERROR(__xludf.DUMMYFUNCTION("""COMPUTED_VALUE"""),"46600")</f>
        <v>46600</v>
      </c>
      <c r="E1236" s="5" t="str">
        <f>IFERROR(__xludf.DUMMYFUNCTION("""COMPUTED_VALUE"""),"Stock")</f>
        <v>Stock</v>
      </c>
      <c r="F1236" s="5" t="str">
        <f>IFERROR(__xludf.DUMMYFUNCTION("""COMPUTED_VALUE"""),"HKD")</f>
        <v>HKD</v>
      </c>
      <c r="G1236" s="30" t="str">
        <f>IFERROR(__xludf.DUMMYFUNCTION("""COMPUTED_VALUE"""),"Email Account/ TraderID Recognized")</f>
        <v>Email Account/ TraderID Recognized</v>
      </c>
      <c r="H1236" s="125" t="str">
        <f>IFERROR(__xludf.DUMMYFUNCTION("""COMPUTED_VALUE"""),"0700.HK")</f>
        <v>0700.HK</v>
      </c>
      <c r="I1236" s="30">
        <f>IFERROR(__xludf.DUMMYFUNCTION("""COMPUTED_VALUE"""),200.0)</f>
        <v>200</v>
      </c>
      <c r="J1236" s="30"/>
      <c r="K1236" s="30" t="str">
        <f>IFERROR(__xludf.DUMMYFUNCTION("""COMPUTED_VALUE"""),"QTY, Limit Price (if any) &amp; Password input correct")</f>
        <v>QTY, Limit Price (if any) &amp; Password input correct</v>
      </c>
      <c r="L1236" s="30"/>
    </row>
    <row r="1237">
      <c r="A1237" s="5"/>
      <c r="B1237" s="118">
        <f>IFERROR(__xludf.DUMMYFUNCTION("""COMPUTED_VALUE"""),44662.65840858796)</f>
        <v>44662.65841</v>
      </c>
      <c r="C1237" s="120">
        <f>IFERROR(__xludf.DUMMYFUNCTION("""COMPUTED_VALUE"""),44662.666666666664)</f>
        <v>44662.66667</v>
      </c>
      <c r="D1237" s="5" t="str">
        <f>IFERROR(__xludf.DUMMYFUNCTION("""COMPUTED_VALUE"""),"46600")</f>
        <v>46600</v>
      </c>
      <c r="E1237" s="5" t="str">
        <f>IFERROR(__xludf.DUMMYFUNCTION("""COMPUTED_VALUE"""),"Stock")</f>
        <v>Stock</v>
      </c>
      <c r="F1237" s="5" t="str">
        <f>IFERROR(__xludf.DUMMYFUNCTION("""COMPUTED_VALUE"""),"USD")</f>
        <v>USD</v>
      </c>
      <c r="G1237" s="30" t="str">
        <f>IFERROR(__xludf.DUMMYFUNCTION("""COMPUTED_VALUE"""),"Email Account/ TraderID Recognized")</f>
        <v>Email Account/ TraderID Recognized</v>
      </c>
      <c r="H1237" s="112" t="str">
        <f>IFERROR(__xludf.DUMMYFUNCTION("""COMPUTED_VALUE"""),"TSLA")</f>
        <v>TSLA</v>
      </c>
      <c r="I1237" s="30">
        <f>IFERROR(__xludf.DUMMYFUNCTION("""COMPUTED_VALUE"""),200.0)</f>
        <v>200</v>
      </c>
      <c r="J1237" s="30"/>
      <c r="K1237" s="30" t="str">
        <f>IFERROR(__xludf.DUMMYFUNCTION("""COMPUTED_VALUE"""),"QTY, Limit Price (if any) &amp; Password input correct")</f>
        <v>QTY, Limit Price (if any) &amp; Password input correct</v>
      </c>
      <c r="L1237" s="30"/>
    </row>
    <row r="1238">
      <c r="A1238" s="5"/>
      <c r="B1238" s="118">
        <f>IFERROR(__xludf.DUMMYFUNCTION("""COMPUTED_VALUE"""),44662.67308201389)</f>
        <v>44662.67308</v>
      </c>
      <c r="C1238" s="120" t="str">
        <f>IFERROR(__xludf.DUMMYFUNCTION("""COMPUTED_VALUE"""),"")</f>
        <v/>
      </c>
      <c r="D1238" s="5" t="str">
        <f>IFERROR(__xludf.DUMMYFUNCTION("""COMPUTED_VALUE"""),"37568")</f>
        <v>37568</v>
      </c>
      <c r="E1238" s="5" t="str">
        <f>IFERROR(__xludf.DUMMYFUNCTION("""COMPUTED_VALUE"""),"Stock")</f>
        <v>Stock</v>
      </c>
      <c r="F1238" s="5" t="str">
        <f>IFERROR(__xludf.DUMMYFUNCTION("""COMPUTED_VALUE"""),"error")</f>
        <v>error</v>
      </c>
      <c r="G1238" s="30" t="str">
        <f>IFERROR(__xludf.DUMMYFUNCTION("""COMPUTED_VALUE"""),"Email Account/ TraderID Recognized")</f>
        <v>Email Account/ TraderID Recognized</v>
      </c>
      <c r="H1238" s="112" t="str">
        <f>IFERROR(__xludf.DUMMYFUNCTION("""COMPUTED_VALUE"""),"06108.HKM")</f>
        <v>06108.HKM</v>
      </c>
      <c r="I1238" s="30">
        <f>IFERROR(__xludf.DUMMYFUNCTION("""COMPUTED_VALUE"""),500.0)</f>
        <v>500</v>
      </c>
      <c r="J1238" s="30"/>
      <c r="K1238" s="30" t="str">
        <f>IFERROR(__xludf.DUMMYFUNCTION("""COMPUTED_VALUE"""),"QTY, Limit Price (if any) &amp; Password input correct")</f>
        <v>QTY, Limit Price (if any) &amp; Password input correct</v>
      </c>
      <c r="L1238" s="30" t="str">
        <f>IFERROR(__xludf.DUMMYFUNCTION("""COMPUTED_VALUE"""),"Order rejected due to wrong ticker code")</f>
        <v>Order rejected due to wrong ticker code</v>
      </c>
    </row>
    <row r="1239">
      <c r="A1239" s="5"/>
      <c r="B1239" s="118">
        <f>IFERROR(__xludf.DUMMYFUNCTION("""COMPUTED_VALUE"""),44662.674181168986)</f>
        <v>44662.67418</v>
      </c>
      <c r="C1239" s="120" t="str">
        <f>IFERROR(__xludf.DUMMYFUNCTION("""COMPUTED_VALUE"""),"")</f>
        <v/>
      </c>
      <c r="D1239" s="5" t="str">
        <f>IFERROR(__xludf.DUMMYFUNCTION("""COMPUTED_VALUE"""),"37568")</f>
        <v>37568</v>
      </c>
      <c r="E1239" s="5" t="str">
        <f>IFERROR(__xludf.DUMMYFUNCTION("""COMPUTED_VALUE"""),"Stock")</f>
        <v>Stock</v>
      </c>
      <c r="F1239" s="5" t="str">
        <f>IFERROR(__xludf.DUMMYFUNCTION("""COMPUTED_VALUE"""),"error")</f>
        <v>error</v>
      </c>
      <c r="G1239" s="30" t="str">
        <f>IFERROR(__xludf.DUMMYFUNCTION("""COMPUTED_VALUE"""),"Email Account/ TraderID Recognized")</f>
        <v>Email Account/ TraderID Recognized</v>
      </c>
      <c r="H1239" s="112" t="str">
        <f>IFERROR(__xludf.DUMMYFUNCTION("""COMPUTED_VALUE"""),"00700.HKM")</f>
        <v>00700.HKM</v>
      </c>
      <c r="I1239" s="30">
        <f>IFERROR(__xludf.DUMMYFUNCTION("""COMPUTED_VALUE"""),500.0)</f>
        <v>500</v>
      </c>
      <c r="J1239" s="30"/>
      <c r="K1239" s="30" t="str">
        <f>IFERROR(__xludf.DUMMYFUNCTION("""COMPUTED_VALUE"""),"QTY, Limit Price (if any) &amp; Password input correct")</f>
        <v>QTY, Limit Price (if any) &amp; Password input correct</v>
      </c>
      <c r="L1239" s="30" t="str">
        <f>IFERROR(__xludf.DUMMYFUNCTION("""COMPUTED_VALUE"""),"Order rejected due to wrong ticker code")</f>
        <v>Order rejected due to wrong ticker code</v>
      </c>
    </row>
    <row r="1240">
      <c r="A1240" s="5"/>
      <c r="B1240" s="118">
        <f>IFERROR(__xludf.DUMMYFUNCTION("""COMPUTED_VALUE"""),44662.67624887732)</f>
        <v>44662.67625</v>
      </c>
      <c r="C1240" s="120" t="str">
        <f>IFERROR(__xludf.DUMMYFUNCTION("""COMPUTED_VALUE"""),"")</f>
        <v/>
      </c>
      <c r="D1240" s="5" t="str">
        <f>IFERROR(__xludf.DUMMYFUNCTION("""COMPUTED_VALUE"""),"37568")</f>
        <v>37568</v>
      </c>
      <c r="E1240" s="5" t="str">
        <f>IFERROR(__xludf.DUMMYFUNCTION("""COMPUTED_VALUE"""),"Stock")</f>
        <v>Stock</v>
      </c>
      <c r="F1240" s="5" t="str">
        <f>IFERROR(__xludf.DUMMYFUNCTION("""COMPUTED_VALUE"""),"error")</f>
        <v>error</v>
      </c>
      <c r="G1240" s="30" t="str">
        <f>IFERROR(__xludf.DUMMYFUNCTION("""COMPUTED_VALUE"""),"Email Account/ TraderID Recognized")</f>
        <v>Email Account/ TraderID Recognized</v>
      </c>
      <c r="H1240" s="112" t="str">
        <f>IFERROR(__xludf.DUMMYFUNCTION("""COMPUTED_VALUE"""),"09939.HKM")</f>
        <v>09939.HKM</v>
      </c>
      <c r="I1240" s="30">
        <f>IFERROR(__xludf.DUMMYFUNCTION("""COMPUTED_VALUE"""),500.0)</f>
        <v>500</v>
      </c>
      <c r="J1240" s="30"/>
      <c r="K1240" s="30" t="str">
        <f>IFERROR(__xludf.DUMMYFUNCTION("""COMPUTED_VALUE"""),"QTY, Limit Price (if any) &amp; Password input correct")</f>
        <v>QTY, Limit Price (if any) &amp; Password input correct</v>
      </c>
      <c r="L1240" s="30" t="str">
        <f>IFERROR(__xludf.DUMMYFUNCTION("""COMPUTED_VALUE"""),"Order rejected due to wrong ticker code")</f>
        <v>Order rejected due to wrong ticker code</v>
      </c>
    </row>
    <row r="1241">
      <c r="A1241" s="5"/>
      <c r="B1241" s="118">
        <f>IFERROR(__xludf.DUMMYFUNCTION("""COMPUTED_VALUE"""),44662.69114256944)</f>
        <v>44662.69114</v>
      </c>
      <c r="C1241" s="120">
        <f>IFERROR(__xludf.DUMMYFUNCTION("""COMPUTED_VALUE"""),44662.666666666664)</f>
        <v>44662.66667</v>
      </c>
      <c r="D1241" s="5" t="str">
        <f>IFERROR(__xludf.DUMMYFUNCTION("""COMPUTED_VALUE"""),"73341")</f>
        <v>73341</v>
      </c>
      <c r="E1241" s="5" t="str">
        <f>IFERROR(__xludf.DUMMYFUNCTION("""COMPUTED_VALUE"""),"Option")</f>
        <v>Option</v>
      </c>
      <c r="F1241" s="5" t="str">
        <f>IFERROR(__xludf.DUMMYFUNCTION("""COMPUTED_VALUE"""),"USD")</f>
        <v>USD</v>
      </c>
      <c r="G1241" s="30" t="str">
        <f>IFERROR(__xludf.DUMMYFUNCTION("""COMPUTED_VALUE"""),"Email Account/ TraderID Recognized")</f>
        <v>Email Account/ TraderID Recognized</v>
      </c>
      <c r="H1241" s="112" t="str">
        <f>IFERROR(__xludf.DUMMYFUNCTION("""COMPUTED_VALUE"""),"ASML220422P00680000")</f>
        <v>ASML220422P00680000</v>
      </c>
      <c r="I1241" s="30">
        <f>IFERROR(__xludf.DUMMYFUNCTION("""COMPUTED_VALUE"""),10000.0)</f>
        <v>10000</v>
      </c>
      <c r="J1241" s="30"/>
      <c r="K1241" s="30" t="str">
        <f>IFERROR(__xludf.DUMMYFUNCTION("""COMPUTED_VALUE"""),"QTY, Limit Price (if any) &amp; Password input correct")</f>
        <v>QTY, Limit Price (if any) &amp; Password input correct</v>
      </c>
      <c r="L1241" s="30"/>
    </row>
    <row r="1242">
      <c r="A1242" s="5"/>
      <c r="B1242" s="118">
        <f>IFERROR(__xludf.DUMMYFUNCTION("""COMPUTED_VALUE"""),44662.69371065972)</f>
        <v>44662.69371</v>
      </c>
      <c r="C1242" s="120">
        <f>IFERROR(__xludf.DUMMYFUNCTION("""COMPUTED_VALUE"""),44662.666666666664)</f>
        <v>44662.66667</v>
      </c>
      <c r="D1242" s="5" t="str">
        <f>IFERROR(__xludf.DUMMYFUNCTION("""COMPUTED_VALUE"""),"73341")</f>
        <v>73341</v>
      </c>
      <c r="E1242" s="5" t="str">
        <f>IFERROR(__xludf.DUMMYFUNCTION("""COMPUTED_VALUE"""),"Option")</f>
        <v>Option</v>
      </c>
      <c r="F1242" s="5" t="str">
        <f>IFERROR(__xludf.DUMMYFUNCTION("""COMPUTED_VALUE"""),"USD")</f>
        <v>USD</v>
      </c>
      <c r="G1242" s="30" t="str">
        <f>IFERROR(__xludf.DUMMYFUNCTION("""COMPUTED_VALUE"""),"Email Account/ TraderID Recognized")</f>
        <v>Email Account/ TraderID Recognized</v>
      </c>
      <c r="H1242" s="112" t="str">
        <f>IFERROR(__xludf.DUMMYFUNCTION("""COMPUTED_VALUE"""),"TQQQ220414P00064000")</f>
        <v>TQQQ220414P00064000</v>
      </c>
      <c r="I1242" s="30">
        <f>IFERROR(__xludf.DUMMYFUNCTION("""COMPUTED_VALUE"""),10000.0)</f>
        <v>10000</v>
      </c>
      <c r="J1242" s="30"/>
      <c r="K1242" s="30" t="str">
        <f>IFERROR(__xludf.DUMMYFUNCTION("""COMPUTED_VALUE"""),"QTY, Limit Price (if any) &amp; Password input correct")</f>
        <v>QTY, Limit Price (if any) &amp; Password input correct</v>
      </c>
      <c r="L1242" s="30"/>
    </row>
    <row r="1243">
      <c r="A1243" s="5"/>
      <c r="B1243" s="118">
        <f>IFERROR(__xludf.DUMMYFUNCTION("""COMPUTED_VALUE"""),44662.69563976851)</f>
        <v>44662.69564</v>
      </c>
      <c r="C1243" s="120">
        <f>IFERROR(__xludf.DUMMYFUNCTION("""COMPUTED_VALUE"""),44662.666666666664)</f>
        <v>44662.66667</v>
      </c>
      <c r="D1243" s="5" t="str">
        <f>IFERROR(__xludf.DUMMYFUNCTION("""COMPUTED_VALUE"""),"73341")</f>
        <v>73341</v>
      </c>
      <c r="E1243" s="5" t="str">
        <f>IFERROR(__xludf.DUMMYFUNCTION("""COMPUTED_VALUE"""),"Option")</f>
        <v>Option</v>
      </c>
      <c r="F1243" s="5" t="str">
        <f>IFERROR(__xludf.DUMMYFUNCTION("""COMPUTED_VALUE"""),"USD")</f>
        <v>USD</v>
      </c>
      <c r="G1243" s="30" t="str">
        <f>IFERROR(__xludf.DUMMYFUNCTION("""COMPUTED_VALUE"""),"Email Account/ TraderID Recognized")</f>
        <v>Email Account/ TraderID Recognized</v>
      </c>
      <c r="H1243" s="112" t="str">
        <f>IFERROR(__xludf.DUMMYFUNCTION("""COMPUTED_VALUE"""),"TQQQ220414P00064000")</f>
        <v>TQQQ220414P00064000</v>
      </c>
      <c r="I1243" s="30">
        <f>IFERROR(__xludf.DUMMYFUNCTION("""COMPUTED_VALUE"""),10000.0)</f>
        <v>10000</v>
      </c>
      <c r="J1243" s="30"/>
      <c r="K1243" s="30" t="str">
        <f>IFERROR(__xludf.DUMMYFUNCTION("""COMPUTED_VALUE"""),"QTY, Limit Price (if any) &amp; Password input correct")</f>
        <v>QTY, Limit Price (if any) &amp; Password input correct</v>
      </c>
      <c r="L1243" s="30"/>
    </row>
    <row r="1244">
      <c r="A1244" s="5"/>
      <c r="B1244" s="118">
        <f>IFERROR(__xludf.DUMMYFUNCTION("""COMPUTED_VALUE"""),44662.7418096412)</f>
        <v>44662.74181</v>
      </c>
      <c r="C1244" s="120">
        <f>IFERROR(__xludf.DUMMYFUNCTION("""COMPUTED_VALUE"""),44662.666666666664)</f>
        <v>44662.66667</v>
      </c>
      <c r="D1244" s="5" t="str">
        <f>IFERROR(__xludf.DUMMYFUNCTION("""COMPUTED_VALUE"""),"39011")</f>
        <v>39011</v>
      </c>
      <c r="E1244" s="5" t="str">
        <f>IFERROR(__xludf.DUMMYFUNCTION("""COMPUTED_VALUE"""),"Stock")</f>
        <v>Stock</v>
      </c>
      <c r="F1244" s="5" t="str">
        <f>IFERROR(__xludf.DUMMYFUNCTION("""COMPUTED_VALUE"""),"USD")</f>
        <v>USD</v>
      </c>
      <c r="G1244" s="30" t="str">
        <f>IFERROR(__xludf.DUMMYFUNCTION("""COMPUTED_VALUE"""),"Email Account/ TraderID Recognized")</f>
        <v>Email Account/ TraderID Recognized</v>
      </c>
      <c r="H1244" s="112" t="str">
        <f>IFERROR(__xludf.DUMMYFUNCTION("""COMPUTED_VALUE"""),"YANG")</f>
        <v>YANG</v>
      </c>
      <c r="I1244" s="30">
        <f>IFERROR(__xludf.DUMMYFUNCTION("""COMPUTED_VALUE"""),2000.0)</f>
        <v>2000</v>
      </c>
      <c r="J1244" s="30">
        <f>IFERROR(__xludf.DUMMYFUNCTION("""COMPUTED_VALUE"""),16.93)</f>
        <v>16.93</v>
      </c>
      <c r="K1244" s="30" t="str">
        <f>IFERROR(__xludf.DUMMYFUNCTION("""COMPUTED_VALUE"""),"QTY, Limit Price (if any) &amp; Password input correct")</f>
        <v>QTY, Limit Price (if any) &amp; Password input correct</v>
      </c>
      <c r="L1244" s="30"/>
    </row>
    <row r="1245">
      <c r="A1245" s="5"/>
      <c r="B1245" s="118">
        <f>IFERROR(__xludf.DUMMYFUNCTION("""COMPUTED_VALUE"""),44662.74356456018)</f>
        <v>44662.74356</v>
      </c>
      <c r="C1245" s="120">
        <f>IFERROR(__xludf.DUMMYFUNCTION("""COMPUTED_VALUE"""),44662.666666666664)</f>
        <v>44662.66667</v>
      </c>
      <c r="D1245" s="5" t="str">
        <f>IFERROR(__xludf.DUMMYFUNCTION("""COMPUTED_VALUE"""),"89833")</f>
        <v>89833</v>
      </c>
      <c r="E1245" s="5" t="str">
        <f>IFERROR(__xludf.DUMMYFUNCTION("""COMPUTED_VALUE"""),"Stock")</f>
        <v>Stock</v>
      </c>
      <c r="F1245" s="5" t="str">
        <f>IFERROR(__xludf.DUMMYFUNCTION("""COMPUTED_VALUE"""),"USD")</f>
        <v>USD</v>
      </c>
      <c r="G1245" s="30" t="str">
        <f>IFERROR(__xludf.DUMMYFUNCTION("""COMPUTED_VALUE"""),"Email Account/ TraderID Recognized")</f>
        <v>Email Account/ TraderID Recognized</v>
      </c>
      <c r="H1245" s="112" t="str">
        <f>IFERROR(__xludf.DUMMYFUNCTION("""COMPUTED_VALUE"""),"OXY")</f>
        <v>OXY</v>
      </c>
      <c r="I1245" s="30">
        <f>IFERROR(__xludf.DUMMYFUNCTION("""COMPUTED_VALUE"""),500.0)</f>
        <v>500</v>
      </c>
      <c r="J1245" s="30"/>
      <c r="K1245" s="30" t="str">
        <f>IFERROR(__xludf.DUMMYFUNCTION("""COMPUTED_VALUE"""),"QTY, Limit Price (if any) &amp; Password input correct")</f>
        <v>QTY, Limit Price (if any) &amp; Password input correct</v>
      </c>
      <c r="L1245" s="30"/>
    </row>
    <row r="1246">
      <c r="A1246" s="5"/>
      <c r="B1246" s="118">
        <f>IFERROR(__xludf.DUMMYFUNCTION("""COMPUTED_VALUE"""),44662.80584053241)</f>
        <v>44662.80584</v>
      </c>
      <c r="C1246" s="120">
        <f>IFERROR(__xludf.DUMMYFUNCTION("""COMPUTED_VALUE"""),44663.666666666664)</f>
        <v>44663.66667</v>
      </c>
      <c r="D1246" s="5" t="str">
        <f>IFERROR(__xludf.DUMMYFUNCTION("""COMPUTED_VALUE"""),"89750")</f>
        <v>89750</v>
      </c>
      <c r="E1246" s="5" t="str">
        <f>IFERROR(__xludf.DUMMYFUNCTION("""COMPUTED_VALUE"""),"Stock")</f>
        <v>Stock</v>
      </c>
      <c r="F1246" s="5" t="str">
        <f>IFERROR(__xludf.DUMMYFUNCTION("""COMPUTED_VALUE"""),"HKD")</f>
        <v>HKD</v>
      </c>
      <c r="G1246" s="30" t="str">
        <f>IFERROR(__xludf.DUMMYFUNCTION("""COMPUTED_VALUE"""),"Email Account/ TraderID Recognized")</f>
        <v>Email Account/ TraderID Recognized</v>
      </c>
      <c r="H1246" s="112" t="str">
        <f>IFERROR(__xludf.DUMMYFUNCTION("""COMPUTED_VALUE"""),"^HSI")</f>
        <v>^HSI</v>
      </c>
      <c r="I1246" s="30">
        <f>IFERROR(__xludf.DUMMYFUNCTION("""COMPUTED_VALUE"""),1.0)</f>
        <v>1</v>
      </c>
      <c r="J1246" s="30"/>
      <c r="K1246" s="30" t="str">
        <f>IFERROR(__xludf.DUMMYFUNCTION("""COMPUTED_VALUE"""),"QTY, Limit Price (if any) &amp; Password input correct")</f>
        <v>QTY, Limit Price (if any) &amp; Password input correct</v>
      </c>
      <c r="L1246" s="30"/>
    </row>
    <row r="1247">
      <c r="A1247" s="5"/>
      <c r="B1247" s="118">
        <f>IFERROR(__xludf.DUMMYFUNCTION("""COMPUTED_VALUE"""),44662.860177581024)</f>
        <v>44662.86018</v>
      </c>
      <c r="C1247" s="120">
        <f>IFERROR(__xludf.DUMMYFUNCTION("""COMPUTED_VALUE"""),44662.666666666664)</f>
        <v>44662.66667</v>
      </c>
      <c r="D1247" s="5" t="str">
        <f>IFERROR(__xludf.DUMMYFUNCTION("""COMPUTED_VALUE"""),"39011")</f>
        <v>39011</v>
      </c>
      <c r="E1247" s="5" t="str">
        <f>IFERROR(__xludf.DUMMYFUNCTION("""COMPUTED_VALUE"""),"Stock")</f>
        <v>Stock</v>
      </c>
      <c r="F1247" s="5" t="str">
        <f>IFERROR(__xludf.DUMMYFUNCTION("""COMPUTED_VALUE"""),"USD")</f>
        <v>USD</v>
      </c>
      <c r="G1247" s="30" t="str">
        <f>IFERROR(__xludf.DUMMYFUNCTION("""COMPUTED_VALUE"""),"Email Account/ TraderID Recognized")</f>
        <v>Email Account/ TraderID Recognized</v>
      </c>
      <c r="H1247" s="112" t="str">
        <f>IFERROR(__xludf.DUMMYFUNCTION("""COMPUTED_VALUE"""),"YANG")</f>
        <v>YANG</v>
      </c>
      <c r="I1247" s="30">
        <f>IFERROR(__xludf.DUMMYFUNCTION("""COMPUTED_VALUE"""),2000.0)</f>
        <v>2000</v>
      </c>
      <c r="J1247" s="30">
        <f>IFERROR(__xludf.DUMMYFUNCTION("""COMPUTED_VALUE"""),15.49)</f>
        <v>15.49</v>
      </c>
      <c r="K1247" s="30" t="str">
        <f>IFERROR(__xludf.DUMMYFUNCTION("""COMPUTED_VALUE"""),"QTY, Limit Price (if any) &amp; Password input correct")</f>
        <v>QTY, Limit Price (if any) &amp; Password input correct</v>
      </c>
      <c r="L1247" s="30"/>
    </row>
    <row r="1248">
      <c r="A1248" s="5"/>
      <c r="B1248" s="118">
        <f>IFERROR(__xludf.DUMMYFUNCTION("""COMPUTED_VALUE"""),44662.86462881944)</f>
        <v>44662.86463</v>
      </c>
      <c r="C1248" s="120">
        <f>IFERROR(__xludf.DUMMYFUNCTION("""COMPUTED_VALUE"""),44662.666666666664)</f>
        <v>44662.66667</v>
      </c>
      <c r="D1248" s="5" t="str">
        <f>IFERROR(__xludf.DUMMYFUNCTION("""COMPUTED_VALUE"""),"39011")</f>
        <v>39011</v>
      </c>
      <c r="E1248" s="5" t="str">
        <f>IFERROR(__xludf.DUMMYFUNCTION("""COMPUTED_VALUE"""),"Stock")</f>
        <v>Stock</v>
      </c>
      <c r="F1248" s="5" t="str">
        <f>IFERROR(__xludf.DUMMYFUNCTION("""COMPUTED_VALUE"""),"USD")</f>
        <v>USD</v>
      </c>
      <c r="G1248" s="30" t="str">
        <f>IFERROR(__xludf.DUMMYFUNCTION("""COMPUTED_VALUE"""),"Email Account/ TraderID Recognized")</f>
        <v>Email Account/ TraderID Recognized</v>
      </c>
      <c r="H1248" s="112" t="str">
        <f>IFERROR(__xludf.DUMMYFUNCTION("""COMPUTED_VALUE"""),"DUK")</f>
        <v>DUK</v>
      </c>
      <c r="I1248" s="30">
        <f>IFERROR(__xludf.DUMMYFUNCTION("""COMPUTED_VALUE"""),1000.0)</f>
        <v>1000</v>
      </c>
      <c r="J1248" s="30">
        <f>IFERROR(__xludf.DUMMYFUNCTION("""COMPUTED_VALUE"""),115.35)</f>
        <v>115.35</v>
      </c>
      <c r="K1248" s="30" t="str">
        <f>IFERROR(__xludf.DUMMYFUNCTION("""COMPUTED_VALUE"""),"QTY, Limit Price (if any) &amp; Password input correct")</f>
        <v>QTY, Limit Price (if any) &amp; Password input correct</v>
      </c>
      <c r="L1248" s="30"/>
    </row>
    <row r="1249">
      <c r="A1249" s="5"/>
      <c r="B1249" s="118">
        <f>IFERROR(__xludf.DUMMYFUNCTION("""COMPUTED_VALUE"""),44662.90450346065)</f>
        <v>44662.9045</v>
      </c>
      <c r="C1249" s="120">
        <f>IFERROR(__xludf.DUMMYFUNCTION("""COMPUTED_VALUE"""),44662.666666666664)</f>
        <v>44662.66667</v>
      </c>
      <c r="D1249" s="5" t="str">
        <f>IFERROR(__xludf.DUMMYFUNCTION("""COMPUTED_VALUE"""),"")</f>
        <v/>
      </c>
      <c r="E1249" s="5" t="str">
        <f>IFERROR(__xludf.DUMMYFUNCTION("""COMPUTED_VALUE"""),"Stock")</f>
        <v>Stock</v>
      </c>
      <c r="F1249" s="5" t="str">
        <f>IFERROR(__xludf.DUMMYFUNCTION("""COMPUTED_VALUE"""),"USD")</f>
        <v>USD</v>
      </c>
      <c r="G1249" s="30" t="str">
        <f>IFERROR(__xludf.DUMMYFUNCTION("""COMPUTED_VALUE"""),"s123xxxxxx@nonHKMUemail")</f>
        <v>s123xxxxxx@nonHKMUemail</v>
      </c>
      <c r="H1249" s="112" t="str">
        <f>IFERROR(__xludf.DUMMYFUNCTION("""COMPUTED_VALUE"""),"MSFT")</f>
        <v>MSFT</v>
      </c>
      <c r="I1249" s="30">
        <f>IFERROR(__xludf.DUMMYFUNCTION("""COMPUTED_VALUE"""),490.0)</f>
        <v>490</v>
      </c>
      <c r="J1249" s="30"/>
      <c r="K1249" s="30" t="str">
        <f>IFERROR(__xludf.DUMMYFUNCTION("""COMPUTED_VALUE"""),"QTY, Limit Price (if any) &amp; Password input correct")</f>
        <v>QTY, Limit Price (if any) &amp; Password input correct</v>
      </c>
      <c r="L1249" s="30"/>
    </row>
    <row r="1250">
      <c r="A1250" s="5"/>
      <c r="B1250" s="118">
        <f>IFERROR(__xludf.DUMMYFUNCTION("""COMPUTED_VALUE"""),44662.9099105787)</f>
        <v>44662.90991</v>
      </c>
      <c r="C1250" s="120">
        <f>IFERROR(__xludf.DUMMYFUNCTION("""COMPUTED_VALUE"""),44662.666666666664)</f>
        <v>44662.66667</v>
      </c>
      <c r="D1250" s="5" t="str">
        <f>IFERROR(__xludf.DUMMYFUNCTION("""COMPUTED_VALUE"""),"37568")</f>
        <v>37568</v>
      </c>
      <c r="E1250" s="5" t="str">
        <f>IFERROR(__xludf.DUMMYFUNCTION("""COMPUTED_VALUE"""),"Stock")</f>
        <v>Stock</v>
      </c>
      <c r="F1250" s="5" t="str">
        <f>IFERROR(__xludf.DUMMYFUNCTION("""COMPUTED_VALUE"""),"USD")</f>
        <v>USD</v>
      </c>
      <c r="G1250" s="30" t="str">
        <f>IFERROR(__xludf.DUMMYFUNCTION("""COMPUTED_VALUE"""),"Email Account/ TraderID Recognized")</f>
        <v>Email Account/ TraderID Recognized</v>
      </c>
      <c r="H1250" s="112" t="str">
        <f>IFERROR(__xludf.DUMMYFUNCTION("""COMPUTED_VALUE"""),"MSFT")</f>
        <v>MSFT</v>
      </c>
      <c r="I1250" s="30">
        <f>IFERROR(__xludf.DUMMYFUNCTION("""COMPUTED_VALUE"""),500.0)</f>
        <v>500</v>
      </c>
      <c r="J1250" s="30"/>
      <c r="K1250" s="30" t="str">
        <f>IFERROR(__xludf.DUMMYFUNCTION("""COMPUTED_VALUE"""),"QTY, Limit Price (if any) &amp; Password input correct")</f>
        <v>QTY, Limit Price (if any) &amp; Password input correct</v>
      </c>
      <c r="L1250" s="30"/>
    </row>
    <row r="1251">
      <c r="A1251" s="5"/>
      <c r="B1251" s="118">
        <f>IFERROR(__xludf.DUMMYFUNCTION("""COMPUTED_VALUE"""),44662.92025604167)</f>
        <v>44662.92026</v>
      </c>
      <c r="C1251" s="120" t="str">
        <f>IFERROR(__xludf.DUMMYFUNCTION("""COMPUTED_VALUE"""),"")</f>
        <v/>
      </c>
      <c r="D1251" s="5" t="str">
        <f>IFERROR(__xludf.DUMMYFUNCTION("""COMPUTED_VALUE"""),"37568")</f>
        <v>37568</v>
      </c>
      <c r="E1251" s="5" t="str">
        <f>IFERROR(__xludf.DUMMYFUNCTION("""COMPUTED_VALUE"""),"Stock")</f>
        <v>Stock</v>
      </c>
      <c r="F1251" s="5" t="str">
        <f>IFERROR(__xludf.DUMMYFUNCTION("""COMPUTED_VALUE"""),"error")</f>
        <v>error</v>
      </c>
      <c r="G1251" s="30" t="str">
        <f>IFERROR(__xludf.DUMMYFUNCTION("""COMPUTED_VALUE"""),"Email Account/ TraderID Recognized")</f>
        <v>Email Account/ TraderID Recognized</v>
      </c>
      <c r="H1251" s="112" t="str">
        <f>IFERROR(__xludf.DUMMYFUNCTION("""COMPUTED_VALUE"""),"BILI.O")</f>
        <v>BILI.O</v>
      </c>
      <c r="I1251" s="30">
        <f>IFERROR(__xludf.DUMMYFUNCTION("""COMPUTED_VALUE"""),500.0)</f>
        <v>500</v>
      </c>
      <c r="J1251" s="30"/>
      <c r="K1251" s="30" t="str">
        <f>IFERROR(__xludf.DUMMYFUNCTION("""COMPUTED_VALUE"""),"QTY, Limit Price (if any) &amp; Password input correct")</f>
        <v>QTY, Limit Price (if any) &amp; Password input correct</v>
      </c>
      <c r="L1251" s="30" t="str">
        <f>IFERROR(__xludf.DUMMYFUNCTION("""COMPUTED_VALUE"""),"Order rejected due to wrong ticker code")</f>
        <v>Order rejected due to wrong ticker code</v>
      </c>
    </row>
    <row r="1252">
      <c r="A1252" s="5"/>
      <c r="B1252" s="118">
        <f>IFERROR(__xludf.DUMMYFUNCTION("""COMPUTED_VALUE"""),44662.930858645836)</f>
        <v>44662.93086</v>
      </c>
      <c r="C1252" s="120">
        <f>IFERROR(__xludf.DUMMYFUNCTION("""COMPUTED_VALUE"""),44662.666666666664)</f>
        <v>44662.66667</v>
      </c>
      <c r="D1252" s="5" t="str">
        <f>IFERROR(__xludf.DUMMYFUNCTION("""COMPUTED_VALUE"""),"18874")</f>
        <v>18874</v>
      </c>
      <c r="E1252" s="5" t="str">
        <f>IFERROR(__xludf.DUMMYFUNCTION("""COMPUTED_VALUE"""),"Stock")</f>
        <v>Stock</v>
      </c>
      <c r="F1252" s="5" t="str">
        <f>IFERROR(__xludf.DUMMYFUNCTION("""COMPUTED_VALUE"""),"USD")</f>
        <v>USD</v>
      </c>
      <c r="G1252" s="30" t="str">
        <f>IFERROR(__xludf.DUMMYFUNCTION("""COMPUTED_VALUE"""),"Email Account/ TraderID Recognized")</f>
        <v>Email Account/ TraderID Recognized</v>
      </c>
      <c r="H1252" s="112" t="str">
        <f>IFERROR(__xludf.DUMMYFUNCTION("""COMPUTED_VALUE"""),"AAPL")</f>
        <v>AAPL</v>
      </c>
      <c r="I1252" s="30">
        <f>IFERROR(__xludf.DUMMYFUNCTION("""COMPUTED_VALUE"""),50.0)</f>
        <v>50</v>
      </c>
      <c r="J1252" s="30">
        <f>IFERROR(__xludf.DUMMYFUNCTION("""COMPUTED_VALUE"""),160.62)</f>
        <v>160.62</v>
      </c>
      <c r="K1252" s="30" t="str">
        <f>IFERROR(__xludf.DUMMYFUNCTION("""COMPUTED_VALUE"""),"QTY, Limit Price (if any) &amp; Password input correct")</f>
        <v>QTY, Limit Price (if any) &amp; Password input correct</v>
      </c>
      <c r="L1252" s="30"/>
    </row>
    <row r="1253">
      <c r="A1253" s="5"/>
      <c r="B1253" s="118">
        <f>IFERROR(__xludf.DUMMYFUNCTION("""COMPUTED_VALUE"""),44662.937971377316)</f>
        <v>44662.93797</v>
      </c>
      <c r="C1253" s="120">
        <f>IFERROR(__xludf.DUMMYFUNCTION("""COMPUTED_VALUE"""),44662.666666666664)</f>
        <v>44662.66667</v>
      </c>
      <c r="D1253" s="5" t="str">
        <f>IFERROR(__xludf.DUMMYFUNCTION("""COMPUTED_VALUE"""),"18874")</f>
        <v>18874</v>
      </c>
      <c r="E1253" s="5" t="str">
        <f>IFERROR(__xludf.DUMMYFUNCTION("""COMPUTED_VALUE"""),"Stock")</f>
        <v>Stock</v>
      </c>
      <c r="F1253" s="5" t="str">
        <f>IFERROR(__xludf.DUMMYFUNCTION("""COMPUTED_VALUE"""),"USD")</f>
        <v>USD</v>
      </c>
      <c r="G1253" s="30" t="str">
        <f>IFERROR(__xludf.DUMMYFUNCTION("""COMPUTED_VALUE"""),"Email Account/ TraderID Recognized")</f>
        <v>Email Account/ TraderID Recognized</v>
      </c>
      <c r="H1253" s="112" t="str">
        <f>IFERROR(__xludf.DUMMYFUNCTION("""COMPUTED_VALUE"""),"TSLA")</f>
        <v>TSLA</v>
      </c>
      <c r="I1253" s="30">
        <f>IFERROR(__xludf.DUMMYFUNCTION("""COMPUTED_VALUE"""),40.0)</f>
        <v>40</v>
      </c>
      <c r="J1253" s="30">
        <f>IFERROR(__xludf.DUMMYFUNCTION("""COMPUTED_VALUE"""),940.53)</f>
        <v>940.53</v>
      </c>
      <c r="K1253" s="30" t="str">
        <f>IFERROR(__xludf.DUMMYFUNCTION("""COMPUTED_VALUE"""),"QTY, Limit Price (if any) &amp; Password input correct")</f>
        <v>QTY, Limit Price (if any) &amp; Password input correct</v>
      </c>
      <c r="L1253" s="30"/>
    </row>
    <row r="1254">
      <c r="A1254" s="5"/>
      <c r="B1254" s="118">
        <f>IFERROR(__xludf.DUMMYFUNCTION("""COMPUTED_VALUE"""),44662.95252070602)</f>
        <v>44662.95252</v>
      </c>
      <c r="C1254" s="120">
        <f>IFERROR(__xludf.DUMMYFUNCTION("""COMPUTED_VALUE"""),44662.666666666664)</f>
        <v>44662.66667</v>
      </c>
      <c r="D1254" s="5" t="str">
        <f>IFERROR(__xludf.DUMMYFUNCTION("""COMPUTED_VALUE"""),"46322")</f>
        <v>46322</v>
      </c>
      <c r="E1254" s="5" t="str">
        <f>IFERROR(__xludf.DUMMYFUNCTION("""COMPUTED_VALUE"""),"Stock")</f>
        <v>Stock</v>
      </c>
      <c r="F1254" s="5" t="str">
        <f>IFERROR(__xludf.DUMMYFUNCTION("""COMPUTED_VALUE"""),"USD")</f>
        <v>USD</v>
      </c>
      <c r="G1254" s="30" t="str">
        <f>IFERROR(__xludf.DUMMYFUNCTION("""COMPUTED_VALUE"""),"Email Account/ TraderID Recognized")</f>
        <v>Email Account/ TraderID Recognized</v>
      </c>
      <c r="H1254" s="112" t="str">
        <f>IFERROR(__xludf.DUMMYFUNCTION("""COMPUTED_VALUE"""),"SARK")</f>
        <v>SARK</v>
      </c>
      <c r="I1254" s="30">
        <f>IFERROR(__xludf.DUMMYFUNCTION("""COMPUTED_VALUE"""),1500.0)</f>
        <v>1500</v>
      </c>
      <c r="J1254" s="30"/>
      <c r="K1254" s="30" t="str">
        <f>IFERROR(__xludf.DUMMYFUNCTION("""COMPUTED_VALUE"""),"QTY, Limit Price (if any) &amp; Password input correct")</f>
        <v>QTY, Limit Price (if any) &amp; Password input correct</v>
      </c>
      <c r="L1254" s="30"/>
    </row>
    <row r="1255">
      <c r="A1255" s="5"/>
      <c r="B1255" s="118">
        <f>IFERROR(__xludf.DUMMYFUNCTION("""COMPUTED_VALUE"""),44662.95380641204)</f>
        <v>44662.95381</v>
      </c>
      <c r="C1255" s="120">
        <f>IFERROR(__xludf.DUMMYFUNCTION("""COMPUTED_VALUE"""),44662.666666666664)</f>
        <v>44662.66667</v>
      </c>
      <c r="D1255" s="5" t="str">
        <f>IFERROR(__xludf.DUMMYFUNCTION("""COMPUTED_VALUE"""),"84216")</f>
        <v>84216</v>
      </c>
      <c r="E1255" s="5" t="str">
        <f>IFERROR(__xludf.DUMMYFUNCTION("""COMPUTED_VALUE"""),"Stock")</f>
        <v>Stock</v>
      </c>
      <c r="F1255" s="5" t="str">
        <f>IFERROR(__xludf.DUMMYFUNCTION("""COMPUTED_VALUE"""),"USD")</f>
        <v>USD</v>
      </c>
      <c r="G1255" s="30" t="str">
        <f>IFERROR(__xludf.DUMMYFUNCTION("""COMPUTED_VALUE"""),"Email Account/ TraderID Recognized")</f>
        <v>Email Account/ TraderID Recognized</v>
      </c>
      <c r="H1255" s="112" t="str">
        <f>IFERROR(__xludf.DUMMYFUNCTION("""COMPUTED_VALUE"""),"TSLA")</f>
        <v>TSLA</v>
      </c>
      <c r="I1255" s="30">
        <f>IFERROR(__xludf.DUMMYFUNCTION("""COMPUTED_VALUE"""),10.0)</f>
        <v>10</v>
      </c>
      <c r="J1255" s="30"/>
      <c r="K1255" s="30" t="str">
        <f>IFERROR(__xludf.DUMMYFUNCTION("""COMPUTED_VALUE"""),"QTY, Limit Price (if any) &amp; Password input correct")</f>
        <v>QTY, Limit Price (if any) &amp; Password input correct</v>
      </c>
      <c r="L1255" s="30"/>
    </row>
    <row r="1256">
      <c r="A1256" s="5"/>
      <c r="B1256" s="118">
        <f>IFERROR(__xludf.DUMMYFUNCTION("""COMPUTED_VALUE"""),44662.9544446875)</f>
        <v>44662.95444</v>
      </c>
      <c r="C1256" s="120">
        <f>IFERROR(__xludf.DUMMYFUNCTION("""COMPUTED_VALUE"""),44662.666666666664)</f>
        <v>44662.66667</v>
      </c>
      <c r="D1256" s="5" t="str">
        <f>IFERROR(__xludf.DUMMYFUNCTION("""COMPUTED_VALUE"""),"84216")</f>
        <v>84216</v>
      </c>
      <c r="E1256" s="5" t="str">
        <f>IFERROR(__xludf.DUMMYFUNCTION("""COMPUTED_VALUE"""),"Stock")</f>
        <v>Stock</v>
      </c>
      <c r="F1256" s="5" t="str">
        <f>IFERROR(__xludf.DUMMYFUNCTION("""COMPUTED_VALUE"""),"USD")</f>
        <v>USD</v>
      </c>
      <c r="G1256" s="30" t="str">
        <f>IFERROR(__xludf.DUMMYFUNCTION("""COMPUTED_VALUE"""),"Email Account/ TraderID Recognized")</f>
        <v>Email Account/ TraderID Recognized</v>
      </c>
      <c r="H1256" s="112" t="str">
        <f>IFERROR(__xludf.DUMMYFUNCTION("""COMPUTED_VALUE"""),"TWTR")</f>
        <v>TWTR</v>
      </c>
      <c r="I1256" s="30">
        <f>IFERROR(__xludf.DUMMYFUNCTION("""COMPUTED_VALUE"""),1200.0)</f>
        <v>1200</v>
      </c>
      <c r="J1256" s="30"/>
      <c r="K1256" s="30" t="str">
        <f>IFERROR(__xludf.DUMMYFUNCTION("""COMPUTED_VALUE"""),"QTY, Limit Price (if any) &amp; Password input correct")</f>
        <v>QTY, Limit Price (if any) &amp; Password input correct</v>
      </c>
      <c r="L1256" s="30"/>
    </row>
    <row r="1257">
      <c r="A1257" s="5"/>
      <c r="B1257" s="118">
        <f>IFERROR(__xludf.DUMMYFUNCTION("""COMPUTED_VALUE"""),44662.95494149305)</f>
        <v>44662.95494</v>
      </c>
      <c r="C1257" s="120">
        <f>IFERROR(__xludf.DUMMYFUNCTION("""COMPUTED_VALUE"""),44662.666666666664)</f>
        <v>44662.66667</v>
      </c>
      <c r="D1257" s="5" t="str">
        <f>IFERROR(__xludf.DUMMYFUNCTION("""COMPUTED_VALUE"""),"84216")</f>
        <v>84216</v>
      </c>
      <c r="E1257" s="5" t="str">
        <f>IFERROR(__xludf.DUMMYFUNCTION("""COMPUTED_VALUE"""),"Stock")</f>
        <v>Stock</v>
      </c>
      <c r="F1257" s="5" t="str">
        <f>IFERROR(__xludf.DUMMYFUNCTION("""COMPUTED_VALUE"""),"USD")</f>
        <v>USD</v>
      </c>
      <c r="G1257" s="30" t="str">
        <f>IFERROR(__xludf.DUMMYFUNCTION("""COMPUTED_VALUE"""),"Email Account/ TraderID Recognized")</f>
        <v>Email Account/ TraderID Recognized</v>
      </c>
      <c r="H1257" s="112" t="str">
        <f>IFERROR(__xludf.DUMMYFUNCTION("""COMPUTED_VALUE"""),"AAPL")</f>
        <v>AAPL</v>
      </c>
      <c r="I1257" s="30">
        <f>IFERROR(__xludf.DUMMYFUNCTION("""COMPUTED_VALUE"""),10.0)</f>
        <v>10</v>
      </c>
      <c r="J1257" s="30"/>
      <c r="K1257" s="30" t="str">
        <f>IFERROR(__xludf.DUMMYFUNCTION("""COMPUTED_VALUE"""),"QTY, Limit Price (if any) &amp; Password input correct")</f>
        <v>QTY, Limit Price (if any) &amp; Password input correct</v>
      </c>
      <c r="L1257" s="30"/>
    </row>
    <row r="1258">
      <c r="A1258" s="5"/>
      <c r="B1258" s="118">
        <f>IFERROR(__xludf.DUMMYFUNCTION("""COMPUTED_VALUE"""),44662.963832719906)</f>
        <v>44662.96383</v>
      </c>
      <c r="C1258" s="120">
        <f>IFERROR(__xludf.DUMMYFUNCTION("""COMPUTED_VALUE"""),44663.666666666664)</f>
        <v>44663.66667</v>
      </c>
      <c r="D1258" s="5" t="str">
        <f>IFERROR(__xludf.DUMMYFUNCTION("""COMPUTED_VALUE"""),"84216")</f>
        <v>84216</v>
      </c>
      <c r="E1258" s="5" t="str">
        <f>IFERROR(__xludf.DUMMYFUNCTION("""COMPUTED_VALUE"""),"Stock")</f>
        <v>Stock</v>
      </c>
      <c r="F1258" s="5" t="str">
        <f>IFERROR(__xludf.DUMMYFUNCTION("""COMPUTED_VALUE"""),"HKD")</f>
        <v>HKD</v>
      </c>
      <c r="G1258" s="30" t="str">
        <f>IFERROR(__xludf.DUMMYFUNCTION("""COMPUTED_VALUE"""),"Email Account/ TraderID Recognized")</f>
        <v>Email Account/ TraderID Recognized</v>
      </c>
      <c r="H1258" s="125" t="str">
        <f>IFERROR(__xludf.DUMMYFUNCTION("""COMPUTED_VALUE"""),"9988.HK")</f>
        <v>9988.HK</v>
      </c>
      <c r="I1258" s="30">
        <f>IFERROR(__xludf.DUMMYFUNCTION("""COMPUTED_VALUE"""),600.0)</f>
        <v>600</v>
      </c>
      <c r="J1258" s="30"/>
      <c r="K1258" s="30" t="str">
        <f>IFERROR(__xludf.DUMMYFUNCTION("""COMPUTED_VALUE"""),"QTY, Limit Price (if any) &amp; Password input correct")</f>
        <v>QTY, Limit Price (if any) &amp; Password input correct</v>
      </c>
      <c r="L1258" s="30"/>
    </row>
    <row r="1259">
      <c r="A1259" s="5"/>
      <c r="B1259" s="118">
        <f>IFERROR(__xludf.DUMMYFUNCTION("""COMPUTED_VALUE"""),44662.964545787036)</f>
        <v>44662.96455</v>
      </c>
      <c r="C1259" s="120" t="str">
        <f>IFERROR(__xludf.DUMMYFUNCTION("""COMPUTED_VALUE"""),"")</f>
        <v/>
      </c>
      <c r="D1259" s="5" t="str">
        <f>IFERROR(__xludf.DUMMYFUNCTION("""COMPUTED_VALUE"""),"84216")</f>
        <v>84216</v>
      </c>
      <c r="E1259" s="5" t="str">
        <f>IFERROR(__xludf.DUMMYFUNCTION("""COMPUTED_VALUE"""),"Stock")</f>
        <v>Stock</v>
      </c>
      <c r="F1259" s="5" t="str">
        <f>IFERROR(__xludf.DUMMYFUNCTION("""COMPUTED_VALUE"""),"error")</f>
        <v>error</v>
      </c>
      <c r="G1259" s="30" t="str">
        <f>IFERROR(__xludf.DUMMYFUNCTION("""COMPUTED_VALUE"""),"Email Account/ TraderID Recognized")</f>
        <v>Email Account/ TraderID Recognized</v>
      </c>
      <c r="H1259" s="112">
        <f>IFERROR(__xludf.DUMMYFUNCTION("""COMPUTED_VALUE"""),9988.0)</f>
        <v>9988</v>
      </c>
      <c r="I1259" s="30" t="str">
        <f>IFERROR(__xludf.DUMMYFUNCTION("""COMPUTED_VALUE"""),"Alibaba")</f>
        <v>Alibaba</v>
      </c>
      <c r="J1259" s="30"/>
      <c r="K1259" s="30" t="str">
        <f>IFERROR(__xludf.DUMMYFUNCTION("""COMPUTED_VALUE"""),"Non-number input in Quantity or Limit Price")</f>
        <v>Non-number input in Quantity or Limit Price</v>
      </c>
      <c r="L1259" s="30" t="str">
        <f>IFERROR(__xludf.DUMMYFUNCTION("""COMPUTED_VALUE"""),"Order rejected due to wrong ticker code")</f>
        <v>Order rejected due to wrong ticker code</v>
      </c>
    </row>
    <row r="1260">
      <c r="A1260" s="5"/>
      <c r="B1260" s="118">
        <f>IFERROR(__xludf.DUMMYFUNCTION("""COMPUTED_VALUE"""),44662.972508067134)</f>
        <v>44662.97251</v>
      </c>
      <c r="C1260" s="120">
        <f>IFERROR(__xludf.DUMMYFUNCTION("""COMPUTED_VALUE"""),44662.666666666664)</f>
        <v>44662.66667</v>
      </c>
      <c r="D1260" s="5" t="str">
        <f>IFERROR(__xludf.DUMMYFUNCTION("""COMPUTED_VALUE"""),"40776")</f>
        <v>40776</v>
      </c>
      <c r="E1260" s="5" t="str">
        <f>IFERROR(__xludf.DUMMYFUNCTION("""COMPUTED_VALUE"""),"Stock")</f>
        <v>Stock</v>
      </c>
      <c r="F1260" s="5" t="str">
        <f>IFERROR(__xludf.DUMMYFUNCTION("""COMPUTED_VALUE"""),"USD")</f>
        <v>USD</v>
      </c>
      <c r="G1260" s="30" t="str">
        <f>IFERROR(__xludf.DUMMYFUNCTION("""COMPUTED_VALUE"""),"Email Account/ TraderID Recognized")</f>
        <v>Email Account/ TraderID Recognized</v>
      </c>
      <c r="H1260" s="112" t="str">
        <f>IFERROR(__xludf.DUMMYFUNCTION("""COMPUTED_VALUE"""),"SOFI")</f>
        <v>SOFI</v>
      </c>
      <c r="I1260" s="30">
        <f>IFERROR(__xludf.DUMMYFUNCTION("""COMPUTED_VALUE"""),200.0)</f>
        <v>200</v>
      </c>
      <c r="J1260" s="30">
        <f>IFERROR(__xludf.DUMMYFUNCTION("""COMPUTED_VALUE"""),7.64)</f>
        <v>7.64</v>
      </c>
      <c r="K1260" s="30" t="str">
        <f>IFERROR(__xludf.DUMMYFUNCTION("""COMPUTED_VALUE"""),"QTY, Limit Price (if any) &amp; Password input correct")</f>
        <v>QTY, Limit Price (if any) &amp; Password input correct</v>
      </c>
      <c r="L1260" s="30"/>
    </row>
    <row r="1261">
      <c r="A1261" s="5"/>
      <c r="B1261" s="118">
        <f>IFERROR(__xludf.DUMMYFUNCTION("""COMPUTED_VALUE"""),44662.97371396991)</f>
        <v>44662.97371</v>
      </c>
      <c r="C1261" s="120">
        <f>IFERROR(__xludf.DUMMYFUNCTION("""COMPUTED_VALUE"""),44662.666666666664)</f>
        <v>44662.66667</v>
      </c>
      <c r="D1261" s="5" t="str">
        <f>IFERROR(__xludf.DUMMYFUNCTION("""COMPUTED_VALUE"""),"40776")</f>
        <v>40776</v>
      </c>
      <c r="E1261" s="5" t="str">
        <f>IFERROR(__xludf.DUMMYFUNCTION("""COMPUTED_VALUE"""),"Stock")</f>
        <v>Stock</v>
      </c>
      <c r="F1261" s="5" t="str">
        <f>IFERROR(__xludf.DUMMYFUNCTION("""COMPUTED_VALUE"""),"USD")</f>
        <v>USD</v>
      </c>
      <c r="G1261" s="30" t="str">
        <f>IFERROR(__xludf.DUMMYFUNCTION("""COMPUTED_VALUE"""),"Email Account/ TraderID Recognized")</f>
        <v>Email Account/ TraderID Recognized</v>
      </c>
      <c r="H1261" s="112" t="str">
        <f>IFERROR(__xludf.DUMMYFUNCTION("""COMPUTED_VALUE"""),"TSLA")</f>
        <v>TSLA</v>
      </c>
      <c r="I1261" s="30">
        <f>IFERROR(__xludf.DUMMYFUNCTION("""COMPUTED_VALUE"""),20.0)</f>
        <v>20</v>
      </c>
      <c r="J1261" s="30">
        <f>IFERROR(__xludf.DUMMYFUNCTION("""COMPUTED_VALUE"""),987.73)</f>
        <v>987.73</v>
      </c>
      <c r="K1261" s="30" t="str">
        <f>IFERROR(__xludf.DUMMYFUNCTION("""COMPUTED_VALUE"""),"QTY, Limit Price (if any) &amp; Password input correct")</f>
        <v>QTY, Limit Price (if any) &amp; Password input correct</v>
      </c>
      <c r="L1261" s="30"/>
    </row>
    <row r="1262">
      <c r="A1262" s="5"/>
      <c r="B1262" s="118">
        <f>IFERROR(__xludf.DUMMYFUNCTION("""COMPUTED_VALUE"""),44663.003264583334)</f>
        <v>44663.00326</v>
      </c>
      <c r="C1262" s="120">
        <f>IFERROR(__xludf.DUMMYFUNCTION("""COMPUTED_VALUE"""),44662.666666666664)</f>
        <v>44662.66667</v>
      </c>
      <c r="D1262" s="5" t="str">
        <f>IFERROR(__xludf.DUMMYFUNCTION("""COMPUTED_VALUE"""),"39011")</f>
        <v>39011</v>
      </c>
      <c r="E1262" s="5" t="str">
        <f>IFERROR(__xludf.DUMMYFUNCTION("""COMPUTED_VALUE"""),"Stock")</f>
        <v>Stock</v>
      </c>
      <c r="F1262" s="5" t="str">
        <f>IFERROR(__xludf.DUMMYFUNCTION("""COMPUTED_VALUE"""),"USD")</f>
        <v>USD</v>
      </c>
      <c r="G1262" s="30" t="str">
        <f>IFERROR(__xludf.DUMMYFUNCTION("""COMPUTED_VALUE"""),"Email Account/ TraderID Recognized")</f>
        <v>Email Account/ TraderID Recognized</v>
      </c>
      <c r="H1262" s="112" t="str">
        <f>IFERROR(__xludf.DUMMYFUNCTION("""COMPUTED_VALUE"""),"XPEV")</f>
        <v>XPEV</v>
      </c>
      <c r="I1262" s="30">
        <f>IFERROR(__xludf.DUMMYFUNCTION("""COMPUTED_VALUE"""),50000.0)</f>
        <v>50000</v>
      </c>
      <c r="J1262" s="30">
        <f>IFERROR(__xludf.DUMMYFUNCTION("""COMPUTED_VALUE"""),26.49)</f>
        <v>26.49</v>
      </c>
      <c r="K1262" s="30" t="str">
        <f>IFERROR(__xludf.DUMMYFUNCTION("""COMPUTED_VALUE"""),"QTY, Limit Price (if any) &amp; Password input correct")</f>
        <v>QTY, Limit Price (if any) &amp; Password input correct</v>
      </c>
      <c r="L1262" s="30"/>
    </row>
    <row r="1263">
      <c r="A1263" s="5"/>
      <c r="B1263" s="118">
        <f>IFERROR(__xludf.DUMMYFUNCTION("""COMPUTED_VALUE"""),44663.01567920139)</f>
        <v>44663.01568</v>
      </c>
      <c r="C1263" s="120">
        <f>IFERROR(__xludf.DUMMYFUNCTION("""COMPUTED_VALUE"""),44663.666666666664)</f>
        <v>44663.66667</v>
      </c>
      <c r="D1263" s="5" t="str">
        <f>IFERROR(__xludf.DUMMYFUNCTION("""COMPUTED_VALUE"""),"39011")</f>
        <v>39011</v>
      </c>
      <c r="E1263" s="5" t="str">
        <f>IFERROR(__xludf.DUMMYFUNCTION("""COMPUTED_VALUE"""),"Bond")</f>
        <v>Bond</v>
      </c>
      <c r="F1263" s="5" t="str">
        <f>IFERROR(__xludf.DUMMYFUNCTION("""COMPUTED_VALUE"""),"HKD")</f>
        <v>HKD</v>
      </c>
      <c r="G1263" s="30" t="str">
        <f>IFERROR(__xludf.DUMMYFUNCTION("""COMPUTED_VALUE"""),"Email Account/ TraderID Recognized")</f>
        <v>Email Account/ TraderID Recognized</v>
      </c>
      <c r="H1263" s="112" t="str">
        <f>IFERROR(__xludf.DUMMYFUNCTION("""COMPUTED_VALUE"""),"HK0000061041")</f>
        <v>HK0000061041</v>
      </c>
      <c r="I1263" s="30">
        <f>IFERROR(__xludf.DUMMYFUNCTION("""COMPUTED_VALUE"""),985.0)</f>
        <v>985</v>
      </c>
      <c r="J1263" s="30"/>
      <c r="K1263" s="30" t="str">
        <f>IFERROR(__xludf.DUMMYFUNCTION("""COMPUTED_VALUE"""),"QTY, Limit Price (if any) &amp; Password input correct")</f>
        <v>QTY, Limit Price (if any) &amp; Password input correct</v>
      </c>
      <c r="L1263" s="30"/>
    </row>
    <row r="1264">
      <c r="A1264" s="5"/>
      <c r="B1264" s="118">
        <f>IFERROR(__xludf.DUMMYFUNCTION("""COMPUTED_VALUE"""),44663.03890002315)</f>
        <v>44663.0389</v>
      </c>
      <c r="C1264" s="120">
        <f>IFERROR(__xludf.DUMMYFUNCTION("""COMPUTED_VALUE"""),44663.666666666664)</f>
        <v>44663.66667</v>
      </c>
      <c r="D1264" s="5" t="str">
        <f>IFERROR(__xludf.DUMMYFUNCTION("""COMPUTED_VALUE"""),"84216")</f>
        <v>84216</v>
      </c>
      <c r="E1264" s="5" t="str">
        <f>IFERROR(__xludf.DUMMYFUNCTION("""COMPUTED_VALUE"""),"Stock")</f>
        <v>Stock</v>
      </c>
      <c r="F1264" s="5" t="str">
        <f>IFERROR(__xludf.DUMMYFUNCTION("""COMPUTED_VALUE"""),"HKD")</f>
        <v>HKD</v>
      </c>
      <c r="G1264" s="30" t="str">
        <f>IFERROR(__xludf.DUMMYFUNCTION("""COMPUTED_VALUE"""),"Email Account/ TraderID Recognized")</f>
        <v>Email Account/ TraderID Recognized</v>
      </c>
      <c r="H1264" s="125" t="str">
        <f>IFERROR(__xludf.DUMMYFUNCTION("""COMPUTED_VALUE"""),"9988.HK")</f>
        <v>9988.HK</v>
      </c>
      <c r="I1264" s="30">
        <f>IFERROR(__xludf.DUMMYFUNCTION("""COMPUTED_VALUE"""),500.0)</f>
        <v>500</v>
      </c>
      <c r="J1264" s="30"/>
      <c r="K1264" s="30" t="str">
        <f>IFERROR(__xludf.DUMMYFUNCTION("""COMPUTED_VALUE"""),"QTY, Limit Price (if any) &amp; Password input correct")</f>
        <v>QTY, Limit Price (if any) &amp; Password input correct</v>
      </c>
      <c r="L1264" s="30"/>
    </row>
    <row r="1265">
      <c r="A1265" s="5"/>
      <c r="B1265" s="118">
        <f>IFERROR(__xludf.DUMMYFUNCTION("""COMPUTED_VALUE"""),44663.13109225694)</f>
        <v>44663.13109</v>
      </c>
      <c r="C1265" s="120">
        <f>IFERROR(__xludf.DUMMYFUNCTION("""COMPUTED_VALUE"""),44662.666666666664)</f>
        <v>44662.66667</v>
      </c>
      <c r="D1265" s="5" t="str">
        <f>IFERROR(__xludf.DUMMYFUNCTION("""COMPUTED_VALUE"""),"TraderX")</f>
        <v>TraderX</v>
      </c>
      <c r="E1265" s="5" t="str">
        <f>IFERROR(__xludf.DUMMYFUNCTION("""COMPUTED_VALUE"""),"Option")</f>
        <v>Option</v>
      </c>
      <c r="F1265" s="5" t="str">
        <f>IFERROR(__xludf.DUMMYFUNCTION("""COMPUTED_VALUE"""),"USD")</f>
        <v>USD</v>
      </c>
      <c r="G1265" s="30" t="str">
        <f>IFERROR(__xludf.DUMMYFUNCTION("""COMPUTED_VALUE"""),"Email Account/ TraderID Recognized")</f>
        <v>Email Account/ TraderID Recognized</v>
      </c>
      <c r="H1265" s="112" t="str">
        <f>IFERROR(__xludf.DUMMYFUNCTION("""COMPUTED_VALUE"""),"NDXP220411P14000000")</f>
        <v>NDXP220411P14000000</v>
      </c>
      <c r="I1265" s="30">
        <f>IFERROR(__xludf.DUMMYFUNCTION("""COMPUTED_VALUE"""),7.0)</f>
        <v>7</v>
      </c>
      <c r="J1265" s="30"/>
      <c r="K1265" s="30" t="str">
        <f>IFERROR(__xludf.DUMMYFUNCTION("""COMPUTED_VALUE"""),"QTY, Limit Price (if any) &amp; Password input correct")</f>
        <v>QTY, Limit Price (if any) &amp; Password input correct</v>
      </c>
      <c r="L1265" s="30"/>
    </row>
    <row r="1266">
      <c r="A1266" s="5"/>
      <c r="B1266" s="118">
        <f>IFERROR(__xludf.DUMMYFUNCTION("""COMPUTED_VALUE"""),44663.13165361111)</f>
        <v>44663.13165</v>
      </c>
      <c r="C1266" s="120">
        <f>IFERROR(__xludf.DUMMYFUNCTION("""COMPUTED_VALUE"""),44662.666666666664)</f>
        <v>44662.66667</v>
      </c>
      <c r="D1266" s="5" t="str">
        <f>IFERROR(__xludf.DUMMYFUNCTION("""COMPUTED_VALUE"""),"TraderX")</f>
        <v>TraderX</v>
      </c>
      <c r="E1266" s="5" t="str">
        <f>IFERROR(__xludf.DUMMYFUNCTION("""COMPUTED_VALUE"""),"Option")</f>
        <v>Option</v>
      </c>
      <c r="F1266" s="5" t="str">
        <f>IFERROR(__xludf.DUMMYFUNCTION("""COMPUTED_VALUE"""),"USD")</f>
        <v>USD</v>
      </c>
      <c r="G1266" s="30" t="str">
        <f>IFERROR(__xludf.DUMMYFUNCTION("""COMPUTED_VALUE"""),"Email Account/ TraderID Recognized")</f>
        <v>Email Account/ TraderID Recognized</v>
      </c>
      <c r="H1266" s="112" t="str">
        <f>IFERROR(__xludf.DUMMYFUNCTION("""COMPUTED_VALUE"""),"NDXP220411P13900000")</f>
        <v>NDXP220411P13900000</v>
      </c>
      <c r="I1266" s="30">
        <f>IFERROR(__xludf.DUMMYFUNCTION("""COMPUTED_VALUE"""),7.0)</f>
        <v>7</v>
      </c>
      <c r="J1266" s="30"/>
      <c r="K1266" s="30" t="str">
        <f>IFERROR(__xludf.DUMMYFUNCTION("""COMPUTED_VALUE"""),"QTY, Limit Price (if any) &amp; Password input correct")</f>
        <v>QTY, Limit Price (if any) &amp; Password input correct</v>
      </c>
      <c r="L1266" s="30"/>
    </row>
    <row r="1267">
      <c r="A1267" s="5"/>
      <c r="B1267" s="118">
        <f>IFERROR(__xludf.DUMMYFUNCTION("""COMPUTED_VALUE"""),44663.132128275465)</f>
        <v>44663.13213</v>
      </c>
      <c r="C1267" s="120">
        <f>IFERROR(__xludf.DUMMYFUNCTION("""COMPUTED_VALUE"""),44662.666666666664)</f>
        <v>44662.66667</v>
      </c>
      <c r="D1267" s="5" t="str">
        <f>IFERROR(__xludf.DUMMYFUNCTION("""COMPUTED_VALUE"""),"TraderX")</f>
        <v>TraderX</v>
      </c>
      <c r="E1267" s="5" t="str">
        <f>IFERROR(__xludf.DUMMYFUNCTION("""COMPUTED_VALUE"""),"Option")</f>
        <v>Option</v>
      </c>
      <c r="F1267" s="5" t="str">
        <f>IFERROR(__xludf.DUMMYFUNCTION("""COMPUTED_VALUE"""),"USD")</f>
        <v>USD</v>
      </c>
      <c r="G1267" s="30" t="str">
        <f>IFERROR(__xludf.DUMMYFUNCTION("""COMPUTED_VALUE"""),"Email Account/ TraderID Recognized")</f>
        <v>Email Account/ TraderID Recognized</v>
      </c>
      <c r="H1267" s="112" t="str">
        <f>IFERROR(__xludf.DUMMYFUNCTION("""COMPUTED_VALUE"""),"NDXP220411C14800000")</f>
        <v>NDXP220411C14800000</v>
      </c>
      <c r="I1267" s="30">
        <f>IFERROR(__xludf.DUMMYFUNCTION("""COMPUTED_VALUE"""),7.0)</f>
        <v>7</v>
      </c>
      <c r="J1267" s="30"/>
      <c r="K1267" s="30" t="str">
        <f>IFERROR(__xludf.DUMMYFUNCTION("""COMPUTED_VALUE"""),"QTY, Limit Price (if any) &amp; Password input correct")</f>
        <v>QTY, Limit Price (if any) &amp; Password input correct</v>
      </c>
      <c r="L1267" s="30"/>
    </row>
    <row r="1268">
      <c r="A1268" s="5"/>
      <c r="B1268" s="118">
        <f>IFERROR(__xludf.DUMMYFUNCTION("""COMPUTED_VALUE"""),44663.13253503472)</f>
        <v>44663.13254</v>
      </c>
      <c r="C1268" s="120">
        <f>IFERROR(__xludf.DUMMYFUNCTION("""COMPUTED_VALUE"""),44662.666666666664)</f>
        <v>44662.66667</v>
      </c>
      <c r="D1268" s="5" t="str">
        <f>IFERROR(__xludf.DUMMYFUNCTION("""COMPUTED_VALUE"""),"TraderX")</f>
        <v>TraderX</v>
      </c>
      <c r="E1268" s="5" t="str">
        <f>IFERROR(__xludf.DUMMYFUNCTION("""COMPUTED_VALUE"""),"Option")</f>
        <v>Option</v>
      </c>
      <c r="F1268" s="5" t="str">
        <f>IFERROR(__xludf.DUMMYFUNCTION("""COMPUTED_VALUE"""),"USD")</f>
        <v>USD</v>
      </c>
      <c r="G1268" s="30" t="str">
        <f>IFERROR(__xludf.DUMMYFUNCTION("""COMPUTED_VALUE"""),"Email Account/ TraderID Recognized")</f>
        <v>Email Account/ TraderID Recognized</v>
      </c>
      <c r="H1268" s="112" t="str">
        <f>IFERROR(__xludf.DUMMYFUNCTION("""COMPUTED_VALUE"""),"NDXP220411C14900000")</f>
        <v>NDXP220411C14900000</v>
      </c>
      <c r="I1268" s="30">
        <f>IFERROR(__xludf.DUMMYFUNCTION("""COMPUTED_VALUE"""),7.0)</f>
        <v>7</v>
      </c>
      <c r="J1268" s="30"/>
      <c r="K1268" s="30" t="str">
        <f>IFERROR(__xludf.DUMMYFUNCTION("""COMPUTED_VALUE"""),"QTY, Limit Price (if any) &amp; Password input correct")</f>
        <v>QTY, Limit Price (if any) &amp; Password input correct</v>
      </c>
      <c r="L1268" s="30"/>
    </row>
    <row r="1269">
      <c r="A1269" s="5"/>
      <c r="B1269" s="118">
        <f>IFERROR(__xludf.DUMMYFUNCTION("""COMPUTED_VALUE"""),44663.149418078705)</f>
        <v>44663.14942</v>
      </c>
      <c r="C1269" s="120">
        <f>IFERROR(__xludf.DUMMYFUNCTION("""COMPUTED_VALUE"""),44662.666666666664)</f>
        <v>44662.66667</v>
      </c>
      <c r="D1269" s="5" t="str">
        <f>IFERROR(__xludf.DUMMYFUNCTION("""COMPUTED_VALUE"""),"40105")</f>
        <v>40105</v>
      </c>
      <c r="E1269" s="5" t="str">
        <f>IFERROR(__xludf.DUMMYFUNCTION("""COMPUTED_VALUE"""),"Stock")</f>
        <v>Stock</v>
      </c>
      <c r="F1269" s="5" t="str">
        <f>IFERROR(__xludf.DUMMYFUNCTION("""COMPUTED_VALUE"""),"USD")</f>
        <v>USD</v>
      </c>
      <c r="G1269" s="30" t="str">
        <f>IFERROR(__xludf.DUMMYFUNCTION("""COMPUTED_VALUE"""),"Email Account/ TraderID Recognized")</f>
        <v>Email Account/ TraderID Recognized</v>
      </c>
      <c r="H1269" s="112" t="str">
        <f>IFERROR(__xludf.DUMMYFUNCTION("""COMPUTED_VALUE"""),"TWTR")</f>
        <v>TWTR</v>
      </c>
      <c r="I1269" s="30">
        <f>IFERROR(__xludf.DUMMYFUNCTION("""COMPUTED_VALUE"""),300.0)</f>
        <v>300</v>
      </c>
      <c r="J1269" s="30"/>
      <c r="K1269" s="30" t="str">
        <f>IFERROR(__xludf.DUMMYFUNCTION("""COMPUTED_VALUE"""),"QTY, Limit Price (if any) &amp; Password input correct")</f>
        <v>QTY, Limit Price (if any) &amp; Password input correct</v>
      </c>
      <c r="L1269" s="30"/>
    </row>
    <row r="1270">
      <c r="A1270" s="5"/>
      <c r="B1270" s="118">
        <f>IFERROR(__xludf.DUMMYFUNCTION("""COMPUTED_VALUE"""),44663.149813634256)</f>
        <v>44663.14981</v>
      </c>
      <c r="C1270" s="120">
        <f>IFERROR(__xludf.DUMMYFUNCTION("""COMPUTED_VALUE"""),44662.666666666664)</f>
        <v>44662.66667</v>
      </c>
      <c r="D1270" s="5" t="str">
        <f>IFERROR(__xludf.DUMMYFUNCTION("""COMPUTED_VALUE"""),"40105")</f>
        <v>40105</v>
      </c>
      <c r="E1270" s="5" t="str">
        <f>IFERROR(__xludf.DUMMYFUNCTION("""COMPUTED_VALUE"""),"Stock")</f>
        <v>Stock</v>
      </c>
      <c r="F1270" s="5" t="str">
        <f>IFERROR(__xludf.DUMMYFUNCTION("""COMPUTED_VALUE"""),"USD")</f>
        <v>USD</v>
      </c>
      <c r="G1270" s="30" t="str">
        <f>IFERROR(__xludf.DUMMYFUNCTION("""COMPUTED_VALUE"""),"Email Account/ TraderID Recognized")</f>
        <v>Email Account/ TraderID Recognized</v>
      </c>
      <c r="H1270" s="112" t="str">
        <f>IFERROR(__xludf.DUMMYFUNCTION("""COMPUTED_VALUE"""),"DIS")</f>
        <v>DIS</v>
      </c>
      <c r="I1270" s="30">
        <f>IFERROR(__xludf.DUMMYFUNCTION("""COMPUTED_VALUE"""),150.0)</f>
        <v>150</v>
      </c>
      <c r="J1270" s="30"/>
      <c r="K1270" s="30" t="str">
        <f>IFERROR(__xludf.DUMMYFUNCTION("""COMPUTED_VALUE"""),"QTY, Limit Price (if any) &amp; Password input correct")</f>
        <v>QTY, Limit Price (if any) &amp; Password input correct</v>
      </c>
      <c r="L1270" s="30"/>
    </row>
    <row r="1271">
      <c r="A1271" s="5"/>
      <c r="B1271" s="118">
        <f>IFERROR(__xludf.DUMMYFUNCTION("""COMPUTED_VALUE"""),44663.15283818287)</f>
        <v>44663.15284</v>
      </c>
      <c r="C1271" s="120">
        <f>IFERROR(__xludf.DUMMYFUNCTION("""COMPUTED_VALUE"""),44662.666666666664)</f>
        <v>44662.66667</v>
      </c>
      <c r="D1271" s="5" t="str">
        <f>IFERROR(__xludf.DUMMYFUNCTION("""COMPUTED_VALUE"""),"40105")</f>
        <v>40105</v>
      </c>
      <c r="E1271" s="5" t="str">
        <f>IFERROR(__xludf.DUMMYFUNCTION("""COMPUTED_VALUE"""),"Stock")</f>
        <v>Stock</v>
      </c>
      <c r="F1271" s="5" t="str">
        <f>IFERROR(__xludf.DUMMYFUNCTION("""COMPUTED_VALUE"""),"USD")</f>
        <v>USD</v>
      </c>
      <c r="G1271" s="30" t="str">
        <f>IFERROR(__xludf.DUMMYFUNCTION("""COMPUTED_VALUE"""),"Email Account/ TraderID Recognized")</f>
        <v>Email Account/ TraderID Recognized</v>
      </c>
      <c r="H1271" s="112" t="str">
        <f>IFERROR(__xludf.DUMMYFUNCTION("""COMPUTED_VALUE"""),"TSLA")</f>
        <v>TSLA</v>
      </c>
      <c r="I1271" s="30">
        <f>IFERROR(__xludf.DUMMYFUNCTION("""COMPUTED_VALUE"""),200.0)</f>
        <v>200</v>
      </c>
      <c r="J1271" s="30"/>
      <c r="K1271" s="30" t="str">
        <f>IFERROR(__xludf.DUMMYFUNCTION("""COMPUTED_VALUE"""),"QTY, Limit Price (if any) &amp; Password input correct")</f>
        <v>QTY, Limit Price (if any) &amp; Password input correct</v>
      </c>
      <c r="L1271" s="30"/>
    </row>
    <row r="1272">
      <c r="A1272" s="5"/>
      <c r="B1272" s="118">
        <f>IFERROR(__xludf.DUMMYFUNCTION("""COMPUTED_VALUE"""),44663.15838461806)</f>
        <v>44663.15838</v>
      </c>
      <c r="C1272" s="120">
        <f>IFERROR(__xludf.DUMMYFUNCTION("""COMPUTED_VALUE"""),44662.666666666664)</f>
        <v>44662.66667</v>
      </c>
      <c r="D1272" s="5" t="str">
        <f>IFERROR(__xludf.DUMMYFUNCTION("""COMPUTED_VALUE"""),"40105")</f>
        <v>40105</v>
      </c>
      <c r="E1272" s="5" t="str">
        <f>IFERROR(__xludf.DUMMYFUNCTION("""COMPUTED_VALUE"""),"Stock")</f>
        <v>Stock</v>
      </c>
      <c r="F1272" s="5" t="str">
        <f>IFERROR(__xludf.DUMMYFUNCTION("""COMPUTED_VALUE"""),"USD")</f>
        <v>USD</v>
      </c>
      <c r="G1272" s="30" t="str">
        <f>IFERROR(__xludf.DUMMYFUNCTION("""COMPUTED_VALUE"""),"Email Account/ TraderID Recognized")</f>
        <v>Email Account/ TraderID Recognized</v>
      </c>
      <c r="H1272" s="112" t="str">
        <f>IFERROR(__xludf.DUMMYFUNCTION("""COMPUTED_VALUE"""),"TWTR")</f>
        <v>TWTR</v>
      </c>
      <c r="I1272" s="30">
        <f>IFERROR(__xludf.DUMMYFUNCTION("""COMPUTED_VALUE"""),600.0)</f>
        <v>600</v>
      </c>
      <c r="J1272" s="30"/>
      <c r="K1272" s="30" t="str">
        <f>IFERROR(__xludf.DUMMYFUNCTION("""COMPUTED_VALUE"""),"QTY, Limit Price (if any) &amp; Password input correct")</f>
        <v>QTY, Limit Price (if any) &amp; Password input correct</v>
      </c>
      <c r="L1272" s="30"/>
    </row>
    <row r="1273">
      <c r="A1273" s="5"/>
      <c r="B1273" s="118">
        <f>IFERROR(__xludf.DUMMYFUNCTION("""COMPUTED_VALUE"""),44663.15940412037)</f>
        <v>44663.1594</v>
      </c>
      <c r="C1273" s="120">
        <f>IFERROR(__xludf.DUMMYFUNCTION("""COMPUTED_VALUE"""),44662.666666666664)</f>
        <v>44662.66667</v>
      </c>
      <c r="D1273" s="5" t="str">
        <f>IFERROR(__xludf.DUMMYFUNCTION("""COMPUTED_VALUE"""),"39857")</f>
        <v>39857</v>
      </c>
      <c r="E1273" s="5" t="str">
        <f>IFERROR(__xludf.DUMMYFUNCTION("""COMPUTED_VALUE"""),"Stock")</f>
        <v>Stock</v>
      </c>
      <c r="F1273" s="5" t="str">
        <f>IFERROR(__xludf.DUMMYFUNCTION("""COMPUTED_VALUE"""),"USD")</f>
        <v>USD</v>
      </c>
      <c r="G1273" s="30" t="str">
        <f>IFERROR(__xludf.DUMMYFUNCTION("""COMPUTED_VALUE"""),"Email Account/ TraderID Recognized")</f>
        <v>Email Account/ TraderID Recognized</v>
      </c>
      <c r="H1273" s="112" t="str">
        <f>IFERROR(__xludf.DUMMYFUNCTION("""COMPUTED_VALUE"""),"TWTR")</f>
        <v>TWTR</v>
      </c>
      <c r="I1273" s="30">
        <f>IFERROR(__xludf.DUMMYFUNCTION("""COMPUTED_VALUE"""),400.0)</f>
        <v>400</v>
      </c>
      <c r="J1273" s="30"/>
      <c r="K1273" s="30" t="str">
        <f>IFERROR(__xludf.DUMMYFUNCTION("""COMPUTED_VALUE"""),"QTY, Limit Price (if any) &amp; Password input correct")</f>
        <v>QTY, Limit Price (if any) &amp; Password input correct</v>
      </c>
      <c r="L1273" s="30"/>
    </row>
    <row r="1274">
      <c r="A1274" s="5"/>
      <c r="B1274" s="118">
        <f>IFERROR(__xludf.DUMMYFUNCTION("""COMPUTED_VALUE"""),44663.160124490736)</f>
        <v>44663.16012</v>
      </c>
      <c r="C1274" s="120">
        <f>IFERROR(__xludf.DUMMYFUNCTION("""COMPUTED_VALUE"""),44662.666666666664)</f>
        <v>44662.66667</v>
      </c>
      <c r="D1274" s="5" t="str">
        <f>IFERROR(__xludf.DUMMYFUNCTION("""COMPUTED_VALUE"""),"TraderX")</f>
        <v>TraderX</v>
      </c>
      <c r="E1274" s="5" t="str">
        <f>IFERROR(__xludf.DUMMYFUNCTION("""COMPUTED_VALUE"""),"Option")</f>
        <v>Option</v>
      </c>
      <c r="F1274" s="5" t="str">
        <f>IFERROR(__xludf.DUMMYFUNCTION("""COMPUTED_VALUE"""),"USD")</f>
        <v>USD</v>
      </c>
      <c r="G1274" s="30" t="str">
        <f>IFERROR(__xludf.DUMMYFUNCTION("""COMPUTED_VALUE"""),"Email Account/ TraderID Recognized")</f>
        <v>Email Account/ TraderID Recognized</v>
      </c>
      <c r="H1274" s="112" t="str">
        <f>IFERROR(__xludf.DUMMYFUNCTION("""COMPUTED_VALUE"""),"NDXP220413P13375000")</f>
        <v>NDXP220413P13375000</v>
      </c>
      <c r="I1274" s="30">
        <f>IFERROR(__xludf.DUMMYFUNCTION("""COMPUTED_VALUE"""),8.0)</f>
        <v>8</v>
      </c>
      <c r="J1274" s="30"/>
      <c r="K1274" s="30" t="str">
        <f>IFERROR(__xludf.DUMMYFUNCTION("""COMPUTED_VALUE"""),"QTY, Limit Price (if any) &amp; Password input correct")</f>
        <v>QTY, Limit Price (if any) &amp; Password input correct</v>
      </c>
      <c r="L1274" s="30"/>
    </row>
    <row r="1275">
      <c r="A1275" s="5"/>
      <c r="B1275" s="118">
        <f>IFERROR(__xludf.DUMMYFUNCTION("""COMPUTED_VALUE"""),44663.16055861111)</f>
        <v>44663.16056</v>
      </c>
      <c r="C1275" s="120">
        <f>IFERROR(__xludf.DUMMYFUNCTION("""COMPUTED_VALUE"""),44662.666666666664)</f>
        <v>44662.66667</v>
      </c>
      <c r="D1275" s="5" t="str">
        <f>IFERROR(__xludf.DUMMYFUNCTION("""COMPUTED_VALUE"""),"39704")</f>
        <v>39704</v>
      </c>
      <c r="E1275" s="5" t="str">
        <f>IFERROR(__xludf.DUMMYFUNCTION("""COMPUTED_VALUE"""),"Stock")</f>
        <v>Stock</v>
      </c>
      <c r="F1275" s="5" t="str">
        <f>IFERROR(__xludf.DUMMYFUNCTION("""COMPUTED_VALUE"""),"USD")</f>
        <v>USD</v>
      </c>
      <c r="G1275" s="30" t="str">
        <f>IFERROR(__xludf.DUMMYFUNCTION("""COMPUTED_VALUE"""),"Email Account/ TraderID Recognized")</f>
        <v>Email Account/ TraderID Recognized</v>
      </c>
      <c r="H1275" s="112" t="str">
        <f>IFERROR(__xludf.DUMMYFUNCTION("""COMPUTED_VALUE"""),"TWTR")</f>
        <v>TWTR</v>
      </c>
      <c r="I1275" s="30">
        <f>IFERROR(__xludf.DUMMYFUNCTION("""COMPUTED_VALUE"""),400.0)</f>
        <v>400</v>
      </c>
      <c r="J1275" s="30"/>
      <c r="K1275" s="30" t="str">
        <f>IFERROR(__xludf.DUMMYFUNCTION("""COMPUTED_VALUE"""),"QTY, Limit Price (if any) &amp; Password input correct")</f>
        <v>QTY, Limit Price (if any) &amp; Password input correct</v>
      </c>
      <c r="L1275" s="30"/>
    </row>
    <row r="1276">
      <c r="A1276" s="5"/>
      <c r="B1276" s="118">
        <f>IFERROR(__xludf.DUMMYFUNCTION("""COMPUTED_VALUE"""),44663.160847719904)</f>
        <v>44663.16085</v>
      </c>
      <c r="C1276" s="120">
        <f>IFERROR(__xludf.DUMMYFUNCTION("""COMPUTED_VALUE"""),44662.666666666664)</f>
        <v>44662.66667</v>
      </c>
      <c r="D1276" s="5" t="str">
        <f>IFERROR(__xludf.DUMMYFUNCTION("""COMPUTED_VALUE"""),"TraderX")</f>
        <v>TraderX</v>
      </c>
      <c r="E1276" s="5" t="str">
        <f>IFERROR(__xludf.DUMMYFUNCTION("""COMPUTED_VALUE"""),"Option")</f>
        <v>Option</v>
      </c>
      <c r="F1276" s="5" t="str">
        <f>IFERROR(__xludf.DUMMYFUNCTION("""COMPUTED_VALUE"""),"USD")</f>
        <v>USD</v>
      </c>
      <c r="G1276" s="30" t="str">
        <f>IFERROR(__xludf.DUMMYFUNCTION("""COMPUTED_VALUE"""),"Email Account/ TraderID Recognized")</f>
        <v>Email Account/ TraderID Recognized</v>
      </c>
      <c r="H1276" s="112" t="str">
        <f>IFERROR(__xludf.DUMMYFUNCTION("""COMPUTED_VALUE"""),"NDXP220413P13475000")</f>
        <v>NDXP220413P13475000</v>
      </c>
      <c r="I1276" s="30">
        <f>IFERROR(__xludf.DUMMYFUNCTION("""COMPUTED_VALUE"""),8.0)</f>
        <v>8</v>
      </c>
      <c r="J1276" s="30"/>
      <c r="K1276" s="30" t="str">
        <f>IFERROR(__xludf.DUMMYFUNCTION("""COMPUTED_VALUE"""),"QTY, Limit Price (if any) &amp; Password input correct")</f>
        <v>QTY, Limit Price (if any) &amp; Password input correct</v>
      </c>
      <c r="L1276" s="30"/>
    </row>
    <row r="1277">
      <c r="A1277" s="5"/>
      <c r="B1277" s="118">
        <f>IFERROR(__xludf.DUMMYFUNCTION("""COMPUTED_VALUE"""),44663.162263356484)</f>
        <v>44663.16226</v>
      </c>
      <c r="C1277" s="120">
        <f>IFERROR(__xludf.DUMMYFUNCTION("""COMPUTED_VALUE"""),44662.666666666664)</f>
        <v>44662.66667</v>
      </c>
      <c r="D1277" s="5" t="str">
        <f>IFERROR(__xludf.DUMMYFUNCTION("""COMPUTED_VALUE"""),"TraderX")</f>
        <v>TraderX</v>
      </c>
      <c r="E1277" s="5" t="str">
        <f>IFERROR(__xludf.DUMMYFUNCTION("""COMPUTED_VALUE"""),"Option")</f>
        <v>Option</v>
      </c>
      <c r="F1277" s="5" t="str">
        <f>IFERROR(__xludf.DUMMYFUNCTION("""COMPUTED_VALUE"""),"USD")</f>
        <v>USD</v>
      </c>
      <c r="G1277" s="30" t="str">
        <f>IFERROR(__xludf.DUMMYFUNCTION("""COMPUTED_VALUE"""),"Email Account/ TraderID Recognized")</f>
        <v>Email Account/ TraderID Recognized</v>
      </c>
      <c r="H1277" s="112" t="str">
        <f>IFERROR(__xludf.DUMMYFUNCTION("""COMPUTED_VALUE"""),"NDXP220413C14625000")</f>
        <v>NDXP220413C14625000</v>
      </c>
      <c r="I1277" s="30">
        <f>IFERROR(__xludf.DUMMYFUNCTION("""COMPUTED_VALUE"""),8.0)</f>
        <v>8</v>
      </c>
      <c r="J1277" s="30"/>
      <c r="K1277" s="30" t="str">
        <f>IFERROR(__xludf.DUMMYFUNCTION("""COMPUTED_VALUE"""),"QTY, Limit Price (if any) &amp; Password input correct")</f>
        <v>QTY, Limit Price (if any) &amp; Password input correct</v>
      </c>
      <c r="L1277" s="30"/>
    </row>
    <row r="1278">
      <c r="A1278" s="5"/>
      <c r="B1278" s="118">
        <f>IFERROR(__xludf.DUMMYFUNCTION("""COMPUTED_VALUE"""),44663.16260972222)</f>
        <v>44663.16261</v>
      </c>
      <c r="C1278" s="120">
        <f>IFERROR(__xludf.DUMMYFUNCTION("""COMPUTED_VALUE"""),44662.666666666664)</f>
        <v>44662.66667</v>
      </c>
      <c r="D1278" s="5" t="str">
        <f>IFERROR(__xludf.DUMMYFUNCTION("""COMPUTED_VALUE"""),"TraderX")</f>
        <v>TraderX</v>
      </c>
      <c r="E1278" s="5" t="str">
        <f>IFERROR(__xludf.DUMMYFUNCTION("""COMPUTED_VALUE"""),"Option")</f>
        <v>Option</v>
      </c>
      <c r="F1278" s="5" t="str">
        <f>IFERROR(__xludf.DUMMYFUNCTION("""COMPUTED_VALUE"""),"USD")</f>
        <v>USD</v>
      </c>
      <c r="G1278" s="30" t="str">
        <f>IFERROR(__xludf.DUMMYFUNCTION("""COMPUTED_VALUE"""),"Email Account/ TraderID Recognized")</f>
        <v>Email Account/ TraderID Recognized</v>
      </c>
      <c r="H1278" s="112" t="str">
        <f>IFERROR(__xludf.DUMMYFUNCTION("""COMPUTED_VALUE"""),"NDXP220413C14525000")</f>
        <v>NDXP220413C14525000</v>
      </c>
      <c r="I1278" s="30">
        <f>IFERROR(__xludf.DUMMYFUNCTION("""COMPUTED_VALUE"""),8.0)</f>
        <v>8</v>
      </c>
      <c r="J1278" s="30"/>
      <c r="K1278" s="30" t="str">
        <f>IFERROR(__xludf.DUMMYFUNCTION("""COMPUTED_VALUE"""),"QTY, Limit Price (if any) &amp; Password input correct")</f>
        <v>QTY, Limit Price (if any) &amp; Password input correct</v>
      </c>
      <c r="L1278" s="30"/>
    </row>
    <row r="1279">
      <c r="A1279" s="5"/>
      <c r="B1279" s="118">
        <f>IFERROR(__xludf.DUMMYFUNCTION("""COMPUTED_VALUE"""),44663.39932278935)</f>
        <v>44663.39932</v>
      </c>
      <c r="C1279" s="120">
        <f>IFERROR(__xludf.DUMMYFUNCTION("""COMPUTED_VALUE"""),44663.666666666664)</f>
        <v>44663.66667</v>
      </c>
      <c r="D1279" s="5" t="str">
        <f>IFERROR(__xludf.DUMMYFUNCTION("""COMPUTED_VALUE"""),"37568")</f>
        <v>37568</v>
      </c>
      <c r="E1279" s="5" t="str">
        <f>IFERROR(__xludf.DUMMYFUNCTION("""COMPUTED_VALUE"""),"Stock")</f>
        <v>Stock</v>
      </c>
      <c r="F1279" s="5" t="str">
        <f>IFERROR(__xludf.DUMMYFUNCTION("""COMPUTED_VALUE"""),"HKD")</f>
        <v>HKD</v>
      </c>
      <c r="G1279" s="30" t="str">
        <f>IFERROR(__xludf.DUMMYFUNCTION("""COMPUTED_VALUE"""),"Email Account/ TraderID Recognized")</f>
        <v>Email Account/ TraderID Recognized</v>
      </c>
      <c r="H1279" s="125" t="str">
        <f>IFERROR(__xludf.DUMMYFUNCTION("""COMPUTED_VALUE"""),"9939.HK")</f>
        <v>9939.HK</v>
      </c>
      <c r="I1279" s="30">
        <f>IFERROR(__xludf.DUMMYFUNCTION("""COMPUTED_VALUE"""),500.0)</f>
        <v>500</v>
      </c>
      <c r="J1279" s="30"/>
      <c r="K1279" s="30" t="str">
        <f>IFERROR(__xludf.DUMMYFUNCTION("""COMPUTED_VALUE"""),"QTY, Limit Price (if any) &amp; Password input correct")</f>
        <v>QTY, Limit Price (if any) &amp; Password input correct</v>
      </c>
      <c r="L1279" s="30"/>
    </row>
    <row r="1280">
      <c r="A1280" s="5"/>
      <c r="B1280" s="118">
        <f>IFERROR(__xludf.DUMMYFUNCTION("""COMPUTED_VALUE"""),44663.42070570602)</f>
        <v>44663.42071</v>
      </c>
      <c r="C1280" s="120" t="str">
        <f>IFERROR(__xludf.DUMMYFUNCTION("""COMPUTED_VALUE"""),"")</f>
        <v/>
      </c>
      <c r="D1280" s="5" t="str">
        <f>IFERROR(__xludf.DUMMYFUNCTION("""COMPUTED_VALUE"""),"37568")</f>
        <v>37568</v>
      </c>
      <c r="E1280" s="5" t="str">
        <f>IFERROR(__xludf.DUMMYFUNCTION("""COMPUTED_VALUE"""),"Stock")</f>
        <v>Stock</v>
      </c>
      <c r="F1280" s="5" t="str">
        <f>IFERROR(__xludf.DUMMYFUNCTION("""COMPUTED_VALUE"""),"error")</f>
        <v>error</v>
      </c>
      <c r="G1280" s="30" t="str">
        <f>IFERROR(__xludf.DUMMYFUNCTION("""COMPUTED_VALUE"""),"Email Account/ TraderID Recognized")</f>
        <v>Email Account/ TraderID Recognized</v>
      </c>
      <c r="H1280" s="112" t="str">
        <f>IFERROR(__xludf.DUMMYFUNCTION("""COMPUTED_VALUE"""),"00700.HKM")</f>
        <v>00700.HKM</v>
      </c>
      <c r="I1280" s="30">
        <f>IFERROR(__xludf.DUMMYFUNCTION("""COMPUTED_VALUE"""),500.0)</f>
        <v>500</v>
      </c>
      <c r="J1280" s="30"/>
      <c r="K1280" s="30" t="str">
        <f>IFERROR(__xludf.DUMMYFUNCTION("""COMPUTED_VALUE"""),"QTY, Limit Price (if any) &amp; Password input correct")</f>
        <v>QTY, Limit Price (if any) &amp; Password input correct</v>
      </c>
      <c r="L1280" s="30" t="str">
        <f>IFERROR(__xludf.DUMMYFUNCTION("""COMPUTED_VALUE"""),"Order is rejected due to wrong ticker code.")</f>
        <v>Order is rejected due to wrong ticker code.</v>
      </c>
    </row>
    <row r="1281">
      <c r="A1281" s="5"/>
      <c r="B1281" s="118">
        <f>IFERROR(__xludf.DUMMYFUNCTION("""COMPUTED_VALUE"""),44663.438047407406)</f>
        <v>44663.43805</v>
      </c>
      <c r="C1281" s="120">
        <f>IFERROR(__xludf.DUMMYFUNCTION("""COMPUTED_VALUE"""),44663.666666666664)</f>
        <v>44663.66667</v>
      </c>
      <c r="D1281" s="5" t="str">
        <f>IFERROR(__xludf.DUMMYFUNCTION("""COMPUTED_VALUE"""),"76796")</f>
        <v>76796</v>
      </c>
      <c r="E1281" s="5" t="str">
        <f>IFERROR(__xludf.DUMMYFUNCTION("""COMPUTED_VALUE"""),"Stock")</f>
        <v>Stock</v>
      </c>
      <c r="F1281" s="5" t="str">
        <f>IFERROR(__xludf.DUMMYFUNCTION("""COMPUTED_VALUE"""),"USD")</f>
        <v>USD</v>
      </c>
      <c r="G1281" s="30" t="str">
        <f>IFERROR(__xludf.DUMMYFUNCTION("""COMPUTED_VALUE"""),"Email Account/ TraderID Recognized")</f>
        <v>Email Account/ TraderID Recognized</v>
      </c>
      <c r="H1281" s="112" t="str">
        <f>IFERROR(__xludf.DUMMYFUNCTION("""COMPUTED_VALUE"""),"MSFT")</f>
        <v>MSFT</v>
      </c>
      <c r="I1281" s="30">
        <f>IFERROR(__xludf.DUMMYFUNCTION("""COMPUTED_VALUE"""),1000.0)</f>
        <v>1000</v>
      </c>
      <c r="J1281" s="30"/>
      <c r="K1281" s="30" t="str">
        <f>IFERROR(__xludf.DUMMYFUNCTION("""COMPUTED_VALUE"""),"QTY, Limit Price (if any) &amp; Password input correct")</f>
        <v>QTY, Limit Price (if any) &amp; Password input correct</v>
      </c>
      <c r="L1281" s="30"/>
    </row>
    <row r="1282">
      <c r="A1282" s="5"/>
      <c r="B1282" s="118">
        <f>IFERROR(__xludf.DUMMYFUNCTION("""COMPUTED_VALUE"""),44663.457127511574)</f>
        <v>44663.45713</v>
      </c>
      <c r="C1282" s="120" t="str">
        <f>IFERROR(__xludf.DUMMYFUNCTION("""COMPUTED_VALUE"""),"")</f>
        <v/>
      </c>
      <c r="D1282" s="5" t="str">
        <f>IFERROR(__xludf.DUMMYFUNCTION("""COMPUTED_VALUE"""),"40776")</f>
        <v>40776</v>
      </c>
      <c r="E1282" s="5" t="str">
        <f>IFERROR(__xludf.DUMMYFUNCTION("""COMPUTED_VALUE"""),"Stock")</f>
        <v>Stock</v>
      </c>
      <c r="F1282" s="5" t="str">
        <f>IFERROR(__xludf.DUMMYFUNCTION("""COMPUTED_VALUE"""),"error")</f>
        <v>error</v>
      </c>
      <c r="G1282" s="30" t="str">
        <f>IFERROR(__xludf.DUMMYFUNCTION("""COMPUTED_VALUE"""),"Email Account/ TraderID Recognized")</f>
        <v>Email Account/ TraderID Recognized</v>
      </c>
      <c r="H1282" s="112">
        <f>IFERROR(__xludf.DUMMYFUNCTION("""COMPUTED_VALUE"""),9626.0)</f>
        <v>9626</v>
      </c>
      <c r="I1282" s="30">
        <f>IFERROR(__xludf.DUMMYFUNCTION("""COMPUTED_VALUE"""),500.0)</f>
        <v>500</v>
      </c>
      <c r="J1282" s="30">
        <f>IFERROR(__xludf.DUMMYFUNCTION("""COMPUTED_VALUE"""),200.6)</f>
        <v>200.6</v>
      </c>
      <c r="K1282" s="30" t="str">
        <f>IFERROR(__xludf.DUMMYFUNCTION("""COMPUTED_VALUE"""),"QTY, Limit Price (if any) &amp; Password input correct")</f>
        <v>QTY, Limit Price (if any) &amp; Password input correct</v>
      </c>
      <c r="L1282" s="30" t="str">
        <f>IFERROR(__xludf.DUMMYFUNCTION("""COMPUTED_VALUE"""),"Order is rejected due to wrong ticker code.")</f>
        <v>Order is rejected due to wrong ticker code.</v>
      </c>
    </row>
    <row r="1283">
      <c r="A1283" s="5"/>
      <c r="B1283" s="118">
        <f>IFERROR(__xludf.DUMMYFUNCTION("""COMPUTED_VALUE"""),44663.459189236106)</f>
        <v>44663.45919</v>
      </c>
      <c r="C1283" s="120" t="str">
        <f>IFERROR(__xludf.DUMMYFUNCTION("""COMPUTED_VALUE"""),"")</f>
        <v/>
      </c>
      <c r="D1283" s="5" t="str">
        <f>IFERROR(__xludf.DUMMYFUNCTION("""COMPUTED_VALUE"""),"40776")</f>
        <v>40776</v>
      </c>
      <c r="E1283" s="5" t="str">
        <f>IFERROR(__xludf.DUMMYFUNCTION("""COMPUTED_VALUE"""),"Stock")</f>
        <v>Stock</v>
      </c>
      <c r="F1283" s="5" t="str">
        <f>IFERROR(__xludf.DUMMYFUNCTION("""COMPUTED_VALUE"""),"error")</f>
        <v>error</v>
      </c>
      <c r="G1283" s="30" t="str">
        <f>IFERROR(__xludf.DUMMYFUNCTION("""COMPUTED_VALUE"""),"Email Account/ TraderID Recognized")</f>
        <v>Email Account/ TraderID Recognized</v>
      </c>
      <c r="H1283" s="112">
        <f>IFERROR(__xludf.DUMMYFUNCTION("""COMPUTED_VALUE"""),9988.0)</f>
        <v>9988</v>
      </c>
      <c r="I1283" s="30">
        <f>IFERROR(__xludf.DUMMYFUNCTION("""COMPUTED_VALUE"""),450.0)</f>
        <v>450</v>
      </c>
      <c r="J1283" s="30">
        <f>IFERROR(__xludf.DUMMYFUNCTION("""COMPUTED_VALUE"""),97.25)</f>
        <v>97.25</v>
      </c>
      <c r="K1283" s="30" t="str">
        <f>IFERROR(__xludf.DUMMYFUNCTION("""COMPUTED_VALUE"""),"QTY, Limit Price (if any) &amp; Password input correct")</f>
        <v>QTY, Limit Price (if any) &amp; Password input correct</v>
      </c>
      <c r="L1283" s="30" t="str">
        <f>IFERROR(__xludf.DUMMYFUNCTION("""COMPUTED_VALUE"""),"Order is rejected due to wrong ticker code.")</f>
        <v>Order is rejected due to wrong ticker code.</v>
      </c>
    </row>
    <row r="1284">
      <c r="A1284" s="5"/>
      <c r="B1284" s="118">
        <f>IFERROR(__xludf.DUMMYFUNCTION("""COMPUTED_VALUE"""),44663.46178866898)</f>
        <v>44663.46179</v>
      </c>
      <c r="C1284" s="120">
        <f>IFERROR(__xludf.DUMMYFUNCTION("""COMPUTED_VALUE"""),44663.666666666664)</f>
        <v>44663.66667</v>
      </c>
      <c r="D1284" s="5" t="str">
        <f>IFERROR(__xludf.DUMMYFUNCTION("""COMPUTED_VALUE"""),"89845")</f>
        <v>89845</v>
      </c>
      <c r="E1284" s="5" t="str">
        <f>IFERROR(__xludf.DUMMYFUNCTION("""COMPUTED_VALUE"""),"Stock")</f>
        <v>Stock</v>
      </c>
      <c r="F1284" s="5" t="str">
        <f>IFERROR(__xludf.DUMMYFUNCTION("""COMPUTED_VALUE"""),"USD")</f>
        <v>USD</v>
      </c>
      <c r="G1284" s="30" t="str">
        <f>IFERROR(__xludf.DUMMYFUNCTION("""COMPUTED_VALUE"""),"Email Account/ TraderID Recognized")</f>
        <v>Email Account/ TraderID Recognized</v>
      </c>
      <c r="H1284" s="112" t="str">
        <f>IFERROR(__xludf.DUMMYFUNCTION("""COMPUTED_VALUE"""),"TWTR")</f>
        <v>TWTR</v>
      </c>
      <c r="I1284" s="30">
        <f>IFERROR(__xludf.DUMMYFUNCTION("""COMPUTED_VALUE"""),200.0)</f>
        <v>200</v>
      </c>
      <c r="J1284" s="30"/>
      <c r="K1284" s="30" t="str">
        <f>IFERROR(__xludf.DUMMYFUNCTION("""COMPUTED_VALUE"""),"QTY, Limit Price (if any) &amp; Password input correct")</f>
        <v>QTY, Limit Price (if any) &amp; Password input correct</v>
      </c>
      <c r="L1284" s="30"/>
    </row>
    <row r="1285">
      <c r="A1285" s="5"/>
      <c r="B1285" s="118">
        <f>IFERROR(__xludf.DUMMYFUNCTION("""COMPUTED_VALUE"""),44663.46504203704)</f>
        <v>44663.46504</v>
      </c>
      <c r="C1285" s="120" t="str">
        <f>IFERROR(__xludf.DUMMYFUNCTION("""COMPUTED_VALUE"""),"")</f>
        <v/>
      </c>
      <c r="D1285" s="5" t="str">
        <f>IFERROR(__xludf.DUMMYFUNCTION("""COMPUTED_VALUE"""),"40658")</f>
        <v>40658</v>
      </c>
      <c r="E1285" s="5" t="str">
        <f>IFERROR(__xludf.DUMMYFUNCTION("""COMPUTED_VALUE"""),"Stock")</f>
        <v>Stock</v>
      </c>
      <c r="F1285" s="5" t="str">
        <f>IFERROR(__xludf.DUMMYFUNCTION("""COMPUTED_VALUE"""),"error")</f>
        <v>error</v>
      </c>
      <c r="G1285" s="30" t="str">
        <f>IFERROR(__xludf.DUMMYFUNCTION("""COMPUTED_VALUE"""),"Email Account/ TraderID Recognized")</f>
        <v>Email Account/ TraderID Recognized</v>
      </c>
      <c r="H1285" s="112" t="str">
        <f>IFERROR(__xludf.DUMMYFUNCTION("""COMPUTED_VALUE"""),"TSLA")</f>
        <v>TSLA</v>
      </c>
      <c r="I1285" s="30">
        <f>IFERROR(__xludf.DUMMYFUNCTION("""COMPUTED_VALUE"""),1000.0)</f>
        <v>1000</v>
      </c>
      <c r="J1285" s="30" t="str">
        <f>IFERROR(__xludf.DUMMYFUNCTION("""COMPUTED_VALUE"""),"Limit Sell @ 900 - if Closing @ 1000 = Executed price @ 1000; if Closing @ 800 = no execution")</f>
        <v>Limit Sell @ 900 - if Closing @ 1000 = Executed price @ 1000; if Closing @ 800 = no execution</v>
      </c>
      <c r="K1285" s="30" t="str">
        <f>IFERROR(__xludf.DUMMYFUNCTION("""COMPUTED_VALUE"""),"Non-number input in Quantity or Limit Price")</f>
        <v>Non-number input in Quantity or Limit Price</v>
      </c>
      <c r="L1285" s="30"/>
    </row>
    <row r="1286">
      <c r="A1286" s="5"/>
      <c r="B1286" s="118">
        <f>IFERROR(__xludf.DUMMYFUNCTION("""COMPUTED_VALUE"""),44663.46745975694)</f>
        <v>44663.46746</v>
      </c>
      <c r="C1286" s="120" t="str">
        <f>IFERROR(__xludf.DUMMYFUNCTION("""COMPUTED_VALUE"""),"")</f>
        <v/>
      </c>
      <c r="D1286" s="5" t="str">
        <f>IFERROR(__xludf.DUMMYFUNCTION("""COMPUTED_VALUE"""),"40658")</f>
        <v>40658</v>
      </c>
      <c r="E1286" s="5" t="str">
        <f>IFERROR(__xludf.DUMMYFUNCTION("""COMPUTED_VALUE"""),"Stock")</f>
        <v>Stock</v>
      </c>
      <c r="F1286" s="5" t="str">
        <f>IFERROR(__xludf.DUMMYFUNCTION("""COMPUTED_VALUE"""),"error")</f>
        <v>error</v>
      </c>
      <c r="G1286" s="30" t="str">
        <f>IFERROR(__xludf.DUMMYFUNCTION("""COMPUTED_VALUE"""),"Email Account/ TraderID Recognized")</f>
        <v>Email Account/ TraderID Recognized</v>
      </c>
      <c r="H1286" s="112" t="str">
        <f>IFERROR(__xludf.DUMMYFUNCTION("""COMPUTED_VALUE"""),"AAPL")</f>
        <v>AAPL</v>
      </c>
      <c r="I1286" s="30">
        <f>IFERROR(__xludf.DUMMYFUNCTION("""COMPUTED_VALUE"""),1000.0)</f>
        <v>1000</v>
      </c>
      <c r="J1286" s="30" t="str">
        <f>IFERROR(__xludf.DUMMYFUNCTION("""COMPUTED_VALUE"""),": Limit Sell @ 150 - if Closing @ 170 = Executed price @ 150; if Closing @ 130 = no execution")</f>
        <v>: Limit Sell @ 150 - if Closing @ 170 = Executed price @ 150; if Closing @ 130 = no execution</v>
      </c>
      <c r="K1286" s="30" t="str">
        <f>IFERROR(__xludf.DUMMYFUNCTION("""COMPUTED_VALUE"""),"Non-number input in Quantity or Limit Price")</f>
        <v>Non-number input in Quantity or Limit Price</v>
      </c>
      <c r="L1286" s="30"/>
    </row>
    <row r="1287">
      <c r="A1287" s="5"/>
      <c r="B1287" s="118">
        <f>IFERROR(__xludf.DUMMYFUNCTION("""COMPUTED_VALUE"""),44663.48080549769)</f>
        <v>44663.48081</v>
      </c>
      <c r="C1287" s="120">
        <f>IFERROR(__xludf.DUMMYFUNCTION("""COMPUTED_VALUE"""),44663.666666666664)</f>
        <v>44663.66667</v>
      </c>
      <c r="D1287" s="5" t="str">
        <f>IFERROR(__xludf.DUMMYFUNCTION("""COMPUTED_VALUE"""),"40658")</f>
        <v>40658</v>
      </c>
      <c r="E1287" s="5" t="str">
        <f>IFERROR(__xludf.DUMMYFUNCTION("""COMPUTED_VALUE"""),"Stock")</f>
        <v>Stock</v>
      </c>
      <c r="F1287" s="5" t="str">
        <f>IFERROR(__xludf.DUMMYFUNCTION("""COMPUTED_VALUE"""),"USD")</f>
        <v>USD</v>
      </c>
      <c r="G1287" s="30" t="str">
        <f>IFERROR(__xludf.DUMMYFUNCTION("""COMPUTED_VALUE"""),"Email Account/ TraderID Recognized")</f>
        <v>Email Account/ TraderID Recognized</v>
      </c>
      <c r="H1287" s="112" t="str">
        <f>IFERROR(__xludf.DUMMYFUNCTION("""COMPUTED_VALUE"""),"AAPL")</f>
        <v>AAPL</v>
      </c>
      <c r="I1287" s="30">
        <f>IFERROR(__xludf.DUMMYFUNCTION("""COMPUTED_VALUE"""),10000.0)</f>
        <v>10000</v>
      </c>
      <c r="J1287" s="30"/>
      <c r="K1287" s="30" t="str">
        <f>IFERROR(__xludf.DUMMYFUNCTION("""COMPUTED_VALUE"""),"QTY, Limit Price (if any) &amp; Password input correct")</f>
        <v>QTY, Limit Price (if any) &amp; Password input correct</v>
      </c>
      <c r="L1287" s="30"/>
    </row>
    <row r="1288">
      <c r="A1288" s="5"/>
      <c r="B1288" s="118">
        <f>IFERROR(__xludf.DUMMYFUNCTION("""COMPUTED_VALUE"""),44663.497297187496)</f>
        <v>44663.4973</v>
      </c>
      <c r="C1288" s="120">
        <f>IFERROR(__xludf.DUMMYFUNCTION("""COMPUTED_VALUE"""),44663.666666666664)</f>
        <v>44663.66667</v>
      </c>
      <c r="D1288" s="5" t="str">
        <f>IFERROR(__xludf.DUMMYFUNCTION("""COMPUTED_VALUE"""),"77603")</f>
        <v>77603</v>
      </c>
      <c r="E1288" s="5" t="str">
        <f>IFERROR(__xludf.DUMMYFUNCTION("""COMPUTED_VALUE"""),"Stock")</f>
        <v>Stock</v>
      </c>
      <c r="F1288" s="5" t="str">
        <f>IFERROR(__xludf.DUMMYFUNCTION("""COMPUTED_VALUE"""),"HKD")</f>
        <v>HKD</v>
      </c>
      <c r="G1288" s="30" t="str">
        <f>IFERROR(__xludf.DUMMYFUNCTION("""COMPUTED_VALUE"""),"Email Account/ TraderID Recognized")</f>
        <v>Email Account/ TraderID Recognized</v>
      </c>
      <c r="H1288" s="125" t="str">
        <f>IFERROR(__xludf.DUMMYFUNCTION("""COMPUTED_VALUE"""),"1024.HK")</f>
        <v>1024.HK</v>
      </c>
      <c r="I1288" s="30">
        <f>IFERROR(__xludf.DUMMYFUNCTION("""COMPUTED_VALUE"""),4000.0)</f>
        <v>4000</v>
      </c>
      <c r="J1288" s="30">
        <f>IFERROR(__xludf.DUMMYFUNCTION("""COMPUTED_VALUE"""),58.55)</f>
        <v>58.55</v>
      </c>
      <c r="K1288" s="30" t="str">
        <f>IFERROR(__xludf.DUMMYFUNCTION("""COMPUTED_VALUE"""),"QTY, Limit Price (if any) &amp; Password input correct")</f>
        <v>QTY, Limit Price (if any) &amp; Password input correct</v>
      </c>
      <c r="L1288" s="30"/>
    </row>
    <row r="1289">
      <c r="A1289" s="5"/>
      <c r="B1289" s="118">
        <f>IFERROR(__xludf.DUMMYFUNCTION("""COMPUTED_VALUE"""),44663.50967871527)</f>
        <v>44663.50968</v>
      </c>
      <c r="C1289" s="120" t="str">
        <f>IFERROR(__xludf.DUMMYFUNCTION("""COMPUTED_VALUE"""),"")</f>
        <v/>
      </c>
      <c r="D1289" s="5" t="str">
        <f>IFERROR(__xludf.DUMMYFUNCTION("""COMPUTED_VALUE"""),"")</f>
        <v/>
      </c>
      <c r="E1289" s="5" t="str">
        <f>IFERROR(__xludf.DUMMYFUNCTION("""COMPUTED_VALUE"""),"Stock")</f>
        <v>Stock</v>
      </c>
      <c r="F1289" s="5" t="str">
        <f>IFERROR(__xludf.DUMMYFUNCTION("""COMPUTED_VALUE"""),"error")</f>
        <v>error</v>
      </c>
      <c r="G1289" s="30" t="str">
        <f>IFERROR(__xludf.DUMMYFUNCTION("""COMPUTED_VALUE"""),"mikexxxxxx@nonHKMUemail")</f>
        <v>mikexxxxxx@nonHKMUemail</v>
      </c>
      <c r="H1289" s="112">
        <f>IFERROR(__xludf.DUMMYFUNCTION("""COMPUTED_VALUE"""),45969.0)</f>
        <v>45969</v>
      </c>
      <c r="I1289" s="30">
        <f>IFERROR(__xludf.DUMMYFUNCTION("""COMPUTED_VALUE"""),45969.0)</f>
        <v>45969</v>
      </c>
      <c r="J1289" s="30">
        <f>IFERROR(__xludf.DUMMYFUNCTION("""COMPUTED_VALUE"""),100.0)</f>
        <v>100</v>
      </c>
      <c r="K1289" s="30" t="str">
        <f>IFERROR(__xludf.DUMMYFUNCTION("""COMPUTED_VALUE"""),"Wrong Password Submitted, Order will be rejected")</f>
        <v>Wrong Password Submitted, Order will be rejected</v>
      </c>
      <c r="L1289" s="30" t="str">
        <f>IFERROR(__xludf.DUMMYFUNCTION("""COMPUTED_VALUE"""),"Order will be rejected also due to wrong ticker code, besides non school email address.")</f>
        <v>Order will be rejected also due to wrong ticker code, besides non school email address.</v>
      </c>
    </row>
    <row r="1290">
      <c r="A1290" s="5"/>
      <c r="B1290" s="118">
        <f>IFERROR(__xludf.DUMMYFUNCTION("""COMPUTED_VALUE"""),44663.58222582176)</f>
        <v>44663.58223</v>
      </c>
      <c r="C1290" s="120">
        <f>IFERROR(__xludf.DUMMYFUNCTION("""COMPUTED_VALUE"""),44663.666666666664)</f>
        <v>44663.66667</v>
      </c>
      <c r="D1290" s="5" t="str">
        <f>IFERROR(__xludf.DUMMYFUNCTION("""COMPUTED_VALUE"""),"38209")</f>
        <v>38209</v>
      </c>
      <c r="E1290" s="5" t="str">
        <f>IFERROR(__xludf.DUMMYFUNCTION("""COMPUTED_VALUE"""),"Stock")</f>
        <v>Stock</v>
      </c>
      <c r="F1290" s="5" t="str">
        <f>IFERROR(__xludf.DUMMYFUNCTION("""COMPUTED_VALUE"""),"HKD")</f>
        <v>HKD</v>
      </c>
      <c r="G1290" s="30" t="str">
        <f>IFERROR(__xludf.DUMMYFUNCTION("""COMPUTED_VALUE"""),"Email Account/ TraderID Recognized")</f>
        <v>Email Account/ TraderID Recognized</v>
      </c>
      <c r="H1290" s="125" t="str">
        <f>IFERROR(__xludf.DUMMYFUNCTION("""COMPUTED_VALUE"""),"1024.HK")</f>
        <v>1024.HK</v>
      </c>
      <c r="I1290" s="30">
        <f>IFERROR(__xludf.DUMMYFUNCTION("""COMPUTED_VALUE"""),200.0)</f>
        <v>200</v>
      </c>
      <c r="J1290" s="30"/>
      <c r="K1290" s="30" t="str">
        <f>IFERROR(__xludf.DUMMYFUNCTION("""COMPUTED_VALUE"""),"QTY, Limit Price (if any) &amp; Password input correct")</f>
        <v>QTY, Limit Price (if any) &amp; Password input correct</v>
      </c>
      <c r="L1290" s="30"/>
    </row>
    <row r="1291">
      <c r="A1291" s="5"/>
      <c r="B1291" s="118">
        <f>IFERROR(__xludf.DUMMYFUNCTION("""COMPUTED_VALUE"""),44663.61070846065)</f>
        <v>44663.61071</v>
      </c>
      <c r="C1291" s="120">
        <f>IFERROR(__xludf.DUMMYFUNCTION("""COMPUTED_VALUE"""),44663.666666666664)</f>
        <v>44663.66667</v>
      </c>
      <c r="D1291" s="5" t="str">
        <f>IFERROR(__xludf.DUMMYFUNCTION("""COMPUTED_VALUE"""),"39441")</f>
        <v>39441</v>
      </c>
      <c r="E1291" s="5" t="str">
        <f>IFERROR(__xludf.DUMMYFUNCTION("""COMPUTED_VALUE"""),"Stock")</f>
        <v>Stock</v>
      </c>
      <c r="F1291" s="5" t="str">
        <f>IFERROR(__xludf.DUMMYFUNCTION("""COMPUTED_VALUE"""),"USD")</f>
        <v>USD</v>
      </c>
      <c r="G1291" s="30" t="str">
        <f>IFERROR(__xludf.DUMMYFUNCTION("""COMPUTED_VALUE"""),"Email Account/ TraderID Recognized")</f>
        <v>Email Account/ TraderID Recognized</v>
      </c>
      <c r="H1291" s="112" t="str">
        <f>IFERROR(__xludf.DUMMYFUNCTION("""COMPUTED_VALUE"""),"BABA")</f>
        <v>BABA</v>
      </c>
      <c r="I1291" s="30">
        <f>IFERROR(__xludf.DUMMYFUNCTION("""COMPUTED_VALUE"""),280.0)</f>
        <v>280</v>
      </c>
      <c r="J1291" s="30">
        <f>IFERROR(__xludf.DUMMYFUNCTION("""COMPUTED_VALUE"""),99.98)</f>
        <v>99.98</v>
      </c>
      <c r="K1291" s="30" t="str">
        <f>IFERROR(__xludf.DUMMYFUNCTION("""COMPUTED_VALUE"""),"QTY, Limit Price (if any) &amp; Password input correct")</f>
        <v>QTY, Limit Price (if any) &amp; Password input correct</v>
      </c>
      <c r="L1291" s="30"/>
    </row>
    <row r="1292">
      <c r="A1292" s="5"/>
      <c r="B1292" s="118">
        <f>IFERROR(__xludf.DUMMYFUNCTION("""COMPUTED_VALUE"""),44663.61526774305)</f>
        <v>44663.61527</v>
      </c>
      <c r="C1292" s="120">
        <f>IFERROR(__xludf.DUMMYFUNCTION("""COMPUTED_VALUE"""),44663.625)</f>
        <v>44663.625</v>
      </c>
      <c r="D1292" s="5" t="str">
        <f>IFERROR(__xludf.DUMMYFUNCTION("""COMPUTED_VALUE"""),"38209")</f>
        <v>38209</v>
      </c>
      <c r="E1292" s="5" t="str">
        <f>IFERROR(__xludf.DUMMYFUNCTION("""COMPUTED_VALUE"""),"Stock")</f>
        <v>Stock</v>
      </c>
      <c r="F1292" s="5" t="str">
        <f>IFERROR(__xludf.DUMMYFUNCTION("""COMPUTED_VALUE"""),"CNY")</f>
        <v>CNY</v>
      </c>
      <c r="G1292" s="30" t="str">
        <f>IFERROR(__xludf.DUMMYFUNCTION("""COMPUTED_VALUE"""),"Email Account/ TraderID Recognized")</f>
        <v>Email Account/ TraderID Recognized</v>
      </c>
      <c r="H1292" s="125" t="str">
        <f>IFERROR(__xludf.DUMMYFUNCTION("""COMPUTED_VALUE"""),"000568.SZ")</f>
        <v>000568.SZ</v>
      </c>
      <c r="I1292" s="30">
        <f>IFERROR(__xludf.DUMMYFUNCTION("""COMPUTED_VALUE"""),1000.0)</f>
        <v>1000</v>
      </c>
      <c r="J1292" s="30"/>
      <c r="K1292" s="30" t="str">
        <f>IFERROR(__xludf.DUMMYFUNCTION("""COMPUTED_VALUE"""),"QTY, Limit Price (if any) &amp; Password input correct")</f>
        <v>QTY, Limit Price (if any) &amp; Password input correct</v>
      </c>
      <c r="L1292" s="30"/>
    </row>
    <row r="1293">
      <c r="A1293" s="5"/>
      <c r="B1293" s="118">
        <f>IFERROR(__xludf.DUMMYFUNCTION("""COMPUTED_VALUE"""),44663.62226525463)</f>
        <v>44663.62227</v>
      </c>
      <c r="C1293" s="120">
        <f>IFERROR(__xludf.DUMMYFUNCTION("""COMPUTED_VALUE"""),44663.625)</f>
        <v>44663.625</v>
      </c>
      <c r="D1293" s="5" t="str">
        <f>IFERROR(__xludf.DUMMYFUNCTION("""COMPUTED_VALUE"""),"40318")</f>
        <v>40318</v>
      </c>
      <c r="E1293" s="5" t="str">
        <f>IFERROR(__xludf.DUMMYFUNCTION("""COMPUTED_VALUE"""),"Stock")</f>
        <v>Stock</v>
      </c>
      <c r="F1293" s="5" t="str">
        <f>IFERROR(__xludf.DUMMYFUNCTION("""COMPUTED_VALUE"""),"CNY")</f>
        <v>CNY</v>
      </c>
      <c r="G1293" s="30" t="str">
        <f>IFERROR(__xludf.DUMMYFUNCTION("""COMPUTED_VALUE"""),"Email Account/ TraderID Recognized")</f>
        <v>Email Account/ TraderID Recognized</v>
      </c>
      <c r="H1293" s="125" t="str">
        <f>IFERROR(__xludf.DUMMYFUNCTION("""COMPUTED_VALUE"""),"605089.SS")</f>
        <v>605089.SS</v>
      </c>
      <c r="I1293" s="30">
        <f>IFERROR(__xludf.DUMMYFUNCTION("""COMPUTED_VALUE"""),5500.0)</f>
        <v>5500</v>
      </c>
      <c r="J1293" s="30">
        <f>IFERROR(__xludf.DUMMYFUNCTION("""COMPUTED_VALUE"""),63.0)</f>
        <v>63</v>
      </c>
      <c r="K1293" s="30" t="str">
        <f>IFERROR(__xludf.DUMMYFUNCTION("""COMPUTED_VALUE"""),"QTY, Limit Price (if any) &amp; Password input correct")</f>
        <v>QTY, Limit Price (if any) &amp; Password input correct</v>
      </c>
      <c r="L1293" s="30"/>
    </row>
    <row r="1294">
      <c r="A1294" s="5"/>
      <c r="B1294" s="118">
        <f>IFERROR(__xludf.DUMMYFUNCTION("""COMPUTED_VALUE"""),44663.62412025463)</f>
        <v>44663.62412</v>
      </c>
      <c r="C1294" s="120" t="str">
        <f>IFERROR(__xludf.DUMMYFUNCTION("""COMPUTED_VALUE"""),"")</f>
        <v/>
      </c>
      <c r="D1294" s="5" t="str">
        <f>IFERROR(__xludf.DUMMYFUNCTION("""COMPUTED_VALUE"""),"18874")</f>
        <v>18874</v>
      </c>
      <c r="E1294" s="5" t="str">
        <f>IFERROR(__xludf.DUMMYFUNCTION("""COMPUTED_VALUE"""),"Stock")</f>
        <v>Stock</v>
      </c>
      <c r="F1294" s="5" t="str">
        <f>IFERROR(__xludf.DUMMYFUNCTION("""COMPUTED_VALUE"""),"error")</f>
        <v>error</v>
      </c>
      <c r="G1294" s="30" t="str">
        <f>IFERROR(__xludf.DUMMYFUNCTION("""COMPUTED_VALUE"""),"Email Account/ TraderID Recognized")</f>
        <v>Email Account/ TraderID Recognized</v>
      </c>
      <c r="H1294" s="112">
        <f>IFERROR(__xludf.DUMMYFUNCTION("""COMPUTED_VALUE"""),386.0)</f>
        <v>386</v>
      </c>
      <c r="I1294" s="30">
        <f>IFERROR(__xludf.DUMMYFUNCTION("""COMPUTED_VALUE"""),1000.0)</f>
        <v>1000</v>
      </c>
      <c r="J1294" s="30">
        <f>IFERROR(__xludf.DUMMYFUNCTION("""COMPUTED_VALUE"""),3.74)</f>
        <v>3.74</v>
      </c>
      <c r="K1294" s="30" t="str">
        <f>IFERROR(__xludf.DUMMYFUNCTION("""COMPUTED_VALUE"""),"QTY, Limit Price (if any) &amp; Password input correct")</f>
        <v>QTY, Limit Price (if any) &amp; Password input correct</v>
      </c>
      <c r="L1294" s="30" t="str">
        <f>IFERROR(__xludf.DUMMYFUNCTION("""COMPUTED_VALUE"""),"Order is rejected due to wrong ticker code.")</f>
        <v>Order is rejected due to wrong ticker code.</v>
      </c>
    </row>
    <row r="1295">
      <c r="A1295" s="5"/>
      <c r="B1295" s="118">
        <f>IFERROR(__xludf.DUMMYFUNCTION("""COMPUTED_VALUE"""),44663.626227754634)</f>
        <v>44663.62623</v>
      </c>
      <c r="C1295" s="120">
        <f>IFERROR(__xludf.DUMMYFUNCTION("""COMPUTED_VALUE"""),44664.625)</f>
        <v>44664.625</v>
      </c>
      <c r="D1295" s="5" t="str">
        <f>IFERROR(__xludf.DUMMYFUNCTION("""COMPUTED_VALUE"""),"79521")</f>
        <v>79521</v>
      </c>
      <c r="E1295" s="5" t="str">
        <f>IFERROR(__xludf.DUMMYFUNCTION("""COMPUTED_VALUE"""),"Stock")</f>
        <v>Stock</v>
      </c>
      <c r="F1295" s="5" t="str">
        <f>IFERROR(__xludf.DUMMYFUNCTION("""COMPUTED_VALUE"""),"CNY")</f>
        <v>CNY</v>
      </c>
      <c r="G1295" s="30" t="str">
        <f>IFERROR(__xludf.DUMMYFUNCTION("""COMPUTED_VALUE"""),"Email Account/ TraderID Recognized")</f>
        <v>Email Account/ TraderID Recognized</v>
      </c>
      <c r="H1295" s="125" t="str">
        <f>IFERROR(__xludf.DUMMYFUNCTION("""COMPUTED_VALUE"""),"605089.SS")</f>
        <v>605089.SS</v>
      </c>
      <c r="I1295" s="30">
        <f>IFERROR(__xludf.DUMMYFUNCTION("""COMPUTED_VALUE"""),1500.0)</f>
        <v>1500</v>
      </c>
      <c r="J1295" s="30"/>
      <c r="K1295" s="30" t="str">
        <f>IFERROR(__xludf.DUMMYFUNCTION("""COMPUTED_VALUE"""),"QTY, Limit Price (if any) &amp; Password input correct")</f>
        <v>QTY, Limit Price (if any) &amp; Password input correct</v>
      </c>
      <c r="L1295" s="30"/>
    </row>
    <row r="1296">
      <c r="A1296" s="5"/>
      <c r="B1296" s="118">
        <f>IFERROR(__xludf.DUMMYFUNCTION("""COMPUTED_VALUE"""),44663.62721840278)</f>
        <v>44663.62722</v>
      </c>
      <c r="C1296" s="120" t="str">
        <f>IFERROR(__xludf.DUMMYFUNCTION("""COMPUTED_VALUE"""),"")</f>
        <v/>
      </c>
      <c r="D1296" s="5" t="str">
        <f>IFERROR(__xludf.DUMMYFUNCTION("""COMPUTED_VALUE"""),"18874")</f>
        <v>18874</v>
      </c>
      <c r="E1296" s="5" t="str">
        <f>IFERROR(__xludf.DUMMYFUNCTION("""COMPUTED_VALUE"""),"Stock")</f>
        <v>Stock</v>
      </c>
      <c r="F1296" s="5" t="str">
        <f>IFERROR(__xludf.DUMMYFUNCTION("""COMPUTED_VALUE"""),"error")</f>
        <v>error</v>
      </c>
      <c r="G1296" s="30" t="str">
        <f>IFERROR(__xludf.DUMMYFUNCTION("""COMPUTED_VALUE"""),"Email Account/ TraderID Recognized")</f>
        <v>Email Account/ TraderID Recognized</v>
      </c>
      <c r="H1296" s="112">
        <f>IFERROR(__xludf.DUMMYFUNCTION("""COMPUTED_VALUE"""),1929.0)</f>
        <v>1929</v>
      </c>
      <c r="I1296" s="30">
        <f>IFERROR(__xludf.DUMMYFUNCTION("""COMPUTED_VALUE"""),5000.0)</f>
        <v>5000</v>
      </c>
      <c r="J1296" s="30">
        <f>IFERROR(__xludf.DUMMYFUNCTION("""COMPUTED_VALUE"""),12.5)</f>
        <v>12.5</v>
      </c>
      <c r="K1296" s="30" t="str">
        <f>IFERROR(__xludf.DUMMYFUNCTION("""COMPUTED_VALUE"""),"QTY, Limit Price (if any) &amp; Password input correct")</f>
        <v>QTY, Limit Price (if any) &amp; Password input correct</v>
      </c>
      <c r="L1296" s="30" t="str">
        <f>IFERROR(__xludf.DUMMYFUNCTION("""COMPUTED_VALUE"""),"Order is rejected due to wrong ticker code.")</f>
        <v>Order is rejected due to wrong ticker code.</v>
      </c>
    </row>
    <row r="1297">
      <c r="A1297" s="5"/>
      <c r="B1297" s="118">
        <f>IFERROR(__xludf.DUMMYFUNCTION("""COMPUTED_VALUE"""),44663.64552460648)</f>
        <v>44663.64552</v>
      </c>
      <c r="C1297" s="120" t="str">
        <f>IFERROR(__xludf.DUMMYFUNCTION("""COMPUTED_VALUE"""),"")</f>
        <v/>
      </c>
      <c r="D1297" s="5" t="str">
        <f>IFERROR(__xludf.DUMMYFUNCTION("""COMPUTED_VALUE"""),"18874")</f>
        <v>18874</v>
      </c>
      <c r="E1297" s="5" t="str">
        <f>IFERROR(__xludf.DUMMYFUNCTION("""COMPUTED_VALUE"""),"Stock")</f>
        <v>Stock</v>
      </c>
      <c r="F1297" s="5" t="str">
        <f>IFERROR(__xludf.DUMMYFUNCTION("""COMPUTED_VALUE"""),"error")</f>
        <v>error</v>
      </c>
      <c r="G1297" s="30" t="str">
        <f>IFERROR(__xludf.DUMMYFUNCTION("""COMPUTED_VALUE"""),"Email Account/ TraderID Recognized")</f>
        <v>Email Account/ TraderID Recognized</v>
      </c>
      <c r="H1297" s="112" t="str">
        <f>IFERROR(__xludf.DUMMYFUNCTION("""COMPUTED_VALUE"""),"01929")</f>
        <v>01929</v>
      </c>
      <c r="I1297" s="30">
        <f>IFERROR(__xludf.DUMMYFUNCTION("""COMPUTED_VALUE"""),5000.0)</f>
        <v>5000</v>
      </c>
      <c r="J1297" s="30">
        <f>IFERROR(__xludf.DUMMYFUNCTION("""COMPUTED_VALUE"""),12.5)</f>
        <v>12.5</v>
      </c>
      <c r="K1297" s="30" t="str">
        <f>IFERROR(__xludf.DUMMYFUNCTION("""COMPUTED_VALUE"""),"QTY, Limit Price (if any) &amp; Password input correct")</f>
        <v>QTY, Limit Price (if any) &amp; Password input correct</v>
      </c>
      <c r="L1297" s="30" t="str">
        <f>IFERROR(__xludf.DUMMYFUNCTION("""COMPUTED_VALUE"""),"Order is rejected due to wrong ticker code. Should be 1929.HK, not just 1929 (as system will not know if this is a Japanese stock or Korea stock)")</f>
        <v>Order is rejected due to wrong ticker code. Should be 1929.HK, not just 1929 (as system will not know if this is a Japanese stock or Korea stock)</v>
      </c>
    </row>
    <row r="1298">
      <c r="A1298" s="5"/>
      <c r="B1298" s="118">
        <f>IFERROR(__xludf.DUMMYFUNCTION("""COMPUTED_VALUE"""),44663.648060023144)</f>
        <v>44663.64806</v>
      </c>
      <c r="C1298" s="120" t="str">
        <f>IFERROR(__xludf.DUMMYFUNCTION("""COMPUTED_VALUE"""),"")</f>
        <v/>
      </c>
      <c r="D1298" s="5" t="str">
        <f>IFERROR(__xludf.DUMMYFUNCTION("""COMPUTED_VALUE"""),"18874")</f>
        <v>18874</v>
      </c>
      <c r="E1298" s="5" t="str">
        <f>IFERROR(__xludf.DUMMYFUNCTION("""COMPUTED_VALUE"""),"Stock")</f>
        <v>Stock</v>
      </c>
      <c r="F1298" s="5" t="str">
        <f>IFERROR(__xludf.DUMMYFUNCTION("""COMPUTED_VALUE"""),"error")</f>
        <v>error</v>
      </c>
      <c r="G1298" s="30" t="str">
        <f>IFERROR(__xludf.DUMMYFUNCTION("""COMPUTED_VALUE"""),"Email Account/ TraderID Recognized")</f>
        <v>Email Account/ TraderID Recognized</v>
      </c>
      <c r="H1298" s="112" t="str">
        <f>IFERROR(__xludf.DUMMYFUNCTION("""COMPUTED_VALUE"""),"00386")</f>
        <v>00386</v>
      </c>
      <c r="I1298" s="30">
        <f>IFERROR(__xludf.DUMMYFUNCTION("""COMPUTED_VALUE"""),1000.0)</f>
        <v>1000</v>
      </c>
      <c r="J1298" s="30">
        <f>IFERROR(__xludf.DUMMYFUNCTION("""COMPUTED_VALUE"""),3.31)</f>
        <v>3.31</v>
      </c>
      <c r="K1298" s="30" t="str">
        <f>IFERROR(__xludf.DUMMYFUNCTION("""COMPUTED_VALUE"""),"QTY, Limit Price (if any) &amp; Password input correct")</f>
        <v>QTY, Limit Price (if any) &amp; Password input correct</v>
      </c>
      <c r="L1298" s="30"/>
    </row>
    <row r="1299">
      <c r="A1299" s="5"/>
      <c r="B1299" s="118">
        <f>IFERROR(__xludf.DUMMYFUNCTION("""COMPUTED_VALUE"""),44663.65175521991)</f>
        <v>44663.65176</v>
      </c>
      <c r="C1299" s="120">
        <f>IFERROR(__xludf.DUMMYFUNCTION("""COMPUTED_VALUE"""),44663.666666666664)</f>
        <v>44663.66667</v>
      </c>
      <c r="D1299" s="5" t="str">
        <f>IFERROR(__xludf.DUMMYFUNCTION("""COMPUTED_VALUE"""),"40776")</f>
        <v>40776</v>
      </c>
      <c r="E1299" s="5" t="str">
        <f>IFERROR(__xludf.DUMMYFUNCTION("""COMPUTED_VALUE"""),"Stock")</f>
        <v>Stock</v>
      </c>
      <c r="F1299" s="5" t="str">
        <f>IFERROR(__xludf.DUMMYFUNCTION("""COMPUTED_VALUE"""),"HKD")</f>
        <v>HKD</v>
      </c>
      <c r="G1299" s="30" t="str">
        <f>IFERROR(__xludf.DUMMYFUNCTION("""COMPUTED_VALUE"""),"Email Account/ TraderID Recognized")</f>
        <v>Email Account/ TraderID Recognized</v>
      </c>
      <c r="H1299" s="125" t="str">
        <f>IFERROR(__xludf.DUMMYFUNCTION("""COMPUTED_VALUE"""),"9988.hk")</f>
        <v>9988.hk</v>
      </c>
      <c r="I1299" s="30">
        <f>IFERROR(__xludf.DUMMYFUNCTION("""COMPUTED_VALUE"""),450.0)</f>
        <v>450</v>
      </c>
      <c r="J1299" s="30">
        <f>IFERROR(__xludf.DUMMYFUNCTION("""COMPUTED_VALUE"""),97.25)</f>
        <v>97.25</v>
      </c>
      <c r="K1299" s="30" t="str">
        <f>IFERROR(__xludf.DUMMYFUNCTION("""COMPUTED_VALUE"""),"QTY, Limit Price (if any) &amp; Password input correct")</f>
        <v>QTY, Limit Price (if any) &amp; Password input correct</v>
      </c>
      <c r="L1299" s="30"/>
    </row>
    <row r="1300">
      <c r="A1300" s="5"/>
      <c r="B1300" s="118">
        <f>IFERROR(__xludf.DUMMYFUNCTION("""COMPUTED_VALUE"""),44663.65241678241)</f>
        <v>44663.65242</v>
      </c>
      <c r="C1300" s="120">
        <f>IFERROR(__xludf.DUMMYFUNCTION("""COMPUTED_VALUE"""),44663.666666666664)</f>
        <v>44663.66667</v>
      </c>
      <c r="D1300" s="5" t="str">
        <f>IFERROR(__xludf.DUMMYFUNCTION("""COMPUTED_VALUE"""),"18874")</f>
        <v>18874</v>
      </c>
      <c r="E1300" s="5" t="str">
        <f>IFERROR(__xludf.DUMMYFUNCTION("""COMPUTED_VALUE"""),"Stock")</f>
        <v>Stock</v>
      </c>
      <c r="F1300" s="5" t="str">
        <f>IFERROR(__xludf.DUMMYFUNCTION("""COMPUTED_VALUE"""),"HKD")</f>
        <v>HKD</v>
      </c>
      <c r="G1300" s="30" t="str">
        <f>IFERROR(__xludf.DUMMYFUNCTION("""COMPUTED_VALUE"""),"Email Account/ TraderID Recognized")</f>
        <v>Email Account/ TraderID Recognized</v>
      </c>
      <c r="H1300" s="125" t="str">
        <f>IFERROR(__xludf.DUMMYFUNCTION("""COMPUTED_VALUE"""),"1929.hk")</f>
        <v>1929.hk</v>
      </c>
      <c r="I1300" s="30">
        <f>IFERROR(__xludf.DUMMYFUNCTION("""COMPUTED_VALUE"""),5000.0)</f>
        <v>5000</v>
      </c>
      <c r="J1300" s="30">
        <f>IFERROR(__xludf.DUMMYFUNCTION("""COMPUTED_VALUE"""),12.5)</f>
        <v>12.5</v>
      </c>
      <c r="K1300" s="30" t="str">
        <f>IFERROR(__xludf.DUMMYFUNCTION("""COMPUTED_VALUE"""),"QTY, Limit Price (if any) &amp; Password input correct")</f>
        <v>QTY, Limit Price (if any) &amp; Password input correct</v>
      </c>
      <c r="L1300" s="30"/>
    </row>
    <row r="1301">
      <c r="A1301" s="5"/>
      <c r="B1301" s="118">
        <f>IFERROR(__xludf.DUMMYFUNCTION("""COMPUTED_VALUE"""),44663.65278780092)</f>
        <v>44663.65279</v>
      </c>
      <c r="C1301" s="120">
        <f>IFERROR(__xludf.DUMMYFUNCTION("""COMPUTED_VALUE"""),44663.666666666664)</f>
        <v>44663.66667</v>
      </c>
      <c r="D1301" s="5" t="str">
        <f>IFERROR(__xludf.DUMMYFUNCTION("""COMPUTED_VALUE"""),"40776")</f>
        <v>40776</v>
      </c>
      <c r="E1301" s="5" t="str">
        <f>IFERROR(__xludf.DUMMYFUNCTION("""COMPUTED_VALUE"""),"Stock")</f>
        <v>Stock</v>
      </c>
      <c r="F1301" s="5" t="str">
        <f>IFERROR(__xludf.DUMMYFUNCTION("""COMPUTED_VALUE"""),"HKD")</f>
        <v>HKD</v>
      </c>
      <c r="G1301" s="30" t="str">
        <f>IFERROR(__xludf.DUMMYFUNCTION("""COMPUTED_VALUE"""),"Email Account/ TraderID Recognized")</f>
        <v>Email Account/ TraderID Recognized</v>
      </c>
      <c r="H1301" s="125" t="str">
        <f>IFERROR(__xludf.DUMMYFUNCTION("""COMPUTED_VALUE"""),"9626.hk")</f>
        <v>9626.hk</v>
      </c>
      <c r="I1301" s="30">
        <f>IFERROR(__xludf.DUMMYFUNCTION("""COMPUTED_VALUE"""),500.0)</f>
        <v>500</v>
      </c>
      <c r="J1301" s="30">
        <f>IFERROR(__xludf.DUMMYFUNCTION("""COMPUTED_VALUE"""),200.6)</f>
        <v>200.6</v>
      </c>
      <c r="K1301" s="30" t="str">
        <f>IFERROR(__xludf.DUMMYFUNCTION("""COMPUTED_VALUE"""),"QTY, Limit Price (if any) &amp; Password input correct")</f>
        <v>QTY, Limit Price (if any) &amp; Password input correct</v>
      </c>
      <c r="L1301" s="30"/>
    </row>
    <row r="1302">
      <c r="A1302" s="5"/>
      <c r="B1302" s="118">
        <f>IFERROR(__xludf.DUMMYFUNCTION("""COMPUTED_VALUE"""),44663.66019483796)</f>
        <v>44663.66019</v>
      </c>
      <c r="C1302" s="120">
        <f>IFERROR(__xludf.DUMMYFUNCTION("""COMPUTED_VALUE"""),44663.666666666664)</f>
        <v>44663.66667</v>
      </c>
      <c r="D1302" s="5" t="str">
        <f>IFERROR(__xludf.DUMMYFUNCTION("""COMPUTED_VALUE"""),"18874")</f>
        <v>18874</v>
      </c>
      <c r="E1302" s="5" t="str">
        <f>IFERROR(__xludf.DUMMYFUNCTION("""COMPUTED_VALUE"""),"Stock")</f>
        <v>Stock</v>
      </c>
      <c r="F1302" s="5" t="str">
        <f>IFERROR(__xludf.DUMMYFUNCTION("""COMPUTED_VALUE"""),"HKD")</f>
        <v>HKD</v>
      </c>
      <c r="G1302" s="30" t="str">
        <f>IFERROR(__xludf.DUMMYFUNCTION("""COMPUTED_VALUE"""),"Email Account/ TraderID Recognized")</f>
        <v>Email Account/ TraderID Recognized</v>
      </c>
      <c r="H1302" s="125" t="str">
        <f>IFERROR(__xludf.DUMMYFUNCTION("""COMPUTED_VALUE"""),"9988.hk")</f>
        <v>9988.hk</v>
      </c>
      <c r="I1302" s="30">
        <f>IFERROR(__xludf.DUMMYFUNCTION("""COMPUTED_VALUE"""),1000.0)</f>
        <v>1000</v>
      </c>
      <c r="J1302" s="30">
        <f>IFERROR(__xludf.DUMMYFUNCTION("""COMPUTED_VALUE"""),71.0)</f>
        <v>71</v>
      </c>
      <c r="K1302" s="30" t="str">
        <f>IFERROR(__xludf.DUMMYFUNCTION("""COMPUTED_VALUE"""),"QTY, Limit Price (if any) &amp; Password input correct")</f>
        <v>QTY, Limit Price (if any) &amp; Password input correct</v>
      </c>
      <c r="L1302" s="30"/>
    </row>
    <row r="1303">
      <c r="A1303" s="5"/>
      <c r="B1303" s="118">
        <f>IFERROR(__xludf.DUMMYFUNCTION("""COMPUTED_VALUE"""),44663.66469395833)</f>
        <v>44663.66469</v>
      </c>
      <c r="C1303" s="120">
        <f>IFERROR(__xludf.DUMMYFUNCTION("""COMPUTED_VALUE"""),44663.666666666664)</f>
        <v>44663.66667</v>
      </c>
      <c r="D1303" s="5" t="str">
        <f>IFERROR(__xludf.DUMMYFUNCTION("""COMPUTED_VALUE"""),"46600")</f>
        <v>46600</v>
      </c>
      <c r="E1303" s="5" t="str">
        <f>IFERROR(__xludf.DUMMYFUNCTION("""COMPUTED_VALUE"""),"Stock")</f>
        <v>Stock</v>
      </c>
      <c r="F1303" s="5" t="str">
        <f>IFERROR(__xludf.DUMMYFUNCTION("""COMPUTED_VALUE"""),"HKD")</f>
        <v>HKD</v>
      </c>
      <c r="G1303" s="30" t="str">
        <f>IFERROR(__xludf.DUMMYFUNCTION("""COMPUTED_VALUE"""),"Email Account/ TraderID Recognized")</f>
        <v>Email Account/ TraderID Recognized</v>
      </c>
      <c r="H1303" s="125" t="str">
        <f>IFERROR(__xludf.DUMMYFUNCTION("""COMPUTED_VALUE"""),"0700.HK")</f>
        <v>0700.HK</v>
      </c>
      <c r="I1303" s="30">
        <f>IFERROR(__xludf.DUMMYFUNCTION("""COMPUTED_VALUE"""),200.0)</f>
        <v>200</v>
      </c>
      <c r="J1303" s="30"/>
      <c r="K1303" s="30" t="str">
        <f>IFERROR(__xludf.DUMMYFUNCTION("""COMPUTED_VALUE"""),"QTY, Limit Price (if any) &amp; Password input correct")</f>
        <v>QTY, Limit Price (if any) &amp; Password input correct</v>
      </c>
      <c r="L1303" s="30"/>
    </row>
    <row r="1304">
      <c r="A1304" s="5"/>
      <c r="B1304" s="118">
        <f>IFERROR(__xludf.DUMMYFUNCTION("""COMPUTED_VALUE"""),44663.66569162037)</f>
        <v>44663.66569</v>
      </c>
      <c r="C1304" s="120">
        <f>IFERROR(__xludf.DUMMYFUNCTION("""COMPUTED_VALUE"""),44663.666666666664)</f>
        <v>44663.66667</v>
      </c>
      <c r="D1304" s="5" t="str">
        <f>IFERROR(__xludf.DUMMYFUNCTION("""COMPUTED_VALUE"""),"38093")</f>
        <v>38093</v>
      </c>
      <c r="E1304" s="5" t="str">
        <f>IFERROR(__xludf.DUMMYFUNCTION("""COMPUTED_VALUE"""),"Stock")</f>
        <v>Stock</v>
      </c>
      <c r="F1304" s="5" t="str">
        <f>IFERROR(__xludf.DUMMYFUNCTION("""COMPUTED_VALUE"""),"HKD")</f>
        <v>HKD</v>
      </c>
      <c r="G1304" s="30" t="str">
        <f>IFERROR(__xludf.DUMMYFUNCTION("""COMPUTED_VALUE"""),"Email Account/ TraderID Recognized")</f>
        <v>Email Account/ TraderID Recognized</v>
      </c>
      <c r="H1304" s="125" t="str">
        <f>IFERROR(__xludf.DUMMYFUNCTION("""COMPUTED_VALUE"""),"9922.HK")</f>
        <v>9922.HK</v>
      </c>
      <c r="I1304" s="30">
        <f>IFERROR(__xludf.DUMMYFUNCTION("""COMPUTED_VALUE"""),400.0)</f>
        <v>400</v>
      </c>
      <c r="J1304" s="30"/>
      <c r="K1304" s="30" t="str">
        <f>IFERROR(__xludf.DUMMYFUNCTION("""COMPUTED_VALUE"""),"QTY, Limit Price (if any) &amp; Password input correct")</f>
        <v>QTY, Limit Price (if any) &amp; Password input correct</v>
      </c>
      <c r="L1304" s="30"/>
    </row>
    <row r="1305">
      <c r="A1305" s="5"/>
      <c r="B1305" s="118">
        <f>IFERROR(__xludf.DUMMYFUNCTION("""COMPUTED_VALUE"""),44663.666251319446)</f>
        <v>44663.66625</v>
      </c>
      <c r="C1305" s="120">
        <f>IFERROR(__xludf.DUMMYFUNCTION("""COMPUTED_VALUE"""),44663.666666666664)</f>
        <v>44663.66667</v>
      </c>
      <c r="D1305" s="5" t="str">
        <f>IFERROR(__xludf.DUMMYFUNCTION("""COMPUTED_VALUE"""),"38093")</f>
        <v>38093</v>
      </c>
      <c r="E1305" s="5" t="str">
        <f>IFERROR(__xludf.DUMMYFUNCTION("""COMPUTED_VALUE"""),"Stock")</f>
        <v>Stock</v>
      </c>
      <c r="F1305" s="5" t="str">
        <f>IFERROR(__xludf.DUMMYFUNCTION("""COMPUTED_VALUE"""),"HKD")</f>
        <v>HKD</v>
      </c>
      <c r="G1305" s="30" t="str">
        <f>IFERROR(__xludf.DUMMYFUNCTION("""COMPUTED_VALUE"""),"Email Account/ TraderID Recognized")</f>
        <v>Email Account/ TraderID Recognized</v>
      </c>
      <c r="H1305" s="125" t="str">
        <f>IFERROR(__xludf.DUMMYFUNCTION("""COMPUTED_VALUE"""),"9992.HK")</f>
        <v>9992.HK</v>
      </c>
      <c r="I1305" s="30">
        <f>IFERROR(__xludf.DUMMYFUNCTION("""COMPUTED_VALUE"""),400.0)</f>
        <v>400</v>
      </c>
      <c r="J1305" s="30"/>
      <c r="K1305" s="30" t="str">
        <f>IFERROR(__xludf.DUMMYFUNCTION("""COMPUTED_VALUE"""),"QTY, Limit Price (if any) &amp; Password input correct")</f>
        <v>QTY, Limit Price (if any) &amp; Password input correct</v>
      </c>
      <c r="L1305" s="30"/>
    </row>
    <row r="1306">
      <c r="A1306" s="5"/>
      <c r="B1306" s="118">
        <f>IFERROR(__xludf.DUMMYFUNCTION("""COMPUTED_VALUE"""),44663.66632643518)</f>
        <v>44663.66633</v>
      </c>
      <c r="C1306" s="120">
        <f>IFERROR(__xludf.DUMMYFUNCTION("""COMPUTED_VALUE"""),44663.666666666664)</f>
        <v>44663.66667</v>
      </c>
      <c r="D1306" s="5" t="str">
        <f>IFERROR(__xludf.DUMMYFUNCTION("""COMPUTED_VALUE"""),"18874")</f>
        <v>18874</v>
      </c>
      <c r="E1306" s="5" t="str">
        <f>IFERROR(__xludf.DUMMYFUNCTION("""COMPUTED_VALUE"""),"Stock")</f>
        <v>Stock</v>
      </c>
      <c r="F1306" s="5" t="str">
        <f>IFERROR(__xludf.DUMMYFUNCTION("""COMPUTED_VALUE"""),"HKD")</f>
        <v>HKD</v>
      </c>
      <c r="G1306" s="30" t="str">
        <f>IFERROR(__xludf.DUMMYFUNCTION("""COMPUTED_VALUE"""),"Email Account/ TraderID Recognized")</f>
        <v>Email Account/ TraderID Recognized</v>
      </c>
      <c r="H1306" s="125" t="str">
        <f>IFERROR(__xludf.DUMMYFUNCTION("""COMPUTED_VALUE"""),"0293.hk")</f>
        <v>0293.hk</v>
      </c>
      <c r="I1306" s="30">
        <f>IFERROR(__xludf.DUMMYFUNCTION("""COMPUTED_VALUE"""),2000.0)</f>
        <v>2000</v>
      </c>
      <c r="J1306" s="30">
        <f>IFERROR(__xludf.DUMMYFUNCTION("""COMPUTED_VALUE"""),6.34)</f>
        <v>6.34</v>
      </c>
      <c r="K1306" s="30" t="str">
        <f>IFERROR(__xludf.DUMMYFUNCTION("""COMPUTED_VALUE"""),"QTY, Limit Price (if any) &amp; Password input correct")</f>
        <v>QTY, Limit Price (if any) &amp; Password input correct</v>
      </c>
      <c r="L1306" s="30"/>
    </row>
    <row r="1307">
      <c r="A1307" s="5"/>
      <c r="B1307" s="118">
        <f>IFERROR(__xludf.DUMMYFUNCTION("""COMPUTED_VALUE"""),44663.66681912037)</f>
        <v>44663.66682</v>
      </c>
      <c r="C1307" s="120">
        <f>IFERROR(__xludf.DUMMYFUNCTION("""COMPUTED_VALUE"""),44664.666666666664)</f>
        <v>44664.66667</v>
      </c>
      <c r="D1307" s="5" t="str">
        <f>IFERROR(__xludf.DUMMYFUNCTION("""COMPUTED_VALUE"""),"38093")</f>
        <v>38093</v>
      </c>
      <c r="E1307" s="5" t="str">
        <f>IFERROR(__xludf.DUMMYFUNCTION("""COMPUTED_VALUE"""),"Stock")</f>
        <v>Stock</v>
      </c>
      <c r="F1307" s="5" t="str">
        <f>IFERROR(__xludf.DUMMYFUNCTION("""COMPUTED_VALUE"""),"HKD")</f>
        <v>HKD</v>
      </c>
      <c r="G1307" s="30" t="str">
        <f>IFERROR(__xludf.DUMMYFUNCTION("""COMPUTED_VALUE"""),"Email Account/ TraderID Recognized")</f>
        <v>Email Account/ TraderID Recognized</v>
      </c>
      <c r="H1307" s="125" t="str">
        <f>IFERROR(__xludf.DUMMYFUNCTION("""COMPUTED_VALUE"""),"6862.HK")</f>
        <v>6862.HK</v>
      </c>
      <c r="I1307" s="30">
        <f>IFERROR(__xludf.DUMMYFUNCTION("""COMPUTED_VALUE"""),300.0)</f>
        <v>300</v>
      </c>
      <c r="J1307" s="30"/>
      <c r="K1307" s="30" t="str">
        <f>IFERROR(__xludf.DUMMYFUNCTION("""COMPUTED_VALUE"""),"QTY, Limit Price (if any) &amp; Password input correct")</f>
        <v>QTY, Limit Price (if any) &amp; Password input correct</v>
      </c>
      <c r="L1307" s="30"/>
    </row>
    <row r="1308">
      <c r="A1308" s="5"/>
      <c r="B1308" s="118">
        <f>IFERROR(__xludf.DUMMYFUNCTION("""COMPUTED_VALUE"""),44663.80600391203)</f>
        <v>44663.806</v>
      </c>
      <c r="C1308" s="120">
        <f>IFERROR(__xludf.DUMMYFUNCTION("""COMPUTED_VALUE"""),44663.666666666664)</f>
        <v>44663.66667</v>
      </c>
      <c r="D1308" s="5" t="str">
        <f>IFERROR(__xludf.DUMMYFUNCTION("""COMPUTED_VALUE"""),"33050")</f>
        <v>33050</v>
      </c>
      <c r="E1308" s="5" t="str">
        <f>IFERROR(__xludf.DUMMYFUNCTION("""COMPUTED_VALUE"""),"Stock")</f>
        <v>Stock</v>
      </c>
      <c r="F1308" s="5" t="str">
        <f>IFERROR(__xludf.DUMMYFUNCTION("""COMPUTED_VALUE"""),"USD")</f>
        <v>USD</v>
      </c>
      <c r="G1308" s="30" t="str">
        <f>IFERROR(__xludf.DUMMYFUNCTION("""COMPUTED_VALUE"""),"Email Account/ TraderID Recognized")</f>
        <v>Email Account/ TraderID Recognized</v>
      </c>
      <c r="H1308" s="112" t="str">
        <f>IFERROR(__xludf.DUMMYFUNCTION("""COMPUTED_VALUE"""),"SONY")</f>
        <v>SONY</v>
      </c>
      <c r="I1308" s="30">
        <f>IFERROR(__xludf.DUMMYFUNCTION("""COMPUTED_VALUE"""),500.0)</f>
        <v>500</v>
      </c>
      <c r="J1308" s="30"/>
      <c r="K1308" s="30" t="str">
        <f>IFERROR(__xludf.DUMMYFUNCTION("""COMPUTED_VALUE"""),"QTY, Limit Price (if any) &amp; Password input correct")</f>
        <v>QTY, Limit Price (if any) &amp; Password input correct</v>
      </c>
      <c r="L1308" s="30"/>
    </row>
    <row r="1309">
      <c r="A1309" s="5"/>
      <c r="B1309" s="118">
        <f>IFERROR(__xludf.DUMMYFUNCTION("""COMPUTED_VALUE"""),44663.813568067126)</f>
        <v>44663.81357</v>
      </c>
      <c r="C1309" s="120">
        <f>IFERROR(__xludf.DUMMYFUNCTION("""COMPUTED_VALUE"""),44663.666666666664)</f>
        <v>44663.66667</v>
      </c>
      <c r="D1309" s="5" t="str">
        <f>IFERROR(__xludf.DUMMYFUNCTION("""COMPUTED_VALUE"""),"33050")</f>
        <v>33050</v>
      </c>
      <c r="E1309" s="5" t="str">
        <f>IFERROR(__xludf.DUMMYFUNCTION("""COMPUTED_VALUE"""),"Stock")</f>
        <v>Stock</v>
      </c>
      <c r="F1309" s="5" t="str">
        <f>IFERROR(__xludf.DUMMYFUNCTION("""COMPUTED_VALUE"""),"USD")</f>
        <v>USD</v>
      </c>
      <c r="G1309" s="30" t="str">
        <f>IFERROR(__xludf.DUMMYFUNCTION("""COMPUTED_VALUE"""),"Email Account/ TraderID Recognized")</f>
        <v>Email Account/ TraderID Recognized</v>
      </c>
      <c r="H1309" s="112" t="str">
        <f>IFERROR(__xludf.DUMMYFUNCTION("""COMPUTED_VALUE"""),"BABA")</f>
        <v>BABA</v>
      </c>
      <c r="I1309" s="30">
        <f>IFERROR(__xludf.DUMMYFUNCTION("""COMPUTED_VALUE"""),1000.0)</f>
        <v>1000</v>
      </c>
      <c r="J1309" s="30"/>
      <c r="K1309" s="30" t="str">
        <f>IFERROR(__xludf.DUMMYFUNCTION("""COMPUTED_VALUE"""),"QTY, Limit Price (if any) &amp; Password input correct")</f>
        <v>QTY, Limit Price (if any) &amp; Password input correct</v>
      </c>
      <c r="L1309" s="30"/>
    </row>
    <row r="1310">
      <c r="A1310" s="5"/>
      <c r="B1310" s="118">
        <f>IFERROR(__xludf.DUMMYFUNCTION("""COMPUTED_VALUE"""),44663.82011353009)</f>
        <v>44663.82011</v>
      </c>
      <c r="C1310" s="120">
        <f>IFERROR(__xludf.DUMMYFUNCTION("""COMPUTED_VALUE"""),44663.666666666664)</f>
        <v>44663.66667</v>
      </c>
      <c r="D1310" s="5" t="str">
        <f>IFERROR(__xludf.DUMMYFUNCTION("""COMPUTED_VALUE"""),"33050")</f>
        <v>33050</v>
      </c>
      <c r="E1310" s="5" t="str">
        <f>IFERROR(__xludf.DUMMYFUNCTION("""COMPUTED_VALUE"""),"Stock")</f>
        <v>Stock</v>
      </c>
      <c r="F1310" s="5" t="str">
        <f>IFERROR(__xludf.DUMMYFUNCTION("""COMPUTED_VALUE"""),"USD")</f>
        <v>USD</v>
      </c>
      <c r="G1310" s="30" t="str">
        <f>IFERROR(__xludf.DUMMYFUNCTION("""COMPUTED_VALUE"""),"Email Account/ TraderID Recognized")</f>
        <v>Email Account/ TraderID Recognized</v>
      </c>
      <c r="H1310" s="112" t="str">
        <f>IFERROR(__xludf.DUMMYFUNCTION("""COMPUTED_VALUE"""),"DIS")</f>
        <v>DIS</v>
      </c>
      <c r="I1310" s="30">
        <f>IFERROR(__xludf.DUMMYFUNCTION("""COMPUTED_VALUE"""),500.0)</f>
        <v>500</v>
      </c>
      <c r="J1310" s="30"/>
      <c r="K1310" s="30" t="str">
        <f>IFERROR(__xludf.DUMMYFUNCTION("""COMPUTED_VALUE"""),"QTY, Limit Price (if any) &amp; Password input correct")</f>
        <v>QTY, Limit Price (if any) &amp; Password input correct</v>
      </c>
      <c r="L1310" s="30"/>
    </row>
    <row r="1311">
      <c r="A1311" s="5"/>
      <c r="B1311" s="118">
        <f>IFERROR(__xludf.DUMMYFUNCTION("""COMPUTED_VALUE"""),44663.89824234953)</f>
        <v>44663.89824</v>
      </c>
      <c r="C1311" s="120">
        <f>IFERROR(__xludf.DUMMYFUNCTION("""COMPUTED_VALUE"""),44663.666666666664)</f>
        <v>44663.66667</v>
      </c>
      <c r="D1311" s="5" t="str">
        <f>IFERROR(__xludf.DUMMYFUNCTION("""COMPUTED_VALUE"""),"40776")</f>
        <v>40776</v>
      </c>
      <c r="E1311" s="5" t="str">
        <f>IFERROR(__xludf.DUMMYFUNCTION("""COMPUTED_VALUE"""),"Stock")</f>
        <v>Stock</v>
      </c>
      <c r="F1311" s="5" t="str">
        <f>IFERROR(__xludf.DUMMYFUNCTION("""COMPUTED_VALUE"""),"USD")</f>
        <v>USD</v>
      </c>
      <c r="G1311" s="30" t="str">
        <f>IFERROR(__xludf.DUMMYFUNCTION("""COMPUTED_VALUE"""),"Email Account/ TraderID Recognized")</f>
        <v>Email Account/ TraderID Recognized</v>
      </c>
      <c r="H1311" s="112" t="str">
        <f>IFERROR(__xludf.DUMMYFUNCTION("""COMPUTED_VALUE"""),"TSLA")</f>
        <v>TSLA</v>
      </c>
      <c r="I1311" s="30">
        <f>IFERROR(__xludf.DUMMYFUNCTION("""COMPUTED_VALUE"""),20.0)</f>
        <v>20</v>
      </c>
      <c r="J1311" s="30">
        <f>IFERROR(__xludf.DUMMYFUNCTION("""COMPUTED_VALUE"""),980.4)</f>
        <v>980.4</v>
      </c>
      <c r="K1311" s="30" t="str">
        <f>IFERROR(__xludf.DUMMYFUNCTION("""COMPUTED_VALUE"""),"QTY, Limit Price (if any) &amp; Password input correct")</f>
        <v>QTY, Limit Price (if any) &amp; Password input correct</v>
      </c>
      <c r="L1311" s="30"/>
    </row>
    <row r="1312">
      <c r="A1312" s="5"/>
      <c r="B1312" s="118">
        <f>IFERROR(__xludf.DUMMYFUNCTION("""COMPUTED_VALUE"""),44663.90348760417)</f>
        <v>44663.90349</v>
      </c>
      <c r="C1312" s="120">
        <f>IFERROR(__xludf.DUMMYFUNCTION("""COMPUTED_VALUE"""),44663.666666666664)</f>
        <v>44663.66667</v>
      </c>
      <c r="D1312" s="5" t="str">
        <f>IFERROR(__xludf.DUMMYFUNCTION("""COMPUTED_VALUE"""),"37568")</f>
        <v>37568</v>
      </c>
      <c r="E1312" s="5" t="str">
        <f>IFERROR(__xludf.DUMMYFUNCTION("""COMPUTED_VALUE"""),"Stock")</f>
        <v>Stock</v>
      </c>
      <c r="F1312" s="5" t="str">
        <f>IFERROR(__xludf.DUMMYFUNCTION("""COMPUTED_VALUE"""),"USD")</f>
        <v>USD</v>
      </c>
      <c r="G1312" s="30" t="str">
        <f>IFERROR(__xludf.DUMMYFUNCTION("""COMPUTED_VALUE"""),"Email Account/ TraderID Recognized")</f>
        <v>Email Account/ TraderID Recognized</v>
      </c>
      <c r="H1312" s="112" t="str">
        <f>IFERROR(__xludf.DUMMYFUNCTION("""COMPUTED_VALUE"""),"AAPL")</f>
        <v>AAPL</v>
      </c>
      <c r="I1312" s="30">
        <f>IFERROR(__xludf.DUMMYFUNCTION("""COMPUTED_VALUE"""),500.0)</f>
        <v>500</v>
      </c>
      <c r="J1312" s="30"/>
      <c r="K1312" s="30" t="str">
        <f>IFERROR(__xludf.DUMMYFUNCTION("""COMPUTED_VALUE"""),"QTY, Limit Price (if any) &amp; Password input correct")</f>
        <v>QTY, Limit Price (if any) &amp; Password input correct</v>
      </c>
      <c r="L1312" s="30"/>
    </row>
    <row r="1313">
      <c r="A1313" s="5"/>
      <c r="B1313" s="118">
        <f>IFERROR(__xludf.DUMMYFUNCTION("""COMPUTED_VALUE"""),44663.90448009259)</f>
        <v>44663.90448</v>
      </c>
      <c r="C1313" s="120">
        <f>IFERROR(__xludf.DUMMYFUNCTION("""COMPUTED_VALUE"""),44663.666666666664)</f>
        <v>44663.66667</v>
      </c>
      <c r="D1313" s="5" t="str">
        <f>IFERROR(__xludf.DUMMYFUNCTION("""COMPUTED_VALUE"""),"37568")</f>
        <v>37568</v>
      </c>
      <c r="E1313" s="5" t="str">
        <f>IFERROR(__xludf.DUMMYFUNCTION("""COMPUTED_VALUE"""),"Stock")</f>
        <v>Stock</v>
      </c>
      <c r="F1313" s="5" t="str">
        <f>IFERROR(__xludf.DUMMYFUNCTION("""COMPUTED_VALUE"""),"USD")</f>
        <v>USD</v>
      </c>
      <c r="G1313" s="30" t="str">
        <f>IFERROR(__xludf.DUMMYFUNCTION("""COMPUTED_VALUE"""),"Email Account/ TraderID Recognized")</f>
        <v>Email Account/ TraderID Recognized</v>
      </c>
      <c r="H1313" s="112" t="str">
        <f>IFERROR(__xludf.DUMMYFUNCTION("""COMPUTED_VALUE"""),"BILI")</f>
        <v>BILI</v>
      </c>
      <c r="I1313" s="30">
        <f>IFERROR(__xludf.DUMMYFUNCTION("""COMPUTED_VALUE"""),500.0)</f>
        <v>500</v>
      </c>
      <c r="J1313" s="30"/>
      <c r="K1313" s="30" t="str">
        <f>IFERROR(__xludf.DUMMYFUNCTION("""COMPUTED_VALUE"""),"QTY, Limit Price (if any) &amp; Password input correct")</f>
        <v>QTY, Limit Price (if any) &amp; Password input correct</v>
      </c>
      <c r="L1313" s="30"/>
    </row>
    <row r="1314">
      <c r="A1314" s="5"/>
      <c r="B1314" s="118">
        <f>IFERROR(__xludf.DUMMYFUNCTION("""COMPUTED_VALUE"""),44663.927933935185)</f>
        <v>44663.92793</v>
      </c>
      <c r="C1314" s="120">
        <f>IFERROR(__xludf.DUMMYFUNCTION("""COMPUTED_VALUE"""),44663.666666666664)</f>
        <v>44663.66667</v>
      </c>
      <c r="D1314" s="5" t="str">
        <f>IFERROR(__xludf.DUMMYFUNCTION("""COMPUTED_VALUE"""),"89833")</f>
        <v>89833</v>
      </c>
      <c r="E1314" s="5" t="str">
        <f>IFERROR(__xludf.DUMMYFUNCTION("""COMPUTED_VALUE"""),"Stock")</f>
        <v>Stock</v>
      </c>
      <c r="F1314" s="5" t="str">
        <f>IFERROR(__xludf.DUMMYFUNCTION("""COMPUTED_VALUE"""),"USD")</f>
        <v>USD</v>
      </c>
      <c r="G1314" s="30" t="str">
        <f>IFERROR(__xludf.DUMMYFUNCTION("""COMPUTED_VALUE"""),"Email Account/ TraderID Recognized")</f>
        <v>Email Account/ TraderID Recognized</v>
      </c>
      <c r="H1314" s="112" t="str">
        <f>IFERROR(__xludf.DUMMYFUNCTION("""COMPUTED_VALUE"""),"OXY")</f>
        <v>OXY</v>
      </c>
      <c r="I1314" s="30">
        <f>IFERROR(__xludf.DUMMYFUNCTION("""COMPUTED_VALUE"""),500.0)</f>
        <v>500</v>
      </c>
      <c r="J1314" s="30"/>
      <c r="K1314" s="30" t="str">
        <f>IFERROR(__xludf.DUMMYFUNCTION("""COMPUTED_VALUE"""),"QTY, Limit Price (if any) &amp; Password input correct")</f>
        <v>QTY, Limit Price (if any) &amp; Password input correct</v>
      </c>
      <c r="L1314" s="30"/>
    </row>
    <row r="1315">
      <c r="A1315" s="5"/>
      <c r="B1315" s="118">
        <f>IFERROR(__xludf.DUMMYFUNCTION("""COMPUTED_VALUE"""),44663.93434827546)</f>
        <v>44663.93435</v>
      </c>
      <c r="C1315" s="120">
        <f>IFERROR(__xludf.DUMMYFUNCTION("""COMPUTED_VALUE"""),44663.666666666664)</f>
        <v>44663.66667</v>
      </c>
      <c r="D1315" s="5" t="str">
        <f>IFERROR(__xludf.DUMMYFUNCTION("""COMPUTED_VALUE"""),"46322")</f>
        <v>46322</v>
      </c>
      <c r="E1315" s="5" t="str">
        <f>IFERROR(__xludf.DUMMYFUNCTION("""COMPUTED_VALUE"""),"Stock")</f>
        <v>Stock</v>
      </c>
      <c r="F1315" s="5" t="str">
        <f>IFERROR(__xludf.DUMMYFUNCTION("""COMPUTED_VALUE"""),"USD")</f>
        <v>USD</v>
      </c>
      <c r="G1315" s="30" t="str">
        <f>IFERROR(__xludf.DUMMYFUNCTION("""COMPUTED_VALUE"""),"Email Account/ TraderID Recognized")</f>
        <v>Email Account/ TraderID Recognized</v>
      </c>
      <c r="H1315" s="112" t="str">
        <f>IFERROR(__xludf.DUMMYFUNCTION("""COMPUTED_VALUE"""),"SARK")</f>
        <v>SARK</v>
      </c>
      <c r="I1315" s="30">
        <f>IFERROR(__xludf.DUMMYFUNCTION("""COMPUTED_VALUE"""),500.0)</f>
        <v>500</v>
      </c>
      <c r="J1315" s="30"/>
      <c r="K1315" s="30" t="str">
        <f>IFERROR(__xludf.DUMMYFUNCTION("""COMPUTED_VALUE"""),"QTY, Limit Price (if any) &amp; Password input correct")</f>
        <v>QTY, Limit Price (if any) &amp; Password input correct</v>
      </c>
      <c r="L1315" s="30"/>
    </row>
    <row r="1316">
      <c r="A1316" s="5"/>
      <c r="B1316" s="118">
        <f>IFERROR(__xludf.DUMMYFUNCTION("""COMPUTED_VALUE"""),44663.94015741898)</f>
        <v>44663.94016</v>
      </c>
      <c r="C1316" s="120">
        <f>IFERROR(__xludf.DUMMYFUNCTION("""COMPUTED_VALUE"""),44663.666666666664)</f>
        <v>44663.66667</v>
      </c>
      <c r="D1316" s="5" t="str">
        <f>IFERROR(__xludf.DUMMYFUNCTION("""COMPUTED_VALUE"""),"38209")</f>
        <v>38209</v>
      </c>
      <c r="E1316" s="5" t="str">
        <f>IFERROR(__xludf.DUMMYFUNCTION("""COMPUTED_VALUE"""),"Stock")</f>
        <v>Stock</v>
      </c>
      <c r="F1316" s="5" t="str">
        <f>IFERROR(__xludf.DUMMYFUNCTION("""COMPUTED_VALUE"""),"USD")</f>
        <v>USD</v>
      </c>
      <c r="G1316" s="30" t="str">
        <f>IFERROR(__xludf.DUMMYFUNCTION("""COMPUTED_VALUE"""),"Email Account/ TraderID Recognized")</f>
        <v>Email Account/ TraderID Recognized</v>
      </c>
      <c r="H1316" s="112" t="str">
        <f>IFERROR(__xludf.DUMMYFUNCTION("""COMPUTED_VALUE"""),"^SPX")</f>
        <v>^SPX</v>
      </c>
      <c r="I1316" s="30">
        <f>IFERROR(__xludf.DUMMYFUNCTION("""COMPUTED_VALUE"""),1.0)</f>
        <v>1</v>
      </c>
      <c r="J1316" s="30"/>
      <c r="K1316" s="30" t="str">
        <f>IFERROR(__xludf.DUMMYFUNCTION("""COMPUTED_VALUE"""),"QTY, Limit Price (if any) &amp; Password input correct")</f>
        <v>QTY, Limit Price (if any) &amp; Password input correct</v>
      </c>
      <c r="L1316" s="30"/>
    </row>
    <row r="1317">
      <c r="A1317" s="5"/>
      <c r="B1317" s="118">
        <f>IFERROR(__xludf.DUMMYFUNCTION("""COMPUTED_VALUE"""),44663.99968190972)</f>
        <v>44663.99968</v>
      </c>
      <c r="C1317" s="120">
        <f>IFERROR(__xludf.DUMMYFUNCTION("""COMPUTED_VALUE"""),44663.666666666664)</f>
        <v>44663.66667</v>
      </c>
      <c r="D1317" s="5" t="str">
        <f>IFERROR(__xludf.DUMMYFUNCTION("""COMPUTED_VALUE"""),"36242")</f>
        <v>36242</v>
      </c>
      <c r="E1317" s="5" t="str">
        <f>IFERROR(__xludf.DUMMYFUNCTION("""COMPUTED_VALUE"""),"Stock")</f>
        <v>Stock</v>
      </c>
      <c r="F1317" s="5" t="str">
        <f>IFERROR(__xludf.DUMMYFUNCTION("""COMPUTED_VALUE"""),"USD")</f>
        <v>USD</v>
      </c>
      <c r="G1317" s="30" t="str">
        <f>IFERROR(__xludf.DUMMYFUNCTION("""COMPUTED_VALUE"""),"Email Account/ TraderID Recognized")</f>
        <v>Email Account/ TraderID Recognized</v>
      </c>
      <c r="H1317" s="112" t="str">
        <f>IFERROR(__xludf.DUMMYFUNCTION("""COMPUTED_VALUE"""),"SOHU")</f>
        <v>SOHU</v>
      </c>
      <c r="I1317" s="30">
        <f>IFERROR(__xludf.DUMMYFUNCTION("""COMPUTED_VALUE"""),300.0)</f>
        <v>300</v>
      </c>
      <c r="J1317" s="30">
        <f>IFERROR(__xludf.DUMMYFUNCTION("""COMPUTED_VALUE"""),19.0)</f>
        <v>19</v>
      </c>
      <c r="K1317" s="30" t="str">
        <f>IFERROR(__xludf.DUMMYFUNCTION("""COMPUTED_VALUE"""),"QTY, Limit Price (if any) &amp; Password input correct")</f>
        <v>QTY, Limit Price (if any) &amp; Password input correct</v>
      </c>
      <c r="L1317" s="30"/>
    </row>
    <row r="1318">
      <c r="A1318" s="5"/>
      <c r="B1318" s="118">
        <f>IFERROR(__xludf.DUMMYFUNCTION("""COMPUTED_VALUE"""),44664.00614556713)</f>
        <v>44664.00615</v>
      </c>
      <c r="C1318" s="120">
        <f>IFERROR(__xludf.DUMMYFUNCTION("""COMPUTED_VALUE"""),44663.666666666664)</f>
        <v>44663.66667</v>
      </c>
      <c r="D1318" s="5" t="str">
        <f>IFERROR(__xludf.DUMMYFUNCTION("""COMPUTED_VALUE"""),"36242")</f>
        <v>36242</v>
      </c>
      <c r="E1318" s="5" t="str">
        <f>IFERROR(__xludf.DUMMYFUNCTION("""COMPUTED_VALUE"""),"Stock")</f>
        <v>Stock</v>
      </c>
      <c r="F1318" s="5" t="str">
        <f>IFERROR(__xludf.DUMMYFUNCTION("""COMPUTED_VALUE"""),"USD")</f>
        <v>USD</v>
      </c>
      <c r="G1318" s="30" t="str">
        <f>IFERROR(__xludf.DUMMYFUNCTION("""COMPUTED_VALUE"""),"Email Account/ TraderID Recognized")</f>
        <v>Email Account/ TraderID Recognized</v>
      </c>
      <c r="H1318" s="112" t="str">
        <f>IFERROR(__xludf.DUMMYFUNCTION("""COMPUTED_VALUE"""),"LMT")</f>
        <v>LMT</v>
      </c>
      <c r="I1318" s="30">
        <f>IFERROR(__xludf.DUMMYFUNCTION("""COMPUTED_VALUE"""),50.0)</f>
        <v>50</v>
      </c>
      <c r="J1318" s="30">
        <f>IFERROR(__xludf.DUMMYFUNCTION("""COMPUTED_VALUE"""),471.0)</f>
        <v>471</v>
      </c>
      <c r="K1318" s="30" t="str">
        <f>IFERROR(__xludf.DUMMYFUNCTION("""COMPUTED_VALUE"""),"QTY, Limit Price (if any) &amp; Password input correct")</f>
        <v>QTY, Limit Price (if any) &amp; Password input correct</v>
      </c>
      <c r="L1318" s="30"/>
    </row>
    <row r="1319">
      <c r="A1319" s="5"/>
      <c r="B1319" s="118">
        <f>IFERROR(__xludf.DUMMYFUNCTION("""COMPUTED_VALUE"""),44664.03745679398)</f>
        <v>44664.03746</v>
      </c>
      <c r="C1319" s="120">
        <f>IFERROR(__xludf.DUMMYFUNCTION("""COMPUTED_VALUE"""),44663.666666666664)</f>
        <v>44663.66667</v>
      </c>
      <c r="D1319" s="5" t="str">
        <f>IFERROR(__xludf.DUMMYFUNCTION("""COMPUTED_VALUE"""),"75288")</f>
        <v>75288</v>
      </c>
      <c r="E1319" s="5" t="str">
        <f>IFERROR(__xludf.DUMMYFUNCTION("""COMPUTED_VALUE"""),"Stock")</f>
        <v>Stock</v>
      </c>
      <c r="F1319" s="5" t="str">
        <f>IFERROR(__xludf.DUMMYFUNCTION("""COMPUTED_VALUE"""),"USD")</f>
        <v>USD</v>
      </c>
      <c r="G1319" s="30" t="str">
        <f>IFERROR(__xludf.DUMMYFUNCTION("""COMPUTED_VALUE"""),"Email Account/ TraderID Recognized")</f>
        <v>Email Account/ TraderID Recognized</v>
      </c>
      <c r="H1319" s="112" t="str">
        <f>IFERROR(__xludf.DUMMYFUNCTION("""COMPUTED_VALUE"""),"ABNB")</f>
        <v>ABNB</v>
      </c>
      <c r="I1319" s="30">
        <f>IFERROR(__xludf.DUMMYFUNCTION("""COMPUTED_VALUE"""),40.0)</f>
        <v>40</v>
      </c>
      <c r="J1319" s="30"/>
      <c r="K1319" s="30" t="str">
        <f>IFERROR(__xludf.DUMMYFUNCTION("""COMPUTED_VALUE"""),"QTY, Limit Price (if any) &amp; Password input correct")</f>
        <v>QTY, Limit Price (if any) &amp; Password input correct</v>
      </c>
      <c r="L1319" s="30"/>
    </row>
    <row r="1320">
      <c r="A1320" s="5"/>
      <c r="B1320" s="118">
        <f>IFERROR(__xludf.DUMMYFUNCTION("""COMPUTED_VALUE"""),44664.10594388889)</f>
        <v>44664.10594</v>
      </c>
      <c r="C1320" s="120">
        <f>IFERROR(__xludf.DUMMYFUNCTION("""COMPUTED_VALUE"""),44663.666666666664)</f>
        <v>44663.66667</v>
      </c>
      <c r="D1320" s="5" t="str">
        <f>IFERROR(__xludf.DUMMYFUNCTION("""COMPUTED_VALUE"""),"89750")</f>
        <v>89750</v>
      </c>
      <c r="E1320" s="5" t="str">
        <f>IFERROR(__xludf.DUMMYFUNCTION("""COMPUTED_VALUE"""),"Stock")</f>
        <v>Stock</v>
      </c>
      <c r="F1320" s="5" t="str">
        <f>IFERROR(__xludf.DUMMYFUNCTION("""COMPUTED_VALUE"""),"USD")</f>
        <v>USD</v>
      </c>
      <c r="G1320" s="30" t="str">
        <f>IFERROR(__xludf.DUMMYFUNCTION("""COMPUTED_VALUE"""),"Email Account/ TraderID Recognized")</f>
        <v>Email Account/ TraderID Recognized</v>
      </c>
      <c r="H1320" s="112" t="str">
        <f>IFERROR(__xludf.DUMMYFUNCTION("""COMPUTED_VALUE"""),"MARA")</f>
        <v>MARA</v>
      </c>
      <c r="I1320" s="30">
        <f>IFERROR(__xludf.DUMMYFUNCTION("""COMPUTED_VALUE"""),200.0)</f>
        <v>200</v>
      </c>
      <c r="J1320" s="30"/>
      <c r="K1320" s="30" t="str">
        <f>IFERROR(__xludf.DUMMYFUNCTION("""COMPUTED_VALUE"""),"QTY, Limit Price (if any) &amp; Password input correct")</f>
        <v>QTY, Limit Price (if any) &amp; Password input correct</v>
      </c>
      <c r="L1320" s="30"/>
    </row>
    <row r="1321">
      <c r="A1321" s="5"/>
      <c r="B1321" s="118">
        <f>IFERROR(__xludf.DUMMYFUNCTION("""COMPUTED_VALUE"""),44664.12632967593)</f>
        <v>44664.12633</v>
      </c>
      <c r="C1321" s="120">
        <f>IFERROR(__xludf.DUMMYFUNCTION("""COMPUTED_VALUE"""),44663.666666666664)</f>
        <v>44663.66667</v>
      </c>
      <c r="D1321" s="5" t="str">
        <f>IFERROR(__xludf.DUMMYFUNCTION("""COMPUTED_VALUE"""),"18874")</f>
        <v>18874</v>
      </c>
      <c r="E1321" s="5" t="str">
        <f>IFERROR(__xludf.DUMMYFUNCTION("""COMPUTED_VALUE"""),"Stock")</f>
        <v>Stock</v>
      </c>
      <c r="F1321" s="5" t="str">
        <f>IFERROR(__xludf.DUMMYFUNCTION("""COMPUTED_VALUE"""),"USD")</f>
        <v>USD</v>
      </c>
      <c r="G1321" s="30" t="str">
        <f>IFERROR(__xludf.DUMMYFUNCTION("""COMPUTED_VALUE"""),"Email Account/ TraderID Recognized")</f>
        <v>Email Account/ TraderID Recognized</v>
      </c>
      <c r="H1321" s="112" t="str">
        <f>IFERROR(__xludf.DUMMYFUNCTION("""COMPUTED_VALUE"""),"TSLA")</f>
        <v>TSLA</v>
      </c>
      <c r="I1321" s="30">
        <f>IFERROR(__xludf.DUMMYFUNCTION("""COMPUTED_VALUE"""),10.0)</f>
        <v>10</v>
      </c>
      <c r="J1321" s="30"/>
      <c r="K1321" s="30" t="str">
        <f>IFERROR(__xludf.DUMMYFUNCTION("""COMPUTED_VALUE"""),"QTY, Limit Price (if any) &amp; Password input correct")</f>
        <v>QTY, Limit Price (if any) &amp; Password input correct</v>
      </c>
      <c r="L1321" s="30"/>
    </row>
    <row r="1322">
      <c r="A1322" s="5"/>
      <c r="B1322" s="118">
        <f>IFERROR(__xludf.DUMMYFUNCTION("""COMPUTED_VALUE"""),44664.13086734954)</f>
        <v>44664.13087</v>
      </c>
      <c r="C1322" s="120">
        <f>IFERROR(__xludf.DUMMYFUNCTION("""COMPUTED_VALUE"""),44663.666666666664)</f>
        <v>44663.66667</v>
      </c>
      <c r="D1322" s="5" t="str">
        <f>IFERROR(__xludf.DUMMYFUNCTION("""COMPUTED_VALUE"""),"39857")</f>
        <v>39857</v>
      </c>
      <c r="E1322" s="5" t="str">
        <f>IFERROR(__xludf.DUMMYFUNCTION("""COMPUTED_VALUE"""),"Stock")</f>
        <v>Stock</v>
      </c>
      <c r="F1322" s="5" t="str">
        <f>IFERROR(__xludf.DUMMYFUNCTION("""COMPUTED_VALUE"""),"USD")</f>
        <v>USD</v>
      </c>
      <c r="G1322" s="30" t="str">
        <f>IFERROR(__xludf.DUMMYFUNCTION("""COMPUTED_VALUE"""),"Email Account/ TraderID Recognized")</f>
        <v>Email Account/ TraderID Recognized</v>
      </c>
      <c r="H1322" s="112" t="str">
        <f>IFERROR(__xludf.DUMMYFUNCTION("""COMPUTED_VALUE"""),"TWTR")</f>
        <v>TWTR</v>
      </c>
      <c r="I1322" s="30">
        <f>IFERROR(__xludf.DUMMYFUNCTION("""COMPUTED_VALUE"""),400.0)</f>
        <v>400</v>
      </c>
      <c r="J1322" s="30"/>
      <c r="K1322" s="30" t="str">
        <f>IFERROR(__xludf.DUMMYFUNCTION("""COMPUTED_VALUE"""),"QTY, Limit Price (if any) &amp; Password input correct")</f>
        <v>QTY, Limit Price (if any) &amp; Password input correct</v>
      </c>
      <c r="L1322" s="30"/>
    </row>
    <row r="1323">
      <c r="A1323" s="5"/>
      <c r="B1323" s="118">
        <f>IFERROR(__xludf.DUMMYFUNCTION("""COMPUTED_VALUE"""),44664.13117260417)</f>
        <v>44664.13117</v>
      </c>
      <c r="C1323" s="120">
        <f>IFERROR(__xludf.DUMMYFUNCTION("""COMPUTED_VALUE"""),44663.666666666664)</f>
        <v>44663.66667</v>
      </c>
      <c r="D1323" s="5" t="str">
        <f>IFERROR(__xludf.DUMMYFUNCTION("""COMPUTED_VALUE"""),"39704")</f>
        <v>39704</v>
      </c>
      <c r="E1323" s="5" t="str">
        <f>IFERROR(__xludf.DUMMYFUNCTION("""COMPUTED_VALUE"""),"Stock")</f>
        <v>Stock</v>
      </c>
      <c r="F1323" s="5" t="str">
        <f>IFERROR(__xludf.DUMMYFUNCTION("""COMPUTED_VALUE"""),"USD")</f>
        <v>USD</v>
      </c>
      <c r="G1323" s="30" t="str">
        <f>IFERROR(__xludf.DUMMYFUNCTION("""COMPUTED_VALUE"""),"Email Account/ TraderID Recognized")</f>
        <v>Email Account/ TraderID Recognized</v>
      </c>
      <c r="H1323" s="112" t="str">
        <f>IFERROR(__xludf.DUMMYFUNCTION("""COMPUTED_VALUE"""),"TWTR")</f>
        <v>TWTR</v>
      </c>
      <c r="I1323" s="30">
        <f>IFERROR(__xludf.DUMMYFUNCTION("""COMPUTED_VALUE"""),400.0)</f>
        <v>400</v>
      </c>
      <c r="J1323" s="30"/>
      <c r="K1323" s="30" t="str">
        <f>IFERROR(__xludf.DUMMYFUNCTION("""COMPUTED_VALUE"""),"QTY, Limit Price (if any) &amp; Password input correct")</f>
        <v>QTY, Limit Price (if any) &amp; Password input correct</v>
      </c>
      <c r="L1323" s="30"/>
    </row>
    <row r="1324">
      <c r="A1324" s="5"/>
      <c r="B1324" s="118">
        <f>IFERROR(__xludf.DUMMYFUNCTION("""COMPUTED_VALUE"""),44664.132778506944)</f>
        <v>44664.13278</v>
      </c>
      <c r="C1324" s="120">
        <f>IFERROR(__xludf.DUMMYFUNCTION("""COMPUTED_VALUE"""),44663.666666666664)</f>
        <v>44663.66667</v>
      </c>
      <c r="D1324" s="5" t="str">
        <f>IFERROR(__xludf.DUMMYFUNCTION("""COMPUTED_VALUE"""),"40105")</f>
        <v>40105</v>
      </c>
      <c r="E1324" s="5" t="str">
        <f>IFERROR(__xludf.DUMMYFUNCTION("""COMPUTED_VALUE"""),"Stock")</f>
        <v>Stock</v>
      </c>
      <c r="F1324" s="5" t="str">
        <f>IFERROR(__xludf.DUMMYFUNCTION("""COMPUTED_VALUE"""),"USD")</f>
        <v>USD</v>
      </c>
      <c r="G1324" s="30" t="str">
        <f>IFERROR(__xludf.DUMMYFUNCTION("""COMPUTED_VALUE"""),"Email Account/ TraderID Recognized")</f>
        <v>Email Account/ TraderID Recognized</v>
      </c>
      <c r="H1324" s="112" t="str">
        <f>IFERROR(__xludf.DUMMYFUNCTION("""COMPUTED_VALUE"""),"TWTR")</f>
        <v>TWTR</v>
      </c>
      <c r="I1324" s="30">
        <f>IFERROR(__xludf.DUMMYFUNCTION("""COMPUTED_VALUE"""),300.0)</f>
        <v>300</v>
      </c>
      <c r="J1324" s="30"/>
      <c r="K1324" s="30" t="str">
        <f>IFERROR(__xludf.DUMMYFUNCTION("""COMPUTED_VALUE"""),"QTY, Limit Price (if any) &amp; Password input correct")</f>
        <v>QTY, Limit Price (if any) &amp; Password input correct</v>
      </c>
      <c r="L1324" s="30"/>
    </row>
    <row r="1325">
      <c r="A1325" s="5"/>
      <c r="B1325" s="118">
        <f>IFERROR(__xludf.DUMMYFUNCTION("""COMPUTED_VALUE"""),44664.13395850694)</f>
        <v>44664.13396</v>
      </c>
      <c r="C1325" s="120">
        <f>IFERROR(__xludf.DUMMYFUNCTION("""COMPUTED_VALUE"""),44663.666666666664)</f>
        <v>44663.66667</v>
      </c>
      <c r="D1325" s="5" t="str">
        <f>IFERROR(__xludf.DUMMYFUNCTION("""COMPUTED_VALUE"""),"18874")</f>
        <v>18874</v>
      </c>
      <c r="E1325" s="5" t="str">
        <f>IFERROR(__xludf.DUMMYFUNCTION("""COMPUTED_VALUE"""),"Stock")</f>
        <v>Stock</v>
      </c>
      <c r="F1325" s="5" t="str">
        <f>IFERROR(__xludf.DUMMYFUNCTION("""COMPUTED_VALUE"""),"USD")</f>
        <v>USD</v>
      </c>
      <c r="G1325" s="30" t="str">
        <f>IFERROR(__xludf.DUMMYFUNCTION("""COMPUTED_VALUE"""),"Email Account/ TraderID Recognized")</f>
        <v>Email Account/ TraderID Recognized</v>
      </c>
      <c r="H1325" s="112" t="str">
        <f>IFERROR(__xludf.DUMMYFUNCTION("""COMPUTED_VALUE"""),"NVDA")</f>
        <v>NVDA</v>
      </c>
      <c r="I1325" s="30">
        <f>IFERROR(__xludf.DUMMYFUNCTION("""COMPUTED_VALUE"""),10.0)</f>
        <v>10</v>
      </c>
      <c r="J1325" s="30">
        <f>IFERROR(__xludf.DUMMYFUNCTION("""COMPUTED_VALUE"""),120.0)</f>
        <v>120</v>
      </c>
      <c r="K1325" s="30" t="str">
        <f>IFERROR(__xludf.DUMMYFUNCTION("""COMPUTED_VALUE"""),"QTY, Limit Price (if any) &amp; Password input correct")</f>
        <v>QTY, Limit Price (if any) &amp; Password input correct</v>
      </c>
      <c r="L1325" s="30"/>
    </row>
    <row r="1326">
      <c r="A1326" s="5"/>
      <c r="B1326" s="118">
        <f>IFERROR(__xludf.DUMMYFUNCTION("""COMPUTED_VALUE"""),44664.142636261575)</f>
        <v>44664.14264</v>
      </c>
      <c r="C1326" s="120">
        <f>IFERROR(__xludf.DUMMYFUNCTION("""COMPUTED_VALUE"""),44663.666666666664)</f>
        <v>44663.66667</v>
      </c>
      <c r="D1326" s="5" t="str">
        <f>IFERROR(__xludf.DUMMYFUNCTION("""COMPUTED_VALUE"""),"18874")</f>
        <v>18874</v>
      </c>
      <c r="E1326" s="5" t="str">
        <f>IFERROR(__xludf.DUMMYFUNCTION("""COMPUTED_VALUE"""),"Stock")</f>
        <v>Stock</v>
      </c>
      <c r="F1326" s="5" t="str">
        <f>IFERROR(__xludf.DUMMYFUNCTION("""COMPUTED_VALUE"""),"USD")</f>
        <v>USD</v>
      </c>
      <c r="G1326" s="30" t="str">
        <f>IFERROR(__xludf.DUMMYFUNCTION("""COMPUTED_VALUE"""),"Email Account/ TraderID Recognized")</f>
        <v>Email Account/ TraderID Recognized</v>
      </c>
      <c r="H1326" s="112" t="str">
        <f>IFERROR(__xludf.DUMMYFUNCTION("""COMPUTED_VALUE"""),"TSM")</f>
        <v>TSM</v>
      </c>
      <c r="I1326" s="30">
        <f>IFERROR(__xludf.DUMMYFUNCTION("""COMPUTED_VALUE"""),50.0)</f>
        <v>50</v>
      </c>
      <c r="J1326" s="30"/>
      <c r="K1326" s="30" t="str">
        <f>IFERROR(__xludf.DUMMYFUNCTION("""COMPUTED_VALUE"""),"QTY, Limit Price (if any) &amp; Password input correct")</f>
        <v>QTY, Limit Price (if any) &amp; Password input correct</v>
      </c>
      <c r="L1326" s="30"/>
    </row>
    <row r="1327">
      <c r="A1327" s="5"/>
      <c r="B1327" s="118">
        <f>IFERROR(__xludf.DUMMYFUNCTION("""COMPUTED_VALUE"""),44664.147050625004)</f>
        <v>44664.14705</v>
      </c>
      <c r="C1327" s="120">
        <f>IFERROR(__xludf.DUMMYFUNCTION("""COMPUTED_VALUE"""),44663.666666666664)</f>
        <v>44663.66667</v>
      </c>
      <c r="D1327" s="5" t="str">
        <f>IFERROR(__xludf.DUMMYFUNCTION("""COMPUTED_VALUE"""),"18874")</f>
        <v>18874</v>
      </c>
      <c r="E1327" s="5" t="str">
        <f>IFERROR(__xludf.DUMMYFUNCTION("""COMPUTED_VALUE"""),"Stock")</f>
        <v>Stock</v>
      </c>
      <c r="F1327" s="5" t="str">
        <f>IFERROR(__xludf.DUMMYFUNCTION("""COMPUTED_VALUE"""),"USD")</f>
        <v>USD</v>
      </c>
      <c r="G1327" s="30" t="str">
        <f>IFERROR(__xludf.DUMMYFUNCTION("""COMPUTED_VALUE"""),"Email Account/ TraderID Recognized")</f>
        <v>Email Account/ TraderID Recognized</v>
      </c>
      <c r="H1327" s="112" t="str">
        <f>IFERROR(__xludf.DUMMYFUNCTION("""COMPUTED_VALUE"""),"KO")</f>
        <v>KO</v>
      </c>
      <c r="I1327" s="30">
        <f>IFERROR(__xludf.DUMMYFUNCTION("""COMPUTED_VALUE"""),200.0)</f>
        <v>200</v>
      </c>
      <c r="J1327" s="30"/>
      <c r="K1327" s="30" t="str">
        <f>IFERROR(__xludf.DUMMYFUNCTION("""COMPUTED_VALUE"""),"QTY, Limit Price (if any) &amp; Password input correct")</f>
        <v>QTY, Limit Price (if any) &amp; Password input correct</v>
      </c>
      <c r="L1327" s="30"/>
    </row>
    <row r="1328">
      <c r="A1328" s="5"/>
      <c r="B1328" s="118">
        <f>IFERROR(__xludf.DUMMYFUNCTION("""COMPUTED_VALUE"""),44664.15083844907)</f>
        <v>44664.15084</v>
      </c>
      <c r="C1328" s="120">
        <f>IFERROR(__xludf.DUMMYFUNCTION("""COMPUTED_VALUE"""),44663.666666666664)</f>
        <v>44663.66667</v>
      </c>
      <c r="D1328" s="5" t="str">
        <f>IFERROR(__xludf.DUMMYFUNCTION("""COMPUTED_VALUE"""),"46600")</f>
        <v>46600</v>
      </c>
      <c r="E1328" s="5" t="str">
        <f>IFERROR(__xludf.DUMMYFUNCTION("""COMPUTED_VALUE"""),"Stock")</f>
        <v>Stock</v>
      </c>
      <c r="F1328" s="5" t="str">
        <f>IFERROR(__xludf.DUMMYFUNCTION("""COMPUTED_VALUE"""),"USD")</f>
        <v>USD</v>
      </c>
      <c r="G1328" s="30" t="str">
        <f>IFERROR(__xludf.DUMMYFUNCTION("""COMPUTED_VALUE"""),"Email Account/ TraderID Recognized")</f>
        <v>Email Account/ TraderID Recognized</v>
      </c>
      <c r="H1328" s="112" t="str">
        <f>IFERROR(__xludf.DUMMYFUNCTION("""COMPUTED_VALUE"""),"AAPL")</f>
        <v>AAPL</v>
      </c>
      <c r="I1328" s="30">
        <f>IFERROR(__xludf.DUMMYFUNCTION("""COMPUTED_VALUE"""),100.0)</f>
        <v>100</v>
      </c>
      <c r="J1328" s="30"/>
      <c r="K1328" s="30" t="str">
        <f>IFERROR(__xludf.DUMMYFUNCTION("""COMPUTED_VALUE"""),"QTY, Limit Price (if any) &amp; Password input correct")</f>
        <v>QTY, Limit Price (if any) &amp; Password input correct</v>
      </c>
      <c r="L1328" s="30"/>
    </row>
    <row r="1329">
      <c r="A1329" s="5"/>
      <c r="B1329" s="118">
        <f>IFERROR(__xludf.DUMMYFUNCTION("""COMPUTED_VALUE"""),44664.40742423611)</f>
        <v>44664.40742</v>
      </c>
      <c r="C1329" s="120">
        <f>IFERROR(__xludf.DUMMYFUNCTION("""COMPUTED_VALUE"""),44664.666666666664)</f>
        <v>44664.66667</v>
      </c>
      <c r="D1329" s="5" t="str">
        <f>IFERROR(__xludf.DUMMYFUNCTION("""COMPUTED_VALUE"""),"36242")</f>
        <v>36242</v>
      </c>
      <c r="E1329" s="5" t="str">
        <f>IFERROR(__xludf.DUMMYFUNCTION("""COMPUTED_VALUE"""),"Stock")</f>
        <v>Stock</v>
      </c>
      <c r="F1329" s="5" t="str">
        <f>IFERROR(__xludf.DUMMYFUNCTION("""COMPUTED_VALUE"""),"HKD")</f>
        <v>HKD</v>
      </c>
      <c r="G1329" s="30" t="str">
        <f>IFERROR(__xludf.DUMMYFUNCTION("""COMPUTED_VALUE"""),"Email Account/ TraderID Recognized")</f>
        <v>Email Account/ TraderID Recognized</v>
      </c>
      <c r="H1329" s="125" t="str">
        <f>IFERROR(__xludf.DUMMYFUNCTION("""COMPUTED_VALUE"""),"1024.HK")</f>
        <v>1024.HK</v>
      </c>
      <c r="I1329" s="30">
        <f>IFERROR(__xludf.DUMMYFUNCTION("""COMPUTED_VALUE"""),1000.0)</f>
        <v>1000</v>
      </c>
      <c r="J1329" s="30">
        <f>IFERROR(__xludf.DUMMYFUNCTION("""COMPUTED_VALUE"""),64.0)</f>
        <v>64</v>
      </c>
      <c r="K1329" s="30" t="str">
        <f>IFERROR(__xludf.DUMMYFUNCTION("""COMPUTED_VALUE"""),"QTY, Limit Price (if any) &amp; Password input correct")</f>
        <v>QTY, Limit Price (if any) &amp; Password input correct</v>
      </c>
      <c r="L1329" s="30"/>
    </row>
    <row r="1330">
      <c r="A1330" s="5"/>
      <c r="B1330" s="118">
        <f>IFERROR(__xludf.DUMMYFUNCTION("""COMPUTED_VALUE"""),44664.47507813657)</f>
        <v>44664.47508</v>
      </c>
      <c r="C1330" s="120">
        <f>IFERROR(__xludf.DUMMYFUNCTION("""COMPUTED_VALUE"""),44664.666666666664)</f>
        <v>44664.66667</v>
      </c>
      <c r="D1330" s="5" t="str">
        <f>IFERROR(__xludf.DUMMYFUNCTION("""COMPUTED_VALUE"""),"38758")</f>
        <v>38758</v>
      </c>
      <c r="E1330" s="5" t="str">
        <f>IFERROR(__xludf.DUMMYFUNCTION("""COMPUTED_VALUE"""),"Time Deposit")</f>
        <v>Time Deposit</v>
      </c>
      <c r="F1330" s="5" t="str">
        <f>IFERROR(__xludf.DUMMYFUNCTION("""COMPUTED_VALUE"""),"HKD")</f>
        <v>HKD</v>
      </c>
      <c r="G1330" s="30" t="str">
        <f>IFERROR(__xludf.DUMMYFUNCTION("""COMPUTED_VALUE"""),"Email Account/ TraderID Recognized")</f>
        <v>Email Account/ TraderID Recognized</v>
      </c>
      <c r="H1330" s="112" t="str">
        <f>IFERROR(__xludf.DUMMYFUNCTION("""COMPUTED_VALUE"""),"1M")</f>
        <v>1M</v>
      </c>
      <c r="I1330" s="30">
        <f>IFERROR(__xludf.DUMMYFUNCTION("""COMPUTED_VALUE"""),20000.0)</f>
        <v>20000</v>
      </c>
      <c r="J1330" s="30"/>
      <c r="K1330" s="30" t="str">
        <f>IFERROR(__xludf.DUMMYFUNCTION("""COMPUTED_VALUE"""),"QTY, Limit Price (if any) &amp; Password input correct")</f>
        <v>QTY, Limit Price (if any) &amp; Password input correct</v>
      </c>
      <c r="L1330" s="30"/>
    </row>
    <row r="1331">
      <c r="A1331" s="5"/>
      <c r="B1331" s="118">
        <f>IFERROR(__xludf.DUMMYFUNCTION("""COMPUTED_VALUE"""),44664.48692465278)</f>
        <v>44664.48692</v>
      </c>
      <c r="C1331" s="120">
        <f>IFERROR(__xludf.DUMMYFUNCTION("""COMPUTED_VALUE"""),44664.666666666664)</f>
        <v>44664.66667</v>
      </c>
      <c r="D1331" s="5" t="str">
        <f>IFERROR(__xludf.DUMMYFUNCTION("""COMPUTED_VALUE"""),"39670")</f>
        <v>39670</v>
      </c>
      <c r="E1331" s="5" t="str">
        <f>IFERROR(__xludf.DUMMYFUNCTION("""COMPUTED_VALUE"""),"Stock")</f>
        <v>Stock</v>
      </c>
      <c r="F1331" s="5" t="str">
        <f>IFERROR(__xludf.DUMMYFUNCTION("""COMPUTED_VALUE"""),"HKD")</f>
        <v>HKD</v>
      </c>
      <c r="G1331" s="30" t="str">
        <f>IFERROR(__xludf.DUMMYFUNCTION("""COMPUTED_VALUE"""),"Email Account/ TraderID Recognized")</f>
        <v>Email Account/ TraderID Recognized</v>
      </c>
      <c r="H1331" s="125" t="str">
        <f>IFERROR(__xludf.DUMMYFUNCTION("""COMPUTED_VALUE"""),"9988.HK")</f>
        <v>9988.HK</v>
      </c>
      <c r="I1331" s="30">
        <f>IFERROR(__xludf.DUMMYFUNCTION("""COMPUTED_VALUE"""),100.0)</f>
        <v>100</v>
      </c>
      <c r="J1331" s="30">
        <f>IFERROR(__xludf.DUMMYFUNCTION("""COMPUTED_VALUE"""),98.0)</f>
        <v>98</v>
      </c>
      <c r="K1331" s="30" t="str">
        <f>IFERROR(__xludf.DUMMYFUNCTION("""COMPUTED_VALUE"""),"QTY, Limit Price (if any) &amp; Password input correct")</f>
        <v>QTY, Limit Price (if any) &amp; Password input correct</v>
      </c>
      <c r="L1331" s="30"/>
    </row>
    <row r="1332">
      <c r="A1332" s="5"/>
      <c r="B1332" s="118">
        <f>IFERROR(__xludf.DUMMYFUNCTION("""COMPUTED_VALUE"""),44664.48805946759)</f>
        <v>44664.48806</v>
      </c>
      <c r="C1332" s="120">
        <f>IFERROR(__xludf.DUMMYFUNCTION("""COMPUTED_VALUE"""),44664.666666666664)</f>
        <v>44664.66667</v>
      </c>
      <c r="D1332" s="5" t="str">
        <f>IFERROR(__xludf.DUMMYFUNCTION("""COMPUTED_VALUE"""),"39670")</f>
        <v>39670</v>
      </c>
      <c r="E1332" s="5" t="str">
        <f>IFERROR(__xludf.DUMMYFUNCTION("""COMPUTED_VALUE"""),"Stock")</f>
        <v>Stock</v>
      </c>
      <c r="F1332" s="5" t="str">
        <f>IFERROR(__xludf.DUMMYFUNCTION("""COMPUTED_VALUE"""),"HKD")</f>
        <v>HKD</v>
      </c>
      <c r="G1332" s="30" t="str">
        <f>IFERROR(__xludf.DUMMYFUNCTION("""COMPUTED_VALUE"""),"Email Account/ TraderID Recognized")</f>
        <v>Email Account/ TraderID Recognized</v>
      </c>
      <c r="H1332" s="125" t="str">
        <f>IFERROR(__xludf.DUMMYFUNCTION("""COMPUTED_VALUE"""),"9626.HK")</f>
        <v>9626.HK</v>
      </c>
      <c r="I1332" s="30">
        <f>IFERROR(__xludf.DUMMYFUNCTION("""COMPUTED_VALUE"""),100.0)</f>
        <v>100</v>
      </c>
      <c r="J1332" s="30">
        <f>IFERROR(__xludf.DUMMYFUNCTION("""COMPUTED_VALUE"""),24.0)</f>
        <v>24</v>
      </c>
      <c r="K1332" s="30" t="str">
        <f>IFERROR(__xludf.DUMMYFUNCTION("""COMPUTED_VALUE"""),"QTY, Limit Price (if any) &amp; Password input correct")</f>
        <v>QTY, Limit Price (if any) &amp; Password input correct</v>
      </c>
      <c r="L1332" s="30"/>
    </row>
    <row r="1333">
      <c r="A1333" s="5"/>
      <c r="B1333" s="118">
        <f>IFERROR(__xludf.DUMMYFUNCTION("""COMPUTED_VALUE"""),44664.49161246528)</f>
        <v>44664.49161</v>
      </c>
      <c r="C1333" s="120" t="str">
        <f>IFERROR(__xludf.DUMMYFUNCTION("""COMPUTED_VALUE"""),"")</f>
        <v/>
      </c>
      <c r="D1333" s="5" t="str">
        <f>IFERROR(__xludf.DUMMYFUNCTION("""COMPUTED_VALUE"""),"89833")</f>
        <v>89833</v>
      </c>
      <c r="E1333" s="5" t="str">
        <f>IFERROR(__xludf.DUMMYFUNCTION("""COMPUTED_VALUE"""),"Stock")</f>
        <v>Stock</v>
      </c>
      <c r="F1333" s="5" t="str">
        <f>IFERROR(__xludf.DUMMYFUNCTION("""COMPUTED_VALUE"""),"error")</f>
        <v>error</v>
      </c>
      <c r="G1333" s="30" t="str">
        <f>IFERROR(__xludf.DUMMYFUNCTION("""COMPUTED_VALUE"""),"Email Account/ TraderID Recognized")</f>
        <v>Email Account/ TraderID Recognized</v>
      </c>
      <c r="H1333" s="125" t="str">
        <f>IFERROR(__xludf.DUMMYFUNCTION("""COMPUTED_VALUE"""),"0883.HK")</f>
        <v>0883.HK</v>
      </c>
      <c r="I1333" s="30">
        <f>IFERROR(__xludf.DUMMYFUNCTION("""COMPUTED_VALUE"""),15000.0)</f>
        <v>15000</v>
      </c>
      <c r="J1333" s="30" t="str">
        <f>IFERROR(__xludf.DUMMYFUNCTION("""COMPUTED_VALUE"""),"Limit Sell @ 11.50 - if Closing @ 12 = Executed price @ 12; if Closing @ 11 = no execution")</f>
        <v>Limit Sell @ 11.50 - if Closing @ 12 = Executed price @ 12; if Closing @ 11 = no execution</v>
      </c>
      <c r="K1333" s="30" t="str">
        <f>IFERROR(__xludf.DUMMYFUNCTION("""COMPUTED_VALUE"""),"Non-number input in Quantity or Limit Price")</f>
        <v>Non-number input in Quantity or Limit Price</v>
      </c>
      <c r="L1333" s="30" t="str">
        <f>IFERROR(__xludf.DUMMYFUNCTION("""COMPUTED_VALUE"""),"Order rejected due to non numeric character in limit price box")</f>
        <v>Order rejected due to non numeric character in limit price box</v>
      </c>
    </row>
    <row r="1334">
      <c r="A1334" s="5"/>
      <c r="B1334" s="118">
        <f>IFERROR(__xludf.DUMMYFUNCTION("""COMPUTED_VALUE"""),44664.58179778935)</f>
        <v>44664.5818</v>
      </c>
      <c r="C1334" s="120">
        <f>IFERROR(__xludf.DUMMYFUNCTION("""COMPUTED_VALUE"""),44664.666666666664)</f>
        <v>44664.66667</v>
      </c>
      <c r="D1334" s="5" t="str">
        <f>IFERROR(__xludf.DUMMYFUNCTION("""COMPUTED_VALUE"""),"38705")</f>
        <v>38705</v>
      </c>
      <c r="E1334" s="5" t="str">
        <f>IFERROR(__xludf.DUMMYFUNCTION("""COMPUTED_VALUE"""),"Stock")</f>
        <v>Stock</v>
      </c>
      <c r="F1334" s="5" t="str">
        <f>IFERROR(__xludf.DUMMYFUNCTION("""COMPUTED_VALUE"""),"USD")</f>
        <v>USD</v>
      </c>
      <c r="G1334" s="30" t="str">
        <f>IFERROR(__xludf.DUMMYFUNCTION("""COMPUTED_VALUE"""),"Email Account/ TraderID Recognized")</f>
        <v>Email Account/ TraderID Recognized</v>
      </c>
      <c r="H1334" s="112" t="str">
        <f>IFERROR(__xludf.DUMMYFUNCTION("""COMPUTED_VALUE"""),"HPK")</f>
        <v>HPK</v>
      </c>
      <c r="I1334" s="30">
        <f>IFERROR(__xludf.DUMMYFUNCTION("""COMPUTED_VALUE"""),300.0)</f>
        <v>300</v>
      </c>
      <c r="J1334" s="30"/>
      <c r="K1334" s="30" t="str">
        <f>IFERROR(__xludf.DUMMYFUNCTION("""COMPUTED_VALUE"""),"QTY, Limit Price (if any) &amp; Password input correct")</f>
        <v>QTY, Limit Price (if any) &amp; Password input correct</v>
      </c>
      <c r="L1334" s="30"/>
    </row>
    <row r="1335">
      <c r="A1335" s="5"/>
      <c r="B1335" s="118">
        <f>IFERROR(__xludf.DUMMYFUNCTION("""COMPUTED_VALUE"""),44664.586061932874)</f>
        <v>44664.58606</v>
      </c>
      <c r="C1335" s="120">
        <f>IFERROR(__xludf.DUMMYFUNCTION("""COMPUTED_VALUE"""),44664.666666666664)</f>
        <v>44664.66667</v>
      </c>
      <c r="D1335" s="5" t="str">
        <f>IFERROR(__xludf.DUMMYFUNCTION("""COMPUTED_VALUE"""),"38705")</f>
        <v>38705</v>
      </c>
      <c r="E1335" s="5" t="str">
        <f>IFERROR(__xludf.DUMMYFUNCTION("""COMPUTED_VALUE"""),"Stock")</f>
        <v>Stock</v>
      </c>
      <c r="F1335" s="5" t="str">
        <f>IFERROR(__xludf.DUMMYFUNCTION("""COMPUTED_VALUE"""),"USD")</f>
        <v>USD</v>
      </c>
      <c r="G1335" s="30" t="str">
        <f>IFERROR(__xludf.DUMMYFUNCTION("""COMPUTED_VALUE"""),"Email Account/ TraderID Recognized")</f>
        <v>Email Account/ TraderID Recognized</v>
      </c>
      <c r="H1335" s="112" t="str">
        <f>IFERROR(__xludf.DUMMYFUNCTION("""COMPUTED_VALUE"""),"AAPL")</f>
        <v>AAPL</v>
      </c>
      <c r="I1335" s="30">
        <f>IFERROR(__xludf.DUMMYFUNCTION("""COMPUTED_VALUE"""),100.0)</f>
        <v>100</v>
      </c>
      <c r="J1335" s="30"/>
      <c r="K1335" s="30" t="str">
        <f>IFERROR(__xludf.DUMMYFUNCTION("""COMPUTED_VALUE"""),"QTY, Limit Price (if any) &amp; Password input correct")</f>
        <v>QTY, Limit Price (if any) &amp; Password input correct</v>
      </c>
      <c r="L1335" s="30"/>
    </row>
    <row r="1336">
      <c r="A1336" s="5"/>
      <c r="B1336" s="118">
        <f>IFERROR(__xludf.DUMMYFUNCTION("""COMPUTED_VALUE"""),44664.58654149306)</f>
        <v>44664.58654</v>
      </c>
      <c r="C1336" s="120">
        <f>IFERROR(__xludf.DUMMYFUNCTION("""COMPUTED_VALUE"""),44664.666666666664)</f>
        <v>44664.66667</v>
      </c>
      <c r="D1336" s="5" t="str">
        <f>IFERROR(__xludf.DUMMYFUNCTION("""COMPUTED_VALUE"""),"33050")</f>
        <v>33050</v>
      </c>
      <c r="E1336" s="5" t="str">
        <f>IFERROR(__xludf.DUMMYFUNCTION("""COMPUTED_VALUE"""),"Stock")</f>
        <v>Stock</v>
      </c>
      <c r="F1336" s="5" t="str">
        <f>IFERROR(__xludf.DUMMYFUNCTION("""COMPUTED_VALUE"""),"USD")</f>
        <v>USD</v>
      </c>
      <c r="G1336" s="30" t="str">
        <f>IFERROR(__xludf.DUMMYFUNCTION("""COMPUTED_VALUE"""),"Email Account/ TraderID Recognized")</f>
        <v>Email Account/ TraderID Recognized</v>
      </c>
      <c r="H1336" s="112" t="str">
        <f>IFERROR(__xludf.DUMMYFUNCTION("""COMPUTED_VALUE"""),"AAPL")</f>
        <v>AAPL</v>
      </c>
      <c r="I1336" s="30">
        <f>IFERROR(__xludf.DUMMYFUNCTION("""COMPUTED_VALUE"""),500.0)</f>
        <v>500</v>
      </c>
      <c r="J1336" s="30"/>
      <c r="K1336" s="30" t="str">
        <f>IFERROR(__xludf.DUMMYFUNCTION("""COMPUTED_VALUE"""),"QTY, Limit Price (if any) &amp; Password input correct")</f>
        <v>QTY, Limit Price (if any) &amp; Password input correct</v>
      </c>
      <c r="L1336" s="30"/>
    </row>
    <row r="1337">
      <c r="A1337" s="5"/>
      <c r="B1337" s="118">
        <f>IFERROR(__xludf.DUMMYFUNCTION("""COMPUTED_VALUE"""),44664.587094166665)</f>
        <v>44664.58709</v>
      </c>
      <c r="C1337" s="120">
        <f>IFERROR(__xludf.DUMMYFUNCTION("""COMPUTED_VALUE"""),44664.666666666664)</f>
        <v>44664.66667</v>
      </c>
      <c r="D1337" s="5" t="str">
        <f>IFERROR(__xludf.DUMMYFUNCTION("""COMPUTED_VALUE"""),"33050")</f>
        <v>33050</v>
      </c>
      <c r="E1337" s="5" t="str">
        <f>IFERROR(__xludf.DUMMYFUNCTION("""COMPUTED_VALUE"""),"Stock")</f>
        <v>Stock</v>
      </c>
      <c r="F1337" s="5" t="str">
        <f>IFERROR(__xludf.DUMMYFUNCTION("""COMPUTED_VALUE"""),"USD")</f>
        <v>USD</v>
      </c>
      <c r="G1337" s="30" t="str">
        <f>IFERROR(__xludf.DUMMYFUNCTION("""COMPUTED_VALUE"""),"Email Account/ TraderID Recognized")</f>
        <v>Email Account/ TraderID Recognized</v>
      </c>
      <c r="H1337" s="112" t="str">
        <f>IFERROR(__xludf.DUMMYFUNCTION("""COMPUTED_VALUE"""),"TSLA")</f>
        <v>TSLA</v>
      </c>
      <c r="I1337" s="30">
        <f>IFERROR(__xludf.DUMMYFUNCTION("""COMPUTED_VALUE"""),1000.0)</f>
        <v>1000</v>
      </c>
      <c r="J1337" s="30"/>
      <c r="K1337" s="30" t="str">
        <f>IFERROR(__xludf.DUMMYFUNCTION("""COMPUTED_VALUE"""),"QTY, Limit Price (if any) &amp; Password input correct")</f>
        <v>QTY, Limit Price (if any) &amp; Password input correct</v>
      </c>
      <c r="L1337" s="30"/>
    </row>
    <row r="1338">
      <c r="A1338" s="5"/>
      <c r="B1338" s="118">
        <f>IFERROR(__xludf.DUMMYFUNCTION("""COMPUTED_VALUE"""),44664.58719799768)</f>
        <v>44664.5872</v>
      </c>
      <c r="C1338" s="120" t="str">
        <f>IFERROR(__xludf.DUMMYFUNCTION("""COMPUTED_VALUE"""),"")</f>
        <v/>
      </c>
      <c r="D1338" s="5" t="str">
        <f>IFERROR(__xludf.DUMMYFUNCTION("""COMPUTED_VALUE"""),"")</f>
        <v/>
      </c>
      <c r="E1338" s="5" t="str">
        <f>IFERROR(__xludf.DUMMYFUNCTION("""COMPUTED_VALUE"""),"Stock")</f>
        <v>Stock</v>
      </c>
      <c r="F1338" s="5" t="str">
        <f>IFERROR(__xludf.DUMMYFUNCTION("""COMPUTED_VALUE"""),"error")</f>
        <v>error</v>
      </c>
      <c r="G1338" s="30" t="str">
        <f>IFERROR(__xludf.DUMMYFUNCTION("""COMPUTED_VALUE"""),"s124xxxxxx@nonHKMUemail")</f>
        <v>s124xxxxxx@nonHKMUemail</v>
      </c>
      <c r="H1338" s="112" t="str">
        <f>IFERROR(__xludf.DUMMYFUNCTION("""COMPUTED_VALUE"""),"AAPL")</f>
        <v>AAPL</v>
      </c>
      <c r="I1338" s="30">
        <f>IFERROR(__xludf.DUMMYFUNCTION("""COMPUTED_VALUE"""),10000.0)</f>
        <v>10000</v>
      </c>
      <c r="J1338" s="30"/>
      <c r="K1338" s="30" t="str">
        <f>IFERROR(__xludf.DUMMYFUNCTION("""COMPUTED_VALUE"""),"QTY, Limit Price (if any) &amp; Password input correct")</f>
        <v>QTY, Limit Price (if any) &amp; Password input correct</v>
      </c>
      <c r="L1338" s="30" t="str">
        <f>IFERROR(__xludf.DUMMYFUNCTION("""COMPUTED_VALUE"""),"Order rejected due to non school email account")</f>
        <v>Order rejected due to non school email account</v>
      </c>
    </row>
    <row r="1339">
      <c r="A1339" s="5"/>
      <c r="B1339" s="118">
        <f>IFERROR(__xludf.DUMMYFUNCTION("""COMPUTED_VALUE"""),44664.58916863426)</f>
        <v>44664.58917</v>
      </c>
      <c r="C1339" s="120">
        <f>IFERROR(__xludf.DUMMYFUNCTION("""COMPUTED_VALUE"""),44664.625)</f>
        <v>44664.625</v>
      </c>
      <c r="D1339" s="5" t="str">
        <f>IFERROR(__xludf.DUMMYFUNCTION("""COMPUTED_VALUE"""),"40658")</f>
        <v>40658</v>
      </c>
      <c r="E1339" s="5" t="str">
        <f>IFERROR(__xludf.DUMMYFUNCTION("""COMPUTED_VALUE"""),"Stock")</f>
        <v>Stock</v>
      </c>
      <c r="F1339" s="5" t="str">
        <f>IFERROR(__xludf.DUMMYFUNCTION("""COMPUTED_VALUE"""),"CNY")</f>
        <v>CNY</v>
      </c>
      <c r="G1339" s="30" t="str">
        <f>IFERROR(__xludf.DUMMYFUNCTION("""COMPUTED_VALUE"""),"Email Account/ TraderID Recognized")</f>
        <v>Email Account/ TraderID Recognized</v>
      </c>
      <c r="H1339" s="125" t="str">
        <f>IFERROR(__xludf.DUMMYFUNCTION("""COMPUTED_VALUE"""),"300750.SZ")</f>
        <v>300750.SZ</v>
      </c>
      <c r="I1339" s="30">
        <f>IFERROR(__xludf.DUMMYFUNCTION("""COMPUTED_VALUE"""),20000.0)</f>
        <v>20000</v>
      </c>
      <c r="J1339" s="30"/>
      <c r="K1339" s="30" t="str">
        <f>IFERROR(__xludf.DUMMYFUNCTION("""COMPUTED_VALUE"""),"QTY, Limit Price (if any) &amp; Password input correct")</f>
        <v>QTY, Limit Price (if any) &amp; Password input correct</v>
      </c>
      <c r="L1339" s="30"/>
    </row>
    <row r="1340">
      <c r="A1340" s="5"/>
      <c r="B1340" s="118">
        <f>IFERROR(__xludf.DUMMYFUNCTION("""COMPUTED_VALUE"""),44664.590081331015)</f>
        <v>44664.59008</v>
      </c>
      <c r="C1340" s="120">
        <f>IFERROR(__xludf.DUMMYFUNCTION("""COMPUTED_VALUE"""),44664.666666666664)</f>
        <v>44664.66667</v>
      </c>
      <c r="D1340" s="5" t="str">
        <f>IFERROR(__xludf.DUMMYFUNCTION("""COMPUTED_VALUE"""),"40658")</f>
        <v>40658</v>
      </c>
      <c r="E1340" s="5" t="str">
        <f>IFERROR(__xludf.DUMMYFUNCTION("""COMPUTED_VALUE"""),"Stock")</f>
        <v>Stock</v>
      </c>
      <c r="F1340" s="5" t="str">
        <f>IFERROR(__xludf.DUMMYFUNCTION("""COMPUTED_VALUE"""),"USD")</f>
        <v>USD</v>
      </c>
      <c r="G1340" s="30" t="str">
        <f>IFERROR(__xludf.DUMMYFUNCTION("""COMPUTED_VALUE"""),"Email Account/ TraderID Recognized")</f>
        <v>Email Account/ TraderID Recognized</v>
      </c>
      <c r="H1340" s="112" t="str">
        <f>IFERROR(__xludf.DUMMYFUNCTION("""COMPUTED_VALUE"""),"AAPL")</f>
        <v>AAPL</v>
      </c>
      <c r="I1340" s="30">
        <f>IFERROR(__xludf.DUMMYFUNCTION("""COMPUTED_VALUE"""),30000.0)</f>
        <v>30000</v>
      </c>
      <c r="J1340" s="30"/>
      <c r="K1340" s="30" t="str">
        <f>IFERROR(__xludf.DUMMYFUNCTION("""COMPUTED_VALUE"""),"QTY, Limit Price (if any) &amp; Password input correct")</f>
        <v>QTY, Limit Price (if any) &amp; Password input correct</v>
      </c>
      <c r="L1340" s="30"/>
    </row>
    <row r="1341">
      <c r="A1341" s="5"/>
      <c r="B1341" s="118">
        <f>IFERROR(__xludf.DUMMYFUNCTION("""COMPUTED_VALUE"""),44664.624195729164)</f>
        <v>44664.6242</v>
      </c>
      <c r="C1341" s="120">
        <f>IFERROR(__xludf.DUMMYFUNCTION("""COMPUTED_VALUE"""),44664.625)</f>
        <v>44664.625</v>
      </c>
      <c r="D1341" s="5" t="str">
        <f>IFERROR(__xludf.DUMMYFUNCTION("""COMPUTED_VALUE"""),"79521")</f>
        <v>79521</v>
      </c>
      <c r="E1341" s="5" t="str">
        <f>IFERROR(__xludf.DUMMYFUNCTION("""COMPUTED_VALUE"""),"Stock")</f>
        <v>Stock</v>
      </c>
      <c r="F1341" s="5" t="str">
        <f>IFERROR(__xludf.DUMMYFUNCTION("""COMPUTED_VALUE"""),"CNY")</f>
        <v>CNY</v>
      </c>
      <c r="G1341" s="30" t="str">
        <f>IFERROR(__xludf.DUMMYFUNCTION("""COMPUTED_VALUE"""),"Email Account/ TraderID Recognized")</f>
        <v>Email Account/ TraderID Recognized</v>
      </c>
      <c r="H1341" s="125" t="str">
        <f>IFERROR(__xludf.DUMMYFUNCTION("""COMPUTED_VALUE"""),"000927.SZ")</f>
        <v>000927.SZ</v>
      </c>
      <c r="I1341" s="30">
        <f>IFERROR(__xludf.DUMMYFUNCTION("""COMPUTED_VALUE"""),50000.0)</f>
        <v>50000</v>
      </c>
      <c r="J1341" s="30"/>
      <c r="K1341" s="30" t="str">
        <f>IFERROR(__xludf.DUMMYFUNCTION("""COMPUTED_VALUE"""),"QTY, Limit Price (if any) &amp; Password input correct")</f>
        <v>QTY, Limit Price (if any) &amp; Password input correct</v>
      </c>
      <c r="L1341" s="30"/>
    </row>
    <row r="1342">
      <c r="A1342" s="5"/>
      <c r="B1342" s="118">
        <f>IFERROR(__xludf.DUMMYFUNCTION("""COMPUTED_VALUE"""),44664.62872515046)</f>
        <v>44664.62873</v>
      </c>
      <c r="C1342" s="120">
        <f>IFERROR(__xludf.DUMMYFUNCTION("""COMPUTED_VALUE"""),44665.625)</f>
        <v>44665.625</v>
      </c>
      <c r="D1342" s="5" t="str">
        <f>IFERROR(__xludf.DUMMYFUNCTION("""COMPUTED_VALUE"""),"36242")</f>
        <v>36242</v>
      </c>
      <c r="E1342" s="5" t="str">
        <f>IFERROR(__xludf.DUMMYFUNCTION("""COMPUTED_VALUE"""),"Stock")</f>
        <v>Stock</v>
      </c>
      <c r="F1342" s="5" t="str">
        <f>IFERROR(__xludf.DUMMYFUNCTION("""COMPUTED_VALUE"""),"CNY")</f>
        <v>CNY</v>
      </c>
      <c r="G1342" s="30" t="str">
        <f>IFERROR(__xludf.DUMMYFUNCTION("""COMPUTED_VALUE"""),"Email Account/ TraderID Recognized")</f>
        <v>Email Account/ TraderID Recognized</v>
      </c>
      <c r="H1342" s="125" t="str">
        <f>IFERROR(__xludf.DUMMYFUNCTION("""COMPUTED_VALUE"""),"000927.SZ")</f>
        <v>000927.SZ</v>
      </c>
      <c r="I1342" s="30">
        <f>IFERROR(__xludf.DUMMYFUNCTION("""COMPUTED_VALUE"""),50000.0)</f>
        <v>50000</v>
      </c>
      <c r="J1342" s="30">
        <f>IFERROR(__xludf.DUMMYFUNCTION("""COMPUTED_VALUE"""),5.0)</f>
        <v>5</v>
      </c>
      <c r="K1342" s="30" t="str">
        <f>IFERROR(__xludf.DUMMYFUNCTION("""COMPUTED_VALUE"""),"QTY, Limit Price (if any) &amp; Password input correct")</f>
        <v>QTY, Limit Price (if any) &amp; Password input correct</v>
      </c>
      <c r="L1342" s="30"/>
    </row>
    <row r="1343">
      <c r="A1343" s="5"/>
      <c r="B1343" s="118">
        <f>IFERROR(__xludf.DUMMYFUNCTION("""COMPUTED_VALUE"""),44664.67559568287)</f>
        <v>44664.6756</v>
      </c>
      <c r="C1343" s="120" t="str">
        <f>IFERROR(__xludf.DUMMYFUNCTION("""COMPUTED_VALUE"""),"")</f>
        <v/>
      </c>
      <c r="D1343" s="5" t="str">
        <f>IFERROR(__xludf.DUMMYFUNCTION("""COMPUTED_VALUE"""),"38369")</f>
        <v>38369</v>
      </c>
      <c r="E1343" s="5" t="str">
        <f>IFERROR(__xludf.DUMMYFUNCTION("""COMPUTED_VALUE"""),"Stock")</f>
        <v>Stock</v>
      </c>
      <c r="F1343" s="5" t="str">
        <f>IFERROR(__xludf.DUMMYFUNCTION("""COMPUTED_VALUE"""),"error")</f>
        <v>error</v>
      </c>
      <c r="G1343" s="30" t="str">
        <f>IFERROR(__xludf.DUMMYFUNCTION("""COMPUTED_VALUE"""),"Email Account/ TraderID Recognized")</f>
        <v>Email Account/ TraderID Recognized</v>
      </c>
      <c r="H1343" s="112" t="str">
        <f>IFERROR(__xludf.DUMMYFUNCTION("""COMPUTED_VALUE"""),"TSLA")</f>
        <v>TSLA</v>
      </c>
      <c r="I1343" s="30">
        <f>IFERROR(__xludf.DUMMYFUNCTION("""COMPUTED_VALUE"""),50.0)</f>
        <v>50</v>
      </c>
      <c r="J1343" s="124">
        <f>IFERROR(__xludf.DUMMYFUNCTION("""COMPUTED_VALUE"""),1025.49)</f>
        <v>1025.49</v>
      </c>
      <c r="K1343" s="30" t="str">
        <f>IFERROR(__xludf.DUMMYFUNCTION("""COMPUTED_VALUE"""),"Wrong Password Submitted, Order will be rejected")</f>
        <v>Wrong Password Submitted, Order will be rejected</v>
      </c>
      <c r="L1343" s="30" t="str">
        <f>IFERROR(__xludf.DUMMYFUNCTION("""COMPUTED_VALUE"""),"Wrong passowrd submitted")</f>
        <v>Wrong passowrd submitted</v>
      </c>
    </row>
    <row r="1344">
      <c r="A1344" s="5"/>
      <c r="B1344" s="118">
        <f>IFERROR(__xludf.DUMMYFUNCTION("""COMPUTED_VALUE"""),44664.69119363426)</f>
        <v>44664.69119</v>
      </c>
      <c r="C1344" s="120">
        <f>IFERROR(__xludf.DUMMYFUNCTION("""COMPUTED_VALUE"""),44664.666666666664)</f>
        <v>44664.66667</v>
      </c>
      <c r="D1344" s="5" t="str">
        <f>IFERROR(__xludf.DUMMYFUNCTION("""COMPUTED_VALUE"""),"14626")</f>
        <v>14626</v>
      </c>
      <c r="E1344" s="5" t="str">
        <f>IFERROR(__xludf.DUMMYFUNCTION("""COMPUTED_VALUE"""),"Stock")</f>
        <v>Stock</v>
      </c>
      <c r="F1344" s="5" t="str">
        <f>IFERROR(__xludf.DUMMYFUNCTION("""COMPUTED_VALUE"""),"USD")</f>
        <v>USD</v>
      </c>
      <c r="G1344" s="30" t="str">
        <f>IFERROR(__xludf.DUMMYFUNCTION("""COMPUTED_VALUE"""),"Email Account/ TraderID Recognized")</f>
        <v>Email Account/ TraderID Recognized</v>
      </c>
      <c r="H1344" s="112" t="str">
        <f>IFERROR(__xludf.DUMMYFUNCTION("""COMPUTED_VALUE"""),"TSLA")</f>
        <v>TSLA</v>
      </c>
      <c r="I1344" s="30">
        <f>IFERROR(__xludf.DUMMYFUNCTION("""COMPUTED_VALUE"""),500.0)</f>
        <v>500</v>
      </c>
      <c r="J1344" s="30"/>
      <c r="K1344" s="30" t="str">
        <f>IFERROR(__xludf.DUMMYFUNCTION("""COMPUTED_VALUE"""),"QTY, Limit Price (if any) &amp; Password input correct")</f>
        <v>QTY, Limit Price (if any) &amp; Password input correct</v>
      </c>
      <c r="L1344" s="30"/>
    </row>
    <row r="1345">
      <c r="A1345" s="5"/>
      <c r="B1345" s="118">
        <f>IFERROR(__xludf.DUMMYFUNCTION("""COMPUTED_VALUE"""),44664.709723113425)</f>
        <v>44664.70972</v>
      </c>
      <c r="C1345" s="120" t="str">
        <f>IFERROR(__xludf.DUMMYFUNCTION("""COMPUTED_VALUE"""),"")</f>
        <v/>
      </c>
      <c r="D1345" s="5" t="str">
        <f>IFERROR(__xludf.DUMMYFUNCTION("""COMPUTED_VALUE"""),"76938")</f>
        <v>76938</v>
      </c>
      <c r="E1345" s="5" t="str">
        <f>IFERROR(__xludf.DUMMYFUNCTION("""COMPUTED_VALUE"""),"Stock")</f>
        <v>Stock</v>
      </c>
      <c r="F1345" s="5" t="str">
        <f>IFERROR(__xludf.DUMMYFUNCTION("""COMPUTED_VALUE"""),"error")</f>
        <v>error</v>
      </c>
      <c r="G1345" s="30" t="str">
        <f>IFERROR(__xludf.DUMMYFUNCTION("""COMPUTED_VALUE"""),"Email Account/ TraderID Recognized")</f>
        <v>Email Account/ TraderID Recognized</v>
      </c>
      <c r="H1345" s="112">
        <f>IFERROR(__xludf.DUMMYFUNCTION("""COMPUTED_VALUE"""),39857.0)</f>
        <v>39857</v>
      </c>
      <c r="I1345" s="30">
        <f>IFERROR(__xludf.DUMMYFUNCTION("""COMPUTED_VALUE"""),10.0)</f>
        <v>10</v>
      </c>
      <c r="J1345" s="30"/>
      <c r="K1345" s="30" t="str">
        <f>IFERROR(__xludf.DUMMYFUNCTION("""COMPUTED_VALUE"""),"QTY, Limit Price (if any) &amp; Password input correct")</f>
        <v>QTY, Limit Price (if any) &amp; Password input correct</v>
      </c>
      <c r="L1345" s="30" t="str">
        <f>IFERROR(__xludf.DUMMYFUNCTION("""COMPUTED_VALUE"""),"Wrong passowrd submitted")</f>
        <v>Wrong passowrd submitted</v>
      </c>
    </row>
    <row r="1346">
      <c r="A1346" s="5"/>
      <c r="B1346" s="118">
        <f>IFERROR(__xludf.DUMMYFUNCTION("""COMPUTED_VALUE"""),44664.73532518519)</f>
        <v>44664.73533</v>
      </c>
      <c r="C1346" s="120" t="str">
        <f>IFERROR(__xludf.DUMMYFUNCTION("""COMPUTED_VALUE"""),"")</f>
        <v/>
      </c>
      <c r="D1346" s="5" t="str">
        <f>IFERROR(__xludf.DUMMYFUNCTION("""COMPUTED_VALUE"""),"76938")</f>
        <v>76938</v>
      </c>
      <c r="E1346" s="5" t="str">
        <f>IFERROR(__xludf.DUMMYFUNCTION("""COMPUTED_VALUE"""),"Stock")</f>
        <v>Stock</v>
      </c>
      <c r="F1346" s="5" t="str">
        <f>IFERROR(__xludf.DUMMYFUNCTION("""COMPUTED_VALUE"""),"error")</f>
        <v>error</v>
      </c>
      <c r="G1346" s="30" t="str">
        <f>IFERROR(__xludf.DUMMYFUNCTION("""COMPUTED_VALUE"""),"Email Account/ TraderID Recognized")</f>
        <v>Email Account/ TraderID Recognized</v>
      </c>
      <c r="H1346" s="112" t="str">
        <f>IFERROR(__xludf.DUMMYFUNCTION("""COMPUTED_VALUE"""),"SONY")</f>
        <v>SONY</v>
      </c>
      <c r="I1346" s="30">
        <f>IFERROR(__xludf.DUMMYFUNCTION("""COMPUTED_VALUE"""),10.0)</f>
        <v>10</v>
      </c>
      <c r="J1346" s="30"/>
      <c r="K1346" s="30" t="str">
        <f>IFERROR(__xludf.DUMMYFUNCTION("""COMPUTED_VALUE"""),"Wrong Password Submitted, Order will be rejected")</f>
        <v>Wrong Password Submitted, Order will be rejected</v>
      </c>
      <c r="L1346" s="30" t="str">
        <f>IFERROR(__xludf.DUMMYFUNCTION("""COMPUTED_VALUE"""),"Wrong passowrd submitted")</f>
        <v>Wrong passowrd submitted</v>
      </c>
    </row>
    <row r="1347">
      <c r="A1347" s="5"/>
      <c r="B1347" s="118">
        <f>IFERROR(__xludf.DUMMYFUNCTION("""COMPUTED_VALUE"""),44664.73877325232)</f>
        <v>44664.73877</v>
      </c>
      <c r="C1347" s="120" t="str">
        <f>IFERROR(__xludf.DUMMYFUNCTION("""COMPUTED_VALUE"""),"")</f>
        <v/>
      </c>
      <c r="D1347" s="5" t="str">
        <f>IFERROR(__xludf.DUMMYFUNCTION("""COMPUTED_VALUE"""),"76938")</f>
        <v>76938</v>
      </c>
      <c r="E1347" s="5" t="str">
        <f>IFERROR(__xludf.DUMMYFUNCTION("""COMPUTED_VALUE"""),"Option")</f>
        <v>Option</v>
      </c>
      <c r="F1347" s="5" t="str">
        <f>IFERROR(__xludf.DUMMYFUNCTION("""COMPUTED_VALUE"""),"error")</f>
        <v>error</v>
      </c>
      <c r="G1347" s="30" t="str">
        <f>IFERROR(__xludf.DUMMYFUNCTION("""COMPUTED_VALUE"""),"Email Account/ TraderID Recognized")</f>
        <v>Email Account/ TraderID Recognized</v>
      </c>
      <c r="H1347" s="112" t="str">
        <f>IFERROR(__xludf.DUMMYFUNCTION("""COMPUTED_VALUE"""),"BAC220325C00045000")</f>
        <v>BAC220325C00045000</v>
      </c>
      <c r="I1347" s="30">
        <f>IFERROR(__xludf.DUMMYFUNCTION("""COMPUTED_VALUE"""),10.0)</f>
        <v>10</v>
      </c>
      <c r="J1347" s="30"/>
      <c r="K1347" s="30" t="str">
        <f>IFERROR(__xludf.DUMMYFUNCTION("""COMPUTED_VALUE"""),"QTY, Limit Price (if any) &amp; Password input correct")</f>
        <v>QTY, Limit Price (if any) &amp; Password input correct</v>
      </c>
      <c r="L1347" s="30" t="str">
        <f>IFERROR(__xludf.DUMMYFUNCTION("""COMPUTED_VALUE"""),"Order rejected due to Option contract expired last month, security no longer exists")</f>
        <v>Order rejected due to Option contract expired last month, security no longer exists</v>
      </c>
    </row>
    <row r="1348">
      <c r="A1348" s="5"/>
      <c r="B1348" s="118">
        <f>IFERROR(__xludf.DUMMYFUNCTION("""COMPUTED_VALUE"""),44664.745009502316)</f>
        <v>44664.74501</v>
      </c>
      <c r="C1348" s="120" t="str">
        <f>IFERROR(__xludf.DUMMYFUNCTION("""COMPUTED_VALUE"""),"")</f>
        <v/>
      </c>
      <c r="D1348" s="5" t="str">
        <f>IFERROR(__xludf.DUMMYFUNCTION("""COMPUTED_VALUE"""),"76938")</f>
        <v>76938</v>
      </c>
      <c r="E1348" s="5" t="str">
        <f>IFERROR(__xludf.DUMMYFUNCTION("""COMPUTED_VALUE"""),"Option")</f>
        <v>Option</v>
      </c>
      <c r="F1348" s="5" t="str">
        <f>IFERROR(__xludf.DUMMYFUNCTION("""COMPUTED_VALUE"""),"error")</f>
        <v>error</v>
      </c>
      <c r="G1348" s="30" t="str">
        <f>IFERROR(__xludf.DUMMYFUNCTION("""COMPUTED_VALUE"""),"Email Account/ TraderID Recognized")</f>
        <v>Email Account/ TraderID Recognized</v>
      </c>
      <c r="H1348" s="112" t="str">
        <f>IFERROR(__xludf.DUMMYFUNCTION("""COMPUTED_VALUE"""),"FB220325P00210000")</f>
        <v>FB220325P00210000</v>
      </c>
      <c r="I1348" s="30">
        <f>IFERROR(__xludf.DUMMYFUNCTION("""COMPUTED_VALUE"""),30.0)</f>
        <v>30</v>
      </c>
      <c r="J1348" s="30"/>
      <c r="K1348" s="30" t="str">
        <f>IFERROR(__xludf.DUMMYFUNCTION("""COMPUTED_VALUE"""),"QTY, Limit Price (if any) &amp; Password input correct")</f>
        <v>QTY, Limit Price (if any) &amp; Password input correct</v>
      </c>
      <c r="L1348" s="30" t="str">
        <f>IFERROR(__xludf.DUMMYFUNCTION("""COMPUTED_VALUE"""),"Order rejected due to Option contract expired last month, security no longer exists")</f>
        <v>Order rejected due to Option contract expired last month, security no longer exists</v>
      </c>
    </row>
    <row r="1349">
      <c r="A1349" s="5"/>
      <c r="B1349" s="118">
        <f>IFERROR(__xludf.DUMMYFUNCTION("""COMPUTED_VALUE"""),44664.74935600694)</f>
        <v>44664.74936</v>
      </c>
      <c r="C1349" s="120" t="str">
        <f>IFERROR(__xludf.DUMMYFUNCTION("""COMPUTED_VALUE"""),"")</f>
        <v/>
      </c>
      <c r="D1349" s="5" t="str">
        <f>IFERROR(__xludf.DUMMYFUNCTION("""COMPUTED_VALUE"""),"76938")</f>
        <v>76938</v>
      </c>
      <c r="E1349" s="5" t="str">
        <f>IFERROR(__xludf.DUMMYFUNCTION("""COMPUTED_VALUE"""),"Bond")</f>
        <v>Bond</v>
      </c>
      <c r="F1349" s="5" t="str">
        <f>IFERROR(__xludf.DUMMYFUNCTION("""COMPUTED_VALUE"""),"error")</f>
        <v>error</v>
      </c>
      <c r="G1349" s="30" t="str">
        <f>IFERROR(__xludf.DUMMYFUNCTION("""COMPUTED_VALUE"""),"Email Account/ TraderID Recognized")</f>
        <v>Email Account/ TraderID Recognized</v>
      </c>
      <c r="H1349" s="112" t="str">
        <f>IFERROR(__xludf.DUMMYFUNCTION("""COMPUTED_VALUE"""),"NVDA")</f>
        <v>NVDA</v>
      </c>
      <c r="I1349" s="30">
        <f>IFERROR(__xludf.DUMMYFUNCTION("""COMPUTED_VALUE"""),5.0)</f>
        <v>5</v>
      </c>
      <c r="J1349" s="30"/>
      <c r="K1349" s="30" t="str">
        <f>IFERROR(__xludf.DUMMYFUNCTION("""COMPUTED_VALUE"""),"QTY, Limit Price (if any) &amp; Password input correct")</f>
        <v>QTY, Limit Price (if any) &amp; Password input correct</v>
      </c>
      <c r="L1349" s="30" t="str">
        <f>IFERROR(__xludf.DUMMYFUNCTION("""COMPUTED_VALUE"""),"Order rejected due to wrong asset class. NVDA is a stock, not an option.")</f>
        <v>Order rejected due to wrong asset class. NVDA is a stock, not an option.</v>
      </c>
    </row>
    <row r="1350">
      <c r="A1350" s="5"/>
      <c r="B1350" s="118">
        <f>IFERROR(__xludf.DUMMYFUNCTION("""COMPUTED_VALUE"""),44664.759562974534)</f>
        <v>44664.75956</v>
      </c>
      <c r="C1350" s="120" t="str">
        <f>IFERROR(__xludf.DUMMYFUNCTION("""COMPUTED_VALUE"""),"")</f>
        <v/>
      </c>
      <c r="D1350" s="5" t="str">
        <f>IFERROR(__xludf.DUMMYFUNCTION("""COMPUTED_VALUE"""),"76938")</f>
        <v>76938</v>
      </c>
      <c r="E1350" s="5" t="str">
        <f>IFERROR(__xludf.DUMMYFUNCTION("""COMPUTED_VALUE"""),"Option")</f>
        <v>Option</v>
      </c>
      <c r="F1350" s="5" t="str">
        <f>IFERROR(__xludf.DUMMYFUNCTION("""COMPUTED_VALUE"""),"error")</f>
        <v>error</v>
      </c>
      <c r="G1350" s="30" t="str">
        <f>IFERROR(__xludf.DUMMYFUNCTION("""COMPUTED_VALUE"""),"Email Account/ TraderID Recognized")</f>
        <v>Email Account/ TraderID Recognized</v>
      </c>
      <c r="H1350" s="112" t="str">
        <f>IFERROR(__xludf.DUMMYFUNCTION("""COMPUTED_VALUE"""),"GOLD")</f>
        <v>GOLD</v>
      </c>
      <c r="I1350" s="30">
        <f>IFERROR(__xludf.DUMMYFUNCTION("""COMPUTED_VALUE"""),10.0)</f>
        <v>10</v>
      </c>
      <c r="J1350" s="30"/>
      <c r="K1350" s="30" t="str">
        <f>IFERROR(__xludf.DUMMYFUNCTION("""COMPUTED_VALUE"""),"QTY, Limit Price (if any) &amp; Password input correct")</f>
        <v>QTY, Limit Price (if any) &amp; Password input correct</v>
      </c>
      <c r="L1350" s="30" t="str">
        <f>IFERROR(__xludf.DUMMYFUNCTION("""COMPUTED_VALUE"""),"Order rejected due to wrong asset class. GOLD is a stock, not a bond.")</f>
        <v>Order rejected due to wrong asset class. GOLD is a stock, not a bond.</v>
      </c>
    </row>
    <row r="1351">
      <c r="A1351" s="5"/>
      <c r="B1351" s="118">
        <f>IFERROR(__xludf.DUMMYFUNCTION("""COMPUTED_VALUE"""),44664.76759574074)</f>
        <v>44664.7676</v>
      </c>
      <c r="C1351" s="120" t="str">
        <f>IFERROR(__xludf.DUMMYFUNCTION("""COMPUTED_VALUE"""),"")</f>
        <v/>
      </c>
      <c r="D1351" s="5" t="str">
        <f>IFERROR(__xludf.DUMMYFUNCTION("""COMPUTED_VALUE"""),"76938")</f>
        <v>76938</v>
      </c>
      <c r="E1351" s="5" t="str">
        <f>IFERROR(__xludf.DUMMYFUNCTION("""COMPUTED_VALUE"""),"Stock")</f>
        <v>Stock</v>
      </c>
      <c r="F1351" s="5" t="str">
        <f>IFERROR(__xludf.DUMMYFUNCTION("""COMPUTED_VALUE"""),"error")</f>
        <v>error</v>
      </c>
      <c r="G1351" s="30" t="str">
        <f>IFERROR(__xludf.DUMMYFUNCTION("""COMPUTED_VALUE"""),"Email Account/ TraderID Recognized")</f>
        <v>Email Account/ TraderID Recognized</v>
      </c>
      <c r="H1351" s="112" t="str">
        <f>IFERROR(__xludf.DUMMYFUNCTION("""COMPUTED_VALUE"""),"TMUS")</f>
        <v>TMUS</v>
      </c>
      <c r="I1351" s="30">
        <f>IFERROR(__xludf.DUMMYFUNCTION("""COMPUTED_VALUE"""),10.0)</f>
        <v>10</v>
      </c>
      <c r="J1351" s="30"/>
      <c r="K1351" s="30" t="str">
        <f>IFERROR(__xludf.DUMMYFUNCTION("""COMPUTED_VALUE"""),"Wrong Password Submitted, Order will be rejected")</f>
        <v>Wrong Password Submitted, Order will be rejected</v>
      </c>
      <c r="L1351" s="30" t="str">
        <f>IFERROR(__xludf.DUMMYFUNCTION("""COMPUTED_VALUE"""),"Wrong passowrd submitted")</f>
        <v>Wrong passowrd submitted</v>
      </c>
    </row>
    <row r="1352">
      <c r="A1352" s="5"/>
      <c r="B1352" s="118">
        <f>IFERROR(__xludf.DUMMYFUNCTION("""COMPUTED_VALUE"""),44664.80710569445)</f>
        <v>44664.80711</v>
      </c>
      <c r="C1352" s="120" t="str">
        <f>IFERROR(__xludf.DUMMYFUNCTION("""COMPUTED_VALUE"""),"")</f>
        <v/>
      </c>
      <c r="D1352" s="5" t="str">
        <f>IFERROR(__xludf.DUMMYFUNCTION("""COMPUTED_VALUE"""),"")</f>
        <v/>
      </c>
      <c r="E1352" s="5" t="str">
        <f>IFERROR(__xludf.DUMMYFUNCTION("""COMPUTED_VALUE"""),"Stock")</f>
        <v>Stock</v>
      </c>
      <c r="F1352" s="5" t="str">
        <f>IFERROR(__xludf.DUMMYFUNCTION("""COMPUTED_VALUE"""),"error")</f>
        <v>error</v>
      </c>
      <c r="G1352" s="30" t="str">
        <f>IFERROR(__xludf.DUMMYFUNCTION("""COMPUTED_VALUE"""),"venuxxxxxx@nonHKMUemail")</f>
        <v>venuxxxxxx@nonHKMUemail</v>
      </c>
      <c r="H1352" s="112" t="str">
        <f>IFERROR(__xludf.DUMMYFUNCTION("""COMPUTED_VALUE"""),"AMZN")</f>
        <v>AMZN</v>
      </c>
      <c r="I1352" s="30">
        <f>IFERROR(__xludf.DUMMYFUNCTION("""COMPUTED_VALUE"""),10.0)</f>
        <v>10</v>
      </c>
      <c r="J1352" s="30"/>
      <c r="K1352" s="30" t="str">
        <f>IFERROR(__xludf.DUMMYFUNCTION("""COMPUTED_VALUE"""),"QTY, Limit Price (if any) &amp; Password input correct")</f>
        <v>QTY, Limit Price (if any) &amp; Password input correct</v>
      </c>
      <c r="L1352" s="30" t="str">
        <f>IFERROR(__xludf.DUMMYFUNCTION("""COMPUTED_VALUE"""),"non school email detected, order rejected")</f>
        <v>non school email detected, order rejected</v>
      </c>
    </row>
    <row r="1353">
      <c r="A1353" s="5"/>
      <c r="B1353" s="118">
        <f>IFERROR(__xludf.DUMMYFUNCTION("""COMPUTED_VALUE"""),44664.82034215277)</f>
        <v>44664.82034</v>
      </c>
      <c r="C1353" s="120">
        <f>IFERROR(__xludf.DUMMYFUNCTION("""COMPUTED_VALUE"""),44664.666666666664)</f>
        <v>44664.66667</v>
      </c>
      <c r="D1353" s="5" t="str">
        <f>IFERROR(__xludf.DUMMYFUNCTION("""COMPUTED_VALUE"""),"38109")</f>
        <v>38109</v>
      </c>
      <c r="E1353" s="5" t="str">
        <f>IFERROR(__xludf.DUMMYFUNCTION("""COMPUTED_VALUE"""),"Stock")</f>
        <v>Stock</v>
      </c>
      <c r="F1353" s="5" t="str">
        <f>IFERROR(__xludf.DUMMYFUNCTION("""COMPUTED_VALUE"""),"USD")</f>
        <v>USD</v>
      </c>
      <c r="G1353" s="30" t="str">
        <f>IFERROR(__xludf.DUMMYFUNCTION("""COMPUTED_VALUE"""),"Email Account/ TraderID Recognized")</f>
        <v>Email Account/ TraderID Recognized</v>
      </c>
      <c r="H1353" s="112" t="str">
        <f>IFERROR(__xludf.DUMMYFUNCTION("""COMPUTED_VALUE"""),"AAPL")</f>
        <v>AAPL</v>
      </c>
      <c r="I1353" s="30">
        <f>IFERROR(__xludf.DUMMYFUNCTION("""COMPUTED_VALUE"""),10.0)</f>
        <v>10</v>
      </c>
      <c r="J1353" s="30"/>
      <c r="K1353" s="30" t="str">
        <f>IFERROR(__xludf.DUMMYFUNCTION("""COMPUTED_VALUE"""),"QTY, Limit Price (if any) &amp; Password input correct")</f>
        <v>QTY, Limit Price (if any) &amp; Password input correct</v>
      </c>
      <c r="L1353" s="30"/>
    </row>
    <row r="1354">
      <c r="A1354" s="5"/>
      <c r="B1354" s="118">
        <f>IFERROR(__xludf.DUMMYFUNCTION("""COMPUTED_VALUE"""),44664.86035461805)</f>
        <v>44664.86035</v>
      </c>
      <c r="C1354" s="120" t="str">
        <f>IFERROR(__xludf.DUMMYFUNCTION("""COMPUTED_VALUE"""),"")</f>
        <v/>
      </c>
      <c r="D1354" s="5" t="str">
        <f>IFERROR(__xludf.DUMMYFUNCTION("""COMPUTED_VALUE"""),"38369")</f>
        <v>38369</v>
      </c>
      <c r="E1354" s="5" t="str">
        <f>IFERROR(__xludf.DUMMYFUNCTION("""COMPUTED_VALUE"""),"Stock")</f>
        <v>Stock</v>
      </c>
      <c r="F1354" s="5" t="str">
        <f>IFERROR(__xludf.DUMMYFUNCTION("""COMPUTED_VALUE"""),"error")</f>
        <v>error</v>
      </c>
      <c r="G1354" s="30" t="str">
        <f>IFERROR(__xludf.DUMMYFUNCTION("""COMPUTED_VALUE"""),"Email Account/ TraderID Recognized")</f>
        <v>Email Account/ TraderID Recognized</v>
      </c>
      <c r="H1354" s="112" t="str">
        <f>IFERROR(__xludf.DUMMYFUNCTION("""COMPUTED_VALUE"""),"AAPL")</f>
        <v>AAPL</v>
      </c>
      <c r="I1354" s="30">
        <f>IFERROR(__xludf.DUMMYFUNCTION("""COMPUTED_VALUE"""),300.0)</f>
        <v>300</v>
      </c>
      <c r="J1354" s="30"/>
      <c r="K1354" s="30" t="str">
        <f>IFERROR(__xludf.DUMMYFUNCTION("""COMPUTED_VALUE"""),"Wrong Password Submitted, Order will be rejected")</f>
        <v>Wrong Password Submitted, Order will be rejected</v>
      </c>
      <c r="L1354" s="30" t="str">
        <f>IFERROR(__xludf.DUMMYFUNCTION("""COMPUTED_VALUE"""),"Wrong passowrd submitted")</f>
        <v>Wrong passowrd submitted</v>
      </c>
    </row>
    <row r="1355">
      <c r="A1355" s="5"/>
      <c r="B1355" s="118">
        <f>IFERROR(__xludf.DUMMYFUNCTION("""COMPUTED_VALUE"""),44664.905363125)</f>
        <v>44664.90536</v>
      </c>
      <c r="C1355" s="120">
        <f>IFERROR(__xludf.DUMMYFUNCTION("""COMPUTED_VALUE"""),44664.666666666664)</f>
        <v>44664.66667</v>
      </c>
      <c r="D1355" s="5" t="str">
        <f>IFERROR(__xludf.DUMMYFUNCTION("""COMPUTED_VALUE"""),"74972")</f>
        <v>74972</v>
      </c>
      <c r="E1355" s="5" t="str">
        <f>IFERROR(__xludf.DUMMYFUNCTION("""COMPUTED_VALUE"""),"Stock")</f>
        <v>Stock</v>
      </c>
      <c r="F1355" s="5" t="str">
        <f>IFERROR(__xludf.DUMMYFUNCTION("""COMPUTED_VALUE"""),"USD")</f>
        <v>USD</v>
      </c>
      <c r="G1355" s="30" t="str">
        <f>IFERROR(__xludf.DUMMYFUNCTION("""COMPUTED_VALUE"""),"Email Account/ TraderID Recognized")</f>
        <v>Email Account/ TraderID Recognized</v>
      </c>
      <c r="H1355" s="112" t="str">
        <f>IFERROR(__xludf.DUMMYFUNCTION("""COMPUTED_VALUE"""),"TSLA")</f>
        <v>TSLA</v>
      </c>
      <c r="I1355" s="30">
        <f>IFERROR(__xludf.DUMMYFUNCTION("""COMPUTED_VALUE"""),100.0)</f>
        <v>100</v>
      </c>
      <c r="J1355" s="30">
        <f>IFERROR(__xludf.DUMMYFUNCTION("""COMPUTED_VALUE"""),100.0)</f>
        <v>100</v>
      </c>
      <c r="K1355" s="30" t="str">
        <f>IFERROR(__xludf.DUMMYFUNCTION("""COMPUTED_VALUE"""),"QTY, Limit Price (if any) &amp; Password input correct")</f>
        <v>QTY, Limit Price (if any) &amp; Password input correct</v>
      </c>
      <c r="L1355" s="30"/>
    </row>
    <row r="1356">
      <c r="A1356" s="5"/>
      <c r="B1356" s="118">
        <f>IFERROR(__xludf.DUMMYFUNCTION("""COMPUTED_VALUE"""),44664.90581848379)</f>
        <v>44664.90582</v>
      </c>
      <c r="C1356" s="120" t="str">
        <f>IFERROR(__xludf.DUMMYFUNCTION("""COMPUTED_VALUE"""),"")</f>
        <v/>
      </c>
      <c r="D1356" s="5" t="str">
        <f>IFERROR(__xludf.DUMMYFUNCTION("""COMPUTED_VALUE"""),"74972")</f>
        <v>74972</v>
      </c>
      <c r="E1356" s="5" t="str">
        <f>IFERROR(__xludf.DUMMYFUNCTION("""COMPUTED_VALUE"""),"Bond")</f>
        <v>Bond</v>
      </c>
      <c r="F1356" s="5" t="str">
        <f>IFERROR(__xludf.DUMMYFUNCTION("""COMPUTED_VALUE"""),"error")</f>
        <v>error</v>
      </c>
      <c r="G1356" s="30" t="str">
        <f>IFERROR(__xludf.DUMMYFUNCTION("""COMPUTED_VALUE"""),"Email Account/ TraderID Recognized")</f>
        <v>Email Account/ TraderID Recognized</v>
      </c>
      <c r="H1356" s="112" t="str">
        <f>IFERROR(__xludf.DUMMYFUNCTION("""COMPUTED_VALUE"""),"TSLA")</f>
        <v>TSLA</v>
      </c>
      <c r="I1356" s="30">
        <f>IFERROR(__xludf.DUMMYFUNCTION("""COMPUTED_VALUE"""),2000.0)</f>
        <v>2000</v>
      </c>
      <c r="J1356" s="30"/>
      <c r="K1356" s="30" t="str">
        <f>IFERROR(__xludf.DUMMYFUNCTION("""COMPUTED_VALUE"""),"QTY, Limit Price (if any) &amp; Password input correct")</f>
        <v>QTY, Limit Price (if any) &amp; Password input correct</v>
      </c>
      <c r="L1356" s="30" t="str">
        <f>IFERROR(__xludf.DUMMYFUNCTION("""COMPUTED_VALUE"""),"Order rejected due to wrong asset class")</f>
        <v>Order rejected due to wrong asset class</v>
      </c>
    </row>
    <row r="1357">
      <c r="A1357" s="5"/>
      <c r="B1357" s="118">
        <f>IFERROR(__xludf.DUMMYFUNCTION("""COMPUTED_VALUE"""),44664.92263003472)</f>
        <v>44664.92263</v>
      </c>
      <c r="C1357" s="120">
        <f>IFERROR(__xludf.DUMMYFUNCTION("""COMPUTED_VALUE"""),44664.666666666664)</f>
        <v>44664.66667</v>
      </c>
      <c r="D1357" s="5" t="str">
        <f>IFERROR(__xludf.DUMMYFUNCTION("""COMPUTED_VALUE"""),"75369")</f>
        <v>75369</v>
      </c>
      <c r="E1357" s="5" t="str">
        <f>IFERROR(__xludf.DUMMYFUNCTION("""COMPUTED_VALUE"""),"Stock")</f>
        <v>Stock</v>
      </c>
      <c r="F1357" s="5" t="str">
        <f>IFERROR(__xludf.DUMMYFUNCTION("""COMPUTED_VALUE"""),"USD")</f>
        <v>USD</v>
      </c>
      <c r="G1357" s="30" t="str">
        <f>IFERROR(__xludf.DUMMYFUNCTION("""COMPUTED_VALUE"""),"Email Account/ TraderID Recognized")</f>
        <v>Email Account/ TraderID Recognized</v>
      </c>
      <c r="H1357" s="112" t="str">
        <f>IFERROR(__xludf.DUMMYFUNCTION("""COMPUTED_VALUE"""),"NET")</f>
        <v>NET</v>
      </c>
      <c r="I1357" s="30">
        <f>IFERROR(__xludf.DUMMYFUNCTION("""COMPUTED_VALUE"""),500.0)</f>
        <v>500</v>
      </c>
      <c r="J1357" s="30"/>
      <c r="K1357" s="30" t="str">
        <f>IFERROR(__xludf.DUMMYFUNCTION("""COMPUTED_VALUE"""),"QTY, Limit Price (if any) &amp; Password input correct")</f>
        <v>QTY, Limit Price (if any) &amp; Password input correct</v>
      </c>
      <c r="L1357" s="30"/>
    </row>
    <row r="1358">
      <c r="A1358" s="5"/>
      <c r="B1358" s="118">
        <f>IFERROR(__xludf.DUMMYFUNCTION("""COMPUTED_VALUE"""),44664.92369739583)</f>
        <v>44664.9237</v>
      </c>
      <c r="C1358" s="120">
        <f>IFERROR(__xludf.DUMMYFUNCTION("""COMPUTED_VALUE"""),44664.666666666664)</f>
        <v>44664.66667</v>
      </c>
      <c r="D1358" s="5" t="str">
        <f>IFERROR(__xludf.DUMMYFUNCTION("""COMPUTED_VALUE"""),"75369")</f>
        <v>75369</v>
      </c>
      <c r="E1358" s="5" t="str">
        <f>IFERROR(__xludf.DUMMYFUNCTION("""COMPUTED_VALUE"""),"Stock")</f>
        <v>Stock</v>
      </c>
      <c r="F1358" s="5" t="str">
        <f>IFERROR(__xludf.DUMMYFUNCTION("""COMPUTED_VALUE"""),"USD")</f>
        <v>USD</v>
      </c>
      <c r="G1358" s="30" t="str">
        <f>IFERROR(__xludf.DUMMYFUNCTION("""COMPUTED_VALUE"""),"Email Account/ TraderID Recognized")</f>
        <v>Email Account/ TraderID Recognized</v>
      </c>
      <c r="H1358" s="112" t="str">
        <f>IFERROR(__xludf.DUMMYFUNCTION("""COMPUTED_VALUE"""),"SNPS")</f>
        <v>SNPS</v>
      </c>
      <c r="I1358" s="30">
        <f>IFERROR(__xludf.DUMMYFUNCTION("""COMPUTED_VALUE"""),200.0)</f>
        <v>200</v>
      </c>
      <c r="J1358" s="30"/>
      <c r="K1358" s="30" t="str">
        <f>IFERROR(__xludf.DUMMYFUNCTION("""COMPUTED_VALUE"""),"QTY, Limit Price (if any) &amp; Password input correct")</f>
        <v>QTY, Limit Price (if any) &amp; Password input correct</v>
      </c>
      <c r="L1358" s="30"/>
    </row>
    <row r="1359">
      <c r="A1359" s="5"/>
      <c r="B1359" s="118">
        <f>IFERROR(__xludf.DUMMYFUNCTION("""COMPUTED_VALUE"""),44664.92501986111)</f>
        <v>44664.92502</v>
      </c>
      <c r="C1359" s="120">
        <f>IFERROR(__xludf.DUMMYFUNCTION("""COMPUTED_VALUE"""),44664.666666666664)</f>
        <v>44664.66667</v>
      </c>
      <c r="D1359" s="5" t="str">
        <f>IFERROR(__xludf.DUMMYFUNCTION("""COMPUTED_VALUE"""),"75369")</f>
        <v>75369</v>
      </c>
      <c r="E1359" s="5" t="str">
        <f>IFERROR(__xludf.DUMMYFUNCTION("""COMPUTED_VALUE"""),"Stock")</f>
        <v>Stock</v>
      </c>
      <c r="F1359" s="5" t="str">
        <f>IFERROR(__xludf.DUMMYFUNCTION("""COMPUTED_VALUE"""),"USD")</f>
        <v>USD</v>
      </c>
      <c r="G1359" s="30" t="str">
        <f>IFERROR(__xludf.DUMMYFUNCTION("""COMPUTED_VALUE"""),"Email Account/ TraderID Recognized")</f>
        <v>Email Account/ TraderID Recognized</v>
      </c>
      <c r="H1359" s="112" t="str">
        <f>IFERROR(__xludf.DUMMYFUNCTION("""COMPUTED_VALUE"""),"PANW")</f>
        <v>PANW</v>
      </c>
      <c r="I1359" s="30">
        <f>IFERROR(__xludf.DUMMYFUNCTION("""COMPUTED_VALUE"""),100.0)</f>
        <v>100</v>
      </c>
      <c r="J1359" s="30"/>
      <c r="K1359" s="30" t="str">
        <f>IFERROR(__xludf.DUMMYFUNCTION("""COMPUTED_VALUE"""),"QTY, Limit Price (if any) &amp; Password input correct")</f>
        <v>QTY, Limit Price (if any) &amp; Password input correct</v>
      </c>
      <c r="L1359" s="30"/>
    </row>
    <row r="1360">
      <c r="A1360" s="5"/>
      <c r="B1360" s="118">
        <f>IFERROR(__xludf.DUMMYFUNCTION("""COMPUTED_VALUE"""),44664.926333958334)</f>
        <v>44664.92633</v>
      </c>
      <c r="C1360" s="120">
        <f>IFERROR(__xludf.DUMMYFUNCTION("""COMPUTED_VALUE"""),44665.666666666664)</f>
        <v>44665.66667</v>
      </c>
      <c r="D1360" s="5" t="str">
        <f>IFERROR(__xludf.DUMMYFUNCTION("""COMPUTED_VALUE"""),"75369")</f>
        <v>75369</v>
      </c>
      <c r="E1360" s="5" t="str">
        <f>IFERROR(__xludf.DUMMYFUNCTION("""COMPUTED_VALUE"""),"Stock")</f>
        <v>Stock</v>
      </c>
      <c r="F1360" s="5" t="str">
        <f>IFERROR(__xludf.DUMMYFUNCTION("""COMPUTED_VALUE"""),"HKD")</f>
        <v>HKD</v>
      </c>
      <c r="G1360" s="30" t="str">
        <f>IFERROR(__xludf.DUMMYFUNCTION("""COMPUTED_VALUE"""),"Email Account/ TraderID Recognized")</f>
        <v>Email Account/ TraderID Recognized</v>
      </c>
      <c r="H1360" s="125" t="str">
        <f>IFERROR(__xludf.DUMMYFUNCTION("""COMPUTED_VALUE"""),"0883.hk")</f>
        <v>0883.hk</v>
      </c>
      <c r="I1360" s="30">
        <f>IFERROR(__xludf.DUMMYFUNCTION("""COMPUTED_VALUE"""),3000.0)</f>
        <v>3000</v>
      </c>
      <c r="J1360" s="30"/>
      <c r="K1360" s="30" t="str">
        <f>IFERROR(__xludf.DUMMYFUNCTION("""COMPUTED_VALUE"""),"QTY, Limit Price (if any) &amp; Password input correct")</f>
        <v>QTY, Limit Price (if any) &amp; Password input correct</v>
      </c>
      <c r="L1360" s="30"/>
    </row>
    <row r="1361">
      <c r="A1361" s="5"/>
      <c r="B1361" s="118">
        <f>IFERROR(__xludf.DUMMYFUNCTION("""COMPUTED_VALUE"""),44664.92921811342)</f>
        <v>44664.92922</v>
      </c>
      <c r="C1361" s="120" t="str">
        <f>IFERROR(__xludf.DUMMYFUNCTION("""COMPUTED_VALUE"""),"")</f>
        <v/>
      </c>
      <c r="D1361" s="5" t="str">
        <f>IFERROR(__xludf.DUMMYFUNCTION("""COMPUTED_VALUE"""),"")</f>
        <v/>
      </c>
      <c r="E1361" s="5" t="str">
        <f>IFERROR(__xludf.DUMMYFUNCTION("""COMPUTED_VALUE"""),"Stock")</f>
        <v>Stock</v>
      </c>
      <c r="F1361" s="5" t="str">
        <f>IFERROR(__xludf.DUMMYFUNCTION("""COMPUTED_VALUE"""),"error")</f>
        <v>error</v>
      </c>
      <c r="G1361" s="30" t="str">
        <f>IFERROR(__xludf.DUMMYFUNCTION("""COMPUTED_VALUE"""),"venuxxxxxx@nonHKMUemail")</f>
        <v>venuxxxxxx@nonHKMUemail</v>
      </c>
      <c r="H1361" s="112" t="str">
        <f>IFERROR(__xludf.DUMMYFUNCTION("""COMPUTED_VALUE"""),"FB")</f>
        <v>FB</v>
      </c>
      <c r="I1361" s="30">
        <f>IFERROR(__xludf.DUMMYFUNCTION("""COMPUTED_VALUE"""),50.0)</f>
        <v>50</v>
      </c>
      <c r="J1361" s="30">
        <f>IFERROR(__xludf.DUMMYFUNCTION("""COMPUTED_VALUE"""),215.0)</f>
        <v>215</v>
      </c>
      <c r="K1361" s="30" t="str">
        <f>IFERROR(__xludf.DUMMYFUNCTION("""COMPUTED_VALUE"""),"QTY, Limit Price (if any) &amp; Password input correct")</f>
        <v>QTY, Limit Price (if any) &amp; Password input correct</v>
      </c>
      <c r="L1361" s="30" t="str">
        <f>IFERROR(__xludf.DUMMYFUNCTION("""COMPUTED_VALUE"""),"non school email detected, order rejected")</f>
        <v>non school email detected, order rejected</v>
      </c>
    </row>
    <row r="1362">
      <c r="A1362" s="5"/>
      <c r="B1362" s="118">
        <f>IFERROR(__xludf.DUMMYFUNCTION("""COMPUTED_VALUE"""),44664.92986712963)</f>
        <v>44664.92987</v>
      </c>
      <c r="C1362" s="120" t="str">
        <f>IFERROR(__xludf.DUMMYFUNCTION("""COMPUTED_VALUE"""),"")</f>
        <v/>
      </c>
      <c r="D1362" s="5" t="str">
        <f>IFERROR(__xludf.DUMMYFUNCTION("""COMPUTED_VALUE"""),"")</f>
        <v/>
      </c>
      <c r="E1362" s="5" t="str">
        <f>IFERROR(__xludf.DUMMYFUNCTION("""COMPUTED_VALUE"""),"Stock")</f>
        <v>Stock</v>
      </c>
      <c r="F1362" s="5" t="str">
        <f>IFERROR(__xludf.DUMMYFUNCTION("""COMPUTED_VALUE"""),"error")</f>
        <v>error</v>
      </c>
      <c r="G1362" s="30" t="str">
        <f>IFERROR(__xludf.DUMMYFUNCTION("""COMPUTED_VALUE"""),"venuxxxxxx@nonHKMUemail")</f>
        <v>venuxxxxxx@nonHKMUemail</v>
      </c>
      <c r="H1362" s="112" t="str">
        <f>IFERROR(__xludf.DUMMYFUNCTION("""COMPUTED_VALUE"""),"TSLA")</f>
        <v>TSLA</v>
      </c>
      <c r="I1362" s="30">
        <f>IFERROR(__xludf.DUMMYFUNCTION("""COMPUTED_VALUE"""),20.0)</f>
        <v>20</v>
      </c>
      <c r="J1362" s="30">
        <f>IFERROR(__xludf.DUMMYFUNCTION("""COMPUTED_VALUE"""),995.0)</f>
        <v>995</v>
      </c>
      <c r="K1362" s="30" t="str">
        <f>IFERROR(__xludf.DUMMYFUNCTION("""COMPUTED_VALUE"""),"QTY, Limit Price (if any) &amp; Password input correct")</f>
        <v>QTY, Limit Price (if any) &amp; Password input correct</v>
      </c>
      <c r="L1362" s="30" t="str">
        <f>IFERROR(__xludf.DUMMYFUNCTION("""COMPUTED_VALUE"""),"non school email detected, order rejected")</f>
        <v>non school email detected, order rejected</v>
      </c>
    </row>
    <row r="1363">
      <c r="A1363" s="5"/>
      <c r="B1363" s="118">
        <f>IFERROR(__xludf.DUMMYFUNCTION("""COMPUTED_VALUE"""),44664.93118545139)</f>
        <v>44664.93119</v>
      </c>
      <c r="C1363" s="120" t="str">
        <f>IFERROR(__xludf.DUMMYFUNCTION("""COMPUTED_VALUE"""),"")</f>
        <v/>
      </c>
      <c r="D1363" s="5" t="str">
        <f>IFERROR(__xludf.DUMMYFUNCTION("""COMPUTED_VALUE"""),"")</f>
        <v/>
      </c>
      <c r="E1363" s="5" t="str">
        <f>IFERROR(__xludf.DUMMYFUNCTION("""COMPUTED_VALUE"""),"Stock")</f>
        <v>Stock</v>
      </c>
      <c r="F1363" s="5" t="str">
        <f>IFERROR(__xludf.DUMMYFUNCTION("""COMPUTED_VALUE"""),"error")</f>
        <v>error</v>
      </c>
      <c r="G1363" s="30" t="str">
        <f>IFERROR(__xludf.DUMMYFUNCTION("""COMPUTED_VALUE"""),"venuxxxxxx@nonHKMUemail")</f>
        <v>venuxxxxxx@nonHKMUemail</v>
      </c>
      <c r="H1363" s="112" t="str">
        <f>IFERROR(__xludf.DUMMYFUNCTION("""COMPUTED_VALUE"""),"AAPL")</f>
        <v>AAPL</v>
      </c>
      <c r="I1363" s="30">
        <f>IFERROR(__xludf.DUMMYFUNCTION("""COMPUTED_VALUE"""),50.0)</f>
        <v>50</v>
      </c>
      <c r="J1363" s="30">
        <f>IFERROR(__xludf.DUMMYFUNCTION("""COMPUTED_VALUE"""),168.0)</f>
        <v>168</v>
      </c>
      <c r="K1363" s="30" t="str">
        <f>IFERROR(__xludf.DUMMYFUNCTION("""COMPUTED_VALUE"""),"QTY, Limit Price (if any) &amp; Password input correct")</f>
        <v>QTY, Limit Price (if any) &amp; Password input correct</v>
      </c>
      <c r="L1363" s="30" t="str">
        <f>IFERROR(__xludf.DUMMYFUNCTION("""COMPUTED_VALUE"""),"non school email detected, order rejected")</f>
        <v>non school email detected, order rejected</v>
      </c>
    </row>
    <row r="1364">
      <c r="A1364" s="5"/>
      <c r="B1364" s="118">
        <f>IFERROR(__xludf.DUMMYFUNCTION("""COMPUTED_VALUE"""),44664.9414569213)</f>
        <v>44664.94146</v>
      </c>
      <c r="C1364" s="120">
        <f>IFERROR(__xludf.DUMMYFUNCTION("""COMPUTED_VALUE"""),44664.666666666664)</f>
        <v>44664.66667</v>
      </c>
      <c r="D1364" s="5" t="str">
        <f>IFERROR(__xludf.DUMMYFUNCTION("""COMPUTED_VALUE"""),"83314")</f>
        <v>83314</v>
      </c>
      <c r="E1364" s="5" t="str">
        <f>IFERROR(__xludf.DUMMYFUNCTION("""COMPUTED_VALUE"""),"Stock")</f>
        <v>Stock</v>
      </c>
      <c r="F1364" s="5" t="str">
        <f>IFERROR(__xludf.DUMMYFUNCTION("""COMPUTED_VALUE"""),"USD")</f>
        <v>USD</v>
      </c>
      <c r="G1364" s="30" t="str">
        <f>IFERROR(__xludf.DUMMYFUNCTION("""COMPUTED_VALUE"""),"Email Account/ TraderID Recognized")</f>
        <v>Email Account/ TraderID Recognized</v>
      </c>
      <c r="H1364" s="112" t="str">
        <f>IFERROR(__xludf.DUMMYFUNCTION("""COMPUTED_VALUE"""),"FB")</f>
        <v>FB</v>
      </c>
      <c r="I1364" s="30">
        <f>IFERROR(__xludf.DUMMYFUNCTION("""COMPUTED_VALUE"""),10.0)</f>
        <v>10</v>
      </c>
      <c r="J1364" s="30"/>
      <c r="K1364" s="30" t="str">
        <f>IFERROR(__xludf.DUMMYFUNCTION("""COMPUTED_VALUE"""),"QTY, Limit Price (if any) &amp; Password input correct")</f>
        <v>QTY, Limit Price (if any) &amp; Password input correct</v>
      </c>
      <c r="L1364" s="30"/>
    </row>
    <row r="1365">
      <c r="A1365" s="5"/>
      <c r="B1365" s="118">
        <f>IFERROR(__xludf.DUMMYFUNCTION("""COMPUTED_VALUE"""),44664.944271238426)</f>
        <v>44664.94427</v>
      </c>
      <c r="C1365" s="120">
        <f>IFERROR(__xludf.DUMMYFUNCTION("""COMPUTED_VALUE"""),44664.666666666664)</f>
        <v>44664.66667</v>
      </c>
      <c r="D1365" s="5" t="str">
        <f>IFERROR(__xludf.DUMMYFUNCTION("""COMPUTED_VALUE"""),"83314")</f>
        <v>83314</v>
      </c>
      <c r="E1365" s="5" t="str">
        <f>IFERROR(__xludf.DUMMYFUNCTION("""COMPUTED_VALUE"""),"Stock")</f>
        <v>Stock</v>
      </c>
      <c r="F1365" s="5" t="str">
        <f>IFERROR(__xludf.DUMMYFUNCTION("""COMPUTED_VALUE"""),"USD")</f>
        <v>USD</v>
      </c>
      <c r="G1365" s="30" t="str">
        <f>IFERROR(__xludf.DUMMYFUNCTION("""COMPUTED_VALUE"""),"Email Account/ TraderID Recognized")</f>
        <v>Email Account/ TraderID Recognized</v>
      </c>
      <c r="H1365" s="112" t="str">
        <f>IFERROR(__xludf.DUMMYFUNCTION("""COMPUTED_VALUE"""),"AMZN")</f>
        <v>AMZN</v>
      </c>
      <c r="I1365" s="30">
        <f>IFERROR(__xludf.DUMMYFUNCTION("""COMPUTED_VALUE"""),10.0)</f>
        <v>10</v>
      </c>
      <c r="J1365" s="30"/>
      <c r="K1365" s="30" t="str">
        <f>IFERROR(__xludf.DUMMYFUNCTION("""COMPUTED_VALUE"""),"QTY, Limit Price (if any) &amp; Password input correct")</f>
        <v>QTY, Limit Price (if any) &amp; Password input correct</v>
      </c>
      <c r="L1365" s="30"/>
    </row>
    <row r="1366">
      <c r="A1366" s="5"/>
      <c r="B1366" s="118">
        <f>IFERROR(__xludf.DUMMYFUNCTION("""COMPUTED_VALUE"""),44664.94486563657)</f>
        <v>44664.94487</v>
      </c>
      <c r="C1366" s="120">
        <f>IFERROR(__xludf.DUMMYFUNCTION("""COMPUTED_VALUE"""),44664.666666666664)</f>
        <v>44664.66667</v>
      </c>
      <c r="D1366" s="5" t="str">
        <f>IFERROR(__xludf.DUMMYFUNCTION("""COMPUTED_VALUE"""),"83314")</f>
        <v>83314</v>
      </c>
      <c r="E1366" s="5" t="str">
        <f>IFERROR(__xludf.DUMMYFUNCTION("""COMPUTED_VALUE"""),"Stock")</f>
        <v>Stock</v>
      </c>
      <c r="F1366" s="5" t="str">
        <f>IFERROR(__xludf.DUMMYFUNCTION("""COMPUTED_VALUE"""),"USD")</f>
        <v>USD</v>
      </c>
      <c r="G1366" s="30" t="str">
        <f>IFERROR(__xludf.DUMMYFUNCTION("""COMPUTED_VALUE"""),"Email Account/ TraderID Recognized")</f>
        <v>Email Account/ TraderID Recognized</v>
      </c>
      <c r="H1366" s="112" t="str">
        <f>IFERROR(__xludf.DUMMYFUNCTION("""COMPUTED_VALUE"""),"TSLA")</f>
        <v>TSLA</v>
      </c>
      <c r="I1366" s="30">
        <f>IFERROR(__xludf.DUMMYFUNCTION("""COMPUTED_VALUE"""),10.0)</f>
        <v>10</v>
      </c>
      <c r="J1366" s="30"/>
      <c r="K1366" s="30" t="str">
        <f>IFERROR(__xludf.DUMMYFUNCTION("""COMPUTED_VALUE"""),"QTY, Limit Price (if any) &amp; Password input correct")</f>
        <v>QTY, Limit Price (if any) &amp; Password input correct</v>
      </c>
      <c r="L1366" s="30"/>
    </row>
    <row r="1367">
      <c r="A1367" s="5"/>
      <c r="B1367" s="118">
        <f>IFERROR(__xludf.DUMMYFUNCTION("""COMPUTED_VALUE"""),44664.9461911574)</f>
        <v>44664.94619</v>
      </c>
      <c r="C1367" s="120" t="str">
        <f>IFERROR(__xludf.DUMMYFUNCTION("""COMPUTED_VALUE"""),"")</f>
        <v/>
      </c>
      <c r="D1367" s="5" t="str">
        <f>IFERROR(__xludf.DUMMYFUNCTION("""COMPUTED_VALUE"""),"83314")</f>
        <v>83314</v>
      </c>
      <c r="E1367" s="5" t="str">
        <f>IFERROR(__xludf.DUMMYFUNCTION("""COMPUTED_VALUE"""),"Stock")</f>
        <v>Stock</v>
      </c>
      <c r="F1367" s="5" t="str">
        <f>IFERROR(__xludf.DUMMYFUNCTION("""COMPUTED_VALUE"""),"error")</f>
        <v>error</v>
      </c>
      <c r="G1367" s="30" t="str">
        <f>IFERROR(__xludf.DUMMYFUNCTION("""COMPUTED_VALUE"""),"Email Account/ TraderID Recognized")</f>
        <v>Email Account/ TraderID Recognized</v>
      </c>
      <c r="H1367" s="112" t="str">
        <f>IFERROR(__xludf.DUMMYFUNCTION("""COMPUTED_VALUE"""),"SSEEN")</f>
        <v>SSEEN</v>
      </c>
      <c r="I1367" s="30">
        <f>IFERROR(__xludf.DUMMYFUNCTION("""COMPUTED_VALUE"""),10.0)</f>
        <v>10</v>
      </c>
      <c r="J1367" s="30"/>
      <c r="K1367" s="30" t="str">
        <f>IFERROR(__xludf.DUMMYFUNCTION("""COMPUTED_VALUE"""),"QTY, Limit Price (if any) &amp; Password input correct")</f>
        <v>QTY, Limit Price (if any) &amp; Password input correct</v>
      </c>
      <c r="L1367" s="30"/>
    </row>
    <row r="1368">
      <c r="A1368" s="5"/>
      <c r="B1368" s="118">
        <f>IFERROR(__xludf.DUMMYFUNCTION("""COMPUTED_VALUE"""),44664.95223898148)</f>
        <v>44664.95224</v>
      </c>
      <c r="C1368" s="120" t="str">
        <f>IFERROR(__xludf.DUMMYFUNCTION("""COMPUTED_VALUE"""),"")</f>
        <v/>
      </c>
      <c r="D1368" s="5" t="str">
        <f>IFERROR(__xludf.DUMMYFUNCTION("""COMPUTED_VALUE"""),"75005")</f>
        <v>75005</v>
      </c>
      <c r="E1368" s="5" t="str">
        <f>IFERROR(__xludf.DUMMYFUNCTION("""COMPUTED_VALUE"""),"Stock")</f>
        <v>Stock</v>
      </c>
      <c r="F1368" s="5" t="str">
        <f>IFERROR(__xludf.DUMMYFUNCTION("""COMPUTED_VALUE"""),"error")</f>
        <v>error</v>
      </c>
      <c r="G1368" s="30" t="str">
        <f>IFERROR(__xludf.DUMMYFUNCTION("""COMPUTED_VALUE"""),"Email Account/ TraderID Recognized")</f>
        <v>Email Account/ TraderID Recognized</v>
      </c>
      <c r="H1368" s="112" t="str">
        <f>IFERROR(__xludf.DUMMYFUNCTION("""COMPUTED_VALUE"""),"TSLA")</f>
        <v>TSLA</v>
      </c>
      <c r="I1368" s="30">
        <f>IFERROR(__xludf.DUMMYFUNCTION("""COMPUTED_VALUE"""),10.0)</f>
        <v>10</v>
      </c>
      <c r="J1368" s="30" t="str">
        <f>IFERROR(__xludf.DUMMYFUNCTION("""COMPUTED_VALUE"""),"Limit sell @1000")</f>
        <v>Limit sell @1000</v>
      </c>
      <c r="K1368" s="30" t="str">
        <f>IFERROR(__xludf.DUMMYFUNCTION("""COMPUTED_VALUE"""),"Non-number input in Quantity or Limit Price")</f>
        <v>Non-number input in Quantity or Limit Price</v>
      </c>
      <c r="L1368" s="30" t="str">
        <f>IFERROR(__xludf.DUMMYFUNCTION("""COMPUTED_VALUE"""),"No non number input in limit price box")</f>
        <v>No non number input in limit price box</v>
      </c>
    </row>
    <row r="1369">
      <c r="A1369" s="5"/>
      <c r="B1369" s="118">
        <f>IFERROR(__xludf.DUMMYFUNCTION("""COMPUTED_VALUE"""),44664.9565147338)</f>
        <v>44664.95651</v>
      </c>
      <c r="C1369" s="120">
        <f>IFERROR(__xludf.DUMMYFUNCTION("""COMPUTED_VALUE"""),44665.666666666664)</f>
        <v>44665.66667</v>
      </c>
      <c r="D1369" s="5" t="str">
        <f>IFERROR(__xludf.DUMMYFUNCTION("""COMPUTED_VALUE"""),"39441")</f>
        <v>39441</v>
      </c>
      <c r="E1369" s="5" t="str">
        <f>IFERROR(__xludf.DUMMYFUNCTION("""COMPUTED_VALUE"""),"Stock")</f>
        <v>Stock</v>
      </c>
      <c r="F1369" s="5" t="str">
        <f>IFERROR(__xludf.DUMMYFUNCTION("""COMPUTED_VALUE"""),"HKD")</f>
        <v>HKD</v>
      </c>
      <c r="G1369" s="30" t="str">
        <f>IFERROR(__xludf.DUMMYFUNCTION("""COMPUTED_VALUE"""),"Email Account/ TraderID Recognized")</f>
        <v>Email Account/ TraderID Recognized</v>
      </c>
      <c r="H1369" s="125" t="str">
        <f>IFERROR(__xludf.DUMMYFUNCTION("""COMPUTED_VALUE"""),"0070.HK")</f>
        <v>0070.HK</v>
      </c>
      <c r="I1369" s="30">
        <f>IFERROR(__xludf.DUMMYFUNCTION("""COMPUTED_VALUE"""),100.0)</f>
        <v>100</v>
      </c>
      <c r="J1369" s="30"/>
      <c r="K1369" s="30" t="str">
        <f>IFERROR(__xludf.DUMMYFUNCTION("""COMPUTED_VALUE"""),"QTY, Limit Price (if any) &amp; Password input correct")</f>
        <v>QTY, Limit Price (if any) &amp; Password input correct</v>
      </c>
      <c r="L1369" s="30"/>
    </row>
    <row r="1370">
      <c r="A1370" s="5"/>
      <c r="B1370" s="118">
        <f>IFERROR(__xludf.DUMMYFUNCTION("""COMPUTED_VALUE"""),44664.97310112268)</f>
        <v>44664.9731</v>
      </c>
      <c r="C1370" s="120">
        <f>IFERROR(__xludf.DUMMYFUNCTION("""COMPUTED_VALUE"""),44664.666666666664)</f>
        <v>44664.66667</v>
      </c>
      <c r="D1370" s="5" t="str">
        <f>IFERROR(__xludf.DUMMYFUNCTION("""COMPUTED_VALUE"""),"18874")</f>
        <v>18874</v>
      </c>
      <c r="E1370" s="5" t="str">
        <f>IFERROR(__xludf.DUMMYFUNCTION("""COMPUTED_VALUE"""),"Stock")</f>
        <v>Stock</v>
      </c>
      <c r="F1370" s="5" t="str">
        <f>IFERROR(__xludf.DUMMYFUNCTION("""COMPUTED_VALUE"""),"USD")</f>
        <v>USD</v>
      </c>
      <c r="G1370" s="30" t="str">
        <f>IFERROR(__xludf.DUMMYFUNCTION("""COMPUTED_VALUE"""),"Email Account/ TraderID Recognized")</f>
        <v>Email Account/ TraderID Recognized</v>
      </c>
      <c r="H1370" s="112" t="str">
        <f>IFERROR(__xludf.DUMMYFUNCTION("""COMPUTED_VALUE"""),"TSLA")</f>
        <v>TSLA</v>
      </c>
      <c r="I1370" s="30">
        <f>IFERROR(__xludf.DUMMYFUNCTION("""COMPUTED_VALUE"""),10.0)</f>
        <v>10</v>
      </c>
      <c r="J1370" s="30"/>
      <c r="K1370" s="30" t="str">
        <f>IFERROR(__xludf.DUMMYFUNCTION("""COMPUTED_VALUE"""),"QTY, Limit Price (if any) &amp; Password input correct")</f>
        <v>QTY, Limit Price (if any) &amp; Password input correct</v>
      </c>
      <c r="L1370" s="30"/>
    </row>
    <row r="1371">
      <c r="A1371" s="5"/>
      <c r="B1371" s="118">
        <f>IFERROR(__xludf.DUMMYFUNCTION("""COMPUTED_VALUE"""),44665.021617164355)</f>
        <v>44665.02162</v>
      </c>
      <c r="C1371" s="120">
        <f>IFERROR(__xludf.DUMMYFUNCTION("""COMPUTED_VALUE"""),44664.666666666664)</f>
        <v>44664.66667</v>
      </c>
      <c r="D1371" s="5" t="str">
        <f>IFERROR(__xludf.DUMMYFUNCTION("""COMPUTED_VALUE"""),"39704")</f>
        <v>39704</v>
      </c>
      <c r="E1371" s="5" t="str">
        <f>IFERROR(__xludf.DUMMYFUNCTION("""COMPUTED_VALUE"""),"Stock")</f>
        <v>Stock</v>
      </c>
      <c r="F1371" s="5" t="str">
        <f>IFERROR(__xludf.DUMMYFUNCTION("""COMPUTED_VALUE"""),"USD")</f>
        <v>USD</v>
      </c>
      <c r="G1371" s="30" t="str">
        <f>IFERROR(__xludf.DUMMYFUNCTION("""COMPUTED_VALUE"""),"Email Account/ TraderID Recognized")</f>
        <v>Email Account/ TraderID Recognized</v>
      </c>
      <c r="H1371" s="112" t="str">
        <f>IFERROR(__xludf.DUMMYFUNCTION("""COMPUTED_VALUE"""),"AEP")</f>
        <v>AEP</v>
      </c>
      <c r="I1371" s="30">
        <f>IFERROR(__xludf.DUMMYFUNCTION("""COMPUTED_VALUE"""),100.0)</f>
        <v>100</v>
      </c>
      <c r="J1371" s="30"/>
      <c r="K1371" s="30" t="str">
        <f>IFERROR(__xludf.DUMMYFUNCTION("""COMPUTED_VALUE"""),"QTY, Limit Price (if any) &amp; Password input correct")</f>
        <v>QTY, Limit Price (if any) &amp; Password input correct</v>
      </c>
      <c r="L1371" s="30"/>
    </row>
    <row r="1372">
      <c r="A1372" s="5"/>
      <c r="B1372" s="118">
        <f>IFERROR(__xludf.DUMMYFUNCTION("""COMPUTED_VALUE"""),44665.057354097225)</f>
        <v>44665.05735</v>
      </c>
      <c r="C1372" s="120">
        <f>IFERROR(__xludf.DUMMYFUNCTION("""COMPUTED_VALUE"""),44664.666666666664)</f>
        <v>44664.66667</v>
      </c>
      <c r="D1372" s="5" t="str">
        <f>IFERROR(__xludf.DUMMYFUNCTION("""COMPUTED_VALUE"""),"75288")</f>
        <v>75288</v>
      </c>
      <c r="E1372" s="5" t="str">
        <f>IFERROR(__xludf.DUMMYFUNCTION("""COMPUTED_VALUE"""),"Stock")</f>
        <v>Stock</v>
      </c>
      <c r="F1372" s="5" t="str">
        <f>IFERROR(__xludf.DUMMYFUNCTION("""COMPUTED_VALUE"""),"USD")</f>
        <v>USD</v>
      </c>
      <c r="G1372" s="30" t="str">
        <f>IFERROR(__xludf.DUMMYFUNCTION("""COMPUTED_VALUE"""),"Email Account/ TraderID Recognized")</f>
        <v>Email Account/ TraderID Recognized</v>
      </c>
      <c r="H1372" s="112" t="str">
        <f>IFERROR(__xludf.DUMMYFUNCTION("""COMPUTED_VALUE"""),"ABNB")</f>
        <v>ABNB</v>
      </c>
      <c r="I1372" s="30">
        <f>IFERROR(__xludf.DUMMYFUNCTION("""COMPUTED_VALUE"""),30.0)</f>
        <v>30</v>
      </c>
      <c r="J1372" s="30"/>
      <c r="K1372" s="30" t="str">
        <f>IFERROR(__xludf.DUMMYFUNCTION("""COMPUTED_VALUE"""),"QTY, Limit Price (if any) &amp; Password input correct")</f>
        <v>QTY, Limit Price (if any) &amp; Password input correct</v>
      </c>
      <c r="L1372" s="30"/>
    </row>
    <row r="1373">
      <c r="A1373" s="5"/>
      <c r="B1373" s="118">
        <f>IFERROR(__xludf.DUMMYFUNCTION("""COMPUTED_VALUE"""),44665.06281802083)</f>
        <v>44665.06282</v>
      </c>
      <c r="C1373" s="120">
        <f>IFERROR(__xludf.DUMMYFUNCTION("""COMPUTED_VALUE"""),44664.666666666664)</f>
        <v>44664.66667</v>
      </c>
      <c r="D1373" s="5" t="str">
        <f>IFERROR(__xludf.DUMMYFUNCTION("""COMPUTED_VALUE"""),"75288")</f>
        <v>75288</v>
      </c>
      <c r="E1373" s="5" t="str">
        <f>IFERROR(__xludf.DUMMYFUNCTION("""COMPUTED_VALUE"""),"Stock")</f>
        <v>Stock</v>
      </c>
      <c r="F1373" s="5" t="str">
        <f>IFERROR(__xludf.DUMMYFUNCTION("""COMPUTED_VALUE"""),"USD")</f>
        <v>USD</v>
      </c>
      <c r="G1373" s="30" t="str">
        <f>IFERROR(__xludf.DUMMYFUNCTION("""COMPUTED_VALUE"""),"Email Account/ TraderID Recognized")</f>
        <v>Email Account/ TraderID Recognized</v>
      </c>
      <c r="H1373" s="112" t="str">
        <f>IFERROR(__xludf.DUMMYFUNCTION("""COMPUTED_VALUE"""),"V")</f>
        <v>V</v>
      </c>
      <c r="I1373" s="30">
        <f>IFERROR(__xludf.DUMMYFUNCTION("""COMPUTED_VALUE"""),30.0)</f>
        <v>30</v>
      </c>
      <c r="J1373" s="30"/>
      <c r="K1373" s="30" t="str">
        <f>IFERROR(__xludf.DUMMYFUNCTION("""COMPUTED_VALUE"""),"QTY, Limit Price (if any) &amp; Password input correct")</f>
        <v>QTY, Limit Price (if any) &amp; Password input correct</v>
      </c>
      <c r="L1373" s="30"/>
    </row>
    <row r="1374">
      <c r="A1374" s="5"/>
      <c r="B1374" s="118">
        <f>IFERROR(__xludf.DUMMYFUNCTION("""COMPUTED_VALUE"""),44665.06755466435)</f>
        <v>44665.06755</v>
      </c>
      <c r="C1374" s="120">
        <f>IFERROR(__xludf.DUMMYFUNCTION("""COMPUTED_VALUE"""),44664.666666666664)</f>
        <v>44664.66667</v>
      </c>
      <c r="D1374" s="5" t="str">
        <f>IFERROR(__xludf.DUMMYFUNCTION("""COMPUTED_VALUE"""),"39670")</f>
        <v>39670</v>
      </c>
      <c r="E1374" s="5" t="str">
        <f>IFERROR(__xludf.DUMMYFUNCTION("""COMPUTED_VALUE"""),"Stock")</f>
        <v>Stock</v>
      </c>
      <c r="F1374" s="5" t="str">
        <f>IFERROR(__xludf.DUMMYFUNCTION("""COMPUTED_VALUE"""),"USD")</f>
        <v>USD</v>
      </c>
      <c r="G1374" s="30" t="str">
        <f>IFERROR(__xludf.DUMMYFUNCTION("""COMPUTED_VALUE"""),"Email Account/ TraderID Recognized")</f>
        <v>Email Account/ TraderID Recognized</v>
      </c>
      <c r="H1374" s="112" t="str">
        <f>IFERROR(__xludf.DUMMYFUNCTION("""COMPUTED_VALUE"""),"AAPL")</f>
        <v>AAPL</v>
      </c>
      <c r="I1374" s="30">
        <f>IFERROR(__xludf.DUMMYFUNCTION("""COMPUTED_VALUE"""),50.0)</f>
        <v>50</v>
      </c>
      <c r="J1374" s="30">
        <f>IFERROR(__xludf.DUMMYFUNCTION("""COMPUTED_VALUE"""),170.0)</f>
        <v>170</v>
      </c>
      <c r="K1374" s="30" t="str">
        <f>IFERROR(__xludf.DUMMYFUNCTION("""COMPUTED_VALUE"""),"QTY, Limit Price (if any) &amp; Password input correct")</f>
        <v>QTY, Limit Price (if any) &amp; Password input correct</v>
      </c>
      <c r="L1374" s="30"/>
    </row>
    <row r="1375">
      <c r="A1375" s="5"/>
      <c r="B1375" s="118">
        <f>IFERROR(__xludf.DUMMYFUNCTION("""COMPUTED_VALUE"""),44665.069220474536)</f>
        <v>44665.06922</v>
      </c>
      <c r="C1375" s="120">
        <f>IFERROR(__xludf.DUMMYFUNCTION("""COMPUTED_VALUE"""),44664.666666666664)</f>
        <v>44664.66667</v>
      </c>
      <c r="D1375" s="5" t="str">
        <f>IFERROR(__xludf.DUMMYFUNCTION("""COMPUTED_VALUE"""),"39670")</f>
        <v>39670</v>
      </c>
      <c r="E1375" s="5" t="str">
        <f>IFERROR(__xludf.DUMMYFUNCTION("""COMPUTED_VALUE"""),"Stock")</f>
        <v>Stock</v>
      </c>
      <c r="F1375" s="5" t="str">
        <f>IFERROR(__xludf.DUMMYFUNCTION("""COMPUTED_VALUE"""),"USD")</f>
        <v>USD</v>
      </c>
      <c r="G1375" s="30" t="str">
        <f>IFERROR(__xludf.DUMMYFUNCTION("""COMPUTED_VALUE"""),"Email Account/ TraderID Recognized")</f>
        <v>Email Account/ TraderID Recognized</v>
      </c>
      <c r="H1375" s="112" t="str">
        <f>IFERROR(__xludf.DUMMYFUNCTION("""COMPUTED_VALUE"""),"BILI")</f>
        <v>BILI</v>
      </c>
      <c r="I1375" s="30">
        <f>IFERROR(__xludf.DUMMYFUNCTION("""COMPUTED_VALUE"""),20.0)</f>
        <v>20</v>
      </c>
      <c r="J1375" s="30">
        <f>IFERROR(__xludf.DUMMYFUNCTION("""COMPUTED_VALUE"""),28.0)</f>
        <v>28</v>
      </c>
      <c r="K1375" s="30" t="str">
        <f>IFERROR(__xludf.DUMMYFUNCTION("""COMPUTED_VALUE"""),"QTY, Limit Price (if any) &amp; Password input correct")</f>
        <v>QTY, Limit Price (if any) &amp; Password input correct</v>
      </c>
      <c r="L1375" s="30"/>
    </row>
    <row r="1376">
      <c r="A1376" s="5"/>
      <c r="B1376" s="118">
        <f>IFERROR(__xludf.DUMMYFUNCTION("""COMPUTED_VALUE"""),44665.07445782407)</f>
        <v>44665.07446</v>
      </c>
      <c r="C1376" s="120">
        <f>IFERROR(__xludf.DUMMYFUNCTION("""COMPUTED_VALUE"""),44664.666666666664)</f>
        <v>44664.66667</v>
      </c>
      <c r="D1376" s="5" t="str">
        <f>IFERROR(__xludf.DUMMYFUNCTION("""COMPUTED_VALUE"""),"39670")</f>
        <v>39670</v>
      </c>
      <c r="E1376" s="5" t="str">
        <f>IFERROR(__xludf.DUMMYFUNCTION("""COMPUTED_VALUE"""),"Stock")</f>
        <v>Stock</v>
      </c>
      <c r="F1376" s="5" t="str">
        <f>IFERROR(__xludf.DUMMYFUNCTION("""COMPUTED_VALUE"""),"USD")</f>
        <v>USD</v>
      </c>
      <c r="G1376" s="30" t="str">
        <f>IFERROR(__xludf.DUMMYFUNCTION("""COMPUTED_VALUE"""),"Email Account/ TraderID Recognized")</f>
        <v>Email Account/ TraderID Recognized</v>
      </c>
      <c r="H1376" s="112" t="str">
        <f>IFERROR(__xludf.DUMMYFUNCTION("""COMPUTED_VALUE"""),"BABA")</f>
        <v>BABA</v>
      </c>
      <c r="I1376" s="30">
        <f>IFERROR(__xludf.DUMMYFUNCTION("""COMPUTED_VALUE"""),30.0)</f>
        <v>30</v>
      </c>
      <c r="J1376" s="30">
        <f>IFERROR(__xludf.DUMMYFUNCTION("""COMPUTED_VALUE"""),142.0)</f>
        <v>142</v>
      </c>
      <c r="K1376" s="30" t="str">
        <f>IFERROR(__xludf.DUMMYFUNCTION("""COMPUTED_VALUE"""),"QTY, Limit Price (if any) &amp; Password input correct")</f>
        <v>QTY, Limit Price (if any) &amp; Password input correct</v>
      </c>
      <c r="L1376" s="30"/>
    </row>
    <row r="1377">
      <c r="A1377" s="5"/>
      <c r="B1377" s="118">
        <f>IFERROR(__xludf.DUMMYFUNCTION("""COMPUTED_VALUE"""),44665.08043552084)</f>
        <v>44665.08044</v>
      </c>
      <c r="C1377" s="120">
        <f>IFERROR(__xludf.DUMMYFUNCTION("""COMPUTED_VALUE"""),44664.666666666664)</f>
        <v>44664.66667</v>
      </c>
      <c r="D1377" s="5" t="str">
        <f>IFERROR(__xludf.DUMMYFUNCTION("""COMPUTED_VALUE"""),"38109")</f>
        <v>38109</v>
      </c>
      <c r="E1377" s="5" t="str">
        <f>IFERROR(__xludf.DUMMYFUNCTION("""COMPUTED_VALUE"""),"Stock")</f>
        <v>Stock</v>
      </c>
      <c r="F1377" s="5" t="str">
        <f>IFERROR(__xludf.DUMMYFUNCTION("""COMPUTED_VALUE"""),"USD")</f>
        <v>USD</v>
      </c>
      <c r="G1377" s="30" t="str">
        <f>IFERROR(__xludf.DUMMYFUNCTION("""COMPUTED_VALUE"""),"Email Account/ TraderID Recognized")</f>
        <v>Email Account/ TraderID Recognized</v>
      </c>
      <c r="H1377" s="112" t="str">
        <f>IFERROR(__xludf.DUMMYFUNCTION("""COMPUTED_VALUE"""),"AMZN")</f>
        <v>AMZN</v>
      </c>
      <c r="I1377" s="30">
        <f>IFERROR(__xludf.DUMMYFUNCTION("""COMPUTED_VALUE"""),10.0)</f>
        <v>10</v>
      </c>
      <c r="J1377" s="30"/>
      <c r="K1377" s="30" t="str">
        <f>IFERROR(__xludf.DUMMYFUNCTION("""COMPUTED_VALUE"""),"QTY, Limit Price (if any) &amp; Password input correct")</f>
        <v>QTY, Limit Price (if any) &amp; Password input correct</v>
      </c>
      <c r="L1377" s="30"/>
    </row>
    <row r="1378">
      <c r="A1378" s="5"/>
      <c r="B1378" s="118">
        <f>IFERROR(__xludf.DUMMYFUNCTION("""COMPUTED_VALUE"""),44665.083799513886)</f>
        <v>44665.0838</v>
      </c>
      <c r="C1378" s="120">
        <f>IFERROR(__xludf.DUMMYFUNCTION("""COMPUTED_VALUE"""),44664.666666666664)</f>
        <v>44664.66667</v>
      </c>
      <c r="D1378" s="5" t="str">
        <f>IFERROR(__xludf.DUMMYFUNCTION("""COMPUTED_VALUE"""),"38109")</f>
        <v>38109</v>
      </c>
      <c r="E1378" s="5" t="str">
        <f>IFERROR(__xludf.DUMMYFUNCTION("""COMPUTED_VALUE"""),"Stock")</f>
        <v>Stock</v>
      </c>
      <c r="F1378" s="5" t="str">
        <f>IFERROR(__xludf.DUMMYFUNCTION("""COMPUTED_VALUE"""),"USD")</f>
        <v>USD</v>
      </c>
      <c r="G1378" s="30" t="str">
        <f>IFERROR(__xludf.DUMMYFUNCTION("""COMPUTED_VALUE"""),"Email Account/ TraderID Recognized")</f>
        <v>Email Account/ TraderID Recognized</v>
      </c>
      <c r="H1378" s="112" t="str">
        <f>IFERROR(__xludf.DUMMYFUNCTION("""COMPUTED_VALUE"""),"FB")</f>
        <v>FB</v>
      </c>
      <c r="I1378" s="30">
        <f>IFERROR(__xludf.DUMMYFUNCTION("""COMPUTED_VALUE"""),100.0)</f>
        <v>100</v>
      </c>
      <c r="J1378" s="30"/>
      <c r="K1378" s="30" t="str">
        <f>IFERROR(__xludf.DUMMYFUNCTION("""COMPUTED_VALUE"""),"QTY, Limit Price (if any) &amp; Password input correct")</f>
        <v>QTY, Limit Price (if any) &amp; Password input correct</v>
      </c>
      <c r="L1378" s="30"/>
    </row>
    <row r="1379">
      <c r="A1379" s="5"/>
      <c r="B1379" s="118">
        <f>IFERROR(__xludf.DUMMYFUNCTION("""COMPUTED_VALUE"""),44665.08630083333)</f>
        <v>44665.0863</v>
      </c>
      <c r="C1379" s="120">
        <f>IFERROR(__xludf.DUMMYFUNCTION("""COMPUTED_VALUE"""),44664.666666666664)</f>
        <v>44664.66667</v>
      </c>
      <c r="D1379" s="5" t="str">
        <f>IFERROR(__xludf.DUMMYFUNCTION("""COMPUTED_VALUE"""),"38109")</f>
        <v>38109</v>
      </c>
      <c r="E1379" s="5" t="str">
        <f>IFERROR(__xludf.DUMMYFUNCTION("""COMPUTED_VALUE"""),"Stock")</f>
        <v>Stock</v>
      </c>
      <c r="F1379" s="5" t="str">
        <f>IFERROR(__xludf.DUMMYFUNCTION("""COMPUTED_VALUE"""),"USD")</f>
        <v>USD</v>
      </c>
      <c r="G1379" s="30" t="str">
        <f>IFERROR(__xludf.DUMMYFUNCTION("""COMPUTED_VALUE"""),"Email Account/ TraderID Recognized")</f>
        <v>Email Account/ TraderID Recognized</v>
      </c>
      <c r="H1379" s="112" t="str">
        <f>IFERROR(__xludf.DUMMYFUNCTION("""COMPUTED_VALUE"""),"TSLA")</f>
        <v>TSLA</v>
      </c>
      <c r="I1379" s="30">
        <f>IFERROR(__xludf.DUMMYFUNCTION("""COMPUTED_VALUE"""),6.0)</f>
        <v>6</v>
      </c>
      <c r="J1379" s="30"/>
      <c r="K1379" s="30" t="str">
        <f>IFERROR(__xludf.DUMMYFUNCTION("""COMPUTED_VALUE"""),"QTY, Limit Price (if any) &amp; Password input correct")</f>
        <v>QTY, Limit Price (if any) &amp; Password input correct</v>
      </c>
      <c r="L1379" s="30"/>
    </row>
    <row r="1380">
      <c r="A1380" s="5"/>
      <c r="B1380" s="118">
        <f>IFERROR(__xludf.DUMMYFUNCTION("""COMPUTED_VALUE"""),44665.15492383102)</f>
        <v>44665.15492</v>
      </c>
      <c r="C1380" s="120">
        <f>IFERROR(__xludf.DUMMYFUNCTION("""COMPUTED_VALUE"""),44664.666666666664)</f>
        <v>44664.66667</v>
      </c>
      <c r="D1380" s="5" t="str">
        <f>IFERROR(__xludf.DUMMYFUNCTION("""COMPUTED_VALUE"""),"46600")</f>
        <v>46600</v>
      </c>
      <c r="E1380" s="5" t="str">
        <f>IFERROR(__xludf.DUMMYFUNCTION("""COMPUTED_VALUE"""),"Stock")</f>
        <v>Stock</v>
      </c>
      <c r="F1380" s="5" t="str">
        <f>IFERROR(__xludf.DUMMYFUNCTION("""COMPUTED_VALUE"""),"USD")</f>
        <v>USD</v>
      </c>
      <c r="G1380" s="30" t="str">
        <f>IFERROR(__xludf.DUMMYFUNCTION("""COMPUTED_VALUE"""),"Email Account/ TraderID Recognized")</f>
        <v>Email Account/ TraderID Recognized</v>
      </c>
      <c r="H1380" s="112" t="str">
        <f>IFERROR(__xludf.DUMMYFUNCTION("""COMPUTED_VALUE"""),"TSLA")</f>
        <v>TSLA</v>
      </c>
      <c r="I1380" s="30">
        <f>IFERROR(__xludf.DUMMYFUNCTION("""COMPUTED_VALUE"""),10.0)</f>
        <v>10</v>
      </c>
      <c r="J1380" s="30"/>
      <c r="K1380" s="30" t="str">
        <f>IFERROR(__xludf.DUMMYFUNCTION("""COMPUTED_VALUE"""),"QTY, Limit Price (if any) &amp; Password input correct")</f>
        <v>QTY, Limit Price (if any) &amp; Password input correct</v>
      </c>
      <c r="L1380" s="30"/>
    </row>
    <row r="1381">
      <c r="A1381" s="5"/>
      <c r="B1381" s="118">
        <f>IFERROR(__xludf.DUMMYFUNCTION("""COMPUTED_VALUE"""),44665.15575200232)</f>
        <v>44665.15575</v>
      </c>
      <c r="C1381" s="120">
        <f>IFERROR(__xludf.DUMMYFUNCTION("""COMPUTED_VALUE"""),44664.666666666664)</f>
        <v>44664.66667</v>
      </c>
      <c r="D1381" s="5" t="str">
        <f>IFERROR(__xludf.DUMMYFUNCTION("""COMPUTED_VALUE"""),"TraderX")</f>
        <v>TraderX</v>
      </c>
      <c r="E1381" s="5" t="str">
        <f>IFERROR(__xludf.DUMMYFUNCTION("""COMPUTED_VALUE"""),"Option")</f>
        <v>Option</v>
      </c>
      <c r="F1381" s="5" t="str">
        <f>IFERROR(__xludf.DUMMYFUNCTION("""COMPUTED_VALUE"""),"USD")</f>
        <v>USD</v>
      </c>
      <c r="G1381" s="30" t="str">
        <f>IFERROR(__xludf.DUMMYFUNCTION("""COMPUTED_VALUE"""),"Email Account/ TraderID Recognized")</f>
        <v>Email Account/ TraderID Recognized</v>
      </c>
      <c r="H1381" s="112" t="str">
        <f>IFERROR(__xludf.DUMMYFUNCTION("""COMPUTED_VALUE"""),"NDXP220413P13475000")</f>
        <v>NDXP220413P13475000</v>
      </c>
      <c r="I1381" s="30">
        <f>IFERROR(__xludf.DUMMYFUNCTION("""COMPUTED_VALUE"""),8.0)</f>
        <v>8</v>
      </c>
      <c r="J1381" s="30"/>
      <c r="K1381" s="30" t="str">
        <f>IFERROR(__xludf.DUMMYFUNCTION("""COMPUTED_VALUE"""),"QTY, Limit Price (if any) &amp; Password input correct")</f>
        <v>QTY, Limit Price (if any) &amp; Password input correct</v>
      </c>
      <c r="L1381" s="30"/>
    </row>
    <row r="1382">
      <c r="A1382" s="5"/>
      <c r="B1382" s="118">
        <f>IFERROR(__xludf.DUMMYFUNCTION("""COMPUTED_VALUE"""),44665.15615048612)</f>
        <v>44665.15615</v>
      </c>
      <c r="C1382" s="120">
        <f>IFERROR(__xludf.DUMMYFUNCTION("""COMPUTED_VALUE"""),44664.666666666664)</f>
        <v>44664.66667</v>
      </c>
      <c r="D1382" s="5" t="str">
        <f>IFERROR(__xludf.DUMMYFUNCTION("""COMPUTED_VALUE"""),"TraderX")</f>
        <v>TraderX</v>
      </c>
      <c r="E1382" s="5" t="str">
        <f>IFERROR(__xludf.DUMMYFUNCTION("""COMPUTED_VALUE"""),"Option")</f>
        <v>Option</v>
      </c>
      <c r="F1382" s="5" t="str">
        <f>IFERROR(__xludf.DUMMYFUNCTION("""COMPUTED_VALUE"""),"USD")</f>
        <v>USD</v>
      </c>
      <c r="G1382" s="30" t="str">
        <f>IFERROR(__xludf.DUMMYFUNCTION("""COMPUTED_VALUE"""),"Email Account/ TraderID Recognized")</f>
        <v>Email Account/ TraderID Recognized</v>
      </c>
      <c r="H1382" s="112" t="str">
        <f>IFERROR(__xludf.DUMMYFUNCTION("""COMPUTED_VALUE"""),"NDXP220413P13375000")</f>
        <v>NDXP220413P13375000</v>
      </c>
      <c r="I1382" s="30">
        <f>IFERROR(__xludf.DUMMYFUNCTION("""COMPUTED_VALUE"""),8.0)</f>
        <v>8</v>
      </c>
      <c r="J1382" s="30"/>
      <c r="K1382" s="30" t="str">
        <f>IFERROR(__xludf.DUMMYFUNCTION("""COMPUTED_VALUE"""),"QTY, Limit Price (if any) &amp; Password input correct")</f>
        <v>QTY, Limit Price (if any) &amp; Password input correct</v>
      </c>
      <c r="L1382" s="30"/>
    </row>
    <row r="1383">
      <c r="A1383" s="5"/>
      <c r="B1383" s="118">
        <f>IFERROR(__xludf.DUMMYFUNCTION("""COMPUTED_VALUE"""),44665.15650357639)</f>
        <v>44665.1565</v>
      </c>
      <c r="C1383" s="120">
        <f>IFERROR(__xludf.DUMMYFUNCTION("""COMPUTED_VALUE"""),44664.666666666664)</f>
        <v>44664.66667</v>
      </c>
      <c r="D1383" s="5" t="str">
        <f>IFERROR(__xludf.DUMMYFUNCTION("""COMPUTED_VALUE"""),"TraderX")</f>
        <v>TraderX</v>
      </c>
      <c r="E1383" s="5" t="str">
        <f>IFERROR(__xludf.DUMMYFUNCTION("""COMPUTED_VALUE"""),"Option")</f>
        <v>Option</v>
      </c>
      <c r="F1383" s="5" t="str">
        <f>IFERROR(__xludf.DUMMYFUNCTION("""COMPUTED_VALUE"""),"USD")</f>
        <v>USD</v>
      </c>
      <c r="G1383" s="30" t="str">
        <f>IFERROR(__xludf.DUMMYFUNCTION("""COMPUTED_VALUE"""),"Email Account/ TraderID Recognized")</f>
        <v>Email Account/ TraderID Recognized</v>
      </c>
      <c r="H1383" s="112" t="str">
        <f>IFERROR(__xludf.DUMMYFUNCTION("""COMPUTED_VALUE"""),"NDXP220413C14525000")</f>
        <v>NDXP220413C14525000</v>
      </c>
      <c r="I1383" s="30">
        <f>IFERROR(__xludf.DUMMYFUNCTION("""COMPUTED_VALUE"""),8.0)</f>
        <v>8</v>
      </c>
      <c r="J1383" s="30"/>
      <c r="K1383" s="30" t="str">
        <f>IFERROR(__xludf.DUMMYFUNCTION("""COMPUTED_VALUE"""),"QTY, Limit Price (if any) &amp; Password input correct")</f>
        <v>QTY, Limit Price (if any) &amp; Password input correct</v>
      </c>
      <c r="L1383" s="30"/>
    </row>
    <row r="1384">
      <c r="A1384" s="5"/>
      <c r="B1384" s="118">
        <f>IFERROR(__xludf.DUMMYFUNCTION("""COMPUTED_VALUE"""),44665.156972592595)</f>
        <v>44665.15697</v>
      </c>
      <c r="C1384" s="120">
        <f>IFERROR(__xludf.DUMMYFUNCTION("""COMPUTED_VALUE"""),44664.666666666664)</f>
        <v>44664.66667</v>
      </c>
      <c r="D1384" s="5" t="str">
        <f>IFERROR(__xludf.DUMMYFUNCTION("""COMPUTED_VALUE"""),"TraderX")</f>
        <v>TraderX</v>
      </c>
      <c r="E1384" s="5" t="str">
        <f>IFERROR(__xludf.DUMMYFUNCTION("""COMPUTED_VALUE"""),"Option")</f>
        <v>Option</v>
      </c>
      <c r="F1384" s="5" t="str">
        <f>IFERROR(__xludf.DUMMYFUNCTION("""COMPUTED_VALUE"""),"USD")</f>
        <v>USD</v>
      </c>
      <c r="G1384" s="30" t="str">
        <f>IFERROR(__xludf.DUMMYFUNCTION("""COMPUTED_VALUE"""),"Email Account/ TraderID Recognized")</f>
        <v>Email Account/ TraderID Recognized</v>
      </c>
      <c r="H1384" s="112" t="str">
        <f>IFERROR(__xludf.DUMMYFUNCTION("""COMPUTED_VALUE"""),"NDXP220413C14625000")</f>
        <v>NDXP220413C14625000</v>
      </c>
      <c r="I1384" s="30">
        <f>IFERROR(__xludf.DUMMYFUNCTION("""COMPUTED_VALUE"""),8.0)</f>
        <v>8</v>
      </c>
      <c r="J1384" s="30"/>
      <c r="K1384" s="30" t="str">
        <f>IFERROR(__xludf.DUMMYFUNCTION("""COMPUTED_VALUE"""),"QTY, Limit Price (if any) &amp; Password input correct")</f>
        <v>QTY, Limit Price (if any) &amp; Password input correct</v>
      </c>
      <c r="L1384" s="30"/>
    </row>
    <row r="1385">
      <c r="A1385" s="5"/>
      <c r="B1385" s="118">
        <f>IFERROR(__xludf.DUMMYFUNCTION("""COMPUTED_VALUE"""),44665.16276695602)</f>
        <v>44665.16277</v>
      </c>
      <c r="C1385" s="120">
        <f>IFERROR(__xludf.DUMMYFUNCTION("""COMPUTED_VALUE"""),44664.666666666664)</f>
        <v>44664.66667</v>
      </c>
      <c r="D1385" s="5" t="str">
        <f>IFERROR(__xludf.DUMMYFUNCTION("""COMPUTED_VALUE"""),"TraderX")</f>
        <v>TraderX</v>
      </c>
      <c r="E1385" s="5" t="str">
        <f>IFERROR(__xludf.DUMMYFUNCTION("""COMPUTED_VALUE"""),"Option")</f>
        <v>Option</v>
      </c>
      <c r="F1385" s="5" t="str">
        <f>IFERROR(__xludf.DUMMYFUNCTION("""COMPUTED_VALUE"""),"USD")</f>
        <v>USD</v>
      </c>
      <c r="G1385" s="30" t="str">
        <f>IFERROR(__xludf.DUMMYFUNCTION("""COMPUTED_VALUE"""),"Email Account/ TraderID Recognized")</f>
        <v>Email Account/ TraderID Recognized</v>
      </c>
      <c r="H1385" s="112" t="str">
        <f>IFERROR(__xludf.DUMMYFUNCTION("""COMPUTED_VALUE"""),"SPXW220414P04315000")</f>
        <v>SPXW220414P04315000</v>
      </c>
      <c r="I1385" s="30">
        <f>IFERROR(__xludf.DUMMYFUNCTION("""COMPUTED_VALUE"""),20.0)</f>
        <v>20</v>
      </c>
      <c r="J1385" s="30"/>
      <c r="K1385" s="30" t="str">
        <f>IFERROR(__xludf.DUMMYFUNCTION("""COMPUTED_VALUE"""),"QTY, Limit Price (if any) &amp; Password input correct")</f>
        <v>QTY, Limit Price (if any) &amp; Password input correct</v>
      </c>
      <c r="L1385" s="30"/>
    </row>
    <row r="1386">
      <c r="A1386" s="5"/>
      <c r="B1386" s="118">
        <f>IFERROR(__xludf.DUMMYFUNCTION("""COMPUTED_VALUE"""),44665.16309971065)</f>
        <v>44665.1631</v>
      </c>
      <c r="C1386" s="120">
        <f>IFERROR(__xludf.DUMMYFUNCTION("""COMPUTED_VALUE"""),44664.666666666664)</f>
        <v>44664.66667</v>
      </c>
      <c r="D1386" s="5" t="str">
        <f>IFERROR(__xludf.DUMMYFUNCTION("""COMPUTED_VALUE"""),"TraderX")</f>
        <v>TraderX</v>
      </c>
      <c r="E1386" s="5" t="str">
        <f>IFERROR(__xludf.DUMMYFUNCTION("""COMPUTED_VALUE"""),"Option")</f>
        <v>Option</v>
      </c>
      <c r="F1386" s="5" t="str">
        <f>IFERROR(__xludf.DUMMYFUNCTION("""COMPUTED_VALUE"""),"USD")</f>
        <v>USD</v>
      </c>
      <c r="G1386" s="30" t="str">
        <f>IFERROR(__xludf.DUMMYFUNCTION("""COMPUTED_VALUE"""),"Email Account/ TraderID Recognized")</f>
        <v>Email Account/ TraderID Recognized</v>
      </c>
      <c r="H1386" s="112" t="str">
        <f>IFERROR(__xludf.DUMMYFUNCTION("""COMPUTED_VALUE"""),"SPXW220414P04360000")</f>
        <v>SPXW220414P04360000</v>
      </c>
      <c r="I1386" s="30">
        <f>IFERROR(__xludf.DUMMYFUNCTION("""COMPUTED_VALUE"""),20.0)</f>
        <v>20</v>
      </c>
      <c r="J1386" s="30"/>
      <c r="K1386" s="30" t="str">
        <f>IFERROR(__xludf.DUMMYFUNCTION("""COMPUTED_VALUE"""),"QTY, Limit Price (if any) &amp; Password input correct")</f>
        <v>QTY, Limit Price (if any) &amp; Password input correct</v>
      </c>
      <c r="L1386" s="30"/>
    </row>
    <row r="1387">
      <c r="A1387" s="5"/>
      <c r="B1387" s="118">
        <f>IFERROR(__xludf.DUMMYFUNCTION("""COMPUTED_VALUE"""),44665.16391454861)</f>
        <v>44665.16391</v>
      </c>
      <c r="C1387" s="120">
        <f>IFERROR(__xludf.DUMMYFUNCTION("""COMPUTED_VALUE"""),44664.666666666664)</f>
        <v>44664.66667</v>
      </c>
      <c r="D1387" s="5" t="str">
        <f>IFERROR(__xludf.DUMMYFUNCTION("""COMPUTED_VALUE"""),"TraderX")</f>
        <v>TraderX</v>
      </c>
      <c r="E1387" s="5" t="str">
        <f>IFERROR(__xludf.DUMMYFUNCTION("""COMPUTED_VALUE"""),"Option")</f>
        <v>Option</v>
      </c>
      <c r="F1387" s="5" t="str">
        <f>IFERROR(__xludf.DUMMYFUNCTION("""COMPUTED_VALUE"""),"USD")</f>
        <v>USD</v>
      </c>
      <c r="G1387" s="30" t="str">
        <f>IFERROR(__xludf.DUMMYFUNCTION("""COMPUTED_VALUE"""),"Email Account/ TraderID Recognized")</f>
        <v>Email Account/ TraderID Recognized</v>
      </c>
      <c r="H1387" s="112" t="str">
        <f>IFERROR(__xludf.DUMMYFUNCTION("""COMPUTED_VALUE"""),"SPXW220414C04560000")</f>
        <v>SPXW220414C04560000</v>
      </c>
      <c r="I1387" s="30">
        <f>IFERROR(__xludf.DUMMYFUNCTION("""COMPUTED_VALUE"""),20.0)</f>
        <v>20</v>
      </c>
      <c r="J1387" s="30"/>
      <c r="K1387" s="30" t="str">
        <f>IFERROR(__xludf.DUMMYFUNCTION("""COMPUTED_VALUE"""),"QTY, Limit Price (if any) &amp; Password input correct")</f>
        <v>QTY, Limit Price (if any) &amp; Password input correct</v>
      </c>
      <c r="L1387" s="30"/>
    </row>
    <row r="1388">
      <c r="A1388" s="5"/>
      <c r="B1388" s="118">
        <f>IFERROR(__xludf.DUMMYFUNCTION("""COMPUTED_VALUE"""),44665.16423800926)</f>
        <v>44665.16424</v>
      </c>
      <c r="C1388" s="120">
        <f>IFERROR(__xludf.DUMMYFUNCTION("""COMPUTED_VALUE"""),44664.666666666664)</f>
        <v>44664.66667</v>
      </c>
      <c r="D1388" s="5" t="str">
        <f>IFERROR(__xludf.DUMMYFUNCTION("""COMPUTED_VALUE"""),"TraderX")</f>
        <v>TraderX</v>
      </c>
      <c r="E1388" s="5" t="str">
        <f>IFERROR(__xludf.DUMMYFUNCTION("""COMPUTED_VALUE"""),"Option")</f>
        <v>Option</v>
      </c>
      <c r="F1388" s="5" t="str">
        <f>IFERROR(__xludf.DUMMYFUNCTION("""COMPUTED_VALUE"""),"USD")</f>
        <v>USD</v>
      </c>
      <c r="G1388" s="30" t="str">
        <f>IFERROR(__xludf.DUMMYFUNCTION("""COMPUTED_VALUE"""),"Email Account/ TraderID Recognized")</f>
        <v>Email Account/ TraderID Recognized</v>
      </c>
      <c r="H1388" s="112" t="str">
        <f>IFERROR(__xludf.DUMMYFUNCTION("""COMPUTED_VALUE"""),"SPXW220414C04515000")</f>
        <v>SPXW220414C04515000</v>
      </c>
      <c r="I1388" s="30">
        <f>IFERROR(__xludf.DUMMYFUNCTION("""COMPUTED_VALUE"""),20.0)</f>
        <v>20</v>
      </c>
      <c r="J1388" s="30"/>
      <c r="K1388" s="30" t="str">
        <f>IFERROR(__xludf.DUMMYFUNCTION("""COMPUTED_VALUE"""),"QTY, Limit Price (if any) &amp; Password input correct")</f>
        <v>QTY, Limit Price (if any) &amp; Password input correct</v>
      </c>
      <c r="L1388" s="30"/>
    </row>
    <row r="1389">
      <c r="A1389" s="5"/>
      <c r="B1389" s="118">
        <f>IFERROR(__xludf.DUMMYFUNCTION("""COMPUTED_VALUE"""),44665.39964606482)</f>
        <v>44665.39965</v>
      </c>
      <c r="C1389" s="120" t="str">
        <f>IFERROR(__xludf.DUMMYFUNCTION("""COMPUTED_VALUE"""),"")</f>
        <v/>
      </c>
      <c r="D1389" s="5" t="str">
        <f>IFERROR(__xludf.DUMMYFUNCTION("""COMPUTED_VALUE"""),"")</f>
        <v/>
      </c>
      <c r="E1389" s="5" t="str">
        <f>IFERROR(__xludf.DUMMYFUNCTION("""COMPUTED_VALUE"""),"Stock")</f>
        <v>Stock</v>
      </c>
      <c r="F1389" s="5" t="str">
        <f>IFERROR(__xludf.DUMMYFUNCTION("""COMPUTED_VALUE"""),"Processing")</f>
        <v>Processing</v>
      </c>
      <c r="G1389" s="30" t="str">
        <f>IFERROR(__xludf.DUMMYFUNCTION("""COMPUTED_VALUE"""),"lamhxxxxxx@nonHKMUemail")</f>
        <v>lamhxxxxxx@nonHKMUemail</v>
      </c>
      <c r="H1389" s="112" t="str">
        <f>IFERROR(__xludf.DUMMYFUNCTION("""COMPUTED_VALUE"""),"FB")</f>
        <v>FB</v>
      </c>
      <c r="I1389" s="30">
        <f>IFERROR(__xludf.DUMMYFUNCTION("""COMPUTED_VALUE"""),30.0)</f>
        <v>30</v>
      </c>
      <c r="J1389" s="30"/>
      <c r="K1389" s="30" t="str">
        <f>IFERROR(__xludf.DUMMYFUNCTION("""COMPUTED_VALUE"""),"QTY, Limit Price (if any) &amp; Password input correct")</f>
        <v>QTY, Limit Price (if any) &amp; Password input correct</v>
      </c>
      <c r="L1389" s="30"/>
    </row>
    <row r="1390">
      <c r="A1390" s="5"/>
      <c r="B1390" s="118">
        <f>IFERROR(__xludf.DUMMYFUNCTION("""COMPUTED_VALUE"""),44665.400297280095)</f>
        <v>44665.4003</v>
      </c>
      <c r="C1390" s="120" t="str">
        <f>IFERROR(__xludf.DUMMYFUNCTION("""COMPUTED_VALUE"""),"")</f>
        <v/>
      </c>
      <c r="D1390" s="5" t="str">
        <f>IFERROR(__xludf.DUMMYFUNCTION("""COMPUTED_VALUE"""),"")</f>
        <v/>
      </c>
      <c r="E1390" s="5" t="str">
        <f>IFERROR(__xludf.DUMMYFUNCTION("""COMPUTED_VALUE"""),"Stock")</f>
        <v>Stock</v>
      </c>
      <c r="F1390" s="5" t="str">
        <f>IFERROR(__xludf.DUMMYFUNCTION("""COMPUTED_VALUE"""),"Processing")</f>
        <v>Processing</v>
      </c>
      <c r="G1390" s="30" t="str">
        <f>IFERROR(__xludf.DUMMYFUNCTION("""COMPUTED_VALUE"""),"lamhxxxxxx@nonHKMUemail")</f>
        <v>lamhxxxxxx@nonHKMUemail</v>
      </c>
      <c r="H1390" s="112" t="str">
        <f>IFERROR(__xludf.DUMMYFUNCTION("""COMPUTED_VALUE"""),"AAPL")</f>
        <v>AAPL</v>
      </c>
      <c r="I1390" s="30">
        <f>IFERROR(__xludf.DUMMYFUNCTION("""COMPUTED_VALUE"""),30.0)</f>
        <v>30</v>
      </c>
      <c r="J1390" s="30"/>
      <c r="K1390" s="30" t="str">
        <f>IFERROR(__xludf.DUMMYFUNCTION("""COMPUTED_VALUE"""),"QTY, Limit Price (if any) &amp; Password input correct")</f>
        <v>QTY, Limit Price (if any) &amp; Password input correct</v>
      </c>
      <c r="L1390" s="30"/>
    </row>
    <row r="1391">
      <c r="A1391" s="5"/>
      <c r="B1391" s="118">
        <f>IFERROR(__xludf.DUMMYFUNCTION("""COMPUTED_VALUE"""),44665.41651314815)</f>
        <v>44665.41651</v>
      </c>
      <c r="C1391" s="120" t="str">
        <f>IFERROR(__xludf.DUMMYFUNCTION("""COMPUTED_VALUE"""),"")</f>
        <v/>
      </c>
      <c r="D1391" s="5" t="str">
        <f>IFERROR(__xludf.DUMMYFUNCTION("""COMPUTED_VALUE"""),"73341")</f>
        <v>73341</v>
      </c>
      <c r="E1391" s="5" t="str">
        <f>IFERROR(__xludf.DUMMYFUNCTION("""COMPUTED_VALUE"""),"Option")</f>
        <v>Option</v>
      </c>
      <c r="F1391" s="5" t="str">
        <f>IFERROR(__xludf.DUMMYFUNCTION("""COMPUTED_VALUE"""),"Processing")</f>
        <v>Processing</v>
      </c>
      <c r="G1391" s="30" t="str">
        <f>IFERROR(__xludf.DUMMYFUNCTION("""COMPUTED_VALUE"""),"Email Account/ TraderID Recognized")</f>
        <v>Email Account/ TraderID Recognized</v>
      </c>
      <c r="H1391" s="112" t="str">
        <f>IFERROR(__xludf.DUMMYFUNCTION("""COMPUTED_VALUE"""),"ASML220422P00680000")</f>
        <v>ASML220422P00680000</v>
      </c>
      <c r="I1391" s="30">
        <f>IFERROR(__xludf.DUMMYFUNCTION("""COMPUTED_VALUE"""),10000.0)</f>
        <v>10000</v>
      </c>
      <c r="J1391" s="30"/>
      <c r="K1391" s="30" t="str">
        <f>IFERROR(__xludf.DUMMYFUNCTION("""COMPUTED_VALUE"""),"QTY, Limit Price (if any) &amp; Password input correct")</f>
        <v>QTY, Limit Price (if any) &amp; Password input correct</v>
      </c>
      <c r="L1391" s="30"/>
    </row>
    <row r="1392">
      <c r="A1392" s="5"/>
      <c r="B1392" s="118">
        <f>IFERROR(__xludf.DUMMYFUNCTION("""COMPUTED_VALUE"""),44665.41867266204)</f>
        <v>44665.41867</v>
      </c>
      <c r="C1392" s="120" t="str">
        <f>IFERROR(__xludf.DUMMYFUNCTION("""COMPUTED_VALUE"""),"")</f>
        <v/>
      </c>
      <c r="D1392" s="5" t="str">
        <f>IFERROR(__xludf.DUMMYFUNCTION("""COMPUTED_VALUE"""),"73341")</f>
        <v>73341</v>
      </c>
      <c r="E1392" s="5" t="str">
        <f>IFERROR(__xludf.DUMMYFUNCTION("""COMPUTED_VALUE"""),"Stock")</f>
        <v>Stock</v>
      </c>
      <c r="F1392" s="5" t="str">
        <f>IFERROR(__xludf.DUMMYFUNCTION("""COMPUTED_VALUE"""),"Processing")</f>
        <v>Processing</v>
      </c>
      <c r="G1392" s="30" t="str">
        <f>IFERROR(__xludf.DUMMYFUNCTION("""COMPUTED_VALUE"""),"Email Account/ TraderID Recognized")</f>
        <v>Email Account/ TraderID Recognized</v>
      </c>
      <c r="H1392" s="125" t="str">
        <f>IFERROR(__xludf.DUMMYFUNCTION("""COMPUTED_VALUE"""),"6185.HK")</f>
        <v>6185.HK</v>
      </c>
      <c r="I1392" s="30">
        <f>IFERROR(__xludf.DUMMYFUNCTION("""COMPUTED_VALUE"""),10000.0)</f>
        <v>10000</v>
      </c>
      <c r="J1392" s="30"/>
      <c r="K1392" s="30" t="str">
        <f>IFERROR(__xludf.DUMMYFUNCTION("""COMPUTED_VALUE"""),"QTY, Limit Price (if any) &amp; Password input correct")</f>
        <v>QTY, Limit Price (if any) &amp; Password input correct</v>
      </c>
      <c r="L1392" s="30"/>
    </row>
    <row r="1393">
      <c r="A1393" s="5"/>
      <c r="B1393" s="118">
        <f>IFERROR(__xludf.DUMMYFUNCTION("""COMPUTED_VALUE"""),44665.42117819445)</f>
        <v>44665.42118</v>
      </c>
      <c r="C1393" s="120" t="str">
        <f>IFERROR(__xludf.DUMMYFUNCTION("""COMPUTED_VALUE"""),"")</f>
        <v/>
      </c>
      <c r="D1393" s="5" t="str">
        <f>IFERROR(__xludf.DUMMYFUNCTION("""COMPUTED_VALUE"""),"38369")</f>
        <v>38369</v>
      </c>
      <c r="E1393" s="5" t="str">
        <f>IFERROR(__xludf.DUMMYFUNCTION("""COMPUTED_VALUE"""),"Stock")</f>
        <v>Stock</v>
      </c>
      <c r="F1393" s="5" t="str">
        <f>IFERROR(__xludf.DUMMYFUNCTION("""COMPUTED_VALUE"""),"Processing")</f>
        <v>Processing</v>
      </c>
      <c r="G1393" s="30" t="str">
        <f>IFERROR(__xludf.DUMMYFUNCTION("""COMPUTED_VALUE"""),"Email Account/ TraderID Recognized")</f>
        <v>Email Account/ TraderID Recognized</v>
      </c>
      <c r="H1393" s="112" t="str">
        <f>IFERROR(__xludf.DUMMYFUNCTION("""COMPUTED_VALUE"""),"AAPL")</f>
        <v>AAPL</v>
      </c>
      <c r="I1393" s="30">
        <f>IFERROR(__xludf.DUMMYFUNCTION("""COMPUTED_VALUE"""),100.0)</f>
        <v>100</v>
      </c>
      <c r="J1393" s="30"/>
      <c r="K1393" s="30" t="str">
        <f>IFERROR(__xludf.DUMMYFUNCTION("""COMPUTED_VALUE"""),"Wrong Password Submitted, Order will be rejected")</f>
        <v>Wrong Password Submitted, Order will be rejected</v>
      </c>
      <c r="L1393" s="30"/>
    </row>
    <row r="1394">
      <c r="A1394" s="5"/>
      <c r="B1394" s="118">
        <f>IFERROR(__xludf.DUMMYFUNCTION("""COMPUTED_VALUE"""),44665.424316689816)</f>
        <v>44665.42432</v>
      </c>
      <c r="C1394" s="120" t="str">
        <f>IFERROR(__xludf.DUMMYFUNCTION("""COMPUTED_VALUE"""),"")</f>
        <v/>
      </c>
      <c r="D1394" s="5" t="str">
        <f>IFERROR(__xludf.DUMMYFUNCTION("""COMPUTED_VALUE"""),"37198")</f>
        <v>37198</v>
      </c>
      <c r="E1394" s="5" t="str">
        <f>IFERROR(__xludf.DUMMYFUNCTION("""COMPUTED_VALUE"""),"Stock")</f>
        <v>Stock</v>
      </c>
      <c r="F1394" s="5" t="str">
        <f>IFERROR(__xludf.DUMMYFUNCTION("""COMPUTED_VALUE"""),"Processing")</f>
        <v>Processing</v>
      </c>
      <c r="G1394" s="30" t="str">
        <f>IFERROR(__xludf.DUMMYFUNCTION("""COMPUTED_VALUE"""),"Email Account/ TraderID Recognized")</f>
        <v>Email Account/ TraderID Recognized</v>
      </c>
      <c r="H1394" s="112" t="str">
        <f>IFERROR(__xludf.DUMMYFUNCTION("""COMPUTED_VALUE"""),"BNTX")</f>
        <v>BNTX</v>
      </c>
      <c r="I1394" s="30">
        <f>IFERROR(__xludf.DUMMYFUNCTION("""COMPUTED_VALUE"""),20.0)</f>
        <v>20</v>
      </c>
      <c r="J1394" s="30"/>
      <c r="K1394" s="30" t="str">
        <f>IFERROR(__xludf.DUMMYFUNCTION("""COMPUTED_VALUE"""),"QTY, Limit Price (if any) &amp; Password input correct")</f>
        <v>QTY, Limit Price (if any) &amp; Password input correct</v>
      </c>
      <c r="L1394" s="30"/>
    </row>
    <row r="1395">
      <c r="A1395" s="5"/>
      <c r="B1395" s="118">
        <f>IFERROR(__xludf.DUMMYFUNCTION("""COMPUTED_VALUE"""),44665.44557585648)</f>
        <v>44665.44558</v>
      </c>
      <c r="C1395" s="120" t="str">
        <f>IFERROR(__xludf.DUMMYFUNCTION("""COMPUTED_VALUE"""),"")</f>
        <v/>
      </c>
      <c r="D1395" s="5" t="str">
        <f>IFERROR(__xludf.DUMMYFUNCTION("""COMPUTED_VALUE"""),"38369")</f>
        <v>38369</v>
      </c>
      <c r="E1395" s="5" t="str">
        <f>IFERROR(__xludf.DUMMYFUNCTION("""COMPUTED_VALUE"""),"Stock")</f>
        <v>Stock</v>
      </c>
      <c r="F1395" s="5" t="str">
        <f>IFERROR(__xludf.DUMMYFUNCTION("""COMPUTED_VALUE"""),"Processing")</f>
        <v>Processing</v>
      </c>
      <c r="G1395" s="30" t="str">
        <f>IFERROR(__xludf.DUMMYFUNCTION("""COMPUTED_VALUE"""),"Email Account/ TraderID Recognized")</f>
        <v>Email Account/ TraderID Recognized</v>
      </c>
      <c r="H1395" s="112" t="str">
        <f>IFERROR(__xludf.DUMMYFUNCTION("""COMPUTED_VALUE"""),"AAPL")</f>
        <v>AAPL</v>
      </c>
      <c r="I1395" s="30">
        <f>IFERROR(__xludf.DUMMYFUNCTION("""COMPUTED_VALUE"""),300.0)</f>
        <v>300</v>
      </c>
      <c r="J1395" s="30"/>
      <c r="K1395" s="30" t="str">
        <f>IFERROR(__xludf.DUMMYFUNCTION("""COMPUTED_VALUE"""),"QTY, Limit Price (if any) &amp; Password input correct")</f>
        <v>QTY, Limit Price (if any) &amp; Password input correct</v>
      </c>
      <c r="L1395" s="30"/>
    </row>
    <row r="1396">
      <c r="A1396" s="5"/>
      <c r="B1396" s="118">
        <f>IFERROR(__xludf.DUMMYFUNCTION("""COMPUTED_VALUE"""),44665.50581246528)</f>
        <v>44665.50581</v>
      </c>
      <c r="C1396" s="120" t="str">
        <f>IFERROR(__xludf.DUMMYFUNCTION("""COMPUTED_VALUE"""),"")</f>
        <v/>
      </c>
      <c r="D1396" s="5" t="str">
        <f>IFERROR(__xludf.DUMMYFUNCTION("""COMPUTED_VALUE"""),"76937")</f>
        <v>76937</v>
      </c>
      <c r="E1396" s="5" t="str">
        <f>IFERROR(__xludf.DUMMYFUNCTION("""COMPUTED_VALUE"""),"Stock")</f>
        <v>Stock</v>
      </c>
      <c r="F1396" s="5" t="str">
        <f>IFERROR(__xludf.DUMMYFUNCTION("""COMPUTED_VALUE"""),"Processing")</f>
        <v>Processing</v>
      </c>
      <c r="G1396" s="30" t="str">
        <f>IFERROR(__xludf.DUMMYFUNCTION("""COMPUTED_VALUE"""),"Email Account/ TraderID Recognized")</f>
        <v>Email Account/ TraderID Recognized</v>
      </c>
      <c r="H1396" s="112">
        <f>IFERROR(__xludf.DUMMYFUNCTION("""COMPUTED_VALUE"""),45969.0)</f>
        <v>45969</v>
      </c>
      <c r="I1396" s="30">
        <f>IFERROR(__xludf.DUMMYFUNCTION("""COMPUTED_VALUE"""),500.0)</f>
        <v>500</v>
      </c>
      <c r="J1396" s="30"/>
      <c r="K1396" s="30" t="str">
        <f>IFERROR(__xludf.DUMMYFUNCTION("""COMPUTED_VALUE"""),"QTY, Limit Price (if any) &amp; Password input correct")</f>
        <v>QTY, Limit Price (if any) &amp; Password input correct</v>
      </c>
      <c r="L1396" s="30"/>
    </row>
    <row r="1397">
      <c r="A1397" s="5"/>
      <c r="B1397" s="118">
        <f>IFERROR(__xludf.DUMMYFUNCTION("""COMPUTED_VALUE"""),44665.510365752314)</f>
        <v>44665.51037</v>
      </c>
      <c r="C1397" s="120" t="str">
        <f>IFERROR(__xludf.DUMMYFUNCTION("""COMPUTED_VALUE"""),"")</f>
        <v/>
      </c>
      <c r="D1397" s="5" t="str">
        <f>IFERROR(__xludf.DUMMYFUNCTION("""COMPUTED_VALUE"""),"76937")</f>
        <v>76937</v>
      </c>
      <c r="E1397" s="5" t="str">
        <f>IFERROR(__xludf.DUMMYFUNCTION("""COMPUTED_VALUE"""),"Stock")</f>
        <v>Stock</v>
      </c>
      <c r="F1397" s="5" t="str">
        <f>IFERROR(__xludf.DUMMYFUNCTION("""COMPUTED_VALUE"""),"Processing")</f>
        <v>Processing</v>
      </c>
      <c r="G1397" s="30" t="str">
        <f>IFERROR(__xludf.DUMMYFUNCTION("""COMPUTED_VALUE"""),"Email Account/ TraderID Recognized")</f>
        <v>Email Account/ TraderID Recognized</v>
      </c>
      <c r="H1397" s="112" t="str">
        <f>IFERROR(__xludf.DUMMYFUNCTION("""COMPUTED_VALUE"""),"H09869")</f>
        <v>H09869</v>
      </c>
      <c r="I1397" s="30">
        <f>IFERROR(__xludf.DUMMYFUNCTION("""COMPUTED_VALUE"""),500.0)</f>
        <v>500</v>
      </c>
      <c r="J1397" s="30"/>
      <c r="K1397" s="30" t="str">
        <f>IFERROR(__xludf.DUMMYFUNCTION("""COMPUTED_VALUE"""),"QTY, Limit Price (if any) &amp; Password input correct")</f>
        <v>QTY, Limit Price (if any) &amp; Password input correct</v>
      </c>
      <c r="L1397" s="30"/>
    </row>
    <row r="1398">
      <c r="A1398" s="5"/>
      <c r="B1398" s="118">
        <f>IFERROR(__xludf.DUMMYFUNCTION("""COMPUTED_VALUE"""),44665.51155087963)</f>
        <v>44665.51155</v>
      </c>
      <c r="C1398" s="120" t="str">
        <f>IFERROR(__xludf.DUMMYFUNCTION("""COMPUTED_VALUE"""),"")</f>
        <v/>
      </c>
      <c r="D1398" s="5" t="str">
        <f>IFERROR(__xludf.DUMMYFUNCTION("""COMPUTED_VALUE"""),"76937")</f>
        <v>76937</v>
      </c>
      <c r="E1398" s="5" t="str">
        <f>IFERROR(__xludf.DUMMYFUNCTION("""COMPUTED_VALUE"""),"Stock")</f>
        <v>Stock</v>
      </c>
      <c r="F1398" s="5" t="str">
        <f>IFERROR(__xludf.DUMMYFUNCTION("""COMPUTED_VALUE"""),"Processing")</f>
        <v>Processing</v>
      </c>
      <c r="G1398" s="30" t="str">
        <f>IFERROR(__xludf.DUMMYFUNCTION("""COMPUTED_VALUE"""),"Email Account/ TraderID Recognized")</f>
        <v>Email Account/ TraderID Recognized</v>
      </c>
      <c r="H1398" s="112" t="str">
        <f>IFERROR(__xludf.DUMMYFUNCTION("""COMPUTED_VALUE"""),"H02150")</f>
        <v>H02150</v>
      </c>
      <c r="I1398" s="30">
        <f>IFERROR(__xludf.DUMMYFUNCTION("""COMPUTED_VALUE"""),300.0)</f>
        <v>300</v>
      </c>
      <c r="J1398" s="30"/>
      <c r="K1398" s="30" t="str">
        <f>IFERROR(__xludf.DUMMYFUNCTION("""COMPUTED_VALUE"""),"QTY, Limit Price (if any) &amp; Password input correct")</f>
        <v>QTY, Limit Price (if any) &amp; Password input correct</v>
      </c>
      <c r="L1398" s="30"/>
    </row>
    <row r="1399">
      <c r="A1399" s="5"/>
      <c r="B1399" s="118">
        <f>IFERROR(__xludf.DUMMYFUNCTION("""COMPUTED_VALUE"""),44665.5142694213)</f>
        <v>44665.51427</v>
      </c>
      <c r="C1399" s="120" t="str">
        <f>IFERROR(__xludf.DUMMYFUNCTION("""COMPUTED_VALUE"""),"")</f>
        <v/>
      </c>
      <c r="D1399" s="5" t="str">
        <f>IFERROR(__xludf.DUMMYFUNCTION("""COMPUTED_VALUE"""),"89651")</f>
        <v>89651</v>
      </c>
      <c r="E1399" s="5" t="str">
        <f>IFERROR(__xludf.DUMMYFUNCTION("""COMPUTED_VALUE"""),"Option")</f>
        <v>Option</v>
      </c>
      <c r="F1399" s="5" t="str">
        <f>IFERROR(__xludf.DUMMYFUNCTION("""COMPUTED_VALUE"""),"Processing")</f>
        <v>Processing</v>
      </c>
      <c r="G1399" s="30" t="str">
        <f>IFERROR(__xludf.DUMMYFUNCTION("""COMPUTED_VALUE"""),"Email Account/ TraderID Recognized")</f>
        <v>Email Account/ TraderID Recognized</v>
      </c>
      <c r="H1399" s="112" t="str">
        <f>IFERROR(__xludf.DUMMYFUNCTION("""COMPUTED_VALUE"""),"TSLA")</f>
        <v>TSLA</v>
      </c>
      <c r="I1399" s="30">
        <f>IFERROR(__xludf.DUMMYFUNCTION("""COMPUTED_VALUE"""),5.0)</f>
        <v>5</v>
      </c>
      <c r="J1399" s="30"/>
      <c r="K1399" s="30" t="str">
        <f>IFERROR(__xludf.DUMMYFUNCTION("""COMPUTED_VALUE"""),"QTY, Limit Price (if any) &amp; Password input correct")</f>
        <v>QTY, Limit Price (if any) &amp; Password input correct</v>
      </c>
      <c r="L1399" s="30"/>
    </row>
    <row r="1400">
      <c r="A1400" s="5"/>
      <c r="B1400" s="118">
        <f>IFERROR(__xludf.DUMMYFUNCTION("""COMPUTED_VALUE"""),44665.516437997685)</f>
        <v>44665.51644</v>
      </c>
      <c r="C1400" s="120" t="str">
        <f>IFERROR(__xludf.DUMMYFUNCTION("""COMPUTED_VALUE"""),"")</f>
        <v/>
      </c>
      <c r="D1400" s="5" t="str">
        <f>IFERROR(__xludf.DUMMYFUNCTION("""COMPUTED_VALUE"""),"38705")</f>
        <v>38705</v>
      </c>
      <c r="E1400" s="5" t="str">
        <f>IFERROR(__xludf.DUMMYFUNCTION("""COMPUTED_VALUE"""),"Stock")</f>
        <v>Stock</v>
      </c>
      <c r="F1400" s="5" t="str">
        <f>IFERROR(__xludf.DUMMYFUNCTION("""COMPUTED_VALUE"""),"Processing")</f>
        <v>Processing</v>
      </c>
      <c r="G1400" s="30" t="str">
        <f>IFERROR(__xludf.DUMMYFUNCTION("""COMPUTED_VALUE"""),"Email Account/ TraderID Recognized")</f>
        <v>Email Account/ TraderID Recognized</v>
      </c>
      <c r="H1400" s="112" t="str">
        <f>IFERROR(__xludf.DUMMYFUNCTION("""COMPUTED_VALUE"""),"AAPL")</f>
        <v>AAPL</v>
      </c>
      <c r="I1400" s="30">
        <f>IFERROR(__xludf.DUMMYFUNCTION("""COMPUTED_VALUE"""),100.0)</f>
        <v>100</v>
      </c>
      <c r="J1400" s="30"/>
      <c r="K1400" s="30" t="str">
        <f>IFERROR(__xludf.DUMMYFUNCTION("""COMPUTED_VALUE"""),"QTY, Limit Price (if any) &amp; Password input correct")</f>
        <v>QTY, Limit Price (if any) &amp; Password input correct</v>
      </c>
      <c r="L1400" s="30"/>
    </row>
    <row r="1401">
      <c r="A1401" s="5"/>
      <c r="B1401" s="118">
        <f>IFERROR(__xludf.DUMMYFUNCTION("""COMPUTED_VALUE"""),44665.53613579861)</f>
        <v>44665.53614</v>
      </c>
      <c r="C1401" s="120" t="str">
        <f>IFERROR(__xludf.DUMMYFUNCTION("""COMPUTED_VALUE"""),"")</f>
        <v/>
      </c>
      <c r="D1401" s="5" t="str">
        <f>IFERROR(__xludf.DUMMYFUNCTION("""COMPUTED_VALUE"""),"89651")</f>
        <v>89651</v>
      </c>
      <c r="E1401" s="5" t="str">
        <f>IFERROR(__xludf.DUMMYFUNCTION("""COMPUTED_VALUE"""),"Option")</f>
        <v>Option</v>
      </c>
      <c r="F1401" s="5" t="str">
        <f>IFERROR(__xludf.DUMMYFUNCTION("""COMPUTED_VALUE"""),"Processing")</f>
        <v>Processing</v>
      </c>
      <c r="G1401" s="30" t="str">
        <f>IFERROR(__xludf.DUMMYFUNCTION("""COMPUTED_VALUE"""),"Email Account/ TraderID Recognized")</f>
        <v>Email Account/ TraderID Recognized</v>
      </c>
      <c r="H1401" s="125" t="str">
        <f>IFERROR(__xludf.DUMMYFUNCTION("""COMPUTED_VALUE"""),"9988.HK")</f>
        <v>9988.HK</v>
      </c>
      <c r="I1401" s="30">
        <f>IFERROR(__xludf.DUMMYFUNCTION("""COMPUTED_VALUE"""),100.0)</f>
        <v>100</v>
      </c>
      <c r="J1401" s="30"/>
      <c r="K1401" s="30" t="str">
        <f>IFERROR(__xludf.DUMMYFUNCTION("""COMPUTED_VALUE"""),"QTY, Limit Price (if any) &amp; Password input correct")</f>
        <v>QTY, Limit Price (if any) &amp; Password input correct</v>
      </c>
      <c r="L1401" s="30"/>
    </row>
    <row r="1402">
      <c r="A1402" s="5"/>
      <c r="B1402" s="118">
        <f>IFERROR(__xludf.DUMMYFUNCTION("""COMPUTED_VALUE"""),44665.542521689815)</f>
        <v>44665.54252</v>
      </c>
      <c r="C1402" s="120" t="str">
        <f>IFERROR(__xludf.DUMMYFUNCTION("""COMPUTED_VALUE"""),"")</f>
        <v/>
      </c>
      <c r="D1402" s="5" t="str">
        <f>IFERROR(__xludf.DUMMYFUNCTION("""COMPUTED_VALUE"""),"89651")</f>
        <v>89651</v>
      </c>
      <c r="E1402" s="5" t="str">
        <f>IFERROR(__xludf.DUMMYFUNCTION("""COMPUTED_VALUE"""),"Option")</f>
        <v>Option</v>
      </c>
      <c r="F1402" s="5" t="str">
        <f>IFERROR(__xludf.DUMMYFUNCTION("""COMPUTED_VALUE"""),"Processing")</f>
        <v>Processing</v>
      </c>
      <c r="G1402" s="30" t="str">
        <f>IFERROR(__xludf.DUMMYFUNCTION("""COMPUTED_VALUE"""),"Email Account/ TraderID Recognized")</f>
        <v>Email Account/ TraderID Recognized</v>
      </c>
      <c r="H1402" s="112" t="str">
        <f>IFERROR(__xludf.DUMMYFUNCTION("""COMPUTED_VALUE"""),"0700")</f>
        <v>0700</v>
      </c>
      <c r="I1402" s="30">
        <f>IFERROR(__xludf.DUMMYFUNCTION("""COMPUTED_VALUE"""),100.0)</f>
        <v>100</v>
      </c>
      <c r="J1402" s="30"/>
      <c r="K1402" s="30" t="str">
        <f>IFERROR(__xludf.DUMMYFUNCTION("""COMPUTED_VALUE"""),"QTY, Limit Price (if any) &amp; Password input correct")</f>
        <v>QTY, Limit Price (if any) &amp; Password input correct</v>
      </c>
      <c r="L1402" s="30"/>
    </row>
    <row r="1403">
      <c r="A1403" s="5"/>
      <c r="B1403" s="118">
        <f>IFERROR(__xludf.DUMMYFUNCTION("""COMPUTED_VALUE"""),44665.54285810185)</f>
        <v>44665.54286</v>
      </c>
      <c r="C1403" s="120" t="str">
        <f>IFERROR(__xludf.DUMMYFUNCTION("""COMPUTED_VALUE"""),"")</f>
        <v/>
      </c>
      <c r="D1403" s="5" t="str">
        <f>IFERROR(__xludf.DUMMYFUNCTION("""COMPUTED_VALUE"""),"89651")</f>
        <v>89651</v>
      </c>
      <c r="E1403" s="5" t="str">
        <f>IFERROR(__xludf.DUMMYFUNCTION("""COMPUTED_VALUE"""),"Option")</f>
        <v>Option</v>
      </c>
      <c r="F1403" s="5" t="str">
        <f>IFERROR(__xludf.DUMMYFUNCTION("""COMPUTED_VALUE"""),"Processing")</f>
        <v>Processing</v>
      </c>
      <c r="G1403" s="30" t="str">
        <f>IFERROR(__xludf.DUMMYFUNCTION("""COMPUTED_VALUE"""),"Email Account/ TraderID Recognized")</f>
        <v>Email Account/ TraderID Recognized</v>
      </c>
      <c r="H1403" s="112" t="str">
        <f>IFERROR(__xludf.DUMMYFUNCTION("""COMPUTED_VALUE"""),"0941")</f>
        <v>0941</v>
      </c>
      <c r="I1403" s="30">
        <f>IFERROR(__xludf.DUMMYFUNCTION("""COMPUTED_VALUE"""),100.0)</f>
        <v>100</v>
      </c>
      <c r="J1403" s="30"/>
      <c r="K1403" s="30" t="str">
        <f>IFERROR(__xludf.DUMMYFUNCTION("""COMPUTED_VALUE"""),"QTY, Limit Price (if any) &amp; Password input correct")</f>
        <v>QTY, Limit Price (if any) &amp; Password input correct</v>
      </c>
      <c r="L1403" s="30"/>
    </row>
    <row r="1404">
      <c r="A1404" s="5"/>
      <c r="B1404" s="118">
        <f>IFERROR(__xludf.DUMMYFUNCTION("""COMPUTED_VALUE"""),44665.545010925925)</f>
        <v>44665.54501</v>
      </c>
      <c r="C1404" s="120" t="str">
        <f>IFERROR(__xludf.DUMMYFUNCTION("""COMPUTED_VALUE"""),"")</f>
        <v/>
      </c>
      <c r="D1404" s="5" t="str">
        <f>IFERROR(__xludf.DUMMYFUNCTION("""COMPUTED_VALUE"""),"89651")</f>
        <v>89651</v>
      </c>
      <c r="E1404" s="5" t="str">
        <f>IFERROR(__xludf.DUMMYFUNCTION("""COMPUTED_VALUE"""),"Stock")</f>
        <v>Stock</v>
      </c>
      <c r="F1404" s="5" t="str">
        <f>IFERROR(__xludf.DUMMYFUNCTION("""COMPUTED_VALUE"""),"Processing")</f>
        <v>Processing</v>
      </c>
      <c r="G1404" s="30" t="str">
        <f>IFERROR(__xludf.DUMMYFUNCTION("""COMPUTED_VALUE"""),"Email Account/ TraderID Recognized")</f>
        <v>Email Account/ TraderID Recognized</v>
      </c>
      <c r="H1404" s="125" t="str">
        <f>IFERROR(__xludf.DUMMYFUNCTION("""COMPUTED_VALUE"""),"0700.HK")</f>
        <v>0700.HK</v>
      </c>
      <c r="I1404" s="30">
        <f>IFERROR(__xludf.DUMMYFUNCTION("""COMPUTED_VALUE"""),50.0)</f>
        <v>50</v>
      </c>
      <c r="J1404" s="30"/>
      <c r="K1404" s="30" t="str">
        <f>IFERROR(__xludf.DUMMYFUNCTION("""COMPUTED_VALUE"""),"QTY, Limit Price (if any) &amp; Password input correct")</f>
        <v>QTY, Limit Price (if any) &amp; Password input correct</v>
      </c>
      <c r="L1404" s="30"/>
    </row>
    <row r="1405">
      <c r="A1405" s="5"/>
      <c r="B1405" s="118">
        <f>IFERROR(__xludf.DUMMYFUNCTION("""COMPUTED_VALUE"""),44665.54538498842)</f>
        <v>44665.54538</v>
      </c>
      <c r="C1405" s="120" t="str">
        <f>IFERROR(__xludf.DUMMYFUNCTION("""COMPUTED_VALUE"""),"")</f>
        <v/>
      </c>
      <c r="D1405" s="5" t="str">
        <f>IFERROR(__xludf.DUMMYFUNCTION("""COMPUTED_VALUE"""),"89651")</f>
        <v>89651</v>
      </c>
      <c r="E1405" s="5" t="str">
        <f>IFERROR(__xludf.DUMMYFUNCTION("""COMPUTED_VALUE"""),"Stock")</f>
        <v>Stock</v>
      </c>
      <c r="F1405" s="5" t="str">
        <f>IFERROR(__xludf.DUMMYFUNCTION("""COMPUTED_VALUE"""),"Processing")</f>
        <v>Processing</v>
      </c>
      <c r="G1405" s="30" t="str">
        <f>IFERROR(__xludf.DUMMYFUNCTION("""COMPUTED_VALUE"""),"Email Account/ TraderID Recognized")</f>
        <v>Email Account/ TraderID Recognized</v>
      </c>
      <c r="H1405" s="125" t="str">
        <f>IFERROR(__xludf.DUMMYFUNCTION("""COMPUTED_VALUE"""),"0941.HK")</f>
        <v>0941.HK</v>
      </c>
      <c r="I1405" s="30">
        <f>IFERROR(__xludf.DUMMYFUNCTION("""COMPUTED_VALUE"""),50.0)</f>
        <v>50</v>
      </c>
      <c r="J1405" s="30"/>
      <c r="K1405" s="30" t="str">
        <f>IFERROR(__xludf.DUMMYFUNCTION("""COMPUTED_VALUE"""),"QTY, Limit Price (if any) &amp; Password input correct")</f>
        <v>QTY, Limit Price (if any) &amp; Password input correct</v>
      </c>
      <c r="L1405" s="30"/>
    </row>
    <row r="1406">
      <c r="A1406" s="5"/>
      <c r="B1406" s="118">
        <f>IFERROR(__xludf.DUMMYFUNCTION("""COMPUTED_VALUE"""),44665.56217642361)</f>
        <v>44665.56218</v>
      </c>
      <c r="C1406" s="120" t="str">
        <f>IFERROR(__xludf.DUMMYFUNCTION("""COMPUTED_VALUE"""),"")</f>
        <v/>
      </c>
      <c r="D1406" s="5" t="str">
        <f>IFERROR(__xludf.DUMMYFUNCTION("""COMPUTED_VALUE"""),"36560")</f>
        <v>36560</v>
      </c>
      <c r="E1406" s="5" t="str">
        <f>IFERROR(__xludf.DUMMYFUNCTION("""COMPUTED_VALUE"""),"Stock")</f>
        <v>Stock</v>
      </c>
      <c r="F1406" s="5" t="str">
        <f>IFERROR(__xludf.DUMMYFUNCTION("""COMPUTED_VALUE"""),"Processing")</f>
        <v>Processing</v>
      </c>
      <c r="G1406" s="30" t="str">
        <f>IFERROR(__xludf.DUMMYFUNCTION("""COMPUTED_VALUE"""),"Email Account/ TraderID Recognized")</f>
        <v>Email Account/ TraderID Recognized</v>
      </c>
      <c r="H1406" s="112" t="str">
        <f>IFERROR(__xludf.DUMMYFUNCTION("""COMPUTED_VALUE"""),"AAPL")</f>
        <v>AAPL</v>
      </c>
      <c r="I1406" s="30">
        <f>IFERROR(__xludf.DUMMYFUNCTION("""COMPUTED_VALUE"""),10.0)</f>
        <v>10</v>
      </c>
      <c r="J1406" s="30"/>
      <c r="K1406" s="30" t="str">
        <f>IFERROR(__xludf.DUMMYFUNCTION("""COMPUTED_VALUE"""),"QTY, Limit Price (if any) &amp; Password input correct")</f>
        <v>QTY, Limit Price (if any) &amp; Password input correct</v>
      </c>
      <c r="L1406" s="30"/>
    </row>
    <row r="1407">
      <c r="A1407" s="5"/>
      <c r="B1407" s="118">
        <f>IFERROR(__xludf.DUMMYFUNCTION("""COMPUTED_VALUE"""),44665.58124585648)</f>
        <v>44665.58125</v>
      </c>
      <c r="C1407" s="120" t="str">
        <f>IFERROR(__xludf.DUMMYFUNCTION("""COMPUTED_VALUE"""),"")</f>
        <v/>
      </c>
      <c r="D1407" s="5" t="str">
        <f>IFERROR(__xludf.DUMMYFUNCTION("""COMPUTED_VALUE"""),"46876")</f>
        <v>46876</v>
      </c>
      <c r="E1407" s="5" t="str">
        <f>IFERROR(__xludf.DUMMYFUNCTION("""COMPUTED_VALUE"""),"Stock")</f>
        <v>Stock</v>
      </c>
      <c r="F1407" s="5" t="str">
        <f>IFERROR(__xludf.DUMMYFUNCTION("""COMPUTED_VALUE"""),"Processing")</f>
        <v>Processing</v>
      </c>
      <c r="G1407" s="30" t="str">
        <f>IFERROR(__xludf.DUMMYFUNCTION("""COMPUTED_VALUE"""),"Email Account/ TraderID Recognized")</f>
        <v>Email Account/ TraderID Recognized</v>
      </c>
      <c r="H1407" s="125" t="str">
        <f>IFERROR(__xludf.DUMMYFUNCTION("""COMPUTED_VALUE"""),"1898.HK")</f>
        <v>1898.HK</v>
      </c>
      <c r="I1407" s="30">
        <f>IFERROR(__xludf.DUMMYFUNCTION("""COMPUTED_VALUE"""),55000.0)</f>
        <v>55000</v>
      </c>
      <c r="J1407" s="30">
        <f>IFERROR(__xludf.DUMMYFUNCTION("""COMPUTED_VALUE"""),7.4)</f>
        <v>7.4</v>
      </c>
      <c r="K1407" s="30" t="str">
        <f>IFERROR(__xludf.DUMMYFUNCTION("""COMPUTED_VALUE"""),"QTY, Limit Price (if any) &amp; Password input correct")</f>
        <v>QTY, Limit Price (if any) &amp; Password input correct</v>
      </c>
      <c r="L1407" s="30"/>
    </row>
    <row r="1408">
      <c r="A1408" s="5"/>
      <c r="B1408" s="118">
        <f>IFERROR(__xludf.DUMMYFUNCTION("""COMPUTED_VALUE"""),44665.60538258102)</f>
        <v>44665.60538</v>
      </c>
      <c r="C1408" s="120" t="str">
        <f>IFERROR(__xludf.DUMMYFUNCTION("""COMPUTED_VALUE"""),"")</f>
        <v/>
      </c>
      <c r="D1408" s="5" t="str">
        <f>IFERROR(__xludf.DUMMYFUNCTION("""COMPUTED_VALUE"""),"40158")</f>
        <v>40158</v>
      </c>
      <c r="E1408" s="5" t="str">
        <f>IFERROR(__xludf.DUMMYFUNCTION("""COMPUTED_VALUE"""),"Stock")</f>
        <v>Stock</v>
      </c>
      <c r="F1408" s="5" t="str">
        <f>IFERROR(__xludf.DUMMYFUNCTION("""COMPUTED_VALUE"""),"Processing")</f>
        <v>Processing</v>
      </c>
      <c r="G1408" s="30" t="str">
        <f>IFERROR(__xludf.DUMMYFUNCTION("""COMPUTED_VALUE"""),"Email Account/ TraderID Recognized")</f>
        <v>Email Account/ TraderID Recognized</v>
      </c>
      <c r="H1408" s="125" t="str">
        <f>IFERROR(__xludf.DUMMYFUNCTION("""COMPUTED_VALUE"""),"6098.HK")</f>
        <v>6098.HK</v>
      </c>
      <c r="I1408" s="30">
        <f>IFERROR(__xludf.DUMMYFUNCTION("""COMPUTED_VALUE"""),1500.0)</f>
        <v>1500</v>
      </c>
      <c r="J1408" s="30">
        <f>IFERROR(__xludf.DUMMYFUNCTION("""COMPUTED_VALUE"""),39.0)</f>
        <v>39</v>
      </c>
      <c r="K1408" s="30" t="str">
        <f>IFERROR(__xludf.DUMMYFUNCTION("""COMPUTED_VALUE"""),"QTY, Limit Price (if any) &amp; Password input correct")</f>
        <v>QTY, Limit Price (if any) &amp; Password input correct</v>
      </c>
      <c r="L1408" s="30"/>
    </row>
    <row r="1409">
      <c r="A1409" s="5"/>
      <c r="B1409" s="118">
        <f>IFERROR(__xludf.DUMMYFUNCTION("""COMPUTED_VALUE"""),44665.61034021991)</f>
        <v>44665.61034</v>
      </c>
      <c r="C1409" s="120" t="str">
        <f>IFERROR(__xludf.DUMMYFUNCTION("""COMPUTED_VALUE"""),"")</f>
        <v/>
      </c>
      <c r="D1409" s="5" t="str">
        <f>IFERROR(__xludf.DUMMYFUNCTION("""COMPUTED_VALUE"""),"40158")</f>
        <v>40158</v>
      </c>
      <c r="E1409" s="5" t="str">
        <f>IFERROR(__xludf.DUMMYFUNCTION("""COMPUTED_VALUE"""),"Stock")</f>
        <v>Stock</v>
      </c>
      <c r="F1409" s="5" t="str">
        <f>IFERROR(__xludf.DUMMYFUNCTION("""COMPUTED_VALUE"""),"Processing")</f>
        <v>Processing</v>
      </c>
      <c r="G1409" s="30" t="str">
        <f>IFERROR(__xludf.DUMMYFUNCTION("""COMPUTED_VALUE"""),"Email Account/ TraderID Recognized")</f>
        <v>Email Account/ TraderID Recognized</v>
      </c>
      <c r="H1409" s="125" t="str">
        <f>IFERROR(__xludf.DUMMYFUNCTION("""COMPUTED_VALUE"""),"0981.HK")</f>
        <v>0981.HK</v>
      </c>
      <c r="I1409" s="30">
        <f>IFERROR(__xludf.DUMMYFUNCTION("""COMPUTED_VALUE"""),4000.0)</f>
        <v>4000</v>
      </c>
      <c r="J1409" s="30">
        <f>IFERROR(__xludf.DUMMYFUNCTION("""COMPUTED_VALUE"""),17.0)</f>
        <v>17</v>
      </c>
      <c r="K1409" s="30" t="str">
        <f>IFERROR(__xludf.DUMMYFUNCTION("""COMPUTED_VALUE"""),"QTY, Limit Price (if any) &amp; Password input correct")</f>
        <v>QTY, Limit Price (if any) &amp; Password input correct</v>
      </c>
      <c r="L1409" s="30"/>
    </row>
    <row r="1410">
      <c r="A1410" s="5"/>
      <c r="B1410" s="118">
        <f>IFERROR(__xludf.DUMMYFUNCTION("""COMPUTED_VALUE"""),44665.64482537037)</f>
        <v>44665.64483</v>
      </c>
      <c r="C1410" s="120" t="str">
        <f>IFERROR(__xludf.DUMMYFUNCTION("""COMPUTED_VALUE"""),"")</f>
        <v/>
      </c>
      <c r="D1410" s="5" t="str">
        <f>IFERROR(__xludf.DUMMYFUNCTION("""COMPUTED_VALUE"""),"83293")</f>
        <v>83293</v>
      </c>
      <c r="E1410" s="5" t="str">
        <f>IFERROR(__xludf.DUMMYFUNCTION("""COMPUTED_VALUE"""),"Stock")</f>
        <v>Stock</v>
      </c>
      <c r="F1410" s="5" t="str">
        <f>IFERROR(__xludf.DUMMYFUNCTION("""COMPUTED_VALUE"""),"Processing")</f>
        <v>Processing</v>
      </c>
      <c r="G1410" s="30" t="str">
        <f>IFERROR(__xludf.DUMMYFUNCTION("""COMPUTED_VALUE"""),"Email Account/ TraderID Recognized")</f>
        <v>Email Account/ TraderID Recognized</v>
      </c>
      <c r="H1410" s="125" t="str">
        <f>IFERROR(__xludf.DUMMYFUNCTION("""COMPUTED_VALUE"""),"0700.HK")</f>
        <v>0700.HK</v>
      </c>
      <c r="I1410" s="30">
        <f>IFERROR(__xludf.DUMMYFUNCTION("""COMPUTED_VALUE"""),200.0)</f>
        <v>200</v>
      </c>
      <c r="J1410" s="30"/>
      <c r="K1410" s="30" t="str">
        <f>IFERROR(__xludf.DUMMYFUNCTION("""COMPUTED_VALUE"""),"QTY, Limit Price (if any) &amp; Password input correct")</f>
        <v>QTY, Limit Price (if any) &amp; Password input correct</v>
      </c>
      <c r="L1410" s="30"/>
    </row>
    <row r="1411">
      <c r="A1411" s="5"/>
      <c r="B1411" s="118">
        <f>IFERROR(__xludf.DUMMYFUNCTION("""COMPUTED_VALUE"""),44665.646349930554)</f>
        <v>44665.64635</v>
      </c>
      <c r="C1411" s="120" t="str">
        <f>IFERROR(__xludf.DUMMYFUNCTION("""COMPUTED_VALUE"""),"")</f>
        <v/>
      </c>
      <c r="D1411" s="5" t="str">
        <f>IFERROR(__xludf.DUMMYFUNCTION("""COMPUTED_VALUE"""),"35792")</f>
        <v>35792</v>
      </c>
      <c r="E1411" s="5" t="str">
        <f>IFERROR(__xludf.DUMMYFUNCTION("""COMPUTED_VALUE"""),"Stock")</f>
        <v>Stock</v>
      </c>
      <c r="F1411" s="5" t="str">
        <f>IFERROR(__xludf.DUMMYFUNCTION("""COMPUTED_VALUE"""),"Processing")</f>
        <v>Processing</v>
      </c>
      <c r="G1411" s="30" t="str">
        <f>IFERROR(__xludf.DUMMYFUNCTION("""COMPUTED_VALUE"""),"Email Account/ TraderID Recognized")</f>
        <v>Email Account/ TraderID Recognized</v>
      </c>
      <c r="H1411" s="112">
        <f>IFERROR(__xludf.DUMMYFUNCTION("""COMPUTED_VALUE"""),600519.0)</f>
        <v>600519</v>
      </c>
      <c r="I1411" s="30">
        <f>IFERROR(__xludf.DUMMYFUNCTION("""COMPUTED_VALUE"""),20.0)</f>
        <v>20</v>
      </c>
      <c r="J1411" s="30"/>
      <c r="K1411" s="30" t="str">
        <f>IFERROR(__xludf.DUMMYFUNCTION("""COMPUTED_VALUE"""),"QTY, Limit Price (if any) &amp; Password input correct")</f>
        <v>QTY, Limit Price (if any) &amp; Password input correct</v>
      </c>
      <c r="L1411" s="30"/>
    </row>
    <row r="1412">
      <c r="A1412" s="5"/>
      <c r="B1412" s="118">
        <f>IFERROR(__xludf.DUMMYFUNCTION("""COMPUTED_VALUE"""),44665.65312652777)</f>
        <v>44665.65313</v>
      </c>
      <c r="C1412" s="120" t="str">
        <f>IFERROR(__xludf.DUMMYFUNCTION("""COMPUTED_VALUE"""),"")</f>
        <v/>
      </c>
      <c r="D1412" s="5" t="str">
        <f>IFERROR(__xludf.DUMMYFUNCTION("""COMPUTED_VALUE"""),"35792")</f>
        <v>35792</v>
      </c>
      <c r="E1412" s="5" t="str">
        <f>IFERROR(__xludf.DUMMYFUNCTION("""COMPUTED_VALUE"""),"Stock")</f>
        <v>Stock</v>
      </c>
      <c r="F1412" s="5" t="str">
        <f>IFERROR(__xludf.DUMMYFUNCTION("""COMPUTED_VALUE"""),"Processing")</f>
        <v>Processing</v>
      </c>
      <c r="G1412" s="30" t="str">
        <f>IFERROR(__xludf.DUMMYFUNCTION("""COMPUTED_VALUE"""),"Email Account/ TraderID Recognized")</f>
        <v>Email Account/ TraderID Recognized</v>
      </c>
      <c r="H1412" s="112">
        <f>IFERROR(__xludf.DUMMYFUNCTION("""COMPUTED_VALUE"""),600036.0)</f>
        <v>600036</v>
      </c>
      <c r="I1412" s="30">
        <f>IFERROR(__xludf.DUMMYFUNCTION("""COMPUTED_VALUE"""),430.0)</f>
        <v>430</v>
      </c>
      <c r="J1412" s="30">
        <f>IFERROR(__xludf.DUMMYFUNCTION("""COMPUTED_VALUE"""),48.0)</f>
        <v>48</v>
      </c>
      <c r="K1412" s="30" t="str">
        <f>IFERROR(__xludf.DUMMYFUNCTION("""COMPUTED_VALUE"""),"QTY, Limit Price (if any) &amp; Password input correct")</f>
        <v>QTY, Limit Price (if any) &amp; Password input correct</v>
      </c>
      <c r="L1412" s="30"/>
    </row>
    <row r="1413">
      <c r="A1413" s="5"/>
      <c r="B1413" s="118">
        <f>IFERROR(__xludf.DUMMYFUNCTION("""COMPUTED_VALUE"""),44665.65341599537)</f>
        <v>44665.65342</v>
      </c>
      <c r="C1413" s="120" t="str">
        <f>IFERROR(__xludf.DUMMYFUNCTION("""COMPUTED_VALUE"""),"")</f>
        <v/>
      </c>
      <c r="D1413" s="5" t="str">
        <f>IFERROR(__xludf.DUMMYFUNCTION("""COMPUTED_VALUE"""),"75005")</f>
        <v>75005</v>
      </c>
      <c r="E1413" s="5" t="str">
        <f>IFERROR(__xludf.DUMMYFUNCTION("""COMPUTED_VALUE"""),"Stock")</f>
        <v>Stock</v>
      </c>
      <c r="F1413" s="5" t="str">
        <f>IFERROR(__xludf.DUMMYFUNCTION("""COMPUTED_VALUE"""),"Processing")</f>
        <v>Processing</v>
      </c>
      <c r="G1413" s="30" t="str">
        <f>IFERROR(__xludf.DUMMYFUNCTION("""COMPUTED_VALUE"""),"Email Account/ TraderID Recognized")</f>
        <v>Email Account/ TraderID Recognized</v>
      </c>
      <c r="H1413" s="112" t="str">
        <f>IFERROR(__xludf.DUMMYFUNCTION("""COMPUTED_VALUE"""),"TSLA")</f>
        <v>TSLA</v>
      </c>
      <c r="I1413" s="30">
        <f>IFERROR(__xludf.DUMMYFUNCTION("""COMPUTED_VALUE"""),100.0)</f>
        <v>100</v>
      </c>
      <c r="J1413" s="30">
        <f>IFERROR(__xludf.DUMMYFUNCTION("""COMPUTED_VALUE"""),1200.0)</f>
        <v>1200</v>
      </c>
      <c r="K1413" s="30" t="str">
        <f>IFERROR(__xludf.DUMMYFUNCTION("""COMPUTED_VALUE"""),"QTY, Limit Price (if any) &amp; Password input correct")</f>
        <v>QTY, Limit Price (if any) &amp; Password input correct</v>
      </c>
      <c r="L1413" s="30"/>
    </row>
    <row r="1414">
      <c r="A1414" s="5"/>
      <c r="B1414" s="118">
        <f>IFERROR(__xludf.DUMMYFUNCTION("""COMPUTED_VALUE"""),44665.65442048611)</f>
        <v>44665.65442</v>
      </c>
      <c r="C1414" s="120" t="str">
        <f>IFERROR(__xludf.DUMMYFUNCTION("""COMPUTED_VALUE"""),"")</f>
        <v/>
      </c>
      <c r="D1414" s="5" t="str">
        <f>IFERROR(__xludf.DUMMYFUNCTION("""COMPUTED_VALUE"""),"35792")</f>
        <v>35792</v>
      </c>
      <c r="E1414" s="5" t="str">
        <f>IFERROR(__xludf.DUMMYFUNCTION("""COMPUTED_VALUE"""),"Stock")</f>
        <v>Stock</v>
      </c>
      <c r="F1414" s="5" t="str">
        <f>IFERROR(__xludf.DUMMYFUNCTION("""COMPUTED_VALUE"""),"Processing")</f>
        <v>Processing</v>
      </c>
      <c r="G1414" s="30" t="str">
        <f>IFERROR(__xludf.DUMMYFUNCTION("""COMPUTED_VALUE"""),"Email Account/ TraderID Recognized")</f>
        <v>Email Account/ TraderID Recognized</v>
      </c>
      <c r="H1414" s="112">
        <f>IFERROR(__xludf.DUMMYFUNCTION("""COMPUTED_VALUE"""),603259.0)</f>
        <v>603259</v>
      </c>
      <c r="I1414" s="30">
        <f>IFERROR(__xludf.DUMMYFUNCTION("""COMPUTED_VALUE"""),700.0)</f>
        <v>700</v>
      </c>
      <c r="J1414" s="30"/>
      <c r="K1414" s="30" t="str">
        <f>IFERROR(__xludf.DUMMYFUNCTION("""COMPUTED_VALUE"""),"QTY, Limit Price (if any) &amp; Password input correct")</f>
        <v>QTY, Limit Price (if any) &amp; Password input correct</v>
      </c>
      <c r="L1414" s="30"/>
    </row>
    <row r="1415">
      <c r="A1415" s="5"/>
      <c r="B1415" s="118">
        <f>IFERROR(__xludf.DUMMYFUNCTION("""COMPUTED_VALUE"""),44665.67136310185)</f>
        <v>44665.67136</v>
      </c>
      <c r="C1415" s="120" t="str">
        <f>IFERROR(__xludf.DUMMYFUNCTION("""COMPUTED_VALUE"""),"")</f>
        <v/>
      </c>
      <c r="D1415" s="5" t="str">
        <f>IFERROR(__xludf.DUMMYFUNCTION("""COMPUTED_VALUE"""),"35792")</f>
        <v>35792</v>
      </c>
      <c r="E1415" s="5" t="str">
        <f>IFERROR(__xludf.DUMMYFUNCTION("""COMPUTED_VALUE"""),"Bond")</f>
        <v>Bond</v>
      </c>
      <c r="F1415" s="5" t="str">
        <f>IFERROR(__xludf.DUMMYFUNCTION("""COMPUTED_VALUE"""),"Processing")</f>
        <v>Processing</v>
      </c>
      <c r="G1415" s="30" t="str">
        <f>IFERROR(__xludf.DUMMYFUNCTION("""COMPUTED_VALUE"""),"Email Account/ TraderID Recognized")</f>
        <v>Email Account/ TraderID Recognized</v>
      </c>
      <c r="H1415" s="112">
        <f>IFERROR(__xludf.DUMMYFUNCTION("""COMPUTED_VALUE"""),501005.0)</f>
        <v>501005</v>
      </c>
      <c r="I1415" s="30">
        <f>IFERROR(__xludf.DUMMYFUNCTION("""COMPUTED_VALUE"""),200000.0)</f>
        <v>200000</v>
      </c>
      <c r="J1415" s="30"/>
      <c r="K1415" s="30" t="str">
        <f>IFERROR(__xludf.DUMMYFUNCTION("""COMPUTED_VALUE"""),"QTY, Limit Price (if any) &amp; Password input correct")</f>
        <v>QTY, Limit Price (if any) &amp; Password input correct</v>
      </c>
      <c r="L1415" s="30"/>
    </row>
    <row r="1416">
      <c r="A1416" s="5"/>
      <c r="B1416" s="118">
        <f>IFERROR(__xludf.DUMMYFUNCTION("""COMPUTED_VALUE"""),44665.69382223379)</f>
        <v>44665.69382</v>
      </c>
      <c r="C1416" s="120" t="str">
        <f>IFERROR(__xludf.DUMMYFUNCTION("""COMPUTED_VALUE"""),"")</f>
        <v/>
      </c>
      <c r="D1416" s="5" t="str">
        <f>IFERROR(__xludf.DUMMYFUNCTION("""COMPUTED_VALUE"""),"75005")</f>
        <v>75005</v>
      </c>
      <c r="E1416" s="5" t="str">
        <f>IFERROR(__xludf.DUMMYFUNCTION("""COMPUTED_VALUE"""),"Stock")</f>
        <v>Stock</v>
      </c>
      <c r="F1416" s="5" t="str">
        <f>IFERROR(__xludf.DUMMYFUNCTION("""COMPUTED_VALUE"""),"Processing")</f>
        <v>Processing</v>
      </c>
      <c r="G1416" s="30" t="str">
        <f>IFERROR(__xludf.DUMMYFUNCTION("""COMPUTED_VALUE"""),"Email Account/ TraderID Recognized")</f>
        <v>Email Account/ TraderID Recognized</v>
      </c>
      <c r="H1416" s="112" t="str">
        <f>IFERROR(__xludf.DUMMYFUNCTION("""COMPUTED_VALUE"""),"AAPL")</f>
        <v>AAPL</v>
      </c>
      <c r="I1416" s="30">
        <f>IFERROR(__xludf.DUMMYFUNCTION("""COMPUTED_VALUE"""),200.0)</f>
        <v>200</v>
      </c>
      <c r="J1416" s="30">
        <f>IFERROR(__xludf.DUMMYFUNCTION("""COMPUTED_VALUE"""),165.0)</f>
        <v>165</v>
      </c>
      <c r="K1416" s="30" t="str">
        <f>IFERROR(__xludf.DUMMYFUNCTION("""COMPUTED_VALUE"""),"QTY, Limit Price (if any) &amp; Password input correct")</f>
        <v>QTY, Limit Price (if any) &amp; Password input correct</v>
      </c>
      <c r="L1416" s="30"/>
    </row>
    <row r="1417">
      <c r="A1417" s="5"/>
      <c r="B1417" s="118">
        <f>IFERROR(__xludf.DUMMYFUNCTION("""COMPUTED_VALUE"""),44665.69591388889)</f>
        <v>44665.69591</v>
      </c>
      <c r="C1417" s="120" t="str">
        <f>IFERROR(__xludf.DUMMYFUNCTION("""COMPUTED_VALUE"""),"")</f>
        <v/>
      </c>
      <c r="D1417" s="5" t="str">
        <f>IFERROR(__xludf.DUMMYFUNCTION("""COMPUTED_VALUE"""),"75005")</f>
        <v>75005</v>
      </c>
      <c r="E1417" s="5" t="str">
        <f>IFERROR(__xludf.DUMMYFUNCTION("""COMPUTED_VALUE"""),"Stock")</f>
        <v>Stock</v>
      </c>
      <c r="F1417" s="5" t="str">
        <f>IFERROR(__xludf.DUMMYFUNCTION("""COMPUTED_VALUE"""),"Processing")</f>
        <v>Processing</v>
      </c>
      <c r="G1417" s="30" t="str">
        <f>IFERROR(__xludf.DUMMYFUNCTION("""COMPUTED_VALUE"""),"Email Account/ TraderID Recognized")</f>
        <v>Email Account/ TraderID Recognized</v>
      </c>
      <c r="H1417" s="112" t="str">
        <f>IFERROR(__xludf.DUMMYFUNCTION("""COMPUTED_VALUE"""),"DIS")</f>
        <v>DIS</v>
      </c>
      <c r="I1417" s="30">
        <f>IFERROR(__xludf.DUMMYFUNCTION("""COMPUTED_VALUE"""),100.0)</f>
        <v>100</v>
      </c>
      <c r="J1417" s="30">
        <f>IFERROR(__xludf.DUMMYFUNCTION("""COMPUTED_VALUE"""),125.0)</f>
        <v>125</v>
      </c>
      <c r="K1417" s="30" t="str">
        <f>IFERROR(__xludf.DUMMYFUNCTION("""COMPUTED_VALUE"""),"QTY, Limit Price (if any) &amp; Password input correct")</f>
        <v>QTY, Limit Price (if any) &amp; Password input correct</v>
      </c>
      <c r="L1417" s="30"/>
    </row>
    <row r="1418">
      <c r="A1418" s="5"/>
      <c r="B1418" s="118">
        <f>IFERROR(__xludf.DUMMYFUNCTION("""COMPUTED_VALUE"""),44665.79269469908)</f>
        <v>44665.79269</v>
      </c>
      <c r="C1418" s="120" t="str">
        <f>IFERROR(__xludf.DUMMYFUNCTION("""COMPUTED_VALUE"""),"")</f>
        <v/>
      </c>
      <c r="D1418" s="5" t="str">
        <f>IFERROR(__xludf.DUMMYFUNCTION("""COMPUTED_VALUE"""),"83314")</f>
        <v>83314</v>
      </c>
      <c r="E1418" s="5" t="str">
        <f>IFERROR(__xludf.DUMMYFUNCTION("""COMPUTED_VALUE"""),"Stock")</f>
        <v>Stock</v>
      </c>
      <c r="F1418" s="5" t="str">
        <f>IFERROR(__xludf.DUMMYFUNCTION("""COMPUTED_VALUE"""),"Processing")</f>
        <v>Processing</v>
      </c>
      <c r="G1418" s="30" t="str">
        <f>IFERROR(__xludf.DUMMYFUNCTION("""COMPUTED_VALUE"""),"Email Account/ TraderID Recognized")</f>
        <v>Email Account/ TraderID Recognized</v>
      </c>
      <c r="H1418" s="125" t="str">
        <f>IFERROR(__xludf.DUMMYFUNCTION("""COMPUTED_VALUE"""),"600519.SS")</f>
        <v>600519.SS</v>
      </c>
      <c r="I1418" s="30">
        <f>IFERROR(__xludf.DUMMYFUNCTION("""COMPUTED_VALUE"""),5.0)</f>
        <v>5</v>
      </c>
      <c r="J1418" s="30"/>
      <c r="K1418" s="30" t="str">
        <f>IFERROR(__xludf.DUMMYFUNCTION("""COMPUTED_VALUE"""),"QTY, Limit Price (if any) &amp; Password input correct")</f>
        <v>QTY, Limit Price (if any) &amp; Password input correct</v>
      </c>
      <c r="L1418" s="30"/>
    </row>
    <row r="1419">
      <c r="A1419" s="5"/>
      <c r="B1419" s="118">
        <f>IFERROR(__xludf.DUMMYFUNCTION("""COMPUTED_VALUE"""),44665.90980158564)</f>
        <v>44665.9098</v>
      </c>
      <c r="C1419" s="120" t="str">
        <f>IFERROR(__xludf.DUMMYFUNCTION("""COMPUTED_VALUE"""),"")</f>
        <v/>
      </c>
      <c r="D1419" s="5" t="str">
        <f>IFERROR(__xludf.DUMMYFUNCTION("""COMPUTED_VALUE"""),"89750")</f>
        <v>89750</v>
      </c>
      <c r="E1419" s="5" t="str">
        <f>IFERROR(__xludf.DUMMYFUNCTION("""COMPUTED_VALUE"""),"Stock")</f>
        <v>Stock</v>
      </c>
      <c r="F1419" s="5" t="str">
        <f>IFERROR(__xludf.DUMMYFUNCTION("""COMPUTED_VALUE"""),"Processing")</f>
        <v>Processing</v>
      </c>
      <c r="G1419" s="30" t="str">
        <f>IFERROR(__xludf.DUMMYFUNCTION("""COMPUTED_VALUE"""),"Email Account/ TraderID Recognized")</f>
        <v>Email Account/ TraderID Recognized</v>
      </c>
      <c r="H1419" s="112" t="str">
        <f>IFERROR(__xludf.DUMMYFUNCTION("""COMPUTED_VALUE"""),"AAVE-USD")</f>
        <v>AAVE-USD</v>
      </c>
      <c r="I1419" s="30">
        <f>IFERROR(__xludf.DUMMYFUNCTION("""COMPUTED_VALUE"""),200.0)</f>
        <v>200</v>
      </c>
      <c r="J1419" s="30"/>
      <c r="K1419" s="30" t="str">
        <f>IFERROR(__xludf.DUMMYFUNCTION("""COMPUTED_VALUE"""),"QTY, Limit Price (if any) &amp; Password input correct")</f>
        <v>QTY, Limit Price (if any) &amp; Password input correct</v>
      </c>
      <c r="L1419" s="30"/>
    </row>
    <row r="1420">
      <c r="A1420" s="5"/>
      <c r="B1420" s="118"/>
      <c r="C1420" s="120"/>
      <c r="D1420" s="5"/>
      <c r="E1420" s="5"/>
      <c r="F1420" s="5"/>
      <c r="G1420" s="30"/>
      <c r="H1420" s="112"/>
      <c r="I1420" s="30"/>
      <c r="J1420" s="30"/>
      <c r="K1420" s="30"/>
      <c r="L1420" s="30"/>
    </row>
    <row r="1421">
      <c r="A1421" s="5"/>
      <c r="B1421" s="118"/>
      <c r="C1421" s="120"/>
      <c r="D1421" s="5"/>
      <c r="E1421" s="5"/>
      <c r="F1421" s="5"/>
      <c r="G1421" s="30"/>
      <c r="H1421" s="112"/>
      <c r="I1421" s="30"/>
      <c r="J1421" s="30"/>
      <c r="K1421" s="30"/>
      <c r="L1421" s="30"/>
    </row>
    <row r="1422">
      <c r="A1422" s="5"/>
      <c r="B1422" s="118"/>
      <c r="C1422" s="120"/>
      <c r="D1422" s="5"/>
      <c r="E1422" s="5"/>
      <c r="F1422" s="5"/>
      <c r="G1422" s="30"/>
      <c r="H1422" s="112"/>
      <c r="I1422" s="30"/>
      <c r="J1422" s="30"/>
      <c r="K1422" s="30"/>
      <c r="L1422" s="30"/>
    </row>
    <row r="1423">
      <c r="B1423" s="118"/>
      <c r="C1423" s="120"/>
      <c r="G1423" s="30"/>
      <c r="H1423" s="112"/>
      <c r="I1423" s="30"/>
      <c r="J1423" s="30"/>
      <c r="K1423" s="30"/>
      <c r="L1423" s="30"/>
    </row>
    <row r="1424">
      <c r="B1424" s="118"/>
      <c r="C1424" s="120"/>
      <c r="G1424" s="30"/>
      <c r="H1424" s="112"/>
      <c r="I1424" s="30"/>
      <c r="J1424" s="30"/>
      <c r="K1424" s="30"/>
      <c r="L1424" s="30"/>
    </row>
    <row r="1425">
      <c r="B1425" s="118"/>
      <c r="C1425" s="120"/>
      <c r="G1425" s="30"/>
      <c r="H1425" s="112"/>
      <c r="I1425" s="30"/>
      <c r="J1425" s="30"/>
      <c r="K1425" s="30"/>
      <c r="L1425" s="30"/>
    </row>
    <row r="1426">
      <c r="B1426" s="118"/>
      <c r="C1426" s="120"/>
      <c r="G1426" s="30"/>
      <c r="H1426" s="112"/>
      <c r="I1426" s="30"/>
      <c r="J1426" s="30"/>
      <c r="K1426" s="30"/>
      <c r="L1426" s="30"/>
    </row>
    <row r="1427">
      <c r="B1427" s="118"/>
      <c r="C1427" s="120"/>
      <c r="G1427" s="30"/>
      <c r="H1427" s="112"/>
      <c r="I1427" s="30"/>
      <c r="J1427" s="30"/>
      <c r="K1427" s="30"/>
      <c r="L1427" s="30"/>
    </row>
    <row r="1428">
      <c r="B1428" s="118"/>
      <c r="C1428" s="120"/>
      <c r="G1428" s="30"/>
      <c r="H1428" s="112"/>
      <c r="I1428" s="30"/>
      <c r="J1428" s="30"/>
      <c r="K1428" s="30"/>
      <c r="L1428" s="30"/>
    </row>
    <row r="1429">
      <c r="B1429" s="118"/>
      <c r="C1429" s="120"/>
      <c r="G1429" s="30"/>
      <c r="H1429" s="112"/>
      <c r="I1429" s="30"/>
      <c r="J1429" s="30"/>
      <c r="K1429" s="30"/>
      <c r="L1429" s="30"/>
    </row>
    <row r="1430">
      <c r="B1430" s="118"/>
      <c r="C1430" s="120"/>
      <c r="G1430" s="30"/>
      <c r="H1430" s="112"/>
      <c r="I1430" s="30"/>
      <c r="J1430" s="30"/>
      <c r="K1430" s="30"/>
      <c r="L1430" s="30"/>
    </row>
    <row r="1431">
      <c r="B1431" s="118"/>
      <c r="C1431" s="120"/>
      <c r="G1431" s="30"/>
      <c r="H1431" s="112"/>
      <c r="I1431" s="30"/>
      <c r="J1431" s="30"/>
      <c r="K1431" s="30"/>
      <c r="L1431" s="30"/>
    </row>
    <row r="1432">
      <c r="B1432" s="118"/>
      <c r="C1432" s="120"/>
      <c r="G1432" s="30"/>
      <c r="H1432" s="112"/>
      <c r="I1432" s="30"/>
      <c r="J1432" s="30"/>
      <c r="K1432" s="30"/>
      <c r="L1432" s="30"/>
    </row>
    <row r="1433">
      <c r="B1433" s="118"/>
      <c r="C1433" s="120"/>
      <c r="G1433" s="30"/>
      <c r="H1433" s="112"/>
      <c r="I1433" s="30"/>
      <c r="J1433" s="30"/>
      <c r="K1433" s="30"/>
      <c r="L1433" s="30"/>
    </row>
    <row r="1434">
      <c r="B1434" s="118"/>
      <c r="C1434" s="120"/>
      <c r="G1434" s="30"/>
      <c r="H1434" s="112"/>
      <c r="I1434" s="30"/>
      <c r="J1434" s="30"/>
      <c r="K1434" s="30"/>
      <c r="L1434" s="30"/>
    </row>
    <row r="1435">
      <c r="B1435" s="118"/>
      <c r="C1435" s="120"/>
      <c r="G1435" s="30"/>
      <c r="H1435" s="112"/>
      <c r="I1435" s="30"/>
      <c r="J1435" s="30"/>
      <c r="K1435" s="30"/>
      <c r="L1435" s="30"/>
    </row>
    <row r="1436">
      <c r="B1436" s="118"/>
      <c r="C1436" s="120"/>
      <c r="G1436" s="30"/>
      <c r="H1436" s="112"/>
      <c r="I1436" s="30"/>
      <c r="J1436" s="30"/>
      <c r="K1436" s="30"/>
      <c r="L1436" s="30"/>
    </row>
    <row r="1437">
      <c r="B1437" s="118"/>
      <c r="C1437" s="120"/>
      <c r="G1437" s="30"/>
      <c r="H1437" s="112"/>
      <c r="I1437" s="30"/>
      <c r="J1437" s="30"/>
      <c r="K1437" s="30"/>
      <c r="L1437" s="30"/>
    </row>
    <row r="1438">
      <c r="B1438" s="118"/>
      <c r="C1438" s="120"/>
      <c r="G1438" s="30"/>
      <c r="H1438" s="112"/>
      <c r="I1438" s="30"/>
      <c r="J1438" s="30"/>
      <c r="K1438" s="30"/>
      <c r="L1438" s="30"/>
    </row>
    <row r="1439">
      <c r="B1439" s="118"/>
      <c r="C1439" s="120"/>
      <c r="G1439" s="30"/>
      <c r="H1439" s="112"/>
      <c r="I1439" s="30"/>
      <c r="J1439" s="30"/>
      <c r="K1439" s="30"/>
      <c r="L1439" s="30"/>
    </row>
    <row r="1440">
      <c r="B1440" s="118"/>
      <c r="C1440" s="120"/>
      <c r="G1440" s="30"/>
      <c r="H1440" s="112"/>
      <c r="I1440" s="30"/>
      <c r="J1440" s="30"/>
      <c r="K1440" s="30"/>
      <c r="L1440" s="30"/>
    </row>
    <row r="1441">
      <c r="B1441" s="118"/>
      <c r="C1441" s="120"/>
      <c r="G1441" s="30"/>
      <c r="H1441" s="112"/>
      <c r="I1441" s="30"/>
      <c r="J1441" s="30"/>
      <c r="K1441" s="30"/>
      <c r="L1441" s="30"/>
    </row>
    <row r="1442">
      <c r="B1442" s="118"/>
      <c r="C1442" s="120"/>
      <c r="G1442" s="30"/>
      <c r="H1442" s="112"/>
      <c r="I1442" s="30"/>
      <c r="J1442" s="30"/>
      <c r="K1442" s="30"/>
      <c r="L1442" s="30"/>
    </row>
    <row r="1443">
      <c r="B1443" s="118"/>
      <c r="C1443" s="120"/>
      <c r="G1443" s="30"/>
      <c r="H1443" s="112"/>
      <c r="I1443" s="30"/>
      <c r="J1443" s="30"/>
      <c r="K1443" s="30"/>
      <c r="L1443" s="30"/>
    </row>
    <row r="1444">
      <c r="B1444" s="118"/>
      <c r="C1444" s="120"/>
      <c r="G1444" s="30"/>
      <c r="H1444" s="112"/>
      <c r="I1444" s="30"/>
      <c r="J1444" s="30"/>
      <c r="K1444" s="30"/>
      <c r="L1444" s="30"/>
    </row>
    <row r="1445">
      <c r="B1445" s="118"/>
      <c r="C1445" s="120"/>
      <c r="G1445" s="30"/>
      <c r="H1445" s="112"/>
      <c r="I1445" s="30"/>
      <c r="J1445" s="30"/>
      <c r="K1445" s="30"/>
      <c r="L1445" s="30"/>
    </row>
    <row r="1446">
      <c r="B1446" s="118"/>
      <c r="C1446" s="120"/>
      <c r="G1446" s="30"/>
      <c r="H1446" s="112"/>
      <c r="I1446" s="30"/>
      <c r="J1446" s="30"/>
      <c r="K1446" s="30"/>
      <c r="L1446" s="30"/>
    </row>
    <row r="1447">
      <c r="B1447" s="118"/>
      <c r="C1447" s="120"/>
      <c r="G1447" s="30"/>
      <c r="H1447" s="112"/>
      <c r="I1447" s="30"/>
      <c r="J1447" s="30"/>
      <c r="K1447" s="30"/>
      <c r="L1447" s="30"/>
    </row>
    <row r="1448">
      <c r="B1448" s="118"/>
      <c r="C1448" s="120"/>
      <c r="G1448" s="30"/>
      <c r="H1448" s="112"/>
      <c r="I1448" s="30"/>
      <c r="J1448" s="30"/>
      <c r="K1448" s="30"/>
      <c r="L1448" s="30"/>
    </row>
    <row r="1449">
      <c r="B1449" s="118"/>
      <c r="C1449" s="120"/>
      <c r="G1449" s="30"/>
      <c r="H1449" s="112"/>
      <c r="I1449" s="30"/>
      <c r="J1449" s="30"/>
      <c r="K1449" s="30"/>
      <c r="L1449" s="30"/>
    </row>
    <row r="1450">
      <c r="B1450" s="118"/>
      <c r="C1450" s="120"/>
      <c r="G1450" s="30"/>
      <c r="H1450" s="112"/>
      <c r="I1450" s="30"/>
      <c r="J1450" s="30"/>
      <c r="K1450" s="30"/>
      <c r="L1450" s="30"/>
    </row>
    <row r="1451">
      <c r="B1451" s="118"/>
      <c r="C1451" s="120"/>
      <c r="G1451" s="30"/>
      <c r="H1451" s="112"/>
      <c r="I1451" s="30"/>
      <c r="J1451" s="30"/>
      <c r="K1451" s="30"/>
      <c r="L1451" s="30"/>
    </row>
    <row r="1452">
      <c r="B1452" s="118"/>
      <c r="C1452" s="120"/>
      <c r="G1452" s="30"/>
      <c r="H1452" s="112"/>
      <c r="I1452" s="30"/>
      <c r="J1452" s="30"/>
      <c r="K1452" s="30"/>
      <c r="L1452" s="30"/>
    </row>
    <row r="1453">
      <c r="B1453" s="118"/>
      <c r="C1453" s="120"/>
      <c r="G1453" s="30"/>
      <c r="H1453" s="112"/>
      <c r="I1453" s="30"/>
      <c r="J1453" s="30"/>
      <c r="K1453" s="30"/>
      <c r="L1453" s="30"/>
    </row>
    <row r="1454">
      <c r="B1454" s="118"/>
      <c r="C1454" s="120"/>
      <c r="G1454" s="30"/>
      <c r="H1454" s="112"/>
      <c r="I1454" s="30"/>
      <c r="J1454" s="30"/>
      <c r="K1454" s="30"/>
      <c r="L1454" s="30"/>
    </row>
    <row r="1455">
      <c r="B1455" s="118"/>
      <c r="C1455" s="120"/>
      <c r="G1455" s="30"/>
      <c r="H1455" s="112"/>
      <c r="I1455" s="30"/>
      <c r="J1455" s="30"/>
      <c r="K1455" s="30"/>
      <c r="L1455" s="30"/>
    </row>
    <row r="1456">
      <c r="B1456" s="118"/>
      <c r="C1456" s="120"/>
      <c r="G1456" s="30"/>
      <c r="H1456" s="112"/>
      <c r="I1456" s="30"/>
      <c r="J1456" s="30"/>
      <c r="K1456" s="30"/>
      <c r="L1456" s="30"/>
    </row>
    <row r="1457">
      <c r="B1457" s="118"/>
      <c r="C1457" s="120"/>
      <c r="G1457" s="30"/>
      <c r="H1457" s="112"/>
      <c r="I1457" s="30"/>
      <c r="J1457" s="30"/>
      <c r="K1457" s="30"/>
      <c r="L1457" s="30"/>
    </row>
    <row r="1458">
      <c r="B1458" s="118"/>
      <c r="C1458" s="120"/>
      <c r="G1458" s="30"/>
      <c r="H1458" s="112"/>
      <c r="I1458" s="30"/>
      <c r="J1458" s="30"/>
      <c r="K1458" s="30"/>
      <c r="L1458" s="30"/>
    </row>
    <row r="1459">
      <c r="B1459" s="118"/>
      <c r="C1459" s="120"/>
      <c r="G1459" s="30"/>
      <c r="H1459" s="112"/>
      <c r="I1459" s="30"/>
      <c r="J1459" s="30"/>
      <c r="K1459" s="30"/>
      <c r="L1459" s="30"/>
    </row>
    <row r="1460">
      <c r="B1460" s="118"/>
      <c r="C1460" s="120"/>
      <c r="G1460" s="30"/>
      <c r="H1460" s="112"/>
      <c r="I1460" s="30"/>
      <c r="J1460" s="30"/>
      <c r="K1460" s="30"/>
      <c r="L1460" s="30"/>
    </row>
    <row r="1461">
      <c r="B1461" s="118"/>
      <c r="C1461" s="120"/>
      <c r="G1461" s="30"/>
      <c r="H1461" s="112"/>
      <c r="I1461" s="30"/>
      <c r="J1461" s="30"/>
      <c r="K1461" s="30"/>
      <c r="L1461" s="30"/>
    </row>
    <row r="1462">
      <c r="B1462" s="118"/>
      <c r="C1462" s="120"/>
      <c r="G1462" s="30"/>
      <c r="H1462" s="112"/>
      <c r="I1462" s="30"/>
      <c r="J1462" s="30"/>
      <c r="K1462" s="30"/>
      <c r="L1462" s="30"/>
    </row>
    <row r="1463">
      <c r="B1463" s="118"/>
      <c r="C1463" s="120"/>
      <c r="G1463" s="30"/>
      <c r="H1463" s="112"/>
      <c r="I1463" s="30"/>
      <c r="J1463" s="30"/>
      <c r="K1463" s="30"/>
      <c r="L1463" s="30"/>
    </row>
    <row r="1464">
      <c r="B1464" s="118"/>
      <c r="C1464" s="120"/>
      <c r="G1464" s="30"/>
      <c r="H1464" s="112"/>
      <c r="I1464" s="30"/>
      <c r="J1464" s="30"/>
      <c r="K1464" s="30"/>
      <c r="L1464" s="30"/>
    </row>
    <row r="1465">
      <c r="B1465" s="118"/>
      <c r="C1465" s="120"/>
      <c r="G1465" s="30"/>
      <c r="H1465" s="112"/>
      <c r="I1465" s="30"/>
      <c r="J1465" s="30"/>
      <c r="K1465" s="30"/>
      <c r="L1465" s="30"/>
    </row>
    <row r="1466">
      <c r="B1466" s="118"/>
      <c r="C1466" s="120"/>
      <c r="G1466" s="30"/>
      <c r="H1466" s="112"/>
      <c r="I1466" s="30"/>
      <c r="J1466" s="30"/>
      <c r="K1466" s="30"/>
      <c r="L1466" s="30"/>
    </row>
    <row r="1467">
      <c r="B1467" s="118"/>
      <c r="C1467" s="120"/>
      <c r="G1467" s="30"/>
      <c r="H1467" s="112"/>
      <c r="I1467" s="30"/>
      <c r="J1467" s="30"/>
      <c r="K1467" s="30"/>
      <c r="L1467" s="30"/>
    </row>
    <row r="1468">
      <c r="B1468" s="118"/>
      <c r="C1468" s="120"/>
      <c r="G1468" s="30"/>
      <c r="H1468" s="112"/>
      <c r="I1468" s="30"/>
      <c r="J1468" s="30"/>
      <c r="K1468" s="30"/>
      <c r="L1468" s="30"/>
    </row>
    <row r="1469">
      <c r="B1469" s="118"/>
      <c r="C1469" s="120"/>
      <c r="G1469" s="30"/>
      <c r="H1469" s="112"/>
      <c r="I1469" s="30"/>
      <c r="J1469" s="30"/>
      <c r="K1469" s="30"/>
      <c r="L1469" s="30"/>
    </row>
    <row r="1470">
      <c r="B1470" s="118"/>
      <c r="C1470" s="120"/>
      <c r="G1470" s="30"/>
      <c r="H1470" s="112"/>
      <c r="I1470" s="30"/>
      <c r="J1470" s="30"/>
      <c r="K1470" s="30"/>
      <c r="L1470" s="30"/>
    </row>
    <row r="1471">
      <c r="B1471" s="118"/>
      <c r="C1471" s="120"/>
      <c r="G1471" s="30"/>
      <c r="H1471" s="112"/>
      <c r="I1471" s="30"/>
      <c r="J1471" s="30"/>
      <c r="K1471" s="30"/>
      <c r="L1471" s="30"/>
    </row>
    <row r="1472">
      <c r="B1472" s="118"/>
      <c r="C1472" s="120"/>
      <c r="G1472" s="30"/>
      <c r="H1472" s="112"/>
      <c r="I1472" s="30"/>
      <c r="J1472" s="30"/>
      <c r="K1472" s="30"/>
      <c r="L1472" s="30"/>
    </row>
    <row r="1473">
      <c r="B1473" s="118"/>
      <c r="C1473" s="120"/>
      <c r="G1473" s="30"/>
      <c r="H1473" s="112"/>
      <c r="I1473" s="30"/>
      <c r="J1473" s="30"/>
      <c r="K1473" s="30"/>
      <c r="L1473" s="30"/>
    </row>
    <row r="1474">
      <c r="B1474" s="118"/>
      <c r="C1474" s="120"/>
      <c r="G1474" s="30"/>
      <c r="H1474" s="112"/>
      <c r="I1474" s="30"/>
      <c r="J1474" s="30"/>
      <c r="K1474" s="30"/>
      <c r="L1474" s="30"/>
    </row>
    <row r="1475">
      <c r="B1475" s="118"/>
      <c r="C1475" s="120"/>
      <c r="G1475" s="30"/>
      <c r="H1475" s="112"/>
      <c r="I1475" s="30"/>
      <c r="J1475" s="30"/>
      <c r="K1475" s="30"/>
      <c r="L1475" s="30"/>
    </row>
    <row r="1476">
      <c r="B1476" s="118"/>
      <c r="C1476" s="120"/>
      <c r="G1476" s="30"/>
      <c r="H1476" s="112"/>
      <c r="I1476" s="30"/>
      <c r="J1476" s="30"/>
      <c r="K1476" s="30"/>
      <c r="L1476" s="30"/>
    </row>
    <row r="1477">
      <c r="B1477" s="118"/>
      <c r="C1477" s="120"/>
      <c r="G1477" s="30"/>
      <c r="H1477" s="112"/>
      <c r="I1477" s="30"/>
      <c r="J1477" s="30"/>
      <c r="K1477" s="30"/>
      <c r="L1477" s="30"/>
    </row>
    <row r="1478">
      <c r="B1478" s="118"/>
      <c r="C1478" s="120"/>
      <c r="G1478" s="30"/>
      <c r="H1478" s="112"/>
      <c r="I1478" s="30"/>
      <c r="J1478" s="30"/>
      <c r="K1478" s="30"/>
      <c r="L1478" s="30"/>
    </row>
    <row r="1479">
      <c r="B1479" s="118"/>
      <c r="C1479" s="120"/>
      <c r="G1479" s="30"/>
      <c r="H1479" s="112"/>
      <c r="I1479" s="30"/>
      <c r="J1479" s="30"/>
      <c r="K1479" s="30"/>
      <c r="L1479" s="30"/>
    </row>
    <row r="1480">
      <c r="B1480" s="118"/>
      <c r="C1480" s="120"/>
      <c r="G1480" s="30"/>
      <c r="H1480" s="112"/>
      <c r="I1480" s="30"/>
      <c r="J1480" s="30"/>
      <c r="K1480" s="30"/>
      <c r="L1480" s="30"/>
    </row>
    <row r="1481">
      <c r="B1481" s="118"/>
      <c r="C1481" s="120"/>
      <c r="G1481" s="30"/>
      <c r="H1481" s="112"/>
      <c r="I1481" s="30"/>
      <c r="J1481" s="30"/>
      <c r="K1481" s="30"/>
      <c r="L1481" s="30"/>
    </row>
    <row r="1482">
      <c r="B1482" s="118"/>
      <c r="C1482" s="120"/>
      <c r="G1482" s="30"/>
      <c r="H1482" s="112"/>
      <c r="I1482" s="30"/>
      <c r="J1482" s="30"/>
      <c r="K1482" s="30"/>
      <c r="L1482" s="30"/>
    </row>
    <row r="1483">
      <c r="B1483" s="118"/>
      <c r="C1483" s="120"/>
      <c r="G1483" s="30"/>
      <c r="H1483" s="112"/>
      <c r="I1483" s="30"/>
      <c r="J1483" s="30"/>
      <c r="K1483" s="30"/>
      <c r="L1483" s="30"/>
    </row>
    <row r="1484">
      <c r="B1484" s="118"/>
      <c r="C1484" s="120"/>
      <c r="G1484" s="30"/>
      <c r="H1484" s="112"/>
      <c r="I1484" s="30"/>
      <c r="J1484" s="30"/>
      <c r="K1484" s="30"/>
      <c r="L1484" s="30"/>
    </row>
    <row r="1485">
      <c r="B1485" s="118"/>
      <c r="C1485" s="120"/>
      <c r="G1485" s="30"/>
      <c r="H1485" s="112"/>
      <c r="I1485" s="30"/>
      <c r="J1485" s="30"/>
      <c r="K1485" s="30"/>
      <c r="L1485" s="30"/>
    </row>
    <row r="1486">
      <c r="B1486" s="118"/>
      <c r="C1486" s="120"/>
      <c r="G1486" s="30"/>
      <c r="H1486" s="112"/>
      <c r="I1486" s="30"/>
      <c r="J1486" s="30"/>
      <c r="K1486" s="30"/>
      <c r="L1486" s="30"/>
    </row>
    <row r="1487">
      <c r="B1487" s="118"/>
      <c r="C1487" s="120"/>
      <c r="G1487" s="30"/>
      <c r="H1487" s="112"/>
      <c r="I1487" s="30"/>
      <c r="J1487" s="30"/>
      <c r="K1487" s="30"/>
      <c r="L1487" s="30"/>
    </row>
    <row r="1488">
      <c r="B1488" s="118"/>
      <c r="C1488" s="120"/>
      <c r="G1488" s="30"/>
      <c r="H1488" s="112"/>
      <c r="I1488" s="30"/>
      <c r="J1488" s="30"/>
      <c r="K1488" s="30"/>
      <c r="L1488" s="30"/>
    </row>
    <row r="1489">
      <c r="B1489" s="118"/>
      <c r="C1489" s="120"/>
      <c r="G1489" s="30"/>
      <c r="H1489" s="112"/>
      <c r="I1489" s="30"/>
      <c r="J1489" s="30"/>
      <c r="K1489" s="30"/>
      <c r="L1489" s="30"/>
    </row>
    <row r="1490">
      <c r="B1490" s="118"/>
      <c r="C1490" s="120"/>
      <c r="G1490" s="30"/>
      <c r="H1490" s="112"/>
      <c r="I1490" s="30"/>
      <c r="J1490" s="30"/>
      <c r="K1490" s="30"/>
      <c r="L1490" s="30"/>
    </row>
    <row r="1491">
      <c r="B1491" s="118"/>
      <c r="C1491" s="120"/>
      <c r="G1491" s="30"/>
      <c r="H1491" s="112"/>
      <c r="I1491" s="30"/>
      <c r="J1491" s="30"/>
      <c r="K1491" s="30"/>
      <c r="L1491" s="30"/>
    </row>
    <row r="1492">
      <c r="B1492" s="118"/>
      <c r="C1492" s="120"/>
      <c r="G1492" s="30"/>
      <c r="H1492" s="112"/>
      <c r="I1492" s="30"/>
      <c r="J1492" s="30"/>
      <c r="K1492" s="30"/>
      <c r="L1492" s="30"/>
    </row>
    <row r="1493">
      <c r="B1493" s="118"/>
      <c r="C1493" s="120"/>
      <c r="G1493" s="30"/>
      <c r="H1493" s="112"/>
      <c r="I1493" s="30"/>
      <c r="J1493" s="30"/>
      <c r="K1493" s="30"/>
      <c r="L1493" s="30"/>
    </row>
    <row r="1494">
      <c r="B1494" s="118"/>
      <c r="C1494" s="120"/>
      <c r="G1494" s="30"/>
      <c r="H1494" s="112"/>
      <c r="I1494" s="30"/>
      <c r="J1494" s="30"/>
      <c r="K1494" s="30"/>
      <c r="L1494" s="30"/>
    </row>
    <row r="1495">
      <c r="B1495" s="118"/>
      <c r="C1495" s="120"/>
      <c r="G1495" s="30"/>
      <c r="H1495" s="112"/>
      <c r="I1495" s="30"/>
      <c r="J1495" s="30"/>
      <c r="K1495" s="30"/>
      <c r="L1495" s="30"/>
    </row>
    <row r="1496">
      <c r="B1496" s="118"/>
      <c r="C1496" s="120"/>
      <c r="G1496" s="30"/>
      <c r="H1496" s="112"/>
      <c r="I1496" s="30"/>
      <c r="J1496" s="30"/>
      <c r="K1496" s="30"/>
      <c r="L1496" s="30"/>
    </row>
    <row r="1497">
      <c r="B1497" s="118"/>
      <c r="C1497" s="120"/>
      <c r="G1497" s="30"/>
      <c r="H1497" s="112"/>
      <c r="I1497" s="30"/>
      <c r="J1497" s="30"/>
      <c r="K1497" s="30"/>
      <c r="L1497" s="30"/>
    </row>
    <row r="1498">
      <c r="B1498" s="118"/>
      <c r="C1498" s="120"/>
      <c r="G1498" s="30"/>
      <c r="H1498" s="112"/>
      <c r="I1498" s="30"/>
      <c r="J1498" s="30"/>
      <c r="K1498" s="30"/>
      <c r="L1498" s="30"/>
    </row>
    <row r="1499">
      <c r="B1499" s="118"/>
      <c r="C1499" s="120"/>
      <c r="G1499" s="30"/>
      <c r="H1499" s="112"/>
      <c r="I1499" s="30"/>
      <c r="J1499" s="30"/>
      <c r="K1499" s="30"/>
      <c r="L1499" s="30"/>
    </row>
    <row r="1500">
      <c r="B1500" s="118"/>
      <c r="C1500" s="120"/>
      <c r="G1500" s="30"/>
      <c r="H1500" s="112"/>
      <c r="I1500" s="30"/>
      <c r="J1500" s="30"/>
      <c r="K1500" s="30"/>
      <c r="L1500" s="30"/>
    </row>
    <row r="1501">
      <c r="B1501" s="118"/>
      <c r="C1501" s="120"/>
      <c r="G1501" s="30"/>
      <c r="H1501" s="112"/>
      <c r="I1501" s="30"/>
      <c r="J1501" s="30"/>
      <c r="K1501" s="30"/>
      <c r="L1501" s="30"/>
    </row>
    <row r="1502">
      <c r="B1502" s="118"/>
      <c r="C1502" s="120"/>
      <c r="G1502" s="30"/>
      <c r="H1502" s="112"/>
      <c r="I1502" s="30"/>
      <c r="J1502" s="30"/>
      <c r="K1502" s="30"/>
      <c r="L1502" s="30"/>
    </row>
    <row r="1503">
      <c r="B1503" s="118"/>
      <c r="C1503" s="120"/>
      <c r="G1503" s="30"/>
      <c r="H1503" s="112"/>
      <c r="I1503" s="30"/>
      <c r="J1503" s="30"/>
      <c r="K1503" s="30"/>
      <c r="L1503" s="30"/>
    </row>
    <row r="1504">
      <c r="B1504" s="118"/>
      <c r="C1504" s="120"/>
      <c r="G1504" s="30"/>
      <c r="H1504" s="112"/>
      <c r="I1504" s="30"/>
      <c r="J1504" s="30"/>
      <c r="K1504" s="30"/>
      <c r="L1504" s="30"/>
    </row>
    <row r="1505">
      <c r="B1505" s="118"/>
      <c r="C1505" s="120"/>
      <c r="G1505" s="30"/>
      <c r="H1505" s="112"/>
      <c r="I1505" s="30"/>
      <c r="J1505" s="30"/>
      <c r="K1505" s="30"/>
      <c r="L1505" s="30"/>
    </row>
    <row r="1506">
      <c r="B1506" s="118"/>
      <c r="C1506" s="120"/>
      <c r="G1506" s="30"/>
      <c r="H1506" s="112"/>
      <c r="I1506" s="30"/>
      <c r="J1506" s="30"/>
      <c r="K1506" s="30"/>
      <c r="L1506" s="30"/>
    </row>
    <row r="1507">
      <c r="B1507" s="118"/>
      <c r="C1507" s="120"/>
      <c r="G1507" s="30"/>
      <c r="H1507" s="112"/>
      <c r="I1507" s="30"/>
      <c r="J1507" s="30"/>
      <c r="K1507" s="30"/>
      <c r="L1507" s="30"/>
    </row>
    <row r="1508">
      <c r="B1508" s="118"/>
      <c r="C1508" s="120"/>
      <c r="G1508" s="30"/>
      <c r="H1508" s="112"/>
      <c r="I1508" s="30"/>
      <c r="J1508" s="30"/>
      <c r="K1508" s="30"/>
      <c r="L1508" s="30"/>
    </row>
    <row r="1509">
      <c r="B1509" s="118"/>
      <c r="C1509" s="120"/>
      <c r="G1509" s="30"/>
      <c r="H1509" s="112"/>
      <c r="I1509" s="30"/>
      <c r="J1509" s="30"/>
      <c r="K1509" s="30"/>
      <c r="L1509" s="30"/>
    </row>
    <row r="1510">
      <c r="B1510" s="118"/>
      <c r="C1510" s="120"/>
      <c r="G1510" s="30"/>
      <c r="H1510" s="112"/>
      <c r="I1510" s="30"/>
      <c r="J1510" s="30"/>
      <c r="K1510" s="30"/>
      <c r="L1510" s="30"/>
    </row>
    <row r="1511">
      <c r="B1511" s="118"/>
      <c r="C1511" s="120"/>
      <c r="G1511" s="30"/>
      <c r="H1511" s="112"/>
      <c r="I1511" s="30"/>
      <c r="J1511" s="30"/>
      <c r="K1511" s="30"/>
      <c r="L1511" s="30"/>
    </row>
    <row r="1512">
      <c r="B1512" s="118"/>
      <c r="C1512" s="120"/>
      <c r="G1512" s="30"/>
      <c r="H1512" s="112"/>
      <c r="I1512" s="30"/>
      <c r="J1512" s="30"/>
      <c r="K1512" s="30"/>
      <c r="L1512" s="30"/>
    </row>
    <row r="1513">
      <c r="B1513" s="118"/>
      <c r="C1513" s="120"/>
      <c r="G1513" s="30"/>
      <c r="H1513" s="112"/>
      <c r="I1513" s="30"/>
      <c r="J1513" s="30"/>
      <c r="K1513" s="30"/>
      <c r="L1513" s="30"/>
    </row>
    <row r="1514">
      <c r="B1514" s="118"/>
      <c r="C1514" s="120"/>
      <c r="G1514" s="30"/>
      <c r="H1514" s="112"/>
      <c r="I1514" s="30"/>
      <c r="J1514" s="30"/>
      <c r="K1514" s="30"/>
      <c r="L1514" s="30"/>
    </row>
    <row r="1515">
      <c r="B1515" s="118"/>
      <c r="C1515" s="120"/>
      <c r="G1515" s="30"/>
      <c r="H1515" s="112"/>
      <c r="I1515" s="30"/>
      <c r="J1515" s="30"/>
      <c r="K1515" s="30"/>
      <c r="L1515" s="30"/>
    </row>
    <row r="1516">
      <c r="B1516" s="118"/>
      <c r="C1516" s="120"/>
      <c r="G1516" s="30"/>
      <c r="H1516" s="112"/>
      <c r="I1516" s="30"/>
      <c r="J1516" s="30"/>
      <c r="K1516" s="30"/>
      <c r="L1516" s="30"/>
    </row>
    <row r="1517">
      <c r="B1517" s="118"/>
      <c r="C1517" s="120"/>
      <c r="G1517" s="30"/>
      <c r="H1517" s="112"/>
      <c r="I1517" s="30"/>
      <c r="J1517" s="30"/>
      <c r="K1517" s="30"/>
      <c r="L1517" s="30"/>
    </row>
    <row r="1518">
      <c r="B1518" s="118"/>
      <c r="C1518" s="120"/>
      <c r="G1518" s="30"/>
      <c r="H1518" s="112"/>
      <c r="I1518" s="30"/>
      <c r="J1518" s="30"/>
      <c r="K1518" s="30"/>
      <c r="L1518" s="30"/>
    </row>
    <row r="1519">
      <c r="B1519" s="118"/>
      <c r="C1519" s="120"/>
      <c r="G1519" s="30"/>
      <c r="H1519" s="112"/>
      <c r="I1519" s="30"/>
      <c r="J1519" s="30"/>
      <c r="K1519" s="30"/>
      <c r="L1519" s="30"/>
    </row>
    <row r="1520">
      <c r="B1520" s="118"/>
      <c r="C1520" s="120"/>
      <c r="G1520" s="30"/>
      <c r="H1520" s="112"/>
      <c r="I1520" s="30"/>
      <c r="J1520" s="30"/>
      <c r="K1520" s="30"/>
      <c r="L1520" s="30"/>
    </row>
    <row r="1521">
      <c r="B1521" s="118"/>
      <c r="C1521" s="120"/>
      <c r="G1521" s="30"/>
      <c r="H1521" s="112"/>
      <c r="I1521" s="30"/>
      <c r="J1521" s="30"/>
      <c r="K1521" s="30"/>
      <c r="L1521" s="30"/>
    </row>
    <row r="1522">
      <c r="B1522" s="118"/>
      <c r="C1522" s="120"/>
      <c r="G1522" s="30"/>
      <c r="H1522" s="112"/>
      <c r="I1522" s="30"/>
      <c r="J1522" s="30"/>
      <c r="K1522" s="30"/>
      <c r="L1522" s="30"/>
    </row>
    <row r="1523">
      <c r="B1523" s="118"/>
      <c r="C1523" s="120"/>
      <c r="G1523" s="30"/>
      <c r="H1523" s="112"/>
      <c r="I1523" s="30"/>
      <c r="J1523" s="30"/>
      <c r="K1523" s="30"/>
      <c r="L1523" s="30"/>
    </row>
    <row r="1524">
      <c r="B1524" s="118"/>
      <c r="C1524" s="120"/>
      <c r="G1524" s="30"/>
      <c r="H1524" s="112"/>
      <c r="I1524" s="30"/>
      <c r="J1524" s="30"/>
      <c r="K1524" s="30"/>
      <c r="L1524" s="30"/>
    </row>
    <row r="1525">
      <c r="B1525" s="118"/>
      <c r="C1525" s="120"/>
      <c r="G1525" s="30"/>
      <c r="H1525" s="112"/>
      <c r="I1525" s="30"/>
      <c r="J1525" s="30"/>
      <c r="K1525" s="30"/>
      <c r="L1525" s="30"/>
    </row>
    <row r="1526">
      <c r="B1526" s="118"/>
      <c r="C1526" s="120"/>
      <c r="G1526" s="30"/>
      <c r="H1526" s="112"/>
      <c r="I1526" s="30"/>
      <c r="J1526" s="30"/>
      <c r="K1526" s="30"/>
      <c r="L1526" s="30"/>
    </row>
    <row r="1527">
      <c r="B1527" s="118"/>
      <c r="C1527" s="120"/>
      <c r="G1527" s="30"/>
      <c r="H1527" s="112"/>
      <c r="I1527" s="30"/>
      <c r="J1527" s="30"/>
      <c r="K1527" s="30"/>
      <c r="L1527" s="30"/>
    </row>
    <row r="1528">
      <c r="B1528" s="118"/>
      <c r="C1528" s="120"/>
      <c r="G1528" s="30"/>
      <c r="H1528" s="112"/>
      <c r="I1528" s="30"/>
      <c r="J1528" s="30"/>
      <c r="K1528" s="30"/>
      <c r="L1528" s="30"/>
    </row>
    <row r="1529">
      <c r="B1529" s="118"/>
      <c r="C1529" s="120"/>
      <c r="G1529" s="30"/>
      <c r="H1529" s="112"/>
      <c r="I1529" s="30"/>
      <c r="J1529" s="30"/>
      <c r="K1529" s="30"/>
      <c r="L1529" s="30"/>
    </row>
    <row r="1530">
      <c r="B1530" s="118"/>
      <c r="C1530" s="120"/>
      <c r="G1530" s="30"/>
      <c r="H1530" s="112"/>
      <c r="I1530" s="30"/>
      <c r="J1530" s="30"/>
      <c r="K1530" s="30"/>
      <c r="L1530" s="30"/>
    </row>
    <row r="1531">
      <c r="B1531" s="118"/>
      <c r="C1531" s="120"/>
      <c r="G1531" s="30"/>
      <c r="H1531" s="112"/>
      <c r="I1531" s="30"/>
      <c r="J1531" s="30"/>
      <c r="K1531" s="30"/>
      <c r="L1531" s="30"/>
    </row>
    <row r="1532">
      <c r="B1532" s="118"/>
      <c r="C1532" s="120"/>
      <c r="G1532" s="30"/>
      <c r="H1532" s="112"/>
      <c r="I1532" s="30"/>
      <c r="J1532" s="30"/>
      <c r="K1532" s="30"/>
      <c r="L1532" s="30"/>
    </row>
    <row r="1533">
      <c r="B1533" s="118"/>
      <c r="C1533" s="120"/>
      <c r="G1533" s="30"/>
      <c r="H1533" s="112"/>
      <c r="I1533" s="30"/>
      <c r="J1533" s="30"/>
      <c r="K1533" s="30"/>
      <c r="L1533" s="30"/>
    </row>
    <row r="1534">
      <c r="B1534" s="118"/>
      <c r="C1534" s="120"/>
      <c r="G1534" s="30"/>
      <c r="H1534" s="112"/>
      <c r="I1534" s="30"/>
      <c r="J1534" s="30"/>
      <c r="K1534" s="30"/>
      <c r="L1534" s="30"/>
    </row>
    <row r="1535">
      <c r="B1535" s="118"/>
      <c r="C1535" s="120"/>
      <c r="G1535" s="30"/>
      <c r="H1535" s="112"/>
      <c r="I1535" s="30"/>
      <c r="J1535" s="30"/>
      <c r="K1535" s="30"/>
      <c r="L1535" s="30"/>
    </row>
    <row r="1536">
      <c r="B1536" s="118"/>
      <c r="C1536" s="120"/>
      <c r="G1536" s="30"/>
      <c r="H1536" s="112"/>
      <c r="I1536" s="30"/>
      <c r="J1536" s="30"/>
      <c r="K1536" s="30"/>
      <c r="L1536" s="30"/>
    </row>
    <row r="1537">
      <c r="B1537" s="118"/>
      <c r="C1537" s="120"/>
      <c r="G1537" s="30"/>
      <c r="H1537" s="112"/>
      <c r="I1537" s="30"/>
      <c r="J1537" s="30"/>
      <c r="K1537" s="30"/>
      <c r="L1537" s="30"/>
    </row>
    <row r="1538">
      <c r="B1538" s="118"/>
      <c r="C1538" s="120"/>
      <c r="G1538" s="30"/>
      <c r="H1538" s="112"/>
      <c r="I1538" s="30"/>
      <c r="J1538" s="30"/>
      <c r="K1538" s="30"/>
      <c r="L1538" s="30"/>
    </row>
    <row r="1539">
      <c r="B1539" s="118"/>
      <c r="C1539" s="120"/>
      <c r="G1539" s="30"/>
      <c r="H1539" s="112"/>
      <c r="I1539" s="30"/>
      <c r="J1539" s="30"/>
      <c r="K1539" s="30"/>
      <c r="L1539" s="30"/>
    </row>
    <row r="1540">
      <c r="B1540" s="118"/>
      <c r="C1540" s="120"/>
      <c r="G1540" s="30"/>
      <c r="H1540" s="112"/>
      <c r="I1540" s="30"/>
      <c r="J1540" s="30"/>
      <c r="K1540" s="30"/>
      <c r="L1540" s="30"/>
    </row>
    <row r="1541">
      <c r="B1541" s="118"/>
      <c r="C1541" s="120"/>
      <c r="G1541" s="30"/>
      <c r="H1541" s="112"/>
      <c r="I1541" s="30"/>
      <c r="J1541" s="30"/>
      <c r="K1541" s="30"/>
      <c r="L1541" s="30"/>
    </row>
    <row r="1542">
      <c r="B1542" s="118"/>
      <c r="C1542" s="120"/>
      <c r="G1542" s="30"/>
      <c r="H1542" s="112"/>
      <c r="I1542" s="30"/>
      <c r="J1542" s="30"/>
      <c r="K1542" s="30"/>
      <c r="L1542" s="30"/>
    </row>
    <row r="1543">
      <c r="B1543" s="118"/>
      <c r="C1543" s="120"/>
      <c r="G1543" s="30"/>
      <c r="H1543" s="112"/>
      <c r="I1543" s="30"/>
      <c r="J1543" s="30"/>
      <c r="K1543" s="30"/>
      <c r="L1543" s="30"/>
    </row>
    <row r="1544">
      <c r="B1544" s="118"/>
      <c r="C1544" s="120"/>
      <c r="G1544" s="30"/>
      <c r="H1544" s="112"/>
      <c r="I1544" s="30"/>
      <c r="J1544" s="30"/>
      <c r="K1544" s="30"/>
      <c r="L1544" s="30"/>
    </row>
    <row r="1545">
      <c r="B1545" s="118"/>
      <c r="C1545" s="120"/>
      <c r="G1545" s="30"/>
      <c r="H1545" s="112"/>
      <c r="I1545" s="30"/>
      <c r="J1545" s="30"/>
      <c r="K1545" s="30"/>
      <c r="L1545" s="30"/>
    </row>
    <row r="1546">
      <c r="B1546" s="118"/>
      <c r="C1546" s="120"/>
      <c r="G1546" s="30"/>
      <c r="H1546" s="112"/>
      <c r="I1546" s="30"/>
      <c r="J1546" s="30"/>
      <c r="K1546" s="30"/>
      <c r="L1546" s="30"/>
    </row>
    <row r="1547">
      <c r="B1547" s="118"/>
      <c r="C1547" s="120"/>
      <c r="G1547" s="30"/>
      <c r="H1547" s="112"/>
      <c r="I1547" s="30"/>
      <c r="J1547" s="30"/>
      <c r="K1547" s="30"/>
      <c r="L1547" s="30"/>
    </row>
    <row r="1548">
      <c r="B1548" s="118"/>
      <c r="C1548" s="120"/>
      <c r="G1548" s="30"/>
      <c r="H1548" s="112"/>
      <c r="I1548" s="30"/>
      <c r="J1548" s="30"/>
      <c r="K1548" s="30"/>
      <c r="L1548" s="30"/>
    </row>
    <row r="1549">
      <c r="B1549" s="118"/>
      <c r="C1549" s="120"/>
      <c r="G1549" s="30"/>
      <c r="H1549" s="112"/>
      <c r="I1549" s="30"/>
      <c r="J1549" s="30"/>
      <c r="K1549" s="30"/>
      <c r="L1549" s="30"/>
    </row>
    <row r="1550">
      <c r="B1550" s="118"/>
      <c r="C1550" s="120"/>
      <c r="G1550" s="30"/>
      <c r="H1550" s="112"/>
      <c r="I1550" s="30"/>
      <c r="J1550" s="30"/>
      <c r="K1550" s="30"/>
      <c r="L1550" s="30"/>
    </row>
    <row r="1551">
      <c r="B1551" s="118"/>
      <c r="C1551" s="120"/>
      <c r="G1551" s="30"/>
      <c r="H1551" s="112"/>
      <c r="I1551" s="30"/>
      <c r="J1551" s="30"/>
      <c r="K1551" s="30"/>
      <c r="L1551" s="30"/>
    </row>
    <row r="1552">
      <c r="B1552" s="118"/>
      <c r="C1552" s="120"/>
      <c r="G1552" s="30"/>
      <c r="H1552" s="112"/>
      <c r="I1552" s="30"/>
      <c r="J1552" s="30"/>
      <c r="K1552" s="30"/>
      <c r="L1552" s="30"/>
    </row>
    <row r="1553">
      <c r="B1553" s="118"/>
      <c r="C1553" s="120"/>
      <c r="G1553" s="30"/>
      <c r="H1553" s="112"/>
      <c r="I1553" s="30"/>
      <c r="J1553" s="30"/>
      <c r="K1553" s="30"/>
      <c r="L1553" s="30"/>
    </row>
    <row r="1554">
      <c r="B1554" s="118"/>
      <c r="C1554" s="120"/>
      <c r="G1554" s="30"/>
      <c r="H1554" s="112"/>
      <c r="I1554" s="30"/>
      <c r="J1554" s="30"/>
      <c r="K1554" s="30"/>
      <c r="L1554" s="30"/>
    </row>
    <row r="1555">
      <c r="B1555" s="118"/>
      <c r="C1555" s="120"/>
      <c r="G1555" s="30"/>
      <c r="H1555" s="112"/>
      <c r="I1555" s="30"/>
      <c r="J1555" s="30"/>
      <c r="K1555" s="30"/>
      <c r="L1555" s="30"/>
    </row>
    <row r="1556">
      <c r="B1556" s="118"/>
      <c r="C1556" s="120"/>
      <c r="G1556" s="30"/>
      <c r="H1556" s="112"/>
      <c r="I1556" s="30"/>
      <c r="J1556" s="30"/>
      <c r="K1556" s="30"/>
      <c r="L1556" s="30"/>
    </row>
    <row r="1557">
      <c r="B1557" s="118"/>
      <c r="C1557" s="120"/>
      <c r="G1557" s="30"/>
      <c r="H1557" s="112"/>
      <c r="I1557" s="30"/>
      <c r="J1557" s="30"/>
      <c r="K1557" s="30"/>
      <c r="L1557" s="30"/>
    </row>
    <row r="1558">
      <c r="B1558" s="118"/>
      <c r="C1558" s="120"/>
      <c r="G1558" s="30"/>
      <c r="H1558" s="112"/>
      <c r="I1558" s="30"/>
      <c r="J1558" s="30"/>
      <c r="K1558" s="30"/>
      <c r="L1558" s="30"/>
    </row>
    <row r="1559">
      <c r="B1559" s="118"/>
      <c r="C1559" s="120"/>
      <c r="G1559" s="30"/>
      <c r="H1559" s="112"/>
      <c r="I1559" s="30"/>
      <c r="J1559" s="30"/>
      <c r="K1559" s="30"/>
      <c r="L1559" s="30"/>
    </row>
    <row r="1560">
      <c r="B1560" s="118"/>
      <c r="C1560" s="120"/>
      <c r="G1560" s="30"/>
      <c r="H1560" s="112"/>
      <c r="I1560" s="30"/>
      <c r="J1560" s="30"/>
      <c r="K1560" s="30"/>
      <c r="L1560" s="30"/>
    </row>
    <row r="1561">
      <c r="B1561" s="118"/>
      <c r="C1561" s="120"/>
      <c r="G1561" s="30"/>
      <c r="H1561" s="112"/>
      <c r="I1561" s="30"/>
      <c r="J1561" s="30"/>
      <c r="K1561" s="30"/>
      <c r="L1561" s="30"/>
    </row>
    <row r="1562">
      <c r="B1562" s="118"/>
      <c r="C1562" s="120"/>
      <c r="G1562" s="30"/>
      <c r="H1562" s="112"/>
      <c r="I1562" s="30"/>
      <c r="J1562" s="30"/>
      <c r="K1562" s="30"/>
      <c r="L1562" s="30"/>
    </row>
    <row r="1563">
      <c r="B1563" s="118"/>
      <c r="C1563" s="120"/>
      <c r="G1563" s="30"/>
      <c r="H1563" s="112"/>
      <c r="I1563" s="30"/>
      <c r="J1563" s="30"/>
      <c r="K1563" s="30"/>
      <c r="L1563" s="30"/>
    </row>
    <row r="1564">
      <c r="B1564" s="118"/>
      <c r="C1564" s="120"/>
      <c r="G1564" s="30"/>
      <c r="H1564" s="112"/>
      <c r="I1564" s="30"/>
      <c r="J1564" s="30"/>
      <c r="K1564" s="30"/>
      <c r="L1564" s="30"/>
    </row>
    <row r="1565">
      <c r="B1565" s="118"/>
      <c r="C1565" s="120"/>
      <c r="G1565" s="30"/>
      <c r="H1565" s="112"/>
      <c r="I1565" s="30"/>
      <c r="J1565" s="30"/>
      <c r="K1565" s="30"/>
      <c r="L1565" s="30"/>
    </row>
    <row r="1566">
      <c r="B1566" s="118"/>
      <c r="C1566" s="120"/>
      <c r="G1566" s="30"/>
      <c r="H1566" s="112"/>
      <c r="I1566" s="30"/>
      <c r="J1566" s="30"/>
      <c r="K1566" s="30"/>
      <c r="L1566" s="30"/>
    </row>
    <row r="1567">
      <c r="B1567" s="118"/>
      <c r="C1567" s="120"/>
      <c r="G1567" s="30"/>
      <c r="H1567" s="112"/>
      <c r="I1567" s="30"/>
      <c r="J1567" s="30"/>
      <c r="K1567" s="30"/>
      <c r="L1567" s="30"/>
    </row>
    <row r="1568">
      <c r="B1568" s="118"/>
      <c r="C1568" s="120"/>
      <c r="G1568" s="30"/>
      <c r="H1568" s="112"/>
      <c r="I1568" s="30"/>
      <c r="J1568" s="30"/>
      <c r="K1568" s="30"/>
      <c r="L1568" s="30"/>
    </row>
    <row r="1569">
      <c r="B1569" s="118"/>
      <c r="C1569" s="120"/>
      <c r="G1569" s="30"/>
      <c r="H1569" s="112"/>
      <c r="I1569" s="30"/>
      <c r="J1569" s="30"/>
      <c r="K1569" s="30"/>
      <c r="L1569" s="30"/>
    </row>
    <row r="1570">
      <c r="B1570" s="118"/>
      <c r="C1570" s="120"/>
      <c r="G1570" s="30"/>
      <c r="H1570" s="112"/>
      <c r="I1570" s="30"/>
      <c r="J1570" s="30"/>
      <c r="K1570" s="30"/>
      <c r="L1570" s="30"/>
    </row>
    <row r="1571">
      <c r="B1571" s="118"/>
      <c r="C1571" s="120"/>
      <c r="G1571" s="30"/>
      <c r="H1571" s="112"/>
      <c r="I1571" s="30"/>
      <c r="J1571" s="30"/>
      <c r="K1571" s="30"/>
      <c r="L1571" s="30"/>
    </row>
    <row r="1572">
      <c r="B1572" s="118"/>
      <c r="C1572" s="120"/>
      <c r="G1572" s="30"/>
      <c r="H1572" s="112"/>
      <c r="I1572" s="30"/>
      <c r="J1572" s="30"/>
      <c r="K1572" s="30"/>
      <c r="L1572" s="30"/>
    </row>
    <row r="1573">
      <c r="B1573" s="118"/>
      <c r="C1573" s="120"/>
      <c r="G1573" s="30"/>
      <c r="H1573" s="112"/>
      <c r="I1573" s="30"/>
      <c r="J1573" s="30"/>
      <c r="K1573" s="30"/>
      <c r="L1573" s="30"/>
    </row>
    <row r="1574">
      <c r="B1574" s="118"/>
      <c r="C1574" s="120"/>
      <c r="G1574" s="30"/>
      <c r="H1574" s="112"/>
      <c r="I1574" s="30"/>
      <c r="J1574" s="30"/>
      <c r="K1574" s="30"/>
      <c r="L1574" s="30"/>
    </row>
    <row r="1575">
      <c r="B1575" s="118"/>
      <c r="C1575" s="120"/>
      <c r="G1575" s="30"/>
      <c r="H1575" s="112"/>
      <c r="I1575" s="30"/>
      <c r="J1575" s="30"/>
      <c r="K1575" s="30"/>
      <c r="L1575" s="30"/>
    </row>
    <row r="1576">
      <c r="B1576" s="118"/>
      <c r="C1576" s="120"/>
      <c r="G1576" s="30"/>
      <c r="H1576" s="112"/>
      <c r="I1576" s="30"/>
      <c r="J1576" s="30"/>
      <c r="K1576" s="30"/>
      <c r="L1576" s="30"/>
    </row>
    <row r="1577">
      <c r="B1577" s="118"/>
      <c r="C1577" s="120"/>
      <c r="G1577" s="30"/>
      <c r="H1577" s="112"/>
      <c r="I1577" s="30"/>
      <c r="J1577" s="30"/>
      <c r="K1577" s="30"/>
      <c r="L1577" s="30"/>
    </row>
    <row r="1578">
      <c r="B1578" s="118"/>
      <c r="C1578" s="120"/>
      <c r="G1578" s="30"/>
      <c r="H1578" s="112"/>
      <c r="I1578" s="30"/>
      <c r="J1578" s="30"/>
      <c r="K1578" s="30"/>
      <c r="L1578" s="30"/>
    </row>
    <row r="1579">
      <c r="B1579" s="118"/>
      <c r="C1579" s="120"/>
      <c r="G1579" s="30"/>
      <c r="H1579" s="112"/>
      <c r="I1579" s="30"/>
      <c r="J1579" s="30"/>
      <c r="K1579" s="30"/>
      <c r="L1579" s="30"/>
    </row>
    <row r="1580">
      <c r="B1580" s="118"/>
      <c r="C1580" s="120"/>
      <c r="G1580" s="30"/>
      <c r="H1580" s="112"/>
      <c r="I1580" s="30"/>
      <c r="J1580" s="30"/>
      <c r="K1580" s="30"/>
      <c r="L1580" s="30"/>
    </row>
    <row r="1581">
      <c r="B1581" s="118"/>
      <c r="C1581" s="120"/>
      <c r="G1581" s="30"/>
      <c r="H1581" s="112"/>
      <c r="I1581" s="30"/>
      <c r="J1581" s="30"/>
      <c r="K1581" s="30"/>
      <c r="L1581" s="30"/>
    </row>
    <row r="1582">
      <c r="B1582" s="118"/>
      <c r="C1582" s="120"/>
      <c r="G1582" s="30"/>
      <c r="H1582" s="112"/>
      <c r="I1582" s="30"/>
      <c r="J1582" s="30"/>
      <c r="K1582" s="30"/>
      <c r="L1582" s="30"/>
    </row>
    <row r="1583">
      <c r="B1583" s="118"/>
      <c r="C1583" s="120"/>
      <c r="G1583" s="30"/>
      <c r="H1583" s="112"/>
      <c r="I1583" s="30"/>
      <c r="J1583" s="30"/>
      <c r="K1583" s="30"/>
      <c r="L1583" s="30"/>
    </row>
    <row r="1584">
      <c r="B1584" s="118"/>
      <c r="C1584" s="120"/>
      <c r="G1584" s="30"/>
      <c r="H1584" s="112"/>
      <c r="I1584" s="30"/>
      <c r="J1584" s="30"/>
      <c r="K1584" s="30"/>
      <c r="L1584" s="30"/>
    </row>
    <row r="1585">
      <c r="B1585" s="118"/>
      <c r="C1585" s="120"/>
      <c r="G1585" s="30"/>
      <c r="H1585" s="112"/>
      <c r="I1585" s="30"/>
      <c r="J1585" s="30"/>
      <c r="K1585" s="30"/>
      <c r="L1585" s="30"/>
    </row>
    <row r="1586">
      <c r="B1586" s="118"/>
      <c r="C1586" s="120"/>
      <c r="G1586" s="30"/>
      <c r="H1586" s="112"/>
      <c r="I1586" s="30"/>
      <c r="J1586" s="30"/>
      <c r="K1586" s="30"/>
      <c r="L1586" s="30"/>
    </row>
    <row r="1587">
      <c r="B1587" s="118"/>
      <c r="C1587" s="120"/>
      <c r="G1587" s="30"/>
      <c r="H1587" s="112"/>
      <c r="I1587" s="30"/>
      <c r="J1587" s="30"/>
      <c r="K1587" s="30"/>
      <c r="L1587" s="30"/>
    </row>
    <row r="1588">
      <c r="B1588" s="30"/>
      <c r="C1588" s="30"/>
      <c r="G1588" s="30"/>
      <c r="H1588" s="112"/>
      <c r="I1588" s="30"/>
    </row>
    <row r="1589">
      <c r="B1589" s="30"/>
      <c r="C1589" s="30"/>
      <c r="G1589" s="30"/>
      <c r="H1589" s="112"/>
      <c r="I1589" s="30"/>
    </row>
    <row r="1590">
      <c r="B1590" s="30"/>
      <c r="C1590" s="30"/>
      <c r="G1590" s="30"/>
      <c r="H1590" s="112"/>
      <c r="I1590" s="30"/>
    </row>
    <row r="1591">
      <c r="B1591" s="30"/>
      <c r="C1591" s="30"/>
      <c r="G1591" s="30"/>
      <c r="H1591" s="112"/>
      <c r="I1591" s="30"/>
    </row>
    <row r="1592">
      <c r="B1592" s="30"/>
      <c r="C1592" s="30"/>
      <c r="G1592" s="30"/>
      <c r="H1592" s="112"/>
      <c r="I1592" s="30"/>
    </row>
    <row r="1593">
      <c r="B1593" s="30"/>
      <c r="C1593" s="30"/>
      <c r="G1593" s="30"/>
      <c r="H1593" s="112"/>
      <c r="I1593" s="30"/>
    </row>
    <row r="1594">
      <c r="B1594" s="30"/>
      <c r="C1594" s="30"/>
      <c r="G1594" s="30"/>
      <c r="H1594" s="112"/>
      <c r="I1594" s="30"/>
    </row>
    <row r="1595">
      <c r="B1595" s="30"/>
      <c r="C1595" s="30"/>
      <c r="G1595" s="30"/>
      <c r="H1595" s="112"/>
      <c r="I1595" s="30"/>
    </row>
    <row r="1596">
      <c r="B1596" s="30"/>
      <c r="C1596" s="30"/>
      <c r="G1596" s="30"/>
      <c r="H1596" s="112"/>
      <c r="I1596" s="30"/>
    </row>
    <row r="1597">
      <c r="B1597" s="30"/>
      <c r="C1597" s="30"/>
      <c r="G1597" s="30"/>
      <c r="H1597" s="112"/>
      <c r="I1597" s="30"/>
    </row>
    <row r="1598">
      <c r="B1598" s="30"/>
      <c r="C1598" s="30"/>
      <c r="G1598" s="30"/>
      <c r="H1598" s="112"/>
      <c r="I1598" s="30"/>
    </row>
    <row r="1599">
      <c r="B1599" s="30"/>
      <c r="C1599" s="30"/>
      <c r="G1599" s="30"/>
      <c r="H1599" s="112"/>
      <c r="I1599" s="30"/>
    </row>
    <row r="1600">
      <c r="B1600" s="30"/>
      <c r="C1600" s="30"/>
      <c r="G1600" s="30"/>
      <c r="H1600" s="112"/>
      <c r="I1600" s="30"/>
    </row>
    <row r="1601">
      <c r="B1601" s="30"/>
      <c r="C1601" s="30"/>
      <c r="G1601" s="30"/>
      <c r="H1601" s="112"/>
      <c r="I1601" s="30"/>
    </row>
    <row r="1602">
      <c r="B1602" s="30"/>
      <c r="C1602" s="30"/>
      <c r="G1602" s="30"/>
      <c r="H1602" s="112"/>
      <c r="I1602" s="30"/>
    </row>
    <row r="1603">
      <c r="B1603" s="30"/>
      <c r="C1603" s="30"/>
      <c r="G1603" s="30"/>
      <c r="H1603" s="112"/>
      <c r="I1603" s="30"/>
    </row>
    <row r="1604">
      <c r="B1604" s="30"/>
      <c r="C1604" s="30"/>
      <c r="G1604" s="30"/>
      <c r="H1604" s="112"/>
      <c r="I1604" s="30"/>
    </row>
    <row r="1605">
      <c r="B1605" s="30"/>
      <c r="C1605" s="30"/>
      <c r="G1605" s="30"/>
      <c r="H1605" s="112"/>
      <c r="I1605" s="30"/>
    </row>
    <row r="1606">
      <c r="B1606" s="30"/>
      <c r="C1606" s="30"/>
      <c r="G1606" s="30"/>
      <c r="H1606" s="112"/>
      <c r="I1606" s="30"/>
    </row>
    <row r="1607">
      <c r="B1607" s="30"/>
      <c r="C1607" s="30"/>
      <c r="G1607" s="30"/>
      <c r="H1607" s="112"/>
      <c r="I1607" s="30"/>
    </row>
    <row r="1608">
      <c r="B1608" s="30"/>
      <c r="C1608" s="30"/>
      <c r="G1608" s="30"/>
      <c r="H1608" s="112"/>
      <c r="I1608" s="30"/>
    </row>
    <row r="1609">
      <c r="B1609" s="30"/>
      <c r="C1609" s="30"/>
      <c r="G1609" s="30"/>
      <c r="H1609" s="112"/>
      <c r="I1609" s="30"/>
    </row>
    <row r="1610">
      <c r="B1610" s="30"/>
      <c r="C1610" s="30"/>
      <c r="G1610" s="30"/>
      <c r="H1610" s="112"/>
      <c r="I1610" s="30"/>
    </row>
    <row r="1611">
      <c r="B1611" s="30"/>
      <c r="C1611" s="30"/>
      <c r="G1611" s="30"/>
      <c r="H1611" s="112"/>
      <c r="I1611" s="30"/>
    </row>
    <row r="1612">
      <c r="B1612" s="30"/>
      <c r="C1612" s="30"/>
      <c r="G1612" s="30"/>
      <c r="H1612" s="112"/>
      <c r="I1612" s="30"/>
    </row>
    <row r="1613">
      <c r="B1613" s="30"/>
      <c r="C1613" s="30"/>
      <c r="G1613" s="30"/>
      <c r="H1613" s="112"/>
      <c r="I1613" s="30"/>
    </row>
    <row r="1614">
      <c r="B1614" s="30"/>
      <c r="C1614" s="30"/>
      <c r="G1614" s="30"/>
      <c r="H1614" s="112"/>
      <c r="I1614" s="30"/>
    </row>
    <row r="1615">
      <c r="B1615" s="30"/>
      <c r="C1615" s="30"/>
      <c r="G1615" s="30"/>
      <c r="H1615" s="112"/>
      <c r="I1615" s="30"/>
    </row>
    <row r="1616">
      <c r="B1616" s="30"/>
      <c r="C1616" s="30"/>
      <c r="G1616" s="30"/>
      <c r="H1616" s="112"/>
      <c r="I1616" s="30"/>
    </row>
    <row r="1617">
      <c r="B1617" s="30"/>
      <c r="C1617" s="30"/>
      <c r="G1617" s="30"/>
      <c r="H1617" s="112"/>
      <c r="I1617" s="30"/>
    </row>
    <row r="1618">
      <c r="B1618" s="30"/>
      <c r="C1618" s="30"/>
      <c r="G1618" s="30"/>
      <c r="H1618" s="112"/>
      <c r="I1618" s="30"/>
    </row>
    <row r="1619">
      <c r="B1619" s="30"/>
      <c r="C1619" s="30"/>
      <c r="G1619" s="30"/>
      <c r="H1619" s="112"/>
      <c r="I1619" s="30"/>
    </row>
    <row r="1620">
      <c r="B1620" s="30"/>
      <c r="C1620" s="30"/>
      <c r="G1620" s="30"/>
      <c r="H1620" s="112"/>
      <c r="I1620" s="30"/>
    </row>
    <row r="1621">
      <c r="B1621" s="30"/>
      <c r="C1621" s="30"/>
      <c r="G1621" s="30"/>
      <c r="H1621" s="112"/>
      <c r="I1621" s="30"/>
    </row>
    <row r="1622">
      <c r="B1622" s="30"/>
      <c r="C1622" s="30"/>
      <c r="G1622" s="30"/>
      <c r="H1622" s="112"/>
      <c r="I1622" s="30"/>
    </row>
    <row r="1623">
      <c r="B1623" s="30"/>
      <c r="C1623" s="30"/>
      <c r="G1623" s="30"/>
      <c r="H1623" s="112"/>
      <c r="I1623" s="30"/>
    </row>
    <row r="1624">
      <c r="B1624" s="30"/>
      <c r="C1624" s="30"/>
      <c r="G1624" s="30"/>
      <c r="H1624" s="112"/>
      <c r="I1624" s="30"/>
    </row>
    <row r="1625">
      <c r="B1625" s="30"/>
      <c r="C1625" s="30"/>
      <c r="G1625" s="30"/>
      <c r="H1625" s="112"/>
      <c r="I1625" s="30"/>
    </row>
    <row r="1626">
      <c r="B1626" s="30"/>
      <c r="C1626" s="30"/>
      <c r="G1626" s="30"/>
      <c r="H1626" s="112"/>
      <c r="I1626" s="30"/>
    </row>
    <row r="1627">
      <c r="B1627" s="30"/>
      <c r="C1627" s="30"/>
      <c r="G1627" s="30"/>
      <c r="H1627" s="112"/>
      <c r="I1627" s="30"/>
    </row>
    <row r="1628">
      <c r="B1628" s="30"/>
      <c r="C1628" s="30"/>
      <c r="G1628" s="30"/>
      <c r="H1628" s="112"/>
      <c r="I1628" s="30"/>
    </row>
    <row r="1629">
      <c r="B1629" s="30"/>
      <c r="C1629" s="30"/>
      <c r="G1629" s="30"/>
      <c r="H1629" s="112"/>
      <c r="I1629" s="30"/>
    </row>
    <row r="1630">
      <c r="B1630" s="30"/>
      <c r="C1630" s="30"/>
      <c r="G1630" s="30"/>
      <c r="H1630" s="112"/>
      <c r="I1630" s="30"/>
    </row>
    <row r="1631">
      <c r="B1631" s="30"/>
      <c r="C1631" s="30"/>
      <c r="G1631" s="30"/>
      <c r="H1631" s="112"/>
      <c r="I1631" s="30"/>
    </row>
    <row r="1632">
      <c r="B1632" s="30"/>
      <c r="C1632" s="30"/>
      <c r="G1632" s="30"/>
      <c r="H1632" s="112"/>
      <c r="I1632" s="30"/>
    </row>
    <row r="1633">
      <c r="B1633" s="30"/>
      <c r="C1633" s="30"/>
      <c r="G1633" s="30"/>
      <c r="H1633" s="112"/>
      <c r="I1633" s="30"/>
    </row>
    <row r="1634">
      <c r="B1634" s="30"/>
      <c r="C1634" s="30"/>
      <c r="G1634" s="30"/>
      <c r="H1634" s="112"/>
      <c r="I1634" s="30"/>
    </row>
    <row r="1635">
      <c r="B1635" s="30"/>
      <c r="C1635" s="30"/>
      <c r="G1635" s="30"/>
      <c r="H1635" s="112"/>
      <c r="I1635" s="30"/>
    </row>
    <row r="1636">
      <c r="B1636" s="30"/>
      <c r="C1636" s="30"/>
      <c r="G1636" s="30"/>
      <c r="H1636" s="112"/>
      <c r="I1636" s="30"/>
    </row>
    <row r="1637">
      <c r="B1637" s="30"/>
      <c r="C1637" s="30"/>
      <c r="G1637" s="30"/>
      <c r="H1637" s="112"/>
      <c r="I1637" s="30"/>
    </row>
    <row r="1638">
      <c r="B1638" s="30"/>
      <c r="C1638" s="30"/>
      <c r="G1638" s="30"/>
      <c r="H1638" s="112"/>
      <c r="I1638" s="30"/>
    </row>
    <row r="1639">
      <c r="B1639" s="30"/>
      <c r="C1639" s="30"/>
      <c r="G1639" s="30"/>
      <c r="H1639" s="112"/>
      <c r="I1639" s="30"/>
    </row>
    <row r="1640">
      <c r="B1640" s="30"/>
      <c r="C1640" s="30"/>
      <c r="G1640" s="30"/>
      <c r="H1640" s="112"/>
      <c r="I1640" s="30"/>
    </row>
    <row r="1641">
      <c r="B1641" s="30"/>
      <c r="C1641" s="30"/>
      <c r="G1641" s="30"/>
      <c r="H1641" s="112"/>
      <c r="I1641" s="30"/>
    </row>
    <row r="1642">
      <c r="B1642" s="30"/>
      <c r="C1642" s="30"/>
      <c r="G1642" s="30"/>
      <c r="H1642" s="112"/>
      <c r="I1642" s="30"/>
    </row>
    <row r="1643">
      <c r="B1643" s="30"/>
      <c r="C1643" s="30"/>
      <c r="G1643" s="30"/>
      <c r="H1643" s="112"/>
      <c r="I1643" s="30"/>
    </row>
    <row r="1644">
      <c r="B1644" s="30"/>
      <c r="C1644" s="30"/>
      <c r="G1644" s="30"/>
      <c r="H1644" s="112"/>
      <c r="I1644" s="30"/>
    </row>
    <row r="1645">
      <c r="B1645" s="30"/>
      <c r="C1645" s="30"/>
      <c r="G1645" s="30"/>
      <c r="H1645" s="112"/>
      <c r="I1645" s="30"/>
    </row>
    <row r="1646">
      <c r="B1646" s="30"/>
      <c r="C1646" s="30"/>
      <c r="G1646" s="30"/>
      <c r="H1646" s="112"/>
      <c r="I1646" s="30"/>
    </row>
    <row r="1647">
      <c r="B1647" s="30"/>
      <c r="C1647" s="30"/>
      <c r="G1647" s="30"/>
      <c r="H1647" s="112"/>
      <c r="I1647" s="30"/>
    </row>
    <row r="1648">
      <c r="B1648" s="30"/>
      <c r="C1648" s="30"/>
      <c r="G1648" s="30"/>
      <c r="H1648" s="112"/>
      <c r="I1648" s="30"/>
    </row>
    <row r="1649">
      <c r="B1649" s="30"/>
      <c r="C1649" s="30"/>
      <c r="G1649" s="30"/>
      <c r="H1649" s="112"/>
      <c r="I1649" s="30"/>
    </row>
    <row r="1650">
      <c r="B1650" s="30"/>
      <c r="C1650" s="30"/>
      <c r="G1650" s="30"/>
      <c r="H1650" s="112"/>
      <c r="I1650" s="30"/>
    </row>
    <row r="1651">
      <c r="B1651" s="30"/>
      <c r="C1651" s="30"/>
      <c r="G1651" s="30"/>
      <c r="H1651" s="112"/>
      <c r="I1651" s="30"/>
    </row>
    <row r="1652">
      <c r="B1652" s="30"/>
      <c r="C1652" s="30"/>
      <c r="G1652" s="30"/>
      <c r="H1652" s="112"/>
      <c r="I1652" s="30"/>
    </row>
    <row r="1653">
      <c r="B1653" s="30"/>
      <c r="C1653" s="30"/>
      <c r="G1653" s="30"/>
      <c r="H1653" s="112"/>
      <c r="I1653" s="30"/>
    </row>
    <row r="1654">
      <c r="B1654" s="30"/>
      <c r="C1654" s="30"/>
      <c r="G1654" s="30"/>
      <c r="H1654" s="112"/>
      <c r="I1654" s="30"/>
    </row>
    <row r="1655">
      <c r="B1655" s="30"/>
      <c r="C1655" s="30"/>
      <c r="G1655" s="30"/>
      <c r="H1655" s="112"/>
      <c r="I1655" s="30"/>
    </row>
    <row r="1656">
      <c r="B1656" s="30"/>
      <c r="C1656" s="30"/>
      <c r="G1656" s="30"/>
      <c r="H1656" s="112"/>
      <c r="I1656" s="30"/>
    </row>
    <row r="1657">
      <c r="B1657" s="30"/>
      <c r="C1657" s="30"/>
      <c r="G1657" s="30"/>
      <c r="H1657" s="112"/>
      <c r="I1657" s="30"/>
    </row>
    <row r="1658">
      <c r="B1658" s="30"/>
      <c r="C1658" s="30"/>
      <c r="G1658" s="30"/>
      <c r="H1658" s="112"/>
      <c r="I1658" s="30"/>
    </row>
    <row r="1659">
      <c r="B1659" s="30"/>
      <c r="C1659" s="30"/>
      <c r="G1659" s="30"/>
      <c r="H1659" s="112"/>
      <c r="I1659" s="30"/>
    </row>
    <row r="1660">
      <c r="B1660" s="30"/>
      <c r="C1660" s="30"/>
      <c r="G1660" s="30"/>
      <c r="H1660" s="112"/>
      <c r="I1660" s="30"/>
    </row>
    <row r="1661">
      <c r="B1661" s="30"/>
      <c r="C1661" s="30"/>
      <c r="G1661" s="30"/>
      <c r="H1661" s="112"/>
      <c r="I1661" s="30"/>
    </row>
    <row r="1662">
      <c r="B1662" s="30"/>
      <c r="C1662" s="30"/>
      <c r="G1662" s="30"/>
      <c r="H1662" s="112"/>
      <c r="I1662" s="30"/>
    </row>
    <row r="1663">
      <c r="B1663" s="30"/>
      <c r="C1663" s="30"/>
      <c r="G1663" s="30"/>
      <c r="H1663" s="112"/>
      <c r="I1663" s="30"/>
    </row>
    <row r="1664">
      <c r="B1664" s="30"/>
      <c r="C1664" s="30"/>
      <c r="G1664" s="30"/>
      <c r="H1664" s="112"/>
      <c r="I1664" s="30"/>
    </row>
    <row r="1665">
      <c r="B1665" s="30"/>
      <c r="C1665" s="30"/>
      <c r="G1665" s="30"/>
      <c r="H1665" s="112"/>
      <c r="I1665" s="30"/>
    </row>
    <row r="1666">
      <c r="B1666" s="30"/>
      <c r="C1666" s="30"/>
      <c r="G1666" s="30"/>
      <c r="H1666" s="112"/>
      <c r="I1666" s="30"/>
    </row>
    <row r="1667">
      <c r="B1667" s="30"/>
      <c r="C1667" s="30"/>
      <c r="G1667" s="30"/>
      <c r="H1667" s="112"/>
      <c r="I1667" s="30"/>
    </row>
    <row r="1668">
      <c r="B1668" s="30"/>
      <c r="C1668" s="30"/>
      <c r="G1668" s="30"/>
      <c r="H1668" s="112"/>
      <c r="I1668" s="30"/>
    </row>
    <row r="1669">
      <c r="B1669" s="30"/>
      <c r="C1669" s="30"/>
      <c r="G1669" s="30"/>
      <c r="H1669" s="112"/>
      <c r="I1669" s="30"/>
    </row>
    <row r="1670">
      <c r="B1670" s="30"/>
      <c r="C1670" s="30"/>
      <c r="G1670" s="30"/>
      <c r="H1670" s="112"/>
      <c r="I1670" s="30"/>
    </row>
    <row r="1671">
      <c r="B1671" s="30"/>
      <c r="C1671" s="30"/>
      <c r="G1671" s="30"/>
      <c r="H1671" s="112"/>
      <c r="I1671" s="30"/>
    </row>
    <row r="1672">
      <c r="B1672" s="30"/>
      <c r="C1672" s="30"/>
      <c r="G1672" s="30"/>
      <c r="H1672" s="112"/>
      <c r="I1672" s="30"/>
    </row>
    <row r="1673">
      <c r="B1673" s="30"/>
      <c r="C1673" s="30"/>
      <c r="G1673" s="30"/>
      <c r="H1673" s="112"/>
      <c r="I1673" s="30"/>
    </row>
    <row r="1674">
      <c r="B1674" s="30"/>
      <c r="C1674" s="30"/>
      <c r="G1674" s="30"/>
      <c r="H1674" s="112"/>
      <c r="I1674" s="30"/>
    </row>
    <row r="1675">
      <c r="B1675" s="30"/>
      <c r="C1675" s="30"/>
      <c r="G1675" s="30"/>
      <c r="H1675" s="112"/>
      <c r="I1675" s="30"/>
    </row>
    <row r="1676">
      <c r="B1676" s="30"/>
      <c r="C1676" s="30"/>
      <c r="G1676" s="30"/>
      <c r="H1676" s="112"/>
      <c r="I1676" s="30"/>
    </row>
    <row r="1677">
      <c r="B1677" s="30"/>
      <c r="C1677" s="30"/>
      <c r="G1677" s="30"/>
      <c r="H1677" s="112"/>
      <c r="I1677" s="30"/>
    </row>
    <row r="1678">
      <c r="B1678" s="30"/>
      <c r="C1678" s="30"/>
      <c r="G1678" s="30"/>
      <c r="H1678" s="112"/>
      <c r="I1678" s="30"/>
    </row>
    <row r="1679">
      <c r="B1679" s="30"/>
      <c r="C1679" s="30"/>
      <c r="G1679" s="30"/>
      <c r="H1679" s="112"/>
      <c r="I1679" s="30"/>
    </row>
    <row r="1680">
      <c r="B1680" s="30"/>
      <c r="C1680" s="30"/>
      <c r="G1680" s="30"/>
      <c r="H1680" s="112"/>
      <c r="I1680" s="30"/>
    </row>
    <row r="1681">
      <c r="B1681" s="30"/>
      <c r="C1681" s="30"/>
      <c r="G1681" s="30"/>
      <c r="H1681" s="112"/>
      <c r="I1681" s="30"/>
    </row>
    <row r="1682">
      <c r="B1682" s="30"/>
      <c r="C1682" s="30"/>
      <c r="G1682" s="30"/>
      <c r="H1682" s="112"/>
      <c r="I1682" s="30"/>
    </row>
    <row r="1683">
      <c r="B1683" s="30"/>
      <c r="C1683" s="30"/>
      <c r="G1683" s="30"/>
      <c r="H1683" s="112"/>
      <c r="I1683" s="30"/>
    </row>
    <row r="1684">
      <c r="B1684" s="30"/>
      <c r="C1684" s="30"/>
      <c r="G1684" s="30"/>
      <c r="H1684" s="112"/>
      <c r="I1684" s="30"/>
    </row>
    <row r="1685">
      <c r="B1685" s="30"/>
      <c r="C1685" s="30"/>
      <c r="G1685" s="30"/>
      <c r="H1685" s="112"/>
      <c r="I1685" s="30"/>
    </row>
    <row r="1686">
      <c r="B1686" s="30"/>
      <c r="C1686" s="30"/>
      <c r="G1686" s="30"/>
      <c r="H1686" s="112"/>
      <c r="I1686" s="30"/>
    </row>
    <row r="1687">
      <c r="B1687" s="30"/>
      <c r="C1687" s="30"/>
      <c r="G1687" s="30"/>
      <c r="H1687" s="112"/>
      <c r="I1687" s="30"/>
    </row>
    <row r="1688">
      <c r="B1688" s="30"/>
      <c r="C1688" s="30"/>
      <c r="G1688" s="30"/>
      <c r="H1688" s="112"/>
      <c r="I1688" s="30"/>
    </row>
    <row r="1689">
      <c r="B1689" s="30"/>
      <c r="C1689" s="30"/>
      <c r="G1689" s="30"/>
      <c r="H1689" s="112"/>
      <c r="I1689" s="30"/>
    </row>
    <row r="1690">
      <c r="B1690" s="30"/>
      <c r="C1690" s="30"/>
      <c r="G1690" s="30"/>
      <c r="H1690" s="112"/>
      <c r="I1690" s="30"/>
    </row>
    <row r="1691">
      <c r="B1691" s="30"/>
      <c r="C1691" s="30"/>
      <c r="G1691" s="30"/>
      <c r="H1691" s="112"/>
      <c r="I1691" s="30"/>
    </row>
    <row r="1692">
      <c r="B1692" s="30"/>
      <c r="C1692" s="30"/>
      <c r="G1692" s="30"/>
      <c r="H1692" s="112"/>
      <c r="I1692" s="30"/>
    </row>
    <row r="1693">
      <c r="B1693" s="30"/>
      <c r="C1693" s="30"/>
      <c r="G1693" s="30"/>
      <c r="H1693" s="112"/>
      <c r="I1693" s="30"/>
    </row>
    <row r="1694">
      <c r="B1694" s="30"/>
      <c r="C1694" s="30"/>
      <c r="G1694" s="30"/>
      <c r="H1694" s="112"/>
      <c r="I1694" s="30"/>
    </row>
    <row r="1695">
      <c r="B1695" s="30"/>
      <c r="C1695" s="30"/>
      <c r="G1695" s="30"/>
      <c r="H1695" s="112"/>
      <c r="I1695" s="30"/>
    </row>
    <row r="1696">
      <c r="B1696" s="30"/>
      <c r="C1696" s="30"/>
      <c r="G1696" s="30"/>
      <c r="H1696" s="112"/>
      <c r="I1696" s="30"/>
    </row>
    <row r="1697">
      <c r="B1697" s="30"/>
      <c r="C1697" s="30"/>
      <c r="G1697" s="30"/>
      <c r="H1697" s="112"/>
      <c r="I1697" s="30"/>
    </row>
    <row r="1698">
      <c r="B1698" s="30"/>
      <c r="C1698" s="30"/>
      <c r="G1698" s="30"/>
      <c r="H1698" s="112"/>
      <c r="I1698" s="30"/>
    </row>
    <row r="1699">
      <c r="B1699" s="30"/>
      <c r="C1699" s="30"/>
      <c r="G1699" s="30"/>
      <c r="H1699" s="112"/>
      <c r="I1699" s="30"/>
    </row>
    <row r="1700">
      <c r="B1700" s="30"/>
      <c r="C1700" s="30"/>
      <c r="G1700" s="30"/>
      <c r="H1700" s="112"/>
      <c r="I1700" s="30"/>
    </row>
    <row r="1701">
      <c r="B1701" s="30"/>
      <c r="C1701" s="30"/>
      <c r="G1701" s="30"/>
      <c r="H1701" s="112"/>
      <c r="I1701" s="30"/>
    </row>
    <row r="1702">
      <c r="B1702" s="30"/>
      <c r="C1702" s="30"/>
      <c r="G1702" s="30"/>
      <c r="H1702" s="112"/>
      <c r="I1702" s="30"/>
    </row>
    <row r="1703">
      <c r="B1703" s="30"/>
      <c r="C1703" s="30"/>
      <c r="G1703" s="30"/>
      <c r="H1703" s="112"/>
      <c r="I1703" s="30"/>
    </row>
    <row r="1704">
      <c r="B1704" s="30"/>
      <c r="C1704" s="30"/>
      <c r="G1704" s="30"/>
      <c r="H1704" s="112"/>
      <c r="I1704" s="30"/>
    </row>
    <row r="1705">
      <c r="B1705" s="30"/>
      <c r="C1705" s="30"/>
      <c r="G1705" s="30"/>
      <c r="H1705" s="112"/>
      <c r="I1705" s="30"/>
    </row>
    <row r="1706">
      <c r="B1706" s="30"/>
      <c r="C1706" s="30"/>
      <c r="G1706" s="30"/>
      <c r="H1706" s="112"/>
      <c r="I1706" s="30"/>
    </row>
    <row r="1707">
      <c r="B1707" s="30"/>
      <c r="C1707" s="30"/>
      <c r="G1707" s="30"/>
      <c r="H1707" s="112"/>
      <c r="I1707" s="30"/>
    </row>
    <row r="1708">
      <c r="B1708" s="30"/>
      <c r="C1708" s="30"/>
      <c r="G1708" s="30"/>
      <c r="H1708" s="112"/>
      <c r="I1708" s="30"/>
    </row>
    <row r="1709">
      <c r="B1709" s="30"/>
      <c r="C1709" s="30"/>
      <c r="G1709" s="30"/>
      <c r="H1709" s="112"/>
      <c r="I1709" s="30"/>
    </row>
    <row r="1710">
      <c r="B1710" s="30"/>
      <c r="C1710" s="30"/>
      <c r="G1710" s="30"/>
      <c r="H1710" s="112"/>
      <c r="I1710" s="30"/>
    </row>
    <row r="1711">
      <c r="B1711" s="30"/>
      <c r="C1711" s="30"/>
      <c r="G1711" s="30"/>
      <c r="H1711" s="112"/>
      <c r="I1711" s="30"/>
    </row>
    <row r="1712">
      <c r="B1712" s="30"/>
      <c r="C1712" s="30"/>
      <c r="G1712" s="30"/>
      <c r="H1712" s="112"/>
      <c r="I1712" s="30"/>
    </row>
    <row r="1713">
      <c r="B1713" s="30"/>
      <c r="C1713" s="30"/>
      <c r="G1713" s="30"/>
      <c r="H1713" s="112"/>
      <c r="I1713" s="30"/>
    </row>
    <row r="1714">
      <c r="B1714" s="30"/>
      <c r="C1714" s="30"/>
      <c r="G1714" s="30"/>
      <c r="H1714" s="112"/>
      <c r="I1714" s="30"/>
    </row>
    <row r="1715">
      <c r="B1715" s="30"/>
      <c r="C1715" s="30"/>
      <c r="G1715" s="30"/>
      <c r="H1715" s="112"/>
      <c r="I1715" s="30"/>
    </row>
    <row r="1716">
      <c r="B1716" s="30"/>
      <c r="C1716" s="30"/>
      <c r="G1716" s="30"/>
      <c r="H1716" s="112"/>
      <c r="I1716" s="30"/>
    </row>
    <row r="1717">
      <c r="B1717" s="30"/>
      <c r="C1717" s="30"/>
      <c r="G1717" s="30"/>
      <c r="H1717" s="112"/>
      <c r="I1717" s="30"/>
    </row>
    <row r="1718">
      <c r="B1718" s="30"/>
      <c r="C1718" s="30"/>
      <c r="G1718" s="30"/>
      <c r="H1718" s="112"/>
      <c r="I1718" s="30"/>
    </row>
    <row r="1719">
      <c r="B1719" s="30"/>
      <c r="C1719" s="30"/>
      <c r="G1719" s="30"/>
      <c r="H1719" s="112"/>
      <c r="I1719" s="30"/>
    </row>
    <row r="1720">
      <c r="B1720" s="30"/>
      <c r="C1720" s="30"/>
      <c r="G1720" s="30"/>
      <c r="H1720" s="112"/>
      <c r="I1720" s="30"/>
    </row>
    <row r="1721">
      <c r="B1721" s="30"/>
      <c r="C1721" s="30"/>
      <c r="G1721" s="30"/>
      <c r="H1721" s="112"/>
      <c r="I1721" s="30"/>
    </row>
    <row r="1722">
      <c r="B1722" s="30"/>
      <c r="C1722" s="30"/>
      <c r="G1722" s="30"/>
      <c r="H1722" s="112"/>
      <c r="I1722" s="30"/>
    </row>
    <row r="1723">
      <c r="B1723" s="30"/>
      <c r="C1723" s="30"/>
      <c r="G1723" s="30"/>
      <c r="H1723" s="112"/>
      <c r="I1723" s="30"/>
    </row>
    <row r="1724">
      <c r="B1724" s="30"/>
      <c r="C1724" s="30"/>
      <c r="G1724" s="30"/>
      <c r="H1724" s="112"/>
      <c r="I1724" s="30"/>
    </row>
    <row r="1725">
      <c r="B1725" s="30"/>
      <c r="C1725" s="30"/>
      <c r="G1725" s="30"/>
      <c r="H1725" s="112"/>
      <c r="I1725" s="30"/>
    </row>
    <row r="1726">
      <c r="B1726" s="30"/>
      <c r="C1726" s="30"/>
      <c r="G1726" s="30"/>
      <c r="H1726" s="112"/>
      <c r="I1726" s="30"/>
    </row>
    <row r="1727">
      <c r="B1727" s="30"/>
      <c r="C1727" s="30"/>
      <c r="G1727" s="30"/>
      <c r="H1727" s="112"/>
      <c r="I1727" s="30"/>
    </row>
    <row r="1728">
      <c r="B1728" s="30"/>
      <c r="C1728" s="30"/>
      <c r="G1728" s="30"/>
      <c r="H1728" s="112"/>
      <c r="I1728" s="30"/>
    </row>
    <row r="1729">
      <c r="B1729" s="30"/>
      <c r="C1729" s="30"/>
      <c r="G1729" s="30"/>
      <c r="H1729" s="112"/>
      <c r="I1729" s="30"/>
    </row>
    <row r="1730">
      <c r="B1730" s="30"/>
      <c r="C1730" s="30"/>
      <c r="G1730" s="30"/>
      <c r="H1730" s="112"/>
      <c r="I1730" s="30"/>
    </row>
    <row r="1731">
      <c r="B1731" s="30"/>
      <c r="C1731" s="30"/>
      <c r="G1731" s="30"/>
      <c r="H1731" s="112"/>
      <c r="I1731" s="30"/>
    </row>
    <row r="1732">
      <c r="B1732" s="30"/>
      <c r="C1732" s="30"/>
      <c r="G1732" s="30"/>
      <c r="H1732" s="112"/>
      <c r="I1732" s="30"/>
    </row>
    <row r="1733">
      <c r="B1733" s="30"/>
      <c r="C1733" s="30"/>
      <c r="G1733" s="30"/>
      <c r="H1733" s="112"/>
      <c r="I1733" s="30"/>
    </row>
    <row r="1734">
      <c r="B1734" s="30"/>
      <c r="C1734" s="30"/>
      <c r="G1734" s="30"/>
      <c r="H1734" s="112"/>
      <c r="I1734" s="30"/>
    </row>
    <row r="1735">
      <c r="B1735" s="30"/>
      <c r="C1735" s="30"/>
      <c r="G1735" s="30"/>
      <c r="H1735" s="112"/>
      <c r="I1735" s="30"/>
    </row>
    <row r="1736">
      <c r="B1736" s="30"/>
      <c r="C1736" s="30"/>
      <c r="G1736" s="30"/>
      <c r="H1736" s="112"/>
      <c r="I1736" s="30"/>
    </row>
    <row r="1737">
      <c r="B1737" s="30"/>
      <c r="C1737" s="30"/>
      <c r="G1737" s="30"/>
      <c r="H1737" s="112"/>
      <c r="I1737" s="30"/>
    </row>
    <row r="1738">
      <c r="B1738" s="30"/>
      <c r="C1738" s="30"/>
      <c r="G1738" s="30"/>
      <c r="H1738" s="112"/>
      <c r="I1738" s="30"/>
    </row>
    <row r="1739">
      <c r="B1739" s="30"/>
      <c r="C1739" s="30"/>
      <c r="G1739" s="30"/>
      <c r="H1739" s="112"/>
      <c r="I1739" s="30"/>
    </row>
    <row r="1740">
      <c r="B1740" s="30"/>
      <c r="C1740" s="30"/>
      <c r="G1740" s="30"/>
      <c r="H1740" s="112"/>
      <c r="I1740" s="30"/>
    </row>
    <row r="1741">
      <c r="B1741" s="30"/>
      <c r="C1741" s="30"/>
      <c r="G1741" s="30"/>
      <c r="H1741" s="112"/>
      <c r="I1741" s="30"/>
    </row>
    <row r="1742">
      <c r="B1742" s="30"/>
      <c r="C1742" s="30"/>
      <c r="G1742" s="30"/>
      <c r="H1742" s="112"/>
      <c r="I1742" s="30"/>
    </row>
    <row r="1743">
      <c r="B1743" s="30"/>
      <c r="C1743" s="30"/>
      <c r="G1743" s="30"/>
      <c r="H1743" s="112"/>
      <c r="I1743" s="30"/>
    </row>
    <row r="1744">
      <c r="B1744" s="30"/>
      <c r="C1744" s="30"/>
      <c r="G1744" s="30"/>
      <c r="H1744" s="112"/>
      <c r="I1744" s="30"/>
    </row>
    <row r="1745">
      <c r="B1745" s="30"/>
      <c r="C1745" s="30"/>
      <c r="G1745" s="30"/>
      <c r="H1745" s="112"/>
      <c r="I1745" s="30"/>
    </row>
    <row r="1746">
      <c r="B1746" s="30"/>
      <c r="C1746" s="30"/>
      <c r="G1746" s="30"/>
      <c r="H1746" s="112"/>
      <c r="I1746" s="30"/>
    </row>
    <row r="1747">
      <c r="B1747" s="30"/>
      <c r="C1747" s="30"/>
      <c r="G1747" s="30"/>
      <c r="H1747" s="112"/>
      <c r="I1747" s="30"/>
    </row>
    <row r="1748">
      <c r="B1748" s="30"/>
      <c r="C1748" s="30"/>
      <c r="G1748" s="30"/>
      <c r="H1748" s="112"/>
      <c r="I1748" s="30"/>
    </row>
    <row r="1749">
      <c r="B1749" s="30"/>
      <c r="C1749" s="30"/>
      <c r="G1749" s="30"/>
      <c r="H1749" s="112"/>
      <c r="I1749" s="30"/>
    </row>
    <row r="1750">
      <c r="B1750" s="30"/>
      <c r="C1750" s="30"/>
      <c r="G1750" s="30"/>
      <c r="H1750" s="112"/>
      <c r="I1750" s="30"/>
    </row>
    <row r="1751">
      <c r="B1751" s="30"/>
      <c r="C1751" s="30"/>
      <c r="G1751" s="30"/>
      <c r="H1751" s="112"/>
      <c r="I1751" s="30"/>
    </row>
    <row r="1752">
      <c r="B1752" s="30"/>
      <c r="C1752" s="30"/>
      <c r="G1752" s="30"/>
      <c r="H1752" s="112"/>
      <c r="I1752" s="30"/>
    </row>
    <row r="1753">
      <c r="B1753" s="30"/>
      <c r="C1753" s="30"/>
      <c r="G1753" s="30"/>
      <c r="H1753" s="112"/>
      <c r="I1753" s="30"/>
    </row>
    <row r="1754">
      <c r="B1754" s="30"/>
      <c r="C1754" s="30"/>
      <c r="G1754" s="30"/>
      <c r="H1754" s="112"/>
      <c r="I1754" s="30"/>
    </row>
    <row r="1755">
      <c r="B1755" s="30"/>
      <c r="C1755" s="30"/>
      <c r="G1755" s="30"/>
      <c r="H1755" s="112"/>
      <c r="I1755" s="30"/>
    </row>
    <row r="1756">
      <c r="B1756" s="30"/>
      <c r="C1756" s="30"/>
      <c r="G1756" s="30"/>
      <c r="H1756" s="112"/>
      <c r="I1756" s="30"/>
    </row>
    <row r="1757">
      <c r="B1757" s="30"/>
      <c r="C1757" s="30"/>
      <c r="G1757" s="30"/>
      <c r="H1757" s="112"/>
      <c r="I1757" s="30"/>
    </row>
    <row r="1758">
      <c r="B1758" s="30"/>
      <c r="C1758" s="30"/>
      <c r="G1758" s="30"/>
      <c r="H1758" s="112"/>
      <c r="I1758" s="30"/>
    </row>
    <row r="1759">
      <c r="B1759" s="30"/>
      <c r="C1759" s="30"/>
      <c r="G1759" s="30"/>
      <c r="H1759" s="112"/>
      <c r="I1759" s="30"/>
    </row>
    <row r="1760">
      <c r="B1760" s="30"/>
      <c r="C1760" s="30"/>
      <c r="G1760" s="30"/>
      <c r="H1760" s="112"/>
      <c r="I1760" s="30"/>
    </row>
    <row r="1761">
      <c r="B1761" s="30"/>
      <c r="C1761" s="30"/>
      <c r="G1761" s="30"/>
      <c r="H1761" s="112"/>
      <c r="I1761" s="30"/>
    </row>
    <row r="1762">
      <c r="B1762" s="30"/>
      <c r="C1762" s="30"/>
      <c r="G1762" s="30"/>
      <c r="H1762" s="112"/>
      <c r="I1762" s="30"/>
    </row>
    <row r="1763">
      <c r="B1763" s="30"/>
      <c r="C1763" s="30"/>
      <c r="G1763" s="30"/>
      <c r="H1763" s="112"/>
      <c r="I1763" s="30"/>
    </row>
    <row r="1764">
      <c r="B1764" s="30"/>
      <c r="C1764" s="30"/>
      <c r="G1764" s="30"/>
      <c r="H1764" s="112"/>
      <c r="I1764" s="30"/>
    </row>
    <row r="1765">
      <c r="B1765" s="30"/>
      <c r="C1765" s="30"/>
      <c r="G1765" s="30"/>
      <c r="H1765" s="112"/>
      <c r="I1765" s="30"/>
    </row>
    <row r="1766">
      <c r="B1766" s="30"/>
      <c r="C1766" s="30"/>
      <c r="G1766" s="30"/>
      <c r="H1766" s="112"/>
      <c r="I1766" s="30"/>
    </row>
    <row r="1767">
      <c r="B1767" s="30"/>
      <c r="C1767" s="30"/>
      <c r="G1767" s="30"/>
      <c r="H1767" s="112"/>
      <c r="I1767" s="30"/>
    </row>
    <row r="1768">
      <c r="B1768" s="30"/>
      <c r="C1768" s="30"/>
      <c r="G1768" s="30"/>
      <c r="H1768" s="112"/>
      <c r="I1768" s="30"/>
    </row>
    <row r="1769">
      <c r="B1769" s="30"/>
      <c r="C1769" s="30"/>
      <c r="G1769" s="30"/>
      <c r="H1769" s="112"/>
      <c r="I1769" s="30"/>
    </row>
    <row r="1770">
      <c r="B1770" s="30"/>
      <c r="C1770" s="30"/>
      <c r="G1770" s="30"/>
      <c r="H1770" s="112"/>
      <c r="I1770" s="30"/>
    </row>
    <row r="1771">
      <c r="B1771" s="30"/>
      <c r="C1771" s="30"/>
      <c r="G1771" s="30"/>
      <c r="H1771" s="112"/>
      <c r="I1771" s="30"/>
    </row>
    <row r="1772">
      <c r="B1772" s="30"/>
      <c r="C1772" s="30"/>
      <c r="G1772" s="30"/>
      <c r="H1772" s="112"/>
      <c r="I1772" s="30"/>
    </row>
    <row r="1773">
      <c r="B1773" s="30"/>
      <c r="C1773" s="30"/>
      <c r="G1773" s="30"/>
      <c r="H1773" s="112"/>
      <c r="I1773" s="30"/>
    </row>
    <row r="1774">
      <c r="B1774" s="30"/>
      <c r="C1774" s="30"/>
      <c r="G1774" s="30"/>
      <c r="H1774" s="112"/>
      <c r="I1774" s="30"/>
    </row>
    <row r="1775">
      <c r="B1775" s="30"/>
      <c r="C1775" s="30"/>
      <c r="G1775" s="30"/>
      <c r="H1775" s="112"/>
      <c r="I1775" s="30"/>
    </row>
    <row r="1776">
      <c r="B1776" s="30"/>
      <c r="C1776" s="30"/>
      <c r="G1776" s="30"/>
      <c r="H1776" s="112"/>
      <c r="I1776" s="30"/>
    </row>
    <row r="1777">
      <c r="B1777" s="30"/>
      <c r="C1777" s="30"/>
      <c r="G1777" s="30"/>
      <c r="H1777" s="112"/>
      <c r="I1777" s="30"/>
    </row>
    <row r="1778">
      <c r="B1778" s="30"/>
      <c r="C1778" s="30"/>
      <c r="G1778" s="30"/>
      <c r="H1778" s="112"/>
      <c r="I1778" s="30"/>
    </row>
    <row r="1779">
      <c r="B1779" s="30"/>
      <c r="C1779" s="30"/>
      <c r="G1779" s="30"/>
      <c r="H1779" s="112"/>
      <c r="I1779" s="30"/>
    </row>
    <row r="1780">
      <c r="B1780" s="30"/>
      <c r="C1780" s="30"/>
      <c r="G1780" s="30"/>
      <c r="H1780" s="112"/>
      <c r="I1780" s="30"/>
    </row>
    <row r="1781">
      <c r="B1781" s="30"/>
      <c r="C1781" s="30"/>
      <c r="G1781" s="30"/>
      <c r="H1781" s="112"/>
      <c r="I1781" s="30"/>
    </row>
    <row r="1782">
      <c r="B1782" s="30"/>
      <c r="C1782" s="30"/>
      <c r="G1782" s="30"/>
      <c r="H1782" s="112"/>
      <c r="I1782" s="30"/>
    </row>
    <row r="1783">
      <c r="B1783" s="30"/>
      <c r="C1783" s="30"/>
      <c r="G1783" s="30"/>
      <c r="H1783" s="112"/>
      <c r="I1783" s="30"/>
    </row>
    <row r="1784">
      <c r="B1784" s="30"/>
      <c r="C1784" s="30"/>
      <c r="G1784" s="30"/>
      <c r="H1784" s="112"/>
      <c r="I1784" s="30"/>
    </row>
    <row r="1785">
      <c r="B1785" s="30"/>
      <c r="C1785" s="30"/>
      <c r="G1785" s="30"/>
      <c r="H1785" s="112"/>
      <c r="I1785" s="30"/>
    </row>
    <row r="1786">
      <c r="B1786" s="30"/>
      <c r="C1786" s="30"/>
      <c r="G1786" s="30"/>
      <c r="H1786" s="112"/>
      <c r="I1786" s="30"/>
    </row>
    <row r="1787">
      <c r="B1787" s="30"/>
      <c r="C1787" s="30"/>
      <c r="G1787" s="30"/>
      <c r="H1787" s="112"/>
      <c r="I1787" s="30"/>
    </row>
    <row r="1788">
      <c r="B1788" s="30"/>
      <c r="C1788" s="30"/>
      <c r="G1788" s="30"/>
      <c r="H1788" s="112"/>
      <c r="I1788" s="30"/>
    </row>
    <row r="1789">
      <c r="B1789" s="30"/>
      <c r="C1789" s="30"/>
      <c r="G1789" s="30"/>
      <c r="H1789" s="112"/>
      <c r="I1789" s="30"/>
    </row>
    <row r="1790">
      <c r="B1790" s="30"/>
      <c r="C1790" s="30"/>
      <c r="G1790" s="30"/>
      <c r="H1790" s="112"/>
      <c r="I1790" s="30"/>
    </row>
    <row r="1791">
      <c r="B1791" s="30"/>
      <c r="C1791" s="30"/>
      <c r="G1791" s="30"/>
      <c r="H1791" s="112"/>
      <c r="I1791" s="30"/>
    </row>
    <row r="1792">
      <c r="B1792" s="30"/>
      <c r="C1792" s="30"/>
      <c r="G1792" s="30"/>
      <c r="H1792" s="112"/>
      <c r="I1792" s="30"/>
    </row>
    <row r="1793">
      <c r="B1793" s="30"/>
      <c r="C1793" s="30"/>
      <c r="G1793" s="30"/>
      <c r="H1793" s="112"/>
      <c r="I1793" s="30"/>
    </row>
    <row r="1794">
      <c r="B1794" s="30"/>
      <c r="C1794" s="30"/>
      <c r="G1794" s="30"/>
      <c r="H1794" s="112"/>
      <c r="I1794" s="30"/>
    </row>
    <row r="1795">
      <c r="B1795" s="30"/>
      <c r="C1795" s="30"/>
      <c r="G1795" s="30"/>
      <c r="H1795" s="112"/>
      <c r="I1795" s="30"/>
    </row>
    <row r="1796">
      <c r="B1796" s="30"/>
      <c r="C1796" s="30"/>
      <c r="G1796" s="30"/>
      <c r="H1796" s="112"/>
      <c r="I1796" s="30"/>
    </row>
    <row r="1797">
      <c r="B1797" s="30"/>
      <c r="C1797" s="30"/>
      <c r="G1797" s="30"/>
      <c r="H1797" s="112"/>
      <c r="I1797" s="30"/>
    </row>
    <row r="1798">
      <c r="B1798" s="30"/>
      <c r="C1798" s="30"/>
      <c r="G1798" s="30"/>
      <c r="H1798" s="112"/>
      <c r="I1798" s="30"/>
    </row>
    <row r="1799">
      <c r="B1799" s="30"/>
      <c r="C1799" s="30"/>
      <c r="G1799" s="30"/>
      <c r="H1799" s="112"/>
      <c r="I1799" s="30"/>
    </row>
    <row r="1800">
      <c r="B1800" s="30"/>
      <c r="C1800" s="30"/>
      <c r="G1800" s="30"/>
      <c r="H1800" s="112"/>
      <c r="I1800" s="30"/>
    </row>
    <row r="1801">
      <c r="B1801" s="30"/>
      <c r="C1801" s="30"/>
      <c r="G1801" s="30"/>
      <c r="H1801" s="112"/>
      <c r="I1801" s="30"/>
    </row>
    <row r="1802">
      <c r="B1802" s="30"/>
      <c r="C1802" s="30"/>
      <c r="G1802" s="30"/>
      <c r="H1802" s="112"/>
      <c r="I1802" s="30"/>
    </row>
    <row r="1803">
      <c r="B1803" s="30"/>
      <c r="C1803" s="30"/>
      <c r="G1803" s="30"/>
      <c r="H1803" s="112"/>
      <c r="I1803" s="30"/>
    </row>
    <row r="1804">
      <c r="B1804" s="30"/>
      <c r="C1804" s="30"/>
      <c r="G1804" s="30"/>
      <c r="H1804" s="112"/>
      <c r="I1804" s="30"/>
    </row>
    <row r="1805">
      <c r="B1805" s="30"/>
      <c r="C1805" s="30"/>
      <c r="G1805" s="30"/>
      <c r="H1805" s="112"/>
      <c r="I1805" s="30"/>
    </row>
    <row r="1806">
      <c r="B1806" s="30"/>
      <c r="C1806" s="30"/>
      <c r="G1806" s="30"/>
      <c r="H1806" s="112"/>
      <c r="I1806" s="30"/>
    </row>
    <row r="1807">
      <c r="B1807" s="30"/>
      <c r="C1807" s="30"/>
      <c r="G1807" s="30"/>
      <c r="H1807" s="112"/>
      <c r="I1807" s="30"/>
    </row>
    <row r="1808">
      <c r="B1808" s="30"/>
      <c r="C1808" s="30"/>
      <c r="G1808" s="30"/>
      <c r="H1808" s="112"/>
      <c r="I1808" s="30"/>
    </row>
    <row r="1809">
      <c r="B1809" s="30"/>
      <c r="C1809" s="30"/>
      <c r="G1809" s="30"/>
      <c r="H1809" s="112"/>
      <c r="I1809" s="30"/>
    </row>
    <row r="1810">
      <c r="B1810" s="30"/>
      <c r="C1810" s="30"/>
      <c r="G1810" s="30"/>
      <c r="H1810" s="112"/>
      <c r="I1810" s="30"/>
    </row>
    <row r="1811">
      <c r="B1811" s="30"/>
      <c r="C1811" s="30"/>
      <c r="G1811" s="30"/>
      <c r="H1811" s="112"/>
      <c r="I1811" s="30"/>
    </row>
    <row r="1812">
      <c r="B1812" s="30"/>
      <c r="C1812" s="30"/>
      <c r="G1812" s="30"/>
      <c r="H1812" s="112"/>
      <c r="I1812" s="30"/>
    </row>
    <row r="1813">
      <c r="B1813" s="30"/>
      <c r="C1813" s="30"/>
      <c r="G1813" s="30"/>
      <c r="H1813" s="112"/>
      <c r="I1813" s="30"/>
    </row>
    <row r="1814">
      <c r="B1814" s="30"/>
      <c r="C1814" s="30"/>
      <c r="G1814" s="30"/>
      <c r="H1814" s="112"/>
      <c r="I1814" s="30"/>
    </row>
    <row r="1815">
      <c r="B1815" s="30"/>
      <c r="C1815" s="30"/>
      <c r="G1815" s="30"/>
      <c r="H1815" s="112"/>
      <c r="I1815" s="30"/>
    </row>
    <row r="1816">
      <c r="B1816" s="30"/>
      <c r="C1816" s="30"/>
      <c r="G1816" s="30"/>
      <c r="H1816" s="112"/>
      <c r="I1816" s="30"/>
    </row>
    <row r="1817">
      <c r="B1817" s="30"/>
      <c r="C1817" s="30"/>
      <c r="G1817" s="30"/>
      <c r="H1817" s="112"/>
      <c r="I1817" s="30"/>
    </row>
    <row r="1818">
      <c r="B1818" s="30"/>
      <c r="C1818" s="30"/>
      <c r="G1818" s="30"/>
      <c r="H1818" s="112"/>
      <c r="I1818" s="30"/>
    </row>
    <row r="1819">
      <c r="B1819" s="30"/>
      <c r="C1819" s="30"/>
      <c r="G1819" s="30"/>
      <c r="H1819" s="112"/>
      <c r="I1819" s="30"/>
    </row>
    <row r="1820">
      <c r="B1820" s="30"/>
      <c r="C1820" s="30"/>
      <c r="G1820" s="30"/>
      <c r="H1820" s="112"/>
      <c r="I1820" s="30"/>
    </row>
    <row r="1821">
      <c r="B1821" s="30"/>
      <c r="C1821" s="30"/>
      <c r="G1821" s="30"/>
      <c r="H1821" s="112"/>
      <c r="I1821" s="30"/>
    </row>
    <row r="1822">
      <c r="B1822" s="30"/>
      <c r="C1822" s="30"/>
      <c r="G1822" s="30"/>
      <c r="H1822" s="112"/>
      <c r="I1822" s="30"/>
    </row>
    <row r="1823">
      <c r="B1823" s="30"/>
      <c r="C1823" s="30"/>
      <c r="G1823" s="30"/>
      <c r="H1823" s="112"/>
      <c r="I1823" s="30"/>
    </row>
    <row r="1824">
      <c r="B1824" s="30"/>
      <c r="C1824" s="30"/>
      <c r="G1824" s="30"/>
      <c r="H1824" s="112"/>
      <c r="I1824" s="30"/>
    </row>
    <row r="1825">
      <c r="B1825" s="30"/>
      <c r="C1825" s="30"/>
      <c r="G1825" s="30"/>
      <c r="H1825" s="112"/>
      <c r="I1825" s="30"/>
    </row>
    <row r="1826">
      <c r="B1826" s="30"/>
      <c r="C1826" s="30"/>
      <c r="G1826" s="30"/>
      <c r="H1826" s="112"/>
      <c r="I1826" s="30"/>
    </row>
    <row r="1827">
      <c r="B1827" s="30"/>
      <c r="C1827" s="30"/>
      <c r="G1827" s="30"/>
      <c r="H1827" s="112"/>
      <c r="I1827" s="30"/>
    </row>
    <row r="1828">
      <c r="B1828" s="30"/>
      <c r="C1828" s="30"/>
      <c r="G1828" s="30"/>
      <c r="H1828" s="112"/>
      <c r="I1828" s="30"/>
    </row>
    <row r="1829">
      <c r="B1829" s="30"/>
      <c r="C1829" s="30"/>
      <c r="G1829" s="30"/>
      <c r="H1829" s="112"/>
      <c r="I1829" s="30"/>
    </row>
    <row r="1830">
      <c r="B1830" s="30"/>
      <c r="C1830" s="30"/>
      <c r="G1830" s="30"/>
      <c r="H1830" s="112"/>
      <c r="I1830" s="30"/>
    </row>
    <row r="1831">
      <c r="B1831" s="30"/>
      <c r="C1831" s="30"/>
      <c r="G1831" s="30"/>
      <c r="H1831" s="112"/>
      <c r="I1831" s="30"/>
    </row>
    <row r="1832">
      <c r="B1832" s="30"/>
      <c r="C1832" s="30"/>
      <c r="G1832" s="30"/>
      <c r="H1832" s="112"/>
      <c r="I1832" s="30"/>
    </row>
    <row r="1833">
      <c r="B1833" s="30"/>
      <c r="C1833" s="30"/>
      <c r="G1833" s="30"/>
      <c r="H1833" s="112"/>
      <c r="I1833" s="30"/>
    </row>
    <row r="1834">
      <c r="B1834" s="30"/>
      <c r="C1834" s="30"/>
      <c r="G1834" s="30"/>
      <c r="H1834" s="112"/>
      <c r="I1834" s="30"/>
    </row>
    <row r="1835">
      <c r="B1835" s="30"/>
      <c r="C1835" s="30"/>
      <c r="G1835" s="30"/>
      <c r="H1835" s="112"/>
      <c r="I1835" s="30"/>
    </row>
    <row r="1836">
      <c r="B1836" s="30"/>
      <c r="C1836" s="30"/>
      <c r="G1836" s="30"/>
      <c r="H1836" s="112"/>
      <c r="I1836" s="30"/>
    </row>
    <row r="1837">
      <c r="B1837" s="30"/>
      <c r="C1837" s="30"/>
      <c r="G1837" s="30"/>
      <c r="H1837" s="112"/>
      <c r="I1837" s="30"/>
    </row>
    <row r="1838">
      <c r="B1838" s="30"/>
      <c r="C1838" s="30"/>
      <c r="G1838" s="30"/>
      <c r="H1838" s="112"/>
      <c r="I1838" s="30"/>
    </row>
    <row r="1839">
      <c r="B1839" s="30"/>
      <c r="C1839" s="30"/>
      <c r="G1839" s="30"/>
      <c r="H1839" s="112"/>
      <c r="I1839" s="30"/>
    </row>
    <row r="1840">
      <c r="B1840" s="30"/>
      <c r="C1840" s="30"/>
      <c r="G1840" s="30"/>
      <c r="H1840" s="112"/>
      <c r="I1840" s="30"/>
    </row>
    <row r="1841">
      <c r="B1841" s="30"/>
      <c r="C1841" s="30"/>
      <c r="G1841" s="30"/>
      <c r="H1841" s="112"/>
      <c r="I1841" s="30"/>
    </row>
    <row r="1842">
      <c r="B1842" s="30"/>
      <c r="C1842" s="30"/>
      <c r="G1842" s="30"/>
      <c r="H1842" s="112"/>
      <c r="I1842" s="30"/>
    </row>
    <row r="1843">
      <c r="B1843" s="30"/>
      <c r="C1843" s="30"/>
      <c r="G1843" s="30"/>
      <c r="H1843" s="112"/>
      <c r="I1843" s="30"/>
    </row>
    <row r="1844">
      <c r="B1844" s="30"/>
      <c r="C1844" s="30"/>
      <c r="G1844" s="30"/>
      <c r="H1844" s="112"/>
      <c r="I1844" s="30"/>
    </row>
    <row r="1845">
      <c r="B1845" s="30"/>
      <c r="C1845" s="30"/>
      <c r="G1845" s="30"/>
      <c r="H1845" s="112"/>
      <c r="I1845" s="30"/>
    </row>
    <row r="1846">
      <c r="B1846" s="30"/>
      <c r="C1846" s="30"/>
      <c r="G1846" s="30"/>
      <c r="H1846" s="112"/>
      <c r="I1846" s="30"/>
    </row>
    <row r="1847">
      <c r="B1847" s="30"/>
      <c r="C1847" s="30"/>
      <c r="G1847" s="30"/>
      <c r="H1847" s="112"/>
      <c r="I1847" s="30"/>
    </row>
    <row r="1848">
      <c r="B1848" s="30"/>
      <c r="C1848" s="30"/>
      <c r="G1848" s="30"/>
      <c r="H1848" s="112"/>
      <c r="I1848" s="30"/>
    </row>
    <row r="1849">
      <c r="B1849" s="30"/>
      <c r="C1849" s="30"/>
      <c r="G1849" s="30"/>
      <c r="H1849" s="112"/>
      <c r="I1849" s="30"/>
    </row>
    <row r="1850">
      <c r="B1850" s="30"/>
      <c r="C1850" s="30"/>
      <c r="G1850" s="30"/>
      <c r="H1850" s="112"/>
      <c r="I1850" s="30"/>
    </row>
    <row r="1851">
      <c r="B1851" s="30"/>
      <c r="C1851" s="30"/>
      <c r="G1851" s="30"/>
      <c r="H1851" s="112"/>
      <c r="I1851" s="30"/>
    </row>
    <row r="1852">
      <c r="B1852" s="30"/>
      <c r="C1852" s="30"/>
      <c r="G1852" s="30"/>
      <c r="H1852" s="112"/>
      <c r="I1852" s="30"/>
    </row>
    <row r="1853">
      <c r="B1853" s="30"/>
      <c r="C1853" s="30"/>
      <c r="G1853" s="30"/>
      <c r="H1853" s="112"/>
      <c r="I1853" s="30"/>
    </row>
    <row r="1854">
      <c r="B1854" s="30"/>
      <c r="C1854" s="30"/>
      <c r="G1854" s="30"/>
      <c r="H1854" s="112"/>
      <c r="I1854" s="30"/>
    </row>
    <row r="1855">
      <c r="B1855" s="30"/>
      <c r="C1855" s="30"/>
      <c r="G1855" s="30"/>
      <c r="H1855" s="112"/>
      <c r="I1855" s="30"/>
    </row>
    <row r="1856">
      <c r="B1856" s="30"/>
      <c r="C1856" s="30"/>
      <c r="G1856" s="30"/>
      <c r="H1856" s="112"/>
      <c r="I1856" s="30"/>
    </row>
    <row r="1857">
      <c r="B1857" s="30"/>
      <c r="C1857" s="30"/>
      <c r="G1857" s="30"/>
      <c r="H1857" s="112"/>
      <c r="I1857" s="30"/>
    </row>
    <row r="1858">
      <c r="B1858" s="30"/>
      <c r="C1858" s="30"/>
      <c r="G1858" s="30"/>
      <c r="H1858" s="112"/>
      <c r="I1858" s="30"/>
    </row>
    <row r="1859">
      <c r="B1859" s="30"/>
      <c r="C1859" s="30"/>
      <c r="G1859" s="30"/>
      <c r="H1859" s="112"/>
      <c r="I1859" s="30"/>
    </row>
    <row r="1860">
      <c r="B1860" s="30"/>
      <c r="C1860" s="30"/>
      <c r="G1860" s="30"/>
      <c r="H1860" s="112"/>
      <c r="I1860" s="30"/>
    </row>
    <row r="1861">
      <c r="B1861" s="30"/>
      <c r="C1861" s="30"/>
      <c r="G1861" s="30"/>
      <c r="H1861" s="112"/>
      <c r="I1861" s="30"/>
    </row>
    <row r="1862">
      <c r="B1862" s="30"/>
      <c r="C1862" s="30"/>
      <c r="G1862" s="30"/>
      <c r="H1862" s="112"/>
      <c r="I1862" s="30"/>
    </row>
    <row r="1863">
      <c r="B1863" s="30"/>
      <c r="C1863" s="30"/>
      <c r="G1863" s="30"/>
      <c r="H1863" s="112"/>
      <c r="I1863" s="30"/>
    </row>
    <row r="1864">
      <c r="B1864" s="30"/>
      <c r="C1864" s="30"/>
      <c r="G1864" s="30"/>
      <c r="H1864" s="112"/>
      <c r="I1864" s="30"/>
    </row>
    <row r="1865">
      <c r="B1865" s="30"/>
      <c r="C1865" s="30"/>
      <c r="G1865" s="30"/>
      <c r="H1865" s="112"/>
      <c r="I1865" s="30"/>
    </row>
    <row r="1866">
      <c r="B1866" s="30"/>
      <c r="C1866" s="30"/>
      <c r="G1866" s="30"/>
      <c r="H1866" s="112"/>
      <c r="I1866" s="30"/>
    </row>
    <row r="1867">
      <c r="B1867" s="30"/>
      <c r="C1867" s="30"/>
      <c r="G1867" s="30"/>
      <c r="H1867" s="112"/>
      <c r="I1867" s="30"/>
    </row>
    <row r="1868">
      <c r="B1868" s="30"/>
      <c r="C1868" s="30"/>
      <c r="G1868" s="30"/>
      <c r="H1868" s="112"/>
      <c r="I1868" s="30"/>
    </row>
    <row r="1869">
      <c r="B1869" s="30"/>
      <c r="C1869" s="30"/>
      <c r="G1869" s="30"/>
      <c r="H1869" s="112"/>
      <c r="I1869" s="30"/>
    </row>
    <row r="1870">
      <c r="B1870" s="30"/>
      <c r="C1870" s="30"/>
      <c r="G1870" s="30"/>
      <c r="H1870" s="112"/>
      <c r="I1870" s="30"/>
    </row>
    <row r="1871">
      <c r="B1871" s="30"/>
      <c r="C1871" s="30"/>
      <c r="G1871" s="30"/>
      <c r="H1871" s="112"/>
      <c r="I1871" s="30"/>
    </row>
    <row r="1872">
      <c r="B1872" s="30"/>
      <c r="C1872" s="30"/>
      <c r="G1872" s="30"/>
      <c r="H1872" s="112"/>
      <c r="I1872" s="30"/>
    </row>
    <row r="1873">
      <c r="B1873" s="30"/>
      <c r="C1873" s="30"/>
      <c r="G1873" s="30"/>
      <c r="H1873" s="112"/>
      <c r="I1873" s="30"/>
    </row>
    <row r="1874">
      <c r="B1874" s="30"/>
      <c r="C1874" s="30"/>
      <c r="G1874" s="30"/>
      <c r="H1874" s="112"/>
      <c r="I1874" s="30"/>
    </row>
    <row r="1875">
      <c r="B1875" s="30"/>
      <c r="C1875" s="30"/>
      <c r="G1875" s="30"/>
      <c r="H1875" s="112"/>
      <c r="I1875" s="30"/>
    </row>
    <row r="1876">
      <c r="B1876" s="30"/>
      <c r="C1876" s="30"/>
      <c r="G1876" s="30"/>
      <c r="H1876" s="112"/>
      <c r="I1876" s="30"/>
    </row>
    <row r="1877">
      <c r="B1877" s="30"/>
      <c r="C1877" s="30"/>
      <c r="G1877" s="30"/>
      <c r="H1877" s="112"/>
      <c r="I1877" s="30"/>
    </row>
    <row r="1878">
      <c r="B1878" s="30"/>
      <c r="C1878" s="30"/>
      <c r="G1878" s="30"/>
      <c r="H1878" s="112"/>
      <c r="I1878" s="30"/>
    </row>
    <row r="1879">
      <c r="B1879" s="30"/>
      <c r="C1879" s="30"/>
      <c r="G1879" s="30"/>
      <c r="H1879" s="112"/>
      <c r="I1879" s="30"/>
    </row>
    <row r="1880">
      <c r="B1880" s="30"/>
      <c r="C1880" s="30"/>
      <c r="G1880" s="30"/>
      <c r="H1880" s="112"/>
      <c r="I1880" s="30"/>
    </row>
    <row r="1881">
      <c r="B1881" s="30"/>
      <c r="C1881" s="30"/>
      <c r="G1881" s="30"/>
      <c r="H1881" s="112"/>
      <c r="I1881" s="30"/>
    </row>
    <row r="1882">
      <c r="B1882" s="30"/>
      <c r="C1882" s="30"/>
      <c r="G1882" s="30"/>
      <c r="H1882" s="112"/>
      <c r="I1882" s="30"/>
    </row>
    <row r="1883">
      <c r="B1883" s="30"/>
      <c r="C1883" s="30"/>
      <c r="G1883" s="30"/>
      <c r="H1883" s="112"/>
      <c r="I1883" s="30"/>
    </row>
    <row r="1884">
      <c r="B1884" s="30"/>
      <c r="C1884" s="30"/>
      <c r="G1884" s="30"/>
      <c r="H1884" s="112"/>
      <c r="I1884" s="30"/>
    </row>
    <row r="1885">
      <c r="B1885" s="30"/>
      <c r="C1885" s="30"/>
      <c r="G1885" s="30"/>
      <c r="H1885" s="112"/>
      <c r="I1885" s="30"/>
    </row>
    <row r="1886">
      <c r="B1886" s="30"/>
      <c r="C1886" s="30"/>
      <c r="G1886" s="30"/>
      <c r="H1886" s="112"/>
      <c r="I1886" s="30"/>
    </row>
    <row r="1887">
      <c r="B1887" s="30"/>
      <c r="C1887" s="30"/>
      <c r="G1887" s="30"/>
      <c r="H1887" s="112"/>
      <c r="I1887" s="30"/>
    </row>
    <row r="1888">
      <c r="B1888" s="30"/>
      <c r="C1888" s="30"/>
      <c r="G1888" s="30"/>
      <c r="H1888" s="112"/>
      <c r="I1888" s="30"/>
    </row>
    <row r="1889">
      <c r="B1889" s="30"/>
      <c r="C1889" s="30"/>
      <c r="G1889" s="30"/>
      <c r="H1889" s="112"/>
      <c r="I1889" s="30"/>
    </row>
    <row r="1890">
      <c r="B1890" s="30"/>
      <c r="C1890" s="30"/>
      <c r="G1890" s="30"/>
      <c r="H1890" s="112"/>
      <c r="I1890" s="30"/>
    </row>
    <row r="1891">
      <c r="B1891" s="30"/>
      <c r="C1891" s="30"/>
      <c r="G1891" s="30"/>
      <c r="H1891" s="112"/>
      <c r="I1891" s="30"/>
    </row>
    <row r="1892">
      <c r="B1892" s="30"/>
      <c r="C1892" s="30"/>
      <c r="G1892" s="30"/>
      <c r="H1892" s="112"/>
      <c r="I1892" s="30"/>
    </row>
    <row r="1893">
      <c r="B1893" s="30"/>
      <c r="C1893" s="30"/>
      <c r="G1893" s="30"/>
      <c r="H1893" s="112"/>
      <c r="I1893" s="30"/>
    </row>
    <row r="1894">
      <c r="B1894" s="30"/>
      <c r="C1894" s="30"/>
      <c r="G1894" s="30"/>
      <c r="H1894" s="112"/>
      <c r="I1894" s="30"/>
    </row>
    <row r="1895">
      <c r="B1895" s="30"/>
      <c r="C1895" s="30"/>
      <c r="G1895" s="30"/>
      <c r="H1895" s="112"/>
      <c r="I1895" s="30"/>
    </row>
    <row r="1896">
      <c r="B1896" s="30"/>
      <c r="C1896" s="30"/>
      <c r="G1896" s="30"/>
      <c r="H1896" s="112"/>
      <c r="I1896" s="30"/>
    </row>
    <row r="1897">
      <c r="B1897" s="30"/>
      <c r="C1897" s="30"/>
      <c r="G1897" s="30"/>
      <c r="H1897" s="112"/>
      <c r="I1897" s="30"/>
    </row>
    <row r="1898">
      <c r="B1898" s="30"/>
      <c r="C1898" s="30"/>
      <c r="G1898" s="30"/>
      <c r="H1898" s="112"/>
      <c r="I1898" s="30"/>
    </row>
    <row r="1899">
      <c r="B1899" s="30"/>
      <c r="C1899" s="30"/>
      <c r="G1899" s="30"/>
      <c r="H1899" s="112"/>
      <c r="I1899" s="30"/>
    </row>
    <row r="1900">
      <c r="B1900" s="30"/>
      <c r="C1900" s="30"/>
      <c r="G1900" s="30"/>
      <c r="H1900" s="112"/>
      <c r="I1900" s="30"/>
    </row>
    <row r="1901">
      <c r="B1901" s="30"/>
      <c r="C1901" s="30"/>
      <c r="G1901" s="30"/>
      <c r="H1901" s="112"/>
      <c r="I1901" s="30"/>
    </row>
    <row r="1902">
      <c r="B1902" s="30"/>
      <c r="C1902" s="30"/>
      <c r="G1902" s="30"/>
      <c r="H1902" s="112"/>
      <c r="I1902" s="30"/>
    </row>
    <row r="1903">
      <c r="B1903" s="30"/>
      <c r="C1903" s="30"/>
      <c r="G1903" s="30"/>
      <c r="H1903" s="112"/>
      <c r="I1903" s="30"/>
    </row>
    <row r="1904">
      <c r="B1904" s="30"/>
      <c r="C1904" s="30"/>
      <c r="G1904" s="30"/>
      <c r="H1904" s="112"/>
      <c r="I1904" s="30"/>
    </row>
    <row r="1905">
      <c r="B1905" s="30"/>
      <c r="C1905" s="30"/>
      <c r="G1905" s="30"/>
      <c r="H1905" s="112"/>
      <c r="I1905" s="30"/>
    </row>
    <row r="1906">
      <c r="B1906" s="30"/>
      <c r="C1906" s="30"/>
      <c r="G1906" s="30"/>
      <c r="H1906" s="112"/>
      <c r="I1906" s="30"/>
    </row>
    <row r="1907">
      <c r="B1907" s="30"/>
      <c r="C1907" s="30"/>
      <c r="G1907" s="30"/>
      <c r="H1907" s="112"/>
      <c r="I1907" s="30"/>
    </row>
    <row r="1908">
      <c r="B1908" s="30"/>
      <c r="C1908" s="30"/>
      <c r="G1908" s="30"/>
      <c r="H1908" s="112"/>
      <c r="I1908" s="30"/>
    </row>
    <row r="1909">
      <c r="B1909" s="30"/>
      <c r="C1909" s="30"/>
      <c r="G1909" s="30"/>
      <c r="H1909" s="112"/>
      <c r="I1909" s="30"/>
    </row>
    <row r="1910">
      <c r="B1910" s="30"/>
      <c r="C1910" s="30"/>
      <c r="G1910" s="30"/>
      <c r="H1910" s="112"/>
      <c r="I1910" s="30"/>
    </row>
    <row r="1911">
      <c r="B1911" s="30"/>
      <c r="C1911" s="30"/>
      <c r="G1911" s="30"/>
      <c r="H1911" s="112"/>
      <c r="I1911" s="30"/>
    </row>
    <row r="1912">
      <c r="B1912" s="30"/>
      <c r="C1912" s="30"/>
      <c r="G1912" s="30"/>
      <c r="H1912" s="112"/>
      <c r="I1912" s="30"/>
    </row>
    <row r="1913">
      <c r="B1913" s="30"/>
      <c r="C1913" s="30"/>
      <c r="G1913" s="30"/>
      <c r="H1913" s="112"/>
      <c r="I1913" s="30"/>
    </row>
    <row r="1914">
      <c r="B1914" s="30"/>
      <c r="C1914" s="30"/>
      <c r="G1914" s="30"/>
      <c r="H1914" s="112"/>
      <c r="I1914" s="30"/>
    </row>
    <row r="1915">
      <c r="B1915" s="30"/>
      <c r="C1915" s="30"/>
      <c r="G1915" s="30"/>
      <c r="H1915" s="112"/>
      <c r="I1915" s="30"/>
    </row>
    <row r="1916">
      <c r="B1916" s="30"/>
      <c r="C1916" s="30"/>
      <c r="G1916" s="30"/>
      <c r="H1916" s="112"/>
      <c r="I1916" s="30"/>
    </row>
    <row r="1917">
      <c r="B1917" s="30"/>
      <c r="C1917" s="30"/>
      <c r="G1917" s="30"/>
      <c r="H1917" s="112"/>
      <c r="I1917" s="30"/>
    </row>
    <row r="1918">
      <c r="B1918" s="30"/>
      <c r="C1918" s="30"/>
      <c r="G1918" s="30"/>
      <c r="H1918" s="112"/>
      <c r="I1918" s="30"/>
    </row>
    <row r="1919">
      <c r="B1919" s="30"/>
      <c r="C1919" s="30"/>
      <c r="G1919" s="30"/>
      <c r="H1919" s="112"/>
      <c r="I1919" s="30"/>
    </row>
    <row r="1920">
      <c r="B1920" s="30"/>
      <c r="C1920" s="30"/>
      <c r="G1920" s="30"/>
      <c r="H1920" s="112"/>
      <c r="I1920" s="30"/>
    </row>
    <row r="1921">
      <c r="B1921" s="30"/>
      <c r="C1921" s="30"/>
      <c r="G1921" s="30"/>
      <c r="H1921" s="112"/>
      <c r="I1921" s="30"/>
    </row>
    <row r="1922">
      <c r="B1922" s="30"/>
      <c r="C1922" s="30"/>
      <c r="G1922" s="30"/>
      <c r="H1922" s="112"/>
      <c r="I1922" s="30"/>
    </row>
    <row r="1923">
      <c r="B1923" s="30"/>
      <c r="C1923" s="30"/>
      <c r="G1923" s="30"/>
      <c r="H1923" s="112"/>
      <c r="I1923" s="30"/>
    </row>
    <row r="1924">
      <c r="B1924" s="30"/>
      <c r="C1924" s="30"/>
      <c r="G1924" s="30"/>
      <c r="H1924" s="112"/>
      <c r="I1924" s="30"/>
    </row>
    <row r="1925">
      <c r="B1925" s="30"/>
      <c r="C1925" s="30"/>
      <c r="G1925" s="30"/>
      <c r="H1925" s="112"/>
      <c r="I1925" s="30"/>
    </row>
    <row r="1926">
      <c r="B1926" s="30"/>
      <c r="C1926" s="30"/>
      <c r="G1926" s="30"/>
      <c r="H1926" s="112"/>
      <c r="I1926" s="30"/>
    </row>
    <row r="1927">
      <c r="B1927" s="30"/>
      <c r="C1927" s="30"/>
      <c r="G1927" s="30"/>
      <c r="H1927" s="112"/>
      <c r="I1927" s="30"/>
    </row>
    <row r="1928">
      <c r="B1928" s="30"/>
      <c r="C1928" s="30"/>
      <c r="G1928" s="30"/>
      <c r="H1928" s="112"/>
      <c r="I1928" s="30"/>
    </row>
    <row r="1929">
      <c r="B1929" s="30"/>
      <c r="C1929" s="30"/>
      <c r="G1929" s="30"/>
      <c r="H1929" s="112"/>
      <c r="I1929" s="30"/>
    </row>
    <row r="1930">
      <c r="B1930" s="30"/>
      <c r="C1930" s="30"/>
      <c r="G1930" s="30"/>
      <c r="H1930" s="112"/>
      <c r="I1930" s="30"/>
    </row>
    <row r="1931">
      <c r="B1931" s="30"/>
      <c r="C1931" s="30"/>
      <c r="G1931" s="30"/>
      <c r="H1931" s="112"/>
      <c r="I1931" s="30"/>
    </row>
    <row r="1932">
      <c r="B1932" s="30"/>
      <c r="C1932" s="30"/>
      <c r="G1932" s="30"/>
      <c r="H1932" s="112"/>
      <c r="I1932" s="30"/>
    </row>
    <row r="1933">
      <c r="B1933" s="30"/>
      <c r="C1933" s="30"/>
      <c r="G1933" s="30"/>
      <c r="H1933" s="112"/>
      <c r="I1933" s="30"/>
    </row>
    <row r="1934">
      <c r="B1934" s="30"/>
      <c r="C1934" s="30"/>
      <c r="G1934" s="30"/>
      <c r="H1934" s="112"/>
      <c r="I1934" s="30"/>
    </row>
    <row r="1935">
      <c r="B1935" s="30"/>
      <c r="C1935" s="30"/>
      <c r="G1935" s="30"/>
      <c r="H1935" s="112"/>
      <c r="I1935" s="30"/>
    </row>
    <row r="1936">
      <c r="B1936" s="30"/>
      <c r="C1936" s="30"/>
      <c r="G1936" s="30"/>
      <c r="H1936" s="112"/>
      <c r="I1936" s="30"/>
    </row>
    <row r="1937">
      <c r="B1937" s="30"/>
      <c r="C1937" s="30"/>
      <c r="G1937" s="30"/>
      <c r="H1937" s="112"/>
      <c r="I1937" s="30"/>
    </row>
    <row r="1938">
      <c r="B1938" s="30"/>
      <c r="C1938" s="30"/>
      <c r="G1938" s="30"/>
      <c r="H1938" s="112"/>
      <c r="I1938" s="30"/>
    </row>
    <row r="1939">
      <c r="B1939" s="30"/>
      <c r="C1939" s="30"/>
      <c r="G1939" s="30"/>
      <c r="H1939" s="112"/>
      <c r="I1939" s="30"/>
    </row>
    <row r="1940">
      <c r="B1940" s="30"/>
      <c r="C1940" s="30"/>
      <c r="G1940" s="30"/>
      <c r="H1940" s="112"/>
      <c r="I1940" s="30"/>
    </row>
    <row r="1941">
      <c r="B1941" s="30"/>
      <c r="C1941" s="30"/>
      <c r="G1941" s="30"/>
      <c r="H1941" s="112"/>
      <c r="I1941" s="30"/>
    </row>
    <row r="1942">
      <c r="B1942" s="30"/>
      <c r="C1942" s="30"/>
      <c r="G1942" s="30"/>
      <c r="H1942" s="112"/>
      <c r="I1942" s="30"/>
    </row>
    <row r="1943">
      <c r="B1943" s="30"/>
      <c r="C1943" s="30"/>
      <c r="G1943" s="30"/>
      <c r="H1943" s="112"/>
      <c r="I1943" s="30"/>
    </row>
    <row r="1944">
      <c r="B1944" s="30"/>
      <c r="C1944" s="30"/>
      <c r="G1944" s="30"/>
      <c r="H1944" s="112"/>
      <c r="I1944" s="30"/>
    </row>
    <row r="1945">
      <c r="B1945" s="30"/>
      <c r="C1945" s="30"/>
      <c r="G1945" s="30"/>
      <c r="H1945" s="112"/>
      <c r="I1945" s="30"/>
    </row>
    <row r="1946">
      <c r="B1946" s="30"/>
      <c r="C1946" s="30"/>
      <c r="G1946" s="30"/>
      <c r="H1946" s="112"/>
      <c r="I1946" s="30"/>
    </row>
    <row r="1947">
      <c r="B1947" s="30"/>
      <c r="C1947" s="30"/>
      <c r="G1947" s="30"/>
      <c r="H1947" s="112"/>
      <c r="I1947" s="30"/>
    </row>
    <row r="1948">
      <c r="B1948" s="30"/>
      <c r="C1948" s="30"/>
      <c r="G1948" s="30"/>
      <c r="H1948" s="112"/>
      <c r="I1948" s="30"/>
    </row>
    <row r="1949">
      <c r="B1949" s="30"/>
      <c r="C1949" s="30"/>
      <c r="G1949" s="30"/>
      <c r="H1949" s="112"/>
      <c r="I1949" s="30"/>
    </row>
    <row r="1950">
      <c r="B1950" s="30"/>
      <c r="C1950" s="30"/>
      <c r="G1950" s="30"/>
      <c r="H1950" s="112"/>
      <c r="I1950" s="30"/>
    </row>
    <row r="1951">
      <c r="B1951" s="30"/>
      <c r="C1951" s="30"/>
      <c r="G1951" s="30"/>
      <c r="H1951" s="112"/>
      <c r="I1951" s="30"/>
    </row>
    <row r="1952">
      <c r="B1952" s="30"/>
      <c r="C1952" s="30"/>
      <c r="G1952" s="30"/>
      <c r="H1952" s="112"/>
      <c r="I1952" s="30"/>
    </row>
    <row r="1953">
      <c r="B1953" s="30"/>
      <c r="C1953" s="30"/>
      <c r="G1953" s="30"/>
      <c r="H1953" s="112"/>
      <c r="I1953" s="30"/>
    </row>
    <row r="1954">
      <c r="B1954" s="30"/>
      <c r="C1954" s="30"/>
      <c r="G1954" s="30"/>
      <c r="H1954" s="112"/>
      <c r="I1954" s="30"/>
    </row>
    <row r="1955">
      <c r="B1955" s="30"/>
      <c r="C1955" s="30"/>
      <c r="G1955" s="30"/>
      <c r="H1955" s="112"/>
      <c r="I1955" s="30"/>
    </row>
    <row r="1956">
      <c r="B1956" s="30"/>
      <c r="C1956" s="30"/>
      <c r="G1956" s="30"/>
      <c r="H1956" s="112"/>
      <c r="I1956" s="30"/>
    </row>
    <row r="1957">
      <c r="B1957" s="30"/>
      <c r="C1957" s="30"/>
      <c r="G1957" s="30"/>
      <c r="H1957" s="112"/>
      <c r="I1957" s="30"/>
    </row>
    <row r="1958">
      <c r="B1958" s="30"/>
      <c r="C1958" s="30"/>
      <c r="G1958" s="30"/>
      <c r="H1958" s="112"/>
      <c r="I1958" s="30"/>
    </row>
    <row r="1959">
      <c r="B1959" s="30"/>
      <c r="C1959" s="30"/>
      <c r="G1959" s="30"/>
      <c r="H1959" s="112"/>
      <c r="I1959" s="30"/>
    </row>
    <row r="1960">
      <c r="B1960" s="30"/>
      <c r="C1960" s="30"/>
      <c r="G1960" s="30"/>
      <c r="H1960" s="112"/>
      <c r="I1960" s="30"/>
    </row>
    <row r="1961">
      <c r="B1961" s="30"/>
      <c r="C1961" s="30"/>
      <c r="G1961" s="30"/>
      <c r="H1961" s="112"/>
      <c r="I1961" s="30"/>
    </row>
    <row r="1962">
      <c r="B1962" s="30"/>
      <c r="C1962" s="30"/>
      <c r="G1962" s="30"/>
      <c r="H1962" s="112"/>
      <c r="I1962" s="30"/>
    </row>
    <row r="1963">
      <c r="B1963" s="30"/>
      <c r="C1963" s="30"/>
      <c r="G1963" s="30"/>
      <c r="H1963" s="112"/>
      <c r="I1963" s="30"/>
    </row>
    <row r="1964">
      <c r="B1964" s="30"/>
      <c r="C1964" s="30"/>
      <c r="G1964" s="30"/>
      <c r="H1964" s="112"/>
      <c r="I1964" s="30"/>
    </row>
    <row r="1965">
      <c r="B1965" s="30"/>
      <c r="C1965" s="30"/>
      <c r="G1965" s="30"/>
      <c r="H1965" s="112"/>
      <c r="I1965" s="30"/>
    </row>
    <row r="1966">
      <c r="B1966" s="30"/>
      <c r="C1966" s="30"/>
      <c r="G1966" s="30"/>
      <c r="H1966" s="112"/>
      <c r="I1966" s="30"/>
    </row>
    <row r="1967">
      <c r="B1967" s="30"/>
      <c r="C1967" s="30"/>
      <c r="G1967" s="30"/>
      <c r="H1967" s="112"/>
      <c r="I1967" s="30"/>
    </row>
    <row r="1968">
      <c r="B1968" s="30"/>
      <c r="C1968" s="30"/>
      <c r="G1968" s="30"/>
      <c r="H1968" s="112"/>
      <c r="I1968" s="30"/>
    </row>
    <row r="1969">
      <c r="B1969" s="30"/>
      <c r="C1969" s="30"/>
      <c r="G1969" s="30"/>
      <c r="H1969" s="112"/>
      <c r="I1969" s="30"/>
    </row>
    <row r="1970">
      <c r="B1970" s="30"/>
      <c r="C1970" s="30"/>
      <c r="G1970" s="30"/>
      <c r="H1970" s="112"/>
      <c r="I1970" s="30"/>
    </row>
    <row r="1971">
      <c r="B1971" s="30"/>
      <c r="C1971" s="30"/>
      <c r="G1971" s="30"/>
      <c r="H1971" s="112"/>
      <c r="I1971" s="30"/>
    </row>
    <row r="1972">
      <c r="B1972" s="30"/>
      <c r="C1972" s="30"/>
      <c r="G1972" s="30"/>
      <c r="H1972" s="112"/>
      <c r="I1972" s="30"/>
    </row>
    <row r="1973">
      <c r="B1973" s="30"/>
      <c r="C1973" s="30"/>
      <c r="G1973" s="30"/>
      <c r="H1973" s="112"/>
      <c r="I1973" s="30"/>
    </row>
    <row r="1974">
      <c r="B1974" s="30"/>
      <c r="C1974" s="30"/>
      <c r="G1974" s="30"/>
      <c r="H1974" s="112"/>
      <c r="I1974" s="30"/>
    </row>
    <row r="1975">
      <c r="B1975" s="30"/>
      <c r="C1975" s="30"/>
      <c r="G1975" s="30"/>
      <c r="H1975" s="112"/>
      <c r="I1975" s="30"/>
    </row>
    <row r="1976">
      <c r="B1976" s="30"/>
      <c r="C1976" s="30"/>
      <c r="G1976" s="30"/>
      <c r="H1976" s="112"/>
      <c r="I1976" s="30"/>
    </row>
    <row r="1977">
      <c r="B1977" s="30"/>
      <c r="C1977" s="30"/>
      <c r="G1977" s="30"/>
      <c r="H1977" s="112"/>
      <c r="I1977" s="30"/>
    </row>
    <row r="1978">
      <c r="B1978" s="30"/>
      <c r="C1978" s="30"/>
      <c r="G1978" s="30"/>
      <c r="H1978" s="112"/>
      <c r="I1978" s="30"/>
    </row>
    <row r="1979">
      <c r="B1979" s="30"/>
      <c r="C1979" s="30"/>
      <c r="G1979" s="30"/>
      <c r="H1979" s="112"/>
      <c r="I1979" s="30"/>
    </row>
    <row r="1980">
      <c r="B1980" s="30"/>
      <c r="C1980" s="30"/>
      <c r="G1980" s="30"/>
      <c r="H1980" s="112"/>
      <c r="I1980" s="30"/>
    </row>
    <row r="1981">
      <c r="B1981" s="30"/>
      <c r="C1981" s="30"/>
      <c r="G1981" s="30"/>
      <c r="H1981" s="112"/>
      <c r="I1981" s="30"/>
    </row>
    <row r="1982">
      <c r="B1982" s="30"/>
      <c r="C1982" s="30"/>
      <c r="G1982" s="30"/>
      <c r="H1982" s="112"/>
      <c r="I1982" s="30"/>
    </row>
    <row r="1983">
      <c r="B1983" s="30"/>
      <c r="C1983" s="30"/>
      <c r="G1983" s="30"/>
      <c r="H1983" s="112"/>
      <c r="I1983" s="30"/>
    </row>
    <row r="1984">
      <c r="B1984" s="30"/>
      <c r="C1984" s="30"/>
      <c r="G1984" s="30"/>
      <c r="H1984" s="112"/>
      <c r="I1984" s="30"/>
    </row>
    <row r="1985">
      <c r="B1985" s="30"/>
      <c r="C1985" s="30"/>
      <c r="G1985" s="30"/>
      <c r="H1985" s="112"/>
      <c r="I1985" s="30"/>
    </row>
    <row r="1986">
      <c r="B1986" s="30"/>
      <c r="C1986" s="30"/>
      <c r="G1986" s="30"/>
      <c r="H1986" s="112"/>
      <c r="I1986" s="30"/>
    </row>
    <row r="1987">
      <c r="B1987" s="30"/>
      <c r="C1987" s="30"/>
      <c r="G1987" s="30"/>
      <c r="H1987" s="112"/>
      <c r="I1987" s="30"/>
    </row>
    <row r="1988">
      <c r="B1988" s="30"/>
      <c r="C1988" s="30"/>
      <c r="G1988" s="30"/>
      <c r="H1988" s="112"/>
      <c r="I1988" s="30"/>
    </row>
    <row r="1989">
      <c r="B1989" s="30"/>
      <c r="C1989" s="30"/>
      <c r="G1989" s="30"/>
      <c r="H1989" s="112"/>
      <c r="I1989" s="30"/>
    </row>
    <row r="1990">
      <c r="B1990" s="30"/>
      <c r="C1990" s="30"/>
      <c r="G1990" s="30"/>
      <c r="H1990" s="112"/>
      <c r="I1990" s="30"/>
    </row>
    <row r="1991">
      <c r="B1991" s="30"/>
      <c r="C1991" s="30"/>
      <c r="G1991" s="30"/>
      <c r="H1991" s="112"/>
      <c r="I1991" s="30"/>
    </row>
    <row r="1992">
      <c r="B1992" s="30"/>
      <c r="C1992" s="30"/>
      <c r="G1992" s="30"/>
      <c r="H1992" s="112"/>
      <c r="I1992" s="30"/>
    </row>
    <row r="1993">
      <c r="B1993" s="30"/>
      <c r="C1993" s="30"/>
      <c r="G1993" s="30"/>
      <c r="H1993" s="112"/>
      <c r="I1993" s="30"/>
    </row>
    <row r="1994">
      <c r="B1994" s="30"/>
      <c r="C1994" s="30"/>
      <c r="G1994" s="30"/>
      <c r="H1994" s="112"/>
      <c r="I1994" s="30"/>
    </row>
    <row r="1995">
      <c r="B1995" s="30"/>
      <c r="C1995" s="30"/>
      <c r="G1995" s="30"/>
      <c r="H1995" s="112"/>
      <c r="I1995" s="30"/>
    </row>
    <row r="1996">
      <c r="B1996" s="30"/>
      <c r="C1996" s="30"/>
      <c r="G1996" s="30"/>
      <c r="H1996" s="112"/>
      <c r="I1996" s="30"/>
    </row>
    <row r="1997">
      <c r="B1997" s="30"/>
      <c r="C1997" s="30"/>
      <c r="G1997" s="30"/>
      <c r="H1997" s="112"/>
      <c r="I1997" s="30"/>
    </row>
    <row r="1998">
      <c r="B1998" s="30"/>
      <c r="C1998" s="30"/>
      <c r="G1998" s="30"/>
      <c r="H1998" s="112"/>
      <c r="I1998" s="30"/>
    </row>
    <row r="1999">
      <c r="B1999" s="30"/>
      <c r="C1999" s="30"/>
      <c r="G1999" s="30"/>
      <c r="H1999" s="112"/>
      <c r="I1999" s="30"/>
    </row>
    <row r="2000">
      <c r="B2000" s="30"/>
      <c r="C2000" s="30"/>
      <c r="G2000" s="30"/>
      <c r="H2000" s="112"/>
      <c r="I2000" s="30"/>
    </row>
  </sheetData>
  <conditionalFormatting sqref="F1:F2000">
    <cfRule type="containsText" dxfId="1" priority="1" operator="containsText" text="error">
      <formula>NOT(ISERROR(SEARCH(("error"),(F1))))</formula>
    </cfRule>
  </conditionalFormatting>
  <conditionalFormatting sqref="E8:E2000">
    <cfRule type="containsText" dxfId="2" priority="2" operator="containsText" text="Stock">
      <formula>NOT(ISERROR(SEARCH(("Stock"),(E8))))</formula>
    </cfRule>
  </conditionalFormatting>
  <conditionalFormatting sqref="E8:E2000">
    <cfRule type="containsText" dxfId="3" priority="3" operator="containsText" text="Option">
      <formula>NOT(ISERROR(SEARCH(("Option"),(E8))))</formula>
    </cfRule>
  </conditionalFormatting>
  <conditionalFormatting sqref="E8:E2000">
    <cfRule type="containsText" dxfId="4" priority="4" operator="containsText" text="Bond">
      <formula>NOT(ISERROR(SEARCH(("Bond"),(E8))))</formula>
    </cfRule>
  </conditionalFormatting>
  <conditionalFormatting sqref="K8:K2000">
    <cfRule type="containsText" dxfId="1" priority="5" operator="containsText" text="Non-number input in Quantity or Limit Price">
      <formula>NOT(ISERROR(SEARCH(("Non-number input in Quantity or Limit Price"),(K8))))</formula>
    </cfRule>
  </conditionalFormatting>
  <conditionalFormatting sqref="F6:F2000">
    <cfRule type="containsText" dxfId="5" priority="6" operator="containsText" text="Processing">
      <formula>NOT(ISERROR(SEARCH(("Processing"),(F6))))</formula>
    </cfRule>
  </conditionalFormatting>
  <conditionalFormatting sqref="K6:K1009">
    <cfRule type="containsText" dxfId="6" priority="7" operator="containsText" text="Wrong Password Submitted,">
      <formula>NOT(ISERROR(SEARCH(("Wrong Password Submitted,"),(K6))))</formula>
    </cfRule>
  </conditionalFormatting>
  <hyperlinks>
    <hyperlink r:id="rId1" ref="H12"/>
    <hyperlink r:id="rId2" ref="H14"/>
    <hyperlink r:id="rId3" ref="H20"/>
    <hyperlink r:id="rId4" ref="H21"/>
    <hyperlink r:id="rId5" ref="H22"/>
    <hyperlink r:id="rId6" ref="H34"/>
    <hyperlink r:id="rId7" ref="H38"/>
    <hyperlink r:id="rId8" ref="H45"/>
    <hyperlink r:id="rId9" ref="H48"/>
    <hyperlink r:id="rId10" ref="H51"/>
    <hyperlink r:id="rId11" ref="H52"/>
    <hyperlink r:id="rId12" ref="H63"/>
    <hyperlink r:id="rId13" ref="H67"/>
    <hyperlink r:id="rId14" ref="H74"/>
    <hyperlink r:id="rId15" ref="H75"/>
    <hyperlink r:id="rId16" ref="H76"/>
    <hyperlink r:id="rId17" ref="H77"/>
    <hyperlink r:id="rId18" ref="H79"/>
    <hyperlink r:id="rId19" ref="H92"/>
    <hyperlink r:id="rId20" ref="H93"/>
    <hyperlink r:id="rId21" ref="H94"/>
    <hyperlink r:id="rId22" ref="H95"/>
    <hyperlink r:id="rId23" ref="H97"/>
    <hyperlink r:id="rId24" ref="H99"/>
    <hyperlink r:id="rId25" ref="H101"/>
    <hyperlink r:id="rId26" ref="H103"/>
    <hyperlink r:id="rId27" ref="H116"/>
    <hyperlink r:id="rId28" ref="H117"/>
    <hyperlink r:id="rId29" ref="H119"/>
    <hyperlink r:id="rId30" ref="H131"/>
    <hyperlink r:id="rId31" ref="H132"/>
    <hyperlink r:id="rId32" ref="H135"/>
    <hyperlink r:id="rId33" ref="H136"/>
    <hyperlink r:id="rId34" ref="H137"/>
    <hyperlink r:id="rId35" ref="H146"/>
    <hyperlink r:id="rId36" ref="H148"/>
    <hyperlink r:id="rId37" ref="H151"/>
    <hyperlink r:id="rId38" ref="H165"/>
    <hyperlink r:id="rId39" ref="H171"/>
    <hyperlink r:id="rId40" ref="H172"/>
    <hyperlink r:id="rId41" ref="H173"/>
    <hyperlink r:id="rId42" ref="H174"/>
    <hyperlink r:id="rId43" ref="H175"/>
    <hyperlink r:id="rId44" ref="H176"/>
    <hyperlink r:id="rId45" ref="H178"/>
    <hyperlink r:id="rId46" ref="H188"/>
    <hyperlink r:id="rId47" ref="H190"/>
    <hyperlink r:id="rId48" ref="H191"/>
    <hyperlink r:id="rId49" ref="H192"/>
    <hyperlink r:id="rId50" ref="H193"/>
    <hyperlink r:id="rId51" ref="H196"/>
    <hyperlink r:id="rId52" ref="H197"/>
    <hyperlink r:id="rId53" ref="H198"/>
    <hyperlink r:id="rId54" ref="H200"/>
    <hyperlink r:id="rId55" ref="H201"/>
    <hyperlink r:id="rId56" ref="H202"/>
    <hyperlink r:id="rId57" ref="H203"/>
    <hyperlink r:id="rId58" ref="H204"/>
    <hyperlink r:id="rId59" ref="H205"/>
    <hyperlink r:id="rId60" ref="H206"/>
    <hyperlink r:id="rId61" ref="H210"/>
    <hyperlink r:id="rId62" ref="H211"/>
    <hyperlink r:id="rId63" ref="H216"/>
    <hyperlink r:id="rId64" ref="H217"/>
    <hyperlink r:id="rId65" ref="H222"/>
    <hyperlink r:id="rId66" ref="H223"/>
    <hyperlink r:id="rId67" ref="H224"/>
    <hyperlink r:id="rId68" ref="H225"/>
    <hyperlink r:id="rId69" ref="H228"/>
    <hyperlink r:id="rId70" ref="H229"/>
    <hyperlink r:id="rId71" ref="H230"/>
    <hyperlink r:id="rId72" ref="H232"/>
    <hyperlink r:id="rId73" ref="H234"/>
    <hyperlink r:id="rId74" ref="H237"/>
    <hyperlink r:id="rId75" ref="H248"/>
    <hyperlink r:id="rId76" ref="H249"/>
    <hyperlink r:id="rId77" ref="H250"/>
    <hyperlink r:id="rId78" ref="H251"/>
    <hyperlink r:id="rId79" ref="H257"/>
    <hyperlink r:id="rId80" ref="H258"/>
    <hyperlink r:id="rId81" ref="H263"/>
    <hyperlink r:id="rId82" ref="H264"/>
    <hyperlink r:id="rId83" ref="H266"/>
    <hyperlink r:id="rId84" ref="H272"/>
    <hyperlink r:id="rId85" ref="H273"/>
    <hyperlink r:id="rId86" ref="H274"/>
    <hyperlink r:id="rId87" ref="H284"/>
    <hyperlink r:id="rId88" ref="H287"/>
    <hyperlink r:id="rId89" ref="H292"/>
    <hyperlink r:id="rId90" ref="H293"/>
    <hyperlink r:id="rId91" ref="H295"/>
    <hyperlink r:id="rId92" ref="H296"/>
    <hyperlink r:id="rId93" ref="H298"/>
    <hyperlink r:id="rId94" ref="H299"/>
    <hyperlink r:id="rId95" ref="H300"/>
    <hyperlink r:id="rId96" ref="H308"/>
    <hyperlink r:id="rId97" ref="H309"/>
    <hyperlink r:id="rId98" ref="H310"/>
    <hyperlink r:id="rId99" ref="H311"/>
    <hyperlink r:id="rId100" ref="H312"/>
    <hyperlink r:id="rId101" ref="H314"/>
    <hyperlink r:id="rId102" ref="H315"/>
    <hyperlink r:id="rId103" ref="H329"/>
    <hyperlink r:id="rId104" ref="H330"/>
    <hyperlink r:id="rId105" ref="H331"/>
    <hyperlink r:id="rId106" ref="H332"/>
    <hyperlink r:id="rId107" ref="H333"/>
    <hyperlink r:id="rId108" ref="H334"/>
    <hyperlink r:id="rId109" ref="H335"/>
    <hyperlink r:id="rId110" ref="H336"/>
    <hyperlink r:id="rId111" ref="H338"/>
    <hyperlink r:id="rId112" ref="H339"/>
    <hyperlink r:id="rId113" ref="H340"/>
    <hyperlink r:id="rId114" ref="H341"/>
    <hyperlink r:id="rId115" ref="H342"/>
    <hyperlink r:id="rId116" ref="H343"/>
    <hyperlink r:id="rId117" ref="H344"/>
    <hyperlink r:id="rId118" ref="H345"/>
    <hyperlink r:id="rId119" ref="H346"/>
    <hyperlink r:id="rId120" ref="H347"/>
    <hyperlink r:id="rId121" ref="H348"/>
    <hyperlink r:id="rId122" ref="H349"/>
    <hyperlink r:id="rId123" ref="H350"/>
    <hyperlink r:id="rId124" ref="H354"/>
    <hyperlink r:id="rId125" ref="H360"/>
    <hyperlink r:id="rId126" ref="H361"/>
    <hyperlink r:id="rId127" ref="H373"/>
    <hyperlink r:id="rId128" ref="H375"/>
    <hyperlink r:id="rId129" ref="H376"/>
    <hyperlink r:id="rId130" ref="H377"/>
    <hyperlink r:id="rId131" ref="H378"/>
    <hyperlink r:id="rId132" ref="H379"/>
    <hyperlink r:id="rId133" ref="H380"/>
    <hyperlink r:id="rId134" ref="H387"/>
    <hyperlink r:id="rId135" ref="H388"/>
    <hyperlink r:id="rId136" ref="H389"/>
    <hyperlink r:id="rId137" ref="H390"/>
    <hyperlink r:id="rId138" ref="H391"/>
    <hyperlink r:id="rId139" ref="H392"/>
    <hyperlink r:id="rId140" ref="H393"/>
    <hyperlink r:id="rId141" ref="H394"/>
    <hyperlink r:id="rId142" ref="H395"/>
    <hyperlink r:id="rId143" ref="H396"/>
    <hyperlink r:id="rId144" ref="H397"/>
    <hyperlink r:id="rId145" ref="H400"/>
    <hyperlink r:id="rId146" ref="H402"/>
    <hyperlink r:id="rId147" ref="H403"/>
    <hyperlink r:id="rId148" ref="H404"/>
    <hyperlink r:id="rId149" ref="H405"/>
    <hyperlink r:id="rId150" ref="H414"/>
    <hyperlink r:id="rId151" ref="H415"/>
    <hyperlink r:id="rId152" ref="H416"/>
    <hyperlink r:id="rId153" ref="H425"/>
    <hyperlink r:id="rId154" ref="H426"/>
    <hyperlink r:id="rId155" ref="H427"/>
    <hyperlink r:id="rId156" ref="H428"/>
    <hyperlink r:id="rId157" ref="H429"/>
    <hyperlink r:id="rId158" ref="H433"/>
    <hyperlink r:id="rId159" ref="H435"/>
    <hyperlink r:id="rId160" ref="H448"/>
    <hyperlink r:id="rId161" ref="H452"/>
    <hyperlink r:id="rId162" ref="H455"/>
    <hyperlink r:id="rId163" ref="H476"/>
    <hyperlink r:id="rId164" ref="H477"/>
    <hyperlink r:id="rId165" ref="H484"/>
    <hyperlink r:id="rId166" ref="H485"/>
    <hyperlink r:id="rId167" ref="H486"/>
    <hyperlink r:id="rId168" ref="H487"/>
    <hyperlink r:id="rId169" ref="H488"/>
    <hyperlink r:id="rId170" ref="H489"/>
    <hyperlink r:id="rId171" ref="H490"/>
    <hyperlink r:id="rId172" ref="H491"/>
    <hyperlink r:id="rId173" ref="H492"/>
    <hyperlink r:id="rId174" ref="H494"/>
    <hyperlink r:id="rId175" ref="H500"/>
    <hyperlink r:id="rId176" ref="H504"/>
    <hyperlink r:id="rId177" ref="H505"/>
    <hyperlink r:id="rId178" ref="H519"/>
    <hyperlink r:id="rId179" ref="H521"/>
    <hyperlink r:id="rId180" ref="H522"/>
    <hyperlink r:id="rId181" ref="H525"/>
    <hyperlink r:id="rId182" ref="H526"/>
    <hyperlink r:id="rId183" ref="H527"/>
    <hyperlink r:id="rId184" ref="H528"/>
    <hyperlink r:id="rId185" ref="H529"/>
    <hyperlink r:id="rId186" ref="H530"/>
    <hyperlink r:id="rId187" ref="H531"/>
    <hyperlink r:id="rId188" ref="H532"/>
    <hyperlink r:id="rId189" ref="H533"/>
    <hyperlink r:id="rId190" ref="H534"/>
    <hyperlink r:id="rId191" ref="H535"/>
    <hyperlink r:id="rId192" ref="H540"/>
    <hyperlink r:id="rId193" ref="H541"/>
    <hyperlink r:id="rId194" ref="H549"/>
    <hyperlink r:id="rId195" ref="H550"/>
    <hyperlink r:id="rId196" ref="H551"/>
    <hyperlink r:id="rId197" ref="H554"/>
    <hyperlink r:id="rId198" ref="H555"/>
    <hyperlink r:id="rId199" ref="H558"/>
    <hyperlink r:id="rId200" ref="H559"/>
    <hyperlink r:id="rId201" ref="H560"/>
    <hyperlink r:id="rId202" ref="H561"/>
    <hyperlink r:id="rId203" ref="H566"/>
    <hyperlink r:id="rId204" ref="H568"/>
    <hyperlink r:id="rId205" ref="H573"/>
    <hyperlink r:id="rId206" ref="H574"/>
    <hyperlink r:id="rId207" ref="H575"/>
    <hyperlink r:id="rId208" ref="H576"/>
    <hyperlink r:id="rId209" ref="H577"/>
    <hyperlink r:id="rId210" ref="H578"/>
    <hyperlink r:id="rId211" ref="H580"/>
    <hyperlink r:id="rId212" ref="H583"/>
    <hyperlink r:id="rId213" ref="H585"/>
    <hyperlink r:id="rId214" ref="H586"/>
    <hyperlink r:id="rId215" ref="H588"/>
    <hyperlink r:id="rId216" ref="H593"/>
    <hyperlink r:id="rId217" ref="H594"/>
    <hyperlink r:id="rId218" ref="H596"/>
    <hyperlink r:id="rId219" ref="H598"/>
    <hyperlink r:id="rId220" ref="H604"/>
    <hyperlink r:id="rId221" ref="H616"/>
    <hyperlink r:id="rId222" ref="H623"/>
    <hyperlink r:id="rId223" ref="H627"/>
    <hyperlink r:id="rId224" ref="H637"/>
    <hyperlink r:id="rId225" ref="H638"/>
    <hyperlink r:id="rId226" ref="H639"/>
    <hyperlink r:id="rId227" ref="H641"/>
    <hyperlink r:id="rId228" ref="H644"/>
    <hyperlink r:id="rId229" ref="H645"/>
    <hyperlink r:id="rId230" ref="H646"/>
    <hyperlink r:id="rId231" ref="H649"/>
    <hyperlink r:id="rId232" ref="H668"/>
    <hyperlink r:id="rId233" ref="H669"/>
    <hyperlink r:id="rId234" ref="H672"/>
    <hyperlink r:id="rId235" ref="H673"/>
    <hyperlink r:id="rId236" ref="H680"/>
    <hyperlink r:id="rId237" ref="H682"/>
    <hyperlink r:id="rId238" ref="H683"/>
    <hyperlink r:id="rId239" ref="H685"/>
    <hyperlink r:id="rId240" ref="H690"/>
    <hyperlink r:id="rId241" ref="H691"/>
    <hyperlink r:id="rId242" ref="H693"/>
    <hyperlink r:id="rId243" ref="H694"/>
    <hyperlink r:id="rId244" ref="H695"/>
    <hyperlink r:id="rId245" ref="H696"/>
    <hyperlink r:id="rId246" ref="H697"/>
    <hyperlink r:id="rId247" ref="H698"/>
    <hyperlink r:id="rId248" ref="H699"/>
    <hyperlink r:id="rId249" ref="H700"/>
    <hyperlink r:id="rId250" ref="H701"/>
    <hyperlink r:id="rId251" ref="H702"/>
    <hyperlink r:id="rId252" ref="H704"/>
    <hyperlink r:id="rId253" ref="H705"/>
    <hyperlink r:id="rId254" ref="H706"/>
    <hyperlink r:id="rId255" ref="H707"/>
    <hyperlink r:id="rId256" ref="H717"/>
    <hyperlink r:id="rId257" ref="H718"/>
    <hyperlink r:id="rId258" ref="H719"/>
    <hyperlink r:id="rId259" ref="H721"/>
    <hyperlink r:id="rId260" ref="H722"/>
    <hyperlink r:id="rId261" ref="H723"/>
    <hyperlink r:id="rId262" ref="H726"/>
    <hyperlink r:id="rId263" ref="H727"/>
    <hyperlink r:id="rId264" ref="H728"/>
    <hyperlink r:id="rId265" ref="H729"/>
    <hyperlink r:id="rId266" ref="H731"/>
    <hyperlink r:id="rId267" ref="H733"/>
    <hyperlink r:id="rId268" ref="H736"/>
    <hyperlink r:id="rId269" ref="H737"/>
    <hyperlink r:id="rId270" ref="H739"/>
    <hyperlink r:id="rId271" ref="H740"/>
    <hyperlink r:id="rId272" ref="H741"/>
    <hyperlink r:id="rId273" ref="H744"/>
    <hyperlink r:id="rId274" ref="H745"/>
    <hyperlink r:id="rId275" ref="H746"/>
    <hyperlink r:id="rId276" ref="H747"/>
    <hyperlink r:id="rId277" ref="H748"/>
    <hyperlink r:id="rId278" ref="H749"/>
    <hyperlink r:id="rId279" ref="H750"/>
    <hyperlink r:id="rId280" ref="H751"/>
    <hyperlink r:id="rId281" ref="H753"/>
    <hyperlink r:id="rId282" ref="H754"/>
    <hyperlink r:id="rId283" ref="H759"/>
    <hyperlink r:id="rId284" ref="H760"/>
    <hyperlink r:id="rId285" ref="H761"/>
    <hyperlink r:id="rId286" ref="H762"/>
    <hyperlink r:id="rId287" ref="H763"/>
    <hyperlink r:id="rId288" ref="H772"/>
    <hyperlink r:id="rId289" ref="H774"/>
    <hyperlink r:id="rId290" ref="H775"/>
    <hyperlink r:id="rId291" ref="H776"/>
    <hyperlink r:id="rId292" ref="H777"/>
    <hyperlink r:id="rId293" ref="H781"/>
    <hyperlink r:id="rId294" ref="H782"/>
    <hyperlink r:id="rId295" ref="H786"/>
    <hyperlink r:id="rId296" ref="H787"/>
    <hyperlink r:id="rId297" ref="H790"/>
    <hyperlink r:id="rId298" ref="H794"/>
    <hyperlink r:id="rId299" ref="H796"/>
    <hyperlink r:id="rId300" ref="H797"/>
    <hyperlink r:id="rId301" ref="H799"/>
    <hyperlink r:id="rId302" ref="H804"/>
    <hyperlink r:id="rId303" ref="H805"/>
    <hyperlink r:id="rId304" ref="H806"/>
    <hyperlink r:id="rId305" ref="H808"/>
    <hyperlink r:id="rId306" ref="H809"/>
    <hyperlink r:id="rId307" ref="H812"/>
    <hyperlink r:id="rId308" ref="H816"/>
    <hyperlink r:id="rId309" ref="H817"/>
    <hyperlink r:id="rId310" ref="H821"/>
    <hyperlink r:id="rId311" ref="H822"/>
    <hyperlink r:id="rId312" ref="H828"/>
    <hyperlink r:id="rId313" ref="H832"/>
    <hyperlink r:id="rId314" ref="H835"/>
    <hyperlink r:id="rId315" ref="I835"/>
    <hyperlink r:id="rId316" ref="H837"/>
    <hyperlink r:id="rId317" ref="H838"/>
    <hyperlink r:id="rId318" ref="H839"/>
    <hyperlink r:id="rId319" ref="I839"/>
    <hyperlink r:id="rId320" ref="H840"/>
    <hyperlink r:id="rId321" ref="H841"/>
    <hyperlink r:id="rId322" ref="I841"/>
    <hyperlink r:id="rId323" ref="H842"/>
    <hyperlink r:id="rId324" ref="H846"/>
    <hyperlink r:id="rId325" ref="I846"/>
    <hyperlink r:id="rId326" ref="H847"/>
    <hyperlink r:id="rId327" ref="H852"/>
    <hyperlink r:id="rId328" ref="H853"/>
    <hyperlink r:id="rId329" ref="H854"/>
    <hyperlink r:id="rId330" ref="H856"/>
    <hyperlink r:id="rId331" ref="H857"/>
    <hyperlink r:id="rId332" ref="H858"/>
    <hyperlink r:id="rId333" ref="H862"/>
    <hyperlink r:id="rId334" ref="H863"/>
    <hyperlink r:id="rId335" ref="H864"/>
    <hyperlink r:id="rId336" ref="H866"/>
    <hyperlink r:id="rId337" ref="H867"/>
    <hyperlink r:id="rId338" ref="H869"/>
    <hyperlink r:id="rId339" ref="H870"/>
    <hyperlink r:id="rId340" ref="H871"/>
    <hyperlink r:id="rId341" ref="H873"/>
    <hyperlink r:id="rId342" ref="H880"/>
    <hyperlink r:id="rId343" ref="H881"/>
    <hyperlink r:id="rId344" ref="H889"/>
    <hyperlink r:id="rId345" ref="H890"/>
    <hyperlink r:id="rId346" ref="H899"/>
    <hyperlink r:id="rId347" ref="H900"/>
    <hyperlink r:id="rId348" ref="H901"/>
    <hyperlink r:id="rId349" ref="H902"/>
    <hyperlink r:id="rId350" ref="H903"/>
    <hyperlink r:id="rId351" ref="H904"/>
    <hyperlink r:id="rId352" ref="H906"/>
    <hyperlink r:id="rId353" ref="H907"/>
    <hyperlink r:id="rId354" ref="H908"/>
    <hyperlink r:id="rId355" ref="H909"/>
    <hyperlink r:id="rId356" ref="H910"/>
    <hyperlink r:id="rId357" ref="H911"/>
    <hyperlink r:id="rId358" ref="H912"/>
    <hyperlink r:id="rId359" ref="H913"/>
    <hyperlink r:id="rId360" ref="H915"/>
    <hyperlink r:id="rId361" ref="H918"/>
    <hyperlink r:id="rId362" ref="H919"/>
    <hyperlink r:id="rId363" ref="H920"/>
    <hyperlink r:id="rId364" ref="H923"/>
    <hyperlink r:id="rId365" ref="H925"/>
    <hyperlink r:id="rId366" ref="H926"/>
    <hyperlink r:id="rId367" ref="H927"/>
    <hyperlink r:id="rId368" ref="H929"/>
    <hyperlink r:id="rId369" ref="H932"/>
    <hyperlink r:id="rId370" ref="H933"/>
    <hyperlink r:id="rId371" ref="H934"/>
    <hyperlink r:id="rId372" ref="H936"/>
    <hyperlink r:id="rId373" ref="H937"/>
    <hyperlink r:id="rId374" ref="H938"/>
    <hyperlink r:id="rId375" ref="H939"/>
    <hyperlink r:id="rId376" ref="H942"/>
    <hyperlink r:id="rId377" ref="H945"/>
    <hyperlink r:id="rId378" ref="H954"/>
    <hyperlink r:id="rId379" ref="H955"/>
    <hyperlink r:id="rId380" ref="H956"/>
    <hyperlink r:id="rId381" ref="H957"/>
    <hyperlink r:id="rId382" ref="H958"/>
    <hyperlink r:id="rId383" ref="H959"/>
    <hyperlink r:id="rId384" ref="H960"/>
    <hyperlink r:id="rId385" ref="H961"/>
    <hyperlink r:id="rId386" ref="H963"/>
    <hyperlink r:id="rId387" ref="H964"/>
    <hyperlink r:id="rId388" ref="H965"/>
    <hyperlink r:id="rId389" ref="H966"/>
    <hyperlink r:id="rId390" ref="H968"/>
    <hyperlink r:id="rId391" ref="H970"/>
    <hyperlink r:id="rId392" ref="H972"/>
    <hyperlink r:id="rId393" ref="H973"/>
    <hyperlink r:id="rId394" ref="H974"/>
    <hyperlink r:id="rId395" ref="H975"/>
    <hyperlink r:id="rId396" ref="H978"/>
    <hyperlink r:id="rId397" ref="H979"/>
    <hyperlink r:id="rId398" ref="H980"/>
    <hyperlink r:id="rId399" ref="H984"/>
    <hyperlink r:id="rId400" ref="H985"/>
    <hyperlink r:id="rId401" ref="H987"/>
    <hyperlink r:id="rId402" ref="H993"/>
    <hyperlink r:id="rId403" ref="H996"/>
    <hyperlink r:id="rId404" ref="H998"/>
    <hyperlink r:id="rId405" ref="H999"/>
    <hyperlink r:id="rId406" ref="H1000"/>
    <hyperlink r:id="rId407" ref="H1002"/>
    <hyperlink r:id="rId408" ref="H1003"/>
    <hyperlink r:id="rId409" ref="H1004"/>
    <hyperlink r:id="rId410" ref="H1006"/>
    <hyperlink r:id="rId411" ref="H1007"/>
    <hyperlink r:id="rId412" ref="H1008"/>
    <hyperlink r:id="rId413" ref="H1009"/>
    <hyperlink r:id="rId414" ref="H1018"/>
    <hyperlink r:id="rId415" ref="H1021"/>
    <hyperlink r:id="rId416" ref="H1028"/>
    <hyperlink r:id="rId417" ref="H1029"/>
    <hyperlink r:id="rId418" ref="H1036"/>
    <hyperlink r:id="rId419" ref="H1037"/>
    <hyperlink r:id="rId420" ref="H1038"/>
    <hyperlink r:id="rId421" ref="H1040"/>
    <hyperlink r:id="rId422" ref="H1041"/>
    <hyperlink r:id="rId423" ref="H1042"/>
    <hyperlink r:id="rId424" ref="H1043"/>
    <hyperlink r:id="rId425" ref="H1044"/>
    <hyperlink r:id="rId426" ref="H1045"/>
    <hyperlink r:id="rId427" ref="H1046"/>
    <hyperlink r:id="rId428" ref="H1047"/>
    <hyperlink r:id="rId429" ref="H1048"/>
    <hyperlink r:id="rId430" ref="H1049"/>
    <hyperlink r:id="rId431" ref="H1050"/>
    <hyperlink r:id="rId432" ref="H1051"/>
    <hyperlink r:id="rId433" ref="H1052"/>
    <hyperlink r:id="rId434" ref="H1054"/>
    <hyperlink r:id="rId435" ref="H1056"/>
    <hyperlink r:id="rId436" ref="H1057"/>
    <hyperlink r:id="rId437" ref="H1065"/>
    <hyperlink r:id="rId438" ref="H1074"/>
    <hyperlink r:id="rId439" ref="H1075"/>
    <hyperlink r:id="rId440" ref="H1076"/>
    <hyperlink r:id="rId441" ref="H1077"/>
    <hyperlink r:id="rId442" ref="H1079"/>
    <hyperlink r:id="rId443" ref="H1080"/>
    <hyperlink r:id="rId444" ref="H1082"/>
    <hyperlink r:id="rId445" ref="H1083"/>
    <hyperlink r:id="rId446" ref="H1084"/>
    <hyperlink r:id="rId447" ref="H1085"/>
    <hyperlink r:id="rId448" ref="H1086"/>
    <hyperlink r:id="rId449" ref="H1087"/>
    <hyperlink r:id="rId450" ref="H1088"/>
    <hyperlink r:id="rId451" ref="H1089"/>
    <hyperlink r:id="rId452" ref="H1090"/>
    <hyperlink r:id="rId453" ref="H1091"/>
    <hyperlink r:id="rId454" ref="H1092"/>
    <hyperlink r:id="rId455" ref="H1093"/>
    <hyperlink r:id="rId456" ref="H1094"/>
    <hyperlink r:id="rId457" ref="H1097"/>
    <hyperlink r:id="rId458" ref="H1105"/>
    <hyperlink r:id="rId459" ref="H1113"/>
    <hyperlink r:id="rId460" ref="H1119"/>
    <hyperlink r:id="rId461" ref="H1127"/>
    <hyperlink r:id="rId462" ref="H1128"/>
    <hyperlink r:id="rId463" ref="H1129"/>
    <hyperlink r:id="rId464" ref="H1130"/>
    <hyperlink r:id="rId465" ref="H1131"/>
    <hyperlink r:id="rId466" ref="H1132"/>
    <hyperlink r:id="rId467" ref="H1139"/>
    <hyperlink r:id="rId468" ref="H1140"/>
    <hyperlink r:id="rId469" ref="H1141"/>
    <hyperlink r:id="rId470" ref="H1142"/>
    <hyperlink r:id="rId471" ref="H1143"/>
    <hyperlink r:id="rId472" ref="H1144"/>
    <hyperlink r:id="rId473" ref="H1145"/>
    <hyperlink r:id="rId474" ref="H1146"/>
    <hyperlink r:id="rId475" ref="H1147"/>
    <hyperlink r:id="rId476" ref="H1148"/>
    <hyperlink r:id="rId477" ref="H1149"/>
    <hyperlink r:id="rId478" ref="H1150"/>
    <hyperlink r:id="rId479" ref="H1156"/>
    <hyperlink r:id="rId480" ref="H1185"/>
    <hyperlink r:id="rId481" ref="H1200"/>
    <hyperlink r:id="rId482" ref="H1201"/>
    <hyperlink r:id="rId483" ref="H1203"/>
    <hyperlink r:id="rId484" ref="H1205"/>
    <hyperlink r:id="rId485" ref="H1207"/>
    <hyperlink r:id="rId486" ref="H1208"/>
    <hyperlink r:id="rId487" ref="H1209"/>
    <hyperlink r:id="rId488" ref="H1210"/>
    <hyperlink r:id="rId489" ref="H1211"/>
    <hyperlink r:id="rId490" ref="H1213"/>
    <hyperlink r:id="rId491" ref="H1217"/>
    <hyperlink r:id="rId492" ref="H1219"/>
    <hyperlink r:id="rId493" ref="H1220"/>
    <hyperlink r:id="rId494" ref="H1221"/>
    <hyperlink r:id="rId495" ref="H1222"/>
    <hyperlink r:id="rId496" ref="H1223"/>
    <hyperlink r:id="rId497" ref="H1225"/>
    <hyperlink r:id="rId498" ref="H1226"/>
    <hyperlink r:id="rId499" ref="H1227"/>
    <hyperlink r:id="rId500" ref="H1228"/>
    <hyperlink r:id="rId501" ref="H1229"/>
    <hyperlink r:id="rId502" ref="H1230"/>
    <hyperlink r:id="rId503" ref="H1231"/>
    <hyperlink r:id="rId504" ref="H1232"/>
    <hyperlink r:id="rId505" ref="H1233"/>
    <hyperlink r:id="rId506" ref="H1234"/>
    <hyperlink r:id="rId507" ref="H1235"/>
    <hyperlink r:id="rId508" ref="H1236"/>
    <hyperlink r:id="rId509" ref="H1258"/>
    <hyperlink r:id="rId510" ref="H1264"/>
    <hyperlink r:id="rId511" ref="H1279"/>
    <hyperlink r:id="rId512" ref="H1288"/>
    <hyperlink r:id="rId513" ref="H1290"/>
    <hyperlink r:id="rId514" ref="H1292"/>
    <hyperlink r:id="rId515" ref="H1293"/>
    <hyperlink r:id="rId516" ref="H1295"/>
    <hyperlink r:id="rId517" ref="H1299"/>
    <hyperlink r:id="rId518" ref="H1300"/>
    <hyperlink r:id="rId519" ref="H1301"/>
    <hyperlink r:id="rId520" ref="H1302"/>
    <hyperlink r:id="rId521" ref="H1303"/>
    <hyperlink r:id="rId522" ref="H1304"/>
    <hyperlink r:id="rId523" ref="H1305"/>
    <hyperlink r:id="rId524" ref="H1306"/>
    <hyperlink r:id="rId525" ref="H1307"/>
    <hyperlink r:id="rId526" ref="H1329"/>
    <hyperlink r:id="rId527" ref="H1331"/>
    <hyperlink r:id="rId528" ref="H1332"/>
    <hyperlink r:id="rId529" ref="H1333"/>
    <hyperlink r:id="rId530" ref="H1339"/>
    <hyperlink r:id="rId531" ref="H1341"/>
    <hyperlink r:id="rId532" ref="H1342"/>
    <hyperlink r:id="rId533" ref="H1360"/>
    <hyperlink r:id="rId534" ref="H1369"/>
    <hyperlink r:id="rId535" ref="H1392"/>
    <hyperlink r:id="rId536" ref="H1401"/>
    <hyperlink r:id="rId537" ref="H1404"/>
    <hyperlink r:id="rId538" ref="H1405"/>
    <hyperlink r:id="rId539" ref="H1407"/>
    <hyperlink r:id="rId540" ref="H1408"/>
    <hyperlink r:id="rId541" ref="H1409"/>
    <hyperlink r:id="rId542" ref="H1410"/>
    <hyperlink r:id="rId543" ref="H1418"/>
  </hyperlinks>
  <drawing r:id="rId5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2.0"/>
    <col customWidth="1" min="2" max="2" width="17.0"/>
    <col customWidth="1" min="3" max="3" width="8.75"/>
    <col customWidth="1" min="4" max="4" width="7.5"/>
    <col customWidth="1" min="5" max="5" width="9.38"/>
    <col customWidth="1" min="6" max="6" width="16.0"/>
    <col customWidth="1" min="7" max="7" width="29.88"/>
    <col customWidth="1" min="8" max="8" width="30.75"/>
    <col customWidth="1" min="9" max="9" width="39.75"/>
    <col customWidth="1" min="10" max="10" width="72.13"/>
  </cols>
  <sheetData>
    <row r="1">
      <c r="A1" s="5" t="str">
        <f>IFERROR(__xludf.DUMMYFUNCTION("importrange(""https://docs.google.com/spreadsheets/d/1mvA960mm3QaFyRdwkfIRxhE1UQJl45QEUTnDVxtxiIE/edit?usp=sharing"",""RejOrd!A1:J"" &amp; right(L1,3)*1)"),"")</f>
        <v/>
      </c>
      <c r="B1" s="127" t="str">
        <f>IFERROR(__xludf.DUMMYFUNCTION("""COMPUTED_VALUE"""),"Order Rejection Summary")</f>
        <v>Order Rejection Summary</v>
      </c>
      <c r="C1" s="5"/>
      <c r="D1" s="5"/>
      <c r="E1" s="5"/>
      <c r="F1" s="112"/>
      <c r="G1" s="5"/>
      <c r="H1" s="5"/>
      <c r="I1" s="5"/>
      <c r="J1" s="5"/>
      <c r="L1" s="5" t="str">
        <f>IFERROR(__xludf.DUMMYFUNCTION("importrange(""https://docs.google.com/spreadsheets/d/1mvA960mm3QaFyRdwkfIRxhE1UQJl45QEUTnDVxtxiIE/edit?usp=sharing"",""RejOrd!l1"")"),"Last row: 315")</f>
        <v>Last row: 315</v>
      </c>
    </row>
    <row r="2" collapsed="1">
      <c r="A2" s="5"/>
      <c r="B2" s="5"/>
      <c r="C2" s="5"/>
      <c r="D2" s="5"/>
      <c r="E2" s="5"/>
      <c r="F2" s="112"/>
      <c r="G2" s="5"/>
      <c r="H2" s="5"/>
      <c r="I2" s="5"/>
      <c r="J2" s="5"/>
    </row>
    <row r="3" hidden="1" outlineLevel="1">
      <c r="A3" s="5"/>
      <c r="B3" s="5"/>
      <c r="C3" s="5"/>
      <c r="D3" s="5"/>
      <c r="E3" s="5"/>
      <c r="F3" s="112"/>
      <c r="G3" s="5"/>
      <c r="H3" s="5"/>
      <c r="I3" s="5"/>
      <c r="J3" s="5"/>
    </row>
    <row r="4" hidden="1" outlineLevel="1">
      <c r="A4" s="5"/>
      <c r="B4" s="5"/>
      <c r="C4" s="5"/>
      <c r="D4" s="5"/>
      <c r="E4" s="5"/>
      <c r="F4" s="112"/>
      <c r="G4" s="5"/>
      <c r="H4" s="5"/>
      <c r="I4" s="5"/>
      <c r="J4" s="5"/>
    </row>
    <row r="5">
      <c r="A5" s="5"/>
      <c r="B5" s="128" t="str">
        <f>IFERROR(__xludf.DUMMYFUNCTION("""COMPUTED_VALUE"""),"Timestamp")</f>
        <v>Timestamp</v>
      </c>
      <c r="C5" s="129" t="str">
        <f>IFERROR(__xludf.DUMMYFUNCTION("""COMPUTED_VALUE"""),"Acct #")</f>
        <v>Acct #</v>
      </c>
      <c r="D5" s="129" t="str">
        <f>IFERROR(__xludf.DUMMYFUNCTION("""COMPUTED_VALUE"""),"Exchg")</f>
        <v>Exchg</v>
      </c>
      <c r="E5" s="129" t="str">
        <f>IFERROR(__xludf.DUMMYFUNCTION("""COMPUTED_VALUE"""),"Select Asset Class")</f>
        <v>Select Asset Class</v>
      </c>
      <c r="F5" s="130" t="str">
        <f>IFERROR(__xludf.DUMMYFUNCTION("""COMPUTED_VALUE"""),"Ticker Symbol (Security Code)")</f>
        <v>Ticker Symbol (Security Code)</v>
      </c>
      <c r="G5" s="131" t="str">
        <f>IFERROR(__xludf.DUMMYFUNCTION("""COMPUTED_VALUE"""),"Limit Order's Limit Price (Market Order should leave blank)")</f>
        <v>Limit Order's Limit Price (Market Order should leave blank)</v>
      </c>
      <c r="H5" s="132" t="str">
        <f>IFERROR(__xludf.DUMMYFUNCTION("""COMPUTED_VALUE"""),"Non-school email address (short form)")</f>
        <v>Non-school email address (short form)</v>
      </c>
      <c r="I5" s="133" t="str">
        <f>IFERROR(__xludf.DUMMYFUNCTION("""COMPUTED_VALUE"""),"QTY, Limit Price &amp; Password Check")</f>
        <v>QTY, Limit Price &amp; Password Check</v>
      </c>
      <c r="J5" s="133" t="str">
        <f>IFERROR(__xludf.DUMMYFUNCTION("""COMPUTED_VALUE"""),"Comments to Prop Traders")</f>
        <v>Comments to Prop Traders</v>
      </c>
    </row>
    <row r="6">
      <c r="A6" s="5"/>
      <c r="B6" s="118">
        <f>IFERROR(__xludf.DUMMYFUNCTION("""COMPUTED_VALUE"""),44600.59630210648)</f>
        <v>44600.5963</v>
      </c>
      <c r="C6" s="5" t="str">
        <f>IFERROR(__xludf.DUMMYFUNCTION("""COMPUTED_VALUE"""),"46220")</f>
        <v>46220</v>
      </c>
      <c r="D6" s="5" t="str">
        <f>IFERROR(__xludf.DUMMYFUNCTION("""COMPUTED_VALUE"""),"error")</f>
        <v>error</v>
      </c>
      <c r="E6" s="5" t="str">
        <f>IFERROR(__xludf.DUMMYFUNCTION("""COMPUTED_VALUE"""),"Stock")</f>
        <v>Stock</v>
      </c>
      <c r="F6" s="119" t="str">
        <f>IFERROR(__xludf.DUMMYFUNCTION("""COMPUTED_VALUE"""),"US:FB")</f>
        <v>US:FB</v>
      </c>
      <c r="G6" s="30"/>
      <c r="H6" s="30" t="str">
        <f>IFERROR(__xludf.DUMMYFUNCTION("""COMPUTED_VALUE"""),"Email Account/ TraderID Recognized")</f>
        <v>Email Account/ TraderID Recognized</v>
      </c>
      <c r="I6" s="30" t="str">
        <f>IFERROR(__xludf.DUMMYFUNCTION("""COMPUTED_VALUE"""),"QTY, Limit Price (if any) &amp; Password input correct")</f>
        <v>QTY, Limit Price (if any) &amp; Password input correct</v>
      </c>
      <c r="J6" s="30" t="str">
        <f>IFERROR(__xludf.DUMMYFUNCTION("""COMPUTED_VALUE"""),"Order rejected due to wrong ticker code. just need to type in FB")</f>
        <v>Order rejected due to wrong ticker code. just need to type in FB</v>
      </c>
    </row>
    <row r="7">
      <c r="A7" s="5"/>
      <c r="B7" s="118">
        <f>IFERROR(__xludf.DUMMYFUNCTION("""COMPUTED_VALUE"""),44601.868654375)</f>
        <v>44601.86865</v>
      </c>
      <c r="C7" s="5" t="str">
        <f>IFERROR(__xludf.DUMMYFUNCTION("""COMPUTED_VALUE"""),"76975")</f>
        <v>76975</v>
      </c>
      <c r="D7" s="5" t="str">
        <f>IFERROR(__xludf.DUMMYFUNCTION("""COMPUTED_VALUE"""),"error")</f>
        <v>error</v>
      </c>
      <c r="E7" s="5" t="str">
        <f>IFERROR(__xludf.DUMMYFUNCTION("""COMPUTED_VALUE"""),"Stock")</f>
        <v>Stock</v>
      </c>
      <c r="F7" s="119" t="str">
        <f>IFERROR(__xludf.DUMMYFUNCTION("""COMPUTED_VALUE"""),"Tencent HK0700")</f>
        <v>Tencent HK0700</v>
      </c>
      <c r="G7" s="30">
        <f>IFERROR(__xludf.DUMMYFUNCTION("""COMPUTED_VALUE"""),483.0)</f>
        <v>483</v>
      </c>
      <c r="H7" s="30" t="str">
        <f>IFERROR(__xludf.DUMMYFUNCTION("""COMPUTED_VALUE"""),"Email Account/ TraderID Recognized")</f>
        <v>Email Account/ TraderID Recognized</v>
      </c>
      <c r="I7" s="30" t="str">
        <f>IFERROR(__xludf.DUMMYFUNCTION("""COMPUTED_VALUE"""),"QTY, Limit Price (if any) &amp; Password input correct")</f>
        <v>QTY, Limit Price (if any) &amp; Password input correct</v>
      </c>
      <c r="J7" s="30" t="str">
        <f>IFERROR(__xludf.DUMMYFUNCTION("""COMPUTED_VALUE"""),"Order rejected due to wrong ticker code. just need to type in 0700.HK")</f>
        <v>Order rejected due to wrong ticker code. just need to type in 0700.HK</v>
      </c>
    </row>
    <row r="8">
      <c r="A8" s="5"/>
      <c r="B8" s="118">
        <f>IFERROR(__xludf.DUMMYFUNCTION("""COMPUTED_VALUE"""),44601.87523116898)</f>
        <v>44601.87523</v>
      </c>
      <c r="C8" s="5" t="str">
        <f>IFERROR(__xludf.DUMMYFUNCTION("""COMPUTED_VALUE"""),"73879")</f>
        <v>73879</v>
      </c>
      <c r="D8" s="5" t="str">
        <f>IFERROR(__xludf.DUMMYFUNCTION("""COMPUTED_VALUE"""),"error")</f>
        <v>error</v>
      </c>
      <c r="E8" s="5" t="str">
        <f>IFERROR(__xludf.DUMMYFUNCTION("""COMPUTED_VALUE"""),"Stock")</f>
        <v>Stock</v>
      </c>
      <c r="F8" s="119" t="str">
        <f>IFERROR(__xludf.DUMMYFUNCTION("""COMPUTED_VALUE"""),"Tencent HK0700")</f>
        <v>Tencent HK0700</v>
      </c>
      <c r="G8" s="30">
        <f>IFERROR(__xludf.DUMMYFUNCTION("""COMPUTED_VALUE"""),483.0)</f>
        <v>483</v>
      </c>
      <c r="H8" s="30" t="str">
        <f>IFERROR(__xludf.DUMMYFUNCTION("""COMPUTED_VALUE"""),"Email Account/ TraderID Recognized")</f>
        <v>Email Account/ TraderID Recognized</v>
      </c>
      <c r="I8" s="30" t="str">
        <f>IFERROR(__xludf.DUMMYFUNCTION("""COMPUTED_VALUE"""),"QTY, Limit Price (if any) &amp; Password input correct")</f>
        <v>QTY, Limit Price (if any) &amp; Password input correct</v>
      </c>
      <c r="J8" s="30" t="str">
        <f>IFERROR(__xludf.DUMMYFUNCTION("""COMPUTED_VALUE"""),"Order rejected due to wrong ticker code. just need to type in 0700.HK")</f>
        <v>Order rejected due to wrong ticker code. just need to type in 0700.HK</v>
      </c>
    </row>
    <row r="9">
      <c r="A9" s="5"/>
      <c r="B9" s="118">
        <f>IFERROR(__xludf.DUMMYFUNCTION("""COMPUTED_VALUE"""),44602.923212685186)</f>
        <v>44602.92321</v>
      </c>
      <c r="C9" s="5" t="str">
        <f>IFERROR(__xludf.DUMMYFUNCTION("""COMPUTED_VALUE"""),"76975")</f>
        <v>76975</v>
      </c>
      <c r="D9" s="5" t="str">
        <f>IFERROR(__xludf.DUMMYFUNCTION("""COMPUTED_VALUE"""),"error")</f>
        <v>error</v>
      </c>
      <c r="E9" s="5" t="str">
        <f>IFERROR(__xludf.DUMMYFUNCTION("""COMPUTED_VALUE"""),"Stock")</f>
        <v>Stock</v>
      </c>
      <c r="F9" s="119" t="str">
        <f>IFERROR(__xludf.DUMMYFUNCTION("""COMPUTED_VALUE"""),"Tencent HK0700")</f>
        <v>Tencent HK0700</v>
      </c>
      <c r="G9" s="30">
        <f>IFERROR(__xludf.DUMMYFUNCTION("""COMPUTED_VALUE"""),490.0)</f>
        <v>490</v>
      </c>
      <c r="H9" s="30" t="str">
        <f>IFERROR(__xludf.DUMMYFUNCTION("""COMPUTED_VALUE"""),"Email Account/ TraderID Recognized")</f>
        <v>Email Account/ TraderID Recognized</v>
      </c>
      <c r="I9" s="30" t="str">
        <f>IFERROR(__xludf.DUMMYFUNCTION("""COMPUTED_VALUE"""),"QTY, Limit Price (if any) &amp; Password input correct")</f>
        <v>QTY, Limit Price (if any) &amp; Password input correct</v>
      </c>
      <c r="J9" s="30" t="str">
        <f>IFERROR(__xludf.DUMMYFUNCTION("""COMPUTED_VALUE"""),"Order rejected due to wrong ticker code. just need to type in 0700.HK")</f>
        <v>Order rejected due to wrong ticker code. just need to type in 0700.HK</v>
      </c>
    </row>
    <row r="10">
      <c r="A10" s="5"/>
      <c r="B10" s="118">
        <f>IFERROR(__xludf.DUMMYFUNCTION("""COMPUTED_VALUE"""),44603.497145625)</f>
        <v>44603.49715</v>
      </c>
      <c r="C10" s="5" t="str">
        <f>IFERROR(__xludf.DUMMYFUNCTION("""COMPUTED_VALUE"""),"76975")</f>
        <v>76975</v>
      </c>
      <c r="D10" s="5" t="str">
        <f>IFERROR(__xludf.DUMMYFUNCTION("""COMPUTED_VALUE"""),"error")</f>
        <v>error</v>
      </c>
      <c r="E10" s="5" t="str">
        <f>IFERROR(__xludf.DUMMYFUNCTION("""COMPUTED_VALUE"""),"Stock")</f>
        <v>Stock</v>
      </c>
      <c r="F10" s="119" t="str">
        <f>IFERROR(__xludf.DUMMYFUNCTION("""COMPUTED_VALUE"""),"Tencent HK 0700")</f>
        <v>Tencent HK 0700</v>
      </c>
      <c r="G10" s="30">
        <f>IFERROR(__xludf.DUMMYFUNCTION("""COMPUTED_VALUE"""),520.0)</f>
        <v>520</v>
      </c>
      <c r="H10" s="30" t="str">
        <f>IFERROR(__xludf.DUMMYFUNCTION("""COMPUTED_VALUE"""),"Email Account/ TraderID Recognized")</f>
        <v>Email Account/ TraderID Recognized</v>
      </c>
      <c r="I10" s="30" t="str">
        <f>IFERROR(__xludf.DUMMYFUNCTION("""COMPUTED_VALUE"""),"QTY, Limit Price (if any) &amp; Password input correct")</f>
        <v>QTY, Limit Price (if any) &amp; Password input correct</v>
      </c>
      <c r="J10" s="30" t="str">
        <f>IFERROR(__xludf.DUMMYFUNCTION("""COMPUTED_VALUE"""),"Order rejected due to wrong ticker code. just need to type in 0700.HK")</f>
        <v>Order rejected due to wrong ticker code. just need to type in 0700.HK</v>
      </c>
    </row>
    <row r="11">
      <c r="A11" s="5"/>
      <c r="B11" s="118">
        <f>IFERROR(__xludf.DUMMYFUNCTION("""COMPUTED_VALUE"""),44603.5002928125)</f>
        <v>44603.50029</v>
      </c>
      <c r="C11" s="5" t="str">
        <f>IFERROR(__xludf.DUMMYFUNCTION("""COMPUTED_VALUE"""),"76975")</f>
        <v>76975</v>
      </c>
      <c r="D11" s="5" t="str">
        <f>IFERROR(__xludf.DUMMYFUNCTION("""COMPUTED_VALUE"""),"error")</f>
        <v>error</v>
      </c>
      <c r="E11" s="5" t="str">
        <f>IFERROR(__xludf.DUMMYFUNCTION("""COMPUTED_VALUE"""),"Stock")</f>
        <v>Stock</v>
      </c>
      <c r="F11" s="119" t="str">
        <f>IFERROR(__xludf.DUMMYFUNCTION("""COMPUTED_VALUE"""),"Tencent")</f>
        <v>Tencent</v>
      </c>
      <c r="G11" s="30">
        <f>IFERROR(__xludf.DUMMYFUNCTION("""COMPUTED_VALUE"""),520.0)</f>
        <v>520</v>
      </c>
      <c r="H11" s="30" t="str">
        <f>IFERROR(__xludf.DUMMYFUNCTION("""COMPUTED_VALUE"""),"Email Account/ TraderID Recognized")</f>
        <v>Email Account/ TraderID Recognized</v>
      </c>
      <c r="I11" s="30" t="str">
        <f>IFERROR(__xludf.DUMMYFUNCTION("""COMPUTED_VALUE"""),"QTY, Limit Price (if any) &amp; Password input correct")</f>
        <v>QTY, Limit Price (if any) &amp; Password input correct</v>
      </c>
      <c r="J11" s="30" t="str">
        <f>IFERROR(__xludf.DUMMYFUNCTION("""COMPUTED_VALUE"""),"Order rejected due to wrong ticker code. just need to type in 0700.HK")</f>
        <v>Order rejected due to wrong ticker code. just need to type in 0700.HK</v>
      </c>
    </row>
    <row r="12">
      <c r="A12" s="5"/>
      <c r="B12" s="118">
        <f>IFERROR(__xludf.DUMMYFUNCTION("""COMPUTED_VALUE"""),44603.69680065972)</f>
        <v>44603.6968</v>
      </c>
      <c r="C12" s="5" t="str">
        <f>IFERROR(__xludf.DUMMYFUNCTION("""COMPUTED_VALUE"""),"75288")</f>
        <v>75288</v>
      </c>
      <c r="D12" s="5" t="str">
        <f>IFERROR(__xludf.DUMMYFUNCTION("""COMPUTED_VALUE"""),"error")</f>
        <v>error</v>
      </c>
      <c r="E12" s="5" t="str">
        <f>IFERROR(__xludf.DUMMYFUNCTION("""COMPUTED_VALUE"""),"Stock")</f>
        <v>Stock</v>
      </c>
      <c r="F12" s="119" t="str">
        <f>IFERROR(__xludf.DUMMYFUNCTION("""COMPUTED_VALUE"""),"Tencent HK0700")</f>
        <v>Tencent HK0700</v>
      </c>
      <c r="G12" s="30">
        <f>IFERROR(__xludf.DUMMYFUNCTION("""COMPUTED_VALUE"""),520.0)</f>
        <v>520</v>
      </c>
      <c r="H12" s="30" t="str">
        <f>IFERROR(__xludf.DUMMYFUNCTION("""COMPUTED_VALUE"""),"Email Account/ TraderID Recognized")</f>
        <v>Email Account/ TraderID Recognized</v>
      </c>
      <c r="I12" s="30" t="str">
        <f>IFERROR(__xludf.DUMMYFUNCTION("""COMPUTED_VALUE"""),"QTY, Limit Price (if any) &amp; Password input correct")</f>
        <v>QTY, Limit Price (if any) &amp; Password input correct</v>
      </c>
      <c r="J12" s="30" t="str">
        <f>IFERROR(__xludf.DUMMYFUNCTION("""COMPUTED_VALUE"""),"Order rejected due to wrong ticker code. just need to type in 0700.HK")</f>
        <v>Order rejected due to wrong ticker code. just need to type in 0700.HK</v>
      </c>
    </row>
    <row r="13">
      <c r="A13" s="5"/>
      <c r="B13" s="118">
        <f>IFERROR(__xludf.DUMMYFUNCTION("""COMPUTED_VALUE"""),44603.74963273148)</f>
        <v>44603.74963</v>
      </c>
      <c r="C13" s="5" t="str">
        <f>IFERROR(__xludf.DUMMYFUNCTION("""COMPUTED_VALUE"""),"76796")</f>
        <v>76796</v>
      </c>
      <c r="D13" s="5" t="str">
        <f>IFERROR(__xludf.DUMMYFUNCTION("""COMPUTED_VALUE"""),"error")</f>
        <v>error</v>
      </c>
      <c r="E13" s="5" t="str">
        <f>IFERROR(__xludf.DUMMYFUNCTION("""COMPUTED_VALUE"""),"Stock")</f>
        <v>Stock</v>
      </c>
      <c r="F13" s="119" t="str">
        <f>IFERROR(__xludf.DUMMYFUNCTION("""COMPUTED_VALUE"""),"IXIC")</f>
        <v>IXIC</v>
      </c>
      <c r="G13" s="30"/>
      <c r="H13" s="30" t="str">
        <f>IFERROR(__xludf.DUMMYFUNCTION("""COMPUTED_VALUE"""),"Email Account/ TraderID Recognized")</f>
        <v>Email Account/ TraderID Recognized</v>
      </c>
      <c r="I13" s="30" t="str">
        <f>IFERROR(__xludf.DUMMYFUNCTION("""COMPUTED_VALUE"""),"QTY, Limit Price (if any) &amp; Password input correct")</f>
        <v>QTY, Limit Price (if any) &amp; Password input correct</v>
      </c>
      <c r="J13" s="30" t="str">
        <f>IFERROR(__xludf.DUMMYFUNCTION("""COMPUTED_VALUE"""),"Order rejected due to wrong ticker code. need to find proper index ETFs")</f>
        <v>Order rejected due to wrong ticker code. need to find proper index ETFs</v>
      </c>
    </row>
    <row r="14">
      <c r="A14" s="5"/>
      <c r="B14" s="118">
        <f>IFERROR(__xludf.DUMMYFUNCTION("""COMPUTED_VALUE"""),44604.05136695602)</f>
        <v>44604.05137</v>
      </c>
      <c r="C14" s="5" t="str">
        <f>IFERROR(__xludf.DUMMYFUNCTION("""COMPUTED_VALUE"""),"39857")</f>
        <v>39857</v>
      </c>
      <c r="D14" s="5" t="str">
        <f>IFERROR(__xludf.DUMMYFUNCTION("""COMPUTED_VALUE"""),"error")</f>
        <v>error</v>
      </c>
      <c r="E14" s="5" t="str">
        <f>IFERROR(__xludf.DUMMYFUNCTION("""COMPUTED_VALUE"""),"Stock")</f>
        <v>Stock</v>
      </c>
      <c r="F14" s="119" t="str">
        <f>IFERROR(__xludf.DUMMYFUNCTION("""COMPUTED_VALUE"""),"Tesla, Inc. (TSLA)")</f>
        <v>Tesla, Inc. (TSLA)</v>
      </c>
      <c r="G14" s="30">
        <f>IFERROR(__xludf.DUMMYFUNCTION("""COMPUTED_VALUE"""),892.0)</f>
        <v>892</v>
      </c>
      <c r="H14" s="30" t="str">
        <f>IFERROR(__xludf.DUMMYFUNCTION("""COMPUTED_VALUE"""),"Email Account/ TraderID Recognized")</f>
        <v>Email Account/ TraderID Recognized</v>
      </c>
      <c r="I14" s="30" t="str">
        <f>IFERROR(__xludf.DUMMYFUNCTION("""COMPUTED_VALUE"""),"QTY, Limit Price (if any) &amp; Password input correct")</f>
        <v>QTY, Limit Price (if any) &amp; Password input correct</v>
      </c>
      <c r="J14" s="30" t="str">
        <f>IFERROR(__xludf.DUMMYFUNCTION("""COMPUTED_VALUE"""),"Order rejected due to wrong ticker code. just need to type in TSLA")</f>
        <v>Order rejected due to wrong ticker code. just need to type in TSLA</v>
      </c>
    </row>
    <row r="15">
      <c r="A15" s="5"/>
      <c r="B15" s="118">
        <f>IFERROR(__xludf.DUMMYFUNCTION("""COMPUTED_VALUE"""),44604.79494740741)</f>
        <v>44604.79495</v>
      </c>
      <c r="C15" s="5" t="str">
        <f>IFERROR(__xludf.DUMMYFUNCTION("""COMPUTED_VALUE"""),"76796")</f>
        <v>76796</v>
      </c>
      <c r="D15" s="5" t="str">
        <f>IFERROR(__xludf.DUMMYFUNCTION("""COMPUTED_VALUE"""),"error")</f>
        <v>error</v>
      </c>
      <c r="E15" s="5" t="str">
        <f>IFERROR(__xludf.DUMMYFUNCTION("""COMPUTED_VALUE"""),"Stock")</f>
        <v>Stock</v>
      </c>
      <c r="F15" s="119" t="str">
        <f>IFERROR(__xludf.DUMMYFUNCTION("""COMPUTED_VALUE"""),"02777")</f>
        <v>02777</v>
      </c>
      <c r="G15" s="30"/>
      <c r="H15" s="30" t="str">
        <f>IFERROR(__xludf.DUMMYFUNCTION("""COMPUTED_VALUE"""),"Email Account/ TraderID Recognized")</f>
        <v>Email Account/ TraderID Recognized</v>
      </c>
      <c r="I15" s="30" t="str">
        <f>IFERROR(__xludf.DUMMYFUNCTION("""COMPUTED_VALUE"""),"Wrong Password Submitted, Order will be rejected")</f>
        <v>Wrong Password Submitted, Order will be rejected</v>
      </c>
      <c r="J15" s="30" t="str">
        <f>IFERROR(__xludf.DUMMYFUNCTION("""COMPUTED_VALUE"""),"Wrong Password &amp; Order rejected due to wrong ticker code. just need to type in 2777.HK")</f>
        <v>Wrong Password &amp; Order rejected due to wrong ticker code. just need to type in 2777.HK</v>
      </c>
    </row>
    <row r="16">
      <c r="A16" s="5"/>
      <c r="B16" s="118">
        <f>IFERROR(__xludf.DUMMYFUNCTION("""COMPUTED_VALUE"""),44606.49763002315)</f>
        <v>44606.49763</v>
      </c>
      <c r="C16" s="5" t="str">
        <f>IFERROR(__xludf.DUMMYFUNCTION("""COMPUTED_VALUE"""),"40158")</f>
        <v>40158</v>
      </c>
      <c r="D16" s="5" t="str">
        <f>IFERROR(__xludf.DUMMYFUNCTION("""COMPUTED_VALUE"""),"error")</f>
        <v>error</v>
      </c>
      <c r="E16" s="5" t="str">
        <f>IFERROR(__xludf.DUMMYFUNCTION("""COMPUTED_VALUE"""),"Stock")</f>
        <v>Stock</v>
      </c>
      <c r="F16" s="119" t="str">
        <f>IFERROR(__xludf.DUMMYFUNCTION("""COMPUTED_VALUE"""),"HK2020")</f>
        <v>HK2020</v>
      </c>
      <c r="G16" s="30">
        <f>IFERROR(__xludf.DUMMYFUNCTION("""COMPUTED_VALUE"""),128.2)</f>
        <v>128.2</v>
      </c>
      <c r="H16" s="30" t="str">
        <f>IFERROR(__xludf.DUMMYFUNCTION("""COMPUTED_VALUE"""),"Email Account/ TraderID Recognized")</f>
        <v>Email Account/ TraderID Recognized</v>
      </c>
      <c r="I16" s="30" t="str">
        <f>IFERROR(__xludf.DUMMYFUNCTION("""COMPUTED_VALUE"""),"QTY, Limit Price (if any) &amp; Password input correct")</f>
        <v>QTY, Limit Price (if any) &amp; Password input correct</v>
      </c>
      <c r="J16" s="30" t="str">
        <f>IFERROR(__xludf.DUMMYFUNCTION("""COMPUTED_VALUE"""),"Order rejected due to wrong ticker code. just need to type in 2020.HK")</f>
        <v>Order rejected due to wrong ticker code. just need to type in 2020.HK</v>
      </c>
    </row>
    <row r="17">
      <c r="A17" s="5"/>
      <c r="B17" s="118">
        <f>IFERROR(__xludf.DUMMYFUNCTION("""COMPUTED_VALUE"""),44606.53363938657)</f>
        <v>44606.53364</v>
      </c>
      <c r="C17" s="5" t="str">
        <f>IFERROR(__xludf.DUMMYFUNCTION("""COMPUTED_VALUE"""),"76975")</f>
        <v>76975</v>
      </c>
      <c r="D17" s="5" t="str">
        <f>IFERROR(__xludf.DUMMYFUNCTION("""COMPUTED_VALUE"""),"error")</f>
        <v>error</v>
      </c>
      <c r="E17" s="5" t="str">
        <f>IFERROR(__xludf.DUMMYFUNCTION("""COMPUTED_VALUE"""),"Stock")</f>
        <v>Stock</v>
      </c>
      <c r="F17" s="119" t="str">
        <f>IFERROR(__xludf.DUMMYFUNCTION("""COMPUTED_VALUE"""),"Tencent 00700.HK")</f>
        <v>Tencent 00700.HK</v>
      </c>
      <c r="G17" s="30">
        <f>IFERROR(__xludf.DUMMYFUNCTION("""COMPUTED_VALUE"""),500.0)</f>
        <v>500</v>
      </c>
      <c r="H17" s="30" t="str">
        <f>IFERROR(__xludf.DUMMYFUNCTION("""COMPUTED_VALUE"""),"Email Account/ TraderID Recognized")</f>
        <v>Email Account/ TraderID Recognized</v>
      </c>
      <c r="I17" s="30" t="str">
        <f>IFERROR(__xludf.DUMMYFUNCTION("""COMPUTED_VALUE"""),"QTY, Limit Price (if any) &amp; Password input correct")</f>
        <v>QTY, Limit Price (if any) &amp; Password input correct</v>
      </c>
      <c r="J17" s="30" t="str">
        <f>IFERROR(__xludf.DUMMYFUNCTION("""COMPUTED_VALUE"""),"Order rejected due to wrong ticker code. just need to type in 0700.HK")</f>
        <v>Order rejected due to wrong ticker code. just need to type in 0700.HK</v>
      </c>
    </row>
    <row r="18">
      <c r="A18" s="5"/>
      <c r="B18" s="118">
        <f>IFERROR(__xludf.DUMMYFUNCTION("""COMPUTED_VALUE"""),44606.54043196759)</f>
        <v>44606.54043</v>
      </c>
      <c r="C18" s="5" t="str">
        <f>IFERROR(__xludf.DUMMYFUNCTION("""COMPUTED_VALUE"""),"75288")</f>
        <v>75288</v>
      </c>
      <c r="D18" s="5" t="str">
        <f>IFERROR(__xludf.DUMMYFUNCTION("""COMPUTED_VALUE"""),"error")</f>
        <v>error</v>
      </c>
      <c r="E18" s="5" t="str">
        <f>IFERROR(__xludf.DUMMYFUNCTION("""COMPUTED_VALUE"""),"Stock")</f>
        <v>Stock</v>
      </c>
      <c r="F18" s="119" t="str">
        <f>IFERROR(__xludf.DUMMYFUNCTION("""COMPUTED_VALUE"""),"Tencent 00700.HK")</f>
        <v>Tencent 00700.HK</v>
      </c>
      <c r="G18" s="30">
        <f>IFERROR(__xludf.DUMMYFUNCTION("""COMPUTED_VALUE"""),490.0)</f>
        <v>490</v>
      </c>
      <c r="H18" s="30" t="str">
        <f>IFERROR(__xludf.DUMMYFUNCTION("""COMPUTED_VALUE"""),"Email Account/ TraderID Recognized")</f>
        <v>Email Account/ TraderID Recognized</v>
      </c>
      <c r="I18" s="30" t="str">
        <f>IFERROR(__xludf.DUMMYFUNCTION("""COMPUTED_VALUE"""),"QTY, Limit Price (if any) &amp; Password input correct")</f>
        <v>QTY, Limit Price (if any) &amp; Password input correct</v>
      </c>
      <c r="J18" s="30" t="str">
        <f>IFERROR(__xludf.DUMMYFUNCTION("""COMPUTED_VALUE"""),"Order rejected due to wrong ticker code. just need to type in 0700.HK")</f>
        <v>Order rejected due to wrong ticker code. just need to type in 0700.HK</v>
      </c>
    </row>
    <row r="19">
      <c r="A19" s="5"/>
      <c r="B19" s="118">
        <f>IFERROR(__xludf.DUMMYFUNCTION("""COMPUTED_VALUE"""),44606.71474667824)</f>
        <v>44606.71475</v>
      </c>
      <c r="C19" s="5" t="str">
        <f>IFERROR(__xludf.DUMMYFUNCTION("""COMPUTED_VALUE"""),"70628")</f>
        <v>70628</v>
      </c>
      <c r="D19" s="5" t="str">
        <f>IFERROR(__xludf.DUMMYFUNCTION("""COMPUTED_VALUE"""),"error")</f>
        <v>error</v>
      </c>
      <c r="E19" s="5" t="str">
        <f>IFERROR(__xludf.DUMMYFUNCTION("""COMPUTED_VALUE"""),"Stock")</f>
        <v>Stock</v>
      </c>
      <c r="F19" s="119" t="str">
        <f>IFERROR(__xludf.DUMMYFUNCTION("""COMPUTED_VALUE"""),"02333")</f>
        <v>02333</v>
      </c>
      <c r="G19" s="30">
        <f>IFERROR(__xludf.DUMMYFUNCTION("""COMPUTED_VALUE"""),19.36)</f>
        <v>19.36</v>
      </c>
      <c r="H19" s="30" t="str">
        <f>IFERROR(__xludf.DUMMYFUNCTION("""COMPUTED_VALUE"""),"Email Account/ TraderID Recognized")</f>
        <v>Email Account/ TraderID Recognized</v>
      </c>
      <c r="I19" s="30" t="str">
        <f>IFERROR(__xludf.DUMMYFUNCTION("""COMPUTED_VALUE"""),"Non-number input in Quantity or Limit Price")</f>
        <v>Non-number input in Quantity or Limit Price</v>
      </c>
      <c r="J19" s="30" t="str">
        <f>IFERROR(__xludf.DUMMYFUNCTION("""COMPUTED_VALUE"""),"Order rejected due to wrong ticker code. just need to type in 2333.HK")</f>
        <v>Order rejected due to wrong ticker code. just need to type in 2333.HK</v>
      </c>
    </row>
    <row r="20">
      <c r="A20" s="5"/>
      <c r="B20" s="118">
        <f>IFERROR(__xludf.DUMMYFUNCTION("""COMPUTED_VALUE"""),44606.71546847222)</f>
        <v>44606.71547</v>
      </c>
      <c r="C20" s="5" t="str">
        <f>IFERROR(__xludf.DUMMYFUNCTION("""COMPUTED_VALUE"""),"70628")</f>
        <v>70628</v>
      </c>
      <c r="D20" s="5" t="str">
        <f>IFERROR(__xludf.DUMMYFUNCTION("""COMPUTED_VALUE"""),"error")</f>
        <v>error</v>
      </c>
      <c r="E20" s="5" t="str">
        <f>IFERROR(__xludf.DUMMYFUNCTION("""COMPUTED_VALUE"""),"Stock")</f>
        <v>Stock</v>
      </c>
      <c r="F20" s="119" t="str">
        <f>IFERROR(__xludf.DUMMYFUNCTION("""COMPUTED_VALUE"""),"01776")</f>
        <v>01776</v>
      </c>
      <c r="G20" s="30">
        <f>IFERROR(__xludf.DUMMYFUNCTION("""COMPUTED_VALUE"""),12.98)</f>
        <v>12.98</v>
      </c>
      <c r="H20" s="30" t="str">
        <f>IFERROR(__xludf.DUMMYFUNCTION("""COMPUTED_VALUE"""),"Email Account/ TraderID Recognized")</f>
        <v>Email Account/ TraderID Recognized</v>
      </c>
      <c r="I20" s="30" t="str">
        <f>IFERROR(__xludf.DUMMYFUNCTION("""COMPUTED_VALUE"""),"QTY, Limit Price (if any) &amp; Password input correct")</f>
        <v>QTY, Limit Price (if any) &amp; Password input correct</v>
      </c>
      <c r="J20" s="30" t="str">
        <f>IFERROR(__xludf.DUMMYFUNCTION("""COMPUTED_VALUE"""),"Order rejected due to wrong ticker code. just need to type in 1776.HK")</f>
        <v>Order rejected due to wrong ticker code. just need to type in 1776.HK</v>
      </c>
    </row>
    <row r="21">
      <c r="A21" s="5"/>
      <c r="B21" s="118">
        <f>IFERROR(__xludf.DUMMYFUNCTION("""COMPUTED_VALUE"""),44607.52577648148)</f>
        <v>44607.52578</v>
      </c>
      <c r="C21" s="5" t="str">
        <f>IFERROR(__xludf.DUMMYFUNCTION("""COMPUTED_VALUE"""),"36460")</f>
        <v>36460</v>
      </c>
      <c r="D21" s="5" t="str">
        <f>IFERROR(__xludf.DUMMYFUNCTION("""COMPUTED_VALUE"""),"error")</f>
        <v>error</v>
      </c>
      <c r="E21" s="5" t="str">
        <f>IFERROR(__xludf.DUMMYFUNCTION("""COMPUTED_VALUE"""),"Stock")</f>
        <v>Stock</v>
      </c>
      <c r="F21" s="119" t="str">
        <f>IFERROR(__xludf.DUMMYFUNCTION("""COMPUTED_VALUE"""),"603259")</f>
        <v>603259</v>
      </c>
      <c r="G21" s="30" t="str">
        <f>IFERROR(__xludf.DUMMYFUNCTION("""COMPUTED_VALUE"""),"Limit Sell@100 Limit Buy@90")</f>
        <v>Limit Sell@100 Limit Buy@90</v>
      </c>
      <c r="H21" s="30" t="str">
        <f>IFERROR(__xludf.DUMMYFUNCTION("""COMPUTED_VALUE"""),"Email Account/ TraderID Recognized")</f>
        <v>Email Account/ TraderID Recognized</v>
      </c>
      <c r="I21" s="30" t="str">
        <f>IFERROR(__xludf.DUMMYFUNCTION("""COMPUTED_VALUE"""),"Non-number input in Quantity or Limit Price")</f>
        <v>Non-number input in Quantity or Limit Price</v>
      </c>
      <c r="J21" s="30" t="str">
        <f>IFERROR(__xludf.DUMMYFUNCTION("""COMPUTED_VALUE"""),"Order rejected due to wrong ticker code. just need to type in 603259.SS")</f>
        <v>Order rejected due to wrong ticker code. just need to type in 603259.SS</v>
      </c>
    </row>
    <row r="22">
      <c r="A22" s="5"/>
      <c r="B22" s="118">
        <f>IFERROR(__xludf.DUMMYFUNCTION("""COMPUTED_VALUE"""),44607.54478378472)</f>
        <v>44607.54478</v>
      </c>
      <c r="C22" s="5" t="str">
        <f>IFERROR(__xludf.DUMMYFUNCTION("""COMPUTED_VALUE"""),"70628")</f>
        <v>70628</v>
      </c>
      <c r="D22" s="5" t="str">
        <f>IFERROR(__xludf.DUMMYFUNCTION("""COMPUTED_VALUE"""),"error")</f>
        <v>error</v>
      </c>
      <c r="E22" s="5" t="str">
        <f>IFERROR(__xludf.DUMMYFUNCTION("""COMPUTED_VALUE"""),"Stock")</f>
        <v>Stock</v>
      </c>
      <c r="F22" s="119" t="str">
        <f>IFERROR(__xludf.DUMMYFUNCTION("""COMPUTED_VALUE"""),"3339")</f>
        <v>3339</v>
      </c>
      <c r="G22" s="30">
        <f>IFERROR(__xludf.DUMMYFUNCTION("""COMPUTED_VALUE"""),2.1)</f>
        <v>2.1</v>
      </c>
      <c r="H22" s="30" t="str">
        <f>IFERROR(__xludf.DUMMYFUNCTION("""COMPUTED_VALUE"""),"Email Account/ TraderID Recognized")</f>
        <v>Email Account/ TraderID Recognized</v>
      </c>
      <c r="I22" s="30" t="str">
        <f>IFERROR(__xludf.DUMMYFUNCTION("""COMPUTED_VALUE"""),"QTY, Limit Price (if any) &amp; Password input correct")</f>
        <v>QTY, Limit Price (if any) &amp; Password input correct</v>
      </c>
      <c r="J22" s="30" t="str">
        <f>IFERROR(__xludf.DUMMYFUNCTION("""COMPUTED_VALUE"""),"Order rejected due to wrong ticker code. just need to type in 3339.HK")</f>
        <v>Order rejected due to wrong ticker code. just need to type in 3339.HK</v>
      </c>
    </row>
    <row r="23">
      <c r="A23" s="5"/>
      <c r="B23" s="118">
        <f>IFERROR(__xludf.DUMMYFUNCTION("""COMPUTED_VALUE"""),44607.54578049769)</f>
        <v>44607.54578</v>
      </c>
      <c r="C23" s="5" t="str">
        <f>IFERROR(__xludf.DUMMYFUNCTION("""COMPUTED_VALUE"""),"70628")</f>
        <v>70628</v>
      </c>
      <c r="D23" s="5" t="str">
        <f>IFERROR(__xludf.DUMMYFUNCTION("""COMPUTED_VALUE"""),"error")</f>
        <v>error</v>
      </c>
      <c r="E23" s="5" t="str">
        <f>IFERROR(__xludf.DUMMYFUNCTION("""COMPUTED_VALUE"""),"Stock")</f>
        <v>Stock</v>
      </c>
      <c r="F23" s="119" t="str">
        <f>IFERROR(__xludf.DUMMYFUNCTION("""COMPUTED_VALUE"""),"02333")</f>
        <v>02333</v>
      </c>
      <c r="G23" s="30">
        <f>IFERROR(__xludf.DUMMYFUNCTION("""COMPUTED_VALUE"""),19.0)</f>
        <v>19</v>
      </c>
      <c r="H23" s="30" t="str">
        <f>IFERROR(__xludf.DUMMYFUNCTION("""COMPUTED_VALUE"""),"Email Account/ TraderID Recognized")</f>
        <v>Email Account/ TraderID Recognized</v>
      </c>
      <c r="I23" s="30" t="str">
        <f>IFERROR(__xludf.DUMMYFUNCTION("""COMPUTED_VALUE"""),"QTY, Limit Price (if any) &amp; Password input correct")</f>
        <v>QTY, Limit Price (if any) &amp; Password input correct</v>
      </c>
      <c r="J23" s="30" t="str">
        <f>IFERROR(__xludf.DUMMYFUNCTION("""COMPUTED_VALUE"""),"Order rejected due to wrong ticker code. just need to type in 2333.HK")</f>
        <v>Order rejected due to wrong ticker code. just need to type in 2333.HK</v>
      </c>
    </row>
    <row r="24">
      <c r="A24" s="5"/>
      <c r="B24" s="118">
        <f>IFERROR(__xludf.DUMMYFUNCTION("""COMPUTED_VALUE"""),44607.54895788194)</f>
        <v>44607.54896</v>
      </c>
      <c r="C24" s="5" t="str">
        <f>IFERROR(__xludf.DUMMYFUNCTION("""COMPUTED_VALUE"""),"70628")</f>
        <v>70628</v>
      </c>
      <c r="D24" s="5" t="str">
        <f>IFERROR(__xludf.DUMMYFUNCTION("""COMPUTED_VALUE"""),"error")</f>
        <v>error</v>
      </c>
      <c r="E24" s="5" t="str">
        <f>IFERROR(__xludf.DUMMYFUNCTION("""COMPUTED_VALUE"""),"Stock")</f>
        <v>Stock</v>
      </c>
      <c r="F24" s="119" t="str">
        <f>IFERROR(__xludf.DUMMYFUNCTION("""COMPUTED_VALUE"""),"3339")</f>
        <v>3339</v>
      </c>
      <c r="G24" s="30">
        <f>IFERROR(__xludf.DUMMYFUNCTION("""COMPUTED_VALUE"""),2.09)</f>
        <v>2.09</v>
      </c>
      <c r="H24" s="30" t="str">
        <f>IFERROR(__xludf.DUMMYFUNCTION("""COMPUTED_VALUE"""),"Email Account/ TraderID Recognized")</f>
        <v>Email Account/ TraderID Recognized</v>
      </c>
      <c r="I24" s="30" t="str">
        <f>IFERROR(__xludf.DUMMYFUNCTION("""COMPUTED_VALUE"""),"QTY, Limit Price (if any) &amp; Password input correct")</f>
        <v>QTY, Limit Price (if any) &amp; Password input correct</v>
      </c>
      <c r="J24" s="30" t="str">
        <f>IFERROR(__xludf.DUMMYFUNCTION("""COMPUTED_VALUE"""),"Order rejected due to wrong ticker code. just need to type in 3339.HK")</f>
        <v>Order rejected due to wrong ticker code. just need to type in 3339.HK</v>
      </c>
    </row>
    <row r="25">
      <c r="A25" s="5"/>
      <c r="B25" s="118">
        <f>IFERROR(__xludf.DUMMYFUNCTION("""COMPUTED_VALUE"""),44608.020912141204)</f>
        <v>44608.02091</v>
      </c>
      <c r="C25" s="5" t="str">
        <f>IFERROR(__xludf.DUMMYFUNCTION("""COMPUTED_VALUE"""),"70628")</f>
        <v>70628</v>
      </c>
      <c r="D25" s="5" t="str">
        <f>IFERROR(__xludf.DUMMYFUNCTION("""COMPUTED_VALUE"""),"error")</f>
        <v>error</v>
      </c>
      <c r="E25" s="5" t="str">
        <f>IFERROR(__xludf.DUMMYFUNCTION("""COMPUTED_VALUE"""),"Stock")</f>
        <v>Stock</v>
      </c>
      <c r="F25" s="119" t="str">
        <f>IFERROR(__xludf.DUMMYFUNCTION("""COMPUTED_VALUE"""),"Tesla, Inc. (TSLA)")</f>
        <v>Tesla, Inc. (TSLA)</v>
      </c>
      <c r="G25" s="30">
        <f>IFERROR(__xludf.DUMMYFUNCTION("""COMPUTED_VALUE"""),917.0)</f>
        <v>917</v>
      </c>
      <c r="H25" s="30" t="str">
        <f>IFERROR(__xludf.DUMMYFUNCTION("""COMPUTED_VALUE"""),"Email Account/ TraderID Recognized")</f>
        <v>Email Account/ TraderID Recognized</v>
      </c>
      <c r="I25" s="30" t="str">
        <f>IFERROR(__xludf.DUMMYFUNCTION("""COMPUTED_VALUE"""),"QTY, Limit Price (if any) &amp; Password input correct")</f>
        <v>QTY, Limit Price (if any) &amp; Password input correct</v>
      </c>
      <c r="J25" s="30" t="str">
        <f>IFERROR(__xludf.DUMMYFUNCTION("""COMPUTED_VALUE"""),"Order rejected due to wrong ticker code. just need to type in TSLA")</f>
        <v>Order rejected due to wrong ticker code. just need to type in TSLA</v>
      </c>
    </row>
    <row r="26">
      <c r="A26" s="5"/>
      <c r="B26" s="118">
        <f>IFERROR(__xludf.DUMMYFUNCTION("""COMPUTED_VALUE"""),44608.423691435186)</f>
        <v>44608.42369</v>
      </c>
      <c r="C26" s="5" t="str">
        <f>IFERROR(__xludf.DUMMYFUNCTION("""COMPUTED_VALUE"""),"82124")</f>
        <v>82124</v>
      </c>
      <c r="D26" s="5" t="str">
        <f>IFERROR(__xludf.DUMMYFUNCTION("""COMPUTED_VALUE"""),"error")</f>
        <v>error</v>
      </c>
      <c r="E26" s="5" t="str">
        <f>IFERROR(__xludf.DUMMYFUNCTION("""COMPUTED_VALUE"""),"Stock")</f>
        <v>Stock</v>
      </c>
      <c r="F26" s="119" t="str">
        <f>IFERROR(__xludf.DUMMYFUNCTION("""COMPUTED_VALUE"""),"9988")</f>
        <v>9988</v>
      </c>
      <c r="G26" s="30"/>
      <c r="H26" s="30" t="str">
        <f>IFERROR(__xludf.DUMMYFUNCTION("""COMPUTED_VALUE"""),"Email Account/ TraderID Recognized")</f>
        <v>Email Account/ TraderID Recognized</v>
      </c>
      <c r="I26" s="30" t="str">
        <f>IFERROR(__xludf.DUMMYFUNCTION("""COMPUTED_VALUE"""),"QTY, Limit Price (if any) &amp; Password input correct")</f>
        <v>QTY, Limit Price (if any) &amp; Password input correct</v>
      </c>
      <c r="J26" s="30" t="str">
        <f>IFERROR(__xludf.DUMMYFUNCTION("""COMPUTED_VALUE"""),"Order rejected due to wrong ticker code. just need to type in 9988.HK")</f>
        <v>Order rejected due to wrong ticker code. just need to type in 9988.HK</v>
      </c>
    </row>
    <row r="27">
      <c r="A27" s="5"/>
      <c r="B27" s="118">
        <f>IFERROR(__xludf.DUMMYFUNCTION("""COMPUTED_VALUE"""),44609.48559996528)</f>
        <v>44609.4856</v>
      </c>
      <c r="C27" s="5" t="str">
        <f>IFERROR(__xludf.DUMMYFUNCTION("""COMPUTED_VALUE"""),"82124")</f>
        <v>82124</v>
      </c>
      <c r="D27" s="5" t="str">
        <f>IFERROR(__xludf.DUMMYFUNCTION("""COMPUTED_VALUE"""),"error")</f>
        <v>error</v>
      </c>
      <c r="E27" s="5" t="str">
        <f>IFERROR(__xludf.DUMMYFUNCTION("""COMPUTED_VALUE"""),"Stock")</f>
        <v>Stock</v>
      </c>
      <c r="F27" s="119" t="str">
        <f>IFERROR(__xludf.DUMMYFUNCTION("""COMPUTED_VALUE"""),"9988")</f>
        <v>9988</v>
      </c>
      <c r="G27" s="30">
        <f>IFERROR(__xludf.DUMMYFUNCTION("""COMPUTED_VALUE"""),123.1)</f>
        <v>123.1</v>
      </c>
      <c r="H27" s="30" t="str">
        <f>IFERROR(__xludf.DUMMYFUNCTION("""COMPUTED_VALUE"""),"Email Account/ TraderID Recognized")</f>
        <v>Email Account/ TraderID Recognized</v>
      </c>
      <c r="I27" s="30" t="str">
        <f>IFERROR(__xludf.DUMMYFUNCTION("""COMPUTED_VALUE"""),"QTY, Limit Price (if any) &amp; Password input correct")</f>
        <v>QTY, Limit Price (if any) &amp; Password input correct</v>
      </c>
      <c r="J27" s="30" t="str">
        <f>IFERROR(__xludf.DUMMYFUNCTION("""COMPUTED_VALUE"""),"Order rejected due to wrong ticker code. just need to type in 9988.HK")</f>
        <v>Order rejected due to wrong ticker code. just need to type in 9988.HK</v>
      </c>
    </row>
    <row r="28">
      <c r="A28" s="5"/>
      <c r="B28" s="118">
        <f>IFERROR(__xludf.DUMMYFUNCTION("""COMPUTED_VALUE"""),44609.71771300926)</f>
        <v>44609.71771</v>
      </c>
      <c r="C28" s="5" t="str">
        <f>IFERROR(__xludf.DUMMYFUNCTION("""COMPUTED_VALUE"""),"36460")</f>
        <v>36460</v>
      </c>
      <c r="D28" s="5" t="str">
        <f>IFERROR(__xludf.DUMMYFUNCTION("""COMPUTED_VALUE"""),"error")</f>
        <v>error</v>
      </c>
      <c r="E28" s="5" t="str">
        <f>IFERROR(__xludf.DUMMYFUNCTION("""COMPUTED_VALUE"""),"Stock")</f>
        <v>Stock</v>
      </c>
      <c r="F28" s="119" t="str">
        <f>IFERROR(__xludf.DUMMYFUNCTION("""COMPUTED_VALUE"""),"603259")</f>
        <v>603259</v>
      </c>
      <c r="G28" s="30"/>
      <c r="H28" s="30" t="str">
        <f>IFERROR(__xludf.DUMMYFUNCTION("""COMPUTED_VALUE"""),"Email Account/ TraderID Recognized")</f>
        <v>Email Account/ TraderID Recognized</v>
      </c>
      <c r="I28" s="30" t="str">
        <f>IFERROR(__xludf.DUMMYFUNCTION("""COMPUTED_VALUE"""),"QTY, Limit Price (if any) &amp; Password input correct")</f>
        <v>QTY, Limit Price (if any) &amp; Password input correct</v>
      </c>
      <c r="J28" s="30" t="str">
        <f>IFERROR(__xludf.DUMMYFUNCTION("""COMPUTED_VALUE"""),"Order rejected due to wrong ticker code. just need to type in 603259.SS")</f>
        <v>Order rejected due to wrong ticker code. just need to type in 603259.SS</v>
      </c>
    </row>
    <row r="29">
      <c r="A29" s="5"/>
      <c r="B29" s="118">
        <f>IFERROR(__xludf.DUMMYFUNCTION("""COMPUTED_VALUE"""),44609.911573136575)</f>
        <v>44609.91157</v>
      </c>
      <c r="C29" s="5" t="str">
        <f>IFERROR(__xludf.DUMMYFUNCTION("""COMPUTED_VALUE"""),"39608")</f>
        <v>39608</v>
      </c>
      <c r="D29" s="5" t="str">
        <f>IFERROR(__xludf.DUMMYFUNCTION("""COMPUTED_VALUE"""),"error")</f>
        <v>error</v>
      </c>
      <c r="E29" s="5" t="str">
        <f>IFERROR(__xludf.DUMMYFUNCTION("""COMPUTED_VALUE"""),"Stock")</f>
        <v>Stock</v>
      </c>
      <c r="F29" s="119" t="str">
        <f>IFERROR(__xludf.DUMMYFUNCTION("""COMPUTED_VALUE"""),"TSLA")</f>
        <v>TSLA</v>
      </c>
      <c r="G29" s="30"/>
      <c r="H29" s="30" t="str">
        <f>IFERROR(__xludf.DUMMYFUNCTION("""COMPUTED_VALUE"""),"Email Account/ TraderID Recognized")</f>
        <v>Email Account/ TraderID Recognized</v>
      </c>
      <c r="I29" s="30" t="str">
        <f>IFERROR(__xludf.DUMMYFUNCTION("""COMPUTED_VALUE"""),"Wrong Password Submitted, Order will be rejected")</f>
        <v>Wrong Password Submitted, Order will be rejected</v>
      </c>
      <c r="J29" s="30" t="str">
        <f>IFERROR(__xludf.DUMMYFUNCTION("""COMPUTED_VALUE"""),"Order rejected due to wrong password")</f>
        <v>Order rejected due to wrong password</v>
      </c>
    </row>
    <row r="30">
      <c r="A30" s="5"/>
      <c r="B30" s="118">
        <f>IFERROR(__xludf.DUMMYFUNCTION("""COMPUTED_VALUE"""),44610.51565349537)</f>
        <v>44610.51565</v>
      </c>
      <c r="C30" s="5" t="str">
        <f>IFERROR(__xludf.DUMMYFUNCTION("""COMPUTED_VALUE"""),"76796")</f>
        <v>76796</v>
      </c>
      <c r="D30" s="5" t="str">
        <f>IFERROR(__xludf.DUMMYFUNCTION("""COMPUTED_VALUE"""),"error")</f>
        <v>error</v>
      </c>
      <c r="E30" s="5" t="str">
        <f>IFERROR(__xludf.DUMMYFUNCTION("""COMPUTED_VALUE"""),"Stock")</f>
        <v>Stock</v>
      </c>
      <c r="F30" s="119" t="str">
        <f>IFERROR(__xludf.DUMMYFUNCTION("""COMPUTED_VALUE"""),"NVDA")</f>
        <v>NVDA</v>
      </c>
      <c r="G30" s="30"/>
      <c r="H30" s="30" t="str">
        <f>IFERROR(__xludf.DUMMYFUNCTION("""COMPUTED_VALUE"""),"Email Account/ TraderID Recognized")</f>
        <v>Email Account/ TraderID Recognized</v>
      </c>
      <c r="I30" s="30" t="str">
        <f>IFERROR(__xludf.DUMMYFUNCTION("""COMPUTED_VALUE"""),"Non-number input in Quantity or Limit Price")</f>
        <v>Non-number input in Quantity or Limit Price</v>
      </c>
      <c r="J30" s="30" t="str">
        <f>IFERROR(__xludf.DUMMYFUNCTION("""COMPUTED_VALUE"""),"Expected a number in shares quantity, not in non-numeric character")</f>
        <v>Expected a number in shares quantity, not in non-numeric character</v>
      </c>
    </row>
    <row r="31">
      <c r="A31" s="5"/>
      <c r="B31" s="118">
        <f>IFERROR(__xludf.DUMMYFUNCTION("""COMPUTED_VALUE"""),44610.63417295139)</f>
        <v>44610.63417</v>
      </c>
      <c r="C31" s="5" t="str">
        <f>IFERROR(__xludf.DUMMYFUNCTION("""COMPUTED_VALUE"""),"76796")</f>
        <v>76796</v>
      </c>
      <c r="D31" s="5" t="str">
        <f>IFERROR(__xludf.DUMMYFUNCTION("""COMPUTED_VALUE"""),"error")</f>
        <v>error</v>
      </c>
      <c r="E31" s="5" t="str">
        <f>IFERROR(__xludf.DUMMYFUNCTION("""COMPUTED_VALUE"""),"Stock")</f>
        <v>Stock</v>
      </c>
      <c r="F31" s="119" t="str">
        <f>IFERROR(__xludf.DUMMYFUNCTION("""COMPUTED_VALUE"""),"MSFT")</f>
        <v>MSFT</v>
      </c>
      <c r="G31" s="30"/>
      <c r="H31" s="30" t="str">
        <f>IFERROR(__xludf.DUMMYFUNCTION("""COMPUTED_VALUE"""),"Email Account/ TraderID Recognized")</f>
        <v>Email Account/ TraderID Recognized</v>
      </c>
      <c r="I31" s="30" t="str">
        <f>IFERROR(__xludf.DUMMYFUNCTION("""COMPUTED_VALUE"""),"Non-number input in Quantity or Limit Price")</f>
        <v>Non-number input in Quantity or Limit Price</v>
      </c>
      <c r="J31" s="30" t="str">
        <f>IFERROR(__xludf.DUMMYFUNCTION("""COMPUTED_VALUE"""),"Expected a number in shares quantity, not in non-numeric character")</f>
        <v>Expected a number in shares quantity, not in non-numeric character</v>
      </c>
    </row>
    <row r="32">
      <c r="A32" s="5"/>
      <c r="B32" s="118">
        <f>IFERROR(__xludf.DUMMYFUNCTION("""COMPUTED_VALUE"""),44610.68114909722)</f>
        <v>44610.68115</v>
      </c>
      <c r="C32" s="5" t="str">
        <f>IFERROR(__xludf.DUMMYFUNCTION("""COMPUTED_VALUE"""),"39857")</f>
        <v>39857</v>
      </c>
      <c r="D32" s="5" t="str">
        <f>IFERROR(__xludf.DUMMYFUNCTION("""COMPUTED_VALUE"""),"error")</f>
        <v>error</v>
      </c>
      <c r="E32" s="5" t="str">
        <f>IFERROR(__xludf.DUMMYFUNCTION("""COMPUTED_VALUE"""),"Stock")</f>
        <v>Stock</v>
      </c>
      <c r="F32" s="119" t="str">
        <f>IFERROR(__xludf.DUMMYFUNCTION("""COMPUTED_VALUE"""),"6969")</f>
        <v>6969</v>
      </c>
      <c r="G32" s="30"/>
      <c r="H32" s="30" t="str">
        <f>IFERROR(__xludf.DUMMYFUNCTION("""COMPUTED_VALUE"""),"Email Account/ TraderID Recognized")</f>
        <v>Email Account/ TraderID Recognized</v>
      </c>
      <c r="I32" s="30" t="str">
        <f>IFERROR(__xludf.DUMMYFUNCTION("""COMPUTED_VALUE"""),"QTY, Limit Price (if any) &amp; Password input correct")</f>
        <v>QTY, Limit Price (if any) &amp; Password input correct</v>
      </c>
      <c r="J32" s="30" t="str">
        <f>IFERROR(__xludf.DUMMYFUNCTION("""COMPUTED_VALUE"""),"Order rejected due to wrong ticker code. just need to type in 6969.HK")</f>
        <v>Order rejected due to wrong ticker code. just need to type in 6969.HK</v>
      </c>
    </row>
    <row r="33">
      <c r="A33" s="5"/>
      <c r="B33" s="118">
        <f>IFERROR(__xludf.DUMMYFUNCTION("""COMPUTED_VALUE"""),44610.6836210301)</f>
        <v>44610.68362</v>
      </c>
      <c r="C33" s="5" t="str">
        <f>IFERROR(__xludf.DUMMYFUNCTION("""COMPUTED_VALUE"""),"75369")</f>
        <v>75369</v>
      </c>
      <c r="D33" s="5" t="str">
        <f>IFERROR(__xludf.DUMMYFUNCTION("""COMPUTED_VALUE"""),"error")</f>
        <v>error</v>
      </c>
      <c r="E33" s="5" t="str">
        <f>IFERROR(__xludf.DUMMYFUNCTION("""COMPUTED_VALUE"""),"Stock")</f>
        <v>Stock</v>
      </c>
      <c r="F33" s="119" t="str">
        <f>IFERROR(__xludf.DUMMYFUNCTION("""COMPUTED_VALUE"""),"83547")</f>
        <v>83547</v>
      </c>
      <c r="G33" s="30">
        <f>IFERROR(__xludf.DUMMYFUNCTION("""COMPUTED_VALUE"""),20.0)</f>
        <v>20</v>
      </c>
      <c r="H33" s="30" t="str">
        <f>IFERROR(__xludf.DUMMYFUNCTION("""COMPUTED_VALUE"""),"Email Account/ TraderID Recognized")</f>
        <v>Email Account/ TraderID Recognized</v>
      </c>
      <c r="I33" s="30" t="str">
        <f>IFERROR(__xludf.DUMMYFUNCTION("""COMPUTED_VALUE"""),"QTY, Limit Price (if any) &amp; Password input correct")</f>
        <v>QTY, Limit Price (if any) &amp; Password input correct</v>
      </c>
      <c r="J33" s="30" t="str">
        <f>IFERROR(__xludf.DUMMYFUNCTION("""COMPUTED_VALUE"""),"Order rejected due to wrong ticker code. it is a 4 digit code for HK stock. For limit price, just put in the price is enough (the numeric number).")</f>
        <v>Order rejected due to wrong ticker code. it is a 4 digit code for HK stock. For limit price, just put in the price is enough (the numeric number).</v>
      </c>
    </row>
    <row r="34">
      <c r="A34" s="5"/>
      <c r="B34" s="118">
        <f>IFERROR(__xludf.DUMMYFUNCTION("""COMPUTED_VALUE"""),44611.04881371528)</f>
        <v>44611.04881</v>
      </c>
      <c r="C34" s="5" t="str">
        <f>IFERROR(__xludf.DUMMYFUNCTION("""COMPUTED_VALUE"""),"40433")</f>
        <v>40433</v>
      </c>
      <c r="D34" s="5" t="str">
        <f>IFERROR(__xludf.DUMMYFUNCTION("""COMPUTED_VALUE"""),"error")</f>
        <v>error</v>
      </c>
      <c r="E34" s="5" t="str">
        <f>IFERROR(__xludf.DUMMYFUNCTION("""COMPUTED_VALUE"""),"Stock")</f>
        <v>Stock</v>
      </c>
      <c r="F34" s="119" t="str">
        <f>IFERROR(__xludf.DUMMYFUNCTION("""COMPUTED_VALUE"""),"TSLAA")</f>
        <v>TSLAA</v>
      </c>
      <c r="G34" s="30"/>
      <c r="H34" s="30" t="str">
        <f>IFERROR(__xludf.DUMMYFUNCTION("""COMPUTED_VALUE"""),"Email Account/ TraderID Recognized")</f>
        <v>Email Account/ TraderID Recognized</v>
      </c>
      <c r="I34" s="30" t="str">
        <f>IFERROR(__xludf.DUMMYFUNCTION("""COMPUTED_VALUE"""),"QTY, Limit Price (if any) &amp; Password input correct")</f>
        <v>QTY, Limit Price (if any) &amp; Password input correct</v>
      </c>
      <c r="J34" s="30" t="str">
        <f>IFERROR(__xludf.DUMMYFUNCTION("""COMPUTED_VALUE"""),"Order rejected due to wrong ticker code. just need to type in TSLA?")</f>
        <v>Order rejected due to wrong ticker code. just need to type in TSLA?</v>
      </c>
    </row>
    <row r="35">
      <c r="A35" s="5"/>
      <c r="B35" s="118">
        <f>IFERROR(__xludf.DUMMYFUNCTION("""COMPUTED_VALUE"""),44611.7673262037)</f>
        <v>44611.76733</v>
      </c>
      <c r="C35" s="5" t="str">
        <f>IFERROR(__xludf.DUMMYFUNCTION("""COMPUTED_VALUE"""),"")</f>
        <v/>
      </c>
      <c r="D35" s="5" t="str">
        <f>IFERROR(__xludf.DUMMYFUNCTION("""COMPUTED_VALUE"""),"error")</f>
        <v>error</v>
      </c>
      <c r="E35" s="5" t="str">
        <f>IFERROR(__xludf.DUMMYFUNCTION("""COMPUTED_VALUE"""),"Stock")</f>
        <v>Stock</v>
      </c>
      <c r="F35" s="119" t="str">
        <f>IFERROR(__xludf.DUMMYFUNCTION("""COMPUTED_VALUE"""),"600519")</f>
        <v>600519</v>
      </c>
      <c r="G35" s="30">
        <f>IFERROR(__xludf.DUMMYFUNCTION("""COMPUTED_VALUE"""),1907.0)</f>
        <v>1907</v>
      </c>
      <c r="H35" s="30" t="str">
        <f>IFERROR(__xludf.DUMMYFUNCTION("""COMPUTED_VALUE"""),"nma3xxxxxx@nonHKMUemail")</f>
        <v>nma3xxxxxx@nonHKMUemail</v>
      </c>
      <c r="I35" s="30" t="str">
        <f>IFERROR(__xludf.DUMMYFUNCTION("""COMPUTED_VALUE"""),"QTY, Limit Price (if any) &amp; Password input correct")</f>
        <v>QTY, Limit Price (if any) &amp; Password input correct</v>
      </c>
      <c r="J35" s="30" t="str">
        <f>IFERROR(__xludf.DUMMYFUNCTION("""COMPUTED_VALUE"""),"Order rejected due to invalid school email account, (nmaXXXXX@gmail.com), wrong ticker code. just need to type in 600519.SS")</f>
        <v>Order rejected due to invalid school email account, (nmaXXXXX@gmail.com), wrong ticker code. just need to type in 600519.SS</v>
      </c>
    </row>
    <row r="36">
      <c r="A36" s="5"/>
      <c r="B36" s="118">
        <f>IFERROR(__xludf.DUMMYFUNCTION("""COMPUTED_VALUE"""),44612.99414241898)</f>
        <v>44612.99414</v>
      </c>
      <c r="C36" s="5" t="str">
        <f>IFERROR(__xludf.DUMMYFUNCTION("""COMPUTED_VALUE"""),"75369")</f>
        <v>75369</v>
      </c>
      <c r="D36" s="5" t="str">
        <f>IFERROR(__xludf.DUMMYFUNCTION("""COMPUTED_VALUE"""),"error")</f>
        <v>error</v>
      </c>
      <c r="E36" s="5" t="str">
        <f>IFERROR(__xludf.DUMMYFUNCTION("""COMPUTED_VALUE"""),"Stock")</f>
        <v>Stock</v>
      </c>
      <c r="F36" s="119" t="str">
        <f>IFERROR(__xludf.DUMMYFUNCTION("""COMPUTED_VALUE"""),"04338")</f>
        <v>04338</v>
      </c>
      <c r="G36" s="30">
        <f>IFERROR(__xludf.DUMMYFUNCTION("""COMPUTED_VALUE"""),20.0)</f>
        <v>20</v>
      </c>
      <c r="H36" s="30" t="str">
        <f>IFERROR(__xludf.DUMMYFUNCTION("""COMPUTED_VALUE"""),"Email Account/ TraderID Recognized")</f>
        <v>Email Account/ TraderID Recognized</v>
      </c>
      <c r="I36" s="30" t="str">
        <f>IFERROR(__xludf.DUMMYFUNCTION("""COMPUTED_VALUE"""),"Wrong Password Submitted, Order will be rejected")</f>
        <v>Wrong Password Submitted, Order will be rejected</v>
      </c>
      <c r="J36" s="30" t="str">
        <f>IFERROR(__xludf.DUMMYFUNCTION("""COMPUTED_VALUE"""),"Order rejected due to wrong password, wrong ticker code and non numeric character in limit price. just need to type in 4338.HK. AND just numeric price for limiit price")</f>
        <v>Order rejected due to wrong password, wrong ticker code and non numeric character in limit price. just need to type in 4338.HK. AND just numeric price for limiit price</v>
      </c>
    </row>
    <row r="37">
      <c r="A37" s="5"/>
      <c r="B37" s="118">
        <f>IFERROR(__xludf.DUMMYFUNCTION("""COMPUTED_VALUE"""),44613.64816009259)</f>
        <v>44613.64816</v>
      </c>
      <c r="C37" s="5" t="str">
        <f>IFERROR(__xludf.DUMMYFUNCTION("""COMPUTED_VALUE"""),"39857")</f>
        <v>39857</v>
      </c>
      <c r="D37" s="5" t="str">
        <f>IFERROR(__xludf.DUMMYFUNCTION("""COMPUTED_VALUE"""),"error")</f>
        <v>error</v>
      </c>
      <c r="E37" s="5" t="str">
        <f>IFERROR(__xludf.DUMMYFUNCTION("""COMPUTED_VALUE"""),"Stock")</f>
        <v>Stock</v>
      </c>
      <c r="F37" s="119" t="str">
        <f>IFERROR(__xludf.DUMMYFUNCTION("""COMPUTED_VALUE"""),"03690")</f>
        <v>03690</v>
      </c>
      <c r="G37" s="30"/>
      <c r="H37" s="30" t="str">
        <f>IFERROR(__xludf.DUMMYFUNCTION("""COMPUTED_VALUE"""),"Email Account/ TraderID Recognized")</f>
        <v>Email Account/ TraderID Recognized</v>
      </c>
      <c r="I37" s="30" t="str">
        <f>IFERROR(__xludf.DUMMYFUNCTION("""COMPUTED_VALUE"""),"QTY, Limit Price (if any) &amp; Password input correct")</f>
        <v>QTY, Limit Price (if any) &amp; Password input correct</v>
      </c>
      <c r="J37" s="30" t="str">
        <f>IFERROR(__xludf.DUMMYFUNCTION("""COMPUTED_VALUE"""),"Order rejected due to wrong ticker code. just need to type in  3690.HK")</f>
        <v>Order rejected due to wrong ticker code. just need to type in  3690.HK</v>
      </c>
    </row>
    <row r="38">
      <c r="A38" s="5"/>
      <c r="B38" s="118">
        <f>IFERROR(__xludf.DUMMYFUNCTION("""COMPUTED_VALUE"""),44616.00350050926)</f>
        <v>44616.0035</v>
      </c>
      <c r="C38" s="5" t="str">
        <f>IFERROR(__xludf.DUMMYFUNCTION("""COMPUTED_VALUE"""),"")</f>
        <v/>
      </c>
      <c r="D38" s="5" t="str">
        <f>IFERROR(__xludf.DUMMYFUNCTION("""COMPUTED_VALUE"""),"error")</f>
        <v>error</v>
      </c>
      <c r="E38" s="5" t="str">
        <f>IFERROR(__xludf.DUMMYFUNCTION("""COMPUTED_VALUE"""),"Stock")</f>
        <v>Stock</v>
      </c>
      <c r="F38" s="121" t="str">
        <f>IFERROR(__xludf.DUMMYFUNCTION("""COMPUTED_VALUE"""),"0941.HK")</f>
        <v>0941.HK</v>
      </c>
      <c r="G38" s="30">
        <f>IFERROR(__xludf.DUMMYFUNCTION("""COMPUTED_VALUE"""),62.0)</f>
        <v>62</v>
      </c>
      <c r="H38" s="30" t="str">
        <f>IFERROR(__xludf.DUMMYFUNCTION("""COMPUTED_VALUE"""),"cookxxxxxx@nonHKMUemail")</f>
        <v>cookxxxxxx@nonHKMUemail</v>
      </c>
      <c r="I38" s="30" t="str">
        <f>IFERROR(__xludf.DUMMYFUNCTION("""COMPUTED_VALUE"""),"QTY, Limit Price (if any) &amp; Password input correct")</f>
        <v>QTY, Limit Price (if any) &amp; Password input correct</v>
      </c>
      <c r="J38" s="30" t="str">
        <f>IFERROR(__xludf.DUMMYFUNCTION("""COMPUTED_VALUE"""),"Order rejected due to wrong account name, code, and not school email")</f>
        <v>Order rejected due to wrong account name, code, and not school email</v>
      </c>
    </row>
    <row r="39">
      <c r="A39" s="5"/>
      <c r="B39" s="118">
        <f>IFERROR(__xludf.DUMMYFUNCTION("""COMPUTED_VALUE"""),44616.00534070602)</f>
        <v>44616.00534</v>
      </c>
      <c r="C39" s="5" t="str">
        <f>IFERROR(__xludf.DUMMYFUNCTION("""COMPUTED_VALUE"""),"")</f>
        <v/>
      </c>
      <c r="D39" s="5" t="str">
        <f>IFERROR(__xludf.DUMMYFUNCTION("""COMPUTED_VALUE"""),"error")</f>
        <v>error</v>
      </c>
      <c r="E39" s="5" t="str">
        <f>IFERROR(__xludf.DUMMYFUNCTION("""COMPUTED_VALUE"""),"Stock")</f>
        <v>Stock</v>
      </c>
      <c r="F39" s="119" t="str">
        <f>IFERROR(__xludf.DUMMYFUNCTION("""COMPUTED_VALUE"""),"9988.HKD")</f>
        <v>9988.HKD</v>
      </c>
      <c r="G39" s="30">
        <f>IFERROR(__xludf.DUMMYFUNCTION("""COMPUTED_VALUE"""),200.0)</f>
        <v>200</v>
      </c>
      <c r="H39" s="30" t="str">
        <f>IFERROR(__xludf.DUMMYFUNCTION("""COMPUTED_VALUE"""),"cookxxxxxx@nonHKMUemail")</f>
        <v>cookxxxxxx@nonHKMUemail</v>
      </c>
      <c r="I39" s="30" t="str">
        <f>IFERROR(__xludf.DUMMYFUNCTION("""COMPUTED_VALUE"""),"QTY, Limit Price (if any) &amp; Password input correct")</f>
        <v>QTY, Limit Price (if any) &amp; Password input correct</v>
      </c>
      <c r="J39" s="30" t="str">
        <f>IFERROR(__xludf.DUMMYFUNCTION("""COMPUTED_VALUE"""),"Order rejected due to wrong account name, code, and not school email")</f>
        <v>Order rejected due to wrong account name, code, and not school email</v>
      </c>
    </row>
    <row r="40">
      <c r="A40" s="5"/>
      <c r="B40" s="118">
        <f>IFERROR(__xludf.DUMMYFUNCTION("""COMPUTED_VALUE"""),44616.00772329861)</f>
        <v>44616.00772</v>
      </c>
      <c r="C40" s="5" t="str">
        <f>IFERROR(__xludf.DUMMYFUNCTION("""COMPUTED_VALUE"""),"")</f>
        <v/>
      </c>
      <c r="D40" s="5" t="str">
        <f>IFERROR(__xludf.DUMMYFUNCTION("""COMPUTED_VALUE"""),"error")</f>
        <v>error</v>
      </c>
      <c r="E40" s="5" t="str">
        <f>IFERROR(__xludf.DUMMYFUNCTION("""COMPUTED_VALUE"""),"Stock")</f>
        <v>Stock</v>
      </c>
      <c r="F40" s="121" t="str">
        <f>IFERROR(__xludf.DUMMYFUNCTION("""COMPUTED_VALUE"""),"3047.HK")</f>
        <v>3047.HK</v>
      </c>
      <c r="G40" s="30"/>
      <c r="H40" s="30" t="str">
        <f>IFERROR(__xludf.DUMMYFUNCTION("""COMPUTED_VALUE"""),"cookxxxxxx@nonHKMUemail")</f>
        <v>cookxxxxxx@nonHKMUemail</v>
      </c>
      <c r="I40" s="30" t="str">
        <f>IFERROR(__xludf.DUMMYFUNCTION("""COMPUTED_VALUE"""),"QTY, Limit Price (if any) &amp; Password input correct")</f>
        <v>QTY, Limit Price (if any) &amp; Password input correct</v>
      </c>
      <c r="J40" s="30" t="str">
        <f>IFERROR(__xludf.DUMMYFUNCTION("""COMPUTED_VALUE"""),"Order rejected due to wrong account name, code, and not school email")</f>
        <v>Order rejected due to wrong account name, code, and not school email</v>
      </c>
    </row>
    <row r="41">
      <c r="A41" s="5"/>
      <c r="B41" s="118">
        <f>IFERROR(__xludf.DUMMYFUNCTION("""COMPUTED_VALUE"""),44616.01393210648)</f>
        <v>44616.01393</v>
      </c>
      <c r="C41" s="5" t="str">
        <f>IFERROR(__xludf.DUMMYFUNCTION("""COMPUTED_VALUE"""),"")</f>
        <v/>
      </c>
      <c r="D41" s="5" t="str">
        <f>IFERROR(__xludf.DUMMYFUNCTION("""COMPUTED_VALUE"""),"error")</f>
        <v>error</v>
      </c>
      <c r="E41" s="5" t="str">
        <f>IFERROR(__xludf.DUMMYFUNCTION("""COMPUTED_VALUE"""),"Stock")</f>
        <v>Stock</v>
      </c>
      <c r="F41" s="121" t="str">
        <f>IFERROR(__xludf.DUMMYFUNCTION("""COMPUTED_VALUE"""),"9988.HK")</f>
        <v>9988.HK</v>
      </c>
      <c r="G41" s="30"/>
      <c r="H41" s="30" t="str">
        <f>IFERROR(__xludf.DUMMYFUNCTION("""COMPUTED_VALUE"""),"cookxxxxxx@nonHKMUemail")</f>
        <v>cookxxxxxx@nonHKMUemail</v>
      </c>
      <c r="I41" s="30" t="str">
        <f>IFERROR(__xludf.DUMMYFUNCTION("""COMPUTED_VALUE"""),"QTY, Limit Price (if any) &amp; Password input correct")</f>
        <v>QTY, Limit Price (if any) &amp; Password input correct</v>
      </c>
      <c r="J41" s="30" t="str">
        <f>IFERROR(__xludf.DUMMYFUNCTION("""COMPUTED_VALUE"""),"Order rejected due to wrong account name, code, and not school email")</f>
        <v>Order rejected due to wrong account name, code, and not school email</v>
      </c>
    </row>
    <row r="42">
      <c r="A42" s="5"/>
      <c r="B42" s="118">
        <f>IFERROR(__xludf.DUMMYFUNCTION("""COMPUTED_VALUE"""),44616.02834984954)</f>
        <v>44616.02835</v>
      </c>
      <c r="C42" s="5" t="str">
        <f>IFERROR(__xludf.DUMMYFUNCTION("""COMPUTED_VALUE"""),"")</f>
        <v/>
      </c>
      <c r="D42" s="5" t="str">
        <f>IFERROR(__xludf.DUMMYFUNCTION("""COMPUTED_VALUE"""),"error")</f>
        <v>error</v>
      </c>
      <c r="E42" s="5" t="str">
        <f>IFERROR(__xludf.DUMMYFUNCTION("""COMPUTED_VALUE"""),"Stock")</f>
        <v>Stock</v>
      </c>
      <c r="F42" s="121" t="str">
        <f>IFERROR(__xludf.DUMMYFUNCTION("""COMPUTED_VALUE"""),"0941.HK")</f>
        <v>0941.HK</v>
      </c>
      <c r="G42" s="30"/>
      <c r="H42" s="30" t="str">
        <f>IFERROR(__xludf.DUMMYFUNCTION("""COMPUTED_VALUE"""),"cookxxxxxx@nonHKMUemail")</f>
        <v>cookxxxxxx@nonHKMUemail</v>
      </c>
      <c r="I42" s="30" t="str">
        <f>IFERROR(__xludf.DUMMYFUNCTION("""COMPUTED_VALUE"""),"QTY, Limit Price (if any) &amp; Password input correct")</f>
        <v>QTY, Limit Price (if any) &amp; Password input correct</v>
      </c>
      <c r="J42" s="30" t="str">
        <f>IFERROR(__xludf.DUMMYFUNCTION("""COMPUTED_VALUE"""),"Order rejected due to wrong account name, code, and not school email")</f>
        <v>Order rejected due to wrong account name, code, and not school email</v>
      </c>
    </row>
    <row r="43">
      <c r="A43" s="5"/>
      <c r="B43" s="118">
        <f>IFERROR(__xludf.DUMMYFUNCTION("""COMPUTED_VALUE"""),44616.028828599534)</f>
        <v>44616.02883</v>
      </c>
      <c r="C43" s="5" t="str">
        <f>IFERROR(__xludf.DUMMYFUNCTION("""COMPUTED_VALUE"""),"")</f>
        <v/>
      </c>
      <c r="D43" s="5" t="str">
        <f>IFERROR(__xludf.DUMMYFUNCTION("""COMPUTED_VALUE"""),"error")</f>
        <v>error</v>
      </c>
      <c r="E43" s="5" t="str">
        <f>IFERROR(__xludf.DUMMYFUNCTION("""COMPUTED_VALUE"""),"Stock")</f>
        <v>Stock</v>
      </c>
      <c r="F43" s="121" t="str">
        <f>IFERROR(__xludf.DUMMYFUNCTION("""COMPUTED_VALUE"""),"3047.HK")</f>
        <v>3047.HK</v>
      </c>
      <c r="G43" s="30"/>
      <c r="H43" s="30" t="str">
        <f>IFERROR(__xludf.DUMMYFUNCTION("""COMPUTED_VALUE"""),"cookxxxxxx@nonHKMUemail")</f>
        <v>cookxxxxxx@nonHKMUemail</v>
      </c>
      <c r="I43" s="30" t="str">
        <f>IFERROR(__xludf.DUMMYFUNCTION("""COMPUTED_VALUE"""),"QTY, Limit Price (if any) &amp; Password input correct")</f>
        <v>QTY, Limit Price (if any) &amp; Password input correct</v>
      </c>
      <c r="J43" s="30" t="str">
        <f>IFERROR(__xludf.DUMMYFUNCTION("""COMPUTED_VALUE"""),"Order rejected due to wrong account name, code, and not school email")</f>
        <v>Order rejected due to wrong account name, code, and not school email</v>
      </c>
    </row>
    <row r="44">
      <c r="A44" s="5"/>
      <c r="B44" s="118">
        <f>IFERROR(__xludf.DUMMYFUNCTION("""COMPUTED_VALUE"""),44616.04458508102)</f>
        <v>44616.04459</v>
      </c>
      <c r="C44" s="5" t="str">
        <f>IFERROR(__xludf.DUMMYFUNCTION("""COMPUTED_VALUE"""),"")</f>
        <v/>
      </c>
      <c r="D44" s="5" t="str">
        <f>IFERROR(__xludf.DUMMYFUNCTION("""COMPUTED_VALUE"""),"error")</f>
        <v>error</v>
      </c>
      <c r="E44" s="5" t="str">
        <f>IFERROR(__xludf.DUMMYFUNCTION("""COMPUTED_VALUE"""),"Stock")</f>
        <v>Stock</v>
      </c>
      <c r="F44" s="119" t="str">
        <f>IFERROR(__xludf.DUMMYFUNCTION("""COMPUTED_VALUE"""),"SOFI")</f>
        <v>SOFI</v>
      </c>
      <c r="G44" s="30"/>
      <c r="H44" s="30" t="str">
        <f>IFERROR(__xludf.DUMMYFUNCTION("""COMPUTED_VALUE"""),"cookxxxxxx@nonHKMUemail")</f>
        <v>cookxxxxxx@nonHKMUemail</v>
      </c>
      <c r="I44" s="30" t="str">
        <f>IFERROR(__xludf.DUMMYFUNCTION("""COMPUTED_VALUE"""),"QTY, Limit Price (if any) &amp; Password input correct")</f>
        <v>QTY, Limit Price (if any) &amp; Password input correct</v>
      </c>
      <c r="J44" s="30" t="str">
        <f>IFERROR(__xludf.DUMMYFUNCTION("""COMPUTED_VALUE"""),"Order rejected due to wrong account name, code, and not school email")</f>
        <v>Order rejected due to wrong account name, code, and not school email</v>
      </c>
    </row>
    <row r="45">
      <c r="A45" s="5"/>
      <c r="B45" s="118">
        <f>IFERROR(__xludf.DUMMYFUNCTION("""COMPUTED_VALUE"""),44616.590545706014)</f>
        <v>44616.59055</v>
      </c>
      <c r="C45" s="5" t="str">
        <f>IFERROR(__xludf.DUMMYFUNCTION("""COMPUTED_VALUE"""),"39857")</f>
        <v>39857</v>
      </c>
      <c r="D45" s="5" t="str">
        <f>IFERROR(__xludf.DUMMYFUNCTION("""COMPUTED_VALUE"""),"error")</f>
        <v>error</v>
      </c>
      <c r="E45" s="5" t="str">
        <f>IFERROR(__xludf.DUMMYFUNCTION("""COMPUTED_VALUE"""),"Stock")</f>
        <v>Stock</v>
      </c>
      <c r="F45" s="119" t="str">
        <f>IFERROR(__xludf.DUMMYFUNCTION("""COMPUTED_VALUE"""),"00388")</f>
        <v>00388</v>
      </c>
      <c r="G45" s="30"/>
      <c r="H45" s="30" t="str">
        <f>IFERROR(__xludf.DUMMYFUNCTION("""COMPUTED_VALUE"""),"Email Account/ TraderID Recognized")</f>
        <v>Email Account/ TraderID Recognized</v>
      </c>
      <c r="I45" s="30" t="str">
        <f>IFERROR(__xludf.DUMMYFUNCTION("""COMPUTED_VALUE"""),"QTY, Limit Price (if any) &amp; Password input correct")</f>
        <v>QTY, Limit Price (if any) &amp; Password input correct</v>
      </c>
      <c r="J45" s="30" t="str">
        <f>IFERROR(__xludf.DUMMYFUNCTION("""COMPUTED_VALUE"""),"Order rejected due to wrong ticker code. just need to type in  0388.HK")</f>
        <v>Order rejected due to wrong ticker code. just need to type in  0388.HK</v>
      </c>
    </row>
    <row r="46">
      <c r="A46" s="5"/>
      <c r="B46" s="118">
        <f>IFERROR(__xludf.DUMMYFUNCTION("""COMPUTED_VALUE"""),44617.45116923611)</f>
        <v>44617.45117</v>
      </c>
      <c r="C46" s="5" t="str">
        <f>IFERROR(__xludf.DUMMYFUNCTION("""COMPUTED_VALUE"""),"39857")</f>
        <v>39857</v>
      </c>
      <c r="D46" s="5" t="str">
        <f>IFERROR(__xludf.DUMMYFUNCTION("""COMPUTED_VALUE"""),"error")</f>
        <v>error</v>
      </c>
      <c r="E46" s="5" t="str">
        <f>IFERROR(__xludf.DUMMYFUNCTION("""COMPUTED_VALUE"""),"Stock")</f>
        <v>Stock</v>
      </c>
      <c r="F46" s="119" t="str">
        <f>IFERROR(__xludf.DUMMYFUNCTION("""COMPUTED_VALUE"""),"03690")</f>
        <v>03690</v>
      </c>
      <c r="G46" s="30"/>
      <c r="H46" s="30" t="str">
        <f>IFERROR(__xludf.DUMMYFUNCTION("""COMPUTED_VALUE"""),"Email Account/ TraderID Recognized")</f>
        <v>Email Account/ TraderID Recognized</v>
      </c>
      <c r="I46" s="30" t="str">
        <f>IFERROR(__xludf.DUMMYFUNCTION("""COMPUTED_VALUE"""),"QTY, Limit Price (if any) &amp; Password input correct")</f>
        <v>QTY, Limit Price (if any) &amp; Password input correct</v>
      </c>
      <c r="J46" s="30" t="str">
        <f>IFERROR(__xludf.DUMMYFUNCTION("""COMPUTED_VALUE"""),"Order rejected due to wrong ticker code. just need to type in  3690.HK")</f>
        <v>Order rejected due to wrong ticker code. just need to type in  3690.HK</v>
      </c>
    </row>
    <row r="47">
      <c r="A47" s="5"/>
      <c r="B47" s="118">
        <f>IFERROR(__xludf.DUMMYFUNCTION("""COMPUTED_VALUE"""),44617.72877269676)</f>
        <v>44617.72877</v>
      </c>
      <c r="C47" s="5" t="str">
        <f>IFERROR(__xludf.DUMMYFUNCTION("""COMPUTED_VALUE"""),"")</f>
        <v/>
      </c>
      <c r="D47" s="5" t="str">
        <f>IFERROR(__xludf.DUMMYFUNCTION("""COMPUTED_VALUE"""),"error")</f>
        <v>error</v>
      </c>
      <c r="E47" s="5" t="str">
        <f>IFERROR(__xludf.DUMMYFUNCTION("""COMPUTED_VALUE"""),"Stock")</f>
        <v>Stock</v>
      </c>
      <c r="F47" s="121" t="str">
        <f>IFERROR(__xludf.DUMMYFUNCTION("""COMPUTED_VALUE"""),"00700.HK")</f>
        <v>00700.HK</v>
      </c>
      <c r="G47" s="30">
        <f>IFERROR(__xludf.DUMMYFUNCTION("""COMPUTED_VALUE"""),200.0)</f>
        <v>200</v>
      </c>
      <c r="H47" s="30" t="str">
        <f>IFERROR(__xludf.DUMMYFUNCTION("""COMPUTED_VALUE"""),"manjxxxxxx@nonHKMUemail")</f>
        <v>manjxxxxxx@nonHKMUemail</v>
      </c>
      <c r="I47" s="30" t="str">
        <f>IFERROR(__xludf.DUMMYFUNCTION("""COMPUTED_VALUE"""),"QTY, Limit Price (if any) &amp; Password input correct")</f>
        <v>QTY, Limit Price (if any) &amp; Password input correct</v>
      </c>
      <c r="J47" s="30" t="str">
        <f>IFERROR(__xludf.DUMMYFUNCTION("""COMPUTED_VALUE"""),"Wrong email input (non-school email). Also, Trader input as 00700.HK, correct ticker should be 0700.HK")</f>
        <v>Wrong email input (non-school email). Also, Trader input as 00700.HK, correct ticker should be 0700.HK</v>
      </c>
    </row>
    <row r="48">
      <c r="A48" s="5"/>
      <c r="B48" s="118">
        <f>IFERROR(__xludf.DUMMYFUNCTION("""COMPUTED_VALUE"""),44617.7498978588)</f>
        <v>44617.7499</v>
      </c>
      <c r="C48" s="5" t="str">
        <f>IFERROR(__xludf.DUMMYFUNCTION("""COMPUTED_VALUE"""),"14626")</f>
        <v>14626</v>
      </c>
      <c r="D48" s="5" t="str">
        <f>IFERROR(__xludf.DUMMYFUNCTION("""COMPUTED_VALUE"""),"error")</f>
        <v>error</v>
      </c>
      <c r="E48" s="5" t="str">
        <f>IFERROR(__xludf.DUMMYFUNCTION("""COMPUTED_VALUE"""),"Option")</f>
        <v>Option</v>
      </c>
      <c r="F48" s="121" t="str">
        <f>IFERROR(__xludf.DUMMYFUNCTION("""COMPUTED_VALUE"""),"00700.HK")</f>
        <v>00700.HK</v>
      </c>
      <c r="G48" s="30">
        <f>IFERROR(__xludf.DUMMYFUNCTION("""COMPUTED_VALUE"""),200.0)</f>
        <v>200</v>
      </c>
      <c r="H48" s="30" t="str">
        <f>IFERROR(__xludf.DUMMYFUNCTION("""COMPUTED_VALUE"""),"Email Account/ TraderID Recognized")</f>
        <v>Email Account/ TraderID Recognized</v>
      </c>
      <c r="I48" s="30" t="str">
        <f>IFERROR(__xludf.DUMMYFUNCTION("""COMPUTED_VALUE"""),"QTY, Limit Price (if any) &amp; Password input correct")</f>
        <v>QTY, Limit Price (if any) &amp; Password input correct</v>
      </c>
      <c r="J48" s="30" t="str">
        <f>IFERROR(__xludf.DUMMYFUNCTION("""COMPUTED_VALUE"""),"Trader input as option as asset class for a stock. Order is rejected.")</f>
        <v>Trader input as option as asset class for a stock. Order is rejected.</v>
      </c>
    </row>
    <row r="49">
      <c r="A49" s="5"/>
      <c r="B49" s="118">
        <f>IFERROR(__xludf.DUMMYFUNCTION("""COMPUTED_VALUE"""),44618.04734858796)</f>
        <v>44618.04735</v>
      </c>
      <c r="C49" s="5" t="str">
        <f>IFERROR(__xludf.DUMMYFUNCTION("""COMPUTED_VALUE"""),"89750")</f>
        <v>89750</v>
      </c>
      <c r="D49" s="5" t="str">
        <f>IFERROR(__xludf.DUMMYFUNCTION("""COMPUTED_VALUE"""),"error")</f>
        <v>error</v>
      </c>
      <c r="E49" s="5" t="str">
        <f>IFERROR(__xludf.DUMMYFUNCTION("""COMPUTED_VALUE"""),"Option")</f>
        <v>Option</v>
      </c>
      <c r="F49" s="119" t="str">
        <f>IFERROR(__xludf.DUMMYFUNCTION("""COMPUTED_VALUE"""),"FTCH220318P17500")</f>
        <v>FTCH220318P17500</v>
      </c>
      <c r="G49" s="30"/>
      <c r="H49" s="30" t="str">
        <f>IFERROR(__xludf.DUMMYFUNCTION("""COMPUTED_VALUE"""),"Email Account/ TraderID Recognized")</f>
        <v>Email Account/ TraderID Recognized</v>
      </c>
      <c r="I49" s="30" t="str">
        <f>IFERROR(__xludf.DUMMYFUNCTION("""COMPUTED_VALUE"""),"QTY, Limit Price (if any) &amp; Password input correct")</f>
        <v>QTY, Limit Price (if any) &amp; Password input correct</v>
      </c>
      <c r="J49" s="30" t="str">
        <f>IFERROR(__xludf.DUMMYFUNCTION("""COMPUTED_VALUE"""),"Wrong ticker symbol")</f>
        <v>Wrong ticker symbol</v>
      </c>
    </row>
    <row r="50">
      <c r="A50" s="5"/>
      <c r="B50" s="118">
        <f>IFERROR(__xludf.DUMMYFUNCTION("""COMPUTED_VALUE"""),44618.786399930555)</f>
        <v>44618.7864</v>
      </c>
      <c r="C50" s="5" t="str">
        <f>IFERROR(__xludf.DUMMYFUNCTION("""COMPUTED_VALUE"""),"76796")</f>
        <v>76796</v>
      </c>
      <c r="D50" s="5" t="str">
        <f>IFERROR(__xludf.DUMMYFUNCTION("""COMPUTED_VALUE"""),"error")</f>
        <v>error</v>
      </c>
      <c r="E50" s="5" t="str">
        <f>IFERROR(__xludf.DUMMYFUNCTION("""COMPUTED_VALUE"""),"Stock")</f>
        <v>Stock</v>
      </c>
      <c r="F50" s="119" t="str">
        <f>IFERROR(__xludf.DUMMYFUNCTION("""COMPUTED_VALUE"""),"ISPO")</f>
        <v>ISPO</v>
      </c>
      <c r="G50" s="30"/>
      <c r="H50" s="30" t="str">
        <f>IFERROR(__xludf.DUMMYFUNCTION("""COMPUTED_VALUE"""),"Email Account/ TraderID Recognized")</f>
        <v>Email Account/ TraderID Recognized</v>
      </c>
      <c r="I50" s="30" t="str">
        <f>IFERROR(__xludf.DUMMYFUNCTION("""COMPUTED_VALUE"""),"Non-number input in Quantity or Limit Price")</f>
        <v>Non-number input in Quantity or Limit Price</v>
      </c>
      <c r="J50" s="30" t="str">
        <f>IFERROR(__xludf.DUMMYFUNCTION("""COMPUTED_VALUE"""),"Trade Quantity has to be in number format. ""all"" will be rejected by the system.")</f>
        <v>Trade Quantity has to be in number format. "all" will be rejected by the system.</v>
      </c>
    </row>
    <row r="51">
      <c r="A51" s="5"/>
      <c r="B51" s="118">
        <f>IFERROR(__xludf.DUMMYFUNCTION("""COMPUTED_VALUE"""),44618.78681621527)</f>
        <v>44618.78682</v>
      </c>
      <c r="C51" s="5" t="str">
        <f>IFERROR(__xludf.DUMMYFUNCTION("""COMPUTED_VALUE"""),"76796")</f>
        <v>76796</v>
      </c>
      <c r="D51" s="5" t="str">
        <f>IFERROR(__xludf.DUMMYFUNCTION("""COMPUTED_VALUE"""),"error")</f>
        <v>error</v>
      </c>
      <c r="E51" s="5" t="str">
        <f>IFERROR(__xludf.DUMMYFUNCTION("""COMPUTED_VALUE"""),"Stock")</f>
        <v>Stock</v>
      </c>
      <c r="F51" s="119" t="str">
        <f>IFERROR(__xludf.DUMMYFUNCTION("""COMPUTED_VALUE"""),"NVDA")</f>
        <v>NVDA</v>
      </c>
      <c r="G51" s="30"/>
      <c r="H51" s="30" t="str">
        <f>IFERROR(__xludf.DUMMYFUNCTION("""COMPUTED_VALUE"""),"Email Account/ TraderID Recognized")</f>
        <v>Email Account/ TraderID Recognized</v>
      </c>
      <c r="I51" s="30" t="str">
        <f>IFERROR(__xludf.DUMMYFUNCTION("""COMPUTED_VALUE"""),"Non-number input in Quantity or Limit Price")</f>
        <v>Non-number input in Quantity or Limit Price</v>
      </c>
      <c r="J51" s="30" t="str">
        <f>IFERROR(__xludf.DUMMYFUNCTION("""COMPUTED_VALUE"""),"Trade Quantity has to be in number format. ""all"" will be rejected by the system.")</f>
        <v>Trade Quantity has to be in number format. "all" will be rejected by the system.</v>
      </c>
    </row>
    <row r="52">
      <c r="A52" s="5"/>
      <c r="B52" s="118">
        <f>IFERROR(__xludf.DUMMYFUNCTION("""COMPUTED_VALUE"""),44619.70837743055)</f>
        <v>44619.70838</v>
      </c>
      <c r="C52" s="5" t="str">
        <f>IFERROR(__xludf.DUMMYFUNCTION("""COMPUTED_VALUE"""),"77936")</f>
        <v>77936</v>
      </c>
      <c r="D52" s="5" t="str">
        <f>IFERROR(__xludf.DUMMYFUNCTION("""COMPUTED_VALUE"""),"error")</f>
        <v>error</v>
      </c>
      <c r="E52" s="5" t="str">
        <f>IFERROR(__xludf.DUMMYFUNCTION("""COMPUTED_VALUE"""),"Stock")</f>
        <v>Stock</v>
      </c>
      <c r="F52" s="119" t="str">
        <f>IFERROR(__xludf.DUMMYFUNCTION("""COMPUTED_VALUE"""),"0700")</f>
        <v>0700</v>
      </c>
      <c r="G52" s="30">
        <f>IFERROR(__xludf.DUMMYFUNCTION("""COMPUTED_VALUE"""),450.0)</f>
        <v>450</v>
      </c>
      <c r="H52" s="30" t="str">
        <f>IFERROR(__xludf.DUMMYFUNCTION("""COMPUTED_VALUE"""),"Email Account/ TraderID Recognized")</f>
        <v>Email Account/ TraderID Recognized</v>
      </c>
      <c r="I52" s="30" t="str">
        <f>IFERROR(__xludf.DUMMYFUNCTION("""COMPUTED_VALUE"""),"QTY, Limit Price (if any) &amp; Password input correct")</f>
        <v>QTY, Limit Price (if any) &amp; Password input correct</v>
      </c>
      <c r="J52" s="30" t="str">
        <f>IFERROR(__xludf.DUMMYFUNCTION("""COMPUTED_VALUE"""),"Order rejected due to wrong ticker code. just need to type in 0700.HK")</f>
        <v>Order rejected due to wrong ticker code. just need to type in 0700.HK</v>
      </c>
    </row>
    <row r="53">
      <c r="A53" s="5"/>
      <c r="B53" s="118">
        <f>IFERROR(__xludf.DUMMYFUNCTION("""COMPUTED_VALUE"""),44619.7323212037)</f>
        <v>44619.73232</v>
      </c>
      <c r="C53" s="5" t="str">
        <f>IFERROR(__xludf.DUMMYFUNCTION("""COMPUTED_VALUE"""),"37922")</f>
        <v>37922</v>
      </c>
      <c r="D53" s="5" t="str">
        <f>IFERROR(__xludf.DUMMYFUNCTION("""COMPUTED_VALUE"""),"error")</f>
        <v>error</v>
      </c>
      <c r="E53" s="5" t="str">
        <f>IFERROR(__xludf.DUMMYFUNCTION("""COMPUTED_VALUE"""),"Stock")</f>
        <v>Stock</v>
      </c>
      <c r="F53" s="119" t="str">
        <f>IFERROR(__xludf.DUMMYFUNCTION("""COMPUTED_VALUE"""),"09999")</f>
        <v>09999</v>
      </c>
      <c r="G53" s="30"/>
      <c r="H53" s="30" t="str">
        <f>IFERROR(__xludf.DUMMYFUNCTION("""COMPUTED_VALUE"""),"Email Account/ TraderID Recognized")</f>
        <v>Email Account/ TraderID Recognized</v>
      </c>
      <c r="I53" s="30" t="str">
        <f>IFERROR(__xludf.DUMMYFUNCTION("""COMPUTED_VALUE"""),"QTY, Limit Price (if any) &amp; Password input correct")</f>
        <v>QTY, Limit Price (if any) &amp; Password input correct</v>
      </c>
      <c r="J53" s="30" t="str">
        <f>IFERROR(__xludf.DUMMYFUNCTION("""COMPUTED_VALUE"""),"Order rejected due to wrong ticker code. just need to type in 9999.HK")</f>
        <v>Order rejected due to wrong ticker code. just need to type in 9999.HK</v>
      </c>
    </row>
    <row r="54">
      <c r="A54" s="5"/>
      <c r="B54" s="118">
        <f>IFERROR(__xludf.DUMMYFUNCTION("""COMPUTED_VALUE"""),44620.29085527778)</f>
        <v>44620.29086</v>
      </c>
      <c r="C54" s="5" t="str">
        <f>IFERROR(__xludf.DUMMYFUNCTION("""COMPUTED_VALUE"""),"24442")</f>
        <v>24442</v>
      </c>
      <c r="D54" s="5" t="str">
        <f>IFERROR(__xludf.DUMMYFUNCTION("""COMPUTED_VALUE"""),"error")</f>
        <v>error</v>
      </c>
      <c r="E54" s="5" t="str">
        <f>IFERROR(__xludf.DUMMYFUNCTION("""COMPUTED_VALUE"""),"Stock")</f>
        <v>Stock</v>
      </c>
      <c r="F54" s="119" t="str">
        <f>IFERROR(__xludf.DUMMYFUNCTION("""COMPUTED_VALUE"""),"005930.KRX")</f>
        <v>005930.KRX</v>
      </c>
      <c r="G54" s="30"/>
      <c r="H54" s="30" t="str">
        <f>IFERROR(__xludf.DUMMYFUNCTION("""COMPUTED_VALUE"""),"Email Account/ TraderID Recognized")</f>
        <v>Email Account/ TraderID Recognized</v>
      </c>
      <c r="I54" s="30" t="str">
        <f>IFERROR(__xludf.DUMMYFUNCTION("""COMPUTED_VALUE"""),"QTY, Limit Price (if any) &amp; Password input correct")</f>
        <v>QTY, Limit Price (if any) &amp; Password input correct</v>
      </c>
      <c r="J54" s="30" t="str">
        <f>IFERROR(__xludf.DUMMYFUNCTION("""COMPUTED_VALUE"""),"Order rejected due to wrong ticker code. just need to type in 005930.KS")</f>
        <v>Order rejected due to wrong ticker code. just need to type in 005930.KS</v>
      </c>
    </row>
    <row r="55">
      <c r="A55" s="5"/>
      <c r="B55" s="118">
        <f>IFERROR(__xludf.DUMMYFUNCTION("""COMPUTED_VALUE"""),44620.46667634259)</f>
        <v>44620.46668</v>
      </c>
      <c r="C55" s="5" t="str">
        <f>IFERROR(__xludf.DUMMYFUNCTION("""COMPUTED_VALUE"""),"14626")</f>
        <v>14626</v>
      </c>
      <c r="D55" s="5" t="str">
        <f>IFERROR(__xludf.DUMMYFUNCTION("""COMPUTED_VALUE"""),"error")</f>
        <v>error</v>
      </c>
      <c r="E55" s="5" t="str">
        <f>IFERROR(__xludf.DUMMYFUNCTION("""COMPUTED_VALUE"""),"Bond")</f>
        <v>Bond</v>
      </c>
      <c r="F55" s="119" t="str">
        <f>IFERROR(__xludf.DUMMYFUNCTION("""COMPUTED_VALUE"""),"GC=F")</f>
        <v>GC=F</v>
      </c>
      <c r="G55" s="30"/>
      <c r="H55" s="30" t="str">
        <f>IFERROR(__xludf.DUMMYFUNCTION("""COMPUTED_VALUE"""),"Email Account/ TraderID Recognized")</f>
        <v>Email Account/ TraderID Recognized</v>
      </c>
      <c r="I55" s="30" t="str">
        <f>IFERROR(__xludf.DUMMYFUNCTION("""COMPUTED_VALUE"""),"QTY, Limit Price (if any) &amp; Password input correct")</f>
        <v>QTY, Limit Price (if any) &amp; Password input correct</v>
      </c>
      <c r="J55" s="30" t="str">
        <f>IFERROR(__xludf.DUMMYFUNCTION("""COMPUTED_VALUE"""),"Order rejected due to wrong asset class. Input as stock ticker, but asset class is bond.")</f>
        <v>Order rejected due to wrong asset class. Input as stock ticker, but asset class is bond.</v>
      </c>
    </row>
    <row r="56">
      <c r="A56" s="5"/>
      <c r="B56" s="118">
        <f>IFERROR(__xludf.DUMMYFUNCTION("""COMPUTED_VALUE"""),44620.46970577547)</f>
        <v>44620.46971</v>
      </c>
      <c r="C56" s="5" t="str">
        <f>IFERROR(__xludf.DUMMYFUNCTION("""COMPUTED_VALUE"""),"14626")</f>
        <v>14626</v>
      </c>
      <c r="D56" s="5" t="str">
        <f>IFERROR(__xludf.DUMMYFUNCTION("""COMPUTED_VALUE"""),"error")</f>
        <v>error</v>
      </c>
      <c r="E56" s="5" t="str">
        <f>IFERROR(__xludf.DUMMYFUNCTION("""COMPUTED_VALUE"""),"Bond")</f>
        <v>Bond</v>
      </c>
      <c r="F56" s="119" t="str">
        <f>IFERROR(__xludf.DUMMYFUNCTION("""COMPUTED_VALUE"""),"(^FTSE)")</f>
        <v>(^FTSE)</v>
      </c>
      <c r="G56" s="30"/>
      <c r="H56" s="30" t="str">
        <f>IFERROR(__xludf.DUMMYFUNCTION("""COMPUTED_VALUE"""),"Email Account/ TraderID Recognized")</f>
        <v>Email Account/ TraderID Recognized</v>
      </c>
      <c r="I56" s="30" t="str">
        <f>IFERROR(__xludf.DUMMYFUNCTION("""COMPUTED_VALUE"""),"QTY, Limit Price (if any) &amp; Password input correct")</f>
        <v>QTY, Limit Price (if any) &amp; Password input correct</v>
      </c>
      <c r="J56" s="30" t="str">
        <f>IFERROR(__xludf.DUMMYFUNCTION("""COMPUTED_VALUE"""),"Order rejected due to wrong asset class. Input as stock ticker, but asset class is bond.")</f>
        <v>Order rejected due to wrong asset class. Input as stock ticker, but asset class is bond.</v>
      </c>
    </row>
    <row r="57">
      <c r="A57" s="5"/>
      <c r="B57" s="118">
        <f>IFERROR(__xludf.DUMMYFUNCTION("""COMPUTED_VALUE"""),44620.67482027778)</f>
        <v>44620.67482</v>
      </c>
      <c r="C57" s="5" t="str">
        <f>IFERROR(__xludf.DUMMYFUNCTION("""COMPUTED_VALUE"""),"45962")</f>
        <v>45962</v>
      </c>
      <c r="D57" s="5" t="str">
        <f>IFERROR(__xludf.DUMMYFUNCTION("""COMPUTED_VALUE"""),"error")</f>
        <v>error</v>
      </c>
      <c r="E57" s="5" t="str">
        <f>IFERROR(__xludf.DUMMYFUNCTION("""COMPUTED_VALUE"""),"Stock")</f>
        <v>Stock</v>
      </c>
      <c r="F57" s="121" t="str">
        <f>IFERROR(__xludf.DUMMYFUNCTION("""COMPUTED_VALUE"""),"00700.hk")</f>
        <v>00700.hk</v>
      </c>
      <c r="G57" s="30"/>
      <c r="H57" s="30" t="str">
        <f>IFERROR(__xludf.DUMMYFUNCTION("""COMPUTED_VALUE"""),"Email Account/ TraderID Recognized")</f>
        <v>Email Account/ TraderID Recognized</v>
      </c>
      <c r="I57" s="30" t="str">
        <f>IFERROR(__xludf.DUMMYFUNCTION("""COMPUTED_VALUE"""),"QTY, Limit Price (if any) &amp; Password input correct")</f>
        <v>QTY, Limit Price (if any) &amp; Password input correct</v>
      </c>
      <c r="J57" s="30" t="str">
        <f>IFERROR(__xludf.DUMMYFUNCTION("""COMPUTED_VALUE"""),"Order rejected due to wrong ticker code. just need to type in 0700.HK")</f>
        <v>Order rejected due to wrong ticker code. just need to type in 0700.HK</v>
      </c>
    </row>
    <row r="58">
      <c r="A58" s="5"/>
      <c r="B58" s="118">
        <f>IFERROR(__xludf.DUMMYFUNCTION("""COMPUTED_VALUE"""),44620.70109956019)</f>
        <v>44620.7011</v>
      </c>
      <c r="C58" s="5" t="str">
        <f>IFERROR(__xludf.DUMMYFUNCTION("""COMPUTED_VALUE"""),"")</f>
        <v/>
      </c>
      <c r="D58" s="5" t="str">
        <f>IFERROR(__xludf.DUMMYFUNCTION("""COMPUTED_VALUE"""),"error")</f>
        <v>error</v>
      </c>
      <c r="E58" s="5" t="str">
        <f>IFERROR(__xludf.DUMMYFUNCTION("""COMPUTED_VALUE"""),"Stock")</f>
        <v>Stock</v>
      </c>
      <c r="F58" s="119" t="str">
        <f>IFERROR(__xludf.DUMMYFUNCTION("""COMPUTED_VALUE"""),"600519")</f>
        <v>600519</v>
      </c>
      <c r="G58" s="30">
        <f>IFERROR(__xludf.DUMMYFUNCTION("""COMPUTED_VALUE"""),1780.0)</f>
        <v>1780</v>
      </c>
      <c r="H58" s="30" t="str">
        <f>IFERROR(__xludf.DUMMYFUNCTION("""COMPUTED_VALUE"""),"nma3xxxxxx@nonHKMUemail")</f>
        <v>nma3xxxxxx@nonHKMUemail</v>
      </c>
      <c r="I58" s="30" t="str">
        <f>IFERROR(__xludf.DUMMYFUNCTION("""COMPUTED_VALUE"""),"QTY, Limit Price (if any) &amp; Password input correct")</f>
        <v>QTY, Limit Price (if any) &amp; Password input correct</v>
      </c>
      <c r="J58" s="30" t="str">
        <f>IFERROR(__xludf.DUMMYFUNCTION("""COMPUTED_VALUE"""),"Order rejected due to wrong account/ school email code. Please input your correct email address.")</f>
        <v>Order rejected due to wrong account/ school email code. Please input your correct email address.</v>
      </c>
    </row>
    <row r="59">
      <c r="A59" s="5"/>
      <c r="B59" s="118">
        <f>IFERROR(__xludf.DUMMYFUNCTION("""COMPUTED_VALUE"""),44620.7156040625)</f>
        <v>44620.7156</v>
      </c>
      <c r="C59" s="5" t="str">
        <f>IFERROR(__xludf.DUMMYFUNCTION("""COMPUTED_VALUE"""),"")</f>
        <v/>
      </c>
      <c r="D59" s="5" t="str">
        <f>IFERROR(__xludf.DUMMYFUNCTION("""COMPUTED_VALUE"""),"error")</f>
        <v>error</v>
      </c>
      <c r="E59" s="5" t="str">
        <f>IFERROR(__xludf.DUMMYFUNCTION("""COMPUTED_VALUE"""),"Stock")</f>
        <v>Stock</v>
      </c>
      <c r="F59" s="121" t="str">
        <f>IFERROR(__xludf.DUMMYFUNCTION("""COMPUTED_VALUE"""),"600519.SS")</f>
        <v>600519.SS</v>
      </c>
      <c r="G59" s="30">
        <f>IFERROR(__xludf.DUMMYFUNCTION("""COMPUTED_VALUE"""),1791.0)</f>
        <v>1791</v>
      </c>
      <c r="H59" s="30" t="str">
        <f>IFERROR(__xludf.DUMMYFUNCTION("""COMPUTED_VALUE"""),"nma3xxxxxx@nonHKMUemail")</f>
        <v>nma3xxxxxx@nonHKMUemail</v>
      </c>
      <c r="I59" s="30" t="str">
        <f>IFERROR(__xludf.DUMMYFUNCTION("""COMPUTED_VALUE"""),"QTY, Limit Price (if any) &amp; Password input correct")</f>
        <v>QTY, Limit Price (if any) &amp; Password input correct</v>
      </c>
      <c r="J59" s="30" t="str">
        <f>IFERROR(__xludf.DUMMYFUNCTION("""COMPUTED_VALUE"""),"Order rejected due to wrong account/ school email code. Please input your correct email address.")</f>
        <v>Order rejected due to wrong account/ school email code. Please input your correct email address.</v>
      </c>
    </row>
    <row r="60">
      <c r="A60" s="5"/>
      <c r="B60" s="118">
        <f>IFERROR(__xludf.DUMMYFUNCTION("""COMPUTED_VALUE"""),44621.48717650463)</f>
        <v>44621.48718</v>
      </c>
      <c r="C60" s="5" t="str">
        <f>IFERROR(__xludf.DUMMYFUNCTION("""COMPUTED_VALUE"""),"14626")</f>
        <v>14626</v>
      </c>
      <c r="D60" s="5" t="str">
        <f>IFERROR(__xludf.DUMMYFUNCTION("""COMPUTED_VALUE"""),"error")</f>
        <v>error</v>
      </c>
      <c r="E60" s="5" t="str">
        <f>IFERROR(__xludf.DUMMYFUNCTION("""COMPUTED_VALUE"""),"Stock")</f>
        <v>Stock</v>
      </c>
      <c r="F60" s="119" t="str">
        <f>IFERROR(__xludf.DUMMYFUNCTION("""COMPUTED_VALUE"""),"(^FTSE)")</f>
        <v>(^FTSE)</v>
      </c>
      <c r="G60" s="30">
        <f>IFERROR(__xludf.DUMMYFUNCTION("""COMPUTED_VALUE"""),50.0)</f>
        <v>50</v>
      </c>
      <c r="H60" s="30" t="str">
        <f>IFERROR(__xludf.DUMMYFUNCTION("""COMPUTED_VALUE"""),"Email Account/ TraderID Recognized")</f>
        <v>Email Account/ TraderID Recognized</v>
      </c>
      <c r="I60" s="30" t="str">
        <f>IFERROR(__xludf.DUMMYFUNCTION("""COMPUTED_VALUE"""),"QTY, Limit Price (if any) &amp; Password input correct")</f>
        <v>QTY, Limit Price (if any) &amp; Password input correct</v>
      </c>
      <c r="J60" s="30" t="str">
        <f>IFERROR(__xludf.DUMMYFUNCTION("""COMPUTED_VALUE"""),"Order rejected due to wrong ticker code. just need to type in ^FTSE, without the bracket")</f>
        <v>Order rejected due to wrong ticker code. just need to type in ^FTSE, without the bracket</v>
      </c>
    </row>
    <row r="61">
      <c r="A61" s="5"/>
      <c r="B61" s="118">
        <f>IFERROR(__xludf.DUMMYFUNCTION("""COMPUTED_VALUE"""),44622.62167247685)</f>
        <v>44622.62167</v>
      </c>
      <c r="C61" s="5" t="str">
        <f>IFERROR(__xludf.DUMMYFUNCTION("""COMPUTED_VALUE"""),"39776")</f>
        <v>39776</v>
      </c>
      <c r="D61" s="5" t="str">
        <f>IFERROR(__xludf.DUMMYFUNCTION("""COMPUTED_VALUE"""),"error")</f>
        <v>error</v>
      </c>
      <c r="E61" s="5" t="str">
        <f>IFERROR(__xludf.DUMMYFUNCTION("""COMPUTED_VALUE"""),"Stock")</f>
        <v>Stock</v>
      </c>
      <c r="F61" s="119" t="str">
        <f>IFERROR(__xludf.DUMMYFUNCTION("""COMPUTED_VALUE"""),"03382")</f>
        <v>03382</v>
      </c>
      <c r="G61" s="30"/>
      <c r="H61" s="30" t="str">
        <f>IFERROR(__xludf.DUMMYFUNCTION("""COMPUTED_VALUE"""),"Email Account/ TraderID Recognized")</f>
        <v>Email Account/ TraderID Recognized</v>
      </c>
      <c r="I61" s="30" t="str">
        <f>IFERROR(__xludf.DUMMYFUNCTION("""COMPUTED_VALUE"""),"QTY, Limit Price (if any) &amp; Password input correct")</f>
        <v>QTY, Limit Price (if any) &amp; Password input correct</v>
      </c>
      <c r="J61" s="30" t="str">
        <f>IFERROR(__xludf.DUMMYFUNCTION("""COMPUTED_VALUE"""),"Order rejected due to wrong ticker code. just need to type in 3382.HK")</f>
        <v>Order rejected due to wrong ticker code. just need to type in 3382.HK</v>
      </c>
    </row>
    <row r="62">
      <c r="A62" s="5"/>
      <c r="B62" s="118">
        <f>IFERROR(__xludf.DUMMYFUNCTION("""COMPUTED_VALUE"""),44622.62394790509)</f>
        <v>44622.62395</v>
      </c>
      <c r="C62" s="5" t="str">
        <f>IFERROR(__xludf.DUMMYFUNCTION("""COMPUTED_VALUE"""),"39776")</f>
        <v>39776</v>
      </c>
      <c r="D62" s="5" t="str">
        <f>IFERROR(__xludf.DUMMYFUNCTION("""COMPUTED_VALUE"""),"error")</f>
        <v>error</v>
      </c>
      <c r="E62" s="5" t="str">
        <f>IFERROR(__xludf.DUMMYFUNCTION("""COMPUTED_VALUE"""),"Stock")</f>
        <v>Stock</v>
      </c>
      <c r="F62" s="119" t="str">
        <f>IFERROR(__xludf.DUMMYFUNCTION("""COMPUTED_VALUE"""),"01898")</f>
        <v>01898</v>
      </c>
      <c r="G62" s="30"/>
      <c r="H62" s="30" t="str">
        <f>IFERROR(__xludf.DUMMYFUNCTION("""COMPUTED_VALUE"""),"Email Account/ TraderID Recognized")</f>
        <v>Email Account/ TraderID Recognized</v>
      </c>
      <c r="I62" s="30" t="str">
        <f>IFERROR(__xludf.DUMMYFUNCTION("""COMPUTED_VALUE"""),"QTY, Limit Price (if any) &amp; Password input correct")</f>
        <v>QTY, Limit Price (if any) &amp; Password input correct</v>
      </c>
      <c r="J62" s="30" t="str">
        <f>IFERROR(__xludf.DUMMYFUNCTION("""COMPUTED_VALUE"""),"Order rejected due to wrong ticker code. just need to type in 1898.HK")</f>
        <v>Order rejected due to wrong ticker code. just need to type in 1898.HK</v>
      </c>
    </row>
    <row r="63">
      <c r="A63" s="5"/>
      <c r="B63" s="118">
        <f>IFERROR(__xludf.DUMMYFUNCTION("""COMPUTED_VALUE"""),44623.473874143514)</f>
        <v>44623.47387</v>
      </c>
      <c r="C63" s="5" t="str">
        <f>IFERROR(__xludf.DUMMYFUNCTION("""COMPUTED_VALUE"""),"79521")</f>
        <v>79521</v>
      </c>
      <c r="D63" s="5" t="str">
        <f>IFERROR(__xludf.DUMMYFUNCTION("""COMPUTED_VALUE"""),"error")</f>
        <v>error</v>
      </c>
      <c r="E63" s="5" t="str">
        <f>IFERROR(__xludf.DUMMYFUNCTION("""COMPUTED_VALUE"""),"Stock")</f>
        <v>Stock</v>
      </c>
      <c r="F63" s="119" t="str">
        <f>IFERROR(__xludf.DUMMYFUNCTION("""COMPUTED_VALUE"""),"600036")</f>
        <v>600036</v>
      </c>
      <c r="G63" s="30">
        <f>IFERROR(__xludf.DUMMYFUNCTION("""COMPUTED_VALUE"""),49.69)</f>
        <v>49.69</v>
      </c>
      <c r="H63" s="30" t="str">
        <f>IFERROR(__xludf.DUMMYFUNCTION("""COMPUTED_VALUE"""),"Email Account/ TraderID Recognized")</f>
        <v>Email Account/ TraderID Recognized</v>
      </c>
      <c r="I63" s="30" t="str">
        <f>IFERROR(__xludf.DUMMYFUNCTION("""COMPUTED_VALUE"""),"QTY, Limit Price (if any) &amp; Password input correct")</f>
        <v>QTY, Limit Price (if any) &amp; Password input correct</v>
      </c>
      <c r="J63" s="30" t="str">
        <f>IFERROR(__xludf.DUMMYFUNCTION("""COMPUTED_VALUE"""),"Order rejected due to wrong ticker code. just need to type in 600036.SH")</f>
        <v>Order rejected due to wrong ticker code. just need to type in 600036.SH</v>
      </c>
    </row>
    <row r="64">
      <c r="A64" s="5"/>
      <c r="B64" s="118">
        <f>IFERROR(__xludf.DUMMYFUNCTION("""COMPUTED_VALUE"""),44623.564688321756)</f>
        <v>44623.56469</v>
      </c>
      <c r="C64" s="5" t="str">
        <f>IFERROR(__xludf.DUMMYFUNCTION("""COMPUTED_VALUE"""),"79521")</f>
        <v>79521</v>
      </c>
      <c r="D64" s="5" t="str">
        <f>IFERROR(__xludf.DUMMYFUNCTION("""COMPUTED_VALUE"""),"error")</f>
        <v>error</v>
      </c>
      <c r="E64" s="5" t="str">
        <f>IFERROR(__xludf.DUMMYFUNCTION("""COMPUTED_VALUE"""),"Stock")</f>
        <v>Stock</v>
      </c>
      <c r="F64" s="119" t="str">
        <f>IFERROR(__xludf.DUMMYFUNCTION("""COMPUTED_VALUE"""),"002207")</f>
        <v>002207</v>
      </c>
      <c r="G64" s="30">
        <f>IFERROR(__xludf.DUMMYFUNCTION("""COMPUTED_VALUE"""),11.13)</f>
        <v>11.13</v>
      </c>
      <c r="H64" s="30" t="str">
        <f>IFERROR(__xludf.DUMMYFUNCTION("""COMPUTED_VALUE"""),"Email Account/ TraderID Recognized")</f>
        <v>Email Account/ TraderID Recognized</v>
      </c>
      <c r="I64" s="30" t="str">
        <f>IFERROR(__xludf.DUMMYFUNCTION("""COMPUTED_VALUE"""),"QTY, Limit Price (if any) &amp; Password input correct")</f>
        <v>QTY, Limit Price (if any) &amp; Password input correct</v>
      </c>
      <c r="J64" s="30" t="str">
        <f>IFERROR(__xludf.DUMMYFUNCTION("""COMPUTED_VALUE"""),"Order rejected due to wrong ticker code. just need to type in 2207.HK")</f>
        <v>Order rejected due to wrong ticker code. just need to type in 2207.HK</v>
      </c>
    </row>
    <row r="65">
      <c r="A65" s="5"/>
      <c r="B65" s="118">
        <f>IFERROR(__xludf.DUMMYFUNCTION("""COMPUTED_VALUE"""),44624.679041157404)</f>
        <v>44624.67904</v>
      </c>
      <c r="C65" s="5" t="str">
        <f>IFERROR(__xludf.DUMMYFUNCTION("""COMPUTED_VALUE"""),"75369")</f>
        <v>75369</v>
      </c>
      <c r="D65" s="5" t="str">
        <f>IFERROR(__xludf.DUMMYFUNCTION("""COMPUTED_VALUE"""),"error")</f>
        <v>error</v>
      </c>
      <c r="E65" s="5" t="str">
        <f>IFERROR(__xludf.DUMMYFUNCTION("""COMPUTED_VALUE"""),"Bond")</f>
        <v>Bond</v>
      </c>
      <c r="F65" s="119" t="str">
        <f>IFERROR(__xludf.DUMMYFUNCTION("""COMPUTED_VALUE"""),"0700")</f>
        <v>0700</v>
      </c>
      <c r="G65" s="30"/>
      <c r="H65" s="30" t="str">
        <f>IFERROR(__xludf.DUMMYFUNCTION("""COMPUTED_VALUE"""),"Email Account/ TraderID Recognized")</f>
        <v>Email Account/ TraderID Recognized</v>
      </c>
      <c r="I65" s="30" t="str">
        <f>IFERROR(__xludf.DUMMYFUNCTION("""COMPUTED_VALUE"""),"Non-number input in Quantity or Limit Price")</f>
        <v>Non-number input in Quantity or Limit Price</v>
      </c>
      <c r="J65" s="30" t="str">
        <f>IFERROR(__xludf.DUMMYFUNCTION("""COMPUTED_VALUE"""),"Order Rejected due to wrong password and wrong ticker. Please go to https://www.bondsupermart.com/bsm/general-search/tencent , there are 18 tencent bonds. Limit price you set, 409.4, is a stock price, not a bond price. ")</f>
        <v>Order Rejected due to wrong password and wrong ticker. Please go to https://www.bondsupermart.com/bsm/general-search/tencent , there are 18 tencent bonds. Limit price you set, 409.4, is a stock price, not a bond price. </v>
      </c>
    </row>
    <row r="66">
      <c r="A66" s="5"/>
      <c r="B66" s="118">
        <f>IFERROR(__xludf.DUMMYFUNCTION("""COMPUTED_VALUE"""),44624.693672719906)</f>
        <v>44624.69367</v>
      </c>
      <c r="C66" s="5" t="str">
        <f>IFERROR(__xludf.DUMMYFUNCTION("""COMPUTED_VALUE"""),"")</f>
        <v/>
      </c>
      <c r="D66" s="5" t="str">
        <f>IFERROR(__xludf.DUMMYFUNCTION("""COMPUTED_VALUE"""),"error")</f>
        <v>error</v>
      </c>
      <c r="E66" s="5" t="str">
        <f>IFERROR(__xludf.DUMMYFUNCTION("""COMPUTED_VALUE"""),"Stock")</f>
        <v>Stock</v>
      </c>
      <c r="F66" s="121" t="str">
        <f>IFERROR(__xludf.DUMMYFUNCTION("""COMPUTED_VALUE"""),"0001.HK")</f>
        <v>0001.HK</v>
      </c>
      <c r="G66" s="30"/>
      <c r="H66" s="30" t="str">
        <f>IFERROR(__xludf.DUMMYFUNCTION("""COMPUTED_VALUE"""),"s124xxxxxx@nonHKMUemail")</f>
        <v>s124xxxxxx@nonHKMUemail</v>
      </c>
      <c r="I66" s="30" t="str">
        <f>IFERROR(__xludf.DUMMYFUNCTION("""COMPUTED_VALUE"""),"QTY, Limit Price (if any) &amp; Password input correct")</f>
        <v>QTY, Limit Price (if any) &amp; Password input correct</v>
      </c>
      <c r="J66" s="30" t="str">
        <f>IFERROR(__xludf.DUMMYFUNCTION("""COMPUTED_VALUE"""),"Order Rejected due to non school email, please put in sXXXXXXX@hkmu.edu.hk")</f>
        <v>Order Rejected due to non school email, please put in sXXXXXXX@hkmu.edu.hk</v>
      </c>
    </row>
    <row r="67">
      <c r="A67" s="5"/>
      <c r="B67" s="118">
        <f>IFERROR(__xludf.DUMMYFUNCTION("""COMPUTED_VALUE"""),44624.70455591435)</f>
        <v>44624.70456</v>
      </c>
      <c r="C67" s="5" t="str">
        <f>IFERROR(__xludf.DUMMYFUNCTION("""COMPUTED_VALUE"""),"")</f>
        <v/>
      </c>
      <c r="D67" s="5" t="str">
        <f>IFERROR(__xludf.DUMMYFUNCTION("""COMPUTED_VALUE"""),"error")</f>
        <v>error</v>
      </c>
      <c r="E67" s="5" t="str">
        <f>IFERROR(__xludf.DUMMYFUNCTION("""COMPUTED_VALUE"""),"Stock")</f>
        <v>Stock</v>
      </c>
      <c r="F67" s="121" t="str">
        <f>IFERROR(__xludf.DUMMYFUNCTION("""COMPUTED_VALUE"""),"0151.HK")</f>
        <v>0151.HK</v>
      </c>
      <c r="G67" s="30"/>
      <c r="H67" s="30" t="str">
        <f>IFERROR(__xludf.DUMMYFUNCTION("""COMPUTED_VALUE"""),"s124xxxxxx@nonHKMUemail")</f>
        <v>s124xxxxxx@nonHKMUemail</v>
      </c>
      <c r="I67" s="30" t="str">
        <f>IFERROR(__xludf.DUMMYFUNCTION("""COMPUTED_VALUE"""),"QTY, Limit Price (if any) &amp; Password input correct")</f>
        <v>QTY, Limit Price (if any) &amp; Password input correct</v>
      </c>
      <c r="J67" s="30" t="str">
        <f>IFERROR(__xludf.DUMMYFUNCTION("""COMPUTED_VALUE"""),"Order Rejected due to non school email, please put in sXXXXXXX@hkmu.edu.hk")</f>
        <v>Order Rejected due to non school email, please put in sXXXXXXX@hkmu.edu.hk</v>
      </c>
    </row>
    <row r="68">
      <c r="A68" s="5"/>
      <c r="B68" s="118">
        <f>IFERROR(__xludf.DUMMYFUNCTION("""COMPUTED_VALUE"""),44625.084360127315)</f>
        <v>44625.08436</v>
      </c>
      <c r="C68" s="5" t="str">
        <f>IFERROR(__xludf.DUMMYFUNCTION("""COMPUTED_VALUE"""),"")</f>
        <v/>
      </c>
      <c r="D68" s="5" t="str">
        <f>IFERROR(__xludf.DUMMYFUNCTION("""COMPUTED_VALUE"""),"error")</f>
        <v>error</v>
      </c>
      <c r="E68" s="5" t="str">
        <f>IFERROR(__xludf.DUMMYFUNCTION("""COMPUTED_VALUE"""),"Stock")</f>
        <v>Stock</v>
      </c>
      <c r="F68" s="119" t="str">
        <f>IFERROR(__xludf.DUMMYFUNCTION("""COMPUTED_VALUE"""),"XLK")</f>
        <v>XLK</v>
      </c>
      <c r="G68" s="30"/>
      <c r="H68" s="30" t="str">
        <f>IFERROR(__xludf.DUMMYFUNCTION("""COMPUTED_VALUE"""),"cheuxxxxxx@nonHKMUemail")</f>
        <v>cheuxxxxxx@nonHKMUemail</v>
      </c>
      <c r="I68" s="30" t="str">
        <f>IFERROR(__xludf.DUMMYFUNCTION("""COMPUTED_VALUE"""),"QTY, Limit Price (if any) &amp; Password input correct")</f>
        <v>QTY, Limit Price (if any) &amp; Password input correct</v>
      </c>
      <c r="J68" s="30" t="str">
        <f>IFERROR(__xludf.DUMMYFUNCTION("""COMPUTED_VALUE"""),"Order Rejected due to wrong school email address (input gmail instead)")</f>
        <v>Order Rejected due to wrong school email address (input gmail instead)</v>
      </c>
    </row>
    <row r="69">
      <c r="A69" s="5"/>
      <c r="B69" s="118">
        <f>IFERROR(__xludf.DUMMYFUNCTION("""COMPUTED_VALUE"""),44627.119092256944)</f>
        <v>44627.11909</v>
      </c>
      <c r="C69" s="5" t="str">
        <f>IFERROR(__xludf.DUMMYFUNCTION("""COMPUTED_VALUE"""),"")</f>
        <v/>
      </c>
      <c r="D69" s="5" t="str">
        <f>IFERROR(__xludf.DUMMYFUNCTION("""COMPUTED_VALUE"""),"error")</f>
        <v>error</v>
      </c>
      <c r="E69" s="5" t="str">
        <f>IFERROR(__xludf.DUMMYFUNCTION("""COMPUTED_VALUE"""),"Stock")</f>
        <v>Stock</v>
      </c>
      <c r="F69" s="121" t="str">
        <f>IFERROR(__xludf.DUMMYFUNCTION("""COMPUTED_VALUE"""),"0151.HK")</f>
        <v>0151.HK</v>
      </c>
      <c r="G69" s="30"/>
      <c r="H69" s="30" t="str">
        <f>IFERROR(__xludf.DUMMYFUNCTION("""COMPUTED_VALUE"""),"s124xxxxxx@nonHKMUemail")</f>
        <v>s124xxxxxx@nonHKMUemail</v>
      </c>
      <c r="I69" s="30" t="str">
        <f>IFERROR(__xludf.DUMMYFUNCTION("""COMPUTED_VALUE"""),"QTY, Limit Price (if any) &amp; Password input correct")</f>
        <v>QTY, Limit Price (if any) &amp; Password input correct</v>
      </c>
      <c r="J69" s="30" t="str">
        <f>IFERROR(__xludf.DUMMYFUNCTION("""COMPUTED_VALUE"""),"Order Rejected due to wrong school email address: should be @hkmu, not @muhk")</f>
        <v>Order Rejected due to wrong school email address: should be @hkmu, not @muhk</v>
      </c>
    </row>
    <row r="70">
      <c r="A70" s="5"/>
      <c r="B70" s="118">
        <f>IFERROR(__xludf.DUMMYFUNCTION("""COMPUTED_VALUE"""),44627.12080579861)</f>
        <v>44627.12081</v>
      </c>
      <c r="C70" s="5" t="str">
        <f>IFERROR(__xludf.DUMMYFUNCTION("""COMPUTED_VALUE"""),"")</f>
        <v/>
      </c>
      <c r="D70" s="5" t="str">
        <f>IFERROR(__xludf.DUMMYFUNCTION("""COMPUTED_VALUE"""),"error")</f>
        <v>error</v>
      </c>
      <c r="E70" s="5" t="str">
        <f>IFERROR(__xludf.DUMMYFUNCTION("""COMPUTED_VALUE"""),"Stock")</f>
        <v>Stock</v>
      </c>
      <c r="F70" s="121" t="str">
        <f>IFERROR(__xludf.DUMMYFUNCTION("""COMPUTED_VALUE"""),"0001.HK")</f>
        <v>0001.HK</v>
      </c>
      <c r="G70" s="30"/>
      <c r="H70" s="30" t="str">
        <f>IFERROR(__xludf.DUMMYFUNCTION("""COMPUTED_VALUE"""),"s124xxxxxx@nonHKMUemail")</f>
        <v>s124xxxxxx@nonHKMUemail</v>
      </c>
      <c r="I70" s="30" t="str">
        <f>IFERROR(__xludf.DUMMYFUNCTION("""COMPUTED_VALUE"""),"QTY, Limit Price (if any) &amp; Password input correct")</f>
        <v>QTY, Limit Price (if any) &amp; Password input correct</v>
      </c>
      <c r="J70" s="30" t="str">
        <f>IFERROR(__xludf.DUMMYFUNCTION("""COMPUTED_VALUE"""),"Order Rejected due to wrong school email address: should be @hkmu, not @muhk")</f>
        <v>Order Rejected due to wrong school email address: should be @hkmu, not @muhk</v>
      </c>
    </row>
    <row r="71">
      <c r="A71" s="5"/>
      <c r="B71" s="118">
        <f>IFERROR(__xludf.DUMMYFUNCTION("""COMPUTED_VALUE"""),44627.50165578704)</f>
        <v>44627.50166</v>
      </c>
      <c r="C71" s="5" t="str">
        <f>IFERROR(__xludf.DUMMYFUNCTION("""COMPUTED_VALUE"""),"77936")</f>
        <v>77936</v>
      </c>
      <c r="D71" s="5" t="str">
        <f>IFERROR(__xludf.DUMMYFUNCTION("""COMPUTED_VALUE"""),"error")</f>
        <v>error</v>
      </c>
      <c r="E71" s="5" t="str">
        <f>IFERROR(__xludf.DUMMYFUNCTION("""COMPUTED_VALUE"""),"Stock")</f>
        <v>Stock</v>
      </c>
      <c r="F71" s="119" t="str">
        <f>IFERROR(__xludf.DUMMYFUNCTION("""COMPUTED_VALUE"""),"09988")</f>
        <v>09988</v>
      </c>
      <c r="G71" s="30">
        <f>IFERROR(__xludf.DUMMYFUNCTION("""COMPUTED_VALUE"""),100.0)</f>
        <v>100</v>
      </c>
      <c r="H71" s="30" t="str">
        <f>IFERROR(__xludf.DUMMYFUNCTION("""COMPUTED_VALUE"""),"Email Account/ TraderID Recognized")</f>
        <v>Email Account/ TraderID Recognized</v>
      </c>
      <c r="I71" s="30" t="str">
        <f>IFERROR(__xludf.DUMMYFUNCTION("""COMPUTED_VALUE"""),"QTY, Limit Price (if any) &amp; Password input correct")</f>
        <v>QTY, Limit Price (if any) &amp; Password input correct</v>
      </c>
      <c r="J71" s="30" t="str">
        <f>IFERROR(__xludf.DUMMYFUNCTION("""COMPUTED_VALUE"""),"Order Rejected due to wrong ticker code. Not 09988, correct code is : 9988.HK")</f>
        <v>Order Rejected due to wrong ticker code. Not 09988, correct code is : 9988.HK</v>
      </c>
    </row>
    <row r="72">
      <c r="A72" s="5"/>
      <c r="B72" s="118">
        <f>IFERROR(__xludf.DUMMYFUNCTION("""COMPUTED_VALUE"""),44627.686836712965)</f>
        <v>44627.68684</v>
      </c>
      <c r="C72" s="5" t="str">
        <f>IFERROR(__xludf.DUMMYFUNCTION("""COMPUTED_VALUE"""),"77936")</f>
        <v>77936</v>
      </c>
      <c r="D72" s="5" t="str">
        <f>IFERROR(__xludf.DUMMYFUNCTION("""COMPUTED_VALUE"""),"error")</f>
        <v>error</v>
      </c>
      <c r="E72" s="5" t="str">
        <f>IFERROR(__xludf.DUMMYFUNCTION("""COMPUTED_VALUE"""),"Stock")</f>
        <v>Stock</v>
      </c>
      <c r="F72" s="121" t="str">
        <f>IFERROR(__xludf.DUMMYFUNCTION("""COMPUTED_VALUE"""),"00700.HK")</f>
        <v>00700.HK</v>
      </c>
      <c r="G72" s="30">
        <f>IFERROR(__xludf.DUMMYFUNCTION("""COMPUTED_VALUE"""),400.0)</f>
        <v>400</v>
      </c>
      <c r="H72" s="30" t="str">
        <f>IFERROR(__xludf.DUMMYFUNCTION("""COMPUTED_VALUE"""),"Email Account/ TraderID Recognized")</f>
        <v>Email Account/ TraderID Recognized</v>
      </c>
      <c r="I72" s="30" t="str">
        <f>IFERROR(__xludf.DUMMYFUNCTION("""COMPUTED_VALUE"""),"QTY, Limit Price (if any) &amp; Password input correct")</f>
        <v>QTY, Limit Price (if any) &amp; Password input correct</v>
      </c>
      <c r="J72" s="30" t="str">
        <f>IFERROR(__xludf.DUMMYFUNCTION("""COMPUTED_VALUE"""),"Order Rejected due to wrong ticker code. Not 00700.HK, correct code is just 4 digits for HK: 0700.HK")</f>
        <v>Order Rejected due to wrong ticker code. Not 00700.HK, correct code is just 4 digits for HK: 0700.HK</v>
      </c>
    </row>
    <row r="73">
      <c r="A73" s="5"/>
      <c r="B73" s="118">
        <f>IFERROR(__xludf.DUMMYFUNCTION("""COMPUTED_VALUE"""),44627.687415231485)</f>
        <v>44627.68742</v>
      </c>
      <c r="C73" s="5" t="str">
        <f>IFERROR(__xludf.DUMMYFUNCTION("""COMPUTED_VALUE"""),"77936")</f>
        <v>77936</v>
      </c>
      <c r="D73" s="5" t="str">
        <f>IFERROR(__xludf.DUMMYFUNCTION("""COMPUTED_VALUE"""),"error")</f>
        <v>error</v>
      </c>
      <c r="E73" s="5" t="str">
        <f>IFERROR(__xludf.DUMMYFUNCTION("""COMPUTED_VALUE"""),"Stock")</f>
        <v>Stock</v>
      </c>
      <c r="F73" s="121" t="str">
        <f>IFERROR(__xludf.DUMMYFUNCTION("""COMPUTED_VALUE"""),"09988.HK")</f>
        <v>09988.HK</v>
      </c>
      <c r="G73" s="30">
        <f>IFERROR(__xludf.DUMMYFUNCTION("""COMPUTED_VALUE"""),100.0)</f>
        <v>100</v>
      </c>
      <c r="H73" s="30" t="str">
        <f>IFERROR(__xludf.DUMMYFUNCTION("""COMPUTED_VALUE"""),"Email Account/ TraderID Recognized")</f>
        <v>Email Account/ TraderID Recognized</v>
      </c>
      <c r="I73" s="30" t="str">
        <f>IFERROR(__xludf.DUMMYFUNCTION("""COMPUTED_VALUE"""),"QTY, Limit Price (if any) &amp; Password input correct")</f>
        <v>QTY, Limit Price (if any) &amp; Password input correct</v>
      </c>
      <c r="J73" s="30" t="str">
        <f>IFERROR(__xludf.DUMMYFUNCTION("""COMPUTED_VALUE"""),"Order Rejected due to wrong ticker code. Not 09988.HK, correct code is just 4 digits for HK: 9988.HK")</f>
        <v>Order Rejected due to wrong ticker code. Not 09988.HK, correct code is just 4 digits for HK: 9988.HK</v>
      </c>
    </row>
    <row r="74">
      <c r="A74" s="5"/>
      <c r="B74" s="118">
        <f>IFERROR(__xludf.DUMMYFUNCTION("""COMPUTED_VALUE"""),44627.72225784722)</f>
        <v>44627.72226</v>
      </c>
      <c r="C74" s="5" t="str">
        <f>IFERROR(__xludf.DUMMYFUNCTION("""COMPUTED_VALUE"""),"")</f>
        <v/>
      </c>
      <c r="D74" s="5" t="str">
        <f>IFERROR(__xludf.DUMMYFUNCTION("""COMPUTED_VALUE"""),"error")</f>
        <v>error</v>
      </c>
      <c r="E74" s="5" t="str">
        <f>IFERROR(__xludf.DUMMYFUNCTION("""COMPUTED_VALUE"""),"Stock")</f>
        <v>Stock</v>
      </c>
      <c r="F74" s="121" t="str">
        <f>IFERROR(__xludf.DUMMYFUNCTION("""COMPUTED_VALUE"""),"0700.hk")</f>
        <v>0700.hk</v>
      </c>
      <c r="G74" s="30" t="str">
        <f>IFERROR(__xludf.DUMMYFUNCTION("""COMPUTED_VALUE"""),"50 x $392.4 per share=$19620")</f>
        <v>50 x $392.4 per share=$19620</v>
      </c>
      <c r="H74" s="30" t="str">
        <f>IFERROR(__xludf.DUMMYFUNCTION("""COMPUTED_VALUE"""),"s127xxxxxx@nonHKMUemail")</f>
        <v>s127xxxxxx@nonHKMUemail</v>
      </c>
      <c r="I74" s="30" t="str">
        <f>IFERROR(__xludf.DUMMYFUNCTION("""COMPUTED_VALUE"""),"Non-number input in Quantity or Limit Price")</f>
        <v>Non-number input in Quantity or Limit Price</v>
      </c>
      <c r="J74" s="30" t="str">
        <f>IFERROR(__xludf.DUMMYFUNCTION("""COMPUTED_VALUE"""),"Order Rejected due to wrong instruction. Only Number is expected in the limit price setup.")</f>
        <v>Order Rejected due to wrong instruction. Only Number is expected in the limit price setup.</v>
      </c>
    </row>
    <row r="75">
      <c r="A75" s="5"/>
      <c r="B75" s="118">
        <f>IFERROR(__xludf.DUMMYFUNCTION("""COMPUTED_VALUE"""),44628.57406197916)</f>
        <v>44628.57406</v>
      </c>
      <c r="C75" s="5" t="str">
        <f>IFERROR(__xludf.DUMMYFUNCTION("""COMPUTED_VALUE"""),"76857")</f>
        <v>76857</v>
      </c>
      <c r="D75" s="5" t="str">
        <f>IFERROR(__xludf.DUMMYFUNCTION("""COMPUTED_VALUE"""),"error")</f>
        <v>error</v>
      </c>
      <c r="E75" s="5" t="str">
        <f>IFERROR(__xludf.DUMMYFUNCTION("""COMPUTED_VALUE"""),"Stock")</f>
        <v>Stock</v>
      </c>
      <c r="F75" s="121" t="str">
        <f>IFERROR(__xludf.DUMMYFUNCTION("""COMPUTED_VALUE"""),"1772.HK")</f>
        <v>1772.HK</v>
      </c>
      <c r="G75" s="30"/>
      <c r="H75" s="30" t="str">
        <f>IFERROR(__xludf.DUMMYFUNCTION("""COMPUTED_VALUE"""),"Email Account/ TraderID Recognized")</f>
        <v>Email Account/ TraderID Recognized</v>
      </c>
      <c r="I75" s="30" t="str">
        <f>IFERROR(__xludf.DUMMYFUNCTION("""COMPUTED_VALUE"""),"QTY, Limit Price (if any) &amp; Password input correct")</f>
        <v>QTY, Limit Price (if any) &amp; Password input correct</v>
      </c>
      <c r="J75" s="30" t="str">
        <f>IFERROR(__xludf.DUMMYFUNCTION("""COMPUTED_VALUE"""),"Order Rejected due to unauthorized trader. Please contact William for further instruction.")</f>
        <v>Order Rejected due to unauthorized trader. Please contact William for further instruction.</v>
      </c>
    </row>
    <row r="76">
      <c r="A76" s="5"/>
      <c r="B76" s="118">
        <f>IFERROR(__xludf.DUMMYFUNCTION("""COMPUTED_VALUE"""),44628.76699793982)</f>
        <v>44628.767</v>
      </c>
      <c r="C76" s="5" t="str">
        <f>IFERROR(__xludf.DUMMYFUNCTION("""COMPUTED_VALUE"""),"14626")</f>
        <v>14626</v>
      </c>
      <c r="D76" s="5" t="str">
        <f>IFERROR(__xludf.DUMMYFUNCTION("""COMPUTED_VALUE"""),"error")</f>
        <v>error</v>
      </c>
      <c r="E76" s="5" t="str">
        <f>IFERROR(__xludf.DUMMYFUNCTION("""COMPUTED_VALUE"""),"Stock")</f>
        <v>Stock</v>
      </c>
      <c r="F76" s="119" t="str">
        <f>IFERROR(__xludf.DUMMYFUNCTION("""COMPUTED_VALUE"""),"CL=F")</f>
        <v>CL=F</v>
      </c>
      <c r="G76" s="30"/>
      <c r="H76" s="30" t="str">
        <f>IFERROR(__xludf.DUMMYFUNCTION("""COMPUTED_VALUE"""),"Email Account/ TraderID Recognized")</f>
        <v>Email Account/ TraderID Recognized</v>
      </c>
      <c r="I76" s="30" t="str">
        <f>IFERROR(__xludf.DUMMYFUNCTION("""COMPUTED_VALUE"""),"Wrong Password Submitted, Order will be rejected")</f>
        <v>Wrong Password Submitted, Order will be rejected</v>
      </c>
      <c r="J76" s="30" t="str">
        <f>IFERROR(__xludf.DUMMYFUNCTION("""COMPUTED_VALUE"""),"Order Rejected due to wrong password. Your password last 2 digits were incorrect.")</f>
        <v>Order Rejected due to wrong password. Your password last 2 digits were incorrect.</v>
      </c>
    </row>
    <row r="77">
      <c r="A77" s="5"/>
      <c r="B77" s="118">
        <f>IFERROR(__xludf.DUMMYFUNCTION("""COMPUTED_VALUE"""),44628.77343598379)</f>
        <v>44628.77344</v>
      </c>
      <c r="C77" s="5" t="str">
        <f>IFERROR(__xludf.DUMMYFUNCTION("""COMPUTED_VALUE"""),"14626")</f>
        <v>14626</v>
      </c>
      <c r="D77" s="5" t="str">
        <f>IFERROR(__xludf.DUMMYFUNCTION("""COMPUTED_VALUE"""),"error")</f>
        <v>error</v>
      </c>
      <c r="E77" s="5" t="str">
        <f>IFERROR(__xludf.DUMMYFUNCTION("""COMPUTED_VALUE"""),"Stock")</f>
        <v>Stock</v>
      </c>
      <c r="F77" s="119" t="str">
        <f>IFERROR(__xludf.DUMMYFUNCTION("""COMPUTED_VALUE"""),"SI=F")</f>
        <v>SI=F</v>
      </c>
      <c r="G77" s="30"/>
      <c r="H77" s="30" t="str">
        <f>IFERROR(__xludf.DUMMYFUNCTION("""COMPUTED_VALUE"""),"Email Account/ TraderID Recognized")</f>
        <v>Email Account/ TraderID Recognized</v>
      </c>
      <c r="I77" s="30" t="str">
        <f>IFERROR(__xludf.DUMMYFUNCTION("""COMPUTED_VALUE"""),"Wrong Password Submitted, Order will be rejected")</f>
        <v>Wrong Password Submitted, Order will be rejected</v>
      </c>
      <c r="J77" s="30" t="str">
        <f>IFERROR(__xludf.DUMMYFUNCTION("""COMPUTED_VALUE"""),"Order Rejected due to wrong password. Your password last 2 digits were incorrect.")</f>
        <v>Order Rejected due to wrong password. Your password last 2 digits were incorrect.</v>
      </c>
    </row>
    <row r="78">
      <c r="A78" s="5"/>
      <c r="B78" s="118">
        <f>IFERROR(__xludf.DUMMYFUNCTION("""COMPUTED_VALUE"""),44628.84994006944)</f>
        <v>44628.84994</v>
      </c>
      <c r="C78" s="5" t="str">
        <f>IFERROR(__xludf.DUMMYFUNCTION("""COMPUTED_VALUE"""),"89845")</f>
        <v>89845</v>
      </c>
      <c r="D78" s="5" t="str">
        <f>IFERROR(__xludf.DUMMYFUNCTION("""COMPUTED_VALUE"""),"error")</f>
        <v>error</v>
      </c>
      <c r="E78" s="5" t="str">
        <f>IFERROR(__xludf.DUMMYFUNCTION("""COMPUTED_VALUE"""),"Stock")</f>
        <v>Stock</v>
      </c>
      <c r="F78" s="119" t="str">
        <f>IFERROR(__xludf.DUMMYFUNCTION("""COMPUTED_VALUE"""),"nysearca: USO")</f>
        <v>nysearca: USO</v>
      </c>
      <c r="G78" s="30" t="str">
        <f>IFERROR(__xludf.DUMMYFUNCTION("""COMPUTED_VALUE"""),"Limit Sell @ 70 - if Closing @ 100 = Executed price @ 100; if Closing @ 80 = no execution")</f>
        <v>Limit Sell @ 70 - if Closing @ 100 = Executed price @ 100; if Closing @ 80 = no execution</v>
      </c>
      <c r="H78" s="30" t="str">
        <f>IFERROR(__xludf.DUMMYFUNCTION("""COMPUTED_VALUE"""),"Email Account/ TraderID Recognized")</f>
        <v>Email Account/ TraderID Recognized</v>
      </c>
      <c r="I78" s="30" t="str">
        <f>IFERROR(__xludf.DUMMYFUNCTION("""COMPUTED_VALUE"""),"Non-number input in Quantity or Limit Price")</f>
        <v>Non-number input in Quantity or Limit Price</v>
      </c>
      <c r="J78" s="30" t="str">
        <f>IFERROR(__xludf.DUMMYFUNCTION("""COMPUTED_VALUE"""),"Order Rejected due to wrong ticker and instruction. Ticker should be USO only for US Oil index. And Only Number is expected in the limit price setup. Just type in 70. Input instruction is not a system-readable language.")</f>
        <v>Order Rejected due to wrong ticker and instruction. Ticker should be USO only for US Oil index. And Only Number is expected in the limit price setup. Just type in 70. Input instruction is not a system-readable language.</v>
      </c>
    </row>
    <row r="79">
      <c r="A79" s="5"/>
      <c r="B79" s="118">
        <f>IFERROR(__xludf.DUMMYFUNCTION("""COMPUTED_VALUE"""),44628.90884244213)</f>
        <v>44628.90884</v>
      </c>
      <c r="C79" s="5" t="str">
        <f>IFERROR(__xludf.DUMMYFUNCTION("""COMPUTED_VALUE"""),"")</f>
        <v/>
      </c>
      <c r="D79" s="5" t="str">
        <f>IFERROR(__xludf.DUMMYFUNCTION("""COMPUTED_VALUE"""),"error")</f>
        <v>error</v>
      </c>
      <c r="E79" s="5" t="str">
        <f>IFERROR(__xludf.DUMMYFUNCTION("""COMPUTED_VALUE"""),"Stock")</f>
        <v>Stock</v>
      </c>
      <c r="F79" s="119" t="str">
        <f>IFERROR(__xludf.DUMMYFUNCTION("""COMPUTED_VALUE"""),"nysearca: USO")</f>
        <v>nysearca: USO</v>
      </c>
      <c r="G79" s="30">
        <f>IFERROR(__xludf.DUMMYFUNCTION("""COMPUTED_VALUE"""),90.0)</f>
        <v>90</v>
      </c>
      <c r="H79" s="30" t="str">
        <f>IFERROR(__xludf.DUMMYFUNCTION("""COMPUTED_VALUE"""),"1668xxxxxx@nonHKMUemail")</f>
        <v>1668xxxxxx@nonHKMUemail</v>
      </c>
      <c r="I79" s="30" t="str">
        <f>IFERROR(__xludf.DUMMYFUNCTION("""COMPUTED_VALUE"""),"QTY, Limit Price (if any) &amp; Password input correct")</f>
        <v>QTY, Limit Price (if any) &amp; Password input correct</v>
      </c>
      <c r="J79" s="30" t="str">
        <f>IFERROR(__xludf.DUMMYFUNCTION("""COMPUTED_VALUE"""),"Order Rejected due to wrong school email address, wrong ticker. Non school email address, Non student identitified. Ticker should be USO only for US Oil index.")</f>
        <v>Order Rejected due to wrong school email address, wrong ticker. Non school email address, Non student identitified. Ticker should be USO only for US Oil index.</v>
      </c>
    </row>
    <row r="80">
      <c r="A80" s="5"/>
      <c r="B80" s="118">
        <f>IFERROR(__xludf.DUMMYFUNCTION("""COMPUTED_VALUE"""),44628.98496861111)</f>
        <v>44628.98497</v>
      </c>
      <c r="C80" s="5" t="str">
        <f>IFERROR(__xludf.DUMMYFUNCTION("""COMPUTED_VALUE"""),"40318")</f>
        <v>40318</v>
      </c>
      <c r="D80" s="5" t="str">
        <f>IFERROR(__xludf.DUMMYFUNCTION("""COMPUTED_VALUE"""),"error")</f>
        <v>error</v>
      </c>
      <c r="E80" s="5" t="str">
        <f>IFERROR(__xludf.DUMMYFUNCTION("""COMPUTED_VALUE"""),"Stock")</f>
        <v>Stock</v>
      </c>
      <c r="F80" s="119" t="str">
        <f>IFERROR(__xludf.DUMMYFUNCTION("""COMPUTED_VALUE"""),"AAPL")</f>
        <v>AAPL</v>
      </c>
      <c r="G80" s="30" t="str">
        <f>IFERROR(__xludf.DUMMYFUNCTION("""COMPUTED_VALUE"""),"156.5 USD")</f>
        <v>156.5 USD</v>
      </c>
      <c r="H80" s="30" t="str">
        <f>IFERROR(__xludf.DUMMYFUNCTION("""COMPUTED_VALUE"""),"Email Account/ TraderID Recognized")</f>
        <v>Email Account/ TraderID Recognized</v>
      </c>
      <c r="I80" s="30" t="str">
        <f>IFERROR(__xludf.DUMMYFUNCTION("""COMPUTED_VALUE"""),"Non-number input in Quantity or Limit Price")</f>
        <v>Non-number input in Quantity or Limit Price</v>
      </c>
      <c r="J80" s="30" t="str">
        <f>IFERROR(__xludf.DUMMYFUNCTION("""COMPUTED_VALUE"""),"Order rejected due to non numeric symbol in quantity and limit price. Just put in numbers will be sufficient.")</f>
        <v>Order rejected due to non numeric symbol in quantity and limit price. Just put in numbers will be sufficient.</v>
      </c>
    </row>
    <row r="81">
      <c r="A81" s="5"/>
      <c r="B81" s="118">
        <f>IFERROR(__xludf.DUMMYFUNCTION("""COMPUTED_VALUE"""),44629.04917396991)</f>
        <v>44629.04917</v>
      </c>
      <c r="C81" s="5" t="str">
        <f>IFERROR(__xludf.DUMMYFUNCTION("""COMPUTED_VALUE"""),"")</f>
        <v/>
      </c>
      <c r="D81" s="5" t="str">
        <f>IFERROR(__xludf.DUMMYFUNCTION("""COMPUTED_VALUE"""),"error")</f>
        <v>error</v>
      </c>
      <c r="E81" s="5" t="str">
        <f>IFERROR(__xludf.DUMMYFUNCTION("""COMPUTED_VALUE"""),"Stock")</f>
        <v>Stock</v>
      </c>
      <c r="F81" s="121" t="str">
        <f>IFERROR(__xludf.DUMMYFUNCTION("""COMPUTED_VALUE"""),"9988.hk")</f>
        <v>9988.hk</v>
      </c>
      <c r="G81" s="30"/>
      <c r="H81" s="30" t="str">
        <f>IFERROR(__xludf.DUMMYFUNCTION("""COMPUTED_VALUE"""),"s124xxxxxx@nonHKMUemail")</f>
        <v>s124xxxxxx@nonHKMUemail</v>
      </c>
      <c r="I81" s="30" t="str">
        <f>IFERROR(__xludf.DUMMYFUNCTION("""COMPUTED_VALUE"""),"QTY, Limit Price (if any) &amp; Password input correct")</f>
        <v>QTY, Limit Price (if any) &amp; Password input correct</v>
      </c>
      <c r="J81" s="30" t="str">
        <f>IFERROR(__xludf.DUMMYFUNCTION("""COMPUTED_VALUE"""),"Order rejected due to non school email address. Only accept @hkmu.edu.hk")</f>
        <v>Order rejected due to non school email address. Only accept @hkmu.edu.hk</v>
      </c>
    </row>
    <row r="82">
      <c r="A82" s="5"/>
      <c r="B82" s="118">
        <f>IFERROR(__xludf.DUMMYFUNCTION("""COMPUTED_VALUE"""),44630.4598187963)</f>
        <v>44630.45982</v>
      </c>
      <c r="C82" s="5" t="str">
        <f>IFERROR(__xludf.DUMMYFUNCTION("""COMPUTED_VALUE"""),"")</f>
        <v/>
      </c>
      <c r="D82" s="5" t="str">
        <f>IFERROR(__xludf.DUMMYFUNCTION("""COMPUTED_VALUE"""),"error")</f>
        <v>error</v>
      </c>
      <c r="E82" s="5" t="str">
        <f>IFERROR(__xludf.DUMMYFUNCTION("""COMPUTED_VALUE"""),"Stock")</f>
        <v>Stock</v>
      </c>
      <c r="F82" s="121" t="str">
        <f>IFERROR(__xludf.DUMMYFUNCTION("""COMPUTED_VALUE"""),"1024.hk")</f>
        <v>1024.hk</v>
      </c>
      <c r="G82" s="30">
        <f>IFERROR(__xludf.DUMMYFUNCTION("""COMPUTED_VALUE"""),76.1)</f>
        <v>76.1</v>
      </c>
      <c r="H82" s="30" t="str">
        <f>IFERROR(__xludf.DUMMYFUNCTION("""COMPUTED_VALUE"""),"jiaxxxxxxx@nonHKMUemail")</f>
        <v>jiaxxxxxxx@nonHKMUemail</v>
      </c>
      <c r="I82" s="30" t="str">
        <f>IFERROR(__xludf.DUMMYFUNCTION("""COMPUTED_VALUE"""),"QTY, Limit Price (if any) &amp; Password input correct")</f>
        <v>QTY, Limit Price (if any) &amp; Password input correct</v>
      </c>
      <c r="J82" s="30" t="str">
        <f>IFERROR(__xludf.DUMMYFUNCTION("""COMPUTED_VALUE"""),"Order rejected due to non school email address. Only accept @hkmu.edu.hk")</f>
        <v>Order rejected due to non school email address. Only accept @hkmu.edu.hk</v>
      </c>
    </row>
    <row r="83">
      <c r="A83" s="5"/>
      <c r="B83" s="118">
        <f>IFERROR(__xludf.DUMMYFUNCTION("""COMPUTED_VALUE"""),44630.47313436343)</f>
        <v>44630.47313</v>
      </c>
      <c r="C83" s="5" t="str">
        <f>IFERROR(__xludf.DUMMYFUNCTION("""COMPUTED_VALUE"""),"")</f>
        <v/>
      </c>
      <c r="D83" s="5" t="str">
        <f>IFERROR(__xludf.DUMMYFUNCTION("""COMPUTED_VALUE"""),"error")</f>
        <v>error</v>
      </c>
      <c r="E83" s="5" t="str">
        <f>IFERROR(__xludf.DUMMYFUNCTION("""COMPUTED_VALUE"""),"Stock")</f>
        <v>Stock</v>
      </c>
      <c r="F83" s="121" t="str">
        <f>IFERROR(__xludf.DUMMYFUNCTION("""COMPUTED_VALUE"""),"9988.HK")</f>
        <v>9988.HK</v>
      </c>
      <c r="G83" s="30">
        <f>IFERROR(__xludf.DUMMYFUNCTION("""COMPUTED_VALUE"""),97.5)</f>
        <v>97.5</v>
      </c>
      <c r="H83" s="30" t="str">
        <f>IFERROR(__xludf.DUMMYFUNCTION("""COMPUTED_VALUE"""),"jiaxxxxxxx@nonHKMUemail")</f>
        <v>jiaxxxxxxx@nonHKMUemail</v>
      </c>
      <c r="I83" s="30" t="str">
        <f>IFERROR(__xludf.DUMMYFUNCTION("""COMPUTED_VALUE"""),"QTY, Limit Price (if any) &amp; Password input correct")</f>
        <v>QTY, Limit Price (if any) &amp; Password input correct</v>
      </c>
      <c r="J83" s="30" t="str">
        <f>IFERROR(__xludf.DUMMYFUNCTION("""COMPUTED_VALUE"""),"Order rejected due to non school email address. Only accept @hkmu.edu.hk")</f>
        <v>Order rejected due to non school email address. Only accept @hkmu.edu.hk</v>
      </c>
    </row>
    <row r="84">
      <c r="A84" s="5"/>
      <c r="B84" s="118">
        <f>IFERROR(__xludf.DUMMYFUNCTION("""COMPUTED_VALUE"""),44630.47816961806)</f>
        <v>44630.47817</v>
      </c>
      <c r="C84" s="5" t="str">
        <f>IFERROR(__xludf.DUMMYFUNCTION("""COMPUTED_VALUE"""),"")</f>
        <v/>
      </c>
      <c r="D84" s="5" t="str">
        <f>IFERROR(__xludf.DUMMYFUNCTION("""COMPUTED_VALUE"""),"error")</f>
        <v>error</v>
      </c>
      <c r="E84" s="5" t="str">
        <f>IFERROR(__xludf.DUMMYFUNCTION("""COMPUTED_VALUE"""),"Stock")</f>
        <v>Stock</v>
      </c>
      <c r="F84" s="121" t="str">
        <f>IFERROR(__xludf.DUMMYFUNCTION("""COMPUTED_VALUE"""),"1024.HK")</f>
        <v>1024.HK</v>
      </c>
      <c r="G84" s="30">
        <f>IFERROR(__xludf.DUMMYFUNCTION("""COMPUTED_VALUE"""),76.0)</f>
        <v>76</v>
      </c>
      <c r="H84" s="30" t="str">
        <f>IFERROR(__xludf.DUMMYFUNCTION("""COMPUTED_VALUE"""),"jiaxxxxxxx@nonHKMUemail")</f>
        <v>jiaxxxxxxx@nonHKMUemail</v>
      </c>
      <c r="I84" s="30" t="str">
        <f>IFERROR(__xludf.DUMMYFUNCTION("""COMPUTED_VALUE"""),"QTY, Limit Price (if any) &amp; Password input correct")</f>
        <v>QTY, Limit Price (if any) &amp; Password input correct</v>
      </c>
      <c r="J84" s="30" t="str">
        <f>IFERROR(__xludf.DUMMYFUNCTION("""COMPUTED_VALUE"""),"Order rejected due to non school email address. Only accept @hkmu.edu.hk")</f>
        <v>Order rejected due to non school email address. Only accept @hkmu.edu.hk</v>
      </c>
    </row>
    <row r="85">
      <c r="A85" s="5"/>
      <c r="B85" s="118">
        <f>IFERROR(__xludf.DUMMYFUNCTION("""COMPUTED_VALUE"""),44630.47890693287)</f>
        <v>44630.47891</v>
      </c>
      <c r="C85" s="5" t="str">
        <f>IFERROR(__xludf.DUMMYFUNCTION("""COMPUTED_VALUE"""),"")</f>
        <v/>
      </c>
      <c r="D85" s="5" t="str">
        <f>IFERROR(__xludf.DUMMYFUNCTION("""COMPUTED_VALUE"""),"error")</f>
        <v>error</v>
      </c>
      <c r="E85" s="5" t="str">
        <f>IFERROR(__xludf.DUMMYFUNCTION("""COMPUTED_VALUE"""),"Stock")</f>
        <v>Stock</v>
      </c>
      <c r="F85" s="121" t="str">
        <f>IFERROR(__xludf.DUMMYFUNCTION("""COMPUTED_VALUE"""),"9988.HK")</f>
        <v>9988.HK</v>
      </c>
      <c r="G85" s="30">
        <f>IFERROR(__xludf.DUMMYFUNCTION("""COMPUTED_VALUE"""),96.8)</f>
        <v>96.8</v>
      </c>
      <c r="H85" s="30" t="str">
        <f>IFERROR(__xludf.DUMMYFUNCTION("""COMPUTED_VALUE"""),"jiaxxxxxxx@nonHKMUemail")</f>
        <v>jiaxxxxxxx@nonHKMUemail</v>
      </c>
      <c r="I85" s="30" t="str">
        <f>IFERROR(__xludf.DUMMYFUNCTION("""COMPUTED_VALUE"""),"QTY, Limit Price (if any) &amp; Password input correct")</f>
        <v>QTY, Limit Price (if any) &amp; Password input correct</v>
      </c>
      <c r="J85" s="30" t="str">
        <f>IFERROR(__xludf.DUMMYFUNCTION("""COMPUTED_VALUE"""),"Order rejected due to non school email address. Only accept @hkmu.edu.hk")</f>
        <v>Order rejected due to non school email address. Only accept @hkmu.edu.hk</v>
      </c>
    </row>
    <row r="86">
      <c r="A86" s="5"/>
      <c r="B86" s="118">
        <f>IFERROR(__xludf.DUMMYFUNCTION("""COMPUTED_VALUE"""),44630.50436037037)</f>
        <v>44630.50436</v>
      </c>
      <c r="C86" s="5" t="str">
        <f>IFERROR(__xludf.DUMMYFUNCTION("""COMPUTED_VALUE"""),"38307")</f>
        <v>38307</v>
      </c>
      <c r="D86" s="5" t="str">
        <f>IFERROR(__xludf.DUMMYFUNCTION("""COMPUTED_VALUE"""),"error")</f>
        <v>error</v>
      </c>
      <c r="E86" s="5" t="str">
        <f>IFERROR(__xludf.DUMMYFUNCTION("""COMPUTED_VALUE"""),"Stock")</f>
        <v>Stock</v>
      </c>
      <c r="F86" s="119" t="str">
        <f>IFERROR(__xludf.DUMMYFUNCTION("""COMPUTED_VALUE"""),"300750")</f>
        <v>300750</v>
      </c>
      <c r="G86" s="30" t="str">
        <f>IFERROR(__xludf.DUMMYFUNCTION("""COMPUTED_VALUE"""),"Limit buy @496.72- closing @485.31= executed price@485.31.if closing @505.55=no execution")</f>
        <v>Limit buy @496.72- closing @485.31= executed price@485.31.if closing @505.55=no execution</v>
      </c>
      <c r="H86" s="30" t="str">
        <f>IFERROR(__xludf.DUMMYFUNCTION("""COMPUTED_VALUE"""),"Email Account/ TraderID Recognized")</f>
        <v>Email Account/ TraderID Recognized</v>
      </c>
      <c r="I86" s="30" t="str">
        <f>IFERROR(__xludf.DUMMYFUNCTION("""COMPUTED_VALUE"""),"Non-number input in Quantity or Limit Price")</f>
        <v>Non-number input in Quantity or Limit Price</v>
      </c>
      <c r="J86" s="30" t="str">
        <f>IFERROR(__xludf.DUMMYFUNCTION("""COMPUTED_VALUE"""),"Order rejected due to non-numeric limit price, and wrong ticker code. Should be 300750.SZ ")</f>
        <v>Order rejected due to non-numeric limit price, and wrong ticker code. Should be 300750.SZ </v>
      </c>
    </row>
    <row r="87">
      <c r="A87" s="5"/>
      <c r="B87" s="118">
        <f>IFERROR(__xludf.DUMMYFUNCTION("""COMPUTED_VALUE"""),44630.509356469905)</f>
        <v>44630.50936</v>
      </c>
      <c r="C87" s="5" t="str">
        <f>IFERROR(__xludf.DUMMYFUNCTION("""COMPUTED_VALUE"""),"38307")</f>
        <v>38307</v>
      </c>
      <c r="D87" s="5" t="str">
        <f>IFERROR(__xludf.DUMMYFUNCTION("""COMPUTED_VALUE"""),"error")</f>
        <v>error</v>
      </c>
      <c r="E87" s="5" t="str">
        <f>IFERROR(__xludf.DUMMYFUNCTION("""COMPUTED_VALUE"""),"Option")</f>
        <v>Option</v>
      </c>
      <c r="F87" s="119" t="str">
        <f>IFERROR(__xludf.DUMMYFUNCTION("""COMPUTED_VALUE"""),"BRNOW")</f>
        <v>BRNOW</v>
      </c>
      <c r="G87" s="30" t="str">
        <f>IFERROR(__xludf.DUMMYFUNCTION("""COMPUTED_VALUE"""),"Limit Buy @ 114.900- Closing @ 110.400= Executed price @ 110.400.if Closing @ 115.300= no execution")</f>
        <v>Limit Buy @ 114.900- Closing @ 110.400= Executed price @ 110.400.if Closing @ 115.300= no execution</v>
      </c>
      <c r="H87" s="30" t="str">
        <f>IFERROR(__xludf.DUMMYFUNCTION("""COMPUTED_VALUE"""),"Email Account/ TraderID Recognized")</f>
        <v>Email Account/ TraderID Recognized</v>
      </c>
      <c r="I87" s="30" t="str">
        <f>IFERROR(__xludf.DUMMYFUNCTION("""COMPUTED_VALUE"""),"Non-number input in Quantity or Limit Price")</f>
        <v>Non-number input in Quantity or Limit Price</v>
      </c>
      <c r="J87" s="30" t="str">
        <f>IFERROR(__xludf.DUMMYFUNCTION("""COMPUTED_VALUE"""),"Order rejected due to inconsistent asset class. Option or stock. BRNOW is not a stock nor a option ticker from Yahoo Finance database.")</f>
        <v>Order rejected due to inconsistent asset class. Option or stock. BRNOW is not a stock nor a option ticker from Yahoo Finance database.</v>
      </c>
    </row>
    <row r="88">
      <c r="A88" s="5"/>
      <c r="B88" s="118">
        <f>IFERROR(__xludf.DUMMYFUNCTION("""COMPUTED_VALUE"""),44630.51712280093)</f>
        <v>44630.51712</v>
      </c>
      <c r="C88" s="5" t="str">
        <f>IFERROR(__xludf.DUMMYFUNCTION("""COMPUTED_VALUE"""),"38307")</f>
        <v>38307</v>
      </c>
      <c r="D88" s="5" t="str">
        <f>IFERROR(__xludf.DUMMYFUNCTION("""COMPUTED_VALUE"""),"error")</f>
        <v>error</v>
      </c>
      <c r="E88" s="5" t="str">
        <f>IFERROR(__xludf.DUMMYFUNCTION("""COMPUTED_VALUE"""),"Time Deposit")</f>
        <v>Time Deposit</v>
      </c>
      <c r="F88" s="119" t="str">
        <f>IFERROR(__xludf.DUMMYFUNCTION("""COMPUTED_VALUE"""),"004201")</f>
        <v>004201</v>
      </c>
      <c r="G88" s="30"/>
      <c r="H88" s="30" t="str">
        <f>IFERROR(__xludf.DUMMYFUNCTION("""COMPUTED_VALUE"""),"Email Account/ TraderID Recognized")</f>
        <v>Email Account/ TraderID Recognized</v>
      </c>
      <c r="I88" s="30" t="str">
        <f>IFERROR(__xludf.DUMMYFUNCTION("""COMPUTED_VALUE"""),"Non-number input in Quantity or Limit Price")</f>
        <v>Non-number input in Quantity or Limit Price</v>
      </c>
      <c r="J88" s="30" t="str">
        <f>IFERROR(__xludf.DUMMYFUNCTION("""COMPUTED_VALUE"""),"Order rejected due to invalid ticker code. For time deposite, ticker code accepted either 1m or 3m, and no limit price.")</f>
        <v>Order rejected due to invalid ticker code. For time deposite, ticker code accepted either 1m or 3m, and no limit price.</v>
      </c>
    </row>
    <row r="89">
      <c r="A89" s="5"/>
      <c r="B89" s="118">
        <f>IFERROR(__xludf.DUMMYFUNCTION("""COMPUTED_VALUE"""),44634.490815613426)</f>
        <v>44634.49082</v>
      </c>
      <c r="C89" s="5" t="str">
        <f>IFERROR(__xludf.DUMMYFUNCTION("""COMPUTED_VALUE"""),"75415")</f>
        <v>75415</v>
      </c>
      <c r="D89" s="5" t="str">
        <f>IFERROR(__xludf.DUMMYFUNCTION("""COMPUTED_VALUE"""),"error")</f>
        <v>error</v>
      </c>
      <c r="E89" s="5" t="str">
        <f>IFERROR(__xludf.DUMMYFUNCTION("""COMPUTED_VALUE"""),"Stock")</f>
        <v>Stock</v>
      </c>
      <c r="F89" s="119" t="str">
        <f>IFERROR(__xludf.DUMMYFUNCTION("""COMPUTED_VALUE"""),"PAYTM")</f>
        <v>PAYTM</v>
      </c>
      <c r="G89" s="30"/>
      <c r="H89" s="30" t="str">
        <f>IFERROR(__xludf.DUMMYFUNCTION("""COMPUTED_VALUE"""),"Email Account/ TraderID Recognized")</f>
        <v>Email Account/ TraderID Recognized</v>
      </c>
      <c r="I89" s="30" t="str">
        <f>IFERROR(__xludf.DUMMYFUNCTION("""COMPUTED_VALUE"""),"QTY, Limit Price (if any) &amp; Password input correct")</f>
        <v>QTY, Limit Price (if any) &amp; Password input correct</v>
      </c>
      <c r="J89" s="30" t="str">
        <f>IFERROR(__xludf.DUMMYFUNCTION("""COMPUTED_VALUE"""),"Order rejected due to wrong ticker code.")</f>
        <v>Order rejected due to wrong ticker code.</v>
      </c>
    </row>
    <row r="90">
      <c r="A90" s="5"/>
      <c r="B90" s="118">
        <f>IFERROR(__xludf.DUMMYFUNCTION("""COMPUTED_VALUE"""),44634.560015173614)</f>
        <v>44634.56002</v>
      </c>
      <c r="C90" s="5" t="str">
        <f>IFERROR(__xludf.DUMMYFUNCTION("""COMPUTED_VALUE"""),"")</f>
        <v/>
      </c>
      <c r="D90" s="5" t="str">
        <f>IFERROR(__xludf.DUMMYFUNCTION("""COMPUTED_VALUE"""),"error")</f>
        <v>error</v>
      </c>
      <c r="E90" s="5" t="str">
        <f>IFERROR(__xludf.DUMMYFUNCTION("""COMPUTED_VALUE"""),"Stock")</f>
        <v>Stock</v>
      </c>
      <c r="F90" s="121" t="str">
        <f>IFERROR(__xludf.DUMMYFUNCTION("""COMPUTED_VALUE"""),"1024.HK")</f>
        <v>1024.HK</v>
      </c>
      <c r="G90" s="30">
        <f>IFERROR(__xludf.DUMMYFUNCTION("""COMPUTED_VALUE"""),64.8)</f>
        <v>64.8</v>
      </c>
      <c r="H90" s="30" t="str">
        <f>IFERROR(__xludf.DUMMYFUNCTION("""COMPUTED_VALUE"""),"jiaxxxxxxx@nonHKMUemail")</f>
        <v>jiaxxxxxxx@nonHKMUemail</v>
      </c>
      <c r="I90" s="30" t="str">
        <f>IFERROR(__xludf.DUMMYFUNCTION("""COMPUTED_VALUE"""),"QTY, Limit Price (if any) &amp; Password input correct")</f>
        <v>QTY, Limit Price (if any) &amp; Password input correct</v>
      </c>
      <c r="J90" s="30" t="str">
        <f>IFERROR(__xludf.DUMMYFUNCTION("""COMPUTED_VALUE"""),"Order rejected due to non-school email account")</f>
        <v>Order rejected due to non-school email account</v>
      </c>
    </row>
    <row r="91">
      <c r="A91" s="5"/>
      <c r="B91" s="118">
        <f>IFERROR(__xludf.DUMMYFUNCTION("""COMPUTED_VALUE"""),44634.58619515046)</f>
        <v>44634.5862</v>
      </c>
      <c r="C91" s="5" t="str">
        <f>IFERROR(__xludf.DUMMYFUNCTION("""COMPUTED_VALUE"""),"56118")</f>
        <v>56118</v>
      </c>
      <c r="D91" s="5" t="str">
        <f>IFERROR(__xludf.DUMMYFUNCTION("""COMPUTED_VALUE"""),"error")</f>
        <v>error</v>
      </c>
      <c r="E91" s="5" t="str">
        <f>IFERROR(__xludf.DUMMYFUNCTION("""COMPUTED_VALUE"""),"Stock")</f>
        <v>Stock</v>
      </c>
      <c r="F91" s="119" t="str">
        <f>IFERROR(__xludf.DUMMYFUNCTION("""COMPUTED_VALUE"""),"56118")</f>
        <v>56118</v>
      </c>
      <c r="G91" s="30">
        <f>IFERROR(__xludf.DUMMYFUNCTION("""COMPUTED_VALUE"""),7.8)</f>
        <v>7.8</v>
      </c>
      <c r="H91" s="30" t="str">
        <f>IFERROR(__xludf.DUMMYFUNCTION("""COMPUTED_VALUE"""),"Email Account/ TraderID Recognized")</f>
        <v>Email Account/ TraderID Recognized</v>
      </c>
      <c r="I91" s="30" t="str">
        <f>IFERROR(__xludf.DUMMYFUNCTION("""COMPUTED_VALUE"""),"QTY, Limit Price (if any) &amp; Password input correct")</f>
        <v>QTY, Limit Price (if any) &amp; Password input correct</v>
      </c>
      <c r="J91" s="30" t="str">
        <f>IFERROR(__xludf.DUMMYFUNCTION("""COMPUTED_VALUE"""),"Order rejected due to wrong ticker code.")</f>
        <v>Order rejected due to wrong ticker code.</v>
      </c>
    </row>
    <row r="92">
      <c r="A92" s="5"/>
      <c r="B92" s="118">
        <f>IFERROR(__xludf.DUMMYFUNCTION("""COMPUTED_VALUE"""),44634.58789180555)</f>
        <v>44634.58789</v>
      </c>
      <c r="C92" s="5" t="str">
        <f>IFERROR(__xludf.DUMMYFUNCTION("""COMPUTED_VALUE"""),"56118")</f>
        <v>56118</v>
      </c>
      <c r="D92" s="5" t="str">
        <f>IFERROR(__xludf.DUMMYFUNCTION("""COMPUTED_VALUE"""),"error")</f>
        <v>error</v>
      </c>
      <c r="E92" s="5" t="str">
        <f>IFERROR(__xludf.DUMMYFUNCTION("""COMPUTED_VALUE"""),"Stock")</f>
        <v>Stock</v>
      </c>
      <c r="F92" s="119" t="str">
        <f>IFERROR(__xludf.DUMMYFUNCTION("""COMPUTED_VALUE"""),"2638")</f>
        <v>2638</v>
      </c>
      <c r="G92" s="30">
        <f>IFERROR(__xludf.DUMMYFUNCTION("""COMPUTED_VALUE"""),7.8)</f>
        <v>7.8</v>
      </c>
      <c r="H92" s="30" t="str">
        <f>IFERROR(__xludf.DUMMYFUNCTION("""COMPUTED_VALUE"""),"Email Account/ TraderID Recognized")</f>
        <v>Email Account/ TraderID Recognized</v>
      </c>
      <c r="I92" s="30" t="str">
        <f>IFERROR(__xludf.DUMMYFUNCTION("""COMPUTED_VALUE"""),"QTY, Limit Price (if any) &amp; Password input correct")</f>
        <v>QTY, Limit Price (if any) &amp; Password input correct</v>
      </c>
      <c r="J92" s="30" t="str">
        <f>IFERROR(__xludf.DUMMYFUNCTION("""COMPUTED_VALUE"""),"Order rejected due to wrong ticker code.")</f>
        <v>Order rejected due to wrong ticker code.</v>
      </c>
    </row>
    <row r="93">
      <c r="A93" s="5"/>
      <c r="B93" s="118">
        <f>IFERROR(__xludf.DUMMYFUNCTION("""COMPUTED_VALUE"""),44634.599207164356)</f>
        <v>44634.59921</v>
      </c>
      <c r="C93" s="5" t="str">
        <f>IFERROR(__xludf.DUMMYFUNCTION("""COMPUTED_VALUE"""),"40105")</f>
        <v>40105</v>
      </c>
      <c r="D93" s="5" t="str">
        <f>IFERROR(__xludf.DUMMYFUNCTION("""COMPUTED_VALUE"""),"error")</f>
        <v>error</v>
      </c>
      <c r="E93" s="5" t="str">
        <f>IFERROR(__xludf.DUMMYFUNCTION("""COMPUTED_VALUE"""),"Stock")</f>
        <v>Stock</v>
      </c>
      <c r="F93" s="119" t="str">
        <f>IFERROR(__xludf.DUMMYFUNCTION("""COMPUTED_VALUE"""),"S&amp;P 500")</f>
        <v>S&amp;P 500</v>
      </c>
      <c r="G93" s="30"/>
      <c r="H93" s="30" t="str">
        <f>IFERROR(__xludf.DUMMYFUNCTION("""COMPUTED_VALUE"""),"Email Account/ TraderID Recognized")</f>
        <v>Email Account/ TraderID Recognized</v>
      </c>
      <c r="I93" s="30" t="str">
        <f>IFERROR(__xludf.DUMMYFUNCTION("""COMPUTED_VALUE"""),"QTY, Limit Price (if any) &amp; Password input correct")</f>
        <v>QTY, Limit Price (if any) &amp; Password input correct</v>
      </c>
      <c r="J93" s="30" t="str">
        <f>IFERROR(__xludf.DUMMYFUNCTION("""COMPUTED_VALUE"""),"Order rejected due to wrong ticker code.")</f>
        <v>Order rejected due to wrong ticker code.</v>
      </c>
    </row>
    <row r="94">
      <c r="A94" s="5"/>
      <c r="B94" s="118">
        <f>IFERROR(__xludf.DUMMYFUNCTION("""COMPUTED_VALUE"""),44634.61304515046)</f>
        <v>44634.61305</v>
      </c>
      <c r="C94" s="5" t="str">
        <f>IFERROR(__xludf.DUMMYFUNCTION("""COMPUTED_VALUE"""),"39494")</f>
        <v>39494</v>
      </c>
      <c r="D94" s="5" t="str">
        <f>IFERROR(__xludf.DUMMYFUNCTION("""COMPUTED_VALUE"""),"error")</f>
        <v>error</v>
      </c>
      <c r="E94" s="5" t="str">
        <f>IFERROR(__xludf.DUMMYFUNCTION("""COMPUTED_VALUE"""),"Stock")</f>
        <v>Stock</v>
      </c>
      <c r="F94" s="119" t="str">
        <f>IFERROR(__xludf.DUMMYFUNCTION("""COMPUTED_VALUE"""),"SONY")</f>
        <v>SONY</v>
      </c>
      <c r="G94" s="30"/>
      <c r="H94" s="30" t="str">
        <f>IFERROR(__xludf.DUMMYFUNCTION("""COMPUTED_VALUE"""),"Email Account/ TraderID Recognized")</f>
        <v>Email Account/ TraderID Recognized</v>
      </c>
      <c r="I94" s="30" t="str">
        <f>IFERROR(__xludf.DUMMYFUNCTION("""COMPUTED_VALUE"""),"Non-number input in Quantity or Limit Price")</f>
        <v>Non-number input in Quantity or Limit Price</v>
      </c>
      <c r="J94" s="30" t="str">
        <f>IFERROR(__xludf.DUMMYFUNCTION("""COMPUTED_VALUE"""),"Order rejected due to wrong quantity. Has to be a number, not ""ALL"".")</f>
        <v>Order rejected due to wrong quantity. Has to be a number, not "ALL".</v>
      </c>
    </row>
    <row r="95">
      <c r="A95" s="5"/>
      <c r="B95" s="118">
        <f>IFERROR(__xludf.DUMMYFUNCTION("""COMPUTED_VALUE"""),44634.61340939815)</f>
        <v>44634.61341</v>
      </c>
      <c r="C95" s="5" t="str">
        <f>IFERROR(__xludf.DUMMYFUNCTION("""COMPUTED_VALUE"""),"39494")</f>
        <v>39494</v>
      </c>
      <c r="D95" s="5" t="str">
        <f>IFERROR(__xludf.DUMMYFUNCTION("""COMPUTED_VALUE"""),"error")</f>
        <v>error</v>
      </c>
      <c r="E95" s="5" t="str">
        <f>IFERROR(__xludf.DUMMYFUNCTION("""COMPUTED_VALUE"""),"Stock")</f>
        <v>Stock</v>
      </c>
      <c r="F95" s="119" t="str">
        <f>IFERROR(__xludf.DUMMYFUNCTION("""COMPUTED_VALUE"""),"MSFT")</f>
        <v>MSFT</v>
      </c>
      <c r="G95" s="30"/>
      <c r="H95" s="30" t="str">
        <f>IFERROR(__xludf.DUMMYFUNCTION("""COMPUTED_VALUE"""),"Email Account/ TraderID Recognized")</f>
        <v>Email Account/ TraderID Recognized</v>
      </c>
      <c r="I95" s="30" t="str">
        <f>IFERROR(__xludf.DUMMYFUNCTION("""COMPUTED_VALUE"""),"Non-number input in Quantity or Limit Price")</f>
        <v>Non-number input in Quantity or Limit Price</v>
      </c>
      <c r="J95" s="30" t="str">
        <f>IFERROR(__xludf.DUMMYFUNCTION("""COMPUTED_VALUE"""),"Order rejected due to wrong quantity. Has to be a number, not ""ALL"".")</f>
        <v>Order rejected due to wrong quantity. Has to be a number, not "ALL".</v>
      </c>
    </row>
    <row r="96">
      <c r="A96" s="5"/>
      <c r="B96" s="118">
        <f>IFERROR(__xludf.DUMMYFUNCTION("""COMPUTED_VALUE"""),44634.61375758101)</f>
        <v>44634.61376</v>
      </c>
      <c r="C96" s="5" t="str">
        <f>IFERROR(__xludf.DUMMYFUNCTION("""COMPUTED_VALUE"""),"39494")</f>
        <v>39494</v>
      </c>
      <c r="D96" s="5" t="str">
        <f>IFERROR(__xludf.DUMMYFUNCTION("""COMPUTED_VALUE"""),"error")</f>
        <v>error</v>
      </c>
      <c r="E96" s="5" t="str">
        <f>IFERROR(__xludf.DUMMYFUNCTION("""COMPUTED_VALUE"""),"Stock")</f>
        <v>Stock</v>
      </c>
      <c r="F96" s="119" t="str">
        <f>IFERROR(__xludf.DUMMYFUNCTION("""COMPUTED_VALUE"""),"NTDOY")</f>
        <v>NTDOY</v>
      </c>
      <c r="G96" s="30"/>
      <c r="H96" s="30" t="str">
        <f>IFERROR(__xludf.DUMMYFUNCTION("""COMPUTED_VALUE"""),"Email Account/ TraderID Recognized")</f>
        <v>Email Account/ TraderID Recognized</v>
      </c>
      <c r="I96" s="30" t="str">
        <f>IFERROR(__xludf.DUMMYFUNCTION("""COMPUTED_VALUE"""),"Non-number input in Quantity or Limit Price")</f>
        <v>Non-number input in Quantity or Limit Price</v>
      </c>
      <c r="J96" s="30" t="str">
        <f>IFERROR(__xludf.DUMMYFUNCTION("""COMPUTED_VALUE"""),"Order rejected due to wrong quantity. Has to be a number, not ""ALL"".")</f>
        <v>Order rejected due to wrong quantity. Has to be a number, not "ALL".</v>
      </c>
    </row>
    <row r="97">
      <c r="A97" s="5"/>
      <c r="B97" s="118">
        <f>IFERROR(__xludf.DUMMYFUNCTION("""COMPUTED_VALUE"""),44634.61636175926)</f>
        <v>44634.61636</v>
      </c>
      <c r="C97" s="5" t="str">
        <f>IFERROR(__xludf.DUMMYFUNCTION("""COMPUTED_VALUE"""),"38307")</f>
        <v>38307</v>
      </c>
      <c r="D97" s="5" t="str">
        <f>IFERROR(__xludf.DUMMYFUNCTION("""COMPUTED_VALUE"""),"error")</f>
        <v>error</v>
      </c>
      <c r="E97" s="5" t="str">
        <f>IFERROR(__xludf.DUMMYFUNCTION("""COMPUTED_VALUE"""),"Stock")</f>
        <v>Stock</v>
      </c>
      <c r="F97" s="119" t="str">
        <f>IFERROR(__xludf.DUMMYFUNCTION("""COMPUTED_VALUE"""),"000999")</f>
        <v>000999</v>
      </c>
      <c r="G97" s="30"/>
      <c r="H97" s="30" t="str">
        <f>IFERROR(__xludf.DUMMYFUNCTION("""COMPUTED_VALUE"""),"Email Account/ TraderID Recognized")</f>
        <v>Email Account/ TraderID Recognized</v>
      </c>
      <c r="I97" s="30" t="str">
        <f>IFERROR(__xludf.DUMMYFUNCTION("""COMPUTED_VALUE"""),"QTY, Limit Price (if any) &amp; Password input correct")</f>
        <v>QTY, Limit Price (if any) &amp; Password input correct</v>
      </c>
      <c r="J97" s="30" t="str">
        <f>IFERROR(__xludf.DUMMYFUNCTION("""COMPUTED_VALUE"""),"Order rejected due to wrong ticker code.")</f>
        <v>Order rejected due to wrong ticker code.</v>
      </c>
    </row>
    <row r="98">
      <c r="A98" s="5"/>
      <c r="B98" s="118">
        <f>IFERROR(__xludf.DUMMYFUNCTION("""COMPUTED_VALUE"""),44634.61737396991)</f>
        <v>44634.61737</v>
      </c>
      <c r="C98" s="5" t="str">
        <f>IFERROR(__xludf.DUMMYFUNCTION("""COMPUTED_VALUE"""),"38307")</f>
        <v>38307</v>
      </c>
      <c r="D98" s="5" t="str">
        <f>IFERROR(__xludf.DUMMYFUNCTION("""COMPUTED_VALUE"""),"error")</f>
        <v>error</v>
      </c>
      <c r="E98" s="5" t="str">
        <f>IFERROR(__xludf.DUMMYFUNCTION("""COMPUTED_VALUE"""),"Stock")</f>
        <v>Stock</v>
      </c>
      <c r="F98" s="119" t="str">
        <f>IFERROR(__xludf.DUMMYFUNCTION("""COMPUTED_VALUE"""),"002104")</f>
        <v>002104</v>
      </c>
      <c r="G98" s="30"/>
      <c r="H98" s="30" t="str">
        <f>IFERROR(__xludf.DUMMYFUNCTION("""COMPUTED_VALUE"""),"Email Account/ TraderID Recognized")</f>
        <v>Email Account/ TraderID Recognized</v>
      </c>
      <c r="I98" s="30" t="str">
        <f>IFERROR(__xludf.DUMMYFUNCTION("""COMPUTED_VALUE"""),"QTY, Limit Price (if any) &amp; Password input correct")</f>
        <v>QTY, Limit Price (if any) &amp; Password input correct</v>
      </c>
      <c r="J98" s="30" t="str">
        <f>IFERROR(__xludf.DUMMYFUNCTION("""COMPUTED_VALUE"""),"Order rejected due to wrong ticker code.")</f>
        <v>Order rejected due to wrong ticker code.</v>
      </c>
    </row>
    <row r="99">
      <c r="A99" s="5"/>
      <c r="B99" s="118">
        <f>IFERROR(__xludf.DUMMYFUNCTION("""COMPUTED_VALUE"""),44634.62142820602)</f>
        <v>44634.62143</v>
      </c>
      <c r="C99" s="5" t="str">
        <f>IFERROR(__xludf.DUMMYFUNCTION("""COMPUTED_VALUE"""),"38307")</f>
        <v>38307</v>
      </c>
      <c r="D99" s="5" t="str">
        <f>IFERROR(__xludf.DUMMYFUNCTION("""COMPUTED_VALUE"""),"error")</f>
        <v>error</v>
      </c>
      <c r="E99" s="5" t="str">
        <f>IFERROR(__xludf.DUMMYFUNCTION("""COMPUTED_VALUE"""),"Stock")</f>
        <v>Stock</v>
      </c>
      <c r="F99" s="119" t="str">
        <f>IFERROR(__xludf.DUMMYFUNCTION("""COMPUTED_VALUE"""),"HK0981")</f>
        <v>HK0981</v>
      </c>
      <c r="G99" s="30"/>
      <c r="H99" s="30" t="str">
        <f>IFERROR(__xludf.DUMMYFUNCTION("""COMPUTED_VALUE"""),"Email Account/ TraderID Recognized")</f>
        <v>Email Account/ TraderID Recognized</v>
      </c>
      <c r="I99" s="30" t="str">
        <f>IFERROR(__xludf.DUMMYFUNCTION("""COMPUTED_VALUE"""),"QTY, Limit Price (if any) &amp; Password input correct")</f>
        <v>QTY, Limit Price (if any) &amp; Password input correct</v>
      </c>
      <c r="J99" s="30" t="str">
        <f>IFERROR(__xludf.DUMMYFUNCTION("""COMPUTED_VALUE"""),"Order rejected due to wrong ticker code.")</f>
        <v>Order rejected due to wrong ticker code.</v>
      </c>
    </row>
    <row r="100">
      <c r="A100" s="5"/>
      <c r="B100" s="118">
        <f>IFERROR(__xludf.DUMMYFUNCTION("""COMPUTED_VALUE"""),44634.623516377316)</f>
        <v>44634.62352</v>
      </c>
      <c r="C100" s="5" t="str">
        <f>IFERROR(__xludf.DUMMYFUNCTION("""COMPUTED_VALUE"""),"38307")</f>
        <v>38307</v>
      </c>
      <c r="D100" s="5" t="str">
        <f>IFERROR(__xludf.DUMMYFUNCTION("""COMPUTED_VALUE"""),"error")</f>
        <v>error</v>
      </c>
      <c r="E100" s="5" t="str">
        <f>IFERROR(__xludf.DUMMYFUNCTION("""COMPUTED_VALUE"""),"Stock")</f>
        <v>Stock</v>
      </c>
      <c r="F100" s="119" t="str">
        <f>IFERROR(__xludf.DUMMYFUNCTION("""COMPUTED_VALUE"""),"002603")</f>
        <v>002603</v>
      </c>
      <c r="G100" s="30"/>
      <c r="H100" s="30" t="str">
        <f>IFERROR(__xludf.DUMMYFUNCTION("""COMPUTED_VALUE"""),"Email Account/ TraderID Recognized")</f>
        <v>Email Account/ TraderID Recognized</v>
      </c>
      <c r="I100" s="30" t="str">
        <f>IFERROR(__xludf.DUMMYFUNCTION("""COMPUTED_VALUE"""),"QTY, Limit Price (if any) &amp; Password input correct")</f>
        <v>QTY, Limit Price (if any) &amp; Password input correct</v>
      </c>
      <c r="J100" s="30" t="str">
        <f>IFERROR(__xludf.DUMMYFUNCTION("""COMPUTED_VALUE"""),"Order rejected due to wrong ticker code.")</f>
        <v>Order rejected due to wrong ticker code.</v>
      </c>
    </row>
    <row r="101">
      <c r="A101" s="5"/>
      <c r="B101" s="118">
        <f>IFERROR(__xludf.DUMMYFUNCTION("""COMPUTED_VALUE"""),44634.62787131945)</f>
        <v>44634.62787</v>
      </c>
      <c r="C101" s="5" t="str">
        <f>IFERROR(__xludf.DUMMYFUNCTION("""COMPUTED_VALUE"""),"38307")</f>
        <v>38307</v>
      </c>
      <c r="D101" s="5" t="str">
        <f>IFERROR(__xludf.DUMMYFUNCTION("""COMPUTED_VALUE"""),"error")</f>
        <v>error</v>
      </c>
      <c r="E101" s="5" t="str">
        <f>IFERROR(__xludf.DUMMYFUNCTION("""COMPUTED_VALUE"""),"Stock")</f>
        <v>Stock</v>
      </c>
      <c r="F101" s="119" t="str">
        <f>IFERROR(__xludf.DUMMYFUNCTION("""COMPUTED_VALUE"""),"688575")</f>
        <v>688575</v>
      </c>
      <c r="G101" s="30"/>
      <c r="H101" s="30" t="str">
        <f>IFERROR(__xludf.DUMMYFUNCTION("""COMPUTED_VALUE"""),"Email Account/ TraderID Recognized")</f>
        <v>Email Account/ TraderID Recognized</v>
      </c>
      <c r="I101" s="30" t="str">
        <f>IFERROR(__xludf.DUMMYFUNCTION("""COMPUTED_VALUE"""),"QTY, Limit Price (if any) &amp; Password input correct")</f>
        <v>QTY, Limit Price (if any) &amp; Password input correct</v>
      </c>
      <c r="J101" s="30" t="str">
        <f>IFERROR(__xludf.DUMMYFUNCTION("""COMPUTED_VALUE"""),"Order rejected due to wrong ticker code.")</f>
        <v>Order rejected due to wrong ticker code.</v>
      </c>
    </row>
    <row r="102">
      <c r="A102" s="5"/>
      <c r="B102" s="118">
        <f>IFERROR(__xludf.DUMMYFUNCTION("""COMPUTED_VALUE"""),44634.74756153935)</f>
        <v>44634.74756</v>
      </c>
      <c r="C102" s="5" t="str">
        <f>IFERROR(__xludf.DUMMYFUNCTION("""COMPUTED_VALUE"""),"75369")</f>
        <v>75369</v>
      </c>
      <c r="D102" s="5" t="str">
        <f>IFERROR(__xludf.DUMMYFUNCTION("""COMPUTED_VALUE"""),"error")</f>
        <v>error</v>
      </c>
      <c r="E102" s="5" t="str">
        <f>IFERROR(__xludf.DUMMYFUNCTION("""COMPUTED_VALUE"""),"Stock")</f>
        <v>Stock</v>
      </c>
      <c r="F102" s="119" t="str">
        <f>IFERROR(__xludf.DUMMYFUNCTION("""COMPUTED_VALUE"""),"2809")</f>
        <v>2809</v>
      </c>
      <c r="G102" s="30"/>
      <c r="H102" s="30" t="str">
        <f>IFERROR(__xludf.DUMMYFUNCTION("""COMPUTED_VALUE"""),"Email Account/ TraderID Recognized")</f>
        <v>Email Account/ TraderID Recognized</v>
      </c>
      <c r="I102" s="30" t="str">
        <f>IFERROR(__xludf.DUMMYFUNCTION("""COMPUTED_VALUE"""),"Wrong Password Submitted, Order will be rejected")</f>
        <v>Wrong Password Submitted, Order will be rejected</v>
      </c>
      <c r="J102" s="30" t="str">
        <f>IFERROR(__xludf.DUMMYFUNCTION("""COMPUTED_VALUE"""),"Order rejected due to wrong ticker code and wrong password.")</f>
        <v>Order rejected due to wrong ticker code and wrong password.</v>
      </c>
    </row>
    <row r="103">
      <c r="A103" s="5"/>
      <c r="B103" s="118">
        <f>IFERROR(__xludf.DUMMYFUNCTION("""COMPUTED_VALUE"""),44634.80845894676)</f>
        <v>44634.80846</v>
      </c>
      <c r="C103" s="5" t="str">
        <f>IFERROR(__xludf.DUMMYFUNCTION("""COMPUTED_VALUE"""),"56118")</f>
        <v>56118</v>
      </c>
      <c r="D103" s="5" t="str">
        <f>IFERROR(__xludf.DUMMYFUNCTION("""COMPUTED_VALUE"""),"error")</f>
        <v>error</v>
      </c>
      <c r="E103" s="5" t="str">
        <f>IFERROR(__xludf.DUMMYFUNCTION("""COMPUTED_VALUE"""),"Stock")</f>
        <v>Stock</v>
      </c>
      <c r="F103" s="119" t="str">
        <f>IFERROR(__xludf.DUMMYFUNCTION("""COMPUTED_VALUE"""),"2638")</f>
        <v>2638</v>
      </c>
      <c r="G103" s="30" t="str">
        <f>IFERROR(__xludf.DUMMYFUNCTION("""COMPUTED_VALUE""")," Limit Sell @ 7.8 - if Closing @ 8.0 = Executed price @ 7.8; if Closing @ 8 = no execution")</f>
        <v> Limit Sell @ 7.8 - if Closing @ 8.0 = Executed price @ 7.8; if Closing @ 8 = no execution</v>
      </c>
      <c r="H103" s="30" t="str">
        <f>IFERROR(__xludf.DUMMYFUNCTION("""COMPUTED_VALUE"""),"Email Account/ TraderID Recognized")</f>
        <v>Email Account/ TraderID Recognized</v>
      </c>
      <c r="I103" s="30" t="str">
        <f>IFERROR(__xludf.DUMMYFUNCTION("""COMPUTED_VALUE"""),"Non-number input in Quantity or Limit Price")</f>
        <v>Non-number input in Quantity or Limit Price</v>
      </c>
      <c r="J103" s="30" t="str">
        <f>IFERROR(__xludf.DUMMYFUNCTION("""COMPUTED_VALUE"""),"Order rejected due to wrong ticker code and also the non-number input in Limit Order Box.")</f>
        <v>Order rejected due to wrong ticker code and also the non-number input in Limit Order Box.</v>
      </c>
    </row>
    <row r="104">
      <c r="A104" s="5"/>
      <c r="B104" s="118">
        <f>IFERROR(__xludf.DUMMYFUNCTION("""COMPUTED_VALUE"""),44635.40244521991)</f>
        <v>44635.40245</v>
      </c>
      <c r="C104" s="5" t="str">
        <f>IFERROR(__xludf.DUMMYFUNCTION("""COMPUTED_VALUE"""),"38093")</f>
        <v>38093</v>
      </c>
      <c r="D104" s="5" t="str">
        <f>IFERROR(__xludf.DUMMYFUNCTION("""COMPUTED_VALUE"""),"error")</f>
        <v>error</v>
      </c>
      <c r="E104" s="5" t="str">
        <f>IFERROR(__xludf.DUMMYFUNCTION("""COMPUTED_VALUE"""),"Stock")</f>
        <v>Stock</v>
      </c>
      <c r="F104" s="119" t="str">
        <f>IFERROR(__xludf.DUMMYFUNCTION("""COMPUTED_VALUE"""),"2331")</f>
        <v>2331</v>
      </c>
      <c r="G104" s="30">
        <f>IFERROR(__xludf.DUMMYFUNCTION("""COMPUTED_VALUE"""),30.0)</f>
        <v>30</v>
      </c>
      <c r="H104" s="30" t="str">
        <f>IFERROR(__xludf.DUMMYFUNCTION("""COMPUTED_VALUE"""),"Email Account/ TraderID Recognized")</f>
        <v>Email Account/ TraderID Recognized</v>
      </c>
      <c r="I104" s="30" t="str">
        <f>IFERROR(__xludf.DUMMYFUNCTION("""COMPUTED_VALUE"""),"QTY, Limit Price (if any) &amp; Password input correct")</f>
        <v>QTY, Limit Price (if any) &amp; Password input correct</v>
      </c>
      <c r="J104" s="30" t="str">
        <f>IFERROR(__xludf.DUMMYFUNCTION("""COMPUTED_VALUE"""),"Order rejected due to wrong ticker code and non-school email address.")</f>
        <v>Order rejected due to wrong ticker code and non-school email address.</v>
      </c>
    </row>
    <row r="105">
      <c r="A105" s="5"/>
      <c r="B105" s="118">
        <f>IFERROR(__xludf.DUMMYFUNCTION("""COMPUTED_VALUE"""),44635.40551873842)</f>
        <v>44635.40552</v>
      </c>
      <c r="C105" s="5" t="str">
        <f>IFERROR(__xludf.DUMMYFUNCTION("""COMPUTED_VALUE"""),"38093")</f>
        <v>38093</v>
      </c>
      <c r="D105" s="5" t="str">
        <f>IFERROR(__xludf.DUMMYFUNCTION("""COMPUTED_VALUE"""),"error")</f>
        <v>error</v>
      </c>
      <c r="E105" s="5" t="str">
        <f>IFERROR(__xludf.DUMMYFUNCTION("""COMPUTED_VALUE"""),"Stock")</f>
        <v>Stock</v>
      </c>
      <c r="F105" s="119" t="str">
        <f>IFERROR(__xludf.DUMMYFUNCTION("""COMPUTED_VALUE"""),"2331")</f>
        <v>2331</v>
      </c>
      <c r="G105" s="30">
        <f>IFERROR(__xludf.DUMMYFUNCTION("""COMPUTED_VALUE"""),50.0)</f>
        <v>50</v>
      </c>
      <c r="H105" s="30" t="str">
        <f>IFERROR(__xludf.DUMMYFUNCTION("""COMPUTED_VALUE"""),"Email Account/ TraderID Recognized")</f>
        <v>Email Account/ TraderID Recognized</v>
      </c>
      <c r="I105" s="30" t="str">
        <f>IFERROR(__xludf.DUMMYFUNCTION("""COMPUTED_VALUE"""),"QTY, Limit Price (if any) &amp; Password input correct")</f>
        <v>QTY, Limit Price (if any) &amp; Password input correct</v>
      </c>
      <c r="J105" s="30" t="str">
        <f>IFERROR(__xludf.DUMMYFUNCTION("""COMPUTED_VALUE"""),"Order rejected due to wrong ticker code and non-school email address.")</f>
        <v>Order rejected due to wrong ticker code and non-school email address.</v>
      </c>
    </row>
    <row r="106">
      <c r="A106" s="5"/>
      <c r="B106" s="118">
        <f>IFERROR(__xludf.DUMMYFUNCTION("""COMPUTED_VALUE"""),44635.44182494213)</f>
        <v>44635.44182</v>
      </c>
      <c r="C106" s="5" t="str">
        <f>IFERROR(__xludf.DUMMYFUNCTION("""COMPUTED_VALUE"""),"37198")</f>
        <v>37198</v>
      </c>
      <c r="D106" s="5" t="str">
        <f>IFERROR(__xludf.DUMMYFUNCTION("""COMPUTED_VALUE"""),"error")</f>
        <v>error</v>
      </c>
      <c r="E106" s="5" t="str">
        <f>IFERROR(__xludf.DUMMYFUNCTION("""COMPUTED_VALUE"""),"Bond")</f>
        <v>Bond</v>
      </c>
      <c r="F106" s="119" t="str">
        <f>IFERROR(__xludf.DUMMYFUNCTION("""COMPUTED_VALUE"""),"^FVX")</f>
        <v>^FVX</v>
      </c>
      <c r="G106" s="30"/>
      <c r="H106" s="30" t="str">
        <f>IFERROR(__xludf.DUMMYFUNCTION("""COMPUTED_VALUE"""),"Email Account/ TraderID Recognized")</f>
        <v>Email Account/ TraderID Recognized</v>
      </c>
      <c r="I106" s="30" t="str">
        <f>IFERROR(__xludf.DUMMYFUNCTION("""COMPUTED_VALUE"""),"QTY, Limit Price (if any) &amp; Password input correct")</f>
        <v>QTY, Limit Price (if any) &amp; Password input correct</v>
      </c>
      <c r="J106" s="30" t="str">
        <f>IFERROR(__xludf.DUMMYFUNCTION("""COMPUTED_VALUE"""),"Order rejected due to wrong ticker code. ^FVX is not a bond ticker code.")</f>
        <v>Order rejected due to wrong ticker code. ^FVX is not a bond ticker code.</v>
      </c>
    </row>
    <row r="107">
      <c r="A107" s="5"/>
      <c r="B107" s="118">
        <f>IFERROR(__xludf.DUMMYFUNCTION("""COMPUTED_VALUE"""),44635.53316366898)</f>
        <v>44635.53316</v>
      </c>
      <c r="C107" s="5" t="str">
        <f>IFERROR(__xludf.DUMMYFUNCTION("""COMPUTED_VALUE"""),"56118")</f>
        <v>56118</v>
      </c>
      <c r="D107" s="5" t="str">
        <f>IFERROR(__xludf.DUMMYFUNCTION("""COMPUTED_VALUE"""),"error")</f>
        <v>error</v>
      </c>
      <c r="E107" s="5" t="str">
        <f>IFERROR(__xludf.DUMMYFUNCTION("""COMPUTED_VALUE"""),"Stock")</f>
        <v>Stock</v>
      </c>
      <c r="F107" s="119" t="str">
        <f>IFERROR(__xludf.DUMMYFUNCTION("""COMPUTED_VALUE"""),"HSI")</f>
        <v>HSI</v>
      </c>
      <c r="G107" s="30" t="str">
        <f>IFERROR(__xludf.DUMMYFUNCTION("""COMPUTED_VALUE"""),"Limit Buy @ 19000 - Closing @ 18500 = Executed price @ 18000. if Closing @ 20000 = no execution")</f>
        <v>Limit Buy @ 19000 - Closing @ 18500 = Executed price @ 18000. if Closing @ 20000 = no execution</v>
      </c>
      <c r="H107" s="30" t="str">
        <f>IFERROR(__xludf.DUMMYFUNCTION("""COMPUTED_VALUE"""),"Email Account/ TraderID Recognized")</f>
        <v>Email Account/ TraderID Recognized</v>
      </c>
      <c r="I107" s="30" t="str">
        <f>IFERROR(__xludf.DUMMYFUNCTION("""COMPUTED_VALUE"""),"Non-number input in Quantity or Limit Price")</f>
        <v>Non-number input in Quantity or Limit Price</v>
      </c>
      <c r="J107" s="30" t="str">
        <f>IFERROR(__xludf.DUMMYFUNCTION("""COMPUTED_VALUE"""),"Order rejected due to wrong ticker code. HSI is not a ticker code and limit price should include only number, no non-numeric character.")</f>
        <v>Order rejected due to wrong ticker code. HSI is not a ticker code and limit price should include only number, no non-numeric character.</v>
      </c>
    </row>
    <row r="108">
      <c r="A108" s="5"/>
      <c r="B108" s="118">
        <f>IFERROR(__xludf.DUMMYFUNCTION("""COMPUTED_VALUE"""),44635.540348738425)</f>
        <v>44635.54035</v>
      </c>
      <c r="C108" s="5" t="str">
        <f>IFERROR(__xludf.DUMMYFUNCTION("""COMPUTED_VALUE"""),"56118")</f>
        <v>56118</v>
      </c>
      <c r="D108" s="5" t="str">
        <f>IFERROR(__xludf.DUMMYFUNCTION("""COMPUTED_VALUE"""),"error")</f>
        <v>error</v>
      </c>
      <c r="E108" s="5" t="str">
        <f>IFERROR(__xludf.DUMMYFUNCTION("""COMPUTED_VALUE"""),"Option")</f>
        <v>Option</v>
      </c>
      <c r="F108" s="119" t="str">
        <f>IFERROR(__xludf.DUMMYFUNCTION("""COMPUTED_VALUE"""),"HSL")</f>
        <v>HSL</v>
      </c>
      <c r="G108" s="30">
        <f>IFERROR(__xludf.DUMMYFUNCTION("""COMPUTED_VALUE"""),19000.0)</f>
        <v>19000</v>
      </c>
      <c r="H108" s="30" t="str">
        <f>IFERROR(__xludf.DUMMYFUNCTION("""COMPUTED_VALUE"""),"Email Account/ TraderID Recognized")</f>
        <v>Email Account/ TraderID Recognized</v>
      </c>
      <c r="I108" s="30" t="str">
        <f>IFERROR(__xludf.DUMMYFUNCTION("""COMPUTED_VALUE"""),"QTY, Limit Price (if any) &amp; Password input correct")</f>
        <v>QTY, Limit Price (if any) &amp; Password input correct</v>
      </c>
      <c r="J108" s="30" t="str">
        <f>IFERROR(__xludf.DUMMYFUNCTION("""COMPUTED_VALUE"""),"Order rejected due to wrong ticker code. HSL is not an option ticker code.")</f>
        <v>Order rejected due to wrong ticker code. HSL is not an option ticker code.</v>
      </c>
    </row>
    <row r="109">
      <c r="A109" s="5"/>
      <c r="B109" s="118">
        <f>IFERROR(__xludf.DUMMYFUNCTION("""COMPUTED_VALUE"""),44635.54272384259)</f>
        <v>44635.54272</v>
      </c>
      <c r="C109" s="5" t="str">
        <f>IFERROR(__xludf.DUMMYFUNCTION("""COMPUTED_VALUE"""),"56118")</f>
        <v>56118</v>
      </c>
      <c r="D109" s="5" t="str">
        <f>IFERROR(__xludf.DUMMYFUNCTION("""COMPUTED_VALUE"""),"error")</f>
        <v>error</v>
      </c>
      <c r="E109" s="5" t="str">
        <f>IFERROR(__xludf.DUMMYFUNCTION("""COMPUTED_VALUE"""),"Stock")</f>
        <v>Stock</v>
      </c>
      <c r="F109" s="119" t="str">
        <f>IFERROR(__xludf.DUMMYFUNCTION("""COMPUTED_VALUE"""),"HSI")</f>
        <v>HSI</v>
      </c>
      <c r="G109" s="30">
        <f>IFERROR(__xludf.DUMMYFUNCTION("""COMPUTED_VALUE"""),19000.0)</f>
        <v>19000</v>
      </c>
      <c r="H109" s="30" t="str">
        <f>IFERROR(__xludf.DUMMYFUNCTION("""COMPUTED_VALUE"""),"Email Account/ TraderID Recognized")</f>
        <v>Email Account/ TraderID Recognized</v>
      </c>
      <c r="I109" s="30" t="str">
        <f>IFERROR(__xludf.DUMMYFUNCTION("""COMPUTED_VALUE"""),"QTY, Limit Price (if any) &amp; Password input correct")</f>
        <v>QTY, Limit Price (if any) &amp; Password input correct</v>
      </c>
      <c r="J109" s="30" t="str">
        <f>IFERROR(__xludf.DUMMYFUNCTION("""COMPUTED_VALUE"""),"Order rejected due to wrong ticker code. HSI is not a ticker code.")</f>
        <v>Order rejected due to wrong ticker code. HSI is not a ticker code.</v>
      </c>
    </row>
    <row r="110">
      <c r="A110" s="5"/>
      <c r="B110" s="118">
        <f>IFERROR(__xludf.DUMMYFUNCTION("""COMPUTED_VALUE"""),44635.66402175926)</f>
        <v>44635.66402</v>
      </c>
      <c r="C110" s="5" t="str">
        <f>IFERROR(__xludf.DUMMYFUNCTION("""COMPUTED_VALUE"""),"46972")</f>
        <v>46972</v>
      </c>
      <c r="D110" s="5" t="str">
        <f>IFERROR(__xludf.DUMMYFUNCTION("""COMPUTED_VALUE"""),"error")</f>
        <v>error</v>
      </c>
      <c r="E110" s="5" t="str">
        <f>IFERROR(__xludf.DUMMYFUNCTION("""COMPUTED_VALUE"""),"Stock")</f>
        <v>Stock</v>
      </c>
      <c r="F110" s="121" t="str">
        <f>IFERROR(__xludf.DUMMYFUNCTION("""COMPUTED_VALUE"""),"6862.HK")</f>
        <v>6862.HK</v>
      </c>
      <c r="G110" s="30"/>
      <c r="H110" s="30" t="str">
        <f>IFERROR(__xludf.DUMMYFUNCTION("""COMPUTED_VALUE"""),"Email Account/ TraderID Recognized")</f>
        <v>Email Account/ TraderID Recognized</v>
      </c>
      <c r="I110" s="30" t="str">
        <f>IFERROR(__xludf.DUMMYFUNCTION("""COMPUTED_VALUE"""),"QTY, Limit Price (if any) &amp; Password input correct")</f>
        <v>QTY, Limit Price (if any) &amp; Password input correct</v>
      </c>
      <c r="J110" s="30" t="str">
        <f>IFERROR(__xludf.DUMMYFUNCTION("""COMPUTED_VALUE"""),"Order rejected due to wrong account - account does not exists. 46972.")</f>
        <v>Order rejected due to wrong account - account does not exists. 46972.</v>
      </c>
    </row>
    <row r="111">
      <c r="A111" s="5"/>
      <c r="B111" s="118">
        <f>IFERROR(__xludf.DUMMYFUNCTION("""COMPUTED_VALUE"""),44635.69888056713)</f>
        <v>44635.69888</v>
      </c>
      <c r="C111" s="5" t="str">
        <f>IFERROR(__xludf.DUMMYFUNCTION("""COMPUTED_VALUE"""),"")</f>
        <v/>
      </c>
      <c r="D111" s="5" t="str">
        <f>IFERROR(__xludf.DUMMYFUNCTION("""COMPUTED_VALUE"""),"error")</f>
        <v>error</v>
      </c>
      <c r="E111" s="5" t="str">
        <f>IFERROR(__xludf.DUMMYFUNCTION("""COMPUTED_VALUE"""),"Stock")</f>
        <v>Stock</v>
      </c>
      <c r="F111" s="121" t="str">
        <f>IFERROR(__xludf.DUMMYFUNCTION("""COMPUTED_VALUE"""),"01024.HK")</f>
        <v>01024.HK</v>
      </c>
      <c r="G111" s="30">
        <f>IFERROR(__xludf.DUMMYFUNCTION("""COMPUTED_VALUE"""),56.0)</f>
        <v>56</v>
      </c>
      <c r="H111" s="30" t="str">
        <f>IFERROR(__xludf.DUMMYFUNCTION("""COMPUTED_VALUE"""),"jiaxxxxxxx@nonHKMUemail")</f>
        <v>jiaxxxxxxx@nonHKMUemail</v>
      </c>
      <c r="I111" s="30" t="str">
        <f>IFERROR(__xludf.DUMMYFUNCTION("""COMPUTED_VALUE"""),"QTY, Limit Price (if any) &amp; Password input correct")</f>
        <v>QTY, Limit Price (if any) &amp; Password input correct</v>
      </c>
      <c r="J111" s="30" t="str">
        <f>IFERROR(__xludf.DUMMYFUNCTION("""COMPUTED_VALUE"""),"Order rejected due to wrong account, wrong ticker code - Non school email account. Ticker code is NOT 01024.HK, should be 1024.HK")</f>
        <v>Order rejected due to wrong account, wrong ticker code - Non school email account. Ticker code is NOT 01024.HK, should be 1024.HK</v>
      </c>
    </row>
    <row r="112">
      <c r="A112" s="5"/>
      <c r="B112" s="118">
        <f>IFERROR(__xludf.DUMMYFUNCTION("""COMPUTED_VALUE"""),44636.383157268516)</f>
        <v>44636.38316</v>
      </c>
      <c r="C112" s="5" t="str">
        <f>IFERROR(__xludf.DUMMYFUNCTION("""COMPUTED_VALUE"""),"89845")</f>
        <v>89845</v>
      </c>
      <c r="D112" s="5" t="str">
        <f>IFERROR(__xludf.DUMMYFUNCTION("""COMPUTED_VALUE"""),"error")</f>
        <v>error</v>
      </c>
      <c r="E112" s="5" t="str">
        <f>IFERROR(__xludf.DUMMYFUNCTION("""COMPUTED_VALUE"""),"Stock")</f>
        <v>Stock</v>
      </c>
      <c r="F112" s="119" t="str">
        <f>IFERROR(__xludf.DUMMYFUNCTION("""COMPUTED_VALUE"""),"ASML")</f>
        <v>ASML</v>
      </c>
      <c r="G112" s="30" t="str">
        <f>IFERROR(__xludf.DUMMYFUNCTION("""COMPUTED_VALUE"""),"Limit Sell @ 570 - if Closing @ 620 = Executed price @ 600; if Closing @ 80 = no execution")</f>
        <v>Limit Sell @ 570 - if Closing @ 620 = Executed price @ 600; if Closing @ 80 = no execution</v>
      </c>
      <c r="H112" s="30" t="str">
        <f>IFERROR(__xludf.DUMMYFUNCTION("""COMPUTED_VALUE"""),"Email Account/ TraderID Recognized")</f>
        <v>Email Account/ TraderID Recognized</v>
      </c>
      <c r="I112" s="30" t="str">
        <f>IFERROR(__xludf.DUMMYFUNCTION("""COMPUTED_VALUE"""),"Non-number input in Quantity or Limit Price")</f>
        <v>Non-number input in Quantity or Limit Price</v>
      </c>
      <c r="J112" s="30" t="str">
        <f>IFERROR(__xludf.DUMMYFUNCTION("""COMPUTED_VALUE"""),"Order rejected due to non-numeric character in limit price box. Only numbers are allowed.")</f>
        <v>Order rejected due to non-numeric character in limit price box. Only numbers are allowed.</v>
      </c>
    </row>
    <row r="113">
      <c r="A113" s="5"/>
      <c r="B113" s="118">
        <f>IFERROR(__xludf.DUMMYFUNCTION("""COMPUTED_VALUE"""),44636.50182118056)</f>
        <v>44636.50182</v>
      </c>
      <c r="C113" s="5" t="str">
        <f>IFERROR(__xludf.DUMMYFUNCTION("""COMPUTED_VALUE"""),"75965")</f>
        <v>75965</v>
      </c>
      <c r="D113" s="5" t="str">
        <f>IFERROR(__xludf.DUMMYFUNCTION("""COMPUTED_VALUE"""),"error")</f>
        <v>error</v>
      </c>
      <c r="E113" s="5" t="str">
        <f>IFERROR(__xludf.DUMMYFUNCTION("""COMPUTED_VALUE"""),"Stock")</f>
        <v>Stock</v>
      </c>
      <c r="F113" s="119" t="str">
        <f>IFERROR(__xludf.DUMMYFUNCTION("""COMPUTED_VALUE"""),"AAPL")</f>
        <v>AAPL</v>
      </c>
      <c r="G113" s="30"/>
      <c r="H113" s="30" t="str">
        <f>IFERROR(__xludf.DUMMYFUNCTION("""COMPUTED_VALUE"""),"Email Account/ TraderID Recognized")</f>
        <v>Email Account/ TraderID Recognized</v>
      </c>
      <c r="I113" s="30" t="str">
        <f>IFERROR(__xludf.DUMMYFUNCTION("""COMPUTED_VALUE"""),"Wrong Password Submitted, Order will be rejected")</f>
        <v>Wrong Password Submitted, Order will be rejected</v>
      </c>
      <c r="J113" s="30" t="str">
        <f>IFERROR(__xludf.DUMMYFUNCTION("""COMPUTED_VALUE"""),"Order rejected due to password error")</f>
        <v>Order rejected due to password error</v>
      </c>
    </row>
    <row r="114">
      <c r="A114" s="5"/>
      <c r="B114" s="118">
        <f>IFERROR(__xludf.DUMMYFUNCTION("""COMPUTED_VALUE"""),44636.73881599537)</f>
        <v>44636.73882</v>
      </c>
      <c r="C114" s="5" t="str">
        <f>IFERROR(__xludf.DUMMYFUNCTION("""COMPUTED_VALUE"""),"95516")</f>
        <v>95516</v>
      </c>
      <c r="D114" s="5" t="str">
        <f>IFERROR(__xludf.DUMMYFUNCTION("""COMPUTED_VALUE"""),"error")</f>
        <v>error</v>
      </c>
      <c r="E114" s="5" t="str">
        <f>IFERROR(__xludf.DUMMYFUNCTION("""COMPUTED_VALUE"""),"Stock")</f>
        <v>Stock</v>
      </c>
      <c r="F114" s="121" t="str">
        <f>IFERROR(__xludf.DUMMYFUNCTION("""COMPUTED_VALUE"""),"0189.HK")</f>
        <v>0189.HK</v>
      </c>
      <c r="G114" s="30"/>
      <c r="H114" s="30" t="str">
        <f>IFERROR(__xludf.DUMMYFUNCTION("""COMPUTED_VALUE"""),"Email Account/ TraderID Recognized")</f>
        <v>Email Account/ TraderID Recognized</v>
      </c>
      <c r="I114" s="30" t="str">
        <f>IFERROR(__xludf.DUMMYFUNCTION("""COMPUTED_VALUE"""),"Wrong Password Submitted, Order will be rejected")</f>
        <v>Wrong Password Submitted, Order will be rejected</v>
      </c>
      <c r="J114" s="30" t="str">
        <f>IFERROR(__xludf.DUMMYFUNCTION("""COMPUTED_VALUE"""),"Order rejected due to 2nd password input wrong")</f>
        <v>Order rejected due to 2nd password input wrong</v>
      </c>
    </row>
    <row r="115">
      <c r="A115" s="5"/>
      <c r="B115" s="118">
        <f>IFERROR(__xludf.DUMMYFUNCTION("""COMPUTED_VALUE"""),44637.32579190972)</f>
        <v>44637.32579</v>
      </c>
      <c r="C115" s="5" t="str">
        <f>IFERROR(__xludf.DUMMYFUNCTION("""COMPUTED_VALUE"""),"")</f>
        <v/>
      </c>
      <c r="D115" s="5" t="str">
        <f>IFERROR(__xludf.DUMMYFUNCTION("""COMPUTED_VALUE"""),"error")</f>
        <v>error</v>
      </c>
      <c r="E115" s="5" t="str">
        <f>IFERROR(__xludf.DUMMYFUNCTION("""COMPUTED_VALUE"""),"Stock")</f>
        <v>Stock</v>
      </c>
      <c r="F115" s="119" t="str">
        <f>IFERROR(__xludf.DUMMYFUNCTION("""COMPUTED_VALUE"""),"TEST")</f>
        <v>TEST</v>
      </c>
      <c r="G115" s="30"/>
      <c r="H115" s="30" t="str">
        <f>IFERROR(__xludf.DUMMYFUNCTION("""COMPUTED_VALUE"""),"testxxxxxx@nonHKMUemail")</f>
        <v>testxxxxxx@nonHKMUemail</v>
      </c>
      <c r="I115" s="30" t="str">
        <f>IFERROR(__xludf.DUMMYFUNCTION("""COMPUTED_VALUE"""),"QTY, Limit Price (if any) &amp; Password input correct")</f>
        <v>QTY, Limit Price (if any) &amp; Password input correct</v>
      </c>
      <c r="J115" s="30" t="str">
        <f>IFERROR(__xludf.DUMMYFUNCTION("""COMPUTED_VALUE"""),"Order Testing")</f>
        <v>Order Testing</v>
      </c>
    </row>
    <row r="116">
      <c r="A116" s="5"/>
      <c r="B116" s="118">
        <f>IFERROR(__xludf.DUMMYFUNCTION("""COMPUTED_VALUE"""),44637.39548497685)</f>
        <v>44637.39548</v>
      </c>
      <c r="C116" s="5" t="str">
        <f>IFERROR(__xludf.DUMMYFUNCTION("""COMPUTED_VALUE"""),"38093")</f>
        <v>38093</v>
      </c>
      <c r="D116" s="5" t="str">
        <f>IFERROR(__xludf.DUMMYFUNCTION("""COMPUTED_VALUE"""),"error")</f>
        <v>error</v>
      </c>
      <c r="E116" s="5" t="str">
        <f>IFERROR(__xludf.DUMMYFUNCTION("""COMPUTED_VALUE"""),"Stock")</f>
        <v>Stock</v>
      </c>
      <c r="F116" s="119" t="str">
        <f>IFERROR(__xludf.DUMMYFUNCTION("""COMPUTED_VALUE"""),"2331")</f>
        <v>2331</v>
      </c>
      <c r="G116" s="30">
        <f>IFERROR(__xludf.DUMMYFUNCTION("""COMPUTED_VALUE"""),40.0)</f>
        <v>40</v>
      </c>
      <c r="H116" s="30" t="str">
        <f>IFERROR(__xludf.DUMMYFUNCTION("""COMPUTED_VALUE"""),"Email Account/ TraderID Recognized")</f>
        <v>Email Account/ TraderID Recognized</v>
      </c>
      <c r="I116" s="30" t="str">
        <f>IFERROR(__xludf.DUMMYFUNCTION("""COMPUTED_VALUE"""),"QTY, Limit Price (if any) &amp; Password input correct")</f>
        <v>QTY, Limit Price (if any) &amp; Password input correct</v>
      </c>
      <c r="J116" s="30" t="str">
        <f>IFERROR(__xludf.DUMMYFUNCTION("""COMPUTED_VALUE"""),"Order rejected due to wrong school email account and wrong ticker code. Should be 2331.HK, not 2331 only.")</f>
        <v>Order rejected due to wrong school email account and wrong ticker code. Should be 2331.HK, not 2331 only.</v>
      </c>
    </row>
    <row r="117">
      <c r="A117" s="5"/>
      <c r="B117" s="118">
        <f>IFERROR(__xludf.DUMMYFUNCTION("""COMPUTED_VALUE"""),44637.39588603009)</f>
        <v>44637.39589</v>
      </c>
      <c r="C117" s="5" t="str">
        <f>IFERROR(__xludf.DUMMYFUNCTION("""COMPUTED_VALUE"""),"")</f>
        <v/>
      </c>
      <c r="D117" s="5" t="str">
        <f>IFERROR(__xludf.DUMMYFUNCTION("""COMPUTED_VALUE"""),"error")</f>
        <v>error</v>
      </c>
      <c r="E117" s="5" t="str">
        <f>IFERROR(__xludf.DUMMYFUNCTION("""COMPUTED_VALUE"""),"Stock")</f>
        <v>Stock</v>
      </c>
      <c r="F117" s="119" t="str">
        <f>IFERROR(__xludf.DUMMYFUNCTION("""COMPUTED_VALUE"""),"NIO")</f>
        <v>NIO</v>
      </c>
      <c r="G117" s="30" t="str">
        <f>IFERROR(__xludf.DUMMYFUNCTION("""COMPUTED_VALUE"""),"Limit Sell @ 55")</f>
        <v>Limit Sell @ 55</v>
      </c>
      <c r="H117" s="30" t="str">
        <f>IFERROR(__xludf.DUMMYFUNCTION("""COMPUTED_VALUE"""),"yqiaxxxxxx@nonHKMUemail")</f>
        <v>yqiaxxxxxx@nonHKMUemail</v>
      </c>
      <c r="I117" s="30" t="str">
        <f>IFERROR(__xludf.DUMMYFUNCTION("""COMPUTED_VALUE"""),"Non-number input in Quantity or Limit Price")</f>
        <v>Non-number input in Quantity or Limit Price</v>
      </c>
      <c r="J117" s="30" t="str">
        <f>IFERROR(__xludf.DUMMYFUNCTION("""COMPUTED_VALUE"""),"Order rejected due to non school account. Also, system detects non number character in Limit price input.")</f>
        <v>Order rejected due to non school account. Also, system detects non number character in Limit price input.</v>
      </c>
    </row>
    <row r="118">
      <c r="A118" s="5"/>
      <c r="B118" s="118">
        <f>IFERROR(__xludf.DUMMYFUNCTION("""COMPUTED_VALUE"""),44637.402670173615)</f>
        <v>44637.40267</v>
      </c>
      <c r="C118" s="5" t="str">
        <f>IFERROR(__xludf.DUMMYFUNCTION("""COMPUTED_VALUE"""),"35702")</f>
        <v>35702</v>
      </c>
      <c r="D118" s="5" t="str">
        <f>IFERROR(__xludf.DUMMYFUNCTION("""COMPUTED_VALUE"""),"error")</f>
        <v>error</v>
      </c>
      <c r="E118" s="5" t="str">
        <f>IFERROR(__xludf.DUMMYFUNCTION("""COMPUTED_VALUE"""),"Stock")</f>
        <v>Stock</v>
      </c>
      <c r="F118" s="119" t="str">
        <f>IFERROR(__xludf.DUMMYFUNCTION("""COMPUTED_VALUE"""),"TME")</f>
        <v>TME</v>
      </c>
      <c r="G118" s="30" t="str">
        <f>IFERROR(__xludf.DUMMYFUNCTION("""COMPUTED_VALUE"""),"Limit Sell @ 25")</f>
        <v>Limit Sell @ 25</v>
      </c>
      <c r="H118" s="30" t="str">
        <f>IFERROR(__xludf.DUMMYFUNCTION("""COMPUTED_VALUE"""),"Email Account/ TraderID Recognized")</f>
        <v>Email Account/ TraderID Recognized</v>
      </c>
      <c r="I118" s="30" t="str">
        <f>IFERROR(__xludf.DUMMYFUNCTION("""COMPUTED_VALUE"""),"Non-number input in Quantity or Limit Price")</f>
        <v>Non-number input in Quantity or Limit Price</v>
      </c>
      <c r="J118" s="30" t="str">
        <f>IFERROR(__xludf.DUMMYFUNCTION("""COMPUTED_VALUE"""),"Order rejected due to non number character in Limit price input.")</f>
        <v>Order rejected due to non number character in Limit price input.</v>
      </c>
    </row>
    <row r="119">
      <c r="A119" s="5"/>
      <c r="B119" s="118">
        <f>IFERROR(__xludf.DUMMYFUNCTION("""COMPUTED_VALUE"""),44637.40952078704)</f>
        <v>44637.40952</v>
      </c>
      <c r="C119" s="5" t="str">
        <f>IFERROR(__xludf.DUMMYFUNCTION("""COMPUTED_VALUE"""),"35702")</f>
        <v>35702</v>
      </c>
      <c r="D119" s="5" t="str">
        <f>IFERROR(__xludf.DUMMYFUNCTION("""COMPUTED_VALUE"""),"error")</f>
        <v>error</v>
      </c>
      <c r="E119" s="5" t="str">
        <f>IFERROR(__xludf.DUMMYFUNCTION("""COMPUTED_VALUE"""),"Stock")</f>
        <v>Stock</v>
      </c>
      <c r="F119" s="119" t="str">
        <f>IFERROR(__xludf.DUMMYFUNCTION("""COMPUTED_VALUE"""),"NIO")</f>
        <v>NIO</v>
      </c>
      <c r="G119" s="30" t="str">
        <f>IFERROR(__xludf.DUMMYFUNCTION("""COMPUTED_VALUE"""),"Limit Sell @ 55")</f>
        <v>Limit Sell @ 55</v>
      </c>
      <c r="H119" s="30" t="str">
        <f>IFERROR(__xludf.DUMMYFUNCTION("""COMPUTED_VALUE"""),"Email Account/ TraderID Recognized")</f>
        <v>Email Account/ TraderID Recognized</v>
      </c>
      <c r="I119" s="30" t="str">
        <f>IFERROR(__xludf.DUMMYFUNCTION("""COMPUTED_VALUE"""),"Non-number input in Quantity or Limit Price")</f>
        <v>Non-number input in Quantity or Limit Price</v>
      </c>
      <c r="J119" s="30" t="str">
        <f>IFERROR(__xludf.DUMMYFUNCTION("""COMPUTED_VALUE"""),"Order rejected due to non number character in Limit price input.")</f>
        <v>Order rejected due to non number character in Limit price input.</v>
      </c>
    </row>
    <row r="120">
      <c r="A120" s="5"/>
      <c r="B120" s="118">
        <f>IFERROR(__xludf.DUMMYFUNCTION("""COMPUTED_VALUE"""),44637.41057209491)</f>
        <v>44637.41057</v>
      </c>
      <c r="C120" s="5" t="str">
        <f>IFERROR(__xludf.DUMMYFUNCTION("""COMPUTED_VALUE"""),"37198")</f>
        <v>37198</v>
      </c>
      <c r="D120" s="5" t="str">
        <f>IFERROR(__xludf.DUMMYFUNCTION("""COMPUTED_VALUE"""),"error")</f>
        <v>error</v>
      </c>
      <c r="E120" s="5" t="str">
        <f>IFERROR(__xludf.DUMMYFUNCTION("""COMPUTED_VALUE"""),"Stock")</f>
        <v>Stock</v>
      </c>
      <c r="F120" s="119" t="str">
        <f>IFERROR(__xludf.DUMMYFUNCTION("""COMPUTED_VALUE"""),"TME")</f>
        <v>TME</v>
      </c>
      <c r="G120" s="30" t="str">
        <f>IFERROR(__xludf.DUMMYFUNCTION("""COMPUTED_VALUE"""),"Limit Buy @ 4.47")</f>
        <v>Limit Buy @ 4.47</v>
      </c>
      <c r="H120" s="30" t="str">
        <f>IFERROR(__xludf.DUMMYFUNCTION("""COMPUTED_VALUE"""),"Email Account/ TraderID Recognized")</f>
        <v>Email Account/ TraderID Recognized</v>
      </c>
      <c r="I120" s="30" t="str">
        <f>IFERROR(__xludf.DUMMYFUNCTION("""COMPUTED_VALUE"""),"Non-number input in Quantity or Limit Price")</f>
        <v>Non-number input in Quantity or Limit Price</v>
      </c>
      <c r="J120" s="30" t="str">
        <f>IFERROR(__xludf.DUMMYFUNCTION("""COMPUTED_VALUE"""),"Order rejected due to non number character in Limit price input.")</f>
        <v>Order rejected due to non number character in Limit price input.</v>
      </c>
    </row>
    <row r="121">
      <c r="A121" s="5"/>
      <c r="B121" s="118">
        <f>IFERROR(__xludf.DUMMYFUNCTION("""COMPUTED_VALUE"""),44637.451712442125)</f>
        <v>44637.45171</v>
      </c>
      <c r="C121" s="5" t="str">
        <f>IFERROR(__xludf.DUMMYFUNCTION("""COMPUTED_VALUE"""),"37198")</f>
        <v>37198</v>
      </c>
      <c r="D121" s="5" t="str">
        <f>IFERROR(__xludf.DUMMYFUNCTION("""COMPUTED_VALUE"""),"error")</f>
        <v>error</v>
      </c>
      <c r="E121" s="5" t="str">
        <f>IFERROR(__xludf.DUMMYFUNCTION("""COMPUTED_VALUE"""),"Stock")</f>
        <v>Stock</v>
      </c>
      <c r="F121" s="119" t="str">
        <f>IFERROR(__xludf.DUMMYFUNCTION("""COMPUTED_VALUE"""),"BNTX")</f>
        <v>BNTX</v>
      </c>
      <c r="G121" s="30" t="str">
        <f>IFERROR(__xludf.DUMMYFUNCTION("""COMPUTED_VALUE"""),"Limit Buy @ 147.40")</f>
        <v>Limit Buy @ 147.40</v>
      </c>
      <c r="H121" s="30" t="str">
        <f>IFERROR(__xludf.DUMMYFUNCTION("""COMPUTED_VALUE"""),"Email Account/ TraderID Recognized")</f>
        <v>Email Account/ TraderID Recognized</v>
      </c>
      <c r="I121" s="30" t="str">
        <f>IFERROR(__xludf.DUMMYFUNCTION("""COMPUTED_VALUE"""),"Non-number input in Quantity or Limit Price")</f>
        <v>Non-number input in Quantity or Limit Price</v>
      </c>
      <c r="J121" s="30" t="str">
        <f>IFERROR(__xludf.DUMMYFUNCTION("""COMPUTED_VALUE"""),"Order rejected due to non number character in Limit price input.")</f>
        <v>Order rejected due to non number character in Limit price input.</v>
      </c>
    </row>
    <row r="122">
      <c r="A122" s="5"/>
      <c r="B122" s="118">
        <f>IFERROR(__xludf.DUMMYFUNCTION("""COMPUTED_VALUE"""),44637.581818437495)</f>
        <v>44637.58182</v>
      </c>
      <c r="C122" s="5" t="str">
        <f>IFERROR(__xludf.DUMMYFUNCTION("""COMPUTED_VALUE"""),"")</f>
        <v/>
      </c>
      <c r="D122" s="5" t="str">
        <f>IFERROR(__xludf.DUMMYFUNCTION("""COMPUTED_VALUE"""),"error")</f>
        <v>error</v>
      </c>
      <c r="E122" s="5" t="str">
        <f>IFERROR(__xludf.DUMMYFUNCTION("""COMPUTED_VALUE"""),"Stock")</f>
        <v>Stock</v>
      </c>
      <c r="F122" s="121" t="str">
        <f>IFERROR(__xludf.DUMMYFUNCTION("""COMPUTED_VALUE"""),"600519.SS")</f>
        <v>600519.SS</v>
      </c>
      <c r="G122" s="30">
        <f>IFERROR(__xludf.DUMMYFUNCTION("""COMPUTED_VALUE"""),1791.0)</f>
        <v>1791</v>
      </c>
      <c r="H122" s="30" t="str">
        <f>IFERROR(__xludf.DUMMYFUNCTION("""COMPUTED_VALUE"""),"1198xxxxxx@nonHKMUemail")</f>
        <v>1198xxxxxx@nonHKMUemail</v>
      </c>
      <c r="I122" s="30" t="str">
        <f>IFERROR(__xludf.DUMMYFUNCTION("""COMPUTED_VALUE"""),"QTY, Limit Price (if any) &amp; Password input correct")</f>
        <v>QTY, Limit Price (if any) &amp; Password input correct</v>
      </c>
      <c r="J122" s="30" t="str">
        <f>IFERROR(__xludf.DUMMYFUNCTION("""COMPUTED_VALUE"""),"Order rejected due to non school email address")</f>
        <v>Order rejected due to non school email address</v>
      </c>
    </row>
    <row r="123">
      <c r="A123" s="5"/>
      <c r="B123" s="118">
        <f>IFERROR(__xludf.DUMMYFUNCTION("""COMPUTED_VALUE"""),44637.95375864583)</f>
        <v>44637.95376</v>
      </c>
      <c r="C123" s="5" t="str">
        <f>IFERROR(__xludf.DUMMYFUNCTION("""COMPUTED_VALUE"""),"73456")</f>
        <v>73456</v>
      </c>
      <c r="D123" s="5" t="str">
        <f>IFERROR(__xludf.DUMMYFUNCTION("""COMPUTED_VALUE"""),"error")</f>
        <v>error</v>
      </c>
      <c r="E123" s="5" t="str">
        <f>IFERROR(__xludf.DUMMYFUNCTION("""COMPUTED_VALUE"""),"Stock")</f>
        <v>Stock</v>
      </c>
      <c r="F123" s="119" t="str">
        <f>IFERROR(__xludf.DUMMYFUNCTION("""COMPUTED_VALUE"""),"IXHL")</f>
        <v>IXHL</v>
      </c>
      <c r="G123" s="30">
        <f>IFERROR(__xludf.DUMMYFUNCTION("""COMPUTED_VALUE"""),8.0)</f>
        <v>8</v>
      </c>
      <c r="H123" s="30" t="str">
        <f>IFERROR(__xludf.DUMMYFUNCTION("""COMPUTED_VALUE"""),"Email Account/ TraderID Recognized")</f>
        <v>Email Account/ TraderID Recognized</v>
      </c>
      <c r="I123" s="30" t="str">
        <f>IFERROR(__xludf.DUMMYFUNCTION("""COMPUTED_VALUE"""),"QTY, Limit Price (if any) &amp; Password input correct")</f>
        <v>QTY, Limit Price (if any) &amp; Password input correct</v>
      </c>
      <c r="J123" s="30" t="str">
        <f>IFERROR(__xludf.DUMMYFUNCTION("""COMPUTED_VALUE"""),"Order rejected. Account non-exists.")</f>
        <v>Order rejected. Account non-exists.</v>
      </c>
    </row>
    <row r="124">
      <c r="A124" s="5"/>
      <c r="B124" s="118">
        <f>IFERROR(__xludf.DUMMYFUNCTION("""COMPUTED_VALUE"""),44637.980645104166)</f>
        <v>44637.98065</v>
      </c>
      <c r="C124" s="5" t="str">
        <f>IFERROR(__xludf.DUMMYFUNCTION("""COMPUTED_VALUE"""),"36252")</f>
        <v>36252</v>
      </c>
      <c r="D124" s="5" t="str">
        <f>IFERROR(__xludf.DUMMYFUNCTION("""COMPUTED_VALUE"""),"error")</f>
        <v>error</v>
      </c>
      <c r="E124" s="5" t="str">
        <f>IFERROR(__xludf.DUMMYFUNCTION("""COMPUTED_VALUE"""),"Stock")</f>
        <v>Stock</v>
      </c>
      <c r="F124" s="119" t="str">
        <f>IFERROR(__xludf.DUMMYFUNCTION("""COMPUTED_VALUE"""),"00386")</f>
        <v>00386</v>
      </c>
      <c r="G124" s="30" t="str">
        <f>IFERROR(__xludf.DUMMYFUNCTION("""COMPUTED_VALUE"""),"Limit Buy @ 3.8 - Closing @ 4.5 = Executed price @ 4.5 . if Closing @ 3.6 = no execution")</f>
        <v>Limit Buy @ 3.8 - Closing @ 4.5 = Executed price @ 4.5 . if Closing @ 3.6 = no execution</v>
      </c>
      <c r="H124" s="30" t="str">
        <f>IFERROR(__xludf.DUMMYFUNCTION("""COMPUTED_VALUE"""),"Email Account/ TraderID Recognized")</f>
        <v>Email Account/ TraderID Recognized</v>
      </c>
      <c r="I124" s="30" t="str">
        <f>IFERROR(__xludf.DUMMYFUNCTION("""COMPUTED_VALUE"""),"Non-number input in Quantity or Limit Price")</f>
        <v>Non-number input in Quantity or Limit Price</v>
      </c>
      <c r="J124" s="30" t="str">
        <f>IFERROR(__xludf.DUMMYFUNCTION("""COMPUTED_VALUE"""),"Order rejected due to non-numerica characters in limit price input.")</f>
        <v>Order rejected due to non-numerica characters in limit price input.</v>
      </c>
    </row>
    <row r="125">
      <c r="A125" s="5"/>
      <c r="B125" s="118">
        <f>IFERROR(__xludf.DUMMYFUNCTION("""COMPUTED_VALUE"""),44637.98370115741)</f>
        <v>44637.9837</v>
      </c>
      <c r="C125" s="5" t="str">
        <f>IFERROR(__xludf.DUMMYFUNCTION("""COMPUTED_VALUE"""),"36252")</f>
        <v>36252</v>
      </c>
      <c r="D125" s="5" t="str">
        <f>IFERROR(__xludf.DUMMYFUNCTION("""COMPUTED_VALUE"""),"error")</f>
        <v>error</v>
      </c>
      <c r="E125" s="5" t="str">
        <f>IFERROR(__xludf.DUMMYFUNCTION("""COMPUTED_VALUE"""),"Stock")</f>
        <v>Stock</v>
      </c>
      <c r="F125" s="121" t="str">
        <f>IFERROR(__xludf.DUMMYFUNCTION("""COMPUTED_VALUE"""),"02607.hk")</f>
        <v>02607.hk</v>
      </c>
      <c r="G125" s="30" t="str">
        <f>IFERROR(__xludf.DUMMYFUNCTION("""COMPUTED_VALUE"""),"Limit Buy @ 18 - Closing @ 18 = Executed price @ 18. if Closing @ 20 = no execution")</f>
        <v>Limit Buy @ 18 - Closing @ 18 = Executed price @ 18. if Closing @ 20 = no execution</v>
      </c>
      <c r="H125" s="30" t="str">
        <f>IFERROR(__xludf.DUMMYFUNCTION("""COMPUTED_VALUE"""),"Email Account/ TraderID Recognized")</f>
        <v>Email Account/ TraderID Recognized</v>
      </c>
      <c r="I125" s="30" t="str">
        <f>IFERROR(__xludf.DUMMYFUNCTION("""COMPUTED_VALUE"""),"Non-number input in Quantity or Limit Price")</f>
        <v>Non-number input in Quantity or Limit Price</v>
      </c>
      <c r="J125" s="30" t="str">
        <f>IFERROR(__xludf.DUMMYFUNCTION("""COMPUTED_VALUE"""),"Order rejected due to non-numerica characters in limit price input.")</f>
        <v>Order rejected due to non-numerica characters in limit price input.</v>
      </c>
    </row>
    <row r="126">
      <c r="A126" s="5"/>
      <c r="B126" s="118">
        <f>IFERROR(__xludf.DUMMYFUNCTION("""COMPUTED_VALUE"""),44638.697386099535)</f>
        <v>44638.69739</v>
      </c>
      <c r="C126" s="5" t="str">
        <f>IFERROR(__xludf.DUMMYFUNCTION("""COMPUTED_VALUE"""),"36252")</f>
        <v>36252</v>
      </c>
      <c r="D126" s="5" t="str">
        <f>IFERROR(__xludf.DUMMYFUNCTION("""COMPUTED_VALUE"""),"error")</f>
        <v>error</v>
      </c>
      <c r="E126" s="5" t="str">
        <f>IFERROR(__xludf.DUMMYFUNCTION("""COMPUTED_VALUE"""),"Stock")</f>
        <v>Stock</v>
      </c>
      <c r="F126" s="121" t="str">
        <f>IFERROR(__xludf.DUMMYFUNCTION("""COMPUTED_VALUE"""),"00386.hk")</f>
        <v>00386.hk</v>
      </c>
      <c r="G126" s="30"/>
      <c r="H126" s="30" t="str">
        <f>IFERROR(__xludf.DUMMYFUNCTION("""COMPUTED_VALUE"""),"Email Account/ TraderID Recognized")</f>
        <v>Email Account/ TraderID Recognized</v>
      </c>
      <c r="I126" s="30" t="str">
        <f>IFERROR(__xludf.DUMMYFUNCTION("""COMPUTED_VALUE"""),"QTY, Limit Price (if any) &amp; Password input correct")</f>
        <v>QTY, Limit Price (if any) &amp; Password input correct</v>
      </c>
      <c r="J126" s="30" t="str">
        <f>IFERROR(__xludf.DUMMYFUNCTION("""COMPUTED_VALUE"""),"Rejected due to wrong ticker code.")</f>
        <v>Rejected due to wrong ticker code.</v>
      </c>
    </row>
    <row r="127">
      <c r="A127" s="5"/>
      <c r="B127" s="118">
        <f>IFERROR(__xludf.DUMMYFUNCTION("""COMPUTED_VALUE"""),44638.7046978125)</f>
        <v>44638.7047</v>
      </c>
      <c r="C127" s="5" t="str">
        <f>IFERROR(__xludf.DUMMYFUNCTION("""COMPUTED_VALUE"""),"36252")</f>
        <v>36252</v>
      </c>
      <c r="D127" s="5" t="str">
        <f>IFERROR(__xludf.DUMMYFUNCTION("""COMPUTED_VALUE"""),"error")</f>
        <v>error</v>
      </c>
      <c r="E127" s="5" t="str">
        <f>IFERROR(__xludf.DUMMYFUNCTION("""COMPUTED_VALUE"""),"Stock")</f>
        <v>Stock</v>
      </c>
      <c r="F127" s="121" t="str">
        <f>IFERROR(__xludf.DUMMYFUNCTION("""COMPUTED_VALUE"""),"02607.hk")</f>
        <v>02607.hk</v>
      </c>
      <c r="G127" s="30"/>
      <c r="H127" s="30" t="str">
        <f>IFERROR(__xludf.DUMMYFUNCTION("""COMPUTED_VALUE"""),"Email Account/ TraderID Recognized")</f>
        <v>Email Account/ TraderID Recognized</v>
      </c>
      <c r="I127" s="30" t="str">
        <f>IFERROR(__xludf.DUMMYFUNCTION("""COMPUTED_VALUE"""),"QTY, Limit Price (if any) &amp; Password input correct")</f>
        <v>QTY, Limit Price (if any) &amp; Password input correct</v>
      </c>
      <c r="J127" s="30" t="str">
        <f>IFERROR(__xludf.DUMMYFUNCTION("""COMPUTED_VALUE"""),"Rejected due to wrong ticker code.")</f>
        <v>Rejected due to wrong ticker code.</v>
      </c>
    </row>
    <row r="128">
      <c r="A128" s="5"/>
      <c r="B128" s="118">
        <f>IFERROR(__xludf.DUMMYFUNCTION("""COMPUTED_VALUE"""),44639.989903043985)</f>
        <v>44639.9899</v>
      </c>
      <c r="C128" s="5" t="str">
        <f>IFERROR(__xludf.DUMMYFUNCTION("""COMPUTED_VALUE"""),"40433")</f>
        <v>40433</v>
      </c>
      <c r="D128" s="5" t="str">
        <f>IFERROR(__xludf.DUMMYFUNCTION("""COMPUTED_VALUE"""),"error")</f>
        <v>error</v>
      </c>
      <c r="E128" s="5" t="str">
        <f>IFERROR(__xludf.DUMMYFUNCTION("""COMPUTED_VALUE"""),"Option")</f>
        <v>Option</v>
      </c>
      <c r="F128" s="119" t="str">
        <f>IFERROR(__xludf.DUMMYFUNCTION("""COMPUTED_VALUE"""),"GC=F")</f>
        <v>GC=F</v>
      </c>
      <c r="G128" s="30">
        <f>IFERROR(__xludf.DUMMYFUNCTION("""COMPUTED_VALUE"""),1905.0)</f>
        <v>1905</v>
      </c>
      <c r="H128" s="30" t="str">
        <f>IFERROR(__xludf.DUMMYFUNCTION("""COMPUTED_VALUE"""),"Email Account/ TraderID Recognized")</f>
        <v>Email Account/ TraderID Recognized</v>
      </c>
      <c r="I128" s="30" t="str">
        <f>IFERROR(__xludf.DUMMYFUNCTION("""COMPUTED_VALUE"""),"QTY, Limit Price (if any) &amp; Password input correct")</f>
        <v>QTY, Limit Price (if any) &amp; Password input correct</v>
      </c>
      <c r="J128" s="30" t="str">
        <f>IFERROR(__xludf.DUMMYFUNCTION("""COMPUTED_VALUE"""),"Order rejected due to wrong asset class")</f>
        <v>Order rejected due to wrong asset class</v>
      </c>
    </row>
    <row r="129">
      <c r="A129" s="5"/>
      <c r="B129" s="118">
        <f>IFERROR(__xludf.DUMMYFUNCTION("""COMPUTED_VALUE"""),44640.04499608796)</f>
        <v>44640.045</v>
      </c>
      <c r="C129" s="5" t="str">
        <f>IFERROR(__xludf.DUMMYFUNCTION("""COMPUTED_VALUE"""),"14626")</f>
        <v>14626</v>
      </c>
      <c r="D129" s="5" t="str">
        <f>IFERROR(__xludf.DUMMYFUNCTION("""COMPUTED_VALUE"""),"error")</f>
        <v>error</v>
      </c>
      <c r="E129" s="5" t="str">
        <f>IFERROR(__xludf.DUMMYFUNCTION("""COMPUTED_VALUE"""),"Stock")</f>
        <v>Stock</v>
      </c>
      <c r="F129" s="119" t="str">
        <f>IFERROR(__xludf.DUMMYFUNCTION("""COMPUTED_VALUE"""),"^IXIC")</f>
        <v>^IXIC</v>
      </c>
      <c r="G129" s="30"/>
      <c r="H129" s="30" t="str">
        <f>IFERROR(__xludf.DUMMYFUNCTION("""COMPUTED_VALUE"""),"Email Account/ TraderID Recognized")</f>
        <v>Email Account/ TraderID Recognized</v>
      </c>
      <c r="I129" s="30" t="str">
        <f>IFERROR(__xludf.DUMMYFUNCTION("""COMPUTED_VALUE"""),"QTY, Limit Price (if any) &amp; Password input correct")</f>
        <v>QTY, Limit Price (if any) &amp; Password input correct</v>
      </c>
      <c r="J129" s="30" t="str">
        <f>IFERROR(__xludf.DUMMYFUNCTION("""COMPUTED_VALUE"""),"Order rejected preliminary, based on insufficient fund - SPX index * 7.85 &gt; initial capital")</f>
        <v>Order rejected preliminary, based on insufficient fund - SPX index * 7.85 &gt; initial capital</v>
      </c>
    </row>
    <row r="130">
      <c r="A130" s="5"/>
      <c r="B130" s="118">
        <f>IFERROR(__xludf.DUMMYFUNCTION("""COMPUTED_VALUE"""),44640.04786409722)</f>
        <v>44640.04786</v>
      </c>
      <c r="C130" s="5" t="str">
        <f>IFERROR(__xludf.DUMMYFUNCTION("""COMPUTED_VALUE"""),"14626")</f>
        <v>14626</v>
      </c>
      <c r="D130" s="5" t="str">
        <f>IFERROR(__xludf.DUMMYFUNCTION("""COMPUTED_VALUE"""),"error")</f>
        <v>error</v>
      </c>
      <c r="E130" s="5" t="str">
        <f>IFERROR(__xludf.DUMMYFUNCTION("""COMPUTED_VALUE"""),"Stock")</f>
        <v>Stock</v>
      </c>
      <c r="F130" s="119" t="str">
        <f>IFERROR(__xludf.DUMMYFUNCTION("""COMPUTED_VALUE"""),"^RUT")</f>
        <v>^RUT</v>
      </c>
      <c r="G130" s="30">
        <f>IFERROR(__xludf.DUMMYFUNCTION("""COMPUTED_VALUE"""),1000.0)</f>
        <v>1000</v>
      </c>
      <c r="H130" s="30" t="str">
        <f>IFERROR(__xludf.DUMMYFUNCTION("""COMPUTED_VALUE"""),"Email Account/ TraderID Recognized")</f>
        <v>Email Account/ TraderID Recognized</v>
      </c>
      <c r="I130" s="30" t="str">
        <f>IFERROR(__xludf.DUMMYFUNCTION("""COMPUTED_VALUE"""),"QTY, Limit Price (if any) &amp; Password input correct")</f>
        <v>QTY, Limit Price (if any) &amp; Password input correct</v>
      </c>
      <c r="J130" s="30" t="str">
        <f>IFERROR(__xludf.DUMMYFUNCTION("""COMPUTED_VALUE"""),"Order rejected preliminary, based on insufficient fund - R2000 index * 7.85 &gt; initial capital")</f>
        <v>Order rejected preliminary, based on insufficient fund - R2000 index * 7.85 &gt; initial capital</v>
      </c>
    </row>
    <row r="131">
      <c r="A131" s="5"/>
      <c r="B131" s="118">
        <f>IFERROR(__xludf.DUMMYFUNCTION("""COMPUTED_VALUE"""),44640.11039138889)</f>
        <v>44640.11039</v>
      </c>
      <c r="C131" s="5" t="str">
        <f>IFERROR(__xludf.DUMMYFUNCTION("""COMPUTED_VALUE"""),"14626")</f>
        <v>14626</v>
      </c>
      <c r="D131" s="5" t="str">
        <f>IFERROR(__xludf.DUMMYFUNCTION("""COMPUTED_VALUE"""),"error")</f>
        <v>error</v>
      </c>
      <c r="E131" s="5" t="str">
        <f>IFERROR(__xludf.DUMMYFUNCTION("""COMPUTED_VALUE"""),"Stock")</f>
        <v>Stock</v>
      </c>
      <c r="F131" s="119" t="str">
        <f>IFERROR(__xludf.DUMMYFUNCTION("""COMPUTED_VALUE"""),"BTC-USD")</f>
        <v>BTC-USD</v>
      </c>
      <c r="G131" s="30"/>
      <c r="H131" s="30" t="str">
        <f>IFERROR(__xludf.DUMMYFUNCTION("""COMPUTED_VALUE"""),"Email Account/ TraderID Recognized")</f>
        <v>Email Account/ TraderID Recognized</v>
      </c>
      <c r="I131" s="30" t="str">
        <f>IFERROR(__xludf.DUMMYFUNCTION("""COMPUTED_VALUE"""),"QTY, Limit Price (if any) &amp; Password input correct")</f>
        <v>QTY, Limit Price (if any) &amp; Password input correct</v>
      </c>
      <c r="J131" s="30" t="str">
        <f>IFERROR(__xludf.DUMMYFUNCTION("""COMPUTED_VALUE"""),"Order rejected preliminary due to insufficient cash")</f>
        <v>Order rejected preliminary due to insufficient cash</v>
      </c>
    </row>
    <row r="132">
      <c r="A132" s="5"/>
      <c r="B132" s="118">
        <f>IFERROR(__xludf.DUMMYFUNCTION("""COMPUTED_VALUE"""),44640.606857418985)</f>
        <v>44640.60686</v>
      </c>
      <c r="C132" s="5" t="str">
        <f>IFERROR(__xludf.DUMMYFUNCTION("""COMPUTED_VALUE"""),"73341")</f>
        <v>73341</v>
      </c>
      <c r="D132" s="5" t="str">
        <f>IFERROR(__xludf.DUMMYFUNCTION("""COMPUTED_VALUE"""),"error")</f>
        <v>error</v>
      </c>
      <c r="E132" s="5" t="str">
        <f>IFERROR(__xludf.DUMMYFUNCTION("""COMPUTED_VALUE"""),"Stock")</f>
        <v>Stock</v>
      </c>
      <c r="F132" s="119" t="str">
        <f>IFERROR(__xludf.DUMMYFUNCTION("""COMPUTED_VALUE"""),"00700")</f>
        <v>00700</v>
      </c>
      <c r="G132" s="30">
        <f>IFERROR(__xludf.DUMMYFUNCTION("""COMPUTED_VALUE"""),90.0)</f>
        <v>90</v>
      </c>
      <c r="H132" s="30" t="str">
        <f>IFERROR(__xludf.DUMMYFUNCTION("""COMPUTED_VALUE"""),"Email Account/ TraderID Recognized")</f>
        <v>Email Account/ TraderID Recognized</v>
      </c>
      <c r="I132" s="30" t="str">
        <f>IFERROR(__xludf.DUMMYFUNCTION("""COMPUTED_VALUE"""),"QTY, Limit Price (if any) &amp; Password input correct")</f>
        <v>QTY, Limit Price (if any) &amp; Password input correct</v>
      </c>
      <c r="J132" s="30" t="str">
        <f>IFERROR(__xludf.DUMMYFUNCTION("""COMPUTED_VALUE"""),"Order rejected due to wrong ticker code")</f>
        <v>Order rejected due to wrong ticker code</v>
      </c>
    </row>
    <row r="133">
      <c r="A133" s="5"/>
      <c r="B133" s="118">
        <f>IFERROR(__xludf.DUMMYFUNCTION("""COMPUTED_VALUE"""),44640.89291273148)</f>
        <v>44640.89291</v>
      </c>
      <c r="C133" s="5" t="str">
        <f>IFERROR(__xludf.DUMMYFUNCTION("""COMPUTED_VALUE"""),"95516")</f>
        <v>95516</v>
      </c>
      <c r="D133" s="5" t="str">
        <f>IFERROR(__xludf.DUMMYFUNCTION("""COMPUTED_VALUE"""),"error")</f>
        <v>error</v>
      </c>
      <c r="E133" s="5" t="str">
        <f>IFERROR(__xludf.DUMMYFUNCTION("""COMPUTED_VALUE"""),"Stock")</f>
        <v>Stock</v>
      </c>
      <c r="F133" s="121" t="str">
        <f>IFERROR(__xludf.DUMMYFUNCTION("""COMPUTED_VALUE"""),"9988.HK")</f>
        <v>9988.HK</v>
      </c>
      <c r="G133" s="30"/>
      <c r="H133" s="30" t="str">
        <f>IFERROR(__xludf.DUMMYFUNCTION("""COMPUTED_VALUE"""),"Email Account/ TraderID Recognized")</f>
        <v>Email Account/ TraderID Recognized</v>
      </c>
      <c r="I133" s="30" t="str">
        <f>IFERROR(__xludf.DUMMYFUNCTION("""COMPUTED_VALUE"""),"Wrong Password Submitted, Order will be rejected")</f>
        <v>Wrong Password Submitted, Order will be rejected</v>
      </c>
      <c r="J133" s="30" t="str">
        <f>IFERROR(__xludf.DUMMYFUNCTION("""COMPUTED_VALUE"""),"Order rejected due to wrong password")</f>
        <v>Order rejected due to wrong password</v>
      </c>
    </row>
    <row r="134">
      <c r="A134" s="5"/>
      <c r="B134" s="118">
        <f>IFERROR(__xludf.DUMMYFUNCTION("""COMPUTED_VALUE"""),44640.93177704861)</f>
        <v>44640.93178</v>
      </c>
      <c r="C134" s="5" t="str">
        <f>IFERROR(__xludf.DUMMYFUNCTION("""COMPUTED_VALUE"""),"56118")</f>
        <v>56118</v>
      </c>
      <c r="D134" s="5" t="str">
        <f>IFERROR(__xludf.DUMMYFUNCTION("""COMPUTED_VALUE"""),"error")</f>
        <v>error</v>
      </c>
      <c r="E134" s="5" t="str">
        <f>IFERROR(__xludf.DUMMYFUNCTION("""COMPUTED_VALUE"""),"Stock")</f>
        <v>Stock</v>
      </c>
      <c r="F134" s="119" t="str">
        <f>IFERROR(__xludf.DUMMYFUNCTION("""COMPUTED_VALUE"""),"56118")</f>
        <v>56118</v>
      </c>
      <c r="G134" s="30">
        <f>IFERROR(__xludf.DUMMYFUNCTION("""COMPUTED_VALUE"""),335.0)</f>
        <v>335</v>
      </c>
      <c r="H134" s="30" t="str">
        <f>IFERROR(__xludf.DUMMYFUNCTION("""COMPUTED_VALUE"""),"Email Account/ TraderID Recognized")</f>
        <v>Email Account/ TraderID Recognized</v>
      </c>
      <c r="I134" s="30" t="str">
        <f>IFERROR(__xludf.DUMMYFUNCTION("""COMPUTED_VALUE"""),"QTY, Limit Price (if any) &amp; Password input correct")</f>
        <v>QTY, Limit Price (if any) &amp; Password input correct</v>
      </c>
      <c r="J134" s="30" t="str">
        <f>IFERROR(__xludf.DUMMYFUNCTION("""COMPUTED_VALUE"""),"Order rejected due to wrong ticker code.")</f>
        <v>Order rejected due to wrong ticker code.</v>
      </c>
    </row>
    <row r="135">
      <c r="A135" s="5"/>
      <c r="B135" s="118">
        <f>IFERROR(__xludf.DUMMYFUNCTION("""COMPUTED_VALUE"""),44641.347162418984)</f>
        <v>44641.34716</v>
      </c>
      <c r="C135" s="5" t="str">
        <f>IFERROR(__xludf.DUMMYFUNCTION("""COMPUTED_VALUE"""),"69930")</f>
        <v>69930</v>
      </c>
      <c r="D135" s="5" t="str">
        <f>IFERROR(__xludf.DUMMYFUNCTION("""COMPUTED_VALUE"""),"error")</f>
        <v>error</v>
      </c>
      <c r="E135" s="5" t="str">
        <f>IFERROR(__xludf.DUMMYFUNCTION("""COMPUTED_VALUE"""),"Stock")</f>
        <v>Stock</v>
      </c>
      <c r="F135" s="119" t="str">
        <f>IFERROR(__xludf.DUMMYFUNCTION("""COMPUTED_VALUE"""),"(002759.SZ)")</f>
        <v>(002759.SZ)</v>
      </c>
      <c r="G135" s="30" t="str">
        <f>IFERROR(__xludf.DUMMYFUNCTION("""COMPUTED_VALUE"""),"￥30.15")</f>
        <v>￥30.15</v>
      </c>
      <c r="H135" s="30" t="str">
        <f>IFERROR(__xludf.DUMMYFUNCTION("""COMPUTED_VALUE"""),"Email Account/ TraderID Recognized")</f>
        <v>Email Account/ TraderID Recognized</v>
      </c>
      <c r="I135" s="30" t="str">
        <f>IFERROR(__xludf.DUMMYFUNCTION("""COMPUTED_VALUE"""),"Non-number input in Quantity or Limit Price")</f>
        <v>Non-number input in Quantity or Limit Price</v>
      </c>
      <c r="J135" s="30" t="str">
        <f>IFERROR(__xludf.DUMMYFUNCTION("""COMPUTED_VALUE"""),"Order rejected due to wrong password")</f>
        <v>Order rejected due to wrong password</v>
      </c>
    </row>
    <row r="136">
      <c r="A136" s="5"/>
      <c r="B136" s="118">
        <f>IFERROR(__xludf.DUMMYFUNCTION("""COMPUTED_VALUE"""),44641.35712400463)</f>
        <v>44641.35712</v>
      </c>
      <c r="C136" s="5" t="str">
        <f>IFERROR(__xludf.DUMMYFUNCTION("""COMPUTED_VALUE"""),"69930")</f>
        <v>69930</v>
      </c>
      <c r="D136" s="5" t="str">
        <f>IFERROR(__xludf.DUMMYFUNCTION("""COMPUTED_VALUE"""),"error")</f>
        <v>error</v>
      </c>
      <c r="E136" s="5" t="str">
        <f>IFERROR(__xludf.DUMMYFUNCTION("""COMPUTED_VALUE"""),"Stock")</f>
        <v>Stock</v>
      </c>
      <c r="F136" s="119" t="str">
        <f>IFERROR(__xludf.DUMMYFUNCTION("""COMPUTED_VALUE""")," (000002.SZ)")</f>
        <v> (000002.SZ)</v>
      </c>
      <c r="G136" s="30" t="str">
        <f>IFERROR(__xludf.DUMMYFUNCTION("""COMPUTED_VALUE"""),"￥18.30")</f>
        <v>￥18.30</v>
      </c>
      <c r="H136" s="30" t="str">
        <f>IFERROR(__xludf.DUMMYFUNCTION("""COMPUTED_VALUE"""),"Email Account/ TraderID Recognized")</f>
        <v>Email Account/ TraderID Recognized</v>
      </c>
      <c r="I136" s="30" t="str">
        <f>IFERROR(__xludf.DUMMYFUNCTION("""COMPUTED_VALUE"""),"Non-number input in Quantity or Limit Price")</f>
        <v>Non-number input in Quantity or Limit Price</v>
      </c>
      <c r="J136" s="30" t="str">
        <f>IFERROR(__xludf.DUMMYFUNCTION("""COMPUTED_VALUE"""),"Order rejected due to wrong password")</f>
        <v>Order rejected due to wrong password</v>
      </c>
    </row>
    <row r="137">
      <c r="A137" s="5"/>
      <c r="B137" s="118">
        <f>IFERROR(__xludf.DUMMYFUNCTION("""COMPUTED_VALUE"""),44641.50917525463)</f>
        <v>44641.50918</v>
      </c>
      <c r="C137" s="5" t="str">
        <f>IFERROR(__xludf.DUMMYFUNCTION("""COMPUTED_VALUE"""),"")</f>
        <v/>
      </c>
      <c r="D137" s="5" t="str">
        <f>IFERROR(__xludf.DUMMYFUNCTION("""COMPUTED_VALUE"""),"error")</f>
        <v>error</v>
      </c>
      <c r="E137" s="5" t="str">
        <f>IFERROR(__xludf.DUMMYFUNCTION("""COMPUTED_VALUE"""),"Stock")</f>
        <v>Stock</v>
      </c>
      <c r="F137" s="119" t="str">
        <f>IFERROR(__xludf.DUMMYFUNCTION("""COMPUTED_VALUE"""),"2820")</f>
        <v>2820</v>
      </c>
      <c r="G137" s="30"/>
      <c r="H137" s="30" t="str">
        <f>IFERROR(__xludf.DUMMYFUNCTION("""COMPUTED_VALUE"""),"s127xxxxxx@nonHKMUemail")</f>
        <v>s127xxxxxx@nonHKMUemail</v>
      </c>
      <c r="I137" s="30" t="str">
        <f>IFERROR(__xludf.DUMMYFUNCTION("""COMPUTED_VALUE"""),"Non-number input in Quantity or Limit Price")</f>
        <v>Non-number input in Quantity or Limit Price</v>
      </c>
      <c r="J137" s="30" t="str">
        <f>IFERROR(__xludf.DUMMYFUNCTION("""COMPUTED_VALUE"""),"Order rejected due to wrong ticker code and password.")</f>
        <v>Order rejected due to wrong ticker code and password.</v>
      </c>
    </row>
    <row r="138">
      <c r="A138" s="5"/>
      <c r="B138" s="118">
        <f>IFERROR(__xludf.DUMMYFUNCTION("""COMPUTED_VALUE"""),44642.68514450231)</f>
        <v>44642.68514</v>
      </c>
      <c r="C138" s="5" t="str">
        <f>IFERROR(__xludf.DUMMYFUNCTION("""COMPUTED_VALUE"""),"")</f>
        <v/>
      </c>
      <c r="D138" s="5" t="str">
        <f>IFERROR(__xludf.DUMMYFUNCTION("""COMPUTED_VALUE"""),"error")</f>
        <v>error</v>
      </c>
      <c r="E138" s="5" t="str">
        <f>IFERROR(__xludf.DUMMYFUNCTION("""COMPUTED_VALUE"""),"Stock")</f>
        <v>Stock</v>
      </c>
      <c r="F138" s="121" t="str">
        <f>IFERROR(__xludf.DUMMYFUNCTION("""COMPUTED_VALUE"""),"1810.hk")</f>
        <v>1810.hk</v>
      </c>
      <c r="G138" s="30"/>
      <c r="H138" s="30" t="str">
        <f>IFERROR(__xludf.DUMMYFUNCTION("""COMPUTED_VALUE"""),"s127xxxxxx@nonHKMUemail")</f>
        <v>s127xxxxxx@nonHKMUemail</v>
      </c>
      <c r="I138" s="30" t="str">
        <f>IFERROR(__xludf.DUMMYFUNCTION("""COMPUTED_VALUE"""),"QTY, Limit Price (if any) &amp; Password input correct")</f>
        <v>QTY, Limit Price (if any) &amp; Password input correct</v>
      </c>
      <c r="J138" s="30" t="str">
        <f>IFERROR(__xludf.DUMMYFUNCTION("""COMPUTED_VALUE"""),"Order rejected due to non school email address and wrong quantity (input = 20units, should be 20)")</f>
        <v>Order rejected due to non school email address and wrong quantity (input = 20units, should be 20)</v>
      </c>
    </row>
    <row r="139">
      <c r="A139" s="5"/>
      <c r="B139" s="118">
        <f>IFERROR(__xludf.DUMMYFUNCTION("""COMPUTED_VALUE"""),44642.808391597224)</f>
        <v>44642.80839</v>
      </c>
      <c r="C139" s="5" t="str">
        <f>IFERROR(__xludf.DUMMYFUNCTION("""COMPUTED_VALUE"""),"")</f>
        <v/>
      </c>
      <c r="D139" s="5" t="str">
        <f>IFERROR(__xludf.DUMMYFUNCTION("""COMPUTED_VALUE"""),"error")</f>
        <v>error</v>
      </c>
      <c r="E139" s="5" t="str">
        <f>IFERROR(__xludf.DUMMYFUNCTION("""COMPUTED_VALUE"""),"Stock")</f>
        <v>Stock</v>
      </c>
      <c r="F139" s="119" t="str">
        <f>IFERROR(__xludf.DUMMYFUNCTION("""COMPUTED_VALUE"""),"00386")</f>
        <v>00386</v>
      </c>
      <c r="G139" s="30">
        <f>IFERROR(__xludf.DUMMYFUNCTION("""COMPUTED_VALUE"""),3.75)</f>
        <v>3.75</v>
      </c>
      <c r="H139" s="30" t="str">
        <f>IFERROR(__xludf.DUMMYFUNCTION("""COMPUTED_VALUE"""),"homixxxxxx@nonHKMUemail")</f>
        <v>homixxxxxx@nonHKMUemail</v>
      </c>
      <c r="I139" s="30" t="str">
        <f>IFERROR(__xludf.DUMMYFUNCTION("""COMPUTED_VALUE"""),"QTY, Limit Price (if any) &amp; Password input correct")</f>
        <v>QTY, Limit Price (if any) &amp; Password input correct</v>
      </c>
      <c r="J139" s="30" t="str">
        <f>IFERROR(__xludf.DUMMYFUNCTION("""COMPUTED_VALUE"""),"Order rejected due to non school email address and wrong ticker code")</f>
        <v>Order rejected due to non school email address and wrong ticker code</v>
      </c>
    </row>
    <row r="140">
      <c r="A140" s="5"/>
      <c r="B140" s="118">
        <f>IFERROR(__xludf.DUMMYFUNCTION("""COMPUTED_VALUE"""),44642.81834409722)</f>
        <v>44642.81834</v>
      </c>
      <c r="C140" s="5" t="str">
        <f>IFERROR(__xludf.DUMMYFUNCTION("""COMPUTED_VALUE"""),"")</f>
        <v/>
      </c>
      <c r="D140" s="5" t="str">
        <f>IFERROR(__xludf.DUMMYFUNCTION("""COMPUTED_VALUE"""),"error")</f>
        <v>error</v>
      </c>
      <c r="E140" s="5" t="str">
        <f>IFERROR(__xludf.DUMMYFUNCTION("""COMPUTED_VALUE"""),"Stock")</f>
        <v>Stock</v>
      </c>
      <c r="F140" s="119" t="str">
        <f>IFERROR(__xludf.DUMMYFUNCTION("""COMPUTED_VALUE"""),"09988")</f>
        <v>09988</v>
      </c>
      <c r="G140" s="30">
        <f>IFERROR(__xludf.DUMMYFUNCTION("""COMPUTED_VALUE"""),110.3)</f>
        <v>110.3</v>
      </c>
      <c r="H140" s="30" t="str">
        <f>IFERROR(__xludf.DUMMYFUNCTION("""COMPUTED_VALUE"""),"homixxxxxx@nonHKMUemail")</f>
        <v>homixxxxxx@nonHKMUemail</v>
      </c>
      <c r="I140" s="30" t="str">
        <f>IFERROR(__xludf.DUMMYFUNCTION("""COMPUTED_VALUE"""),"QTY, Limit Price (if any) &amp; Password input correct")</f>
        <v>QTY, Limit Price (if any) &amp; Password input correct</v>
      </c>
      <c r="J140" s="30" t="str">
        <f>IFERROR(__xludf.DUMMYFUNCTION("""COMPUTED_VALUE"""),"Order rejected due to non school email address and wrong ticker code")</f>
        <v>Order rejected due to non school email address and wrong ticker code</v>
      </c>
    </row>
    <row r="141">
      <c r="A141" s="5"/>
      <c r="B141" s="118">
        <f>IFERROR(__xludf.DUMMYFUNCTION("""COMPUTED_VALUE"""),44642.82178576389)</f>
        <v>44642.82179</v>
      </c>
      <c r="C141" s="5" t="str">
        <f>IFERROR(__xludf.DUMMYFUNCTION("""COMPUTED_VALUE"""),"")</f>
        <v/>
      </c>
      <c r="D141" s="5" t="str">
        <f>IFERROR(__xludf.DUMMYFUNCTION("""COMPUTED_VALUE"""),"error")</f>
        <v>error</v>
      </c>
      <c r="E141" s="5" t="str">
        <f>IFERROR(__xludf.DUMMYFUNCTION("""COMPUTED_VALUE"""),"Stock")</f>
        <v>Stock</v>
      </c>
      <c r="F141" s="119" t="str">
        <f>IFERROR(__xludf.DUMMYFUNCTION("""COMPUTED_VALUE"""),"0883")</f>
        <v>0883</v>
      </c>
      <c r="G141" s="30">
        <f>IFERROR(__xludf.DUMMYFUNCTION("""COMPUTED_VALUE"""),10.15)</f>
        <v>10.15</v>
      </c>
      <c r="H141" s="30" t="str">
        <f>IFERROR(__xludf.DUMMYFUNCTION("""COMPUTED_VALUE"""),"homixxxxxx@nonHKMUemail")</f>
        <v>homixxxxxx@nonHKMUemail</v>
      </c>
      <c r="I141" s="30" t="str">
        <f>IFERROR(__xludf.DUMMYFUNCTION("""COMPUTED_VALUE"""),"QTY, Limit Price (if any) &amp; Password input correct")</f>
        <v>QTY, Limit Price (if any) &amp; Password input correct</v>
      </c>
      <c r="J141" s="30" t="str">
        <f>IFERROR(__xludf.DUMMYFUNCTION("""COMPUTED_VALUE"""),"Order rejected due to non school email address and wrong ticker code")</f>
        <v>Order rejected due to non school email address and wrong ticker code</v>
      </c>
    </row>
    <row r="142">
      <c r="A142" s="5"/>
      <c r="B142" s="118">
        <f>IFERROR(__xludf.DUMMYFUNCTION("""COMPUTED_VALUE"""),44642.83384037037)</f>
        <v>44642.83384</v>
      </c>
      <c r="C142" s="5" t="str">
        <f>IFERROR(__xludf.DUMMYFUNCTION("""COMPUTED_VALUE"""),"")</f>
        <v/>
      </c>
      <c r="D142" s="5" t="str">
        <f>IFERROR(__xludf.DUMMYFUNCTION("""COMPUTED_VALUE"""),"error")</f>
        <v>error</v>
      </c>
      <c r="E142" s="5" t="str">
        <f>IFERROR(__xludf.DUMMYFUNCTION("""COMPUTED_VALUE"""),"Stock")</f>
        <v>Stock</v>
      </c>
      <c r="F142" s="119" t="str">
        <f>IFERROR(__xludf.DUMMYFUNCTION("""COMPUTED_VALUE"""),"1810")</f>
        <v>1810</v>
      </c>
      <c r="G142" s="30">
        <f>IFERROR(__xludf.DUMMYFUNCTION("""COMPUTED_VALUE"""),14.2)</f>
        <v>14.2</v>
      </c>
      <c r="H142" s="30" t="str">
        <f>IFERROR(__xludf.DUMMYFUNCTION("""COMPUTED_VALUE"""),"homixxxxxx@nonHKMUemail")</f>
        <v>homixxxxxx@nonHKMUemail</v>
      </c>
      <c r="I142" s="30" t="str">
        <f>IFERROR(__xludf.DUMMYFUNCTION("""COMPUTED_VALUE"""),"QTY, Limit Price (if any) &amp; Password input correct")</f>
        <v>QTY, Limit Price (if any) &amp; Password input correct</v>
      </c>
      <c r="J142" s="30" t="str">
        <f>IFERROR(__xludf.DUMMYFUNCTION("""COMPUTED_VALUE"""),"Order rejected due to non school email address and wrong ticker code")</f>
        <v>Order rejected due to non school email address and wrong ticker code</v>
      </c>
    </row>
    <row r="143">
      <c r="A143" s="5"/>
      <c r="B143" s="118">
        <f>IFERROR(__xludf.DUMMYFUNCTION("""COMPUTED_VALUE"""),44643.43723913195)</f>
        <v>44643.43724</v>
      </c>
      <c r="C143" s="5" t="str">
        <f>IFERROR(__xludf.DUMMYFUNCTION("""COMPUTED_VALUE"""),"39704")</f>
        <v>39704</v>
      </c>
      <c r="D143" s="5" t="str">
        <f>IFERROR(__xludf.DUMMYFUNCTION("""COMPUTED_VALUE"""),"error")</f>
        <v>error</v>
      </c>
      <c r="E143" s="5" t="str">
        <f>IFERROR(__xludf.DUMMYFUNCTION("""COMPUTED_VALUE"""),"Stock")</f>
        <v>Stock</v>
      </c>
      <c r="F143" s="119" t="str">
        <f>IFERROR(__xludf.DUMMYFUNCTION("""COMPUTED_VALUE"""),"PYPL.O")</f>
        <v>PYPL.O</v>
      </c>
      <c r="G143" s="30"/>
      <c r="H143" s="30" t="str">
        <f>IFERROR(__xludf.DUMMYFUNCTION("""COMPUTED_VALUE"""),"Email Account/ TraderID Recognized")</f>
        <v>Email Account/ TraderID Recognized</v>
      </c>
      <c r="I143" s="30" t="str">
        <f>IFERROR(__xludf.DUMMYFUNCTION("""COMPUTED_VALUE"""),"QTY, Limit Price (if any) &amp; Password input correct")</f>
        <v>QTY, Limit Price (if any) &amp; Password input correct</v>
      </c>
      <c r="J143" s="30" t="str">
        <f>IFERROR(__xludf.DUMMYFUNCTION("""COMPUTED_VALUE"""),"Order rejected due to wrong ticker code")</f>
        <v>Order rejected due to wrong ticker code</v>
      </c>
    </row>
    <row r="144">
      <c r="A144" s="5"/>
      <c r="B144" s="118">
        <f>IFERROR(__xludf.DUMMYFUNCTION("""COMPUTED_VALUE"""),44643.46376141204)</f>
        <v>44643.46376</v>
      </c>
      <c r="C144" s="5" t="str">
        <f>IFERROR(__xludf.DUMMYFUNCTION("""COMPUTED_VALUE"""),"")</f>
        <v/>
      </c>
      <c r="D144" s="5" t="str">
        <f>IFERROR(__xludf.DUMMYFUNCTION("""COMPUTED_VALUE"""),"error")</f>
        <v>error</v>
      </c>
      <c r="E144" s="5" t="str">
        <f>IFERROR(__xludf.DUMMYFUNCTION("""COMPUTED_VALUE"""),"Stock")</f>
        <v>Stock</v>
      </c>
      <c r="F144" s="119" t="str">
        <f>IFERROR(__xludf.DUMMYFUNCTION("""COMPUTED_VALUE"""),"01882")</f>
        <v>01882</v>
      </c>
      <c r="G144" s="30">
        <f>IFERROR(__xludf.DUMMYFUNCTION("""COMPUTED_VALUE"""),19.0)</f>
        <v>19</v>
      </c>
      <c r="H144" s="30" t="str">
        <f>IFERROR(__xludf.DUMMYFUNCTION("""COMPUTED_VALUE"""),"2508xxxxxx@nonHKMUemail")</f>
        <v>2508xxxxxx@nonHKMUemail</v>
      </c>
      <c r="I144" s="30" t="str">
        <f>IFERROR(__xludf.DUMMYFUNCTION("""COMPUTED_VALUE"""),"QTY, Limit Price (if any) &amp; Password input correct")</f>
        <v>QTY, Limit Price (if any) &amp; Password input correct</v>
      </c>
      <c r="J144" s="30" t="str">
        <f>IFERROR(__xludf.DUMMYFUNCTION("""COMPUTED_VALUE"""),"Order rejected due to wrong ticker code and non school email account")</f>
        <v>Order rejected due to wrong ticker code and non school email account</v>
      </c>
    </row>
    <row r="145">
      <c r="A145" s="5"/>
      <c r="B145" s="118">
        <f>IFERROR(__xludf.DUMMYFUNCTION("""COMPUTED_VALUE"""),44643.47614408565)</f>
        <v>44643.47614</v>
      </c>
      <c r="C145" s="5" t="str">
        <f>IFERROR(__xludf.DUMMYFUNCTION("""COMPUTED_VALUE"""),"")</f>
        <v/>
      </c>
      <c r="D145" s="5" t="str">
        <f>IFERROR(__xludf.DUMMYFUNCTION("""COMPUTED_VALUE"""),"error")</f>
        <v>error</v>
      </c>
      <c r="E145" s="5" t="str">
        <f>IFERROR(__xludf.DUMMYFUNCTION("""COMPUTED_VALUE"""),"Stock")</f>
        <v>Stock</v>
      </c>
      <c r="F145" s="119" t="str">
        <f>IFERROR(__xludf.DUMMYFUNCTION("""COMPUTED_VALUE"""),"BA")</f>
        <v>BA</v>
      </c>
      <c r="G145" s="30">
        <f>IFERROR(__xludf.DUMMYFUNCTION("""COMPUTED_VALUE"""),188.0)</f>
        <v>188</v>
      </c>
      <c r="H145" s="30" t="str">
        <f>IFERROR(__xludf.DUMMYFUNCTION("""COMPUTED_VALUE"""),"2508xxxxxx@nonHKMUemail")</f>
        <v>2508xxxxxx@nonHKMUemail</v>
      </c>
      <c r="I145" s="30" t="str">
        <f>IFERROR(__xludf.DUMMYFUNCTION("""COMPUTED_VALUE"""),"QTY, Limit Price (if any) &amp; Password input correct")</f>
        <v>QTY, Limit Price (if any) &amp; Password input correct</v>
      </c>
      <c r="J145" s="30" t="str">
        <f>IFERROR(__xludf.DUMMYFUNCTION("""COMPUTED_VALUE"""),"Order rejected due to wrong ticker code and non school email account")</f>
        <v>Order rejected due to wrong ticker code and non school email account</v>
      </c>
    </row>
    <row r="146">
      <c r="A146" s="5"/>
      <c r="B146" s="118">
        <f>IFERROR(__xludf.DUMMYFUNCTION("""COMPUTED_VALUE"""),44643.49924424769)</f>
        <v>44643.49924</v>
      </c>
      <c r="C146" s="5" t="str">
        <f>IFERROR(__xludf.DUMMYFUNCTION("""COMPUTED_VALUE"""),"36242")</f>
        <v>36242</v>
      </c>
      <c r="D146" s="5" t="str">
        <f>IFERROR(__xludf.DUMMYFUNCTION("""COMPUTED_VALUE"""),"error")</f>
        <v>error</v>
      </c>
      <c r="E146" s="5" t="str">
        <f>IFERROR(__xludf.DUMMYFUNCTION("""COMPUTED_VALUE"""),"Stock")</f>
        <v>Stock</v>
      </c>
      <c r="F146" s="119" t="str">
        <f>IFERROR(__xludf.DUMMYFUNCTION("""COMPUTED_VALUE"""),"01882")</f>
        <v>01882</v>
      </c>
      <c r="G146" s="30">
        <f>IFERROR(__xludf.DUMMYFUNCTION("""COMPUTED_VALUE"""),20.0)</f>
        <v>20</v>
      </c>
      <c r="H146" s="30" t="str">
        <f>IFERROR(__xludf.DUMMYFUNCTION("""COMPUTED_VALUE"""),"Email Account/ TraderID Recognized")</f>
        <v>Email Account/ TraderID Recognized</v>
      </c>
      <c r="I146" s="30" t="str">
        <f>IFERROR(__xludf.DUMMYFUNCTION("""COMPUTED_VALUE"""),"QTY, Limit Price (if any) &amp; Password input correct")</f>
        <v>QTY, Limit Price (if any) &amp; Password input correct</v>
      </c>
      <c r="J146" s="30" t="str">
        <f>IFERROR(__xludf.DUMMYFUNCTION("""COMPUTED_VALUE"""),"Order rejected due to wrong ticker code")</f>
        <v>Order rejected due to wrong ticker code</v>
      </c>
    </row>
    <row r="147">
      <c r="A147" s="5"/>
      <c r="B147" s="118">
        <f>IFERROR(__xludf.DUMMYFUNCTION("""COMPUTED_VALUE"""),44643.55798378472)</f>
        <v>44643.55798</v>
      </c>
      <c r="C147" s="5" t="str">
        <f>IFERROR(__xludf.DUMMYFUNCTION("""COMPUTED_VALUE"""),"35702")</f>
        <v>35702</v>
      </c>
      <c r="D147" s="5" t="str">
        <f>IFERROR(__xludf.DUMMYFUNCTION("""COMPUTED_VALUE"""),"error")</f>
        <v>error</v>
      </c>
      <c r="E147" s="5" t="str">
        <f>IFERROR(__xludf.DUMMYFUNCTION("""COMPUTED_VALUE"""),"Stock")</f>
        <v>Stock</v>
      </c>
      <c r="F147" s="119" t="str">
        <f>IFERROR(__xludf.DUMMYFUNCTION("""COMPUTED_VALUE"""),"600522")</f>
        <v>600522</v>
      </c>
      <c r="G147" s="30"/>
      <c r="H147" s="30" t="str">
        <f>IFERROR(__xludf.DUMMYFUNCTION("""COMPUTED_VALUE"""),"Email Account/ TraderID Recognized")</f>
        <v>Email Account/ TraderID Recognized</v>
      </c>
      <c r="I147" s="30" t="str">
        <f>IFERROR(__xludf.DUMMYFUNCTION("""COMPUTED_VALUE"""),"QTY, Limit Price (if any) &amp; Password input correct")</f>
        <v>QTY, Limit Price (if any) &amp; Password input correct</v>
      </c>
      <c r="J147" s="30" t="str">
        <f>IFERROR(__xludf.DUMMYFUNCTION("""COMPUTED_VALUE"""),"Order rejected due to wrong ticker code")</f>
        <v>Order rejected due to wrong ticker code</v>
      </c>
    </row>
    <row r="148">
      <c r="A148" s="5"/>
      <c r="B148" s="118">
        <f>IFERROR(__xludf.DUMMYFUNCTION("""COMPUTED_VALUE"""),44643.59943850695)</f>
        <v>44643.59944</v>
      </c>
      <c r="C148" s="5" t="str">
        <f>IFERROR(__xludf.DUMMYFUNCTION("""COMPUTED_VALUE"""),"")</f>
        <v/>
      </c>
      <c r="D148" s="5" t="str">
        <f>IFERROR(__xludf.DUMMYFUNCTION("""COMPUTED_VALUE"""),"error")</f>
        <v>error</v>
      </c>
      <c r="E148" s="5" t="str">
        <f>IFERROR(__xludf.DUMMYFUNCTION("""COMPUTED_VALUE"""),"Stock")</f>
        <v>Stock</v>
      </c>
      <c r="F148" s="121" t="str">
        <f>IFERROR(__xludf.DUMMYFUNCTION("""COMPUTED_VALUE"""),"1024.HK")</f>
        <v>1024.HK</v>
      </c>
      <c r="G148" s="30">
        <f>IFERROR(__xludf.DUMMYFUNCTION("""COMPUTED_VALUE"""),80.0)</f>
        <v>80</v>
      </c>
      <c r="H148" s="30" t="str">
        <f>IFERROR(__xludf.DUMMYFUNCTION("""COMPUTED_VALUE"""),"jiaxxxxxxx@nonHKMUemail")</f>
        <v>jiaxxxxxxx@nonHKMUemail</v>
      </c>
      <c r="I148" s="30" t="str">
        <f>IFERROR(__xludf.DUMMYFUNCTION("""COMPUTED_VALUE"""),"QTY, Limit Price (if any) &amp; Password input correct")</f>
        <v>QTY, Limit Price (if any) &amp; Password input correct</v>
      </c>
      <c r="J148" s="30" t="str">
        <f>IFERROR(__xludf.DUMMYFUNCTION("""COMPUTED_VALUE"""),"Order rejected due to wrong ticker code and non school email account")</f>
        <v>Order rejected due to wrong ticker code and non school email account</v>
      </c>
    </row>
    <row r="149">
      <c r="A149" s="5"/>
      <c r="B149" s="118">
        <f>IFERROR(__xludf.DUMMYFUNCTION("""COMPUTED_VALUE"""),44643.60007542824)</f>
        <v>44643.60008</v>
      </c>
      <c r="C149" s="5" t="str">
        <f>IFERROR(__xludf.DUMMYFUNCTION("""COMPUTED_VALUE"""),"")</f>
        <v/>
      </c>
      <c r="D149" s="5" t="str">
        <f>IFERROR(__xludf.DUMMYFUNCTION("""COMPUTED_VALUE"""),"error")</f>
        <v>error</v>
      </c>
      <c r="E149" s="5" t="str">
        <f>IFERROR(__xludf.DUMMYFUNCTION("""COMPUTED_VALUE"""),"Stock")</f>
        <v>Stock</v>
      </c>
      <c r="F149" s="121" t="str">
        <f>IFERROR(__xludf.DUMMYFUNCTION("""COMPUTED_VALUE"""),"1024.HK")</f>
        <v>1024.HK</v>
      </c>
      <c r="G149" s="30">
        <f>IFERROR(__xludf.DUMMYFUNCTION("""COMPUTED_VALUE"""),81.5)</f>
        <v>81.5</v>
      </c>
      <c r="H149" s="30" t="str">
        <f>IFERROR(__xludf.DUMMYFUNCTION("""COMPUTED_VALUE"""),"jiaxxxxxxx@nonHKMUemail")</f>
        <v>jiaxxxxxxx@nonHKMUemail</v>
      </c>
      <c r="I149" s="30" t="str">
        <f>IFERROR(__xludf.DUMMYFUNCTION("""COMPUTED_VALUE"""),"QTY, Limit Price (if any) &amp; Password input correct")</f>
        <v>QTY, Limit Price (if any) &amp; Password input correct</v>
      </c>
      <c r="J149" s="30" t="str">
        <f>IFERROR(__xludf.DUMMYFUNCTION("""COMPUTED_VALUE"""),"Order rejected due to wrong ticker code and non school email account")</f>
        <v>Order rejected due to wrong ticker code and non school email account</v>
      </c>
    </row>
    <row r="150">
      <c r="A150" s="5"/>
      <c r="B150" s="118">
        <f>IFERROR(__xludf.DUMMYFUNCTION("""COMPUTED_VALUE"""),44643.6713678588)</f>
        <v>44643.67137</v>
      </c>
      <c r="C150" s="5" t="str">
        <f>IFERROR(__xludf.DUMMYFUNCTION("""COMPUTED_VALUE"""),"")</f>
        <v/>
      </c>
      <c r="D150" s="5" t="str">
        <f>IFERROR(__xludf.DUMMYFUNCTION("""COMPUTED_VALUE"""),"error")</f>
        <v>error</v>
      </c>
      <c r="E150" s="5" t="str">
        <f>IFERROR(__xludf.DUMMYFUNCTION("""COMPUTED_VALUE"""),"Stock")</f>
        <v>Stock</v>
      </c>
      <c r="F150" s="121" t="str">
        <f>IFERROR(__xludf.DUMMYFUNCTION("""COMPUTED_VALUE"""),"9988.HK")</f>
        <v>9988.HK</v>
      </c>
      <c r="G150" s="30"/>
      <c r="H150" s="30" t="str">
        <f>IFERROR(__xludf.DUMMYFUNCTION("""COMPUTED_VALUE"""),"s124xxxxxx@nonHKMUemail")</f>
        <v>s124xxxxxx@nonHKMUemail</v>
      </c>
      <c r="I150" s="30" t="str">
        <f>IFERROR(__xludf.DUMMYFUNCTION("""COMPUTED_VALUE"""),"QTY, Limit Price (if any) &amp; Password input correct")</f>
        <v>QTY, Limit Price (if any) &amp; Password input correct</v>
      </c>
      <c r="J150" s="30" t="str">
        <f>IFERROR(__xludf.DUMMYFUNCTION("""COMPUTED_VALUE"""),"Order rejected due to non school email account")</f>
        <v>Order rejected due to non school email account</v>
      </c>
    </row>
    <row r="151">
      <c r="A151" s="5"/>
      <c r="B151" s="118">
        <f>IFERROR(__xludf.DUMMYFUNCTION("""COMPUTED_VALUE"""),44643.785811828704)</f>
        <v>44643.78581</v>
      </c>
      <c r="C151" s="5" t="str">
        <f>IFERROR(__xludf.DUMMYFUNCTION("""COMPUTED_VALUE"""),"75973")</f>
        <v>75973</v>
      </c>
      <c r="D151" s="5" t="str">
        <f>IFERROR(__xludf.DUMMYFUNCTION("""COMPUTED_VALUE"""),"error")</f>
        <v>error</v>
      </c>
      <c r="E151" s="5" t="str">
        <f>IFERROR(__xludf.DUMMYFUNCTION("""COMPUTED_VALUE"""),"Stock")</f>
        <v>Stock</v>
      </c>
      <c r="F151" s="121" t="str">
        <f>IFERROR(__xludf.DUMMYFUNCTION("""COMPUTED_VALUE"""),"600519.SH")</f>
        <v>600519.SH</v>
      </c>
      <c r="G151" s="30"/>
      <c r="H151" s="30" t="str">
        <f>IFERROR(__xludf.DUMMYFUNCTION("""COMPUTED_VALUE"""),"Email Account/ TraderID Recognized")</f>
        <v>Email Account/ TraderID Recognized</v>
      </c>
      <c r="I151" s="30" t="str">
        <f>IFERROR(__xludf.DUMMYFUNCTION("""COMPUTED_VALUE"""),"QTY, Limit Price (if any) &amp; Password input correct")</f>
        <v>QTY, Limit Price (if any) &amp; Password input correct</v>
      </c>
      <c r="J151" s="30" t="str">
        <f>IFERROR(__xludf.DUMMYFUNCTION("""COMPUTED_VALUE"""),"Order rejected due to wrong ticker code")</f>
        <v>Order rejected due to wrong ticker code</v>
      </c>
    </row>
    <row r="152">
      <c r="A152" s="5"/>
      <c r="B152" s="118">
        <f>IFERROR(__xludf.DUMMYFUNCTION("""COMPUTED_VALUE"""),44643.79100837963)</f>
        <v>44643.79101</v>
      </c>
      <c r="C152" s="5" t="str">
        <f>IFERROR(__xludf.DUMMYFUNCTION("""COMPUTED_VALUE"""),"75973")</f>
        <v>75973</v>
      </c>
      <c r="D152" s="5" t="str">
        <f>IFERROR(__xludf.DUMMYFUNCTION("""COMPUTED_VALUE"""),"error")</f>
        <v>error</v>
      </c>
      <c r="E152" s="5" t="str">
        <f>IFERROR(__xludf.DUMMYFUNCTION("""COMPUTED_VALUE"""),"Stock")</f>
        <v>Stock</v>
      </c>
      <c r="F152" s="121" t="str">
        <f>IFERROR(__xludf.DUMMYFUNCTION("""COMPUTED_VALUE"""),"AROW.US")</f>
        <v>AROW.US</v>
      </c>
      <c r="G152" s="30"/>
      <c r="H152" s="30" t="str">
        <f>IFERROR(__xludf.DUMMYFUNCTION("""COMPUTED_VALUE"""),"Email Account/ TraderID Recognized")</f>
        <v>Email Account/ TraderID Recognized</v>
      </c>
      <c r="I152" s="30" t="str">
        <f>IFERROR(__xludf.DUMMYFUNCTION("""COMPUTED_VALUE"""),"QTY, Limit Price (if any) &amp; Password input correct")</f>
        <v>QTY, Limit Price (if any) &amp; Password input correct</v>
      </c>
      <c r="J152" s="30" t="str">
        <f>IFERROR(__xludf.DUMMYFUNCTION("""COMPUTED_VALUE"""),"Order rejected due to wrong ticker code")</f>
        <v>Order rejected due to wrong ticker code</v>
      </c>
    </row>
    <row r="153">
      <c r="A153" s="5"/>
      <c r="B153" s="118">
        <f>IFERROR(__xludf.DUMMYFUNCTION("""COMPUTED_VALUE"""),44643.810868078705)</f>
        <v>44643.81087</v>
      </c>
      <c r="C153" s="5" t="str">
        <f>IFERROR(__xludf.DUMMYFUNCTION("""COMPUTED_VALUE"""),"75973")</f>
        <v>75973</v>
      </c>
      <c r="D153" s="5" t="str">
        <f>IFERROR(__xludf.DUMMYFUNCTION("""COMPUTED_VALUE"""),"error")</f>
        <v>error</v>
      </c>
      <c r="E153" s="5" t="str">
        <f>IFERROR(__xludf.DUMMYFUNCTION("""COMPUTED_VALUE"""),"Stock")</f>
        <v>Stock</v>
      </c>
      <c r="F153" s="121" t="str">
        <f>IFERROR(__xludf.DUMMYFUNCTION("""COMPUTED_VALUE"""),"ATAX.US")</f>
        <v>ATAX.US</v>
      </c>
      <c r="G153" s="30"/>
      <c r="H153" s="30" t="str">
        <f>IFERROR(__xludf.DUMMYFUNCTION("""COMPUTED_VALUE"""),"Email Account/ TraderID Recognized")</f>
        <v>Email Account/ TraderID Recognized</v>
      </c>
      <c r="I153" s="30" t="str">
        <f>IFERROR(__xludf.DUMMYFUNCTION("""COMPUTED_VALUE"""),"QTY, Limit Price (if any) &amp; Password input correct")</f>
        <v>QTY, Limit Price (if any) &amp; Password input correct</v>
      </c>
      <c r="J153" s="30" t="str">
        <f>IFERROR(__xludf.DUMMYFUNCTION("""COMPUTED_VALUE"""),"Order rejected due to wrong ticker code")</f>
        <v>Order rejected due to wrong ticker code</v>
      </c>
    </row>
    <row r="154">
      <c r="A154" s="5"/>
      <c r="B154" s="118">
        <f>IFERROR(__xludf.DUMMYFUNCTION("""COMPUTED_VALUE"""),44643.82835210648)</f>
        <v>44643.82835</v>
      </c>
      <c r="C154" s="5" t="str">
        <f>IFERROR(__xludf.DUMMYFUNCTION("""COMPUTED_VALUE"""),"75973")</f>
        <v>75973</v>
      </c>
      <c r="D154" s="5" t="str">
        <f>IFERROR(__xludf.DUMMYFUNCTION("""COMPUTED_VALUE"""),"error")</f>
        <v>error</v>
      </c>
      <c r="E154" s="5" t="str">
        <f>IFERROR(__xludf.DUMMYFUNCTION("""COMPUTED_VALUE"""),"Stock")</f>
        <v>Stock</v>
      </c>
      <c r="F154" s="121" t="str">
        <f>IFERROR(__xludf.DUMMYFUNCTION("""COMPUTED_VALUE"""),"BKSC.US")</f>
        <v>BKSC.US</v>
      </c>
      <c r="G154" s="30"/>
      <c r="H154" s="30" t="str">
        <f>IFERROR(__xludf.DUMMYFUNCTION("""COMPUTED_VALUE"""),"Email Account/ TraderID Recognized")</f>
        <v>Email Account/ TraderID Recognized</v>
      </c>
      <c r="I154" s="30" t="str">
        <f>IFERROR(__xludf.DUMMYFUNCTION("""COMPUTED_VALUE"""),"QTY, Limit Price (if any) &amp; Password input correct")</f>
        <v>QTY, Limit Price (if any) &amp; Password input correct</v>
      </c>
      <c r="J154" s="30" t="str">
        <f>IFERROR(__xludf.DUMMYFUNCTION("""COMPUTED_VALUE"""),"Order rejected due to wrong ticker code")</f>
        <v>Order rejected due to wrong ticker code</v>
      </c>
    </row>
    <row r="155">
      <c r="A155" s="5"/>
      <c r="B155" s="118">
        <f>IFERROR(__xludf.DUMMYFUNCTION("""COMPUTED_VALUE"""),44643.83875552083)</f>
        <v>44643.83876</v>
      </c>
      <c r="C155" s="5" t="str">
        <f>IFERROR(__xludf.DUMMYFUNCTION("""COMPUTED_VALUE"""),"75973")</f>
        <v>75973</v>
      </c>
      <c r="D155" s="5" t="str">
        <f>IFERROR(__xludf.DUMMYFUNCTION("""COMPUTED_VALUE"""),"error")</f>
        <v>error</v>
      </c>
      <c r="E155" s="5" t="str">
        <f>IFERROR(__xludf.DUMMYFUNCTION("""COMPUTED_VALUE"""),"Stock")</f>
        <v>Stock</v>
      </c>
      <c r="F155" s="121" t="str">
        <f>IFERROR(__xludf.DUMMYFUNCTION("""COMPUTED_VALUE"""),"01211.HK")</f>
        <v>01211.HK</v>
      </c>
      <c r="G155" s="30"/>
      <c r="H155" s="30" t="str">
        <f>IFERROR(__xludf.DUMMYFUNCTION("""COMPUTED_VALUE"""),"Email Account/ TraderID Recognized")</f>
        <v>Email Account/ TraderID Recognized</v>
      </c>
      <c r="I155" s="30" t="str">
        <f>IFERROR(__xludf.DUMMYFUNCTION("""COMPUTED_VALUE"""),"QTY, Limit Price (if any) &amp; Password input correct")</f>
        <v>QTY, Limit Price (if any) &amp; Password input correct</v>
      </c>
      <c r="J155" s="30" t="str">
        <f>IFERROR(__xludf.DUMMYFUNCTION("""COMPUTED_VALUE"""),"Order rejected due to wrong ticker code")</f>
        <v>Order rejected due to wrong ticker code</v>
      </c>
    </row>
    <row r="156">
      <c r="A156" s="5"/>
      <c r="B156" s="118">
        <f>IFERROR(__xludf.DUMMYFUNCTION("""COMPUTED_VALUE"""),44643.848833993055)</f>
        <v>44643.84883</v>
      </c>
      <c r="C156" s="5" t="str">
        <f>IFERROR(__xludf.DUMMYFUNCTION("""COMPUTED_VALUE"""),"82533")</f>
        <v>82533</v>
      </c>
      <c r="D156" s="5" t="str">
        <f>IFERROR(__xludf.DUMMYFUNCTION("""COMPUTED_VALUE"""),"error")</f>
        <v>error</v>
      </c>
      <c r="E156" s="5" t="str">
        <f>IFERROR(__xludf.DUMMYFUNCTION("""COMPUTED_VALUE"""),"Stock")</f>
        <v>Stock</v>
      </c>
      <c r="F156" s="119" t="str">
        <f>IFERROR(__xludf.DUMMYFUNCTION("""COMPUTED_VALUE"""),"COIN")</f>
        <v>COIN</v>
      </c>
      <c r="G156" s="30"/>
      <c r="H156" s="30" t="str">
        <f>IFERROR(__xludf.DUMMYFUNCTION("""COMPUTED_VALUE"""),"Email Account/ TraderID Recognized")</f>
        <v>Email Account/ TraderID Recognized</v>
      </c>
      <c r="I156" s="30" t="str">
        <f>IFERROR(__xludf.DUMMYFUNCTION("""COMPUTED_VALUE"""),"Wrong Password Submitted, Order will be rejected")</f>
        <v>Wrong Password Submitted, Order will be rejected</v>
      </c>
      <c r="J156" s="30" t="str">
        <f>IFERROR(__xludf.DUMMYFUNCTION("""COMPUTED_VALUE"""),"Order rejected due to wrong password")</f>
        <v>Order rejected due to wrong password</v>
      </c>
    </row>
    <row r="157">
      <c r="A157" s="5"/>
      <c r="B157" s="118">
        <f>IFERROR(__xludf.DUMMYFUNCTION("""COMPUTED_VALUE"""),44643.92783901621)</f>
        <v>44643.92784</v>
      </c>
      <c r="C157" s="5" t="str">
        <f>IFERROR(__xludf.DUMMYFUNCTION("""COMPUTED_VALUE"""),"89833")</f>
        <v>89833</v>
      </c>
      <c r="D157" s="5" t="str">
        <f>IFERROR(__xludf.DUMMYFUNCTION("""COMPUTED_VALUE"""),"error")</f>
        <v>error</v>
      </c>
      <c r="E157" s="5" t="str">
        <f>IFERROR(__xludf.DUMMYFUNCTION("""COMPUTED_VALUE"""),"Stock")</f>
        <v>Stock</v>
      </c>
      <c r="F157" s="119" t="str">
        <f>IFERROR(__xludf.DUMMYFUNCTION("""COMPUTED_VALUE"""),"OXY ")</f>
        <v>OXY </v>
      </c>
      <c r="G157" s="30" t="str">
        <f>IFERROR(__xludf.DUMMYFUNCTION("""COMPUTED_VALUE"""),"limit buy:61.8")</f>
        <v>limit buy:61.8</v>
      </c>
      <c r="H157" s="30" t="str">
        <f>IFERROR(__xludf.DUMMYFUNCTION("""COMPUTED_VALUE"""),"Email Account/ TraderID Recognized")</f>
        <v>Email Account/ TraderID Recognized</v>
      </c>
      <c r="I157" s="30" t="str">
        <f>IFERROR(__xludf.DUMMYFUNCTION("""COMPUTED_VALUE"""),"Non-number input in Quantity or Limit Price")</f>
        <v>Non-number input in Quantity or Limit Price</v>
      </c>
      <c r="J157" s="30" t="str">
        <f>IFERROR(__xludf.DUMMYFUNCTION("""COMPUTED_VALUE"""),"Order rejected due to non numeric character in limit box")</f>
        <v>Order rejected due to non numeric character in limit box</v>
      </c>
    </row>
    <row r="158">
      <c r="A158" s="5"/>
      <c r="B158" s="118">
        <f>IFERROR(__xludf.DUMMYFUNCTION("""COMPUTED_VALUE"""),44643.93527930556)</f>
        <v>44643.93528</v>
      </c>
      <c r="C158" s="5" t="str">
        <f>IFERROR(__xludf.DUMMYFUNCTION("""COMPUTED_VALUE"""),"89833")</f>
        <v>89833</v>
      </c>
      <c r="D158" s="5" t="str">
        <f>IFERROR(__xludf.DUMMYFUNCTION("""COMPUTED_VALUE"""),"error")</f>
        <v>error</v>
      </c>
      <c r="E158" s="5" t="str">
        <f>IFERROR(__xludf.DUMMYFUNCTION("""COMPUTED_VALUE"""),"Stock")</f>
        <v>Stock</v>
      </c>
      <c r="F158" s="119" t="str">
        <f>IFERROR(__xludf.DUMMYFUNCTION("""COMPUTED_VALUE"""),"00700")</f>
        <v>00700</v>
      </c>
      <c r="G158" s="30">
        <f>IFERROR(__xludf.DUMMYFUNCTION("""COMPUTED_VALUE"""),389.0)</f>
        <v>389</v>
      </c>
      <c r="H158" s="30" t="str">
        <f>IFERROR(__xludf.DUMMYFUNCTION("""COMPUTED_VALUE"""),"Email Account/ TraderID Recognized")</f>
        <v>Email Account/ TraderID Recognized</v>
      </c>
      <c r="I158" s="30" t="str">
        <f>IFERROR(__xludf.DUMMYFUNCTION("""COMPUTED_VALUE"""),"QTY, Limit Price (if any) &amp; Password input correct")</f>
        <v>QTY, Limit Price (if any) &amp; Password input correct</v>
      </c>
      <c r="J158" s="30" t="str">
        <f>IFERROR(__xludf.DUMMYFUNCTION("""COMPUTED_VALUE"""),"Order rejected due to wrong ticker code")</f>
        <v>Order rejected due to wrong ticker code</v>
      </c>
    </row>
    <row r="159">
      <c r="A159" s="5"/>
      <c r="B159" s="118">
        <f>IFERROR(__xludf.DUMMYFUNCTION("""COMPUTED_VALUE"""),44643.96748949074)</f>
        <v>44643.96749</v>
      </c>
      <c r="C159" s="5" t="str">
        <f>IFERROR(__xludf.DUMMYFUNCTION("""COMPUTED_VALUE"""),"82533")</f>
        <v>82533</v>
      </c>
      <c r="D159" s="5" t="str">
        <f>IFERROR(__xludf.DUMMYFUNCTION("""COMPUTED_VALUE"""),"error")</f>
        <v>error</v>
      </c>
      <c r="E159" s="5" t="str">
        <f>IFERROR(__xludf.DUMMYFUNCTION("""COMPUTED_VALUE"""),"Option")</f>
        <v>Option</v>
      </c>
      <c r="F159" s="119" t="str">
        <f>IFERROR(__xludf.DUMMYFUNCTION("""COMPUTED_VALUE"""),"TSLA220318C00005000")</f>
        <v>TSLA220318C00005000</v>
      </c>
      <c r="G159" s="30"/>
      <c r="H159" s="30" t="str">
        <f>IFERROR(__xludf.DUMMYFUNCTION("""COMPUTED_VALUE"""),"Email Account/ TraderID Recognized")</f>
        <v>Email Account/ TraderID Recognized</v>
      </c>
      <c r="I159" s="30" t="str">
        <f>IFERROR(__xludf.DUMMYFUNCTION("""COMPUTED_VALUE"""),"Wrong Password Submitted, Order will be rejected")</f>
        <v>Wrong Password Submitted, Order will be rejected</v>
      </c>
      <c r="J159" s="30" t="str">
        <f>IFERROR(__xludf.DUMMYFUNCTION("""COMPUTED_VALUE"""),"Order rejected due to wrong pasword")</f>
        <v>Order rejected due to wrong pasword</v>
      </c>
    </row>
    <row r="160">
      <c r="A160" s="5"/>
      <c r="B160" s="118">
        <f>IFERROR(__xludf.DUMMYFUNCTION("""COMPUTED_VALUE"""),44643.96810644676)</f>
        <v>44643.96811</v>
      </c>
      <c r="C160" s="5" t="str">
        <f>IFERROR(__xludf.DUMMYFUNCTION("""COMPUTED_VALUE"""),"82533")</f>
        <v>82533</v>
      </c>
      <c r="D160" s="5" t="str">
        <f>IFERROR(__xludf.DUMMYFUNCTION("""COMPUTED_VALUE"""),"error")</f>
        <v>error</v>
      </c>
      <c r="E160" s="5" t="str">
        <f>IFERROR(__xludf.DUMMYFUNCTION("""COMPUTED_VALUE"""),"Stock")</f>
        <v>Stock</v>
      </c>
      <c r="F160" s="119" t="str">
        <f>IFERROR(__xludf.DUMMYFUNCTION("""COMPUTED_VALUE"""),"TSLA")</f>
        <v>TSLA</v>
      </c>
      <c r="G160" s="30"/>
      <c r="H160" s="30" t="str">
        <f>IFERROR(__xludf.DUMMYFUNCTION("""COMPUTED_VALUE"""),"Email Account/ TraderID Recognized")</f>
        <v>Email Account/ TraderID Recognized</v>
      </c>
      <c r="I160" s="30" t="str">
        <f>IFERROR(__xludf.DUMMYFUNCTION("""COMPUTED_VALUE"""),"Wrong Password Submitted, Order will be rejected")</f>
        <v>Wrong Password Submitted, Order will be rejected</v>
      </c>
      <c r="J160" s="30" t="str">
        <f>IFERROR(__xludf.DUMMYFUNCTION("""COMPUTED_VALUE"""),"Order rejected due to wrong pasword")</f>
        <v>Order rejected due to wrong pasword</v>
      </c>
    </row>
    <row r="161">
      <c r="A161" s="5"/>
      <c r="B161" s="118">
        <f>IFERROR(__xludf.DUMMYFUNCTION("""COMPUTED_VALUE"""),44643.968564282404)</f>
        <v>44643.96856</v>
      </c>
      <c r="C161" s="5" t="str">
        <f>IFERROR(__xludf.DUMMYFUNCTION("""COMPUTED_VALUE"""),"82533")</f>
        <v>82533</v>
      </c>
      <c r="D161" s="5" t="str">
        <f>IFERROR(__xludf.DUMMYFUNCTION("""COMPUTED_VALUE"""),"error")</f>
        <v>error</v>
      </c>
      <c r="E161" s="5" t="str">
        <f>IFERROR(__xludf.DUMMYFUNCTION("""COMPUTED_VALUE"""),"Stock")</f>
        <v>Stock</v>
      </c>
      <c r="F161" s="119" t="str">
        <f>IFERROR(__xludf.DUMMYFUNCTION("""COMPUTED_VALUE"""),"COIN")</f>
        <v>COIN</v>
      </c>
      <c r="G161" s="30"/>
      <c r="H161" s="30" t="str">
        <f>IFERROR(__xludf.DUMMYFUNCTION("""COMPUTED_VALUE"""),"Email Account/ TraderID Recognized")</f>
        <v>Email Account/ TraderID Recognized</v>
      </c>
      <c r="I161" s="30" t="str">
        <f>IFERROR(__xludf.DUMMYFUNCTION("""COMPUTED_VALUE"""),"Wrong Password Submitted, Order will be rejected")</f>
        <v>Wrong Password Submitted, Order will be rejected</v>
      </c>
      <c r="J161" s="30" t="str">
        <f>IFERROR(__xludf.DUMMYFUNCTION("""COMPUTED_VALUE"""),"Order rejected due to wrong pasword")</f>
        <v>Order rejected due to wrong pasword</v>
      </c>
    </row>
    <row r="162">
      <c r="A162" s="5"/>
      <c r="B162" s="118">
        <f>IFERROR(__xludf.DUMMYFUNCTION("""COMPUTED_VALUE"""),44644.000012476856)</f>
        <v>44644.00001</v>
      </c>
      <c r="C162" s="5" t="str">
        <f>IFERROR(__xludf.DUMMYFUNCTION("""COMPUTED_VALUE"""),"36252")</f>
        <v>36252</v>
      </c>
      <c r="D162" s="5" t="str">
        <f>IFERROR(__xludf.DUMMYFUNCTION("""COMPUTED_VALUE"""),"error")</f>
        <v>error</v>
      </c>
      <c r="E162" s="5" t="str">
        <f>IFERROR(__xludf.DUMMYFUNCTION("""COMPUTED_VALUE"""),"Stock")</f>
        <v>Stock</v>
      </c>
      <c r="F162" s="121" t="str">
        <f>IFERROR(__xludf.DUMMYFUNCTION("""COMPUTED_VALUE"""),"0059.sz")</f>
        <v>0059.sz</v>
      </c>
      <c r="G162" s="30"/>
      <c r="H162" s="30" t="str">
        <f>IFERROR(__xludf.DUMMYFUNCTION("""COMPUTED_VALUE"""),"Email Account/ TraderID Recognized")</f>
        <v>Email Account/ TraderID Recognized</v>
      </c>
      <c r="I162" s="30" t="str">
        <f>IFERROR(__xludf.DUMMYFUNCTION("""COMPUTED_VALUE"""),"QTY, Limit Price (if any) &amp; Password input correct")</f>
        <v>QTY, Limit Price (if any) &amp; Password input correct</v>
      </c>
      <c r="J162" s="30" t="str">
        <f>IFERROR(__xludf.DUMMYFUNCTION("""COMPUTED_VALUE"""),"Order rejected due to wrong ticker code")</f>
        <v>Order rejected due to wrong ticker code</v>
      </c>
    </row>
    <row r="163">
      <c r="A163" s="5"/>
      <c r="B163" s="118">
        <f>IFERROR(__xludf.DUMMYFUNCTION("""COMPUTED_VALUE"""),44644.00642722222)</f>
        <v>44644.00643</v>
      </c>
      <c r="C163" s="5" t="str">
        <f>IFERROR(__xludf.DUMMYFUNCTION("""COMPUTED_VALUE"""),"36252")</f>
        <v>36252</v>
      </c>
      <c r="D163" s="5" t="str">
        <f>IFERROR(__xludf.DUMMYFUNCTION("""COMPUTED_VALUE"""),"error")</f>
        <v>error</v>
      </c>
      <c r="E163" s="5" t="str">
        <f>IFERROR(__xludf.DUMMYFUNCTION("""COMPUTED_VALUE"""),"Stock")</f>
        <v>Stock</v>
      </c>
      <c r="F163" s="121" t="str">
        <f>IFERROR(__xludf.DUMMYFUNCTION("""COMPUTED_VALUE"""),"3261.sh")</f>
        <v>3261.sh</v>
      </c>
      <c r="G163" s="30"/>
      <c r="H163" s="30" t="str">
        <f>IFERROR(__xludf.DUMMYFUNCTION("""COMPUTED_VALUE"""),"Email Account/ TraderID Recognized")</f>
        <v>Email Account/ TraderID Recognized</v>
      </c>
      <c r="I163" s="30" t="str">
        <f>IFERROR(__xludf.DUMMYFUNCTION("""COMPUTED_VALUE"""),"QTY, Limit Price (if any) &amp; Password input correct")</f>
        <v>QTY, Limit Price (if any) &amp; Password input correct</v>
      </c>
      <c r="J163" s="30" t="str">
        <f>IFERROR(__xludf.DUMMYFUNCTION("""COMPUTED_VALUE"""),"Order rejected due to wrong ticker code")</f>
        <v>Order rejected due to wrong ticker code</v>
      </c>
    </row>
    <row r="164">
      <c r="A164" s="5"/>
      <c r="B164" s="118">
        <f>IFERROR(__xludf.DUMMYFUNCTION("""COMPUTED_VALUE"""),44644.37777471065)</f>
        <v>44644.37777</v>
      </c>
      <c r="C164" s="5" t="str">
        <f>IFERROR(__xludf.DUMMYFUNCTION("""COMPUTED_VALUE"""),"36252")</f>
        <v>36252</v>
      </c>
      <c r="D164" s="5" t="str">
        <f>IFERROR(__xludf.DUMMYFUNCTION("""COMPUTED_VALUE"""),"error")</f>
        <v>error</v>
      </c>
      <c r="E164" s="5" t="str">
        <f>IFERROR(__xludf.DUMMYFUNCTION("""COMPUTED_VALUE"""),"Stock")</f>
        <v>Stock</v>
      </c>
      <c r="F164" s="121" t="str">
        <f>IFERROR(__xludf.DUMMYFUNCTION("""COMPUTED_VALUE"""),"603261.sh")</f>
        <v>603261.sh</v>
      </c>
      <c r="G164" s="30"/>
      <c r="H164" s="30" t="str">
        <f>IFERROR(__xludf.DUMMYFUNCTION("""COMPUTED_VALUE"""),"Email Account/ TraderID Recognized")</f>
        <v>Email Account/ TraderID Recognized</v>
      </c>
      <c r="I164" s="30" t="str">
        <f>IFERROR(__xludf.DUMMYFUNCTION("""COMPUTED_VALUE"""),"QTY, Limit Price (if any) &amp; Password input correct")</f>
        <v>QTY, Limit Price (if any) &amp; Password input correct</v>
      </c>
      <c r="J164" s="30" t="str">
        <f>IFERROR(__xludf.DUMMYFUNCTION("""COMPUTED_VALUE"""),"Order rejected due to wrong ticker code")</f>
        <v>Order rejected due to wrong ticker code</v>
      </c>
    </row>
    <row r="165">
      <c r="A165" s="5"/>
      <c r="B165" s="118">
        <f>IFERROR(__xludf.DUMMYFUNCTION("""COMPUTED_VALUE"""),44644.54957853009)</f>
        <v>44644.54958</v>
      </c>
      <c r="C165" s="5" t="str">
        <f>IFERROR(__xludf.DUMMYFUNCTION("""COMPUTED_VALUE"""),"70236")</f>
        <v>70236</v>
      </c>
      <c r="D165" s="5" t="str">
        <f>IFERROR(__xludf.DUMMYFUNCTION("""COMPUTED_VALUE"""),"error")</f>
        <v>error</v>
      </c>
      <c r="E165" s="5" t="str">
        <f>IFERROR(__xludf.DUMMYFUNCTION("""COMPUTED_VALUE"""),"Stock")</f>
        <v>Stock</v>
      </c>
      <c r="F165" s="119" t="str">
        <f>IFERROR(__xludf.DUMMYFUNCTION("""COMPUTED_VALUE"""),"990613")</f>
        <v>990613</v>
      </c>
      <c r="G165" s="30"/>
      <c r="H165" s="30" t="str">
        <f>IFERROR(__xludf.DUMMYFUNCTION("""COMPUTED_VALUE"""),"Email Account/ TraderID Recognized")</f>
        <v>Email Account/ TraderID Recognized</v>
      </c>
      <c r="I165" s="30" t="str">
        <f>IFERROR(__xludf.DUMMYFUNCTION("""COMPUTED_VALUE"""),"QTY, Limit Price (if any) &amp; Password input correct")</f>
        <v>QTY, Limit Price (if any) &amp; Password input correct</v>
      </c>
      <c r="J165" s="30" t="str">
        <f>IFERROR(__xludf.DUMMYFUNCTION("""COMPUTED_VALUE"""),"Order rejected due to wrong ticker code")</f>
        <v>Order rejected due to wrong ticker code</v>
      </c>
    </row>
    <row r="166">
      <c r="A166" s="5"/>
      <c r="B166" s="118">
        <f>IFERROR(__xludf.DUMMYFUNCTION("""COMPUTED_VALUE"""),44644.593177083334)</f>
        <v>44644.59318</v>
      </c>
      <c r="C166" s="5" t="str">
        <f>IFERROR(__xludf.DUMMYFUNCTION("""COMPUTED_VALUE"""),"")</f>
        <v/>
      </c>
      <c r="D166" s="5" t="str">
        <f>IFERROR(__xludf.DUMMYFUNCTION("""COMPUTED_VALUE"""),"error")</f>
        <v>error</v>
      </c>
      <c r="E166" s="5" t="str">
        <f>IFERROR(__xludf.DUMMYFUNCTION("""COMPUTED_VALUE"""),"Stock")</f>
        <v>Stock</v>
      </c>
      <c r="F166" s="121" t="str">
        <f>IFERROR(__xludf.DUMMYFUNCTION("""COMPUTED_VALUE"""),"2800.HK")</f>
        <v>2800.HK</v>
      </c>
      <c r="G166" s="30">
        <f>IFERROR(__xludf.DUMMYFUNCTION("""COMPUTED_VALUE"""),22.28)</f>
        <v>22.28</v>
      </c>
      <c r="H166" s="30" t="str">
        <f>IFERROR(__xludf.DUMMYFUNCTION("""COMPUTED_VALUE"""),"jiaxxxxxxx@nonHKMUemail")</f>
        <v>jiaxxxxxxx@nonHKMUemail</v>
      </c>
      <c r="I166" s="30" t="str">
        <f>IFERROR(__xludf.DUMMYFUNCTION("""COMPUTED_VALUE"""),"QTY, Limit Price (if any) &amp; Password input correct")</f>
        <v>QTY, Limit Price (if any) &amp; Password input correct</v>
      </c>
      <c r="J166" s="30" t="str">
        <f>IFERROR(__xludf.DUMMYFUNCTION("""COMPUTED_VALUE"""),"Order rejected due to non school email")</f>
        <v>Order rejected due to non school email</v>
      </c>
    </row>
    <row r="167">
      <c r="A167" s="5"/>
      <c r="B167" s="118">
        <f>IFERROR(__xludf.DUMMYFUNCTION("""COMPUTED_VALUE"""),44644.59446121528)</f>
        <v>44644.59446</v>
      </c>
      <c r="C167" s="5" t="str">
        <f>IFERROR(__xludf.DUMMYFUNCTION("""COMPUTED_VALUE"""),"")</f>
        <v/>
      </c>
      <c r="D167" s="5" t="str">
        <f>IFERROR(__xludf.DUMMYFUNCTION("""COMPUTED_VALUE"""),"error")</f>
        <v>error</v>
      </c>
      <c r="E167" s="5" t="str">
        <f>IFERROR(__xludf.DUMMYFUNCTION("""COMPUTED_VALUE"""),"Stock")</f>
        <v>Stock</v>
      </c>
      <c r="F167" s="121" t="str">
        <f>IFERROR(__xludf.DUMMYFUNCTION("""COMPUTED_VALUE"""),"2800.HK")</f>
        <v>2800.HK</v>
      </c>
      <c r="G167" s="30">
        <f>IFERROR(__xludf.DUMMYFUNCTION("""COMPUTED_VALUE"""),22.34)</f>
        <v>22.34</v>
      </c>
      <c r="H167" s="30" t="str">
        <f>IFERROR(__xludf.DUMMYFUNCTION("""COMPUTED_VALUE"""),"jiaxxxxxxx@nonHKMUemail")</f>
        <v>jiaxxxxxxx@nonHKMUemail</v>
      </c>
      <c r="I167" s="30" t="str">
        <f>IFERROR(__xludf.DUMMYFUNCTION("""COMPUTED_VALUE"""),"QTY, Limit Price (if any) &amp; Password input correct")</f>
        <v>QTY, Limit Price (if any) &amp; Password input correct</v>
      </c>
      <c r="J167" s="30" t="str">
        <f>IFERROR(__xludf.DUMMYFUNCTION("""COMPUTED_VALUE"""),"Order rejected due to non school email")</f>
        <v>Order rejected due to non school email</v>
      </c>
    </row>
    <row r="168">
      <c r="A168" s="5"/>
      <c r="B168" s="118">
        <f>IFERROR(__xludf.DUMMYFUNCTION("""COMPUTED_VALUE"""),44644.84322556713)</f>
        <v>44644.84323</v>
      </c>
      <c r="C168" s="5" t="str">
        <f>IFERROR(__xludf.DUMMYFUNCTION("""COMPUTED_VALUE"""),"75965")</f>
        <v>75965</v>
      </c>
      <c r="D168" s="5" t="str">
        <f>IFERROR(__xludf.DUMMYFUNCTION("""COMPUTED_VALUE"""),"error")</f>
        <v>error</v>
      </c>
      <c r="E168" s="5" t="str">
        <f>IFERROR(__xludf.DUMMYFUNCTION("""COMPUTED_VALUE"""),"Stock")</f>
        <v>Stock</v>
      </c>
      <c r="F168" s="119" t="str">
        <f>IFERROR(__xludf.DUMMYFUNCTION("""COMPUTED_VALUE"""),"AAPL")</f>
        <v>AAPL</v>
      </c>
      <c r="G168" s="30"/>
      <c r="H168" s="30" t="str">
        <f>IFERROR(__xludf.DUMMYFUNCTION("""COMPUTED_VALUE"""),"Email Account/ TraderID Recognized")</f>
        <v>Email Account/ TraderID Recognized</v>
      </c>
      <c r="I168" s="30" t="str">
        <f>IFERROR(__xludf.DUMMYFUNCTION("""COMPUTED_VALUE"""),"Wrong Password Submitted, Order will be rejected")</f>
        <v>Wrong Password Submitted, Order will be rejected</v>
      </c>
      <c r="J168" s="30" t="str">
        <f>IFERROR(__xludf.DUMMYFUNCTION("""COMPUTED_VALUE"""),"Order rejected due to wrong password")</f>
        <v>Order rejected due to wrong password</v>
      </c>
    </row>
    <row r="169">
      <c r="A169" s="5"/>
      <c r="B169" s="118">
        <f>IFERROR(__xludf.DUMMYFUNCTION("""COMPUTED_VALUE"""),44644.936451574074)</f>
        <v>44644.93645</v>
      </c>
      <c r="C169" s="5" t="str">
        <f>IFERROR(__xludf.DUMMYFUNCTION("""COMPUTED_VALUE"""),"89833")</f>
        <v>89833</v>
      </c>
      <c r="D169" s="5" t="str">
        <f>IFERROR(__xludf.DUMMYFUNCTION("""COMPUTED_VALUE"""),"error")</f>
        <v>error</v>
      </c>
      <c r="E169" s="5" t="str">
        <f>IFERROR(__xludf.DUMMYFUNCTION("""COMPUTED_VALUE"""),"Stock")</f>
        <v>Stock</v>
      </c>
      <c r="F169" s="121" t="str">
        <f>IFERROR(__xludf.DUMMYFUNCTION("""COMPUTED_VALUE"""),"00700.HK")</f>
        <v>00700.HK</v>
      </c>
      <c r="G169" s="30" t="str">
        <f>IFERROR(__xludf.DUMMYFUNCTION("""COMPUTED_VALUE"""),"Market price")</f>
        <v>Market price</v>
      </c>
      <c r="H169" s="30" t="str">
        <f>IFERROR(__xludf.DUMMYFUNCTION("""COMPUTED_VALUE"""),"Email Account/ TraderID Recognized")</f>
        <v>Email Account/ TraderID Recognized</v>
      </c>
      <c r="I169" s="30" t="str">
        <f>IFERROR(__xludf.DUMMYFUNCTION("""COMPUTED_VALUE"""),"Non-number input in Quantity or Limit Price")</f>
        <v>Non-number input in Quantity or Limit Price</v>
      </c>
      <c r="J169" s="30" t="str">
        <f>IFERROR(__xludf.DUMMYFUNCTION("""COMPUTED_VALUE"""),"Order rejected due to non-numeric character in limit price box")</f>
        <v>Order rejected due to non-numeric character in limit price box</v>
      </c>
    </row>
    <row r="170">
      <c r="A170" s="5"/>
      <c r="B170" s="118">
        <f>IFERROR(__xludf.DUMMYFUNCTION("""COMPUTED_VALUE"""),44645.03599354166)</f>
        <v>44645.03599</v>
      </c>
      <c r="C170" s="5" t="str">
        <f>IFERROR(__xludf.DUMMYFUNCTION("""COMPUTED_VALUE"""),"38307")</f>
        <v>38307</v>
      </c>
      <c r="D170" s="5" t="str">
        <f>IFERROR(__xludf.DUMMYFUNCTION("""COMPUTED_VALUE"""),"error")</f>
        <v>error</v>
      </c>
      <c r="E170" s="5" t="str">
        <f>IFERROR(__xludf.DUMMYFUNCTION("""COMPUTED_VALUE"""),"Stock")</f>
        <v>Stock</v>
      </c>
      <c r="F170" s="119" t="str">
        <f>IFERROR(__xludf.DUMMYFUNCTION("""COMPUTED_VALUE"""),"AAPL")</f>
        <v>AAPL</v>
      </c>
      <c r="G170" s="30"/>
      <c r="H170" s="30" t="str">
        <f>IFERROR(__xludf.DUMMYFUNCTION("""COMPUTED_VALUE"""),"Email Account/ TraderID Recognized")</f>
        <v>Email Account/ TraderID Recognized</v>
      </c>
      <c r="I170" s="30" t="str">
        <f>IFERROR(__xludf.DUMMYFUNCTION("""COMPUTED_VALUE"""),"QTY, Limit Price (if any) &amp; Password input correct")</f>
        <v>QTY, Limit Price (if any) &amp; Password input correct</v>
      </c>
      <c r="J170" s="30" t="str">
        <f>IFERROR(__xludf.DUMMYFUNCTION("""COMPUTED_VALUE"""),"Order rejected due to same day buy sell. Same day reverse trade is prohibited.")</f>
        <v>Order rejected due to same day buy sell. Same day reverse trade is prohibited.</v>
      </c>
    </row>
    <row r="171">
      <c r="A171" s="5"/>
      <c r="B171" s="118">
        <f>IFERROR(__xludf.DUMMYFUNCTION("""COMPUTED_VALUE"""),44645.03788391204)</f>
        <v>44645.03788</v>
      </c>
      <c r="C171" s="5" t="str">
        <f>IFERROR(__xludf.DUMMYFUNCTION("""COMPUTED_VALUE"""),"37922")</f>
        <v>37922</v>
      </c>
      <c r="D171" s="5" t="str">
        <f>IFERROR(__xludf.DUMMYFUNCTION("""COMPUTED_VALUE"""),"error")</f>
        <v>error</v>
      </c>
      <c r="E171" s="5" t="str">
        <f>IFERROR(__xludf.DUMMYFUNCTION("""COMPUTED_VALUE"""),"Time Deposit")</f>
        <v>Time Deposit</v>
      </c>
      <c r="F171" s="119" t="str">
        <f>IFERROR(__xludf.DUMMYFUNCTION("""COMPUTED_VALUE"""),"004")</f>
        <v>004</v>
      </c>
      <c r="G171" s="30"/>
      <c r="H171" s="30" t="str">
        <f>IFERROR(__xludf.DUMMYFUNCTION("""COMPUTED_VALUE"""),"Email Account/ TraderID Recognized")</f>
        <v>Email Account/ TraderID Recognized</v>
      </c>
      <c r="I171" s="30" t="str">
        <f>IFERROR(__xludf.DUMMYFUNCTION("""COMPUTED_VALUE"""),"QTY, Limit Price (if any) &amp; Password input correct")</f>
        <v>QTY, Limit Price (if any) &amp; Password input correct</v>
      </c>
      <c r="J171" s="30" t="str">
        <f>IFERROR(__xludf.DUMMYFUNCTION("""COMPUTED_VALUE"""),"Order rejected due to wrong ticker for time deposit.")</f>
        <v>Order rejected due to wrong ticker for time deposit.</v>
      </c>
    </row>
    <row r="172">
      <c r="A172" s="5"/>
      <c r="B172" s="118">
        <f>IFERROR(__xludf.DUMMYFUNCTION("""COMPUTED_VALUE"""),44645.46574372685)</f>
        <v>44645.46574</v>
      </c>
      <c r="C172" s="5" t="str">
        <f>IFERROR(__xludf.DUMMYFUNCTION("""COMPUTED_VALUE"""),"36242")</f>
        <v>36242</v>
      </c>
      <c r="D172" s="5" t="str">
        <f>IFERROR(__xludf.DUMMYFUNCTION("""COMPUTED_VALUE"""),"error")</f>
        <v>error</v>
      </c>
      <c r="E172" s="5" t="str">
        <f>IFERROR(__xludf.DUMMYFUNCTION("""COMPUTED_VALUE"""),"Stock")</f>
        <v>Stock</v>
      </c>
      <c r="F172" s="119" t="str">
        <f>IFERROR(__xludf.DUMMYFUNCTION("""COMPUTED_VALUE"""),"01882")</f>
        <v>01882</v>
      </c>
      <c r="G172" s="30">
        <f>IFERROR(__xludf.DUMMYFUNCTION("""COMPUTED_VALUE"""),21.0)</f>
        <v>21</v>
      </c>
      <c r="H172" s="30" t="str">
        <f>IFERROR(__xludf.DUMMYFUNCTION("""COMPUTED_VALUE"""),"Email Account/ TraderID Recognized")</f>
        <v>Email Account/ TraderID Recognized</v>
      </c>
      <c r="I172" s="30" t="str">
        <f>IFERROR(__xludf.DUMMYFUNCTION("""COMPUTED_VALUE"""),"QTY, Limit Price (if any) &amp; Password input correct")</f>
        <v>QTY, Limit Price (if any) &amp; Password input correct</v>
      </c>
      <c r="J172" s="30" t="str">
        <f>IFERROR(__xludf.DUMMYFUNCTION("""COMPUTED_VALUE"""),"Order rejected due to wrong ticker code")</f>
        <v>Order rejected due to wrong ticker code</v>
      </c>
    </row>
    <row r="173">
      <c r="A173" s="5"/>
      <c r="B173" s="118">
        <f>IFERROR(__xludf.DUMMYFUNCTION("""COMPUTED_VALUE"""),44645.47878046296)</f>
        <v>44645.47878</v>
      </c>
      <c r="C173" s="5" t="str">
        <f>IFERROR(__xludf.DUMMYFUNCTION("""COMPUTED_VALUE"""),"")</f>
        <v/>
      </c>
      <c r="D173" s="5" t="str">
        <f>IFERROR(__xludf.DUMMYFUNCTION("""COMPUTED_VALUE"""),"error")</f>
        <v>error</v>
      </c>
      <c r="E173" s="5" t="str">
        <f>IFERROR(__xludf.DUMMYFUNCTION("""COMPUTED_VALUE"""),"Stock")</f>
        <v>Stock</v>
      </c>
      <c r="F173" s="119" t="str">
        <f>IFERROR(__xludf.DUMMYFUNCTION("""COMPUTED_VALUE"""),"03988")</f>
        <v>03988</v>
      </c>
      <c r="G173" s="30">
        <f>IFERROR(__xludf.DUMMYFUNCTION("""COMPUTED_VALUE"""),3.05)</f>
        <v>3.05</v>
      </c>
      <c r="H173" s="30" t="str">
        <f>IFERROR(__xludf.DUMMYFUNCTION("""COMPUTED_VALUE"""),"s800xxxxxx@nonHKMUemail")</f>
        <v>s800xxxxxx@nonHKMUemail</v>
      </c>
      <c r="I173" s="30" t="str">
        <f>IFERROR(__xludf.DUMMYFUNCTION("""COMPUTED_VALUE"""),"QTY, Limit Price (if any) &amp; Password input correct")</f>
        <v>QTY, Limit Price (if any) &amp; Password input correct</v>
      </c>
      <c r="J173" s="30" t="str">
        <f>IFERROR(__xludf.DUMMYFUNCTION("""COMPUTED_VALUE"""),"Order rejected due to wrong ticker code and non school email address")</f>
        <v>Order rejected due to wrong ticker code and non school email address</v>
      </c>
    </row>
    <row r="174">
      <c r="A174" s="5"/>
      <c r="B174" s="118">
        <f>IFERROR(__xludf.DUMMYFUNCTION("""COMPUTED_VALUE"""),44645.531563958335)</f>
        <v>44645.53156</v>
      </c>
      <c r="C174" s="5" t="str">
        <f>IFERROR(__xludf.DUMMYFUNCTION("""COMPUTED_VALUE"""),"82458")</f>
        <v>82458</v>
      </c>
      <c r="D174" s="5" t="str">
        <f>IFERROR(__xludf.DUMMYFUNCTION("""COMPUTED_VALUE"""),"error")</f>
        <v>error</v>
      </c>
      <c r="E174" s="5" t="str">
        <f>IFERROR(__xludf.DUMMYFUNCTION("""COMPUTED_VALUE"""),"Stock")</f>
        <v>Stock</v>
      </c>
      <c r="F174" s="119" t="str">
        <f>IFERROR(__xludf.DUMMYFUNCTION("""COMPUTED_VALUE"""),"1130")</f>
        <v>1130</v>
      </c>
      <c r="G174" s="30" t="str">
        <f>IFERROR(__xludf.DUMMYFUNCTION("""COMPUTED_VALUE"""),"Limit Buy @ 20 - Closing @ 18 = Executed price @ 18. if Closing @ 22 = no execution")</f>
        <v>Limit Buy @ 20 - Closing @ 18 = Executed price @ 18. if Closing @ 22 = no execution</v>
      </c>
      <c r="H174" s="30" t="str">
        <f>IFERROR(__xludf.DUMMYFUNCTION("""COMPUTED_VALUE"""),"Email Account/ TraderID Recognized")</f>
        <v>Email Account/ TraderID Recognized</v>
      </c>
      <c r="I174" s="30" t="str">
        <f>IFERROR(__xludf.DUMMYFUNCTION("""COMPUTED_VALUE"""),"Non-number input in Quantity or Limit Price")</f>
        <v>Non-number input in Quantity or Limit Price</v>
      </c>
      <c r="J174" s="30" t="str">
        <f>IFERROR(__xludf.DUMMYFUNCTION("""COMPUTED_VALUE"""),"Order rejected due to wrong ticker code")</f>
        <v>Order rejected due to wrong ticker code</v>
      </c>
    </row>
    <row r="175">
      <c r="A175" s="5"/>
      <c r="B175" s="118">
        <f>IFERROR(__xludf.DUMMYFUNCTION("""COMPUTED_VALUE"""),44645.60436923611)</f>
        <v>44645.60437</v>
      </c>
      <c r="C175" s="5" t="str">
        <f>IFERROR(__xludf.DUMMYFUNCTION("""COMPUTED_VALUE"""),"75965")</f>
        <v>75965</v>
      </c>
      <c r="D175" s="5" t="str">
        <f>IFERROR(__xludf.DUMMYFUNCTION("""COMPUTED_VALUE"""),"error")</f>
        <v>error</v>
      </c>
      <c r="E175" s="5" t="str">
        <f>IFERROR(__xludf.DUMMYFUNCTION("""COMPUTED_VALUE"""),"Stock")</f>
        <v>Stock</v>
      </c>
      <c r="F175" s="119" t="str">
        <f>IFERROR(__xludf.DUMMYFUNCTION("""COMPUTED_VALUE"""),"TSLA")</f>
        <v>TSLA</v>
      </c>
      <c r="G175" s="30"/>
      <c r="H175" s="30" t="str">
        <f>IFERROR(__xludf.DUMMYFUNCTION("""COMPUTED_VALUE"""),"Email Account/ TraderID Recognized")</f>
        <v>Email Account/ TraderID Recognized</v>
      </c>
      <c r="I175" s="30" t="str">
        <f>IFERROR(__xludf.DUMMYFUNCTION("""COMPUTED_VALUE"""),"Wrong Password Submitted, Order will be rejected")</f>
        <v>Wrong Password Submitted, Order will be rejected</v>
      </c>
      <c r="J175" s="30" t="str">
        <f>IFERROR(__xludf.DUMMYFUNCTION("""COMPUTED_VALUE"""),"Order rejected due to wrong password")</f>
        <v>Order rejected due to wrong password</v>
      </c>
    </row>
    <row r="176">
      <c r="A176" s="5"/>
      <c r="B176" s="118">
        <f>IFERROR(__xludf.DUMMYFUNCTION("""COMPUTED_VALUE"""),44645.60507895834)</f>
        <v>44645.60508</v>
      </c>
      <c r="C176" s="5" t="str">
        <f>IFERROR(__xludf.DUMMYFUNCTION("""COMPUTED_VALUE"""),"75965")</f>
        <v>75965</v>
      </c>
      <c r="D176" s="5" t="str">
        <f>IFERROR(__xludf.DUMMYFUNCTION("""COMPUTED_VALUE"""),"error")</f>
        <v>error</v>
      </c>
      <c r="E176" s="5" t="str">
        <f>IFERROR(__xludf.DUMMYFUNCTION("""COMPUTED_VALUE"""),"Stock")</f>
        <v>Stock</v>
      </c>
      <c r="F176" s="119" t="str">
        <f>IFERROR(__xludf.DUMMYFUNCTION("""COMPUTED_VALUE"""),"TSLA")</f>
        <v>TSLA</v>
      </c>
      <c r="G176" s="30"/>
      <c r="H176" s="30" t="str">
        <f>IFERROR(__xludf.DUMMYFUNCTION("""COMPUTED_VALUE"""),"Email Account/ TraderID Recognized")</f>
        <v>Email Account/ TraderID Recognized</v>
      </c>
      <c r="I176" s="30" t="str">
        <f>IFERROR(__xludf.DUMMYFUNCTION("""COMPUTED_VALUE"""),"Wrong Password Submitted, Order will be rejected")</f>
        <v>Wrong Password Submitted, Order will be rejected</v>
      </c>
      <c r="J176" s="30" t="str">
        <f>IFERROR(__xludf.DUMMYFUNCTION("""COMPUTED_VALUE"""),"Order rejected due to wrong password")</f>
        <v>Order rejected due to wrong password</v>
      </c>
    </row>
    <row r="177">
      <c r="A177" s="5"/>
      <c r="B177" s="118">
        <f>IFERROR(__xludf.DUMMYFUNCTION("""COMPUTED_VALUE"""),44645.67926311343)</f>
        <v>44645.67926</v>
      </c>
      <c r="C177" s="5" t="str">
        <f>IFERROR(__xludf.DUMMYFUNCTION("""COMPUTED_VALUE"""),"70236")</f>
        <v>70236</v>
      </c>
      <c r="D177" s="5" t="str">
        <f>IFERROR(__xludf.DUMMYFUNCTION("""COMPUTED_VALUE"""),"error")</f>
        <v>error</v>
      </c>
      <c r="E177" s="5" t="str">
        <f>IFERROR(__xludf.DUMMYFUNCTION("""COMPUTED_VALUE"""),"Stock")</f>
        <v>Stock</v>
      </c>
      <c r="F177" s="121" t="str">
        <f>IFERROR(__xludf.DUMMYFUNCTION("""COMPUTED_VALUE"""),"0708.HK")</f>
        <v>0708.HK</v>
      </c>
      <c r="G177" s="30">
        <f>IFERROR(__xludf.DUMMYFUNCTION("""COMPUTED_VALUE"""),90.0)</f>
        <v>90</v>
      </c>
      <c r="H177" s="30" t="str">
        <f>IFERROR(__xludf.DUMMYFUNCTION("""COMPUTED_VALUE"""),"Email Account/ TraderID Recognized")</f>
        <v>Email Account/ TraderID Recognized</v>
      </c>
      <c r="I177" s="30" t="str">
        <f>IFERROR(__xludf.DUMMYFUNCTION("""COMPUTED_VALUE"""),"Wrong Password Submitted, Order will be rejected")</f>
        <v>Wrong Password Submitted, Order will be rejected</v>
      </c>
      <c r="J177" s="30" t="str">
        <f>IFERROR(__xludf.DUMMYFUNCTION("""COMPUTED_VALUE"""),"Order rejected due to wrong password")</f>
        <v>Order rejected due to wrong password</v>
      </c>
    </row>
    <row r="178">
      <c r="A178" s="5"/>
      <c r="B178" s="118">
        <f>IFERROR(__xludf.DUMMYFUNCTION("""COMPUTED_VALUE"""),44645.683128125005)</f>
        <v>44645.68313</v>
      </c>
      <c r="C178" s="5" t="str">
        <f>IFERROR(__xludf.DUMMYFUNCTION("""COMPUTED_VALUE"""),"70236")</f>
        <v>70236</v>
      </c>
      <c r="D178" s="5" t="str">
        <f>IFERROR(__xludf.DUMMYFUNCTION("""COMPUTED_VALUE"""),"error")</f>
        <v>error</v>
      </c>
      <c r="E178" s="5" t="str">
        <f>IFERROR(__xludf.DUMMYFUNCTION("""COMPUTED_VALUE"""),"Stock")</f>
        <v>Stock</v>
      </c>
      <c r="F178" s="121" t="str">
        <f>IFERROR(__xludf.DUMMYFUNCTION("""COMPUTED_VALUE"""),"0708.HK")</f>
        <v>0708.HK</v>
      </c>
      <c r="G178" s="30">
        <f>IFERROR(__xludf.DUMMYFUNCTION("""COMPUTED_VALUE"""),3.12)</f>
        <v>3.12</v>
      </c>
      <c r="H178" s="30" t="str">
        <f>IFERROR(__xludf.DUMMYFUNCTION("""COMPUTED_VALUE"""),"Email Account/ TraderID Recognized")</f>
        <v>Email Account/ TraderID Recognized</v>
      </c>
      <c r="I178" s="30" t="str">
        <f>IFERROR(__xludf.DUMMYFUNCTION("""COMPUTED_VALUE"""),"Wrong Password Submitted, Order will be rejected")</f>
        <v>Wrong Password Submitted, Order will be rejected</v>
      </c>
      <c r="J178" s="30" t="str">
        <f>IFERROR(__xludf.DUMMYFUNCTION("""COMPUTED_VALUE"""),"Order rejected due to wrong password")</f>
        <v>Order rejected due to wrong password</v>
      </c>
    </row>
    <row r="179">
      <c r="A179" s="5"/>
      <c r="B179" s="118">
        <f>IFERROR(__xludf.DUMMYFUNCTION("""COMPUTED_VALUE"""),44645.69894445602)</f>
        <v>44645.69894</v>
      </c>
      <c r="C179" s="5" t="str">
        <f>IFERROR(__xludf.DUMMYFUNCTION("""COMPUTED_VALUE"""),"39296")</f>
        <v>39296</v>
      </c>
      <c r="D179" s="5" t="str">
        <f>IFERROR(__xludf.DUMMYFUNCTION("""COMPUTED_VALUE"""),"error")</f>
        <v>error</v>
      </c>
      <c r="E179" s="5" t="str">
        <f>IFERROR(__xludf.DUMMYFUNCTION("""COMPUTED_VALUE"""),"Option")</f>
        <v>Option</v>
      </c>
      <c r="F179" s="119" t="str">
        <f>IFERROR(__xludf.DUMMYFUNCTION("""COMPUTED_VALUE"""),"NG=F")</f>
        <v>NG=F</v>
      </c>
      <c r="G179" s="30"/>
      <c r="H179" s="30" t="str">
        <f>IFERROR(__xludf.DUMMYFUNCTION("""COMPUTED_VALUE"""),"Email Account/ TraderID Recognized")</f>
        <v>Email Account/ TraderID Recognized</v>
      </c>
      <c r="I179" s="30" t="str">
        <f>IFERROR(__xludf.DUMMYFUNCTION("""COMPUTED_VALUE"""),"QTY, Limit Price (if any) &amp; Password input correct")</f>
        <v>QTY, Limit Price (if any) &amp; Password input correct</v>
      </c>
      <c r="J179" s="30" t="str">
        <f>IFERROR(__xludf.DUMMYFUNCTION("""COMPUTED_VALUE"""),"Order rejected due to wrong asset class")</f>
        <v>Order rejected due to wrong asset class</v>
      </c>
    </row>
    <row r="180">
      <c r="A180" s="5"/>
      <c r="B180" s="118">
        <f>IFERROR(__xludf.DUMMYFUNCTION("""COMPUTED_VALUE"""),44645.709706249996)</f>
        <v>44645.70971</v>
      </c>
      <c r="C180" s="5" t="str">
        <f>IFERROR(__xludf.DUMMYFUNCTION("""COMPUTED_VALUE"""),"27150")</f>
        <v>27150</v>
      </c>
      <c r="D180" s="5" t="str">
        <f>IFERROR(__xludf.DUMMYFUNCTION("""COMPUTED_VALUE"""),"error")</f>
        <v>error</v>
      </c>
      <c r="E180" s="5" t="str">
        <f>IFERROR(__xludf.DUMMYFUNCTION("""COMPUTED_VALUE"""),"Stock")</f>
        <v>Stock</v>
      </c>
      <c r="F180" s="119" t="str">
        <f>IFERROR(__xludf.DUMMYFUNCTION("""COMPUTED_VALUE"""),"AAPL")</f>
        <v>AAPL</v>
      </c>
      <c r="G180" s="30">
        <f>IFERROR(__xludf.DUMMYFUNCTION("""COMPUTED_VALUE"""),180.0)</f>
        <v>180</v>
      </c>
      <c r="H180" s="30" t="str">
        <f>IFERROR(__xludf.DUMMYFUNCTION("""COMPUTED_VALUE"""),"Email Account/ TraderID Recognized")</f>
        <v>Email Account/ TraderID Recognized</v>
      </c>
      <c r="I180" s="30" t="str">
        <f>IFERROR(__xludf.DUMMYFUNCTION("""COMPUTED_VALUE"""),"QTY, Limit Price (if any) &amp; Password input correct")</f>
        <v>QTY, Limit Price (if any) &amp; Password input correct</v>
      </c>
      <c r="J180" s="30" t="str">
        <f>IFERROR(__xludf.DUMMYFUNCTION("""COMPUTED_VALUE"""),"Order rejected due to wrong email address")</f>
        <v>Order rejected due to wrong email address</v>
      </c>
    </row>
    <row r="181">
      <c r="A181" s="5"/>
      <c r="B181" s="118">
        <f>IFERROR(__xludf.DUMMYFUNCTION("""COMPUTED_VALUE"""),44645.71171053241)</f>
        <v>44645.71171</v>
      </c>
      <c r="C181" s="5" t="str">
        <f>IFERROR(__xludf.DUMMYFUNCTION("""COMPUTED_VALUE"""),"")</f>
        <v/>
      </c>
      <c r="D181" s="5" t="str">
        <f>IFERROR(__xludf.DUMMYFUNCTION("""COMPUTED_VALUE"""),"error")</f>
        <v>error</v>
      </c>
      <c r="E181" s="5" t="str">
        <f>IFERROR(__xludf.DUMMYFUNCTION("""COMPUTED_VALUE"""),"Stock")</f>
        <v>Stock</v>
      </c>
      <c r="F181" s="119" t="str">
        <f>IFERROR(__xludf.DUMMYFUNCTION("""COMPUTED_VALUE"""),"AAPL")</f>
        <v>AAPL</v>
      </c>
      <c r="G181" s="30">
        <f>IFERROR(__xludf.DUMMYFUNCTION("""COMPUTED_VALUE"""),174.0)</f>
        <v>174</v>
      </c>
      <c r="H181" s="30" t="str">
        <f>IFERROR(__xludf.DUMMYFUNCTION("""COMPUTED_VALUE"""),"s127xxxxxx@nonHKMUemail")</f>
        <v>s127xxxxxx@nonHKMUemail</v>
      </c>
      <c r="I181" s="30" t="str">
        <f>IFERROR(__xludf.DUMMYFUNCTION("""COMPUTED_VALUE"""),"QTY, Limit Price (if any) &amp; Password input correct")</f>
        <v>QTY, Limit Price (if any) &amp; Password input correct</v>
      </c>
      <c r="J181" s="30" t="str">
        <f>IFERROR(__xludf.DUMMYFUNCTION("""COMPUTED_VALUE"""),"Order rejected due to wrong email address")</f>
        <v>Order rejected due to wrong email address</v>
      </c>
    </row>
    <row r="182">
      <c r="A182" s="5"/>
      <c r="B182" s="118">
        <f>IFERROR(__xludf.DUMMYFUNCTION("""COMPUTED_VALUE"""),44645.85334494213)</f>
        <v>44645.85334</v>
      </c>
      <c r="C182" s="5" t="str">
        <f>IFERROR(__xludf.DUMMYFUNCTION("""COMPUTED_VALUE"""),"")</f>
        <v/>
      </c>
      <c r="D182" s="5" t="str">
        <f>IFERROR(__xludf.DUMMYFUNCTION("""COMPUTED_VALUE"""),"error")</f>
        <v>error</v>
      </c>
      <c r="E182" s="5" t="str">
        <f>IFERROR(__xludf.DUMMYFUNCTION("""COMPUTED_VALUE"""),"Stock")</f>
        <v>Stock</v>
      </c>
      <c r="F182" s="121" t="str">
        <f>IFERROR(__xludf.DUMMYFUNCTION("""COMPUTED_VALUE"""),"600745.SS")</f>
        <v>600745.SS</v>
      </c>
      <c r="G182" s="30"/>
      <c r="H182" s="30" t="str">
        <f>IFERROR(__xludf.DUMMYFUNCTION("""COMPUTED_VALUE"""),"s127xxxxxx@nonHKMUemail")</f>
        <v>s127xxxxxx@nonHKMUemail</v>
      </c>
      <c r="I182" s="30" t="str">
        <f>IFERROR(__xludf.DUMMYFUNCTION("""COMPUTED_VALUE"""),"QTY, Limit Price (if any) &amp; Password input correct")</f>
        <v>QTY, Limit Price (if any) &amp; Password input correct</v>
      </c>
      <c r="J182" s="30" t="str">
        <f>IFERROR(__xludf.DUMMYFUNCTION("""COMPUTED_VALUE"""),"Order rejected due to non school email address")</f>
        <v>Order rejected due to non school email address</v>
      </c>
    </row>
    <row r="183">
      <c r="A183" s="5"/>
      <c r="B183" s="118">
        <f>IFERROR(__xludf.DUMMYFUNCTION("""COMPUTED_VALUE"""),44646.431763217595)</f>
        <v>44646.43176</v>
      </c>
      <c r="C183" s="5" t="str">
        <f>IFERROR(__xludf.DUMMYFUNCTION("""COMPUTED_VALUE"""),"99308")</f>
        <v>99308</v>
      </c>
      <c r="D183" s="5" t="str">
        <f>IFERROR(__xludf.DUMMYFUNCTION("""COMPUTED_VALUE"""),"error")</f>
        <v>error</v>
      </c>
      <c r="E183" s="5" t="str">
        <f>IFERROR(__xludf.DUMMYFUNCTION("""COMPUTED_VALUE"""),"Stock")</f>
        <v>Stock</v>
      </c>
      <c r="F183" s="119" t="str">
        <f>IFERROR(__xludf.DUMMYFUNCTION("""COMPUTED_VALUE"""),"ANTM")</f>
        <v>ANTM</v>
      </c>
      <c r="G183" s="30">
        <f>IFERROR(__xludf.DUMMYFUNCTION("""COMPUTED_VALUE"""),480.0)</f>
        <v>480</v>
      </c>
      <c r="H183" s="30" t="str">
        <f>IFERROR(__xludf.DUMMYFUNCTION("""COMPUTED_VALUE"""),"Email Account/ TraderID Recognized")</f>
        <v>Email Account/ TraderID Recognized</v>
      </c>
      <c r="I183" s="30" t="str">
        <f>IFERROR(__xludf.DUMMYFUNCTION("""COMPUTED_VALUE"""),"QTY, Limit Price (if any) &amp; Password input correct")</f>
        <v>QTY, Limit Price (if any) &amp; Password input correct</v>
      </c>
      <c r="J183" s="30" t="str">
        <f>IFERROR(__xludf.DUMMYFUNCTION("""COMPUTED_VALUE"""),"Order rejected due to non-school email address")</f>
        <v>Order rejected due to non-school email address</v>
      </c>
    </row>
    <row r="184">
      <c r="A184" s="5"/>
      <c r="B184" s="118">
        <f>IFERROR(__xludf.DUMMYFUNCTION("""COMPUTED_VALUE"""),44646.78214282407)</f>
        <v>44646.78214</v>
      </c>
      <c r="C184" s="5" t="str">
        <f>IFERROR(__xludf.DUMMYFUNCTION("""COMPUTED_VALUE"""),"")</f>
        <v/>
      </c>
      <c r="D184" s="5" t="str">
        <f>IFERROR(__xludf.DUMMYFUNCTION("""COMPUTED_VALUE"""),"error")</f>
        <v>error</v>
      </c>
      <c r="E184" s="5" t="str">
        <f>IFERROR(__xludf.DUMMYFUNCTION("""COMPUTED_VALUE"""),"Stock")</f>
        <v>Stock</v>
      </c>
      <c r="F184" s="121" t="str">
        <f>IFERROR(__xludf.DUMMYFUNCTION("""COMPUTED_VALUE"""),"0006.HK")</f>
        <v>0006.HK</v>
      </c>
      <c r="G184" s="30">
        <f>IFERROR(__xludf.DUMMYFUNCTION("""COMPUTED_VALUE"""),51.25)</f>
        <v>51.25</v>
      </c>
      <c r="H184" s="30" t="str">
        <f>IFERROR(__xludf.DUMMYFUNCTION("""COMPUTED_VALUE"""),"jiaxxxxxxx@nonHKMUemail")</f>
        <v>jiaxxxxxxx@nonHKMUemail</v>
      </c>
      <c r="I184" s="30" t="str">
        <f>IFERROR(__xludf.DUMMYFUNCTION("""COMPUTED_VALUE"""),"QTY, Limit Price (if any) &amp; Password input correct")</f>
        <v>QTY, Limit Price (if any) &amp; Password input correct</v>
      </c>
      <c r="J184" s="30" t="str">
        <f>IFERROR(__xludf.DUMMYFUNCTION("""COMPUTED_VALUE"""),"Order rejected due to non-school email address")</f>
        <v>Order rejected due to non-school email address</v>
      </c>
    </row>
    <row r="185">
      <c r="A185" s="5"/>
      <c r="B185" s="118">
        <f>IFERROR(__xludf.DUMMYFUNCTION("""COMPUTED_VALUE"""),44646.92911394676)</f>
        <v>44646.92911</v>
      </c>
      <c r="C185" s="5" t="str">
        <f>IFERROR(__xludf.DUMMYFUNCTION("""COMPUTED_VALUE"""),"40105")</f>
        <v>40105</v>
      </c>
      <c r="D185" s="5" t="str">
        <f>IFERROR(__xludf.DUMMYFUNCTION("""COMPUTED_VALUE"""),"error")</f>
        <v>error</v>
      </c>
      <c r="E185" s="5" t="str">
        <f>IFERROR(__xludf.DUMMYFUNCTION("""COMPUTED_VALUE"""),"Stock")</f>
        <v>Stock</v>
      </c>
      <c r="F185" s="119" t="str">
        <f>IFERROR(__xludf.DUMMYFUNCTION("""COMPUTED_VALUE"""),"S&amp;P 500")</f>
        <v>S&amp;P 500</v>
      </c>
      <c r="G185" s="30"/>
      <c r="H185" s="30" t="str">
        <f>IFERROR(__xludf.DUMMYFUNCTION("""COMPUTED_VALUE"""),"Email Account/ TraderID Recognized")</f>
        <v>Email Account/ TraderID Recognized</v>
      </c>
      <c r="I185" s="30" t="str">
        <f>IFERROR(__xludf.DUMMYFUNCTION("""COMPUTED_VALUE"""),"QTY, Limit Price (if any) &amp; Password input correct")</f>
        <v>QTY, Limit Price (if any) &amp; Password input correct</v>
      </c>
      <c r="J185" s="30" t="str">
        <f>IFERROR(__xludf.DUMMYFUNCTION("""COMPUTED_VALUE"""),"Order rejected due to non-school email address and wrong ticker code")</f>
        <v>Order rejected due to non-school email address and wrong ticker code</v>
      </c>
    </row>
    <row r="186">
      <c r="A186" s="5"/>
      <c r="B186" s="118">
        <f>IFERROR(__xludf.DUMMYFUNCTION("""COMPUTED_VALUE"""),44647.450072418986)</f>
        <v>44647.45007</v>
      </c>
      <c r="C186" s="5" t="str">
        <f>IFERROR(__xludf.DUMMYFUNCTION("""COMPUTED_VALUE"""),"")</f>
        <v/>
      </c>
      <c r="D186" s="5" t="str">
        <f>IFERROR(__xludf.DUMMYFUNCTION("""COMPUTED_VALUE"""),"error")</f>
        <v>error</v>
      </c>
      <c r="E186" s="5" t="str">
        <f>IFERROR(__xludf.DUMMYFUNCTION("""COMPUTED_VALUE"""),"Stock")</f>
        <v>Stock</v>
      </c>
      <c r="F186" s="121" t="str">
        <f>IFERROR(__xludf.DUMMYFUNCTION("""COMPUTED_VALUE"""),"002657.SZ")</f>
        <v>002657.SZ</v>
      </c>
      <c r="G186" s="30">
        <f>IFERROR(__xludf.DUMMYFUNCTION("""COMPUTED_VALUE"""),15.5)</f>
        <v>15.5</v>
      </c>
      <c r="H186" s="30" t="str">
        <f>IFERROR(__xludf.DUMMYFUNCTION("""COMPUTED_VALUE"""),"1012xxxxxx@nonHKMUemail")</f>
        <v>1012xxxxxx@nonHKMUemail</v>
      </c>
      <c r="I186" s="30" t="str">
        <f>IFERROR(__xludf.DUMMYFUNCTION("""COMPUTED_VALUE"""),"QTY, Limit Price (if any) &amp; Password input correct")</f>
        <v>QTY, Limit Price (if any) &amp; Password input correct</v>
      </c>
      <c r="J186" s="30" t="str">
        <f>IFERROR(__xludf.DUMMYFUNCTION("""COMPUTED_VALUE"""),"Order rejected due to non-school email address and wrong quantity input")</f>
        <v>Order rejected due to non-school email address and wrong quantity input</v>
      </c>
    </row>
    <row r="187">
      <c r="A187" s="5"/>
      <c r="B187" s="118">
        <f>IFERROR(__xludf.DUMMYFUNCTION("""COMPUTED_VALUE"""),44648.48377774305)</f>
        <v>44648.48378</v>
      </c>
      <c r="C187" s="5" t="str">
        <f>IFERROR(__xludf.DUMMYFUNCTION("""COMPUTED_VALUE"""),"")</f>
        <v/>
      </c>
      <c r="D187" s="5" t="str">
        <f>IFERROR(__xludf.DUMMYFUNCTION("""COMPUTED_VALUE"""),"error")</f>
        <v>error</v>
      </c>
      <c r="E187" s="5" t="str">
        <f>IFERROR(__xludf.DUMMYFUNCTION("""COMPUTED_VALUE"""),"Stock")</f>
        <v>Stock</v>
      </c>
      <c r="F187" s="121" t="str">
        <f>IFERROR(__xludf.DUMMYFUNCTION("""COMPUTED_VALUE"""),"002657.SZ")</f>
        <v>002657.SZ</v>
      </c>
      <c r="G187" s="30">
        <f>IFERROR(__xludf.DUMMYFUNCTION("""COMPUTED_VALUE"""),16.0)</f>
        <v>16</v>
      </c>
      <c r="H187" s="30" t="str">
        <f>IFERROR(__xludf.DUMMYFUNCTION("""COMPUTED_VALUE"""),"1012xxxxxx@nonHKMUemail")</f>
        <v>1012xxxxxx@nonHKMUemail</v>
      </c>
      <c r="I187" s="30" t="str">
        <f>IFERROR(__xludf.DUMMYFUNCTION("""COMPUTED_VALUE"""),"Non-number input in Quantity or Limit Price")</f>
        <v>Non-number input in Quantity or Limit Price</v>
      </c>
      <c r="J187" s="30" t="str">
        <f>IFERROR(__xludf.DUMMYFUNCTION("""COMPUTED_VALUE"""),"Order rejected due to non-school email account")</f>
        <v>Order rejected due to non-school email account</v>
      </c>
    </row>
    <row r="188">
      <c r="A188" s="5"/>
      <c r="B188" s="118">
        <f>IFERROR(__xludf.DUMMYFUNCTION("""COMPUTED_VALUE"""),44648.488543287036)</f>
        <v>44648.48854</v>
      </c>
      <c r="C188" s="5" t="str">
        <f>IFERROR(__xludf.DUMMYFUNCTION("""COMPUTED_VALUE"""),"")</f>
        <v/>
      </c>
      <c r="D188" s="5" t="str">
        <f>IFERROR(__xludf.DUMMYFUNCTION("""COMPUTED_VALUE"""),"error")</f>
        <v>error</v>
      </c>
      <c r="E188" s="5" t="str">
        <f>IFERROR(__xludf.DUMMYFUNCTION("""COMPUTED_VALUE"""),"Stock")</f>
        <v>Stock</v>
      </c>
      <c r="F188" s="121" t="str">
        <f>IFERROR(__xludf.DUMMYFUNCTION("""COMPUTED_VALUE"""),"002864.SZ")</f>
        <v>002864.SZ</v>
      </c>
      <c r="G188" s="30">
        <f>IFERROR(__xludf.DUMMYFUNCTION("""COMPUTED_VALUE"""),62.5)</f>
        <v>62.5</v>
      </c>
      <c r="H188" s="30" t="str">
        <f>IFERROR(__xludf.DUMMYFUNCTION("""COMPUTED_VALUE"""),"1012xxxxxx@nonHKMUemail")</f>
        <v>1012xxxxxx@nonHKMUemail</v>
      </c>
      <c r="I188" s="30" t="str">
        <f>IFERROR(__xludf.DUMMYFUNCTION("""COMPUTED_VALUE"""),"Non-number input in Quantity or Limit Price")</f>
        <v>Non-number input in Quantity or Limit Price</v>
      </c>
      <c r="J188" s="30" t="str">
        <f>IFERROR(__xludf.DUMMYFUNCTION("""COMPUTED_VALUE"""),"Order rejected due to non-school email account")</f>
        <v>Order rejected due to non-school email account</v>
      </c>
    </row>
    <row r="189">
      <c r="A189" s="5"/>
      <c r="B189" s="118">
        <f>IFERROR(__xludf.DUMMYFUNCTION("""COMPUTED_VALUE"""),44648.54277530093)</f>
        <v>44648.54278</v>
      </c>
      <c r="C189" s="5" t="str">
        <f>IFERROR(__xludf.DUMMYFUNCTION("""COMPUTED_VALUE"""),"")</f>
        <v/>
      </c>
      <c r="D189" s="5" t="str">
        <f>IFERROR(__xludf.DUMMYFUNCTION("""COMPUTED_VALUE"""),"error")</f>
        <v>error</v>
      </c>
      <c r="E189" s="5" t="str">
        <f>IFERROR(__xludf.DUMMYFUNCTION("""COMPUTED_VALUE"""),"Stock")</f>
        <v>Stock</v>
      </c>
      <c r="F189" s="119" t="str">
        <f>IFERROR(__xludf.DUMMYFUNCTION("""COMPUTED_VALUE"""),"BEKE")</f>
        <v>BEKE</v>
      </c>
      <c r="G189" s="30"/>
      <c r="H189" s="30" t="str">
        <f>IFERROR(__xludf.DUMMYFUNCTION("""COMPUTED_VALUE"""),"s128xxxxxx@nonHKMUemail")</f>
        <v>s128xxxxxx@nonHKMUemail</v>
      </c>
      <c r="I189" s="30" t="str">
        <f>IFERROR(__xludf.DUMMYFUNCTION("""COMPUTED_VALUE"""),"QTY, Limit Price (if any) &amp; Password input correct")</f>
        <v>QTY, Limit Price (if any) &amp; Password input correct</v>
      </c>
      <c r="J189" s="30" t="str">
        <f>IFERROR(__xludf.DUMMYFUNCTION("""COMPUTED_VALUE"""),"Order rejected due to non-school email account")</f>
        <v>Order rejected due to non-school email account</v>
      </c>
    </row>
    <row r="190">
      <c r="A190" s="5"/>
      <c r="B190" s="118">
        <f>IFERROR(__xludf.DUMMYFUNCTION("""COMPUTED_VALUE"""),44648.56210740741)</f>
        <v>44648.56211</v>
      </c>
      <c r="C190" s="5" t="str">
        <f>IFERROR(__xludf.DUMMYFUNCTION("""COMPUTED_VALUE"""),"75369")</f>
        <v>75369</v>
      </c>
      <c r="D190" s="5" t="str">
        <f>IFERROR(__xludf.DUMMYFUNCTION("""COMPUTED_VALUE"""),"error")</f>
        <v>error</v>
      </c>
      <c r="E190" s="5" t="str">
        <f>IFERROR(__xludf.DUMMYFUNCTION("""COMPUTED_VALUE"""),"Stock")</f>
        <v>Stock</v>
      </c>
      <c r="F190" s="119" t="str">
        <f>IFERROR(__xludf.DUMMYFUNCTION("""COMPUTED_VALUE"""),"1810")</f>
        <v>1810</v>
      </c>
      <c r="G190" s="30"/>
      <c r="H190" s="30" t="str">
        <f>IFERROR(__xludf.DUMMYFUNCTION("""COMPUTED_VALUE"""),"Email Account/ TraderID Recognized")</f>
        <v>Email Account/ TraderID Recognized</v>
      </c>
      <c r="I190" s="30" t="str">
        <f>IFERROR(__xludf.DUMMYFUNCTION("""COMPUTED_VALUE"""),"QTY, Limit Price (if any) &amp; Password input correct")</f>
        <v>QTY, Limit Price (if any) &amp; Password input correct</v>
      </c>
      <c r="J190" s="30" t="str">
        <f>IFERROR(__xludf.DUMMYFUNCTION("""COMPUTED_VALUE"""),"Order rejected due to non-school email account")</f>
        <v>Order rejected due to non-school email account</v>
      </c>
    </row>
    <row r="191">
      <c r="A191" s="5"/>
      <c r="B191" s="118">
        <f>IFERROR(__xludf.DUMMYFUNCTION("""COMPUTED_VALUE"""),44648.571727187504)</f>
        <v>44648.57173</v>
      </c>
      <c r="C191" s="5" t="str">
        <f>IFERROR(__xludf.DUMMYFUNCTION("""COMPUTED_VALUE"""),"")</f>
        <v/>
      </c>
      <c r="D191" s="5" t="str">
        <f>IFERROR(__xludf.DUMMYFUNCTION("""COMPUTED_VALUE"""),"error")</f>
        <v>error</v>
      </c>
      <c r="E191" s="5" t="str">
        <f>IFERROR(__xludf.DUMMYFUNCTION("""COMPUTED_VALUE"""),"Stock")</f>
        <v>Stock</v>
      </c>
      <c r="F191" s="121" t="str">
        <f>IFERROR(__xludf.DUMMYFUNCTION("""COMPUTED_VALUE"""),"002657.SZ")</f>
        <v>002657.SZ</v>
      </c>
      <c r="G191" s="30">
        <f>IFERROR(__xludf.DUMMYFUNCTION("""COMPUTED_VALUE"""),16.3)</f>
        <v>16.3</v>
      </c>
      <c r="H191" s="30" t="str">
        <f>IFERROR(__xludf.DUMMYFUNCTION("""COMPUTED_VALUE"""),"1012xxxxxx@nonHKMUemail")</f>
        <v>1012xxxxxx@nonHKMUemail</v>
      </c>
      <c r="I191" s="30" t="str">
        <f>IFERROR(__xludf.DUMMYFUNCTION("""COMPUTED_VALUE"""),"Non-number input in Quantity or Limit Price")</f>
        <v>Non-number input in Quantity or Limit Price</v>
      </c>
      <c r="J191" s="30" t="str">
        <f>IFERROR(__xludf.DUMMYFUNCTION("""COMPUTED_VALUE"""),"Order rejected due to non-school email account")</f>
        <v>Order rejected due to non-school email account</v>
      </c>
    </row>
    <row r="192">
      <c r="A192" s="5"/>
      <c r="B192" s="118">
        <f>IFERROR(__xludf.DUMMYFUNCTION("""COMPUTED_VALUE"""),44648.599952766206)</f>
        <v>44648.59995</v>
      </c>
      <c r="C192" s="5" t="str">
        <f>IFERROR(__xludf.DUMMYFUNCTION("""COMPUTED_VALUE"""),"76796")</f>
        <v>76796</v>
      </c>
      <c r="D192" s="5" t="str">
        <f>IFERROR(__xludf.DUMMYFUNCTION("""COMPUTED_VALUE"""),"error")</f>
        <v>error</v>
      </c>
      <c r="E192" s="5" t="str">
        <f>IFERROR(__xludf.DUMMYFUNCTION("""COMPUTED_VALUE"""),"Stock")</f>
        <v>Stock</v>
      </c>
      <c r="F192" s="119" t="str">
        <f>IFERROR(__xludf.DUMMYFUNCTION("""COMPUTED_VALUE"""),"GOOGL")</f>
        <v>GOOGL</v>
      </c>
      <c r="G192" s="30"/>
      <c r="H192" s="30" t="str">
        <f>IFERROR(__xludf.DUMMYFUNCTION("""COMPUTED_VALUE"""),"Email Account/ TraderID Recognized")</f>
        <v>Email Account/ TraderID Recognized</v>
      </c>
      <c r="I192" s="30" t="str">
        <f>IFERROR(__xludf.DUMMYFUNCTION("""COMPUTED_VALUE"""),"Non-number input in Quantity or Limit Price")</f>
        <v>Non-number input in Quantity or Limit Price</v>
      </c>
      <c r="J192" s="30" t="str">
        <f>IFERROR(__xludf.DUMMYFUNCTION("""COMPUTED_VALUE"""),"Order rejected due to non-numeric character in quantity cell")</f>
        <v>Order rejected due to non-numeric character in quantity cell</v>
      </c>
    </row>
    <row r="193">
      <c r="A193" s="5"/>
      <c r="B193" s="118">
        <f>IFERROR(__xludf.DUMMYFUNCTION("""COMPUTED_VALUE"""),44648.6173030787)</f>
        <v>44648.6173</v>
      </c>
      <c r="C193" s="5" t="str">
        <f>IFERROR(__xludf.DUMMYFUNCTION("""COMPUTED_VALUE"""),"")</f>
        <v/>
      </c>
      <c r="D193" s="5" t="str">
        <f>IFERROR(__xludf.DUMMYFUNCTION("""COMPUTED_VALUE"""),"error")</f>
        <v>error</v>
      </c>
      <c r="E193" s="5" t="str">
        <f>IFERROR(__xludf.DUMMYFUNCTION("""COMPUTED_VALUE"""),"Stock")</f>
        <v>Stock</v>
      </c>
      <c r="F193" s="119" t="str">
        <f>IFERROR(__xludf.DUMMYFUNCTION("""COMPUTED_VALUE"""),"AMZN")</f>
        <v>AMZN</v>
      </c>
      <c r="G193" s="30">
        <f>IFERROR(__xludf.DUMMYFUNCTION("""COMPUTED_VALUE"""),3500.0)</f>
        <v>3500</v>
      </c>
      <c r="H193" s="30" t="str">
        <f>IFERROR(__xludf.DUMMYFUNCTION("""COMPUTED_VALUE"""),"s123xxxxxx@nonHKMUemail")</f>
        <v>s123xxxxxx@nonHKMUemail</v>
      </c>
      <c r="I193" s="30" t="str">
        <f>IFERROR(__xludf.DUMMYFUNCTION("""COMPUTED_VALUE"""),"QTY, Limit Price (if any) &amp; Password input correct")</f>
        <v>QTY, Limit Price (if any) &amp; Password input correct</v>
      </c>
      <c r="J193" s="30" t="str">
        <f>IFERROR(__xludf.DUMMYFUNCTION("""COMPUTED_VALUE"""),"Order rejected due to non-school email account")</f>
        <v>Order rejected due to non-school email account</v>
      </c>
    </row>
    <row r="194">
      <c r="A194" s="5"/>
      <c r="B194" s="118">
        <f>IFERROR(__xludf.DUMMYFUNCTION("""COMPUTED_VALUE"""),44648.924115752314)</f>
        <v>44648.92412</v>
      </c>
      <c r="C194" s="5" t="str">
        <f>IFERROR(__xludf.DUMMYFUNCTION("""COMPUTED_VALUE"""),"73542")</f>
        <v>73542</v>
      </c>
      <c r="D194" s="5" t="str">
        <f>IFERROR(__xludf.DUMMYFUNCTION("""COMPUTED_VALUE"""),"error")</f>
        <v>error</v>
      </c>
      <c r="E194" s="5" t="str">
        <f>IFERROR(__xludf.DUMMYFUNCTION("""COMPUTED_VALUE"""),"Stock")</f>
        <v>Stock</v>
      </c>
      <c r="F194" s="119" t="str">
        <f>IFERROR(__xludf.DUMMYFUNCTION("""COMPUTED_VALUE"""),"TSLA")</f>
        <v>TSLA</v>
      </c>
      <c r="G194" s="30">
        <f>IFERROR(__xludf.DUMMYFUNCTION("""COMPUTED_VALUE"""),1066.0)</f>
        <v>1066</v>
      </c>
      <c r="H194" s="30" t="str">
        <f>IFERROR(__xludf.DUMMYFUNCTION("""COMPUTED_VALUE"""),"Email Account/ TraderID Recognized")</f>
        <v>Email Account/ TraderID Recognized</v>
      </c>
      <c r="I194" s="30" t="str">
        <f>IFERROR(__xludf.DUMMYFUNCTION("""COMPUTED_VALUE"""),"Wrong Password Submitted, Order will be rejected")</f>
        <v>Wrong Password Submitted, Order will be rejected</v>
      </c>
      <c r="J194" s="30" t="str">
        <f>IFERROR(__xludf.DUMMYFUNCTION("""COMPUTED_VALUE"""),"Order rejected due to wrong password")</f>
        <v>Order rejected due to wrong password</v>
      </c>
    </row>
    <row r="195">
      <c r="A195" s="5"/>
      <c r="B195" s="118">
        <f>IFERROR(__xludf.DUMMYFUNCTION("""COMPUTED_VALUE"""),44649.659478229165)</f>
        <v>44649.65948</v>
      </c>
      <c r="C195" s="5" t="str">
        <f>IFERROR(__xludf.DUMMYFUNCTION("""COMPUTED_VALUE"""),"75965")</f>
        <v>75965</v>
      </c>
      <c r="D195" s="5" t="str">
        <f>IFERROR(__xludf.DUMMYFUNCTION("""COMPUTED_VALUE"""),"error")</f>
        <v>error</v>
      </c>
      <c r="E195" s="5" t="str">
        <f>IFERROR(__xludf.DUMMYFUNCTION("""COMPUTED_VALUE"""),"Stock")</f>
        <v>Stock</v>
      </c>
      <c r="F195" s="119" t="str">
        <f>IFERROR(__xludf.DUMMYFUNCTION("""COMPUTED_VALUE"""),"MULN")</f>
        <v>MULN</v>
      </c>
      <c r="G195" s="30"/>
      <c r="H195" s="30" t="str">
        <f>IFERROR(__xludf.DUMMYFUNCTION("""COMPUTED_VALUE"""),"Email Account/ TraderID Recognized")</f>
        <v>Email Account/ TraderID Recognized</v>
      </c>
      <c r="I195" s="30" t="str">
        <f>IFERROR(__xludf.DUMMYFUNCTION("""COMPUTED_VALUE"""),"Wrong Password Submitted, Order will be rejected")</f>
        <v>Wrong Password Submitted, Order will be rejected</v>
      </c>
      <c r="J195" s="30" t="str">
        <f>IFERROR(__xludf.DUMMYFUNCTION("""COMPUTED_VALUE"""),"Order rejected due to wrong password")</f>
        <v>Order rejected due to wrong password</v>
      </c>
    </row>
    <row r="196">
      <c r="A196" s="5"/>
      <c r="B196" s="118">
        <f>IFERROR(__xludf.DUMMYFUNCTION("""COMPUTED_VALUE"""),44649.66856548611)</f>
        <v>44649.66857</v>
      </c>
      <c r="C196" s="5" t="str">
        <f>IFERROR(__xludf.DUMMYFUNCTION("""COMPUTED_VALUE"""),"75965")</f>
        <v>75965</v>
      </c>
      <c r="D196" s="5" t="str">
        <f>IFERROR(__xludf.DUMMYFUNCTION("""COMPUTED_VALUE"""),"error")</f>
        <v>error</v>
      </c>
      <c r="E196" s="5" t="str">
        <f>IFERROR(__xludf.DUMMYFUNCTION("""COMPUTED_VALUE"""),"Stock")</f>
        <v>Stock</v>
      </c>
      <c r="F196" s="119" t="str">
        <f>IFERROR(__xludf.DUMMYFUNCTION("""COMPUTED_VALUE"""),"TSLA")</f>
        <v>TSLA</v>
      </c>
      <c r="G196" s="30"/>
      <c r="H196" s="30" t="str">
        <f>IFERROR(__xludf.DUMMYFUNCTION("""COMPUTED_VALUE"""),"Email Account/ TraderID Recognized")</f>
        <v>Email Account/ TraderID Recognized</v>
      </c>
      <c r="I196" s="30" t="str">
        <f>IFERROR(__xludf.DUMMYFUNCTION("""COMPUTED_VALUE"""),"Wrong Password Submitted, Order will be rejected")</f>
        <v>Wrong Password Submitted, Order will be rejected</v>
      </c>
      <c r="J196" s="30" t="str">
        <f>IFERROR(__xludf.DUMMYFUNCTION("""COMPUTED_VALUE"""),"Order rejected due to wrong password")</f>
        <v>Order rejected due to wrong password</v>
      </c>
    </row>
    <row r="197">
      <c r="A197" s="5"/>
      <c r="B197" s="118">
        <f>IFERROR(__xludf.DUMMYFUNCTION("""COMPUTED_VALUE"""),44649.706393518514)</f>
        <v>44649.70639</v>
      </c>
      <c r="C197" s="5" t="str">
        <f>IFERROR(__xludf.DUMMYFUNCTION("""COMPUTED_VALUE"""),"75369")</f>
        <v>75369</v>
      </c>
      <c r="D197" s="5" t="str">
        <f>IFERROR(__xludf.DUMMYFUNCTION("""COMPUTED_VALUE"""),"error")</f>
        <v>error</v>
      </c>
      <c r="E197" s="5" t="str">
        <f>IFERROR(__xludf.DUMMYFUNCTION("""COMPUTED_VALUE"""),"Stock")</f>
        <v>Stock</v>
      </c>
      <c r="F197" s="119" t="str">
        <f>IFERROR(__xludf.DUMMYFUNCTION("""COMPUTED_VALUE"""),"9698")</f>
        <v>9698</v>
      </c>
      <c r="G197" s="30"/>
      <c r="H197" s="30" t="str">
        <f>IFERROR(__xludf.DUMMYFUNCTION("""COMPUTED_VALUE"""),"Email Account/ TraderID Recognized")</f>
        <v>Email Account/ TraderID Recognized</v>
      </c>
      <c r="I197" s="30" t="str">
        <f>IFERROR(__xludf.DUMMYFUNCTION("""COMPUTED_VALUE"""),"QTY, Limit Price (if any) &amp; Password input correct")</f>
        <v>QTY, Limit Price (if any) &amp; Password input correct</v>
      </c>
      <c r="J197" s="30" t="str">
        <f>IFERROR(__xludf.DUMMYFUNCTION("""COMPUTED_VALUE"""),"Order rejected due to wrong ticker code")</f>
        <v>Order rejected due to wrong ticker code</v>
      </c>
    </row>
    <row r="198">
      <c r="A198" s="5"/>
      <c r="B198" s="118">
        <f>IFERROR(__xludf.DUMMYFUNCTION("""COMPUTED_VALUE"""),44649.725511261575)</f>
        <v>44649.72551</v>
      </c>
      <c r="C198" s="5" t="str">
        <f>IFERROR(__xludf.DUMMYFUNCTION("""COMPUTED_VALUE"""),"75369")</f>
        <v>75369</v>
      </c>
      <c r="D198" s="5" t="str">
        <f>IFERROR(__xludf.DUMMYFUNCTION("""COMPUTED_VALUE"""),"error")</f>
        <v>error</v>
      </c>
      <c r="E198" s="5" t="str">
        <f>IFERROR(__xludf.DUMMYFUNCTION("""COMPUTED_VALUE"""),"Stock")</f>
        <v>Stock</v>
      </c>
      <c r="F198" s="119" t="str">
        <f>IFERROR(__xludf.DUMMYFUNCTION("""COMPUTED_VALUE"""),"BK2561")</f>
        <v>BK2561</v>
      </c>
      <c r="G198" s="30"/>
      <c r="H198" s="30" t="str">
        <f>IFERROR(__xludf.DUMMYFUNCTION("""COMPUTED_VALUE"""),"Email Account/ TraderID Recognized")</f>
        <v>Email Account/ TraderID Recognized</v>
      </c>
      <c r="I198" s="30" t="str">
        <f>IFERROR(__xludf.DUMMYFUNCTION("""COMPUTED_VALUE"""),"QTY, Limit Price (if any) &amp; Password input correct")</f>
        <v>QTY, Limit Price (if any) &amp; Password input correct</v>
      </c>
      <c r="J198" s="30" t="str">
        <f>IFERROR(__xludf.DUMMYFUNCTION("""COMPUTED_VALUE"""),"Order rejected due to wrong ticker code")</f>
        <v>Order rejected due to wrong ticker code</v>
      </c>
    </row>
    <row r="199">
      <c r="A199" s="5"/>
      <c r="B199" s="118">
        <f>IFERROR(__xludf.DUMMYFUNCTION("""COMPUTED_VALUE"""),44649.89883130787)</f>
        <v>44649.89883</v>
      </c>
      <c r="C199" s="5" t="str">
        <f>IFERROR(__xludf.DUMMYFUNCTION("""COMPUTED_VALUE"""),"")</f>
        <v/>
      </c>
      <c r="D199" s="5" t="str">
        <f>IFERROR(__xludf.DUMMYFUNCTION("""COMPUTED_VALUE"""),"error")</f>
        <v>error</v>
      </c>
      <c r="E199" s="5" t="str">
        <f>IFERROR(__xludf.DUMMYFUNCTION("""COMPUTED_VALUE"""),"Option")</f>
        <v>Option</v>
      </c>
      <c r="F199" s="119" t="str">
        <f>IFERROR(__xludf.DUMMYFUNCTION("""COMPUTED_VALUE"""),"TQQQ220414C00055500")</f>
        <v>TQQQ220414C00055500</v>
      </c>
      <c r="G199" s="30"/>
      <c r="H199" s="30" t="str">
        <f>IFERROR(__xludf.DUMMYFUNCTION("""COMPUTED_VALUE"""),"topcxxxxxx@nonHKMUemail")</f>
        <v>topcxxxxxx@nonHKMUemail</v>
      </c>
      <c r="I199" s="30" t="str">
        <f>IFERROR(__xludf.DUMMYFUNCTION("""COMPUTED_VALUE"""),"QTY, Limit Price (if any) &amp; Password input correct")</f>
        <v>QTY, Limit Price (if any) &amp; Password input correct</v>
      </c>
      <c r="J199" s="30" t="str">
        <f>IFERROR(__xludf.DUMMYFUNCTION("""COMPUTED_VALUE"""),"Order rejected due to non school email")</f>
        <v>Order rejected due to non school email</v>
      </c>
    </row>
    <row r="200">
      <c r="A200" s="5"/>
      <c r="B200" s="118">
        <f>IFERROR(__xludf.DUMMYFUNCTION("""COMPUTED_VALUE"""),44650.432748182866)</f>
        <v>44650.43275</v>
      </c>
      <c r="C200" s="5" t="str">
        <f>IFERROR(__xludf.DUMMYFUNCTION("""COMPUTED_VALUE"""),"")</f>
        <v/>
      </c>
      <c r="D200" s="5" t="str">
        <f>IFERROR(__xludf.DUMMYFUNCTION("""COMPUTED_VALUE"""),"error")</f>
        <v>error</v>
      </c>
      <c r="E200" s="5" t="str">
        <f>IFERROR(__xludf.DUMMYFUNCTION("""COMPUTED_VALUE"""),"Stock")</f>
        <v>Stock</v>
      </c>
      <c r="F200" s="121" t="str">
        <f>IFERROR(__xludf.DUMMYFUNCTION("""COMPUTED_VALUE"""),"002864.SZ")</f>
        <v>002864.SZ</v>
      </c>
      <c r="G200" s="30">
        <f>IFERROR(__xludf.DUMMYFUNCTION("""COMPUTED_VALUE"""),64.7)</f>
        <v>64.7</v>
      </c>
      <c r="H200" s="30" t="str">
        <f>IFERROR(__xludf.DUMMYFUNCTION("""COMPUTED_VALUE"""),"1012xxxxxx@nonHKMUemail")</f>
        <v>1012xxxxxx@nonHKMUemail</v>
      </c>
      <c r="I200" s="30" t="str">
        <f>IFERROR(__xludf.DUMMYFUNCTION("""COMPUTED_VALUE"""),"Non-number input in Quantity or Limit Price")</f>
        <v>Non-number input in Quantity or Limit Price</v>
      </c>
      <c r="J200" s="30" t="str">
        <f>IFERROR(__xludf.DUMMYFUNCTION("""COMPUTED_VALUE"""),"Order rejected due to non school email address")</f>
        <v>Order rejected due to non school email address</v>
      </c>
    </row>
    <row r="201">
      <c r="A201" s="5"/>
      <c r="B201" s="118">
        <f>IFERROR(__xludf.DUMMYFUNCTION("""COMPUTED_VALUE"""),44650.43617482639)</f>
        <v>44650.43617</v>
      </c>
      <c r="C201" s="5" t="str">
        <f>IFERROR(__xludf.DUMMYFUNCTION("""COMPUTED_VALUE"""),"")</f>
        <v/>
      </c>
      <c r="D201" s="5" t="str">
        <f>IFERROR(__xludf.DUMMYFUNCTION("""COMPUTED_VALUE"""),"error")</f>
        <v>error</v>
      </c>
      <c r="E201" s="5" t="str">
        <f>IFERROR(__xludf.DUMMYFUNCTION("""COMPUTED_VALUE"""),"Stock")</f>
        <v>Stock</v>
      </c>
      <c r="F201" s="121" t="str">
        <f>IFERROR(__xludf.DUMMYFUNCTION("""COMPUTED_VALUE"""),"002864.SZ")</f>
        <v>002864.SZ</v>
      </c>
      <c r="G201" s="30">
        <f>IFERROR(__xludf.DUMMYFUNCTION("""COMPUTED_VALUE"""),66.0)</f>
        <v>66</v>
      </c>
      <c r="H201" s="30" t="str">
        <f>IFERROR(__xludf.DUMMYFUNCTION("""COMPUTED_VALUE"""),"1012xxxxxx@nonHKMUemail")</f>
        <v>1012xxxxxx@nonHKMUemail</v>
      </c>
      <c r="I201" s="30" t="str">
        <f>IFERROR(__xludf.DUMMYFUNCTION("""COMPUTED_VALUE"""),"QTY, Limit Price (if any) &amp; Password input correct")</f>
        <v>QTY, Limit Price (if any) &amp; Password input correct</v>
      </c>
      <c r="J201" s="30" t="str">
        <f>IFERROR(__xludf.DUMMYFUNCTION("""COMPUTED_VALUE"""),"Order rejected due to non school email address")</f>
        <v>Order rejected due to non school email address</v>
      </c>
    </row>
    <row r="202">
      <c r="A202" s="5"/>
      <c r="B202" s="118">
        <f>IFERROR(__xludf.DUMMYFUNCTION("""COMPUTED_VALUE"""),44650.4392949537)</f>
        <v>44650.43929</v>
      </c>
      <c r="C202" s="5" t="str">
        <f>IFERROR(__xludf.DUMMYFUNCTION("""COMPUTED_VALUE"""),"")</f>
        <v/>
      </c>
      <c r="D202" s="5" t="str">
        <f>IFERROR(__xludf.DUMMYFUNCTION("""COMPUTED_VALUE"""),"error")</f>
        <v>error</v>
      </c>
      <c r="E202" s="5" t="str">
        <f>IFERROR(__xludf.DUMMYFUNCTION("""COMPUTED_VALUE"""),"Stock")</f>
        <v>Stock</v>
      </c>
      <c r="F202" s="121" t="str">
        <f>IFERROR(__xludf.DUMMYFUNCTION("""COMPUTED_VALUE"""),"002864.SZ")</f>
        <v>002864.SZ</v>
      </c>
      <c r="G202" s="30"/>
      <c r="H202" s="30" t="str">
        <f>IFERROR(__xludf.DUMMYFUNCTION("""COMPUTED_VALUE"""),"1012xxxxxx@nonHKMUemail")</f>
        <v>1012xxxxxx@nonHKMUemail</v>
      </c>
      <c r="I202" s="30" t="str">
        <f>IFERROR(__xludf.DUMMYFUNCTION("""COMPUTED_VALUE"""),"QTY, Limit Price (if any) &amp; Password input correct")</f>
        <v>QTY, Limit Price (if any) &amp; Password input correct</v>
      </c>
      <c r="J202" s="30" t="str">
        <f>IFERROR(__xludf.DUMMYFUNCTION("""COMPUTED_VALUE"""),"Order rejected due to non school email address")</f>
        <v>Order rejected due to non school email address</v>
      </c>
    </row>
    <row r="203">
      <c r="A203" s="5"/>
      <c r="B203" s="118">
        <f>IFERROR(__xludf.DUMMYFUNCTION("""COMPUTED_VALUE"""),44650.440698356484)</f>
        <v>44650.4407</v>
      </c>
      <c r="C203" s="5" t="str">
        <f>IFERROR(__xludf.DUMMYFUNCTION("""COMPUTED_VALUE"""),"")</f>
        <v/>
      </c>
      <c r="D203" s="5" t="str">
        <f>IFERROR(__xludf.DUMMYFUNCTION("""COMPUTED_VALUE"""),"error")</f>
        <v>error</v>
      </c>
      <c r="E203" s="5" t="str">
        <f>IFERROR(__xludf.DUMMYFUNCTION("""COMPUTED_VALUE"""),"Stock")</f>
        <v>Stock</v>
      </c>
      <c r="F203" s="121" t="str">
        <f>IFERROR(__xludf.DUMMYFUNCTION("""COMPUTED_VALUE"""),"002657.SZ")</f>
        <v>002657.SZ</v>
      </c>
      <c r="G203" s="30"/>
      <c r="H203" s="30" t="str">
        <f>IFERROR(__xludf.DUMMYFUNCTION("""COMPUTED_VALUE"""),"1012xxxxxx@nonHKMUemail")</f>
        <v>1012xxxxxx@nonHKMUemail</v>
      </c>
      <c r="I203" s="30" t="str">
        <f>IFERROR(__xludf.DUMMYFUNCTION("""COMPUTED_VALUE"""),"QTY, Limit Price (if any) &amp; Password input correct")</f>
        <v>QTY, Limit Price (if any) &amp; Password input correct</v>
      </c>
      <c r="J203" s="30" t="str">
        <f>IFERROR(__xludf.DUMMYFUNCTION("""COMPUTED_VALUE"""),"Order rejected due to non school email address")</f>
        <v>Order rejected due to non school email address</v>
      </c>
    </row>
    <row r="204">
      <c r="A204" s="5"/>
      <c r="B204" s="118">
        <f>IFERROR(__xludf.DUMMYFUNCTION("""COMPUTED_VALUE"""),44650.62871991898)</f>
        <v>44650.62872</v>
      </c>
      <c r="C204" s="5" t="str">
        <f>IFERROR(__xludf.DUMMYFUNCTION("""COMPUTED_VALUE"""),"76369")</f>
        <v>76369</v>
      </c>
      <c r="D204" s="5" t="str">
        <f>IFERROR(__xludf.DUMMYFUNCTION("""COMPUTED_VALUE"""),"error")</f>
        <v>error</v>
      </c>
      <c r="E204" s="5" t="str">
        <f>IFERROR(__xludf.DUMMYFUNCTION("""COMPUTED_VALUE"""),"Stock")</f>
        <v>Stock</v>
      </c>
      <c r="F204" s="121" t="str">
        <f>IFERROR(__xludf.DUMMYFUNCTION("""COMPUTED_VALUE"""),"300917.SZ")</f>
        <v>300917.SZ</v>
      </c>
      <c r="G204" s="30"/>
      <c r="H204" s="30" t="str">
        <f>IFERROR(__xludf.DUMMYFUNCTION("""COMPUTED_VALUE"""),"Email Account/ TraderID Recognized")</f>
        <v>Email Account/ TraderID Recognized</v>
      </c>
      <c r="I204" s="30" t="str">
        <f>IFERROR(__xludf.DUMMYFUNCTION("""COMPUTED_VALUE"""),"Wrong Password Submitted, Order will be rejected")</f>
        <v>Wrong Password Submitted, Order will be rejected</v>
      </c>
      <c r="J204" s="30" t="str">
        <f>IFERROR(__xludf.DUMMYFUNCTION("""COMPUTED_VALUE"""),"Order rejected due to wrong password")</f>
        <v>Order rejected due to wrong password</v>
      </c>
    </row>
    <row r="205">
      <c r="A205" s="5"/>
      <c r="B205" s="118">
        <f>IFERROR(__xludf.DUMMYFUNCTION("""COMPUTED_VALUE"""),44650.68675811343)</f>
        <v>44650.68676</v>
      </c>
      <c r="C205" s="5" t="str">
        <f>IFERROR(__xludf.DUMMYFUNCTION("""COMPUTED_VALUE"""),"")</f>
        <v/>
      </c>
      <c r="D205" s="5" t="str">
        <f>IFERROR(__xludf.DUMMYFUNCTION("""COMPUTED_VALUE"""),"error")</f>
        <v>error</v>
      </c>
      <c r="E205" s="5" t="str">
        <f>IFERROR(__xludf.DUMMYFUNCTION("""COMPUTED_VALUE"""),"Stock")</f>
        <v>Stock</v>
      </c>
      <c r="F205" s="119" t="str">
        <f>IFERROR(__xludf.DUMMYFUNCTION("""COMPUTED_VALUE"""),"BRK-B")</f>
        <v>BRK-B</v>
      </c>
      <c r="G205" s="30"/>
      <c r="H205" s="30" t="str">
        <f>IFERROR(__xludf.DUMMYFUNCTION("""COMPUTED_VALUE"""),"s127xxxxxx@nonHKMUemail")</f>
        <v>s127xxxxxx@nonHKMUemail</v>
      </c>
      <c r="I205" s="30" t="str">
        <f>IFERROR(__xludf.DUMMYFUNCTION("""COMPUTED_VALUE"""),"QTY, Limit Price (if any) &amp; Password input correct")</f>
        <v>QTY, Limit Price (if any) &amp; Password input correct</v>
      </c>
      <c r="J205" s="30" t="str">
        <f>IFERROR(__xludf.DUMMYFUNCTION("""COMPUTED_VALUE"""),"Order rejected due to non school email address")</f>
        <v>Order rejected due to non school email address</v>
      </c>
    </row>
    <row r="206">
      <c r="A206" s="5"/>
      <c r="B206" s="118">
        <f>IFERROR(__xludf.DUMMYFUNCTION("""COMPUTED_VALUE"""),44651.421199212964)</f>
        <v>44651.4212</v>
      </c>
      <c r="C206" s="5" t="str">
        <f>IFERROR(__xludf.DUMMYFUNCTION("""COMPUTED_VALUE"""),"75973")</f>
        <v>75973</v>
      </c>
      <c r="D206" s="5" t="str">
        <f>IFERROR(__xludf.DUMMYFUNCTION("""COMPUTED_VALUE"""),"error")</f>
        <v>error</v>
      </c>
      <c r="E206" s="5" t="str">
        <f>IFERROR(__xludf.DUMMYFUNCTION("""COMPUTED_VALUE"""),"Stock")</f>
        <v>Stock</v>
      </c>
      <c r="F206" s="121" t="str">
        <f>IFERROR(__xludf.DUMMYFUNCTION("""COMPUTED_VALUE"""),"BABA.US")</f>
        <v>BABA.US</v>
      </c>
      <c r="G206" s="30"/>
      <c r="H206" s="30" t="str">
        <f>IFERROR(__xludf.DUMMYFUNCTION("""COMPUTED_VALUE"""),"Email Account/ TraderID Recognized")</f>
        <v>Email Account/ TraderID Recognized</v>
      </c>
      <c r="I206" s="30" t="str">
        <f>IFERROR(__xludf.DUMMYFUNCTION("""COMPUTED_VALUE"""),"QTY, Limit Price (if any) &amp; Password input correct")</f>
        <v>QTY, Limit Price (if any) &amp; Password input correct</v>
      </c>
      <c r="J206" s="30" t="str">
        <f>IFERROR(__xludf.DUMMYFUNCTION("""COMPUTED_VALUE"""),"Order rejected due to wrong ticker")</f>
        <v>Order rejected due to wrong ticker</v>
      </c>
    </row>
    <row r="207">
      <c r="A207" s="5"/>
      <c r="B207" s="118">
        <f>IFERROR(__xludf.DUMMYFUNCTION("""COMPUTED_VALUE"""),44651.465900995376)</f>
        <v>44651.4659</v>
      </c>
      <c r="C207" s="5" t="str">
        <f>IFERROR(__xludf.DUMMYFUNCTION("""COMPUTED_VALUE"""),"")</f>
        <v/>
      </c>
      <c r="D207" s="5" t="str">
        <f>IFERROR(__xludf.DUMMYFUNCTION("""COMPUTED_VALUE"""),"error")</f>
        <v>error</v>
      </c>
      <c r="E207" s="5" t="str">
        <f>IFERROR(__xludf.DUMMYFUNCTION("""COMPUTED_VALUE"""),"Stock")</f>
        <v>Stock</v>
      </c>
      <c r="F207" s="121" t="str">
        <f>IFERROR(__xludf.DUMMYFUNCTION("""COMPUTED_VALUE"""),"9888.HK")</f>
        <v>9888.HK</v>
      </c>
      <c r="G207" s="30">
        <f>IFERROR(__xludf.DUMMYFUNCTION("""COMPUTED_VALUE"""),140.2)</f>
        <v>140.2</v>
      </c>
      <c r="H207" s="30" t="str">
        <f>IFERROR(__xludf.DUMMYFUNCTION("""COMPUTED_VALUE"""),"Jiaxxxxxxx@nonHKMUemail")</f>
        <v>Jiaxxxxxxx@nonHKMUemail</v>
      </c>
      <c r="I207" s="30" t="str">
        <f>IFERROR(__xludf.DUMMYFUNCTION("""COMPUTED_VALUE"""),"QTY, Limit Price (if any) &amp; Password input correct")</f>
        <v>QTY, Limit Price (if any) &amp; Password input correct</v>
      </c>
      <c r="J207" s="30" t="str">
        <f>IFERROR(__xludf.DUMMYFUNCTION("""COMPUTED_VALUE"""),"Order rejected due to non school email")</f>
        <v>Order rejected due to non school email</v>
      </c>
    </row>
    <row r="208">
      <c r="A208" s="5"/>
      <c r="B208" s="118">
        <f>IFERROR(__xludf.DUMMYFUNCTION("""COMPUTED_VALUE"""),44651.466274375)</f>
        <v>44651.46627</v>
      </c>
      <c r="C208" s="5" t="str">
        <f>IFERROR(__xludf.DUMMYFUNCTION("""COMPUTED_VALUE"""),"89833")</f>
        <v>89833</v>
      </c>
      <c r="D208" s="5" t="str">
        <f>IFERROR(__xludf.DUMMYFUNCTION("""COMPUTED_VALUE"""),"error")</f>
        <v>error</v>
      </c>
      <c r="E208" s="5" t="str">
        <f>IFERROR(__xludf.DUMMYFUNCTION("""COMPUTED_VALUE"""),"Stock")</f>
        <v>Stock</v>
      </c>
      <c r="F208" s="119" t="str">
        <f>IFERROR(__xludf.DUMMYFUNCTION("""COMPUTED_VALUE"""),"MVIS")</f>
        <v>MVIS</v>
      </c>
      <c r="G208" s="30" t="str">
        <f>IFERROR(__xludf.DUMMYFUNCTION("""COMPUTED_VALUE"""),"Limit Buy @ 4.970")</f>
        <v>Limit Buy @ 4.970</v>
      </c>
      <c r="H208" s="30" t="str">
        <f>IFERROR(__xludf.DUMMYFUNCTION("""COMPUTED_VALUE"""),"Email Account/ TraderID Recognized")</f>
        <v>Email Account/ TraderID Recognized</v>
      </c>
      <c r="I208" s="30" t="str">
        <f>IFERROR(__xludf.DUMMYFUNCTION("""COMPUTED_VALUE"""),"Non-number input in Quantity or Limit Price")</f>
        <v>Non-number input in Quantity or Limit Price</v>
      </c>
      <c r="J208" s="30" t="str">
        <f>IFERROR(__xludf.DUMMYFUNCTION("""COMPUTED_VALUE"""),"Order rejected due to limit price box contains non number character")</f>
        <v>Order rejected due to limit price box contains non number character</v>
      </c>
    </row>
    <row r="209">
      <c r="A209" s="5"/>
      <c r="B209" s="118">
        <f>IFERROR(__xludf.DUMMYFUNCTION("""COMPUTED_VALUE"""),44651.64373465278)</f>
        <v>44651.64373</v>
      </c>
      <c r="C209" s="5" t="str">
        <f>IFERROR(__xludf.DUMMYFUNCTION("""COMPUTED_VALUE"""),"33419")</f>
        <v>33419</v>
      </c>
      <c r="D209" s="5" t="str">
        <f>IFERROR(__xludf.DUMMYFUNCTION("""COMPUTED_VALUE"""),"error")</f>
        <v>error</v>
      </c>
      <c r="E209" s="5" t="str">
        <f>IFERROR(__xludf.DUMMYFUNCTION("""COMPUTED_VALUE"""),"Stock")</f>
        <v>Stock</v>
      </c>
      <c r="F209" s="119" t="str">
        <f>IFERROR(__xludf.DUMMYFUNCTION("""COMPUTED_VALUE"""),"00700")</f>
        <v>00700</v>
      </c>
      <c r="G209" s="30" t="str">
        <f>IFERROR(__xludf.DUMMYFUNCTION("""COMPUTED_VALUE"""),"Limit Sell @ 90 - if Closing @ 100 = Executed price @ 100; if Closing @ 80 = no execution")</f>
        <v>Limit Sell @ 90 - if Closing @ 100 = Executed price @ 100; if Closing @ 80 = no execution</v>
      </c>
      <c r="H209" s="30" t="str">
        <f>IFERROR(__xludf.DUMMYFUNCTION("""COMPUTED_VALUE"""),"Email Account/ TraderID Recognized")</f>
        <v>Email Account/ TraderID Recognized</v>
      </c>
      <c r="I209" s="30" t="str">
        <f>IFERROR(__xludf.DUMMYFUNCTION("""COMPUTED_VALUE"""),"Non-number input in Quantity or Limit Price")</f>
        <v>Non-number input in Quantity or Limit Price</v>
      </c>
      <c r="J209" s="30" t="str">
        <f>IFERROR(__xludf.DUMMYFUNCTION("""COMPUTED_VALUE"""),"Order rejected due to wrong ticker code and non numeric character in limit price box")</f>
        <v>Order rejected due to wrong ticker code and non numeric character in limit price box</v>
      </c>
    </row>
    <row r="210">
      <c r="A210" s="5"/>
      <c r="B210" s="118">
        <f>IFERROR(__xludf.DUMMYFUNCTION("""COMPUTED_VALUE"""),44651.657594502314)</f>
        <v>44651.65759</v>
      </c>
      <c r="C210" s="5" t="str">
        <f>IFERROR(__xludf.DUMMYFUNCTION("""COMPUTED_VALUE"""),"73341")</f>
        <v>73341</v>
      </c>
      <c r="D210" s="5" t="str">
        <f>IFERROR(__xludf.DUMMYFUNCTION("""COMPUTED_VALUE"""),"error")</f>
        <v>error</v>
      </c>
      <c r="E210" s="5" t="str">
        <f>IFERROR(__xludf.DUMMYFUNCTION("""COMPUTED_VALUE"""),"Stock")</f>
        <v>Stock</v>
      </c>
      <c r="F210" s="119" t="str">
        <f>IFERROR(__xludf.DUMMYFUNCTION("""COMPUTED_VALUE"""),"00700")</f>
        <v>00700</v>
      </c>
      <c r="G210" s="30">
        <f>IFERROR(__xludf.DUMMYFUNCTION("""COMPUTED_VALUE"""),50.0)</f>
        <v>50</v>
      </c>
      <c r="H210" s="30" t="str">
        <f>IFERROR(__xludf.DUMMYFUNCTION("""COMPUTED_VALUE"""),"Email Account/ TraderID Recognized")</f>
        <v>Email Account/ TraderID Recognized</v>
      </c>
      <c r="I210" s="30" t="str">
        <f>IFERROR(__xludf.DUMMYFUNCTION("""COMPUTED_VALUE"""),"QTY, Limit Price (if any) &amp; Password input correct")</f>
        <v>QTY, Limit Price (if any) &amp; Password input correct</v>
      </c>
      <c r="J210" s="30" t="str">
        <f>IFERROR(__xludf.DUMMYFUNCTION("""COMPUTED_VALUE"""),"Order rejected due to wrong ticker")</f>
        <v>Order rejected due to wrong ticker</v>
      </c>
    </row>
    <row r="211">
      <c r="A211" s="5"/>
      <c r="B211" s="118">
        <f>IFERROR(__xludf.DUMMYFUNCTION("""COMPUTED_VALUE"""),44651.66362274306)</f>
        <v>44651.66362</v>
      </c>
      <c r="C211" s="5" t="str">
        <f>IFERROR(__xludf.DUMMYFUNCTION("""COMPUTED_VALUE"""),"73341")</f>
        <v>73341</v>
      </c>
      <c r="D211" s="5" t="str">
        <f>IFERROR(__xludf.DUMMYFUNCTION("""COMPUTED_VALUE"""),"error")</f>
        <v>error</v>
      </c>
      <c r="E211" s="5" t="str">
        <f>IFERROR(__xludf.DUMMYFUNCTION("""COMPUTED_VALUE"""),"Stock")</f>
        <v>Stock</v>
      </c>
      <c r="F211" s="119" t="str">
        <f>IFERROR(__xludf.DUMMYFUNCTION("""COMPUTED_VALUE"""),"00700")</f>
        <v>00700</v>
      </c>
      <c r="G211" s="30"/>
      <c r="H211" s="30" t="str">
        <f>IFERROR(__xludf.DUMMYFUNCTION("""COMPUTED_VALUE"""),"Email Account/ TraderID Recognized")</f>
        <v>Email Account/ TraderID Recognized</v>
      </c>
      <c r="I211" s="30" t="str">
        <f>IFERROR(__xludf.DUMMYFUNCTION("""COMPUTED_VALUE"""),"QTY, Limit Price (if any) &amp; Password input correct")</f>
        <v>QTY, Limit Price (if any) &amp; Password input correct</v>
      </c>
      <c r="J211" s="30" t="str">
        <f>IFERROR(__xludf.DUMMYFUNCTION("""COMPUTED_VALUE"""),"Order rejected due to wrong ticker")</f>
        <v>Order rejected due to wrong ticker</v>
      </c>
    </row>
    <row r="212">
      <c r="A212" s="5"/>
      <c r="B212" s="118">
        <f>IFERROR(__xludf.DUMMYFUNCTION("""COMPUTED_VALUE"""),44651.668148020835)</f>
        <v>44651.66815</v>
      </c>
      <c r="C212" s="5" t="str">
        <f>IFERROR(__xludf.DUMMYFUNCTION("""COMPUTED_VALUE"""),"33419")</f>
        <v>33419</v>
      </c>
      <c r="D212" s="5" t="str">
        <f>IFERROR(__xludf.DUMMYFUNCTION("""COMPUTED_VALUE"""),"error")</f>
        <v>error</v>
      </c>
      <c r="E212" s="5" t="str">
        <f>IFERROR(__xludf.DUMMYFUNCTION("""COMPUTED_VALUE"""),"Bond")</f>
        <v>Bond</v>
      </c>
      <c r="F212" s="119" t="str">
        <f>IFERROR(__xludf.DUMMYFUNCTION("""COMPUTED_VALUE"""),"HK0000317724")</f>
        <v>HK0000317724</v>
      </c>
      <c r="G212" s="30"/>
      <c r="H212" s="30" t="str">
        <f>IFERROR(__xludf.DUMMYFUNCTION("""COMPUTED_VALUE"""),"Email Account/ TraderID Recognized")</f>
        <v>Email Account/ TraderID Recognized</v>
      </c>
      <c r="I212" s="30" t="str">
        <f>IFERROR(__xludf.DUMMYFUNCTION("""COMPUTED_VALUE"""),"QTY, Limit Price (if any) &amp; Password input correct")</f>
        <v>QTY, Limit Price (if any) &amp; Password input correct</v>
      </c>
      <c r="J212" s="30" t="str">
        <f>IFERROR(__xludf.DUMMYFUNCTION("""COMPUTED_VALUE"""),"Order rejected due to wrong email address")</f>
        <v>Order rejected due to wrong email address</v>
      </c>
    </row>
    <row r="213">
      <c r="A213" s="5"/>
      <c r="B213" s="118">
        <f>IFERROR(__xludf.DUMMYFUNCTION("""COMPUTED_VALUE"""),44651.67453842593)</f>
        <v>44651.67454</v>
      </c>
      <c r="C213" s="5" t="str">
        <f>IFERROR(__xludf.DUMMYFUNCTION("""COMPUTED_VALUE"""),"73341")</f>
        <v>73341</v>
      </c>
      <c r="D213" s="5" t="str">
        <f>IFERROR(__xludf.DUMMYFUNCTION("""COMPUTED_VALUE"""),"error")</f>
        <v>error</v>
      </c>
      <c r="E213" s="5" t="str">
        <f>IFERROR(__xludf.DUMMYFUNCTION("""COMPUTED_VALUE"""),"Stock")</f>
        <v>Stock</v>
      </c>
      <c r="F213" s="119" t="str">
        <f>IFERROR(__xludf.DUMMYFUNCTION("""COMPUTED_VALUE"""),"00700")</f>
        <v>00700</v>
      </c>
      <c r="G213" s="30"/>
      <c r="H213" s="30" t="str">
        <f>IFERROR(__xludf.DUMMYFUNCTION("""COMPUTED_VALUE"""),"Email Account/ TraderID Recognized")</f>
        <v>Email Account/ TraderID Recognized</v>
      </c>
      <c r="I213" s="30" t="str">
        <f>IFERROR(__xludf.DUMMYFUNCTION("""COMPUTED_VALUE"""),"QTY, Limit Price (if any) &amp; Password input correct")</f>
        <v>QTY, Limit Price (if any) &amp; Password input correct</v>
      </c>
      <c r="J213" s="30" t="str">
        <f>IFERROR(__xludf.DUMMYFUNCTION("""COMPUTED_VALUE"""),"Order rejected due to wrong ticker code")</f>
        <v>Order rejected due to wrong ticker code</v>
      </c>
    </row>
    <row r="214">
      <c r="A214" s="5"/>
      <c r="B214" s="118">
        <f>IFERROR(__xludf.DUMMYFUNCTION("""COMPUTED_VALUE"""),44652.374522962964)</f>
        <v>44652.37452</v>
      </c>
      <c r="C214" s="5" t="str">
        <f>IFERROR(__xludf.DUMMYFUNCTION("""COMPUTED_VALUE"""),"73341")</f>
        <v>73341</v>
      </c>
      <c r="D214" s="5" t="str">
        <f>IFERROR(__xludf.DUMMYFUNCTION("""COMPUTED_VALUE"""),"error")</f>
        <v>error</v>
      </c>
      <c r="E214" s="5" t="str">
        <f>IFERROR(__xludf.DUMMYFUNCTION("""COMPUTED_VALUE"""),"Stock")</f>
        <v>Stock</v>
      </c>
      <c r="F214" s="119" t="str">
        <f>IFERROR(__xludf.DUMMYFUNCTION("""COMPUTED_VALUE"""),"00698")</f>
        <v>00698</v>
      </c>
      <c r="G214" s="30"/>
      <c r="H214" s="30" t="str">
        <f>IFERROR(__xludf.DUMMYFUNCTION("""COMPUTED_VALUE"""),"Email Account/ TraderID Recognized")</f>
        <v>Email Account/ TraderID Recognized</v>
      </c>
      <c r="I214" s="30" t="str">
        <f>IFERROR(__xludf.DUMMYFUNCTION("""COMPUTED_VALUE"""),"QTY, Limit Price (if any) &amp; Password input correct")</f>
        <v>QTY, Limit Price (if any) &amp; Password input correct</v>
      </c>
      <c r="J214" s="30" t="str">
        <f>IFERROR(__xludf.DUMMYFUNCTION("""COMPUTED_VALUE"""),"Order rejected due to wrong ticker")</f>
        <v>Order rejected due to wrong ticker</v>
      </c>
    </row>
    <row r="215">
      <c r="A215" s="5"/>
      <c r="B215" s="118">
        <f>IFERROR(__xludf.DUMMYFUNCTION("""COMPUTED_VALUE"""),44652.42785125)</f>
        <v>44652.42785</v>
      </c>
      <c r="C215" s="5" t="str">
        <f>IFERROR(__xludf.DUMMYFUNCTION("""COMPUTED_VALUE"""),"")</f>
        <v/>
      </c>
      <c r="D215" s="5" t="str">
        <f>IFERROR(__xludf.DUMMYFUNCTION("""COMPUTED_VALUE"""),"error")</f>
        <v>error</v>
      </c>
      <c r="E215" s="5" t="str">
        <f>IFERROR(__xludf.DUMMYFUNCTION("""COMPUTED_VALUE"""),"Stock")</f>
        <v>Stock</v>
      </c>
      <c r="F215" s="121" t="str">
        <f>IFERROR(__xludf.DUMMYFUNCTION("""COMPUTED_VALUE"""),"9888.HK")</f>
        <v>9888.HK</v>
      </c>
      <c r="G215" s="30">
        <f>IFERROR(__xludf.DUMMYFUNCTION("""COMPUTED_VALUE"""),131.8)</f>
        <v>131.8</v>
      </c>
      <c r="H215" s="30" t="str">
        <f>IFERROR(__xludf.DUMMYFUNCTION("""COMPUTED_VALUE"""),"jiaxxxxxxx@nonHKMUemail")</f>
        <v>jiaxxxxxxx@nonHKMUemail</v>
      </c>
      <c r="I215" s="30" t="str">
        <f>IFERROR(__xludf.DUMMYFUNCTION("""COMPUTED_VALUE"""),"QTY, Limit Price (if any) &amp; Password input correct")</f>
        <v>QTY, Limit Price (if any) &amp; Password input correct</v>
      </c>
      <c r="J215" s="30" t="str">
        <f>IFERROR(__xludf.DUMMYFUNCTION("""COMPUTED_VALUE"""),"Order rejected due to non school email address")</f>
        <v>Order rejected due to non school email address</v>
      </c>
    </row>
    <row r="216">
      <c r="A216" s="5"/>
      <c r="B216" s="118">
        <f>IFERROR(__xludf.DUMMYFUNCTION("""COMPUTED_VALUE"""),44652.42896158565)</f>
        <v>44652.42896</v>
      </c>
      <c r="C216" s="5" t="str">
        <f>IFERROR(__xludf.DUMMYFUNCTION("""COMPUTED_VALUE"""),"")</f>
        <v/>
      </c>
      <c r="D216" s="5" t="str">
        <f>IFERROR(__xludf.DUMMYFUNCTION("""COMPUTED_VALUE"""),"error")</f>
        <v>error</v>
      </c>
      <c r="E216" s="5" t="str">
        <f>IFERROR(__xludf.DUMMYFUNCTION("""COMPUTED_VALUE"""),"Stock")</f>
        <v>Stock</v>
      </c>
      <c r="F216" s="121" t="str">
        <f>IFERROR(__xludf.DUMMYFUNCTION("""COMPUTED_VALUE"""),"9888.HK")</f>
        <v>9888.HK</v>
      </c>
      <c r="G216" s="30">
        <f>IFERROR(__xludf.DUMMYFUNCTION("""COMPUTED_VALUE"""),131.9)</f>
        <v>131.9</v>
      </c>
      <c r="H216" s="30" t="str">
        <f>IFERROR(__xludf.DUMMYFUNCTION("""COMPUTED_VALUE"""),"jiaxxxxxxx@nonHKMUemail")</f>
        <v>jiaxxxxxxx@nonHKMUemail</v>
      </c>
      <c r="I216" s="30" t="str">
        <f>IFERROR(__xludf.DUMMYFUNCTION("""COMPUTED_VALUE"""),"Wrong Password Submitted, Order will be rejected")</f>
        <v>Wrong Password Submitted, Order will be rejected</v>
      </c>
      <c r="J216" s="30" t="str">
        <f>IFERROR(__xludf.DUMMYFUNCTION("""COMPUTED_VALUE"""),"Order rejected due to non school email address")</f>
        <v>Order rejected due to non school email address</v>
      </c>
    </row>
    <row r="217">
      <c r="A217" s="5"/>
      <c r="B217" s="118">
        <f>IFERROR(__xludf.DUMMYFUNCTION("""COMPUTED_VALUE"""),44652.596242858795)</f>
        <v>44652.59624</v>
      </c>
      <c r="C217" s="5" t="str">
        <f>IFERROR(__xludf.DUMMYFUNCTION("""COMPUTED_VALUE"""),"06586")</f>
        <v>06586</v>
      </c>
      <c r="D217" s="5" t="str">
        <f>IFERROR(__xludf.DUMMYFUNCTION("""COMPUTED_VALUE"""),"error")</f>
        <v>error</v>
      </c>
      <c r="E217" s="5" t="str">
        <f>IFERROR(__xludf.DUMMYFUNCTION("""COMPUTED_VALUE"""),"Stock")</f>
        <v>Stock</v>
      </c>
      <c r="F217" s="119" t="str">
        <f>IFERROR(__xludf.DUMMYFUNCTION("""COMPUTED_VALUE"""),"aapl")</f>
        <v>aapl</v>
      </c>
      <c r="G217" s="30" t="str">
        <f>IFERROR(__xludf.DUMMYFUNCTION("""COMPUTED_VALUE"""),"Limit Sell @ 170 - if Closing @ 200 = Executed price @ 200; if Closing @ 150 = no execution")</f>
        <v>Limit Sell @ 170 - if Closing @ 200 = Executed price @ 200; if Closing @ 150 = no execution</v>
      </c>
      <c r="H217" s="30" t="str">
        <f>IFERROR(__xludf.DUMMYFUNCTION("""COMPUTED_VALUE"""),"Email Account/ TraderID Recognized")</f>
        <v>Email Account/ TraderID Recognized</v>
      </c>
      <c r="I217" s="30" t="str">
        <f>IFERROR(__xludf.DUMMYFUNCTION("""COMPUTED_VALUE"""),"Non-number input in Quantity or Limit Price")</f>
        <v>Non-number input in Quantity or Limit Price</v>
      </c>
      <c r="J217" s="30" t="str">
        <f>IFERROR(__xludf.DUMMYFUNCTION("""COMPUTED_VALUE"""),"Order rejected due to non numeric characters in limit price input")</f>
        <v>Order rejected due to non numeric characters in limit price input</v>
      </c>
    </row>
    <row r="218">
      <c r="A218" s="5"/>
      <c r="B218" s="118">
        <f>IFERROR(__xludf.DUMMYFUNCTION("""COMPUTED_VALUE"""),44652.60499203704)</f>
        <v>44652.60499</v>
      </c>
      <c r="C218" s="5" t="str">
        <f>IFERROR(__xludf.DUMMYFUNCTION("""COMPUTED_VALUE"""),"89833")</f>
        <v>89833</v>
      </c>
      <c r="D218" s="5" t="str">
        <f>IFERROR(__xludf.DUMMYFUNCTION("""COMPUTED_VALUE"""),"error")</f>
        <v>error</v>
      </c>
      <c r="E218" s="5" t="str">
        <f>IFERROR(__xludf.DUMMYFUNCTION("""COMPUTED_VALUE"""),"Stock")</f>
        <v>Stock</v>
      </c>
      <c r="F218" s="121" t="str">
        <f>IFERROR(__xludf.DUMMYFUNCTION("""COMPUTED_VALUE"""),"6618.HK")</f>
        <v>6618.HK</v>
      </c>
      <c r="G218" s="30" t="str">
        <f>IFERROR(__xludf.DUMMYFUNCTION("""COMPUTED_VALUE"""),"Limit Sell @ 47.1")</f>
        <v>Limit Sell @ 47.1</v>
      </c>
      <c r="H218" s="30" t="str">
        <f>IFERROR(__xludf.DUMMYFUNCTION("""COMPUTED_VALUE"""),"Email Account/ TraderID Recognized")</f>
        <v>Email Account/ TraderID Recognized</v>
      </c>
      <c r="I218" s="30" t="str">
        <f>IFERROR(__xludf.DUMMYFUNCTION("""COMPUTED_VALUE"""),"Non-number input in Quantity or Limit Price")</f>
        <v>Non-number input in Quantity or Limit Price</v>
      </c>
      <c r="J218" s="30" t="str">
        <f>IFERROR(__xludf.DUMMYFUNCTION("""COMPUTED_VALUE"""),"Order rejected due to non numeric characters in limit price input")</f>
        <v>Order rejected due to non numeric characters in limit price input</v>
      </c>
    </row>
    <row r="219">
      <c r="A219" s="5"/>
      <c r="B219" s="118">
        <f>IFERROR(__xludf.DUMMYFUNCTION("""COMPUTED_VALUE"""),44652.60540371528)</f>
        <v>44652.6054</v>
      </c>
      <c r="C219" s="5" t="str">
        <f>IFERROR(__xludf.DUMMYFUNCTION("""COMPUTED_VALUE"""),"40658")</f>
        <v>40658</v>
      </c>
      <c r="D219" s="5" t="str">
        <f>IFERROR(__xludf.DUMMYFUNCTION("""COMPUTED_VALUE"""),"error")</f>
        <v>error</v>
      </c>
      <c r="E219" s="5" t="str">
        <f>IFERROR(__xludf.DUMMYFUNCTION("""COMPUTED_VALUE"""),"Stock")</f>
        <v>Stock</v>
      </c>
      <c r="F219" s="119" t="str">
        <f>IFERROR(__xludf.DUMMYFUNCTION("""COMPUTED_VALUE"""),"994059")</f>
        <v>994059</v>
      </c>
      <c r="G219" s="30" t="str">
        <f>IFERROR(__xludf.DUMMYFUNCTION("""COMPUTED_VALUE"""),"Limit Sell @  900- if Closing @ 1000= Executed price @ 1000; if Closing @ 800 = no execution")</f>
        <v>Limit Sell @  900- if Closing @ 1000= Executed price @ 1000; if Closing @ 800 = no execution</v>
      </c>
      <c r="H219" s="30" t="str">
        <f>IFERROR(__xludf.DUMMYFUNCTION("""COMPUTED_VALUE"""),"Email Account/ TraderID Recognized")</f>
        <v>Email Account/ TraderID Recognized</v>
      </c>
      <c r="I219" s="30" t="str">
        <f>IFERROR(__xludf.DUMMYFUNCTION("""COMPUTED_VALUE"""),"Non-number input in Quantity or Limit Price")</f>
        <v>Non-number input in Quantity or Limit Price</v>
      </c>
      <c r="J219" s="30" t="str">
        <f>IFERROR(__xludf.DUMMYFUNCTION("""COMPUTED_VALUE"""),"Order rejected due to non numeric characters in limit price input")</f>
        <v>Order rejected due to non numeric characters in limit price input</v>
      </c>
    </row>
    <row r="220">
      <c r="A220" s="5"/>
      <c r="B220" s="118">
        <f>IFERROR(__xludf.DUMMYFUNCTION("""COMPUTED_VALUE"""),44652.60651737268)</f>
        <v>44652.60652</v>
      </c>
      <c r="C220" s="5" t="str">
        <f>IFERROR(__xludf.DUMMYFUNCTION("""COMPUTED_VALUE"""),"89833")</f>
        <v>89833</v>
      </c>
      <c r="D220" s="5" t="str">
        <f>IFERROR(__xludf.DUMMYFUNCTION("""COMPUTED_VALUE"""),"error")</f>
        <v>error</v>
      </c>
      <c r="E220" s="5" t="str">
        <f>IFERROR(__xludf.DUMMYFUNCTION("""COMPUTED_VALUE"""),"Stock")</f>
        <v>Stock</v>
      </c>
      <c r="F220" s="121" t="str">
        <f>IFERROR(__xludf.DUMMYFUNCTION("""COMPUTED_VALUE"""),"0883.HK")</f>
        <v>0883.HK</v>
      </c>
      <c r="G220" s="30" t="str">
        <f>IFERROR(__xludf.DUMMYFUNCTION("""COMPUTED_VALUE""")," Limit Buy @ 10.85")</f>
        <v> Limit Buy @ 10.85</v>
      </c>
      <c r="H220" s="30" t="str">
        <f>IFERROR(__xludf.DUMMYFUNCTION("""COMPUTED_VALUE"""),"Email Account/ TraderID Recognized")</f>
        <v>Email Account/ TraderID Recognized</v>
      </c>
      <c r="I220" s="30" t="str">
        <f>IFERROR(__xludf.DUMMYFUNCTION("""COMPUTED_VALUE"""),"Non-number input in Quantity or Limit Price")</f>
        <v>Non-number input in Quantity or Limit Price</v>
      </c>
      <c r="J220" s="30" t="str">
        <f>IFERROR(__xludf.DUMMYFUNCTION("""COMPUTED_VALUE"""),"Order rejected due to non numeric characters in limit price input")</f>
        <v>Order rejected due to non numeric characters in limit price input</v>
      </c>
    </row>
    <row r="221">
      <c r="A221" s="5"/>
      <c r="B221" s="118">
        <f>IFERROR(__xludf.DUMMYFUNCTION("""COMPUTED_VALUE"""),44652.62511209491)</f>
        <v>44652.62511</v>
      </c>
      <c r="C221" s="5" t="str">
        <f>IFERROR(__xludf.DUMMYFUNCTION("""COMPUTED_VALUE"""),"39302")</f>
        <v>39302</v>
      </c>
      <c r="D221" s="5" t="str">
        <f>IFERROR(__xludf.DUMMYFUNCTION("""COMPUTED_VALUE"""),"error")</f>
        <v>error</v>
      </c>
      <c r="E221" s="5" t="str">
        <f>IFERROR(__xludf.DUMMYFUNCTION("""COMPUTED_VALUE"""),"Stock")</f>
        <v>Stock</v>
      </c>
      <c r="F221" s="119" t="str">
        <f>IFERROR(__xludf.DUMMYFUNCTION("""COMPUTED_VALUE"""),"002864")</f>
        <v>002864</v>
      </c>
      <c r="G221" s="30"/>
      <c r="H221" s="30" t="str">
        <f>IFERROR(__xludf.DUMMYFUNCTION("""COMPUTED_VALUE"""),"Email Account/ TraderID Recognized")</f>
        <v>Email Account/ TraderID Recognized</v>
      </c>
      <c r="I221" s="30" t="str">
        <f>IFERROR(__xludf.DUMMYFUNCTION("""COMPUTED_VALUE"""),"QTY, Limit Price (if any) &amp; Password input correct")</f>
        <v>QTY, Limit Price (if any) &amp; Password input correct</v>
      </c>
      <c r="J221" s="30" t="str">
        <f>IFERROR(__xludf.DUMMYFUNCTION("""COMPUTED_VALUE"""),"Order rejected due to wrong ticker code")</f>
        <v>Order rejected due to wrong ticker code</v>
      </c>
    </row>
    <row r="222">
      <c r="A222" s="5"/>
      <c r="B222" s="118">
        <f>IFERROR(__xludf.DUMMYFUNCTION("""COMPUTED_VALUE"""),44652.659916226854)</f>
        <v>44652.65992</v>
      </c>
      <c r="C222" s="5" t="str">
        <f>IFERROR(__xludf.DUMMYFUNCTION("""COMPUTED_VALUE"""),"")</f>
        <v/>
      </c>
      <c r="D222" s="5" t="str">
        <f>IFERROR(__xludf.DUMMYFUNCTION("""COMPUTED_VALUE"""),"error")</f>
        <v>error</v>
      </c>
      <c r="E222" s="5" t="str">
        <f>IFERROR(__xludf.DUMMYFUNCTION("""COMPUTED_VALUE"""),"Stock")</f>
        <v>Stock</v>
      </c>
      <c r="F222" s="121" t="str">
        <f>IFERROR(__xludf.DUMMYFUNCTION("""COMPUTED_VALUE"""),"9888.HK")</f>
        <v>9888.HK</v>
      </c>
      <c r="G222" s="30">
        <f>IFERROR(__xludf.DUMMYFUNCTION("""COMPUTED_VALUE"""),134.4)</f>
        <v>134.4</v>
      </c>
      <c r="H222" s="30" t="str">
        <f>IFERROR(__xludf.DUMMYFUNCTION("""COMPUTED_VALUE"""),"jiaxxxxxxx@nonHKMUemail")</f>
        <v>jiaxxxxxxx@nonHKMUemail</v>
      </c>
      <c r="I222" s="30" t="str">
        <f>IFERROR(__xludf.DUMMYFUNCTION("""COMPUTED_VALUE"""),"Wrong Password Submitted, Order will be rejected")</f>
        <v>Wrong Password Submitted, Order will be rejected</v>
      </c>
      <c r="J222" s="30" t="str">
        <f>IFERROR(__xludf.DUMMYFUNCTION("""COMPUTED_VALUE"""),"Order rejected due to non school email address")</f>
        <v>Order rejected due to non school email address</v>
      </c>
    </row>
    <row r="223">
      <c r="A223" s="5"/>
      <c r="B223" s="118">
        <f>IFERROR(__xludf.DUMMYFUNCTION("""COMPUTED_VALUE"""),44652.66042356481)</f>
        <v>44652.66042</v>
      </c>
      <c r="C223" s="5" t="str">
        <f>IFERROR(__xludf.DUMMYFUNCTION("""COMPUTED_VALUE"""),"")</f>
        <v/>
      </c>
      <c r="D223" s="5" t="str">
        <f>IFERROR(__xludf.DUMMYFUNCTION("""COMPUTED_VALUE"""),"error")</f>
        <v>error</v>
      </c>
      <c r="E223" s="5" t="str">
        <f>IFERROR(__xludf.DUMMYFUNCTION("""COMPUTED_VALUE"""),"Stock")</f>
        <v>Stock</v>
      </c>
      <c r="F223" s="121" t="str">
        <f>IFERROR(__xludf.DUMMYFUNCTION("""COMPUTED_VALUE"""),"9888.HK")</f>
        <v>9888.HK</v>
      </c>
      <c r="G223" s="30">
        <f>IFERROR(__xludf.DUMMYFUNCTION("""COMPUTED_VALUE"""),134.4)</f>
        <v>134.4</v>
      </c>
      <c r="H223" s="30" t="str">
        <f>IFERROR(__xludf.DUMMYFUNCTION("""COMPUTED_VALUE"""),"jiaxxxxxxx@nonHKMUemail")</f>
        <v>jiaxxxxxxx@nonHKMUemail</v>
      </c>
      <c r="I223" s="30" t="str">
        <f>IFERROR(__xludf.DUMMYFUNCTION("""COMPUTED_VALUE"""),"QTY, Limit Price (if any) &amp; Password input correct")</f>
        <v>QTY, Limit Price (if any) &amp; Password input correct</v>
      </c>
      <c r="J223" s="30" t="str">
        <f>IFERROR(__xludf.DUMMYFUNCTION("""COMPUTED_VALUE"""),"Order rejected due to non school email address")</f>
        <v>Order rejected due to non school email address</v>
      </c>
    </row>
    <row r="224">
      <c r="A224" s="5"/>
      <c r="B224" s="118">
        <f>IFERROR(__xludf.DUMMYFUNCTION("""COMPUTED_VALUE"""),44653.38136716435)</f>
        <v>44653.38137</v>
      </c>
      <c r="C224" s="5" t="str">
        <f>IFERROR(__xludf.DUMMYFUNCTION("""COMPUTED_VALUE"""),"36460")</f>
        <v>36460</v>
      </c>
      <c r="D224" s="5" t="str">
        <f>IFERROR(__xludf.DUMMYFUNCTION("""COMPUTED_VALUE"""),"error")</f>
        <v>error</v>
      </c>
      <c r="E224" s="5" t="str">
        <f>IFERROR(__xludf.DUMMYFUNCTION("""COMPUTED_VALUE"""),"Bond")</f>
        <v>Bond</v>
      </c>
      <c r="F224" s="119" t="str">
        <f>IFERROR(__xludf.DUMMYFUNCTION("""COMPUTED_VALUE"""),"SHIMAO 3.975% 16Sep2023 Corp")</f>
        <v>SHIMAO 3.975% 16Sep2023 Corp</v>
      </c>
      <c r="G224" s="30"/>
      <c r="H224" s="30" t="str">
        <f>IFERROR(__xludf.DUMMYFUNCTION("""COMPUTED_VALUE"""),"Email Account/ TraderID Recognized")</f>
        <v>Email Account/ TraderID Recognized</v>
      </c>
      <c r="I224" s="30" t="str">
        <f>IFERROR(__xludf.DUMMYFUNCTION("""COMPUTED_VALUE"""),"QTY, Limit Price (if any) &amp; Password input correct")</f>
        <v>QTY, Limit Price (if any) &amp; Password input correct</v>
      </c>
      <c r="J224" s="30" t="str">
        <f>IFERROR(__xludf.DUMMYFUNCTION("""COMPUTED_VALUE"""),"Ticker code has to be ISIN code, can be found in Bondsupermart")</f>
        <v>Ticker code has to be ISIN code, can be found in Bondsupermart</v>
      </c>
    </row>
    <row r="225">
      <c r="A225" s="5"/>
      <c r="B225" s="118">
        <f>IFERROR(__xludf.DUMMYFUNCTION("""COMPUTED_VALUE"""),44655.62079310185)</f>
        <v>44655.62079</v>
      </c>
      <c r="C225" s="5" t="str">
        <f>IFERROR(__xludf.DUMMYFUNCTION("""COMPUTED_VALUE"""),"38307")</f>
        <v>38307</v>
      </c>
      <c r="D225" s="5" t="str">
        <f>IFERROR(__xludf.DUMMYFUNCTION("""COMPUTED_VALUE"""),"error")</f>
        <v>error</v>
      </c>
      <c r="E225" s="5" t="str">
        <f>IFERROR(__xludf.DUMMYFUNCTION("""COMPUTED_VALUE"""),"Stock")</f>
        <v>Stock</v>
      </c>
      <c r="F225" s="119" t="str">
        <f>IFERROR(__xludf.DUMMYFUNCTION("""COMPUTED_VALUE"""),"HK1211")</f>
        <v>HK1211</v>
      </c>
      <c r="G225" s="30"/>
      <c r="H225" s="30" t="str">
        <f>IFERROR(__xludf.DUMMYFUNCTION("""COMPUTED_VALUE"""),"Email Account/ TraderID Recognized")</f>
        <v>Email Account/ TraderID Recognized</v>
      </c>
      <c r="I225" s="30" t="str">
        <f>IFERROR(__xludf.DUMMYFUNCTION("""COMPUTED_VALUE"""),"QTY, Limit Price (if any) &amp; Password input correct")</f>
        <v>QTY, Limit Price (if any) &amp; Password input correct</v>
      </c>
      <c r="J225" s="30"/>
    </row>
    <row r="226">
      <c r="A226" s="5"/>
      <c r="B226" s="118">
        <f>IFERROR(__xludf.DUMMYFUNCTION("""COMPUTED_VALUE"""),44655.66103621528)</f>
        <v>44655.66104</v>
      </c>
      <c r="C226" s="5" t="str">
        <f>IFERROR(__xludf.DUMMYFUNCTION("""COMPUTED_VALUE"""),"39857")</f>
        <v>39857</v>
      </c>
      <c r="D226" s="5" t="str">
        <f>IFERROR(__xludf.DUMMYFUNCTION("""COMPUTED_VALUE"""),"error")</f>
        <v>error</v>
      </c>
      <c r="E226" s="5" t="str">
        <f>IFERROR(__xludf.DUMMYFUNCTION("""COMPUTED_VALUE"""),"Stock")</f>
        <v>Stock</v>
      </c>
      <c r="F226" s="121" t="str">
        <f>IFERROR(__xludf.DUMMYFUNCTION("""COMPUTED_VALUE"""),"9939.HK")</f>
        <v>9939.HK</v>
      </c>
      <c r="G226" s="30"/>
      <c r="H226" s="30" t="str">
        <f>IFERROR(__xludf.DUMMYFUNCTION("""COMPUTED_VALUE"""),"Email Account/ TraderID Recognized")</f>
        <v>Email Account/ TraderID Recognized</v>
      </c>
      <c r="I226" s="30" t="str">
        <f>IFERROR(__xludf.DUMMYFUNCTION("""COMPUTED_VALUE"""),"Wrong Password Submitted, Order will be rejected")</f>
        <v>Wrong Password Submitted, Order will be rejected</v>
      </c>
      <c r="J226" s="30"/>
    </row>
    <row r="227">
      <c r="A227" s="5"/>
      <c r="B227" s="118">
        <f>IFERROR(__xludf.DUMMYFUNCTION("""COMPUTED_VALUE"""),44655.90004865741)</f>
        <v>44655.90005</v>
      </c>
      <c r="C227" s="5" t="str">
        <f>IFERROR(__xludf.DUMMYFUNCTION("""COMPUTED_VALUE"""),"89833")</f>
        <v>89833</v>
      </c>
      <c r="D227" s="5" t="str">
        <f>IFERROR(__xludf.DUMMYFUNCTION("""COMPUTED_VALUE"""),"error")</f>
        <v>error</v>
      </c>
      <c r="E227" s="5" t="str">
        <f>IFERROR(__xludf.DUMMYFUNCTION("""COMPUTED_VALUE"""),"Stock")</f>
        <v>Stock</v>
      </c>
      <c r="F227" s="119" t="str">
        <f>IFERROR(__xludf.DUMMYFUNCTION("""COMPUTED_VALUE"""),"OXY")</f>
        <v>OXY</v>
      </c>
      <c r="G227" s="30" t="str">
        <f>IFERROR(__xludf.DUMMYFUNCTION("""COMPUTED_VALUE""")," Limit Buy @ 58.3 - Closing @ 58 = Executed price @ 58. if Closing @ 60 = no execution")</f>
        <v> Limit Buy @ 58.3 - Closing @ 58 = Executed price @ 58. if Closing @ 60 = no execution</v>
      </c>
      <c r="H227" s="30" t="str">
        <f>IFERROR(__xludf.DUMMYFUNCTION("""COMPUTED_VALUE"""),"Email Account/ TraderID Recognized")</f>
        <v>Email Account/ TraderID Recognized</v>
      </c>
      <c r="I227" s="30" t="str">
        <f>IFERROR(__xludf.DUMMYFUNCTION("""COMPUTED_VALUE"""),"Non-number input in Quantity or Limit Price")</f>
        <v>Non-number input in Quantity or Limit Price</v>
      </c>
      <c r="J227" s="30"/>
    </row>
    <row r="228">
      <c r="A228" s="5"/>
      <c r="B228" s="118">
        <f>IFERROR(__xludf.DUMMYFUNCTION("""COMPUTED_VALUE"""),44656.660357465276)</f>
        <v>44656.66036</v>
      </c>
      <c r="C228" s="5" t="str">
        <f>IFERROR(__xludf.DUMMYFUNCTION("""COMPUTED_VALUE"""),"38307")</f>
        <v>38307</v>
      </c>
      <c r="D228" s="5" t="str">
        <f>IFERROR(__xludf.DUMMYFUNCTION("""COMPUTED_VALUE"""),"error")</f>
        <v>error</v>
      </c>
      <c r="E228" s="5" t="str">
        <f>IFERROR(__xludf.DUMMYFUNCTION("""COMPUTED_VALUE"""),"Stock")</f>
        <v>Stock</v>
      </c>
      <c r="F228" s="119" t="str">
        <f>IFERROR(__xludf.DUMMYFUNCTION("""COMPUTED_VALUE"""),"HK2359")</f>
        <v>HK2359</v>
      </c>
      <c r="G228" s="30"/>
      <c r="H228" s="30" t="str">
        <f>IFERROR(__xludf.DUMMYFUNCTION("""COMPUTED_VALUE"""),"Email Account/ TraderID Recognized")</f>
        <v>Email Account/ TraderID Recognized</v>
      </c>
      <c r="I228" s="30" t="str">
        <f>IFERROR(__xludf.DUMMYFUNCTION("""COMPUTED_VALUE"""),"QTY, Limit Price (if any) &amp; Password input correct")</f>
        <v>QTY, Limit Price (if any) &amp; Password input correct</v>
      </c>
      <c r="J228" s="30"/>
    </row>
    <row r="229">
      <c r="A229" s="5"/>
      <c r="B229" s="118">
        <f>IFERROR(__xludf.DUMMYFUNCTION("""COMPUTED_VALUE"""),44656.73043869213)</f>
        <v>44656.73044</v>
      </c>
      <c r="C229" s="5" t="str">
        <f>IFERROR(__xludf.DUMMYFUNCTION("""COMPUTED_VALUE"""),"")</f>
        <v/>
      </c>
      <c r="D229" s="5" t="str">
        <f>IFERROR(__xludf.DUMMYFUNCTION("""COMPUTED_VALUE"""),"error")</f>
        <v>error</v>
      </c>
      <c r="E229" s="5" t="str">
        <f>IFERROR(__xludf.DUMMYFUNCTION("""COMPUTED_VALUE"""),"Stock")</f>
        <v>Stock</v>
      </c>
      <c r="F229" s="119" t="str">
        <f>IFERROR(__xludf.DUMMYFUNCTION("""COMPUTED_VALUE"""),"BRK-B")</f>
        <v>BRK-B</v>
      </c>
      <c r="G229" s="30"/>
      <c r="H229" s="30" t="str">
        <f>IFERROR(__xludf.DUMMYFUNCTION("""COMPUTED_VALUE"""),"s127xxxxxx@nonHKMUemail")</f>
        <v>s127xxxxxx@nonHKMUemail</v>
      </c>
      <c r="I229" s="30" t="str">
        <f>IFERROR(__xludf.DUMMYFUNCTION("""COMPUTED_VALUE"""),"QTY, Limit Price (if any) &amp; Password input correct")</f>
        <v>QTY, Limit Price (if any) &amp; Password input correct</v>
      </c>
      <c r="J229" s="30"/>
    </row>
    <row r="230">
      <c r="A230" s="5"/>
      <c r="B230" s="118">
        <f>IFERROR(__xludf.DUMMYFUNCTION("""COMPUTED_VALUE"""),44656.8554950463)</f>
        <v>44656.8555</v>
      </c>
      <c r="C230" s="5" t="str">
        <f>IFERROR(__xludf.DUMMYFUNCTION("""COMPUTED_VALUE"""),"39563")</f>
        <v>39563</v>
      </c>
      <c r="D230" s="5" t="str">
        <f>IFERROR(__xludf.DUMMYFUNCTION("""COMPUTED_VALUE"""),"error")</f>
        <v>error</v>
      </c>
      <c r="E230" s="5" t="str">
        <f>IFERROR(__xludf.DUMMYFUNCTION("""COMPUTED_VALUE"""),"Stock")</f>
        <v>Stock</v>
      </c>
      <c r="F230" s="119" t="str">
        <f>IFERROR(__xludf.DUMMYFUNCTION("""COMPUTED_VALUE"""),"HK9939")</f>
        <v>HK9939</v>
      </c>
      <c r="G230" s="30"/>
      <c r="H230" s="30" t="str">
        <f>IFERROR(__xludf.DUMMYFUNCTION("""COMPUTED_VALUE"""),"Email Account/ TraderID Recognized")</f>
        <v>Email Account/ TraderID Recognized</v>
      </c>
      <c r="I230" s="30" t="str">
        <f>IFERROR(__xludf.DUMMYFUNCTION("""COMPUTED_VALUE"""),"QTY, Limit Price (if any) &amp; Password input correct")</f>
        <v>QTY, Limit Price (if any) &amp; Password input correct</v>
      </c>
      <c r="J230" s="30"/>
    </row>
    <row r="231">
      <c r="A231" s="5"/>
      <c r="B231" s="118">
        <f>IFERROR(__xludf.DUMMYFUNCTION("""COMPUTED_VALUE"""),44656.856989293985)</f>
        <v>44656.85699</v>
      </c>
      <c r="C231" s="5" t="str">
        <f>IFERROR(__xludf.DUMMYFUNCTION("""COMPUTED_VALUE"""),"39563")</f>
        <v>39563</v>
      </c>
      <c r="D231" s="5" t="str">
        <f>IFERROR(__xludf.DUMMYFUNCTION("""COMPUTED_VALUE"""),"error")</f>
        <v>error</v>
      </c>
      <c r="E231" s="5" t="str">
        <f>IFERROR(__xludf.DUMMYFUNCTION("""COMPUTED_VALUE"""),"Stock")</f>
        <v>Stock</v>
      </c>
      <c r="F231" s="119" t="str">
        <f>IFERROR(__xludf.DUMMYFUNCTION("""COMPUTED_VALUE"""),"HK9868")</f>
        <v>HK9868</v>
      </c>
      <c r="G231" s="30"/>
      <c r="H231" s="30" t="str">
        <f>IFERROR(__xludf.DUMMYFUNCTION("""COMPUTED_VALUE"""),"Email Account/ TraderID Recognized")</f>
        <v>Email Account/ TraderID Recognized</v>
      </c>
      <c r="I231" s="30" t="str">
        <f>IFERROR(__xludf.DUMMYFUNCTION("""COMPUTED_VALUE"""),"QTY, Limit Price (if any) &amp; Password input correct")</f>
        <v>QTY, Limit Price (if any) &amp; Password input correct</v>
      </c>
      <c r="J231" s="30"/>
    </row>
    <row r="232">
      <c r="A232" s="5"/>
      <c r="B232" s="118">
        <f>IFERROR(__xludf.DUMMYFUNCTION("""COMPUTED_VALUE"""),44657.08241423611)</f>
        <v>44657.08241</v>
      </c>
      <c r="C232" s="5" t="str">
        <f>IFERROR(__xludf.DUMMYFUNCTION("""COMPUTED_VALUE"""),"89833")</f>
        <v>89833</v>
      </c>
      <c r="D232" s="5" t="str">
        <f>IFERROR(__xludf.DUMMYFUNCTION("""COMPUTED_VALUE"""),"error")</f>
        <v>error</v>
      </c>
      <c r="E232" s="5" t="str">
        <f>IFERROR(__xludf.DUMMYFUNCTION("""COMPUTED_VALUE"""),"Stock")</f>
        <v>Stock</v>
      </c>
      <c r="F232" s="119" t="str">
        <f>IFERROR(__xludf.DUMMYFUNCTION("""COMPUTED_VALUE"""),"MVIS")</f>
        <v>MVIS</v>
      </c>
      <c r="G232" s="30" t="str">
        <f>IFERROR(__xludf.DUMMYFUNCTION("""COMPUTED_VALUE""")," Limit Sell @ 4.4 - if Closing @ 4 = Executed price @ 4.5; if Closing @  = no execution")</f>
        <v> Limit Sell @ 4.4 - if Closing @ 4 = Executed price @ 4.5; if Closing @  = no execution</v>
      </c>
      <c r="H232" s="30" t="str">
        <f>IFERROR(__xludf.DUMMYFUNCTION("""COMPUTED_VALUE"""),"Email Account/ TraderID Recognized")</f>
        <v>Email Account/ TraderID Recognized</v>
      </c>
      <c r="I232" s="30" t="str">
        <f>IFERROR(__xludf.DUMMYFUNCTION("""COMPUTED_VALUE"""),"Non-number input in Quantity or Limit Price")</f>
        <v>Non-number input in Quantity or Limit Price</v>
      </c>
      <c r="J232" s="30"/>
    </row>
    <row r="233">
      <c r="A233" s="5"/>
      <c r="B233" s="118">
        <f>IFERROR(__xludf.DUMMYFUNCTION("""COMPUTED_VALUE"""),44657.542571620375)</f>
        <v>44657.54257</v>
      </c>
      <c r="C233" s="5" t="str">
        <f>IFERROR(__xludf.DUMMYFUNCTION("""COMPUTED_VALUE"""),"")</f>
        <v/>
      </c>
      <c r="D233" s="5" t="str">
        <f>IFERROR(__xludf.DUMMYFUNCTION("""COMPUTED_VALUE"""),"error")</f>
        <v>error</v>
      </c>
      <c r="E233" s="5" t="str">
        <f>IFERROR(__xludf.DUMMYFUNCTION("""COMPUTED_VALUE"""),"Stock")</f>
        <v>Stock</v>
      </c>
      <c r="F233" s="121" t="str">
        <f>IFERROR(__xludf.DUMMYFUNCTION("""COMPUTED_VALUE"""),"1024.HK")</f>
        <v>1024.HK</v>
      </c>
      <c r="G233" s="30">
        <f>IFERROR(__xludf.DUMMYFUNCTION("""COMPUTED_VALUE"""),77.35)</f>
        <v>77.35</v>
      </c>
      <c r="H233" s="30" t="str">
        <f>IFERROR(__xludf.DUMMYFUNCTION("""COMPUTED_VALUE"""),"jiaxxxxxxx@nonHKMUemail")</f>
        <v>jiaxxxxxxx@nonHKMUemail</v>
      </c>
      <c r="I233" s="30" t="str">
        <f>IFERROR(__xludf.DUMMYFUNCTION("""COMPUTED_VALUE"""),"Wrong Password Submitted, Order will be rejected")</f>
        <v>Wrong Password Submitted, Order will be rejected</v>
      </c>
      <c r="J233" s="30" t="str">
        <f>IFERROR(__xludf.DUMMYFUNCTION("""COMPUTED_VALUE"""),"Order rejected due to non school email")</f>
        <v>Order rejected due to non school email</v>
      </c>
    </row>
    <row r="234">
      <c r="A234" s="5"/>
      <c r="B234" s="118">
        <f>IFERROR(__xludf.DUMMYFUNCTION("""COMPUTED_VALUE"""),44657.54326607639)</f>
        <v>44657.54327</v>
      </c>
      <c r="C234" s="5" t="str">
        <f>IFERROR(__xludf.DUMMYFUNCTION("""COMPUTED_VALUE"""),"")</f>
        <v/>
      </c>
      <c r="D234" s="5" t="str">
        <f>IFERROR(__xludf.DUMMYFUNCTION("""COMPUTED_VALUE"""),"error")</f>
        <v>error</v>
      </c>
      <c r="E234" s="5" t="str">
        <f>IFERROR(__xludf.DUMMYFUNCTION("""COMPUTED_VALUE"""),"Stock")</f>
        <v>Stock</v>
      </c>
      <c r="F234" s="121" t="str">
        <f>IFERROR(__xludf.DUMMYFUNCTION("""COMPUTED_VALUE"""),"1024.HK")</f>
        <v>1024.HK</v>
      </c>
      <c r="G234" s="30">
        <f>IFERROR(__xludf.DUMMYFUNCTION("""COMPUTED_VALUE"""),77.2)</f>
        <v>77.2</v>
      </c>
      <c r="H234" s="30" t="str">
        <f>IFERROR(__xludf.DUMMYFUNCTION("""COMPUTED_VALUE"""),"jiaxxxxxxx@nonHKMUemail")</f>
        <v>jiaxxxxxxx@nonHKMUemail</v>
      </c>
      <c r="I234" s="30" t="str">
        <f>IFERROR(__xludf.DUMMYFUNCTION("""COMPUTED_VALUE"""),"QTY, Limit Price (if any) &amp; Password input correct")</f>
        <v>QTY, Limit Price (if any) &amp; Password input correct</v>
      </c>
      <c r="J234" s="30" t="str">
        <f>IFERROR(__xludf.DUMMYFUNCTION("""COMPUTED_VALUE"""),"Order rejected due to non school email")</f>
        <v>Order rejected due to non school email</v>
      </c>
    </row>
    <row r="235">
      <c r="A235" s="5"/>
      <c r="B235" s="118">
        <f>IFERROR(__xludf.DUMMYFUNCTION("""COMPUTED_VALUE"""),44657.54452998843)</f>
        <v>44657.54453</v>
      </c>
      <c r="C235" s="5" t="str">
        <f>IFERROR(__xludf.DUMMYFUNCTION("""COMPUTED_VALUE"""),"")</f>
        <v/>
      </c>
      <c r="D235" s="5" t="str">
        <f>IFERROR(__xludf.DUMMYFUNCTION("""COMPUTED_VALUE"""),"error")</f>
        <v>error</v>
      </c>
      <c r="E235" s="5" t="str">
        <f>IFERROR(__xludf.DUMMYFUNCTION("""COMPUTED_VALUE"""),"Stock")</f>
        <v>Stock</v>
      </c>
      <c r="F235" s="121" t="str">
        <f>IFERROR(__xludf.DUMMYFUNCTION("""COMPUTED_VALUE"""),"0006.HK")</f>
        <v>0006.HK</v>
      </c>
      <c r="G235" s="30">
        <f>IFERROR(__xludf.DUMMYFUNCTION("""COMPUTED_VALUE"""),51.4)</f>
        <v>51.4</v>
      </c>
      <c r="H235" s="30" t="str">
        <f>IFERROR(__xludf.DUMMYFUNCTION("""COMPUTED_VALUE"""),"jiaxxxxxxx@nonHKMUemail")</f>
        <v>jiaxxxxxxx@nonHKMUemail</v>
      </c>
      <c r="I235" s="30" t="str">
        <f>IFERROR(__xludf.DUMMYFUNCTION("""COMPUTED_VALUE"""),"QTY, Limit Price (if any) &amp; Password input correct")</f>
        <v>QTY, Limit Price (if any) &amp; Password input correct</v>
      </c>
      <c r="J235" s="30" t="str">
        <f>IFERROR(__xludf.DUMMYFUNCTION("""COMPUTED_VALUE"""),"Order rejected due to non school email")</f>
        <v>Order rejected due to non school email</v>
      </c>
    </row>
    <row r="236">
      <c r="A236" s="5"/>
      <c r="B236" s="118">
        <f>IFERROR(__xludf.DUMMYFUNCTION("""COMPUTED_VALUE"""),44657.544986249995)</f>
        <v>44657.54499</v>
      </c>
      <c r="C236" s="5" t="str">
        <f>IFERROR(__xludf.DUMMYFUNCTION("""COMPUTED_VALUE"""),"")</f>
        <v/>
      </c>
      <c r="D236" s="5" t="str">
        <f>IFERROR(__xludf.DUMMYFUNCTION("""COMPUTED_VALUE"""),"error")</f>
        <v>error</v>
      </c>
      <c r="E236" s="5" t="str">
        <f>IFERROR(__xludf.DUMMYFUNCTION("""COMPUTED_VALUE"""),"Stock")</f>
        <v>Stock</v>
      </c>
      <c r="F236" s="121" t="str">
        <f>IFERROR(__xludf.DUMMYFUNCTION("""COMPUTED_VALUE"""),"0006.HK")</f>
        <v>0006.HK</v>
      </c>
      <c r="G236" s="30">
        <f>IFERROR(__xludf.DUMMYFUNCTION("""COMPUTED_VALUE"""),51.4)</f>
        <v>51.4</v>
      </c>
      <c r="H236" s="30" t="str">
        <f>IFERROR(__xludf.DUMMYFUNCTION("""COMPUTED_VALUE"""),"jiaxxxxxxx@nonHKMUemail")</f>
        <v>jiaxxxxxxx@nonHKMUemail</v>
      </c>
      <c r="I236" s="30" t="str">
        <f>IFERROR(__xludf.DUMMYFUNCTION("""COMPUTED_VALUE"""),"Wrong Password Submitted, Order will be rejected")</f>
        <v>Wrong Password Submitted, Order will be rejected</v>
      </c>
      <c r="J236" s="30" t="str">
        <f>IFERROR(__xludf.DUMMYFUNCTION("""COMPUTED_VALUE"""),"Order rejected due to non school email")</f>
        <v>Order rejected due to non school email</v>
      </c>
    </row>
    <row r="237">
      <c r="A237" s="5"/>
      <c r="B237" s="118">
        <f>IFERROR(__xludf.DUMMYFUNCTION("""COMPUTED_VALUE"""),44657.54815574074)</f>
        <v>44657.54816</v>
      </c>
      <c r="C237" s="5" t="str">
        <f>IFERROR(__xludf.DUMMYFUNCTION("""COMPUTED_VALUE"""),"77603")</f>
        <v>77603</v>
      </c>
      <c r="D237" s="5" t="str">
        <f>IFERROR(__xludf.DUMMYFUNCTION("""COMPUTED_VALUE"""),"error")</f>
        <v>error</v>
      </c>
      <c r="E237" s="5" t="str">
        <f>IFERROR(__xludf.DUMMYFUNCTION("""COMPUTED_VALUE"""),"Stock")</f>
        <v>Stock</v>
      </c>
      <c r="F237" s="121" t="str">
        <f>IFERROR(__xludf.DUMMYFUNCTION("""COMPUTED_VALUE"""),"1024.HK")</f>
        <v>1024.HK</v>
      </c>
      <c r="G237" s="30">
        <f>IFERROR(__xludf.DUMMYFUNCTION("""COMPUTED_VALUE"""),77.4)</f>
        <v>77.4</v>
      </c>
      <c r="H237" s="30" t="str">
        <f>IFERROR(__xludf.DUMMYFUNCTION("""COMPUTED_VALUE"""),"Email Account/ TraderID Recognized")</f>
        <v>Email Account/ TraderID Recognized</v>
      </c>
      <c r="I237" s="30" t="str">
        <f>IFERROR(__xludf.DUMMYFUNCTION("""COMPUTED_VALUE"""),"Wrong Password Submitted, Order will be rejected")</f>
        <v>Wrong Password Submitted, Order will be rejected</v>
      </c>
      <c r="J237" s="30" t="str">
        <f>IFERROR(__xludf.DUMMYFUNCTION("""COMPUTED_VALUE"""),"Order rejected due to wrong password")</f>
        <v>Order rejected due to wrong password</v>
      </c>
    </row>
    <row r="238">
      <c r="A238" s="5"/>
      <c r="B238" s="118">
        <f>IFERROR(__xludf.DUMMYFUNCTION("""COMPUTED_VALUE"""),44657.54931969907)</f>
        <v>44657.54932</v>
      </c>
      <c r="C238" s="5" t="str">
        <f>IFERROR(__xludf.DUMMYFUNCTION("""COMPUTED_VALUE"""),"77603")</f>
        <v>77603</v>
      </c>
      <c r="D238" s="5" t="str">
        <f>IFERROR(__xludf.DUMMYFUNCTION("""COMPUTED_VALUE"""),"error")</f>
        <v>error</v>
      </c>
      <c r="E238" s="5" t="str">
        <f>IFERROR(__xludf.DUMMYFUNCTION("""COMPUTED_VALUE"""),"Stock")</f>
        <v>Stock</v>
      </c>
      <c r="F238" s="121" t="str">
        <f>IFERROR(__xludf.DUMMYFUNCTION("""COMPUTED_VALUE"""),"0006.HK")</f>
        <v>0006.HK</v>
      </c>
      <c r="G238" s="30">
        <f>IFERROR(__xludf.DUMMYFUNCTION("""COMPUTED_VALUE"""),51.5)</f>
        <v>51.5</v>
      </c>
      <c r="H238" s="30" t="str">
        <f>IFERROR(__xludf.DUMMYFUNCTION("""COMPUTED_VALUE"""),"Email Account/ TraderID Recognized")</f>
        <v>Email Account/ TraderID Recognized</v>
      </c>
      <c r="I238" s="30" t="str">
        <f>IFERROR(__xludf.DUMMYFUNCTION("""COMPUTED_VALUE"""),"Wrong Password Submitted, Order will be rejected")</f>
        <v>Wrong Password Submitted, Order will be rejected</v>
      </c>
      <c r="J238" s="30" t="str">
        <f>IFERROR(__xludf.DUMMYFUNCTION("""COMPUTED_VALUE"""),"Order rejected due to wrong password")</f>
        <v>Order rejected due to wrong password</v>
      </c>
    </row>
    <row r="239">
      <c r="A239" s="5"/>
      <c r="B239" s="118">
        <f>IFERROR(__xludf.DUMMYFUNCTION("""COMPUTED_VALUE"""),44657.55541539352)</f>
        <v>44657.55542</v>
      </c>
      <c r="C239" s="5" t="str">
        <f>IFERROR(__xludf.DUMMYFUNCTION("""COMPUTED_VALUE"""),"")</f>
        <v/>
      </c>
      <c r="D239" s="5" t="str">
        <f>IFERROR(__xludf.DUMMYFUNCTION("""COMPUTED_VALUE"""),"error")</f>
        <v>error</v>
      </c>
      <c r="E239" s="5" t="str">
        <f>IFERROR(__xludf.DUMMYFUNCTION("""COMPUTED_VALUE"""),"Stock")</f>
        <v>Stock</v>
      </c>
      <c r="F239" s="121" t="str">
        <f>IFERROR(__xludf.DUMMYFUNCTION("""COMPUTED_VALUE"""),"0700.HK")</f>
        <v>0700.HK</v>
      </c>
      <c r="G239" s="30" t="str">
        <f>IFERROR(__xludf.DUMMYFUNCTION("""COMPUTED_VALUE""")," Limit Sell @ 378 - if Closing @ 380 = Executed price @ 380; if Closing @ 385 = no execution")</f>
        <v> Limit Sell @ 378 - if Closing @ 380 = Executed price @ 380; if Closing @ 385 = no execution</v>
      </c>
      <c r="H239" s="30" t="str">
        <f>IFERROR(__xludf.DUMMYFUNCTION("""COMPUTED_VALUE"""),"lamhxxxxxx@nonHKMUemail")</f>
        <v>lamhxxxxxx@nonHKMUemail</v>
      </c>
      <c r="I239" s="30" t="str">
        <f>IFERROR(__xludf.DUMMYFUNCTION("""COMPUTED_VALUE"""),"Non-number input in Quantity or Limit Price")</f>
        <v>Non-number input in Quantity or Limit Price</v>
      </c>
      <c r="J239" s="30" t="str">
        <f>IFERROR(__xludf.DUMMYFUNCTION("""COMPUTED_VALUE"""),"Order rejected due to non school email")</f>
        <v>Order rejected due to non school email</v>
      </c>
    </row>
    <row r="240">
      <c r="A240" s="5"/>
      <c r="B240" s="118">
        <f>IFERROR(__xludf.DUMMYFUNCTION("""COMPUTED_VALUE"""),44657.57713747685)</f>
        <v>44657.57714</v>
      </c>
      <c r="C240" s="5" t="str">
        <f>IFERROR(__xludf.DUMMYFUNCTION("""COMPUTED_VALUE"""),"75597")</f>
        <v>75597</v>
      </c>
      <c r="D240" s="5" t="str">
        <f>IFERROR(__xludf.DUMMYFUNCTION("""COMPUTED_VALUE"""),"error")</f>
        <v>error</v>
      </c>
      <c r="E240" s="5" t="str">
        <f>IFERROR(__xludf.DUMMYFUNCTION("""COMPUTED_VALUE"""),"Stock")</f>
        <v>Stock</v>
      </c>
      <c r="F240" s="121" t="str">
        <f>IFERROR(__xludf.DUMMYFUNCTION("""COMPUTED_VALUE"""),"600519.ss")</f>
        <v>600519.ss</v>
      </c>
      <c r="G240" s="30">
        <f>IFERROR(__xludf.DUMMYFUNCTION("""COMPUTED_VALUE"""),1770.12)</f>
        <v>1770.12</v>
      </c>
      <c r="H240" s="30" t="str">
        <f>IFERROR(__xludf.DUMMYFUNCTION("""COMPUTED_VALUE"""),"Email Account/ TraderID Recognized")</f>
        <v>Email Account/ TraderID Recognized</v>
      </c>
      <c r="I240" s="30" t="str">
        <f>IFERROR(__xludf.DUMMYFUNCTION("""COMPUTED_VALUE"""),"Wrong Password Submitted, Order will be rejected")</f>
        <v>Wrong Password Submitted, Order will be rejected</v>
      </c>
      <c r="J240" s="30" t="str">
        <f>IFERROR(__xludf.DUMMYFUNCTION("""COMPUTED_VALUE"""),"Order rejected due to wrong password")</f>
        <v>Order rejected due to wrong password</v>
      </c>
    </row>
    <row r="241">
      <c r="A241" s="5"/>
      <c r="B241" s="118">
        <f>IFERROR(__xludf.DUMMYFUNCTION("""COMPUTED_VALUE"""),44657.69856849537)</f>
        <v>44657.69857</v>
      </c>
      <c r="C241" s="5" t="str">
        <f>IFERROR(__xludf.DUMMYFUNCTION("""COMPUTED_VALUE"""),"38307")</f>
        <v>38307</v>
      </c>
      <c r="D241" s="5" t="str">
        <f>IFERROR(__xludf.DUMMYFUNCTION("""COMPUTED_VALUE"""),"error")</f>
        <v>error</v>
      </c>
      <c r="E241" s="5" t="str">
        <f>IFERROR(__xludf.DUMMYFUNCTION("""COMPUTED_VALUE"""),"Stock")</f>
        <v>Stock</v>
      </c>
      <c r="F241" s="119" t="str">
        <f>IFERROR(__xludf.DUMMYFUNCTION("""COMPUTED_VALUE"""),"BA")</f>
        <v>BA</v>
      </c>
      <c r="G241" s="30" t="str">
        <f>IFERROR(__xludf.DUMMYFUNCTION("""COMPUTED_VALUE"""),"Limit Buy@189.700-Closing@182.650=Executed price@182.650.if Closing@190.000=no execution")</f>
        <v>Limit Buy@189.700-Closing@182.650=Executed price@182.650.if Closing@190.000=no execution</v>
      </c>
      <c r="H241" s="30" t="str">
        <f>IFERROR(__xludf.DUMMYFUNCTION("""COMPUTED_VALUE"""),"Email Account/ TraderID Recognized")</f>
        <v>Email Account/ TraderID Recognized</v>
      </c>
      <c r="I241" s="30" t="str">
        <f>IFERROR(__xludf.DUMMYFUNCTION("""COMPUTED_VALUE"""),"Non-number input in Quantity or Limit Price")</f>
        <v>Non-number input in Quantity or Limit Price</v>
      </c>
      <c r="J241" s="30" t="str">
        <f>IFERROR(__xludf.DUMMYFUNCTION("""COMPUTED_VALUE"""),"Order rejected due to non number input in limit price")</f>
        <v>Order rejected due to non number input in limit price</v>
      </c>
    </row>
    <row r="242">
      <c r="A242" s="5"/>
      <c r="B242" s="118">
        <f>IFERROR(__xludf.DUMMYFUNCTION("""COMPUTED_VALUE"""),44658.41590083334)</f>
        <v>44658.4159</v>
      </c>
      <c r="C242" s="5" t="str">
        <f>IFERROR(__xludf.DUMMYFUNCTION("""COMPUTED_VALUE"""),"77603")</f>
        <v>77603</v>
      </c>
      <c r="D242" s="5" t="str">
        <f>IFERROR(__xludf.DUMMYFUNCTION("""COMPUTED_VALUE"""),"error")</f>
        <v>error</v>
      </c>
      <c r="E242" s="5" t="str">
        <f>IFERROR(__xludf.DUMMYFUNCTION("""COMPUTED_VALUE"""),"Stock")</f>
        <v>Stock</v>
      </c>
      <c r="F242" s="121" t="str">
        <f>IFERROR(__xludf.DUMMYFUNCTION("""COMPUTED_VALUE"""),"9988.HK")</f>
        <v>9988.HK</v>
      </c>
      <c r="G242" s="30">
        <f>IFERROR(__xludf.DUMMYFUNCTION("""COMPUTED_VALUE"""),139.1)</f>
        <v>139.1</v>
      </c>
      <c r="H242" s="30" t="str">
        <f>IFERROR(__xludf.DUMMYFUNCTION("""COMPUTED_VALUE"""),"Email Account/ TraderID Recognized")</f>
        <v>Email Account/ TraderID Recognized</v>
      </c>
      <c r="I242" s="30" t="str">
        <f>IFERROR(__xludf.DUMMYFUNCTION("""COMPUTED_VALUE"""),"Wrong Password Submitted, Order will be rejected")</f>
        <v>Wrong Password Submitted, Order will be rejected</v>
      </c>
      <c r="J242" s="30"/>
    </row>
    <row r="243">
      <c r="A243" s="5"/>
      <c r="B243" s="118">
        <f>IFERROR(__xludf.DUMMYFUNCTION("""COMPUTED_VALUE"""),44658.45028748843)</f>
        <v>44658.45029</v>
      </c>
      <c r="C243" s="5" t="str">
        <f>IFERROR(__xludf.DUMMYFUNCTION("""COMPUTED_VALUE"""),"")</f>
        <v/>
      </c>
      <c r="D243" s="5" t="str">
        <f>IFERROR(__xludf.DUMMYFUNCTION("""COMPUTED_VALUE"""),"error")</f>
        <v>error</v>
      </c>
      <c r="E243" s="5" t="str">
        <f>IFERROR(__xludf.DUMMYFUNCTION("""COMPUTED_VALUE"""),"Stock")</f>
        <v>Stock</v>
      </c>
      <c r="F243" s="119" t="str">
        <f>IFERROR(__xludf.DUMMYFUNCTION("""COMPUTED_VALUE"""),"06078")</f>
        <v>06078</v>
      </c>
      <c r="G243" s="30">
        <f>IFERROR(__xludf.DUMMYFUNCTION("""COMPUTED_VALUE"""),100.0)</f>
        <v>100</v>
      </c>
      <c r="H243" s="30" t="str">
        <f>IFERROR(__xludf.DUMMYFUNCTION("""COMPUTED_VALUE"""),"9068xxxxxx@nonHKMUemail")</f>
        <v>9068xxxxxx@nonHKMUemail</v>
      </c>
      <c r="I243" s="30" t="str">
        <f>IFERROR(__xludf.DUMMYFUNCTION("""COMPUTED_VALUE"""),"QTY, Limit Price (if any) &amp; Password input correct")</f>
        <v>QTY, Limit Price (if any) &amp; Password input correct</v>
      </c>
      <c r="J243" s="30"/>
    </row>
    <row r="244">
      <c r="A244" s="5"/>
      <c r="B244" s="118">
        <f>IFERROR(__xludf.DUMMYFUNCTION("""COMPUTED_VALUE"""),44658.96271815972)</f>
        <v>44658.96272</v>
      </c>
      <c r="C244" s="5" t="str">
        <f>IFERROR(__xludf.DUMMYFUNCTION("""COMPUTED_VALUE"""),"")</f>
        <v/>
      </c>
      <c r="D244" s="5" t="str">
        <f>IFERROR(__xludf.DUMMYFUNCTION("""COMPUTED_VALUE"""),"error")</f>
        <v>error</v>
      </c>
      <c r="E244" s="5" t="str">
        <f>IFERROR(__xludf.DUMMYFUNCTION("""COMPUTED_VALUE"""),"Stock")</f>
        <v>Stock</v>
      </c>
      <c r="F244" s="112" t="str">
        <f>IFERROR(__xludf.DUMMYFUNCTION("""COMPUTED_VALUE"""),"SNOW")</f>
        <v>SNOW</v>
      </c>
      <c r="G244" s="30"/>
      <c r="H244" s="30" t="str">
        <f>IFERROR(__xludf.DUMMYFUNCTION("""COMPUTED_VALUE"""),"sunnxxxxxx@nonHKMUemail")</f>
        <v>sunnxxxxxx@nonHKMUemail</v>
      </c>
      <c r="I244" s="30" t="str">
        <f>IFERROR(__xludf.DUMMYFUNCTION("""COMPUTED_VALUE"""),"QTY, Limit Price (if any) &amp; Password input correct")</f>
        <v>QTY, Limit Price (if any) &amp; Password input correct</v>
      </c>
      <c r="J244" s="30"/>
    </row>
    <row r="245">
      <c r="A245" s="5"/>
      <c r="B245" s="118">
        <f>IFERROR(__xludf.DUMMYFUNCTION("""COMPUTED_VALUE"""),44658.96492642361)</f>
        <v>44658.96493</v>
      </c>
      <c r="C245" s="5" t="str">
        <f>IFERROR(__xludf.DUMMYFUNCTION("""COMPUTED_VALUE"""),"")</f>
        <v/>
      </c>
      <c r="D245" s="5" t="str">
        <f>IFERROR(__xludf.DUMMYFUNCTION("""COMPUTED_VALUE"""),"error")</f>
        <v>error</v>
      </c>
      <c r="E245" s="5" t="str">
        <f>IFERROR(__xludf.DUMMYFUNCTION("""COMPUTED_VALUE"""),"Stock")</f>
        <v>Stock</v>
      </c>
      <c r="F245" s="112" t="str">
        <f>IFERROR(__xludf.DUMMYFUNCTION("""COMPUTED_VALUE"""),"SOL-USD")</f>
        <v>SOL-USD</v>
      </c>
      <c r="G245" s="30"/>
      <c r="H245" s="30" t="str">
        <f>IFERROR(__xludf.DUMMYFUNCTION("""COMPUTED_VALUE"""),"sunnxxxxxx@nonHKMUemail")</f>
        <v>sunnxxxxxx@nonHKMUemail</v>
      </c>
      <c r="I245" s="30" t="str">
        <f>IFERROR(__xludf.DUMMYFUNCTION("""COMPUTED_VALUE"""),"QTY, Limit Price (if any) &amp; Password input correct")</f>
        <v>QTY, Limit Price (if any) &amp; Password input correct</v>
      </c>
      <c r="J245" s="30"/>
    </row>
    <row r="246">
      <c r="A246" s="5"/>
      <c r="B246" s="118">
        <f>IFERROR(__xludf.DUMMYFUNCTION("""COMPUTED_VALUE"""),44658.96976085648)</f>
        <v>44658.96976</v>
      </c>
      <c r="C246" s="5" t="str">
        <f>IFERROR(__xludf.DUMMYFUNCTION("""COMPUTED_VALUE"""),"")</f>
        <v/>
      </c>
      <c r="D246" s="5" t="str">
        <f>IFERROR(__xludf.DUMMYFUNCTION("""COMPUTED_VALUE"""),"error")</f>
        <v>error</v>
      </c>
      <c r="E246" s="5" t="str">
        <f>IFERROR(__xludf.DUMMYFUNCTION("""COMPUTED_VALUE"""),"Stock")</f>
        <v>Stock</v>
      </c>
      <c r="F246" s="112" t="str">
        <f>IFERROR(__xludf.DUMMYFUNCTION("""COMPUTED_VALUE"""),"TSLA")</f>
        <v>TSLA</v>
      </c>
      <c r="G246" s="30"/>
      <c r="H246" s="30" t="str">
        <f>IFERROR(__xludf.DUMMYFUNCTION("""COMPUTED_VALUE"""),"sunnxxxxxx@nonHKMUemail")</f>
        <v>sunnxxxxxx@nonHKMUemail</v>
      </c>
      <c r="I246" s="30" t="str">
        <f>IFERROR(__xludf.DUMMYFUNCTION("""COMPUTED_VALUE"""),"QTY, Limit Price (if any) &amp; Password input correct")</f>
        <v>QTY, Limit Price (if any) &amp; Password input correct</v>
      </c>
      <c r="J246" s="30"/>
    </row>
    <row r="247">
      <c r="A247" s="5"/>
      <c r="B247" s="118">
        <f>IFERROR(__xludf.DUMMYFUNCTION("""COMPUTED_VALUE"""),44658.98144670139)</f>
        <v>44658.98145</v>
      </c>
      <c r="C247" s="5" t="str">
        <f>IFERROR(__xludf.DUMMYFUNCTION("""COMPUTED_VALUE"""),"")</f>
        <v/>
      </c>
      <c r="D247" s="5" t="str">
        <f>IFERROR(__xludf.DUMMYFUNCTION("""COMPUTED_VALUE"""),"error")</f>
        <v>error</v>
      </c>
      <c r="E247" s="5" t="str">
        <f>IFERROR(__xludf.DUMMYFUNCTION("""COMPUTED_VALUE"""),"Option")</f>
        <v>Option</v>
      </c>
      <c r="F247" s="112" t="str">
        <f>IFERROR(__xludf.DUMMYFUNCTION("""COMPUTED_VALUE"""),"GOLD")</f>
        <v>GOLD</v>
      </c>
      <c r="G247" s="30">
        <f>IFERROR(__xludf.DUMMYFUNCTION("""COMPUTED_VALUE"""),100.0)</f>
        <v>100</v>
      </c>
      <c r="H247" s="30" t="str">
        <f>IFERROR(__xludf.DUMMYFUNCTION("""COMPUTED_VALUE"""),"s123xxxxxx@nonHKMUemail")</f>
        <v>s123xxxxxx@nonHKMUemail</v>
      </c>
      <c r="I247" s="30" t="str">
        <f>IFERROR(__xludf.DUMMYFUNCTION("""COMPUTED_VALUE"""),"QTY, Limit Price (if any) &amp; Password input correct")</f>
        <v>QTY, Limit Price (if any) &amp; Password input correct</v>
      </c>
      <c r="J247" s="30"/>
    </row>
    <row r="248">
      <c r="A248" s="5"/>
      <c r="B248" s="118">
        <f>IFERROR(__xludf.DUMMYFUNCTION("""COMPUTED_VALUE"""),44659.047197708336)</f>
        <v>44659.0472</v>
      </c>
      <c r="C248" s="5" t="str">
        <f>IFERROR(__xludf.DUMMYFUNCTION("""COMPUTED_VALUE"""),"82458")</f>
        <v>82458</v>
      </c>
      <c r="D248" s="5" t="str">
        <f>IFERROR(__xludf.DUMMYFUNCTION("""COMPUTED_VALUE"""),"error")</f>
        <v>error</v>
      </c>
      <c r="E248" s="5" t="str">
        <f>IFERROR(__xludf.DUMMYFUNCTION("""COMPUTED_VALUE"""),"Stock")</f>
        <v>Stock</v>
      </c>
      <c r="F248" s="125" t="str">
        <f>IFERROR(__xludf.DUMMYFUNCTION("""COMPUTED_VALUE"""),"0928.HK")</f>
        <v>0928.HK</v>
      </c>
      <c r="G248" s="30" t="str">
        <f>IFERROR(__xludf.DUMMYFUNCTION("""COMPUTED_VALUE"""),"Limit Buy @ 0.160 - Closing @ 0.161 = Executed price @ 0.161. If Closing @ 0.163 = no execution")</f>
        <v>Limit Buy @ 0.160 - Closing @ 0.161 = Executed price @ 0.161. If Closing @ 0.163 = no execution</v>
      </c>
      <c r="H248" s="30" t="str">
        <f>IFERROR(__xludf.DUMMYFUNCTION("""COMPUTED_VALUE"""),"Email Account/ TraderID Recognized")</f>
        <v>Email Account/ TraderID Recognized</v>
      </c>
      <c r="I248" s="30" t="str">
        <f>IFERROR(__xludf.DUMMYFUNCTION("""COMPUTED_VALUE"""),"Non-number input in Quantity or Limit Price")</f>
        <v>Non-number input in Quantity or Limit Price</v>
      </c>
      <c r="J248" s="30"/>
    </row>
    <row r="249">
      <c r="A249" s="5"/>
      <c r="B249" s="118">
        <f>IFERROR(__xludf.DUMMYFUNCTION("""COMPUTED_VALUE"""),44659.390456608795)</f>
        <v>44659.39046</v>
      </c>
      <c r="C249" s="5" t="str">
        <f>IFERROR(__xludf.DUMMYFUNCTION("""COMPUTED_VALUE"""),"39815")</f>
        <v>39815</v>
      </c>
      <c r="D249" s="5" t="str">
        <f>IFERROR(__xludf.DUMMYFUNCTION("""COMPUTED_VALUE"""),"error")</f>
        <v>error</v>
      </c>
      <c r="E249" s="5" t="str">
        <f>IFERROR(__xludf.DUMMYFUNCTION("""COMPUTED_VALUE"""),"Option")</f>
        <v>Option</v>
      </c>
      <c r="F249" s="112" t="str">
        <f>IFERROR(__xludf.DUMMYFUNCTION("""COMPUTED_VALUE"""),"GC=F")</f>
        <v>GC=F</v>
      </c>
      <c r="G249" s="30">
        <f>IFERROR(__xludf.DUMMYFUNCTION("""COMPUTED_VALUE"""),30.0)</f>
        <v>30</v>
      </c>
      <c r="H249" s="30" t="str">
        <f>IFERROR(__xludf.DUMMYFUNCTION("""COMPUTED_VALUE"""),"Email Account/ TraderID Recognized")</f>
        <v>Email Account/ TraderID Recognized</v>
      </c>
      <c r="I249" s="30" t="str">
        <f>IFERROR(__xludf.DUMMYFUNCTION("""COMPUTED_VALUE"""),"QTY, Limit Price (if any) &amp; Password input correct")</f>
        <v>QTY, Limit Price (if any) &amp; Password input correct</v>
      </c>
      <c r="J249" s="30"/>
    </row>
    <row r="250">
      <c r="A250" s="5"/>
      <c r="B250" s="118">
        <f>IFERROR(__xludf.DUMMYFUNCTION("""COMPUTED_VALUE"""),44659.458126805555)</f>
        <v>44659.45813</v>
      </c>
      <c r="C250" s="5" t="str">
        <f>IFERROR(__xludf.DUMMYFUNCTION("""COMPUTED_VALUE"""),"75597")</f>
        <v>75597</v>
      </c>
      <c r="D250" s="5" t="str">
        <f>IFERROR(__xludf.DUMMYFUNCTION("""COMPUTED_VALUE"""),"error")</f>
        <v>error</v>
      </c>
      <c r="E250" s="5" t="str">
        <f>IFERROR(__xludf.DUMMYFUNCTION("""COMPUTED_VALUE"""),"Stock")</f>
        <v>Stock</v>
      </c>
      <c r="F250" s="125" t="str">
        <f>IFERROR(__xludf.DUMMYFUNCTION("""COMPUTED_VALUE"""),"600519.ss")</f>
        <v>600519.ss</v>
      </c>
      <c r="G250" s="30">
        <f>IFERROR(__xludf.DUMMYFUNCTION("""COMPUTED_VALUE"""),1778.0)</f>
        <v>1778</v>
      </c>
      <c r="H250" s="30" t="str">
        <f>IFERROR(__xludf.DUMMYFUNCTION("""COMPUTED_VALUE"""),"Email Account/ TraderID Recognized")</f>
        <v>Email Account/ TraderID Recognized</v>
      </c>
      <c r="I250" s="30" t="str">
        <f>IFERROR(__xludf.DUMMYFUNCTION("""COMPUTED_VALUE"""),"Wrong Password Submitted, Order will be rejected")</f>
        <v>Wrong Password Submitted, Order will be rejected</v>
      </c>
      <c r="J250" s="30"/>
    </row>
    <row r="251">
      <c r="A251" s="5"/>
      <c r="B251" s="118">
        <f>IFERROR(__xludf.DUMMYFUNCTION("""COMPUTED_VALUE"""),44659.46978349537)</f>
        <v>44659.46978</v>
      </c>
      <c r="C251" s="5" t="str">
        <f>IFERROR(__xludf.DUMMYFUNCTION("""COMPUTED_VALUE"""),"82458")</f>
        <v>82458</v>
      </c>
      <c r="D251" s="5" t="str">
        <f>IFERROR(__xludf.DUMMYFUNCTION("""COMPUTED_VALUE"""),"error")</f>
        <v>error</v>
      </c>
      <c r="E251" s="5" t="str">
        <f>IFERROR(__xludf.DUMMYFUNCTION("""COMPUTED_VALUE"""),"Stock")</f>
        <v>Stock</v>
      </c>
      <c r="F251" s="125" t="str">
        <f>IFERROR(__xludf.DUMMYFUNCTION("""COMPUTED_VALUE"""),"0503.HK")</f>
        <v>0503.HK</v>
      </c>
      <c r="G251" s="30" t="str">
        <f>IFERROR(__xludf.DUMMYFUNCTION("""COMPUTED_VALUE"""),"Limit But @ 1.249 - Closing @ 1.250 = Executed price @ 1.250. If Closing @ 1.251 = no execution")</f>
        <v>Limit But @ 1.249 - Closing @ 1.250 = Executed price @ 1.250. If Closing @ 1.251 = no execution</v>
      </c>
      <c r="H251" s="30" t="str">
        <f>IFERROR(__xludf.DUMMYFUNCTION("""COMPUTED_VALUE"""),"Email Account/ TraderID Recognized")</f>
        <v>Email Account/ TraderID Recognized</v>
      </c>
      <c r="I251" s="30" t="str">
        <f>IFERROR(__xludf.DUMMYFUNCTION("""COMPUTED_VALUE"""),"Non-number input in Quantity or Limit Price")</f>
        <v>Non-number input in Quantity or Limit Price</v>
      </c>
      <c r="J251" s="30"/>
    </row>
    <row r="252">
      <c r="A252" s="5"/>
      <c r="B252" s="118">
        <f>IFERROR(__xludf.DUMMYFUNCTION("""COMPUTED_VALUE"""),44659.47315815972)</f>
        <v>44659.47316</v>
      </c>
      <c r="C252" s="5" t="str">
        <f>IFERROR(__xludf.DUMMYFUNCTION("""COMPUTED_VALUE"""),"82458")</f>
        <v>82458</v>
      </c>
      <c r="D252" s="5" t="str">
        <f>IFERROR(__xludf.DUMMYFUNCTION("""COMPUTED_VALUE"""),"error")</f>
        <v>error</v>
      </c>
      <c r="E252" s="5" t="str">
        <f>IFERROR(__xludf.DUMMYFUNCTION("""COMPUTED_VALUE"""),"Stock")</f>
        <v>Stock</v>
      </c>
      <c r="F252" s="112" t="str">
        <f>IFERROR(__xludf.DUMMYFUNCTION("""COMPUTED_VALUE"""),"AAPL")</f>
        <v>AAPL</v>
      </c>
      <c r="G252" s="30" t="str">
        <f>IFERROR(__xludf.DUMMYFUNCTION("""COMPUTED_VALUE"""),"Limit Buy @ 172.14 - Closing @ 172.13 = Executed price @ 172.13. If Closing @ 172.15 = no execution")</f>
        <v>Limit Buy @ 172.14 - Closing @ 172.13 = Executed price @ 172.13. If Closing @ 172.15 = no execution</v>
      </c>
      <c r="H252" s="30" t="str">
        <f>IFERROR(__xludf.DUMMYFUNCTION("""COMPUTED_VALUE"""),"Email Account/ TraderID Recognized")</f>
        <v>Email Account/ TraderID Recognized</v>
      </c>
      <c r="I252" s="30" t="str">
        <f>IFERROR(__xludf.DUMMYFUNCTION("""COMPUTED_VALUE"""),"Non-number input in Quantity or Limit Price")</f>
        <v>Non-number input in Quantity or Limit Price</v>
      </c>
      <c r="J252" s="30"/>
    </row>
    <row r="253">
      <c r="A253" s="5"/>
      <c r="B253" s="118">
        <f>IFERROR(__xludf.DUMMYFUNCTION("""COMPUTED_VALUE"""),44659.72932982639)</f>
        <v>44659.72933</v>
      </c>
      <c r="C253" s="5" t="str">
        <f>IFERROR(__xludf.DUMMYFUNCTION("""COMPUTED_VALUE"""),"")</f>
        <v/>
      </c>
      <c r="D253" s="5" t="str">
        <f>IFERROR(__xludf.DUMMYFUNCTION("""COMPUTED_VALUE"""),"error")</f>
        <v>error</v>
      </c>
      <c r="E253" s="5" t="str">
        <f>IFERROR(__xludf.DUMMYFUNCTION("""COMPUTED_VALUE"""),"Stock")</f>
        <v>Stock</v>
      </c>
      <c r="F253" s="112">
        <f>IFERROR(__xludf.DUMMYFUNCTION("""COMPUTED_VALUE"""),89750.0)</f>
        <v>89750</v>
      </c>
      <c r="G253" s="126">
        <f>IFERROR(__xludf.DUMMYFUNCTION("""COMPUTED_VALUE"""),100.0)</f>
        <v>100</v>
      </c>
      <c r="H253" s="30" t="str">
        <f>IFERROR(__xludf.DUMMYFUNCTION("""COMPUTED_VALUE"""),"mikexxxxxx@nonHKMUemail")</f>
        <v>mikexxxxxx@nonHKMUemail</v>
      </c>
      <c r="I253" s="30" t="str">
        <f>IFERROR(__xludf.DUMMYFUNCTION("""COMPUTED_VALUE"""),"QTY, Limit Price (if any) &amp; Password input correct")</f>
        <v>QTY, Limit Price (if any) &amp; Password input correct</v>
      </c>
      <c r="J253" s="30"/>
    </row>
    <row r="254">
      <c r="A254" s="5"/>
      <c r="B254" s="118">
        <f>IFERROR(__xludf.DUMMYFUNCTION("""COMPUTED_VALUE"""),44659.73392803241)</f>
        <v>44659.73393</v>
      </c>
      <c r="C254" s="5" t="str">
        <f>IFERROR(__xludf.DUMMYFUNCTION("""COMPUTED_VALUE"""),"")</f>
        <v/>
      </c>
      <c r="D254" s="5" t="str">
        <f>IFERROR(__xludf.DUMMYFUNCTION("""COMPUTED_VALUE"""),"error")</f>
        <v>error</v>
      </c>
      <c r="E254" s="5" t="str">
        <f>IFERROR(__xludf.DUMMYFUNCTION("""COMPUTED_VALUE"""),"Stock")</f>
        <v>Stock</v>
      </c>
      <c r="F254" s="112" t="str">
        <f>IFERROR(__xludf.DUMMYFUNCTION("""COMPUTED_VALUE"""),"TSLA")</f>
        <v>TSLA</v>
      </c>
      <c r="G254" s="30">
        <f>IFERROR(__xludf.DUMMYFUNCTION("""COMPUTED_VALUE"""),1020.0)</f>
        <v>1020</v>
      </c>
      <c r="H254" s="30" t="str">
        <f>IFERROR(__xludf.DUMMYFUNCTION("""COMPUTED_VALUE"""),"2470xxxxxx@nonHKMUemail")</f>
        <v>2470xxxxxx@nonHKMUemail</v>
      </c>
      <c r="I254" s="30" t="str">
        <f>IFERROR(__xludf.DUMMYFUNCTION("""COMPUTED_VALUE"""),"QTY, Limit Price (if any) &amp; Password input correct")</f>
        <v>QTY, Limit Price (if any) &amp; Password input correct</v>
      </c>
      <c r="J254" s="30"/>
    </row>
    <row r="255">
      <c r="A255" s="5"/>
      <c r="B255" s="118">
        <f>IFERROR(__xludf.DUMMYFUNCTION("""COMPUTED_VALUE"""),44659.77614773148)</f>
        <v>44659.77615</v>
      </c>
      <c r="C255" s="5" t="str">
        <f>IFERROR(__xludf.DUMMYFUNCTION("""COMPUTED_VALUE"""),"")</f>
        <v/>
      </c>
      <c r="D255" s="5" t="str">
        <f>IFERROR(__xludf.DUMMYFUNCTION("""COMPUTED_VALUE"""),"error")</f>
        <v>error</v>
      </c>
      <c r="E255" s="5" t="str">
        <f>IFERROR(__xludf.DUMMYFUNCTION("""COMPUTED_VALUE"""),"Stock")</f>
        <v>Stock</v>
      </c>
      <c r="F255" s="112" t="str">
        <f>IFERROR(__xludf.DUMMYFUNCTION("""COMPUTED_VALUE"""),"AAPL")</f>
        <v>AAPL</v>
      </c>
      <c r="G255" s="30">
        <f>IFERROR(__xludf.DUMMYFUNCTION("""COMPUTED_VALUE"""),171.0)</f>
        <v>171</v>
      </c>
      <c r="H255" s="30" t="str">
        <f>IFERROR(__xludf.DUMMYFUNCTION("""COMPUTED_VALUE"""),"2470xxxxxx@nonHKMUemail")</f>
        <v>2470xxxxxx@nonHKMUemail</v>
      </c>
      <c r="I255" s="30" t="str">
        <f>IFERROR(__xludf.DUMMYFUNCTION("""COMPUTED_VALUE"""),"QTY, Limit Price (if any) &amp; Password input correct")</f>
        <v>QTY, Limit Price (if any) &amp; Password input correct</v>
      </c>
      <c r="J255" s="30"/>
    </row>
    <row r="256">
      <c r="A256" s="5"/>
      <c r="B256" s="118">
        <f>IFERROR(__xludf.DUMMYFUNCTION("""COMPUTED_VALUE"""),44659.882564907406)</f>
        <v>44659.88256</v>
      </c>
      <c r="C256" s="5" t="str">
        <f>IFERROR(__xludf.DUMMYFUNCTION("""COMPUTED_VALUE"""),"89833")</f>
        <v>89833</v>
      </c>
      <c r="D256" s="5" t="str">
        <f>IFERROR(__xludf.DUMMYFUNCTION("""COMPUTED_VALUE"""),"error")</f>
        <v>error</v>
      </c>
      <c r="E256" s="5" t="str">
        <f>IFERROR(__xludf.DUMMYFUNCTION("""COMPUTED_VALUE"""),"Stock")</f>
        <v>Stock</v>
      </c>
      <c r="F256" s="112" t="str">
        <f>IFERROR(__xludf.DUMMYFUNCTION("""COMPUTED_VALUE"""),"OXY")</f>
        <v>OXY</v>
      </c>
      <c r="G256" s="30" t="str">
        <f>IFERROR(__xludf.DUMMYFUNCTION("""COMPUTED_VALUE"""),"Limit Sell @ 58 - if Closing @ 60 = Executed price @ 60; if Closing @ 57 = no execution")</f>
        <v>Limit Sell @ 58 - if Closing @ 60 = Executed price @ 60; if Closing @ 57 = no execution</v>
      </c>
      <c r="H256" s="30" t="str">
        <f>IFERROR(__xludf.DUMMYFUNCTION("""COMPUTED_VALUE"""),"Email Account/ TraderID Recognized")</f>
        <v>Email Account/ TraderID Recognized</v>
      </c>
      <c r="I256" s="30" t="str">
        <f>IFERROR(__xludf.DUMMYFUNCTION("""COMPUTED_VALUE"""),"Non-number input in Quantity or Limit Price")</f>
        <v>Non-number input in Quantity or Limit Price</v>
      </c>
      <c r="J256" s="30"/>
    </row>
    <row r="257">
      <c r="A257" s="5"/>
      <c r="B257" s="118">
        <f>IFERROR(__xludf.DUMMYFUNCTION("""COMPUTED_VALUE"""),44659.93617028935)</f>
        <v>44659.93617</v>
      </c>
      <c r="C257" s="5" t="str">
        <f>IFERROR(__xludf.DUMMYFUNCTION("""COMPUTED_VALUE"""),"")</f>
        <v/>
      </c>
      <c r="D257" s="5" t="str">
        <f>IFERROR(__xludf.DUMMYFUNCTION("""COMPUTED_VALUE"""),"error")</f>
        <v>error</v>
      </c>
      <c r="E257" s="5" t="str">
        <f>IFERROR(__xludf.DUMMYFUNCTION("""COMPUTED_VALUE"""),"Stock")</f>
        <v>Stock</v>
      </c>
      <c r="F257" s="112" t="str">
        <f>IFERROR(__xludf.DUMMYFUNCTION("""COMPUTED_VALUE"""),"AAPL   TSLA")</f>
        <v>AAPL   TSLA</v>
      </c>
      <c r="G257" s="30">
        <f>IFERROR(__xludf.DUMMYFUNCTION("""COMPUTED_VALUE"""),171.26)</f>
        <v>171.26</v>
      </c>
      <c r="H257" s="30" t="str">
        <f>IFERROR(__xludf.DUMMYFUNCTION("""COMPUTED_VALUE"""),"zhu1xxxxxx@nonHKMUemail")</f>
        <v>zhu1xxxxxx@nonHKMUemail</v>
      </c>
      <c r="I257" s="30" t="str">
        <f>IFERROR(__xludf.DUMMYFUNCTION("""COMPUTED_VALUE"""),"QTY, Limit Price (if any) &amp; Password input correct")</f>
        <v>QTY, Limit Price (if any) &amp; Password input correct</v>
      </c>
      <c r="J257" s="30"/>
    </row>
    <row r="258">
      <c r="A258" s="5"/>
      <c r="B258" s="118">
        <f>IFERROR(__xludf.DUMMYFUNCTION("""COMPUTED_VALUE"""),44659.94577037037)</f>
        <v>44659.94577</v>
      </c>
      <c r="C258" s="5" t="str">
        <f>IFERROR(__xludf.DUMMYFUNCTION("""COMPUTED_VALUE"""),"18874")</f>
        <v>18874</v>
      </c>
      <c r="D258" s="5" t="str">
        <f>IFERROR(__xludf.DUMMYFUNCTION("""COMPUTED_VALUE"""),"error")</f>
        <v>error</v>
      </c>
      <c r="E258" s="5" t="str">
        <f>IFERROR(__xludf.DUMMYFUNCTION("""COMPUTED_VALUE"""),"Stock")</f>
        <v>Stock</v>
      </c>
      <c r="F258" s="112" t="str">
        <f>IFERROR(__xludf.DUMMYFUNCTION("""COMPUTED_VALUE"""),"AAPL TSLA")</f>
        <v>AAPL TSLA</v>
      </c>
      <c r="G258" s="30" t="str">
        <f>IFERROR(__xludf.DUMMYFUNCTION("""COMPUTED_VALUE"""),"171.96    1050.235")</f>
        <v>171.96    1050.235</v>
      </c>
      <c r="H258" s="30" t="str">
        <f>IFERROR(__xludf.DUMMYFUNCTION("""COMPUTED_VALUE"""),"Email Account/ TraderID Recognized")</f>
        <v>Email Account/ TraderID Recognized</v>
      </c>
      <c r="I258" s="30" t="str">
        <f>IFERROR(__xludf.DUMMYFUNCTION("""COMPUTED_VALUE"""),"Non-number input in Quantity or Limit Price")</f>
        <v>Non-number input in Quantity or Limit Price</v>
      </c>
      <c r="J258" s="30"/>
    </row>
    <row r="259">
      <c r="A259" s="5"/>
      <c r="B259" s="118">
        <f>IFERROR(__xludf.DUMMYFUNCTION("""COMPUTED_VALUE"""),44660.44997422454)</f>
        <v>44660.44997</v>
      </c>
      <c r="C259" s="5" t="str">
        <f>IFERROR(__xludf.DUMMYFUNCTION("""COMPUTED_VALUE"""),"82458")</f>
        <v>82458</v>
      </c>
      <c r="D259" s="5" t="str">
        <f>IFERROR(__xludf.DUMMYFUNCTION("""COMPUTED_VALUE"""),"error")</f>
        <v>error</v>
      </c>
      <c r="E259" s="5" t="str">
        <f>IFERROR(__xludf.DUMMYFUNCTION("""COMPUTED_VALUE"""),"Stock")</f>
        <v>Stock</v>
      </c>
      <c r="F259" s="125" t="str">
        <f>IFERROR(__xludf.DUMMYFUNCTION("""COMPUTED_VALUE"""),"6108.HK")</f>
        <v>6108.HK</v>
      </c>
      <c r="G259" s="30"/>
      <c r="H259" s="30" t="str">
        <f>IFERROR(__xludf.DUMMYFUNCTION("""COMPUTED_VALUE"""),"Email Account/ TraderID Recognized")</f>
        <v>Email Account/ TraderID Recognized</v>
      </c>
      <c r="I259" s="30" t="str">
        <f>IFERROR(__xludf.DUMMYFUNCTION("""COMPUTED_VALUE"""),"Wrong Password Submitted, Order will be rejected")</f>
        <v>Wrong Password Submitted, Order will be rejected</v>
      </c>
      <c r="J259" s="30" t="str">
        <f>IFERROR(__xludf.DUMMYFUNCTION("""COMPUTED_VALUE"""),"The password you input in march is correct (you first order). Ticker code is correct.")</f>
        <v>The password you input in march is correct (you first order). Ticker code is correct.</v>
      </c>
    </row>
    <row r="260">
      <c r="A260" s="5"/>
      <c r="B260" s="118">
        <f>IFERROR(__xludf.DUMMYFUNCTION("""COMPUTED_VALUE"""),44660.45233828704)</f>
        <v>44660.45234</v>
      </c>
      <c r="C260" s="5" t="str">
        <f>IFERROR(__xludf.DUMMYFUNCTION("""COMPUTED_VALUE"""),"")</f>
        <v/>
      </c>
      <c r="D260" s="5" t="str">
        <f>IFERROR(__xludf.DUMMYFUNCTION("""COMPUTED_VALUE"""),"error")</f>
        <v>error</v>
      </c>
      <c r="E260" s="5" t="str">
        <f>IFERROR(__xludf.DUMMYFUNCTION("""COMPUTED_VALUE"""),"Stock")</f>
        <v>Stock</v>
      </c>
      <c r="F260" s="112" t="str">
        <f>IFERROR(__xludf.DUMMYFUNCTION("""COMPUTED_VALUE"""),"AAPL")</f>
        <v>AAPL</v>
      </c>
      <c r="G260" s="30"/>
      <c r="H260" s="30" t="str">
        <f>IFERROR(__xludf.DUMMYFUNCTION("""COMPUTED_VALUE"""),"s128xxxxxx@nonHKMUemail")</f>
        <v>s128xxxxxx@nonHKMUemail</v>
      </c>
      <c r="I260" s="30" t="str">
        <f>IFERROR(__xludf.DUMMYFUNCTION("""COMPUTED_VALUE"""),"QTY, Limit Price (if any) &amp; Password input correct")</f>
        <v>QTY, Limit Price (if any) &amp; Password input correct</v>
      </c>
      <c r="J260" s="30"/>
    </row>
    <row r="261">
      <c r="A261" s="5"/>
      <c r="B261" s="118">
        <f>IFERROR(__xludf.DUMMYFUNCTION("""COMPUTED_VALUE"""),44660.464675763884)</f>
        <v>44660.46468</v>
      </c>
      <c r="C261" s="5" t="str">
        <f>IFERROR(__xludf.DUMMYFUNCTION("""COMPUTED_VALUE"""),"18874")</f>
        <v>18874</v>
      </c>
      <c r="D261" s="5" t="str">
        <f>IFERROR(__xludf.DUMMYFUNCTION("""COMPUTED_VALUE"""),"error")</f>
        <v>error</v>
      </c>
      <c r="E261" s="5" t="str">
        <f>IFERROR(__xludf.DUMMYFUNCTION("""COMPUTED_VALUE"""),"Stock")</f>
        <v>Stock</v>
      </c>
      <c r="F261" s="112" t="str">
        <f>IFERROR(__xludf.DUMMYFUNCTION("""COMPUTED_VALUE"""),"AAPL")</f>
        <v>AAPL</v>
      </c>
      <c r="G261" s="30">
        <f>IFERROR(__xludf.DUMMYFUNCTION("""COMPUTED_VALUE"""),169.24)</f>
        <v>169.24</v>
      </c>
      <c r="H261" s="30" t="str">
        <f>IFERROR(__xludf.DUMMYFUNCTION("""COMPUTED_VALUE"""),"Email Account/ TraderID Recognized")</f>
        <v>Email Account/ TraderID Recognized</v>
      </c>
      <c r="I261" s="30" t="str">
        <f>IFERROR(__xludf.DUMMYFUNCTION("""COMPUTED_VALUE"""),"QTY, Limit Price (if any) &amp; Password input correct")</f>
        <v>QTY, Limit Price (if any) &amp; Password input correct</v>
      </c>
      <c r="J261" s="30" t="str">
        <f>IFERROR(__xludf.DUMMYFUNCTION("""COMPUTED_VALUE"""),"Order rejected due to non school email account")</f>
        <v>Order rejected due to non school email account</v>
      </c>
    </row>
    <row r="262">
      <c r="A262" s="5"/>
      <c r="B262" s="118">
        <f>IFERROR(__xludf.DUMMYFUNCTION("""COMPUTED_VALUE"""),44660.49323391204)</f>
        <v>44660.49323</v>
      </c>
      <c r="C262" s="5" t="str">
        <f>IFERROR(__xludf.DUMMYFUNCTION("""COMPUTED_VALUE"""),"40776")</f>
        <v>40776</v>
      </c>
      <c r="D262" s="5" t="str">
        <f>IFERROR(__xludf.DUMMYFUNCTION("""COMPUTED_VALUE"""),"error")</f>
        <v>error</v>
      </c>
      <c r="E262" s="5" t="str">
        <f>IFERROR(__xludf.DUMMYFUNCTION("""COMPUTED_VALUE"""),"Stock")</f>
        <v>Stock</v>
      </c>
      <c r="F262" s="112">
        <f>IFERROR(__xludf.DUMMYFUNCTION("""COMPUTED_VALUE"""),700.0)</f>
        <v>700</v>
      </c>
      <c r="G262" s="30">
        <f>IFERROR(__xludf.DUMMYFUNCTION("""COMPUTED_VALUE"""),366.6)</f>
        <v>366.6</v>
      </c>
      <c r="H262" s="30" t="str">
        <f>IFERROR(__xludf.DUMMYFUNCTION("""COMPUTED_VALUE"""),"Email Account/ TraderID Recognized")</f>
        <v>Email Account/ TraderID Recognized</v>
      </c>
      <c r="I262" s="30" t="str">
        <f>IFERROR(__xludf.DUMMYFUNCTION("""COMPUTED_VALUE"""),"QTY, Limit Price (if any) &amp; Password input correct")</f>
        <v>QTY, Limit Price (if any) &amp; Password input correct</v>
      </c>
      <c r="J262" s="30" t="str">
        <f>IFERROR(__xludf.DUMMYFUNCTION("""COMPUTED_VALUE"""),"Ticker symbol is not correct. We don't know if that is HK stock or Korea stock or Japan stock.")</f>
        <v>Ticker symbol is not correct. We don't know if that is HK stock or Korea stock or Japan stock.</v>
      </c>
    </row>
    <row r="263">
      <c r="A263" s="5"/>
      <c r="B263" s="118">
        <f>IFERROR(__xludf.DUMMYFUNCTION("""COMPUTED_VALUE"""),44660.49653935185)</f>
        <v>44660.49654</v>
      </c>
      <c r="C263" s="5" t="str">
        <f>IFERROR(__xludf.DUMMYFUNCTION("""COMPUTED_VALUE"""),"40776")</f>
        <v>40776</v>
      </c>
      <c r="D263" s="5" t="str">
        <f>IFERROR(__xludf.DUMMYFUNCTION("""COMPUTED_VALUE"""),"error")</f>
        <v>error</v>
      </c>
      <c r="E263" s="5" t="str">
        <f>IFERROR(__xludf.DUMMYFUNCTION("""COMPUTED_VALUE"""),"Stock")</f>
        <v>Stock</v>
      </c>
      <c r="F263" s="112">
        <f>IFERROR(__xludf.DUMMYFUNCTION("""COMPUTED_VALUE"""),9988.0)</f>
        <v>9988</v>
      </c>
      <c r="G263" s="30">
        <f>IFERROR(__xludf.DUMMYFUNCTION("""COMPUTED_VALUE"""),102.2)</f>
        <v>102.2</v>
      </c>
      <c r="H263" s="30" t="str">
        <f>IFERROR(__xludf.DUMMYFUNCTION("""COMPUTED_VALUE"""),"Email Account/ TraderID Recognized")</f>
        <v>Email Account/ TraderID Recognized</v>
      </c>
      <c r="I263" s="30" t="str">
        <f>IFERROR(__xludf.DUMMYFUNCTION("""COMPUTED_VALUE"""),"QTY, Limit Price (if any) &amp; Password input correct")</f>
        <v>QTY, Limit Price (if any) &amp; Password input correct</v>
      </c>
      <c r="J263" s="30" t="str">
        <f>IFERROR(__xludf.DUMMYFUNCTION("""COMPUTED_VALUE"""),"Ticker symbol is not correct. We don't know if that is HK stock or Korea stock or Japan stock.")</f>
        <v>Ticker symbol is not correct. We don't know if that is HK stock or Korea stock or Japan stock.</v>
      </c>
    </row>
    <row r="264">
      <c r="A264" s="5"/>
      <c r="B264" s="118">
        <f>IFERROR(__xludf.DUMMYFUNCTION("""COMPUTED_VALUE"""),44660.50064)</f>
        <v>44660.50064</v>
      </c>
      <c r="C264" s="5" t="str">
        <f>IFERROR(__xludf.DUMMYFUNCTION("""COMPUTED_VALUE"""),"40776")</f>
        <v>40776</v>
      </c>
      <c r="D264" s="5" t="str">
        <f>IFERROR(__xludf.DUMMYFUNCTION("""COMPUTED_VALUE"""),"error")</f>
        <v>error</v>
      </c>
      <c r="E264" s="5" t="str">
        <f>IFERROR(__xludf.DUMMYFUNCTION("""COMPUTED_VALUE"""),"Stock")</f>
        <v>Stock</v>
      </c>
      <c r="F264" s="112">
        <f>IFERROR(__xludf.DUMMYFUNCTION("""COMPUTED_VALUE"""),386.0)</f>
        <v>386</v>
      </c>
      <c r="G264" s="30">
        <f>IFERROR(__xludf.DUMMYFUNCTION("""COMPUTED_VALUE"""),3.38)</f>
        <v>3.38</v>
      </c>
      <c r="H264" s="30" t="str">
        <f>IFERROR(__xludf.DUMMYFUNCTION("""COMPUTED_VALUE"""),"Email Account/ TraderID Recognized")</f>
        <v>Email Account/ TraderID Recognized</v>
      </c>
      <c r="I264" s="30" t="str">
        <f>IFERROR(__xludf.DUMMYFUNCTION("""COMPUTED_VALUE"""),"QTY, Limit Price (if any) &amp; Password input correct")</f>
        <v>QTY, Limit Price (if any) &amp; Password input correct</v>
      </c>
      <c r="J264" s="30" t="str">
        <f>IFERROR(__xludf.DUMMYFUNCTION("""COMPUTED_VALUE"""),"Ticker symbol is not correct. We don't know if that is HK stock or Korea stock or Japan stock.")</f>
        <v>Ticker symbol is not correct. We don't know if that is HK stock or Korea stock or Japan stock.</v>
      </c>
    </row>
    <row r="265">
      <c r="A265" s="5"/>
      <c r="B265" s="118">
        <f>IFERROR(__xludf.DUMMYFUNCTION("""COMPUTED_VALUE"""),44660.517667754626)</f>
        <v>44660.51767</v>
      </c>
      <c r="C265" s="5" t="str">
        <f>IFERROR(__xludf.DUMMYFUNCTION("""COMPUTED_VALUE"""),"18874")</f>
        <v>18874</v>
      </c>
      <c r="D265" s="5" t="str">
        <f>IFERROR(__xludf.DUMMYFUNCTION("""COMPUTED_VALUE"""),"error")</f>
        <v>error</v>
      </c>
      <c r="E265" s="5" t="str">
        <f>IFERROR(__xludf.DUMMYFUNCTION("""COMPUTED_VALUE"""),"Stock")</f>
        <v>Stock</v>
      </c>
      <c r="F265" s="112">
        <f>IFERROR(__xludf.DUMMYFUNCTION("""COMPUTED_VALUE"""),386.0)</f>
        <v>386</v>
      </c>
      <c r="G265" s="30">
        <f>IFERROR(__xludf.DUMMYFUNCTION("""COMPUTED_VALUE"""),3.71)</f>
        <v>3.71</v>
      </c>
      <c r="H265" s="30" t="str">
        <f>IFERROR(__xludf.DUMMYFUNCTION("""COMPUTED_VALUE"""),"Email Account/ TraderID Recognized")</f>
        <v>Email Account/ TraderID Recognized</v>
      </c>
      <c r="I265" s="30" t="str">
        <f>IFERROR(__xludf.DUMMYFUNCTION("""COMPUTED_VALUE"""),"QTY, Limit Price (if any) &amp; Password input correct")</f>
        <v>QTY, Limit Price (if any) &amp; Password input correct</v>
      </c>
      <c r="J265" s="30" t="str">
        <f>IFERROR(__xludf.DUMMYFUNCTION("""COMPUTED_VALUE"""),"Ticker symbol is not correct. We don't know if that is HK stock or Korea stock or Japan stock.")</f>
        <v>Ticker symbol is not correct. We don't know if that is HK stock or Korea stock or Japan stock.</v>
      </c>
    </row>
    <row r="266">
      <c r="A266" s="5"/>
      <c r="B266" s="118">
        <f>IFERROR(__xludf.DUMMYFUNCTION("""COMPUTED_VALUE"""),44660.52250515047)</f>
        <v>44660.52251</v>
      </c>
      <c r="C266" s="5" t="str">
        <f>IFERROR(__xludf.DUMMYFUNCTION("""COMPUTED_VALUE"""),"18874")</f>
        <v>18874</v>
      </c>
      <c r="D266" s="5" t="str">
        <f>IFERROR(__xludf.DUMMYFUNCTION("""COMPUTED_VALUE"""),"error")</f>
        <v>error</v>
      </c>
      <c r="E266" s="5" t="str">
        <f>IFERROR(__xludf.DUMMYFUNCTION("""COMPUTED_VALUE"""),"Stock")</f>
        <v>Stock</v>
      </c>
      <c r="F266" s="112" t="str">
        <f>IFERROR(__xludf.DUMMYFUNCTION("""COMPUTED_VALUE"""),"01929")</f>
        <v>01929</v>
      </c>
      <c r="G266" s="30">
        <f>IFERROR(__xludf.DUMMYFUNCTION("""COMPUTED_VALUE"""),13.32)</f>
        <v>13.32</v>
      </c>
      <c r="H266" s="30" t="str">
        <f>IFERROR(__xludf.DUMMYFUNCTION("""COMPUTED_VALUE"""),"Email Account/ TraderID Recognized")</f>
        <v>Email Account/ TraderID Recognized</v>
      </c>
      <c r="I266" s="30" t="str">
        <f>IFERROR(__xludf.DUMMYFUNCTION("""COMPUTED_VALUE"""),"QTY, Limit Price (if any) &amp; Password input correct")</f>
        <v>QTY, Limit Price (if any) &amp; Password input correct</v>
      </c>
      <c r="J266" s="30" t="str">
        <f>IFERROR(__xludf.DUMMYFUNCTION("""COMPUTED_VALUE"""),"Ticker symbol is not correct. We don't know if that is HK stock or Korea stock or Japan stock.")</f>
        <v>Ticker symbol is not correct. We don't know if that is HK stock or Korea stock or Japan stock.</v>
      </c>
    </row>
    <row r="267">
      <c r="A267" s="5"/>
      <c r="B267" s="118">
        <f>IFERROR(__xludf.DUMMYFUNCTION("""COMPUTED_VALUE"""),44660.52714027777)</f>
        <v>44660.52714</v>
      </c>
      <c r="C267" s="5" t="str">
        <f>IFERROR(__xludf.DUMMYFUNCTION("""COMPUTED_VALUE"""),"18874")</f>
        <v>18874</v>
      </c>
      <c r="D267" s="5" t="str">
        <f>IFERROR(__xludf.DUMMYFUNCTION("""COMPUTED_VALUE"""),"error")</f>
        <v>error</v>
      </c>
      <c r="E267" s="5" t="str">
        <f>IFERROR(__xludf.DUMMYFUNCTION("""COMPUTED_VALUE"""),"Stock")</f>
        <v>Stock</v>
      </c>
      <c r="F267" s="112">
        <f>IFERROR(__xludf.DUMMYFUNCTION("""COMPUTED_VALUE"""),9988.0)</f>
        <v>9988</v>
      </c>
      <c r="G267" s="30">
        <f>IFERROR(__xludf.DUMMYFUNCTION("""COMPUTED_VALUE"""),99.1)</f>
        <v>99.1</v>
      </c>
      <c r="H267" s="30" t="str">
        <f>IFERROR(__xludf.DUMMYFUNCTION("""COMPUTED_VALUE"""),"Email Account/ TraderID Recognized")</f>
        <v>Email Account/ TraderID Recognized</v>
      </c>
      <c r="I267" s="30" t="str">
        <f>IFERROR(__xludf.DUMMYFUNCTION("""COMPUTED_VALUE"""),"QTY, Limit Price (if any) &amp; Password input correct")</f>
        <v>QTY, Limit Price (if any) &amp; Password input correct</v>
      </c>
      <c r="J267" s="30" t="str">
        <f>IFERROR(__xludf.DUMMYFUNCTION("""COMPUTED_VALUE"""),"Ticker symbol is not correct. We don't know if that is HK stock or Korea stock or Japan stock.")</f>
        <v>Ticker symbol is not correct. We don't know if that is HK stock or Korea stock or Japan stock.</v>
      </c>
    </row>
    <row r="268">
      <c r="A268" s="5"/>
      <c r="B268" s="118">
        <f>IFERROR(__xludf.DUMMYFUNCTION("""COMPUTED_VALUE"""),44660.97145577546)</f>
        <v>44660.97146</v>
      </c>
      <c r="C268" s="5" t="str">
        <f>IFERROR(__xludf.DUMMYFUNCTION("""COMPUTED_VALUE"""),"39011")</f>
        <v>39011</v>
      </c>
      <c r="D268" s="5" t="str">
        <f>IFERROR(__xludf.DUMMYFUNCTION("""COMPUTED_VALUE"""),"error")</f>
        <v>error</v>
      </c>
      <c r="E268" s="5" t="str">
        <f>IFERROR(__xludf.DUMMYFUNCTION("""COMPUTED_VALUE"""),"Stock")</f>
        <v>Stock</v>
      </c>
      <c r="F268" s="112" t="str">
        <f>IFERROR(__xludf.DUMMYFUNCTION("""COMPUTED_VALUE"""),"Tesla")</f>
        <v>Tesla</v>
      </c>
      <c r="G268" s="30">
        <f>IFERROR(__xludf.DUMMYFUNCTION("""COMPUTED_VALUE"""),879.89)</f>
        <v>879.89</v>
      </c>
      <c r="H268" s="30" t="str">
        <f>IFERROR(__xludf.DUMMYFUNCTION("""COMPUTED_VALUE"""),"Email Account/ TraderID Recognized")</f>
        <v>Email Account/ TraderID Recognized</v>
      </c>
      <c r="I268" s="30" t="str">
        <f>IFERROR(__xludf.DUMMYFUNCTION("""COMPUTED_VALUE"""),"QTY, Limit Price (if any) &amp; Password input correct")</f>
        <v>QTY, Limit Price (if any) &amp; Password input correct</v>
      </c>
      <c r="J268" s="30"/>
    </row>
    <row r="269">
      <c r="A269" s="5"/>
      <c r="B269" s="118">
        <f>IFERROR(__xludf.DUMMYFUNCTION("""COMPUTED_VALUE"""),44661.613315069444)</f>
        <v>44661.61332</v>
      </c>
      <c r="C269" s="5" t="str">
        <f>IFERROR(__xludf.DUMMYFUNCTION("""COMPUTED_VALUE"""),"40658")</f>
        <v>40658</v>
      </c>
      <c r="D269" s="5" t="str">
        <f>IFERROR(__xludf.DUMMYFUNCTION("""COMPUTED_VALUE"""),"error")</f>
        <v>error</v>
      </c>
      <c r="E269" s="5" t="str">
        <f>IFERROR(__xludf.DUMMYFUNCTION("""COMPUTED_VALUE"""),"Stock")</f>
        <v>Stock</v>
      </c>
      <c r="F269" s="112">
        <f>IFERROR(__xludf.DUMMYFUNCTION("""COMPUTED_VALUE"""),300750.0)</f>
        <v>300750</v>
      </c>
      <c r="G269" s="30" t="str">
        <f>IFERROR(__xludf.DUMMYFUNCTION("""COMPUTED_VALUE"""),"Limit Buy @ 500 - Closing @ 480= Executed price @ 480. if Closing @ 520 = no execution")</f>
        <v>Limit Buy @ 500 - Closing @ 480= Executed price @ 480. if Closing @ 520 = no execution</v>
      </c>
      <c r="H269" s="30" t="str">
        <f>IFERROR(__xludf.DUMMYFUNCTION("""COMPUTED_VALUE"""),"Email Account/ TraderID Recognized")</f>
        <v>Email Account/ TraderID Recognized</v>
      </c>
      <c r="I269" s="30" t="str">
        <f>IFERROR(__xludf.DUMMYFUNCTION("""COMPUTED_VALUE"""),"Non-number input in Quantity or Limit Price")</f>
        <v>Non-number input in Quantity or Limit Price</v>
      </c>
      <c r="J269" s="30" t="str">
        <f>IFERROR(__xludf.DUMMYFUNCTION("""COMPUTED_VALUE"""),"Cannot set non-numeric character in limit price box")</f>
        <v>Cannot set non-numeric character in limit price box</v>
      </c>
    </row>
    <row r="270">
      <c r="A270" s="5"/>
      <c r="B270" s="118">
        <f>IFERROR(__xludf.DUMMYFUNCTION("""COMPUTED_VALUE"""),44661.61502134259)</f>
        <v>44661.61502</v>
      </c>
      <c r="C270" s="5" t="str">
        <f>IFERROR(__xludf.DUMMYFUNCTION("""COMPUTED_VALUE"""),"40658")</f>
        <v>40658</v>
      </c>
      <c r="D270" s="5" t="str">
        <f>IFERROR(__xludf.DUMMYFUNCTION("""COMPUTED_VALUE"""),"error")</f>
        <v>error</v>
      </c>
      <c r="E270" s="5" t="str">
        <f>IFERROR(__xludf.DUMMYFUNCTION("""COMPUTED_VALUE"""),"Stock")</f>
        <v>Stock</v>
      </c>
      <c r="F270" s="112" t="str">
        <f>IFERROR(__xludf.DUMMYFUNCTION("""COMPUTED_VALUE"""),"AAPL")</f>
        <v>AAPL</v>
      </c>
      <c r="G270" s="30" t="str">
        <f>IFERROR(__xludf.DUMMYFUNCTION("""COMPUTED_VALUE""")," Limit Buy @ 180 - Closing @ 160= Executed price @ 160. if Closing @ 200 = no execution")</f>
        <v> Limit Buy @ 180 - Closing @ 160= Executed price @ 160. if Closing @ 200 = no execution</v>
      </c>
      <c r="H270" s="30" t="str">
        <f>IFERROR(__xludf.DUMMYFUNCTION("""COMPUTED_VALUE"""),"Email Account/ TraderID Recognized")</f>
        <v>Email Account/ TraderID Recognized</v>
      </c>
      <c r="I270" s="30" t="str">
        <f>IFERROR(__xludf.DUMMYFUNCTION("""COMPUTED_VALUE"""),"Non-number input in Quantity or Limit Price")</f>
        <v>Non-number input in Quantity or Limit Price</v>
      </c>
      <c r="J270" s="30" t="str">
        <f>IFERROR(__xludf.DUMMYFUNCTION("""COMPUTED_VALUE"""),"Cannot set non-numeric character in limit price box")</f>
        <v>Cannot set non-numeric character in limit price box</v>
      </c>
    </row>
    <row r="271">
      <c r="A271" s="5"/>
      <c r="B271" s="118">
        <f>IFERROR(__xludf.DUMMYFUNCTION("""COMPUTED_VALUE"""),44661.64435913194)</f>
        <v>44661.64436</v>
      </c>
      <c r="C271" s="5" t="str">
        <f>IFERROR(__xludf.DUMMYFUNCTION("""COMPUTED_VALUE"""),"82458")</f>
        <v>82458</v>
      </c>
      <c r="D271" s="5" t="str">
        <f>IFERROR(__xludf.DUMMYFUNCTION("""COMPUTED_VALUE"""),"error")</f>
        <v>error</v>
      </c>
      <c r="E271" s="5" t="str">
        <f>IFERROR(__xludf.DUMMYFUNCTION("""COMPUTED_VALUE"""),"Stock")</f>
        <v>Stock</v>
      </c>
      <c r="F271" s="125" t="str">
        <f>IFERROR(__xludf.DUMMYFUNCTION("""COMPUTED_VALUE"""),"4338.HK")</f>
        <v>4338.HK</v>
      </c>
      <c r="G271" s="30"/>
      <c r="H271" s="30" t="str">
        <f>IFERROR(__xludf.DUMMYFUNCTION("""COMPUTED_VALUE"""),"Email Account/ TraderID Recognized")</f>
        <v>Email Account/ TraderID Recognized</v>
      </c>
      <c r="I271" s="30" t="str">
        <f>IFERROR(__xludf.DUMMYFUNCTION("""COMPUTED_VALUE"""),"Wrong Password Submitted, Order will be rejected")</f>
        <v>Wrong Password Submitted, Order will be rejected</v>
      </c>
      <c r="J271" s="30"/>
    </row>
    <row r="272">
      <c r="A272" s="5"/>
      <c r="B272" s="118">
        <f>IFERROR(__xludf.DUMMYFUNCTION("""COMPUTED_VALUE"""),44661.64477298611)</f>
        <v>44661.64477</v>
      </c>
      <c r="C272" s="5" t="str">
        <f>IFERROR(__xludf.DUMMYFUNCTION("""COMPUTED_VALUE"""),"82458")</f>
        <v>82458</v>
      </c>
      <c r="D272" s="5" t="str">
        <f>IFERROR(__xludf.DUMMYFUNCTION("""COMPUTED_VALUE"""),"error")</f>
        <v>error</v>
      </c>
      <c r="E272" s="5" t="str">
        <f>IFERROR(__xludf.DUMMYFUNCTION("""COMPUTED_VALUE"""),"Stock")</f>
        <v>Stock</v>
      </c>
      <c r="F272" s="125" t="str">
        <f>IFERROR(__xludf.DUMMYFUNCTION("""COMPUTED_VALUE"""),"6108.HK")</f>
        <v>6108.HK</v>
      </c>
      <c r="G272" s="30"/>
      <c r="H272" s="30" t="str">
        <f>IFERROR(__xludf.DUMMYFUNCTION("""COMPUTED_VALUE"""),"Email Account/ TraderID Recognized")</f>
        <v>Email Account/ TraderID Recognized</v>
      </c>
      <c r="I272" s="30" t="str">
        <f>IFERROR(__xludf.DUMMYFUNCTION("""COMPUTED_VALUE"""),"Wrong Password Submitted, Order will be rejected")</f>
        <v>Wrong Password Submitted, Order will be rejected</v>
      </c>
      <c r="J272" s="30"/>
    </row>
    <row r="273">
      <c r="A273" s="5"/>
      <c r="B273" s="118">
        <f>IFERROR(__xludf.DUMMYFUNCTION("""COMPUTED_VALUE"""),44661.651017303244)</f>
        <v>44661.65102</v>
      </c>
      <c r="C273" s="5" t="str">
        <f>IFERROR(__xludf.DUMMYFUNCTION("""COMPUTED_VALUE"""),"82458")</f>
        <v>82458</v>
      </c>
      <c r="D273" s="5" t="str">
        <f>IFERROR(__xludf.DUMMYFUNCTION("""COMPUTED_VALUE"""),"error")</f>
        <v>error</v>
      </c>
      <c r="E273" s="5" t="str">
        <f>IFERROR(__xludf.DUMMYFUNCTION("""COMPUTED_VALUE"""),"Stock")</f>
        <v>Stock</v>
      </c>
      <c r="F273" s="112" t="str">
        <f>IFERROR(__xludf.DUMMYFUNCTION("""COMPUTED_VALUE"""),"FB")</f>
        <v>FB</v>
      </c>
      <c r="G273" s="30"/>
      <c r="H273" s="30" t="str">
        <f>IFERROR(__xludf.DUMMYFUNCTION("""COMPUTED_VALUE"""),"Email Account/ TraderID Recognized")</f>
        <v>Email Account/ TraderID Recognized</v>
      </c>
      <c r="I273" s="30" t="str">
        <f>IFERROR(__xludf.DUMMYFUNCTION("""COMPUTED_VALUE"""),"Wrong Password Submitted, Order will be rejected")</f>
        <v>Wrong Password Submitted, Order will be rejected</v>
      </c>
      <c r="J273" s="30"/>
    </row>
    <row r="274">
      <c r="A274" s="5"/>
      <c r="B274" s="118">
        <f>IFERROR(__xludf.DUMMYFUNCTION("""COMPUTED_VALUE"""),44661.65156134259)</f>
        <v>44661.65156</v>
      </c>
      <c r="C274" s="5" t="str">
        <f>IFERROR(__xludf.DUMMYFUNCTION("""COMPUTED_VALUE"""),"82458")</f>
        <v>82458</v>
      </c>
      <c r="D274" s="5" t="str">
        <f>IFERROR(__xludf.DUMMYFUNCTION("""COMPUTED_VALUE"""),"error")</f>
        <v>error</v>
      </c>
      <c r="E274" s="5" t="str">
        <f>IFERROR(__xludf.DUMMYFUNCTION("""COMPUTED_VALUE"""),"Stock")</f>
        <v>Stock</v>
      </c>
      <c r="F274" s="125" t="str">
        <f>IFERROR(__xludf.DUMMYFUNCTION("""COMPUTED_VALUE"""),"3690.HK")</f>
        <v>3690.HK</v>
      </c>
      <c r="G274" s="30"/>
      <c r="H274" s="30" t="str">
        <f>IFERROR(__xludf.DUMMYFUNCTION("""COMPUTED_VALUE"""),"Email Account/ TraderID Recognized")</f>
        <v>Email Account/ TraderID Recognized</v>
      </c>
      <c r="I274" s="30" t="str">
        <f>IFERROR(__xludf.DUMMYFUNCTION("""COMPUTED_VALUE"""),"Wrong Password Submitted, Order will be rejected")</f>
        <v>Wrong Password Submitted, Order will be rejected</v>
      </c>
      <c r="J274" s="30"/>
    </row>
    <row r="275">
      <c r="A275" s="5"/>
      <c r="B275" s="118">
        <f>IFERROR(__xludf.DUMMYFUNCTION("""COMPUTED_VALUE"""),44661.77025422454)</f>
        <v>44661.77025</v>
      </c>
      <c r="C275" s="5" t="str">
        <f>IFERROR(__xludf.DUMMYFUNCTION("""COMPUTED_VALUE"""),"")</f>
        <v/>
      </c>
      <c r="D275" s="5" t="str">
        <f>IFERROR(__xludf.DUMMYFUNCTION("""COMPUTED_VALUE"""),"error")</f>
        <v>error</v>
      </c>
      <c r="E275" s="5" t="str">
        <f>IFERROR(__xludf.DUMMYFUNCTION("""COMPUTED_VALUE"""),"Stock")</f>
        <v>Stock</v>
      </c>
      <c r="F275" s="112" t="str">
        <f>IFERROR(__xludf.DUMMYFUNCTION("""COMPUTED_VALUE"""),"FB")</f>
        <v>FB</v>
      </c>
      <c r="G275" s="30"/>
      <c r="H275" s="30" t="str">
        <f>IFERROR(__xludf.DUMMYFUNCTION("""COMPUTED_VALUE"""),"lamhxxxxxx@nonHKMUemail")</f>
        <v>lamhxxxxxx@nonHKMUemail</v>
      </c>
      <c r="I275" s="30" t="str">
        <f>IFERROR(__xludf.DUMMYFUNCTION("""COMPUTED_VALUE"""),"QTY, Limit Price (if any) &amp; Password input correct")</f>
        <v>QTY, Limit Price (if any) &amp; Password input correct</v>
      </c>
      <c r="J275" s="30"/>
    </row>
    <row r="276">
      <c r="A276" s="5"/>
      <c r="B276" s="118">
        <f>IFERROR(__xludf.DUMMYFUNCTION("""COMPUTED_VALUE"""),44661.77225722223)</f>
        <v>44661.77226</v>
      </c>
      <c r="C276" s="5" t="str">
        <f>IFERROR(__xludf.DUMMYFUNCTION("""COMPUTED_VALUE"""),"")</f>
        <v/>
      </c>
      <c r="D276" s="5" t="str">
        <f>IFERROR(__xludf.DUMMYFUNCTION("""COMPUTED_VALUE"""),"error")</f>
        <v>error</v>
      </c>
      <c r="E276" s="5" t="str">
        <f>IFERROR(__xludf.DUMMYFUNCTION("""COMPUTED_VALUE"""),"Stock")</f>
        <v>Stock</v>
      </c>
      <c r="F276" s="125" t="str">
        <f>IFERROR(__xludf.DUMMYFUNCTION("""COMPUTED_VALUE"""),"0883.HK")</f>
        <v>0883.HK</v>
      </c>
      <c r="G276" s="30"/>
      <c r="H276" s="30" t="str">
        <f>IFERROR(__xludf.DUMMYFUNCTION("""COMPUTED_VALUE"""),"lamhxxxxxx@nonHKMUemail")</f>
        <v>lamhxxxxxx@nonHKMUemail</v>
      </c>
      <c r="I276" s="30" t="str">
        <f>IFERROR(__xludf.DUMMYFUNCTION("""COMPUTED_VALUE"""),"QTY, Limit Price (if any) &amp; Password input correct")</f>
        <v>QTY, Limit Price (if any) &amp; Password input correct</v>
      </c>
      <c r="J276" s="30"/>
    </row>
    <row r="277">
      <c r="A277" s="5"/>
      <c r="B277" s="118">
        <f>IFERROR(__xludf.DUMMYFUNCTION("""COMPUTED_VALUE"""),44662.44074884259)</f>
        <v>44662.44075</v>
      </c>
      <c r="C277" s="5" t="str">
        <f>IFERROR(__xludf.DUMMYFUNCTION("""COMPUTED_VALUE"""),"37568")</f>
        <v>37568</v>
      </c>
      <c r="D277" s="5" t="str">
        <f>IFERROR(__xludf.DUMMYFUNCTION("""COMPUTED_VALUE"""),"error")</f>
        <v>error</v>
      </c>
      <c r="E277" s="5" t="str">
        <f>IFERROR(__xludf.DUMMYFUNCTION("""COMPUTED_VALUE"""),"Stock")</f>
        <v>Stock</v>
      </c>
      <c r="F277" s="112" t="str">
        <f>IFERROR(__xludf.DUMMYFUNCTION("""COMPUTED_VALUE"""),"00700")</f>
        <v>00700</v>
      </c>
      <c r="G277" s="30"/>
      <c r="H277" s="30" t="str">
        <f>IFERROR(__xludf.DUMMYFUNCTION("""COMPUTED_VALUE"""),"Email Account/ TraderID Recognized")</f>
        <v>Email Account/ TraderID Recognized</v>
      </c>
      <c r="I277" s="30" t="str">
        <f>IFERROR(__xludf.DUMMYFUNCTION("""COMPUTED_VALUE"""),"QTY, Limit Price (if any) &amp; Password input correct")</f>
        <v>QTY, Limit Price (if any) &amp; Password input correct</v>
      </c>
      <c r="J277" s="30"/>
    </row>
    <row r="278">
      <c r="A278" s="5"/>
      <c r="B278" s="118">
        <f>IFERROR(__xludf.DUMMYFUNCTION("""COMPUTED_VALUE"""),44662.47995233796)</f>
        <v>44662.47995</v>
      </c>
      <c r="C278" s="5" t="str">
        <f>IFERROR(__xludf.DUMMYFUNCTION("""COMPUTED_VALUE"""),"37568")</f>
        <v>37568</v>
      </c>
      <c r="D278" s="5" t="str">
        <f>IFERROR(__xludf.DUMMYFUNCTION("""COMPUTED_VALUE"""),"error")</f>
        <v>error</v>
      </c>
      <c r="E278" s="5" t="str">
        <f>IFERROR(__xludf.DUMMYFUNCTION("""COMPUTED_VALUE"""),"Stock")</f>
        <v>Stock</v>
      </c>
      <c r="F278" s="112" t="str">
        <f>IFERROR(__xludf.DUMMYFUNCTION("""COMPUTED_VALUE"""),"00700")</f>
        <v>00700</v>
      </c>
      <c r="G278" s="30"/>
      <c r="H278" s="30" t="str">
        <f>IFERROR(__xludf.DUMMYFUNCTION("""COMPUTED_VALUE"""),"Email Account/ TraderID Recognized")</f>
        <v>Email Account/ TraderID Recognized</v>
      </c>
      <c r="I278" s="30" t="str">
        <f>IFERROR(__xludf.DUMMYFUNCTION("""COMPUTED_VALUE"""),"QTY, Limit Price (if any) &amp; Password input correct")</f>
        <v>QTY, Limit Price (if any) &amp; Password input correct</v>
      </c>
      <c r="J278" s="30"/>
    </row>
    <row r="279">
      <c r="A279" s="5"/>
      <c r="B279" s="118">
        <f>IFERROR(__xludf.DUMMYFUNCTION("""COMPUTED_VALUE"""),44662.48283584491)</f>
        <v>44662.48284</v>
      </c>
      <c r="C279" s="5" t="str">
        <f>IFERROR(__xludf.DUMMYFUNCTION("""COMPUTED_VALUE"""),"37568")</f>
        <v>37568</v>
      </c>
      <c r="D279" s="5" t="str">
        <f>IFERROR(__xludf.DUMMYFUNCTION("""COMPUTED_VALUE"""),"error")</f>
        <v>error</v>
      </c>
      <c r="E279" s="5" t="str">
        <f>IFERROR(__xludf.DUMMYFUNCTION("""COMPUTED_VALUE"""),"Stock")</f>
        <v>Stock</v>
      </c>
      <c r="F279" s="112" t="str">
        <f>IFERROR(__xludf.DUMMYFUNCTION("""COMPUTED_VALUE"""),"09939")</f>
        <v>09939</v>
      </c>
      <c r="G279" s="30"/>
      <c r="H279" s="30" t="str">
        <f>IFERROR(__xludf.DUMMYFUNCTION("""COMPUTED_VALUE"""),"Email Account/ TraderID Recognized")</f>
        <v>Email Account/ TraderID Recognized</v>
      </c>
      <c r="I279" s="30" t="str">
        <f>IFERROR(__xludf.DUMMYFUNCTION("""COMPUTED_VALUE"""),"QTY, Limit Price (if any) &amp; Password input correct")</f>
        <v>QTY, Limit Price (if any) &amp; Password input correct</v>
      </c>
      <c r="J279" s="30"/>
    </row>
    <row r="280">
      <c r="A280" s="5"/>
      <c r="B280" s="118">
        <f>IFERROR(__xludf.DUMMYFUNCTION("""COMPUTED_VALUE"""),44662.48603835648)</f>
        <v>44662.48604</v>
      </c>
      <c r="C280" s="5" t="str">
        <f>IFERROR(__xludf.DUMMYFUNCTION("""COMPUTED_VALUE"""),"69930")</f>
        <v>69930</v>
      </c>
      <c r="D280" s="5" t="str">
        <f>IFERROR(__xludf.DUMMYFUNCTION("""COMPUTED_VALUE"""),"error")</f>
        <v>error</v>
      </c>
      <c r="E280" s="5" t="str">
        <f>IFERROR(__xludf.DUMMYFUNCTION("""COMPUTED_VALUE"""),"Stock")</f>
        <v>Stock</v>
      </c>
      <c r="F280" s="112" t="str">
        <f>IFERROR(__xludf.DUMMYFUNCTION("""COMPUTED_VALUE"""),"(000965.SZ)")</f>
        <v>(000965.SZ)</v>
      </c>
      <c r="G280" s="30" t="str">
        <f>IFERROR(__xludf.DUMMYFUNCTION("""COMPUTED_VALUE"""),"￥12")</f>
        <v>￥12</v>
      </c>
      <c r="H280" s="30" t="str">
        <f>IFERROR(__xludf.DUMMYFUNCTION("""COMPUTED_VALUE"""),"Email Account/ TraderID Recognized")</f>
        <v>Email Account/ TraderID Recognized</v>
      </c>
      <c r="I280" s="30" t="str">
        <f>IFERROR(__xludf.DUMMYFUNCTION("""COMPUTED_VALUE"""),"Non-number input in Quantity or Limit Price")</f>
        <v>Non-number input in Quantity or Limit Price</v>
      </c>
      <c r="J280" s="30"/>
    </row>
    <row r="281">
      <c r="A281" s="5"/>
      <c r="B281" s="118">
        <f>IFERROR(__xludf.DUMMYFUNCTION("""COMPUTED_VALUE"""),44662.489901203706)</f>
        <v>44662.4899</v>
      </c>
      <c r="C281" s="5" t="str">
        <f>IFERROR(__xludf.DUMMYFUNCTION("""COMPUTED_VALUE"""),"69930")</f>
        <v>69930</v>
      </c>
      <c r="D281" s="5" t="str">
        <f>IFERROR(__xludf.DUMMYFUNCTION("""COMPUTED_VALUE"""),"error")</f>
        <v>error</v>
      </c>
      <c r="E281" s="5" t="str">
        <f>IFERROR(__xludf.DUMMYFUNCTION("""COMPUTED_VALUE"""),"Stock")</f>
        <v>Stock</v>
      </c>
      <c r="F281" s="125" t="str">
        <f>IFERROR(__xludf.DUMMYFUNCTION("""COMPUTED_VALUE"""),"3690.HK")</f>
        <v>3690.HK</v>
      </c>
      <c r="G281" s="126">
        <f>IFERROR(__xludf.DUMMYFUNCTION("""COMPUTED_VALUE"""),155.0)</f>
        <v>155</v>
      </c>
      <c r="H281" s="30" t="str">
        <f>IFERROR(__xludf.DUMMYFUNCTION("""COMPUTED_VALUE"""),"Email Account/ TraderID Recognized")</f>
        <v>Email Account/ TraderID Recognized</v>
      </c>
      <c r="I281" s="30" t="str">
        <f>IFERROR(__xludf.DUMMYFUNCTION("""COMPUTED_VALUE"""),"Wrong Password Submitted, Order will be rejected")</f>
        <v>Wrong Password Submitted, Order will be rejected</v>
      </c>
      <c r="J281" s="30"/>
    </row>
    <row r="282">
      <c r="A282" s="5"/>
      <c r="B282" s="118">
        <f>IFERROR(__xludf.DUMMYFUNCTION("""COMPUTED_VALUE"""),44662.498686122686)</f>
        <v>44662.49869</v>
      </c>
      <c r="C282" s="5" t="str">
        <f>IFERROR(__xludf.DUMMYFUNCTION("""COMPUTED_VALUE"""),"37568")</f>
        <v>37568</v>
      </c>
      <c r="D282" s="5" t="str">
        <f>IFERROR(__xludf.DUMMYFUNCTION("""COMPUTED_VALUE"""),"error")</f>
        <v>error</v>
      </c>
      <c r="E282" s="5" t="str">
        <f>IFERROR(__xludf.DUMMYFUNCTION("""COMPUTED_VALUE"""),"Stock")</f>
        <v>Stock</v>
      </c>
      <c r="F282" s="112" t="str">
        <f>IFERROR(__xludf.DUMMYFUNCTION("""COMPUTED_VALUE"""),"06108")</f>
        <v>06108</v>
      </c>
      <c r="G282" s="30"/>
      <c r="H282" s="30" t="str">
        <f>IFERROR(__xludf.DUMMYFUNCTION("""COMPUTED_VALUE"""),"Email Account/ TraderID Recognized")</f>
        <v>Email Account/ TraderID Recognized</v>
      </c>
      <c r="I282" s="30" t="str">
        <f>IFERROR(__xludf.DUMMYFUNCTION("""COMPUTED_VALUE"""),"QTY, Limit Price (if any) &amp; Password input correct")</f>
        <v>QTY, Limit Price (if any) &amp; Password input correct</v>
      </c>
      <c r="J282" s="30"/>
    </row>
    <row r="283">
      <c r="A283" s="5"/>
      <c r="B283" s="118">
        <f>IFERROR(__xludf.DUMMYFUNCTION("""COMPUTED_VALUE"""),44662.67308201389)</f>
        <v>44662.67308</v>
      </c>
      <c r="C283" s="5" t="str">
        <f>IFERROR(__xludf.DUMMYFUNCTION("""COMPUTED_VALUE"""),"37568")</f>
        <v>37568</v>
      </c>
      <c r="D283" s="5" t="str">
        <f>IFERROR(__xludf.DUMMYFUNCTION("""COMPUTED_VALUE"""),"error")</f>
        <v>error</v>
      </c>
      <c r="E283" s="5" t="str">
        <f>IFERROR(__xludf.DUMMYFUNCTION("""COMPUTED_VALUE"""),"Stock")</f>
        <v>Stock</v>
      </c>
      <c r="F283" s="112" t="str">
        <f>IFERROR(__xludf.DUMMYFUNCTION("""COMPUTED_VALUE"""),"06108.HKM")</f>
        <v>06108.HKM</v>
      </c>
      <c r="G283" s="30"/>
      <c r="H283" s="30" t="str">
        <f>IFERROR(__xludf.DUMMYFUNCTION("""COMPUTED_VALUE"""),"Email Account/ TraderID Recognized")</f>
        <v>Email Account/ TraderID Recognized</v>
      </c>
      <c r="I283" s="30" t="str">
        <f>IFERROR(__xludf.DUMMYFUNCTION("""COMPUTED_VALUE"""),"QTY, Limit Price (if any) &amp; Password input correct")</f>
        <v>QTY, Limit Price (if any) &amp; Password input correct</v>
      </c>
      <c r="J283" s="30" t="str">
        <f>IFERROR(__xludf.DUMMYFUNCTION("""COMPUTED_VALUE"""),"Order rejected due to wrong ticker code")</f>
        <v>Order rejected due to wrong ticker code</v>
      </c>
    </row>
    <row r="284">
      <c r="A284" s="5"/>
      <c r="B284" s="118">
        <f>IFERROR(__xludf.DUMMYFUNCTION("""COMPUTED_VALUE"""),44662.674181168986)</f>
        <v>44662.67418</v>
      </c>
      <c r="C284" s="5" t="str">
        <f>IFERROR(__xludf.DUMMYFUNCTION("""COMPUTED_VALUE"""),"37568")</f>
        <v>37568</v>
      </c>
      <c r="D284" s="5" t="str">
        <f>IFERROR(__xludf.DUMMYFUNCTION("""COMPUTED_VALUE"""),"error")</f>
        <v>error</v>
      </c>
      <c r="E284" s="5" t="str">
        <f>IFERROR(__xludf.DUMMYFUNCTION("""COMPUTED_VALUE"""),"Stock")</f>
        <v>Stock</v>
      </c>
      <c r="F284" s="112" t="str">
        <f>IFERROR(__xludf.DUMMYFUNCTION("""COMPUTED_VALUE"""),"00700.HKM")</f>
        <v>00700.HKM</v>
      </c>
      <c r="G284" s="30"/>
      <c r="H284" s="30" t="str">
        <f>IFERROR(__xludf.DUMMYFUNCTION("""COMPUTED_VALUE"""),"Email Account/ TraderID Recognized")</f>
        <v>Email Account/ TraderID Recognized</v>
      </c>
      <c r="I284" s="30" t="str">
        <f>IFERROR(__xludf.DUMMYFUNCTION("""COMPUTED_VALUE"""),"QTY, Limit Price (if any) &amp; Password input correct")</f>
        <v>QTY, Limit Price (if any) &amp; Password input correct</v>
      </c>
      <c r="J284" s="30" t="str">
        <f>IFERROR(__xludf.DUMMYFUNCTION("""COMPUTED_VALUE"""),"Order rejected due to wrong ticker code")</f>
        <v>Order rejected due to wrong ticker code</v>
      </c>
    </row>
    <row r="285">
      <c r="A285" s="5"/>
      <c r="B285" s="118">
        <f>IFERROR(__xludf.DUMMYFUNCTION("""COMPUTED_VALUE"""),44662.67624887732)</f>
        <v>44662.67625</v>
      </c>
      <c r="C285" s="5" t="str">
        <f>IFERROR(__xludf.DUMMYFUNCTION("""COMPUTED_VALUE"""),"37568")</f>
        <v>37568</v>
      </c>
      <c r="D285" s="5" t="str">
        <f>IFERROR(__xludf.DUMMYFUNCTION("""COMPUTED_VALUE"""),"error")</f>
        <v>error</v>
      </c>
      <c r="E285" s="5" t="str">
        <f>IFERROR(__xludf.DUMMYFUNCTION("""COMPUTED_VALUE"""),"Stock")</f>
        <v>Stock</v>
      </c>
      <c r="F285" s="112" t="str">
        <f>IFERROR(__xludf.DUMMYFUNCTION("""COMPUTED_VALUE"""),"09939.HKM")</f>
        <v>09939.HKM</v>
      </c>
      <c r="G285" s="30"/>
      <c r="H285" s="30" t="str">
        <f>IFERROR(__xludf.DUMMYFUNCTION("""COMPUTED_VALUE"""),"Email Account/ TraderID Recognized")</f>
        <v>Email Account/ TraderID Recognized</v>
      </c>
      <c r="I285" s="30" t="str">
        <f>IFERROR(__xludf.DUMMYFUNCTION("""COMPUTED_VALUE"""),"QTY, Limit Price (if any) &amp; Password input correct")</f>
        <v>QTY, Limit Price (if any) &amp; Password input correct</v>
      </c>
      <c r="J285" s="30" t="str">
        <f>IFERROR(__xludf.DUMMYFUNCTION("""COMPUTED_VALUE"""),"Order rejected due to wrong ticker code")</f>
        <v>Order rejected due to wrong ticker code</v>
      </c>
    </row>
    <row r="286">
      <c r="A286" s="5"/>
      <c r="B286" s="118">
        <f>IFERROR(__xludf.DUMMYFUNCTION("""COMPUTED_VALUE"""),44662.92025604167)</f>
        <v>44662.92026</v>
      </c>
      <c r="C286" s="5" t="str">
        <f>IFERROR(__xludf.DUMMYFUNCTION("""COMPUTED_VALUE"""),"37568")</f>
        <v>37568</v>
      </c>
      <c r="D286" s="5" t="str">
        <f>IFERROR(__xludf.DUMMYFUNCTION("""COMPUTED_VALUE"""),"error")</f>
        <v>error</v>
      </c>
      <c r="E286" s="5" t="str">
        <f>IFERROR(__xludf.DUMMYFUNCTION("""COMPUTED_VALUE"""),"Stock")</f>
        <v>Stock</v>
      </c>
      <c r="F286" s="112" t="str">
        <f>IFERROR(__xludf.DUMMYFUNCTION("""COMPUTED_VALUE"""),"BILI.O")</f>
        <v>BILI.O</v>
      </c>
      <c r="G286" s="30"/>
      <c r="H286" s="30" t="str">
        <f>IFERROR(__xludf.DUMMYFUNCTION("""COMPUTED_VALUE"""),"Email Account/ TraderID Recognized")</f>
        <v>Email Account/ TraderID Recognized</v>
      </c>
      <c r="I286" s="30" t="str">
        <f>IFERROR(__xludf.DUMMYFUNCTION("""COMPUTED_VALUE"""),"QTY, Limit Price (if any) &amp; Password input correct")</f>
        <v>QTY, Limit Price (if any) &amp; Password input correct</v>
      </c>
      <c r="J286" s="30" t="str">
        <f>IFERROR(__xludf.DUMMYFUNCTION("""COMPUTED_VALUE"""),"Order rejected due to wrong ticker code")</f>
        <v>Order rejected due to wrong ticker code</v>
      </c>
    </row>
    <row r="287">
      <c r="A287" s="5"/>
      <c r="B287" s="118">
        <f>IFERROR(__xludf.DUMMYFUNCTION("""COMPUTED_VALUE"""),44662.964545787036)</f>
        <v>44662.96455</v>
      </c>
      <c r="C287" s="5" t="str">
        <f>IFERROR(__xludf.DUMMYFUNCTION("""COMPUTED_VALUE"""),"84216")</f>
        <v>84216</v>
      </c>
      <c r="D287" s="5" t="str">
        <f>IFERROR(__xludf.DUMMYFUNCTION("""COMPUTED_VALUE"""),"error")</f>
        <v>error</v>
      </c>
      <c r="E287" s="5" t="str">
        <f>IFERROR(__xludf.DUMMYFUNCTION("""COMPUTED_VALUE"""),"Stock")</f>
        <v>Stock</v>
      </c>
      <c r="F287" s="112">
        <f>IFERROR(__xludf.DUMMYFUNCTION("""COMPUTED_VALUE"""),9988.0)</f>
        <v>9988</v>
      </c>
      <c r="G287" s="30"/>
      <c r="H287" s="30" t="str">
        <f>IFERROR(__xludf.DUMMYFUNCTION("""COMPUTED_VALUE"""),"Email Account/ TraderID Recognized")</f>
        <v>Email Account/ TraderID Recognized</v>
      </c>
      <c r="I287" s="30" t="str">
        <f>IFERROR(__xludf.DUMMYFUNCTION("""COMPUTED_VALUE"""),"Non-number input in Quantity or Limit Price")</f>
        <v>Non-number input in Quantity or Limit Price</v>
      </c>
      <c r="J287" s="30" t="str">
        <f>IFERROR(__xludf.DUMMYFUNCTION("""COMPUTED_VALUE"""),"Order rejected due to wrong ticker code")</f>
        <v>Order rejected due to wrong ticker code</v>
      </c>
    </row>
    <row r="288">
      <c r="A288" s="5"/>
      <c r="B288" s="118">
        <f>IFERROR(__xludf.DUMMYFUNCTION("""COMPUTED_VALUE"""),44663.42070570602)</f>
        <v>44663.42071</v>
      </c>
      <c r="C288" s="5" t="str">
        <f>IFERROR(__xludf.DUMMYFUNCTION("""COMPUTED_VALUE"""),"37568")</f>
        <v>37568</v>
      </c>
      <c r="D288" s="5" t="str">
        <f>IFERROR(__xludf.DUMMYFUNCTION("""COMPUTED_VALUE"""),"error")</f>
        <v>error</v>
      </c>
      <c r="E288" s="5" t="str">
        <f>IFERROR(__xludf.DUMMYFUNCTION("""COMPUTED_VALUE"""),"Stock")</f>
        <v>Stock</v>
      </c>
      <c r="F288" s="112" t="str">
        <f>IFERROR(__xludf.DUMMYFUNCTION("""COMPUTED_VALUE"""),"00700.HKM")</f>
        <v>00700.HKM</v>
      </c>
      <c r="G288" s="30"/>
      <c r="H288" s="30" t="str">
        <f>IFERROR(__xludf.DUMMYFUNCTION("""COMPUTED_VALUE"""),"Email Account/ TraderID Recognized")</f>
        <v>Email Account/ TraderID Recognized</v>
      </c>
      <c r="I288" s="30" t="str">
        <f>IFERROR(__xludf.DUMMYFUNCTION("""COMPUTED_VALUE"""),"QTY, Limit Price (if any) &amp; Password input correct")</f>
        <v>QTY, Limit Price (if any) &amp; Password input correct</v>
      </c>
      <c r="J288" s="30" t="str">
        <f>IFERROR(__xludf.DUMMYFUNCTION("""COMPUTED_VALUE"""),"Order is rejected due to wrong ticker code.")</f>
        <v>Order is rejected due to wrong ticker code.</v>
      </c>
    </row>
    <row r="289">
      <c r="A289" s="5"/>
      <c r="B289" s="118">
        <f>IFERROR(__xludf.DUMMYFUNCTION("""COMPUTED_VALUE"""),44663.457127511574)</f>
        <v>44663.45713</v>
      </c>
      <c r="C289" s="5" t="str">
        <f>IFERROR(__xludf.DUMMYFUNCTION("""COMPUTED_VALUE"""),"40776")</f>
        <v>40776</v>
      </c>
      <c r="D289" s="5" t="str">
        <f>IFERROR(__xludf.DUMMYFUNCTION("""COMPUTED_VALUE"""),"error")</f>
        <v>error</v>
      </c>
      <c r="E289" s="5" t="str">
        <f>IFERROR(__xludf.DUMMYFUNCTION("""COMPUTED_VALUE"""),"Stock")</f>
        <v>Stock</v>
      </c>
      <c r="F289" s="112">
        <f>IFERROR(__xludf.DUMMYFUNCTION("""COMPUTED_VALUE"""),9626.0)</f>
        <v>9626</v>
      </c>
      <c r="G289" s="30">
        <f>IFERROR(__xludf.DUMMYFUNCTION("""COMPUTED_VALUE"""),200.6)</f>
        <v>200.6</v>
      </c>
      <c r="H289" s="30" t="str">
        <f>IFERROR(__xludf.DUMMYFUNCTION("""COMPUTED_VALUE"""),"Email Account/ TraderID Recognized")</f>
        <v>Email Account/ TraderID Recognized</v>
      </c>
      <c r="I289" s="30" t="str">
        <f>IFERROR(__xludf.DUMMYFUNCTION("""COMPUTED_VALUE"""),"QTY, Limit Price (if any) &amp; Password input correct")</f>
        <v>QTY, Limit Price (if any) &amp; Password input correct</v>
      </c>
      <c r="J289" s="30" t="str">
        <f>IFERROR(__xludf.DUMMYFUNCTION("""COMPUTED_VALUE"""),"Order is rejected due to wrong ticker code.")</f>
        <v>Order is rejected due to wrong ticker code.</v>
      </c>
    </row>
    <row r="290">
      <c r="A290" s="5"/>
      <c r="B290" s="118">
        <f>IFERROR(__xludf.DUMMYFUNCTION("""COMPUTED_VALUE"""),44663.459189236106)</f>
        <v>44663.45919</v>
      </c>
      <c r="C290" s="5" t="str">
        <f>IFERROR(__xludf.DUMMYFUNCTION("""COMPUTED_VALUE"""),"40776")</f>
        <v>40776</v>
      </c>
      <c r="D290" s="5" t="str">
        <f>IFERROR(__xludf.DUMMYFUNCTION("""COMPUTED_VALUE"""),"error")</f>
        <v>error</v>
      </c>
      <c r="E290" s="5" t="str">
        <f>IFERROR(__xludf.DUMMYFUNCTION("""COMPUTED_VALUE"""),"Stock")</f>
        <v>Stock</v>
      </c>
      <c r="F290" s="112">
        <f>IFERROR(__xludf.DUMMYFUNCTION("""COMPUTED_VALUE"""),9988.0)</f>
        <v>9988</v>
      </c>
      <c r="G290" s="30">
        <f>IFERROR(__xludf.DUMMYFUNCTION("""COMPUTED_VALUE"""),97.25)</f>
        <v>97.25</v>
      </c>
      <c r="H290" s="30" t="str">
        <f>IFERROR(__xludf.DUMMYFUNCTION("""COMPUTED_VALUE"""),"Email Account/ TraderID Recognized")</f>
        <v>Email Account/ TraderID Recognized</v>
      </c>
      <c r="I290" s="30" t="str">
        <f>IFERROR(__xludf.DUMMYFUNCTION("""COMPUTED_VALUE"""),"QTY, Limit Price (if any) &amp; Password input correct")</f>
        <v>QTY, Limit Price (if any) &amp; Password input correct</v>
      </c>
      <c r="J290" s="30" t="str">
        <f>IFERROR(__xludf.DUMMYFUNCTION("""COMPUTED_VALUE"""),"Order is rejected due to wrong ticker code.")</f>
        <v>Order is rejected due to wrong ticker code.</v>
      </c>
    </row>
    <row r="291">
      <c r="A291" s="5"/>
      <c r="B291" s="118">
        <f>IFERROR(__xludf.DUMMYFUNCTION("""COMPUTED_VALUE"""),44663.46504203704)</f>
        <v>44663.46504</v>
      </c>
      <c r="C291" s="5" t="str">
        <f>IFERROR(__xludf.DUMMYFUNCTION("""COMPUTED_VALUE"""),"40658")</f>
        <v>40658</v>
      </c>
      <c r="D291" s="5" t="str">
        <f>IFERROR(__xludf.DUMMYFUNCTION("""COMPUTED_VALUE"""),"error")</f>
        <v>error</v>
      </c>
      <c r="E291" s="5" t="str">
        <f>IFERROR(__xludf.DUMMYFUNCTION("""COMPUTED_VALUE"""),"Stock")</f>
        <v>Stock</v>
      </c>
      <c r="F291" s="112" t="str">
        <f>IFERROR(__xludf.DUMMYFUNCTION("""COMPUTED_VALUE"""),"TSLA")</f>
        <v>TSLA</v>
      </c>
      <c r="G291" s="30" t="str">
        <f>IFERROR(__xludf.DUMMYFUNCTION("""COMPUTED_VALUE"""),"Limit Sell @ 900 - if Closing @ 1000 = Executed price @ 1000; if Closing @ 800 = no execution")</f>
        <v>Limit Sell @ 900 - if Closing @ 1000 = Executed price @ 1000; if Closing @ 800 = no execution</v>
      </c>
      <c r="H291" s="30" t="str">
        <f>IFERROR(__xludf.DUMMYFUNCTION("""COMPUTED_VALUE"""),"Email Account/ TraderID Recognized")</f>
        <v>Email Account/ TraderID Recognized</v>
      </c>
      <c r="I291" s="30" t="str">
        <f>IFERROR(__xludf.DUMMYFUNCTION("""COMPUTED_VALUE"""),"Non-number input in Quantity or Limit Price")</f>
        <v>Non-number input in Quantity or Limit Price</v>
      </c>
      <c r="J291" s="30"/>
    </row>
    <row r="292">
      <c r="A292" s="5"/>
      <c r="B292" s="118">
        <f>IFERROR(__xludf.DUMMYFUNCTION("""COMPUTED_VALUE"""),44663.46745975694)</f>
        <v>44663.46746</v>
      </c>
      <c r="C292" s="5" t="str">
        <f>IFERROR(__xludf.DUMMYFUNCTION("""COMPUTED_VALUE"""),"40658")</f>
        <v>40658</v>
      </c>
      <c r="D292" s="5" t="str">
        <f>IFERROR(__xludf.DUMMYFUNCTION("""COMPUTED_VALUE"""),"error")</f>
        <v>error</v>
      </c>
      <c r="E292" s="5" t="str">
        <f>IFERROR(__xludf.DUMMYFUNCTION("""COMPUTED_VALUE"""),"Stock")</f>
        <v>Stock</v>
      </c>
      <c r="F292" s="112" t="str">
        <f>IFERROR(__xludf.DUMMYFUNCTION("""COMPUTED_VALUE"""),"AAPL")</f>
        <v>AAPL</v>
      </c>
      <c r="G292" s="30" t="str">
        <f>IFERROR(__xludf.DUMMYFUNCTION("""COMPUTED_VALUE"""),": Limit Sell @ 150 - if Closing @ 170 = Executed price @ 150; if Closing @ 130 = no execution")</f>
        <v>: Limit Sell @ 150 - if Closing @ 170 = Executed price @ 150; if Closing @ 130 = no execution</v>
      </c>
      <c r="H292" s="30" t="str">
        <f>IFERROR(__xludf.DUMMYFUNCTION("""COMPUTED_VALUE"""),"Email Account/ TraderID Recognized")</f>
        <v>Email Account/ TraderID Recognized</v>
      </c>
      <c r="I292" s="30" t="str">
        <f>IFERROR(__xludf.DUMMYFUNCTION("""COMPUTED_VALUE"""),"Non-number input in Quantity or Limit Price")</f>
        <v>Non-number input in Quantity or Limit Price</v>
      </c>
      <c r="J292" s="30"/>
    </row>
    <row r="293">
      <c r="A293" s="5"/>
      <c r="B293" s="118">
        <f>IFERROR(__xludf.DUMMYFUNCTION("""COMPUTED_VALUE"""),44663.50967871527)</f>
        <v>44663.50968</v>
      </c>
      <c r="C293" s="5" t="str">
        <f>IFERROR(__xludf.DUMMYFUNCTION("""COMPUTED_VALUE"""),"")</f>
        <v/>
      </c>
      <c r="D293" s="5" t="str">
        <f>IFERROR(__xludf.DUMMYFUNCTION("""COMPUTED_VALUE"""),"error")</f>
        <v>error</v>
      </c>
      <c r="E293" s="5" t="str">
        <f>IFERROR(__xludf.DUMMYFUNCTION("""COMPUTED_VALUE"""),"Stock")</f>
        <v>Stock</v>
      </c>
      <c r="F293" s="112">
        <f>IFERROR(__xludf.DUMMYFUNCTION("""COMPUTED_VALUE"""),45969.0)</f>
        <v>45969</v>
      </c>
      <c r="G293" s="30">
        <f>IFERROR(__xludf.DUMMYFUNCTION("""COMPUTED_VALUE"""),100.0)</f>
        <v>100</v>
      </c>
      <c r="H293" s="30" t="str">
        <f>IFERROR(__xludf.DUMMYFUNCTION("""COMPUTED_VALUE"""),"mikexxxxxx@nonHKMUemail")</f>
        <v>mikexxxxxx@nonHKMUemail</v>
      </c>
      <c r="I293" s="30" t="str">
        <f>IFERROR(__xludf.DUMMYFUNCTION("""COMPUTED_VALUE"""),"Wrong Password Submitted, Order will be rejected")</f>
        <v>Wrong Password Submitted, Order will be rejected</v>
      </c>
      <c r="J293" s="30" t="str">
        <f>IFERROR(__xludf.DUMMYFUNCTION("""COMPUTED_VALUE"""),"Order will be rejected also due to wrong ticker code, besides non school email address.")</f>
        <v>Order will be rejected also due to wrong ticker code, besides non school email address.</v>
      </c>
    </row>
    <row r="294">
      <c r="A294" s="5"/>
      <c r="B294" s="118">
        <f>IFERROR(__xludf.DUMMYFUNCTION("""COMPUTED_VALUE"""),44663.62412025463)</f>
        <v>44663.62412</v>
      </c>
      <c r="C294" s="5" t="str">
        <f>IFERROR(__xludf.DUMMYFUNCTION("""COMPUTED_VALUE"""),"18874")</f>
        <v>18874</v>
      </c>
      <c r="D294" s="5" t="str">
        <f>IFERROR(__xludf.DUMMYFUNCTION("""COMPUTED_VALUE"""),"error")</f>
        <v>error</v>
      </c>
      <c r="E294" s="5" t="str">
        <f>IFERROR(__xludf.DUMMYFUNCTION("""COMPUTED_VALUE"""),"Stock")</f>
        <v>Stock</v>
      </c>
      <c r="F294" s="112">
        <f>IFERROR(__xludf.DUMMYFUNCTION("""COMPUTED_VALUE"""),386.0)</f>
        <v>386</v>
      </c>
      <c r="G294" s="30">
        <f>IFERROR(__xludf.DUMMYFUNCTION("""COMPUTED_VALUE"""),3.74)</f>
        <v>3.74</v>
      </c>
      <c r="H294" s="30" t="str">
        <f>IFERROR(__xludf.DUMMYFUNCTION("""COMPUTED_VALUE"""),"Email Account/ TraderID Recognized")</f>
        <v>Email Account/ TraderID Recognized</v>
      </c>
      <c r="I294" s="30" t="str">
        <f>IFERROR(__xludf.DUMMYFUNCTION("""COMPUTED_VALUE"""),"QTY, Limit Price (if any) &amp; Password input correct")</f>
        <v>QTY, Limit Price (if any) &amp; Password input correct</v>
      </c>
      <c r="J294" s="30" t="str">
        <f>IFERROR(__xludf.DUMMYFUNCTION("""COMPUTED_VALUE"""),"Order is rejected due to wrong ticker code.")</f>
        <v>Order is rejected due to wrong ticker code.</v>
      </c>
    </row>
    <row r="295">
      <c r="A295" s="5"/>
      <c r="B295" s="118">
        <f>IFERROR(__xludf.DUMMYFUNCTION("""COMPUTED_VALUE"""),44663.62721840278)</f>
        <v>44663.62722</v>
      </c>
      <c r="C295" s="5" t="str">
        <f>IFERROR(__xludf.DUMMYFUNCTION("""COMPUTED_VALUE"""),"18874")</f>
        <v>18874</v>
      </c>
      <c r="D295" s="5" t="str">
        <f>IFERROR(__xludf.DUMMYFUNCTION("""COMPUTED_VALUE"""),"error")</f>
        <v>error</v>
      </c>
      <c r="E295" s="5" t="str">
        <f>IFERROR(__xludf.DUMMYFUNCTION("""COMPUTED_VALUE"""),"Stock")</f>
        <v>Stock</v>
      </c>
      <c r="F295" s="112">
        <f>IFERROR(__xludf.DUMMYFUNCTION("""COMPUTED_VALUE"""),1929.0)</f>
        <v>1929</v>
      </c>
      <c r="G295" s="30">
        <f>IFERROR(__xludf.DUMMYFUNCTION("""COMPUTED_VALUE"""),12.5)</f>
        <v>12.5</v>
      </c>
      <c r="H295" s="30" t="str">
        <f>IFERROR(__xludf.DUMMYFUNCTION("""COMPUTED_VALUE"""),"Email Account/ TraderID Recognized")</f>
        <v>Email Account/ TraderID Recognized</v>
      </c>
      <c r="I295" s="30" t="str">
        <f>IFERROR(__xludf.DUMMYFUNCTION("""COMPUTED_VALUE"""),"QTY, Limit Price (if any) &amp; Password input correct")</f>
        <v>QTY, Limit Price (if any) &amp; Password input correct</v>
      </c>
      <c r="J295" s="30" t="str">
        <f>IFERROR(__xludf.DUMMYFUNCTION("""COMPUTED_VALUE"""),"Order is rejected due to wrong ticker code.")</f>
        <v>Order is rejected due to wrong ticker code.</v>
      </c>
    </row>
    <row r="296">
      <c r="A296" s="5"/>
      <c r="B296" s="118">
        <f>IFERROR(__xludf.DUMMYFUNCTION("""COMPUTED_VALUE"""),44663.64552460648)</f>
        <v>44663.64552</v>
      </c>
      <c r="C296" s="5" t="str">
        <f>IFERROR(__xludf.DUMMYFUNCTION("""COMPUTED_VALUE"""),"18874")</f>
        <v>18874</v>
      </c>
      <c r="D296" s="5" t="str">
        <f>IFERROR(__xludf.DUMMYFUNCTION("""COMPUTED_VALUE"""),"error")</f>
        <v>error</v>
      </c>
      <c r="E296" s="5" t="str">
        <f>IFERROR(__xludf.DUMMYFUNCTION("""COMPUTED_VALUE"""),"Stock")</f>
        <v>Stock</v>
      </c>
      <c r="F296" s="112" t="str">
        <f>IFERROR(__xludf.DUMMYFUNCTION("""COMPUTED_VALUE"""),"01929")</f>
        <v>01929</v>
      </c>
      <c r="G296" s="30">
        <f>IFERROR(__xludf.DUMMYFUNCTION("""COMPUTED_VALUE"""),12.5)</f>
        <v>12.5</v>
      </c>
      <c r="H296" s="30" t="str">
        <f>IFERROR(__xludf.DUMMYFUNCTION("""COMPUTED_VALUE"""),"Email Account/ TraderID Recognized")</f>
        <v>Email Account/ TraderID Recognized</v>
      </c>
      <c r="I296" s="30" t="str">
        <f>IFERROR(__xludf.DUMMYFUNCTION("""COMPUTED_VALUE"""),"QTY, Limit Price (if any) &amp; Password input correct")</f>
        <v>QTY, Limit Price (if any) &amp; Password input correct</v>
      </c>
      <c r="J296" s="30" t="str">
        <f>IFERROR(__xludf.DUMMYFUNCTION("""COMPUTED_VALUE"""),"Order is rejected due to wrong ticker code. Should be 1929.HK, not just 1929 (as system will not know if this is a Japanese stock or Korea stock)")</f>
        <v>Order is rejected due to wrong ticker code. Should be 1929.HK, not just 1929 (as system will not know if this is a Japanese stock or Korea stock)</v>
      </c>
    </row>
    <row r="297">
      <c r="A297" s="5"/>
      <c r="B297" s="118">
        <f>IFERROR(__xludf.DUMMYFUNCTION("""COMPUTED_VALUE"""),44663.648060023144)</f>
        <v>44663.64806</v>
      </c>
      <c r="C297" s="5" t="str">
        <f>IFERROR(__xludf.DUMMYFUNCTION("""COMPUTED_VALUE"""),"18874")</f>
        <v>18874</v>
      </c>
      <c r="D297" s="5" t="str">
        <f>IFERROR(__xludf.DUMMYFUNCTION("""COMPUTED_VALUE"""),"error")</f>
        <v>error</v>
      </c>
      <c r="E297" s="5" t="str">
        <f>IFERROR(__xludf.DUMMYFUNCTION("""COMPUTED_VALUE"""),"Stock")</f>
        <v>Stock</v>
      </c>
      <c r="F297" s="112" t="str">
        <f>IFERROR(__xludf.DUMMYFUNCTION("""COMPUTED_VALUE"""),"00386")</f>
        <v>00386</v>
      </c>
      <c r="G297" s="30">
        <f>IFERROR(__xludf.DUMMYFUNCTION("""COMPUTED_VALUE"""),3.31)</f>
        <v>3.31</v>
      </c>
      <c r="H297" s="30" t="str">
        <f>IFERROR(__xludf.DUMMYFUNCTION("""COMPUTED_VALUE"""),"Email Account/ TraderID Recognized")</f>
        <v>Email Account/ TraderID Recognized</v>
      </c>
      <c r="I297" s="30" t="str">
        <f>IFERROR(__xludf.DUMMYFUNCTION("""COMPUTED_VALUE"""),"QTY, Limit Price (if any) &amp; Password input correct")</f>
        <v>QTY, Limit Price (if any) &amp; Password input correct</v>
      </c>
      <c r="J297" s="30"/>
    </row>
    <row r="298">
      <c r="A298" s="5"/>
      <c r="B298" s="118">
        <f>IFERROR(__xludf.DUMMYFUNCTION("""COMPUTED_VALUE"""),44664.49161246528)</f>
        <v>44664.49161</v>
      </c>
      <c r="C298" s="5" t="str">
        <f>IFERROR(__xludf.DUMMYFUNCTION("""COMPUTED_VALUE"""),"89833")</f>
        <v>89833</v>
      </c>
      <c r="D298" s="5" t="str">
        <f>IFERROR(__xludf.DUMMYFUNCTION("""COMPUTED_VALUE"""),"error")</f>
        <v>error</v>
      </c>
      <c r="E298" s="5" t="str">
        <f>IFERROR(__xludf.DUMMYFUNCTION("""COMPUTED_VALUE"""),"Stock")</f>
        <v>Stock</v>
      </c>
      <c r="F298" s="125" t="str">
        <f>IFERROR(__xludf.DUMMYFUNCTION("""COMPUTED_VALUE"""),"0883.HK")</f>
        <v>0883.HK</v>
      </c>
      <c r="G298" s="30" t="str">
        <f>IFERROR(__xludf.DUMMYFUNCTION("""COMPUTED_VALUE"""),"Limit Sell @ 11.50 - if Closing @ 12 = Executed price @ 12; if Closing @ 11 = no execution")</f>
        <v>Limit Sell @ 11.50 - if Closing @ 12 = Executed price @ 12; if Closing @ 11 = no execution</v>
      </c>
      <c r="H298" s="30" t="str">
        <f>IFERROR(__xludf.DUMMYFUNCTION("""COMPUTED_VALUE"""),"Email Account/ TraderID Recognized")</f>
        <v>Email Account/ TraderID Recognized</v>
      </c>
      <c r="I298" s="30" t="str">
        <f>IFERROR(__xludf.DUMMYFUNCTION("""COMPUTED_VALUE"""),"Non-number input in Quantity or Limit Price")</f>
        <v>Non-number input in Quantity or Limit Price</v>
      </c>
      <c r="J298" s="30" t="str">
        <f>IFERROR(__xludf.DUMMYFUNCTION("""COMPUTED_VALUE"""),"Order rejected due to non numeric character in limit price box")</f>
        <v>Order rejected due to non numeric character in limit price box</v>
      </c>
    </row>
    <row r="299">
      <c r="A299" s="5"/>
      <c r="B299" s="118">
        <f>IFERROR(__xludf.DUMMYFUNCTION("""COMPUTED_VALUE"""),44664.58719799768)</f>
        <v>44664.5872</v>
      </c>
      <c r="C299" s="5" t="str">
        <f>IFERROR(__xludf.DUMMYFUNCTION("""COMPUTED_VALUE"""),"")</f>
        <v/>
      </c>
      <c r="D299" s="5" t="str">
        <f>IFERROR(__xludf.DUMMYFUNCTION("""COMPUTED_VALUE"""),"error")</f>
        <v>error</v>
      </c>
      <c r="E299" s="5" t="str">
        <f>IFERROR(__xludf.DUMMYFUNCTION("""COMPUTED_VALUE"""),"Stock")</f>
        <v>Stock</v>
      </c>
      <c r="F299" s="112" t="str">
        <f>IFERROR(__xludf.DUMMYFUNCTION("""COMPUTED_VALUE"""),"AAPL")</f>
        <v>AAPL</v>
      </c>
      <c r="G299" s="30"/>
      <c r="H299" s="30" t="str">
        <f>IFERROR(__xludf.DUMMYFUNCTION("""COMPUTED_VALUE"""),"s124xxxxxx@nonHKMUemail")</f>
        <v>s124xxxxxx@nonHKMUemail</v>
      </c>
      <c r="I299" s="30" t="str">
        <f>IFERROR(__xludf.DUMMYFUNCTION("""COMPUTED_VALUE"""),"QTY, Limit Price (if any) &amp; Password input correct")</f>
        <v>QTY, Limit Price (if any) &amp; Password input correct</v>
      </c>
      <c r="J299" s="30" t="str">
        <f>IFERROR(__xludf.DUMMYFUNCTION("""COMPUTED_VALUE"""),"Order rejected due to non school email account")</f>
        <v>Order rejected due to non school email account</v>
      </c>
    </row>
    <row r="300">
      <c r="A300" s="5"/>
      <c r="B300" s="118">
        <f>IFERROR(__xludf.DUMMYFUNCTION("""COMPUTED_VALUE"""),44664.67559568287)</f>
        <v>44664.6756</v>
      </c>
      <c r="C300" s="5" t="str">
        <f>IFERROR(__xludf.DUMMYFUNCTION("""COMPUTED_VALUE"""),"38369")</f>
        <v>38369</v>
      </c>
      <c r="D300" s="5" t="str">
        <f>IFERROR(__xludf.DUMMYFUNCTION("""COMPUTED_VALUE"""),"error")</f>
        <v>error</v>
      </c>
      <c r="E300" s="5" t="str">
        <f>IFERROR(__xludf.DUMMYFUNCTION("""COMPUTED_VALUE"""),"Stock")</f>
        <v>Stock</v>
      </c>
      <c r="F300" s="112" t="str">
        <f>IFERROR(__xludf.DUMMYFUNCTION("""COMPUTED_VALUE"""),"TSLA")</f>
        <v>TSLA</v>
      </c>
      <c r="G300" s="124">
        <f>IFERROR(__xludf.DUMMYFUNCTION("""COMPUTED_VALUE"""),1025.49)</f>
        <v>1025.49</v>
      </c>
      <c r="H300" s="30" t="str">
        <f>IFERROR(__xludf.DUMMYFUNCTION("""COMPUTED_VALUE"""),"Email Account/ TraderID Recognized")</f>
        <v>Email Account/ TraderID Recognized</v>
      </c>
      <c r="I300" s="30" t="str">
        <f>IFERROR(__xludf.DUMMYFUNCTION("""COMPUTED_VALUE"""),"Wrong Password Submitted, Order will be rejected")</f>
        <v>Wrong Password Submitted, Order will be rejected</v>
      </c>
      <c r="J300" s="30" t="str">
        <f>IFERROR(__xludf.DUMMYFUNCTION("""COMPUTED_VALUE"""),"Wrong passowrd submitted")</f>
        <v>Wrong passowrd submitted</v>
      </c>
    </row>
    <row r="301">
      <c r="A301" s="5"/>
      <c r="B301" s="118">
        <f>IFERROR(__xludf.DUMMYFUNCTION("""COMPUTED_VALUE"""),44664.709723113425)</f>
        <v>44664.70972</v>
      </c>
      <c r="C301" s="5" t="str">
        <f>IFERROR(__xludf.DUMMYFUNCTION("""COMPUTED_VALUE"""),"76938")</f>
        <v>76938</v>
      </c>
      <c r="D301" s="5" t="str">
        <f>IFERROR(__xludf.DUMMYFUNCTION("""COMPUTED_VALUE"""),"error")</f>
        <v>error</v>
      </c>
      <c r="E301" s="5" t="str">
        <f>IFERROR(__xludf.DUMMYFUNCTION("""COMPUTED_VALUE"""),"Stock")</f>
        <v>Stock</v>
      </c>
      <c r="F301" s="112">
        <f>IFERROR(__xludf.DUMMYFUNCTION("""COMPUTED_VALUE"""),39857.0)</f>
        <v>39857</v>
      </c>
      <c r="G301" s="30"/>
      <c r="H301" s="30" t="str">
        <f>IFERROR(__xludf.DUMMYFUNCTION("""COMPUTED_VALUE"""),"Email Account/ TraderID Recognized")</f>
        <v>Email Account/ TraderID Recognized</v>
      </c>
      <c r="I301" s="30" t="str">
        <f>IFERROR(__xludf.DUMMYFUNCTION("""COMPUTED_VALUE"""),"QTY, Limit Price (if any) &amp; Password input correct")</f>
        <v>QTY, Limit Price (if any) &amp; Password input correct</v>
      </c>
      <c r="J301" s="30" t="str">
        <f>IFERROR(__xludf.DUMMYFUNCTION("""COMPUTED_VALUE"""),"Wrong passowrd submitted")</f>
        <v>Wrong passowrd submitted</v>
      </c>
    </row>
    <row r="302">
      <c r="A302" s="5"/>
      <c r="B302" s="118">
        <f>IFERROR(__xludf.DUMMYFUNCTION("""COMPUTED_VALUE"""),44664.73532518519)</f>
        <v>44664.73533</v>
      </c>
      <c r="C302" s="5" t="str">
        <f>IFERROR(__xludf.DUMMYFUNCTION("""COMPUTED_VALUE"""),"76938")</f>
        <v>76938</v>
      </c>
      <c r="D302" s="5" t="str">
        <f>IFERROR(__xludf.DUMMYFUNCTION("""COMPUTED_VALUE"""),"error")</f>
        <v>error</v>
      </c>
      <c r="E302" s="5" t="str">
        <f>IFERROR(__xludf.DUMMYFUNCTION("""COMPUTED_VALUE"""),"Stock")</f>
        <v>Stock</v>
      </c>
      <c r="F302" s="112" t="str">
        <f>IFERROR(__xludf.DUMMYFUNCTION("""COMPUTED_VALUE"""),"SONY")</f>
        <v>SONY</v>
      </c>
      <c r="G302" s="30"/>
      <c r="H302" s="30" t="str">
        <f>IFERROR(__xludf.DUMMYFUNCTION("""COMPUTED_VALUE"""),"Email Account/ TraderID Recognized")</f>
        <v>Email Account/ TraderID Recognized</v>
      </c>
      <c r="I302" s="30" t="str">
        <f>IFERROR(__xludf.DUMMYFUNCTION("""COMPUTED_VALUE"""),"Wrong Password Submitted, Order will be rejected")</f>
        <v>Wrong Password Submitted, Order will be rejected</v>
      </c>
      <c r="J302" s="30" t="str">
        <f>IFERROR(__xludf.DUMMYFUNCTION("""COMPUTED_VALUE"""),"Wrong passowrd submitted")</f>
        <v>Wrong passowrd submitted</v>
      </c>
    </row>
    <row r="303">
      <c r="A303" s="5"/>
      <c r="B303" s="118">
        <f>IFERROR(__xludf.DUMMYFUNCTION("""COMPUTED_VALUE"""),44664.73877325232)</f>
        <v>44664.73877</v>
      </c>
      <c r="C303" s="5" t="str">
        <f>IFERROR(__xludf.DUMMYFUNCTION("""COMPUTED_VALUE"""),"76938")</f>
        <v>76938</v>
      </c>
      <c r="D303" s="5" t="str">
        <f>IFERROR(__xludf.DUMMYFUNCTION("""COMPUTED_VALUE"""),"error")</f>
        <v>error</v>
      </c>
      <c r="E303" s="5" t="str">
        <f>IFERROR(__xludf.DUMMYFUNCTION("""COMPUTED_VALUE"""),"Option")</f>
        <v>Option</v>
      </c>
      <c r="F303" s="112" t="str">
        <f>IFERROR(__xludf.DUMMYFUNCTION("""COMPUTED_VALUE"""),"BAC220325C00045000")</f>
        <v>BAC220325C00045000</v>
      </c>
      <c r="G303" s="30"/>
      <c r="H303" s="30" t="str">
        <f>IFERROR(__xludf.DUMMYFUNCTION("""COMPUTED_VALUE"""),"Email Account/ TraderID Recognized")</f>
        <v>Email Account/ TraderID Recognized</v>
      </c>
      <c r="I303" s="30" t="str">
        <f>IFERROR(__xludf.DUMMYFUNCTION("""COMPUTED_VALUE"""),"QTY, Limit Price (if any) &amp; Password input correct")</f>
        <v>QTY, Limit Price (if any) &amp; Password input correct</v>
      </c>
      <c r="J303" s="30" t="str">
        <f>IFERROR(__xludf.DUMMYFUNCTION("""COMPUTED_VALUE"""),"Order rejected due to Option contract expired last month, security no longer exists")</f>
        <v>Order rejected due to Option contract expired last month, security no longer exists</v>
      </c>
    </row>
    <row r="304">
      <c r="A304" s="5"/>
      <c r="B304" s="118">
        <f>IFERROR(__xludf.DUMMYFUNCTION("""COMPUTED_VALUE"""),44664.745009502316)</f>
        <v>44664.74501</v>
      </c>
      <c r="C304" s="5" t="str">
        <f>IFERROR(__xludf.DUMMYFUNCTION("""COMPUTED_VALUE"""),"76938")</f>
        <v>76938</v>
      </c>
      <c r="D304" s="5" t="str">
        <f>IFERROR(__xludf.DUMMYFUNCTION("""COMPUTED_VALUE"""),"error")</f>
        <v>error</v>
      </c>
      <c r="E304" s="5" t="str">
        <f>IFERROR(__xludf.DUMMYFUNCTION("""COMPUTED_VALUE"""),"Option")</f>
        <v>Option</v>
      </c>
      <c r="F304" s="112" t="str">
        <f>IFERROR(__xludf.DUMMYFUNCTION("""COMPUTED_VALUE"""),"FB220325P00210000")</f>
        <v>FB220325P00210000</v>
      </c>
      <c r="G304" s="30"/>
      <c r="H304" s="30" t="str">
        <f>IFERROR(__xludf.DUMMYFUNCTION("""COMPUTED_VALUE"""),"Email Account/ TraderID Recognized")</f>
        <v>Email Account/ TraderID Recognized</v>
      </c>
      <c r="I304" s="30" t="str">
        <f>IFERROR(__xludf.DUMMYFUNCTION("""COMPUTED_VALUE"""),"QTY, Limit Price (if any) &amp; Password input correct")</f>
        <v>QTY, Limit Price (if any) &amp; Password input correct</v>
      </c>
      <c r="J304" s="30" t="str">
        <f>IFERROR(__xludf.DUMMYFUNCTION("""COMPUTED_VALUE"""),"Order rejected due to Option contract expired last month, security no longer exists")</f>
        <v>Order rejected due to Option contract expired last month, security no longer exists</v>
      </c>
    </row>
    <row r="305">
      <c r="A305" s="5"/>
      <c r="B305" s="118">
        <f>IFERROR(__xludf.DUMMYFUNCTION("""COMPUTED_VALUE"""),44664.74935600694)</f>
        <v>44664.74936</v>
      </c>
      <c r="C305" s="5" t="str">
        <f>IFERROR(__xludf.DUMMYFUNCTION("""COMPUTED_VALUE"""),"76938")</f>
        <v>76938</v>
      </c>
      <c r="D305" s="5" t="str">
        <f>IFERROR(__xludf.DUMMYFUNCTION("""COMPUTED_VALUE"""),"error")</f>
        <v>error</v>
      </c>
      <c r="E305" s="5" t="str">
        <f>IFERROR(__xludf.DUMMYFUNCTION("""COMPUTED_VALUE"""),"Bond")</f>
        <v>Bond</v>
      </c>
      <c r="F305" s="112" t="str">
        <f>IFERROR(__xludf.DUMMYFUNCTION("""COMPUTED_VALUE"""),"NVDA")</f>
        <v>NVDA</v>
      </c>
      <c r="G305" s="30"/>
      <c r="H305" s="30" t="str">
        <f>IFERROR(__xludf.DUMMYFUNCTION("""COMPUTED_VALUE"""),"Email Account/ TraderID Recognized")</f>
        <v>Email Account/ TraderID Recognized</v>
      </c>
      <c r="I305" s="30" t="str">
        <f>IFERROR(__xludf.DUMMYFUNCTION("""COMPUTED_VALUE"""),"QTY, Limit Price (if any) &amp; Password input correct")</f>
        <v>QTY, Limit Price (if any) &amp; Password input correct</v>
      </c>
      <c r="J305" s="30" t="str">
        <f>IFERROR(__xludf.DUMMYFUNCTION("""COMPUTED_VALUE"""),"Order rejected due to wrong asset class. NVDA is a stock, not an option.")</f>
        <v>Order rejected due to wrong asset class. NVDA is a stock, not an option.</v>
      </c>
    </row>
    <row r="306">
      <c r="A306" s="5"/>
      <c r="B306" s="118">
        <f>IFERROR(__xludf.DUMMYFUNCTION("""COMPUTED_VALUE"""),44664.759562974534)</f>
        <v>44664.75956</v>
      </c>
      <c r="C306" s="5" t="str">
        <f>IFERROR(__xludf.DUMMYFUNCTION("""COMPUTED_VALUE"""),"76938")</f>
        <v>76938</v>
      </c>
      <c r="D306" s="5" t="str">
        <f>IFERROR(__xludf.DUMMYFUNCTION("""COMPUTED_VALUE"""),"error")</f>
        <v>error</v>
      </c>
      <c r="E306" s="5" t="str">
        <f>IFERROR(__xludf.DUMMYFUNCTION("""COMPUTED_VALUE"""),"Option")</f>
        <v>Option</v>
      </c>
      <c r="F306" s="112" t="str">
        <f>IFERROR(__xludf.DUMMYFUNCTION("""COMPUTED_VALUE"""),"GOLD")</f>
        <v>GOLD</v>
      </c>
      <c r="G306" s="30"/>
      <c r="H306" s="30" t="str">
        <f>IFERROR(__xludf.DUMMYFUNCTION("""COMPUTED_VALUE"""),"Email Account/ TraderID Recognized")</f>
        <v>Email Account/ TraderID Recognized</v>
      </c>
      <c r="I306" s="30" t="str">
        <f>IFERROR(__xludf.DUMMYFUNCTION("""COMPUTED_VALUE"""),"QTY, Limit Price (if any) &amp; Password input correct")</f>
        <v>QTY, Limit Price (if any) &amp; Password input correct</v>
      </c>
      <c r="J306" s="30" t="str">
        <f>IFERROR(__xludf.DUMMYFUNCTION("""COMPUTED_VALUE"""),"Order rejected due to wrong asset class. GOLD is a stock, not a bond.")</f>
        <v>Order rejected due to wrong asset class. GOLD is a stock, not a bond.</v>
      </c>
    </row>
    <row r="307">
      <c r="A307" s="5"/>
      <c r="B307" s="118">
        <f>IFERROR(__xludf.DUMMYFUNCTION("""COMPUTED_VALUE"""),44664.76759574074)</f>
        <v>44664.7676</v>
      </c>
      <c r="C307" s="5" t="str">
        <f>IFERROR(__xludf.DUMMYFUNCTION("""COMPUTED_VALUE"""),"76938")</f>
        <v>76938</v>
      </c>
      <c r="D307" s="5" t="str">
        <f>IFERROR(__xludf.DUMMYFUNCTION("""COMPUTED_VALUE"""),"error")</f>
        <v>error</v>
      </c>
      <c r="E307" s="5" t="str">
        <f>IFERROR(__xludf.DUMMYFUNCTION("""COMPUTED_VALUE"""),"Stock")</f>
        <v>Stock</v>
      </c>
      <c r="F307" s="112" t="str">
        <f>IFERROR(__xludf.DUMMYFUNCTION("""COMPUTED_VALUE"""),"TMUS")</f>
        <v>TMUS</v>
      </c>
      <c r="G307" s="30"/>
      <c r="H307" s="30" t="str">
        <f>IFERROR(__xludf.DUMMYFUNCTION("""COMPUTED_VALUE"""),"Email Account/ TraderID Recognized")</f>
        <v>Email Account/ TraderID Recognized</v>
      </c>
      <c r="I307" s="30" t="str">
        <f>IFERROR(__xludf.DUMMYFUNCTION("""COMPUTED_VALUE"""),"Wrong Password Submitted, Order will be rejected")</f>
        <v>Wrong Password Submitted, Order will be rejected</v>
      </c>
      <c r="J307" s="30" t="str">
        <f>IFERROR(__xludf.DUMMYFUNCTION("""COMPUTED_VALUE"""),"Wrong passowrd submitted")</f>
        <v>Wrong passowrd submitted</v>
      </c>
    </row>
    <row r="308">
      <c r="A308" s="5"/>
      <c r="B308" s="118">
        <f>IFERROR(__xludf.DUMMYFUNCTION("""COMPUTED_VALUE"""),44664.80710569445)</f>
        <v>44664.80711</v>
      </c>
      <c r="C308" s="5" t="str">
        <f>IFERROR(__xludf.DUMMYFUNCTION("""COMPUTED_VALUE"""),"")</f>
        <v/>
      </c>
      <c r="D308" s="5" t="str">
        <f>IFERROR(__xludf.DUMMYFUNCTION("""COMPUTED_VALUE"""),"error")</f>
        <v>error</v>
      </c>
      <c r="E308" s="5" t="str">
        <f>IFERROR(__xludf.DUMMYFUNCTION("""COMPUTED_VALUE"""),"Stock")</f>
        <v>Stock</v>
      </c>
      <c r="F308" s="112" t="str">
        <f>IFERROR(__xludf.DUMMYFUNCTION("""COMPUTED_VALUE"""),"AMZN")</f>
        <v>AMZN</v>
      </c>
      <c r="G308" s="30"/>
      <c r="H308" s="30" t="str">
        <f>IFERROR(__xludf.DUMMYFUNCTION("""COMPUTED_VALUE"""),"venuxxxxxx@nonHKMUemail")</f>
        <v>venuxxxxxx@nonHKMUemail</v>
      </c>
      <c r="I308" s="30" t="str">
        <f>IFERROR(__xludf.DUMMYFUNCTION("""COMPUTED_VALUE"""),"QTY, Limit Price (if any) &amp; Password input correct")</f>
        <v>QTY, Limit Price (if any) &amp; Password input correct</v>
      </c>
      <c r="J308" s="30" t="str">
        <f>IFERROR(__xludf.DUMMYFUNCTION("""COMPUTED_VALUE"""),"non school email detected, order rejected")</f>
        <v>non school email detected, order rejected</v>
      </c>
    </row>
    <row r="309">
      <c r="A309" s="5"/>
      <c r="B309" s="118">
        <f>IFERROR(__xludf.DUMMYFUNCTION("""COMPUTED_VALUE"""),44664.86035461805)</f>
        <v>44664.86035</v>
      </c>
      <c r="C309" s="5" t="str">
        <f>IFERROR(__xludf.DUMMYFUNCTION("""COMPUTED_VALUE"""),"38369")</f>
        <v>38369</v>
      </c>
      <c r="D309" s="5" t="str">
        <f>IFERROR(__xludf.DUMMYFUNCTION("""COMPUTED_VALUE"""),"error")</f>
        <v>error</v>
      </c>
      <c r="E309" s="5" t="str">
        <f>IFERROR(__xludf.DUMMYFUNCTION("""COMPUTED_VALUE"""),"Stock")</f>
        <v>Stock</v>
      </c>
      <c r="F309" s="112" t="str">
        <f>IFERROR(__xludf.DUMMYFUNCTION("""COMPUTED_VALUE"""),"AAPL")</f>
        <v>AAPL</v>
      </c>
      <c r="G309" s="30"/>
      <c r="H309" s="30" t="str">
        <f>IFERROR(__xludf.DUMMYFUNCTION("""COMPUTED_VALUE"""),"Email Account/ TraderID Recognized")</f>
        <v>Email Account/ TraderID Recognized</v>
      </c>
      <c r="I309" s="30" t="str">
        <f>IFERROR(__xludf.DUMMYFUNCTION("""COMPUTED_VALUE"""),"Wrong Password Submitted, Order will be rejected")</f>
        <v>Wrong Password Submitted, Order will be rejected</v>
      </c>
      <c r="J309" s="30" t="str">
        <f>IFERROR(__xludf.DUMMYFUNCTION("""COMPUTED_VALUE"""),"Wrong passowrd submitted")</f>
        <v>Wrong passowrd submitted</v>
      </c>
    </row>
    <row r="310">
      <c r="A310" s="5"/>
      <c r="B310" s="118">
        <f>IFERROR(__xludf.DUMMYFUNCTION("""COMPUTED_VALUE"""),44664.90581848379)</f>
        <v>44664.90582</v>
      </c>
      <c r="C310" s="5" t="str">
        <f>IFERROR(__xludf.DUMMYFUNCTION("""COMPUTED_VALUE"""),"74972")</f>
        <v>74972</v>
      </c>
      <c r="D310" s="5" t="str">
        <f>IFERROR(__xludf.DUMMYFUNCTION("""COMPUTED_VALUE"""),"error")</f>
        <v>error</v>
      </c>
      <c r="E310" s="5" t="str">
        <f>IFERROR(__xludf.DUMMYFUNCTION("""COMPUTED_VALUE"""),"Bond")</f>
        <v>Bond</v>
      </c>
      <c r="F310" s="112" t="str">
        <f>IFERROR(__xludf.DUMMYFUNCTION("""COMPUTED_VALUE"""),"TSLA")</f>
        <v>TSLA</v>
      </c>
      <c r="G310" s="30"/>
      <c r="H310" s="30" t="str">
        <f>IFERROR(__xludf.DUMMYFUNCTION("""COMPUTED_VALUE"""),"Email Account/ TraderID Recognized")</f>
        <v>Email Account/ TraderID Recognized</v>
      </c>
      <c r="I310" s="30" t="str">
        <f>IFERROR(__xludf.DUMMYFUNCTION("""COMPUTED_VALUE"""),"QTY, Limit Price (if any) &amp; Password input correct")</f>
        <v>QTY, Limit Price (if any) &amp; Password input correct</v>
      </c>
      <c r="J310" s="30" t="str">
        <f>IFERROR(__xludf.DUMMYFUNCTION("""COMPUTED_VALUE"""),"Order rejected due to wrong asset class")</f>
        <v>Order rejected due to wrong asset class</v>
      </c>
    </row>
    <row r="311">
      <c r="A311" s="5"/>
      <c r="B311" s="118">
        <f>IFERROR(__xludf.DUMMYFUNCTION("""COMPUTED_VALUE"""),44664.92921811342)</f>
        <v>44664.92922</v>
      </c>
      <c r="C311" s="5" t="str">
        <f>IFERROR(__xludf.DUMMYFUNCTION("""COMPUTED_VALUE"""),"")</f>
        <v/>
      </c>
      <c r="D311" s="5" t="str">
        <f>IFERROR(__xludf.DUMMYFUNCTION("""COMPUTED_VALUE"""),"error")</f>
        <v>error</v>
      </c>
      <c r="E311" s="5" t="str">
        <f>IFERROR(__xludf.DUMMYFUNCTION("""COMPUTED_VALUE"""),"Stock")</f>
        <v>Stock</v>
      </c>
      <c r="F311" s="112" t="str">
        <f>IFERROR(__xludf.DUMMYFUNCTION("""COMPUTED_VALUE"""),"FB")</f>
        <v>FB</v>
      </c>
      <c r="G311" s="30">
        <f>IFERROR(__xludf.DUMMYFUNCTION("""COMPUTED_VALUE"""),215.0)</f>
        <v>215</v>
      </c>
      <c r="H311" s="30" t="str">
        <f>IFERROR(__xludf.DUMMYFUNCTION("""COMPUTED_VALUE"""),"venuxxxxxx@nonHKMUemail")</f>
        <v>venuxxxxxx@nonHKMUemail</v>
      </c>
      <c r="I311" s="30" t="str">
        <f>IFERROR(__xludf.DUMMYFUNCTION("""COMPUTED_VALUE"""),"QTY, Limit Price (if any) &amp; Password input correct")</f>
        <v>QTY, Limit Price (if any) &amp; Password input correct</v>
      </c>
      <c r="J311" s="30" t="str">
        <f>IFERROR(__xludf.DUMMYFUNCTION("""COMPUTED_VALUE"""),"non school email detected, order rejected")</f>
        <v>non school email detected, order rejected</v>
      </c>
    </row>
    <row r="312">
      <c r="A312" s="5"/>
      <c r="B312" s="118">
        <f>IFERROR(__xludf.DUMMYFUNCTION("""COMPUTED_VALUE"""),44664.92986712963)</f>
        <v>44664.92987</v>
      </c>
      <c r="C312" s="5" t="str">
        <f>IFERROR(__xludf.DUMMYFUNCTION("""COMPUTED_VALUE"""),"")</f>
        <v/>
      </c>
      <c r="D312" s="5" t="str">
        <f>IFERROR(__xludf.DUMMYFUNCTION("""COMPUTED_VALUE"""),"error")</f>
        <v>error</v>
      </c>
      <c r="E312" s="5" t="str">
        <f>IFERROR(__xludf.DUMMYFUNCTION("""COMPUTED_VALUE"""),"Stock")</f>
        <v>Stock</v>
      </c>
      <c r="F312" s="112" t="str">
        <f>IFERROR(__xludf.DUMMYFUNCTION("""COMPUTED_VALUE"""),"TSLA")</f>
        <v>TSLA</v>
      </c>
      <c r="G312" s="30">
        <f>IFERROR(__xludf.DUMMYFUNCTION("""COMPUTED_VALUE"""),995.0)</f>
        <v>995</v>
      </c>
      <c r="H312" s="30" t="str">
        <f>IFERROR(__xludf.DUMMYFUNCTION("""COMPUTED_VALUE"""),"venuxxxxxx@nonHKMUemail")</f>
        <v>venuxxxxxx@nonHKMUemail</v>
      </c>
      <c r="I312" s="30" t="str">
        <f>IFERROR(__xludf.DUMMYFUNCTION("""COMPUTED_VALUE"""),"QTY, Limit Price (if any) &amp; Password input correct")</f>
        <v>QTY, Limit Price (if any) &amp; Password input correct</v>
      </c>
      <c r="J312" s="30" t="str">
        <f>IFERROR(__xludf.DUMMYFUNCTION("""COMPUTED_VALUE"""),"non school email detected, order rejected")</f>
        <v>non school email detected, order rejected</v>
      </c>
    </row>
    <row r="313">
      <c r="A313" s="5"/>
      <c r="B313" s="118">
        <f>IFERROR(__xludf.DUMMYFUNCTION("""COMPUTED_VALUE"""),44664.93118545139)</f>
        <v>44664.93119</v>
      </c>
      <c r="C313" s="5" t="str">
        <f>IFERROR(__xludf.DUMMYFUNCTION("""COMPUTED_VALUE"""),"")</f>
        <v/>
      </c>
      <c r="D313" s="5" t="str">
        <f>IFERROR(__xludf.DUMMYFUNCTION("""COMPUTED_VALUE"""),"error")</f>
        <v>error</v>
      </c>
      <c r="E313" s="5" t="str">
        <f>IFERROR(__xludf.DUMMYFUNCTION("""COMPUTED_VALUE"""),"Stock")</f>
        <v>Stock</v>
      </c>
      <c r="F313" s="112" t="str">
        <f>IFERROR(__xludf.DUMMYFUNCTION("""COMPUTED_VALUE"""),"AAPL")</f>
        <v>AAPL</v>
      </c>
      <c r="G313" s="30">
        <f>IFERROR(__xludf.DUMMYFUNCTION("""COMPUTED_VALUE"""),168.0)</f>
        <v>168</v>
      </c>
      <c r="H313" s="30" t="str">
        <f>IFERROR(__xludf.DUMMYFUNCTION("""COMPUTED_VALUE"""),"venuxxxxxx@nonHKMUemail")</f>
        <v>venuxxxxxx@nonHKMUemail</v>
      </c>
      <c r="I313" s="30" t="str">
        <f>IFERROR(__xludf.DUMMYFUNCTION("""COMPUTED_VALUE"""),"QTY, Limit Price (if any) &amp; Password input correct")</f>
        <v>QTY, Limit Price (if any) &amp; Password input correct</v>
      </c>
      <c r="J313" s="30" t="str">
        <f>IFERROR(__xludf.DUMMYFUNCTION("""COMPUTED_VALUE"""),"non school email detected, order rejected")</f>
        <v>non school email detected, order rejected</v>
      </c>
    </row>
    <row r="314">
      <c r="A314" s="5"/>
      <c r="B314" s="118">
        <f>IFERROR(__xludf.DUMMYFUNCTION("""COMPUTED_VALUE"""),44664.9461911574)</f>
        <v>44664.94619</v>
      </c>
      <c r="C314" s="5" t="str">
        <f>IFERROR(__xludf.DUMMYFUNCTION("""COMPUTED_VALUE"""),"83314")</f>
        <v>83314</v>
      </c>
      <c r="D314" s="5" t="str">
        <f>IFERROR(__xludf.DUMMYFUNCTION("""COMPUTED_VALUE"""),"error")</f>
        <v>error</v>
      </c>
      <c r="E314" s="5" t="str">
        <f>IFERROR(__xludf.DUMMYFUNCTION("""COMPUTED_VALUE"""),"Stock")</f>
        <v>Stock</v>
      </c>
      <c r="F314" s="112" t="str">
        <f>IFERROR(__xludf.DUMMYFUNCTION("""COMPUTED_VALUE"""),"SSEEN")</f>
        <v>SSEEN</v>
      </c>
      <c r="G314" s="30"/>
      <c r="H314" s="30" t="str">
        <f>IFERROR(__xludf.DUMMYFUNCTION("""COMPUTED_VALUE"""),"Email Account/ TraderID Recognized")</f>
        <v>Email Account/ TraderID Recognized</v>
      </c>
      <c r="I314" s="30" t="str">
        <f>IFERROR(__xludf.DUMMYFUNCTION("""COMPUTED_VALUE"""),"QTY, Limit Price (if any) &amp; Password input correct")</f>
        <v>QTY, Limit Price (if any) &amp; Password input correct</v>
      </c>
      <c r="J314" s="30"/>
    </row>
    <row r="315">
      <c r="A315" s="5"/>
      <c r="B315" s="118">
        <f>IFERROR(__xludf.DUMMYFUNCTION("""COMPUTED_VALUE"""),44664.95223898148)</f>
        <v>44664.95224</v>
      </c>
      <c r="C315" s="5" t="str">
        <f>IFERROR(__xludf.DUMMYFUNCTION("""COMPUTED_VALUE"""),"75005")</f>
        <v>75005</v>
      </c>
      <c r="D315" s="5" t="str">
        <f>IFERROR(__xludf.DUMMYFUNCTION("""COMPUTED_VALUE"""),"error")</f>
        <v>error</v>
      </c>
      <c r="E315" s="5" t="str">
        <f>IFERROR(__xludf.DUMMYFUNCTION("""COMPUTED_VALUE"""),"Stock")</f>
        <v>Stock</v>
      </c>
      <c r="F315" s="112" t="str">
        <f>IFERROR(__xludf.DUMMYFUNCTION("""COMPUTED_VALUE"""),"TSLA")</f>
        <v>TSLA</v>
      </c>
      <c r="G315" s="30" t="str">
        <f>IFERROR(__xludf.DUMMYFUNCTION("""COMPUTED_VALUE"""),"Limit sell @1000")</f>
        <v>Limit sell @1000</v>
      </c>
      <c r="H315" s="30" t="str">
        <f>IFERROR(__xludf.DUMMYFUNCTION("""COMPUTED_VALUE"""),"Email Account/ TraderID Recognized")</f>
        <v>Email Account/ TraderID Recognized</v>
      </c>
      <c r="I315" s="30" t="str">
        <f>IFERROR(__xludf.DUMMYFUNCTION("""COMPUTED_VALUE"""),"Non-number input in Quantity or Limit Price")</f>
        <v>Non-number input in Quantity or Limit Price</v>
      </c>
      <c r="J315" s="30" t="str">
        <f>IFERROR(__xludf.DUMMYFUNCTION("""COMPUTED_VALUE"""),"No non number input in limit price box")</f>
        <v>No non number input in limit price box</v>
      </c>
    </row>
    <row r="316">
      <c r="B316" s="118"/>
      <c r="F316" s="112"/>
      <c r="G316" s="30"/>
      <c r="H316" s="30"/>
      <c r="I316" s="30"/>
      <c r="J316" s="30"/>
    </row>
    <row r="317">
      <c r="B317" s="118"/>
      <c r="F317" s="112"/>
      <c r="G317" s="30"/>
      <c r="H317" s="30"/>
      <c r="I317" s="30"/>
      <c r="J317" s="30"/>
    </row>
    <row r="318">
      <c r="B318" s="118"/>
      <c r="F318" s="112"/>
      <c r="G318" s="30"/>
      <c r="H318" s="30"/>
      <c r="I318" s="30"/>
      <c r="J318" s="30"/>
    </row>
    <row r="319">
      <c r="B319" s="118"/>
      <c r="F319" s="112"/>
      <c r="G319" s="30"/>
      <c r="H319" s="30"/>
      <c r="I319" s="30"/>
      <c r="J319" s="30"/>
    </row>
    <row r="320">
      <c r="B320" s="118"/>
      <c r="F320" s="112"/>
      <c r="G320" s="30"/>
      <c r="H320" s="30"/>
      <c r="I320" s="30"/>
      <c r="J320" s="30"/>
    </row>
    <row r="321">
      <c r="B321" s="118"/>
      <c r="F321" s="112"/>
      <c r="G321" s="30"/>
      <c r="H321" s="30"/>
      <c r="I321" s="30"/>
      <c r="J321" s="30"/>
    </row>
    <row r="322">
      <c r="B322" s="118"/>
      <c r="F322" s="112"/>
      <c r="G322" s="30"/>
      <c r="H322" s="30"/>
      <c r="I322" s="30"/>
      <c r="J322" s="30"/>
    </row>
    <row r="323">
      <c r="B323" s="118"/>
      <c r="F323" s="112"/>
      <c r="G323" s="30"/>
      <c r="H323" s="30"/>
      <c r="I323" s="30"/>
      <c r="J323" s="30"/>
    </row>
    <row r="324">
      <c r="B324" s="118"/>
      <c r="F324" s="112"/>
      <c r="G324" s="30"/>
      <c r="H324" s="30"/>
      <c r="I324" s="30"/>
      <c r="J324" s="30"/>
    </row>
    <row r="325">
      <c r="B325" s="118"/>
      <c r="F325" s="112"/>
      <c r="G325" s="30"/>
      <c r="H325" s="30"/>
      <c r="I325" s="30"/>
      <c r="J325" s="30"/>
    </row>
    <row r="326">
      <c r="B326" s="118"/>
      <c r="F326" s="112"/>
      <c r="G326" s="30"/>
      <c r="H326" s="30"/>
      <c r="I326" s="30"/>
      <c r="J326" s="30"/>
    </row>
    <row r="327">
      <c r="B327" s="118"/>
      <c r="F327" s="112"/>
      <c r="G327" s="30"/>
      <c r="H327" s="30"/>
      <c r="I327" s="30"/>
      <c r="J327" s="30"/>
    </row>
    <row r="328">
      <c r="B328" s="118"/>
      <c r="F328" s="112"/>
      <c r="G328" s="30"/>
      <c r="H328" s="30"/>
      <c r="I328" s="30"/>
      <c r="J328" s="30"/>
    </row>
    <row r="329">
      <c r="B329" s="118"/>
      <c r="F329" s="112"/>
      <c r="G329" s="30"/>
      <c r="H329" s="30"/>
      <c r="I329" s="30"/>
      <c r="J329" s="30"/>
    </row>
    <row r="330">
      <c r="B330" s="118"/>
      <c r="F330" s="112"/>
      <c r="G330" s="30"/>
      <c r="H330" s="30"/>
      <c r="I330" s="30"/>
      <c r="J330" s="30"/>
    </row>
    <row r="331">
      <c r="B331" s="118"/>
      <c r="F331" s="112"/>
      <c r="G331" s="30"/>
      <c r="H331" s="30"/>
      <c r="I331" s="30"/>
      <c r="J331" s="30"/>
    </row>
    <row r="332">
      <c r="B332" s="118"/>
      <c r="F332" s="112"/>
      <c r="G332" s="30"/>
      <c r="H332" s="30"/>
      <c r="I332" s="30"/>
      <c r="J332" s="30"/>
    </row>
    <row r="333">
      <c r="B333" s="118"/>
      <c r="F333" s="112"/>
      <c r="G333" s="30"/>
      <c r="H333" s="30"/>
      <c r="I333" s="30"/>
      <c r="J333" s="30"/>
    </row>
    <row r="334">
      <c r="B334" s="118"/>
      <c r="F334" s="112"/>
      <c r="G334" s="30"/>
      <c r="H334" s="30"/>
      <c r="I334" s="30"/>
      <c r="J334" s="30"/>
    </row>
    <row r="335">
      <c r="B335" s="118"/>
      <c r="F335" s="112"/>
      <c r="G335" s="30"/>
      <c r="H335" s="30"/>
      <c r="I335" s="30"/>
      <c r="J335" s="30"/>
    </row>
    <row r="336">
      <c r="B336" s="118"/>
      <c r="F336" s="112"/>
      <c r="G336" s="30"/>
      <c r="H336" s="30"/>
      <c r="I336" s="30"/>
      <c r="J336" s="30"/>
    </row>
    <row r="337">
      <c r="B337" s="118"/>
      <c r="F337" s="112"/>
      <c r="G337" s="30"/>
      <c r="H337" s="30"/>
      <c r="I337" s="30"/>
      <c r="J337" s="30"/>
    </row>
    <row r="338">
      <c r="B338" s="118"/>
      <c r="F338" s="112"/>
      <c r="G338" s="30"/>
      <c r="H338" s="30"/>
      <c r="I338" s="30"/>
      <c r="J338" s="30"/>
    </row>
    <row r="339">
      <c r="B339" s="118"/>
      <c r="F339" s="112"/>
      <c r="G339" s="30"/>
      <c r="H339" s="30"/>
      <c r="I339" s="30"/>
      <c r="J339" s="30"/>
    </row>
    <row r="340">
      <c r="B340" s="118"/>
      <c r="F340" s="112"/>
      <c r="G340" s="30"/>
      <c r="H340" s="30"/>
      <c r="I340" s="30"/>
      <c r="J340" s="30"/>
    </row>
    <row r="341">
      <c r="B341" s="118"/>
      <c r="F341" s="112"/>
      <c r="G341" s="30"/>
      <c r="H341" s="30"/>
      <c r="I341" s="30"/>
      <c r="J341" s="30"/>
    </row>
    <row r="342">
      <c r="B342" s="118"/>
      <c r="F342" s="112"/>
      <c r="G342" s="30"/>
      <c r="H342" s="30"/>
      <c r="I342" s="30"/>
      <c r="J342" s="30"/>
    </row>
    <row r="343">
      <c r="B343" s="118"/>
      <c r="F343" s="112"/>
      <c r="G343" s="30"/>
      <c r="H343" s="30"/>
      <c r="I343" s="30"/>
      <c r="J343" s="30"/>
    </row>
    <row r="344">
      <c r="B344" s="118"/>
      <c r="F344" s="112"/>
      <c r="G344" s="30"/>
      <c r="H344" s="30"/>
      <c r="I344" s="30"/>
      <c r="J344" s="30"/>
    </row>
    <row r="345">
      <c r="B345" s="118"/>
      <c r="F345" s="112"/>
      <c r="G345" s="30"/>
      <c r="H345" s="30"/>
      <c r="I345" s="30"/>
      <c r="J345" s="30"/>
    </row>
    <row r="346">
      <c r="B346" s="118"/>
      <c r="F346" s="112"/>
      <c r="G346" s="30"/>
      <c r="H346" s="30"/>
      <c r="I346" s="30"/>
      <c r="J346" s="30"/>
    </row>
    <row r="347">
      <c r="B347" s="118"/>
      <c r="F347" s="112"/>
      <c r="G347" s="30"/>
      <c r="H347" s="30"/>
      <c r="I347" s="30"/>
      <c r="J347" s="30"/>
    </row>
    <row r="348">
      <c r="B348" s="118"/>
      <c r="F348" s="112"/>
      <c r="G348" s="30"/>
      <c r="H348" s="30"/>
      <c r="I348" s="30"/>
      <c r="J348" s="30"/>
    </row>
    <row r="349">
      <c r="B349" s="118"/>
      <c r="F349" s="112"/>
      <c r="G349" s="30"/>
      <c r="H349" s="30"/>
      <c r="I349" s="30"/>
      <c r="J349" s="30"/>
    </row>
    <row r="350">
      <c r="B350" s="118"/>
      <c r="F350" s="112"/>
      <c r="G350" s="30"/>
      <c r="H350" s="30"/>
      <c r="I350" s="30"/>
      <c r="J350" s="30"/>
    </row>
    <row r="351">
      <c r="B351" s="118"/>
      <c r="F351" s="112"/>
      <c r="G351" s="30"/>
      <c r="H351" s="30"/>
      <c r="I351" s="30"/>
      <c r="J351" s="30"/>
    </row>
    <row r="352">
      <c r="B352" s="118"/>
      <c r="F352" s="112"/>
      <c r="G352" s="30"/>
      <c r="H352" s="30"/>
      <c r="I352" s="30"/>
      <c r="J352" s="30"/>
    </row>
    <row r="353">
      <c r="B353" s="118"/>
      <c r="F353" s="112"/>
      <c r="G353" s="30"/>
      <c r="H353" s="30"/>
      <c r="I353" s="30"/>
      <c r="J353" s="30"/>
    </row>
    <row r="354">
      <c r="B354" s="118"/>
      <c r="F354" s="112"/>
      <c r="G354" s="30"/>
      <c r="H354" s="30"/>
      <c r="I354" s="30"/>
      <c r="J354" s="30"/>
    </row>
    <row r="355">
      <c r="B355" s="118"/>
      <c r="F355" s="112"/>
      <c r="G355" s="30"/>
      <c r="H355" s="30"/>
      <c r="I355" s="30"/>
      <c r="J355" s="30"/>
    </row>
    <row r="356">
      <c r="B356" s="118"/>
      <c r="F356" s="112"/>
      <c r="G356" s="30"/>
      <c r="H356" s="30"/>
      <c r="I356" s="30"/>
      <c r="J356" s="30"/>
    </row>
    <row r="357">
      <c r="B357" s="118"/>
      <c r="F357" s="112"/>
      <c r="G357" s="30"/>
      <c r="H357" s="30"/>
      <c r="I357" s="30"/>
      <c r="J357" s="30"/>
    </row>
    <row r="358">
      <c r="B358" s="118"/>
      <c r="F358" s="112"/>
      <c r="G358" s="30"/>
      <c r="H358" s="30"/>
      <c r="I358" s="30"/>
      <c r="J358" s="30"/>
    </row>
    <row r="359">
      <c r="B359" s="118"/>
      <c r="F359" s="112"/>
      <c r="G359" s="30"/>
      <c r="H359" s="30"/>
      <c r="I359" s="30"/>
      <c r="J359" s="30"/>
    </row>
    <row r="360">
      <c r="B360" s="118"/>
      <c r="F360" s="112"/>
      <c r="G360" s="30"/>
      <c r="H360" s="30"/>
      <c r="I360" s="30"/>
      <c r="J360" s="30"/>
    </row>
    <row r="361">
      <c r="B361" s="118"/>
      <c r="F361" s="112"/>
      <c r="G361" s="30"/>
      <c r="H361" s="30"/>
      <c r="I361" s="30"/>
      <c r="J361" s="30"/>
    </row>
    <row r="362">
      <c r="B362" s="118"/>
      <c r="F362" s="112"/>
      <c r="G362" s="30"/>
      <c r="H362" s="30"/>
      <c r="I362" s="30"/>
      <c r="J362" s="30"/>
    </row>
    <row r="363">
      <c r="B363" s="118"/>
      <c r="F363" s="112"/>
      <c r="G363" s="30"/>
      <c r="H363" s="30"/>
      <c r="I363" s="30"/>
      <c r="J363" s="30"/>
    </row>
    <row r="364">
      <c r="B364" s="118"/>
      <c r="F364" s="112"/>
      <c r="G364" s="30"/>
      <c r="H364" s="30"/>
      <c r="I364" s="30"/>
      <c r="J364" s="30"/>
    </row>
    <row r="365">
      <c r="B365" s="118"/>
      <c r="F365" s="112"/>
      <c r="G365" s="30"/>
      <c r="H365" s="30"/>
      <c r="I365" s="30"/>
      <c r="J365" s="30"/>
    </row>
    <row r="366">
      <c r="B366" s="118"/>
      <c r="F366" s="112"/>
      <c r="G366" s="30"/>
      <c r="H366" s="30"/>
      <c r="I366" s="30"/>
      <c r="J366" s="30"/>
    </row>
    <row r="367">
      <c r="B367" s="118"/>
      <c r="F367" s="112"/>
      <c r="G367" s="30"/>
      <c r="H367" s="30"/>
      <c r="I367" s="30"/>
      <c r="J367" s="30"/>
    </row>
    <row r="368">
      <c r="B368" s="118"/>
      <c r="F368" s="112"/>
      <c r="G368" s="30"/>
      <c r="H368" s="30"/>
      <c r="I368" s="30"/>
      <c r="J368" s="30"/>
    </row>
    <row r="369">
      <c r="B369" s="118"/>
      <c r="F369" s="112"/>
      <c r="G369" s="30"/>
      <c r="H369" s="30"/>
      <c r="I369" s="30"/>
      <c r="J369" s="30"/>
    </row>
    <row r="370">
      <c r="B370" s="118"/>
      <c r="F370" s="112"/>
      <c r="G370" s="30"/>
      <c r="H370" s="30"/>
      <c r="I370" s="30"/>
      <c r="J370" s="30"/>
    </row>
    <row r="371">
      <c r="B371" s="118"/>
      <c r="F371" s="112"/>
      <c r="G371" s="30"/>
      <c r="H371" s="30"/>
      <c r="I371" s="30"/>
      <c r="J371" s="30"/>
    </row>
    <row r="372">
      <c r="B372" s="118"/>
      <c r="F372" s="112"/>
      <c r="G372" s="30"/>
      <c r="H372" s="30"/>
      <c r="I372" s="30"/>
      <c r="J372" s="30"/>
    </row>
    <row r="373">
      <c r="B373" s="118"/>
      <c r="F373" s="112"/>
      <c r="G373" s="30"/>
      <c r="H373" s="30"/>
      <c r="I373" s="30"/>
      <c r="J373" s="30"/>
    </row>
    <row r="374">
      <c r="B374" s="118"/>
      <c r="F374" s="112"/>
      <c r="G374" s="30"/>
      <c r="H374" s="30"/>
      <c r="I374" s="30"/>
      <c r="J374" s="30"/>
    </row>
    <row r="375">
      <c r="B375" s="118"/>
      <c r="F375" s="112"/>
      <c r="G375" s="30"/>
      <c r="H375" s="30"/>
      <c r="I375" s="30"/>
      <c r="J375" s="30"/>
    </row>
    <row r="376">
      <c r="B376" s="118"/>
      <c r="F376" s="112"/>
      <c r="G376" s="30"/>
      <c r="H376" s="30"/>
      <c r="I376" s="30"/>
      <c r="J376" s="30"/>
    </row>
    <row r="377">
      <c r="B377" s="118"/>
      <c r="F377" s="112"/>
      <c r="G377" s="30"/>
      <c r="H377" s="30"/>
      <c r="I377" s="30"/>
      <c r="J377" s="30"/>
    </row>
    <row r="378">
      <c r="B378" s="118"/>
      <c r="F378" s="112"/>
      <c r="G378" s="30"/>
      <c r="H378" s="30"/>
      <c r="I378" s="30"/>
      <c r="J378" s="30"/>
    </row>
    <row r="379">
      <c r="B379" s="118"/>
      <c r="F379" s="112"/>
      <c r="G379" s="30"/>
      <c r="H379" s="30"/>
      <c r="I379" s="30"/>
      <c r="J379" s="30"/>
    </row>
    <row r="380">
      <c r="B380" s="118"/>
      <c r="F380" s="112"/>
      <c r="G380" s="30"/>
      <c r="H380" s="30"/>
      <c r="I380" s="30"/>
      <c r="J380" s="30"/>
    </row>
    <row r="381">
      <c r="B381" s="118"/>
      <c r="F381" s="112"/>
      <c r="G381" s="30"/>
      <c r="H381" s="30"/>
      <c r="I381" s="30"/>
      <c r="J381" s="30"/>
    </row>
    <row r="382">
      <c r="B382" s="118"/>
      <c r="F382" s="112"/>
      <c r="G382" s="30"/>
      <c r="H382" s="30"/>
      <c r="I382" s="30"/>
      <c r="J382" s="30"/>
    </row>
    <row r="383">
      <c r="B383" s="118"/>
      <c r="F383" s="112"/>
      <c r="G383" s="30"/>
      <c r="H383" s="30"/>
      <c r="I383" s="30"/>
      <c r="J383" s="30"/>
    </row>
    <row r="384">
      <c r="B384" s="118"/>
      <c r="F384" s="112"/>
      <c r="G384" s="30"/>
      <c r="H384" s="30"/>
      <c r="I384" s="30"/>
      <c r="J384" s="30"/>
    </row>
    <row r="385">
      <c r="B385" s="118"/>
      <c r="F385" s="112"/>
      <c r="G385" s="30"/>
      <c r="H385" s="30"/>
      <c r="I385" s="30"/>
      <c r="J385" s="30"/>
    </row>
    <row r="386">
      <c r="B386" s="118"/>
      <c r="F386" s="112"/>
      <c r="G386" s="30"/>
      <c r="H386" s="30"/>
      <c r="I386" s="30"/>
      <c r="J386" s="30"/>
    </row>
    <row r="387">
      <c r="B387" s="118"/>
      <c r="F387" s="112"/>
      <c r="G387" s="30"/>
      <c r="H387" s="30"/>
      <c r="I387" s="30"/>
      <c r="J387" s="30"/>
    </row>
    <row r="388">
      <c r="B388" s="118"/>
      <c r="F388" s="112"/>
      <c r="G388" s="30"/>
      <c r="H388" s="30"/>
      <c r="I388" s="30"/>
      <c r="J388" s="30"/>
    </row>
    <row r="389">
      <c r="B389" s="118"/>
      <c r="F389" s="112"/>
      <c r="G389" s="30"/>
      <c r="H389" s="30"/>
      <c r="I389" s="30"/>
      <c r="J389" s="30"/>
    </row>
    <row r="390">
      <c r="B390" s="118"/>
      <c r="F390" s="112"/>
      <c r="G390" s="30"/>
      <c r="H390" s="30"/>
      <c r="I390" s="30"/>
      <c r="J390" s="30"/>
    </row>
    <row r="391">
      <c r="B391" s="118"/>
      <c r="F391" s="112"/>
      <c r="G391" s="30"/>
      <c r="H391" s="30"/>
      <c r="I391" s="30"/>
      <c r="J391" s="30"/>
    </row>
    <row r="392">
      <c r="B392" s="118"/>
      <c r="F392" s="112"/>
      <c r="G392" s="30"/>
      <c r="H392" s="30"/>
      <c r="I392" s="30"/>
      <c r="J392" s="30"/>
    </row>
    <row r="393">
      <c r="B393" s="118"/>
      <c r="F393" s="112"/>
      <c r="G393" s="30"/>
      <c r="H393" s="30"/>
      <c r="I393" s="30"/>
      <c r="J393" s="30"/>
    </row>
    <row r="394">
      <c r="B394" s="118"/>
      <c r="F394" s="112"/>
      <c r="G394" s="30"/>
      <c r="H394" s="30"/>
      <c r="I394" s="30"/>
      <c r="J394" s="30"/>
    </row>
    <row r="395">
      <c r="B395" s="118"/>
      <c r="F395" s="112"/>
      <c r="G395" s="30"/>
      <c r="H395" s="30"/>
      <c r="I395" s="30"/>
      <c r="J395" s="30"/>
    </row>
    <row r="396">
      <c r="B396" s="118"/>
      <c r="F396" s="112"/>
      <c r="G396" s="30"/>
      <c r="H396" s="30"/>
      <c r="I396" s="30"/>
      <c r="J396" s="30"/>
    </row>
    <row r="397">
      <c r="B397" s="118"/>
      <c r="F397" s="112"/>
      <c r="G397" s="30"/>
      <c r="H397" s="30"/>
      <c r="I397" s="30"/>
      <c r="J397" s="30"/>
    </row>
    <row r="398">
      <c r="B398" s="118"/>
      <c r="F398" s="112"/>
      <c r="G398" s="30"/>
      <c r="H398" s="30"/>
      <c r="I398" s="30"/>
      <c r="J398" s="30"/>
    </row>
    <row r="399">
      <c r="B399" s="118"/>
      <c r="F399" s="112"/>
      <c r="G399" s="30"/>
      <c r="H399" s="30"/>
      <c r="I399" s="30"/>
      <c r="J399" s="30"/>
    </row>
    <row r="400">
      <c r="B400" s="118"/>
      <c r="F400" s="112"/>
      <c r="G400" s="30"/>
      <c r="H400" s="30"/>
      <c r="I400" s="30"/>
      <c r="J400" s="30"/>
    </row>
    <row r="401">
      <c r="B401" s="118"/>
      <c r="F401" s="112"/>
      <c r="G401" s="30"/>
      <c r="H401" s="30"/>
      <c r="I401" s="30"/>
      <c r="J401" s="30"/>
    </row>
    <row r="402">
      <c r="B402" s="118"/>
      <c r="F402" s="112"/>
      <c r="G402" s="30"/>
      <c r="H402" s="30"/>
      <c r="I402" s="30"/>
      <c r="J402" s="30"/>
    </row>
    <row r="403">
      <c r="B403" s="118"/>
      <c r="F403" s="112"/>
      <c r="G403" s="30"/>
      <c r="H403" s="30"/>
      <c r="I403" s="30"/>
      <c r="J403" s="30"/>
    </row>
    <row r="404">
      <c r="B404" s="118"/>
      <c r="F404" s="112"/>
      <c r="G404" s="30"/>
      <c r="H404" s="30"/>
      <c r="I404" s="30"/>
      <c r="J404" s="30"/>
    </row>
    <row r="405">
      <c r="B405" s="118"/>
      <c r="F405" s="112"/>
      <c r="G405" s="30"/>
      <c r="H405" s="30"/>
      <c r="I405" s="30"/>
      <c r="J405" s="30"/>
    </row>
    <row r="406">
      <c r="B406" s="118"/>
      <c r="F406" s="112"/>
      <c r="G406" s="30"/>
      <c r="H406" s="30"/>
      <c r="I406" s="30"/>
      <c r="J406" s="30"/>
    </row>
    <row r="407">
      <c r="B407" s="118"/>
      <c r="F407" s="112"/>
      <c r="G407" s="30"/>
      <c r="H407" s="30"/>
      <c r="I407" s="30"/>
      <c r="J407" s="30"/>
    </row>
    <row r="408">
      <c r="B408" s="118"/>
      <c r="F408" s="112"/>
      <c r="G408" s="30"/>
      <c r="H408" s="30"/>
      <c r="I408" s="30"/>
      <c r="J408" s="30"/>
    </row>
    <row r="409">
      <c r="B409" s="118"/>
      <c r="F409" s="112"/>
      <c r="G409" s="30"/>
      <c r="H409" s="30"/>
      <c r="I409" s="30"/>
      <c r="J409" s="30"/>
    </row>
    <row r="410">
      <c r="B410" s="118"/>
      <c r="F410" s="112"/>
      <c r="G410" s="30"/>
      <c r="H410" s="30"/>
      <c r="I410" s="30"/>
      <c r="J410" s="30"/>
    </row>
    <row r="411">
      <c r="B411" s="118"/>
      <c r="F411" s="112"/>
      <c r="G411" s="30"/>
      <c r="H411" s="30"/>
      <c r="I411" s="30"/>
      <c r="J411" s="30"/>
    </row>
    <row r="412">
      <c r="B412" s="118"/>
      <c r="F412" s="112"/>
      <c r="G412" s="30"/>
      <c r="H412" s="30"/>
      <c r="I412" s="30"/>
      <c r="J412" s="30"/>
    </row>
    <row r="413">
      <c r="B413" s="118"/>
      <c r="F413" s="112"/>
      <c r="G413" s="30"/>
      <c r="H413" s="30"/>
      <c r="I413" s="30"/>
      <c r="J413" s="30"/>
    </row>
    <row r="414">
      <c r="B414" s="118"/>
      <c r="F414" s="112"/>
      <c r="G414" s="30"/>
      <c r="H414" s="30"/>
      <c r="I414" s="30"/>
      <c r="J414" s="30"/>
    </row>
    <row r="415">
      <c r="B415" s="118"/>
      <c r="F415" s="112"/>
      <c r="G415" s="30"/>
      <c r="H415" s="30"/>
      <c r="I415" s="30"/>
      <c r="J415" s="30"/>
    </row>
    <row r="416">
      <c r="B416" s="118"/>
      <c r="F416" s="112"/>
      <c r="G416" s="30"/>
      <c r="H416" s="30"/>
      <c r="I416" s="30"/>
      <c r="J416" s="30"/>
    </row>
    <row r="417">
      <c r="B417" s="118"/>
      <c r="F417" s="112"/>
      <c r="G417" s="30"/>
      <c r="H417" s="30"/>
      <c r="I417" s="30"/>
      <c r="J417" s="30"/>
    </row>
    <row r="418">
      <c r="B418" s="118"/>
      <c r="F418" s="112"/>
      <c r="G418" s="30"/>
      <c r="H418" s="30"/>
      <c r="I418" s="30"/>
      <c r="J418" s="30"/>
    </row>
    <row r="419">
      <c r="B419" s="118"/>
      <c r="F419" s="112"/>
      <c r="G419" s="30"/>
      <c r="H419" s="30"/>
      <c r="I419" s="30"/>
      <c r="J419" s="30"/>
    </row>
    <row r="420">
      <c r="B420" s="118"/>
      <c r="F420" s="112"/>
      <c r="G420" s="30"/>
      <c r="H420" s="30"/>
      <c r="I420" s="30"/>
      <c r="J420" s="30"/>
    </row>
    <row r="421">
      <c r="B421" s="118"/>
      <c r="F421" s="112"/>
      <c r="G421" s="30"/>
      <c r="H421" s="30"/>
      <c r="I421" s="30"/>
      <c r="J421" s="30"/>
    </row>
    <row r="422">
      <c r="B422" s="118"/>
      <c r="F422" s="112"/>
      <c r="G422" s="30"/>
      <c r="H422" s="30"/>
      <c r="I422" s="30"/>
      <c r="J422" s="30"/>
    </row>
    <row r="423">
      <c r="B423" s="118"/>
      <c r="F423" s="112"/>
      <c r="G423" s="30"/>
      <c r="H423" s="30"/>
      <c r="I423" s="30"/>
      <c r="J423" s="30"/>
    </row>
    <row r="424">
      <c r="B424" s="118"/>
      <c r="F424" s="112"/>
      <c r="G424" s="30"/>
      <c r="H424" s="30"/>
      <c r="I424" s="30"/>
      <c r="J424" s="30"/>
    </row>
    <row r="425">
      <c r="B425" s="118"/>
      <c r="F425" s="112"/>
      <c r="G425" s="30"/>
      <c r="H425" s="30"/>
      <c r="I425" s="30"/>
      <c r="J425" s="30"/>
    </row>
    <row r="426">
      <c r="B426" s="118"/>
      <c r="F426" s="112"/>
      <c r="G426" s="30"/>
      <c r="H426" s="30"/>
      <c r="I426" s="30"/>
      <c r="J426" s="30"/>
    </row>
    <row r="427">
      <c r="B427" s="118"/>
      <c r="F427" s="112"/>
      <c r="G427" s="30"/>
      <c r="H427" s="30"/>
      <c r="I427" s="30"/>
      <c r="J427" s="30"/>
    </row>
    <row r="428">
      <c r="B428" s="118"/>
      <c r="F428" s="112"/>
      <c r="G428" s="30"/>
      <c r="H428" s="30"/>
      <c r="I428" s="30"/>
      <c r="J428" s="30"/>
    </row>
    <row r="429">
      <c r="B429" s="118"/>
      <c r="F429" s="112"/>
      <c r="G429" s="30"/>
      <c r="H429" s="30"/>
      <c r="I429" s="30"/>
      <c r="J429" s="30"/>
    </row>
    <row r="430">
      <c r="B430" s="118"/>
      <c r="F430" s="112"/>
      <c r="G430" s="30"/>
      <c r="H430" s="30"/>
      <c r="I430" s="30"/>
      <c r="J430" s="30"/>
    </row>
    <row r="431">
      <c r="B431" s="118"/>
      <c r="F431" s="112"/>
      <c r="G431" s="30"/>
      <c r="H431" s="30"/>
      <c r="I431" s="30"/>
      <c r="J431" s="30"/>
    </row>
    <row r="432">
      <c r="B432" s="118"/>
      <c r="F432" s="112"/>
      <c r="G432" s="30"/>
      <c r="H432" s="30"/>
      <c r="I432" s="30"/>
      <c r="J432" s="30"/>
    </row>
    <row r="433">
      <c r="B433" s="118"/>
      <c r="F433" s="112"/>
      <c r="G433" s="30"/>
      <c r="H433" s="30"/>
      <c r="I433" s="30"/>
      <c r="J433" s="30"/>
    </row>
    <row r="434">
      <c r="B434" s="118"/>
      <c r="F434" s="112"/>
      <c r="G434" s="30"/>
      <c r="H434" s="30"/>
      <c r="I434" s="30"/>
      <c r="J434" s="30"/>
    </row>
    <row r="435">
      <c r="B435" s="118"/>
      <c r="F435" s="112"/>
      <c r="G435" s="30"/>
      <c r="H435" s="30"/>
      <c r="I435" s="30"/>
      <c r="J435" s="30"/>
    </row>
    <row r="436">
      <c r="B436" s="118"/>
      <c r="F436" s="112"/>
      <c r="G436" s="30"/>
      <c r="H436" s="30"/>
      <c r="I436" s="30"/>
      <c r="J436" s="30"/>
    </row>
    <row r="437">
      <c r="B437" s="118"/>
      <c r="F437" s="112"/>
      <c r="G437" s="30"/>
      <c r="H437" s="30"/>
      <c r="I437" s="30"/>
      <c r="J437" s="30"/>
    </row>
    <row r="438">
      <c r="B438" s="118"/>
      <c r="F438" s="112"/>
      <c r="G438" s="30"/>
      <c r="H438" s="30"/>
      <c r="I438" s="30"/>
      <c r="J438" s="30"/>
    </row>
    <row r="439">
      <c r="B439" s="118"/>
      <c r="F439" s="112"/>
      <c r="G439" s="30"/>
      <c r="H439" s="30"/>
      <c r="I439" s="30"/>
      <c r="J439" s="30"/>
    </row>
    <row r="440">
      <c r="B440" s="118"/>
      <c r="F440" s="112"/>
      <c r="G440" s="30"/>
      <c r="H440" s="30"/>
      <c r="I440" s="30"/>
      <c r="J440" s="30"/>
    </row>
    <row r="441">
      <c r="B441" s="118"/>
      <c r="F441" s="112"/>
      <c r="G441" s="30"/>
      <c r="H441" s="30"/>
      <c r="I441" s="30"/>
      <c r="J441" s="30"/>
    </row>
    <row r="442">
      <c r="B442" s="118"/>
      <c r="F442" s="112"/>
      <c r="G442" s="30"/>
      <c r="H442" s="30"/>
      <c r="I442" s="30"/>
      <c r="J442" s="30"/>
    </row>
    <row r="443">
      <c r="B443" s="118"/>
      <c r="F443" s="112"/>
      <c r="G443" s="30"/>
      <c r="H443" s="30"/>
      <c r="I443" s="30"/>
      <c r="J443" s="30"/>
    </row>
    <row r="444">
      <c r="B444" s="118"/>
      <c r="F444" s="112"/>
      <c r="G444" s="30"/>
      <c r="H444" s="30"/>
      <c r="I444" s="30"/>
      <c r="J444" s="30"/>
    </row>
    <row r="445">
      <c r="B445" s="118"/>
      <c r="F445" s="112"/>
      <c r="G445" s="30"/>
      <c r="H445" s="30"/>
      <c r="I445" s="30"/>
      <c r="J445" s="30"/>
    </row>
    <row r="446">
      <c r="B446" s="118"/>
      <c r="F446" s="112"/>
      <c r="G446" s="30"/>
      <c r="H446" s="30"/>
      <c r="I446" s="30"/>
      <c r="J446" s="30"/>
    </row>
    <row r="447">
      <c r="B447" s="118"/>
      <c r="F447" s="112"/>
      <c r="G447" s="30"/>
      <c r="H447" s="30"/>
      <c r="I447" s="30"/>
      <c r="J447" s="30"/>
    </row>
    <row r="448">
      <c r="B448" s="118"/>
      <c r="F448" s="112"/>
      <c r="G448" s="30"/>
      <c r="H448" s="30"/>
      <c r="I448" s="30"/>
      <c r="J448" s="30"/>
    </row>
    <row r="449">
      <c r="B449" s="118"/>
      <c r="F449" s="112"/>
      <c r="G449" s="30"/>
      <c r="H449" s="30"/>
      <c r="I449" s="30"/>
      <c r="J449" s="30"/>
    </row>
    <row r="450">
      <c r="B450" s="118"/>
      <c r="F450" s="112"/>
      <c r="G450" s="30"/>
      <c r="H450" s="30"/>
      <c r="I450" s="30"/>
      <c r="J450" s="30"/>
    </row>
    <row r="451">
      <c r="B451" s="118"/>
      <c r="F451" s="112"/>
      <c r="G451" s="30"/>
      <c r="H451" s="30"/>
      <c r="I451" s="30"/>
      <c r="J451" s="30"/>
    </row>
    <row r="452">
      <c r="B452" s="118"/>
      <c r="F452" s="112"/>
      <c r="G452" s="30"/>
      <c r="H452" s="30"/>
      <c r="I452" s="30"/>
      <c r="J452" s="30"/>
    </row>
    <row r="453">
      <c r="B453" s="118"/>
      <c r="F453" s="112"/>
      <c r="G453" s="30"/>
      <c r="H453" s="30"/>
      <c r="I453" s="30"/>
      <c r="J453" s="30"/>
    </row>
    <row r="454">
      <c r="B454" s="118"/>
      <c r="F454" s="112"/>
      <c r="G454" s="30"/>
      <c r="H454" s="30"/>
      <c r="I454" s="30"/>
      <c r="J454" s="30"/>
    </row>
    <row r="455">
      <c r="B455" s="118"/>
      <c r="F455" s="112"/>
      <c r="G455" s="30"/>
      <c r="H455" s="30"/>
      <c r="I455" s="30"/>
      <c r="J455" s="30"/>
    </row>
    <row r="456">
      <c r="B456" s="118"/>
      <c r="F456" s="112"/>
      <c r="G456" s="30"/>
      <c r="H456" s="30"/>
      <c r="I456" s="30"/>
      <c r="J456" s="30"/>
    </row>
    <row r="457">
      <c r="B457" s="118"/>
      <c r="F457" s="112"/>
      <c r="G457" s="30"/>
      <c r="H457" s="30"/>
      <c r="I457" s="30"/>
      <c r="J457" s="30"/>
    </row>
    <row r="458">
      <c r="B458" s="118"/>
      <c r="F458" s="112"/>
      <c r="G458" s="30"/>
      <c r="H458" s="30"/>
      <c r="I458" s="30"/>
      <c r="J458" s="30"/>
    </row>
    <row r="459">
      <c r="B459" s="118"/>
      <c r="F459" s="112"/>
      <c r="G459" s="30"/>
      <c r="H459" s="30"/>
      <c r="I459" s="30"/>
      <c r="J459" s="30"/>
    </row>
    <row r="460">
      <c r="B460" s="118"/>
      <c r="F460" s="112"/>
      <c r="G460" s="30"/>
      <c r="H460" s="30"/>
      <c r="I460" s="30"/>
      <c r="J460" s="30"/>
    </row>
    <row r="461">
      <c r="B461" s="118"/>
      <c r="F461" s="112"/>
      <c r="G461" s="30"/>
      <c r="H461" s="30"/>
      <c r="I461" s="30"/>
      <c r="J461" s="30"/>
    </row>
    <row r="462">
      <c r="B462" s="118"/>
      <c r="F462" s="112"/>
      <c r="G462" s="30"/>
      <c r="H462" s="30"/>
      <c r="I462" s="30"/>
      <c r="J462" s="30"/>
    </row>
    <row r="463">
      <c r="B463" s="118"/>
      <c r="F463" s="112"/>
      <c r="G463" s="30"/>
      <c r="H463" s="30"/>
      <c r="I463" s="30"/>
      <c r="J463" s="30"/>
    </row>
    <row r="464">
      <c r="B464" s="118"/>
      <c r="F464" s="112"/>
      <c r="G464" s="30"/>
      <c r="H464" s="30"/>
      <c r="I464" s="30"/>
      <c r="J464" s="30"/>
    </row>
    <row r="465">
      <c r="B465" s="118"/>
      <c r="F465" s="112"/>
      <c r="G465" s="30"/>
      <c r="H465" s="30"/>
      <c r="I465" s="30"/>
      <c r="J465" s="30"/>
    </row>
    <row r="466">
      <c r="B466" s="118"/>
      <c r="F466" s="112"/>
      <c r="G466" s="30"/>
      <c r="H466" s="30"/>
      <c r="I466" s="30"/>
      <c r="J466" s="30"/>
    </row>
    <row r="467">
      <c r="B467" s="118"/>
      <c r="F467" s="112"/>
      <c r="G467" s="30"/>
      <c r="H467" s="30"/>
      <c r="I467" s="30"/>
      <c r="J467" s="30"/>
    </row>
    <row r="468">
      <c r="B468" s="118"/>
      <c r="F468" s="112"/>
      <c r="G468" s="30"/>
      <c r="H468" s="30"/>
      <c r="I468" s="30"/>
      <c r="J468" s="30"/>
    </row>
    <row r="469">
      <c r="B469" s="118"/>
      <c r="F469" s="112"/>
      <c r="G469" s="30"/>
      <c r="H469" s="30"/>
      <c r="I469" s="30"/>
      <c r="J469" s="30"/>
    </row>
    <row r="470">
      <c r="B470" s="118"/>
      <c r="F470" s="112"/>
      <c r="G470" s="30"/>
      <c r="H470" s="30"/>
      <c r="I470" s="30"/>
      <c r="J470" s="30"/>
    </row>
    <row r="471">
      <c r="B471" s="118"/>
      <c r="F471" s="112"/>
      <c r="G471" s="30"/>
      <c r="H471" s="30"/>
      <c r="I471" s="30"/>
      <c r="J471" s="30"/>
    </row>
    <row r="472">
      <c r="B472" s="118"/>
      <c r="F472" s="112"/>
      <c r="G472" s="30"/>
      <c r="H472" s="30"/>
      <c r="I472" s="30"/>
      <c r="J472" s="30"/>
    </row>
    <row r="473">
      <c r="B473" s="118"/>
      <c r="F473" s="112"/>
      <c r="G473" s="30"/>
      <c r="H473" s="30"/>
      <c r="I473" s="30"/>
      <c r="J473" s="30"/>
    </row>
    <row r="474">
      <c r="B474" s="118"/>
      <c r="F474" s="112"/>
      <c r="G474" s="30"/>
      <c r="H474" s="30"/>
      <c r="I474" s="30"/>
      <c r="J474" s="30"/>
    </row>
    <row r="475">
      <c r="B475" s="118"/>
      <c r="F475" s="112"/>
      <c r="G475" s="30"/>
      <c r="H475" s="30"/>
      <c r="I475" s="30"/>
      <c r="J475" s="30"/>
    </row>
    <row r="476">
      <c r="B476" s="118"/>
      <c r="F476" s="112"/>
      <c r="G476" s="30"/>
      <c r="H476" s="30"/>
      <c r="I476" s="30"/>
      <c r="J476" s="30"/>
    </row>
    <row r="477">
      <c r="B477" s="118"/>
      <c r="F477" s="112"/>
      <c r="G477" s="30"/>
      <c r="H477" s="30"/>
      <c r="I477" s="30"/>
      <c r="J477" s="30"/>
    </row>
    <row r="478">
      <c r="B478" s="118"/>
      <c r="F478" s="112"/>
      <c r="G478" s="30"/>
      <c r="H478" s="30"/>
      <c r="I478" s="30"/>
      <c r="J478" s="30"/>
    </row>
    <row r="479">
      <c r="B479" s="118"/>
      <c r="F479" s="112"/>
      <c r="G479" s="30"/>
      <c r="H479" s="30"/>
      <c r="I479" s="30"/>
      <c r="J479" s="30"/>
    </row>
    <row r="480">
      <c r="B480" s="118"/>
      <c r="F480" s="112"/>
      <c r="G480" s="30"/>
      <c r="H480" s="30"/>
      <c r="I480" s="30"/>
      <c r="J480" s="30"/>
    </row>
    <row r="481">
      <c r="B481" s="118"/>
      <c r="F481" s="112"/>
      <c r="G481" s="30"/>
      <c r="H481" s="30"/>
      <c r="I481" s="30"/>
      <c r="J481" s="30"/>
    </row>
    <row r="482">
      <c r="B482" s="118"/>
      <c r="F482" s="112"/>
      <c r="G482" s="30"/>
      <c r="H482" s="30"/>
      <c r="I482" s="30"/>
      <c r="J482" s="30"/>
    </row>
    <row r="483">
      <c r="B483" s="118"/>
      <c r="F483" s="112"/>
      <c r="G483" s="30"/>
      <c r="H483" s="30"/>
      <c r="I483" s="30"/>
      <c r="J483" s="30"/>
    </row>
    <row r="484">
      <c r="B484" s="118"/>
      <c r="F484" s="112"/>
      <c r="G484" s="30"/>
      <c r="H484" s="30"/>
      <c r="I484" s="30"/>
      <c r="J484" s="30"/>
    </row>
    <row r="485">
      <c r="B485" s="118"/>
      <c r="F485" s="112"/>
      <c r="G485" s="30"/>
      <c r="H485" s="30"/>
      <c r="I485" s="30"/>
      <c r="J485" s="30"/>
    </row>
    <row r="486">
      <c r="B486" s="118"/>
      <c r="F486" s="112"/>
      <c r="G486" s="30"/>
      <c r="H486" s="30"/>
      <c r="I486" s="30"/>
      <c r="J486" s="30"/>
    </row>
    <row r="487">
      <c r="B487" s="118"/>
      <c r="F487" s="112"/>
      <c r="G487" s="30"/>
      <c r="H487" s="30"/>
      <c r="I487" s="30"/>
      <c r="J487" s="30"/>
    </row>
    <row r="488">
      <c r="B488" s="118"/>
      <c r="F488" s="112"/>
      <c r="G488" s="30"/>
      <c r="H488" s="30"/>
      <c r="I488" s="30"/>
      <c r="J488" s="30"/>
    </row>
    <row r="489">
      <c r="B489" s="118"/>
      <c r="F489" s="112"/>
      <c r="G489" s="30"/>
      <c r="H489" s="30"/>
      <c r="I489" s="30"/>
      <c r="J489" s="30"/>
    </row>
    <row r="490">
      <c r="B490" s="118"/>
      <c r="F490" s="112"/>
      <c r="G490" s="30"/>
      <c r="H490" s="30"/>
      <c r="I490" s="30"/>
      <c r="J490" s="30"/>
    </row>
    <row r="491">
      <c r="B491" s="118"/>
      <c r="F491" s="112"/>
      <c r="G491" s="30"/>
      <c r="H491" s="30"/>
      <c r="I491" s="30"/>
      <c r="J491" s="30"/>
    </row>
    <row r="492">
      <c r="B492" s="118"/>
      <c r="F492" s="112"/>
      <c r="G492" s="30"/>
      <c r="H492" s="30"/>
      <c r="I492" s="30"/>
      <c r="J492" s="30"/>
    </row>
    <row r="493">
      <c r="B493" s="118"/>
      <c r="F493" s="112"/>
      <c r="G493" s="30"/>
      <c r="H493" s="30"/>
      <c r="I493" s="30"/>
      <c r="J493" s="30"/>
    </row>
    <row r="494">
      <c r="B494" s="118"/>
      <c r="F494" s="112"/>
      <c r="G494" s="30"/>
      <c r="H494" s="30"/>
      <c r="I494" s="30"/>
      <c r="J494" s="30"/>
    </row>
    <row r="495">
      <c r="B495" s="118"/>
      <c r="F495" s="112"/>
      <c r="G495" s="30"/>
      <c r="H495" s="30"/>
      <c r="I495" s="30"/>
      <c r="J495" s="30"/>
    </row>
    <row r="496">
      <c r="B496" s="118"/>
      <c r="F496" s="112"/>
      <c r="G496" s="30"/>
      <c r="H496" s="30"/>
      <c r="I496" s="30"/>
      <c r="J496" s="30"/>
    </row>
    <row r="497">
      <c r="B497" s="118"/>
      <c r="F497" s="112"/>
      <c r="G497" s="30"/>
      <c r="H497" s="30"/>
      <c r="I497" s="30"/>
      <c r="J497" s="30"/>
    </row>
    <row r="498">
      <c r="B498" s="118"/>
      <c r="F498" s="112"/>
      <c r="G498" s="30"/>
      <c r="H498" s="30"/>
      <c r="I498" s="30"/>
      <c r="J498" s="30"/>
    </row>
    <row r="499">
      <c r="B499" s="118"/>
      <c r="F499" s="112"/>
      <c r="G499" s="30"/>
      <c r="H499" s="30"/>
      <c r="I499" s="30"/>
      <c r="J499" s="30"/>
    </row>
    <row r="500">
      <c r="B500" s="118"/>
      <c r="F500" s="112"/>
      <c r="G500" s="30"/>
      <c r="H500" s="30"/>
      <c r="I500" s="30"/>
      <c r="J500" s="30"/>
    </row>
    <row r="501">
      <c r="B501" s="118"/>
      <c r="F501" s="112"/>
      <c r="G501" s="30"/>
      <c r="H501" s="30"/>
      <c r="I501" s="30"/>
      <c r="J501" s="30"/>
    </row>
    <row r="502">
      <c r="B502" s="118"/>
      <c r="F502" s="112"/>
      <c r="G502" s="30"/>
      <c r="H502" s="30"/>
      <c r="I502" s="30"/>
      <c r="J502" s="30"/>
    </row>
    <row r="503">
      <c r="B503" s="118"/>
      <c r="F503" s="112"/>
      <c r="G503" s="30"/>
      <c r="H503" s="30"/>
      <c r="I503" s="30"/>
      <c r="J503" s="30"/>
    </row>
    <row r="504">
      <c r="B504" s="118"/>
      <c r="F504" s="112"/>
      <c r="G504" s="30"/>
      <c r="H504" s="30"/>
      <c r="I504" s="30"/>
      <c r="J504" s="30"/>
    </row>
    <row r="505">
      <c r="B505" s="118"/>
      <c r="F505" s="112"/>
      <c r="G505" s="30"/>
      <c r="H505" s="30"/>
      <c r="I505" s="30"/>
      <c r="J505" s="30"/>
    </row>
    <row r="506">
      <c r="B506" s="118"/>
      <c r="F506" s="112"/>
      <c r="G506" s="30"/>
      <c r="H506" s="30"/>
      <c r="I506" s="30"/>
      <c r="J506" s="30"/>
    </row>
    <row r="507">
      <c r="B507" s="118"/>
      <c r="F507" s="112"/>
      <c r="G507" s="30"/>
      <c r="H507" s="30"/>
      <c r="I507" s="30"/>
      <c r="J507" s="30"/>
    </row>
    <row r="508">
      <c r="B508" s="118"/>
      <c r="F508" s="112"/>
      <c r="G508" s="30"/>
      <c r="H508" s="30"/>
      <c r="I508" s="30"/>
      <c r="J508" s="30"/>
    </row>
    <row r="509">
      <c r="B509" s="118"/>
      <c r="F509" s="112"/>
      <c r="G509" s="30"/>
      <c r="H509" s="30"/>
      <c r="I509" s="30"/>
      <c r="J509" s="30"/>
    </row>
    <row r="510">
      <c r="B510" s="118"/>
      <c r="F510" s="112"/>
      <c r="G510" s="30"/>
      <c r="H510" s="30"/>
      <c r="I510" s="30"/>
      <c r="J510" s="30"/>
    </row>
    <row r="511">
      <c r="B511" s="118"/>
      <c r="F511" s="112"/>
      <c r="G511" s="30"/>
      <c r="H511" s="30"/>
      <c r="I511" s="30"/>
      <c r="J511" s="30"/>
    </row>
    <row r="512">
      <c r="B512" s="118"/>
      <c r="F512" s="112"/>
      <c r="G512" s="30"/>
      <c r="H512" s="30"/>
      <c r="I512" s="30"/>
      <c r="J512" s="30"/>
    </row>
    <row r="513">
      <c r="B513" s="118"/>
      <c r="F513" s="112"/>
      <c r="G513" s="30"/>
      <c r="H513" s="30"/>
      <c r="I513" s="30"/>
      <c r="J513" s="30"/>
    </row>
    <row r="514">
      <c r="B514" s="118"/>
      <c r="F514" s="112"/>
      <c r="G514" s="30"/>
      <c r="H514" s="30"/>
      <c r="I514" s="30"/>
      <c r="J514" s="30"/>
    </row>
    <row r="515">
      <c r="B515" s="118"/>
      <c r="F515" s="112"/>
      <c r="G515" s="30"/>
      <c r="H515" s="30"/>
      <c r="I515" s="30"/>
      <c r="J515" s="30"/>
    </row>
    <row r="516">
      <c r="B516" s="118"/>
      <c r="F516" s="112"/>
      <c r="G516" s="30"/>
      <c r="H516" s="30"/>
      <c r="I516" s="30"/>
      <c r="J516" s="30"/>
    </row>
    <row r="517">
      <c r="B517" s="118"/>
      <c r="F517" s="112"/>
      <c r="G517" s="30"/>
      <c r="H517" s="30"/>
      <c r="I517" s="30"/>
      <c r="J517" s="30"/>
    </row>
    <row r="518">
      <c r="B518" s="118"/>
      <c r="F518" s="112"/>
      <c r="G518" s="30"/>
      <c r="H518" s="30"/>
      <c r="I518" s="30"/>
      <c r="J518" s="30"/>
    </row>
    <row r="519">
      <c r="B519" s="118"/>
      <c r="F519" s="112"/>
      <c r="G519" s="30"/>
      <c r="H519" s="30"/>
      <c r="I519" s="30"/>
      <c r="J519" s="30"/>
    </row>
    <row r="520">
      <c r="B520" s="118"/>
      <c r="F520" s="112"/>
      <c r="G520" s="30"/>
      <c r="H520" s="30"/>
      <c r="I520" s="30"/>
      <c r="J520" s="30"/>
    </row>
    <row r="521">
      <c r="B521" s="118"/>
      <c r="F521" s="112"/>
      <c r="G521" s="30"/>
      <c r="H521" s="30"/>
      <c r="I521" s="30"/>
      <c r="J521" s="30"/>
    </row>
    <row r="522">
      <c r="B522" s="118"/>
      <c r="F522" s="112"/>
      <c r="G522" s="30"/>
      <c r="H522" s="30"/>
      <c r="I522" s="30"/>
      <c r="J522" s="30"/>
    </row>
    <row r="523">
      <c r="B523" s="118"/>
      <c r="F523" s="112"/>
      <c r="G523" s="30"/>
      <c r="H523" s="30"/>
      <c r="I523" s="30"/>
      <c r="J523" s="30"/>
    </row>
    <row r="524">
      <c r="B524" s="118"/>
      <c r="F524" s="112"/>
      <c r="G524" s="30"/>
      <c r="H524" s="30"/>
      <c r="I524" s="30"/>
      <c r="J524" s="30"/>
    </row>
    <row r="525">
      <c r="B525" s="118"/>
      <c r="F525" s="112"/>
      <c r="G525" s="30"/>
      <c r="H525" s="30"/>
      <c r="I525" s="30"/>
      <c r="J525" s="30"/>
    </row>
    <row r="526">
      <c r="B526" s="118"/>
      <c r="F526" s="112"/>
      <c r="G526" s="30"/>
      <c r="H526" s="30"/>
      <c r="I526" s="30"/>
      <c r="J526" s="30"/>
    </row>
    <row r="527">
      <c r="B527" s="118"/>
      <c r="F527" s="112"/>
      <c r="G527" s="30"/>
      <c r="H527" s="30"/>
      <c r="I527" s="30"/>
      <c r="J527" s="30"/>
    </row>
    <row r="528">
      <c r="B528" s="118"/>
      <c r="F528" s="112"/>
      <c r="G528" s="30"/>
      <c r="H528" s="30"/>
      <c r="I528" s="30"/>
      <c r="J528" s="30"/>
    </row>
    <row r="529">
      <c r="B529" s="118"/>
      <c r="F529" s="112"/>
      <c r="G529" s="30"/>
      <c r="H529" s="30"/>
      <c r="I529" s="30"/>
      <c r="J529" s="30"/>
    </row>
    <row r="530">
      <c r="B530" s="118"/>
      <c r="F530" s="112"/>
      <c r="G530" s="30"/>
      <c r="H530" s="30"/>
      <c r="I530" s="30"/>
      <c r="J530" s="30"/>
    </row>
    <row r="531">
      <c r="B531" s="118"/>
      <c r="F531" s="112"/>
      <c r="G531" s="30"/>
      <c r="H531" s="30"/>
      <c r="I531" s="30"/>
      <c r="J531" s="30"/>
    </row>
    <row r="532">
      <c r="B532" s="118"/>
      <c r="F532" s="112"/>
      <c r="G532" s="30"/>
      <c r="H532" s="30"/>
      <c r="I532" s="30"/>
      <c r="J532" s="30"/>
    </row>
    <row r="533">
      <c r="B533" s="118"/>
      <c r="F533" s="112"/>
      <c r="G533" s="30"/>
      <c r="H533" s="30"/>
      <c r="I533" s="30"/>
      <c r="J533" s="30"/>
    </row>
    <row r="534">
      <c r="B534" s="118"/>
      <c r="F534" s="112"/>
      <c r="G534" s="30"/>
      <c r="H534" s="30"/>
      <c r="I534" s="30"/>
      <c r="J534" s="30"/>
    </row>
    <row r="535">
      <c r="B535" s="118"/>
      <c r="F535" s="112"/>
      <c r="G535" s="30"/>
      <c r="H535" s="30"/>
      <c r="I535" s="30"/>
      <c r="J535" s="30"/>
    </row>
    <row r="536">
      <c r="B536" s="118"/>
      <c r="F536" s="112"/>
      <c r="G536" s="30"/>
      <c r="H536" s="30"/>
      <c r="I536" s="30"/>
      <c r="J536" s="30"/>
    </row>
    <row r="537">
      <c r="B537" s="118"/>
      <c r="F537" s="112"/>
      <c r="G537" s="30"/>
      <c r="H537" s="30"/>
      <c r="I537" s="30"/>
      <c r="J537" s="30"/>
    </row>
    <row r="538">
      <c r="B538" s="118"/>
      <c r="F538" s="112"/>
      <c r="G538" s="30"/>
      <c r="H538" s="30"/>
      <c r="I538" s="30"/>
      <c r="J538" s="30"/>
    </row>
    <row r="539">
      <c r="B539" s="118"/>
      <c r="F539" s="112"/>
      <c r="G539" s="30"/>
      <c r="H539" s="30"/>
      <c r="I539" s="30"/>
      <c r="J539" s="30"/>
    </row>
    <row r="540">
      <c r="B540" s="118"/>
      <c r="F540" s="112"/>
      <c r="G540" s="30"/>
      <c r="H540" s="30"/>
      <c r="I540" s="30"/>
      <c r="J540" s="30"/>
    </row>
    <row r="541">
      <c r="B541" s="118"/>
      <c r="F541" s="112"/>
      <c r="G541" s="30"/>
      <c r="H541" s="30"/>
      <c r="I541" s="30"/>
      <c r="J541" s="30"/>
    </row>
    <row r="542">
      <c r="B542" s="118"/>
      <c r="F542" s="112"/>
      <c r="G542" s="30"/>
      <c r="H542" s="30"/>
      <c r="I542" s="30"/>
      <c r="J542" s="30"/>
    </row>
    <row r="543">
      <c r="B543" s="118"/>
      <c r="F543" s="112"/>
      <c r="G543" s="30"/>
      <c r="H543" s="30"/>
      <c r="I543" s="30"/>
      <c r="J543" s="30"/>
    </row>
    <row r="544">
      <c r="B544" s="118"/>
      <c r="F544" s="112"/>
      <c r="G544" s="30"/>
      <c r="H544" s="30"/>
      <c r="I544" s="30"/>
      <c r="J544" s="30"/>
    </row>
    <row r="545">
      <c r="B545" s="118"/>
      <c r="F545" s="112"/>
      <c r="G545" s="30"/>
      <c r="H545" s="30"/>
      <c r="I545" s="30"/>
      <c r="J545" s="30"/>
    </row>
    <row r="546">
      <c r="B546" s="118"/>
      <c r="F546" s="112"/>
      <c r="G546" s="30"/>
      <c r="H546" s="30"/>
      <c r="I546" s="30"/>
      <c r="J546" s="30"/>
    </row>
    <row r="547">
      <c r="B547" s="118"/>
      <c r="F547" s="112"/>
      <c r="G547" s="30"/>
      <c r="H547" s="30"/>
      <c r="I547" s="30"/>
      <c r="J547" s="30"/>
    </row>
    <row r="548">
      <c r="B548" s="118"/>
      <c r="F548" s="112"/>
      <c r="G548" s="30"/>
      <c r="H548" s="30"/>
      <c r="I548" s="30"/>
      <c r="J548" s="30"/>
    </row>
    <row r="549">
      <c r="B549" s="118"/>
      <c r="F549" s="112"/>
      <c r="G549" s="30"/>
      <c r="H549" s="30"/>
      <c r="I549" s="30"/>
      <c r="J549" s="30"/>
    </row>
    <row r="550">
      <c r="B550" s="118"/>
      <c r="F550" s="112"/>
      <c r="G550" s="30"/>
      <c r="H550" s="30"/>
      <c r="I550" s="30"/>
      <c r="J550" s="30"/>
    </row>
    <row r="551">
      <c r="B551" s="118"/>
      <c r="F551" s="112"/>
      <c r="G551" s="30"/>
      <c r="H551" s="30"/>
      <c r="I551" s="30"/>
      <c r="J551" s="30"/>
    </row>
    <row r="552">
      <c r="B552" s="118"/>
      <c r="F552" s="112"/>
      <c r="G552" s="30"/>
      <c r="H552" s="30"/>
      <c r="I552" s="30"/>
      <c r="J552" s="30"/>
    </row>
    <row r="553">
      <c r="B553" s="118"/>
      <c r="F553" s="112"/>
      <c r="G553" s="30"/>
      <c r="H553" s="30"/>
      <c r="I553" s="30"/>
      <c r="J553" s="30"/>
    </row>
    <row r="554">
      <c r="B554" s="118"/>
      <c r="F554" s="112"/>
      <c r="G554" s="30"/>
      <c r="H554" s="30"/>
      <c r="I554" s="30"/>
      <c r="J554" s="30"/>
    </row>
    <row r="555">
      <c r="B555" s="118"/>
      <c r="F555" s="112"/>
      <c r="G555" s="30"/>
      <c r="H555" s="30"/>
      <c r="I555" s="30"/>
      <c r="J555" s="30"/>
    </row>
    <row r="556">
      <c r="B556" s="118"/>
      <c r="F556" s="112"/>
      <c r="G556" s="30"/>
      <c r="H556" s="30"/>
      <c r="I556" s="30"/>
      <c r="J556" s="30"/>
    </row>
    <row r="557">
      <c r="B557" s="118"/>
      <c r="F557" s="112"/>
      <c r="G557" s="30"/>
      <c r="H557" s="30"/>
      <c r="I557" s="30"/>
      <c r="J557" s="30"/>
    </row>
    <row r="558">
      <c r="B558" s="118"/>
      <c r="F558" s="112"/>
      <c r="G558" s="30"/>
      <c r="H558" s="30"/>
      <c r="I558" s="30"/>
      <c r="J558" s="30"/>
    </row>
    <row r="559">
      <c r="B559" s="118"/>
      <c r="F559" s="112"/>
      <c r="G559" s="30"/>
      <c r="H559" s="30"/>
      <c r="I559" s="30"/>
      <c r="J559" s="30"/>
    </row>
    <row r="560">
      <c r="B560" s="118"/>
      <c r="F560" s="112"/>
      <c r="G560" s="30"/>
      <c r="H560" s="30"/>
      <c r="I560" s="30"/>
      <c r="J560" s="30"/>
    </row>
    <row r="561">
      <c r="B561" s="118"/>
      <c r="F561" s="112"/>
      <c r="G561" s="30"/>
      <c r="H561" s="30"/>
      <c r="I561" s="30"/>
      <c r="J561" s="30"/>
    </row>
    <row r="562">
      <c r="B562" s="118"/>
      <c r="F562" s="112"/>
      <c r="G562" s="30"/>
      <c r="H562" s="30"/>
      <c r="I562" s="30"/>
      <c r="J562" s="30"/>
    </row>
    <row r="563">
      <c r="B563" s="118"/>
      <c r="F563" s="112"/>
      <c r="G563" s="30"/>
      <c r="H563" s="30"/>
      <c r="I563" s="30"/>
      <c r="J563" s="30"/>
    </row>
    <row r="564">
      <c r="B564" s="118"/>
      <c r="F564" s="112"/>
      <c r="G564" s="30"/>
      <c r="H564" s="30"/>
      <c r="I564" s="30"/>
      <c r="J564" s="30"/>
    </row>
    <row r="565">
      <c r="B565" s="118"/>
      <c r="F565" s="112"/>
      <c r="G565" s="30"/>
      <c r="H565" s="30"/>
      <c r="I565" s="30"/>
      <c r="J565" s="30"/>
    </row>
    <row r="566">
      <c r="B566" s="118"/>
      <c r="F566" s="112"/>
      <c r="G566" s="30"/>
      <c r="H566" s="30"/>
      <c r="I566" s="30"/>
      <c r="J566" s="30"/>
    </row>
    <row r="567">
      <c r="B567" s="118"/>
      <c r="F567" s="112"/>
      <c r="G567" s="30"/>
      <c r="H567" s="30"/>
      <c r="I567" s="30"/>
      <c r="J567" s="30"/>
    </row>
    <row r="568">
      <c r="B568" s="118"/>
      <c r="F568" s="112"/>
      <c r="G568" s="30"/>
      <c r="H568" s="30"/>
      <c r="I568" s="30"/>
      <c r="J568" s="30"/>
    </row>
    <row r="569">
      <c r="B569" s="118"/>
      <c r="F569" s="112"/>
      <c r="G569" s="30"/>
      <c r="H569" s="30"/>
      <c r="I569" s="30"/>
      <c r="J569" s="30"/>
    </row>
    <row r="570">
      <c r="B570" s="118"/>
      <c r="F570" s="112"/>
      <c r="G570" s="30"/>
      <c r="H570" s="30"/>
      <c r="I570" s="30"/>
      <c r="J570" s="30"/>
    </row>
    <row r="571">
      <c r="B571" s="118"/>
      <c r="F571" s="112"/>
      <c r="G571" s="30"/>
      <c r="H571" s="30"/>
      <c r="I571" s="30"/>
      <c r="J571" s="30"/>
    </row>
    <row r="572">
      <c r="B572" s="118"/>
      <c r="F572" s="112"/>
      <c r="G572" s="30"/>
      <c r="H572" s="30"/>
      <c r="I572" s="30"/>
      <c r="J572" s="30"/>
    </row>
    <row r="573">
      <c r="B573" s="118"/>
      <c r="F573" s="112"/>
      <c r="G573" s="30"/>
      <c r="H573" s="30"/>
      <c r="I573" s="30"/>
      <c r="J573" s="30"/>
    </row>
    <row r="574">
      <c r="B574" s="118"/>
      <c r="F574" s="112"/>
      <c r="G574" s="30"/>
      <c r="H574" s="30"/>
      <c r="I574" s="30"/>
      <c r="J574" s="30"/>
    </row>
    <row r="575">
      <c r="B575" s="118"/>
      <c r="F575" s="112"/>
      <c r="G575" s="30"/>
      <c r="H575" s="30"/>
      <c r="I575" s="30"/>
      <c r="J575" s="30"/>
    </row>
    <row r="576">
      <c r="B576" s="118"/>
      <c r="F576" s="112"/>
      <c r="G576" s="30"/>
      <c r="H576" s="30"/>
      <c r="I576" s="30"/>
      <c r="J576" s="30"/>
    </row>
    <row r="577">
      <c r="B577" s="118"/>
      <c r="F577" s="112"/>
      <c r="G577" s="30"/>
      <c r="H577" s="30"/>
      <c r="I577" s="30"/>
      <c r="J577" s="30"/>
    </row>
    <row r="578">
      <c r="B578" s="118"/>
      <c r="F578" s="112"/>
      <c r="G578" s="30"/>
      <c r="H578" s="30"/>
      <c r="I578" s="30"/>
      <c r="J578" s="30"/>
    </row>
    <row r="579">
      <c r="B579" s="118"/>
      <c r="F579" s="112"/>
      <c r="G579" s="30"/>
      <c r="H579" s="30"/>
      <c r="I579" s="30"/>
      <c r="J579" s="30"/>
    </row>
    <row r="580">
      <c r="B580" s="118"/>
      <c r="F580" s="112"/>
      <c r="G580" s="30"/>
      <c r="H580" s="30"/>
      <c r="I580" s="30"/>
      <c r="J580" s="30"/>
    </row>
    <row r="581">
      <c r="B581" s="118"/>
      <c r="F581" s="112"/>
      <c r="G581" s="30"/>
      <c r="H581" s="30"/>
      <c r="I581" s="30"/>
      <c r="J581" s="30"/>
    </row>
    <row r="582">
      <c r="B582" s="118"/>
      <c r="F582" s="112"/>
      <c r="G582" s="30"/>
      <c r="H582" s="30"/>
      <c r="I582" s="30"/>
      <c r="J582" s="30"/>
    </row>
    <row r="583">
      <c r="B583" s="118"/>
      <c r="F583" s="112"/>
      <c r="G583" s="30"/>
      <c r="H583" s="30"/>
      <c r="I583" s="30"/>
      <c r="J583" s="30"/>
    </row>
    <row r="584">
      <c r="B584" s="118"/>
      <c r="F584" s="112"/>
      <c r="G584" s="30"/>
      <c r="H584" s="30"/>
      <c r="I584" s="30"/>
      <c r="J584" s="30"/>
    </row>
    <row r="585">
      <c r="B585" s="118"/>
      <c r="F585" s="112"/>
      <c r="G585" s="30"/>
      <c r="H585" s="30"/>
      <c r="I585" s="30"/>
      <c r="J585" s="30"/>
    </row>
    <row r="586">
      <c r="B586" s="118"/>
      <c r="F586" s="112"/>
      <c r="G586" s="30"/>
      <c r="H586" s="30"/>
      <c r="I586" s="30"/>
      <c r="J586" s="30"/>
    </row>
    <row r="587">
      <c r="B587" s="118"/>
      <c r="F587" s="112"/>
      <c r="G587" s="30"/>
      <c r="H587" s="30"/>
      <c r="I587" s="30"/>
      <c r="J587" s="30"/>
    </row>
    <row r="588">
      <c r="B588" s="118"/>
      <c r="F588" s="112"/>
      <c r="G588" s="30"/>
      <c r="H588" s="30"/>
      <c r="I588" s="30"/>
      <c r="J588" s="30"/>
    </row>
    <row r="589">
      <c r="B589" s="118"/>
      <c r="F589" s="112"/>
      <c r="G589" s="30"/>
      <c r="H589" s="30"/>
      <c r="I589" s="30"/>
      <c r="J589" s="30"/>
    </row>
    <row r="590">
      <c r="B590" s="118"/>
      <c r="F590" s="112"/>
      <c r="G590" s="30"/>
      <c r="H590" s="30"/>
      <c r="I590" s="30"/>
      <c r="J590" s="30"/>
    </row>
    <row r="591">
      <c r="B591" s="118"/>
      <c r="F591" s="112"/>
      <c r="G591" s="30"/>
      <c r="H591" s="30"/>
      <c r="I591" s="30"/>
      <c r="J591" s="30"/>
    </row>
    <row r="592">
      <c r="B592" s="118"/>
      <c r="F592" s="112"/>
      <c r="G592" s="30"/>
      <c r="H592" s="30"/>
      <c r="I592" s="30"/>
      <c r="J592" s="30"/>
    </row>
    <row r="593">
      <c r="B593" s="118"/>
      <c r="F593" s="112"/>
      <c r="G593" s="30"/>
      <c r="H593" s="30"/>
      <c r="I593" s="30"/>
      <c r="J593" s="30"/>
    </row>
    <row r="594">
      <c r="B594" s="118"/>
      <c r="F594" s="112"/>
      <c r="G594" s="30"/>
      <c r="H594" s="30"/>
      <c r="I594" s="30"/>
      <c r="J594" s="30"/>
    </row>
    <row r="595">
      <c r="B595" s="118"/>
      <c r="F595" s="112"/>
      <c r="G595" s="30"/>
      <c r="H595" s="30"/>
      <c r="I595" s="30"/>
      <c r="J595" s="30"/>
    </row>
    <row r="596">
      <c r="B596" s="118"/>
      <c r="F596" s="112"/>
      <c r="G596" s="30"/>
      <c r="H596" s="30"/>
      <c r="I596" s="30"/>
      <c r="J596" s="30"/>
    </row>
    <row r="597">
      <c r="B597" s="118"/>
      <c r="F597" s="112"/>
      <c r="G597" s="30"/>
      <c r="H597" s="30"/>
      <c r="I597" s="30"/>
      <c r="J597" s="30"/>
    </row>
    <row r="598">
      <c r="B598" s="118"/>
      <c r="F598" s="112"/>
      <c r="G598" s="30"/>
      <c r="H598" s="30"/>
      <c r="I598" s="30"/>
      <c r="J598" s="30"/>
    </row>
    <row r="599">
      <c r="B599" s="118"/>
      <c r="F599" s="112"/>
      <c r="G599" s="30"/>
      <c r="H599" s="30"/>
      <c r="I599" s="30"/>
      <c r="J599" s="30"/>
    </row>
    <row r="600">
      <c r="B600" s="118"/>
      <c r="F600" s="112"/>
      <c r="G600" s="30"/>
      <c r="H600" s="30"/>
      <c r="I600" s="30"/>
      <c r="J600" s="30"/>
    </row>
    <row r="601">
      <c r="B601" s="118"/>
      <c r="F601" s="112"/>
      <c r="G601" s="30"/>
      <c r="H601" s="30"/>
      <c r="I601" s="30"/>
      <c r="J601" s="30"/>
    </row>
    <row r="602">
      <c r="B602" s="118"/>
      <c r="F602" s="112"/>
      <c r="G602" s="30"/>
      <c r="H602" s="30"/>
      <c r="I602" s="30"/>
      <c r="J602" s="30"/>
    </row>
    <row r="603">
      <c r="B603" s="118"/>
      <c r="F603" s="112"/>
      <c r="G603" s="30"/>
      <c r="H603" s="30"/>
      <c r="I603" s="30"/>
      <c r="J603" s="30"/>
    </row>
    <row r="604">
      <c r="B604" s="118"/>
      <c r="F604" s="112"/>
      <c r="G604" s="30"/>
      <c r="H604" s="30"/>
      <c r="I604" s="30"/>
      <c r="J604" s="30"/>
    </row>
    <row r="605">
      <c r="B605" s="118"/>
      <c r="F605" s="112"/>
      <c r="G605" s="30"/>
      <c r="H605" s="30"/>
      <c r="I605" s="30"/>
      <c r="J605" s="30"/>
    </row>
    <row r="606">
      <c r="B606" s="118"/>
      <c r="F606" s="112"/>
      <c r="G606" s="30"/>
      <c r="H606" s="30"/>
      <c r="I606" s="30"/>
      <c r="J606" s="30"/>
    </row>
    <row r="607">
      <c r="B607" s="118"/>
      <c r="F607" s="112"/>
      <c r="G607" s="30"/>
      <c r="H607" s="30"/>
      <c r="I607" s="30"/>
      <c r="J607" s="30"/>
    </row>
    <row r="608">
      <c r="B608" s="118"/>
      <c r="F608" s="112"/>
      <c r="G608" s="30"/>
      <c r="H608" s="30"/>
      <c r="I608" s="30"/>
      <c r="J608" s="30"/>
    </row>
    <row r="609">
      <c r="B609" s="118"/>
      <c r="F609" s="112"/>
      <c r="G609" s="30"/>
      <c r="H609" s="30"/>
      <c r="I609" s="30"/>
      <c r="J609" s="30"/>
    </row>
    <row r="610">
      <c r="B610" s="118"/>
      <c r="F610" s="112"/>
      <c r="G610" s="30"/>
      <c r="H610" s="30"/>
      <c r="I610" s="30"/>
      <c r="J610" s="30"/>
    </row>
    <row r="611">
      <c r="B611" s="118"/>
      <c r="F611" s="112"/>
      <c r="G611" s="30"/>
      <c r="H611" s="30"/>
      <c r="I611" s="30"/>
      <c r="J611" s="30"/>
    </row>
    <row r="612">
      <c r="B612" s="118"/>
      <c r="F612" s="112"/>
      <c r="G612" s="30"/>
      <c r="H612" s="30"/>
      <c r="I612" s="30"/>
      <c r="J612" s="30"/>
    </row>
    <row r="613">
      <c r="B613" s="118"/>
      <c r="F613" s="112"/>
      <c r="G613" s="30"/>
      <c r="H613" s="30"/>
      <c r="I613" s="30"/>
      <c r="J613" s="30"/>
    </row>
    <row r="614">
      <c r="B614" s="118"/>
      <c r="F614" s="112"/>
      <c r="G614" s="30"/>
      <c r="H614" s="30"/>
      <c r="I614" s="30"/>
      <c r="J614" s="30"/>
    </row>
    <row r="615">
      <c r="B615" s="118"/>
      <c r="F615" s="112"/>
      <c r="G615" s="30"/>
      <c r="H615" s="30"/>
      <c r="I615" s="30"/>
      <c r="J615" s="30"/>
    </row>
    <row r="616">
      <c r="B616" s="118"/>
      <c r="F616" s="112"/>
      <c r="G616" s="30"/>
      <c r="H616" s="30"/>
      <c r="I616" s="30"/>
      <c r="J616" s="30"/>
    </row>
    <row r="617">
      <c r="B617" s="118"/>
      <c r="F617" s="112"/>
      <c r="G617" s="30"/>
      <c r="H617" s="30"/>
      <c r="I617" s="30"/>
      <c r="J617" s="30"/>
    </row>
    <row r="618">
      <c r="B618" s="118"/>
      <c r="F618" s="112"/>
      <c r="G618" s="30"/>
      <c r="H618" s="30"/>
      <c r="I618" s="30"/>
      <c r="J618" s="30"/>
    </row>
    <row r="619">
      <c r="B619" s="118"/>
      <c r="F619" s="112"/>
      <c r="G619" s="30"/>
      <c r="H619" s="30"/>
      <c r="I619" s="30"/>
      <c r="J619" s="30"/>
    </row>
    <row r="620">
      <c r="B620" s="118"/>
      <c r="F620" s="112"/>
      <c r="G620" s="30"/>
      <c r="H620" s="30"/>
      <c r="I620" s="30"/>
      <c r="J620" s="30"/>
    </row>
    <row r="621">
      <c r="B621" s="118"/>
      <c r="F621" s="112"/>
      <c r="G621" s="30"/>
      <c r="H621" s="30"/>
      <c r="I621" s="30"/>
      <c r="J621" s="30"/>
    </row>
    <row r="622">
      <c r="B622" s="118"/>
      <c r="F622" s="112"/>
      <c r="G622" s="30"/>
      <c r="H622" s="30"/>
      <c r="I622" s="30"/>
      <c r="J622" s="30"/>
    </row>
    <row r="623">
      <c r="B623" s="118"/>
      <c r="F623" s="112"/>
      <c r="G623" s="30"/>
      <c r="H623" s="30"/>
      <c r="I623" s="30"/>
      <c r="J623" s="30"/>
    </row>
    <row r="624">
      <c r="B624" s="118"/>
      <c r="F624" s="112"/>
      <c r="G624" s="30"/>
      <c r="H624" s="30"/>
      <c r="I624" s="30"/>
      <c r="J624" s="30"/>
    </row>
    <row r="625">
      <c r="B625" s="118"/>
      <c r="F625" s="112"/>
      <c r="G625" s="30"/>
      <c r="H625" s="30"/>
      <c r="I625" s="30"/>
      <c r="J625" s="30"/>
    </row>
    <row r="626">
      <c r="B626" s="118"/>
      <c r="F626" s="112"/>
      <c r="G626" s="30"/>
      <c r="H626" s="30"/>
      <c r="I626" s="30"/>
      <c r="J626" s="30"/>
    </row>
    <row r="627">
      <c r="B627" s="118"/>
      <c r="F627" s="112"/>
      <c r="G627" s="30"/>
      <c r="H627" s="30"/>
      <c r="I627" s="30"/>
      <c r="J627" s="30"/>
    </row>
    <row r="628">
      <c r="B628" s="118"/>
      <c r="F628" s="112"/>
      <c r="G628" s="30"/>
      <c r="H628" s="30"/>
      <c r="I628" s="30"/>
      <c r="J628" s="30"/>
    </row>
    <row r="629">
      <c r="B629" s="118"/>
      <c r="F629" s="112"/>
      <c r="G629" s="30"/>
      <c r="H629" s="30"/>
      <c r="I629" s="30"/>
      <c r="J629" s="30"/>
    </row>
    <row r="630">
      <c r="B630" s="118"/>
      <c r="F630" s="112"/>
      <c r="G630" s="30"/>
      <c r="H630" s="30"/>
      <c r="I630" s="30"/>
      <c r="J630" s="30"/>
    </row>
    <row r="631">
      <c r="B631" s="118"/>
      <c r="F631" s="112"/>
      <c r="G631" s="30"/>
      <c r="H631" s="30"/>
      <c r="I631" s="30"/>
      <c r="J631" s="30"/>
    </row>
    <row r="632">
      <c r="B632" s="118"/>
      <c r="F632" s="112"/>
      <c r="G632" s="30"/>
      <c r="H632" s="30"/>
      <c r="I632" s="30"/>
      <c r="J632" s="30"/>
    </row>
    <row r="633">
      <c r="B633" s="118"/>
      <c r="F633" s="112"/>
      <c r="G633" s="30"/>
      <c r="H633" s="30"/>
      <c r="I633" s="30"/>
      <c r="J633" s="30"/>
    </row>
    <row r="634">
      <c r="B634" s="118"/>
      <c r="F634" s="112"/>
      <c r="G634" s="30"/>
      <c r="H634" s="30"/>
      <c r="I634" s="30"/>
      <c r="J634" s="30"/>
    </row>
    <row r="635">
      <c r="B635" s="118"/>
      <c r="F635" s="112"/>
      <c r="G635" s="30"/>
      <c r="H635" s="30"/>
      <c r="I635" s="30"/>
      <c r="J635" s="30"/>
    </row>
    <row r="636">
      <c r="B636" s="118"/>
      <c r="F636" s="112"/>
      <c r="G636" s="30"/>
      <c r="H636" s="30"/>
      <c r="I636" s="30"/>
      <c r="J636" s="30"/>
    </row>
    <row r="637">
      <c r="B637" s="118"/>
      <c r="F637" s="112"/>
      <c r="G637" s="30"/>
      <c r="H637" s="30"/>
      <c r="I637" s="30"/>
      <c r="J637" s="30"/>
    </row>
    <row r="638">
      <c r="B638" s="118"/>
      <c r="F638" s="112"/>
      <c r="G638" s="30"/>
      <c r="H638" s="30"/>
      <c r="I638" s="30"/>
      <c r="J638" s="30"/>
    </row>
    <row r="639">
      <c r="B639" s="118"/>
      <c r="F639" s="112"/>
      <c r="G639" s="30"/>
      <c r="H639" s="30"/>
      <c r="I639" s="30"/>
      <c r="J639" s="30"/>
    </row>
    <row r="640">
      <c r="B640" s="118"/>
      <c r="F640" s="112"/>
      <c r="G640" s="30"/>
      <c r="H640" s="30"/>
      <c r="I640" s="30"/>
      <c r="J640" s="30"/>
    </row>
    <row r="641">
      <c r="B641" s="118"/>
      <c r="F641" s="112"/>
      <c r="G641" s="30"/>
      <c r="H641" s="30"/>
      <c r="I641" s="30"/>
      <c r="J641" s="30"/>
    </row>
    <row r="642">
      <c r="B642" s="118"/>
      <c r="F642" s="112"/>
      <c r="G642" s="30"/>
      <c r="H642" s="30"/>
      <c r="I642" s="30"/>
      <c r="J642" s="30"/>
    </row>
    <row r="643">
      <c r="B643" s="118"/>
      <c r="F643" s="112"/>
      <c r="G643" s="30"/>
      <c r="H643" s="30"/>
      <c r="I643" s="30"/>
      <c r="J643" s="30"/>
    </row>
    <row r="644">
      <c r="B644" s="118"/>
      <c r="F644" s="112"/>
      <c r="G644" s="30"/>
      <c r="H644" s="30"/>
      <c r="I644" s="30"/>
      <c r="J644" s="30"/>
    </row>
    <row r="645">
      <c r="B645" s="118"/>
      <c r="F645" s="112"/>
      <c r="G645" s="30"/>
      <c r="H645" s="30"/>
      <c r="I645" s="30"/>
      <c r="J645" s="30"/>
    </row>
    <row r="646">
      <c r="B646" s="118"/>
      <c r="F646" s="112"/>
      <c r="G646" s="30"/>
      <c r="H646" s="30"/>
      <c r="I646" s="30"/>
      <c r="J646" s="30"/>
    </row>
    <row r="647">
      <c r="B647" s="118"/>
      <c r="F647" s="112"/>
      <c r="G647" s="30"/>
      <c r="H647" s="30"/>
      <c r="I647" s="30"/>
      <c r="J647" s="30"/>
    </row>
    <row r="648">
      <c r="B648" s="118"/>
      <c r="F648" s="112"/>
      <c r="G648" s="30"/>
      <c r="H648" s="30"/>
      <c r="I648" s="30"/>
      <c r="J648" s="30"/>
    </row>
    <row r="649">
      <c r="B649" s="118"/>
      <c r="F649" s="112"/>
      <c r="G649" s="30"/>
      <c r="H649" s="30"/>
      <c r="I649" s="30"/>
      <c r="J649" s="30"/>
    </row>
    <row r="650">
      <c r="B650" s="118"/>
      <c r="F650" s="112"/>
      <c r="G650" s="30"/>
      <c r="H650" s="30"/>
      <c r="I650" s="30"/>
      <c r="J650" s="30"/>
    </row>
    <row r="651">
      <c r="B651" s="118"/>
      <c r="F651" s="112"/>
      <c r="G651" s="30"/>
      <c r="H651" s="30"/>
      <c r="I651" s="30"/>
      <c r="J651" s="30"/>
    </row>
    <row r="652">
      <c r="B652" s="118"/>
      <c r="F652" s="112"/>
      <c r="G652" s="30"/>
      <c r="H652" s="30"/>
      <c r="I652" s="30"/>
      <c r="J652" s="30"/>
    </row>
    <row r="653">
      <c r="B653" s="118"/>
      <c r="F653" s="112"/>
      <c r="G653" s="30"/>
      <c r="H653" s="30"/>
      <c r="I653" s="30"/>
      <c r="J653" s="30"/>
    </row>
    <row r="654">
      <c r="B654" s="118"/>
      <c r="F654" s="112"/>
      <c r="G654" s="30"/>
      <c r="H654" s="30"/>
      <c r="I654" s="30"/>
      <c r="J654" s="30"/>
    </row>
    <row r="655">
      <c r="B655" s="118"/>
      <c r="F655" s="112"/>
      <c r="G655" s="30"/>
      <c r="H655" s="30"/>
      <c r="I655" s="30"/>
      <c r="J655" s="30"/>
    </row>
    <row r="656">
      <c r="B656" s="118"/>
      <c r="F656" s="112"/>
      <c r="G656" s="30"/>
      <c r="H656" s="30"/>
      <c r="I656" s="30"/>
      <c r="J656" s="30"/>
    </row>
    <row r="657">
      <c r="B657" s="118"/>
      <c r="F657" s="112"/>
      <c r="G657" s="30"/>
      <c r="H657" s="30"/>
      <c r="I657" s="30"/>
      <c r="J657" s="30"/>
    </row>
    <row r="658">
      <c r="B658" s="118"/>
      <c r="F658" s="112"/>
      <c r="G658" s="30"/>
      <c r="H658" s="30"/>
      <c r="I658" s="30"/>
      <c r="J658" s="30"/>
    </row>
    <row r="659">
      <c r="B659" s="118"/>
      <c r="F659" s="112"/>
      <c r="G659" s="30"/>
      <c r="H659" s="30"/>
      <c r="I659" s="30"/>
      <c r="J659" s="30"/>
    </row>
    <row r="660">
      <c r="B660" s="118"/>
      <c r="F660" s="112"/>
      <c r="G660" s="30"/>
      <c r="H660" s="30"/>
      <c r="I660" s="30"/>
      <c r="J660" s="30"/>
    </row>
    <row r="661">
      <c r="B661" s="118"/>
      <c r="F661" s="112"/>
      <c r="G661" s="30"/>
      <c r="H661" s="30"/>
      <c r="I661" s="30"/>
      <c r="J661" s="30"/>
    </row>
    <row r="662">
      <c r="B662" s="118"/>
      <c r="F662" s="112"/>
      <c r="G662" s="30"/>
      <c r="H662" s="30"/>
      <c r="I662" s="30"/>
      <c r="J662" s="30"/>
    </row>
    <row r="663">
      <c r="B663" s="118"/>
      <c r="F663" s="112"/>
      <c r="G663" s="30"/>
      <c r="H663" s="30"/>
      <c r="I663" s="30"/>
      <c r="J663" s="30"/>
    </row>
    <row r="664">
      <c r="B664" s="118"/>
      <c r="F664" s="112"/>
      <c r="G664" s="30"/>
      <c r="H664" s="30"/>
      <c r="I664" s="30"/>
      <c r="J664" s="30"/>
    </row>
    <row r="665">
      <c r="B665" s="118"/>
      <c r="F665" s="112"/>
      <c r="G665" s="30"/>
      <c r="H665" s="30"/>
      <c r="I665" s="30"/>
      <c r="J665" s="30"/>
    </row>
    <row r="666">
      <c r="B666" s="118"/>
      <c r="F666" s="112"/>
      <c r="G666" s="30"/>
      <c r="H666" s="30"/>
      <c r="I666" s="30"/>
      <c r="J666" s="30"/>
    </row>
    <row r="667">
      <c r="B667" s="118"/>
      <c r="F667" s="112"/>
      <c r="G667" s="30"/>
      <c r="H667" s="30"/>
      <c r="I667" s="30"/>
      <c r="J667" s="30"/>
    </row>
    <row r="668">
      <c r="B668" s="118"/>
      <c r="F668" s="112"/>
      <c r="G668" s="30"/>
      <c r="H668" s="30"/>
      <c r="I668" s="30"/>
      <c r="J668" s="30"/>
    </row>
    <row r="669">
      <c r="B669" s="118"/>
      <c r="F669" s="112"/>
      <c r="G669" s="30"/>
      <c r="H669" s="30"/>
      <c r="I669" s="30"/>
      <c r="J669" s="30"/>
    </row>
    <row r="670">
      <c r="B670" s="118"/>
      <c r="F670" s="112"/>
      <c r="G670" s="30"/>
      <c r="H670" s="30"/>
      <c r="I670" s="30"/>
      <c r="J670" s="30"/>
    </row>
    <row r="671">
      <c r="B671" s="118"/>
      <c r="F671" s="112"/>
      <c r="G671" s="30"/>
      <c r="H671" s="30"/>
      <c r="I671" s="30"/>
      <c r="J671" s="30"/>
    </row>
    <row r="672">
      <c r="B672" s="118"/>
      <c r="F672" s="112"/>
      <c r="G672" s="30"/>
      <c r="H672" s="30"/>
      <c r="I672" s="30"/>
      <c r="J672" s="30"/>
    </row>
    <row r="673">
      <c r="B673" s="118"/>
      <c r="F673" s="112"/>
      <c r="G673" s="30"/>
      <c r="H673" s="30"/>
      <c r="I673" s="30"/>
      <c r="J673" s="30"/>
    </row>
    <row r="674">
      <c r="B674" s="118"/>
      <c r="F674" s="112"/>
      <c r="G674" s="30"/>
      <c r="H674" s="30"/>
      <c r="I674" s="30"/>
      <c r="J674" s="30"/>
    </row>
    <row r="675">
      <c r="B675" s="118"/>
      <c r="F675" s="112"/>
      <c r="G675" s="30"/>
      <c r="H675" s="30"/>
      <c r="I675" s="30"/>
      <c r="J675" s="30"/>
    </row>
    <row r="676">
      <c r="B676" s="118"/>
      <c r="F676" s="112"/>
      <c r="G676" s="30"/>
      <c r="H676" s="30"/>
      <c r="I676" s="30"/>
      <c r="J676" s="30"/>
    </row>
    <row r="677">
      <c r="B677" s="118"/>
      <c r="F677" s="112"/>
      <c r="G677" s="30"/>
      <c r="H677" s="30"/>
      <c r="I677" s="30"/>
      <c r="J677" s="30"/>
    </row>
    <row r="678">
      <c r="B678" s="118"/>
      <c r="F678" s="112"/>
      <c r="G678" s="30"/>
      <c r="H678" s="30"/>
      <c r="I678" s="30"/>
      <c r="J678" s="30"/>
    </row>
    <row r="679">
      <c r="B679" s="118"/>
      <c r="F679" s="112"/>
      <c r="G679" s="30"/>
      <c r="H679" s="30"/>
      <c r="I679" s="30"/>
      <c r="J679" s="30"/>
    </row>
    <row r="680">
      <c r="B680" s="118"/>
      <c r="F680" s="112"/>
      <c r="G680" s="30"/>
      <c r="H680" s="30"/>
      <c r="I680" s="30"/>
      <c r="J680" s="30"/>
    </row>
    <row r="681">
      <c r="B681" s="118"/>
      <c r="F681" s="112"/>
      <c r="G681" s="30"/>
      <c r="H681" s="30"/>
      <c r="I681" s="30"/>
      <c r="J681" s="30"/>
    </row>
    <row r="682">
      <c r="B682" s="118"/>
      <c r="F682" s="112"/>
      <c r="G682" s="30"/>
      <c r="H682" s="30"/>
      <c r="I682" s="30"/>
      <c r="J682" s="30"/>
    </row>
    <row r="683">
      <c r="B683" s="118"/>
      <c r="F683" s="112"/>
      <c r="G683" s="30"/>
      <c r="H683" s="30"/>
      <c r="I683" s="30"/>
      <c r="J683" s="30"/>
    </row>
    <row r="684">
      <c r="B684" s="118"/>
      <c r="F684" s="112"/>
      <c r="G684" s="30"/>
      <c r="H684" s="30"/>
      <c r="I684" s="30"/>
      <c r="J684" s="30"/>
    </row>
    <row r="685">
      <c r="B685" s="118"/>
      <c r="F685" s="112"/>
      <c r="G685" s="30"/>
      <c r="H685" s="30"/>
      <c r="I685" s="30"/>
      <c r="J685" s="30"/>
    </row>
    <row r="686">
      <c r="B686" s="118"/>
      <c r="F686" s="112"/>
      <c r="G686" s="30"/>
      <c r="H686" s="30"/>
      <c r="I686" s="30"/>
      <c r="J686" s="30"/>
    </row>
    <row r="687">
      <c r="B687" s="118"/>
      <c r="F687" s="112"/>
      <c r="G687" s="30"/>
      <c r="H687" s="30"/>
      <c r="I687" s="30"/>
      <c r="J687" s="30"/>
    </row>
    <row r="688">
      <c r="B688" s="118"/>
      <c r="F688" s="112"/>
      <c r="G688" s="30"/>
      <c r="H688" s="30"/>
      <c r="I688" s="30"/>
      <c r="J688" s="30"/>
    </row>
    <row r="689">
      <c r="B689" s="118"/>
      <c r="F689" s="112"/>
      <c r="G689" s="30"/>
      <c r="H689" s="30"/>
      <c r="I689" s="30"/>
      <c r="J689" s="30"/>
    </row>
    <row r="690">
      <c r="B690" s="118"/>
      <c r="F690" s="112"/>
      <c r="G690" s="30"/>
      <c r="H690" s="30"/>
      <c r="I690" s="30"/>
      <c r="J690" s="30"/>
    </row>
    <row r="691">
      <c r="B691" s="118"/>
      <c r="F691" s="112"/>
      <c r="G691" s="30"/>
      <c r="H691" s="30"/>
      <c r="I691" s="30"/>
      <c r="J691" s="30"/>
    </row>
    <row r="692">
      <c r="B692" s="118"/>
      <c r="F692" s="112"/>
      <c r="G692" s="30"/>
      <c r="H692" s="30"/>
      <c r="I692" s="30"/>
      <c r="J692" s="30"/>
    </row>
    <row r="693">
      <c r="B693" s="118"/>
      <c r="F693" s="112"/>
      <c r="G693" s="30"/>
      <c r="H693" s="30"/>
      <c r="I693" s="30"/>
      <c r="J693" s="30"/>
    </row>
    <row r="694">
      <c r="B694" s="118"/>
      <c r="F694" s="112"/>
      <c r="G694" s="30"/>
      <c r="H694" s="30"/>
      <c r="I694" s="30"/>
      <c r="J694" s="30"/>
    </row>
    <row r="695">
      <c r="B695" s="118"/>
      <c r="F695" s="112"/>
      <c r="G695" s="30"/>
      <c r="H695" s="30"/>
      <c r="I695" s="30"/>
      <c r="J695" s="30"/>
    </row>
    <row r="696">
      <c r="B696" s="118"/>
      <c r="F696" s="112"/>
      <c r="G696" s="30"/>
      <c r="H696" s="30"/>
      <c r="I696" s="30"/>
      <c r="J696" s="30"/>
    </row>
    <row r="697">
      <c r="B697" s="118"/>
      <c r="F697" s="112"/>
      <c r="G697" s="30"/>
      <c r="H697" s="30"/>
      <c r="I697" s="30"/>
      <c r="J697" s="30"/>
    </row>
    <row r="698">
      <c r="B698" s="118"/>
      <c r="F698" s="112"/>
      <c r="G698" s="30"/>
      <c r="H698" s="30"/>
      <c r="I698" s="30"/>
      <c r="J698" s="30"/>
    </row>
    <row r="699">
      <c r="B699" s="118"/>
      <c r="F699" s="112"/>
      <c r="G699" s="30"/>
      <c r="H699" s="30"/>
      <c r="I699" s="30"/>
      <c r="J699" s="30"/>
    </row>
    <row r="700">
      <c r="B700" s="118"/>
      <c r="F700" s="112"/>
      <c r="G700" s="30"/>
      <c r="H700" s="30"/>
      <c r="I700" s="30"/>
      <c r="J700" s="30"/>
    </row>
    <row r="701">
      <c r="B701" s="118"/>
      <c r="F701" s="112"/>
      <c r="G701" s="30"/>
      <c r="H701" s="30"/>
      <c r="I701" s="30"/>
      <c r="J701" s="30"/>
    </row>
    <row r="702">
      <c r="B702" s="118"/>
      <c r="F702" s="112"/>
      <c r="G702" s="30"/>
      <c r="H702" s="30"/>
      <c r="I702" s="30"/>
      <c r="J702" s="30"/>
    </row>
    <row r="703">
      <c r="B703" s="118"/>
      <c r="F703" s="112"/>
      <c r="G703" s="30"/>
      <c r="H703" s="30"/>
      <c r="I703" s="30"/>
      <c r="J703" s="30"/>
    </row>
    <row r="704">
      <c r="B704" s="118"/>
      <c r="F704" s="112"/>
      <c r="G704" s="30"/>
      <c r="H704" s="30"/>
      <c r="I704" s="30"/>
      <c r="J704" s="30"/>
    </row>
    <row r="705">
      <c r="B705" s="118"/>
      <c r="F705" s="112"/>
      <c r="G705" s="30"/>
      <c r="H705" s="30"/>
      <c r="I705" s="30"/>
      <c r="J705" s="30"/>
    </row>
    <row r="706">
      <c r="B706" s="118"/>
      <c r="F706" s="112"/>
      <c r="G706" s="30"/>
      <c r="H706" s="30"/>
      <c r="I706" s="30"/>
      <c r="J706" s="30"/>
    </row>
    <row r="707">
      <c r="B707" s="118"/>
      <c r="F707" s="112"/>
      <c r="G707" s="30"/>
      <c r="H707" s="30"/>
      <c r="I707" s="30"/>
      <c r="J707" s="30"/>
    </row>
    <row r="708">
      <c r="B708" s="118"/>
      <c r="F708" s="112"/>
      <c r="G708" s="30"/>
      <c r="H708" s="30"/>
      <c r="I708" s="30"/>
      <c r="J708" s="30"/>
    </row>
    <row r="709">
      <c r="B709" s="118"/>
      <c r="F709" s="112"/>
      <c r="G709" s="30"/>
      <c r="H709" s="30"/>
      <c r="I709" s="30"/>
      <c r="J709" s="30"/>
    </row>
    <row r="710">
      <c r="B710" s="118"/>
      <c r="F710" s="112"/>
      <c r="G710" s="30"/>
      <c r="H710" s="30"/>
      <c r="I710" s="30"/>
      <c r="J710" s="30"/>
    </row>
    <row r="711">
      <c r="B711" s="118"/>
      <c r="F711" s="112"/>
      <c r="G711" s="30"/>
      <c r="H711" s="30"/>
      <c r="I711" s="30"/>
      <c r="J711" s="30"/>
    </row>
    <row r="712">
      <c r="B712" s="118"/>
      <c r="F712" s="112"/>
      <c r="G712" s="30"/>
      <c r="H712" s="30"/>
      <c r="I712" s="30"/>
      <c r="J712" s="30"/>
    </row>
    <row r="713">
      <c r="B713" s="118"/>
      <c r="F713" s="112"/>
      <c r="G713" s="30"/>
      <c r="H713" s="30"/>
      <c r="I713" s="30"/>
      <c r="J713" s="30"/>
    </row>
    <row r="714">
      <c r="B714" s="118"/>
      <c r="F714" s="112"/>
      <c r="G714" s="30"/>
      <c r="H714" s="30"/>
      <c r="I714" s="30"/>
      <c r="J714" s="30"/>
    </row>
    <row r="715">
      <c r="B715" s="118"/>
      <c r="F715" s="112"/>
      <c r="G715" s="30"/>
      <c r="H715" s="30"/>
      <c r="I715" s="30"/>
      <c r="J715" s="30"/>
    </row>
    <row r="716">
      <c r="B716" s="118"/>
      <c r="F716" s="112"/>
      <c r="G716" s="30"/>
      <c r="H716" s="30"/>
      <c r="I716" s="30"/>
      <c r="J716" s="30"/>
    </row>
    <row r="717">
      <c r="B717" s="118"/>
      <c r="F717" s="112"/>
      <c r="G717" s="30"/>
      <c r="H717" s="30"/>
      <c r="I717" s="30"/>
      <c r="J717" s="30"/>
    </row>
    <row r="718">
      <c r="B718" s="118"/>
      <c r="F718" s="112"/>
      <c r="G718" s="30"/>
      <c r="H718" s="30"/>
      <c r="I718" s="30"/>
      <c r="J718" s="30"/>
    </row>
    <row r="719">
      <c r="B719" s="118"/>
      <c r="F719" s="112"/>
      <c r="G719" s="30"/>
      <c r="H719" s="30"/>
      <c r="I719" s="30"/>
      <c r="J719" s="30"/>
    </row>
    <row r="720">
      <c r="B720" s="118"/>
      <c r="F720" s="112"/>
      <c r="G720" s="30"/>
      <c r="H720" s="30"/>
      <c r="I720" s="30"/>
      <c r="J720" s="30"/>
    </row>
    <row r="721">
      <c r="B721" s="118"/>
      <c r="F721" s="112"/>
      <c r="G721" s="30"/>
      <c r="H721" s="30"/>
      <c r="I721" s="30"/>
      <c r="J721" s="30"/>
    </row>
    <row r="722">
      <c r="B722" s="118"/>
      <c r="F722" s="112"/>
      <c r="G722" s="30"/>
      <c r="H722" s="30"/>
      <c r="I722" s="30"/>
      <c r="J722" s="30"/>
    </row>
    <row r="723">
      <c r="B723" s="118"/>
      <c r="F723" s="112"/>
      <c r="G723" s="30"/>
      <c r="H723" s="30"/>
      <c r="I723" s="30"/>
      <c r="J723" s="30"/>
    </row>
    <row r="724">
      <c r="B724" s="118"/>
      <c r="F724" s="112"/>
      <c r="G724" s="30"/>
      <c r="H724" s="30"/>
      <c r="I724" s="30"/>
      <c r="J724" s="30"/>
    </row>
    <row r="725">
      <c r="B725" s="118"/>
      <c r="F725" s="112"/>
      <c r="G725" s="30"/>
      <c r="H725" s="30"/>
      <c r="I725" s="30"/>
      <c r="J725" s="30"/>
    </row>
    <row r="726">
      <c r="B726" s="118"/>
      <c r="F726" s="112"/>
      <c r="G726" s="30"/>
      <c r="H726" s="30"/>
      <c r="I726" s="30"/>
      <c r="J726" s="30"/>
    </row>
    <row r="727">
      <c r="B727" s="118"/>
      <c r="F727" s="112"/>
      <c r="G727" s="30"/>
      <c r="H727" s="30"/>
      <c r="I727" s="30"/>
      <c r="J727" s="30"/>
    </row>
    <row r="728">
      <c r="B728" s="118"/>
      <c r="F728" s="112"/>
      <c r="G728" s="30"/>
      <c r="H728" s="30"/>
      <c r="I728" s="30"/>
      <c r="J728" s="30"/>
    </row>
    <row r="729">
      <c r="B729" s="118"/>
      <c r="F729" s="112"/>
      <c r="G729" s="30"/>
      <c r="H729" s="30"/>
      <c r="I729" s="30"/>
      <c r="J729" s="30"/>
    </row>
    <row r="730">
      <c r="B730" s="118"/>
      <c r="F730" s="112"/>
      <c r="G730" s="30"/>
      <c r="H730" s="30"/>
      <c r="I730" s="30"/>
      <c r="J730" s="30"/>
    </row>
    <row r="731">
      <c r="B731" s="118"/>
      <c r="F731" s="112"/>
      <c r="G731" s="30"/>
      <c r="H731" s="30"/>
      <c r="I731" s="30"/>
      <c r="J731" s="30"/>
    </row>
    <row r="732">
      <c r="B732" s="118"/>
      <c r="F732" s="112"/>
      <c r="G732" s="30"/>
      <c r="H732" s="30"/>
      <c r="I732" s="30"/>
      <c r="J732" s="30"/>
    </row>
    <row r="733">
      <c r="B733" s="118"/>
      <c r="F733" s="112"/>
      <c r="G733" s="30"/>
      <c r="H733" s="30"/>
      <c r="I733" s="30"/>
      <c r="J733" s="30"/>
    </row>
    <row r="734">
      <c r="B734" s="118"/>
      <c r="F734" s="112"/>
      <c r="G734" s="30"/>
      <c r="H734" s="30"/>
      <c r="I734" s="30"/>
      <c r="J734" s="30"/>
    </row>
    <row r="735">
      <c r="B735" s="118"/>
      <c r="F735" s="112"/>
      <c r="G735" s="30"/>
      <c r="H735" s="30"/>
      <c r="I735" s="30"/>
      <c r="J735" s="30"/>
    </row>
    <row r="736">
      <c r="B736" s="118"/>
      <c r="F736" s="112"/>
      <c r="G736" s="30"/>
      <c r="H736" s="30"/>
      <c r="I736" s="30"/>
      <c r="J736" s="30"/>
    </row>
    <row r="737">
      <c r="B737" s="118"/>
      <c r="F737" s="112"/>
      <c r="G737" s="30"/>
      <c r="H737" s="30"/>
      <c r="I737" s="30"/>
      <c r="J737" s="30"/>
    </row>
    <row r="738">
      <c r="B738" s="118"/>
      <c r="F738" s="112"/>
      <c r="G738" s="30"/>
      <c r="H738" s="30"/>
      <c r="I738" s="30"/>
      <c r="J738" s="30"/>
    </row>
    <row r="739">
      <c r="B739" s="118"/>
      <c r="F739" s="112"/>
      <c r="G739" s="30"/>
      <c r="H739" s="30"/>
      <c r="I739" s="30"/>
      <c r="J739" s="30"/>
    </row>
    <row r="740">
      <c r="B740" s="118"/>
      <c r="F740" s="112"/>
      <c r="G740" s="30"/>
      <c r="H740" s="30"/>
      <c r="I740" s="30"/>
      <c r="J740" s="30"/>
    </row>
    <row r="741">
      <c r="B741" s="118"/>
      <c r="F741" s="112"/>
      <c r="G741" s="30"/>
      <c r="H741" s="30"/>
      <c r="I741" s="30"/>
      <c r="J741" s="30"/>
    </row>
    <row r="742">
      <c r="B742" s="118"/>
      <c r="F742" s="112"/>
      <c r="G742" s="30"/>
      <c r="H742" s="30"/>
      <c r="I742" s="30"/>
      <c r="J742" s="30"/>
    </row>
    <row r="743">
      <c r="B743" s="118"/>
      <c r="F743" s="112"/>
      <c r="G743" s="30"/>
      <c r="H743" s="30"/>
      <c r="I743" s="30"/>
      <c r="J743" s="30"/>
    </row>
    <row r="744">
      <c r="B744" s="118"/>
      <c r="F744" s="112"/>
      <c r="G744" s="30"/>
      <c r="H744" s="30"/>
      <c r="I744" s="30"/>
      <c r="J744" s="30"/>
    </row>
    <row r="745">
      <c r="B745" s="118"/>
      <c r="F745" s="112"/>
      <c r="G745" s="30"/>
      <c r="H745" s="30"/>
      <c r="I745" s="30"/>
      <c r="J745" s="30"/>
    </row>
    <row r="746">
      <c r="B746" s="118"/>
      <c r="F746" s="112"/>
      <c r="G746" s="30"/>
      <c r="H746" s="30"/>
      <c r="I746" s="30"/>
      <c r="J746" s="30"/>
    </row>
    <row r="747">
      <c r="B747" s="118"/>
      <c r="F747" s="112"/>
      <c r="G747" s="30"/>
      <c r="H747" s="30"/>
      <c r="I747" s="30"/>
      <c r="J747" s="30"/>
    </row>
    <row r="748">
      <c r="B748" s="118"/>
      <c r="F748" s="112"/>
      <c r="G748" s="30"/>
      <c r="H748" s="30"/>
      <c r="I748" s="30"/>
      <c r="J748" s="30"/>
    </row>
    <row r="749">
      <c r="B749" s="118"/>
      <c r="F749" s="112"/>
      <c r="G749" s="30"/>
      <c r="H749" s="30"/>
      <c r="I749" s="30"/>
      <c r="J749" s="30"/>
    </row>
    <row r="750">
      <c r="B750" s="118"/>
      <c r="F750" s="112"/>
      <c r="G750" s="30"/>
      <c r="H750" s="30"/>
      <c r="I750" s="30"/>
      <c r="J750" s="30"/>
    </row>
    <row r="751">
      <c r="B751" s="118"/>
      <c r="F751" s="112"/>
      <c r="G751" s="30"/>
      <c r="H751" s="30"/>
      <c r="I751" s="30"/>
      <c r="J751" s="30"/>
    </row>
    <row r="752">
      <c r="B752" s="118"/>
      <c r="F752" s="112"/>
      <c r="G752" s="30"/>
      <c r="H752" s="30"/>
      <c r="I752" s="30"/>
      <c r="J752" s="30"/>
    </row>
    <row r="753">
      <c r="B753" s="118"/>
      <c r="F753" s="112"/>
      <c r="G753" s="30"/>
      <c r="H753" s="30"/>
      <c r="I753" s="30"/>
      <c r="J753" s="30"/>
    </row>
    <row r="754">
      <c r="B754" s="118"/>
      <c r="F754" s="112"/>
      <c r="G754" s="30"/>
      <c r="H754" s="30"/>
      <c r="I754" s="30"/>
      <c r="J754" s="30"/>
    </row>
    <row r="755">
      <c r="B755" s="118"/>
      <c r="F755" s="112"/>
      <c r="G755" s="30"/>
      <c r="H755" s="30"/>
      <c r="I755" s="30"/>
      <c r="J755" s="30"/>
    </row>
    <row r="756">
      <c r="B756" s="118"/>
      <c r="F756" s="112"/>
      <c r="G756" s="30"/>
      <c r="H756" s="30"/>
      <c r="I756" s="30"/>
      <c r="J756" s="30"/>
    </row>
    <row r="757">
      <c r="B757" s="118"/>
      <c r="F757" s="112"/>
      <c r="G757" s="30"/>
      <c r="H757" s="30"/>
      <c r="I757" s="30"/>
      <c r="J757" s="30"/>
    </row>
    <row r="758">
      <c r="B758" s="118"/>
      <c r="F758" s="112"/>
      <c r="G758" s="30"/>
      <c r="H758" s="30"/>
      <c r="I758" s="30"/>
      <c r="J758" s="30"/>
    </row>
    <row r="759">
      <c r="B759" s="118"/>
      <c r="F759" s="112"/>
      <c r="G759" s="30"/>
      <c r="H759" s="30"/>
      <c r="I759" s="30"/>
      <c r="J759" s="30"/>
    </row>
    <row r="760">
      <c r="B760" s="118"/>
      <c r="F760" s="112"/>
      <c r="G760" s="30"/>
      <c r="H760" s="30"/>
      <c r="I760" s="30"/>
      <c r="J760" s="30"/>
    </row>
    <row r="761">
      <c r="B761" s="118"/>
      <c r="F761" s="112"/>
      <c r="G761" s="30"/>
      <c r="H761" s="30"/>
      <c r="I761" s="30"/>
      <c r="J761" s="30"/>
    </row>
    <row r="762">
      <c r="B762" s="118"/>
      <c r="F762" s="112"/>
      <c r="G762" s="30"/>
      <c r="H762" s="30"/>
      <c r="I762" s="30"/>
      <c r="J762" s="30"/>
    </row>
    <row r="763">
      <c r="B763" s="118"/>
      <c r="F763" s="112"/>
      <c r="G763" s="30"/>
      <c r="H763" s="30"/>
      <c r="I763" s="30"/>
      <c r="J763" s="30"/>
    </row>
    <row r="764">
      <c r="B764" s="118"/>
      <c r="F764" s="112"/>
      <c r="G764" s="30"/>
      <c r="H764" s="30"/>
      <c r="I764" s="30"/>
      <c r="J764" s="30"/>
    </row>
    <row r="765">
      <c r="B765" s="118"/>
      <c r="F765" s="112"/>
      <c r="G765" s="30"/>
      <c r="H765" s="30"/>
      <c r="I765" s="30"/>
      <c r="J765" s="30"/>
    </row>
    <row r="766">
      <c r="B766" s="118"/>
      <c r="F766" s="112"/>
      <c r="G766" s="30"/>
      <c r="H766" s="30"/>
      <c r="I766" s="30"/>
      <c r="J766" s="30"/>
    </row>
    <row r="767">
      <c r="B767" s="118"/>
      <c r="F767" s="112"/>
      <c r="G767" s="30"/>
      <c r="H767" s="30"/>
      <c r="I767" s="30"/>
      <c r="J767" s="30"/>
    </row>
    <row r="768">
      <c r="B768" s="118"/>
      <c r="F768" s="112"/>
      <c r="G768" s="30"/>
      <c r="H768" s="30"/>
      <c r="I768" s="30"/>
      <c r="J768" s="30"/>
    </row>
    <row r="769">
      <c r="B769" s="118"/>
      <c r="F769" s="112"/>
      <c r="G769" s="30"/>
      <c r="H769" s="30"/>
      <c r="I769" s="30"/>
      <c r="J769" s="30"/>
    </row>
    <row r="770">
      <c r="F770" s="112"/>
    </row>
    <row r="771">
      <c r="F771" s="112"/>
    </row>
    <row r="772">
      <c r="F772" s="112"/>
    </row>
    <row r="773">
      <c r="F773" s="112"/>
    </row>
    <row r="774">
      <c r="F774" s="112"/>
    </row>
    <row r="775">
      <c r="F775" s="112"/>
    </row>
    <row r="776">
      <c r="F776" s="112"/>
    </row>
    <row r="777">
      <c r="F777" s="112"/>
    </row>
    <row r="778">
      <c r="F778" s="112"/>
    </row>
    <row r="779">
      <c r="F779" s="112"/>
    </row>
    <row r="780">
      <c r="F780" s="112"/>
    </row>
    <row r="781">
      <c r="F781" s="112"/>
    </row>
    <row r="782">
      <c r="F782" s="112"/>
    </row>
    <row r="783">
      <c r="F783" s="112"/>
    </row>
    <row r="784">
      <c r="F784" s="112"/>
    </row>
    <row r="785">
      <c r="F785" s="112"/>
    </row>
    <row r="786">
      <c r="F786" s="112"/>
    </row>
    <row r="787">
      <c r="F787" s="112"/>
    </row>
    <row r="788">
      <c r="F788" s="112"/>
    </row>
    <row r="789">
      <c r="F789" s="112"/>
    </row>
    <row r="790">
      <c r="F790" s="112"/>
    </row>
    <row r="791">
      <c r="F791" s="112"/>
    </row>
    <row r="792">
      <c r="F792" s="112"/>
    </row>
    <row r="793">
      <c r="F793" s="112"/>
    </row>
    <row r="794">
      <c r="F794" s="112"/>
    </row>
    <row r="795">
      <c r="F795" s="112"/>
    </row>
    <row r="796">
      <c r="F796" s="112"/>
    </row>
    <row r="797">
      <c r="F797" s="112"/>
    </row>
    <row r="798">
      <c r="F798" s="112"/>
    </row>
    <row r="799">
      <c r="F799" s="112"/>
    </row>
    <row r="800">
      <c r="F800" s="112"/>
    </row>
    <row r="801">
      <c r="F801" s="112"/>
    </row>
    <row r="802">
      <c r="F802" s="112"/>
    </row>
    <row r="803">
      <c r="F803" s="112"/>
    </row>
    <row r="804">
      <c r="F804" s="112"/>
    </row>
    <row r="805">
      <c r="F805" s="112"/>
    </row>
    <row r="806">
      <c r="F806" s="112"/>
    </row>
    <row r="807">
      <c r="F807" s="112"/>
    </row>
    <row r="808">
      <c r="F808" s="112"/>
    </row>
    <row r="809">
      <c r="F809" s="112"/>
    </row>
    <row r="810">
      <c r="F810" s="112"/>
    </row>
    <row r="811">
      <c r="F811" s="112"/>
    </row>
    <row r="812">
      <c r="F812" s="112"/>
    </row>
    <row r="813">
      <c r="F813" s="112"/>
    </row>
    <row r="814">
      <c r="F814" s="112"/>
    </row>
    <row r="815">
      <c r="F815" s="112"/>
    </row>
    <row r="816">
      <c r="F816" s="112"/>
    </row>
    <row r="817">
      <c r="F817" s="112"/>
    </row>
    <row r="818">
      <c r="F818" s="112"/>
    </row>
    <row r="819">
      <c r="F819" s="112"/>
    </row>
    <row r="820">
      <c r="F820" s="112"/>
    </row>
    <row r="821">
      <c r="F821" s="112"/>
    </row>
    <row r="822">
      <c r="F822" s="112"/>
    </row>
    <row r="823">
      <c r="F823" s="112"/>
    </row>
    <row r="824">
      <c r="F824" s="112"/>
    </row>
    <row r="825">
      <c r="F825" s="112"/>
    </row>
    <row r="826">
      <c r="F826" s="112"/>
    </row>
    <row r="827">
      <c r="F827" s="112"/>
    </row>
    <row r="828">
      <c r="F828" s="112"/>
    </row>
    <row r="829">
      <c r="F829" s="112"/>
    </row>
    <row r="830">
      <c r="F830" s="112"/>
    </row>
    <row r="831">
      <c r="F831" s="112"/>
    </row>
    <row r="832">
      <c r="F832" s="112"/>
    </row>
    <row r="833">
      <c r="F833" s="112"/>
    </row>
    <row r="834">
      <c r="F834" s="112"/>
    </row>
    <row r="835">
      <c r="F835" s="112"/>
    </row>
    <row r="836">
      <c r="F836" s="112"/>
    </row>
    <row r="837">
      <c r="F837" s="112"/>
    </row>
    <row r="838">
      <c r="F838" s="112"/>
    </row>
    <row r="839">
      <c r="F839" s="112"/>
    </row>
    <row r="840">
      <c r="F840" s="112"/>
    </row>
    <row r="841">
      <c r="F841" s="112"/>
    </row>
    <row r="842">
      <c r="F842" s="112"/>
    </row>
    <row r="843">
      <c r="F843" s="112"/>
    </row>
    <row r="844">
      <c r="F844" s="112"/>
    </row>
    <row r="845">
      <c r="F845" s="112"/>
    </row>
    <row r="846">
      <c r="F846" s="112"/>
    </row>
    <row r="847">
      <c r="F847" s="112"/>
    </row>
    <row r="848">
      <c r="F848" s="112"/>
    </row>
    <row r="849">
      <c r="F849" s="112"/>
    </row>
    <row r="850">
      <c r="F850" s="112"/>
    </row>
    <row r="851">
      <c r="F851" s="112"/>
    </row>
    <row r="852">
      <c r="F852" s="112"/>
    </row>
    <row r="853">
      <c r="F853" s="112"/>
    </row>
    <row r="854">
      <c r="F854" s="112"/>
    </row>
    <row r="855">
      <c r="F855" s="112"/>
    </row>
    <row r="856">
      <c r="F856" s="112"/>
    </row>
    <row r="857">
      <c r="F857" s="112"/>
    </row>
    <row r="858">
      <c r="F858" s="112"/>
    </row>
    <row r="859">
      <c r="F859" s="112"/>
    </row>
    <row r="860">
      <c r="F860" s="112"/>
    </row>
    <row r="861">
      <c r="F861" s="112"/>
    </row>
    <row r="862">
      <c r="F862" s="112"/>
    </row>
    <row r="863">
      <c r="F863" s="112"/>
    </row>
    <row r="864">
      <c r="F864" s="112"/>
    </row>
    <row r="865">
      <c r="F865" s="112"/>
    </row>
    <row r="866">
      <c r="F866" s="112"/>
    </row>
    <row r="867">
      <c r="F867" s="112"/>
    </row>
    <row r="868">
      <c r="F868" s="112"/>
    </row>
    <row r="869">
      <c r="F869" s="112"/>
    </row>
    <row r="870">
      <c r="F870" s="112"/>
    </row>
    <row r="871">
      <c r="F871" s="112"/>
    </row>
    <row r="872">
      <c r="F872" s="112"/>
    </row>
    <row r="873">
      <c r="F873" s="112"/>
    </row>
    <row r="874">
      <c r="F874" s="112"/>
    </row>
    <row r="875">
      <c r="F875" s="112"/>
    </row>
    <row r="876">
      <c r="F876" s="112"/>
    </row>
    <row r="877">
      <c r="F877" s="112"/>
    </row>
    <row r="878">
      <c r="F878" s="112"/>
    </row>
    <row r="879">
      <c r="F879" s="112"/>
    </row>
    <row r="880">
      <c r="F880" s="112"/>
    </row>
    <row r="881">
      <c r="F881" s="112"/>
    </row>
    <row r="882">
      <c r="F882" s="112"/>
    </row>
    <row r="883">
      <c r="F883" s="112"/>
    </row>
    <row r="884">
      <c r="F884" s="112"/>
    </row>
    <row r="885">
      <c r="F885" s="112"/>
    </row>
    <row r="886">
      <c r="F886" s="112"/>
    </row>
    <row r="887">
      <c r="F887" s="112"/>
    </row>
    <row r="888">
      <c r="F888" s="112"/>
    </row>
    <row r="889">
      <c r="F889" s="112"/>
    </row>
    <row r="890">
      <c r="F890" s="112"/>
    </row>
    <row r="891">
      <c r="F891" s="112"/>
    </row>
    <row r="892">
      <c r="F892" s="112"/>
    </row>
    <row r="893">
      <c r="F893" s="112"/>
    </row>
    <row r="894">
      <c r="F894" s="112"/>
    </row>
    <row r="895">
      <c r="F895" s="112"/>
    </row>
    <row r="896">
      <c r="F896" s="112"/>
    </row>
    <row r="897">
      <c r="F897" s="112"/>
    </row>
    <row r="898">
      <c r="F898" s="112"/>
    </row>
    <row r="899">
      <c r="F899" s="112"/>
    </row>
    <row r="900">
      <c r="F900" s="112"/>
    </row>
    <row r="901">
      <c r="F901" s="112"/>
    </row>
    <row r="902">
      <c r="F902" s="112"/>
    </row>
    <row r="903">
      <c r="F903" s="112"/>
    </row>
    <row r="904">
      <c r="F904" s="112"/>
    </row>
    <row r="905">
      <c r="F905" s="112"/>
    </row>
    <row r="906">
      <c r="F906" s="112"/>
    </row>
    <row r="907">
      <c r="F907" s="112"/>
    </row>
    <row r="908">
      <c r="F908" s="112"/>
    </row>
    <row r="909">
      <c r="F909" s="112"/>
    </row>
    <row r="910">
      <c r="F910" s="112"/>
    </row>
    <row r="911">
      <c r="F911" s="112"/>
    </row>
    <row r="912">
      <c r="F912" s="112"/>
    </row>
    <row r="913">
      <c r="F913" s="112"/>
    </row>
    <row r="914">
      <c r="F914" s="112"/>
    </row>
    <row r="915">
      <c r="F915" s="112"/>
    </row>
    <row r="916">
      <c r="F916" s="112"/>
    </row>
    <row r="917">
      <c r="F917" s="112"/>
    </row>
    <row r="918">
      <c r="F918" s="112"/>
    </row>
    <row r="919">
      <c r="F919" s="112"/>
    </row>
    <row r="920">
      <c r="F920" s="112"/>
    </row>
    <row r="921">
      <c r="F921" s="112"/>
    </row>
    <row r="922">
      <c r="F922" s="112"/>
    </row>
    <row r="923">
      <c r="F923" s="112"/>
    </row>
    <row r="924">
      <c r="F924" s="112"/>
    </row>
    <row r="925">
      <c r="F925" s="112"/>
    </row>
    <row r="926">
      <c r="F926" s="112"/>
    </row>
    <row r="927">
      <c r="F927" s="112"/>
    </row>
    <row r="928">
      <c r="F928" s="112"/>
    </row>
    <row r="929">
      <c r="F929" s="112"/>
    </row>
    <row r="930">
      <c r="F930" s="112"/>
    </row>
    <row r="931">
      <c r="F931" s="112"/>
    </row>
    <row r="932">
      <c r="F932" s="112"/>
    </row>
    <row r="933">
      <c r="F933" s="112"/>
    </row>
    <row r="934">
      <c r="F934" s="112"/>
    </row>
    <row r="935">
      <c r="F935" s="112"/>
    </row>
    <row r="936">
      <c r="F936" s="112"/>
    </row>
    <row r="937">
      <c r="F937" s="112"/>
    </row>
    <row r="938">
      <c r="F938" s="112"/>
    </row>
    <row r="939">
      <c r="F939" s="112"/>
    </row>
    <row r="940">
      <c r="F940" s="112"/>
    </row>
    <row r="941">
      <c r="F941" s="112"/>
    </row>
    <row r="942">
      <c r="F942" s="112"/>
    </row>
    <row r="943">
      <c r="F943" s="112"/>
    </row>
    <row r="944">
      <c r="F944" s="112"/>
    </row>
    <row r="945">
      <c r="F945" s="112"/>
    </row>
    <row r="946">
      <c r="F946" s="112"/>
    </row>
    <row r="947">
      <c r="F947" s="112"/>
    </row>
    <row r="948">
      <c r="F948" s="112"/>
    </row>
    <row r="949">
      <c r="F949" s="112"/>
    </row>
    <row r="950">
      <c r="F950" s="112"/>
    </row>
    <row r="951">
      <c r="F951" s="112"/>
    </row>
    <row r="952">
      <c r="F952" s="112"/>
    </row>
    <row r="953">
      <c r="F953" s="112"/>
    </row>
    <row r="954">
      <c r="F954" s="112"/>
    </row>
    <row r="955">
      <c r="F955" s="112"/>
    </row>
    <row r="956">
      <c r="F956" s="112"/>
    </row>
    <row r="957">
      <c r="F957" s="112"/>
    </row>
    <row r="958">
      <c r="F958" s="112"/>
    </row>
    <row r="959">
      <c r="F959" s="112"/>
    </row>
    <row r="960">
      <c r="F960" s="112"/>
    </row>
    <row r="961">
      <c r="F961" s="112"/>
    </row>
    <row r="962">
      <c r="F962" s="112"/>
    </row>
    <row r="963">
      <c r="F963" s="112"/>
    </row>
    <row r="964">
      <c r="F964" s="112"/>
    </row>
    <row r="965">
      <c r="F965" s="112"/>
    </row>
    <row r="966">
      <c r="F966" s="112"/>
    </row>
    <row r="967">
      <c r="F967" s="112"/>
    </row>
    <row r="968">
      <c r="F968" s="112"/>
    </row>
    <row r="969">
      <c r="F969" s="112"/>
    </row>
    <row r="970">
      <c r="F970" s="112"/>
    </row>
    <row r="971">
      <c r="F971" s="112"/>
    </row>
    <row r="972">
      <c r="F972" s="112"/>
    </row>
    <row r="973">
      <c r="F973" s="112"/>
    </row>
    <row r="974">
      <c r="F974" s="112"/>
    </row>
    <row r="975">
      <c r="F975" s="112"/>
    </row>
    <row r="976">
      <c r="F976" s="112"/>
    </row>
    <row r="977">
      <c r="F977" s="112"/>
    </row>
    <row r="978">
      <c r="F978" s="112"/>
    </row>
    <row r="979">
      <c r="F979" s="112"/>
    </row>
    <row r="980">
      <c r="F980" s="112"/>
    </row>
    <row r="981">
      <c r="F981" s="112"/>
    </row>
    <row r="982">
      <c r="F982" s="112"/>
    </row>
    <row r="983">
      <c r="F983" s="112"/>
    </row>
    <row r="984">
      <c r="F984" s="112"/>
    </row>
    <row r="985">
      <c r="F985" s="112"/>
    </row>
    <row r="986">
      <c r="F986" s="112"/>
    </row>
    <row r="987">
      <c r="F987" s="112"/>
    </row>
    <row r="988">
      <c r="F988" s="112"/>
    </row>
    <row r="989">
      <c r="F989" s="112"/>
    </row>
    <row r="990">
      <c r="F990" s="112"/>
    </row>
    <row r="991">
      <c r="F991" s="112"/>
    </row>
    <row r="992">
      <c r="F992" s="112"/>
    </row>
    <row r="993">
      <c r="F993" s="112"/>
    </row>
    <row r="994">
      <c r="F994" s="112"/>
    </row>
    <row r="995">
      <c r="F995" s="112"/>
    </row>
    <row r="996">
      <c r="F996" s="112"/>
    </row>
    <row r="997">
      <c r="F997" s="112"/>
    </row>
    <row r="998">
      <c r="F998" s="112"/>
    </row>
    <row r="999">
      <c r="F999" s="112"/>
    </row>
    <row r="1000">
      <c r="F1000" s="112"/>
    </row>
    <row r="1001">
      <c r="F1001" s="112"/>
    </row>
    <row r="1002">
      <c r="F1002" s="112"/>
    </row>
    <row r="1003">
      <c r="F1003" s="112"/>
    </row>
    <row r="1004">
      <c r="F1004" s="112"/>
    </row>
    <row r="1005">
      <c r="F1005" s="112"/>
    </row>
    <row r="1006">
      <c r="F1006" s="112"/>
    </row>
    <row r="1007">
      <c r="F1007" s="112"/>
    </row>
    <row r="1008">
      <c r="F1008" s="112"/>
    </row>
    <row r="1009">
      <c r="F1009" s="112"/>
    </row>
    <row r="1010">
      <c r="F1010" s="112"/>
    </row>
    <row r="1011">
      <c r="F1011" s="112"/>
    </row>
    <row r="1012">
      <c r="F1012" s="112"/>
    </row>
    <row r="1013">
      <c r="F1013" s="112"/>
    </row>
    <row r="1014">
      <c r="F1014" s="112"/>
    </row>
    <row r="1015">
      <c r="F1015" s="112"/>
    </row>
    <row r="1016">
      <c r="F1016" s="112"/>
    </row>
    <row r="1017">
      <c r="F1017" s="112"/>
    </row>
    <row r="1018">
      <c r="F1018" s="112"/>
    </row>
    <row r="1019">
      <c r="F1019" s="112"/>
    </row>
    <row r="1020">
      <c r="F1020" s="112"/>
    </row>
    <row r="1021">
      <c r="F1021" s="112"/>
    </row>
    <row r="1022">
      <c r="F1022" s="112"/>
    </row>
    <row r="1023">
      <c r="F1023" s="112"/>
    </row>
    <row r="1024">
      <c r="F1024" s="112"/>
    </row>
    <row r="1025">
      <c r="F1025" s="112"/>
    </row>
    <row r="1026">
      <c r="F1026" s="112"/>
    </row>
    <row r="1027">
      <c r="F1027" s="112"/>
    </row>
    <row r="1028">
      <c r="F1028" s="112"/>
    </row>
    <row r="1029">
      <c r="F1029" s="112"/>
    </row>
    <row r="1030">
      <c r="F1030" s="112"/>
    </row>
    <row r="1031">
      <c r="F1031" s="112"/>
    </row>
    <row r="1032">
      <c r="F1032" s="112"/>
    </row>
    <row r="1033">
      <c r="F1033" s="112"/>
    </row>
    <row r="1034">
      <c r="F1034" s="112"/>
    </row>
    <row r="1035">
      <c r="F1035" s="112"/>
    </row>
    <row r="1036">
      <c r="F1036" s="112"/>
    </row>
    <row r="1037">
      <c r="F1037" s="112"/>
    </row>
    <row r="1038">
      <c r="F1038" s="112"/>
    </row>
    <row r="1039">
      <c r="F1039" s="112"/>
    </row>
    <row r="1040">
      <c r="F1040" s="112"/>
    </row>
    <row r="1041">
      <c r="F1041" s="112"/>
    </row>
    <row r="1042">
      <c r="F1042" s="112"/>
    </row>
    <row r="1043">
      <c r="F1043" s="112"/>
    </row>
    <row r="1044">
      <c r="F1044" s="112"/>
    </row>
    <row r="1045">
      <c r="F1045" s="112"/>
    </row>
    <row r="1046">
      <c r="F1046" s="112"/>
    </row>
    <row r="1047">
      <c r="F1047" s="112"/>
    </row>
    <row r="1048">
      <c r="F1048" s="112"/>
    </row>
    <row r="1049">
      <c r="F1049" s="112"/>
    </row>
    <row r="1050">
      <c r="F1050" s="112"/>
    </row>
    <row r="1051">
      <c r="F1051" s="112"/>
    </row>
    <row r="1052">
      <c r="F1052" s="112"/>
    </row>
    <row r="1053">
      <c r="F1053" s="112"/>
    </row>
    <row r="1054">
      <c r="F1054" s="112"/>
    </row>
    <row r="1055">
      <c r="F1055" s="112"/>
    </row>
    <row r="1056">
      <c r="F1056" s="112"/>
    </row>
    <row r="1057">
      <c r="F1057" s="112"/>
    </row>
    <row r="1058">
      <c r="F1058" s="112"/>
    </row>
    <row r="1059">
      <c r="F1059" s="112"/>
    </row>
    <row r="1060">
      <c r="F1060" s="112"/>
    </row>
    <row r="1061">
      <c r="F1061" s="112"/>
    </row>
    <row r="1062">
      <c r="F1062" s="112"/>
    </row>
    <row r="1063">
      <c r="F1063" s="112"/>
    </row>
    <row r="1064">
      <c r="F1064" s="112"/>
    </row>
    <row r="1065">
      <c r="F1065" s="112"/>
    </row>
    <row r="1066">
      <c r="F1066" s="112"/>
    </row>
    <row r="1067">
      <c r="F1067" s="112"/>
    </row>
    <row r="1068">
      <c r="F1068" s="112"/>
    </row>
    <row r="1069">
      <c r="F1069" s="112"/>
    </row>
    <row r="1070">
      <c r="F1070" s="112"/>
    </row>
    <row r="1071">
      <c r="F1071" s="112"/>
    </row>
    <row r="1072">
      <c r="F1072" s="112"/>
    </row>
    <row r="1073">
      <c r="F1073" s="112"/>
    </row>
    <row r="1074">
      <c r="F1074" s="112"/>
    </row>
    <row r="1075">
      <c r="F1075" s="112"/>
    </row>
    <row r="1076">
      <c r="F1076" s="112"/>
    </row>
    <row r="1077">
      <c r="F1077" s="112"/>
    </row>
    <row r="1078">
      <c r="F1078" s="112"/>
    </row>
    <row r="1079">
      <c r="F1079" s="112"/>
    </row>
    <row r="1080">
      <c r="F1080" s="112"/>
    </row>
    <row r="1081">
      <c r="F1081" s="112"/>
    </row>
    <row r="1082">
      <c r="F1082" s="112"/>
    </row>
    <row r="1083">
      <c r="F1083" s="112"/>
    </row>
    <row r="1084">
      <c r="F1084" s="112"/>
    </row>
    <row r="1085">
      <c r="F1085" s="112"/>
    </row>
    <row r="1086">
      <c r="F1086" s="112"/>
    </row>
    <row r="1087">
      <c r="F1087" s="112"/>
    </row>
    <row r="1088">
      <c r="F1088" s="112"/>
    </row>
    <row r="1089">
      <c r="F1089" s="112"/>
    </row>
    <row r="1090">
      <c r="F1090" s="112"/>
    </row>
    <row r="1091">
      <c r="F1091" s="112"/>
    </row>
    <row r="1092">
      <c r="F1092" s="112"/>
    </row>
    <row r="1093">
      <c r="F1093" s="112"/>
    </row>
    <row r="1094">
      <c r="F1094" s="112"/>
    </row>
    <row r="1095">
      <c r="F1095" s="112"/>
    </row>
    <row r="1096">
      <c r="F1096" s="112"/>
    </row>
    <row r="1097">
      <c r="F1097" s="112"/>
    </row>
    <row r="1098">
      <c r="F1098" s="112"/>
    </row>
    <row r="1099">
      <c r="F1099" s="112"/>
    </row>
    <row r="1100">
      <c r="F1100" s="112"/>
    </row>
    <row r="1101">
      <c r="F1101" s="112"/>
    </row>
    <row r="1102">
      <c r="F1102" s="112"/>
    </row>
    <row r="1103">
      <c r="F1103" s="112"/>
    </row>
    <row r="1104">
      <c r="F1104" s="112"/>
    </row>
    <row r="1105">
      <c r="F1105" s="112"/>
    </row>
    <row r="1106">
      <c r="F1106" s="112"/>
    </row>
    <row r="1107">
      <c r="F1107" s="112"/>
    </row>
    <row r="1108">
      <c r="F1108" s="112"/>
    </row>
    <row r="1109">
      <c r="F1109" s="112"/>
    </row>
    <row r="1110">
      <c r="F1110" s="112"/>
    </row>
    <row r="1111">
      <c r="F1111" s="112"/>
    </row>
    <row r="1112">
      <c r="F1112" s="112"/>
    </row>
    <row r="1113">
      <c r="F1113" s="112"/>
    </row>
    <row r="1114">
      <c r="F1114" s="112"/>
    </row>
    <row r="1115">
      <c r="F1115" s="112"/>
    </row>
    <row r="1116">
      <c r="F1116" s="112"/>
    </row>
    <row r="1117">
      <c r="F1117" s="112"/>
    </row>
    <row r="1118">
      <c r="F1118" s="112"/>
    </row>
    <row r="1119">
      <c r="F1119" s="112"/>
    </row>
    <row r="1120">
      <c r="F1120" s="112"/>
    </row>
    <row r="1121">
      <c r="F1121" s="112"/>
    </row>
    <row r="1122">
      <c r="F1122" s="112"/>
    </row>
    <row r="1123">
      <c r="F1123" s="112"/>
    </row>
    <row r="1124">
      <c r="F1124" s="112"/>
    </row>
    <row r="1125">
      <c r="F1125" s="112"/>
    </row>
    <row r="1126">
      <c r="F1126" s="112"/>
    </row>
    <row r="1127">
      <c r="F1127" s="112"/>
    </row>
    <row r="1128">
      <c r="F1128" s="112"/>
    </row>
    <row r="1129">
      <c r="F1129" s="112"/>
    </row>
    <row r="1130">
      <c r="F1130" s="112"/>
    </row>
    <row r="1131">
      <c r="F1131" s="112"/>
    </row>
    <row r="1132">
      <c r="F1132" s="112"/>
    </row>
    <row r="1133">
      <c r="F1133" s="112"/>
    </row>
    <row r="1134">
      <c r="F1134" s="112"/>
    </row>
    <row r="1135">
      <c r="F1135" s="112"/>
    </row>
    <row r="1136">
      <c r="F1136" s="112"/>
    </row>
    <row r="1137">
      <c r="F1137" s="112"/>
    </row>
    <row r="1138">
      <c r="F1138" s="112"/>
    </row>
    <row r="1139">
      <c r="F1139" s="112"/>
    </row>
    <row r="1140">
      <c r="F1140" s="112"/>
    </row>
    <row r="1141">
      <c r="F1141" s="112"/>
    </row>
    <row r="1142">
      <c r="F1142" s="112"/>
    </row>
    <row r="1143">
      <c r="F1143" s="112"/>
    </row>
    <row r="1144">
      <c r="F1144" s="112"/>
    </row>
    <row r="1145">
      <c r="F1145" s="112"/>
    </row>
    <row r="1146">
      <c r="F1146" s="112"/>
    </row>
    <row r="1147">
      <c r="F1147" s="112"/>
    </row>
    <row r="1148">
      <c r="F1148" s="112"/>
    </row>
    <row r="1149">
      <c r="F1149" s="112"/>
    </row>
    <row r="1150">
      <c r="F1150" s="112"/>
    </row>
    <row r="1151">
      <c r="F1151" s="112"/>
    </row>
    <row r="1152">
      <c r="F1152" s="112"/>
    </row>
    <row r="1153">
      <c r="F1153" s="112"/>
    </row>
    <row r="1154">
      <c r="F1154" s="112"/>
    </row>
    <row r="1155">
      <c r="F1155" s="112"/>
    </row>
    <row r="1156">
      <c r="F1156" s="112"/>
    </row>
    <row r="1157">
      <c r="F1157" s="112"/>
    </row>
    <row r="1158">
      <c r="F1158" s="112"/>
    </row>
    <row r="1159">
      <c r="F1159" s="112"/>
    </row>
    <row r="1160">
      <c r="F1160" s="112"/>
    </row>
    <row r="1161">
      <c r="F1161" s="112"/>
    </row>
    <row r="1162">
      <c r="F1162" s="112"/>
    </row>
    <row r="1163">
      <c r="F1163" s="112"/>
    </row>
    <row r="1164">
      <c r="F1164" s="112"/>
    </row>
    <row r="1165">
      <c r="F1165" s="112"/>
    </row>
    <row r="1166">
      <c r="F1166" s="112"/>
    </row>
    <row r="1167">
      <c r="F1167" s="112"/>
    </row>
    <row r="1168">
      <c r="F1168" s="112"/>
    </row>
    <row r="1169">
      <c r="F1169" s="112"/>
    </row>
    <row r="1170">
      <c r="F1170" s="112"/>
    </row>
    <row r="1171">
      <c r="F1171" s="112"/>
    </row>
    <row r="1172">
      <c r="F1172" s="112"/>
    </row>
    <row r="1173">
      <c r="F1173" s="112"/>
    </row>
    <row r="1174">
      <c r="F1174" s="112"/>
    </row>
    <row r="1175">
      <c r="F1175" s="112"/>
    </row>
    <row r="1176">
      <c r="F1176" s="112"/>
    </row>
    <row r="1177">
      <c r="F1177" s="112"/>
    </row>
    <row r="1178">
      <c r="F1178" s="112"/>
    </row>
    <row r="1179">
      <c r="F1179" s="112"/>
    </row>
    <row r="1180">
      <c r="F1180" s="112"/>
    </row>
    <row r="1181">
      <c r="F1181" s="112"/>
    </row>
    <row r="1182">
      <c r="F1182" s="112"/>
    </row>
    <row r="1183">
      <c r="F1183" s="112"/>
    </row>
    <row r="1184">
      <c r="F1184" s="112"/>
    </row>
    <row r="1185">
      <c r="F1185" s="112"/>
    </row>
    <row r="1186">
      <c r="F1186" s="112"/>
    </row>
    <row r="1187">
      <c r="F1187" s="112"/>
    </row>
    <row r="1188">
      <c r="F1188" s="112"/>
    </row>
    <row r="1189">
      <c r="F1189" s="112"/>
    </row>
    <row r="1190">
      <c r="F1190" s="112"/>
    </row>
    <row r="1191">
      <c r="F1191" s="112"/>
    </row>
    <row r="1192">
      <c r="F1192" s="112"/>
    </row>
    <row r="1193">
      <c r="F1193" s="112"/>
    </row>
    <row r="1194">
      <c r="F1194" s="112"/>
    </row>
    <row r="1195">
      <c r="F1195" s="112"/>
    </row>
    <row r="1196">
      <c r="F1196" s="112"/>
    </row>
    <row r="1197">
      <c r="F1197" s="112"/>
    </row>
    <row r="1198">
      <c r="F1198" s="112"/>
    </row>
    <row r="1199">
      <c r="F1199" s="112"/>
    </row>
    <row r="1200">
      <c r="F1200" s="112"/>
    </row>
    <row r="1201">
      <c r="F1201" s="112"/>
    </row>
    <row r="1202">
      <c r="F1202" s="112"/>
    </row>
    <row r="1203">
      <c r="F1203" s="112"/>
    </row>
    <row r="1204">
      <c r="F1204" s="112"/>
    </row>
    <row r="1205">
      <c r="F1205" s="112"/>
    </row>
    <row r="1206">
      <c r="F1206" s="112"/>
    </row>
    <row r="1207">
      <c r="F1207" s="112"/>
    </row>
    <row r="1208">
      <c r="F1208" s="112"/>
    </row>
    <row r="1209">
      <c r="F1209" s="112"/>
    </row>
    <row r="1210">
      <c r="F1210" s="112"/>
    </row>
    <row r="1211">
      <c r="F1211" s="112"/>
    </row>
    <row r="1212">
      <c r="F1212" s="112"/>
    </row>
    <row r="1213">
      <c r="F1213" s="112"/>
    </row>
    <row r="1214">
      <c r="F1214" s="112"/>
    </row>
    <row r="1215">
      <c r="F1215" s="112"/>
    </row>
    <row r="1216">
      <c r="F1216" s="112"/>
    </row>
    <row r="1217">
      <c r="F1217" s="112"/>
    </row>
    <row r="1218">
      <c r="F1218" s="112"/>
    </row>
    <row r="1219">
      <c r="F1219" s="112"/>
    </row>
    <row r="1220">
      <c r="F1220" s="112"/>
    </row>
    <row r="1221">
      <c r="F1221" s="112"/>
    </row>
    <row r="1222">
      <c r="F1222" s="112"/>
    </row>
    <row r="1223">
      <c r="F1223" s="112"/>
    </row>
    <row r="1224">
      <c r="F1224" s="112"/>
    </row>
    <row r="1225">
      <c r="F1225" s="112"/>
    </row>
    <row r="1226">
      <c r="F1226" s="112"/>
    </row>
    <row r="1227">
      <c r="F1227" s="112"/>
    </row>
    <row r="1228">
      <c r="F1228" s="112"/>
    </row>
    <row r="1229">
      <c r="F1229" s="112"/>
    </row>
    <row r="1230">
      <c r="F1230" s="112"/>
    </row>
    <row r="1231">
      <c r="F1231" s="112"/>
    </row>
    <row r="1232">
      <c r="F1232" s="112"/>
    </row>
    <row r="1233">
      <c r="F1233" s="112"/>
    </row>
    <row r="1234">
      <c r="F1234" s="112"/>
    </row>
    <row r="1235">
      <c r="F1235" s="112"/>
    </row>
    <row r="1236">
      <c r="F1236" s="112"/>
    </row>
    <row r="1237">
      <c r="F1237" s="112"/>
    </row>
    <row r="1238">
      <c r="F1238" s="112"/>
    </row>
    <row r="1239">
      <c r="F1239" s="112"/>
    </row>
    <row r="1240">
      <c r="F1240" s="112"/>
    </row>
    <row r="1241">
      <c r="F1241" s="112"/>
    </row>
    <row r="1242">
      <c r="F1242" s="112"/>
    </row>
    <row r="1243">
      <c r="F1243" s="112"/>
    </row>
    <row r="1244">
      <c r="F1244" s="112"/>
    </row>
    <row r="1245">
      <c r="F1245" s="112"/>
    </row>
    <row r="1246">
      <c r="F1246" s="112"/>
    </row>
    <row r="1247">
      <c r="F1247" s="112"/>
    </row>
    <row r="1248">
      <c r="F1248" s="112"/>
    </row>
    <row r="1249">
      <c r="F1249" s="112"/>
    </row>
    <row r="1250">
      <c r="F1250" s="112"/>
    </row>
    <row r="1251">
      <c r="F1251" s="112"/>
    </row>
    <row r="1252">
      <c r="F1252" s="112"/>
    </row>
    <row r="1253">
      <c r="F1253" s="112"/>
    </row>
    <row r="1254">
      <c r="F1254" s="112"/>
    </row>
    <row r="1255">
      <c r="F1255" s="112"/>
    </row>
    <row r="1256">
      <c r="F1256" s="112"/>
    </row>
    <row r="1257">
      <c r="F1257" s="112"/>
    </row>
    <row r="1258">
      <c r="F1258" s="112"/>
    </row>
    <row r="1259">
      <c r="F1259" s="112"/>
    </row>
    <row r="1260">
      <c r="F1260" s="112"/>
    </row>
    <row r="1261">
      <c r="F1261" s="112"/>
    </row>
    <row r="1262">
      <c r="F1262" s="112"/>
    </row>
    <row r="1263">
      <c r="F1263" s="112"/>
    </row>
    <row r="1264">
      <c r="F1264" s="112"/>
    </row>
    <row r="1265">
      <c r="F1265" s="112"/>
    </row>
    <row r="1266">
      <c r="F1266" s="112"/>
    </row>
    <row r="1267">
      <c r="F1267" s="112"/>
    </row>
    <row r="1268">
      <c r="F1268" s="112"/>
    </row>
    <row r="1269">
      <c r="F1269" s="112"/>
    </row>
    <row r="1270">
      <c r="F1270" s="112"/>
    </row>
    <row r="1271">
      <c r="F1271" s="112"/>
    </row>
    <row r="1272">
      <c r="F1272" s="112"/>
    </row>
    <row r="1273">
      <c r="F1273" s="112"/>
    </row>
    <row r="1274">
      <c r="F1274" s="112"/>
    </row>
    <row r="1275">
      <c r="F1275" s="112"/>
    </row>
    <row r="1276">
      <c r="F1276" s="112"/>
    </row>
    <row r="1277">
      <c r="F1277" s="112"/>
    </row>
    <row r="1278">
      <c r="F1278" s="112"/>
    </row>
    <row r="1279">
      <c r="F1279" s="112"/>
    </row>
    <row r="1280">
      <c r="F1280" s="112"/>
    </row>
    <row r="1281">
      <c r="F1281" s="112"/>
    </row>
    <row r="1282">
      <c r="F1282" s="112"/>
    </row>
    <row r="1283">
      <c r="F1283" s="112"/>
    </row>
    <row r="1284">
      <c r="F1284" s="112"/>
    </row>
    <row r="1285">
      <c r="F1285" s="112"/>
    </row>
    <row r="1286">
      <c r="F1286" s="112"/>
    </row>
    <row r="1287">
      <c r="F1287" s="112"/>
    </row>
    <row r="1288">
      <c r="F1288" s="112"/>
    </row>
    <row r="1289">
      <c r="F1289" s="112"/>
    </row>
    <row r="1290">
      <c r="F1290" s="112"/>
    </row>
    <row r="1291">
      <c r="F1291" s="112"/>
    </row>
    <row r="1292">
      <c r="F1292" s="112"/>
    </row>
    <row r="1293">
      <c r="F1293" s="112"/>
    </row>
    <row r="1294">
      <c r="F1294" s="112"/>
    </row>
    <row r="1295">
      <c r="F1295" s="112"/>
    </row>
    <row r="1296">
      <c r="F1296" s="112"/>
    </row>
    <row r="1297">
      <c r="F1297" s="112"/>
    </row>
    <row r="1298">
      <c r="F1298" s="112"/>
    </row>
    <row r="1299">
      <c r="F1299" s="112"/>
    </row>
    <row r="1300">
      <c r="F1300" s="112"/>
    </row>
    <row r="1301">
      <c r="F1301" s="112"/>
    </row>
    <row r="1302">
      <c r="F1302" s="112"/>
    </row>
    <row r="1303">
      <c r="F1303" s="112"/>
    </row>
    <row r="1304">
      <c r="F1304" s="112"/>
    </row>
    <row r="1305">
      <c r="F1305" s="112"/>
    </row>
    <row r="1306">
      <c r="F1306" s="112"/>
    </row>
    <row r="1307">
      <c r="F1307" s="112"/>
    </row>
    <row r="1308">
      <c r="F1308" s="112"/>
    </row>
    <row r="1309">
      <c r="F1309" s="112"/>
    </row>
    <row r="1310">
      <c r="F1310" s="112"/>
    </row>
    <row r="1311">
      <c r="F1311" s="112"/>
    </row>
    <row r="1312">
      <c r="F1312" s="112"/>
    </row>
    <row r="1313">
      <c r="F1313" s="112"/>
    </row>
    <row r="1314">
      <c r="F1314" s="112"/>
    </row>
    <row r="1315">
      <c r="F1315" s="112"/>
    </row>
    <row r="1316">
      <c r="F1316" s="112"/>
    </row>
    <row r="1317">
      <c r="F1317" s="112"/>
    </row>
    <row r="1318">
      <c r="F1318" s="112"/>
    </row>
    <row r="1319">
      <c r="F1319" s="112"/>
    </row>
    <row r="1320">
      <c r="F1320" s="112"/>
    </row>
    <row r="1321">
      <c r="F1321" s="112"/>
    </row>
    <row r="1322">
      <c r="F1322" s="112"/>
    </row>
    <row r="1323">
      <c r="F1323" s="112"/>
    </row>
    <row r="1324">
      <c r="F1324" s="112"/>
    </row>
    <row r="1325">
      <c r="F1325" s="112"/>
    </row>
    <row r="1326">
      <c r="F1326" s="112"/>
    </row>
    <row r="1327">
      <c r="F1327" s="112"/>
    </row>
    <row r="1328">
      <c r="F1328" s="112"/>
    </row>
    <row r="1329">
      <c r="F1329" s="112"/>
    </row>
    <row r="1330">
      <c r="F1330" s="112"/>
    </row>
    <row r="1331">
      <c r="F1331" s="112"/>
    </row>
    <row r="1332">
      <c r="F1332" s="112"/>
    </row>
    <row r="1333">
      <c r="F1333" s="112"/>
    </row>
    <row r="1334">
      <c r="F1334" s="112"/>
    </row>
    <row r="1335">
      <c r="F1335" s="112"/>
    </row>
    <row r="1336">
      <c r="F1336" s="112"/>
    </row>
    <row r="1337">
      <c r="F1337" s="112"/>
    </row>
    <row r="1338">
      <c r="F1338" s="112"/>
    </row>
    <row r="1339">
      <c r="F1339" s="112"/>
    </row>
    <row r="1340">
      <c r="F1340" s="112"/>
    </row>
    <row r="1341">
      <c r="F1341" s="112"/>
    </row>
    <row r="1342">
      <c r="F1342" s="112"/>
    </row>
    <row r="1343">
      <c r="F1343" s="112"/>
    </row>
    <row r="1344">
      <c r="F1344" s="112"/>
    </row>
    <row r="1345">
      <c r="F1345" s="112"/>
    </row>
    <row r="1346">
      <c r="F1346" s="112"/>
    </row>
    <row r="1347">
      <c r="F1347" s="112"/>
    </row>
    <row r="1348">
      <c r="F1348" s="112"/>
    </row>
    <row r="1349">
      <c r="F1349" s="112"/>
    </row>
    <row r="1350">
      <c r="F1350" s="112"/>
    </row>
    <row r="1351">
      <c r="F1351" s="112"/>
    </row>
    <row r="1352">
      <c r="F1352" s="112"/>
    </row>
    <row r="1353">
      <c r="F1353" s="112"/>
    </row>
    <row r="1354">
      <c r="F1354" s="112"/>
    </row>
    <row r="1355">
      <c r="F1355" s="112"/>
    </row>
    <row r="1356">
      <c r="F1356" s="112"/>
    </row>
    <row r="1357">
      <c r="F1357" s="112"/>
    </row>
    <row r="1358">
      <c r="F1358" s="112"/>
    </row>
    <row r="1359">
      <c r="F1359" s="112"/>
    </row>
    <row r="1360">
      <c r="F1360" s="112"/>
    </row>
    <row r="1361">
      <c r="F1361" s="112"/>
    </row>
    <row r="1362">
      <c r="F1362" s="112"/>
    </row>
    <row r="1363">
      <c r="F1363" s="112"/>
    </row>
    <row r="1364">
      <c r="F1364" s="112"/>
    </row>
    <row r="1365">
      <c r="F1365" s="112"/>
    </row>
    <row r="1366">
      <c r="F1366" s="112"/>
    </row>
    <row r="1367">
      <c r="F1367" s="112"/>
    </row>
    <row r="1368">
      <c r="F1368" s="112"/>
    </row>
    <row r="1369">
      <c r="F1369" s="112"/>
    </row>
    <row r="1370">
      <c r="F1370" s="112"/>
    </row>
    <row r="1371">
      <c r="F1371" s="112"/>
    </row>
    <row r="1372">
      <c r="F1372" s="112"/>
    </row>
    <row r="1373">
      <c r="F1373" s="112"/>
    </row>
    <row r="1374">
      <c r="F1374" s="112"/>
    </row>
    <row r="1375">
      <c r="F1375" s="112"/>
    </row>
    <row r="1376">
      <c r="F1376" s="112"/>
    </row>
    <row r="1377">
      <c r="F1377" s="112"/>
    </row>
    <row r="1378">
      <c r="F1378" s="112"/>
    </row>
    <row r="1379">
      <c r="F1379" s="112"/>
    </row>
    <row r="1380">
      <c r="F1380" s="112"/>
    </row>
    <row r="1381">
      <c r="F1381" s="112"/>
    </row>
    <row r="1382">
      <c r="F1382" s="112"/>
    </row>
    <row r="1383">
      <c r="F1383" s="112"/>
    </row>
    <row r="1384">
      <c r="F1384" s="112"/>
    </row>
    <row r="1385">
      <c r="F1385" s="112"/>
    </row>
    <row r="1386">
      <c r="F1386" s="112"/>
    </row>
    <row r="1387">
      <c r="F1387" s="112"/>
    </row>
    <row r="1388">
      <c r="F1388" s="112"/>
    </row>
    <row r="1389">
      <c r="F1389" s="112"/>
    </row>
    <row r="1390">
      <c r="F1390" s="112"/>
    </row>
    <row r="1391">
      <c r="F1391" s="112"/>
    </row>
    <row r="1392">
      <c r="F1392" s="112"/>
    </row>
    <row r="1393">
      <c r="F1393" s="112"/>
    </row>
    <row r="1394">
      <c r="F1394" s="112"/>
    </row>
    <row r="1395">
      <c r="F1395" s="112"/>
    </row>
    <row r="1396">
      <c r="F1396" s="112"/>
    </row>
    <row r="1397">
      <c r="F1397" s="112"/>
    </row>
    <row r="1398">
      <c r="F1398" s="112"/>
    </row>
    <row r="1399">
      <c r="F1399" s="112"/>
    </row>
    <row r="1400">
      <c r="F1400" s="112"/>
    </row>
    <row r="1401">
      <c r="F1401" s="112"/>
    </row>
    <row r="1402">
      <c r="F1402" s="112"/>
    </row>
    <row r="1403">
      <c r="F1403" s="112"/>
    </row>
    <row r="1404">
      <c r="F1404" s="112"/>
    </row>
    <row r="1405">
      <c r="F1405" s="112"/>
    </row>
    <row r="1406">
      <c r="F1406" s="112"/>
    </row>
    <row r="1407">
      <c r="F1407" s="112"/>
    </row>
    <row r="1408">
      <c r="F1408" s="112"/>
    </row>
    <row r="1409">
      <c r="F1409" s="112"/>
    </row>
    <row r="1410">
      <c r="F1410" s="112"/>
    </row>
    <row r="1411">
      <c r="F1411" s="112"/>
    </row>
    <row r="1412">
      <c r="F1412" s="112"/>
    </row>
    <row r="1413">
      <c r="F1413" s="112"/>
    </row>
    <row r="1414">
      <c r="F1414" s="112"/>
    </row>
    <row r="1415">
      <c r="F1415" s="112"/>
    </row>
    <row r="1416">
      <c r="F1416" s="112"/>
    </row>
    <row r="1417">
      <c r="F1417" s="112"/>
    </row>
    <row r="1418">
      <c r="F1418" s="112"/>
    </row>
    <row r="1419">
      <c r="F1419" s="112"/>
    </row>
    <row r="1420">
      <c r="F1420" s="112"/>
    </row>
    <row r="1421">
      <c r="F1421" s="112"/>
    </row>
    <row r="1422">
      <c r="F1422" s="112"/>
    </row>
    <row r="1423">
      <c r="F1423" s="112"/>
    </row>
    <row r="1424">
      <c r="F1424" s="112"/>
    </row>
    <row r="1425">
      <c r="F1425" s="112"/>
    </row>
    <row r="1426">
      <c r="F1426" s="112"/>
    </row>
    <row r="1427">
      <c r="F1427" s="112"/>
    </row>
    <row r="1428">
      <c r="F1428" s="112"/>
    </row>
    <row r="1429">
      <c r="F1429" s="112"/>
    </row>
    <row r="1430">
      <c r="F1430" s="112"/>
    </row>
    <row r="1431">
      <c r="F1431" s="112"/>
    </row>
    <row r="1432">
      <c r="F1432" s="112"/>
    </row>
    <row r="1433">
      <c r="F1433" s="112"/>
    </row>
    <row r="1434">
      <c r="F1434" s="112"/>
    </row>
    <row r="1435">
      <c r="F1435" s="112"/>
    </row>
    <row r="1436">
      <c r="F1436" s="112"/>
    </row>
    <row r="1437">
      <c r="F1437" s="112"/>
    </row>
    <row r="1438">
      <c r="F1438" s="112"/>
    </row>
    <row r="1439">
      <c r="F1439" s="112"/>
    </row>
    <row r="1440">
      <c r="F1440" s="112"/>
    </row>
    <row r="1441">
      <c r="F1441" s="112"/>
    </row>
    <row r="1442">
      <c r="F1442" s="112"/>
    </row>
    <row r="1443">
      <c r="F1443" s="112"/>
    </row>
    <row r="1444">
      <c r="F1444" s="112"/>
    </row>
    <row r="1445">
      <c r="F1445" s="112"/>
    </row>
    <row r="1446">
      <c r="F1446" s="112"/>
    </row>
    <row r="1447">
      <c r="F1447" s="112"/>
    </row>
    <row r="1448">
      <c r="F1448" s="112"/>
    </row>
    <row r="1449">
      <c r="F1449" s="112"/>
    </row>
    <row r="1450">
      <c r="F1450" s="112"/>
    </row>
    <row r="1451">
      <c r="F1451" s="112"/>
    </row>
    <row r="1452">
      <c r="F1452" s="112"/>
    </row>
    <row r="1453">
      <c r="F1453" s="112"/>
    </row>
    <row r="1454">
      <c r="F1454" s="112"/>
    </row>
    <row r="1455">
      <c r="F1455" s="112"/>
    </row>
    <row r="1456">
      <c r="F1456" s="112"/>
    </row>
    <row r="1457">
      <c r="F1457" s="112"/>
    </row>
    <row r="1458">
      <c r="F1458" s="112"/>
    </row>
    <row r="1459">
      <c r="F1459" s="112"/>
    </row>
    <row r="1460">
      <c r="F1460" s="112"/>
    </row>
    <row r="1461">
      <c r="F1461" s="112"/>
    </row>
    <row r="1462">
      <c r="F1462" s="112"/>
    </row>
    <row r="1463">
      <c r="F1463" s="112"/>
    </row>
    <row r="1464">
      <c r="F1464" s="112"/>
    </row>
    <row r="1465">
      <c r="F1465" s="112"/>
    </row>
    <row r="1466">
      <c r="F1466" s="112"/>
    </row>
    <row r="1467">
      <c r="F1467" s="112"/>
    </row>
    <row r="1468">
      <c r="F1468" s="112"/>
    </row>
    <row r="1469">
      <c r="F1469" s="112"/>
    </row>
    <row r="1470">
      <c r="F1470" s="112"/>
    </row>
    <row r="1471">
      <c r="F1471" s="112"/>
    </row>
    <row r="1472">
      <c r="F1472" s="112"/>
    </row>
    <row r="1473">
      <c r="F1473" s="112"/>
    </row>
    <row r="1474">
      <c r="F1474" s="112"/>
    </row>
    <row r="1475">
      <c r="F1475" s="112"/>
    </row>
    <row r="1476">
      <c r="F1476" s="112"/>
    </row>
    <row r="1477">
      <c r="F1477" s="112"/>
    </row>
    <row r="1478">
      <c r="F1478" s="112"/>
    </row>
    <row r="1479">
      <c r="F1479" s="112"/>
    </row>
    <row r="1480">
      <c r="F1480" s="112"/>
    </row>
    <row r="1481">
      <c r="F1481" s="112"/>
    </row>
    <row r="1482">
      <c r="F1482" s="112"/>
    </row>
    <row r="1483">
      <c r="F1483" s="112"/>
    </row>
    <row r="1484">
      <c r="F1484" s="112"/>
    </row>
    <row r="1485">
      <c r="F1485" s="112"/>
    </row>
    <row r="1486">
      <c r="F1486" s="112"/>
    </row>
    <row r="1487">
      <c r="F1487" s="112"/>
    </row>
    <row r="1488">
      <c r="F1488" s="112"/>
    </row>
    <row r="1489">
      <c r="F1489" s="112"/>
    </row>
    <row r="1490">
      <c r="F1490" s="112"/>
    </row>
    <row r="1491">
      <c r="F1491" s="112"/>
    </row>
    <row r="1492">
      <c r="F1492" s="112"/>
    </row>
    <row r="1493">
      <c r="F1493" s="112"/>
    </row>
    <row r="1494">
      <c r="F1494" s="112"/>
    </row>
    <row r="1495">
      <c r="F1495" s="112"/>
    </row>
    <row r="1496">
      <c r="F1496" s="112"/>
    </row>
    <row r="1497">
      <c r="F1497" s="112"/>
    </row>
    <row r="1498">
      <c r="F1498" s="112"/>
    </row>
    <row r="1499">
      <c r="F1499" s="112"/>
    </row>
    <row r="1500">
      <c r="F1500" s="112"/>
    </row>
    <row r="1501">
      <c r="F1501" s="112"/>
    </row>
    <row r="1502">
      <c r="F1502" s="112"/>
    </row>
    <row r="1503">
      <c r="F1503" s="112"/>
    </row>
    <row r="1504">
      <c r="F1504" s="112"/>
    </row>
    <row r="1505">
      <c r="F1505" s="112"/>
    </row>
    <row r="1506">
      <c r="F1506" s="112"/>
    </row>
    <row r="1507">
      <c r="F1507" s="112"/>
    </row>
    <row r="1508">
      <c r="F1508" s="112"/>
    </row>
    <row r="1509">
      <c r="F1509" s="112"/>
    </row>
    <row r="1510">
      <c r="F1510" s="112"/>
    </row>
    <row r="1511">
      <c r="F1511" s="112"/>
    </row>
    <row r="1512">
      <c r="F1512" s="112"/>
    </row>
    <row r="1513">
      <c r="F1513" s="112"/>
    </row>
    <row r="1514">
      <c r="F1514" s="112"/>
    </row>
    <row r="1515">
      <c r="F1515" s="112"/>
    </row>
    <row r="1516">
      <c r="F1516" s="112"/>
    </row>
    <row r="1517">
      <c r="F1517" s="112"/>
    </row>
    <row r="1518">
      <c r="F1518" s="112"/>
    </row>
    <row r="1519">
      <c r="F1519" s="112"/>
    </row>
    <row r="1520">
      <c r="F1520" s="112"/>
    </row>
    <row r="1521">
      <c r="F1521" s="112"/>
    </row>
    <row r="1522">
      <c r="F1522" s="112"/>
    </row>
    <row r="1523">
      <c r="F1523" s="112"/>
    </row>
    <row r="1524">
      <c r="F1524" s="112"/>
    </row>
    <row r="1525">
      <c r="F1525" s="112"/>
    </row>
    <row r="1526">
      <c r="F1526" s="112"/>
    </row>
    <row r="1527">
      <c r="F1527" s="112"/>
    </row>
    <row r="1528">
      <c r="F1528" s="112"/>
    </row>
    <row r="1529">
      <c r="F1529" s="112"/>
    </row>
    <row r="1530">
      <c r="F1530" s="112"/>
    </row>
    <row r="1531">
      <c r="F1531" s="112"/>
    </row>
    <row r="1532">
      <c r="F1532" s="112"/>
    </row>
    <row r="1533">
      <c r="F1533" s="112"/>
    </row>
    <row r="1534">
      <c r="F1534" s="112"/>
    </row>
    <row r="1535">
      <c r="F1535" s="112"/>
    </row>
    <row r="1536">
      <c r="F1536" s="112"/>
    </row>
    <row r="1537">
      <c r="F1537" s="112"/>
    </row>
    <row r="1538">
      <c r="F1538" s="112"/>
    </row>
    <row r="1539">
      <c r="F1539" s="112"/>
    </row>
    <row r="1540">
      <c r="F1540" s="112"/>
    </row>
    <row r="1541">
      <c r="F1541" s="112"/>
    </row>
    <row r="1542">
      <c r="F1542" s="112"/>
    </row>
    <row r="1543">
      <c r="F1543" s="112"/>
    </row>
    <row r="1544">
      <c r="F1544" s="112"/>
    </row>
    <row r="1545">
      <c r="F1545" s="112"/>
    </row>
    <row r="1546">
      <c r="F1546" s="112"/>
    </row>
    <row r="1547">
      <c r="F1547" s="112"/>
    </row>
    <row r="1548">
      <c r="F1548" s="112"/>
    </row>
    <row r="1549">
      <c r="F1549" s="112"/>
    </row>
    <row r="1550">
      <c r="F1550" s="112"/>
    </row>
    <row r="1551">
      <c r="F1551" s="112"/>
    </row>
    <row r="1552">
      <c r="F1552" s="112"/>
    </row>
    <row r="1553">
      <c r="F1553" s="112"/>
    </row>
    <row r="1554">
      <c r="F1554" s="112"/>
    </row>
    <row r="1555">
      <c r="F1555" s="112"/>
    </row>
    <row r="1556">
      <c r="F1556" s="112"/>
    </row>
    <row r="1557">
      <c r="F1557" s="112"/>
    </row>
    <row r="1558">
      <c r="F1558" s="112"/>
    </row>
    <row r="1559">
      <c r="F1559" s="112"/>
    </row>
    <row r="1560">
      <c r="F1560" s="112"/>
    </row>
    <row r="1561">
      <c r="F1561" s="112"/>
    </row>
    <row r="1562">
      <c r="F1562" s="112"/>
    </row>
    <row r="1563">
      <c r="F1563" s="112"/>
    </row>
    <row r="1564">
      <c r="F1564" s="112"/>
    </row>
    <row r="1565">
      <c r="F1565" s="112"/>
    </row>
    <row r="1566">
      <c r="F1566" s="112"/>
    </row>
    <row r="1567">
      <c r="F1567" s="112"/>
    </row>
    <row r="1568">
      <c r="F1568" s="112"/>
    </row>
    <row r="1569">
      <c r="F1569" s="112"/>
    </row>
    <row r="1570">
      <c r="F1570" s="112"/>
    </row>
    <row r="1571">
      <c r="F1571" s="112"/>
    </row>
    <row r="1572">
      <c r="F1572" s="112"/>
    </row>
    <row r="1573">
      <c r="F1573" s="112"/>
    </row>
    <row r="1574">
      <c r="F1574" s="112"/>
    </row>
    <row r="1575">
      <c r="F1575" s="112"/>
    </row>
    <row r="1576">
      <c r="F1576" s="112"/>
    </row>
    <row r="1577">
      <c r="F1577" s="112"/>
    </row>
    <row r="1578">
      <c r="F1578" s="112"/>
    </row>
    <row r="1579">
      <c r="F1579" s="112"/>
    </row>
    <row r="1580">
      <c r="F1580" s="112"/>
    </row>
    <row r="1581">
      <c r="F1581" s="112"/>
    </row>
    <row r="1582">
      <c r="F1582" s="112"/>
    </row>
    <row r="1583">
      <c r="F1583" s="112"/>
    </row>
    <row r="1584">
      <c r="F1584" s="112"/>
    </row>
    <row r="1585">
      <c r="F1585" s="112"/>
    </row>
    <row r="1586">
      <c r="F1586" s="112"/>
    </row>
    <row r="1587">
      <c r="F1587" s="112"/>
    </row>
    <row r="1588">
      <c r="F1588" s="112"/>
    </row>
    <row r="1589">
      <c r="F1589" s="112"/>
    </row>
    <row r="1590">
      <c r="F1590" s="112"/>
    </row>
    <row r="1591">
      <c r="F1591" s="112"/>
    </row>
    <row r="1592">
      <c r="F1592" s="112"/>
    </row>
    <row r="1593">
      <c r="F1593" s="112"/>
    </row>
    <row r="1594">
      <c r="F1594" s="112"/>
    </row>
    <row r="1595">
      <c r="F1595" s="112"/>
    </row>
    <row r="1596">
      <c r="F1596" s="112"/>
    </row>
    <row r="1597">
      <c r="F1597" s="112"/>
    </row>
    <row r="1598">
      <c r="F1598" s="112"/>
    </row>
    <row r="1599">
      <c r="F1599" s="112"/>
    </row>
    <row r="1600">
      <c r="F1600" s="112"/>
    </row>
    <row r="1601">
      <c r="F1601" s="112"/>
    </row>
    <row r="1602">
      <c r="F1602" s="112"/>
    </row>
    <row r="1603">
      <c r="F1603" s="112"/>
    </row>
    <row r="1604">
      <c r="F1604" s="112"/>
    </row>
    <row r="1605">
      <c r="F1605" s="112"/>
    </row>
    <row r="1606">
      <c r="F1606" s="112"/>
    </row>
    <row r="1607">
      <c r="F1607" s="112"/>
    </row>
    <row r="1608">
      <c r="F1608" s="112"/>
    </row>
    <row r="1609">
      <c r="F1609" s="112"/>
    </row>
    <row r="1610">
      <c r="F1610" s="112"/>
    </row>
    <row r="1611">
      <c r="F1611" s="112"/>
    </row>
    <row r="1612">
      <c r="F1612" s="112"/>
    </row>
    <row r="1613">
      <c r="F1613" s="112"/>
    </row>
    <row r="1614">
      <c r="F1614" s="112"/>
    </row>
    <row r="1615">
      <c r="F1615" s="112"/>
    </row>
    <row r="1616">
      <c r="F1616" s="112"/>
    </row>
    <row r="1617">
      <c r="F1617" s="112"/>
    </row>
    <row r="1618">
      <c r="F1618" s="112"/>
    </row>
    <row r="1619">
      <c r="F1619" s="112"/>
    </row>
    <row r="1620">
      <c r="F1620" s="112"/>
    </row>
    <row r="1621">
      <c r="F1621" s="112"/>
    </row>
    <row r="1622">
      <c r="F1622" s="112"/>
    </row>
    <row r="1623">
      <c r="F1623" s="112"/>
    </row>
    <row r="1624">
      <c r="F1624" s="112"/>
    </row>
    <row r="1625">
      <c r="F1625" s="112"/>
    </row>
    <row r="1626">
      <c r="F1626" s="112"/>
    </row>
    <row r="1627">
      <c r="F1627" s="112"/>
    </row>
    <row r="1628">
      <c r="F1628" s="112"/>
    </row>
    <row r="1629">
      <c r="F1629" s="112"/>
    </row>
    <row r="1630">
      <c r="F1630" s="112"/>
    </row>
    <row r="1631">
      <c r="F1631" s="112"/>
    </row>
    <row r="1632">
      <c r="F1632" s="112"/>
    </row>
    <row r="1633">
      <c r="F1633" s="112"/>
    </row>
    <row r="1634">
      <c r="F1634" s="112"/>
    </row>
    <row r="1635">
      <c r="F1635" s="112"/>
    </row>
    <row r="1636">
      <c r="F1636" s="112"/>
    </row>
    <row r="1637">
      <c r="F1637" s="112"/>
    </row>
    <row r="1638">
      <c r="F1638" s="112"/>
    </row>
    <row r="1639">
      <c r="F1639" s="112"/>
    </row>
    <row r="1640">
      <c r="F1640" s="112"/>
    </row>
    <row r="1641">
      <c r="F1641" s="112"/>
    </row>
    <row r="1642">
      <c r="F1642" s="112"/>
    </row>
    <row r="1643">
      <c r="F1643" s="112"/>
    </row>
    <row r="1644">
      <c r="F1644" s="112"/>
    </row>
    <row r="1645">
      <c r="F1645" s="112"/>
    </row>
    <row r="1646">
      <c r="F1646" s="112"/>
    </row>
    <row r="1647">
      <c r="F1647" s="112"/>
    </row>
    <row r="1648">
      <c r="F1648" s="112"/>
    </row>
    <row r="1649">
      <c r="F1649" s="112"/>
    </row>
    <row r="1650">
      <c r="F1650" s="112"/>
    </row>
    <row r="1651">
      <c r="F1651" s="112"/>
    </row>
    <row r="1652">
      <c r="F1652" s="112"/>
    </row>
    <row r="1653">
      <c r="F1653" s="112"/>
    </row>
    <row r="1654">
      <c r="F1654" s="112"/>
    </row>
    <row r="1655">
      <c r="F1655" s="112"/>
    </row>
    <row r="1656">
      <c r="F1656" s="112"/>
    </row>
    <row r="1657">
      <c r="F1657" s="112"/>
    </row>
    <row r="1658">
      <c r="F1658" s="112"/>
    </row>
    <row r="1659">
      <c r="F1659" s="112"/>
    </row>
    <row r="1660">
      <c r="F1660" s="112"/>
    </row>
    <row r="1661">
      <c r="F1661" s="112"/>
    </row>
    <row r="1662">
      <c r="F1662" s="112"/>
    </row>
    <row r="1663">
      <c r="F1663" s="112"/>
    </row>
    <row r="1664">
      <c r="F1664" s="112"/>
    </row>
    <row r="1665">
      <c r="F1665" s="112"/>
    </row>
    <row r="1666">
      <c r="F1666" s="112"/>
    </row>
    <row r="1667">
      <c r="F1667" s="112"/>
    </row>
    <row r="1668">
      <c r="F1668" s="112"/>
    </row>
    <row r="1669">
      <c r="F1669" s="112"/>
    </row>
    <row r="1670">
      <c r="F1670" s="112"/>
    </row>
    <row r="1671">
      <c r="F1671" s="112"/>
    </row>
    <row r="1672">
      <c r="F1672" s="112"/>
    </row>
    <row r="1673">
      <c r="F1673" s="112"/>
    </row>
    <row r="1674">
      <c r="F1674" s="112"/>
    </row>
    <row r="1675">
      <c r="F1675" s="112"/>
    </row>
    <row r="1676">
      <c r="F1676" s="112"/>
    </row>
    <row r="1677">
      <c r="F1677" s="112"/>
    </row>
    <row r="1678">
      <c r="F1678" s="112"/>
    </row>
    <row r="1679">
      <c r="F1679" s="112"/>
    </row>
    <row r="1680">
      <c r="F1680" s="112"/>
    </row>
    <row r="1681">
      <c r="F1681" s="112"/>
    </row>
    <row r="1682">
      <c r="F1682" s="112"/>
    </row>
    <row r="1683">
      <c r="F1683" s="112"/>
    </row>
    <row r="1684">
      <c r="F1684" s="112"/>
    </row>
    <row r="1685">
      <c r="F1685" s="112"/>
    </row>
    <row r="1686">
      <c r="F1686" s="112"/>
    </row>
    <row r="1687">
      <c r="F1687" s="112"/>
    </row>
    <row r="1688">
      <c r="F1688" s="112"/>
    </row>
    <row r="1689">
      <c r="F1689" s="112"/>
    </row>
    <row r="1690">
      <c r="F1690" s="112"/>
    </row>
    <row r="1691">
      <c r="F1691" s="112"/>
    </row>
    <row r="1692">
      <c r="F1692" s="112"/>
    </row>
    <row r="1693">
      <c r="F1693" s="112"/>
    </row>
    <row r="1694">
      <c r="F1694" s="112"/>
    </row>
    <row r="1695">
      <c r="F1695" s="112"/>
    </row>
    <row r="1696">
      <c r="F1696" s="112"/>
    </row>
    <row r="1697">
      <c r="F1697" s="112"/>
    </row>
    <row r="1698">
      <c r="F1698" s="112"/>
    </row>
    <row r="1699">
      <c r="F1699" s="112"/>
    </row>
    <row r="1700">
      <c r="F1700" s="112"/>
    </row>
    <row r="1701">
      <c r="F1701" s="112"/>
    </row>
    <row r="1702">
      <c r="F1702" s="112"/>
    </row>
    <row r="1703">
      <c r="F1703" s="112"/>
    </row>
    <row r="1704">
      <c r="F1704" s="112"/>
    </row>
    <row r="1705">
      <c r="F1705" s="112"/>
    </row>
    <row r="1706">
      <c r="F1706" s="112"/>
    </row>
    <row r="1707">
      <c r="F1707" s="112"/>
    </row>
    <row r="1708">
      <c r="F1708" s="112"/>
    </row>
    <row r="1709">
      <c r="F1709" s="112"/>
    </row>
    <row r="1710">
      <c r="F1710" s="112"/>
    </row>
    <row r="1711">
      <c r="F1711" s="112"/>
    </row>
    <row r="1712">
      <c r="F1712" s="112"/>
    </row>
    <row r="1713">
      <c r="F1713" s="112"/>
    </row>
    <row r="1714">
      <c r="F1714" s="112"/>
    </row>
    <row r="1715">
      <c r="F1715" s="112"/>
    </row>
    <row r="1716">
      <c r="F1716" s="112"/>
    </row>
    <row r="1717">
      <c r="F1717" s="112"/>
    </row>
    <row r="1718">
      <c r="F1718" s="112"/>
    </row>
    <row r="1719">
      <c r="F1719" s="112"/>
    </row>
    <row r="1720">
      <c r="F1720" s="112"/>
    </row>
    <row r="1721">
      <c r="F1721" s="112"/>
    </row>
    <row r="1722">
      <c r="F1722" s="112"/>
    </row>
    <row r="1723">
      <c r="F1723" s="112"/>
    </row>
    <row r="1724">
      <c r="F1724" s="112"/>
    </row>
    <row r="1725">
      <c r="F1725" s="112"/>
    </row>
    <row r="1726">
      <c r="F1726" s="112"/>
    </row>
    <row r="1727">
      <c r="F1727" s="112"/>
    </row>
    <row r="1728">
      <c r="F1728" s="112"/>
    </row>
    <row r="1729">
      <c r="F1729" s="112"/>
    </row>
    <row r="1730">
      <c r="F1730" s="112"/>
    </row>
    <row r="1731">
      <c r="F1731" s="112"/>
    </row>
    <row r="1732">
      <c r="F1732" s="112"/>
    </row>
    <row r="1733">
      <c r="F1733" s="112"/>
    </row>
    <row r="1734">
      <c r="F1734" s="112"/>
    </row>
    <row r="1735">
      <c r="F1735" s="112"/>
    </row>
    <row r="1736">
      <c r="F1736" s="112"/>
    </row>
    <row r="1737">
      <c r="F1737" s="112"/>
    </row>
    <row r="1738">
      <c r="F1738" s="112"/>
    </row>
    <row r="1739">
      <c r="F1739" s="112"/>
    </row>
    <row r="1740">
      <c r="F1740" s="112"/>
    </row>
    <row r="1741">
      <c r="F1741" s="112"/>
    </row>
    <row r="1742">
      <c r="F1742" s="112"/>
    </row>
    <row r="1743">
      <c r="F1743" s="112"/>
    </row>
    <row r="1744">
      <c r="F1744" s="112"/>
    </row>
    <row r="1745">
      <c r="F1745" s="112"/>
    </row>
    <row r="1746">
      <c r="F1746" s="112"/>
    </row>
    <row r="1747">
      <c r="F1747" s="112"/>
    </row>
    <row r="1748">
      <c r="F1748" s="112"/>
    </row>
    <row r="1749">
      <c r="F1749" s="112"/>
    </row>
    <row r="1750">
      <c r="F1750" s="112"/>
    </row>
    <row r="1751">
      <c r="F1751" s="112"/>
    </row>
    <row r="1752">
      <c r="F1752" s="112"/>
    </row>
    <row r="1753">
      <c r="F1753" s="112"/>
    </row>
    <row r="1754">
      <c r="F1754" s="112"/>
    </row>
    <row r="1755">
      <c r="F1755" s="112"/>
    </row>
    <row r="1756">
      <c r="F1756" s="112"/>
    </row>
    <row r="1757">
      <c r="F1757" s="112"/>
    </row>
    <row r="1758">
      <c r="F1758" s="112"/>
    </row>
    <row r="1759">
      <c r="F1759" s="112"/>
    </row>
    <row r="1760">
      <c r="F1760" s="112"/>
    </row>
    <row r="1761">
      <c r="F1761" s="112"/>
    </row>
    <row r="1762">
      <c r="F1762" s="112"/>
    </row>
    <row r="1763">
      <c r="F1763" s="112"/>
    </row>
    <row r="1764">
      <c r="F1764" s="112"/>
    </row>
    <row r="1765">
      <c r="F1765" s="112"/>
    </row>
    <row r="1766">
      <c r="F1766" s="112"/>
    </row>
    <row r="1767">
      <c r="F1767" s="112"/>
    </row>
    <row r="1768">
      <c r="F1768" s="112"/>
    </row>
    <row r="1769">
      <c r="F1769" s="112"/>
    </row>
    <row r="1770">
      <c r="F1770" s="112"/>
    </row>
    <row r="1771">
      <c r="F1771" s="112"/>
    </row>
    <row r="1772">
      <c r="F1772" s="112"/>
    </row>
    <row r="1773">
      <c r="F1773" s="112"/>
    </row>
    <row r="1774">
      <c r="F1774" s="112"/>
    </row>
    <row r="1775">
      <c r="F1775" s="112"/>
    </row>
    <row r="1776">
      <c r="F1776" s="112"/>
    </row>
    <row r="1777">
      <c r="F1777" s="112"/>
    </row>
    <row r="1778">
      <c r="F1778" s="112"/>
    </row>
    <row r="1779">
      <c r="F1779" s="112"/>
    </row>
    <row r="1780">
      <c r="F1780" s="112"/>
    </row>
    <row r="1781">
      <c r="F1781" s="112"/>
    </row>
    <row r="1782">
      <c r="F1782" s="112"/>
    </row>
    <row r="1783">
      <c r="F1783" s="112"/>
    </row>
    <row r="1784">
      <c r="F1784" s="112"/>
    </row>
    <row r="1785">
      <c r="F1785" s="112"/>
    </row>
    <row r="1786">
      <c r="F1786" s="112"/>
    </row>
    <row r="1787">
      <c r="F1787" s="112"/>
    </row>
    <row r="1788">
      <c r="F1788" s="112"/>
    </row>
    <row r="1789">
      <c r="F1789" s="112"/>
    </row>
    <row r="1790">
      <c r="F1790" s="112"/>
    </row>
    <row r="1791">
      <c r="F1791" s="112"/>
    </row>
    <row r="1792">
      <c r="F1792" s="112"/>
    </row>
    <row r="1793">
      <c r="F1793" s="112"/>
    </row>
    <row r="1794">
      <c r="F1794" s="112"/>
    </row>
    <row r="1795">
      <c r="F1795" s="112"/>
    </row>
    <row r="1796">
      <c r="F1796" s="112"/>
    </row>
    <row r="1797">
      <c r="F1797" s="112"/>
    </row>
    <row r="1798">
      <c r="F1798" s="112"/>
    </row>
    <row r="1799">
      <c r="F1799" s="112"/>
    </row>
    <row r="1800">
      <c r="F1800" s="112"/>
    </row>
    <row r="1801">
      <c r="F1801" s="112"/>
    </row>
    <row r="1802">
      <c r="F1802" s="112"/>
    </row>
    <row r="1803">
      <c r="F1803" s="112"/>
    </row>
    <row r="1804">
      <c r="F1804" s="112"/>
    </row>
    <row r="1805">
      <c r="F1805" s="112"/>
    </row>
    <row r="1806">
      <c r="F1806" s="112"/>
    </row>
    <row r="1807">
      <c r="F1807" s="112"/>
    </row>
    <row r="1808">
      <c r="F1808" s="112"/>
    </row>
    <row r="1809">
      <c r="F1809" s="112"/>
    </row>
    <row r="1810">
      <c r="F1810" s="112"/>
    </row>
    <row r="1811">
      <c r="F1811" s="112"/>
    </row>
    <row r="1812">
      <c r="F1812" s="112"/>
    </row>
    <row r="1813">
      <c r="F1813" s="112"/>
    </row>
    <row r="1814">
      <c r="F1814" s="112"/>
    </row>
    <row r="1815">
      <c r="F1815" s="112"/>
    </row>
    <row r="1816">
      <c r="F1816" s="112"/>
    </row>
    <row r="1817">
      <c r="F1817" s="112"/>
    </row>
    <row r="1818">
      <c r="F1818" s="112"/>
    </row>
    <row r="1819">
      <c r="F1819" s="112"/>
    </row>
    <row r="1820">
      <c r="F1820" s="112"/>
    </row>
    <row r="1821">
      <c r="F1821" s="112"/>
    </row>
    <row r="1822">
      <c r="F1822" s="112"/>
    </row>
    <row r="1823">
      <c r="F1823" s="112"/>
    </row>
    <row r="1824">
      <c r="F1824" s="112"/>
    </row>
    <row r="1825">
      <c r="F1825" s="112"/>
    </row>
    <row r="1826">
      <c r="F1826" s="112"/>
    </row>
    <row r="1827">
      <c r="F1827" s="112"/>
    </row>
    <row r="1828">
      <c r="F1828" s="112"/>
    </row>
    <row r="1829">
      <c r="F1829" s="112"/>
    </row>
    <row r="1830">
      <c r="F1830" s="112"/>
    </row>
    <row r="1831">
      <c r="F1831" s="112"/>
    </row>
    <row r="1832">
      <c r="F1832" s="112"/>
    </row>
    <row r="1833">
      <c r="F1833" s="112"/>
    </row>
    <row r="1834">
      <c r="F1834" s="112"/>
    </row>
    <row r="1835">
      <c r="F1835" s="112"/>
    </row>
    <row r="1836">
      <c r="F1836" s="112"/>
    </row>
    <row r="1837">
      <c r="F1837" s="112"/>
    </row>
    <row r="1838">
      <c r="F1838" s="112"/>
    </row>
    <row r="1839">
      <c r="F1839" s="112"/>
    </row>
    <row r="1840">
      <c r="F1840" s="112"/>
    </row>
    <row r="1841">
      <c r="F1841" s="112"/>
    </row>
    <row r="1842">
      <c r="F1842" s="112"/>
    </row>
    <row r="1843">
      <c r="F1843" s="112"/>
    </row>
    <row r="1844">
      <c r="F1844" s="112"/>
    </row>
    <row r="1845">
      <c r="F1845" s="112"/>
    </row>
    <row r="1846">
      <c r="F1846" s="112"/>
    </row>
    <row r="1847">
      <c r="F1847" s="112"/>
    </row>
    <row r="1848">
      <c r="F1848" s="112"/>
    </row>
    <row r="1849">
      <c r="F1849" s="112"/>
    </row>
    <row r="1850">
      <c r="F1850" s="112"/>
    </row>
    <row r="1851">
      <c r="F1851" s="112"/>
    </row>
    <row r="1852">
      <c r="F1852" s="112"/>
    </row>
    <row r="1853">
      <c r="F1853" s="112"/>
    </row>
    <row r="1854">
      <c r="F1854" s="112"/>
    </row>
    <row r="1855">
      <c r="F1855" s="112"/>
    </row>
    <row r="1856">
      <c r="F1856" s="112"/>
    </row>
    <row r="1857">
      <c r="F1857" s="112"/>
    </row>
    <row r="1858">
      <c r="F1858" s="112"/>
    </row>
    <row r="1859">
      <c r="F1859" s="112"/>
    </row>
    <row r="1860">
      <c r="F1860" s="112"/>
    </row>
    <row r="1861">
      <c r="F1861" s="112"/>
    </row>
    <row r="1862">
      <c r="F1862" s="112"/>
    </row>
    <row r="1863">
      <c r="F1863" s="112"/>
    </row>
    <row r="1864">
      <c r="F1864" s="112"/>
    </row>
    <row r="1865">
      <c r="F1865" s="112"/>
    </row>
    <row r="1866">
      <c r="F1866" s="112"/>
    </row>
    <row r="1867">
      <c r="F1867" s="112"/>
    </row>
    <row r="1868">
      <c r="F1868" s="112"/>
    </row>
    <row r="1869">
      <c r="F1869" s="112"/>
    </row>
    <row r="1870">
      <c r="F1870" s="112"/>
    </row>
    <row r="1871">
      <c r="F1871" s="112"/>
    </row>
    <row r="1872">
      <c r="F1872" s="112"/>
    </row>
    <row r="1873">
      <c r="F1873" s="112"/>
    </row>
    <row r="1874">
      <c r="F1874" s="112"/>
    </row>
    <row r="1875">
      <c r="F1875" s="112"/>
    </row>
    <row r="1876">
      <c r="F1876" s="112"/>
    </row>
    <row r="1877">
      <c r="F1877" s="112"/>
    </row>
    <row r="1878">
      <c r="F1878" s="112"/>
    </row>
    <row r="1879">
      <c r="F1879" s="112"/>
    </row>
    <row r="1880">
      <c r="F1880" s="112"/>
    </row>
    <row r="1881">
      <c r="F1881" s="112"/>
    </row>
    <row r="1882">
      <c r="F1882" s="112"/>
    </row>
    <row r="1883">
      <c r="F1883" s="112"/>
    </row>
    <row r="1884">
      <c r="F1884" s="112"/>
    </row>
    <row r="1885">
      <c r="F1885" s="112"/>
    </row>
    <row r="1886">
      <c r="F1886" s="112"/>
    </row>
    <row r="1887">
      <c r="F1887" s="112"/>
    </row>
    <row r="1888">
      <c r="F1888" s="112"/>
    </row>
    <row r="1889">
      <c r="F1889" s="112"/>
    </row>
    <row r="1890">
      <c r="F1890" s="112"/>
    </row>
    <row r="1891">
      <c r="F1891" s="112"/>
    </row>
    <row r="1892">
      <c r="F1892" s="112"/>
    </row>
    <row r="1893">
      <c r="F1893" s="112"/>
    </row>
    <row r="1894">
      <c r="F1894" s="112"/>
    </row>
    <row r="1895">
      <c r="F1895" s="112"/>
    </row>
    <row r="1896">
      <c r="F1896" s="112"/>
    </row>
    <row r="1897">
      <c r="F1897" s="112"/>
    </row>
    <row r="1898">
      <c r="F1898" s="112"/>
    </row>
    <row r="1899">
      <c r="F1899" s="112"/>
    </row>
    <row r="1900">
      <c r="F1900" s="112"/>
    </row>
    <row r="1901">
      <c r="F1901" s="112"/>
    </row>
    <row r="1902">
      <c r="F1902" s="112"/>
    </row>
    <row r="1903">
      <c r="F1903" s="112"/>
    </row>
    <row r="1904">
      <c r="F1904" s="112"/>
    </row>
    <row r="1905">
      <c r="F1905" s="112"/>
    </row>
    <row r="1906">
      <c r="F1906" s="112"/>
    </row>
    <row r="1907">
      <c r="F1907" s="112"/>
    </row>
    <row r="1908">
      <c r="F1908" s="112"/>
    </row>
    <row r="1909">
      <c r="F1909" s="112"/>
    </row>
    <row r="1910">
      <c r="F1910" s="112"/>
    </row>
    <row r="1911">
      <c r="F1911" s="112"/>
    </row>
    <row r="1912">
      <c r="F1912" s="112"/>
    </row>
    <row r="1913">
      <c r="F1913" s="112"/>
    </row>
    <row r="1914">
      <c r="F1914" s="112"/>
    </row>
    <row r="1915">
      <c r="F1915" s="112"/>
    </row>
    <row r="1916">
      <c r="F1916" s="112"/>
    </row>
    <row r="1917">
      <c r="F1917" s="112"/>
    </row>
    <row r="1918">
      <c r="F1918" s="112"/>
    </row>
    <row r="1919">
      <c r="F1919" s="112"/>
    </row>
    <row r="1920">
      <c r="F1920" s="112"/>
    </row>
    <row r="1921">
      <c r="F1921" s="112"/>
    </row>
    <row r="1922">
      <c r="F1922" s="112"/>
    </row>
    <row r="1923">
      <c r="F1923" s="112"/>
    </row>
    <row r="1924">
      <c r="F1924" s="112"/>
    </row>
    <row r="1925">
      <c r="F1925" s="112"/>
    </row>
    <row r="1926">
      <c r="F1926" s="112"/>
    </row>
    <row r="1927">
      <c r="F1927" s="112"/>
    </row>
    <row r="1928">
      <c r="F1928" s="112"/>
    </row>
    <row r="1929">
      <c r="F1929" s="112"/>
    </row>
    <row r="1930">
      <c r="F1930" s="112"/>
    </row>
    <row r="1931">
      <c r="F1931" s="112"/>
    </row>
    <row r="1932">
      <c r="F1932" s="112"/>
    </row>
    <row r="1933">
      <c r="F1933" s="112"/>
    </row>
    <row r="1934">
      <c r="F1934" s="112"/>
    </row>
    <row r="1935">
      <c r="F1935" s="112"/>
    </row>
    <row r="1936">
      <c r="F1936" s="112"/>
    </row>
    <row r="1937">
      <c r="F1937" s="112"/>
    </row>
    <row r="1938">
      <c r="F1938" s="112"/>
    </row>
    <row r="1939">
      <c r="F1939" s="112"/>
    </row>
    <row r="1940">
      <c r="F1940" s="112"/>
    </row>
    <row r="1941">
      <c r="F1941" s="112"/>
    </row>
    <row r="1942">
      <c r="F1942" s="112"/>
    </row>
    <row r="1943">
      <c r="F1943" s="112"/>
    </row>
    <row r="1944">
      <c r="F1944" s="112"/>
    </row>
    <row r="1945">
      <c r="F1945" s="112"/>
    </row>
    <row r="1946">
      <c r="F1946" s="112"/>
    </row>
    <row r="1947">
      <c r="F1947" s="112"/>
    </row>
    <row r="1948">
      <c r="F1948" s="112"/>
    </row>
    <row r="1949">
      <c r="F1949" s="112"/>
    </row>
    <row r="1950">
      <c r="F1950" s="112"/>
    </row>
    <row r="1951">
      <c r="F1951" s="112"/>
    </row>
    <row r="1952">
      <c r="F1952" s="112"/>
    </row>
    <row r="1953">
      <c r="F1953" s="112"/>
    </row>
    <row r="1954">
      <c r="F1954" s="112"/>
    </row>
    <row r="1955">
      <c r="F1955" s="112"/>
    </row>
    <row r="1956">
      <c r="F1956" s="112"/>
    </row>
    <row r="1957">
      <c r="F1957" s="112"/>
    </row>
    <row r="1958">
      <c r="F1958" s="112"/>
    </row>
    <row r="1959">
      <c r="F1959" s="112"/>
    </row>
    <row r="1960">
      <c r="F1960" s="112"/>
    </row>
    <row r="1961">
      <c r="F1961" s="112"/>
    </row>
    <row r="1962">
      <c r="F1962" s="112"/>
    </row>
    <row r="1963">
      <c r="F1963" s="112"/>
    </row>
    <row r="1964">
      <c r="F1964" s="112"/>
    </row>
    <row r="1965">
      <c r="F1965" s="112"/>
    </row>
    <row r="1966">
      <c r="F1966" s="112"/>
    </row>
    <row r="1967">
      <c r="F1967" s="112"/>
    </row>
    <row r="1968">
      <c r="F1968" s="112"/>
    </row>
    <row r="1969">
      <c r="F1969" s="112"/>
    </row>
    <row r="1970">
      <c r="F1970" s="112"/>
    </row>
    <row r="1971">
      <c r="F1971" s="112"/>
    </row>
    <row r="1972">
      <c r="F1972" s="112"/>
    </row>
    <row r="1973">
      <c r="F1973" s="112"/>
    </row>
    <row r="1974">
      <c r="F1974" s="112"/>
    </row>
    <row r="1975">
      <c r="F1975" s="112"/>
    </row>
    <row r="1976">
      <c r="F1976" s="112"/>
    </row>
    <row r="1977">
      <c r="F1977" s="112"/>
    </row>
    <row r="1978">
      <c r="F1978" s="112"/>
    </row>
    <row r="1979">
      <c r="F1979" s="112"/>
    </row>
    <row r="1980">
      <c r="F1980" s="112"/>
    </row>
    <row r="1981">
      <c r="F1981" s="112"/>
    </row>
    <row r="1982">
      <c r="F1982" s="112"/>
    </row>
    <row r="1983">
      <c r="F1983" s="112"/>
    </row>
    <row r="1984">
      <c r="F1984" s="112"/>
    </row>
    <row r="1985">
      <c r="F1985" s="112"/>
    </row>
    <row r="1986">
      <c r="F1986" s="112"/>
    </row>
    <row r="1987">
      <c r="F1987" s="112"/>
    </row>
    <row r="1988">
      <c r="F1988" s="112"/>
    </row>
    <row r="1989">
      <c r="F1989" s="112"/>
    </row>
    <row r="1990">
      <c r="F1990" s="112"/>
    </row>
    <row r="1991">
      <c r="F1991" s="112"/>
    </row>
    <row r="1992">
      <c r="F1992" s="112"/>
    </row>
    <row r="1993">
      <c r="F1993" s="112"/>
    </row>
    <row r="1994">
      <c r="F1994" s="112"/>
    </row>
    <row r="1995">
      <c r="F1995" s="112"/>
    </row>
    <row r="1996">
      <c r="F1996" s="112"/>
    </row>
    <row r="1997">
      <c r="F1997" s="112"/>
    </row>
    <row r="1998">
      <c r="F1998" s="112"/>
    </row>
    <row r="1999">
      <c r="F1999" s="112"/>
    </row>
    <row r="2000">
      <c r="F2000" s="112"/>
    </row>
  </sheetData>
  <conditionalFormatting sqref="E6:E2000">
    <cfRule type="containsText" dxfId="2" priority="1" operator="containsText" text="Stock">
      <formula>NOT(ISERROR(SEARCH(("Stock"),(E6))))</formula>
    </cfRule>
  </conditionalFormatting>
  <conditionalFormatting sqref="E6:E2000">
    <cfRule type="containsText" dxfId="3" priority="2" operator="containsText" text="Option">
      <formula>NOT(ISERROR(SEARCH(("Option"),(E6))))</formula>
    </cfRule>
  </conditionalFormatting>
  <conditionalFormatting sqref="E6:E2000">
    <cfRule type="containsText" dxfId="4" priority="3" operator="containsText" text="Bond">
      <formula>NOT(ISERROR(SEARCH(("Bond"),(E6))))</formula>
    </cfRule>
  </conditionalFormatting>
  <conditionalFormatting sqref="F6:F2000">
    <cfRule type="notContainsBlanks" dxfId="6" priority="4">
      <formula>LEN(TRIM(F6))&gt;0</formula>
    </cfRule>
  </conditionalFormatting>
  <conditionalFormatting sqref="G6:G2000">
    <cfRule type="notContainsBlanks" dxfId="2" priority="5">
      <formula>LEN(TRIM(G6))&gt;0</formula>
    </cfRule>
  </conditionalFormatting>
  <conditionalFormatting sqref="I6:J224">
    <cfRule type="containsText" dxfId="1" priority="6" operator="containsText" text="Non-number">
      <formula>NOT(ISERROR(SEARCH(("Non-number"),(I6))))</formula>
    </cfRule>
  </conditionalFormatting>
  <conditionalFormatting sqref="H8:H2000">
    <cfRule type="containsText" dxfId="1" priority="7" operator="containsText" text="@nonHKMUemail">
      <formula>NOT(ISERROR(SEARCH(("@nonHKMUemail"),(H8))))</formula>
    </cfRule>
  </conditionalFormatting>
  <conditionalFormatting sqref="I6:I2000">
    <cfRule type="containsText" dxfId="7" priority="8" operator="containsText" text="Wrong Password">
      <formula>NOT(ISERROR(SEARCH(("Wrong Password"),(I6))))</formula>
    </cfRule>
  </conditionalFormatting>
  <conditionalFormatting sqref="D6:D2000">
    <cfRule type="notContainsBlanks" dxfId="8" priority="9">
      <formula>LEN(TRIM(D6))&gt;0</formula>
    </cfRule>
  </conditionalFormatting>
  <hyperlinks>
    <hyperlink r:id="rId1" ref="F38"/>
    <hyperlink r:id="rId2" ref="F40"/>
    <hyperlink r:id="rId3" ref="F41"/>
    <hyperlink r:id="rId4" ref="F42"/>
    <hyperlink r:id="rId5" ref="F43"/>
    <hyperlink r:id="rId6" ref="F47"/>
    <hyperlink r:id="rId7" ref="F48"/>
    <hyperlink r:id="rId8" ref="F57"/>
    <hyperlink r:id="rId9" ref="F59"/>
    <hyperlink r:id="rId10" ref="F66"/>
    <hyperlink r:id="rId11" ref="F67"/>
    <hyperlink r:id="rId12" ref="F69"/>
    <hyperlink r:id="rId13" ref="F70"/>
    <hyperlink r:id="rId14" ref="F72"/>
    <hyperlink r:id="rId15" ref="F73"/>
    <hyperlink r:id="rId16" ref="F74"/>
    <hyperlink r:id="rId17" ref="F75"/>
    <hyperlink r:id="rId18" ref="F81"/>
    <hyperlink r:id="rId19" ref="F82"/>
    <hyperlink r:id="rId20" ref="F83"/>
    <hyperlink r:id="rId21" ref="F84"/>
    <hyperlink r:id="rId22" ref="F85"/>
    <hyperlink r:id="rId23" ref="F90"/>
    <hyperlink r:id="rId24" ref="F110"/>
    <hyperlink r:id="rId25" ref="F111"/>
    <hyperlink r:id="rId26" ref="F114"/>
    <hyperlink r:id="rId27" ref="F122"/>
    <hyperlink r:id="rId28" ref="F125"/>
    <hyperlink r:id="rId29" ref="F126"/>
    <hyperlink r:id="rId30" ref="F127"/>
    <hyperlink r:id="rId31" ref="F133"/>
    <hyperlink r:id="rId32" ref="F138"/>
    <hyperlink r:id="rId33" ref="F148"/>
    <hyperlink r:id="rId34" ref="F149"/>
    <hyperlink r:id="rId35" ref="F150"/>
    <hyperlink r:id="rId36" ref="F151"/>
    <hyperlink r:id="rId37" ref="F152"/>
    <hyperlink r:id="rId38" ref="F153"/>
    <hyperlink r:id="rId39" ref="F154"/>
    <hyperlink r:id="rId40" ref="F155"/>
    <hyperlink r:id="rId41" ref="F162"/>
    <hyperlink r:id="rId42" ref="F163"/>
    <hyperlink r:id="rId43" ref="F164"/>
    <hyperlink r:id="rId44" ref="F166"/>
    <hyperlink r:id="rId45" ref="F167"/>
    <hyperlink r:id="rId46" ref="F169"/>
    <hyperlink r:id="rId47" ref="F177"/>
    <hyperlink r:id="rId48" ref="F178"/>
    <hyperlink r:id="rId49" ref="F182"/>
    <hyperlink r:id="rId50" ref="F184"/>
    <hyperlink r:id="rId51" ref="F186"/>
    <hyperlink r:id="rId52" ref="F187"/>
    <hyperlink r:id="rId53" ref="F188"/>
    <hyperlink r:id="rId54" ref="F191"/>
    <hyperlink r:id="rId55" ref="F200"/>
    <hyperlink r:id="rId56" ref="F201"/>
    <hyperlink r:id="rId57" ref="F202"/>
    <hyperlink r:id="rId58" ref="F203"/>
    <hyperlink r:id="rId59" ref="F204"/>
    <hyperlink r:id="rId60" ref="F206"/>
    <hyperlink r:id="rId61" ref="F207"/>
    <hyperlink r:id="rId62" ref="F215"/>
    <hyperlink r:id="rId63" ref="F216"/>
    <hyperlink r:id="rId64" ref="F218"/>
    <hyperlink r:id="rId65" ref="F220"/>
    <hyperlink r:id="rId66" ref="F222"/>
    <hyperlink r:id="rId67" ref="F223"/>
    <hyperlink r:id="rId68" ref="F226"/>
    <hyperlink r:id="rId69" ref="F233"/>
    <hyperlink r:id="rId70" ref="F234"/>
    <hyperlink r:id="rId71" ref="F235"/>
    <hyperlink r:id="rId72" ref="F236"/>
    <hyperlink r:id="rId73" ref="F237"/>
    <hyperlink r:id="rId74" ref="F238"/>
    <hyperlink r:id="rId75" ref="F239"/>
    <hyperlink r:id="rId76" ref="F240"/>
    <hyperlink r:id="rId77" ref="F242"/>
    <hyperlink r:id="rId78" ref="F248"/>
    <hyperlink r:id="rId79" ref="F250"/>
    <hyperlink r:id="rId80" ref="F251"/>
    <hyperlink r:id="rId81" ref="F259"/>
    <hyperlink r:id="rId82" ref="F271"/>
    <hyperlink r:id="rId83" ref="F272"/>
    <hyperlink r:id="rId84" ref="F274"/>
    <hyperlink r:id="rId85" ref="F276"/>
    <hyperlink r:id="rId86" ref="F281"/>
    <hyperlink r:id="rId87" ref="F298"/>
  </hyperlinks>
  <drawing r:id="rId8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13"/>
    <col customWidth="1" min="2" max="2" width="6.88"/>
    <col customWidth="1" min="5" max="5" width="8.5"/>
    <col customWidth="1" min="6" max="6" width="9.5"/>
    <col customWidth="1" min="7" max="7" width="8.63"/>
    <col customWidth="1" min="8" max="8" width="9.88"/>
    <col customWidth="1" min="9" max="9" width="12.0"/>
    <col customWidth="1" min="10" max="10" width="11.63"/>
    <col customWidth="1" min="11" max="11" width="1.25"/>
    <col customWidth="1" min="12" max="12" width="27.75"/>
  </cols>
  <sheetData>
    <row r="1">
      <c r="A1" s="134" t="str">
        <f>IFERROR(__xludf.DUMMYFUNCTION("importrange(""https://docs.google.com/spreadsheets/d/1mvA960mm3QaFyRdwkfIRxhE1UQJl45QEUTnDVxtxiIE/edit?usp=sharing"",""UnfillOrd!A1:L"" &amp; right(N1,3)*1)"),"Unfilled Order")</f>
        <v>Unfilled Order</v>
      </c>
      <c r="B1" s="35"/>
      <c r="C1" s="35"/>
      <c r="D1" s="135"/>
      <c r="E1" s="35"/>
      <c r="F1" s="35"/>
      <c r="G1" s="35"/>
      <c r="H1" s="35"/>
      <c r="I1" s="5"/>
      <c r="J1" s="5"/>
      <c r="K1" s="5"/>
      <c r="L1" s="5"/>
      <c r="N1" s="5" t="str">
        <f>IFERROR(__xludf.DUMMYFUNCTION("importrange(""https://docs.google.com/spreadsheets/d/1mvA960mm3QaFyRdwkfIRxhE1UQJl45QEUTnDVxtxiIE/edit?usp=sharing"",""UnfillOrd!n1"")"),"Last row: 265")</f>
        <v>Last row: 265</v>
      </c>
    </row>
    <row r="2">
      <c r="A2" s="35"/>
      <c r="B2" s="35"/>
      <c r="C2" s="35"/>
      <c r="D2" s="135"/>
      <c r="E2" s="35"/>
      <c r="F2" s="35"/>
      <c r="G2" s="35"/>
      <c r="H2" s="35"/>
      <c r="I2" s="5"/>
      <c r="J2" s="5"/>
      <c r="K2" s="5"/>
      <c r="L2" s="5"/>
    </row>
    <row r="3">
      <c r="A3" s="35"/>
      <c r="B3" s="35"/>
      <c r="C3" s="35"/>
      <c r="D3" s="135"/>
      <c r="E3" s="35"/>
      <c r="F3" s="35"/>
      <c r="G3" s="35"/>
      <c r="H3" s="35"/>
      <c r="I3" s="5"/>
      <c r="J3" s="5"/>
      <c r="K3" s="5"/>
      <c r="L3" s="5"/>
    </row>
    <row r="4">
      <c r="A4" s="136" t="str">
        <f>IFERROR(__xludf.DUMMYFUNCTION("""COMPUTED_VALUE"""),"Date/ Time")</f>
        <v>Date/ Time</v>
      </c>
      <c r="B4" s="137" t="str">
        <f>IFERROR(__xludf.DUMMYFUNCTION("""COMPUTED_VALUE"""),"Acct#")</f>
        <v>Acct#</v>
      </c>
      <c r="C4" s="137" t="str">
        <f>IFERROR(__xludf.DUMMYFUNCTION("""COMPUTED_VALUE"""),"Order Side")</f>
        <v>Order Side</v>
      </c>
      <c r="D4" s="138" t="str">
        <f>IFERROR(__xludf.DUMMYFUNCTION("""COMPUTED_VALUE"""),"Ticker Code")</f>
        <v>Ticker Code</v>
      </c>
      <c r="E4" s="139" t="str">
        <f>IFERROR(__xludf.DUMMYFUNCTION("""COMPUTED_VALUE"""),"Limit Price/ Mkt Price (stk &amp; opt only)")</f>
        <v>Limit Price/ Mkt Price (stk &amp; opt only)</v>
      </c>
      <c r="F4" s="140" t="str">
        <f>IFERROR(__xludf.DUMMYFUNCTION("""COMPUTED_VALUE"""),"Stock (Close)")</f>
        <v>Stock (Close)</v>
      </c>
      <c r="G4" s="139" t="str">
        <f>IFERROR(__xludf.DUMMYFUNCTION("""COMPUTED_VALUE"""),"Qty")</f>
        <v>Qty</v>
      </c>
      <c r="H4" s="140" t="str">
        <f>IFERROR(__xludf.DUMMYFUNCTION("""COMPUTED_VALUE"""),"Qty Executed")</f>
        <v>Qty Executed</v>
      </c>
      <c r="I4" s="139" t="str">
        <f>IFERROR(__xludf.DUMMYFUNCTION("""COMPUTED_VALUE"""),"Proposed Total Traded Notional")</f>
        <v>Proposed Total Traded Notional</v>
      </c>
      <c r="J4" s="139" t="str">
        <f>IFERROR(__xludf.DUMMYFUNCTION("""COMPUTED_VALUE"""),"Proforma Ava Margin Balance")</f>
        <v>Proforma Ava Margin Balance</v>
      </c>
      <c r="K4" s="141"/>
      <c r="L4" s="141" t="str">
        <f>IFERROR(__xludf.DUMMYFUNCTION("""COMPUTED_VALUE"""),"Unfilled Reason")</f>
        <v>Unfilled Reason</v>
      </c>
    </row>
    <row r="5">
      <c r="A5" s="86">
        <f>IFERROR(__xludf.DUMMYFUNCTION("""COMPUTED_VALUE"""),44599.0)</f>
        <v>44599</v>
      </c>
      <c r="B5" s="5" t="str">
        <f>IFERROR(__xludf.DUMMYFUNCTION("""COMPUTED_VALUE"""),"76796")</f>
        <v>76796</v>
      </c>
      <c r="C5" s="5" t="str">
        <f>IFERROR(__xludf.DUMMYFUNCTION("""COMPUTED_VALUE"""),"BUY (LONG)")</f>
        <v>BUY (LONG)</v>
      </c>
      <c r="D5" s="87" t="str">
        <f>IFERROR(__xludf.DUMMYFUNCTION("""COMPUTED_VALUE"""),"TSLA")</f>
        <v>TSLA</v>
      </c>
      <c r="E5" s="5"/>
      <c r="F5" s="5">
        <f>IFERROR(__xludf.DUMMYFUNCTION("""COMPUTED_VALUE"""),907.34)</f>
        <v>907.34</v>
      </c>
      <c r="G5" s="5">
        <f>IFERROR(__xludf.DUMMYFUNCTION("""COMPUTED_VALUE"""),1000.0)</f>
        <v>1000</v>
      </c>
      <c r="H5" s="142" t="str">
        <f>IFERROR(__xludf.DUMMYFUNCTION("""COMPUTED_VALUE"""),"")</f>
        <v/>
      </c>
      <c r="I5" s="22">
        <f>IFERROR(__xludf.DUMMYFUNCTION("""COMPUTED_VALUE"""),-7070038.647)</f>
        <v>-7070038.647</v>
      </c>
      <c r="J5" s="22">
        <f>IFERROR(__xludf.DUMMYFUNCTION("""COMPUTED_VALUE"""),-6570038.647)</f>
        <v>-6570038.647</v>
      </c>
      <c r="K5" s="5"/>
      <c r="L5" s="5"/>
    </row>
    <row r="6">
      <c r="A6" s="86">
        <f>IFERROR(__xludf.DUMMYFUNCTION("""COMPUTED_VALUE"""),44601.0)</f>
        <v>44601</v>
      </c>
      <c r="B6" s="5" t="str">
        <f>IFERROR(__xludf.DUMMYFUNCTION("""COMPUTED_VALUE"""),"46220")</f>
        <v>46220</v>
      </c>
      <c r="C6" s="5" t="str">
        <f>IFERROR(__xludf.DUMMYFUNCTION("""COMPUTED_VALUE"""),"BUY (LONG)")</f>
        <v>BUY (LONG)</v>
      </c>
      <c r="D6" s="87" t="str">
        <f>IFERROR(__xludf.DUMMYFUNCTION("""COMPUTED_VALUE"""),"BTC-USD")</f>
        <v>BTC-USD</v>
      </c>
      <c r="E6" s="5"/>
      <c r="F6" s="143">
        <f>IFERROR(__xludf.DUMMYFUNCTION("""COMPUTED_VALUE"""),44162.117)</f>
        <v>44162.117</v>
      </c>
      <c r="G6" s="5">
        <f>IFERROR(__xludf.DUMMYFUNCTION("""COMPUTED_VALUE"""),5.0)</f>
        <v>5</v>
      </c>
      <c r="H6" s="142" t="str">
        <f>IFERROR(__xludf.DUMMYFUNCTION("""COMPUTED_VALUE"""),"")</f>
        <v/>
      </c>
      <c r="I6" s="22">
        <f>IFERROR(__xludf.DUMMYFUNCTION("""COMPUTED_VALUE"""),-1720412.55143975)</f>
        <v>-1720412.551</v>
      </c>
      <c r="J6" s="22">
        <f>IFERROR(__xludf.DUMMYFUNCTION("""COMPUTED_VALUE"""),-1298740.75533925)</f>
        <v>-1298740.755</v>
      </c>
      <c r="K6" s="5"/>
      <c r="L6" s="5" t="str">
        <f>IFERROR(__xludf.DUMMYFUNCTION("""COMPUTED_VALUE"""),"Insufficient Cash or Margin Balance")</f>
        <v>Insufficient Cash or Margin Balance</v>
      </c>
    </row>
    <row r="7">
      <c r="A7" s="86">
        <f>IFERROR(__xludf.DUMMYFUNCTION("""COMPUTED_VALUE"""),44601.0)</f>
        <v>44601</v>
      </c>
      <c r="B7" s="5" t="str">
        <f>IFERROR(__xludf.DUMMYFUNCTION("""COMPUTED_VALUE"""),"76975")</f>
        <v>76975</v>
      </c>
      <c r="C7" s="5" t="str">
        <f>IFERROR(__xludf.DUMMYFUNCTION("""COMPUTED_VALUE"""),"BUY (LONG)")</f>
        <v>BUY (LONG)</v>
      </c>
      <c r="D7" s="87" t="str">
        <f>IFERROR(__xludf.DUMMYFUNCTION("""COMPUTED_VALUE"""),"JD")</f>
        <v>JD</v>
      </c>
      <c r="E7" s="5">
        <f>IFERROR(__xludf.DUMMYFUNCTION("""COMPUTED_VALUE"""),78.0)</f>
        <v>78</v>
      </c>
      <c r="F7" s="5">
        <f>IFERROR(__xludf.DUMMYFUNCTION("""COMPUTED_VALUE"""),78.29)</f>
        <v>78.29</v>
      </c>
      <c r="G7" s="5">
        <f>IFERROR(__xludf.DUMMYFUNCTION("""COMPUTED_VALUE"""),1298.0)</f>
        <v>1298</v>
      </c>
      <c r="H7" s="142">
        <f>IFERROR(__xludf.DUMMYFUNCTION("""COMPUTED_VALUE"""),0.0)</f>
        <v>0</v>
      </c>
      <c r="I7" s="22">
        <f>IFERROR(__xludf.DUMMYFUNCTION("""COMPUTED_VALUE"""),0.0)</f>
        <v>0</v>
      </c>
      <c r="J7" s="22">
        <f>IFERROR(__xludf.DUMMYFUNCTION("""COMPUTED_VALUE"""),500000.0)</f>
        <v>500000</v>
      </c>
      <c r="K7" s="5"/>
      <c r="L7" s="5" t="str">
        <f>IFERROR(__xludf.DUMMYFUNCTION("""COMPUTED_VALUE"""),"Limit Condition not met")</f>
        <v>Limit Condition not met</v>
      </c>
    </row>
    <row r="8">
      <c r="A8" s="86">
        <f>IFERROR(__xludf.DUMMYFUNCTION("""COMPUTED_VALUE"""),44601.0)</f>
        <v>44601</v>
      </c>
      <c r="B8" s="5" t="str">
        <f>IFERROR(__xludf.DUMMYFUNCTION("""COMPUTED_VALUE"""),"89750")</f>
        <v>89750</v>
      </c>
      <c r="C8" s="5" t="str">
        <f>IFERROR(__xludf.DUMMYFUNCTION("""COMPUTED_VALUE"""),"BUY (LONG)")</f>
        <v>BUY (LONG)</v>
      </c>
      <c r="D8" s="90" t="str">
        <f>IFERROR(__xludf.DUMMYFUNCTION("""COMPUTED_VALUE"""),"9698.HK")</f>
        <v>9698.HK</v>
      </c>
      <c r="E8" s="5">
        <f>IFERROR(__xludf.DUMMYFUNCTION("""COMPUTED_VALUE"""),37.6)</f>
        <v>37.6</v>
      </c>
      <c r="F8" s="5">
        <f>IFERROR(__xludf.DUMMYFUNCTION("""COMPUTED_VALUE"""),38.75)</f>
        <v>38.75</v>
      </c>
      <c r="G8" s="5">
        <f>IFERROR(__xludf.DUMMYFUNCTION("""COMPUTED_VALUE"""),10000.0)</f>
        <v>10000</v>
      </c>
      <c r="H8" s="142">
        <f>IFERROR(__xludf.DUMMYFUNCTION("""COMPUTED_VALUE"""),0.0)</f>
        <v>0</v>
      </c>
      <c r="I8" s="22">
        <f>IFERROR(__xludf.DUMMYFUNCTION("""COMPUTED_VALUE"""),0.0)</f>
        <v>0</v>
      </c>
      <c r="J8" s="22">
        <f>IFERROR(__xludf.DUMMYFUNCTION("""COMPUTED_VALUE"""),500000.0)</f>
        <v>500000</v>
      </c>
      <c r="K8" s="5"/>
      <c r="L8" s="5" t="str">
        <f>IFERROR(__xludf.DUMMYFUNCTION("""COMPUTED_VALUE"""),"Limit Condition not met")</f>
        <v>Limit Condition not met</v>
      </c>
    </row>
    <row r="9">
      <c r="A9" s="86">
        <f>IFERROR(__xludf.DUMMYFUNCTION("""COMPUTED_VALUE"""),44602.0)</f>
        <v>44602</v>
      </c>
      <c r="B9" s="5" t="str">
        <f>IFERROR(__xludf.DUMMYFUNCTION("""COMPUTED_VALUE"""),"74641")</f>
        <v>74641</v>
      </c>
      <c r="C9" s="5" t="str">
        <f>IFERROR(__xludf.DUMMYFUNCTION("""COMPUTED_VALUE"""),"BUY (LONG)")</f>
        <v>BUY (LONG)</v>
      </c>
      <c r="D9" s="90" t="str">
        <f>IFERROR(__xludf.DUMMYFUNCTION("""COMPUTED_VALUE"""),"601168.ss")</f>
        <v>601168.ss</v>
      </c>
      <c r="E9" s="5">
        <f>IFERROR(__xludf.DUMMYFUNCTION("""COMPUTED_VALUE"""),14.61)</f>
        <v>14.61</v>
      </c>
      <c r="F9" s="5">
        <f>IFERROR(__xludf.DUMMYFUNCTION("""COMPUTED_VALUE"""),14.66)</f>
        <v>14.66</v>
      </c>
      <c r="G9" s="5">
        <f>IFERROR(__xludf.DUMMYFUNCTION("""COMPUTED_VALUE"""),100.0)</f>
        <v>100</v>
      </c>
      <c r="H9" s="142">
        <f>IFERROR(__xludf.DUMMYFUNCTION("""COMPUTED_VALUE"""),0.0)</f>
        <v>0</v>
      </c>
      <c r="I9" s="22">
        <f>IFERROR(__xludf.DUMMYFUNCTION("""COMPUTED_VALUE"""),0.0)</f>
        <v>0</v>
      </c>
      <c r="J9" s="22">
        <f>IFERROR(__xludf.DUMMYFUNCTION("""COMPUTED_VALUE"""),500000.0)</f>
        <v>500000</v>
      </c>
      <c r="K9" s="5"/>
      <c r="L9" s="5" t="str">
        <f>IFERROR(__xludf.DUMMYFUNCTION("""COMPUTED_VALUE"""),"Limit Condition not met")</f>
        <v>Limit Condition not met</v>
      </c>
    </row>
    <row r="10">
      <c r="A10" s="86">
        <f>IFERROR(__xludf.DUMMYFUNCTION("""COMPUTED_VALUE"""),44603.0)</f>
        <v>44603</v>
      </c>
      <c r="B10" s="5" t="str">
        <f>IFERROR(__xludf.DUMMYFUNCTION("""COMPUTED_VALUE"""),"89750")</f>
        <v>89750</v>
      </c>
      <c r="C10" s="5" t="str">
        <f>IFERROR(__xludf.DUMMYFUNCTION("""COMPUTED_VALUE"""),"BUY (LONG)")</f>
        <v>BUY (LONG)</v>
      </c>
      <c r="D10" s="90" t="str">
        <f>IFERROR(__xludf.DUMMYFUNCTION("""COMPUTED_VALUE"""),"2269.HK")</f>
        <v>2269.HK</v>
      </c>
      <c r="E10" s="5">
        <f>IFERROR(__xludf.DUMMYFUNCTION("""COMPUTED_VALUE"""),56.6)</f>
        <v>56.6</v>
      </c>
      <c r="F10" s="5">
        <f>IFERROR(__xludf.DUMMYFUNCTION("""COMPUTED_VALUE"""),56.7)</f>
        <v>56.7</v>
      </c>
      <c r="G10" s="5">
        <f>IFERROR(__xludf.DUMMYFUNCTION("""COMPUTED_VALUE"""),2000.0)</f>
        <v>2000</v>
      </c>
      <c r="H10" s="142">
        <f>IFERROR(__xludf.DUMMYFUNCTION("""COMPUTED_VALUE"""),0.0)</f>
        <v>0</v>
      </c>
      <c r="I10" s="22">
        <f>IFERROR(__xludf.DUMMYFUNCTION("""COMPUTED_VALUE"""),0.0)</f>
        <v>0</v>
      </c>
      <c r="J10" s="22">
        <f>IFERROR(__xludf.DUMMYFUNCTION("""COMPUTED_VALUE"""),114400.0)</f>
        <v>114400</v>
      </c>
      <c r="K10" s="5"/>
      <c r="L10" s="5" t="str">
        <f>IFERROR(__xludf.DUMMYFUNCTION("""COMPUTED_VALUE"""),"Limit Condition not met")</f>
        <v>Limit Condition not met</v>
      </c>
    </row>
    <row r="11">
      <c r="A11" s="86">
        <f>IFERROR(__xludf.DUMMYFUNCTION("""COMPUTED_VALUE"""),44607.0)</f>
        <v>44607</v>
      </c>
      <c r="B11" s="5" t="str">
        <f>IFERROR(__xludf.DUMMYFUNCTION("""COMPUTED_VALUE"""),"36221")</f>
        <v>36221</v>
      </c>
      <c r="C11" s="5" t="str">
        <f>IFERROR(__xludf.DUMMYFUNCTION("""COMPUTED_VALUE"""),"BUY (LONG)")</f>
        <v>BUY (LONG)</v>
      </c>
      <c r="D11" s="87" t="str">
        <f>IFERROR(__xludf.DUMMYFUNCTION("""COMPUTED_VALUE"""),"tcehy")</f>
        <v>tcehy</v>
      </c>
      <c r="E11" s="5"/>
      <c r="F11" s="5">
        <f>IFERROR(__xludf.DUMMYFUNCTION("""COMPUTED_VALUE"""),61.07)</f>
        <v>61.07</v>
      </c>
      <c r="G11" s="5">
        <f>IFERROR(__xludf.DUMMYFUNCTION("""COMPUTED_VALUE"""),200.0)</f>
        <v>200</v>
      </c>
      <c r="H11" s="142" t="str">
        <f>IFERROR(__xludf.DUMMYFUNCTION("""COMPUTED_VALUE"""),"")</f>
        <v/>
      </c>
      <c r="I11" s="22">
        <f>IFERROR(__xludf.DUMMYFUNCTION("""COMPUTED_VALUE"""),-95285.74997)</f>
        <v>-95285.74997</v>
      </c>
      <c r="J11" s="22">
        <f>IFERROR(__xludf.DUMMYFUNCTION("""COMPUTED_VALUE"""),-267629.927935)</f>
        <v>-267629.9279</v>
      </c>
      <c r="K11" s="5"/>
      <c r="L11" s="5" t="str">
        <f>IFERROR(__xludf.DUMMYFUNCTION("""COMPUTED_VALUE"""),"Insufficient Cash or Margin Balance")</f>
        <v>Insufficient Cash or Margin Balance</v>
      </c>
    </row>
    <row r="12">
      <c r="A12" s="86">
        <f>IFERROR(__xludf.DUMMYFUNCTION("""COMPUTED_VALUE"""),44607.0)</f>
        <v>44607</v>
      </c>
      <c r="B12" s="5" t="str">
        <f>IFERROR(__xludf.DUMMYFUNCTION("""COMPUTED_VALUE"""),"40433")</f>
        <v>40433</v>
      </c>
      <c r="C12" s="5" t="str">
        <f>IFERROR(__xludf.DUMMYFUNCTION("""COMPUTED_VALUE"""),"BUY (LONG)")</f>
        <v>BUY (LONG)</v>
      </c>
      <c r="D12" s="87" t="str">
        <f>IFERROR(__xludf.DUMMYFUNCTION("""COMPUTED_VALUE"""),"TSLA")</f>
        <v>TSLA</v>
      </c>
      <c r="E12" s="5">
        <f>IFERROR(__xludf.DUMMYFUNCTION("""COMPUTED_VALUE"""),865.0)</f>
        <v>865</v>
      </c>
      <c r="F12" s="5">
        <f>IFERROR(__xludf.DUMMYFUNCTION("""COMPUTED_VALUE"""),922.43)</f>
        <v>922.43</v>
      </c>
      <c r="G12" s="5">
        <f>IFERROR(__xludf.DUMMYFUNCTION("""COMPUTED_VALUE"""),400.0)</f>
        <v>400</v>
      </c>
      <c r="H12" s="142">
        <f>IFERROR(__xludf.DUMMYFUNCTION("""COMPUTED_VALUE"""),0.0)</f>
        <v>0</v>
      </c>
      <c r="I12" s="22">
        <f>IFERROR(__xludf.DUMMYFUNCTION("""COMPUTED_VALUE"""),0.0)</f>
        <v>0</v>
      </c>
      <c r="J12" s="22">
        <f>IFERROR(__xludf.DUMMYFUNCTION("""COMPUTED_VALUE"""),500000.0)</f>
        <v>500000</v>
      </c>
      <c r="K12" s="5"/>
      <c r="L12" s="5" t="str">
        <f>IFERROR(__xludf.DUMMYFUNCTION("""COMPUTED_VALUE"""),"Limit Condition not met")</f>
        <v>Limit Condition not met</v>
      </c>
    </row>
    <row r="13">
      <c r="A13" s="86">
        <f>IFERROR(__xludf.DUMMYFUNCTION("""COMPUTED_VALUE"""),44607.0)</f>
        <v>44607</v>
      </c>
      <c r="B13" s="5" t="str">
        <f>IFERROR(__xludf.DUMMYFUNCTION("""COMPUTED_VALUE"""),"70628")</f>
        <v>70628</v>
      </c>
      <c r="C13" s="5" t="str">
        <f>IFERROR(__xludf.DUMMYFUNCTION("""COMPUTED_VALUE"""),"BUY (LONG)")</f>
        <v>BUY (LONG)</v>
      </c>
      <c r="D13" s="90" t="str">
        <f>IFERROR(__xludf.DUMMYFUNCTION("""COMPUTED_VALUE"""),"1610.HK")</f>
        <v>1610.HK</v>
      </c>
      <c r="E13" s="5">
        <f>IFERROR(__xludf.DUMMYFUNCTION("""COMPUTED_VALUE"""),3.46)</f>
        <v>3.46</v>
      </c>
      <c r="F13" s="5">
        <f>IFERROR(__xludf.DUMMYFUNCTION("""COMPUTED_VALUE"""),3.49)</f>
        <v>3.49</v>
      </c>
      <c r="G13" s="5">
        <f>IFERROR(__xludf.DUMMYFUNCTION("""COMPUTED_VALUE"""),20000.0)</f>
        <v>20000</v>
      </c>
      <c r="H13" s="142">
        <f>IFERROR(__xludf.DUMMYFUNCTION("""COMPUTED_VALUE"""),0.0)</f>
        <v>0</v>
      </c>
      <c r="I13" s="22">
        <f>IFERROR(__xludf.DUMMYFUNCTION("""COMPUTED_VALUE"""),0.0)</f>
        <v>0</v>
      </c>
      <c r="J13" s="22">
        <f>IFERROR(__xludf.DUMMYFUNCTION("""COMPUTED_VALUE"""),500000.0)</f>
        <v>500000</v>
      </c>
      <c r="K13" s="5"/>
      <c r="L13" s="5" t="str">
        <f>IFERROR(__xludf.DUMMYFUNCTION("""COMPUTED_VALUE"""),"Limit Condition not met")</f>
        <v>Limit Condition not met</v>
      </c>
    </row>
    <row r="14">
      <c r="A14" s="86">
        <f>IFERROR(__xludf.DUMMYFUNCTION("""COMPUTED_VALUE"""),44607.0)</f>
        <v>44607</v>
      </c>
      <c r="B14" s="5" t="str">
        <f>IFERROR(__xludf.DUMMYFUNCTION("""COMPUTED_VALUE"""),"70628")</f>
        <v>70628</v>
      </c>
      <c r="C14" s="5" t="str">
        <f>IFERROR(__xludf.DUMMYFUNCTION("""COMPUTED_VALUE"""),"BUY (LONG)")</f>
        <v>BUY (LONG)</v>
      </c>
      <c r="D14" s="90" t="str">
        <f>IFERROR(__xludf.DUMMYFUNCTION("""COMPUTED_VALUE"""),"1810.HK")</f>
        <v>1810.HK</v>
      </c>
      <c r="E14" s="5">
        <f>IFERROR(__xludf.DUMMYFUNCTION("""COMPUTED_VALUE"""),16.26)</f>
        <v>16.26</v>
      </c>
      <c r="F14" s="5">
        <f>IFERROR(__xludf.DUMMYFUNCTION("""COMPUTED_VALUE"""),16.28)</f>
        <v>16.28</v>
      </c>
      <c r="G14" s="5">
        <f>IFERROR(__xludf.DUMMYFUNCTION("""COMPUTED_VALUE"""),10000.0)</f>
        <v>10000</v>
      </c>
      <c r="H14" s="142">
        <f>IFERROR(__xludf.DUMMYFUNCTION("""COMPUTED_VALUE"""),0.0)</f>
        <v>0</v>
      </c>
      <c r="I14" s="22">
        <f>IFERROR(__xludf.DUMMYFUNCTION("""COMPUTED_VALUE"""),0.0)</f>
        <v>0</v>
      </c>
      <c r="J14" s="22">
        <f>IFERROR(__xludf.DUMMYFUNCTION("""COMPUTED_VALUE"""),500000.0)</f>
        <v>500000</v>
      </c>
      <c r="K14" s="5"/>
      <c r="L14" s="5" t="str">
        <f>IFERROR(__xludf.DUMMYFUNCTION("""COMPUTED_VALUE"""),"Limit Condition not met")</f>
        <v>Limit Condition not met</v>
      </c>
    </row>
    <row r="15">
      <c r="A15" s="86">
        <f>IFERROR(__xludf.DUMMYFUNCTION("""COMPUTED_VALUE"""),44607.0)</f>
        <v>44607</v>
      </c>
      <c r="B15" s="5" t="str">
        <f>IFERROR(__xludf.DUMMYFUNCTION("""COMPUTED_VALUE"""),"70628")</f>
        <v>70628</v>
      </c>
      <c r="C15" s="5" t="str">
        <f>IFERROR(__xludf.DUMMYFUNCTION("""COMPUTED_VALUE"""),"BUY (LONG)")</f>
        <v>BUY (LONG)</v>
      </c>
      <c r="D15" s="90" t="str">
        <f>IFERROR(__xludf.DUMMYFUNCTION("""COMPUTED_VALUE"""),"2333.HK")</f>
        <v>2333.HK</v>
      </c>
      <c r="E15" s="5">
        <f>IFERROR(__xludf.DUMMYFUNCTION("""COMPUTED_VALUE"""),18.8)</f>
        <v>18.8</v>
      </c>
      <c r="F15" s="5">
        <f>IFERROR(__xludf.DUMMYFUNCTION("""COMPUTED_VALUE"""),18.88)</f>
        <v>18.88</v>
      </c>
      <c r="G15" s="5">
        <f>IFERROR(__xludf.DUMMYFUNCTION("""COMPUTED_VALUE"""),5000.0)</f>
        <v>5000</v>
      </c>
      <c r="H15" s="142">
        <f>IFERROR(__xludf.DUMMYFUNCTION("""COMPUTED_VALUE"""),0.0)</f>
        <v>0</v>
      </c>
      <c r="I15" s="22">
        <f>IFERROR(__xludf.DUMMYFUNCTION("""COMPUTED_VALUE"""),0.0)</f>
        <v>0</v>
      </c>
      <c r="J15" s="22">
        <f>IFERROR(__xludf.DUMMYFUNCTION("""COMPUTED_VALUE"""),500000.0)</f>
        <v>500000</v>
      </c>
      <c r="K15" s="5"/>
      <c r="L15" s="5" t="str">
        <f>IFERROR(__xludf.DUMMYFUNCTION("""COMPUTED_VALUE"""),"Limit Condition not met")</f>
        <v>Limit Condition not met</v>
      </c>
    </row>
    <row r="16">
      <c r="A16" s="86">
        <f>IFERROR(__xludf.DUMMYFUNCTION("""COMPUTED_VALUE"""),44607.0)</f>
        <v>44607</v>
      </c>
      <c r="B16" s="5" t="str">
        <f>IFERROR(__xludf.DUMMYFUNCTION("""COMPUTED_VALUE"""),"70628")</f>
        <v>70628</v>
      </c>
      <c r="C16" s="5" t="str">
        <f>IFERROR(__xludf.DUMMYFUNCTION("""COMPUTED_VALUE"""),"BUY (LONG)")</f>
        <v>BUY (LONG)</v>
      </c>
      <c r="D16" s="90" t="str">
        <f>IFERROR(__xludf.DUMMYFUNCTION("""COMPUTED_VALUE"""),"3339.HK")</f>
        <v>3339.HK</v>
      </c>
      <c r="E16" s="5">
        <f>IFERROR(__xludf.DUMMYFUNCTION("""COMPUTED_VALUE"""),2.08)</f>
        <v>2.08</v>
      </c>
      <c r="F16" s="5">
        <f>IFERROR(__xludf.DUMMYFUNCTION("""COMPUTED_VALUE"""),2.09)</f>
        <v>2.09</v>
      </c>
      <c r="G16" s="5">
        <f>IFERROR(__xludf.DUMMYFUNCTION("""COMPUTED_VALUE"""),50000.0)</f>
        <v>50000</v>
      </c>
      <c r="H16" s="142">
        <f>IFERROR(__xludf.DUMMYFUNCTION("""COMPUTED_VALUE"""),0.0)</f>
        <v>0</v>
      </c>
      <c r="I16" s="22">
        <f>IFERROR(__xludf.DUMMYFUNCTION("""COMPUTED_VALUE"""),0.0)</f>
        <v>0</v>
      </c>
      <c r="J16" s="22">
        <f>IFERROR(__xludf.DUMMYFUNCTION("""COMPUTED_VALUE"""),500000.0)</f>
        <v>500000</v>
      </c>
      <c r="K16" s="5"/>
      <c r="L16" s="5" t="str">
        <f>IFERROR(__xludf.DUMMYFUNCTION("""COMPUTED_VALUE"""),"Limit Condition not met")</f>
        <v>Limit Condition not met</v>
      </c>
    </row>
    <row r="17">
      <c r="A17" s="86">
        <f>IFERROR(__xludf.DUMMYFUNCTION("""COMPUTED_VALUE"""),44607.0)</f>
        <v>44607</v>
      </c>
      <c r="B17" s="5" t="str">
        <f>IFERROR(__xludf.DUMMYFUNCTION("""COMPUTED_VALUE"""),"76796")</f>
        <v>76796</v>
      </c>
      <c r="C17" s="5" t="str">
        <f>IFERROR(__xludf.DUMMYFUNCTION("""COMPUTED_VALUE"""),"BUY (LONG)")</f>
        <v>BUY (LONG)</v>
      </c>
      <c r="D17" s="87" t="str">
        <f>IFERROR(__xludf.DUMMYFUNCTION("""COMPUTED_VALUE"""),"NVDA")</f>
        <v>NVDA</v>
      </c>
      <c r="E17" s="5"/>
      <c r="F17" s="5">
        <f>IFERROR(__xludf.DUMMYFUNCTION("""COMPUTED_VALUE"""),264.95)</f>
        <v>264.95</v>
      </c>
      <c r="G17" s="5">
        <f>IFERROR(__xludf.DUMMYFUNCTION("""COMPUTED_VALUE"""),500.0)</f>
        <v>500</v>
      </c>
      <c r="H17" s="142" t="str">
        <f>IFERROR(__xludf.DUMMYFUNCTION("""COMPUTED_VALUE"""),"")</f>
        <v/>
      </c>
      <c r="I17" s="22">
        <f>IFERROR(__xludf.DUMMYFUNCTION("""COMPUTED_VALUE"""),-1033484.5036249999)</f>
        <v>-1033484.504</v>
      </c>
      <c r="J17" s="22">
        <f>IFERROR(__xludf.DUMMYFUNCTION("""COMPUTED_VALUE"""),-775959.106975)</f>
        <v>-775959.107</v>
      </c>
      <c r="K17" s="5"/>
      <c r="L17" s="5" t="str">
        <f>IFERROR(__xludf.DUMMYFUNCTION("""COMPUTED_VALUE"""),"Insufficient Cash or Margin Balance")</f>
        <v>Insufficient Cash or Margin Balance</v>
      </c>
    </row>
    <row r="18">
      <c r="A18" s="86">
        <f>IFERROR(__xludf.DUMMYFUNCTION("""COMPUTED_VALUE"""),44608.0)</f>
        <v>44608</v>
      </c>
      <c r="B18" s="5" t="str">
        <f>IFERROR(__xludf.DUMMYFUNCTION("""COMPUTED_VALUE"""),"32312")</f>
        <v>32312</v>
      </c>
      <c r="C18" s="5" t="str">
        <f>IFERROR(__xludf.DUMMYFUNCTION("""COMPUTED_VALUE"""),"BUY (LONG)")</f>
        <v>BUY (LONG)</v>
      </c>
      <c r="D18" s="87" t="str">
        <f>IFERROR(__xludf.DUMMYFUNCTION("""COMPUTED_VALUE"""),"TSLA")</f>
        <v>TSLA</v>
      </c>
      <c r="E18" s="5">
        <f>IFERROR(__xludf.DUMMYFUNCTION("""COMPUTED_VALUE"""),886.0)</f>
        <v>886</v>
      </c>
      <c r="F18" s="5">
        <f>IFERROR(__xludf.DUMMYFUNCTION("""COMPUTED_VALUE"""),923.39)</f>
        <v>923.39</v>
      </c>
      <c r="G18" s="5">
        <f>IFERROR(__xludf.DUMMYFUNCTION("""COMPUTED_VALUE"""),36.0)</f>
        <v>36</v>
      </c>
      <c r="H18" s="142">
        <f>IFERROR(__xludf.DUMMYFUNCTION("""COMPUTED_VALUE"""),0.0)</f>
        <v>0</v>
      </c>
      <c r="I18" s="22">
        <f>IFERROR(__xludf.DUMMYFUNCTION("""COMPUTED_VALUE"""),0.0)</f>
        <v>0</v>
      </c>
      <c r="J18" s="22">
        <f>IFERROR(__xludf.DUMMYFUNCTION("""COMPUTED_VALUE"""),500000.0)</f>
        <v>500000</v>
      </c>
      <c r="K18" s="5"/>
      <c r="L18" s="5" t="str">
        <f>IFERROR(__xludf.DUMMYFUNCTION("""COMPUTED_VALUE"""),"Limit Condition not met")</f>
        <v>Limit Condition not met</v>
      </c>
    </row>
    <row r="19">
      <c r="A19" s="86">
        <f>IFERROR(__xludf.DUMMYFUNCTION("""COMPUTED_VALUE"""),44608.0)</f>
        <v>44608</v>
      </c>
      <c r="B19" s="5" t="str">
        <f>IFERROR(__xludf.DUMMYFUNCTION("""COMPUTED_VALUE"""),"37400")</f>
        <v>37400</v>
      </c>
      <c r="C19" s="5" t="str">
        <f>IFERROR(__xludf.DUMMYFUNCTION("""COMPUTED_VALUE"""),"BUY (LONG)")</f>
        <v>BUY (LONG)</v>
      </c>
      <c r="D19" s="87" t="str">
        <f>IFERROR(__xludf.DUMMYFUNCTION("""COMPUTED_VALUE"""),"TSLA")</f>
        <v>TSLA</v>
      </c>
      <c r="E19" s="5">
        <f>IFERROR(__xludf.DUMMYFUNCTION("""COMPUTED_VALUE"""),886.0)</f>
        <v>886</v>
      </c>
      <c r="F19" s="5">
        <f>IFERROR(__xludf.DUMMYFUNCTION("""COMPUTED_VALUE"""),923.39)</f>
        <v>923.39</v>
      </c>
      <c r="G19" s="5">
        <f>IFERROR(__xludf.DUMMYFUNCTION("""COMPUTED_VALUE"""),36.0)</f>
        <v>36</v>
      </c>
      <c r="H19" s="142">
        <f>IFERROR(__xludf.DUMMYFUNCTION("""COMPUTED_VALUE"""),0.0)</f>
        <v>0</v>
      </c>
      <c r="I19" s="22">
        <f>IFERROR(__xludf.DUMMYFUNCTION("""COMPUTED_VALUE"""),0.0)</f>
        <v>0</v>
      </c>
      <c r="J19" s="22">
        <f>IFERROR(__xludf.DUMMYFUNCTION("""COMPUTED_VALUE"""),500000.0)</f>
        <v>500000</v>
      </c>
      <c r="K19" s="5"/>
      <c r="L19" s="5" t="str">
        <f>IFERROR(__xludf.DUMMYFUNCTION("""COMPUTED_VALUE"""),"Limit Condition not met")</f>
        <v>Limit Condition not met</v>
      </c>
    </row>
    <row r="20">
      <c r="A20" s="86">
        <f>IFERROR(__xludf.DUMMYFUNCTION("""COMPUTED_VALUE"""),44608.0)</f>
        <v>44608</v>
      </c>
      <c r="B20" s="5" t="str">
        <f>IFERROR(__xludf.DUMMYFUNCTION("""COMPUTED_VALUE"""),"39608")</f>
        <v>39608</v>
      </c>
      <c r="C20" s="5" t="str">
        <f>IFERROR(__xludf.DUMMYFUNCTION("""COMPUTED_VALUE"""),"BUY (LONG)")</f>
        <v>BUY (LONG)</v>
      </c>
      <c r="D20" s="87" t="str">
        <f>IFERROR(__xludf.DUMMYFUNCTION("""COMPUTED_VALUE"""),"TSLA")</f>
        <v>TSLA</v>
      </c>
      <c r="E20" s="5">
        <f>IFERROR(__xludf.DUMMYFUNCTION("""COMPUTED_VALUE"""),886.0)</f>
        <v>886</v>
      </c>
      <c r="F20" s="5">
        <f>IFERROR(__xludf.DUMMYFUNCTION("""COMPUTED_VALUE"""),923.39)</f>
        <v>923.39</v>
      </c>
      <c r="G20" s="5">
        <f>IFERROR(__xludf.DUMMYFUNCTION("""COMPUTED_VALUE"""),36.0)</f>
        <v>36</v>
      </c>
      <c r="H20" s="142">
        <f>IFERROR(__xludf.DUMMYFUNCTION("""COMPUTED_VALUE"""),0.0)</f>
        <v>0</v>
      </c>
      <c r="I20" s="22">
        <f>IFERROR(__xludf.DUMMYFUNCTION("""COMPUTED_VALUE"""),0.0)</f>
        <v>0</v>
      </c>
      <c r="J20" s="22">
        <f>IFERROR(__xludf.DUMMYFUNCTION("""COMPUTED_VALUE"""),500000.0)</f>
        <v>500000</v>
      </c>
      <c r="K20" s="5"/>
      <c r="L20" s="5" t="str">
        <f>IFERROR(__xludf.DUMMYFUNCTION("""COMPUTED_VALUE"""),"Limit Condition not met")</f>
        <v>Limit Condition not met</v>
      </c>
    </row>
    <row r="21">
      <c r="A21" s="86">
        <f>IFERROR(__xludf.DUMMYFUNCTION("""COMPUTED_VALUE"""),44608.0)</f>
        <v>44608</v>
      </c>
      <c r="B21" s="5" t="str">
        <f>IFERROR(__xludf.DUMMYFUNCTION("""COMPUTED_VALUE"""),"40105")</f>
        <v>40105</v>
      </c>
      <c r="C21" s="5" t="str">
        <f>IFERROR(__xludf.DUMMYFUNCTION("""COMPUTED_VALUE"""),"BUY (LONG)")</f>
        <v>BUY (LONG)</v>
      </c>
      <c r="D21" s="87" t="str">
        <f>IFERROR(__xludf.DUMMYFUNCTION("""COMPUTED_VALUE"""),"DIS")</f>
        <v>DIS</v>
      </c>
      <c r="E21" s="5">
        <f>IFERROR(__xludf.DUMMYFUNCTION("""COMPUTED_VALUE"""),150.0)</f>
        <v>150</v>
      </c>
      <c r="F21" s="5">
        <f>IFERROR(__xludf.DUMMYFUNCTION("""COMPUTED_VALUE"""),156.35)</f>
        <v>156.35</v>
      </c>
      <c r="G21" s="5">
        <f>IFERROR(__xludf.DUMMYFUNCTION("""COMPUTED_VALUE"""),300.0)</f>
        <v>300</v>
      </c>
      <c r="H21" s="142">
        <f>IFERROR(__xludf.DUMMYFUNCTION("""COMPUTED_VALUE"""),0.0)</f>
        <v>0</v>
      </c>
      <c r="I21" s="22">
        <f>IFERROR(__xludf.DUMMYFUNCTION("""COMPUTED_VALUE"""),0.0)</f>
        <v>0</v>
      </c>
      <c r="J21" s="22">
        <f>IFERROR(__xludf.DUMMYFUNCTION("""COMPUTED_VALUE"""),400000.0)</f>
        <v>400000</v>
      </c>
      <c r="K21" s="5"/>
      <c r="L21" s="5" t="str">
        <f>IFERROR(__xludf.DUMMYFUNCTION("""COMPUTED_VALUE"""),"Limit Condition not met")</f>
        <v>Limit Condition not met</v>
      </c>
    </row>
    <row r="22">
      <c r="A22" s="86">
        <f>IFERROR(__xludf.DUMMYFUNCTION("""COMPUTED_VALUE"""),44608.0)</f>
        <v>44608</v>
      </c>
      <c r="B22" s="5" t="str">
        <f>IFERROR(__xludf.DUMMYFUNCTION("""COMPUTED_VALUE"""),"40105")</f>
        <v>40105</v>
      </c>
      <c r="C22" s="5" t="str">
        <f>IFERROR(__xludf.DUMMYFUNCTION("""COMPUTED_VALUE"""),"BUY (LONG)")</f>
        <v>BUY (LONG)</v>
      </c>
      <c r="D22" s="87" t="str">
        <f>IFERROR(__xludf.DUMMYFUNCTION("""COMPUTED_VALUE"""),"DIS")</f>
        <v>DIS</v>
      </c>
      <c r="E22" s="5">
        <f>IFERROR(__xludf.DUMMYFUNCTION("""COMPUTED_VALUE"""),155.5)</f>
        <v>155.5</v>
      </c>
      <c r="F22" s="5">
        <f>IFERROR(__xludf.DUMMYFUNCTION("""COMPUTED_VALUE"""),156.35)</f>
        <v>156.35</v>
      </c>
      <c r="G22" s="5">
        <f>IFERROR(__xludf.DUMMYFUNCTION("""COMPUTED_VALUE"""),300.0)</f>
        <v>300</v>
      </c>
      <c r="H22" s="142">
        <f>IFERROR(__xludf.DUMMYFUNCTION("""COMPUTED_VALUE"""),0.0)</f>
        <v>0</v>
      </c>
      <c r="I22" s="22">
        <f>IFERROR(__xludf.DUMMYFUNCTION("""COMPUTED_VALUE"""),0.0)</f>
        <v>0</v>
      </c>
      <c r="J22" s="22">
        <f>IFERROR(__xludf.DUMMYFUNCTION("""COMPUTED_VALUE"""),400000.0)</f>
        <v>400000</v>
      </c>
      <c r="K22" s="5"/>
      <c r="L22" s="5" t="str">
        <f>IFERROR(__xludf.DUMMYFUNCTION("""COMPUTED_VALUE"""),"Limit Condition not met")</f>
        <v>Limit Condition not met</v>
      </c>
    </row>
    <row r="23">
      <c r="A23" s="86">
        <f>IFERROR(__xludf.DUMMYFUNCTION("""COMPUTED_VALUE"""),44608.0)</f>
        <v>44608</v>
      </c>
      <c r="B23" s="5" t="str">
        <f>IFERROR(__xludf.DUMMYFUNCTION("""COMPUTED_VALUE"""),"40433")</f>
        <v>40433</v>
      </c>
      <c r="C23" s="5" t="str">
        <f>IFERROR(__xludf.DUMMYFUNCTION("""COMPUTED_VALUE"""),"SELL (SHORT)")</f>
        <v>SELL (SHORT)</v>
      </c>
      <c r="D23" s="87" t="str">
        <f>IFERROR(__xludf.DUMMYFUNCTION("""COMPUTED_VALUE"""),"TSLA")</f>
        <v>TSLA</v>
      </c>
      <c r="E23" s="5"/>
      <c r="F23" s="5">
        <f>IFERROR(__xludf.DUMMYFUNCTION("""COMPUTED_VALUE"""),923.39)</f>
        <v>923.39</v>
      </c>
      <c r="G23" s="5">
        <f>IFERROR(__xludf.DUMMYFUNCTION("""COMPUTED_VALUE"""),365.0)</f>
        <v>365</v>
      </c>
      <c r="H23" s="142" t="str">
        <f>IFERROR(__xludf.DUMMYFUNCTION("""COMPUTED_VALUE"""),"")</f>
        <v/>
      </c>
      <c r="I23" s="22">
        <f>IFERROR(__xludf.DUMMYFUNCTION("""COMPUTED_VALUE"""),2629059.848675)</f>
        <v>2629059.849</v>
      </c>
      <c r="J23" s="22">
        <f>IFERROR(__xludf.DUMMYFUNCTION("""COMPUTED_VALUE"""),-2129059.848675)</f>
        <v>-2129059.849</v>
      </c>
      <c r="K23" s="5"/>
      <c r="L23" s="5" t="str">
        <f>IFERROR(__xludf.DUMMYFUNCTION("""COMPUTED_VALUE"""),"Insufficient Cash or Margin Balance")</f>
        <v>Insufficient Cash or Margin Balance</v>
      </c>
    </row>
    <row r="24">
      <c r="A24" s="86">
        <f>IFERROR(__xludf.DUMMYFUNCTION("""COMPUTED_VALUE"""),44608.0)</f>
        <v>44608</v>
      </c>
      <c r="B24" s="5" t="str">
        <f>IFERROR(__xludf.DUMMYFUNCTION("""COMPUTED_VALUE"""),"46220")</f>
        <v>46220</v>
      </c>
      <c r="C24" s="5" t="str">
        <f>IFERROR(__xludf.DUMMYFUNCTION("""COMPUTED_VALUE"""),"BUY (LONG)")</f>
        <v>BUY (LONG)</v>
      </c>
      <c r="D24" s="87" t="str">
        <f>IFERROR(__xludf.DUMMYFUNCTION("""COMPUTED_VALUE"""),"BTC-USD")</f>
        <v>BTC-USD</v>
      </c>
      <c r="E24" s="5"/>
      <c r="F24" s="5">
        <f>IFERROR(__xludf.DUMMYFUNCTION("""COMPUTED_VALUE"""),43926.6)</f>
        <v>43926.6</v>
      </c>
      <c r="G24" s="5">
        <f>IFERROR(__xludf.DUMMYFUNCTION("""COMPUTED_VALUE"""),10.0)</f>
        <v>10</v>
      </c>
      <c r="H24" s="142" t="str">
        <f>IFERROR(__xludf.DUMMYFUNCTION("""COMPUTED_VALUE"""),"")</f>
        <v/>
      </c>
      <c r="I24" s="22">
        <f>IFERROR(__xludf.DUMMYFUNCTION("""COMPUTED_VALUE"""),-3426494.4329999997)</f>
        <v>-3426494.433</v>
      </c>
      <c r="J24" s="22">
        <f>IFERROR(__xludf.DUMMYFUNCTION("""COMPUTED_VALUE"""),-3173731.0268645003)</f>
        <v>-3173731.027</v>
      </c>
      <c r="K24" s="5"/>
      <c r="L24" s="5" t="str">
        <f>IFERROR(__xludf.DUMMYFUNCTION("""COMPUTED_VALUE"""),"Insufficient Cash or Margin Balance")</f>
        <v>Insufficient Cash or Margin Balance</v>
      </c>
    </row>
    <row r="25">
      <c r="A25" s="86">
        <f>IFERROR(__xludf.DUMMYFUNCTION("""COMPUTED_VALUE"""),44608.0)</f>
        <v>44608</v>
      </c>
      <c r="B25" s="5" t="str">
        <f>IFERROR(__xludf.DUMMYFUNCTION("""COMPUTED_VALUE"""),"70628")</f>
        <v>70628</v>
      </c>
      <c r="C25" s="5" t="str">
        <f>IFERROR(__xludf.DUMMYFUNCTION("""COMPUTED_VALUE"""),"BUY (LONG)")</f>
        <v>BUY (LONG)</v>
      </c>
      <c r="D25" s="90" t="str">
        <f>IFERROR(__xludf.DUMMYFUNCTION("""COMPUTED_VALUE"""),"2333.HK")</f>
        <v>2333.HK</v>
      </c>
      <c r="E25" s="5">
        <f>IFERROR(__xludf.DUMMYFUNCTION("""COMPUTED_VALUE"""),19.2)</f>
        <v>19.2</v>
      </c>
      <c r="F25" s="5">
        <f>IFERROR(__xludf.DUMMYFUNCTION("""COMPUTED_VALUE"""),20.2)</f>
        <v>20.2</v>
      </c>
      <c r="G25" s="5">
        <f>IFERROR(__xludf.DUMMYFUNCTION("""COMPUTED_VALUE"""),7000.0)</f>
        <v>7000</v>
      </c>
      <c r="H25" s="142">
        <f>IFERROR(__xludf.DUMMYFUNCTION("""COMPUTED_VALUE"""),0.0)</f>
        <v>0</v>
      </c>
      <c r="I25" s="22">
        <f>IFERROR(__xludf.DUMMYFUNCTION("""COMPUTED_VALUE"""),0.0)</f>
        <v>0</v>
      </c>
      <c r="J25" s="22">
        <f>IFERROR(__xludf.DUMMYFUNCTION("""COMPUTED_VALUE"""),332000.0)</f>
        <v>332000</v>
      </c>
      <c r="K25" s="5"/>
      <c r="L25" s="5" t="str">
        <f>IFERROR(__xludf.DUMMYFUNCTION("""COMPUTED_VALUE"""),"Limit Condition not met")</f>
        <v>Limit Condition not met</v>
      </c>
    </row>
    <row r="26">
      <c r="A26" s="86">
        <f>IFERROR(__xludf.DUMMYFUNCTION("""COMPUTED_VALUE"""),44610.0)</f>
        <v>44610</v>
      </c>
      <c r="B26" s="5" t="str">
        <f>IFERROR(__xludf.DUMMYFUNCTION("""COMPUTED_VALUE"""),"39857")</f>
        <v>39857</v>
      </c>
      <c r="C26" s="5" t="str">
        <f>IFERROR(__xludf.DUMMYFUNCTION("""COMPUTED_VALUE"""),"BUY (LONG)")</f>
        <v>BUY (LONG)</v>
      </c>
      <c r="D26" s="87" t="str">
        <f>IFERROR(__xludf.DUMMYFUNCTION("""COMPUTED_VALUE"""),"RIVN")</f>
        <v>RIVN</v>
      </c>
      <c r="E26" s="5">
        <f>IFERROR(__xludf.DUMMYFUNCTION("""COMPUTED_VALUE"""),65.0)</f>
        <v>65</v>
      </c>
      <c r="F26" s="5">
        <f>IFERROR(__xludf.DUMMYFUNCTION("""COMPUTED_VALUE"""),66.37)</f>
        <v>66.37</v>
      </c>
      <c r="G26" s="5">
        <f>IFERROR(__xludf.DUMMYFUNCTION("""COMPUTED_VALUE"""),800.0)</f>
        <v>800</v>
      </c>
      <c r="H26" s="142">
        <f>IFERROR(__xludf.DUMMYFUNCTION("""COMPUTED_VALUE"""),0.0)</f>
        <v>0</v>
      </c>
      <c r="I26" s="22">
        <f>IFERROR(__xludf.DUMMYFUNCTION("""COMPUTED_VALUE"""),0.0)</f>
        <v>0</v>
      </c>
      <c r="J26" s="22">
        <f>IFERROR(__xludf.DUMMYFUNCTION("""COMPUTED_VALUE"""),-102806.67244069997)</f>
        <v>-102806.6724</v>
      </c>
      <c r="K26" s="5"/>
      <c r="L26" s="5" t="str">
        <f>IFERROR(__xludf.DUMMYFUNCTION("""COMPUTED_VALUE"""),"Limit Condition not met")</f>
        <v>Limit Condition not met</v>
      </c>
    </row>
    <row r="27">
      <c r="A27" s="86">
        <f>IFERROR(__xludf.DUMMYFUNCTION("""COMPUTED_VALUE"""),44610.0)</f>
        <v>44610</v>
      </c>
      <c r="B27" s="5" t="str">
        <f>IFERROR(__xludf.DUMMYFUNCTION("""COMPUTED_VALUE"""),"39857")</f>
        <v>39857</v>
      </c>
      <c r="C27" s="5" t="str">
        <f>IFERROR(__xludf.DUMMYFUNCTION("""COMPUTED_VALUE"""),"BUY (LONG)")</f>
        <v>BUY (LONG)</v>
      </c>
      <c r="D27" s="87" t="str">
        <f>IFERROR(__xludf.DUMMYFUNCTION("""COMPUTED_VALUE"""),"RIVN")</f>
        <v>RIVN</v>
      </c>
      <c r="E27" s="5">
        <f>IFERROR(__xludf.DUMMYFUNCTION("""COMPUTED_VALUE"""),65.5)</f>
        <v>65.5</v>
      </c>
      <c r="F27" s="5">
        <f>IFERROR(__xludf.DUMMYFUNCTION("""COMPUTED_VALUE"""),66.37)</f>
        <v>66.37</v>
      </c>
      <c r="G27" s="5">
        <f>IFERROR(__xludf.DUMMYFUNCTION("""COMPUTED_VALUE"""),800.0)</f>
        <v>800</v>
      </c>
      <c r="H27" s="142">
        <f>IFERROR(__xludf.DUMMYFUNCTION("""COMPUTED_VALUE"""),0.0)</f>
        <v>0</v>
      </c>
      <c r="I27" s="22">
        <f>IFERROR(__xludf.DUMMYFUNCTION("""COMPUTED_VALUE"""),0.0)</f>
        <v>0</v>
      </c>
      <c r="J27" s="22">
        <f>IFERROR(__xludf.DUMMYFUNCTION("""COMPUTED_VALUE"""),-102806.67244069997)</f>
        <v>-102806.6724</v>
      </c>
      <c r="K27" s="5"/>
      <c r="L27" s="5" t="str">
        <f>IFERROR(__xludf.DUMMYFUNCTION("""COMPUTED_VALUE"""),"Limit Condition not met")</f>
        <v>Limit Condition not met</v>
      </c>
    </row>
    <row r="28">
      <c r="A28" s="86">
        <f>IFERROR(__xludf.DUMMYFUNCTION("""COMPUTED_VALUE"""),44610.0)</f>
        <v>44610</v>
      </c>
      <c r="B28" s="5" t="str">
        <f>IFERROR(__xludf.DUMMYFUNCTION("""COMPUTED_VALUE"""),"46220")</f>
        <v>46220</v>
      </c>
      <c r="C28" s="5" t="str">
        <f>IFERROR(__xludf.DUMMYFUNCTION("""COMPUTED_VALUE"""),"BUY (LONG)")</f>
        <v>BUY (LONG)</v>
      </c>
      <c r="D28" s="87" t="str">
        <f>IFERROR(__xludf.DUMMYFUNCTION("""COMPUTED_VALUE"""),"BTC-USD")</f>
        <v>BTC-USD</v>
      </c>
      <c r="E28" s="5"/>
      <c r="F28" s="5">
        <f>IFERROR(__xludf.DUMMYFUNCTION("""COMPUTED_VALUE"""),40132.258)</f>
        <v>40132.258</v>
      </c>
      <c r="G28" s="5">
        <f>IFERROR(__xludf.DUMMYFUNCTION("""COMPUTED_VALUE"""),20.0)</f>
        <v>20</v>
      </c>
      <c r="H28" s="142" t="str">
        <f>IFERROR(__xludf.DUMMYFUNCTION("""COMPUTED_VALUE"""),"")</f>
        <v/>
      </c>
      <c r="I28" s="22">
        <f>IFERROR(__xludf.DUMMYFUNCTION("""COMPUTED_VALUE"""),-6261041.597031601)</f>
        <v>-6261041.597</v>
      </c>
      <c r="J28" s="22">
        <f>IFERROR(__xludf.DUMMYFUNCTION("""COMPUTED_VALUE"""),-6458318.9772136)</f>
        <v>-6458318.977</v>
      </c>
      <c r="K28" s="5"/>
      <c r="L28" s="5" t="str">
        <f>IFERROR(__xludf.DUMMYFUNCTION("""COMPUTED_VALUE"""),"Insufficient Cash or Margin Balance")</f>
        <v>Insufficient Cash or Margin Balance</v>
      </c>
    </row>
    <row r="29">
      <c r="A29" s="86">
        <f>IFERROR(__xludf.DUMMYFUNCTION("""COMPUTED_VALUE"""),44610.0)</f>
        <v>44610</v>
      </c>
      <c r="B29" s="5" t="str">
        <f>IFERROR(__xludf.DUMMYFUNCTION("""COMPUTED_VALUE"""),"76796")</f>
        <v>76796</v>
      </c>
      <c r="C29" s="5" t="str">
        <f>IFERROR(__xludf.DUMMYFUNCTION("""COMPUTED_VALUE"""),"BUY (LONG)")</f>
        <v>BUY (LONG)</v>
      </c>
      <c r="D29" s="87" t="str">
        <f>IFERROR(__xludf.DUMMYFUNCTION("""COMPUTED_VALUE"""),"ISPO")</f>
        <v>ISPO</v>
      </c>
      <c r="E29" s="5"/>
      <c r="F29" s="5">
        <f>IFERROR(__xludf.DUMMYFUNCTION("""COMPUTED_VALUE"""),46.0)</f>
        <v>46</v>
      </c>
      <c r="G29" s="5">
        <f>IFERROR(__xludf.DUMMYFUNCTION("""COMPUTED_VALUE"""),2000.0)</f>
        <v>2000</v>
      </c>
      <c r="H29" s="142" t="str">
        <f>IFERROR(__xludf.DUMMYFUNCTION("""COMPUTED_VALUE"""),"")</f>
        <v/>
      </c>
      <c r="I29" s="22">
        <f>IFERROR(__xludf.DUMMYFUNCTION("""COMPUTED_VALUE"""),-717646.92)</f>
        <v>-717646.92</v>
      </c>
      <c r="J29" s="22">
        <f>IFERROR(__xludf.DUMMYFUNCTION("""COMPUTED_VALUE"""),-460121.52335000003)</f>
        <v>-460121.5234</v>
      </c>
      <c r="K29" s="5"/>
      <c r="L29" s="5" t="str">
        <f>IFERROR(__xludf.DUMMYFUNCTION("""COMPUTED_VALUE"""),"Insufficient Cash or Margin Balance")</f>
        <v>Insufficient Cash or Margin Balance</v>
      </c>
    </row>
    <row r="30">
      <c r="A30" s="86">
        <f>IFERROR(__xludf.DUMMYFUNCTION("""COMPUTED_VALUE"""),44611.0)</f>
        <v>44611</v>
      </c>
      <c r="B30" s="5" t="str">
        <f>IFERROR(__xludf.DUMMYFUNCTION("""COMPUTED_VALUE"""),"TraderX")</f>
        <v>TraderX</v>
      </c>
      <c r="C30" s="5" t="str">
        <f>IFERROR(__xludf.DUMMYFUNCTION("""COMPUTED_VALUE"""),"BUY (LONG)")</f>
        <v>BUY (LONG)</v>
      </c>
      <c r="D30" s="87" t="str">
        <f>IFERROR(__xludf.DUMMYFUNCTION("""COMPUTED_VALUE"""),"SPXW220218P04300000")</f>
        <v>SPXW220218P04300000</v>
      </c>
      <c r="E30" s="5"/>
      <c r="F30" s="5" t="str">
        <f>IFERROR(__xludf.DUMMYFUNCTION("""COMPUTED_VALUE""")," ")</f>
        <v> </v>
      </c>
      <c r="G30" s="5">
        <f>IFERROR(__xludf.DUMMYFUNCTION("""COMPUTED_VALUE"""),8.0)</f>
        <v>8</v>
      </c>
      <c r="H30" s="142">
        <f>IFERROR(__xludf.DUMMYFUNCTION("""COMPUTED_VALUE"""),0.0)</f>
        <v>0</v>
      </c>
      <c r="I30" s="22">
        <f>IFERROR(__xludf.DUMMYFUNCTION("""COMPUTED_VALUE"""),0.0)</f>
        <v>0</v>
      </c>
      <c r="J30" s="22">
        <f>IFERROR(__xludf.DUMMYFUNCTION("""COMPUTED_VALUE"""),499000.0)</f>
        <v>499000</v>
      </c>
      <c r="K30" s="5"/>
      <c r="L30" s="5" t="str">
        <f>IFERROR(__xludf.DUMMYFUNCTION("""COMPUTED_VALUE"""),"Insufficient Cash or Margin Balance")</f>
        <v>Insufficient Cash or Margin Balance</v>
      </c>
    </row>
    <row r="31">
      <c r="A31" s="86">
        <f>IFERROR(__xludf.DUMMYFUNCTION("""COMPUTED_VALUE"""),44611.0)</f>
        <v>44611</v>
      </c>
      <c r="B31" s="5" t="str">
        <f>IFERROR(__xludf.DUMMYFUNCTION("""COMPUTED_VALUE"""),"TraderX")</f>
        <v>TraderX</v>
      </c>
      <c r="C31" s="5" t="str">
        <f>IFERROR(__xludf.DUMMYFUNCTION("""COMPUTED_VALUE"""),"SELL (SHORT)")</f>
        <v>SELL (SHORT)</v>
      </c>
      <c r="D31" s="87" t="str">
        <f>IFERROR(__xludf.DUMMYFUNCTION("""COMPUTED_VALUE"""),"SPX220218P04220000")</f>
        <v>SPX220218P04220000</v>
      </c>
      <c r="E31" s="5"/>
      <c r="F31" s="5" t="str">
        <f>IFERROR(__xludf.DUMMYFUNCTION("""COMPUTED_VALUE""")," ")</f>
        <v> </v>
      </c>
      <c r="G31" s="5">
        <f>IFERROR(__xludf.DUMMYFUNCTION("""COMPUTED_VALUE"""),8.0)</f>
        <v>8</v>
      </c>
      <c r="H31" s="142">
        <f>IFERROR(__xludf.DUMMYFUNCTION("""COMPUTED_VALUE"""),0.0)</f>
        <v>0</v>
      </c>
      <c r="I31" s="22">
        <f>IFERROR(__xludf.DUMMYFUNCTION("""COMPUTED_VALUE"""),0.0)</f>
        <v>0</v>
      </c>
      <c r="J31" s="22">
        <f>IFERROR(__xludf.DUMMYFUNCTION("""COMPUTED_VALUE"""),499000.0)</f>
        <v>499000</v>
      </c>
      <c r="K31" s="5"/>
      <c r="L31" s="5" t="str">
        <f>IFERROR(__xludf.DUMMYFUNCTION("""COMPUTED_VALUE"""),"Insufficient Cash or Margin Balance")</f>
        <v>Insufficient Cash or Margin Balance</v>
      </c>
    </row>
    <row r="32">
      <c r="A32" s="86">
        <f>IFERROR(__xludf.DUMMYFUNCTION("""COMPUTED_VALUE"""),44613.0)</f>
        <v>44613</v>
      </c>
      <c r="B32" s="5" t="str">
        <f>IFERROR(__xludf.DUMMYFUNCTION("""COMPUTED_VALUE"""),"46220")</f>
        <v>46220</v>
      </c>
      <c r="C32" s="5" t="str">
        <f>IFERROR(__xludf.DUMMYFUNCTION("""COMPUTED_VALUE"""),"BUY (LONG)")</f>
        <v>BUY (LONG)</v>
      </c>
      <c r="D32" s="90" t="str">
        <f>IFERROR(__xludf.DUMMYFUNCTION("""COMPUTED_VALUE"""),"6969.HK")</f>
        <v>6969.HK</v>
      </c>
      <c r="E32" s="5"/>
      <c r="F32" s="5">
        <f>IFERROR(__xludf.DUMMYFUNCTION("""COMPUTED_VALUE"""),35.5)</f>
        <v>35.5</v>
      </c>
      <c r="G32" s="5">
        <f>IFERROR(__xludf.DUMMYFUNCTION("""COMPUTED_VALUE"""),2000.0)</f>
        <v>2000</v>
      </c>
      <c r="H32" s="142" t="str">
        <f>IFERROR(__xludf.DUMMYFUNCTION("""COMPUTED_VALUE"""),"")</f>
        <v/>
      </c>
      <c r="I32" s="22">
        <f>IFERROR(__xludf.DUMMYFUNCTION("""COMPUTED_VALUE"""),-71000.0)</f>
        <v>-71000</v>
      </c>
      <c r="J32" s="22">
        <f>IFERROR(__xludf.DUMMYFUNCTION("""COMPUTED_VALUE"""),-268277.38018200005)</f>
        <v>-268277.3802</v>
      </c>
      <c r="K32" s="5"/>
      <c r="L32" s="5" t="str">
        <f>IFERROR(__xludf.DUMMYFUNCTION("""COMPUTED_VALUE"""),"Insufficient Cash or Margin Balance")</f>
        <v>Insufficient Cash or Margin Balance</v>
      </c>
    </row>
    <row r="33">
      <c r="A33" s="86">
        <f>IFERROR(__xludf.DUMMYFUNCTION("""COMPUTED_VALUE"""),44613.0)</f>
        <v>44613</v>
      </c>
      <c r="B33" s="5" t="str">
        <f>IFERROR(__xludf.DUMMYFUNCTION("""COMPUTED_VALUE"""),"74641")</f>
        <v>74641</v>
      </c>
      <c r="C33" s="5" t="str">
        <f>IFERROR(__xludf.DUMMYFUNCTION("""COMPUTED_VALUE"""),"BUY (LONG)")</f>
        <v>BUY (LONG)</v>
      </c>
      <c r="D33" s="90" t="str">
        <f>IFERROR(__xludf.DUMMYFUNCTION("""COMPUTED_VALUE"""),"002230.SZ")</f>
        <v>002230.SZ</v>
      </c>
      <c r="E33" s="5">
        <f>IFERROR(__xludf.DUMMYFUNCTION("""COMPUTED_VALUE"""),50.73)</f>
        <v>50.73</v>
      </c>
      <c r="F33" s="5">
        <f>IFERROR(__xludf.DUMMYFUNCTION("""COMPUTED_VALUE"""),50.77)</f>
        <v>50.77</v>
      </c>
      <c r="G33" s="5">
        <f>IFERROR(__xludf.DUMMYFUNCTION("""COMPUTED_VALUE"""),1000.0)</f>
        <v>1000</v>
      </c>
      <c r="H33" s="142">
        <f>IFERROR(__xludf.DUMMYFUNCTION("""COMPUTED_VALUE"""),0.0)</f>
        <v>0</v>
      </c>
      <c r="I33" s="22">
        <f>IFERROR(__xludf.DUMMYFUNCTION("""COMPUTED_VALUE"""),0.0)</f>
        <v>0</v>
      </c>
      <c r="J33" s="22">
        <f>IFERROR(__xludf.DUMMYFUNCTION("""COMPUTED_VALUE"""),491862.29159)</f>
        <v>491862.2916</v>
      </c>
      <c r="K33" s="5"/>
      <c r="L33" s="5" t="str">
        <f>IFERROR(__xludf.DUMMYFUNCTION("""COMPUTED_VALUE"""),"Limit Condition not met")</f>
        <v>Limit Condition not met</v>
      </c>
    </row>
    <row r="34">
      <c r="A34" s="86">
        <f>IFERROR(__xludf.DUMMYFUNCTION("""COMPUTED_VALUE"""),44614.0)</f>
        <v>44614</v>
      </c>
      <c r="B34" s="5" t="str">
        <f>IFERROR(__xludf.DUMMYFUNCTION("""COMPUTED_VALUE"""),"89750")</f>
        <v>89750</v>
      </c>
      <c r="C34" s="5" t="str">
        <f>IFERROR(__xludf.DUMMYFUNCTION("""COMPUTED_VALUE"""),"BUY (LONG)")</f>
        <v>BUY (LONG)</v>
      </c>
      <c r="D34" s="87" t="str">
        <f>IFERROR(__xludf.DUMMYFUNCTION("""COMPUTED_VALUE"""),"FUTU220225C00041500")</f>
        <v>FUTU220225C00041500</v>
      </c>
      <c r="E34" s="5">
        <f>IFERROR(__xludf.DUMMYFUNCTION("""COMPUTED_VALUE"""),1.3)</f>
        <v>1.3</v>
      </c>
      <c r="F34" s="5" t="str">
        <f>IFERROR(__xludf.DUMMYFUNCTION("""COMPUTED_VALUE""")," ")</f>
        <v> </v>
      </c>
      <c r="G34" s="5">
        <f>IFERROR(__xludf.DUMMYFUNCTION("""COMPUTED_VALUE"""),100.0)</f>
        <v>100</v>
      </c>
      <c r="H34" s="142">
        <f>IFERROR(__xludf.DUMMYFUNCTION("""COMPUTED_VALUE"""),0.0)</f>
        <v>0</v>
      </c>
      <c r="I34" s="22">
        <f>IFERROR(__xludf.DUMMYFUNCTION("""COMPUTED_VALUE"""),0.0)</f>
        <v>0</v>
      </c>
      <c r="J34" s="22">
        <f>IFERROR(__xludf.DUMMYFUNCTION("""COMPUTED_VALUE"""),393921.87840149994)</f>
        <v>393921.8784</v>
      </c>
      <c r="K34" s="5"/>
      <c r="L34" s="5" t="str">
        <f>IFERROR(__xludf.DUMMYFUNCTION("""COMPUTED_VALUE"""),"Limit Condition not met")</f>
        <v>Limit Condition not met</v>
      </c>
    </row>
    <row r="35">
      <c r="A35" s="86">
        <f>IFERROR(__xludf.DUMMYFUNCTION("""COMPUTED_VALUE"""),44615.0)</f>
        <v>44615</v>
      </c>
      <c r="B35" s="5" t="str">
        <f>IFERROR(__xludf.DUMMYFUNCTION("""COMPUTED_VALUE"""),"39857")</f>
        <v>39857</v>
      </c>
      <c r="C35" s="5" t="str">
        <f>IFERROR(__xludf.DUMMYFUNCTION("""COMPUTED_VALUE"""),"BUY (LONG)")</f>
        <v>BUY (LONG)</v>
      </c>
      <c r="D35" s="87" t="str">
        <f>IFERROR(__xludf.DUMMYFUNCTION("""COMPUTED_VALUE"""),"TSLA")</f>
        <v>TSLA</v>
      </c>
      <c r="E35" s="5"/>
      <c r="F35" s="5">
        <f>IFERROR(__xludf.DUMMYFUNCTION("""COMPUTED_VALUE"""),764.04)</f>
        <v>764.04</v>
      </c>
      <c r="G35" s="5">
        <f>IFERROR(__xludf.DUMMYFUNCTION("""COMPUTED_VALUE"""),50.0)</f>
        <v>50</v>
      </c>
      <c r="H35" s="142" t="str">
        <f>IFERROR(__xludf.DUMMYFUNCTION("""COMPUTED_VALUE"""),"")</f>
        <v/>
      </c>
      <c r="I35" s="22">
        <f>IFERROR(__xludf.DUMMYFUNCTION("""COMPUTED_VALUE"""),-298183.80090000003)</f>
        <v>-298183.8009</v>
      </c>
      <c r="J35" s="22">
        <f>IFERROR(__xludf.DUMMYFUNCTION("""COMPUTED_VALUE"""),-400990.47334070003)</f>
        <v>-400990.4733</v>
      </c>
      <c r="K35" s="5"/>
      <c r="L35" s="5" t="str">
        <f>IFERROR(__xludf.DUMMYFUNCTION("""COMPUTED_VALUE"""),"Insufficient Cash or Margin Balance")</f>
        <v>Insufficient Cash or Margin Balance</v>
      </c>
    </row>
    <row r="36">
      <c r="A36" s="86">
        <f>IFERROR(__xludf.DUMMYFUNCTION("""COMPUTED_VALUE"""),44615.0)</f>
        <v>44615</v>
      </c>
      <c r="B36" s="5" t="str">
        <f>IFERROR(__xludf.DUMMYFUNCTION("""COMPUTED_VALUE"""),"46220")</f>
        <v>46220</v>
      </c>
      <c r="C36" s="5" t="str">
        <f>IFERROR(__xludf.DUMMYFUNCTION("""COMPUTED_VALUE"""),"BUY (LONG)")</f>
        <v>BUY (LONG)</v>
      </c>
      <c r="D36" s="87" t="str">
        <f>IFERROR(__xludf.DUMMYFUNCTION("""COMPUTED_VALUE"""),"TSLA")</f>
        <v>TSLA</v>
      </c>
      <c r="E36" s="5"/>
      <c r="F36" s="5">
        <f>IFERROR(__xludf.DUMMYFUNCTION("""COMPUTED_VALUE"""),764.04)</f>
        <v>764.04</v>
      </c>
      <c r="G36" s="5">
        <f>IFERROR(__xludf.DUMMYFUNCTION("""COMPUTED_VALUE"""),20.0)</f>
        <v>20</v>
      </c>
      <c r="H36" s="142" t="str">
        <f>IFERROR(__xludf.DUMMYFUNCTION("""COMPUTED_VALUE"""),"")</f>
        <v/>
      </c>
      <c r="I36" s="22">
        <f>IFERROR(__xludf.DUMMYFUNCTION("""COMPUTED_VALUE"""),-119273.52036)</f>
        <v>-119273.5204</v>
      </c>
      <c r="J36" s="22">
        <f>IFERROR(__xludf.DUMMYFUNCTION("""COMPUTED_VALUE"""),-316550.9005420001)</f>
        <v>-316550.9005</v>
      </c>
      <c r="K36" s="5"/>
      <c r="L36" s="5" t="str">
        <f>IFERROR(__xludf.DUMMYFUNCTION("""COMPUTED_VALUE"""),"Insufficient Cash or Margin Balance")</f>
        <v>Insufficient Cash or Margin Balance</v>
      </c>
    </row>
    <row r="37">
      <c r="A37" s="86">
        <f>IFERROR(__xludf.DUMMYFUNCTION("""COMPUTED_VALUE"""),44615.0)</f>
        <v>44615</v>
      </c>
      <c r="B37" s="5" t="str">
        <f>IFERROR(__xludf.DUMMYFUNCTION("""COMPUTED_VALUE"""),"89750")</f>
        <v>89750</v>
      </c>
      <c r="C37" s="5" t="str">
        <f>IFERROR(__xludf.DUMMYFUNCTION("""COMPUTED_VALUE"""),"SELL (SHORT)")</f>
        <v>SELL (SHORT)</v>
      </c>
      <c r="D37" s="87" t="str">
        <f>IFERROR(__xludf.DUMMYFUNCTION("""COMPUTED_VALUE"""),"FUTU220225C00041500")</f>
        <v>FUTU220225C00041500</v>
      </c>
      <c r="E37" s="5"/>
      <c r="F37" s="5" t="str">
        <f>IFERROR(__xludf.DUMMYFUNCTION("""COMPUTED_VALUE""")," ")</f>
        <v> </v>
      </c>
      <c r="G37" s="5">
        <f>IFERROR(__xludf.DUMMYFUNCTION("""COMPUTED_VALUE"""),100.0)</f>
        <v>100</v>
      </c>
      <c r="H37" s="142" t="str">
        <f>IFERROR(__xludf.DUMMYFUNCTION("""COMPUTED_VALUE"""),"")</f>
        <v/>
      </c>
      <c r="I37" s="22">
        <f>IFERROR(__xludf.DUMMYFUNCTION("""COMPUTED_VALUE"""),38246.705)</f>
        <v>38246.705</v>
      </c>
      <c r="J37" s="22">
        <f>IFERROR(__xludf.DUMMYFUNCTION("""COMPUTED_VALUE"""),-3019624.6095985)</f>
        <v>-3019624.61</v>
      </c>
      <c r="K37" s="5"/>
      <c r="L37" s="5" t="str">
        <f>IFERROR(__xludf.DUMMYFUNCTION("""COMPUTED_VALUE"""),"Insufficient Cash or Margin Balance")</f>
        <v>Insufficient Cash or Margin Balance</v>
      </c>
    </row>
    <row r="38">
      <c r="A38" s="86">
        <f>IFERROR(__xludf.DUMMYFUNCTION("""COMPUTED_VALUE"""),44616.0)</f>
        <v>44616</v>
      </c>
      <c r="B38" s="5" t="str">
        <f>IFERROR(__xludf.DUMMYFUNCTION("""COMPUTED_VALUE"""),"36460")</f>
        <v>36460</v>
      </c>
      <c r="C38" s="5" t="str">
        <f>IFERROR(__xludf.DUMMYFUNCTION("""COMPUTED_VALUE"""),"BUY (LONG)")</f>
        <v>BUY (LONG)</v>
      </c>
      <c r="D38" s="87" t="str">
        <f>IFERROR(__xludf.DUMMYFUNCTION("""COMPUTED_VALUE"""),"CL=F")</f>
        <v>CL=F</v>
      </c>
      <c r="E38" s="5">
        <f>IFERROR(__xludf.DUMMYFUNCTION("""COMPUTED_VALUE"""),120.0)</f>
        <v>120</v>
      </c>
      <c r="F38" s="5">
        <f>IFERROR(__xludf.DUMMYFUNCTION("""COMPUTED_VALUE"""),92.81)</f>
        <v>92.81</v>
      </c>
      <c r="G38" s="5">
        <f>IFERROR(__xludf.DUMMYFUNCTION("""COMPUTED_VALUE"""),200.0)</f>
        <v>200</v>
      </c>
      <c r="H38" s="142" t="str">
        <f>IFERROR(__xludf.DUMMYFUNCTION("""COMPUTED_VALUE"""),"")</f>
        <v/>
      </c>
      <c r="I38" s="22">
        <f>IFERROR(__xludf.DUMMYFUNCTION("""COMPUTED_VALUE"""),-144927.4555)</f>
        <v>-144927.4555</v>
      </c>
      <c r="J38" s="22">
        <f>IFERROR(__xludf.DUMMYFUNCTION("""COMPUTED_VALUE"""),-364148.65225000004)</f>
        <v>-364148.6523</v>
      </c>
      <c r="K38" s="5"/>
      <c r="L38" s="5" t="str">
        <f>IFERROR(__xludf.DUMMYFUNCTION("""COMPUTED_VALUE"""),"Limit Condition not met")</f>
        <v>Limit Condition not met</v>
      </c>
    </row>
    <row r="39">
      <c r="A39" s="86">
        <f>IFERROR(__xludf.DUMMYFUNCTION("""COMPUTED_VALUE"""),44616.0)</f>
        <v>44616</v>
      </c>
      <c r="B39" s="5" t="str">
        <f>IFERROR(__xludf.DUMMYFUNCTION("""COMPUTED_VALUE"""),"46220")</f>
        <v>46220</v>
      </c>
      <c r="C39" s="5" t="str">
        <f>IFERROR(__xludf.DUMMYFUNCTION("""COMPUTED_VALUE"""),"BUY (LONG)")</f>
        <v>BUY (LONG)</v>
      </c>
      <c r="D39" s="87" t="str">
        <f>IFERROR(__xludf.DUMMYFUNCTION("""COMPUTED_VALUE"""),"AMZN")</f>
        <v>AMZN</v>
      </c>
      <c r="E39" s="5"/>
      <c r="F39" s="31">
        <f>IFERROR(__xludf.DUMMYFUNCTION("""COMPUTED_VALUE"""),3027.16)</f>
        <v>3027.16</v>
      </c>
      <c r="G39" s="5">
        <f>IFERROR(__xludf.DUMMYFUNCTION("""COMPUTED_VALUE"""),20.0)</f>
        <v>20</v>
      </c>
      <c r="H39" s="142" t="str">
        <f>IFERROR(__xludf.DUMMYFUNCTION("""COMPUTED_VALUE"""),"")</f>
        <v/>
      </c>
      <c r="I39" s="22">
        <f>IFERROR(__xludf.DUMMYFUNCTION("""COMPUTED_VALUE"""),-472706.1698)</f>
        <v>-472706.1698</v>
      </c>
      <c r="J39" s="22">
        <f>IFERROR(__xludf.DUMMYFUNCTION("""COMPUTED_VALUE"""),-672809.122882)</f>
        <v>-672809.1229</v>
      </c>
      <c r="K39" s="5"/>
      <c r="L39" s="5" t="str">
        <f>IFERROR(__xludf.DUMMYFUNCTION("""COMPUTED_VALUE"""),"Insufficient Cash or Margin Balance")</f>
        <v>Insufficient Cash or Margin Balance</v>
      </c>
    </row>
    <row r="40">
      <c r="A40" s="86">
        <f>IFERROR(__xludf.DUMMYFUNCTION("""COMPUTED_VALUE"""),44617.0)</f>
        <v>44617</v>
      </c>
      <c r="B40" s="5" t="str">
        <f>IFERROR(__xludf.DUMMYFUNCTION("""COMPUTED_VALUE"""),"14626")</f>
        <v>14626</v>
      </c>
      <c r="C40" s="5" t="str">
        <f>IFERROR(__xludf.DUMMYFUNCTION("""COMPUTED_VALUE"""),"BUY (LONG)")</f>
        <v>BUY (LONG)</v>
      </c>
      <c r="D40" s="87" t="str">
        <f>IFERROR(__xludf.DUMMYFUNCTION("""COMPUTED_VALUE"""),"AAPL")</f>
        <v>AAPL</v>
      </c>
      <c r="E40" s="5">
        <f>IFERROR(__xludf.DUMMYFUNCTION("""COMPUTED_VALUE"""),150.0)</f>
        <v>150</v>
      </c>
      <c r="F40" s="5">
        <f>IFERROR(__xludf.DUMMYFUNCTION("""COMPUTED_VALUE"""),164.85)</f>
        <v>164.85</v>
      </c>
      <c r="G40" s="5">
        <f>IFERROR(__xludf.DUMMYFUNCTION("""COMPUTED_VALUE"""),50.0)</f>
        <v>50</v>
      </c>
      <c r="H40" s="142">
        <f>IFERROR(__xludf.DUMMYFUNCTION("""COMPUTED_VALUE"""),0.0)</f>
        <v>0</v>
      </c>
      <c r="I40" s="22">
        <f>IFERROR(__xludf.DUMMYFUNCTION("""COMPUTED_VALUE"""),0.0)</f>
        <v>0</v>
      </c>
      <c r="J40" s="22">
        <f>IFERROR(__xludf.DUMMYFUNCTION("""COMPUTED_VALUE"""),500000.0)</f>
        <v>500000</v>
      </c>
      <c r="K40" s="5"/>
      <c r="L40" s="5" t="str">
        <f>IFERROR(__xludf.DUMMYFUNCTION("""COMPUTED_VALUE"""),"Limit Condition not met")</f>
        <v>Limit Condition not met</v>
      </c>
    </row>
    <row r="41">
      <c r="A41" s="86">
        <f>IFERROR(__xludf.DUMMYFUNCTION("""COMPUTED_VALUE"""),44617.0)</f>
        <v>44617</v>
      </c>
      <c r="B41" s="5" t="str">
        <f>IFERROR(__xludf.DUMMYFUNCTION("""COMPUTED_VALUE"""),"14626")</f>
        <v>14626</v>
      </c>
      <c r="C41" s="5" t="str">
        <f>IFERROR(__xludf.DUMMYFUNCTION("""COMPUTED_VALUE"""),"BUY (LONG)")</f>
        <v>BUY (LONG)</v>
      </c>
      <c r="D41" s="87" t="str">
        <f>IFERROR(__xludf.DUMMYFUNCTION("""COMPUTED_VALUE"""),"TSLA")</f>
        <v>TSLA</v>
      </c>
      <c r="E41" s="5">
        <f>IFERROR(__xludf.DUMMYFUNCTION("""COMPUTED_VALUE"""),100.0)</f>
        <v>100</v>
      </c>
      <c r="F41" s="5">
        <f>IFERROR(__xludf.DUMMYFUNCTION("""COMPUTED_VALUE"""),809.87)</f>
        <v>809.87</v>
      </c>
      <c r="G41" s="5">
        <f>IFERROR(__xludf.DUMMYFUNCTION("""COMPUTED_VALUE"""),50.0)</f>
        <v>50</v>
      </c>
      <c r="H41" s="142">
        <f>IFERROR(__xludf.DUMMYFUNCTION("""COMPUTED_VALUE"""),0.0)</f>
        <v>0</v>
      </c>
      <c r="I41" s="22">
        <f>IFERROR(__xludf.DUMMYFUNCTION("""COMPUTED_VALUE"""),0.0)</f>
        <v>0</v>
      </c>
      <c r="J41" s="22">
        <f>IFERROR(__xludf.DUMMYFUNCTION("""COMPUTED_VALUE"""),500000.0)</f>
        <v>500000</v>
      </c>
      <c r="K41" s="5"/>
      <c r="L41" s="5" t="str">
        <f>IFERROR(__xludf.DUMMYFUNCTION("""COMPUTED_VALUE"""),"Limit Condition not met")</f>
        <v>Limit Condition not met</v>
      </c>
    </row>
    <row r="42">
      <c r="A42" s="86">
        <f>IFERROR(__xludf.DUMMYFUNCTION("""COMPUTED_VALUE"""),44617.0)</f>
        <v>44617</v>
      </c>
      <c r="B42" s="5" t="str">
        <f>IFERROR(__xludf.DUMMYFUNCTION("""COMPUTED_VALUE"""),"46220")</f>
        <v>46220</v>
      </c>
      <c r="C42" s="5" t="str">
        <f>IFERROR(__xludf.DUMMYFUNCTION("""COMPUTED_VALUE"""),"BUY (LONG)")</f>
        <v>BUY (LONG)</v>
      </c>
      <c r="D42" s="87" t="str">
        <f>IFERROR(__xludf.DUMMYFUNCTION("""COMPUTED_VALUE"""),"NFLX")</f>
        <v>NFLX</v>
      </c>
      <c r="E42" s="5"/>
      <c r="F42" s="5">
        <f>IFERROR(__xludf.DUMMYFUNCTION("""COMPUTED_VALUE"""),390.8)</f>
        <v>390.8</v>
      </c>
      <c r="G42" s="5">
        <f>IFERROR(__xludf.DUMMYFUNCTION("""COMPUTED_VALUE"""),20.0)</f>
        <v>20</v>
      </c>
      <c r="H42" s="142" t="str">
        <f>IFERROR(__xludf.DUMMYFUNCTION("""COMPUTED_VALUE"""),"")</f>
        <v/>
      </c>
      <c r="I42" s="22">
        <f>IFERROR(__xludf.DUMMYFUNCTION("""COMPUTED_VALUE"""),-61030.41532)</f>
        <v>-61030.41532</v>
      </c>
      <c r="J42" s="22">
        <f>IFERROR(__xludf.DUMMYFUNCTION("""COMPUTED_VALUE"""),-261133.36840200005)</f>
        <v>-261133.3684</v>
      </c>
      <c r="K42" s="5"/>
      <c r="L42" s="5" t="str">
        <f>IFERROR(__xludf.DUMMYFUNCTION("""COMPUTED_VALUE"""),"Insufficient Cash or Margin Balance")</f>
        <v>Insufficient Cash or Margin Balance</v>
      </c>
    </row>
    <row r="43">
      <c r="A43" s="86">
        <f>IFERROR(__xludf.DUMMYFUNCTION("""COMPUTED_VALUE"""),44617.0)</f>
        <v>44617</v>
      </c>
      <c r="B43" s="5" t="str">
        <f>IFERROR(__xludf.DUMMYFUNCTION("""COMPUTED_VALUE"""),"74356")</f>
        <v>74356</v>
      </c>
      <c r="C43" s="5" t="str">
        <f>IFERROR(__xludf.DUMMYFUNCTION("""COMPUTED_VALUE"""),"BUY (LONG)")</f>
        <v>BUY (LONG)</v>
      </c>
      <c r="D43" s="90" t="str">
        <f>IFERROR(__xludf.DUMMYFUNCTION("""COMPUTED_VALUE"""),"300157.SZ")</f>
        <v>300157.SZ</v>
      </c>
      <c r="E43" s="5">
        <f>IFERROR(__xludf.DUMMYFUNCTION("""COMPUTED_VALUE"""),4.5)</f>
        <v>4.5</v>
      </c>
      <c r="F43" s="5">
        <f>IFERROR(__xludf.DUMMYFUNCTION("""COMPUTED_VALUE"""),6.01)</f>
        <v>6.01</v>
      </c>
      <c r="G43" s="5">
        <f>IFERROR(__xludf.DUMMYFUNCTION("""COMPUTED_VALUE"""),500.0)</f>
        <v>500</v>
      </c>
      <c r="H43" s="142">
        <f>IFERROR(__xludf.DUMMYFUNCTION("""COMPUTED_VALUE"""),0.0)</f>
        <v>0</v>
      </c>
      <c r="I43" s="22">
        <f>IFERROR(__xludf.DUMMYFUNCTION("""COMPUTED_VALUE"""),0.0)</f>
        <v>0</v>
      </c>
      <c r="J43" s="22">
        <f>IFERROR(__xludf.DUMMYFUNCTION("""COMPUTED_VALUE"""),367551.7816354999)</f>
        <v>367551.7816</v>
      </c>
      <c r="K43" s="5"/>
      <c r="L43" s="5" t="str">
        <f>IFERROR(__xludf.DUMMYFUNCTION("""COMPUTED_VALUE"""),"Limit Condition not met")</f>
        <v>Limit Condition not met</v>
      </c>
    </row>
    <row r="44">
      <c r="A44" s="86">
        <f>IFERROR(__xludf.DUMMYFUNCTION("""COMPUTED_VALUE"""),44617.0)</f>
        <v>44617</v>
      </c>
      <c r="B44" s="5" t="str">
        <f>IFERROR(__xludf.DUMMYFUNCTION("""COMPUTED_VALUE"""),"76796")</f>
        <v>76796</v>
      </c>
      <c r="C44" s="5" t="str">
        <f>IFERROR(__xludf.DUMMYFUNCTION("""COMPUTED_VALUE"""),"BUY (LONG)")</f>
        <v>BUY (LONG)</v>
      </c>
      <c r="D44" s="87" t="str">
        <f>IFERROR(__xludf.DUMMYFUNCTION("""COMPUTED_VALUE"""),"GOOGL")</f>
        <v>GOOGL</v>
      </c>
      <c r="E44" s="5"/>
      <c r="F44" s="5">
        <f>IFERROR(__xludf.DUMMYFUNCTION("""COMPUTED_VALUE"""),2689.19)</f>
        <v>2689.19</v>
      </c>
      <c r="G44" s="5">
        <f>IFERROR(__xludf.DUMMYFUNCTION("""COMPUTED_VALUE"""),100.0)</f>
        <v>100</v>
      </c>
      <c r="H44" s="142" t="str">
        <f>IFERROR(__xludf.DUMMYFUNCTION("""COMPUTED_VALUE"""),"")</f>
        <v/>
      </c>
      <c r="I44" s="22">
        <f>IFERROR(__xludf.DUMMYFUNCTION("""COMPUTED_VALUE"""),-2099825.775005)</f>
        <v>-2099825.775</v>
      </c>
      <c r="J44" s="22">
        <f>IFERROR(__xludf.DUMMYFUNCTION("""COMPUTED_VALUE"""),-1842300.3783550002)</f>
        <v>-1842300.378</v>
      </c>
      <c r="K44" s="5"/>
      <c r="L44" s="5" t="str">
        <f>IFERROR(__xludf.DUMMYFUNCTION("""COMPUTED_VALUE"""),"Insufficient Cash or Margin Balance")</f>
        <v>Insufficient Cash or Margin Balance</v>
      </c>
    </row>
    <row r="45">
      <c r="A45" s="86">
        <f>IFERROR(__xludf.DUMMYFUNCTION("""COMPUTED_VALUE"""),44617.0)</f>
        <v>44617</v>
      </c>
      <c r="B45" s="5" t="str">
        <f>IFERROR(__xludf.DUMMYFUNCTION("""COMPUTED_VALUE"""),"76848")</f>
        <v>76848</v>
      </c>
      <c r="C45" s="5" t="str">
        <f>IFERROR(__xludf.DUMMYFUNCTION("""COMPUTED_VALUE"""),"BUY (LONG)")</f>
        <v>BUY (LONG)</v>
      </c>
      <c r="D45" s="90" t="str">
        <f>IFERROR(__xludf.DUMMYFUNCTION("""COMPUTED_VALUE"""),"300157.SZ")</f>
        <v>300157.SZ</v>
      </c>
      <c r="E45" s="5">
        <f>IFERROR(__xludf.DUMMYFUNCTION("""COMPUTED_VALUE"""),4.5)</f>
        <v>4.5</v>
      </c>
      <c r="F45" s="5">
        <f>IFERROR(__xludf.DUMMYFUNCTION("""COMPUTED_VALUE"""),6.01)</f>
        <v>6.01</v>
      </c>
      <c r="G45" s="5">
        <f>IFERROR(__xludf.DUMMYFUNCTION("""COMPUTED_VALUE"""),500.0)</f>
        <v>500</v>
      </c>
      <c r="H45" s="142">
        <f>IFERROR(__xludf.DUMMYFUNCTION("""COMPUTED_VALUE"""),0.0)</f>
        <v>0</v>
      </c>
      <c r="I45" s="22">
        <f>IFERROR(__xludf.DUMMYFUNCTION("""COMPUTED_VALUE"""),0.0)</f>
        <v>0</v>
      </c>
      <c r="J45" s="22">
        <f>IFERROR(__xludf.DUMMYFUNCTION("""COMPUTED_VALUE"""),367551.7816354999)</f>
        <v>367551.7816</v>
      </c>
      <c r="K45" s="5"/>
      <c r="L45" s="5" t="str">
        <f>IFERROR(__xludf.DUMMYFUNCTION("""COMPUTED_VALUE"""),"Limit Condition not met")</f>
        <v>Limit Condition not met</v>
      </c>
    </row>
    <row r="46">
      <c r="A46" s="86">
        <f>IFERROR(__xludf.DUMMYFUNCTION("""COMPUTED_VALUE"""),44619.0)</f>
        <v>44619</v>
      </c>
      <c r="B46" s="5" t="str">
        <f>IFERROR(__xludf.DUMMYFUNCTION("""COMPUTED_VALUE"""),"37934")</f>
        <v>37934</v>
      </c>
      <c r="C46" s="5" t="str">
        <f>IFERROR(__xludf.DUMMYFUNCTION("""COMPUTED_VALUE"""),"BUY (LONG)")</f>
        <v>BUY (LONG)</v>
      </c>
      <c r="D46" s="90" t="str">
        <f>IFERROR(__xludf.DUMMYFUNCTION("""COMPUTED_VALUE"""),"9888.HK")</f>
        <v>9888.HK</v>
      </c>
      <c r="E46" s="5">
        <f>IFERROR(__xludf.DUMMYFUNCTION("""COMPUTED_VALUE"""),147.0)</f>
        <v>147</v>
      </c>
      <c r="F46" s="5">
        <f>IFERROR(__xludf.DUMMYFUNCTION("""COMPUTED_VALUE"""),147.4)</f>
        <v>147.4</v>
      </c>
      <c r="G46" s="5">
        <f>IFERROR(__xludf.DUMMYFUNCTION("""COMPUTED_VALUE"""),600.0)</f>
        <v>600</v>
      </c>
      <c r="H46" s="142">
        <f>IFERROR(__xludf.DUMMYFUNCTION("""COMPUTED_VALUE"""),0.0)</f>
        <v>0</v>
      </c>
      <c r="I46" s="22">
        <f>IFERROR(__xludf.DUMMYFUNCTION("""COMPUTED_VALUE"""),0.0)</f>
        <v>0</v>
      </c>
      <c r="J46" s="22">
        <f>IFERROR(__xludf.DUMMYFUNCTION("""COMPUTED_VALUE"""),472140.809)</f>
        <v>472140.809</v>
      </c>
      <c r="K46" s="5"/>
      <c r="L46" s="5" t="str">
        <f>IFERROR(__xludf.DUMMYFUNCTION("""COMPUTED_VALUE"""),"Limit Condition not met")</f>
        <v>Limit Condition not met</v>
      </c>
    </row>
    <row r="47">
      <c r="A47" s="86">
        <f>IFERROR(__xludf.DUMMYFUNCTION("""COMPUTED_VALUE"""),44620.0)</f>
        <v>44620</v>
      </c>
      <c r="B47" s="5" t="str">
        <f>IFERROR(__xludf.DUMMYFUNCTION("""COMPUTED_VALUE"""),"14626")</f>
        <v>14626</v>
      </c>
      <c r="C47" s="5" t="str">
        <f>IFERROR(__xludf.DUMMYFUNCTION("""COMPUTED_VALUE"""),"BUY (LONG)")</f>
        <v>BUY (LONG)</v>
      </c>
      <c r="D47" s="87" t="str">
        <f>IFERROR(__xludf.DUMMYFUNCTION("""COMPUTED_VALUE"""),"TSLA")</f>
        <v>TSLA</v>
      </c>
      <c r="E47" s="5">
        <f>IFERROR(__xludf.DUMMYFUNCTION("""COMPUTED_VALUE"""),800.0)</f>
        <v>800</v>
      </c>
      <c r="F47" s="5">
        <f>IFERROR(__xludf.DUMMYFUNCTION("""COMPUTED_VALUE"""),870.43)</f>
        <v>870.43</v>
      </c>
      <c r="G47" s="5">
        <f>IFERROR(__xludf.DUMMYFUNCTION("""COMPUTED_VALUE"""),18.0)</f>
        <v>18</v>
      </c>
      <c r="H47" s="142">
        <f>IFERROR(__xludf.DUMMYFUNCTION("""COMPUTED_VALUE"""),0.0)</f>
        <v>0</v>
      </c>
      <c r="I47" s="22">
        <f>IFERROR(__xludf.DUMMYFUNCTION("""COMPUTED_VALUE"""),0.0)</f>
        <v>0</v>
      </c>
      <c r="J47" s="22">
        <f>IFERROR(__xludf.DUMMYFUNCTION("""COMPUTED_VALUE"""),500000.0)</f>
        <v>500000</v>
      </c>
      <c r="K47" s="5"/>
      <c r="L47" s="5" t="str">
        <f>IFERROR(__xludf.DUMMYFUNCTION("""COMPUTED_VALUE"""),"Limit Condition not met")</f>
        <v>Limit Condition not met</v>
      </c>
    </row>
    <row r="48">
      <c r="A48" s="86">
        <f>IFERROR(__xludf.DUMMYFUNCTION("""COMPUTED_VALUE"""),44621.0)</f>
        <v>44621</v>
      </c>
      <c r="B48" s="5" t="str">
        <f>IFERROR(__xludf.DUMMYFUNCTION("""COMPUTED_VALUE"""),"82124")</f>
        <v>82124</v>
      </c>
      <c r="C48" s="5" t="str">
        <f>IFERROR(__xludf.DUMMYFUNCTION("""COMPUTED_VALUE"""),"BUY (LONG)")</f>
        <v>BUY (LONG)</v>
      </c>
      <c r="D48" s="90" t="str">
        <f>IFERROR(__xludf.DUMMYFUNCTION("""COMPUTED_VALUE"""),"2800.HK")</f>
        <v>2800.HK</v>
      </c>
      <c r="E48" s="5">
        <f>IFERROR(__xludf.DUMMYFUNCTION("""COMPUTED_VALUE"""),22.84)</f>
        <v>22.84</v>
      </c>
      <c r="F48" s="5">
        <f>IFERROR(__xludf.DUMMYFUNCTION("""COMPUTED_VALUE"""),22.88)</f>
        <v>22.88</v>
      </c>
      <c r="G48" s="5">
        <f>IFERROR(__xludf.DUMMYFUNCTION("""COMPUTED_VALUE"""),2000.0)</f>
        <v>2000</v>
      </c>
      <c r="H48" s="142">
        <f>IFERROR(__xludf.DUMMYFUNCTION("""COMPUTED_VALUE"""),0.0)</f>
        <v>0</v>
      </c>
      <c r="I48" s="22">
        <f>IFERROR(__xludf.DUMMYFUNCTION("""COMPUTED_VALUE"""),0.0)</f>
        <v>0</v>
      </c>
      <c r="J48" s="22">
        <f>IFERROR(__xludf.DUMMYFUNCTION("""COMPUTED_VALUE"""),419600.0)</f>
        <v>419600</v>
      </c>
      <c r="K48" s="5"/>
      <c r="L48" s="5" t="str">
        <f>IFERROR(__xludf.DUMMYFUNCTION("""COMPUTED_VALUE"""),"Limit Condition not met")</f>
        <v>Limit Condition not met</v>
      </c>
    </row>
    <row r="49">
      <c r="A49" s="86">
        <f>IFERROR(__xludf.DUMMYFUNCTION("""COMPUTED_VALUE"""),44621.0)</f>
        <v>44621</v>
      </c>
      <c r="B49" s="5" t="str">
        <f>IFERROR(__xludf.DUMMYFUNCTION("""COMPUTED_VALUE"""),"82124")</f>
        <v>82124</v>
      </c>
      <c r="C49" s="5" t="str">
        <f>IFERROR(__xludf.DUMMYFUNCTION("""COMPUTED_VALUE"""),"BUY (LONG)")</f>
        <v>BUY (LONG)</v>
      </c>
      <c r="D49" s="90" t="str">
        <f>IFERROR(__xludf.DUMMYFUNCTION("""COMPUTED_VALUE"""),"9988.HK")</f>
        <v>9988.HK</v>
      </c>
      <c r="E49" s="5">
        <f>IFERROR(__xludf.DUMMYFUNCTION("""COMPUTED_VALUE"""),102.0)</f>
        <v>102</v>
      </c>
      <c r="F49" s="5">
        <f>IFERROR(__xludf.DUMMYFUNCTION("""COMPUTED_VALUE"""),103.8)</f>
        <v>103.8</v>
      </c>
      <c r="G49" s="5">
        <f>IFERROR(__xludf.DUMMYFUNCTION("""COMPUTED_VALUE"""),300.0)</f>
        <v>300</v>
      </c>
      <c r="H49" s="142">
        <f>IFERROR(__xludf.DUMMYFUNCTION("""COMPUTED_VALUE"""),0.0)</f>
        <v>0</v>
      </c>
      <c r="I49" s="22">
        <f>IFERROR(__xludf.DUMMYFUNCTION("""COMPUTED_VALUE"""),0.0)</f>
        <v>0</v>
      </c>
      <c r="J49" s="22">
        <f>IFERROR(__xludf.DUMMYFUNCTION("""COMPUTED_VALUE"""),419600.0)</f>
        <v>419600</v>
      </c>
      <c r="K49" s="5"/>
      <c r="L49" s="5" t="str">
        <f>IFERROR(__xludf.DUMMYFUNCTION("""COMPUTED_VALUE"""),"Limit Condition not met")</f>
        <v>Limit Condition not met</v>
      </c>
    </row>
    <row r="50">
      <c r="A50" s="86">
        <f>IFERROR(__xludf.DUMMYFUNCTION("""COMPUTED_VALUE"""),44622.0)</f>
        <v>44622</v>
      </c>
      <c r="B50" s="5" t="str">
        <f>IFERROR(__xludf.DUMMYFUNCTION("""COMPUTED_VALUE"""),"79521")</f>
        <v>79521</v>
      </c>
      <c r="C50" s="5" t="str">
        <f>IFERROR(__xludf.DUMMYFUNCTION("""COMPUTED_VALUE"""),"BUY (LONG)")</f>
        <v>BUY (LONG)</v>
      </c>
      <c r="D50" s="87" t="str">
        <f>IFERROR(__xludf.DUMMYFUNCTION("""COMPUTED_VALUE"""),"AAPL")</f>
        <v>AAPL</v>
      </c>
      <c r="E50" s="5">
        <f>IFERROR(__xludf.DUMMYFUNCTION("""COMPUTED_VALUE"""),165.0)</f>
        <v>165</v>
      </c>
      <c r="F50" s="5">
        <f>IFERROR(__xludf.DUMMYFUNCTION("""COMPUTED_VALUE"""),166.56)</f>
        <v>166.56</v>
      </c>
      <c r="G50" s="5">
        <f>IFERROR(__xludf.DUMMYFUNCTION("""COMPUTED_VALUE"""),10.0)</f>
        <v>10</v>
      </c>
      <c r="H50" s="142">
        <f>IFERROR(__xludf.DUMMYFUNCTION("""COMPUTED_VALUE"""),0.0)</f>
        <v>0</v>
      </c>
      <c r="I50" s="22">
        <f>IFERROR(__xludf.DUMMYFUNCTION("""COMPUTED_VALUE"""),0.0)</f>
        <v>0</v>
      </c>
      <c r="J50" s="22">
        <f>IFERROR(__xludf.DUMMYFUNCTION("""COMPUTED_VALUE"""),500000.0)</f>
        <v>500000</v>
      </c>
      <c r="K50" s="5"/>
      <c r="L50" s="5" t="str">
        <f>IFERROR(__xludf.DUMMYFUNCTION("""COMPUTED_VALUE"""),"Limit Condition not met")</f>
        <v>Limit Condition not met</v>
      </c>
    </row>
    <row r="51">
      <c r="A51" s="86">
        <f>IFERROR(__xludf.DUMMYFUNCTION("""COMPUTED_VALUE"""),44623.0)</f>
        <v>44623</v>
      </c>
      <c r="B51" s="5" t="str">
        <f>IFERROR(__xludf.DUMMYFUNCTION("""COMPUTED_VALUE"""),"38209")</f>
        <v>38209</v>
      </c>
      <c r="C51" s="5" t="str">
        <f>IFERROR(__xludf.DUMMYFUNCTION("""COMPUTED_VALUE"""),"SELL (SHORT)")</f>
        <v>SELL (SHORT)</v>
      </c>
      <c r="D51" s="90" t="str">
        <f>IFERROR(__xludf.DUMMYFUNCTION("""COMPUTED_VALUE"""),"1810.HK")</f>
        <v>1810.HK</v>
      </c>
      <c r="E51" s="5">
        <f>IFERROR(__xludf.DUMMYFUNCTION("""COMPUTED_VALUE"""),14.75)</f>
        <v>14.75</v>
      </c>
      <c r="F51" s="5">
        <f>IFERROR(__xludf.DUMMYFUNCTION("""COMPUTED_VALUE"""),14.72)</f>
        <v>14.72</v>
      </c>
      <c r="G51" s="5">
        <f>IFERROR(__xludf.DUMMYFUNCTION("""COMPUTED_VALUE"""),1000.0)</f>
        <v>1000</v>
      </c>
      <c r="H51" s="142">
        <f>IFERROR(__xludf.DUMMYFUNCTION("""COMPUTED_VALUE"""),0.0)</f>
        <v>0</v>
      </c>
      <c r="I51" s="22">
        <f>IFERROR(__xludf.DUMMYFUNCTION("""COMPUTED_VALUE"""),0.0)</f>
        <v>0</v>
      </c>
      <c r="J51" s="22">
        <f>IFERROR(__xludf.DUMMYFUNCTION("""COMPUTED_VALUE"""),500000.0)</f>
        <v>500000</v>
      </c>
      <c r="K51" s="5"/>
      <c r="L51" s="5" t="str">
        <f>IFERROR(__xludf.DUMMYFUNCTION("""COMPUTED_VALUE"""),"Limit Condition not met")</f>
        <v>Limit Condition not met</v>
      </c>
    </row>
    <row r="52">
      <c r="A52" s="86">
        <f>IFERROR(__xludf.DUMMYFUNCTION("""COMPUTED_VALUE"""),44623.0)</f>
        <v>44623</v>
      </c>
      <c r="B52" s="5" t="str">
        <f>IFERROR(__xludf.DUMMYFUNCTION("""COMPUTED_VALUE"""),"39776")</f>
        <v>39776</v>
      </c>
      <c r="C52" s="5" t="str">
        <f>IFERROR(__xludf.DUMMYFUNCTION("""COMPUTED_VALUE"""),"BUY (LONG)")</f>
        <v>BUY (LONG)</v>
      </c>
      <c r="D52" s="90" t="str">
        <f>IFERROR(__xludf.DUMMYFUNCTION("""COMPUTED_VALUE"""),"1208.HK")</f>
        <v>1208.HK</v>
      </c>
      <c r="E52" s="5">
        <f>IFERROR(__xludf.DUMMYFUNCTION("""COMPUTED_VALUE"""),3.16)</f>
        <v>3.16</v>
      </c>
      <c r="F52" s="5">
        <f>IFERROR(__xludf.DUMMYFUNCTION("""COMPUTED_VALUE"""),3.25)</f>
        <v>3.25</v>
      </c>
      <c r="G52" s="5">
        <f>IFERROR(__xludf.DUMMYFUNCTION("""COMPUTED_VALUE"""),10000.0)</f>
        <v>10000</v>
      </c>
      <c r="H52" s="142">
        <f>IFERROR(__xludf.DUMMYFUNCTION("""COMPUTED_VALUE"""),0.0)</f>
        <v>0</v>
      </c>
      <c r="I52" s="22">
        <f>IFERROR(__xludf.DUMMYFUNCTION("""COMPUTED_VALUE"""),0.0)</f>
        <v>0</v>
      </c>
      <c r="J52" s="22">
        <f>IFERROR(__xludf.DUMMYFUNCTION("""COMPUTED_VALUE"""),500000.0)</f>
        <v>500000</v>
      </c>
      <c r="K52" s="5"/>
      <c r="L52" s="5" t="str">
        <f>IFERROR(__xludf.DUMMYFUNCTION("""COMPUTED_VALUE"""),"Limit Condition not met")</f>
        <v>Limit Condition not met</v>
      </c>
    </row>
    <row r="53">
      <c r="A53" s="86">
        <f>IFERROR(__xludf.DUMMYFUNCTION("""COMPUTED_VALUE"""),44623.0)</f>
        <v>44623</v>
      </c>
      <c r="B53" s="5" t="str">
        <f>IFERROR(__xludf.DUMMYFUNCTION("""COMPUTED_VALUE"""),"39776")</f>
        <v>39776</v>
      </c>
      <c r="C53" s="5" t="str">
        <f>IFERROR(__xludf.DUMMYFUNCTION("""COMPUTED_VALUE"""),"BUY (LONG)")</f>
        <v>BUY (LONG)</v>
      </c>
      <c r="D53" s="90" t="str">
        <f>IFERROR(__xludf.DUMMYFUNCTION("""COMPUTED_VALUE"""),"3800.hk")</f>
        <v>3800.hk</v>
      </c>
      <c r="E53" s="5">
        <f>IFERROR(__xludf.DUMMYFUNCTION("""COMPUTED_VALUE"""),2.93)</f>
        <v>2.93</v>
      </c>
      <c r="F53" s="5">
        <f>IFERROR(__xludf.DUMMYFUNCTION("""COMPUTED_VALUE"""),2.97)</f>
        <v>2.97</v>
      </c>
      <c r="G53" s="5">
        <f>IFERROR(__xludf.DUMMYFUNCTION("""COMPUTED_VALUE"""),12000.0)</f>
        <v>12000</v>
      </c>
      <c r="H53" s="142">
        <f>IFERROR(__xludf.DUMMYFUNCTION("""COMPUTED_VALUE"""),0.0)</f>
        <v>0</v>
      </c>
      <c r="I53" s="22">
        <f>IFERROR(__xludf.DUMMYFUNCTION("""COMPUTED_VALUE"""),0.0)</f>
        <v>0</v>
      </c>
      <c r="J53" s="22">
        <f>IFERROR(__xludf.DUMMYFUNCTION("""COMPUTED_VALUE"""),500000.0)</f>
        <v>500000</v>
      </c>
      <c r="K53" s="5"/>
      <c r="L53" s="5" t="str">
        <f>IFERROR(__xludf.DUMMYFUNCTION("""COMPUTED_VALUE"""),"Limit Condition not met")</f>
        <v>Limit Condition not met</v>
      </c>
    </row>
    <row r="54">
      <c r="A54" s="86">
        <f>IFERROR(__xludf.DUMMYFUNCTION("""COMPUTED_VALUE"""),44623.0)</f>
        <v>44623</v>
      </c>
      <c r="B54" s="5" t="str">
        <f>IFERROR(__xludf.DUMMYFUNCTION("""COMPUTED_VALUE"""),"39776")</f>
        <v>39776</v>
      </c>
      <c r="C54" s="5" t="str">
        <f>IFERROR(__xludf.DUMMYFUNCTION("""COMPUTED_VALUE"""),"BUY (LONG)")</f>
        <v>BUY (LONG)</v>
      </c>
      <c r="D54" s="90" t="str">
        <f>IFERROR(__xludf.DUMMYFUNCTION("""COMPUTED_VALUE"""),"3800.hk")</f>
        <v>3800.hk</v>
      </c>
      <c r="E54" s="5"/>
      <c r="F54" s="5"/>
      <c r="G54" s="5">
        <f>IFERROR(__xludf.DUMMYFUNCTION("""COMPUTED_VALUE"""),15000.0)</f>
        <v>15000</v>
      </c>
      <c r="H54" s="142">
        <f>IFERROR(__xludf.DUMMYFUNCTION("""COMPUTED_VALUE"""),0.0)</f>
        <v>0</v>
      </c>
      <c r="I54" s="22">
        <f>IFERROR(__xludf.DUMMYFUNCTION("""COMPUTED_VALUE"""),0.0)</f>
        <v>0</v>
      </c>
      <c r="J54" s="22">
        <f>IFERROR(__xludf.DUMMYFUNCTION("""COMPUTED_VALUE"""),500000.0)</f>
        <v>500000</v>
      </c>
      <c r="K54" s="5"/>
      <c r="L54" s="5" t="str">
        <f>IFERROR(__xludf.DUMMYFUNCTION("""COMPUTED_VALUE"""),"Insufficient Cash or Margin Balance")</f>
        <v>Insufficient Cash or Margin Balance</v>
      </c>
    </row>
    <row r="55">
      <c r="A55" s="86">
        <f>IFERROR(__xludf.DUMMYFUNCTION("""COMPUTED_VALUE"""),44623.0)</f>
        <v>44623</v>
      </c>
      <c r="B55" s="5" t="str">
        <f>IFERROR(__xludf.DUMMYFUNCTION("""COMPUTED_VALUE"""),"89750")</f>
        <v>89750</v>
      </c>
      <c r="C55" s="5" t="str">
        <f>IFERROR(__xludf.DUMMYFUNCTION("""COMPUTED_VALUE"""),"BUY (LONG)")</f>
        <v>BUY (LONG)</v>
      </c>
      <c r="D55" s="87" t="str">
        <f>IFERROR(__xludf.DUMMYFUNCTION("""COMPUTED_VALUE"""),"TQQQ220311P00057500")</f>
        <v>TQQQ220311P00057500</v>
      </c>
      <c r="E55" s="5">
        <f>IFERROR(__xludf.DUMMYFUNCTION("""COMPUTED_VALUE"""),4.84)</f>
        <v>4.84</v>
      </c>
      <c r="F55" s="5" t="str">
        <f>IFERROR(__xludf.DUMMYFUNCTION("""COMPUTED_VALUE""")," ")</f>
        <v> </v>
      </c>
      <c r="G55" s="5">
        <f>IFERROR(__xludf.DUMMYFUNCTION("""COMPUTED_VALUE"""),10.0)</f>
        <v>10</v>
      </c>
      <c r="H55" s="142">
        <f>IFERROR(__xludf.DUMMYFUNCTION("""COMPUTED_VALUE"""),0.0)</f>
        <v>0</v>
      </c>
      <c r="I55" s="22">
        <f>IFERROR(__xludf.DUMMYFUNCTION("""COMPUTED_VALUE"""),0.0)</f>
        <v>0</v>
      </c>
      <c r="J55" s="22">
        <f>IFERROR(__xludf.DUMMYFUNCTION("""COMPUTED_VALUE"""),-55177.78577100009)</f>
        <v>-55177.78577</v>
      </c>
      <c r="K55" s="5"/>
      <c r="L55" s="5" t="str">
        <f>IFERROR(__xludf.DUMMYFUNCTION("""COMPUTED_VALUE"""),"Limit Condition not met")</f>
        <v>Limit Condition not met</v>
      </c>
    </row>
    <row r="56">
      <c r="A56" s="86">
        <f>IFERROR(__xludf.DUMMYFUNCTION("""COMPUTED_VALUE"""),44624.0)</f>
        <v>44624</v>
      </c>
      <c r="B56" s="5" t="str">
        <f>IFERROR(__xludf.DUMMYFUNCTION("""COMPUTED_VALUE"""),"46220")</f>
        <v>46220</v>
      </c>
      <c r="C56" s="5" t="str">
        <f>IFERROR(__xludf.DUMMYFUNCTION("""COMPUTED_VALUE"""),"BUY (LONG)")</f>
        <v>BUY (LONG)</v>
      </c>
      <c r="D56" s="90" t="str">
        <f>IFERROR(__xludf.DUMMYFUNCTION("""COMPUTED_VALUE"""),"9988.HK")</f>
        <v>9988.HK</v>
      </c>
      <c r="E56" s="5"/>
      <c r="F56" s="5">
        <f>IFERROR(__xludf.DUMMYFUNCTION("""COMPUTED_VALUE"""),99.0)</f>
        <v>99</v>
      </c>
      <c r="G56" s="5">
        <f>IFERROR(__xludf.DUMMYFUNCTION("""COMPUTED_VALUE"""),2000.0)</f>
        <v>2000</v>
      </c>
      <c r="H56" s="142" t="str">
        <f>IFERROR(__xludf.DUMMYFUNCTION("""COMPUTED_VALUE"""),"")</f>
        <v/>
      </c>
      <c r="I56" s="22">
        <f>IFERROR(__xludf.DUMMYFUNCTION("""COMPUTED_VALUE"""),-198000.0)</f>
        <v>-198000</v>
      </c>
      <c r="J56" s="22">
        <f>IFERROR(__xludf.DUMMYFUNCTION("""COMPUTED_VALUE"""),-398102.953082)</f>
        <v>-398102.9531</v>
      </c>
      <c r="K56" s="5"/>
      <c r="L56" s="5" t="str">
        <f>IFERROR(__xludf.DUMMYFUNCTION("""COMPUTED_VALUE"""),"Insufficient Cash or Margin Balance")</f>
        <v>Insufficient Cash or Margin Balance</v>
      </c>
    </row>
    <row r="57">
      <c r="A57" s="86">
        <f>IFERROR(__xludf.DUMMYFUNCTION("""COMPUTED_VALUE"""),44624.0)</f>
        <v>44624</v>
      </c>
      <c r="B57" s="5" t="str">
        <f>IFERROR(__xludf.DUMMYFUNCTION("""COMPUTED_VALUE"""),"74356")</f>
        <v>74356</v>
      </c>
      <c r="C57" s="5" t="str">
        <f>IFERROR(__xludf.DUMMYFUNCTION("""COMPUTED_VALUE"""),"BUY (LONG)")</f>
        <v>BUY (LONG)</v>
      </c>
      <c r="D57" s="87" t="str">
        <f>IFERROR(__xludf.DUMMYFUNCTION("""COMPUTED_VALUE"""),"BRK-B")</f>
        <v>BRK-B</v>
      </c>
      <c r="E57" s="5">
        <f>IFERROR(__xludf.DUMMYFUNCTION("""COMPUTED_VALUE"""),324.0)</f>
        <v>324</v>
      </c>
      <c r="F57" s="5">
        <f>IFERROR(__xludf.DUMMYFUNCTION("""COMPUTED_VALUE"""),325.34)</f>
        <v>325.34</v>
      </c>
      <c r="G57" s="5">
        <f>IFERROR(__xludf.DUMMYFUNCTION("""COMPUTED_VALUE"""),40.0)</f>
        <v>40</v>
      </c>
      <c r="H57" s="142">
        <f>IFERROR(__xludf.DUMMYFUNCTION("""COMPUTED_VALUE"""),0.0)</f>
        <v>0</v>
      </c>
      <c r="I57" s="22">
        <f>IFERROR(__xludf.DUMMYFUNCTION("""COMPUTED_VALUE"""),0.0)</f>
        <v>0</v>
      </c>
      <c r="J57" s="22">
        <f>IFERROR(__xludf.DUMMYFUNCTION("""COMPUTED_VALUE"""),359666.3916874999)</f>
        <v>359666.3917</v>
      </c>
      <c r="K57" s="5"/>
      <c r="L57" s="5" t="str">
        <f>IFERROR(__xludf.DUMMYFUNCTION("""COMPUTED_VALUE"""),"Limit Condition not met")</f>
        <v>Limit Condition not met</v>
      </c>
    </row>
    <row r="58">
      <c r="A58" s="86">
        <f>IFERROR(__xludf.DUMMYFUNCTION("""COMPUTED_VALUE"""),44624.0)</f>
        <v>44624</v>
      </c>
      <c r="B58" s="5" t="str">
        <f>IFERROR(__xludf.DUMMYFUNCTION("""COMPUTED_VALUE"""),"74356")</f>
        <v>74356</v>
      </c>
      <c r="C58" s="5" t="str">
        <f>IFERROR(__xludf.DUMMYFUNCTION("""COMPUTED_VALUE"""),"SELL (SHORT)")</f>
        <v>SELL (SHORT)</v>
      </c>
      <c r="D58" s="87" t="str">
        <f>IFERROR(__xludf.DUMMYFUNCTION("""COMPUTED_VALUE"""),"AMAT")</f>
        <v>AMAT</v>
      </c>
      <c r="E58" s="5">
        <f>IFERROR(__xludf.DUMMYFUNCTION("""COMPUTED_VALUE"""),136.0)</f>
        <v>136</v>
      </c>
      <c r="F58" s="5">
        <f>IFERROR(__xludf.DUMMYFUNCTION("""COMPUTED_VALUE"""),125.74)</f>
        <v>125.74</v>
      </c>
      <c r="G58" s="5">
        <f>IFERROR(__xludf.DUMMYFUNCTION("""COMPUTED_VALUE"""),50.0)</f>
        <v>50</v>
      </c>
      <c r="H58" s="142">
        <f>IFERROR(__xludf.DUMMYFUNCTION("""COMPUTED_VALUE"""),0.0)</f>
        <v>0</v>
      </c>
      <c r="I58" s="22">
        <f>IFERROR(__xludf.DUMMYFUNCTION("""COMPUTED_VALUE"""),0.0)</f>
        <v>0</v>
      </c>
      <c r="J58" s="22">
        <f>IFERROR(__xludf.DUMMYFUNCTION("""COMPUTED_VALUE"""),359666.3916874999)</f>
        <v>359666.3917</v>
      </c>
      <c r="K58" s="5"/>
      <c r="L58" s="5" t="str">
        <f>IFERROR(__xludf.DUMMYFUNCTION("""COMPUTED_VALUE"""),"Limit Condition not met")</f>
        <v>Limit Condition not met</v>
      </c>
    </row>
    <row r="59">
      <c r="A59" s="86">
        <f>IFERROR(__xludf.DUMMYFUNCTION("""COMPUTED_VALUE"""),44624.0)</f>
        <v>44624</v>
      </c>
      <c r="B59" s="5" t="str">
        <f>IFERROR(__xludf.DUMMYFUNCTION("""COMPUTED_VALUE"""),"76848")</f>
        <v>76848</v>
      </c>
      <c r="C59" s="5" t="str">
        <f>IFERROR(__xludf.DUMMYFUNCTION("""COMPUTED_VALUE"""),"SELL (SHORT)")</f>
        <v>SELL (SHORT)</v>
      </c>
      <c r="D59" s="87" t="str">
        <f>IFERROR(__xludf.DUMMYFUNCTION("""COMPUTED_VALUE"""),"AMAT")</f>
        <v>AMAT</v>
      </c>
      <c r="E59" s="5">
        <f>IFERROR(__xludf.DUMMYFUNCTION("""COMPUTED_VALUE"""),136.0)</f>
        <v>136</v>
      </c>
      <c r="F59" s="5">
        <f>IFERROR(__xludf.DUMMYFUNCTION("""COMPUTED_VALUE"""),125.74)</f>
        <v>125.74</v>
      </c>
      <c r="G59" s="5">
        <f>IFERROR(__xludf.DUMMYFUNCTION("""COMPUTED_VALUE"""),50.0)</f>
        <v>50</v>
      </c>
      <c r="H59" s="142">
        <f>IFERROR(__xludf.DUMMYFUNCTION("""COMPUTED_VALUE"""),0.0)</f>
        <v>0</v>
      </c>
      <c r="I59" s="22">
        <f>IFERROR(__xludf.DUMMYFUNCTION("""COMPUTED_VALUE"""),0.0)</f>
        <v>0</v>
      </c>
      <c r="J59" s="22">
        <f>IFERROR(__xludf.DUMMYFUNCTION("""COMPUTED_VALUE"""),367551.7816354999)</f>
        <v>367551.7816</v>
      </c>
      <c r="K59" s="5"/>
      <c r="L59" s="5" t="str">
        <f>IFERROR(__xludf.DUMMYFUNCTION("""COMPUTED_VALUE"""),"Limit Condition not met")</f>
        <v>Limit Condition not met</v>
      </c>
    </row>
    <row r="60">
      <c r="A60" s="86">
        <f>IFERROR(__xludf.DUMMYFUNCTION("""COMPUTED_VALUE"""),44627.0)</f>
        <v>44627</v>
      </c>
      <c r="B60" s="5" t="str">
        <f>IFERROR(__xludf.DUMMYFUNCTION("""COMPUTED_VALUE"""),"35577")</f>
        <v>35577</v>
      </c>
      <c r="C60" s="5" t="str">
        <f>IFERROR(__xludf.DUMMYFUNCTION("""COMPUTED_VALUE"""),"BUY (LONG)")</f>
        <v>BUY (LONG)</v>
      </c>
      <c r="D60" s="87" t="str">
        <f>IFERROR(__xludf.DUMMYFUNCTION("""COMPUTED_VALUE"""),"WMT")</f>
        <v>WMT</v>
      </c>
      <c r="E60" s="5">
        <f>IFERROR(__xludf.DUMMYFUNCTION("""COMPUTED_VALUE"""),140.99)</f>
        <v>140.99</v>
      </c>
      <c r="F60" s="5">
        <f>IFERROR(__xludf.DUMMYFUNCTION("""COMPUTED_VALUE"""),141.67)</f>
        <v>141.67</v>
      </c>
      <c r="G60" s="5">
        <f>IFERROR(__xludf.DUMMYFUNCTION("""COMPUTED_VALUE"""),13.0)</f>
        <v>13</v>
      </c>
      <c r="H60" s="142">
        <f>IFERROR(__xludf.DUMMYFUNCTION("""COMPUTED_VALUE"""),0.0)</f>
        <v>0</v>
      </c>
      <c r="I60" s="22">
        <f>IFERROR(__xludf.DUMMYFUNCTION("""COMPUTED_VALUE"""),0.0)</f>
        <v>0</v>
      </c>
      <c r="J60" s="22">
        <f>IFERROR(__xludf.DUMMYFUNCTION("""COMPUTED_VALUE"""),382989.30095295)</f>
        <v>382989.301</v>
      </c>
      <c r="K60" s="5"/>
      <c r="L60" s="5" t="str">
        <f>IFERROR(__xludf.DUMMYFUNCTION("""COMPUTED_VALUE"""),"Limit Condition not met")</f>
        <v>Limit Condition not met</v>
      </c>
    </row>
    <row r="61">
      <c r="A61" s="86">
        <f>IFERROR(__xludf.DUMMYFUNCTION("""COMPUTED_VALUE"""),44627.0)</f>
        <v>44627</v>
      </c>
      <c r="B61" s="5" t="str">
        <f>IFERROR(__xludf.DUMMYFUNCTION("""COMPUTED_VALUE"""),"38209")</f>
        <v>38209</v>
      </c>
      <c r="C61" s="5" t="str">
        <f>IFERROR(__xludf.DUMMYFUNCTION("""COMPUTED_VALUE"""),"BUY (LONG)")</f>
        <v>BUY (LONG)</v>
      </c>
      <c r="D61" s="90" t="str">
        <f>IFERROR(__xludf.DUMMYFUNCTION("""COMPUTED_VALUE"""),"1024.HK")</f>
        <v>1024.HK</v>
      </c>
      <c r="E61" s="5">
        <f>IFERROR(__xludf.DUMMYFUNCTION("""COMPUTED_VALUE"""),75.3)</f>
        <v>75.3</v>
      </c>
      <c r="F61" s="5">
        <f>IFERROR(__xludf.DUMMYFUNCTION("""COMPUTED_VALUE"""),75.45)</f>
        <v>75.45</v>
      </c>
      <c r="G61" s="5">
        <f>IFERROR(__xludf.DUMMYFUNCTION("""COMPUTED_VALUE"""),200.0)</f>
        <v>200</v>
      </c>
      <c r="H61" s="142">
        <f>IFERROR(__xludf.DUMMYFUNCTION("""COMPUTED_VALUE"""),0.0)</f>
        <v>0</v>
      </c>
      <c r="I61" s="22">
        <f>IFERROR(__xludf.DUMMYFUNCTION("""COMPUTED_VALUE"""),0.0)</f>
        <v>0</v>
      </c>
      <c r="J61" s="22">
        <f>IFERROR(__xludf.DUMMYFUNCTION("""COMPUTED_VALUE"""),441310.0)</f>
        <v>441310</v>
      </c>
      <c r="K61" s="5"/>
      <c r="L61" s="5" t="str">
        <f>IFERROR(__xludf.DUMMYFUNCTION("""COMPUTED_VALUE"""),"Limit Condition not met")</f>
        <v>Limit Condition not met</v>
      </c>
    </row>
    <row r="62">
      <c r="A62" s="86">
        <f>IFERROR(__xludf.DUMMYFUNCTION("""COMPUTED_VALUE"""),44627.0)</f>
        <v>44627</v>
      </c>
      <c r="B62" s="5" t="str">
        <f>IFERROR(__xludf.DUMMYFUNCTION("""COMPUTED_VALUE"""),"89750")</f>
        <v>89750</v>
      </c>
      <c r="C62" s="5" t="str">
        <f>IFERROR(__xludf.DUMMYFUNCTION("""COMPUTED_VALUE"""),"SELL (SHORT)")</f>
        <v>SELL (SHORT)</v>
      </c>
      <c r="D62" s="87" t="str">
        <f>IFERROR(__xludf.DUMMYFUNCTION("""COMPUTED_VALUE"""),"NU220414C00009000")</f>
        <v>NU220414C00009000</v>
      </c>
      <c r="E62" s="5">
        <f>IFERROR(__xludf.DUMMYFUNCTION("""COMPUTED_VALUE"""),0.22)</f>
        <v>0.22</v>
      </c>
      <c r="F62" s="5" t="str">
        <f>IFERROR(__xludf.DUMMYFUNCTION("""COMPUTED_VALUE""")," ")</f>
        <v> </v>
      </c>
      <c r="G62" s="5">
        <f>IFERROR(__xludf.DUMMYFUNCTION("""COMPUTED_VALUE"""),200.0)</f>
        <v>200</v>
      </c>
      <c r="H62" s="142">
        <f>IFERROR(__xludf.DUMMYFUNCTION("""COMPUTED_VALUE"""),0.0)</f>
        <v>0</v>
      </c>
      <c r="I62" s="22">
        <f>IFERROR(__xludf.DUMMYFUNCTION("""COMPUTED_VALUE"""),0.0)</f>
        <v>0</v>
      </c>
      <c r="J62" s="22">
        <f>IFERROR(__xludf.DUMMYFUNCTION("""COMPUTED_VALUE"""),31674.56072899992)</f>
        <v>31674.56073</v>
      </c>
      <c r="K62" s="5"/>
      <c r="L62" s="5" t="str">
        <f>IFERROR(__xludf.DUMMYFUNCTION("""COMPUTED_VALUE"""),"Limit Condition not met")</f>
        <v>Limit Condition not met</v>
      </c>
    </row>
    <row r="63">
      <c r="A63" s="86">
        <f>IFERROR(__xludf.DUMMYFUNCTION("""COMPUTED_VALUE"""),44628.0)</f>
        <v>44628</v>
      </c>
      <c r="B63" s="5" t="str">
        <f>IFERROR(__xludf.DUMMYFUNCTION("""COMPUTED_VALUE"""),"46322")</f>
        <v>46322</v>
      </c>
      <c r="C63" s="5" t="str">
        <f>IFERROR(__xludf.DUMMYFUNCTION("""COMPUTED_VALUE"""),"BUY (LONG)")</f>
        <v>BUY (LONG)</v>
      </c>
      <c r="D63" s="90" t="str">
        <f>IFERROR(__xludf.DUMMYFUNCTION("""COMPUTED_VALUE"""),"9988.HK")</f>
        <v>9988.HK</v>
      </c>
      <c r="E63" s="5"/>
      <c r="F63" s="5">
        <f>IFERROR(__xludf.DUMMYFUNCTION("""COMPUTED_VALUE"""),96.0)</f>
        <v>96</v>
      </c>
      <c r="G63" s="5">
        <f>IFERROR(__xludf.DUMMYFUNCTION("""COMPUTED_VALUE"""),10000.0)</f>
        <v>10000</v>
      </c>
      <c r="H63" s="142" t="str">
        <f>IFERROR(__xludf.DUMMYFUNCTION("""COMPUTED_VALUE"""),"")</f>
        <v/>
      </c>
      <c r="I63" s="22">
        <f>IFERROR(__xludf.DUMMYFUNCTION("""COMPUTED_VALUE"""),-960000.0)</f>
        <v>-960000</v>
      </c>
      <c r="J63" s="22">
        <f>IFERROR(__xludf.DUMMYFUNCTION("""COMPUTED_VALUE"""),-669480.5366499999)</f>
        <v>-669480.5367</v>
      </c>
      <c r="K63" s="5"/>
      <c r="L63" s="5" t="str">
        <f>IFERROR(__xludf.DUMMYFUNCTION("""COMPUTED_VALUE"""),"Insufficient Cash or Margin Balance")</f>
        <v>Insufficient Cash or Margin Balance</v>
      </c>
    </row>
    <row r="64">
      <c r="A64" s="86">
        <f>IFERROR(__xludf.DUMMYFUNCTION("""COMPUTED_VALUE"""),44628.0)</f>
        <v>44628</v>
      </c>
      <c r="B64" s="5" t="str">
        <f>IFERROR(__xludf.DUMMYFUNCTION("""COMPUTED_VALUE"""),"46322")</f>
        <v>46322</v>
      </c>
      <c r="C64" s="5" t="str">
        <f>IFERROR(__xludf.DUMMYFUNCTION("""COMPUTED_VALUE"""),"BUY (LONG)")</f>
        <v>BUY (LONG)</v>
      </c>
      <c r="D64" s="87" t="str">
        <f>IFERROR(__xludf.DUMMYFUNCTION("""COMPUTED_VALUE"""),"NET")</f>
        <v>NET</v>
      </c>
      <c r="E64" s="5"/>
      <c r="F64" s="5"/>
      <c r="G64" s="5">
        <f>IFERROR(__xludf.DUMMYFUNCTION("""COMPUTED_VALUE"""),200.0)</f>
        <v>200</v>
      </c>
      <c r="H64" s="142">
        <f>IFERROR(__xludf.DUMMYFUNCTION("""COMPUTED_VALUE"""),0.0)</f>
        <v>0</v>
      </c>
      <c r="I64" s="22">
        <f>IFERROR(__xludf.DUMMYFUNCTION("""COMPUTED_VALUE"""),0.0)</f>
        <v>0</v>
      </c>
      <c r="J64" s="22">
        <f>IFERROR(__xludf.DUMMYFUNCTION("""COMPUTED_VALUE"""),290519.46335000003)</f>
        <v>290519.4634</v>
      </c>
      <c r="K64" s="5"/>
      <c r="L64" s="5" t="str">
        <f>IFERROR(__xludf.DUMMYFUNCTION("""COMPUTED_VALUE"""),"Insufficient Cash or Margin Balance")</f>
        <v>Insufficient Cash or Margin Balance</v>
      </c>
    </row>
    <row r="65">
      <c r="A65" s="86">
        <f>IFERROR(__xludf.DUMMYFUNCTION("""COMPUTED_VALUE"""),44628.0)</f>
        <v>44628</v>
      </c>
      <c r="B65" s="5" t="str">
        <f>IFERROR(__xludf.DUMMYFUNCTION("""COMPUTED_VALUE"""),"46876")</f>
        <v>46876</v>
      </c>
      <c r="C65" s="5" t="str">
        <f>IFERROR(__xludf.DUMMYFUNCTION("""COMPUTED_VALUE"""),"BUY (LONG)")</f>
        <v>BUY (LONG)</v>
      </c>
      <c r="D65" s="87" t="str">
        <f>IFERROR(__xludf.DUMMYFUNCTION("""COMPUTED_VALUE"""),"FSR")</f>
        <v>FSR</v>
      </c>
      <c r="E65" s="5">
        <f>IFERROR(__xludf.DUMMYFUNCTION("""COMPUTED_VALUE"""),10.85)</f>
        <v>10.85</v>
      </c>
      <c r="F65" s="5">
        <f>IFERROR(__xludf.DUMMYFUNCTION("""COMPUTED_VALUE"""),10.89)</f>
        <v>10.89</v>
      </c>
      <c r="G65" s="5">
        <f>IFERROR(__xludf.DUMMYFUNCTION("""COMPUTED_VALUE"""),40000.0)</f>
        <v>40000</v>
      </c>
      <c r="H65" s="142">
        <f>IFERROR(__xludf.DUMMYFUNCTION("""COMPUTED_VALUE"""),0.0)</f>
        <v>0</v>
      </c>
      <c r="I65" s="22">
        <f>IFERROR(__xludf.DUMMYFUNCTION("""COMPUTED_VALUE"""),0.0)</f>
        <v>0</v>
      </c>
      <c r="J65" s="22">
        <f>IFERROR(__xludf.DUMMYFUNCTION("""COMPUTED_VALUE"""),500000.0)</f>
        <v>500000</v>
      </c>
      <c r="K65" s="5"/>
      <c r="L65" s="5" t="str">
        <f>IFERROR(__xludf.DUMMYFUNCTION("""COMPUTED_VALUE"""),"Limit Condition not met")</f>
        <v>Limit Condition not met</v>
      </c>
    </row>
    <row r="66">
      <c r="A66" s="86">
        <f>IFERROR(__xludf.DUMMYFUNCTION("""COMPUTED_VALUE"""),44628.0)</f>
        <v>44628</v>
      </c>
      <c r="B66" s="5" t="str">
        <f>IFERROR(__xludf.DUMMYFUNCTION("""COMPUTED_VALUE"""),"79521")</f>
        <v>79521</v>
      </c>
      <c r="C66" s="5" t="str">
        <f>IFERROR(__xludf.DUMMYFUNCTION("""COMPUTED_VALUE"""),"BUY (LONG)")</f>
        <v>BUY (LONG)</v>
      </c>
      <c r="D66" s="87" t="str">
        <f>IFERROR(__xludf.DUMMYFUNCTION("""COMPUTED_VALUE"""),"AAPL")</f>
        <v>AAPL</v>
      </c>
      <c r="E66" s="5">
        <f>IFERROR(__xludf.DUMMYFUNCTION("""COMPUTED_VALUE"""),158.0)</f>
        <v>158</v>
      </c>
      <c r="F66" s="5">
        <f>IFERROR(__xludf.DUMMYFUNCTION("""COMPUTED_VALUE"""),159.3)</f>
        <v>159.3</v>
      </c>
      <c r="G66" s="5">
        <f>IFERROR(__xludf.DUMMYFUNCTION("""COMPUTED_VALUE"""),290.0)</f>
        <v>290</v>
      </c>
      <c r="H66" s="142">
        <f>IFERROR(__xludf.DUMMYFUNCTION("""COMPUTED_VALUE"""),0.0)</f>
        <v>0</v>
      </c>
      <c r="I66" s="22">
        <f>IFERROR(__xludf.DUMMYFUNCTION("""COMPUTED_VALUE"""),0.0)</f>
        <v>0</v>
      </c>
      <c r="J66" s="22">
        <f>IFERROR(__xludf.DUMMYFUNCTION("""COMPUTED_VALUE"""),8098.343375000026)</f>
        <v>8098.343375</v>
      </c>
      <c r="K66" s="5"/>
      <c r="L66" s="5" t="str">
        <f>IFERROR(__xludf.DUMMYFUNCTION("""COMPUTED_VALUE"""),"Limit Condition not met")</f>
        <v>Limit Condition not met</v>
      </c>
    </row>
    <row r="67">
      <c r="A67" s="86">
        <f>IFERROR(__xludf.DUMMYFUNCTION("""COMPUTED_VALUE"""),44629.0)</f>
        <v>44629</v>
      </c>
      <c r="B67" s="5" t="str">
        <f>IFERROR(__xludf.DUMMYFUNCTION("""COMPUTED_VALUE"""),"38209")</f>
        <v>38209</v>
      </c>
      <c r="C67" s="5" t="str">
        <f>IFERROR(__xludf.DUMMYFUNCTION("""COMPUTED_VALUE"""),"BUY (LONG)")</f>
        <v>BUY (LONG)</v>
      </c>
      <c r="D67" s="90" t="str">
        <f>IFERROR(__xludf.DUMMYFUNCTION("""COMPUTED_VALUE"""),"1810.HK")</f>
        <v>1810.HK</v>
      </c>
      <c r="E67" s="5">
        <f>IFERROR(__xludf.DUMMYFUNCTION("""COMPUTED_VALUE"""),13.12)</f>
        <v>13.12</v>
      </c>
      <c r="F67" s="5">
        <f>IFERROR(__xludf.DUMMYFUNCTION("""COMPUTED_VALUE"""),13.3)</f>
        <v>13.3</v>
      </c>
      <c r="G67" s="5">
        <f>IFERROR(__xludf.DUMMYFUNCTION("""COMPUTED_VALUE"""),2000.0)</f>
        <v>2000</v>
      </c>
      <c r="H67" s="142">
        <f>IFERROR(__xludf.DUMMYFUNCTION("""COMPUTED_VALUE"""),0.0)</f>
        <v>0</v>
      </c>
      <c r="I67" s="22">
        <f>IFERROR(__xludf.DUMMYFUNCTION("""COMPUTED_VALUE"""),0.0)</f>
        <v>0</v>
      </c>
      <c r="J67" s="22">
        <f>IFERROR(__xludf.DUMMYFUNCTION("""COMPUTED_VALUE"""),343325.0)</f>
        <v>343325</v>
      </c>
      <c r="K67" s="5"/>
      <c r="L67" s="5" t="str">
        <f>IFERROR(__xludf.DUMMYFUNCTION("""COMPUTED_VALUE"""),"Limit Condition not met")</f>
        <v>Limit Condition not met</v>
      </c>
    </row>
    <row r="68">
      <c r="A68" s="86">
        <f>IFERROR(__xludf.DUMMYFUNCTION("""COMPUTED_VALUE"""),44630.0)</f>
        <v>44630</v>
      </c>
      <c r="B68" s="5" t="str">
        <f>IFERROR(__xludf.DUMMYFUNCTION("""COMPUTED_VALUE"""),"38209")</f>
        <v>38209</v>
      </c>
      <c r="C68" s="5" t="str">
        <f>IFERROR(__xludf.DUMMYFUNCTION("""COMPUTED_VALUE"""),"SELL (SHORT)")</f>
        <v>SELL (SHORT)</v>
      </c>
      <c r="D68" s="90" t="str">
        <f>IFERROR(__xludf.DUMMYFUNCTION("""COMPUTED_VALUE"""),"1024.HK")</f>
        <v>1024.HK</v>
      </c>
      <c r="E68" s="5">
        <f>IFERROR(__xludf.DUMMYFUNCTION("""COMPUTED_VALUE"""),75.9)</f>
        <v>75.9</v>
      </c>
      <c r="F68" s="5">
        <f>IFERROR(__xludf.DUMMYFUNCTION("""COMPUTED_VALUE"""),73.9)</f>
        <v>73.9</v>
      </c>
      <c r="G68" s="5">
        <f>IFERROR(__xludf.DUMMYFUNCTION("""COMPUTED_VALUE"""),1600.0)</f>
        <v>1600</v>
      </c>
      <c r="H68" s="142">
        <f>IFERROR(__xludf.DUMMYFUNCTION("""COMPUTED_VALUE"""),0.0)</f>
        <v>0</v>
      </c>
      <c r="I68" s="22">
        <f>IFERROR(__xludf.DUMMYFUNCTION("""COMPUTED_VALUE"""),0.0)</f>
        <v>0</v>
      </c>
      <c r="J68" s="22">
        <f>IFERROR(__xludf.DUMMYFUNCTION("""COMPUTED_VALUE"""),284205.0)</f>
        <v>284205</v>
      </c>
      <c r="K68" s="5"/>
      <c r="L68" s="5" t="str">
        <f>IFERROR(__xludf.DUMMYFUNCTION("""COMPUTED_VALUE"""),"Limit Condition not met")</f>
        <v>Limit Condition not met</v>
      </c>
    </row>
    <row r="69">
      <c r="A69" s="86">
        <f>IFERROR(__xludf.DUMMYFUNCTION("""COMPUTED_VALUE"""),44630.0)</f>
        <v>44630</v>
      </c>
      <c r="B69" s="5" t="str">
        <f>IFERROR(__xludf.DUMMYFUNCTION("""COMPUTED_VALUE"""),"38209")</f>
        <v>38209</v>
      </c>
      <c r="C69" s="5" t="str">
        <f>IFERROR(__xludf.DUMMYFUNCTION("""COMPUTED_VALUE"""),"SELL (SHORT)")</f>
        <v>SELL (SHORT)</v>
      </c>
      <c r="D69" s="90" t="str">
        <f>IFERROR(__xludf.DUMMYFUNCTION("""COMPUTED_VALUE"""),"1024.HK")</f>
        <v>1024.HK</v>
      </c>
      <c r="E69" s="5">
        <f>IFERROR(__xludf.DUMMYFUNCTION("""COMPUTED_VALUE"""),76.2)</f>
        <v>76.2</v>
      </c>
      <c r="F69" s="5">
        <f>IFERROR(__xludf.DUMMYFUNCTION("""COMPUTED_VALUE"""),73.9)</f>
        <v>73.9</v>
      </c>
      <c r="G69" s="5">
        <f>IFERROR(__xludf.DUMMYFUNCTION("""COMPUTED_VALUE"""),1600.0)</f>
        <v>1600</v>
      </c>
      <c r="H69" s="142">
        <f>IFERROR(__xludf.DUMMYFUNCTION("""COMPUTED_VALUE"""),0.0)</f>
        <v>0</v>
      </c>
      <c r="I69" s="22">
        <f>IFERROR(__xludf.DUMMYFUNCTION("""COMPUTED_VALUE"""),0.0)</f>
        <v>0</v>
      </c>
      <c r="J69" s="22">
        <f>IFERROR(__xludf.DUMMYFUNCTION("""COMPUTED_VALUE"""),284205.0)</f>
        <v>284205</v>
      </c>
      <c r="K69" s="5"/>
      <c r="L69" s="5" t="str">
        <f>IFERROR(__xludf.DUMMYFUNCTION("""COMPUTED_VALUE"""),"Limit Condition not met")</f>
        <v>Limit Condition not met</v>
      </c>
    </row>
    <row r="70">
      <c r="A70" s="86">
        <f>IFERROR(__xludf.DUMMYFUNCTION("""COMPUTED_VALUE"""),44630.0)</f>
        <v>44630</v>
      </c>
      <c r="B70" s="5" t="str">
        <f>IFERROR(__xludf.DUMMYFUNCTION("""COMPUTED_VALUE"""),"38209")</f>
        <v>38209</v>
      </c>
      <c r="C70" s="5" t="str">
        <f>IFERROR(__xludf.DUMMYFUNCTION("""COMPUTED_VALUE"""),"SELL (SHORT)")</f>
        <v>SELL (SHORT)</v>
      </c>
      <c r="D70" s="90" t="str">
        <f>IFERROR(__xludf.DUMMYFUNCTION("""COMPUTED_VALUE"""),"1024.HK")</f>
        <v>1024.HK</v>
      </c>
      <c r="E70" s="5">
        <f>IFERROR(__xludf.DUMMYFUNCTION("""COMPUTED_VALUE"""),77.0)</f>
        <v>77</v>
      </c>
      <c r="F70" s="5">
        <f>IFERROR(__xludf.DUMMYFUNCTION("""COMPUTED_VALUE"""),73.9)</f>
        <v>73.9</v>
      </c>
      <c r="G70" s="5">
        <f>IFERROR(__xludf.DUMMYFUNCTION("""COMPUTED_VALUE"""),1600.0)</f>
        <v>1600</v>
      </c>
      <c r="H70" s="142">
        <f>IFERROR(__xludf.DUMMYFUNCTION("""COMPUTED_VALUE"""),0.0)</f>
        <v>0</v>
      </c>
      <c r="I70" s="22">
        <f>IFERROR(__xludf.DUMMYFUNCTION("""COMPUTED_VALUE"""),0.0)</f>
        <v>0</v>
      </c>
      <c r="J70" s="22">
        <f>IFERROR(__xludf.DUMMYFUNCTION("""COMPUTED_VALUE"""),284205.0)</f>
        <v>284205</v>
      </c>
      <c r="K70" s="5"/>
      <c r="L70" s="5" t="str">
        <f>IFERROR(__xludf.DUMMYFUNCTION("""COMPUTED_VALUE"""),"Limit Condition not met")</f>
        <v>Limit Condition not met</v>
      </c>
    </row>
    <row r="71">
      <c r="A71" s="86">
        <f>IFERROR(__xludf.DUMMYFUNCTION("""COMPUTED_VALUE"""),44630.0)</f>
        <v>44630</v>
      </c>
      <c r="B71" s="5" t="str">
        <f>IFERROR(__xludf.DUMMYFUNCTION("""COMPUTED_VALUE"""),"38209")</f>
        <v>38209</v>
      </c>
      <c r="C71" s="5" t="str">
        <f>IFERROR(__xludf.DUMMYFUNCTION("""COMPUTED_VALUE"""),"SELL (SHORT)")</f>
        <v>SELL (SHORT)</v>
      </c>
      <c r="D71" s="90" t="str">
        <f>IFERROR(__xludf.DUMMYFUNCTION("""COMPUTED_VALUE"""),"6680.HK")</f>
        <v>6680.HK</v>
      </c>
      <c r="E71" s="5">
        <f>IFERROR(__xludf.DUMMYFUNCTION("""COMPUTED_VALUE"""),27.2)</f>
        <v>27.2</v>
      </c>
      <c r="F71" s="5">
        <f>IFERROR(__xludf.DUMMYFUNCTION("""COMPUTED_VALUE"""),26.95)</f>
        <v>26.95</v>
      </c>
      <c r="G71" s="5">
        <f>IFERROR(__xludf.DUMMYFUNCTION("""COMPUTED_VALUE"""),1000.0)</f>
        <v>1000</v>
      </c>
      <c r="H71" s="142">
        <f>IFERROR(__xludf.DUMMYFUNCTION("""COMPUTED_VALUE"""),0.0)</f>
        <v>0</v>
      </c>
      <c r="I71" s="22">
        <f>IFERROR(__xludf.DUMMYFUNCTION("""COMPUTED_VALUE"""),0.0)</f>
        <v>0</v>
      </c>
      <c r="J71" s="22">
        <f>IFERROR(__xludf.DUMMYFUNCTION("""COMPUTED_VALUE"""),284205.0)</f>
        <v>284205</v>
      </c>
      <c r="K71" s="5"/>
      <c r="L71" s="5" t="str">
        <f>IFERROR(__xludf.DUMMYFUNCTION("""COMPUTED_VALUE"""),"Limit Condition not met")</f>
        <v>Limit Condition not met</v>
      </c>
    </row>
    <row r="72">
      <c r="A72" s="86">
        <f>IFERROR(__xludf.DUMMYFUNCTION("""COMPUTED_VALUE"""),44630.0)</f>
        <v>44630</v>
      </c>
      <c r="B72" s="5" t="str">
        <f>IFERROR(__xludf.DUMMYFUNCTION("""COMPUTED_VALUE"""),"38209")</f>
        <v>38209</v>
      </c>
      <c r="C72" s="5" t="str">
        <f>IFERROR(__xludf.DUMMYFUNCTION("""COMPUTED_VALUE"""),"SELL (SHORT)")</f>
        <v>SELL (SHORT)</v>
      </c>
      <c r="D72" s="90" t="str">
        <f>IFERROR(__xludf.DUMMYFUNCTION("""COMPUTED_VALUE"""),"9988.HK")</f>
        <v>9988.HK</v>
      </c>
      <c r="E72" s="5">
        <f>IFERROR(__xludf.DUMMYFUNCTION("""COMPUTED_VALUE"""),98.0)</f>
        <v>98</v>
      </c>
      <c r="F72" s="5">
        <f>IFERROR(__xludf.DUMMYFUNCTION("""COMPUTED_VALUE"""),96.1)</f>
        <v>96.1</v>
      </c>
      <c r="G72" s="5">
        <f>IFERROR(__xludf.DUMMYFUNCTION("""COMPUTED_VALUE"""),600.0)</f>
        <v>600</v>
      </c>
      <c r="H72" s="142">
        <f>IFERROR(__xludf.DUMMYFUNCTION("""COMPUTED_VALUE"""),0.0)</f>
        <v>0</v>
      </c>
      <c r="I72" s="22">
        <f>IFERROR(__xludf.DUMMYFUNCTION("""COMPUTED_VALUE"""),0.0)</f>
        <v>0</v>
      </c>
      <c r="J72" s="22">
        <f>IFERROR(__xludf.DUMMYFUNCTION("""COMPUTED_VALUE"""),284205.0)</f>
        <v>284205</v>
      </c>
      <c r="K72" s="5"/>
      <c r="L72" s="5" t="str">
        <f>IFERROR(__xludf.DUMMYFUNCTION("""COMPUTED_VALUE"""),"Limit Condition not met")</f>
        <v>Limit Condition not met</v>
      </c>
    </row>
    <row r="73">
      <c r="A73" s="86">
        <f>IFERROR(__xludf.DUMMYFUNCTION("""COMPUTED_VALUE"""),44634.0)</f>
        <v>44634</v>
      </c>
      <c r="B73" s="5" t="str">
        <f>IFERROR(__xludf.DUMMYFUNCTION("""COMPUTED_VALUE"""),"46220")</f>
        <v>46220</v>
      </c>
      <c r="C73" s="5" t="str">
        <f>IFERROR(__xludf.DUMMYFUNCTION("""COMPUTED_VALUE"""),"SELL (SHORT)")</f>
        <v>SELL (SHORT)</v>
      </c>
      <c r="D73" s="87" t="str">
        <f>IFERROR(__xludf.DUMMYFUNCTION("""COMPUTED_VALUE"""),"GC=F")</f>
        <v>GC=F</v>
      </c>
      <c r="E73" s="5"/>
      <c r="F73" s="5">
        <f>IFERROR(__xludf.DUMMYFUNCTION("""COMPUTED_VALUE"""),1954.6)</f>
        <v>1954.6</v>
      </c>
      <c r="G73" s="5">
        <f>IFERROR(__xludf.DUMMYFUNCTION("""COMPUTED_VALUE"""),10.0)</f>
        <v>10</v>
      </c>
      <c r="H73" s="142" t="str">
        <f>IFERROR(__xludf.DUMMYFUNCTION("""COMPUTED_VALUE"""),"")</f>
        <v/>
      </c>
      <c r="I73" s="22">
        <f>IFERROR(__xludf.DUMMYFUNCTION("""COMPUTED_VALUE"""),153030.5205)</f>
        <v>153030.5205</v>
      </c>
      <c r="J73" s="22">
        <f>IFERROR(__xludf.DUMMYFUNCTION("""COMPUTED_VALUE"""),-353133.47358200006)</f>
        <v>-353133.4736</v>
      </c>
      <c r="K73" s="5"/>
      <c r="L73" s="5" t="str">
        <f>IFERROR(__xludf.DUMMYFUNCTION("""COMPUTED_VALUE"""),"Insufficient Cash or Margin Balance")</f>
        <v>Insufficient Cash or Margin Balance</v>
      </c>
    </row>
    <row r="74">
      <c r="A74" s="86">
        <f>IFERROR(__xludf.DUMMYFUNCTION("""COMPUTED_VALUE"""),44634.0)</f>
        <v>44634</v>
      </c>
      <c r="B74" s="5" t="str">
        <f>IFERROR(__xludf.DUMMYFUNCTION("""COMPUTED_VALUE"""),"75415")</f>
        <v>75415</v>
      </c>
      <c r="C74" s="5" t="str">
        <f>IFERROR(__xludf.DUMMYFUNCTION("""COMPUTED_VALUE"""),"BUY (LONG)")</f>
        <v>BUY (LONG)</v>
      </c>
      <c r="D74" s="87" t="str">
        <f>IFERROR(__xludf.DUMMYFUNCTION("""COMPUTED_VALUE"""),"MSFT")</f>
        <v>MSFT</v>
      </c>
      <c r="E74" s="5"/>
      <c r="F74" s="5">
        <f>IFERROR(__xludf.DUMMYFUNCTION("""COMPUTED_VALUE"""),276.44)</f>
        <v>276.44</v>
      </c>
      <c r="G74" s="5">
        <f>IFERROR(__xludf.DUMMYFUNCTION("""COMPUTED_VALUE"""),100.0)</f>
        <v>100</v>
      </c>
      <c r="H74" s="142" t="str">
        <f>IFERROR(__xludf.DUMMYFUNCTION("""COMPUTED_VALUE"""),"")</f>
        <v/>
      </c>
      <c r="I74" s="22">
        <f>IFERROR(__xludf.DUMMYFUNCTION("""COMPUTED_VALUE"""),-216431.78699999998)</f>
        <v>-216431.787</v>
      </c>
      <c r="J74" s="22">
        <f>IFERROR(__xludf.DUMMYFUNCTION("""COMPUTED_VALUE"""),-221215.00896)</f>
        <v>-221215.009</v>
      </c>
      <c r="K74" s="5"/>
      <c r="L74" s="5" t="str">
        <f>IFERROR(__xludf.DUMMYFUNCTION("""COMPUTED_VALUE"""),"Insufficient Cash or Margin Balance")</f>
        <v>Insufficient Cash or Margin Balance</v>
      </c>
    </row>
    <row r="75">
      <c r="A75" s="86">
        <f>IFERROR(__xludf.DUMMYFUNCTION("""COMPUTED_VALUE"""),44634.0)</f>
        <v>44634</v>
      </c>
      <c r="B75" s="5" t="str">
        <f>IFERROR(__xludf.DUMMYFUNCTION("""COMPUTED_VALUE"""),"82533")</f>
        <v>82533</v>
      </c>
      <c r="C75" s="5" t="str">
        <f>IFERROR(__xludf.DUMMYFUNCTION("""COMPUTED_VALUE"""),"SELL (SHORT)")</f>
        <v>SELL (SHORT)</v>
      </c>
      <c r="D75" s="87" t="str">
        <f>IFERROR(__xludf.DUMMYFUNCTION("""COMPUTED_VALUE"""),"TSLA220318C00005000")</f>
        <v>TSLA220318C00005000</v>
      </c>
      <c r="E75" s="5"/>
      <c r="F75" s="5"/>
      <c r="G75" s="5">
        <f>IFERROR(__xludf.DUMMYFUNCTION("""COMPUTED_VALUE"""),15.0)</f>
        <v>15</v>
      </c>
      <c r="H75" s="142" t="str">
        <f>IFERROR(__xludf.DUMMYFUNCTION("""COMPUTED_VALUE"""),"")</f>
        <v/>
      </c>
      <c r="I75" s="22">
        <f>IFERROR(__xludf.DUMMYFUNCTION("""COMPUTED_VALUE"""),8847952.86375)</f>
        <v>8847952.864</v>
      </c>
      <c r="J75" s="22">
        <f>IFERROR(__xludf.DUMMYFUNCTION("""COMPUTED_VALUE"""),-8538360.223749999)</f>
        <v>-8538360.224</v>
      </c>
      <c r="K75" s="5"/>
      <c r="L75" s="5" t="str">
        <f>IFERROR(__xludf.DUMMYFUNCTION("""COMPUTED_VALUE"""),"Insufficient Cash or Margin Balance")</f>
        <v>Insufficient Cash or Margin Balance</v>
      </c>
    </row>
    <row r="76">
      <c r="A76" s="86">
        <f>IFERROR(__xludf.DUMMYFUNCTION("""COMPUTED_VALUE"""),44635.0)</f>
        <v>44635</v>
      </c>
      <c r="B76" s="5" t="str">
        <f>IFERROR(__xludf.DUMMYFUNCTION("""COMPUTED_VALUE"""),"38307")</f>
        <v>38307</v>
      </c>
      <c r="C76" s="5" t="str">
        <f>IFERROR(__xludf.DUMMYFUNCTION("""COMPUTED_VALUE"""),"BUY (LONG)")</f>
        <v>BUY (LONG)</v>
      </c>
      <c r="D76" s="90" t="str">
        <f>IFERROR(__xludf.DUMMYFUNCTION("""COMPUTED_VALUE"""),"603392.SS")</f>
        <v>603392.SS</v>
      </c>
      <c r="E76" s="5"/>
      <c r="F76" s="5">
        <f>IFERROR(__xludf.DUMMYFUNCTION("""COMPUTED_VALUE"""),246.0)</f>
        <v>246</v>
      </c>
      <c r="G76" s="5">
        <f>IFERROR(__xludf.DUMMYFUNCTION("""COMPUTED_VALUE"""),1000.0)</f>
        <v>1000</v>
      </c>
      <c r="H76" s="142" t="str">
        <f>IFERROR(__xludf.DUMMYFUNCTION("""COMPUTED_VALUE"""),"")</f>
        <v/>
      </c>
      <c r="I76" s="22">
        <f>IFERROR(__xludf.DUMMYFUNCTION("""COMPUTED_VALUE"""),-302288.736)</f>
        <v>-302288.736</v>
      </c>
      <c r="J76" s="22">
        <f>IFERROR(__xludf.DUMMYFUNCTION("""COMPUTED_VALUE"""),-416837.303402)</f>
        <v>-416837.3034</v>
      </c>
      <c r="K76" s="5"/>
      <c r="L76" s="5" t="str">
        <f>IFERROR(__xludf.DUMMYFUNCTION("""COMPUTED_VALUE"""),"Insufficient Cash or Margin Balance")</f>
        <v>Insufficient Cash or Margin Balance</v>
      </c>
    </row>
    <row r="77">
      <c r="A77" s="86">
        <f>IFERROR(__xludf.DUMMYFUNCTION("""COMPUTED_VALUE"""),44635.0)</f>
        <v>44635</v>
      </c>
      <c r="B77" s="5" t="str">
        <f>IFERROR(__xludf.DUMMYFUNCTION("""COMPUTED_VALUE"""),"74356")</f>
        <v>74356</v>
      </c>
      <c r="C77" s="5" t="str">
        <f>IFERROR(__xludf.DUMMYFUNCTION("""COMPUTED_VALUE"""),"BUY (LONG)")</f>
        <v>BUY (LONG)</v>
      </c>
      <c r="D77" s="87" t="str">
        <f>IFERROR(__xludf.DUMMYFUNCTION("""COMPUTED_VALUE"""),"IXHL")</f>
        <v>IXHL</v>
      </c>
      <c r="E77" s="5">
        <f>IFERROR(__xludf.DUMMYFUNCTION("""COMPUTED_VALUE"""),30.0)</f>
        <v>30</v>
      </c>
      <c r="F77" s="5">
        <f>IFERROR(__xludf.DUMMYFUNCTION("""COMPUTED_VALUE"""),35.5)</f>
        <v>35.5</v>
      </c>
      <c r="G77" s="5">
        <f>IFERROR(__xludf.DUMMYFUNCTION("""COMPUTED_VALUE"""),1000.0)</f>
        <v>1000</v>
      </c>
      <c r="H77" s="142">
        <f>IFERROR(__xludf.DUMMYFUNCTION("""COMPUTED_VALUE"""),0.0)</f>
        <v>0</v>
      </c>
      <c r="I77" s="22">
        <f>IFERROR(__xludf.DUMMYFUNCTION("""COMPUTED_VALUE"""),0.0)</f>
        <v>0</v>
      </c>
      <c r="J77" s="22">
        <f>IFERROR(__xludf.DUMMYFUNCTION("""COMPUTED_VALUE"""),119280.69390249992)</f>
        <v>119280.6939</v>
      </c>
      <c r="K77" s="5"/>
      <c r="L77" s="5" t="str">
        <f>IFERROR(__xludf.DUMMYFUNCTION("""COMPUTED_VALUE"""),"Limit Condition not met")</f>
        <v>Limit Condition not met</v>
      </c>
    </row>
    <row r="78">
      <c r="A78" s="86">
        <f>IFERROR(__xludf.DUMMYFUNCTION("""COMPUTED_VALUE"""),44635.0)</f>
        <v>44635</v>
      </c>
      <c r="B78" s="5" t="str">
        <f>IFERROR(__xludf.DUMMYFUNCTION("""COMPUTED_VALUE"""),"76848")</f>
        <v>76848</v>
      </c>
      <c r="C78" s="5" t="str">
        <f>IFERROR(__xludf.DUMMYFUNCTION("""COMPUTED_VALUE"""),"BUY (LONG)")</f>
        <v>BUY (LONG)</v>
      </c>
      <c r="D78" s="87" t="str">
        <f>IFERROR(__xludf.DUMMYFUNCTION("""COMPUTED_VALUE"""),"IXHL")</f>
        <v>IXHL</v>
      </c>
      <c r="E78" s="5">
        <f>IFERROR(__xludf.DUMMYFUNCTION("""COMPUTED_VALUE"""),30.0)</f>
        <v>30</v>
      </c>
      <c r="F78" s="5">
        <f>IFERROR(__xludf.DUMMYFUNCTION("""COMPUTED_VALUE"""),35.5)</f>
        <v>35.5</v>
      </c>
      <c r="G78" s="5">
        <f>IFERROR(__xludf.DUMMYFUNCTION("""COMPUTED_VALUE"""),1000.0)</f>
        <v>1000</v>
      </c>
      <c r="H78" s="142">
        <f>IFERROR(__xludf.DUMMYFUNCTION("""COMPUTED_VALUE"""),0.0)</f>
        <v>0</v>
      </c>
      <c r="I78" s="22">
        <f>IFERROR(__xludf.DUMMYFUNCTION("""COMPUTED_VALUE"""),0.0)</f>
        <v>0</v>
      </c>
      <c r="J78" s="22">
        <f>IFERROR(__xludf.DUMMYFUNCTION("""COMPUTED_VALUE"""),409714.76947749994)</f>
        <v>409714.7695</v>
      </c>
      <c r="K78" s="5"/>
      <c r="L78" s="5" t="str">
        <f>IFERROR(__xludf.DUMMYFUNCTION("""COMPUTED_VALUE"""),"Limit Condition not met")</f>
        <v>Limit Condition not met</v>
      </c>
    </row>
    <row r="79">
      <c r="A79" s="86">
        <f>IFERROR(__xludf.DUMMYFUNCTION("""COMPUTED_VALUE"""),44636.0)</f>
        <v>44636</v>
      </c>
      <c r="B79" s="5" t="str">
        <f>IFERROR(__xludf.DUMMYFUNCTION("""COMPUTED_VALUE"""),"75965")</f>
        <v>75965</v>
      </c>
      <c r="C79" s="5" t="str">
        <f>IFERROR(__xludf.DUMMYFUNCTION("""COMPUTED_VALUE"""),"BUY (LONG)")</f>
        <v>BUY (LONG)</v>
      </c>
      <c r="D79" s="87" t="str">
        <f>IFERROR(__xludf.DUMMYFUNCTION("""COMPUTED_VALUE"""),"ES=F")</f>
        <v>ES=F</v>
      </c>
      <c r="E79" s="5"/>
      <c r="F79" s="31">
        <f>IFERROR(__xludf.DUMMYFUNCTION("""COMPUTED_VALUE"""),4358.0)</f>
        <v>4358</v>
      </c>
      <c r="G79" s="5">
        <f>IFERROR(__xludf.DUMMYFUNCTION("""COMPUTED_VALUE"""),100.0)</f>
        <v>100</v>
      </c>
      <c r="H79" s="142" t="str">
        <f>IFERROR(__xludf.DUMMYFUNCTION("""COMPUTED_VALUE"""),"")</f>
        <v/>
      </c>
      <c r="I79" s="22">
        <f>IFERROR(__xludf.DUMMYFUNCTION("""COMPUTED_VALUE"""),-3408195.69)</f>
        <v>-3408195.69</v>
      </c>
      <c r="J79" s="22">
        <f>IFERROR(__xludf.DUMMYFUNCTION("""COMPUTED_VALUE"""),-3361556.883775)</f>
        <v>-3361556.884</v>
      </c>
      <c r="K79" s="5"/>
      <c r="L79" s="5" t="str">
        <f>IFERROR(__xludf.DUMMYFUNCTION("""COMPUTED_VALUE"""),"Insufficient Cash or Margin Balance")</f>
        <v>Insufficient Cash or Margin Balance</v>
      </c>
    </row>
    <row r="80">
      <c r="A80" s="86">
        <f>IFERROR(__xludf.DUMMYFUNCTION("""COMPUTED_VALUE"""),44636.0)</f>
        <v>44636</v>
      </c>
      <c r="B80" s="5" t="str">
        <f>IFERROR(__xludf.DUMMYFUNCTION("""COMPUTED_VALUE"""),"76848")</f>
        <v>76848</v>
      </c>
      <c r="C80" s="5" t="str">
        <f>IFERROR(__xludf.DUMMYFUNCTION("""COMPUTED_VALUE"""),"SELL (SHORT)")</f>
        <v>SELL (SHORT)</v>
      </c>
      <c r="D80" s="90" t="str">
        <f>IFERROR(__xludf.DUMMYFUNCTION("""COMPUTED_VALUE"""),"1398.HK")</f>
        <v>1398.HK</v>
      </c>
      <c r="E80" s="5">
        <f>IFERROR(__xludf.DUMMYFUNCTION("""COMPUTED_VALUE"""),4.65)</f>
        <v>4.65</v>
      </c>
      <c r="F80" s="5">
        <f>IFERROR(__xludf.DUMMYFUNCTION("""COMPUTED_VALUE"""),4.43)</f>
        <v>4.43</v>
      </c>
      <c r="G80" s="5">
        <f>IFERROR(__xludf.DUMMYFUNCTION("""COMPUTED_VALUE"""),750.0)</f>
        <v>750</v>
      </c>
      <c r="H80" s="142">
        <f>IFERROR(__xludf.DUMMYFUNCTION("""COMPUTED_VALUE"""),0.0)</f>
        <v>0</v>
      </c>
      <c r="I80" s="22">
        <f>IFERROR(__xludf.DUMMYFUNCTION("""COMPUTED_VALUE"""),0.0)</f>
        <v>0</v>
      </c>
      <c r="J80" s="22">
        <f>IFERROR(__xludf.DUMMYFUNCTION("""COMPUTED_VALUE"""),409714.76947749994)</f>
        <v>409714.7695</v>
      </c>
      <c r="K80" s="5"/>
      <c r="L80" s="5" t="str">
        <f>IFERROR(__xludf.DUMMYFUNCTION("""COMPUTED_VALUE"""),"Limit Condition not met")</f>
        <v>Limit Condition not met</v>
      </c>
    </row>
    <row r="81">
      <c r="A81" s="86">
        <f>IFERROR(__xludf.DUMMYFUNCTION("""COMPUTED_VALUE"""),44637.0)</f>
        <v>44637</v>
      </c>
      <c r="B81" s="5" t="str">
        <f>IFERROR(__xludf.DUMMYFUNCTION("""COMPUTED_VALUE"""),"37198")</f>
        <v>37198</v>
      </c>
      <c r="C81" s="5" t="str">
        <f>IFERROR(__xludf.DUMMYFUNCTION("""COMPUTED_VALUE"""),"BUY (LONG)")</f>
        <v>BUY (LONG)</v>
      </c>
      <c r="D81" s="87" t="str">
        <f>IFERROR(__xludf.DUMMYFUNCTION("""COMPUTED_VALUE"""),"BNTX")</f>
        <v>BNTX</v>
      </c>
      <c r="E81" s="5">
        <f>IFERROR(__xludf.DUMMYFUNCTION("""COMPUTED_VALUE"""),147.4)</f>
        <v>147.4</v>
      </c>
      <c r="F81" s="5">
        <f>IFERROR(__xludf.DUMMYFUNCTION("""COMPUTED_VALUE"""),165.0)</f>
        <v>165</v>
      </c>
      <c r="G81" s="5">
        <f>IFERROR(__xludf.DUMMYFUNCTION("""COMPUTED_VALUE"""),20.0)</f>
        <v>20</v>
      </c>
      <c r="H81" s="142">
        <f>IFERROR(__xludf.DUMMYFUNCTION("""COMPUTED_VALUE"""),0.0)</f>
        <v>0</v>
      </c>
      <c r="I81" s="22">
        <f>IFERROR(__xludf.DUMMYFUNCTION("""COMPUTED_VALUE"""),0.0)</f>
        <v>0</v>
      </c>
      <c r="J81" s="22">
        <f>IFERROR(__xludf.DUMMYFUNCTION("""COMPUTED_VALUE"""),493448.06348)</f>
        <v>493448.0635</v>
      </c>
      <c r="K81" s="5"/>
      <c r="L81" s="5" t="str">
        <f>IFERROR(__xludf.DUMMYFUNCTION("""COMPUTED_VALUE"""),"Limit Condition not met")</f>
        <v>Limit Condition not met</v>
      </c>
    </row>
    <row r="82">
      <c r="A82" s="86">
        <f>IFERROR(__xludf.DUMMYFUNCTION("""COMPUTED_VALUE"""),44637.0)</f>
        <v>44637</v>
      </c>
      <c r="B82" s="5" t="str">
        <f>IFERROR(__xludf.DUMMYFUNCTION("""COMPUTED_VALUE"""),"38381")</f>
        <v>38381</v>
      </c>
      <c r="C82" s="5" t="str">
        <f>IFERROR(__xludf.DUMMYFUNCTION("""COMPUTED_VALUE"""),"BUY (LONG)")</f>
        <v>BUY (LONG)</v>
      </c>
      <c r="D82" s="87" t="str">
        <f>IFERROR(__xludf.DUMMYFUNCTION("""COMPUTED_VALUE"""),"JPM")</f>
        <v>JPM</v>
      </c>
      <c r="E82" s="5"/>
      <c r="F82" s="5">
        <f>IFERROR(__xludf.DUMMYFUNCTION("""COMPUTED_VALUE"""),140.15)</f>
        <v>140.15</v>
      </c>
      <c r="G82" s="5">
        <f>IFERROR(__xludf.DUMMYFUNCTION("""COMPUTED_VALUE"""),300.0)</f>
        <v>300</v>
      </c>
      <c r="H82" s="142" t="str">
        <f>IFERROR(__xludf.DUMMYFUNCTION("""COMPUTED_VALUE"""),"")</f>
        <v/>
      </c>
      <c r="I82" s="22">
        <f>IFERROR(__xludf.DUMMYFUNCTION("""COMPUTED_VALUE"""),-328730.51430000004)</f>
        <v>-328730.5143</v>
      </c>
      <c r="J82" s="22">
        <f>IFERROR(__xludf.DUMMYFUNCTION("""COMPUTED_VALUE"""),-358129.46274999995)</f>
        <v>-358129.4628</v>
      </c>
      <c r="K82" s="5"/>
      <c r="L82" s="5" t="str">
        <f>IFERROR(__xludf.DUMMYFUNCTION("""COMPUTED_VALUE"""),"Insufficient Cash or Margin Balance")</f>
        <v>Insufficient Cash or Margin Balance</v>
      </c>
    </row>
    <row r="83">
      <c r="A83" s="86">
        <f>IFERROR(__xludf.DUMMYFUNCTION("""COMPUTED_VALUE"""),44637.0)</f>
        <v>44637</v>
      </c>
      <c r="B83" s="5" t="str">
        <f>IFERROR(__xludf.DUMMYFUNCTION("""COMPUTED_VALUE"""),"39441")</f>
        <v>39441</v>
      </c>
      <c r="C83" s="5" t="str">
        <f>IFERROR(__xludf.DUMMYFUNCTION("""COMPUTED_VALUE"""),"SELL (SHORT)")</f>
        <v>SELL (SHORT)</v>
      </c>
      <c r="D83" s="87" t="str">
        <f>IFERROR(__xludf.DUMMYFUNCTION("""COMPUTED_VALUE"""),"BABA")</f>
        <v>BABA</v>
      </c>
      <c r="E83" s="5">
        <f>IFERROR(__xludf.DUMMYFUNCTION("""COMPUTED_VALUE"""),104.98)</f>
        <v>104.98</v>
      </c>
      <c r="F83" s="5">
        <f>IFERROR(__xludf.DUMMYFUNCTION("""COMPUTED_VALUE"""),100.37)</f>
        <v>100.37</v>
      </c>
      <c r="G83" s="5">
        <f>IFERROR(__xludf.DUMMYFUNCTION("""COMPUTED_VALUE"""),100.0)</f>
        <v>100</v>
      </c>
      <c r="H83" s="142">
        <f>IFERROR(__xludf.DUMMYFUNCTION("""COMPUTED_VALUE"""),0.0)</f>
        <v>0</v>
      </c>
      <c r="I83" s="22">
        <f>IFERROR(__xludf.DUMMYFUNCTION("""COMPUTED_VALUE"""),0.0)</f>
        <v>0</v>
      </c>
      <c r="J83" s="22">
        <f>IFERROR(__xludf.DUMMYFUNCTION("""COMPUTED_VALUE"""),-106037.70735924998)</f>
        <v>-106037.7074</v>
      </c>
      <c r="K83" s="5"/>
      <c r="L83" s="5" t="str">
        <f>IFERROR(__xludf.DUMMYFUNCTION("""COMPUTED_VALUE"""),"Limit Condition not met")</f>
        <v>Limit Condition not met</v>
      </c>
    </row>
    <row r="84">
      <c r="A84" s="86">
        <f>IFERROR(__xludf.DUMMYFUNCTION("""COMPUTED_VALUE"""),44637.0)</f>
        <v>44637</v>
      </c>
      <c r="B84" s="5" t="str">
        <f>IFERROR(__xludf.DUMMYFUNCTION("""COMPUTED_VALUE"""),"46600")</f>
        <v>46600</v>
      </c>
      <c r="C84" s="5" t="str">
        <f>IFERROR(__xludf.DUMMYFUNCTION("""COMPUTED_VALUE"""),"BUY (LONG), SELL (SHORT)")</f>
        <v>BUY (LONG), SELL (SHORT)</v>
      </c>
      <c r="D84" s="90" t="str">
        <f>IFERROR(__xludf.DUMMYFUNCTION("""COMPUTED_VALUE"""),"0700.HK")</f>
        <v>0700.HK</v>
      </c>
      <c r="E84" s="5">
        <f>IFERROR(__xludf.DUMMYFUNCTION("""COMPUTED_VALUE"""),300.0)</f>
        <v>300</v>
      </c>
      <c r="F84" s="5">
        <f>IFERROR(__xludf.DUMMYFUNCTION("""COMPUTED_VALUE"""),390.0)</f>
        <v>390</v>
      </c>
      <c r="G84" s="5">
        <f>IFERROR(__xludf.DUMMYFUNCTION("""COMPUTED_VALUE"""),50.0)</f>
        <v>50</v>
      </c>
      <c r="H84" s="142">
        <f>IFERROR(__xludf.DUMMYFUNCTION("""COMPUTED_VALUE"""),0.0)</f>
        <v>0</v>
      </c>
      <c r="I84" s="22">
        <f>IFERROR(__xludf.DUMMYFUNCTION("""COMPUTED_VALUE"""),0.0)</f>
        <v>0</v>
      </c>
      <c r="J84" s="22">
        <f>IFERROR(__xludf.DUMMYFUNCTION("""COMPUTED_VALUE"""),440400.0)</f>
        <v>440400</v>
      </c>
      <c r="K84" s="5"/>
      <c r="L84" s="5" t="str">
        <f>IFERROR(__xludf.DUMMYFUNCTION("""COMPUTED_VALUE"""),"Limit Condition not met")</f>
        <v>Limit Condition not met</v>
      </c>
    </row>
    <row r="85">
      <c r="A85" s="86">
        <f>IFERROR(__xludf.DUMMYFUNCTION("""COMPUTED_VALUE"""),44637.0)</f>
        <v>44637</v>
      </c>
      <c r="B85" s="5" t="str">
        <f>IFERROR(__xludf.DUMMYFUNCTION("""COMPUTED_VALUE"""),"76848")</f>
        <v>76848</v>
      </c>
      <c r="C85" s="5" t="str">
        <f>IFERROR(__xludf.DUMMYFUNCTION("""COMPUTED_VALUE"""),"BUY (LONG)")</f>
        <v>BUY (LONG)</v>
      </c>
      <c r="D85" s="87" t="str">
        <f>IFERROR(__xludf.DUMMYFUNCTION("""COMPUTED_VALUE"""),"IXHL")</f>
        <v>IXHL</v>
      </c>
      <c r="E85" s="5">
        <f>IFERROR(__xludf.DUMMYFUNCTION("""COMPUTED_VALUE"""),8.0)</f>
        <v>8</v>
      </c>
      <c r="F85" s="5">
        <f>IFERROR(__xludf.DUMMYFUNCTION("""COMPUTED_VALUE"""),11.98)</f>
        <v>11.98</v>
      </c>
      <c r="G85" s="5">
        <f>IFERROR(__xludf.DUMMYFUNCTION("""COMPUTED_VALUE"""),1000.0)</f>
        <v>1000</v>
      </c>
      <c r="H85" s="142">
        <f>IFERROR(__xludf.DUMMYFUNCTION("""COMPUTED_VALUE"""),0.0)</f>
        <v>0</v>
      </c>
      <c r="I85" s="22">
        <f>IFERROR(__xludf.DUMMYFUNCTION("""COMPUTED_VALUE"""),0.0)</f>
        <v>0</v>
      </c>
      <c r="J85" s="22">
        <f>IFERROR(__xludf.DUMMYFUNCTION("""COMPUTED_VALUE"""),409714.76947749994)</f>
        <v>409714.7695</v>
      </c>
      <c r="K85" s="5"/>
      <c r="L85" s="5" t="str">
        <f>IFERROR(__xludf.DUMMYFUNCTION("""COMPUTED_VALUE"""),"Limit Condition not met")</f>
        <v>Limit Condition not met</v>
      </c>
    </row>
    <row r="86">
      <c r="A86" s="86">
        <f>IFERROR(__xludf.DUMMYFUNCTION("""COMPUTED_VALUE"""),44638.0)</f>
        <v>44638</v>
      </c>
      <c r="B86" s="5" t="str">
        <f>IFERROR(__xludf.DUMMYFUNCTION("""COMPUTED_VALUE"""),"14626")</f>
        <v>14626</v>
      </c>
      <c r="C86" s="5" t="str">
        <f>IFERROR(__xludf.DUMMYFUNCTION("""COMPUTED_VALUE"""),"BUY (LONG)")</f>
        <v>BUY (LONG)</v>
      </c>
      <c r="D86" s="87" t="str">
        <f>IFERROR(__xludf.DUMMYFUNCTION("""COMPUTED_VALUE"""),"AAPL")</f>
        <v>AAPL</v>
      </c>
      <c r="E86" s="5"/>
      <c r="F86" s="5">
        <f>IFERROR(__xludf.DUMMYFUNCTION("""COMPUTED_VALUE"""),163.98)</f>
        <v>163.98</v>
      </c>
      <c r="G86" s="5">
        <f>IFERROR(__xludf.DUMMYFUNCTION("""COMPUTED_VALUE"""),1000.0)</f>
        <v>1000</v>
      </c>
      <c r="H86" s="142" t="str">
        <f>IFERROR(__xludf.DUMMYFUNCTION("""COMPUTED_VALUE"""),"")</f>
        <v/>
      </c>
      <c r="I86" s="22">
        <f>IFERROR(__xludf.DUMMYFUNCTION("""COMPUTED_VALUE"""),-1283135.301)</f>
        <v>-1283135.301</v>
      </c>
      <c r="J86" s="22">
        <f>IFERROR(__xludf.DUMMYFUNCTION("""COMPUTED_VALUE"""),-1035789.07321)</f>
        <v>-1035789.073</v>
      </c>
      <c r="K86" s="5"/>
      <c r="L86" s="5" t="str">
        <f>IFERROR(__xludf.DUMMYFUNCTION("""COMPUTED_VALUE"""),"Insufficient Cash or Margin Balance")</f>
        <v>Insufficient Cash or Margin Balance</v>
      </c>
    </row>
    <row r="87">
      <c r="A87" s="86">
        <f>IFERROR(__xludf.DUMMYFUNCTION("""COMPUTED_VALUE"""),44638.0)</f>
        <v>44638</v>
      </c>
      <c r="B87" s="5" t="str">
        <f>IFERROR(__xludf.DUMMYFUNCTION("""COMPUTED_VALUE"""),"14626")</f>
        <v>14626</v>
      </c>
      <c r="C87" s="5" t="str">
        <f>IFERROR(__xludf.DUMMYFUNCTION("""COMPUTED_VALUE"""),"BUY (LONG)")</f>
        <v>BUY (LONG)</v>
      </c>
      <c r="D87" s="87" t="str">
        <f>IFERROR(__xludf.DUMMYFUNCTION("""COMPUTED_VALUE"""),"ABBV")</f>
        <v>ABBV</v>
      </c>
      <c r="E87" s="5"/>
      <c r="F87" s="5">
        <f>IFERROR(__xludf.DUMMYFUNCTION("""COMPUTED_VALUE"""),159.2)</f>
        <v>159.2</v>
      </c>
      <c r="G87" s="5">
        <f>IFERROR(__xludf.DUMMYFUNCTION("""COMPUTED_VALUE"""),500.0)</f>
        <v>500</v>
      </c>
      <c r="H87" s="142" t="str">
        <f>IFERROR(__xludf.DUMMYFUNCTION("""COMPUTED_VALUE"""),"")</f>
        <v/>
      </c>
      <c r="I87" s="22">
        <f>IFERROR(__xludf.DUMMYFUNCTION("""COMPUTED_VALUE"""),-622866.0199999999)</f>
        <v>-622866.02</v>
      </c>
      <c r="J87" s="22">
        <f>IFERROR(__xludf.DUMMYFUNCTION("""COMPUTED_VALUE"""),-375519.79221)</f>
        <v>-375519.7922</v>
      </c>
      <c r="K87" s="5"/>
      <c r="L87" s="5" t="str">
        <f>IFERROR(__xludf.DUMMYFUNCTION("""COMPUTED_VALUE"""),"Insufficient Cash or Margin Balance")</f>
        <v>Insufficient Cash or Margin Balance</v>
      </c>
    </row>
    <row r="88">
      <c r="A88" s="86">
        <f>IFERROR(__xludf.DUMMYFUNCTION("""COMPUTED_VALUE"""),44638.0)</f>
        <v>44638</v>
      </c>
      <c r="B88" s="5" t="str">
        <f>IFERROR(__xludf.DUMMYFUNCTION("""COMPUTED_VALUE"""),"14626")</f>
        <v>14626</v>
      </c>
      <c r="C88" s="5" t="str">
        <f>IFERROR(__xludf.DUMMYFUNCTION("""COMPUTED_VALUE"""),"BUY (LONG)")</f>
        <v>BUY (LONG)</v>
      </c>
      <c r="D88" s="87" t="str">
        <f>IFERROR(__xludf.DUMMYFUNCTION("""COMPUTED_VALUE"""),"AMZN")</f>
        <v>AMZN</v>
      </c>
      <c r="E88" s="5"/>
      <c r="F88" s="5">
        <f>IFERROR(__xludf.DUMMYFUNCTION("""COMPUTED_VALUE"""),3225.01)</f>
        <v>3225.01</v>
      </c>
      <c r="G88" s="5">
        <f>IFERROR(__xludf.DUMMYFUNCTION("""COMPUTED_VALUE"""),500.0)</f>
        <v>500</v>
      </c>
      <c r="H88" s="142" t="str">
        <f>IFERROR(__xludf.DUMMYFUNCTION("""COMPUTED_VALUE"""),"")</f>
        <v/>
      </c>
      <c r="I88" s="22">
        <f>IFERROR(__xludf.DUMMYFUNCTION("""COMPUTED_VALUE"""),-1.2617770999750001E7)</f>
        <v>-12617771</v>
      </c>
      <c r="J88" s="22">
        <f>IFERROR(__xludf.DUMMYFUNCTION("""COMPUTED_VALUE"""),-1.2370424771960001E7)</f>
        <v>-12370424.77</v>
      </c>
      <c r="K88" s="5"/>
      <c r="L88" s="5" t="str">
        <f>IFERROR(__xludf.DUMMYFUNCTION("""COMPUTED_VALUE"""),"Insufficient Cash or Margin Balance")</f>
        <v>Insufficient Cash or Margin Balance</v>
      </c>
    </row>
    <row r="89">
      <c r="A89" s="86">
        <f>IFERROR(__xludf.DUMMYFUNCTION("""COMPUTED_VALUE"""),44638.0)</f>
        <v>44638</v>
      </c>
      <c r="B89" s="5" t="str">
        <f>IFERROR(__xludf.DUMMYFUNCTION("""COMPUTED_VALUE"""),"14626")</f>
        <v>14626</v>
      </c>
      <c r="C89" s="5" t="str">
        <f>IFERROR(__xludf.DUMMYFUNCTION("""COMPUTED_VALUE"""),"BUY (LONG)")</f>
        <v>BUY (LONG)</v>
      </c>
      <c r="D89" s="87" t="str">
        <f>IFERROR(__xludf.DUMMYFUNCTION("""COMPUTED_VALUE"""),"MSFT")</f>
        <v>MSFT</v>
      </c>
      <c r="E89" s="5"/>
      <c r="F89" s="5">
        <f>IFERROR(__xludf.DUMMYFUNCTION("""COMPUTED_VALUE"""),300.43)</f>
        <v>300.43</v>
      </c>
      <c r="G89" s="5">
        <f>IFERROR(__xludf.DUMMYFUNCTION("""COMPUTED_VALUE"""),500.0)</f>
        <v>500</v>
      </c>
      <c r="H89" s="142" t="str">
        <f>IFERROR(__xludf.DUMMYFUNCTION("""COMPUTED_VALUE"""),"")</f>
        <v/>
      </c>
      <c r="I89" s="22">
        <f>IFERROR(__xludf.DUMMYFUNCTION("""COMPUTED_VALUE"""),-1175424.86425)</f>
        <v>-1175424.864</v>
      </c>
      <c r="J89" s="22">
        <f>IFERROR(__xludf.DUMMYFUNCTION("""COMPUTED_VALUE"""),-928078.6364600001)</f>
        <v>-928078.6365</v>
      </c>
      <c r="K89" s="5"/>
      <c r="L89" s="5" t="str">
        <f>IFERROR(__xludf.DUMMYFUNCTION("""COMPUTED_VALUE"""),"Insufficient Cash or Margin Balance")</f>
        <v>Insufficient Cash or Margin Balance</v>
      </c>
    </row>
    <row r="90">
      <c r="A90" s="86">
        <f>IFERROR(__xludf.DUMMYFUNCTION("""COMPUTED_VALUE"""),44638.0)</f>
        <v>44638</v>
      </c>
      <c r="B90" s="5" t="str">
        <f>IFERROR(__xludf.DUMMYFUNCTION("""COMPUTED_VALUE"""),"14626")</f>
        <v>14626</v>
      </c>
      <c r="C90" s="5" t="str">
        <f>IFERROR(__xludf.DUMMYFUNCTION("""COMPUTED_VALUE"""),"BUY (LONG)")</f>
        <v>BUY (LONG)</v>
      </c>
      <c r="D90" s="87" t="str">
        <f>IFERROR(__xludf.DUMMYFUNCTION("""COMPUTED_VALUE"""),"OXY")</f>
        <v>OXY</v>
      </c>
      <c r="E90" s="5">
        <f>IFERROR(__xludf.DUMMYFUNCTION("""COMPUTED_VALUE"""),50.0)</f>
        <v>50</v>
      </c>
      <c r="F90" s="5">
        <f>IFERROR(__xludf.DUMMYFUNCTION("""COMPUTED_VALUE"""),56.24)</f>
        <v>56.24</v>
      </c>
      <c r="G90" s="5">
        <f>IFERROR(__xludf.DUMMYFUNCTION("""COMPUTED_VALUE"""),100.0)</f>
        <v>100</v>
      </c>
      <c r="H90" s="142">
        <f>IFERROR(__xludf.DUMMYFUNCTION("""COMPUTED_VALUE"""),0.0)</f>
        <v>0</v>
      </c>
      <c r="I90" s="22">
        <f>IFERROR(__xludf.DUMMYFUNCTION("""COMPUTED_VALUE"""),0.0)</f>
        <v>0</v>
      </c>
      <c r="J90" s="22">
        <f>IFERROR(__xludf.DUMMYFUNCTION("""COMPUTED_VALUE"""),247346.22779000006)</f>
        <v>247346.2278</v>
      </c>
      <c r="K90" s="5"/>
      <c r="L90" s="5" t="str">
        <f>IFERROR(__xludf.DUMMYFUNCTION("""COMPUTED_VALUE"""),"Limit Condition not met")</f>
        <v>Limit Condition not met</v>
      </c>
    </row>
    <row r="91">
      <c r="A91" s="86">
        <f>IFERROR(__xludf.DUMMYFUNCTION("""COMPUTED_VALUE"""),44638.0)</f>
        <v>44638</v>
      </c>
      <c r="B91" s="5" t="str">
        <f>IFERROR(__xludf.DUMMYFUNCTION("""COMPUTED_VALUE"""),"37198")</f>
        <v>37198</v>
      </c>
      <c r="C91" s="5" t="str">
        <f>IFERROR(__xludf.DUMMYFUNCTION("""COMPUTED_VALUE"""),"BUY (LONG)")</f>
        <v>BUY (LONG)</v>
      </c>
      <c r="D91" s="87" t="str">
        <f>IFERROR(__xludf.DUMMYFUNCTION("""COMPUTED_VALUE"""),"BNTX")</f>
        <v>BNTX</v>
      </c>
      <c r="E91" s="5">
        <f>IFERROR(__xludf.DUMMYFUNCTION("""COMPUTED_VALUE"""),166.5)</f>
        <v>166.5</v>
      </c>
      <c r="F91" s="5">
        <f>IFERROR(__xludf.DUMMYFUNCTION("""COMPUTED_VALUE"""),174.46)</f>
        <v>174.46</v>
      </c>
      <c r="G91" s="5">
        <f>IFERROR(__xludf.DUMMYFUNCTION("""COMPUTED_VALUE"""),20.0)</f>
        <v>20</v>
      </c>
      <c r="H91" s="142">
        <f>IFERROR(__xludf.DUMMYFUNCTION("""COMPUTED_VALUE"""),0.0)</f>
        <v>0</v>
      </c>
      <c r="I91" s="22">
        <f>IFERROR(__xludf.DUMMYFUNCTION("""COMPUTED_VALUE"""),0.0)</f>
        <v>0</v>
      </c>
      <c r="J91" s="22">
        <f>IFERROR(__xludf.DUMMYFUNCTION("""COMPUTED_VALUE"""),493448.06348)</f>
        <v>493448.0635</v>
      </c>
      <c r="K91" s="5"/>
      <c r="L91" s="5" t="str">
        <f>IFERROR(__xludf.DUMMYFUNCTION("""COMPUTED_VALUE"""),"Limit Condition not met")</f>
        <v>Limit Condition not met</v>
      </c>
    </row>
    <row r="92">
      <c r="A92" s="86">
        <f>IFERROR(__xludf.DUMMYFUNCTION("""COMPUTED_VALUE"""),44638.0)</f>
        <v>44638</v>
      </c>
      <c r="B92" s="5" t="str">
        <f>IFERROR(__xludf.DUMMYFUNCTION("""COMPUTED_VALUE"""),"37198")</f>
        <v>37198</v>
      </c>
      <c r="C92" s="5" t="str">
        <f>IFERROR(__xludf.DUMMYFUNCTION("""COMPUTED_VALUE"""),"BUY (LONG)")</f>
        <v>BUY (LONG)</v>
      </c>
      <c r="D92" s="87" t="str">
        <f>IFERROR(__xludf.DUMMYFUNCTION("""COMPUTED_VALUE"""),"DVN")</f>
        <v>DVN</v>
      </c>
      <c r="E92" s="5">
        <f>IFERROR(__xludf.DUMMYFUNCTION("""COMPUTED_VALUE"""),58.0)</f>
        <v>58</v>
      </c>
      <c r="F92" s="5">
        <f>IFERROR(__xludf.DUMMYFUNCTION("""COMPUTED_VALUE"""),58.27)</f>
        <v>58.27</v>
      </c>
      <c r="G92" s="5">
        <f>IFERROR(__xludf.DUMMYFUNCTION("""COMPUTED_VALUE"""),50.0)</f>
        <v>50</v>
      </c>
      <c r="H92" s="142">
        <f>IFERROR(__xludf.DUMMYFUNCTION("""COMPUTED_VALUE"""),0.0)</f>
        <v>0</v>
      </c>
      <c r="I92" s="22">
        <f>IFERROR(__xludf.DUMMYFUNCTION("""COMPUTED_VALUE"""),0.0)</f>
        <v>0</v>
      </c>
      <c r="J92" s="22">
        <f>IFERROR(__xludf.DUMMYFUNCTION("""COMPUTED_VALUE"""),493448.06348)</f>
        <v>493448.0635</v>
      </c>
      <c r="K92" s="5"/>
      <c r="L92" s="5" t="str">
        <f>IFERROR(__xludf.DUMMYFUNCTION("""COMPUTED_VALUE"""),"Limit Condition not met")</f>
        <v>Limit Condition not met</v>
      </c>
    </row>
    <row r="93">
      <c r="A93" s="86">
        <f>IFERROR(__xludf.DUMMYFUNCTION("""COMPUTED_VALUE"""),44638.0)</f>
        <v>44638</v>
      </c>
      <c r="B93" s="5" t="str">
        <f>IFERROR(__xludf.DUMMYFUNCTION("""COMPUTED_VALUE"""),"39441")</f>
        <v>39441</v>
      </c>
      <c r="C93" s="5" t="str">
        <f>IFERROR(__xludf.DUMMYFUNCTION("""COMPUTED_VALUE"""),"SELL (SHORT)")</f>
        <v>SELL (SHORT)</v>
      </c>
      <c r="D93" s="87" t="str">
        <f>IFERROR(__xludf.DUMMYFUNCTION("""COMPUTED_VALUE"""),"GC=F")</f>
        <v>GC=F</v>
      </c>
      <c r="E93" s="5">
        <f>IFERROR(__xludf.DUMMYFUNCTION("""COMPUTED_VALUE"""),1935.0)</f>
        <v>1935</v>
      </c>
      <c r="F93" s="5">
        <f>IFERROR(__xludf.DUMMYFUNCTION("""COMPUTED_VALUE"""),1921.5)</f>
        <v>1921.5</v>
      </c>
      <c r="G93" s="5">
        <f>IFERROR(__xludf.DUMMYFUNCTION("""COMPUTED_VALUE"""),10.0)</f>
        <v>10</v>
      </c>
      <c r="H93" s="142">
        <f>IFERROR(__xludf.DUMMYFUNCTION("""COMPUTED_VALUE"""),0.0)</f>
        <v>0</v>
      </c>
      <c r="I93" s="22">
        <f>IFERROR(__xludf.DUMMYFUNCTION("""COMPUTED_VALUE"""),0.0)</f>
        <v>0</v>
      </c>
      <c r="J93" s="22">
        <f>IFERROR(__xludf.DUMMYFUNCTION("""COMPUTED_VALUE"""),171553.25463525002)</f>
        <v>171553.2546</v>
      </c>
      <c r="K93" s="5"/>
      <c r="L93" s="5" t="str">
        <f>IFERROR(__xludf.DUMMYFUNCTION("""COMPUTED_VALUE"""),"Limit Condition not met")</f>
        <v>Limit Condition not met</v>
      </c>
    </row>
    <row r="94">
      <c r="A94" s="86">
        <f>IFERROR(__xludf.DUMMYFUNCTION("""COMPUTED_VALUE"""),44638.0)</f>
        <v>44638</v>
      </c>
      <c r="B94" s="5" t="str">
        <f>IFERROR(__xludf.DUMMYFUNCTION("""COMPUTED_VALUE"""),"39776")</f>
        <v>39776</v>
      </c>
      <c r="C94" s="5" t="str">
        <f>IFERROR(__xludf.DUMMYFUNCTION("""COMPUTED_VALUE"""),"BUY (LONG)")</f>
        <v>BUY (LONG)</v>
      </c>
      <c r="D94" s="90" t="str">
        <f>IFERROR(__xludf.DUMMYFUNCTION("""COMPUTED_VALUE"""),"3800.HK")</f>
        <v>3800.HK</v>
      </c>
      <c r="E94" s="5">
        <f>IFERROR(__xludf.DUMMYFUNCTION("""COMPUTED_VALUE"""),2.58)</f>
        <v>2.58</v>
      </c>
      <c r="F94" s="5">
        <f>IFERROR(__xludf.DUMMYFUNCTION("""COMPUTED_VALUE"""),2.63)</f>
        <v>2.63</v>
      </c>
      <c r="G94" s="5">
        <f>IFERROR(__xludf.DUMMYFUNCTION("""COMPUTED_VALUE"""),10000.0)</f>
        <v>10000</v>
      </c>
      <c r="H94" s="142">
        <f>IFERROR(__xludf.DUMMYFUNCTION("""COMPUTED_VALUE"""),0.0)</f>
        <v>0</v>
      </c>
      <c r="I94" s="22">
        <f>IFERROR(__xludf.DUMMYFUNCTION("""COMPUTED_VALUE"""),0.0)</f>
        <v>0</v>
      </c>
      <c r="J94" s="22">
        <f>IFERROR(__xludf.DUMMYFUNCTION("""COMPUTED_VALUE"""),485150.0)</f>
        <v>485150</v>
      </c>
      <c r="K94" s="5"/>
      <c r="L94" s="5" t="str">
        <f>IFERROR(__xludf.DUMMYFUNCTION("""COMPUTED_VALUE"""),"Limit Condition not met")</f>
        <v>Limit Condition not met</v>
      </c>
    </row>
    <row r="95">
      <c r="A95" s="86">
        <f>IFERROR(__xludf.DUMMYFUNCTION("""COMPUTED_VALUE"""),44638.0)</f>
        <v>44638</v>
      </c>
      <c r="B95" s="5" t="str">
        <f>IFERROR(__xludf.DUMMYFUNCTION("""COMPUTED_VALUE"""),"89845")</f>
        <v>89845</v>
      </c>
      <c r="C95" s="5" t="str">
        <f>IFERROR(__xludf.DUMMYFUNCTION("""COMPUTED_VALUE"""),"BUY (LONG)")</f>
        <v>BUY (LONG)</v>
      </c>
      <c r="D95" s="87" t="str">
        <f>IFERROR(__xludf.DUMMYFUNCTION("""COMPUTED_VALUE"""),"ASML")</f>
        <v>ASML</v>
      </c>
      <c r="E95" s="5">
        <f>IFERROR(__xludf.DUMMYFUNCTION("""COMPUTED_VALUE"""),600.0)</f>
        <v>600</v>
      </c>
      <c r="F95" s="5">
        <f>IFERROR(__xludf.DUMMYFUNCTION("""COMPUTED_VALUE"""),679.86)</f>
        <v>679.86</v>
      </c>
      <c r="G95" s="5">
        <f>IFERROR(__xludf.DUMMYFUNCTION("""COMPUTED_VALUE"""),200.0)</f>
        <v>200</v>
      </c>
      <c r="H95" s="142">
        <f>IFERROR(__xludf.DUMMYFUNCTION("""COMPUTED_VALUE"""),0.0)</f>
        <v>0</v>
      </c>
      <c r="I95" s="22">
        <f>IFERROR(__xludf.DUMMYFUNCTION("""COMPUTED_VALUE"""),0.0)</f>
        <v>0</v>
      </c>
      <c r="J95" s="22">
        <f>IFERROR(__xludf.DUMMYFUNCTION("""COMPUTED_VALUE"""),500000.0)</f>
        <v>500000</v>
      </c>
      <c r="K95" s="5"/>
      <c r="L95" s="5" t="str">
        <f>IFERROR(__xludf.DUMMYFUNCTION("""COMPUTED_VALUE"""),"Limit Condition not met")</f>
        <v>Limit Condition not met</v>
      </c>
    </row>
    <row r="96">
      <c r="A96" s="86">
        <f>IFERROR(__xludf.DUMMYFUNCTION("""COMPUTED_VALUE"""),44641.0)</f>
        <v>44641</v>
      </c>
      <c r="B96" s="5" t="str">
        <f>IFERROR(__xludf.DUMMYFUNCTION("""COMPUTED_VALUE"""),"14626")</f>
        <v>14626</v>
      </c>
      <c r="C96" s="5" t="str">
        <f>IFERROR(__xludf.DUMMYFUNCTION("""COMPUTED_VALUE"""),"BUY (LONG)")</f>
        <v>BUY (LONG)</v>
      </c>
      <c r="D96" s="87" t="str">
        <f>IFERROR(__xludf.DUMMYFUNCTION("""COMPUTED_VALUE"""),"^CMC200")</f>
        <v>^CMC200</v>
      </c>
      <c r="E96" s="5"/>
      <c r="F96" s="5">
        <f>IFERROR(__xludf.DUMMYFUNCTION("""COMPUTED_VALUE"""),941.89)</f>
        <v>941.89</v>
      </c>
      <c r="G96" s="5">
        <f>IFERROR(__xludf.DUMMYFUNCTION("""COMPUTED_VALUE"""),500.0)</f>
        <v>500</v>
      </c>
      <c r="H96" s="142" t="str">
        <f>IFERROR(__xludf.DUMMYFUNCTION("""COMPUTED_VALUE"""),"")</f>
        <v/>
      </c>
      <c r="I96" s="22">
        <f>IFERROR(__xludf.DUMMYFUNCTION("""COMPUTED_VALUE"""),-3685356.55025)</f>
        <v>-3685356.55</v>
      </c>
      <c r="J96" s="22">
        <f>IFERROR(__xludf.DUMMYFUNCTION("""COMPUTED_VALUE"""),-3438010.32246)</f>
        <v>-3438010.322</v>
      </c>
      <c r="K96" s="5"/>
      <c r="L96" s="5" t="str">
        <f>IFERROR(__xludf.DUMMYFUNCTION("""COMPUTED_VALUE"""),"Insufficient Cash or Margin Balance")</f>
        <v>Insufficient Cash or Margin Balance</v>
      </c>
    </row>
    <row r="97">
      <c r="A97" s="86">
        <f>IFERROR(__xludf.DUMMYFUNCTION("""COMPUTED_VALUE"""),44641.0)</f>
        <v>44641</v>
      </c>
      <c r="B97" s="5" t="str">
        <f>IFERROR(__xludf.DUMMYFUNCTION("""COMPUTED_VALUE"""),"14626")</f>
        <v>14626</v>
      </c>
      <c r="C97" s="5" t="str">
        <f>IFERROR(__xludf.DUMMYFUNCTION("""COMPUTED_VALUE"""),"BUY (LONG)")</f>
        <v>BUY (LONG)</v>
      </c>
      <c r="D97" s="87" t="str">
        <f>IFERROR(__xludf.DUMMYFUNCTION("""COMPUTED_VALUE"""),"^N225")</f>
        <v>^N225</v>
      </c>
      <c r="E97" s="5"/>
      <c r="F97" s="5">
        <f>IFERROR(__xludf.DUMMYFUNCTION("""COMPUTED_VALUE"""),27222.93)</f>
        <v>27222.93</v>
      </c>
      <c r="G97" s="5">
        <f>IFERROR(__xludf.DUMMYFUNCTION("""COMPUTED_VALUE"""),500.0)</f>
        <v>500</v>
      </c>
      <c r="H97" s="142" t="str">
        <f>IFERROR(__xludf.DUMMYFUNCTION("""COMPUTED_VALUE"""),"")</f>
        <v/>
      </c>
      <c r="I97" s="22">
        <f>IFERROR(__xludf.DUMMYFUNCTION("""COMPUTED_VALUE"""),-890436.85908975)</f>
        <v>-890436.8591</v>
      </c>
      <c r="J97" s="22">
        <f>IFERROR(__xludf.DUMMYFUNCTION("""COMPUTED_VALUE"""),-643090.6312997498)</f>
        <v>-643090.6313</v>
      </c>
      <c r="K97" s="5"/>
      <c r="L97" s="5" t="str">
        <f>IFERROR(__xludf.DUMMYFUNCTION("""COMPUTED_VALUE"""),"Insufficient Cash or Margin Balance")</f>
        <v>Insufficient Cash or Margin Balance</v>
      </c>
    </row>
    <row r="98">
      <c r="A98" s="86">
        <f>IFERROR(__xludf.DUMMYFUNCTION("""COMPUTED_VALUE"""),44641.0)</f>
        <v>44641</v>
      </c>
      <c r="B98" s="5" t="str">
        <f>IFERROR(__xludf.DUMMYFUNCTION("""COMPUTED_VALUE"""),"14626")</f>
        <v>14626</v>
      </c>
      <c r="C98" s="5" t="str">
        <f>IFERROR(__xludf.DUMMYFUNCTION("""COMPUTED_VALUE"""),"BUY (LONG)")</f>
        <v>BUY (LONG)</v>
      </c>
      <c r="D98" s="90" t="str">
        <f>IFERROR(__xludf.DUMMYFUNCTION("""COMPUTED_VALUE"""),"0700.HK")</f>
        <v>0700.HK</v>
      </c>
      <c r="E98" s="5"/>
      <c r="F98" s="5">
        <f>IFERROR(__xludf.DUMMYFUNCTION("""COMPUTED_VALUE"""),372.4)</f>
        <v>372.4</v>
      </c>
      <c r="G98" s="5">
        <f>IFERROR(__xludf.DUMMYFUNCTION("""COMPUTED_VALUE"""),500.0)</f>
        <v>500</v>
      </c>
      <c r="H98" s="142" t="str">
        <f>IFERROR(__xludf.DUMMYFUNCTION("""COMPUTED_VALUE"""),"")</f>
        <v/>
      </c>
      <c r="I98" s="22">
        <f>IFERROR(__xludf.DUMMYFUNCTION("""COMPUTED_VALUE"""),-186200.0)</f>
        <v>-186200</v>
      </c>
      <c r="J98" s="22">
        <f>IFERROR(__xludf.DUMMYFUNCTION("""COMPUTED_VALUE"""),-379191.8437099999)</f>
        <v>-379191.8437</v>
      </c>
      <c r="K98" s="5"/>
      <c r="L98" s="5" t="str">
        <f>IFERROR(__xludf.DUMMYFUNCTION("""COMPUTED_VALUE"""),"Insufficient Cash or Margin Balance")</f>
        <v>Insufficient Cash or Margin Balance</v>
      </c>
    </row>
    <row r="99">
      <c r="A99" s="86">
        <f>IFERROR(__xludf.DUMMYFUNCTION("""COMPUTED_VALUE"""),44641.0)</f>
        <v>44641</v>
      </c>
      <c r="B99" s="5" t="str">
        <f>IFERROR(__xludf.DUMMYFUNCTION("""COMPUTED_VALUE"""),"14626")</f>
        <v>14626</v>
      </c>
      <c r="C99" s="5" t="str">
        <f>IFERROR(__xludf.DUMMYFUNCTION("""COMPUTED_VALUE"""),"BUY (LONG)")</f>
        <v>BUY (LONG)</v>
      </c>
      <c r="D99" s="87" t="str">
        <f>IFERROR(__xludf.DUMMYFUNCTION("""COMPUTED_VALUE"""),"AMC")</f>
        <v>AMC</v>
      </c>
      <c r="E99" s="5"/>
      <c r="F99" s="5">
        <f>IFERROR(__xludf.DUMMYFUNCTION("""COMPUTED_VALUE"""),15.86)</f>
        <v>15.86</v>
      </c>
      <c r="G99" s="5">
        <f>IFERROR(__xludf.DUMMYFUNCTION("""COMPUTED_VALUE"""),500.0)</f>
        <v>500</v>
      </c>
      <c r="H99" s="142" t="str">
        <f>IFERROR(__xludf.DUMMYFUNCTION("""COMPUTED_VALUE"""),"")</f>
        <v/>
      </c>
      <c r="I99" s="22">
        <f>IFERROR(__xludf.DUMMYFUNCTION("""COMPUTED_VALUE"""),-62055.8185)</f>
        <v>-62055.8185</v>
      </c>
      <c r="J99" s="22">
        <f>IFERROR(__xludf.DUMMYFUNCTION("""COMPUTED_VALUE"""),-255047.6622099999)</f>
        <v>-255047.6622</v>
      </c>
      <c r="K99" s="5"/>
      <c r="L99" s="5" t="str">
        <f>IFERROR(__xludf.DUMMYFUNCTION("""COMPUTED_VALUE"""),"Insufficient Cash or Margin Balance")</f>
        <v>Insufficient Cash or Margin Balance</v>
      </c>
    </row>
    <row r="100">
      <c r="A100" s="86">
        <f>IFERROR(__xludf.DUMMYFUNCTION("""COMPUTED_VALUE"""),44641.0)</f>
        <v>44641</v>
      </c>
      <c r="B100" s="5" t="str">
        <f>IFERROR(__xludf.DUMMYFUNCTION("""COMPUTED_VALUE"""),"14626")</f>
        <v>14626</v>
      </c>
      <c r="C100" s="5" t="str">
        <f>IFERROR(__xludf.DUMMYFUNCTION("""COMPUTED_VALUE"""),"BUY (LONG)")</f>
        <v>BUY (LONG)</v>
      </c>
      <c r="D100" s="87" t="str">
        <f>IFERROR(__xludf.DUMMYFUNCTION("""COMPUTED_VALUE"""),"BA")</f>
        <v>BA</v>
      </c>
      <c r="E100" s="5"/>
      <c r="F100" s="5">
        <f>IFERROR(__xludf.DUMMYFUNCTION("""COMPUTED_VALUE"""),185.9)</f>
        <v>185.9</v>
      </c>
      <c r="G100" s="5">
        <f>IFERROR(__xludf.DUMMYFUNCTION("""COMPUTED_VALUE"""),500.0)</f>
        <v>500</v>
      </c>
      <c r="H100" s="142" t="str">
        <f>IFERROR(__xludf.DUMMYFUNCTION("""COMPUTED_VALUE"""),"")</f>
        <v/>
      </c>
      <c r="I100" s="22">
        <f>IFERROR(__xludf.DUMMYFUNCTION("""COMPUTED_VALUE"""),-727375.5775000001)</f>
        <v>-727375.5775</v>
      </c>
      <c r="J100" s="22">
        <f>IFERROR(__xludf.DUMMYFUNCTION("""COMPUTED_VALUE"""),-920367.42121)</f>
        <v>-920367.4212</v>
      </c>
      <c r="K100" s="5"/>
      <c r="L100" s="5" t="str">
        <f>IFERROR(__xludf.DUMMYFUNCTION("""COMPUTED_VALUE"""),"Insufficient Cash or Margin Balance")</f>
        <v>Insufficient Cash or Margin Balance</v>
      </c>
    </row>
    <row r="101">
      <c r="A101" s="86">
        <f>IFERROR(__xludf.DUMMYFUNCTION("""COMPUTED_VALUE"""),44641.0)</f>
        <v>44641</v>
      </c>
      <c r="B101" s="5" t="str">
        <f>IFERROR(__xludf.DUMMYFUNCTION("""COMPUTED_VALUE"""),"14626")</f>
        <v>14626</v>
      </c>
      <c r="C101" s="5" t="str">
        <f>IFERROR(__xludf.DUMMYFUNCTION("""COMPUTED_VALUE"""),"BUY (LONG)")</f>
        <v>BUY (LONG)</v>
      </c>
      <c r="D101" s="87" t="str">
        <f>IFERROR(__xludf.DUMMYFUNCTION("""COMPUTED_VALUE"""),"CL=F")</f>
        <v>CL=F</v>
      </c>
      <c r="E101" s="5"/>
      <c r="F101" s="5">
        <f>IFERROR(__xludf.DUMMYFUNCTION("""COMPUTED_VALUE"""),114.16)</f>
        <v>114.16</v>
      </c>
      <c r="G101" s="5">
        <f>IFERROR(__xludf.DUMMYFUNCTION("""COMPUTED_VALUE"""),500.0)</f>
        <v>500</v>
      </c>
      <c r="H101" s="142" t="str">
        <f>IFERROR(__xludf.DUMMYFUNCTION("""COMPUTED_VALUE"""),"")</f>
        <v/>
      </c>
      <c r="I101" s="22">
        <f>IFERROR(__xludf.DUMMYFUNCTION("""COMPUTED_VALUE"""),-446676.686)</f>
        <v>-446676.686</v>
      </c>
      <c r="J101" s="22">
        <f>IFERROR(__xludf.DUMMYFUNCTION("""COMPUTED_VALUE"""),-623391.5937099999)</f>
        <v>-623391.5937</v>
      </c>
      <c r="K101" s="5"/>
      <c r="L101" s="5" t="str">
        <f>IFERROR(__xludf.DUMMYFUNCTION("""COMPUTED_VALUE"""),"Insufficient Cash or Margin Balance")</f>
        <v>Insufficient Cash or Margin Balance</v>
      </c>
    </row>
    <row r="102">
      <c r="A102" s="86">
        <f>IFERROR(__xludf.DUMMYFUNCTION("""COMPUTED_VALUE"""),44641.0)</f>
        <v>44641</v>
      </c>
      <c r="B102" s="5" t="str">
        <f>IFERROR(__xludf.DUMMYFUNCTION("""COMPUTED_VALUE"""),"14626")</f>
        <v>14626</v>
      </c>
      <c r="C102" s="5" t="str">
        <f>IFERROR(__xludf.DUMMYFUNCTION("""COMPUTED_VALUE"""),"BUY (LONG)")</f>
        <v>BUY (LONG)</v>
      </c>
      <c r="D102" s="87" t="str">
        <f>IFERROR(__xludf.DUMMYFUNCTION("""COMPUTED_VALUE"""),"F")</f>
        <v>F</v>
      </c>
      <c r="E102" s="5"/>
      <c r="F102" s="5">
        <f>IFERROR(__xludf.DUMMYFUNCTION("""COMPUTED_VALUE"""),16.48)</f>
        <v>16.48</v>
      </c>
      <c r="G102" s="5">
        <f>IFERROR(__xludf.DUMMYFUNCTION("""COMPUTED_VALUE"""),500.0)</f>
        <v>500</v>
      </c>
      <c r="H102" s="142" t="str">
        <f>IFERROR(__xludf.DUMMYFUNCTION("""COMPUTED_VALUE"""),"")</f>
        <v/>
      </c>
      <c r="I102" s="22">
        <f>IFERROR(__xludf.DUMMYFUNCTION("""COMPUTED_VALUE"""),-64481.708)</f>
        <v>-64481.708</v>
      </c>
      <c r="J102" s="22">
        <f>IFERROR(__xludf.DUMMYFUNCTION("""COMPUTED_VALUE"""),-257473.5517099999)</f>
        <v>-257473.5517</v>
      </c>
      <c r="K102" s="5"/>
      <c r="L102" s="5" t="str">
        <f>IFERROR(__xludf.DUMMYFUNCTION("""COMPUTED_VALUE"""),"Insufficient Cash or Margin Balance")</f>
        <v>Insufficient Cash or Margin Balance</v>
      </c>
    </row>
    <row r="103">
      <c r="A103" s="86">
        <f>IFERROR(__xludf.DUMMYFUNCTION("""COMPUTED_VALUE"""),44641.0)</f>
        <v>44641</v>
      </c>
      <c r="B103" s="5" t="str">
        <f>IFERROR(__xludf.DUMMYFUNCTION("""COMPUTED_VALUE"""),"14626")</f>
        <v>14626</v>
      </c>
      <c r="C103" s="5" t="str">
        <f>IFERROR(__xludf.DUMMYFUNCTION("""COMPUTED_VALUE"""),"BUY (LONG)")</f>
        <v>BUY (LONG)</v>
      </c>
      <c r="D103" s="87" t="str">
        <f>IFERROR(__xludf.DUMMYFUNCTION("""COMPUTED_VALUE"""),"FB")</f>
        <v>FB</v>
      </c>
      <c r="E103" s="5"/>
      <c r="F103" s="5">
        <f>IFERROR(__xludf.DUMMYFUNCTION("""COMPUTED_VALUE"""),211.49)</f>
        <v>211.49</v>
      </c>
      <c r="G103" s="5">
        <f>IFERROR(__xludf.DUMMYFUNCTION("""COMPUTED_VALUE"""),500.0)</f>
        <v>500</v>
      </c>
      <c r="H103" s="142" t="str">
        <f>IFERROR(__xludf.DUMMYFUNCTION("""COMPUTED_VALUE"""),"")</f>
        <v/>
      </c>
      <c r="I103" s="22">
        <f>IFERROR(__xludf.DUMMYFUNCTION("""COMPUTED_VALUE"""),-827502.2102500001)</f>
        <v>-827502.2103</v>
      </c>
      <c r="J103" s="22">
        <f>IFERROR(__xludf.DUMMYFUNCTION("""COMPUTED_VALUE"""),-1020494.0539599999)</f>
        <v>-1020494.054</v>
      </c>
      <c r="K103" s="5"/>
      <c r="L103" s="5" t="str">
        <f>IFERROR(__xludf.DUMMYFUNCTION("""COMPUTED_VALUE"""),"Insufficient Cash or Margin Balance")</f>
        <v>Insufficient Cash or Margin Balance</v>
      </c>
    </row>
    <row r="104">
      <c r="A104" s="86">
        <f>IFERROR(__xludf.DUMMYFUNCTION("""COMPUTED_VALUE"""),44641.0)</f>
        <v>44641</v>
      </c>
      <c r="B104" s="5" t="str">
        <f>IFERROR(__xludf.DUMMYFUNCTION("""COMPUTED_VALUE"""),"14626")</f>
        <v>14626</v>
      </c>
      <c r="C104" s="5" t="str">
        <f>IFERROR(__xludf.DUMMYFUNCTION("""COMPUTED_VALUE"""),"BUY (LONG)")</f>
        <v>BUY (LONG)</v>
      </c>
      <c r="D104" s="87" t="str">
        <f>IFERROR(__xludf.DUMMYFUNCTION("""COMPUTED_VALUE"""),"GOOG")</f>
        <v>GOOG</v>
      </c>
      <c r="E104" s="5"/>
      <c r="F104" s="5">
        <f>IFERROR(__xludf.DUMMYFUNCTION("""COMPUTED_VALUE"""),2729.57)</f>
        <v>2729.57</v>
      </c>
      <c r="G104" s="5">
        <f>IFERROR(__xludf.DUMMYFUNCTION("""COMPUTED_VALUE"""),500.0)</f>
        <v>500</v>
      </c>
      <c r="H104" s="142" t="str">
        <f>IFERROR(__xludf.DUMMYFUNCTION("""COMPUTED_VALUE"""),"")</f>
        <v/>
      </c>
      <c r="I104" s="22">
        <f>IFERROR(__xludf.DUMMYFUNCTION("""COMPUTED_VALUE"""),-1.068005677825E7)</f>
        <v>-10680056.78</v>
      </c>
      <c r="J104" s="22">
        <f>IFERROR(__xludf.DUMMYFUNCTION("""COMPUTED_VALUE"""),-1.087304862196E7)</f>
        <v>-10873048.62</v>
      </c>
      <c r="K104" s="5"/>
      <c r="L104" s="5" t="str">
        <f>IFERROR(__xludf.DUMMYFUNCTION("""COMPUTED_VALUE"""),"Insufficient Cash or Margin Balance")</f>
        <v>Insufficient Cash or Margin Balance</v>
      </c>
    </row>
    <row r="105">
      <c r="A105" s="86">
        <f>IFERROR(__xludf.DUMMYFUNCTION("""COMPUTED_VALUE"""),44641.0)</f>
        <v>44641</v>
      </c>
      <c r="B105" s="5" t="str">
        <f>IFERROR(__xludf.DUMMYFUNCTION("""COMPUTED_VALUE"""),"14626")</f>
        <v>14626</v>
      </c>
      <c r="C105" s="5" t="str">
        <f>IFERROR(__xludf.DUMMYFUNCTION("""COMPUTED_VALUE"""),"BUY (LONG)")</f>
        <v>BUY (LONG)</v>
      </c>
      <c r="D105" s="87" t="str">
        <f>IFERROR(__xludf.DUMMYFUNCTION("""COMPUTED_VALUE"""),"LUNA1-USD")</f>
        <v>LUNA1-USD</v>
      </c>
      <c r="E105" s="5"/>
      <c r="F105" s="5">
        <f>IFERROR(__xludf.DUMMYFUNCTION("""COMPUTED_VALUE"""),94.99)</f>
        <v>94.99</v>
      </c>
      <c r="G105" s="5">
        <f>IFERROR(__xludf.DUMMYFUNCTION("""COMPUTED_VALUE"""),1000.0)</f>
        <v>1000</v>
      </c>
      <c r="H105" s="142" t="str">
        <f>IFERROR(__xludf.DUMMYFUNCTION("""COMPUTED_VALUE"""),"")</f>
        <v/>
      </c>
      <c r="I105" s="22">
        <f>IFERROR(__xludf.DUMMYFUNCTION("""COMPUTED_VALUE"""),-743339.4955)</f>
        <v>-743339.4955</v>
      </c>
      <c r="J105" s="22">
        <f>IFERROR(__xludf.DUMMYFUNCTION("""COMPUTED_VALUE"""),-920054.4032099999)</f>
        <v>-920054.4032</v>
      </c>
      <c r="K105" s="5"/>
      <c r="L105" s="5" t="str">
        <f>IFERROR(__xludf.DUMMYFUNCTION("""COMPUTED_VALUE"""),"Insufficient Cash or Margin Balance")</f>
        <v>Insufficient Cash or Margin Balance</v>
      </c>
    </row>
    <row r="106">
      <c r="A106" s="86">
        <f>IFERROR(__xludf.DUMMYFUNCTION("""COMPUTED_VALUE"""),44641.0)</f>
        <v>44641</v>
      </c>
      <c r="B106" s="5" t="str">
        <f>IFERROR(__xludf.DUMMYFUNCTION("""COMPUTED_VALUE"""),"14626")</f>
        <v>14626</v>
      </c>
      <c r="C106" s="5" t="str">
        <f>IFERROR(__xludf.DUMMYFUNCTION("""COMPUTED_VALUE"""),"BUY (LONG)")</f>
        <v>BUY (LONG)</v>
      </c>
      <c r="D106" s="87" t="str">
        <f>IFERROR(__xludf.DUMMYFUNCTION("""COMPUTED_VALUE"""),"MMM")</f>
        <v>MMM</v>
      </c>
      <c r="E106" s="5"/>
      <c r="F106" s="5">
        <f>IFERROR(__xludf.DUMMYFUNCTION("""COMPUTED_VALUE"""),148.58)</f>
        <v>148.58</v>
      </c>
      <c r="G106" s="5">
        <f>IFERROR(__xludf.DUMMYFUNCTION("""COMPUTED_VALUE"""),500.0)</f>
        <v>500</v>
      </c>
      <c r="H106" s="142" t="str">
        <f>IFERROR(__xludf.DUMMYFUNCTION("""COMPUTED_VALUE"""),"")</f>
        <v/>
      </c>
      <c r="I106" s="22">
        <f>IFERROR(__xludf.DUMMYFUNCTION("""COMPUTED_VALUE"""),-581352.6805)</f>
        <v>-581352.6805</v>
      </c>
      <c r="J106" s="22">
        <f>IFERROR(__xludf.DUMMYFUNCTION("""COMPUTED_VALUE"""),-774344.52421)</f>
        <v>-774344.5242</v>
      </c>
      <c r="K106" s="5"/>
      <c r="L106" s="5" t="str">
        <f>IFERROR(__xludf.DUMMYFUNCTION("""COMPUTED_VALUE"""),"Insufficient Cash or Margin Balance")</f>
        <v>Insufficient Cash or Margin Balance</v>
      </c>
    </row>
    <row r="107">
      <c r="A107" s="86">
        <f>IFERROR(__xludf.DUMMYFUNCTION("""COMPUTED_VALUE"""),44641.0)</f>
        <v>44641</v>
      </c>
      <c r="B107" s="5" t="str">
        <f>IFERROR(__xludf.DUMMYFUNCTION("""COMPUTED_VALUE"""),"14626")</f>
        <v>14626</v>
      </c>
      <c r="C107" s="5" t="str">
        <f>IFERROR(__xludf.DUMMYFUNCTION("""COMPUTED_VALUE"""),"BUY (LONG)")</f>
        <v>BUY (LONG)</v>
      </c>
      <c r="D107" s="87" t="str">
        <f>IFERROR(__xludf.DUMMYFUNCTION("""COMPUTED_VALUE"""),"MSFT")</f>
        <v>MSFT</v>
      </c>
      <c r="E107" s="5"/>
      <c r="F107" s="5">
        <f>IFERROR(__xludf.DUMMYFUNCTION("""COMPUTED_VALUE"""),299.16)</f>
        <v>299.16</v>
      </c>
      <c r="G107" s="5">
        <f>IFERROR(__xludf.DUMMYFUNCTION("""COMPUTED_VALUE"""),500.0)</f>
        <v>500</v>
      </c>
      <c r="H107" s="142" t="str">
        <f>IFERROR(__xludf.DUMMYFUNCTION("""COMPUTED_VALUE"""),"")</f>
        <v/>
      </c>
      <c r="I107" s="22">
        <f>IFERROR(__xludf.DUMMYFUNCTION("""COMPUTED_VALUE"""),-1170530.811)</f>
        <v>-1170530.811</v>
      </c>
      <c r="J107" s="22">
        <f>IFERROR(__xludf.DUMMYFUNCTION("""COMPUTED_VALUE"""),-1363522.65471)</f>
        <v>-1363522.655</v>
      </c>
      <c r="K107" s="5"/>
      <c r="L107" s="5" t="str">
        <f>IFERROR(__xludf.DUMMYFUNCTION("""COMPUTED_VALUE"""),"Insufficient Cash or Margin Balance")</f>
        <v>Insufficient Cash or Margin Balance</v>
      </c>
    </row>
    <row r="108">
      <c r="A108" s="86">
        <f>IFERROR(__xludf.DUMMYFUNCTION("""COMPUTED_VALUE"""),44641.0)</f>
        <v>44641</v>
      </c>
      <c r="B108" s="5" t="str">
        <f>IFERROR(__xludf.DUMMYFUNCTION("""COMPUTED_VALUE"""),"14626")</f>
        <v>14626</v>
      </c>
      <c r="C108" s="5" t="str">
        <f>IFERROR(__xludf.DUMMYFUNCTION("""COMPUTED_VALUE"""),"BUY (LONG)")</f>
        <v>BUY (LONG)</v>
      </c>
      <c r="D108" s="87" t="str">
        <f>IFERROR(__xludf.DUMMYFUNCTION("""COMPUTED_VALUE"""),"NFLX")</f>
        <v>NFLX</v>
      </c>
      <c r="E108" s="5"/>
      <c r="F108" s="5">
        <f>IFERROR(__xludf.DUMMYFUNCTION("""COMPUTED_VALUE"""),374.59)</f>
        <v>374.59</v>
      </c>
      <c r="G108" s="5">
        <f>IFERROR(__xludf.DUMMYFUNCTION("""COMPUTED_VALUE"""),1000.0)</f>
        <v>1000</v>
      </c>
      <c r="H108" s="142" t="str">
        <f>IFERROR(__xludf.DUMMYFUNCTION("""COMPUTED_VALUE"""),"")</f>
        <v/>
      </c>
      <c r="I108" s="22">
        <f>IFERROR(__xludf.DUMMYFUNCTION("""COMPUTED_VALUE"""),-2931335.3155)</f>
        <v>-2931335.316</v>
      </c>
      <c r="J108" s="22">
        <f>IFERROR(__xludf.DUMMYFUNCTION("""COMPUTED_VALUE"""),-3108050.22321)</f>
        <v>-3108050.223</v>
      </c>
      <c r="K108" s="5"/>
      <c r="L108" s="5" t="str">
        <f>IFERROR(__xludf.DUMMYFUNCTION("""COMPUTED_VALUE"""),"Insufficient Cash or Margin Balance")</f>
        <v>Insufficient Cash or Margin Balance</v>
      </c>
    </row>
    <row r="109">
      <c r="A109" s="86">
        <f>IFERROR(__xludf.DUMMYFUNCTION("""COMPUTED_VALUE"""),44641.0)</f>
        <v>44641</v>
      </c>
      <c r="B109" s="5" t="str">
        <f>IFERROR(__xludf.DUMMYFUNCTION("""COMPUTED_VALUE"""),"14626")</f>
        <v>14626</v>
      </c>
      <c r="C109" s="5" t="str">
        <f>IFERROR(__xludf.DUMMYFUNCTION("""COMPUTED_VALUE"""),"BUY (LONG)")</f>
        <v>BUY (LONG)</v>
      </c>
      <c r="D109" s="87" t="str">
        <f>IFERROR(__xludf.DUMMYFUNCTION("""COMPUTED_VALUE"""),"NKE")</f>
        <v>NKE</v>
      </c>
      <c r="E109" s="5"/>
      <c r="F109" s="5">
        <f>IFERROR(__xludf.DUMMYFUNCTION("""COMPUTED_VALUE"""),130.19)</f>
        <v>130.19</v>
      </c>
      <c r="G109" s="5">
        <f>IFERROR(__xludf.DUMMYFUNCTION("""COMPUTED_VALUE"""),500.0)</f>
        <v>500</v>
      </c>
      <c r="H109" s="142" t="str">
        <f>IFERROR(__xludf.DUMMYFUNCTION("""COMPUTED_VALUE"""),"")</f>
        <v/>
      </c>
      <c r="I109" s="22">
        <f>IFERROR(__xludf.DUMMYFUNCTION("""COMPUTED_VALUE"""),-509397.66774999996)</f>
        <v>-509397.6678</v>
      </c>
      <c r="J109" s="22">
        <f>IFERROR(__xludf.DUMMYFUNCTION("""COMPUTED_VALUE"""),-686112.57546)</f>
        <v>-686112.5755</v>
      </c>
      <c r="K109" s="5"/>
      <c r="L109" s="5" t="str">
        <f>IFERROR(__xludf.DUMMYFUNCTION("""COMPUTED_VALUE"""),"Insufficient Cash or Margin Balance")</f>
        <v>Insufficient Cash or Margin Balance</v>
      </c>
    </row>
    <row r="110">
      <c r="A110" s="86">
        <f>IFERROR(__xludf.DUMMYFUNCTION("""COMPUTED_VALUE"""),44641.0)</f>
        <v>44641</v>
      </c>
      <c r="B110" s="5" t="str">
        <f>IFERROR(__xludf.DUMMYFUNCTION("""COMPUTED_VALUE"""),"14626")</f>
        <v>14626</v>
      </c>
      <c r="C110" s="5" t="str">
        <f>IFERROR(__xludf.DUMMYFUNCTION("""COMPUTED_VALUE"""),"BUY (LONG)")</f>
        <v>BUY (LONG)</v>
      </c>
      <c r="D110" s="87" t="str">
        <f>IFERROR(__xludf.DUMMYFUNCTION("""COMPUTED_VALUE"""),"NVDA")</f>
        <v>NVDA</v>
      </c>
      <c r="E110" s="5"/>
      <c r="F110" s="5">
        <f>IFERROR(__xludf.DUMMYFUNCTION("""COMPUTED_VALUE"""),267.34)</f>
        <v>267.34</v>
      </c>
      <c r="G110" s="5">
        <f>IFERROR(__xludf.DUMMYFUNCTION("""COMPUTED_VALUE"""),1000.0)</f>
        <v>1000</v>
      </c>
      <c r="H110" s="142" t="str">
        <f>IFERROR(__xludf.DUMMYFUNCTION("""COMPUTED_VALUE"""),"")</f>
        <v/>
      </c>
      <c r="I110" s="22">
        <f>IFERROR(__xludf.DUMMYFUNCTION("""COMPUTED_VALUE"""),-2092055.8029999998)</f>
        <v>-2092055.803</v>
      </c>
      <c r="J110" s="22">
        <f>IFERROR(__xludf.DUMMYFUNCTION("""COMPUTED_VALUE"""),-2268770.71071)</f>
        <v>-2268770.711</v>
      </c>
      <c r="K110" s="5"/>
      <c r="L110" s="5" t="str">
        <f>IFERROR(__xludf.DUMMYFUNCTION("""COMPUTED_VALUE"""),"Insufficient Cash or Margin Balance")</f>
        <v>Insufficient Cash or Margin Balance</v>
      </c>
    </row>
    <row r="111">
      <c r="A111" s="86">
        <f>IFERROR(__xludf.DUMMYFUNCTION("""COMPUTED_VALUE"""),44641.0)</f>
        <v>44641</v>
      </c>
      <c r="B111" s="5" t="str">
        <f>IFERROR(__xludf.DUMMYFUNCTION("""COMPUTED_VALUE"""),"14626")</f>
        <v>14626</v>
      </c>
      <c r="C111" s="5" t="str">
        <f>IFERROR(__xludf.DUMMYFUNCTION("""COMPUTED_VALUE"""),"BUY (LONG)")</f>
        <v>BUY (LONG)</v>
      </c>
      <c r="D111" s="87" t="str">
        <f>IFERROR(__xludf.DUMMYFUNCTION("""COMPUTED_VALUE"""),"SHOP")</f>
        <v>SHOP</v>
      </c>
      <c r="E111" s="5"/>
      <c r="F111" s="5">
        <f>IFERROR(__xludf.DUMMYFUNCTION("""COMPUTED_VALUE"""),683.45)</f>
        <v>683.45</v>
      </c>
      <c r="G111" s="5">
        <f>IFERROR(__xludf.DUMMYFUNCTION("""COMPUTED_VALUE"""),500.0)</f>
        <v>500</v>
      </c>
      <c r="H111" s="142" t="str">
        <f>IFERROR(__xludf.DUMMYFUNCTION("""COMPUTED_VALUE"""),"")</f>
        <v/>
      </c>
      <c r="I111" s="22">
        <f>IFERROR(__xludf.DUMMYFUNCTION("""COMPUTED_VALUE"""),-2674151.90125)</f>
        <v>-2674151.901</v>
      </c>
      <c r="J111" s="22">
        <f>IFERROR(__xludf.DUMMYFUNCTION("""COMPUTED_VALUE"""),-2426805.67346)</f>
        <v>-2426805.673</v>
      </c>
      <c r="K111" s="5"/>
      <c r="L111" s="5" t="str">
        <f>IFERROR(__xludf.DUMMYFUNCTION("""COMPUTED_VALUE"""),"Insufficient Cash or Margin Balance")</f>
        <v>Insufficient Cash or Margin Balance</v>
      </c>
    </row>
    <row r="112">
      <c r="A112" s="86">
        <f>IFERROR(__xludf.DUMMYFUNCTION("""COMPUTED_VALUE"""),44641.0)</f>
        <v>44641</v>
      </c>
      <c r="B112" s="5" t="str">
        <f>IFERROR(__xludf.DUMMYFUNCTION("""COMPUTED_VALUE"""),"14626")</f>
        <v>14626</v>
      </c>
      <c r="C112" s="5" t="str">
        <f>IFERROR(__xludf.DUMMYFUNCTION("""COMPUTED_VALUE"""),"BUY (LONG)")</f>
        <v>BUY (LONG)</v>
      </c>
      <c r="D112" s="87" t="str">
        <f>IFERROR(__xludf.DUMMYFUNCTION("""COMPUTED_VALUE"""),"TSLA")</f>
        <v>TSLA</v>
      </c>
      <c r="E112" s="5"/>
      <c r="F112" s="5">
        <f>IFERROR(__xludf.DUMMYFUNCTION("""COMPUTED_VALUE"""),921.16)</f>
        <v>921.16</v>
      </c>
      <c r="G112" s="5">
        <f>IFERROR(__xludf.DUMMYFUNCTION("""COMPUTED_VALUE"""),500.0)</f>
        <v>500</v>
      </c>
      <c r="H112" s="142" t="str">
        <f>IFERROR(__xludf.DUMMYFUNCTION("""COMPUTED_VALUE"""),"")</f>
        <v/>
      </c>
      <c r="I112" s="22">
        <f>IFERROR(__xludf.DUMMYFUNCTION("""COMPUTED_VALUE"""),-3604245.7609999995)</f>
        <v>-3604245.761</v>
      </c>
      <c r="J112" s="22">
        <f>IFERROR(__xludf.DUMMYFUNCTION("""COMPUTED_VALUE"""),-3797237.6047099996)</f>
        <v>-3797237.605</v>
      </c>
      <c r="K112" s="5"/>
      <c r="L112" s="5" t="str">
        <f>IFERROR(__xludf.DUMMYFUNCTION("""COMPUTED_VALUE"""),"Insufficient Cash or Margin Balance")</f>
        <v>Insufficient Cash or Margin Balance</v>
      </c>
    </row>
    <row r="113">
      <c r="A113" s="86">
        <f>IFERROR(__xludf.DUMMYFUNCTION("""COMPUTED_VALUE"""),44641.0)</f>
        <v>44641</v>
      </c>
      <c r="B113" s="5" t="str">
        <f>IFERROR(__xludf.DUMMYFUNCTION("""COMPUTED_VALUE"""),"39441")</f>
        <v>39441</v>
      </c>
      <c r="C113" s="5" t="str">
        <f>IFERROR(__xludf.DUMMYFUNCTION("""COMPUTED_VALUE"""),"BUY (LONG)")</f>
        <v>BUY (LONG)</v>
      </c>
      <c r="D113" s="87" t="str">
        <f>IFERROR(__xludf.DUMMYFUNCTION("""COMPUTED_VALUE"""),"AMZN")</f>
        <v>AMZN</v>
      </c>
      <c r="E113" s="5"/>
      <c r="F113" s="5">
        <f>IFERROR(__xludf.DUMMYFUNCTION("""COMPUTED_VALUE"""),3229.83)</f>
        <v>3229.83</v>
      </c>
      <c r="G113" s="5">
        <f>IFERROR(__xludf.DUMMYFUNCTION("""COMPUTED_VALUE"""),50.0)</f>
        <v>50</v>
      </c>
      <c r="H113" s="142" t="str">
        <f>IFERROR(__xludf.DUMMYFUNCTION("""COMPUTED_VALUE"""),"")</f>
        <v/>
      </c>
      <c r="I113" s="22">
        <f>IFERROR(__xludf.DUMMYFUNCTION("""COMPUTED_VALUE"""),-1263743.658675)</f>
        <v>-1263743.659</v>
      </c>
      <c r="J113" s="22">
        <f>IFERROR(__xludf.DUMMYFUNCTION("""COMPUTED_VALUE"""),-1088466.40403975)</f>
        <v>-1088466.404</v>
      </c>
      <c r="K113" s="5"/>
      <c r="L113" s="5" t="str">
        <f>IFERROR(__xludf.DUMMYFUNCTION("""COMPUTED_VALUE"""),"Insufficient Cash or Margin Balance")</f>
        <v>Insufficient Cash or Margin Balance</v>
      </c>
    </row>
    <row r="114">
      <c r="A114" s="86">
        <f>IFERROR(__xludf.DUMMYFUNCTION("""COMPUTED_VALUE"""),44641.0)</f>
        <v>44641</v>
      </c>
      <c r="B114" s="5" t="str">
        <f>IFERROR(__xludf.DUMMYFUNCTION("""COMPUTED_VALUE"""),"39441")</f>
        <v>39441</v>
      </c>
      <c r="C114" s="5" t="str">
        <f>IFERROR(__xludf.DUMMYFUNCTION("""COMPUTED_VALUE"""),"SELL (SHORT)")</f>
        <v>SELL (SHORT)</v>
      </c>
      <c r="D114" s="87" t="str">
        <f>IFERROR(__xludf.DUMMYFUNCTION("""COMPUTED_VALUE"""),"BABA")</f>
        <v>BABA</v>
      </c>
      <c r="E114" s="5"/>
      <c r="F114" s="5">
        <f>IFERROR(__xludf.DUMMYFUNCTION("""COMPUTED_VALUE"""),103.59)</f>
        <v>103.59</v>
      </c>
      <c r="G114" s="5">
        <f>IFERROR(__xludf.DUMMYFUNCTION("""COMPUTED_VALUE"""),500.0)</f>
        <v>500</v>
      </c>
      <c r="H114" s="142" t="str">
        <f>IFERROR(__xludf.DUMMYFUNCTION("""COMPUTED_VALUE"""),"")</f>
        <v/>
      </c>
      <c r="I114" s="22">
        <f>IFERROR(__xludf.DUMMYFUNCTION("""COMPUTED_VALUE"""),405319.18275000004)</f>
        <v>405319.1828</v>
      </c>
      <c r="J114" s="22">
        <f>IFERROR(__xludf.DUMMYFUNCTION("""COMPUTED_VALUE"""),-359459.22021475)</f>
        <v>-359459.2202</v>
      </c>
      <c r="K114" s="5"/>
      <c r="L114" s="5" t="str">
        <f>IFERROR(__xludf.DUMMYFUNCTION("""COMPUTED_VALUE"""),"Insufficient Cash or Margin Balance")</f>
        <v>Insufficient Cash or Margin Balance</v>
      </c>
    </row>
    <row r="115">
      <c r="A115" s="86">
        <f>IFERROR(__xludf.DUMMYFUNCTION("""COMPUTED_VALUE"""),44641.0)</f>
        <v>44641</v>
      </c>
      <c r="B115" s="5" t="str">
        <f>IFERROR(__xludf.DUMMYFUNCTION("""COMPUTED_VALUE"""),"40105")</f>
        <v>40105</v>
      </c>
      <c r="C115" s="5" t="str">
        <f>IFERROR(__xludf.DUMMYFUNCTION("""COMPUTED_VALUE"""),"BUY (LONG)")</f>
        <v>BUY (LONG)</v>
      </c>
      <c r="D115" s="87" t="str">
        <f>IFERROR(__xludf.DUMMYFUNCTION("""COMPUTED_VALUE"""),"US88032XAE40")</f>
        <v>US88032XAE40</v>
      </c>
      <c r="E115" s="5"/>
      <c r="F115" s="5"/>
      <c r="G115" s="5">
        <f>IFERROR(__xludf.DUMMYFUNCTION("""COMPUTED_VALUE"""),100.0)</f>
        <v>100</v>
      </c>
      <c r="H115" s="142" t="str">
        <f>IFERROR(__xludf.DUMMYFUNCTION("""COMPUTED_VALUE"""),"")</f>
        <v/>
      </c>
      <c r="I115" s="22">
        <f>IFERROR(__xludf.DUMMYFUNCTION("""COMPUTED_VALUE"""),-784845.6823)</f>
        <v>-784845.6823</v>
      </c>
      <c r="J115" s="22">
        <f>IFERROR(__xludf.DUMMYFUNCTION("""COMPUTED_VALUE"""),-742708.0740749999)</f>
        <v>-742708.0741</v>
      </c>
      <c r="K115" s="5"/>
      <c r="L115" s="5" t="str">
        <f>IFERROR(__xludf.DUMMYFUNCTION("""COMPUTED_VALUE"""),"Insufficient Cash or Margin Balance")</f>
        <v>Insufficient Cash or Margin Balance</v>
      </c>
    </row>
    <row r="116">
      <c r="A116" s="86">
        <f>IFERROR(__xludf.DUMMYFUNCTION("""COMPUTED_VALUE"""),44641.0)</f>
        <v>44641</v>
      </c>
      <c r="B116" s="5" t="str">
        <f>IFERROR(__xludf.DUMMYFUNCTION("""COMPUTED_VALUE"""),"40318")</f>
        <v>40318</v>
      </c>
      <c r="C116" s="5" t="str">
        <f>IFERROR(__xludf.DUMMYFUNCTION("""COMPUTED_VALUE"""),"BUY (LONG)")</f>
        <v>BUY (LONG)</v>
      </c>
      <c r="D116" s="87" t="str">
        <f>IFERROR(__xludf.DUMMYFUNCTION("""COMPUTED_VALUE"""),"BA")</f>
        <v>BA</v>
      </c>
      <c r="E116" s="5">
        <f>IFERROR(__xludf.DUMMYFUNCTION("""COMPUTED_VALUE"""),150.0)</f>
        <v>150</v>
      </c>
      <c r="F116" s="5">
        <f>IFERROR(__xludf.DUMMYFUNCTION("""COMPUTED_VALUE"""),185.9)</f>
        <v>185.9</v>
      </c>
      <c r="G116" s="5">
        <f>IFERROR(__xludf.DUMMYFUNCTION("""COMPUTED_VALUE"""),160.0)</f>
        <v>160</v>
      </c>
      <c r="H116" s="142">
        <f>IFERROR(__xludf.DUMMYFUNCTION("""COMPUTED_VALUE"""),0.0)</f>
        <v>0</v>
      </c>
      <c r="I116" s="22">
        <f>IFERROR(__xludf.DUMMYFUNCTION("""COMPUTED_VALUE"""),0.0)</f>
        <v>0</v>
      </c>
      <c r="J116" s="22">
        <f>IFERROR(__xludf.DUMMYFUNCTION("""COMPUTED_VALUE"""),358776.822434)</f>
        <v>358776.8224</v>
      </c>
      <c r="K116" s="5"/>
      <c r="L116" s="5" t="str">
        <f>IFERROR(__xludf.DUMMYFUNCTION("""COMPUTED_VALUE"""),"Limit Condition not met")</f>
        <v>Limit Condition not met</v>
      </c>
    </row>
    <row r="117">
      <c r="A117" s="86">
        <f>IFERROR(__xludf.DUMMYFUNCTION("""COMPUTED_VALUE"""),44641.0)</f>
        <v>44641</v>
      </c>
      <c r="B117" s="5" t="str">
        <f>IFERROR(__xludf.DUMMYFUNCTION("""COMPUTED_VALUE"""),"56118")</f>
        <v>56118</v>
      </c>
      <c r="C117" s="5" t="str">
        <f>IFERROR(__xludf.DUMMYFUNCTION("""COMPUTED_VALUE"""),"SELL (SHORT)")</f>
        <v>SELL (SHORT)</v>
      </c>
      <c r="D117" s="87" t="str">
        <f>IFERROR(__xludf.DUMMYFUNCTION("""COMPUTED_VALUE"""),"SOFI")</f>
        <v>SOFI</v>
      </c>
      <c r="E117" s="5">
        <f>IFERROR(__xludf.DUMMYFUNCTION("""COMPUTED_VALUE"""),80.0)</f>
        <v>80</v>
      </c>
      <c r="F117" s="5">
        <f>IFERROR(__xludf.DUMMYFUNCTION("""COMPUTED_VALUE"""),9.57)</f>
        <v>9.57</v>
      </c>
      <c r="G117" s="5">
        <f>IFERROR(__xludf.DUMMYFUNCTION("""COMPUTED_VALUE"""),200.0)</f>
        <v>200</v>
      </c>
      <c r="H117" s="142">
        <f>IFERROR(__xludf.DUMMYFUNCTION("""COMPUTED_VALUE"""),0.0)</f>
        <v>0</v>
      </c>
      <c r="I117" s="22">
        <f>IFERROR(__xludf.DUMMYFUNCTION("""COMPUTED_VALUE"""),0.0)</f>
        <v>0</v>
      </c>
      <c r="J117" s="22">
        <f>IFERROR(__xludf.DUMMYFUNCTION("""COMPUTED_VALUE"""),-222734.62731500002)</f>
        <v>-222734.6273</v>
      </c>
      <c r="K117" s="5"/>
      <c r="L117" s="5" t="str">
        <f>IFERROR(__xludf.DUMMYFUNCTION("""COMPUTED_VALUE"""),"Limit Condition not met")</f>
        <v>Limit Condition not met</v>
      </c>
    </row>
    <row r="118">
      <c r="A118" s="86">
        <f>IFERROR(__xludf.DUMMYFUNCTION("""COMPUTED_VALUE"""),44641.0)</f>
        <v>44641</v>
      </c>
      <c r="B118" s="5" t="str">
        <f>IFERROR(__xludf.DUMMYFUNCTION("""COMPUTED_VALUE"""),"76796")</f>
        <v>76796</v>
      </c>
      <c r="C118" s="5" t="str">
        <f>IFERROR(__xludf.DUMMYFUNCTION("""COMPUTED_VALUE"""),"BUY (LONG)")</f>
        <v>BUY (LONG)</v>
      </c>
      <c r="D118" s="87" t="str">
        <f>IFERROR(__xludf.DUMMYFUNCTION("""COMPUTED_VALUE"""),"MSFT")</f>
        <v>MSFT</v>
      </c>
      <c r="E118" s="5"/>
      <c r="F118" s="5">
        <f>IFERROR(__xludf.DUMMYFUNCTION("""COMPUTED_VALUE"""),299.16)</f>
        <v>299.16</v>
      </c>
      <c r="G118" s="5">
        <f>IFERROR(__xludf.DUMMYFUNCTION("""COMPUTED_VALUE"""),1000.0)</f>
        <v>1000</v>
      </c>
      <c r="H118" s="142" t="str">
        <f>IFERROR(__xludf.DUMMYFUNCTION("""COMPUTED_VALUE"""),"")</f>
        <v/>
      </c>
      <c r="I118" s="22">
        <f>IFERROR(__xludf.DUMMYFUNCTION("""COMPUTED_VALUE"""),-2341061.622)</f>
        <v>-2341061.622</v>
      </c>
      <c r="J118" s="22">
        <f>IFERROR(__xludf.DUMMYFUNCTION("""COMPUTED_VALUE"""),-2083536.22535)</f>
        <v>-2083536.225</v>
      </c>
      <c r="K118" s="5"/>
      <c r="L118" s="5" t="str">
        <f>IFERROR(__xludf.DUMMYFUNCTION("""COMPUTED_VALUE"""),"Insufficient Cash or Margin Balance")</f>
        <v>Insufficient Cash or Margin Balance</v>
      </c>
    </row>
    <row r="119">
      <c r="A119" s="86">
        <f>IFERROR(__xludf.DUMMYFUNCTION("""COMPUTED_VALUE"""),44641.0)</f>
        <v>44641</v>
      </c>
      <c r="B119" s="5" t="str">
        <f>IFERROR(__xludf.DUMMYFUNCTION("""COMPUTED_VALUE"""),"77393")</f>
        <v>77393</v>
      </c>
      <c r="C119" s="5" t="str">
        <f>IFERROR(__xludf.DUMMYFUNCTION("""COMPUTED_VALUE"""),"BUY (LONG)")</f>
        <v>BUY (LONG)</v>
      </c>
      <c r="D119" s="90" t="str">
        <f>IFERROR(__xludf.DUMMYFUNCTION("""COMPUTED_VALUE"""),"000568.SZ")</f>
        <v>000568.SZ</v>
      </c>
      <c r="E119" s="5">
        <f>IFERROR(__xludf.DUMMYFUNCTION("""COMPUTED_VALUE"""),203.88)</f>
        <v>203.88</v>
      </c>
      <c r="F119" s="5">
        <f>IFERROR(__xludf.DUMMYFUNCTION("""COMPUTED_VALUE"""),205.4)</f>
        <v>205.4</v>
      </c>
      <c r="G119" s="5">
        <f>IFERROR(__xludf.DUMMYFUNCTION("""COMPUTED_VALUE"""),1000.0)</f>
        <v>1000</v>
      </c>
      <c r="H119" s="142">
        <f>IFERROR(__xludf.DUMMYFUNCTION("""COMPUTED_VALUE"""),0.0)</f>
        <v>0</v>
      </c>
      <c r="I119" s="22">
        <f>IFERROR(__xludf.DUMMYFUNCTION("""COMPUTED_VALUE"""),0.0)</f>
        <v>0</v>
      </c>
      <c r="J119" s="22">
        <f>IFERROR(__xludf.DUMMYFUNCTION("""COMPUTED_VALUE"""),500000.0)</f>
        <v>500000</v>
      </c>
      <c r="K119" s="5"/>
      <c r="L119" s="5" t="str">
        <f>IFERROR(__xludf.DUMMYFUNCTION("""COMPUTED_VALUE"""),"Limit Condition not met")</f>
        <v>Limit Condition not met</v>
      </c>
    </row>
    <row r="120">
      <c r="A120" s="86">
        <f>IFERROR(__xludf.DUMMYFUNCTION("""COMPUTED_VALUE"""),44642.0)</f>
        <v>44642</v>
      </c>
      <c r="B120" s="5" t="str">
        <f>IFERROR(__xludf.DUMMYFUNCTION("""COMPUTED_VALUE"""),"14626")</f>
        <v>14626</v>
      </c>
      <c r="C120" s="5" t="str">
        <f>IFERROR(__xludf.DUMMYFUNCTION("""COMPUTED_VALUE"""),"BUY (LONG)")</f>
        <v>BUY (LONG)</v>
      </c>
      <c r="D120" s="87" t="str">
        <f>IFERROR(__xludf.DUMMYFUNCTION("""COMPUTED_VALUE"""),"BRK-B")</f>
        <v>BRK-B</v>
      </c>
      <c r="E120" s="5"/>
      <c r="F120" s="5">
        <f>IFERROR(__xludf.DUMMYFUNCTION("""COMPUTED_VALUE"""),349.93)</f>
        <v>349.93</v>
      </c>
      <c r="G120" s="5">
        <f>IFERROR(__xludf.DUMMYFUNCTION("""COMPUTED_VALUE"""),500.0)</f>
        <v>500</v>
      </c>
      <c r="H120" s="142" t="str">
        <f>IFERROR(__xludf.DUMMYFUNCTION("""COMPUTED_VALUE"""),"")</f>
        <v/>
      </c>
      <c r="I120" s="22">
        <f>IFERROR(__xludf.DUMMYFUNCTION("""COMPUTED_VALUE"""),-1369442.30675)</f>
        <v>-1369442.307</v>
      </c>
      <c r="J120" s="22">
        <f>IFERROR(__xludf.DUMMYFUNCTION("""COMPUTED_VALUE"""),-1575810.40801)</f>
        <v>-1575810.408</v>
      </c>
      <c r="K120" s="5"/>
      <c r="L120" s="5" t="str">
        <f>IFERROR(__xludf.DUMMYFUNCTION("""COMPUTED_VALUE"""),"Insufficient Cash or Margin Balance")</f>
        <v>Insufficient Cash or Margin Balance</v>
      </c>
    </row>
    <row r="121">
      <c r="A121" s="86">
        <f>IFERROR(__xludf.DUMMYFUNCTION("""COMPUTED_VALUE"""),44642.0)</f>
        <v>44642</v>
      </c>
      <c r="B121" s="5" t="str">
        <f>IFERROR(__xludf.DUMMYFUNCTION("""COMPUTED_VALUE"""),"14626")</f>
        <v>14626</v>
      </c>
      <c r="C121" s="5" t="str">
        <f>IFERROR(__xludf.DUMMYFUNCTION("""COMPUTED_VALUE"""),"BUY (LONG)")</f>
        <v>BUY (LONG)</v>
      </c>
      <c r="D121" s="87" t="str">
        <f>IFERROR(__xludf.DUMMYFUNCTION("""COMPUTED_VALUE"""),"GOOG")</f>
        <v>GOOG</v>
      </c>
      <c r="E121" s="5"/>
      <c r="F121" s="5">
        <f>IFERROR(__xludf.DUMMYFUNCTION("""COMPUTED_VALUE"""),2805.55)</f>
        <v>2805.55</v>
      </c>
      <c r="G121" s="5">
        <f>IFERROR(__xludf.DUMMYFUNCTION("""COMPUTED_VALUE"""),1000.0)</f>
        <v>1000</v>
      </c>
      <c r="H121" s="142" t="str">
        <f>IFERROR(__xludf.DUMMYFUNCTION("""COMPUTED_VALUE"""),"")</f>
        <v/>
      </c>
      <c r="I121" s="22">
        <f>IFERROR(__xludf.DUMMYFUNCTION("""COMPUTED_VALUE"""),-2.19588995725E7)</f>
        <v>-21958899.57</v>
      </c>
      <c r="J121" s="22">
        <f>IFERROR(__xludf.DUMMYFUNCTION("""COMPUTED_VALUE"""),-2.216526767376E7)</f>
        <v>-22165267.67</v>
      </c>
      <c r="K121" s="5"/>
      <c r="L121" s="5" t="str">
        <f>IFERROR(__xludf.DUMMYFUNCTION("""COMPUTED_VALUE"""),"Insufficient Cash or Margin Balance")</f>
        <v>Insufficient Cash or Margin Balance</v>
      </c>
    </row>
    <row r="122">
      <c r="A122" s="86">
        <f>IFERROR(__xludf.DUMMYFUNCTION("""COMPUTED_VALUE"""),44642.0)</f>
        <v>44642</v>
      </c>
      <c r="B122" s="5" t="str">
        <f>IFERROR(__xludf.DUMMYFUNCTION("""COMPUTED_VALUE"""),"14626")</f>
        <v>14626</v>
      </c>
      <c r="C122" s="5" t="str">
        <f>IFERROR(__xludf.DUMMYFUNCTION("""COMPUTED_VALUE"""),"BUY (LONG)")</f>
        <v>BUY (LONG)</v>
      </c>
      <c r="D122" s="87" t="str">
        <f>IFERROR(__xludf.DUMMYFUNCTION("""COMPUTED_VALUE"""),"OXY")</f>
        <v>OXY</v>
      </c>
      <c r="E122" s="5"/>
      <c r="F122" s="5">
        <f>IFERROR(__xludf.DUMMYFUNCTION("""COMPUTED_VALUE"""),59.64)</f>
        <v>59.64</v>
      </c>
      <c r="G122" s="5">
        <f>IFERROR(__xludf.DUMMYFUNCTION("""COMPUTED_VALUE"""),500.0)</f>
        <v>500</v>
      </c>
      <c r="H122" s="142" t="str">
        <f>IFERROR(__xludf.DUMMYFUNCTION("""COMPUTED_VALUE"""),"")</f>
        <v/>
      </c>
      <c r="I122" s="22">
        <f>IFERROR(__xludf.DUMMYFUNCTION("""COMPUTED_VALUE"""),-233399.649)</f>
        <v>-233399.649</v>
      </c>
      <c r="J122" s="22">
        <f>IFERROR(__xludf.DUMMYFUNCTION("""COMPUTED_VALUE"""),-439767.7502599999)</f>
        <v>-439767.7503</v>
      </c>
      <c r="K122" s="5"/>
      <c r="L122" s="5" t="str">
        <f>IFERROR(__xludf.DUMMYFUNCTION("""COMPUTED_VALUE"""),"Insufficient Cash or Margin Balance")</f>
        <v>Insufficient Cash or Margin Balance</v>
      </c>
    </row>
    <row r="123">
      <c r="A123" s="86">
        <f>IFERROR(__xludf.DUMMYFUNCTION("""COMPUTED_VALUE"""),44642.0)</f>
        <v>44642</v>
      </c>
      <c r="B123" s="5" t="str">
        <f>IFERROR(__xludf.DUMMYFUNCTION("""COMPUTED_VALUE"""),"14626")</f>
        <v>14626</v>
      </c>
      <c r="C123" s="5" t="str">
        <f>IFERROR(__xludf.DUMMYFUNCTION("""COMPUTED_VALUE"""),"BUY (LONG)")</f>
        <v>BUY (LONG)</v>
      </c>
      <c r="D123" s="87" t="str">
        <f>IFERROR(__xludf.DUMMYFUNCTION("""COMPUTED_VALUE"""),"PFE")</f>
        <v>PFE</v>
      </c>
      <c r="E123" s="5"/>
      <c r="F123" s="5">
        <f>IFERROR(__xludf.DUMMYFUNCTION("""COMPUTED_VALUE"""),53.04)</f>
        <v>53.04</v>
      </c>
      <c r="G123" s="5">
        <f>IFERROR(__xludf.DUMMYFUNCTION("""COMPUTED_VALUE"""),500.0)</f>
        <v>500</v>
      </c>
      <c r="H123" s="142" t="str">
        <f>IFERROR(__xludf.DUMMYFUNCTION("""COMPUTED_VALUE"""),"")</f>
        <v/>
      </c>
      <c r="I123" s="22">
        <f>IFERROR(__xludf.DUMMYFUNCTION("""COMPUTED_VALUE"""),-207570.714)</f>
        <v>-207570.714</v>
      </c>
      <c r="J123" s="22">
        <f>IFERROR(__xludf.DUMMYFUNCTION("""COMPUTED_VALUE"""),-413938.81525999994)</f>
        <v>-413938.8153</v>
      </c>
      <c r="K123" s="5"/>
      <c r="L123" s="5" t="str">
        <f>IFERROR(__xludf.DUMMYFUNCTION("""COMPUTED_VALUE"""),"Insufficient Cash or Margin Balance")</f>
        <v>Insufficient Cash or Margin Balance</v>
      </c>
    </row>
    <row r="124">
      <c r="A124" s="86">
        <f>IFERROR(__xludf.DUMMYFUNCTION("""COMPUTED_VALUE"""),44642.0)</f>
        <v>44642</v>
      </c>
      <c r="B124" s="5" t="str">
        <f>IFERROR(__xludf.DUMMYFUNCTION("""COMPUTED_VALUE"""),"14626")</f>
        <v>14626</v>
      </c>
      <c r="C124" s="5" t="str">
        <f>IFERROR(__xludf.DUMMYFUNCTION("""COMPUTED_VALUE"""),"BUY (LONG)")</f>
        <v>BUY (LONG)</v>
      </c>
      <c r="D124" s="87" t="str">
        <f>IFERROR(__xludf.DUMMYFUNCTION("""COMPUTED_VALUE"""),"TSLA")</f>
        <v>TSLA</v>
      </c>
      <c r="E124" s="5"/>
      <c r="F124" s="5">
        <f>IFERROR(__xludf.DUMMYFUNCTION("""COMPUTED_VALUE"""),993.98)</f>
        <v>993.98</v>
      </c>
      <c r="G124" s="5">
        <f>IFERROR(__xludf.DUMMYFUNCTION("""COMPUTED_VALUE"""),1000.0)</f>
        <v>1000</v>
      </c>
      <c r="H124" s="142" t="str">
        <f>IFERROR(__xludf.DUMMYFUNCTION("""COMPUTED_VALUE"""),"")</f>
        <v/>
      </c>
      <c r="I124" s="22">
        <f>IFERROR(__xludf.DUMMYFUNCTION("""COMPUTED_VALUE"""),-7779831.761)</f>
        <v>-7779831.761</v>
      </c>
      <c r="J124" s="22">
        <f>IFERROR(__xludf.DUMMYFUNCTION("""COMPUTED_VALUE"""),-7972823.60471)</f>
        <v>-7972823.605</v>
      </c>
      <c r="K124" s="5"/>
      <c r="L124" s="5" t="str">
        <f>IFERROR(__xludf.DUMMYFUNCTION("""COMPUTED_VALUE"""),"Insufficient Cash or Margin Balance")</f>
        <v>Insufficient Cash or Margin Balance</v>
      </c>
    </row>
    <row r="125">
      <c r="A125" s="86">
        <f>IFERROR(__xludf.DUMMYFUNCTION("""COMPUTED_VALUE"""),44642.0)</f>
        <v>44642</v>
      </c>
      <c r="B125" s="5" t="str">
        <f>IFERROR(__xludf.DUMMYFUNCTION("""COMPUTED_VALUE"""),"14626")</f>
        <v>14626</v>
      </c>
      <c r="C125" s="5" t="str">
        <f>IFERROR(__xludf.DUMMYFUNCTION("""COMPUTED_VALUE"""),"SELL (SHORT)")</f>
        <v>SELL (SHORT)</v>
      </c>
      <c r="D125" s="87" t="str">
        <f>IFERROR(__xludf.DUMMYFUNCTION("""COMPUTED_VALUE"""),"BA")</f>
        <v>BA</v>
      </c>
      <c r="E125" s="5">
        <f>IFERROR(__xludf.DUMMYFUNCTION("""COMPUTED_VALUE"""),50.0)</f>
        <v>50</v>
      </c>
      <c r="F125" s="5">
        <f>IFERROR(__xludf.DUMMYFUNCTION("""COMPUTED_VALUE"""),191.04)</f>
        <v>191.04</v>
      </c>
      <c r="G125" s="5">
        <f>IFERROR(__xludf.DUMMYFUNCTION("""COMPUTED_VALUE"""),50.0)</f>
        <v>50</v>
      </c>
      <c r="H125" s="142" t="str">
        <f>IFERROR(__xludf.DUMMYFUNCTION("""COMPUTED_VALUE"""),"")</f>
        <v/>
      </c>
      <c r="I125" s="22">
        <f>IFERROR(__xludf.DUMMYFUNCTION("""COMPUTED_VALUE"""),74763.0264)</f>
        <v>74763.0264</v>
      </c>
      <c r="J125" s="22">
        <f>IFERROR(__xludf.DUMMYFUNCTION("""COMPUTED_VALUE"""),-281131.1276599999)</f>
        <v>-281131.1277</v>
      </c>
      <c r="K125" s="5"/>
      <c r="L125" s="5" t="str">
        <f>IFERROR(__xludf.DUMMYFUNCTION("""COMPUTED_VALUE"""),"Limit Condition not met")</f>
        <v>Limit Condition not met</v>
      </c>
    </row>
    <row r="126">
      <c r="A126" s="86">
        <f>IFERROR(__xludf.DUMMYFUNCTION("""COMPUTED_VALUE"""),44642.0)</f>
        <v>44642</v>
      </c>
      <c r="B126" s="5" t="str">
        <f>IFERROR(__xludf.DUMMYFUNCTION("""COMPUTED_VALUE"""),"14626")</f>
        <v>14626</v>
      </c>
      <c r="C126" s="5" t="str">
        <f>IFERROR(__xludf.DUMMYFUNCTION("""COMPUTED_VALUE"""),"SELL (SHORT)")</f>
        <v>SELL (SHORT)</v>
      </c>
      <c r="D126" s="87" t="str">
        <f>IFERROR(__xludf.DUMMYFUNCTION("""COMPUTED_VALUE"""),"FB")</f>
        <v>FB</v>
      </c>
      <c r="E126" s="5">
        <f>IFERROR(__xludf.DUMMYFUNCTION("""COMPUTED_VALUE"""),80.0)</f>
        <v>80</v>
      </c>
      <c r="F126" s="5">
        <f>IFERROR(__xludf.DUMMYFUNCTION("""COMPUTED_VALUE"""),216.65)</f>
        <v>216.65</v>
      </c>
      <c r="G126" s="5">
        <f>IFERROR(__xludf.DUMMYFUNCTION("""COMPUTED_VALUE"""),50.0)</f>
        <v>50</v>
      </c>
      <c r="H126" s="142" t="str">
        <f>IFERROR(__xludf.DUMMYFUNCTION("""COMPUTED_VALUE"""),"")</f>
        <v/>
      </c>
      <c r="I126" s="22">
        <f>IFERROR(__xludf.DUMMYFUNCTION("""COMPUTED_VALUE"""),84785.43587500001)</f>
        <v>84785.43588</v>
      </c>
      <c r="J126" s="22">
        <f>IFERROR(__xludf.DUMMYFUNCTION("""COMPUTED_VALUE"""),-277777.2795849999)</f>
        <v>-277777.2796</v>
      </c>
      <c r="K126" s="5"/>
      <c r="L126" s="5" t="str">
        <f>IFERROR(__xludf.DUMMYFUNCTION("""COMPUTED_VALUE"""),"Limit Condition not met")</f>
        <v>Limit Condition not met</v>
      </c>
    </row>
    <row r="127">
      <c r="A127" s="86">
        <f>IFERROR(__xludf.DUMMYFUNCTION("""COMPUTED_VALUE"""),44642.0)</f>
        <v>44642</v>
      </c>
      <c r="B127" s="5" t="str">
        <f>IFERROR(__xludf.DUMMYFUNCTION("""COMPUTED_VALUE"""),"14626")</f>
        <v>14626</v>
      </c>
      <c r="C127" s="5" t="str">
        <f>IFERROR(__xludf.DUMMYFUNCTION("""COMPUTED_VALUE"""),"SELL (SHORT)")</f>
        <v>SELL (SHORT)</v>
      </c>
      <c r="D127" s="87" t="str">
        <f>IFERROR(__xludf.DUMMYFUNCTION("""COMPUTED_VALUE"""),"GOOG")</f>
        <v>GOOG</v>
      </c>
      <c r="E127" s="5">
        <f>IFERROR(__xludf.DUMMYFUNCTION("""COMPUTED_VALUE"""),100.0)</f>
        <v>100</v>
      </c>
      <c r="F127" s="5">
        <f>IFERROR(__xludf.DUMMYFUNCTION("""COMPUTED_VALUE"""),2805.55)</f>
        <v>2805.55</v>
      </c>
      <c r="G127" s="5">
        <f>IFERROR(__xludf.DUMMYFUNCTION("""COMPUTED_VALUE"""),100.0)</f>
        <v>100</v>
      </c>
      <c r="H127" s="142" t="str">
        <f>IFERROR(__xludf.DUMMYFUNCTION("""COMPUTED_VALUE"""),"")</f>
        <v/>
      </c>
      <c r="I127" s="22">
        <f>IFERROR(__xludf.DUMMYFUNCTION("""COMPUTED_VALUE"""),2195889.9572500004)</f>
        <v>2195889.957</v>
      </c>
      <c r="J127" s="22">
        <f>IFERROR(__xludf.DUMMYFUNCTION("""COMPUTED_VALUE"""),-2388881.8009599997)</f>
        <v>-2388881.801</v>
      </c>
      <c r="K127" s="5"/>
      <c r="L127" s="5" t="str">
        <f>IFERROR(__xludf.DUMMYFUNCTION("""COMPUTED_VALUE"""),"Limit Condition not met")</f>
        <v>Limit Condition not met</v>
      </c>
    </row>
    <row r="128">
      <c r="A128" s="86">
        <f>IFERROR(__xludf.DUMMYFUNCTION("""COMPUTED_VALUE"""),44642.0)</f>
        <v>44642</v>
      </c>
      <c r="B128" s="5" t="str">
        <f>IFERROR(__xludf.DUMMYFUNCTION("""COMPUTED_VALUE"""),"14626")</f>
        <v>14626</v>
      </c>
      <c r="C128" s="5" t="str">
        <f>IFERROR(__xludf.DUMMYFUNCTION("""COMPUTED_VALUE"""),"SELL (SHORT)")</f>
        <v>SELL (SHORT)</v>
      </c>
      <c r="D128" s="87" t="str">
        <f>IFERROR(__xludf.DUMMYFUNCTION("""COMPUTED_VALUE"""),"MSFT")</f>
        <v>MSFT</v>
      </c>
      <c r="E128" s="5">
        <f>IFERROR(__xludf.DUMMYFUNCTION("""COMPUTED_VALUE"""),100.0)</f>
        <v>100</v>
      </c>
      <c r="F128" s="5">
        <f>IFERROR(__xludf.DUMMYFUNCTION("""COMPUTED_VALUE"""),304.06)</f>
        <v>304.06</v>
      </c>
      <c r="G128" s="5">
        <f>IFERROR(__xludf.DUMMYFUNCTION("""COMPUTED_VALUE"""),100.0)</f>
        <v>100</v>
      </c>
      <c r="H128" s="142" t="str">
        <f>IFERROR(__xludf.DUMMYFUNCTION("""COMPUTED_VALUE"""),"")</f>
        <v/>
      </c>
      <c r="I128" s="22">
        <f>IFERROR(__xludf.DUMMYFUNCTION("""COMPUTED_VALUE"""),237986.24169999998)</f>
        <v>237986.2417</v>
      </c>
      <c r="J128" s="22">
        <f>IFERROR(__xludf.DUMMYFUNCTION("""COMPUTED_VALUE"""),-430978.08540999994)</f>
        <v>-430978.0854</v>
      </c>
      <c r="K128" s="5"/>
      <c r="L128" s="5" t="str">
        <f>IFERROR(__xludf.DUMMYFUNCTION("""COMPUTED_VALUE"""),"Limit Condition not met")</f>
        <v>Limit Condition not met</v>
      </c>
    </row>
    <row r="129">
      <c r="A129" s="86">
        <f>IFERROR(__xludf.DUMMYFUNCTION("""COMPUTED_VALUE"""),44642.0)</f>
        <v>44642</v>
      </c>
      <c r="B129" s="5" t="str">
        <f>IFERROR(__xludf.DUMMYFUNCTION("""COMPUTED_VALUE"""),"35577")</f>
        <v>35577</v>
      </c>
      <c r="C129" s="5" t="str">
        <f>IFERROR(__xludf.DUMMYFUNCTION("""COMPUTED_VALUE"""),"BUY (LONG)")</f>
        <v>BUY (LONG)</v>
      </c>
      <c r="D129" s="87" t="str">
        <f>IFERROR(__xludf.DUMMYFUNCTION("""COMPUTED_VALUE"""),"AAPL")</f>
        <v>AAPL</v>
      </c>
      <c r="E129" s="5">
        <f>IFERROR(__xludf.DUMMYFUNCTION("""COMPUTED_VALUE"""),166.5)</f>
        <v>166.5</v>
      </c>
      <c r="F129" s="5">
        <f>IFERROR(__xludf.DUMMYFUNCTION("""COMPUTED_VALUE"""),168.82)</f>
        <v>168.82</v>
      </c>
      <c r="G129" s="5">
        <f>IFERROR(__xludf.DUMMYFUNCTION("""COMPUTED_VALUE"""),20.0)</f>
        <v>20</v>
      </c>
      <c r="H129" s="142">
        <f>IFERROR(__xludf.DUMMYFUNCTION("""COMPUTED_VALUE"""),0.0)</f>
        <v>0</v>
      </c>
      <c r="I129" s="22">
        <f>IFERROR(__xludf.DUMMYFUNCTION("""COMPUTED_VALUE"""),0.0)</f>
        <v>0</v>
      </c>
      <c r="J129" s="22">
        <f>IFERROR(__xludf.DUMMYFUNCTION("""COMPUTED_VALUE"""),368886.84126345004)</f>
        <v>368886.8413</v>
      </c>
      <c r="K129" s="5"/>
      <c r="L129" s="5" t="str">
        <f>IFERROR(__xludf.DUMMYFUNCTION("""COMPUTED_VALUE"""),"Limit Condition not met")</f>
        <v>Limit Condition not met</v>
      </c>
    </row>
    <row r="130">
      <c r="A130" s="86">
        <f>IFERROR(__xludf.DUMMYFUNCTION("""COMPUTED_VALUE"""),44642.0)</f>
        <v>44642</v>
      </c>
      <c r="B130" s="5" t="str">
        <f>IFERROR(__xludf.DUMMYFUNCTION("""COMPUTED_VALUE"""),"39441")</f>
        <v>39441</v>
      </c>
      <c r="C130" s="5" t="str">
        <f>IFERROR(__xludf.DUMMYFUNCTION("""COMPUTED_VALUE"""),"BUY (LONG)")</f>
        <v>BUY (LONG)</v>
      </c>
      <c r="D130" s="90" t="str">
        <f>IFERROR(__xludf.DUMMYFUNCTION("""COMPUTED_VALUE"""),"0700.HK")</f>
        <v>0700.HK</v>
      </c>
      <c r="E130" s="5">
        <f>IFERROR(__xludf.DUMMYFUNCTION("""COMPUTED_VALUE"""),372.4)</f>
        <v>372.4</v>
      </c>
      <c r="F130" s="5">
        <f>IFERROR(__xludf.DUMMYFUNCTION("""COMPUTED_VALUE"""),388.0)</f>
        <v>388</v>
      </c>
      <c r="G130" s="5">
        <f>IFERROR(__xludf.DUMMYFUNCTION("""COMPUTED_VALUE"""),10.0)</f>
        <v>10</v>
      </c>
      <c r="H130" s="142">
        <f>IFERROR(__xludf.DUMMYFUNCTION("""COMPUTED_VALUE"""),0.0)</f>
        <v>0</v>
      </c>
      <c r="I130" s="22">
        <f>IFERROR(__xludf.DUMMYFUNCTION("""COMPUTED_VALUE"""),0.0)</f>
        <v>0</v>
      </c>
      <c r="J130" s="22">
        <f>IFERROR(__xludf.DUMMYFUNCTION("""COMPUTED_VALUE"""),45859.962535250015)</f>
        <v>45859.96254</v>
      </c>
      <c r="K130" s="5"/>
      <c r="L130" s="5" t="str">
        <f>IFERROR(__xludf.DUMMYFUNCTION("""COMPUTED_VALUE"""),"Limit Condition not met")</f>
        <v>Limit Condition not met</v>
      </c>
    </row>
    <row r="131">
      <c r="A131" s="86">
        <f>IFERROR(__xludf.DUMMYFUNCTION("""COMPUTED_VALUE"""),44642.0)</f>
        <v>44642</v>
      </c>
      <c r="B131" s="5" t="str">
        <f>IFERROR(__xludf.DUMMYFUNCTION("""COMPUTED_VALUE"""),"75369")</f>
        <v>75369</v>
      </c>
      <c r="C131" s="5" t="str">
        <f>IFERROR(__xludf.DUMMYFUNCTION("""COMPUTED_VALUE"""),"BUY (LONG)")</f>
        <v>BUY (LONG)</v>
      </c>
      <c r="D131" s="90" t="str">
        <f>IFERROR(__xludf.DUMMYFUNCTION("""COMPUTED_VALUE"""),"1810.hk")</f>
        <v>1810.hk</v>
      </c>
      <c r="E131" s="5"/>
      <c r="F131" s="5">
        <f>IFERROR(__xludf.DUMMYFUNCTION("""COMPUTED_VALUE"""),14.2)</f>
        <v>14.2</v>
      </c>
      <c r="G131" s="5">
        <f>IFERROR(__xludf.DUMMYFUNCTION("""COMPUTED_VALUE"""),0.0)</f>
        <v>0</v>
      </c>
      <c r="H131" s="142">
        <f>IFERROR(__xludf.DUMMYFUNCTION("""COMPUTED_VALUE"""),0.0)</f>
        <v>0</v>
      </c>
      <c r="I131" s="22">
        <f>IFERROR(__xludf.DUMMYFUNCTION("""COMPUTED_VALUE"""),0.0)</f>
        <v>0</v>
      </c>
      <c r="J131" s="22">
        <f>IFERROR(__xludf.DUMMYFUNCTION("""COMPUTED_VALUE"""),500000.0)</f>
        <v>500000</v>
      </c>
      <c r="K131" s="5"/>
      <c r="L131" s="5" t="str">
        <f>IFERROR(__xludf.DUMMYFUNCTION("""COMPUTED_VALUE"""),"Insufficient Cash or Margin Balance")</f>
        <v>Insufficient Cash or Margin Balance</v>
      </c>
    </row>
    <row r="132">
      <c r="A132" s="86">
        <f>IFERROR(__xludf.DUMMYFUNCTION("""COMPUTED_VALUE"""),44642.0)</f>
        <v>44642</v>
      </c>
      <c r="B132" s="5" t="str">
        <f>IFERROR(__xludf.DUMMYFUNCTION("""COMPUTED_VALUE"""),"75415")</f>
        <v>75415</v>
      </c>
      <c r="C132" s="5" t="str">
        <f>IFERROR(__xludf.DUMMYFUNCTION("""COMPUTED_VALUE"""),"SELL (SHORT)")</f>
        <v>SELL (SHORT)</v>
      </c>
      <c r="D132" s="87" t="str">
        <f>IFERROR(__xludf.DUMMYFUNCTION("""COMPUTED_VALUE"""),"UVXY")</f>
        <v>UVXY</v>
      </c>
      <c r="E132" s="5"/>
      <c r="F132" s="5">
        <f>IFERROR(__xludf.DUMMYFUNCTION("""COMPUTED_VALUE"""),14.72)</f>
        <v>14.72</v>
      </c>
      <c r="G132" s="5">
        <f>IFERROR(__xludf.DUMMYFUNCTION("""COMPUTED_VALUE"""),10000.0)</f>
        <v>10000</v>
      </c>
      <c r="H132" s="142" t="str">
        <f>IFERROR(__xludf.DUMMYFUNCTION("""COMPUTED_VALUE"""),"")</f>
        <v/>
      </c>
      <c r="I132" s="22">
        <f>IFERROR(__xludf.DUMMYFUNCTION("""COMPUTED_VALUE"""),1152127.04)</f>
        <v>1152127.04</v>
      </c>
      <c r="J132" s="22">
        <f>IFERROR(__xludf.DUMMYFUNCTION("""COMPUTED_VALUE"""),-841255.85246)</f>
        <v>-841255.8525</v>
      </c>
      <c r="K132" s="5"/>
      <c r="L132" s="5" t="str">
        <f>IFERROR(__xludf.DUMMYFUNCTION("""COMPUTED_VALUE"""),"Insufficient Cash or Margin Balance")</f>
        <v>Insufficient Cash or Margin Balance</v>
      </c>
    </row>
    <row r="133">
      <c r="A133" s="86">
        <f>IFERROR(__xludf.DUMMYFUNCTION("""COMPUTED_VALUE"""),44642.0)</f>
        <v>44642</v>
      </c>
      <c r="B133" s="5" t="str">
        <f>IFERROR(__xludf.DUMMYFUNCTION("""COMPUTED_VALUE"""),"89845")</f>
        <v>89845</v>
      </c>
      <c r="C133" s="5" t="str">
        <f>IFERROR(__xludf.DUMMYFUNCTION("""COMPUTED_VALUE"""),"BUY (LONG)")</f>
        <v>BUY (LONG)</v>
      </c>
      <c r="D133" s="87" t="str">
        <f>IFERROR(__xludf.DUMMYFUNCTION("""COMPUTED_VALUE"""),"ASML")</f>
        <v>ASML</v>
      </c>
      <c r="E133" s="5"/>
      <c r="F133" s="5">
        <f>IFERROR(__xludf.DUMMYFUNCTION("""COMPUTED_VALUE"""),688.74)</f>
        <v>688.74</v>
      </c>
      <c r="G133" s="5">
        <f>IFERROR(__xludf.DUMMYFUNCTION("""COMPUTED_VALUE"""),200.0)</f>
        <v>200</v>
      </c>
      <c r="H133" s="142" t="str">
        <f>IFERROR(__xludf.DUMMYFUNCTION("""COMPUTED_VALUE"""),"")</f>
        <v/>
      </c>
      <c r="I133" s="22">
        <f>IFERROR(__xludf.DUMMYFUNCTION("""COMPUTED_VALUE"""),-1078146.7086)</f>
        <v>-1078146.709</v>
      </c>
      <c r="J133" s="22">
        <f>IFERROR(__xludf.DUMMYFUNCTION("""COMPUTED_VALUE"""),-578146.7086)</f>
        <v>-578146.7086</v>
      </c>
      <c r="K133" s="5"/>
      <c r="L133" s="5" t="str">
        <f>IFERROR(__xludf.DUMMYFUNCTION("""COMPUTED_VALUE"""),"Insufficient Cash or Margin Balance")</f>
        <v>Insufficient Cash or Margin Balance</v>
      </c>
    </row>
    <row r="134">
      <c r="A134" s="86">
        <f>IFERROR(__xludf.DUMMYFUNCTION("""COMPUTED_VALUE"""),44643.0)</f>
        <v>44643</v>
      </c>
      <c r="B134" s="5" t="str">
        <f>IFERROR(__xludf.DUMMYFUNCTION("""COMPUTED_VALUE"""),"36242")</f>
        <v>36242</v>
      </c>
      <c r="C134" s="5" t="str">
        <f>IFERROR(__xludf.DUMMYFUNCTION("""COMPUTED_VALUE"""),"BUY (LONG)")</f>
        <v>BUY (LONG)</v>
      </c>
      <c r="D134" s="87" t="str">
        <f>IFERROR(__xludf.DUMMYFUNCTION("""COMPUTED_VALUE"""),"BA")</f>
        <v>BA</v>
      </c>
      <c r="E134" s="5">
        <f>IFERROR(__xludf.DUMMYFUNCTION("""COMPUTED_VALUE"""),186.0)</f>
        <v>186</v>
      </c>
      <c r="F134" s="5">
        <f>IFERROR(__xludf.DUMMYFUNCTION("""COMPUTED_VALUE"""),186.04)</f>
        <v>186.04</v>
      </c>
      <c r="G134" s="5">
        <f>IFERROR(__xludf.DUMMYFUNCTION("""COMPUTED_VALUE"""),160.0)</f>
        <v>160</v>
      </c>
      <c r="H134" s="142">
        <f>IFERROR(__xludf.DUMMYFUNCTION("""COMPUTED_VALUE"""),0.0)</f>
        <v>0</v>
      </c>
      <c r="I134" s="22">
        <f>IFERROR(__xludf.DUMMYFUNCTION("""COMPUTED_VALUE"""),0.0)</f>
        <v>0</v>
      </c>
      <c r="J134" s="22">
        <f>IFERROR(__xludf.DUMMYFUNCTION("""COMPUTED_VALUE"""),500000.0)</f>
        <v>500000</v>
      </c>
      <c r="K134" s="5"/>
      <c r="L134" s="5" t="str">
        <f>IFERROR(__xludf.DUMMYFUNCTION("""COMPUTED_VALUE"""),"Limit Condition not met")</f>
        <v>Limit Condition not met</v>
      </c>
    </row>
    <row r="135">
      <c r="A135" s="86">
        <f>IFERROR(__xludf.DUMMYFUNCTION("""COMPUTED_VALUE"""),44643.0)</f>
        <v>44643</v>
      </c>
      <c r="B135" s="5" t="str">
        <f>IFERROR(__xludf.DUMMYFUNCTION("""COMPUTED_VALUE"""),"38705")</f>
        <v>38705</v>
      </c>
      <c r="C135" s="5" t="str">
        <f>IFERROR(__xludf.DUMMYFUNCTION("""COMPUTED_VALUE"""),"BUY (LONG)")</f>
        <v>BUY (LONG)</v>
      </c>
      <c r="D135" s="87" t="str">
        <f>IFERROR(__xludf.DUMMYFUNCTION("""COMPUTED_VALUE"""),"UNH")</f>
        <v>UNH</v>
      </c>
      <c r="E135" s="5"/>
      <c r="F135" s="5">
        <f>IFERROR(__xludf.DUMMYFUNCTION("""COMPUTED_VALUE"""),503.23)</f>
        <v>503.23</v>
      </c>
      <c r="G135" s="5">
        <f>IFERROR(__xludf.DUMMYFUNCTION("""COMPUTED_VALUE"""),50.0)</f>
        <v>50</v>
      </c>
      <c r="H135" s="142" t="str">
        <f>IFERROR(__xludf.DUMMYFUNCTION("""COMPUTED_VALUE"""),"")</f>
        <v/>
      </c>
      <c r="I135" s="22">
        <f>IFERROR(__xludf.DUMMYFUNCTION("""COMPUTED_VALUE"""),-196854.6436675)</f>
        <v>-196854.6437</v>
      </c>
      <c r="J135" s="22">
        <f>IFERROR(__xludf.DUMMYFUNCTION("""COMPUTED_VALUE"""),-277624.7210275)</f>
        <v>-277624.721</v>
      </c>
      <c r="K135" s="5"/>
      <c r="L135" s="5" t="str">
        <f>IFERROR(__xludf.DUMMYFUNCTION("""COMPUTED_VALUE"""),"Insufficient Cash or Margin Balance")</f>
        <v>Insufficient Cash or Margin Balance</v>
      </c>
    </row>
    <row r="136">
      <c r="A136" s="86">
        <f>IFERROR(__xludf.DUMMYFUNCTION("""COMPUTED_VALUE"""),44643.0)</f>
        <v>44643</v>
      </c>
      <c r="B136" s="5" t="str">
        <f>IFERROR(__xludf.DUMMYFUNCTION("""COMPUTED_VALUE"""),"39441")</f>
        <v>39441</v>
      </c>
      <c r="C136" s="5" t="str">
        <f>IFERROR(__xludf.DUMMYFUNCTION("""COMPUTED_VALUE"""),"SELL (SHORT)")</f>
        <v>SELL (SHORT)</v>
      </c>
      <c r="D136" s="87" t="str">
        <f>IFERROR(__xludf.DUMMYFUNCTION("""COMPUTED_VALUE"""),"AMZN")</f>
        <v>AMZN</v>
      </c>
      <c r="E136" s="5">
        <f>IFERROR(__xludf.DUMMYFUNCTION("""COMPUTED_VALUE"""),3297.78)</f>
        <v>3297.78</v>
      </c>
      <c r="F136" s="5">
        <f>IFERROR(__xludf.DUMMYFUNCTION("""COMPUTED_VALUE"""),3268.16)</f>
        <v>3268.16</v>
      </c>
      <c r="G136" s="5">
        <f>IFERROR(__xludf.DUMMYFUNCTION("""COMPUTED_VALUE"""),50.0)</f>
        <v>50</v>
      </c>
      <c r="H136" s="142">
        <f>IFERROR(__xludf.DUMMYFUNCTION("""COMPUTED_VALUE"""),0.0)</f>
        <v>0</v>
      </c>
      <c r="I136" s="22">
        <f>IFERROR(__xludf.DUMMYFUNCTION("""COMPUTED_VALUE"""),0.0)</f>
        <v>0</v>
      </c>
      <c r="J136" s="22">
        <f>IFERROR(__xludf.DUMMYFUNCTION("""COMPUTED_VALUE"""),45859.962535250015)</f>
        <v>45859.96254</v>
      </c>
      <c r="K136" s="5"/>
      <c r="L136" s="5" t="str">
        <f>IFERROR(__xludf.DUMMYFUNCTION("""COMPUTED_VALUE"""),"Limit Condition not met")</f>
        <v>Limit Condition not met</v>
      </c>
    </row>
    <row r="137">
      <c r="A137" s="86">
        <f>IFERROR(__xludf.DUMMYFUNCTION("""COMPUTED_VALUE"""),44643.0)</f>
        <v>44643</v>
      </c>
      <c r="B137" s="5" t="str">
        <f>IFERROR(__xludf.DUMMYFUNCTION("""COMPUTED_VALUE"""),"39776")</f>
        <v>39776</v>
      </c>
      <c r="C137" s="5" t="str">
        <f>IFERROR(__xludf.DUMMYFUNCTION("""COMPUTED_VALUE"""),"BUY (LONG)")</f>
        <v>BUY (LONG)</v>
      </c>
      <c r="D137" s="90" t="str">
        <f>IFERROR(__xludf.DUMMYFUNCTION("""COMPUTED_VALUE"""),"3315.HK")</f>
        <v>3315.HK</v>
      </c>
      <c r="E137" s="5">
        <f>IFERROR(__xludf.DUMMYFUNCTION("""COMPUTED_VALUE"""),2.08)</f>
        <v>2.08</v>
      </c>
      <c r="F137" s="5">
        <f>IFERROR(__xludf.DUMMYFUNCTION("""COMPUTED_VALUE"""),2.1)</f>
        <v>2.1</v>
      </c>
      <c r="G137" s="5">
        <f>IFERROR(__xludf.DUMMYFUNCTION("""COMPUTED_VALUE"""),20000.0)</f>
        <v>20000</v>
      </c>
      <c r="H137" s="142">
        <f>IFERROR(__xludf.DUMMYFUNCTION("""COMPUTED_VALUE"""),0.0)</f>
        <v>0</v>
      </c>
      <c r="I137" s="22">
        <f>IFERROR(__xludf.DUMMYFUNCTION("""COMPUTED_VALUE"""),0.0)</f>
        <v>0</v>
      </c>
      <c r="J137" s="22">
        <f>IFERROR(__xludf.DUMMYFUNCTION("""COMPUTED_VALUE"""),485150.0)</f>
        <v>485150</v>
      </c>
      <c r="K137" s="5"/>
      <c r="L137" s="5" t="str">
        <f>IFERROR(__xludf.DUMMYFUNCTION("""COMPUTED_VALUE"""),"Limit Condition not met")</f>
        <v>Limit Condition not met</v>
      </c>
    </row>
    <row r="138">
      <c r="A138" s="86">
        <f>IFERROR(__xludf.DUMMYFUNCTION("""COMPUTED_VALUE"""),44644.0)</f>
        <v>44644</v>
      </c>
      <c r="B138" s="5" t="str">
        <f>IFERROR(__xludf.DUMMYFUNCTION("""COMPUTED_VALUE"""),"36242")</f>
        <v>36242</v>
      </c>
      <c r="C138" s="5" t="str">
        <f>IFERROR(__xludf.DUMMYFUNCTION("""COMPUTED_VALUE"""),"BUY (LONG)")</f>
        <v>BUY (LONG)</v>
      </c>
      <c r="D138" s="87" t="str">
        <f>IFERROR(__xludf.DUMMYFUNCTION("""COMPUTED_VALUE"""),"BA")</f>
        <v>BA</v>
      </c>
      <c r="E138" s="5">
        <f>IFERROR(__xludf.DUMMYFUNCTION("""COMPUTED_VALUE"""),189.0)</f>
        <v>189</v>
      </c>
      <c r="F138" s="5">
        <f>IFERROR(__xludf.DUMMYFUNCTION("""COMPUTED_VALUE"""),189.05)</f>
        <v>189.05</v>
      </c>
      <c r="G138" s="5">
        <f>IFERROR(__xludf.DUMMYFUNCTION("""COMPUTED_VALUE"""),100.0)</f>
        <v>100</v>
      </c>
      <c r="H138" s="142">
        <f>IFERROR(__xludf.DUMMYFUNCTION("""COMPUTED_VALUE"""),0.0)</f>
        <v>0</v>
      </c>
      <c r="I138" s="22">
        <f>IFERROR(__xludf.DUMMYFUNCTION("""COMPUTED_VALUE"""),0.0)</f>
        <v>0</v>
      </c>
      <c r="J138" s="22">
        <f>IFERROR(__xludf.DUMMYFUNCTION("""COMPUTED_VALUE"""),500000.0)</f>
        <v>500000</v>
      </c>
      <c r="K138" s="5"/>
      <c r="L138" s="5" t="str">
        <f>IFERROR(__xludf.DUMMYFUNCTION("""COMPUTED_VALUE"""),"Limit Condition not met")</f>
        <v>Limit Condition not met</v>
      </c>
    </row>
    <row r="139">
      <c r="A139" s="86">
        <f>IFERROR(__xludf.DUMMYFUNCTION("""COMPUTED_VALUE"""),44644.0)</f>
        <v>44644</v>
      </c>
      <c r="B139" s="5" t="str">
        <f>IFERROR(__xludf.DUMMYFUNCTION("""COMPUTED_VALUE"""),"38093")</f>
        <v>38093</v>
      </c>
      <c r="C139" s="5" t="str">
        <f>IFERROR(__xludf.DUMMYFUNCTION("""COMPUTED_VALUE"""),"BUY (LONG)")</f>
        <v>BUY (LONG)</v>
      </c>
      <c r="D139" s="87" t="str">
        <f>IFERROR(__xludf.DUMMYFUNCTION("""COMPUTED_VALUE"""),"NKE")</f>
        <v>NKE</v>
      </c>
      <c r="E139" s="5"/>
      <c r="F139" s="5">
        <f>IFERROR(__xludf.DUMMYFUNCTION("""COMPUTED_VALUE"""),132.08)</f>
        <v>132.08</v>
      </c>
      <c r="G139" s="5">
        <f>IFERROR(__xludf.DUMMYFUNCTION("""COMPUTED_VALUE"""),1200.0)</f>
        <v>1200</v>
      </c>
      <c r="H139" s="142" t="str">
        <f>IFERROR(__xludf.DUMMYFUNCTION("""COMPUTED_VALUE"""),"")</f>
        <v/>
      </c>
      <c r="I139" s="22">
        <f>IFERROR(__xludf.DUMMYFUNCTION("""COMPUTED_VALUE"""),-1240017.2304)</f>
        <v>-1240017.23</v>
      </c>
      <c r="J139" s="22">
        <f>IFERROR(__xludf.DUMMYFUNCTION("""COMPUTED_VALUE"""),-740017.2304000002)</f>
        <v>-740017.2304</v>
      </c>
      <c r="K139" s="5"/>
      <c r="L139" s="5" t="str">
        <f>IFERROR(__xludf.DUMMYFUNCTION("""COMPUTED_VALUE"""),"Insufficient Cash or Margin Balance")</f>
        <v>Insufficient Cash or Margin Balance</v>
      </c>
    </row>
    <row r="140">
      <c r="A140" s="86">
        <f>IFERROR(__xludf.DUMMYFUNCTION("""COMPUTED_VALUE"""),44644.0)</f>
        <v>44644</v>
      </c>
      <c r="B140" s="5" t="str">
        <f>IFERROR(__xludf.DUMMYFUNCTION("""COMPUTED_VALUE"""),"38093")</f>
        <v>38093</v>
      </c>
      <c r="C140" s="5" t="str">
        <f>IFERROR(__xludf.DUMMYFUNCTION("""COMPUTED_VALUE"""),"BUY (LONG)")</f>
        <v>BUY (LONG)</v>
      </c>
      <c r="D140" s="87" t="str">
        <f>IFERROR(__xludf.DUMMYFUNCTION("""COMPUTED_VALUE"""),"TSLA")</f>
        <v>TSLA</v>
      </c>
      <c r="E140" s="5"/>
      <c r="F140" s="5">
        <f>IFERROR(__xludf.DUMMYFUNCTION("""COMPUTED_VALUE"""),1013.92)</f>
        <v>1013.92</v>
      </c>
      <c r="G140" s="5">
        <f>IFERROR(__xludf.DUMMYFUNCTION("""COMPUTED_VALUE"""),500.0)</f>
        <v>500</v>
      </c>
      <c r="H140" s="142" t="str">
        <f>IFERROR(__xludf.DUMMYFUNCTION("""COMPUTED_VALUE"""),"")</f>
        <v/>
      </c>
      <c r="I140" s="22">
        <f>IFERROR(__xludf.DUMMYFUNCTION("""COMPUTED_VALUE"""),-3966277.604)</f>
        <v>-3966277.604</v>
      </c>
      <c r="J140" s="22">
        <f>IFERROR(__xludf.DUMMYFUNCTION("""COMPUTED_VALUE"""),-3466277.604)</f>
        <v>-3466277.604</v>
      </c>
      <c r="K140" s="5"/>
      <c r="L140" s="5" t="str">
        <f>IFERROR(__xludf.DUMMYFUNCTION("""COMPUTED_VALUE"""),"Insufficient Cash or Margin Balance")</f>
        <v>Insufficient Cash or Margin Balance</v>
      </c>
    </row>
    <row r="141">
      <c r="A141" s="86">
        <f>IFERROR(__xludf.DUMMYFUNCTION("""COMPUTED_VALUE"""),44644.0)</f>
        <v>44644</v>
      </c>
      <c r="B141" s="5" t="str">
        <f>IFERROR(__xludf.DUMMYFUNCTION("""COMPUTED_VALUE"""),"38307")</f>
        <v>38307</v>
      </c>
      <c r="C141" s="5" t="str">
        <f>IFERROR(__xludf.DUMMYFUNCTION("""COMPUTED_VALUE"""),"BUY (LONG)")</f>
        <v>BUY (LONG)</v>
      </c>
      <c r="D141" s="87" t="str">
        <f>IFERROR(__xludf.DUMMYFUNCTION("""COMPUTED_VALUE"""),"AAPL")</f>
        <v>AAPL</v>
      </c>
      <c r="E141" s="5"/>
      <c r="F141" s="5">
        <f>IFERROR(__xludf.DUMMYFUNCTION("""COMPUTED_VALUE"""),174.07)</f>
        <v>174.07</v>
      </c>
      <c r="G141" s="5">
        <f>IFERROR(__xludf.DUMMYFUNCTION("""COMPUTED_VALUE"""),100.0)</f>
        <v>100</v>
      </c>
      <c r="H141" s="142" t="str">
        <f>IFERROR(__xludf.DUMMYFUNCTION("""COMPUTED_VALUE"""),"")</f>
        <v/>
      </c>
      <c r="I141" s="22">
        <f>IFERROR(__xludf.DUMMYFUNCTION("""COMPUTED_VALUE"""),-136186.27555)</f>
        <v>-136186.2756</v>
      </c>
      <c r="J141" s="22">
        <f>IFERROR(__xludf.DUMMYFUNCTION("""COMPUTED_VALUE"""),-278125.44160200004)</f>
        <v>-278125.4416</v>
      </c>
      <c r="K141" s="5"/>
      <c r="L141" s="5" t="str">
        <f>IFERROR(__xludf.DUMMYFUNCTION("""COMPUTED_VALUE"""),"Insufficient Cash or Margin Balance")</f>
        <v>Insufficient Cash or Margin Balance</v>
      </c>
    </row>
    <row r="142">
      <c r="A142" s="86">
        <f>IFERROR(__xludf.DUMMYFUNCTION("""COMPUTED_VALUE"""),44644.0)</f>
        <v>44644</v>
      </c>
      <c r="B142" s="5" t="str">
        <f>IFERROR(__xludf.DUMMYFUNCTION("""COMPUTED_VALUE"""),"38758")</f>
        <v>38758</v>
      </c>
      <c r="C142" s="5" t="str">
        <f>IFERROR(__xludf.DUMMYFUNCTION("""COMPUTED_VALUE"""),"SELL (SHORT)")</f>
        <v>SELL (SHORT)</v>
      </c>
      <c r="D142" s="90" t="str">
        <f>IFERROR(__xludf.DUMMYFUNCTION("""COMPUTED_VALUE"""),"0700.HK")</f>
        <v>0700.HK</v>
      </c>
      <c r="E142" s="5">
        <f>IFERROR(__xludf.DUMMYFUNCTION("""COMPUTED_VALUE"""),385.0)</f>
        <v>385</v>
      </c>
      <c r="F142" s="5">
        <f>IFERROR(__xludf.DUMMYFUNCTION("""COMPUTED_VALUE"""),366.0)</f>
        <v>366</v>
      </c>
      <c r="G142" s="5">
        <f>IFERROR(__xludf.DUMMYFUNCTION("""COMPUTED_VALUE"""),50.0)</f>
        <v>50</v>
      </c>
      <c r="H142" s="142">
        <f>IFERROR(__xludf.DUMMYFUNCTION("""COMPUTED_VALUE"""),0.0)</f>
        <v>0</v>
      </c>
      <c r="I142" s="22">
        <f>IFERROR(__xludf.DUMMYFUNCTION("""COMPUTED_VALUE"""),0.0)</f>
        <v>0</v>
      </c>
      <c r="J142" s="22">
        <f>IFERROR(__xludf.DUMMYFUNCTION("""COMPUTED_VALUE"""),440984.7424)</f>
        <v>440984.7424</v>
      </c>
      <c r="K142" s="5"/>
      <c r="L142" s="5" t="str">
        <f>IFERROR(__xludf.DUMMYFUNCTION("""COMPUTED_VALUE"""),"Limit Condition not met")</f>
        <v>Limit Condition not met</v>
      </c>
    </row>
    <row r="143">
      <c r="A143" s="86">
        <f>IFERROR(__xludf.DUMMYFUNCTION("""COMPUTED_VALUE"""),44644.0)</f>
        <v>44644</v>
      </c>
      <c r="B143" s="5" t="str">
        <f>IFERROR(__xludf.DUMMYFUNCTION("""COMPUTED_VALUE"""),"39441")</f>
        <v>39441</v>
      </c>
      <c r="C143" s="5" t="str">
        <f>IFERROR(__xludf.DUMMYFUNCTION("""COMPUTED_VALUE"""),"SELL (SHORT)")</f>
        <v>SELL (SHORT)</v>
      </c>
      <c r="D143" s="87" t="str">
        <f>IFERROR(__xludf.DUMMYFUNCTION("""COMPUTED_VALUE"""),"BABA")</f>
        <v>BABA</v>
      </c>
      <c r="E143" s="5">
        <f>IFERROR(__xludf.DUMMYFUNCTION("""COMPUTED_VALUE"""),117.25)</f>
        <v>117.25</v>
      </c>
      <c r="F143" s="5">
        <f>IFERROR(__xludf.DUMMYFUNCTION("""COMPUTED_VALUE"""),115.15)</f>
        <v>115.15</v>
      </c>
      <c r="G143" s="5">
        <f>IFERROR(__xludf.DUMMYFUNCTION("""COMPUTED_VALUE"""),100.0)</f>
        <v>100</v>
      </c>
      <c r="H143" s="142">
        <f>IFERROR(__xludf.DUMMYFUNCTION("""COMPUTED_VALUE"""),0.0)</f>
        <v>0</v>
      </c>
      <c r="I143" s="22">
        <f>IFERROR(__xludf.DUMMYFUNCTION("""COMPUTED_VALUE"""),0.0)</f>
        <v>0</v>
      </c>
      <c r="J143" s="22">
        <f>IFERROR(__xludf.DUMMYFUNCTION("""COMPUTED_VALUE"""),182046.23808525002)</f>
        <v>182046.2381</v>
      </c>
      <c r="K143" s="5"/>
      <c r="L143" s="5" t="str">
        <f>IFERROR(__xludf.DUMMYFUNCTION("""COMPUTED_VALUE"""),"Limit Condition not met")</f>
        <v>Limit Condition not met</v>
      </c>
    </row>
    <row r="144">
      <c r="A144" s="86">
        <f>IFERROR(__xludf.DUMMYFUNCTION("""COMPUTED_VALUE"""),44644.0)</f>
        <v>44644</v>
      </c>
      <c r="B144" s="5" t="str">
        <f>IFERROR(__xludf.DUMMYFUNCTION("""COMPUTED_VALUE"""),"75369")</f>
        <v>75369</v>
      </c>
      <c r="C144" s="5" t="str">
        <f>IFERROR(__xludf.DUMMYFUNCTION("""COMPUTED_VALUE"""),"BUY (LONG)")</f>
        <v>BUY (LONG)</v>
      </c>
      <c r="D144" s="87" t="str">
        <f>IFERROR(__xludf.DUMMYFUNCTION("""COMPUTED_VALUE"""),"TSLA")</f>
        <v>TSLA</v>
      </c>
      <c r="E144" s="5"/>
      <c r="F144" s="5">
        <f>IFERROR(__xludf.DUMMYFUNCTION("""COMPUTED_VALUE"""),1013.92)</f>
        <v>1013.92</v>
      </c>
      <c r="G144" s="5">
        <f>IFERROR(__xludf.DUMMYFUNCTION("""COMPUTED_VALUE"""),100.0)</f>
        <v>100</v>
      </c>
      <c r="H144" s="142" t="str">
        <f>IFERROR(__xludf.DUMMYFUNCTION("""COMPUTED_VALUE"""),"")</f>
        <v/>
      </c>
      <c r="I144" s="22">
        <f>IFERROR(__xludf.DUMMYFUNCTION("""COMPUTED_VALUE"""),-793255.5207999999)</f>
        <v>-793255.5208</v>
      </c>
      <c r="J144" s="22">
        <f>IFERROR(__xludf.DUMMYFUNCTION("""COMPUTED_VALUE"""),-359255.52079999994)</f>
        <v>-359255.5208</v>
      </c>
      <c r="K144" s="5"/>
      <c r="L144" s="5" t="str">
        <f>IFERROR(__xludf.DUMMYFUNCTION("""COMPUTED_VALUE"""),"Insufficient Cash or Margin Balance")</f>
        <v>Insufficient Cash or Margin Balance</v>
      </c>
    </row>
    <row r="145">
      <c r="A145" s="86">
        <f>IFERROR(__xludf.DUMMYFUNCTION("""COMPUTED_VALUE"""),44645.0)</f>
        <v>44645</v>
      </c>
      <c r="B145" s="5" t="str">
        <f>IFERROR(__xludf.DUMMYFUNCTION("""COMPUTED_VALUE"""),"38307")</f>
        <v>38307</v>
      </c>
      <c r="C145" s="5" t="str">
        <f>IFERROR(__xludf.DUMMYFUNCTION("""COMPUTED_VALUE"""),"SELL (SHORT)")</f>
        <v>SELL (SHORT)</v>
      </c>
      <c r="D145" s="90" t="str">
        <f>IFERROR(__xludf.DUMMYFUNCTION("""COMPUTED_VALUE"""),"603392.SS")</f>
        <v>603392.SS</v>
      </c>
      <c r="E145" s="5"/>
      <c r="F145" s="5">
        <f>IFERROR(__xludf.DUMMYFUNCTION("""COMPUTED_VALUE"""),270.99)</f>
        <v>270.99</v>
      </c>
      <c r="G145" s="5">
        <f>IFERROR(__xludf.DUMMYFUNCTION("""COMPUTED_VALUE"""),800.0)</f>
        <v>800</v>
      </c>
      <c r="H145" s="142" t="str">
        <f>IFERROR(__xludf.DUMMYFUNCTION("""COMPUTED_VALUE"""),"")</f>
        <v/>
      </c>
      <c r="I145" s="22">
        <f>IFERROR(__xludf.DUMMYFUNCTION("""COMPUTED_VALUE"""),266720.498352)</f>
        <v>266720.4984</v>
      </c>
      <c r="J145" s="22">
        <f>IFERROR(__xludf.DUMMYFUNCTION("""COMPUTED_VALUE"""),-344936.035154)</f>
        <v>-344936.0352</v>
      </c>
      <c r="K145" s="5"/>
      <c r="L145" s="5" t="str">
        <f>IFERROR(__xludf.DUMMYFUNCTION("""COMPUTED_VALUE"""),"Insufficient Cash or Margin Balance")</f>
        <v>Insufficient Cash or Margin Balance</v>
      </c>
    </row>
    <row r="146">
      <c r="A146" s="86">
        <f>IFERROR(__xludf.DUMMYFUNCTION("""COMPUTED_VALUE"""),44645.0)</f>
        <v>44645</v>
      </c>
      <c r="B146" s="5" t="str">
        <f>IFERROR(__xludf.DUMMYFUNCTION("""COMPUTED_VALUE"""),"38381")</f>
        <v>38381</v>
      </c>
      <c r="C146" s="5" t="str">
        <f>IFERROR(__xludf.DUMMYFUNCTION("""COMPUTED_VALUE"""),"BUY (LONG)")</f>
        <v>BUY (LONG)</v>
      </c>
      <c r="D146" s="87" t="str">
        <f>IFERROR(__xludf.DUMMYFUNCTION("""COMPUTED_VALUE"""),"BZ=F")</f>
        <v>BZ=F</v>
      </c>
      <c r="E146" s="5"/>
      <c r="F146" s="5">
        <f>IFERROR(__xludf.DUMMYFUNCTION("""COMPUTED_VALUE"""),119.28)</f>
        <v>119.28</v>
      </c>
      <c r="G146" s="5">
        <f>IFERROR(__xludf.DUMMYFUNCTION("""COMPUTED_VALUE"""),500.0)</f>
        <v>500</v>
      </c>
      <c r="H146" s="142" t="str">
        <f>IFERROR(__xludf.DUMMYFUNCTION("""COMPUTED_VALUE"""),"")</f>
        <v/>
      </c>
      <c r="I146" s="22">
        <f>IFERROR(__xludf.DUMMYFUNCTION("""COMPUTED_VALUE"""),-466966.29000000004)</f>
        <v>-466966.29</v>
      </c>
      <c r="J146" s="22">
        <f>IFERROR(__xludf.DUMMYFUNCTION("""COMPUTED_VALUE"""),-496365.23844999995)</f>
        <v>-496365.2385</v>
      </c>
      <c r="K146" s="5"/>
      <c r="L146" s="5" t="str">
        <f>IFERROR(__xludf.DUMMYFUNCTION("""COMPUTED_VALUE"""),"Insufficient Cash or Margin Balance")</f>
        <v>Insufficient Cash or Margin Balance</v>
      </c>
    </row>
    <row r="147">
      <c r="A147" s="86">
        <f>IFERROR(__xludf.DUMMYFUNCTION("""COMPUTED_VALUE"""),44645.0)</f>
        <v>44645</v>
      </c>
      <c r="B147" s="5" t="str">
        <f>IFERROR(__xludf.DUMMYFUNCTION("""COMPUTED_VALUE"""),"38758")</f>
        <v>38758</v>
      </c>
      <c r="C147" s="5" t="str">
        <f>IFERROR(__xludf.DUMMYFUNCTION("""COMPUTED_VALUE"""),"SELL (SHORT)")</f>
        <v>SELL (SHORT)</v>
      </c>
      <c r="D147" s="90" t="str">
        <f>IFERROR(__xludf.DUMMYFUNCTION("""COMPUTED_VALUE"""),"0700.HK")</f>
        <v>0700.HK</v>
      </c>
      <c r="E147" s="5">
        <f>IFERROR(__xludf.DUMMYFUNCTION("""COMPUTED_VALUE"""),360.0)</f>
        <v>360</v>
      </c>
      <c r="F147" s="5">
        <f>IFERROR(__xludf.DUMMYFUNCTION("""COMPUTED_VALUE"""),356.4)</f>
        <v>356.4</v>
      </c>
      <c r="G147" s="5">
        <f>IFERROR(__xludf.DUMMYFUNCTION("""COMPUTED_VALUE"""),50.0)</f>
        <v>50</v>
      </c>
      <c r="H147" s="142">
        <f>IFERROR(__xludf.DUMMYFUNCTION("""COMPUTED_VALUE"""),0.0)</f>
        <v>0</v>
      </c>
      <c r="I147" s="22">
        <f>IFERROR(__xludf.DUMMYFUNCTION("""COMPUTED_VALUE"""),0.0)</f>
        <v>0</v>
      </c>
      <c r="J147" s="22">
        <f>IFERROR(__xludf.DUMMYFUNCTION("""COMPUTED_VALUE"""),440984.7424)</f>
        <v>440984.7424</v>
      </c>
      <c r="K147" s="5"/>
      <c r="L147" s="5" t="str">
        <f>IFERROR(__xludf.DUMMYFUNCTION("""COMPUTED_VALUE"""),"Limit Condition not met")</f>
        <v>Limit Condition not met</v>
      </c>
    </row>
    <row r="148">
      <c r="A148" s="86">
        <f>IFERROR(__xludf.DUMMYFUNCTION("""COMPUTED_VALUE"""),44645.0)</f>
        <v>44645</v>
      </c>
      <c r="B148" s="5" t="str">
        <f>IFERROR(__xludf.DUMMYFUNCTION("""COMPUTED_VALUE"""),"39776")</f>
        <v>39776</v>
      </c>
      <c r="C148" s="5" t="str">
        <f>IFERROR(__xludf.DUMMYFUNCTION("""COMPUTED_VALUE"""),"BUY (LONG)")</f>
        <v>BUY (LONG)</v>
      </c>
      <c r="D148" s="90" t="str">
        <f>IFERROR(__xludf.DUMMYFUNCTION("""COMPUTED_VALUE"""),"0700.HK")</f>
        <v>0700.HK</v>
      </c>
      <c r="E148" s="5">
        <f>IFERROR(__xludf.DUMMYFUNCTION("""COMPUTED_VALUE"""),355.5)</f>
        <v>355.5</v>
      </c>
      <c r="F148" s="5">
        <f>IFERROR(__xludf.DUMMYFUNCTION("""COMPUTED_VALUE"""),356.4)</f>
        <v>356.4</v>
      </c>
      <c r="G148" s="5">
        <f>IFERROR(__xludf.DUMMYFUNCTION("""COMPUTED_VALUE"""),150.0)</f>
        <v>150</v>
      </c>
      <c r="H148" s="142">
        <f>IFERROR(__xludf.DUMMYFUNCTION("""COMPUTED_VALUE"""),0.0)</f>
        <v>0</v>
      </c>
      <c r="I148" s="22">
        <f>IFERROR(__xludf.DUMMYFUNCTION("""COMPUTED_VALUE"""),0.0)</f>
        <v>0</v>
      </c>
      <c r="J148" s="22">
        <f>IFERROR(__xludf.DUMMYFUNCTION("""COMPUTED_VALUE"""),485150.0)</f>
        <v>485150</v>
      </c>
      <c r="K148" s="5"/>
      <c r="L148" s="5" t="str">
        <f>IFERROR(__xludf.DUMMYFUNCTION("""COMPUTED_VALUE"""),"Limit Condition not met")</f>
        <v>Limit Condition not met</v>
      </c>
    </row>
    <row r="149">
      <c r="A149" s="86">
        <f>IFERROR(__xludf.DUMMYFUNCTION("""COMPUTED_VALUE"""),44645.0)</f>
        <v>44645</v>
      </c>
      <c r="B149" s="5" t="str">
        <f>IFERROR(__xludf.DUMMYFUNCTION("""COMPUTED_VALUE"""),"75369")</f>
        <v>75369</v>
      </c>
      <c r="C149" s="5" t="str">
        <f>IFERROR(__xludf.DUMMYFUNCTION("""COMPUTED_VALUE"""),"SELL (SHORT)")</f>
        <v>SELL (SHORT)</v>
      </c>
      <c r="D149" s="87" t="str">
        <f>IFERROR(__xludf.DUMMYFUNCTION("""COMPUTED_VALUE"""),"TSLA")</f>
        <v>TSLA</v>
      </c>
      <c r="E149" s="5"/>
      <c r="F149" s="5">
        <f>IFERROR(__xludf.DUMMYFUNCTION("""COMPUTED_VALUE"""),1010.64)</f>
        <v>1010.64</v>
      </c>
      <c r="G149" s="5">
        <f>IFERROR(__xludf.DUMMYFUNCTION("""COMPUTED_VALUE"""),100.0)</f>
        <v>100</v>
      </c>
      <c r="H149" s="142" t="str">
        <f>IFERROR(__xludf.DUMMYFUNCTION("""COMPUTED_VALUE"""),"")</f>
        <v/>
      </c>
      <c r="I149" s="22">
        <f>IFERROR(__xludf.DUMMYFUNCTION("""COMPUTED_VALUE"""),791305.854)</f>
        <v>791305.854</v>
      </c>
      <c r="J149" s="22">
        <f>IFERROR(__xludf.DUMMYFUNCTION("""COMPUTED_VALUE"""),-357305.85399999993)</f>
        <v>-357305.854</v>
      </c>
      <c r="K149" s="5"/>
      <c r="L149" s="5" t="str">
        <f>IFERROR(__xludf.DUMMYFUNCTION("""COMPUTED_VALUE"""),"Insufficient Cash or Margin Balance")</f>
        <v>Insufficient Cash or Margin Balance</v>
      </c>
    </row>
    <row r="150">
      <c r="A150" s="86">
        <f>IFERROR(__xludf.DUMMYFUNCTION("""COMPUTED_VALUE"""),44645.0)</f>
        <v>44645</v>
      </c>
      <c r="B150" s="5" t="str">
        <f>IFERROR(__xludf.DUMMYFUNCTION("""COMPUTED_VALUE"""),"75973")</f>
        <v>75973</v>
      </c>
      <c r="C150" s="5" t="str">
        <f>IFERROR(__xludf.DUMMYFUNCTION("""COMPUTED_VALUE"""),"BUY (LONG)")</f>
        <v>BUY (LONG)</v>
      </c>
      <c r="D150" s="90" t="str">
        <f>IFERROR(__xludf.DUMMYFUNCTION("""COMPUTED_VALUE"""),"601658.SS")</f>
        <v>601658.SS</v>
      </c>
      <c r="E150" s="5"/>
      <c r="F150" s="5">
        <f>IFERROR(__xludf.DUMMYFUNCTION("""COMPUTED_VALUE"""),5.2)</f>
        <v>5.2</v>
      </c>
      <c r="G150" s="5">
        <f>IFERROR(__xludf.DUMMYFUNCTION("""COMPUTED_VALUE"""),6800.0)</f>
        <v>6800</v>
      </c>
      <c r="H150" s="142" t="str">
        <f>IFERROR(__xludf.DUMMYFUNCTION("""COMPUTED_VALUE"""),"")</f>
        <v/>
      </c>
      <c r="I150" s="22">
        <f>IFERROR(__xludf.DUMMYFUNCTION("""COMPUTED_VALUE"""),-43503.62016)</f>
        <v>-43503.62016</v>
      </c>
      <c r="J150" s="22">
        <f>IFERROR(__xludf.DUMMYFUNCTION("""COMPUTED_VALUE"""),-280968.83790375)</f>
        <v>-280968.8379</v>
      </c>
      <c r="K150" s="5"/>
      <c r="L150" s="5" t="str">
        <f>IFERROR(__xludf.DUMMYFUNCTION("""COMPUTED_VALUE"""),"Insufficient Cash or Margin Balance")</f>
        <v>Insufficient Cash or Margin Balance</v>
      </c>
    </row>
    <row r="151">
      <c r="A151" s="86">
        <f>IFERROR(__xludf.DUMMYFUNCTION("""COMPUTED_VALUE"""),44645.0)</f>
        <v>44645</v>
      </c>
      <c r="B151" s="5" t="str">
        <f>IFERROR(__xludf.DUMMYFUNCTION("""COMPUTED_VALUE"""),"76796")</f>
        <v>76796</v>
      </c>
      <c r="C151" s="5" t="str">
        <f>IFERROR(__xludf.DUMMYFUNCTION("""COMPUTED_VALUE"""),"BUY (LONG)")</f>
        <v>BUY (LONG)</v>
      </c>
      <c r="D151" s="87" t="str">
        <f>IFERROR(__xludf.DUMMYFUNCTION("""COMPUTED_VALUE"""),"MSFT")</f>
        <v>MSFT</v>
      </c>
      <c r="E151" s="5"/>
      <c r="F151" s="5">
        <f>IFERROR(__xludf.DUMMYFUNCTION("""COMPUTED_VALUE"""),303.68)</f>
        <v>303.68</v>
      </c>
      <c r="G151" s="5">
        <f>IFERROR(__xludf.DUMMYFUNCTION("""COMPUTED_VALUE"""),1500.0)</f>
        <v>1500</v>
      </c>
      <c r="H151" s="142" t="str">
        <f>IFERROR(__xludf.DUMMYFUNCTION("""COMPUTED_VALUE"""),"")</f>
        <v/>
      </c>
      <c r="I151" s="22">
        <f>IFERROR(__xludf.DUMMYFUNCTION("""COMPUTED_VALUE"""),-3566607.7199999997)</f>
        <v>-3566607.72</v>
      </c>
      <c r="J151" s="22">
        <f>IFERROR(__xludf.DUMMYFUNCTION("""COMPUTED_VALUE"""),-3309082.3233499997)</f>
        <v>-3309082.323</v>
      </c>
      <c r="K151" s="5"/>
      <c r="L151" s="5" t="str">
        <f>IFERROR(__xludf.DUMMYFUNCTION("""COMPUTED_VALUE"""),"Insufficient Cash or Margin Balance")</f>
        <v>Insufficient Cash or Margin Balance</v>
      </c>
    </row>
    <row r="152">
      <c r="A152" s="86">
        <f>IFERROR(__xludf.DUMMYFUNCTION("""COMPUTED_VALUE"""),44645.0)</f>
        <v>44645</v>
      </c>
      <c r="B152" s="5" t="str">
        <f>IFERROR(__xludf.DUMMYFUNCTION("""COMPUTED_VALUE"""),"76796")</f>
        <v>76796</v>
      </c>
      <c r="C152" s="5" t="str">
        <f>IFERROR(__xludf.DUMMYFUNCTION("""COMPUTED_VALUE"""),"BUY (LONG)")</f>
        <v>BUY (LONG)</v>
      </c>
      <c r="D152" s="87" t="str">
        <f>IFERROR(__xludf.DUMMYFUNCTION("""COMPUTED_VALUE"""),"MSFT")</f>
        <v>MSFT</v>
      </c>
      <c r="E152" s="5">
        <f>IFERROR(__xludf.DUMMYFUNCTION("""COMPUTED_VALUE"""),305.0)</f>
        <v>305</v>
      </c>
      <c r="F152" s="5">
        <f>IFERROR(__xludf.DUMMYFUNCTION("""COMPUTED_VALUE"""),303.68)</f>
        <v>303.68</v>
      </c>
      <c r="G152" s="5">
        <f>IFERROR(__xludf.DUMMYFUNCTION("""COMPUTED_VALUE"""),1000.0)</f>
        <v>1000</v>
      </c>
      <c r="H152" s="142" t="str">
        <f>IFERROR(__xludf.DUMMYFUNCTION("""COMPUTED_VALUE"""),"")</f>
        <v/>
      </c>
      <c r="I152" s="22">
        <f>IFERROR(__xludf.DUMMYFUNCTION("""COMPUTED_VALUE"""),-2377738.48)</f>
        <v>-2377738.48</v>
      </c>
      <c r="J152" s="22">
        <f>IFERROR(__xludf.DUMMYFUNCTION("""COMPUTED_VALUE"""),-2120213.08335)</f>
        <v>-2120213.083</v>
      </c>
      <c r="K152" s="5"/>
      <c r="L152" s="5" t="str">
        <f>IFERROR(__xludf.DUMMYFUNCTION("""COMPUTED_VALUE"""),"Limit Condition not met")</f>
        <v>Limit Condition not met</v>
      </c>
    </row>
    <row r="153">
      <c r="A153" s="86">
        <f>IFERROR(__xludf.DUMMYFUNCTION("""COMPUTED_VALUE"""),44645.0)</f>
        <v>44645</v>
      </c>
      <c r="B153" s="5" t="str">
        <f>IFERROR(__xludf.DUMMYFUNCTION("""COMPUTED_VALUE"""),"89845")</f>
        <v>89845</v>
      </c>
      <c r="C153" s="5" t="str">
        <f>IFERROR(__xludf.DUMMYFUNCTION("""COMPUTED_VALUE"""),"BUY (LONG)")</f>
        <v>BUY (LONG)</v>
      </c>
      <c r="D153" s="87" t="str">
        <f>IFERROR(__xludf.DUMMYFUNCTION("""COMPUTED_VALUE"""),"TSLA")</f>
        <v>TSLA</v>
      </c>
      <c r="E153" s="5"/>
      <c r="F153" s="5">
        <f>IFERROR(__xludf.DUMMYFUNCTION("""COMPUTED_VALUE"""),1010.64)</f>
        <v>1010.64</v>
      </c>
      <c r="G153" s="5">
        <f>IFERROR(__xludf.DUMMYFUNCTION("""COMPUTED_VALUE"""),300.0)</f>
        <v>300</v>
      </c>
      <c r="H153" s="142" t="str">
        <f>IFERROR(__xludf.DUMMYFUNCTION("""COMPUTED_VALUE"""),"")</f>
        <v/>
      </c>
      <c r="I153" s="22">
        <f>IFERROR(__xludf.DUMMYFUNCTION("""COMPUTED_VALUE"""),-2373917.562)</f>
        <v>-2373917.562</v>
      </c>
      <c r="J153" s="22">
        <f>IFERROR(__xludf.DUMMYFUNCTION("""COMPUTED_VALUE"""),-2010718.954)</f>
        <v>-2010718.954</v>
      </c>
      <c r="K153" s="5"/>
      <c r="L153" s="5" t="str">
        <f>IFERROR(__xludf.DUMMYFUNCTION("""COMPUTED_VALUE"""),"Insufficient Cash or Margin Balance")</f>
        <v>Insufficient Cash or Margin Balance</v>
      </c>
    </row>
    <row r="154">
      <c r="A154" s="86">
        <f>IFERROR(__xludf.DUMMYFUNCTION("""COMPUTED_VALUE"""),44648.0)</f>
        <v>44648</v>
      </c>
      <c r="B154" s="5" t="str">
        <f>IFERROR(__xludf.DUMMYFUNCTION("""COMPUTED_VALUE"""),"35577")</f>
        <v>35577</v>
      </c>
      <c r="C154" s="5" t="str">
        <f>IFERROR(__xludf.DUMMYFUNCTION("""COMPUTED_VALUE"""),"BUY (LONG)")</f>
        <v>BUY (LONG)</v>
      </c>
      <c r="D154" s="87" t="str">
        <f>IFERROR(__xludf.DUMMYFUNCTION("""COMPUTED_VALUE"""),"ADBE")</f>
        <v>ADBE</v>
      </c>
      <c r="E154" s="5">
        <f>IFERROR(__xludf.DUMMYFUNCTION("""COMPUTED_VALUE"""),432.0)</f>
        <v>432</v>
      </c>
      <c r="F154" s="5">
        <f>IFERROR(__xludf.DUMMYFUNCTION("""COMPUTED_VALUE"""),450.01)</f>
        <v>450.01</v>
      </c>
      <c r="G154" s="5">
        <f>IFERROR(__xludf.DUMMYFUNCTION("""COMPUTED_VALUE"""),25.0)</f>
        <v>25</v>
      </c>
      <c r="H154" s="142">
        <f>IFERROR(__xludf.DUMMYFUNCTION("""COMPUTED_VALUE"""),0.0)</f>
        <v>0</v>
      </c>
      <c r="I154" s="22">
        <f>IFERROR(__xludf.DUMMYFUNCTION("""COMPUTED_VALUE"""),0.0)</f>
        <v>0</v>
      </c>
      <c r="J154" s="22">
        <f>IFERROR(__xludf.DUMMYFUNCTION("""COMPUTED_VALUE"""),383867.33157395007)</f>
        <v>383867.3316</v>
      </c>
      <c r="K154" s="5"/>
      <c r="L154" s="5" t="str">
        <f>IFERROR(__xludf.DUMMYFUNCTION("""COMPUTED_VALUE"""),"Limit Condition not met")</f>
        <v>Limit Condition not met</v>
      </c>
    </row>
    <row r="155">
      <c r="A155" s="86">
        <f>IFERROR(__xludf.DUMMYFUNCTION("""COMPUTED_VALUE"""),44648.0)</f>
        <v>44648</v>
      </c>
      <c r="B155" s="5" t="str">
        <f>IFERROR(__xludf.DUMMYFUNCTION("""COMPUTED_VALUE"""),"36242")</f>
        <v>36242</v>
      </c>
      <c r="C155" s="5" t="str">
        <f>IFERROR(__xludf.DUMMYFUNCTION("""COMPUTED_VALUE"""),"BUY (LONG)")</f>
        <v>BUY (LONG)</v>
      </c>
      <c r="D155" s="87" t="str">
        <f>IFERROR(__xludf.DUMMYFUNCTION("""COMPUTED_VALUE"""),"TSLA")</f>
        <v>TSLA</v>
      </c>
      <c r="E155" s="5">
        <f>IFERROR(__xludf.DUMMYFUNCTION("""COMPUTED_VALUE"""),1010.0)</f>
        <v>1010</v>
      </c>
      <c r="F155" s="5">
        <f>IFERROR(__xludf.DUMMYFUNCTION("""COMPUTED_VALUE"""),1091.84)</f>
        <v>1091.84</v>
      </c>
      <c r="G155" s="5">
        <f>IFERROR(__xludf.DUMMYFUNCTION("""COMPUTED_VALUE"""),50.0)</f>
        <v>50</v>
      </c>
      <c r="H155" s="142">
        <f>IFERROR(__xludf.DUMMYFUNCTION("""COMPUTED_VALUE"""),0.0)</f>
        <v>0</v>
      </c>
      <c r="I155" s="22">
        <f>IFERROR(__xludf.DUMMYFUNCTION("""COMPUTED_VALUE"""),0.0)</f>
        <v>0</v>
      </c>
      <c r="J155" s="22">
        <f>IFERROR(__xludf.DUMMYFUNCTION("""COMPUTED_VALUE"""),500000.0)</f>
        <v>500000</v>
      </c>
      <c r="K155" s="5"/>
      <c r="L155" s="5" t="str">
        <f>IFERROR(__xludf.DUMMYFUNCTION("""COMPUTED_VALUE"""),"Limit Condition not met")</f>
        <v>Limit Condition not met</v>
      </c>
    </row>
    <row r="156">
      <c r="A156" s="86">
        <f>IFERROR(__xludf.DUMMYFUNCTION("""COMPUTED_VALUE"""),44648.0)</f>
        <v>44648</v>
      </c>
      <c r="B156" s="5" t="str">
        <f>IFERROR(__xludf.DUMMYFUNCTION("""COMPUTED_VALUE"""),"37934")</f>
        <v>37934</v>
      </c>
      <c r="C156" s="5" t="str">
        <f>IFERROR(__xludf.DUMMYFUNCTION("""COMPUTED_VALUE"""),"BUY (LONG)")</f>
        <v>BUY (LONG)</v>
      </c>
      <c r="D156" s="90" t="str">
        <f>IFERROR(__xludf.DUMMYFUNCTION("""COMPUTED_VALUE"""),"0700.HK")</f>
        <v>0700.HK</v>
      </c>
      <c r="E156" s="5">
        <f>IFERROR(__xludf.DUMMYFUNCTION("""COMPUTED_VALUE"""),358.0)</f>
        <v>358</v>
      </c>
      <c r="F156" s="31">
        <f>IFERROR(__xludf.DUMMYFUNCTION("""COMPUTED_VALUE"""),366.4)</f>
        <v>366.4</v>
      </c>
      <c r="G156" s="5">
        <f>IFERROR(__xludf.DUMMYFUNCTION("""COMPUTED_VALUE"""),200.0)</f>
        <v>200</v>
      </c>
      <c r="H156" s="142">
        <f>IFERROR(__xludf.DUMMYFUNCTION("""COMPUTED_VALUE"""),0.0)</f>
        <v>0</v>
      </c>
      <c r="I156" s="22">
        <f>IFERROR(__xludf.DUMMYFUNCTION("""COMPUTED_VALUE"""),0.0)</f>
        <v>0</v>
      </c>
      <c r="J156" s="22">
        <f>IFERROR(__xludf.DUMMYFUNCTION("""COMPUTED_VALUE"""),201703.76255)</f>
        <v>201703.7626</v>
      </c>
      <c r="K156" s="5"/>
      <c r="L156" s="5" t="str">
        <f>IFERROR(__xludf.DUMMYFUNCTION("""COMPUTED_VALUE"""),"Limit Condition not met")</f>
        <v>Limit Condition not met</v>
      </c>
    </row>
    <row r="157">
      <c r="A157" s="86">
        <f>IFERROR(__xludf.DUMMYFUNCTION("""COMPUTED_VALUE"""),44648.0)</f>
        <v>44648</v>
      </c>
      <c r="B157" s="5" t="str">
        <f>IFERROR(__xludf.DUMMYFUNCTION("""COMPUTED_VALUE"""),"38105")</f>
        <v>38105</v>
      </c>
      <c r="C157" s="5" t="str">
        <f>IFERROR(__xludf.DUMMYFUNCTION("""COMPUTED_VALUE"""),"BUY (LONG)")</f>
        <v>BUY (LONG)</v>
      </c>
      <c r="D157" s="87" t="str">
        <f>IFERROR(__xludf.DUMMYFUNCTION("""COMPUTED_VALUE"""),"GME")</f>
        <v>GME</v>
      </c>
      <c r="E157" s="5">
        <f>IFERROR(__xludf.DUMMYFUNCTION("""COMPUTED_VALUE"""),160.0)</f>
        <v>160</v>
      </c>
      <c r="F157" s="5">
        <f>IFERROR(__xludf.DUMMYFUNCTION("""COMPUTED_VALUE"""),189.98)</f>
        <v>189.98</v>
      </c>
      <c r="G157" s="5">
        <f>IFERROR(__xludf.DUMMYFUNCTION("""COMPUTED_VALUE"""),30.0)</f>
        <v>30</v>
      </c>
      <c r="H157" s="142">
        <f>IFERROR(__xludf.DUMMYFUNCTION("""COMPUTED_VALUE"""),0.0)</f>
        <v>0</v>
      </c>
      <c r="I157" s="22">
        <f>IFERROR(__xludf.DUMMYFUNCTION("""COMPUTED_VALUE"""),0.0)</f>
        <v>0</v>
      </c>
      <c r="J157" s="22">
        <f>IFERROR(__xludf.DUMMYFUNCTION("""COMPUTED_VALUE"""),500000.0)</f>
        <v>500000</v>
      </c>
      <c r="K157" s="5"/>
      <c r="L157" s="5" t="str">
        <f>IFERROR(__xludf.DUMMYFUNCTION("""COMPUTED_VALUE"""),"Limit Condition not met")</f>
        <v>Limit Condition not met</v>
      </c>
    </row>
    <row r="158">
      <c r="A158" s="86">
        <f>IFERROR(__xludf.DUMMYFUNCTION("""COMPUTED_VALUE"""),44648.0)</f>
        <v>44648</v>
      </c>
      <c r="B158" s="5" t="str">
        <f>IFERROR(__xludf.DUMMYFUNCTION("""COMPUTED_VALUE"""),"46600")</f>
        <v>46600</v>
      </c>
      <c r="C158" s="5" t="str">
        <f>IFERROR(__xludf.DUMMYFUNCTION("""COMPUTED_VALUE"""),"BUY (LONG)")</f>
        <v>BUY (LONG)</v>
      </c>
      <c r="D158" s="87" t="str">
        <f>IFERROR(__xludf.DUMMYFUNCTION("""COMPUTED_VALUE"""),"TSLA")</f>
        <v>TSLA</v>
      </c>
      <c r="E158" s="5"/>
      <c r="F158" s="5">
        <f>IFERROR(__xludf.DUMMYFUNCTION("""COMPUTED_VALUE"""),1091.84)</f>
        <v>1091.84</v>
      </c>
      <c r="G158" s="5">
        <f>IFERROR(__xludf.DUMMYFUNCTION("""COMPUTED_VALUE"""),200.0)</f>
        <v>200</v>
      </c>
      <c r="H158" s="142" t="str">
        <f>IFERROR(__xludf.DUMMYFUNCTION("""COMPUTED_VALUE"""),"")</f>
        <v/>
      </c>
      <c r="I158" s="22">
        <f>IFERROR(__xludf.DUMMYFUNCTION("""COMPUTED_VALUE"""),-1709613.9904)</f>
        <v>-1709613.99</v>
      </c>
      <c r="J158" s="22">
        <f>IFERROR(__xludf.DUMMYFUNCTION("""COMPUTED_VALUE"""),-1336540.4903999998)</f>
        <v>-1336540.49</v>
      </c>
      <c r="K158" s="5"/>
      <c r="L158" s="5" t="str">
        <f>IFERROR(__xludf.DUMMYFUNCTION("""COMPUTED_VALUE"""),"Insufficient Cash or Margin Balance")</f>
        <v>Insufficient Cash or Margin Balance</v>
      </c>
    </row>
    <row r="159">
      <c r="A159" s="86">
        <f>IFERROR(__xludf.DUMMYFUNCTION("""COMPUTED_VALUE"""),44649.0)</f>
        <v>44649</v>
      </c>
      <c r="B159" s="5" t="str">
        <f>IFERROR(__xludf.DUMMYFUNCTION("""COMPUTED_VALUE"""),"39296")</f>
        <v>39296</v>
      </c>
      <c r="C159" s="5" t="str">
        <f>IFERROR(__xludf.DUMMYFUNCTION("""COMPUTED_VALUE"""),"SELL (SHORT)")</f>
        <v>SELL (SHORT)</v>
      </c>
      <c r="D159" s="87" t="str">
        <f>IFERROR(__xludf.DUMMYFUNCTION("""COMPUTED_VALUE"""),"TQQQ220408P00056000")</f>
        <v>TQQQ220408P00056000</v>
      </c>
      <c r="E159" s="5"/>
      <c r="F159" s="5"/>
      <c r="G159" s="5">
        <f>IFERROR(__xludf.DUMMYFUNCTION("""COMPUTED_VALUE"""),100.0)</f>
        <v>100</v>
      </c>
      <c r="H159" s="142" t="str">
        <f>IFERROR(__xludf.DUMMYFUNCTION("""COMPUTED_VALUE"""),"")</f>
        <v/>
      </c>
      <c r="I159" s="22">
        <f>IFERROR(__xludf.DUMMYFUNCTION("""COMPUTED_VALUE"""),69663.1035)</f>
        <v>69663.1035</v>
      </c>
      <c r="J159" s="22">
        <f>IFERROR(__xludf.DUMMYFUNCTION("""COMPUTED_VALUE"""),-4334976.399999999)</f>
        <v>-4334976.4</v>
      </c>
      <c r="K159" s="5"/>
      <c r="L159" s="5" t="str">
        <f>IFERROR(__xludf.DUMMYFUNCTION("""COMPUTED_VALUE"""),"Insufficient Cash or Margin Balance")</f>
        <v>Insufficient Cash or Margin Balance</v>
      </c>
    </row>
    <row r="160">
      <c r="A160" s="86">
        <f>IFERROR(__xludf.DUMMYFUNCTION("""COMPUTED_VALUE"""),44649.0)</f>
        <v>44649</v>
      </c>
      <c r="B160" s="5" t="str">
        <f>IFERROR(__xludf.DUMMYFUNCTION("""COMPUTED_VALUE"""),"75369")</f>
        <v>75369</v>
      </c>
      <c r="C160" s="5" t="str">
        <f>IFERROR(__xludf.DUMMYFUNCTION("""COMPUTED_VALUE"""),"BUY (LONG)")</f>
        <v>BUY (LONG)</v>
      </c>
      <c r="D160" s="87" t="str">
        <f>IFERROR(__xludf.DUMMYFUNCTION("""COMPUTED_VALUE"""),"AAPL")</f>
        <v>AAPL</v>
      </c>
      <c r="E160" s="5"/>
      <c r="F160" s="5">
        <f>IFERROR(__xludf.DUMMYFUNCTION("""COMPUTED_VALUE"""),178.96)</f>
        <v>178.96</v>
      </c>
      <c r="G160" s="5">
        <f>IFERROR(__xludf.DUMMYFUNCTION("""COMPUTED_VALUE"""),350.0)</f>
        <v>350</v>
      </c>
      <c r="H160" s="142" t="str">
        <f>IFERROR(__xludf.DUMMYFUNCTION("""COMPUTED_VALUE"""),"")</f>
        <v/>
      </c>
      <c r="I160" s="22">
        <f>IFERROR(__xludf.DUMMYFUNCTION("""COMPUTED_VALUE"""),-490271.70233999996)</f>
        <v>-490271.7023</v>
      </c>
      <c r="J160" s="22">
        <f>IFERROR(__xludf.DUMMYFUNCTION("""COMPUTED_VALUE"""),-463776.02471499995)</f>
        <v>-463776.0247</v>
      </c>
      <c r="K160" s="5"/>
      <c r="L160" s="5" t="str">
        <f>IFERROR(__xludf.DUMMYFUNCTION("""COMPUTED_VALUE"""),"Insufficient Cash or Margin Balance")</f>
        <v>Insufficient Cash or Margin Balance</v>
      </c>
    </row>
    <row r="161">
      <c r="A161" s="86">
        <f>IFERROR(__xludf.DUMMYFUNCTION("""COMPUTED_VALUE"""),44649.0)</f>
        <v>44649</v>
      </c>
      <c r="B161" s="5" t="str">
        <f>IFERROR(__xludf.DUMMYFUNCTION("""COMPUTED_VALUE"""),"75369")</f>
        <v>75369</v>
      </c>
      <c r="C161" s="5" t="str">
        <f>IFERROR(__xludf.DUMMYFUNCTION("""COMPUTED_VALUE"""),"BUY (LONG)")</f>
        <v>BUY (LONG)</v>
      </c>
      <c r="D161" s="87" t="str">
        <f>IFERROR(__xludf.DUMMYFUNCTION("""COMPUTED_VALUE"""),"BABA")</f>
        <v>BABA</v>
      </c>
      <c r="E161" s="5"/>
      <c r="F161" s="5">
        <f>IFERROR(__xludf.DUMMYFUNCTION("""COMPUTED_VALUE"""),116.71)</f>
        <v>116.71</v>
      </c>
      <c r="G161" s="5">
        <f>IFERROR(__xludf.DUMMYFUNCTION("""COMPUTED_VALUE"""),500.0)</f>
        <v>500</v>
      </c>
      <c r="H161" s="142" t="str">
        <f>IFERROR(__xludf.DUMMYFUNCTION("""COMPUTED_VALUE"""),"")</f>
        <v/>
      </c>
      <c r="I161" s="22">
        <f>IFERROR(__xludf.DUMMYFUNCTION("""COMPUTED_VALUE"""),-456762.96682499995)</f>
        <v>-456762.9668</v>
      </c>
      <c r="J161" s="22">
        <f>IFERROR(__xludf.DUMMYFUNCTION("""COMPUTED_VALUE"""),-634951.5764499999)</f>
        <v>-634951.5765</v>
      </c>
      <c r="K161" s="5"/>
      <c r="L161" s="5" t="str">
        <f>IFERROR(__xludf.DUMMYFUNCTION("""COMPUTED_VALUE"""),"Insufficient Cash or Margin Balance")</f>
        <v>Insufficient Cash or Margin Balance</v>
      </c>
    </row>
    <row r="162">
      <c r="A162" s="86">
        <f>IFERROR(__xludf.DUMMYFUNCTION("""COMPUTED_VALUE"""),44649.0)</f>
        <v>44649</v>
      </c>
      <c r="B162" s="5" t="str">
        <f>IFERROR(__xludf.DUMMYFUNCTION("""COMPUTED_VALUE"""),"75369")</f>
        <v>75369</v>
      </c>
      <c r="C162" s="5" t="str">
        <f>IFERROR(__xludf.DUMMYFUNCTION("""COMPUTED_VALUE"""),"BUY (LONG)")</f>
        <v>BUY (LONG)</v>
      </c>
      <c r="D162" s="87" t="str">
        <f>IFERROR(__xludf.DUMMYFUNCTION("""COMPUTED_VALUE"""),"LCID")</f>
        <v>LCID</v>
      </c>
      <c r="E162" s="5"/>
      <c r="F162" s="5">
        <f>IFERROR(__xludf.DUMMYFUNCTION("""COMPUTED_VALUE"""),27.36)</f>
        <v>27.36</v>
      </c>
      <c r="G162" s="5">
        <f>IFERROR(__xludf.DUMMYFUNCTION("""COMPUTED_VALUE"""),500.0)</f>
        <v>500</v>
      </c>
      <c r="H162" s="142" t="str">
        <f>IFERROR(__xludf.DUMMYFUNCTION("""COMPUTED_VALUE"""),"")</f>
        <v/>
      </c>
      <c r="I162" s="22">
        <f>IFERROR(__xludf.DUMMYFUNCTION("""COMPUTED_VALUE"""),-107077.66919999999)</f>
        <v>-107077.6692</v>
      </c>
      <c r="J162" s="22">
        <f>IFERROR(__xludf.DUMMYFUNCTION("""COMPUTED_VALUE"""),-285266.278825)</f>
        <v>-285266.2788</v>
      </c>
      <c r="K162" s="5"/>
      <c r="L162" s="5" t="str">
        <f>IFERROR(__xludf.DUMMYFUNCTION("""COMPUTED_VALUE"""),"Insufficient Cash or Margin Balance")</f>
        <v>Insufficient Cash or Margin Balance</v>
      </c>
    </row>
    <row r="163">
      <c r="A163" s="86">
        <f>IFERROR(__xludf.DUMMYFUNCTION("""COMPUTED_VALUE"""),44649.0)</f>
        <v>44649</v>
      </c>
      <c r="B163" s="5" t="str">
        <f>IFERROR(__xludf.DUMMYFUNCTION("""COMPUTED_VALUE"""),"75369")</f>
        <v>75369</v>
      </c>
      <c r="C163" s="5" t="str">
        <f>IFERROR(__xludf.DUMMYFUNCTION("""COMPUTED_VALUE"""),"BUY (LONG)")</f>
        <v>BUY (LONG)</v>
      </c>
      <c r="D163" s="87" t="str">
        <f>IFERROR(__xludf.DUMMYFUNCTION("""COMPUTED_VALUE"""),"LMT")</f>
        <v>LMT</v>
      </c>
      <c r="E163" s="5"/>
      <c r="F163" s="5">
        <f>IFERROR(__xludf.DUMMYFUNCTION("""COMPUTED_VALUE"""),437.15)</f>
        <v>437.15</v>
      </c>
      <c r="G163" s="5">
        <f>IFERROR(__xludf.DUMMYFUNCTION("""COMPUTED_VALUE"""),200.0)</f>
        <v>200</v>
      </c>
      <c r="H163" s="142" t="str">
        <f>IFERROR(__xludf.DUMMYFUNCTION("""COMPUTED_VALUE"""),"")</f>
        <v/>
      </c>
      <c r="I163" s="22">
        <f>IFERROR(__xludf.DUMMYFUNCTION("""COMPUTED_VALUE"""),-684342.15045)</f>
        <v>-684342.1505</v>
      </c>
      <c r="J163" s="22">
        <f>IFERROR(__xludf.DUMMYFUNCTION("""COMPUTED_VALUE"""),-862530.760075)</f>
        <v>-862530.7601</v>
      </c>
      <c r="K163" s="5"/>
      <c r="L163" s="5" t="str">
        <f>IFERROR(__xludf.DUMMYFUNCTION("""COMPUTED_VALUE"""),"Insufficient Cash or Margin Balance")</f>
        <v>Insufficient Cash or Margin Balance</v>
      </c>
    </row>
    <row r="164">
      <c r="A164" s="86">
        <f>IFERROR(__xludf.DUMMYFUNCTION("""COMPUTED_VALUE"""),44649.0)</f>
        <v>44649</v>
      </c>
      <c r="B164" s="5" t="str">
        <f>IFERROR(__xludf.DUMMYFUNCTION("""COMPUTED_VALUE"""),"75369")</f>
        <v>75369</v>
      </c>
      <c r="C164" s="5" t="str">
        <f>IFERROR(__xludf.DUMMYFUNCTION("""COMPUTED_VALUE"""),"BUY (LONG)")</f>
        <v>BUY (LONG)</v>
      </c>
      <c r="D164" s="87" t="str">
        <f>IFERROR(__xludf.DUMMYFUNCTION("""COMPUTED_VALUE"""),"RBLX")</f>
        <v>RBLX</v>
      </c>
      <c r="E164" s="5"/>
      <c r="F164" s="5">
        <f>IFERROR(__xludf.DUMMYFUNCTION("""COMPUTED_VALUE"""),50.92)</f>
        <v>50.92</v>
      </c>
      <c r="G164" s="5">
        <f>IFERROR(__xludf.DUMMYFUNCTION("""COMPUTED_VALUE"""),600.0)</f>
        <v>600</v>
      </c>
      <c r="H164" s="142" t="str">
        <f>IFERROR(__xludf.DUMMYFUNCTION("""COMPUTED_VALUE"""),"")</f>
        <v/>
      </c>
      <c r="I164" s="22">
        <f>IFERROR(__xludf.DUMMYFUNCTION("""COMPUTED_VALUE"""),-239140.12788)</f>
        <v>-239140.1279</v>
      </c>
      <c r="J164" s="22">
        <f>IFERROR(__xludf.DUMMYFUNCTION("""COMPUTED_VALUE"""),-417328.73750499997)</f>
        <v>-417328.7375</v>
      </c>
      <c r="K164" s="5"/>
      <c r="L164" s="5" t="str">
        <f>IFERROR(__xludf.DUMMYFUNCTION("""COMPUTED_VALUE"""),"Insufficient Cash or Margin Balance")</f>
        <v>Insufficient Cash or Margin Balance</v>
      </c>
    </row>
    <row r="165">
      <c r="A165" s="86">
        <f>IFERROR(__xludf.DUMMYFUNCTION("""COMPUTED_VALUE"""),44649.0)</f>
        <v>44649</v>
      </c>
      <c r="B165" s="5" t="str">
        <f>IFERROR(__xludf.DUMMYFUNCTION("""COMPUTED_VALUE"""),"75965")</f>
        <v>75965</v>
      </c>
      <c r="C165" s="5" t="str">
        <f>IFERROR(__xludf.DUMMYFUNCTION("""COMPUTED_VALUE"""),"BUY (LONG)")</f>
        <v>BUY (LONG)</v>
      </c>
      <c r="D165" s="87" t="str">
        <f>IFERROR(__xludf.DUMMYFUNCTION("""COMPUTED_VALUE"""),"HYMC")</f>
        <v>HYMC</v>
      </c>
      <c r="E165" s="5"/>
      <c r="F165" s="5">
        <f>IFERROR(__xludf.DUMMYFUNCTION("""COMPUTED_VALUE"""),2.59)</f>
        <v>2.59</v>
      </c>
      <c r="G165" s="5">
        <f>IFERROR(__xludf.DUMMYFUNCTION("""COMPUTED_VALUE"""),20000.0)</f>
        <v>20000</v>
      </c>
      <c r="H165" s="142" t="str">
        <f>IFERROR(__xludf.DUMMYFUNCTION("""COMPUTED_VALUE"""),"")</f>
        <v/>
      </c>
      <c r="I165" s="22">
        <f>IFERROR(__xludf.DUMMYFUNCTION("""COMPUTED_VALUE"""),-405454.9169999999)</f>
        <v>-405454.917</v>
      </c>
      <c r="J165" s="22">
        <f>IFERROR(__xludf.DUMMYFUNCTION("""COMPUTED_VALUE"""),-551640.2586524999)</f>
        <v>-551640.2587</v>
      </c>
      <c r="K165" s="5"/>
      <c r="L165" s="5" t="str">
        <f>IFERROR(__xludf.DUMMYFUNCTION("""COMPUTED_VALUE"""),"Insufficient Cash or Margin Balance")</f>
        <v>Insufficient Cash or Margin Balance</v>
      </c>
    </row>
    <row r="166">
      <c r="A166" s="86">
        <f>IFERROR(__xludf.DUMMYFUNCTION("""COMPUTED_VALUE"""),44649.0)</f>
        <v>44649</v>
      </c>
      <c r="B166" s="5" t="str">
        <f>IFERROR(__xludf.DUMMYFUNCTION("""COMPUTED_VALUE"""),"75973")</f>
        <v>75973</v>
      </c>
      <c r="C166" s="5" t="str">
        <f>IFERROR(__xludf.DUMMYFUNCTION("""COMPUTED_VALUE"""),"BUY (LONG)")</f>
        <v>BUY (LONG)</v>
      </c>
      <c r="D166" s="90" t="str">
        <f>IFERROR(__xludf.DUMMYFUNCTION("""COMPUTED_VALUE"""),"600745.SS")</f>
        <v>600745.SS</v>
      </c>
      <c r="E166" s="5">
        <f>IFERROR(__xludf.DUMMYFUNCTION("""COMPUTED_VALUE"""),88.0)</f>
        <v>88</v>
      </c>
      <c r="F166" s="31">
        <f>IFERROR(__xludf.DUMMYFUNCTION("""COMPUTED_VALUE"""),90.1)</f>
        <v>90.1</v>
      </c>
      <c r="G166" s="5">
        <f>IFERROR(__xludf.DUMMYFUNCTION("""COMPUTED_VALUE"""),2000.0)</f>
        <v>2000</v>
      </c>
      <c r="H166" s="142">
        <f>IFERROR(__xludf.DUMMYFUNCTION("""COMPUTED_VALUE"""),0.0)</f>
        <v>0</v>
      </c>
      <c r="I166" s="22">
        <f>IFERROR(__xludf.DUMMYFUNCTION("""COMPUTED_VALUE"""),0.0)</f>
        <v>0</v>
      </c>
      <c r="J166" s="22">
        <f>IFERROR(__xludf.DUMMYFUNCTION("""COMPUTED_VALUE"""),-237465.21774375)</f>
        <v>-237465.2177</v>
      </c>
      <c r="K166" s="5"/>
      <c r="L166" s="5" t="str">
        <f>IFERROR(__xludf.DUMMYFUNCTION("""COMPUTED_VALUE"""),"Limit Condition not met")</f>
        <v>Limit Condition not met</v>
      </c>
    </row>
    <row r="167">
      <c r="A167" s="86">
        <f>IFERROR(__xludf.DUMMYFUNCTION("""COMPUTED_VALUE"""),44649.0)</f>
        <v>44649</v>
      </c>
      <c r="B167" s="5" t="str">
        <f>IFERROR(__xludf.DUMMYFUNCTION("""COMPUTED_VALUE"""),"75973")</f>
        <v>75973</v>
      </c>
      <c r="C167" s="5" t="str">
        <f>IFERROR(__xludf.DUMMYFUNCTION("""COMPUTED_VALUE"""),"BUY (LONG)")</f>
        <v>BUY (LONG)</v>
      </c>
      <c r="D167" s="90" t="str">
        <f>IFERROR(__xludf.DUMMYFUNCTION("""COMPUTED_VALUE"""),"600745.SS")</f>
        <v>600745.SS</v>
      </c>
      <c r="E167" s="5">
        <f>IFERROR(__xludf.DUMMYFUNCTION("""COMPUTED_VALUE"""),89.0)</f>
        <v>89</v>
      </c>
      <c r="F167" s="31">
        <f>IFERROR(__xludf.DUMMYFUNCTION("""COMPUTED_VALUE"""),90.1)</f>
        <v>90.1</v>
      </c>
      <c r="G167" s="5">
        <f>IFERROR(__xludf.DUMMYFUNCTION("""COMPUTED_VALUE"""),2000.0)</f>
        <v>2000</v>
      </c>
      <c r="H167" s="142">
        <f>IFERROR(__xludf.DUMMYFUNCTION("""COMPUTED_VALUE"""),0.0)</f>
        <v>0</v>
      </c>
      <c r="I167" s="22">
        <f>IFERROR(__xludf.DUMMYFUNCTION("""COMPUTED_VALUE"""),0.0)</f>
        <v>0</v>
      </c>
      <c r="J167" s="22">
        <f>IFERROR(__xludf.DUMMYFUNCTION("""COMPUTED_VALUE"""),-237465.21774375)</f>
        <v>-237465.2177</v>
      </c>
      <c r="K167" s="5"/>
      <c r="L167" s="5" t="str">
        <f>IFERROR(__xludf.DUMMYFUNCTION("""COMPUTED_VALUE"""),"Limit Condition not met")</f>
        <v>Limit Condition not met</v>
      </c>
    </row>
    <row r="168">
      <c r="A168" s="86">
        <f>IFERROR(__xludf.DUMMYFUNCTION("""COMPUTED_VALUE"""),44649.0)</f>
        <v>44649</v>
      </c>
      <c r="B168" s="5" t="str">
        <f>IFERROR(__xludf.DUMMYFUNCTION("""COMPUTED_VALUE"""),"89750")</f>
        <v>89750</v>
      </c>
      <c r="C168" s="5" t="str">
        <f>IFERROR(__xludf.DUMMYFUNCTION("""COMPUTED_VALUE"""),"SELL (SHORT)")</f>
        <v>SELL (SHORT)</v>
      </c>
      <c r="D168" s="87" t="str">
        <f>IFERROR(__xludf.DUMMYFUNCTION("""COMPUTED_VALUE"""),"ARKF220408P00028500")</f>
        <v>ARKF220408P00028500</v>
      </c>
      <c r="E168" s="5">
        <f>IFERROR(__xludf.DUMMYFUNCTION("""COMPUTED_VALUE"""),0.88)</f>
        <v>0.88</v>
      </c>
      <c r="F168" s="5"/>
      <c r="G168" s="5">
        <f>IFERROR(__xludf.DUMMYFUNCTION("""COMPUTED_VALUE"""),100.0)</f>
        <v>100</v>
      </c>
      <c r="H168" s="142">
        <f>IFERROR(__xludf.DUMMYFUNCTION("""COMPUTED_VALUE"""),0.0)</f>
        <v>0</v>
      </c>
      <c r="I168" s="22">
        <f>IFERROR(__xludf.DUMMYFUNCTION("""COMPUTED_VALUE"""),0.0)</f>
        <v>0</v>
      </c>
      <c r="J168" s="22">
        <f>IFERROR(__xludf.DUMMYFUNCTION("""COMPUTED_VALUE"""),-31113.972951000076)</f>
        <v>-31113.97295</v>
      </c>
      <c r="K168" s="5"/>
      <c r="L168" s="5" t="str">
        <f>IFERROR(__xludf.DUMMYFUNCTION("""COMPUTED_VALUE"""),"Insufficient Cash or Margin Balance")</f>
        <v>Insufficient Cash or Margin Balance</v>
      </c>
    </row>
    <row r="169">
      <c r="A169" s="86">
        <f>IFERROR(__xludf.DUMMYFUNCTION("""COMPUTED_VALUE"""),44650.0)</f>
        <v>44650</v>
      </c>
      <c r="B169" s="5" t="str">
        <f>IFERROR(__xludf.DUMMYFUNCTION("""COMPUTED_VALUE"""),"74641")</f>
        <v>74641</v>
      </c>
      <c r="C169" s="5" t="str">
        <f>IFERROR(__xludf.DUMMYFUNCTION("""COMPUTED_VALUE"""),"BUY (LONG)")</f>
        <v>BUY (LONG)</v>
      </c>
      <c r="D169" s="90" t="str">
        <f>IFERROR(__xludf.DUMMYFUNCTION("""COMPUTED_VALUE"""),"000568.sz")</f>
        <v>000568.sz</v>
      </c>
      <c r="E169" s="5">
        <f>IFERROR(__xludf.DUMMYFUNCTION("""COMPUTED_VALUE"""),183.13)</f>
        <v>183.13</v>
      </c>
      <c r="F169" s="5">
        <f>IFERROR(__xludf.DUMMYFUNCTION("""COMPUTED_VALUE"""),188.02)</f>
        <v>188.02</v>
      </c>
      <c r="G169" s="5">
        <f>IFERROR(__xludf.DUMMYFUNCTION("""COMPUTED_VALUE"""),1000.0)</f>
        <v>1000</v>
      </c>
      <c r="H169" s="142">
        <f>IFERROR(__xludf.DUMMYFUNCTION("""COMPUTED_VALUE"""),0.0)</f>
        <v>0</v>
      </c>
      <c r="I169" s="22">
        <f>IFERROR(__xludf.DUMMYFUNCTION("""COMPUTED_VALUE"""),0.0)</f>
        <v>0</v>
      </c>
      <c r="J169" s="22">
        <f>IFERROR(__xludf.DUMMYFUNCTION("""COMPUTED_VALUE"""),-90155.92839000002)</f>
        <v>-90155.92839</v>
      </c>
      <c r="K169" s="5"/>
      <c r="L169" s="5" t="str">
        <f>IFERROR(__xludf.DUMMYFUNCTION("""COMPUTED_VALUE"""),"Limit Condition not met")</f>
        <v>Limit Condition not met</v>
      </c>
    </row>
    <row r="170">
      <c r="A170" s="86">
        <f>IFERROR(__xludf.DUMMYFUNCTION("""COMPUTED_VALUE"""),44650.0)</f>
        <v>44650</v>
      </c>
      <c r="B170" s="5" t="str">
        <f>IFERROR(__xludf.DUMMYFUNCTION("""COMPUTED_VALUE"""),"75076")</f>
        <v>75076</v>
      </c>
      <c r="C170" s="5" t="str">
        <f>IFERROR(__xludf.DUMMYFUNCTION("""COMPUTED_VALUE"""),"SELL (SHORT)")</f>
        <v>SELL (SHORT)</v>
      </c>
      <c r="D170" s="87" t="str">
        <f>IFERROR(__xludf.DUMMYFUNCTION("""COMPUTED_VALUE"""),"XLE")</f>
        <v>XLE</v>
      </c>
      <c r="E170" s="5">
        <f>IFERROR(__xludf.DUMMYFUNCTION("""COMPUTED_VALUE"""),78.15)</f>
        <v>78.15</v>
      </c>
      <c r="F170" s="5">
        <f>IFERROR(__xludf.DUMMYFUNCTION("""COMPUTED_VALUE"""),77.49)</f>
        <v>77.49</v>
      </c>
      <c r="G170" s="5">
        <f>IFERROR(__xludf.DUMMYFUNCTION("""COMPUTED_VALUE"""),800.0)</f>
        <v>800</v>
      </c>
      <c r="H170" s="142">
        <f>IFERROR(__xludf.DUMMYFUNCTION("""COMPUTED_VALUE"""),0.0)</f>
        <v>0</v>
      </c>
      <c r="I170" s="22">
        <f>IFERROR(__xludf.DUMMYFUNCTION("""COMPUTED_VALUE"""),0.0)</f>
        <v>0</v>
      </c>
      <c r="J170" s="22">
        <f>IFERROR(__xludf.DUMMYFUNCTION("""COMPUTED_VALUE"""),60614.28091999999)</f>
        <v>60614.28092</v>
      </c>
      <c r="K170" s="5"/>
      <c r="L170" s="5" t="str">
        <f>IFERROR(__xludf.DUMMYFUNCTION("""COMPUTED_VALUE"""),"Limit Condition not met")</f>
        <v>Limit Condition not met</v>
      </c>
    </row>
    <row r="171">
      <c r="A171" s="86">
        <f>IFERROR(__xludf.DUMMYFUNCTION("""COMPUTED_VALUE"""),44650.0)</f>
        <v>44650</v>
      </c>
      <c r="B171" s="5" t="str">
        <f>IFERROR(__xludf.DUMMYFUNCTION("""COMPUTED_VALUE"""),"75369")</f>
        <v>75369</v>
      </c>
      <c r="C171" s="5" t="str">
        <f>IFERROR(__xludf.DUMMYFUNCTION("""COMPUTED_VALUE"""),"BUY (LONG)")</f>
        <v>BUY (LONG)</v>
      </c>
      <c r="D171" s="90" t="str">
        <f>IFERROR(__xludf.DUMMYFUNCTION("""COMPUTED_VALUE"""),"9988.hk")</f>
        <v>9988.hk</v>
      </c>
      <c r="E171" s="5"/>
      <c r="F171" s="5">
        <f>IFERROR(__xludf.DUMMYFUNCTION("""COMPUTED_VALUE"""),113.9)</f>
        <v>113.9</v>
      </c>
      <c r="G171" s="5">
        <f>IFERROR(__xludf.DUMMYFUNCTION("""COMPUTED_VALUE"""),500.0)</f>
        <v>500</v>
      </c>
      <c r="H171" s="142" t="str">
        <f>IFERROR(__xludf.DUMMYFUNCTION("""COMPUTED_VALUE"""),"")</f>
        <v/>
      </c>
      <c r="I171" s="22">
        <f>IFERROR(__xludf.DUMMYFUNCTION("""COMPUTED_VALUE"""),-56950.0)</f>
        <v>-56950</v>
      </c>
      <c r="J171" s="22">
        <f>IFERROR(__xludf.DUMMYFUNCTION("""COMPUTED_VALUE"""),-235138.609625)</f>
        <v>-235138.6096</v>
      </c>
      <c r="K171" s="5"/>
      <c r="L171" s="5" t="str">
        <f>IFERROR(__xludf.DUMMYFUNCTION("""COMPUTED_VALUE"""),"Insufficient Cash or Margin Balance")</f>
        <v>Insufficient Cash or Margin Balance</v>
      </c>
    </row>
    <row r="172">
      <c r="A172" s="86">
        <f>IFERROR(__xludf.DUMMYFUNCTION("""COMPUTED_VALUE"""),44650.0)</f>
        <v>44650</v>
      </c>
      <c r="B172" s="5" t="str">
        <f>IFERROR(__xludf.DUMMYFUNCTION("""COMPUTED_VALUE"""),"75369")</f>
        <v>75369</v>
      </c>
      <c r="C172" s="5" t="str">
        <f>IFERROR(__xludf.DUMMYFUNCTION("""COMPUTED_VALUE"""),"BUY (LONG)")</f>
        <v>BUY (LONG)</v>
      </c>
      <c r="D172" s="90" t="str">
        <f>IFERROR(__xludf.DUMMYFUNCTION("""COMPUTED_VALUE"""),"9999.hk")</f>
        <v>9999.hk</v>
      </c>
      <c r="E172" s="5"/>
      <c r="F172" s="5">
        <f>IFERROR(__xludf.DUMMYFUNCTION("""COMPUTED_VALUE"""),145.6)</f>
        <v>145.6</v>
      </c>
      <c r="G172" s="5">
        <f>IFERROR(__xludf.DUMMYFUNCTION("""COMPUTED_VALUE"""),500.0)</f>
        <v>500</v>
      </c>
      <c r="H172" s="142" t="str">
        <f>IFERROR(__xludf.DUMMYFUNCTION("""COMPUTED_VALUE"""),"")</f>
        <v/>
      </c>
      <c r="I172" s="22">
        <f>IFERROR(__xludf.DUMMYFUNCTION("""COMPUTED_VALUE"""),-72800.0)</f>
        <v>-72800</v>
      </c>
      <c r="J172" s="22">
        <f>IFERROR(__xludf.DUMMYFUNCTION("""COMPUTED_VALUE"""),-250988.609625)</f>
        <v>-250988.6096</v>
      </c>
      <c r="K172" s="5"/>
      <c r="L172" s="5" t="str">
        <f>IFERROR(__xludf.DUMMYFUNCTION("""COMPUTED_VALUE"""),"Insufficient Cash or Margin Balance")</f>
        <v>Insufficient Cash or Margin Balance</v>
      </c>
    </row>
    <row r="173">
      <c r="A173" s="86">
        <f>IFERROR(__xludf.DUMMYFUNCTION("""COMPUTED_VALUE"""),44650.0)</f>
        <v>44650</v>
      </c>
      <c r="B173" s="5" t="str">
        <f>IFERROR(__xludf.DUMMYFUNCTION("""COMPUTED_VALUE"""),"75973")</f>
        <v>75973</v>
      </c>
      <c r="C173" s="5" t="str">
        <f>IFERROR(__xludf.DUMMYFUNCTION("""COMPUTED_VALUE"""),"BUY (LONG)")</f>
        <v>BUY (LONG)</v>
      </c>
      <c r="D173" s="90" t="str">
        <f>IFERROR(__xludf.DUMMYFUNCTION("""COMPUTED_VALUE"""),"600745.SS")</f>
        <v>600745.SS</v>
      </c>
      <c r="E173" s="5">
        <f>IFERROR(__xludf.DUMMYFUNCTION("""COMPUTED_VALUE"""),84.0)</f>
        <v>84</v>
      </c>
      <c r="F173" s="5">
        <f>IFERROR(__xludf.DUMMYFUNCTION("""COMPUTED_VALUE"""),84.67)</f>
        <v>84.67</v>
      </c>
      <c r="G173" s="5">
        <f>IFERROR(__xludf.DUMMYFUNCTION("""COMPUTED_VALUE"""),2000.0)</f>
        <v>2000</v>
      </c>
      <c r="H173" s="142">
        <f>IFERROR(__xludf.DUMMYFUNCTION("""COMPUTED_VALUE"""),0.0)</f>
        <v>0</v>
      </c>
      <c r="I173" s="22">
        <f>IFERROR(__xludf.DUMMYFUNCTION("""COMPUTED_VALUE"""),0.0)</f>
        <v>0</v>
      </c>
      <c r="J173" s="22">
        <f>IFERROR(__xludf.DUMMYFUNCTION("""COMPUTED_VALUE"""),-237465.21774375)</f>
        <v>-237465.2177</v>
      </c>
      <c r="K173" s="5"/>
      <c r="L173" s="5" t="str">
        <f>IFERROR(__xludf.DUMMYFUNCTION("""COMPUTED_VALUE"""),"Limit Condition not met")</f>
        <v>Limit Condition not met</v>
      </c>
    </row>
    <row r="174">
      <c r="A174" s="86">
        <f>IFERROR(__xludf.DUMMYFUNCTION("""COMPUTED_VALUE"""),44650.0)</f>
        <v>44650</v>
      </c>
      <c r="B174" s="5" t="str">
        <f>IFERROR(__xludf.DUMMYFUNCTION("""COMPUTED_VALUE"""),"75973")</f>
        <v>75973</v>
      </c>
      <c r="C174" s="5" t="str">
        <f>IFERROR(__xludf.DUMMYFUNCTION("""COMPUTED_VALUE"""),"SELL (SHORT)")</f>
        <v>SELL (SHORT)</v>
      </c>
      <c r="D174" s="90" t="str">
        <f>IFERROR(__xludf.DUMMYFUNCTION("""COMPUTED_VALUE"""),"600745.SS")</f>
        <v>600745.SS</v>
      </c>
      <c r="E174" s="5"/>
      <c r="F174" s="5">
        <f>IFERROR(__xludf.DUMMYFUNCTION("""COMPUTED_VALUE"""),84.67)</f>
        <v>84.67</v>
      </c>
      <c r="G174" s="5">
        <f>IFERROR(__xludf.DUMMYFUNCTION("""COMPUTED_VALUE"""),2000.0)</f>
        <v>2000</v>
      </c>
      <c r="H174" s="142" t="str">
        <f>IFERROR(__xludf.DUMMYFUNCTION("""COMPUTED_VALUE"""),"")</f>
        <v/>
      </c>
      <c r="I174" s="22">
        <f>IFERROR(__xludf.DUMMYFUNCTION("""COMPUTED_VALUE"""),208860.5692)</f>
        <v>208860.5692</v>
      </c>
      <c r="J174" s="22">
        <f>IFERROR(__xludf.DUMMYFUNCTION("""COMPUTED_VALUE"""),-446325.78694375)</f>
        <v>-446325.7869</v>
      </c>
      <c r="K174" s="5"/>
      <c r="L174" s="5" t="str">
        <f>IFERROR(__xludf.DUMMYFUNCTION("""COMPUTED_VALUE"""),"Insufficient Cash or Margin Balance")</f>
        <v>Insufficient Cash or Margin Balance</v>
      </c>
    </row>
    <row r="175">
      <c r="A175" s="86">
        <f>IFERROR(__xludf.DUMMYFUNCTION("""COMPUTED_VALUE"""),44650.0)</f>
        <v>44650</v>
      </c>
      <c r="B175" s="5" t="str">
        <f>IFERROR(__xludf.DUMMYFUNCTION("""COMPUTED_VALUE"""),"89750")</f>
        <v>89750</v>
      </c>
      <c r="C175" s="5" t="str">
        <f>IFERROR(__xludf.DUMMYFUNCTION("""COMPUTED_VALUE"""),"SELL (SHORT)")</f>
        <v>SELL (SHORT)</v>
      </c>
      <c r="D175" s="87" t="str">
        <f>IFERROR(__xludf.DUMMYFUNCTION("""COMPUTED_VALUE"""),"ASML220422P00680000")</f>
        <v>ASML220422P00680000</v>
      </c>
      <c r="E175" s="5">
        <f>IFERROR(__xludf.DUMMYFUNCTION("""COMPUTED_VALUE"""),15.95)</f>
        <v>15.95</v>
      </c>
      <c r="F175" s="5"/>
      <c r="G175" s="5">
        <f>IFERROR(__xludf.DUMMYFUNCTION("""COMPUTED_VALUE"""),10.0)</f>
        <v>10</v>
      </c>
      <c r="H175" s="142" t="str">
        <f>IFERROR(__xludf.DUMMYFUNCTION("""COMPUTED_VALUE"""),"")</f>
        <v/>
      </c>
      <c r="I175" s="22">
        <f>IFERROR(__xludf.DUMMYFUNCTION("""COMPUTED_VALUE"""),124844.6375)</f>
        <v>124844.6375</v>
      </c>
      <c r="J175" s="22">
        <f>IFERROR(__xludf.DUMMYFUNCTION("""COMPUTED_VALUE"""),-5254268.332216)</f>
        <v>-5254268.332</v>
      </c>
      <c r="K175" s="5"/>
      <c r="L175" s="5" t="str">
        <f>IFERROR(__xludf.DUMMYFUNCTION("""COMPUTED_VALUE"""),"Insufficient Cash or Margin Balance")</f>
        <v>Insufficient Cash or Margin Balance</v>
      </c>
    </row>
    <row r="176">
      <c r="A176" s="86">
        <f>IFERROR(__xludf.DUMMYFUNCTION("""COMPUTED_VALUE"""),44651.0)</f>
        <v>44651</v>
      </c>
      <c r="B176" s="5" t="str">
        <f>IFERROR(__xludf.DUMMYFUNCTION("""COMPUTED_VALUE"""),"36242")</f>
        <v>36242</v>
      </c>
      <c r="C176" s="5" t="str">
        <f>IFERROR(__xludf.DUMMYFUNCTION("""COMPUTED_VALUE"""),"SELL (SHORT)")</f>
        <v>SELL (SHORT)</v>
      </c>
      <c r="D176" s="87" t="str">
        <f>IFERROR(__xludf.DUMMYFUNCTION("""COMPUTED_VALUE"""),"TSLA")</f>
        <v>TSLA</v>
      </c>
      <c r="E176" s="5">
        <f>IFERROR(__xludf.DUMMYFUNCTION("""COMPUTED_VALUE"""),1090.0)</f>
        <v>1090</v>
      </c>
      <c r="F176" s="5">
        <f>IFERROR(__xludf.DUMMYFUNCTION("""COMPUTED_VALUE"""),1077.6)</f>
        <v>1077.6</v>
      </c>
      <c r="G176" s="5">
        <f>IFERROR(__xludf.DUMMYFUNCTION("""COMPUTED_VALUE"""),50.0)</f>
        <v>50</v>
      </c>
      <c r="H176" s="142">
        <f>IFERROR(__xludf.DUMMYFUNCTION("""COMPUTED_VALUE"""),0.0)</f>
        <v>0</v>
      </c>
      <c r="I176" s="22">
        <f>IFERROR(__xludf.DUMMYFUNCTION("""COMPUTED_VALUE"""),0.0)</f>
        <v>0</v>
      </c>
      <c r="J176" s="22">
        <f>IFERROR(__xludf.DUMMYFUNCTION("""COMPUTED_VALUE"""),69665.96227250004)</f>
        <v>69665.96227</v>
      </c>
      <c r="K176" s="5"/>
      <c r="L176" s="5" t="str">
        <f>IFERROR(__xludf.DUMMYFUNCTION("""COMPUTED_VALUE"""),"Limit Condition not met")</f>
        <v>Limit Condition not met</v>
      </c>
    </row>
    <row r="177">
      <c r="A177" s="86">
        <f>IFERROR(__xludf.DUMMYFUNCTION("""COMPUTED_VALUE"""),44651.0)</f>
        <v>44651</v>
      </c>
      <c r="B177" s="5" t="str">
        <f>IFERROR(__xludf.DUMMYFUNCTION("""COMPUTED_VALUE"""),"46975")</f>
        <v>46975</v>
      </c>
      <c r="C177" s="5" t="str">
        <f>IFERROR(__xludf.DUMMYFUNCTION("""COMPUTED_VALUE"""),"SELL (SHORT)")</f>
        <v>SELL (SHORT)</v>
      </c>
      <c r="D177" s="87" t="str">
        <f>IFERROR(__xludf.DUMMYFUNCTION("""COMPUTED_VALUE"""),"aapl")</f>
        <v>aapl</v>
      </c>
      <c r="E177" s="5">
        <f>IFERROR(__xludf.DUMMYFUNCTION("""COMPUTED_VALUE"""),175.0)</f>
        <v>175</v>
      </c>
      <c r="F177" s="5">
        <f>IFERROR(__xludf.DUMMYFUNCTION("""COMPUTED_VALUE"""),174.61)</f>
        <v>174.61</v>
      </c>
      <c r="G177" s="5">
        <f>IFERROR(__xludf.DUMMYFUNCTION("""COMPUTED_VALUE"""),25.0)</f>
        <v>25</v>
      </c>
      <c r="H177" s="142">
        <f>IFERROR(__xludf.DUMMYFUNCTION("""COMPUTED_VALUE"""),0.0)</f>
        <v>0</v>
      </c>
      <c r="I177" s="22">
        <f>IFERROR(__xludf.DUMMYFUNCTION("""COMPUTED_VALUE"""),0.0)</f>
        <v>0</v>
      </c>
      <c r="J177" s="22">
        <f>IFERROR(__xludf.DUMMYFUNCTION("""COMPUTED_VALUE"""),411065.200175)</f>
        <v>411065.2002</v>
      </c>
      <c r="K177" s="5"/>
      <c r="L177" s="5" t="str">
        <f>IFERROR(__xludf.DUMMYFUNCTION("""COMPUTED_VALUE"""),"Limit Condition not met")</f>
        <v>Limit Condition not met</v>
      </c>
    </row>
    <row r="178">
      <c r="A178" s="86">
        <f>IFERROR(__xludf.DUMMYFUNCTION("""COMPUTED_VALUE"""),44651.0)</f>
        <v>44651</v>
      </c>
      <c r="B178" s="5" t="str">
        <f>IFERROR(__xludf.DUMMYFUNCTION("""COMPUTED_VALUE"""),"77603")</f>
        <v>77603</v>
      </c>
      <c r="C178" s="5" t="str">
        <f>IFERROR(__xludf.DUMMYFUNCTION("""COMPUTED_VALUE"""),"BUY (LONG)")</f>
        <v>BUY (LONG)</v>
      </c>
      <c r="D178" s="90" t="str">
        <f>IFERROR(__xludf.DUMMYFUNCTION("""COMPUTED_VALUE"""),"9888.HK")</f>
        <v>9888.HK</v>
      </c>
      <c r="E178" s="5">
        <f>IFERROR(__xludf.DUMMYFUNCTION("""COMPUTED_VALUE"""),140.3)</f>
        <v>140.3</v>
      </c>
      <c r="F178" s="5">
        <f>IFERROR(__xludf.DUMMYFUNCTION("""COMPUTED_VALUE"""),141.5)</f>
        <v>141.5</v>
      </c>
      <c r="G178" s="5">
        <f>IFERROR(__xludf.DUMMYFUNCTION("""COMPUTED_VALUE"""),500.0)</f>
        <v>500</v>
      </c>
      <c r="H178" s="142">
        <f>IFERROR(__xludf.DUMMYFUNCTION("""COMPUTED_VALUE"""),0.0)</f>
        <v>0</v>
      </c>
      <c r="I178" s="22">
        <f>IFERROR(__xludf.DUMMYFUNCTION("""COMPUTED_VALUE"""),0.0)</f>
        <v>0</v>
      </c>
      <c r="J178" s="22">
        <f>IFERROR(__xludf.DUMMYFUNCTION("""COMPUTED_VALUE"""),78600.0)</f>
        <v>78600</v>
      </c>
      <c r="K178" s="5"/>
      <c r="L178" s="5" t="str">
        <f>IFERROR(__xludf.DUMMYFUNCTION("""COMPUTED_VALUE"""),"Limit Condition not met")</f>
        <v>Limit Condition not met</v>
      </c>
    </row>
    <row r="179">
      <c r="A179" s="86">
        <f>IFERROR(__xludf.DUMMYFUNCTION("""COMPUTED_VALUE"""),44652.0)</f>
        <v>44652</v>
      </c>
      <c r="B179" s="5" t="str">
        <f>IFERROR(__xludf.DUMMYFUNCTION("""COMPUTED_VALUE"""),"73341")</f>
        <v>73341</v>
      </c>
      <c r="C179" s="5" t="str">
        <f>IFERROR(__xludf.DUMMYFUNCTION("""COMPUTED_VALUE"""),"BUY (LONG)")</f>
        <v>BUY (LONG)</v>
      </c>
      <c r="D179" s="87" t="str">
        <f>IFERROR(__xludf.DUMMYFUNCTION("""COMPUTED_VALUE"""),"NDX220414C16500000")</f>
        <v>NDX220414C16500000</v>
      </c>
      <c r="E179" s="5"/>
      <c r="F179" s="5"/>
      <c r="G179" s="5">
        <f>IFERROR(__xludf.DUMMYFUNCTION("""COMPUTED_VALUE"""),1000.0)</f>
        <v>1000</v>
      </c>
      <c r="H179" s="142" t="str">
        <f>IFERROR(__xludf.DUMMYFUNCTION("""COMPUTED_VALUE"""),"")</f>
        <v/>
      </c>
      <c r="I179" s="22">
        <f>IFERROR(__xludf.DUMMYFUNCTION("""COMPUTED_VALUE"""),-2052435.9500000002)</f>
        <v>-2052435.95</v>
      </c>
      <c r="J179" s="22">
        <f>IFERROR(__xludf.DUMMYFUNCTION("""COMPUTED_VALUE"""),-1602780.9585639)</f>
        <v>-1602780.959</v>
      </c>
      <c r="K179" s="5"/>
      <c r="L179" s="5" t="str">
        <f>IFERROR(__xludf.DUMMYFUNCTION("""COMPUTED_VALUE"""),"Insufficient Cash or Margin Balance")</f>
        <v>Insufficient Cash or Margin Balance</v>
      </c>
    </row>
    <row r="180">
      <c r="A180" s="86">
        <f>IFERROR(__xludf.DUMMYFUNCTION("""COMPUTED_VALUE"""),44652.0)</f>
        <v>44652</v>
      </c>
      <c r="B180" s="5" t="str">
        <f>IFERROR(__xludf.DUMMYFUNCTION("""COMPUTED_VALUE"""),"75965")</f>
        <v>75965</v>
      </c>
      <c r="C180" s="5" t="str">
        <f>IFERROR(__xludf.DUMMYFUNCTION("""COMPUTED_VALUE"""),"BUY (LONG)")</f>
        <v>BUY (LONG)</v>
      </c>
      <c r="D180" s="87" t="str">
        <f>IFERROR(__xludf.DUMMYFUNCTION("""COMPUTED_VALUE"""),"AMC")</f>
        <v>AMC</v>
      </c>
      <c r="E180" s="5"/>
      <c r="F180" s="5">
        <f>IFERROR(__xludf.DUMMYFUNCTION("""COMPUTED_VALUE"""),23.3)</f>
        <v>23.3</v>
      </c>
      <c r="G180" s="5">
        <f>IFERROR(__xludf.DUMMYFUNCTION("""COMPUTED_VALUE"""),2000.0)</f>
        <v>2000</v>
      </c>
      <c r="H180" s="142" t="str">
        <f>IFERROR(__xludf.DUMMYFUNCTION("""COMPUTED_VALUE"""),"")</f>
        <v/>
      </c>
      <c r="I180" s="22">
        <f>IFERROR(__xludf.DUMMYFUNCTION("""COMPUTED_VALUE"""),-365051.585)</f>
        <v>-365051.585</v>
      </c>
      <c r="J180" s="22">
        <f>IFERROR(__xludf.DUMMYFUNCTION("""COMPUTED_VALUE"""),-511236.9266525)</f>
        <v>-511236.9267</v>
      </c>
      <c r="K180" s="5"/>
      <c r="L180" s="5" t="str">
        <f>IFERROR(__xludf.DUMMYFUNCTION("""COMPUTED_VALUE"""),"Insufficient Cash or Margin Balance")</f>
        <v>Insufficient Cash or Margin Balance</v>
      </c>
    </row>
    <row r="181">
      <c r="A181" s="86">
        <f>IFERROR(__xludf.DUMMYFUNCTION("""COMPUTED_VALUE"""),44652.0)</f>
        <v>44652</v>
      </c>
      <c r="B181" s="5" t="str">
        <f>IFERROR(__xludf.DUMMYFUNCTION("""COMPUTED_VALUE"""),"76848")</f>
        <v>76848</v>
      </c>
      <c r="C181" s="5" t="str">
        <f>IFERROR(__xludf.DUMMYFUNCTION("""COMPUTED_VALUE"""),"SELL (SHORT)")</f>
        <v>SELL (SHORT)</v>
      </c>
      <c r="D181" s="87" t="str">
        <f>IFERROR(__xludf.DUMMYFUNCTION("""COMPUTED_VALUE"""),"AAPL")</f>
        <v>AAPL</v>
      </c>
      <c r="E181" s="31">
        <f>IFERROR(__xludf.DUMMYFUNCTION("""COMPUTED_VALUE"""),1377.79)</f>
        <v>1377.79</v>
      </c>
      <c r="F181" s="5">
        <f>IFERROR(__xludf.DUMMYFUNCTION("""COMPUTED_VALUE"""),174.31)</f>
        <v>174.31</v>
      </c>
      <c r="G181" s="5">
        <f>IFERROR(__xludf.DUMMYFUNCTION("""COMPUTED_VALUE"""),20.0)</f>
        <v>20</v>
      </c>
      <c r="H181" s="142">
        <f>IFERROR(__xludf.DUMMYFUNCTION("""COMPUTED_VALUE"""),0.0)</f>
        <v>0</v>
      </c>
      <c r="I181" s="22">
        <f>IFERROR(__xludf.DUMMYFUNCTION("""COMPUTED_VALUE"""),0.0)</f>
        <v>0</v>
      </c>
      <c r="J181" s="22">
        <f>IFERROR(__xludf.DUMMYFUNCTION("""COMPUTED_VALUE"""),409714.76947749994)</f>
        <v>409714.7695</v>
      </c>
      <c r="K181" s="5"/>
      <c r="L181" s="5" t="str">
        <f>IFERROR(__xludf.DUMMYFUNCTION("""COMPUTED_VALUE"""),"Limit Condition not met")</f>
        <v>Limit Condition not met</v>
      </c>
    </row>
    <row r="182">
      <c r="A182" s="86">
        <f>IFERROR(__xludf.DUMMYFUNCTION("""COMPUTED_VALUE"""),44652.0)</f>
        <v>44652</v>
      </c>
      <c r="B182" s="5" t="str">
        <f>IFERROR(__xludf.DUMMYFUNCTION("""COMPUTED_VALUE"""),"77603")</f>
        <v>77603</v>
      </c>
      <c r="C182" s="5" t="str">
        <f>IFERROR(__xludf.DUMMYFUNCTION("""COMPUTED_VALUE"""),"BUY (LONG)")</f>
        <v>BUY (LONG)</v>
      </c>
      <c r="D182" s="90" t="str">
        <f>IFERROR(__xludf.DUMMYFUNCTION("""COMPUTED_VALUE"""),"9888.HK")</f>
        <v>9888.HK</v>
      </c>
      <c r="E182" s="5">
        <f>IFERROR(__xludf.DUMMYFUNCTION("""COMPUTED_VALUE"""),131.5)</f>
        <v>131.5</v>
      </c>
      <c r="F182" s="5">
        <f>IFERROR(__xludf.DUMMYFUNCTION("""COMPUTED_VALUE"""),135.2)</f>
        <v>135.2</v>
      </c>
      <c r="G182" s="5">
        <f>IFERROR(__xludf.DUMMYFUNCTION("""COMPUTED_VALUE"""),550.0)</f>
        <v>550</v>
      </c>
      <c r="H182" s="142">
        <f>IFERROR(__xludf.DUMMYFUNCTION("""COMPUTED_VALUE"""),0.0)</f>
        <v>0</v>
      </c>
      <c r="I182" s="22">
        <f>IFERROR(__xludf.DUMMYFUNCTION("""COMPUTED_VALUE"""),0.0)</f>
        <v>0</v>
      </c>
      <c r="J182" s="22">
        <f>IFERROR(__xludf.DUMMYFUNCTION("""COMPUTED_VALUE"""),78600.0)</f>
        <v>78600</v>
      </c>
      <c r="K182" s="5"/>
      <c r="L182" s="5" t="str">
        <f>IFERROR(__xludf.DUMMYFUNCTION("""COMPUTED_VALUE"""),"Limit Condition not met")</f>
        <v>Limit Condition not met</v>
      </c>
    </row>
    <row r="183">
      <c r="A183" s="86">
        <f>IFERROR(__xludf.DUMMYFUNCTION("""COMPUTED_VALUE"""),44654.0)</f>
        <v>44654</v>
      </c>
      <c r="B183" s="5" t="str">
        <f>IFERROR(__xludf.DUMMYFUNCTION("""COMPUTED_VALUE"""),"38302")</f>
        <v>38302</v>
      </c>
      <c r="C183" s="5" t="str">
        <f>IFERROR(__xludf.DUMMYFUNCTION("""COMPUTED_VALUE"""),"BUY (LONG)")</f>
        <v>BUY (LONG)</v>
      </c>
      <c r="D183" s="87" t="str">
        <f>IFERROR(__xludf.DUMMYFUNCTION("""COMPUTED_VALUE"""),"AU")</f>
        <v>AU</v>
      </c>
      <c r="E183" s="5"/>
      <c r="F183" s="5">
        <f>IFERROR(__xludf.DUMMYFUNCTION("""COMPUTED_VALUE"""),24.08)</f>
        <v>24.08</v>
      </c>
      <c r="G183" s="5">
        <f>IFERROR(__xludf.DUMMYFUNCTION("""COMPUTED_VALUE"""),1000.0)</f>
        <v>1000</v>
      </c>
      <c r="H183" s="142" t="str">
        <f>IFERROR(__xludf.DUMMYFUNCTION("""COMPUTED_VALUE"""),"")</f>
        <v/>
      </c>
      <c r="I183" s="22">
        <f>IFERROR(__xludf.DUMMYFUNCTION("""COMPUTED_VALUE"""),-188663.188)</f>
        <v>-188663.188</v>
      </c>
      <c r="J183" s="22">
        <f>IFERROR(__xludf.DUMMYFUNCTION("""COMPUTED_VALUE"""),-325244.75049999997)</f>
        <v>-325244.7505</v>
      </c>
      <c r="K183" s="5"/>
      <c r="L183" s="5" t="str">
        <f>IFERROR(__xludf.DUMMYFUNCTION("""COMPUTED_VALUE"""),"Insufficient Cash or Margin Balance")</f>
        <v>Insufficient Cash or Margin Balance</v>
      </c>
    </row>
    <row r="184">
      <c r="A184" s="86">
        <f>IFERROR(__xludf.DUMMYFUNCTION("""COMPUTED_VALUE"""),44655.0)</f>
        <v>44655</v>
      </c>
      <c r="B184" s="5" t="str">
        <f>IFERROR(__xludf.DUMMYFUNCTION("""COMPUTED_VALUE"""),"39608")</f>
        <v>39608</v>
      </c>
      <c r="C184" s="5" t="str">
        <f>IFERROR(__xludf.DUMMYFUNCTION("""COMPUTED_VALUE"""),"SELL (SHORT)")</f>
        <v>SELL (SHORT)</v>
      </c>
      <c r="D184" s="87" t="str">
        <f>IFERROR(__xludf.DUMMYFUNCTION("""COMPUTED_VALUE"""),"BG")</f>
        <v>BG</v>
      </c>
      <c r="E184" s="5">
        <f>IFERROR(__xludf.DUMMYFUNCTION("""COMPUTED_VALUE"""),113.4)</f>
        <v>113.4</v>
      </c>
      <c r="F184" s="5">
        <f>IFERROR(__xludf.DUMMYFUNCTION("""COMPUTED_VALUE"""),111.45)</f>
        <v>111.45</v>
      </c>
      <c r="G184" s="5">
        <f>IFERROR(__xludf.DUMMYFUNCTION("""COMPUTED_VALUE"""),300.0)</f>
        <v>300</v>
      </c>
      <c r="H184" s="142">
        <f>IFERROR(__xludf.DUMMYFUNCTION("""COMPUTED_VALUE"""),0.0)</f>
        <v>0</v>
      </c>
      <c r="I184" s="22">
        <f>IFERROR(__xludf.DUMMYFUNCTION("""COMPUTED_VALUE"""),0.0)</f>
        <v>0</v>
      </c>
      <c r="J184" s="22">
        <f>IFERROR(__xludf.DUMMYFUNCTION("""COMPUTED_VALUE"""),76482.94751689996)</f>
        <v>76482.94752</v>
      </c>
      <c r="K184" s="5"/>
      <c r="L184" s="5" t="str">
        <f>IFERROR(__xludf.DUMMYFUNCTION("""COMPUTED_VALUE"""),"Limit Condition not met")</f>
        <v>Limit Condition not met</v>
      </c>
    </row>
    <row r="185">
      <c r="A185" s="86">
        <f>IFERROR(__xludf.DUMMYFUNCTION("""COMPUTED_VALUE"""),44655.0)</f>
        <v>44655</v>
      </c>
      <c r="B185" s="5" t="str">
        <f>IFERROR(__xludf.DUMMYFUNCTION("""COMPUTED_VALUE"""),"75369")</f>
        <v>75369</v>
      </c>
      <c r="C185" s="5" t="str">
        <f>IFERROR(__xludf.DUMMYFUNCTION("""COMPUTED_VALUE"""),"SELL (SHORT)")</f>
        <v>SELL (SHORT)</v>
      </c>
      <c r="D185" s="87" t="str">
        <f>IFERROR(__xludf.DUMMYFUNCTION("""COMPUTED_VALUE"""),"LMT")</f>
        <v>LMT</v>
      </c>
      <c r="E185" s="5"/>
      <c r="F185" s="5">
        <f>IFERROR(__xludf.DUMMYFUNCTION("""COMPUTED_VALUE"""),444.01)</f>
        <v>444.01</v>
      </c>
      <c r="G185" s="5">
        <f>IFERROR(__xludf.DUMMYFUNCTION("""COMPUTED_VALUE"""),200.0)</f>
        <v>200</v>
      </c>
      <c r="H185" s="142" t="str">
        <f>IFERROR(__xludf.DUMMYFUNCTION("""COMPUTED_VALUE"""),"")</f>
        <v/>
      </c>
      <c r="I185" s="22">
        <f>IFERROR(__xludf.DUMMYFUNCTION("""COMPUTED_VALUE"""),695726.8171699999)</f>
        <v>695726.8172</v>
      </c>
      <c r="J185" s="22">
        <f>IFERROR(__xludf.DUMMYFUNCTION("""COMPUTED_VALUE"""),-914185.426795)</f>
        <v>-914185.4268</v>
      </c>
      <c r="K185" s="5"/>
      <c r="L185" s="5" t="str">
        <f>IFERROR(__xludf.DUMMYFUNCTION("""COMPUTED_VALUE"""),"Insufficient Cash or Margin Balance")</f>
        <v>Insufficient Cash or Margin Balance</v>
      </c>
    </row>
    <row r="186">
      <c r="A186" s="86">
        <f>IFERROR(__xludf.DUMMYFUNCTION("""COMPUTED_VALUE"""),44655.0)</f>
        <v>44655</v>
      </c>
      <c r="B186" s="5" t="str">
        <f>IFERROR(__xludf.DUMMYFUNCTION("""COMPUTED_VALUE"""),"75965")</f>
        <v>75965</v>
      </c>
      <c r="C186" s="5" t="str">
        <f>IFERROR(__xludf.DUMMYFUNCTION("""COMPUTED_VALUE"""),"SELL (SHORT)")</f>
        <v>SELL (SHORT)</v>
      </c>
      <c r="D186" s="87" t="str">
        <f>IFERROR(__xludf.DUMMYFUNCTION("""COMPUTED_VALUE"""),"AMC")</f>
        <v>AMC</v>
      </c>
      <c r="E186" s="5"/>
      <c r="F186" s="5">
        <f>IFERROR(__xludf.DUMMYFUNCTION("""COMPUTED_VALUE"""),23.31)</f>
        <v>23.31</v>
      </c>
      <c r="G186" s="5">
        <f>IFERROR(__xludf.DUMMYFUNCTION("""COMPUTED_VALUE"""),2000.0)</f>
        <v>2000</v>
      </c>
      <c r="H186" s="142" t="str">
        <f>IFERROR(__xludf.DUMMYFUNCTION("""COMPUTED_VALUE"""),"")</f>
        <v/>
      </c>
      <c r="I186" s="22">
        <f>IFERROR(__xludf.DUMMYFUNCTION("""COMPUTED_VALUE"""),365248.35269999993)</f>
        <v>365248.3527</v>
      </c>
      <c r="J186" s="22">
        <f>IFERROR(__xludf.DUMMYFUNCTION("""COMPUTED_VALUE"""),-511433.69435249997)</f>
        <v>-511433.6944</v>
      </c>
      <c r="K186" s="5"/>
      <c r="L186" s="5" t="str">
        <f>IFERROR(__xludf.DUMMYFUNCTION("""COMPUTED_VALUE"""),"Insufficient Cash or Margin Balance")</f>
        <v>Insufficient Cash or Margin Balance</v>
      </c>
    </row>
    <row r="187">
      <c r="A187" s="86">
        <f>IFERROR(__xludf.DUMMYFUNCTION("""COMPUTED_VALUE"""),44655.0)</f>
        <v>44655</v>
      </c>
      <c r="B187" s="5" t="str">
        <f>IFERROR(__xludf.DUMMYFUNCTION("""COMPUTED_VALUE"""),"75965")</f>
        <v>75965</v>
      </c>
      <c r="C187" s="5" t="str">
        <f>IFERROR(__xludf.DUMMYFUNCTION("""COMPUTED_VALUE"""),"SELL (SHORT)")</f>
        <v>SELL (SHORT)</v>
      </c>
      <c r="D187" s="87" t="str">
        <f>IFERROR(__xludf.DUMMYFUNCTION("""COMPUTED_VALUE"""),"TSLA")</f>
        <v>TSLA</v>
      </c>
      <c r="E187" s="5"/>
      <c r="F187" s="5">
        <f>IFERROR(__xludf.DUMMYFUNCTION("""COMPUTED_VALUE"""),1145.45)</f>
        <v>1145.45</v>
      </c>
      <c r="G187" s="5">
        <f>IFERROR(__xludf.DUMMYFUNCTION("""COMPUTED_VALUE"""),120.0)</f>
        <v>120</v>
      </c>
      <c r="H187" s="142" t="str">
        <f>IFERROR(__xludf.DUMMYFUNCTION("""COMPUTED_VALUE"""),"")</f>
        <v/>
      </c>
      <c r="I187" s="22">
        <f>IFERROR(__xludf.DUMMYFUNCTION("""COMPUTED_VALUE"""),1076895.0465900002)</f>
        <v>1076895.047</v>
      </c>
      <c r="J187" s="22">
        <f>IFERROR(__xludf.DUMMYFUNCTION("""COMPUTED_VALUE"""),-1223080.3882425)</f>
        <v>-1223080.388</v>
      </c>
      <c r="K187" s="5"/>
      <c r="L187" s="5" t="str">
        <f>IFERROR(__xludf.DUMMYFUNCTION("""COMPUTED_VALUE"""),"Insufficient Cash or Margin Balance")</f>
        <v>Insufficient Cash or Margin Balance</v>
      </c>
    </row>
    <row r="188">
      <c r="A188" s="86">
        <f>IFERROR(__xludf.DUMMYFUNCTION("""COMPUTED_VALUE"""),44656.0)</f>
        <v>44656</v>
      </c>
      <c r="B188" s="5" t="str">
        <f>IFERROR(__xludf.DUMMYFUNCTION("""COMPUTED_VALUE"""),"75965")</f>
        <v>75965</v>
      </c>
      <c r="C188" s="5" t="str">
        <f>IFERROR(__xludf.DUMMYFUNCTION("""COMPUTED_VALUE"""),"BUY (LONG)")</f>
        <v>BUY (LONG)</v>
      </c>
      <c r="D188" s="87" t="str">
        <f>IFERROR(__xludf.DUMMYFUNCTION("""COMPUTED_VALUE"""),"TSLA")</f>
        <v>TSLA</v>
      </c>
      <c r="E188" s="5"/>
      <c r="F188" s="5">
        <f>IFERROR(__xludf.DUMMYFUNCTION("""COMPUTED_VALUE"""),1091.26)</f>
        <v>1091.26</v>
      </c>
      <c r="G188" s="5">
        <f>IFERROR(__xludf.DUMMYFUNCTION("""COMPUTED_VALUE"""),170.0)</f>
        <v>170</v>
      </c>
      <c r="H188" s="142" t="str">
        <f>IFERROR(__xludf.DUMMYFUNCTION("""COMPUTED_VALUE"""),"")</f>
        <v/>
      </c>
      <c r="I188" s="22">
        <f>IFERROR(__xludf.DUMMYFUNCTION("""COMPUTED_VALUE"""),-1453292.270812)</f>
        <v>-1453292.271</v>
      </c>
      <c r="J188" s="22">
        <f>IFERROR(__xludf.DUMMYFUNCTION("""COMPUTED_VALUE"""),-744599.8061045)</f>
        <v>-744599.8061</v>
      </c>
      <c r="K188" s="5"/>
      <c r="L188" s="5" t="str">
        <f>IFERROR(__xludf.DUMMYFUNCTION("""COMPUTED_VALUE"""),"Insufficient Cash or Margin Balance")</f>
        <v>Insufficient Cash or Margin Balance</v>
      </c>
    </row>
    <row r="189">
      <c r="A189" s="86">
        <f>IFERROR(__xludf.DUMMYFUNCTION("""COMPUTED_VALUE"""),44656.0)</f>
        <v>44656</v>
      </c>
      <c r="B189" s="5" t="str">
        <f>IFERROR(__xludf.DUMMYFUNCTION("""COMPUTED_VALUE"""),"77216")</f>
        <v>77216</v>
      </c>
      <c r="C189" s="5" t="str">
        <f>IFERROR(__xludf.DUMMYFUNCTION("""COMPUTED_VALUE"""),"SELL (SHORT)")</f>
        <v>SELL (SHORT)</v>
      </c>
      <c r="D189" s="87" t="str">
        <f>IFERROR(__xludf.DUMMYFUNCTION("""COMPUTED_VALUE"""),"ABML")</f>
        <v>ABML</v>
      </c>
      <c r="E189" s="5">
        <f>IFERROR(__xludf.DUMMYFUNCTION("""COMPUTED_VALUE"""),1.69)</f>
        <v>1.69</v>
      </c>
      <c r="F189" s="5">
        <f>IFERROR(__xludf.DUMMYFUNCTION("""COMPUTED_VALUE"""),1.6)</f>
        <v>1.6</v>
      </c>
      <c r="G189" s="5">
        <f>IFERROR(__xludf.DUMMYFUNCTION("""COMPUTED_VALUE"""),30000.0)</f>
        <v>30000</v>
      </c>
      <c r="H189" s="142">
        <f>IFERROR(__xludf.DUMMYFUNCTION("""COMPUTED_VALUE"""),0.0)</f>
        <v>0</v>
      </c>
      <c r="I189" s="22">
        <f>IFERROR(__xludf.DUMMYFUNCTION("""COMPUTED_VALUE"""),0.0)</f>
        <v>0</v>
      </c>
      <c r="J189" s="22">
        <f>IFERROR(__xludf.DUMMYFUNCTION("""COMPUTED_VALUE"""),500000.0)</f>
        <v>500000</v>
      </c>
      <c r="K189" s="5"/>
      <c r="L189" s="5" t="str">
        <f>IFERROR(__xludf.DUMMYFUNCTION("""COMPUTED_VALUE"""),"Limit Condition not met")</f>
        <v>Limit Condition not met</v>
      </c>
    </row>
    <row r="190">
      <c r="A190" s="86">
        <f>IFERROR(__xludf.DUMMYFUNCTION("""COMPUTED_VALUE"""),44656.0)</f>
        <v>44656</v>
      </c>
      <c r="B190" s="5" t="str">
        <f>IFERROR(__xludf.DUMMYFUNCTION("""COMPUTED_VALUE"""),"89750")</f>
        <v>89750</v>
      </c>
      <c r="C190" s="5" t="str">
        <f>IFERROR(__xludf.DUMMYFUNCTION("""COMPUTED_VALUE"""),"BUY (LONG)")</f>
        <v>BUY (LONG)</v>
      </c>
      <c r="D190" s="87" t="str">
        <f>IFERROR(__xludf.DUMMYFUNCTION("""COMPUTED_VALUE"""),"ASML220429P00660000")</f>
        <v>ASML220429P00660000</v>
      </c>
      <c r="E190" s="5">
        <f>IFERROR(__xludf.DUMMYFUNCTION("""COMPUTED_VALUE"""),19.0)</f>
        <v>19</v>
      </c>
      <c r="F190" s="5" t="str">
        <f>IFERROR(__xludf.DUMMYFUNCTION("""COMPUTED_VALUE"""),"")</f>
        <v/>
      </c>
      <c r="G190" s="5">
        <f>IFERROR(__xludf.DUMMYFUNCTION("""COMPUTED_VALUE"""),15.0)</f>
        <v>15</v>
      </c>
      <c r="H190" s="142">
        <f>IFERROR(__xludf.DUMMYFUNCTION("""COMPUTED_VALUE"""),0.0)</f>
        <v>0</v>
      </c>
      <c r="I190" s="22">
        <f>IFERROR(__xludf.DUMMYFUNCTION("""COMPUTED_VALUE"""),0.0)</f>
        <v>0</v>
      </c>
      <c r="J190" s="22">
        <f>IFERROR(__xludf.DUMMYFUNCTION("""COMPUTED_VALUE"""),163234.4421339999)</f>
        <v>163234.4421</v>
      </c>
      <c r="K190" s="5"/>
      <c r="L190" s="5" t="str">
        <f>IFERROR(__xludf.DUMMYFUNCTION("""COMPUTED_VALUE"""),"Insufficient Cash or Margin Balance")</f>
        <v>Insufficient Cash or Margin Balance</v>
      </c>
    </row>
    <row r="191">
      <c r="A191" s="86">
        <f>IFERROR(__xludf.DUMMYFUNCTION("""COMPUTED_VALUE"""),44657.0)</f>
        <v>44657</v>
      </c>
      <c r="B191" s="5" t="str">
        <f>IFERROR(__xludf.DUMMYFUNCTION("""COMPUTED_VALUE"""),"39563")</f>
        <v>39563</v>
      </c>
      <c r="C191" s="5" t="str">
        <f>IFERROR(__xludf.DUMMYFUNCTION("""COMPUTED_VALUE"""),"BUY (LONG)")</f>
        <v>BUY (LONG)</v>
      </c>
      <c r="D191" s="87" t="str">
        <f>IFERROR(__xludf.DUMMYFUNCTION("""COMPUTED_VALUE"""),"TSLA")</f>
        <v>TSLA</v>
      </c>
      <c r="E191" s="5"/>
      <c r="F191" s="5">
        <f>IFERROR(__xludf.DUMMYFUNCTION("""COMPUTED_VALUE"""),1045.76)</f>
        <v>1045.76</v>
      </c>
      <c r="G191" s="5">
        <f>IFERROR(__xludf.DUMMYFUNCTION("""COMPUTED_VALUE"""),100.0)</f>
        <v>100</v>
      </c>
      <c r="H191" s="142" t="str">
        <f>IFERROR(__xludf.DUMMYFUNCTION("""COMPUTED_VALUE"""),"")</f>
        <v/>
      </c>
      <c r="I191" s="22">
        <f>IFERROR(__xludf.DUMMYFUNCTION("""COMPUTED_VALUE"""),-819643.1584)</f>
        <v>-819643.1584</v>
      </c>
      <c r="J191" s="22">
        <f>IFERROR(__xludf.DUMMYFUNCTION("""COMPUTED_VALUE"""),-418043.15839999996)</f>
        <v>-418043.1584</v>
      </c>
      <c r="K191" s="5"/>
      <c r="L191" s="5" t="str">
        <f>IFERROR(__xludf.DUMMYFUNCTION("""COMPUTED_VALUE"""),"Insufficient Cash or Margin Balance")</f>
        <v>Insufficient Cash or Margin Balance</v>
      </c>
    </row>
    <row r="192">
      <c r="A192" s="86">
        <f>IFERROR(__xludf.DUMMYFUNCTION("""COMPUTED_VALUE"""),44657.0)</f>
        <v>44657</v>
      </c>
      <c r="B192" s="5" t="str">
        <f>IFERROR(__xludf.DUMMYFUNCTION("""COMPUTED_VALUE"""),"39608")</f>
        <v>39608</v>
      </c>
      <c r="C192" s="5" t="str">
        <f>IFERROR(__xludf.DUMMYFUNCTION("""COMPUTED_VALUE"""),"SELL (SHORT)")</f>
        <v>SELL (SHORT)</v>
      </c>
      <c r="D192" s="87" t="str">
        <f>IFERROR(__xludf.DUMMYFUNCTION("""COMPUTED_VALUE"""),"BG")</f>
        <v>BG</v>
      </c>
      <c r="E192" s="5">
        <f>IFERROR(__xludf.DUMMYFUNCTION("""COMPUTED_VALUE"""),114.4)</f>
        <v>114.4</v>
      </c>
      <c r="F192" s="5">
        <f>IFERROR(__xludf.DUMMYFUNCTION("""COMPUTED_VALUE"""),113.16)</f>
        <v>113.16</v>
      </c>
      <c r="G192" s="5">
        <f>IFERROR(__xludf.DUMMYFUNCTION("""COMPUTED_VALUE"""),300.0)</f>
        <v>300</v>
      </c>
      <c r="H192" s="142">
        <f>IFERROR(__xludf.DUMMYFUNCTION("""COMPUTED_VALUE"""),0.0)</f>
        <v>0</v>
      </c>
      <c r="I192" s="22">
        <f>IFERROR(__xludf.DUMMYFUNCTION("""COMPUTED_VALUE"""),0.0)</f>
        <v>0</v>
      </c>
      <c r="J192" s="22">
        <f>IFERROR(__xludf.DUMMYFUNCTION("""COMPUTED_VALUE"""),76482.94751689996)</f>
        <v>76482.94752</v>
      </c>
      <c r="K192" s="5"/>
      <c r="L192" s="5" t="str">
        <f>IFERROR(__xludf.DUMMYFUNCTION("""COMPUTED_VALUE"""),"Limit Condition not met")</f>
        <v>Limit Condition not met</v>
      </c>
    </row>
    <row r="193">
      <c r="A193" s="86">
        <f>IFERROR(__xludf.DUMMYFUNCTION("""COMPUTED_VALUE"""),44657.0)</f>
        <v>44657</v>
      </c>
      <c r="B193" s="5" t="str">
        <f>IFERROR(__xludf.DUMMYFUNCTION("""COMPUTED_VALUE"""),"77393")</f>
        <v>77393</v>
      </c>
      <c r="C193" s="5" t="str">
        <f>IFERROR(__xludf.DUMMYFUNCTION("""COMPUTED_VALUE"""),"BUY (LONG)")</f>
        <v>BUY (LONG)</v>
      </c>
      <c r="D193" s="90" t="str">
        <f>IFERROR(__xludf.DUMMYFUNCTION("""COMPUTED_VALUE"""),"000568.sz")</f>
        <v>000568.sz</v>
      </c>
      <c r="E193" s="5">
        <f>IFERROR(__xludf.DUMMYFUNCTION("""COMPUTED_VALUE"""),187.64)</f>
        <v>187.64</v>
      </c>
      <c r="F193" s="5">
        <f>IFERROR(__xludf.DUMMYFUNCTION("""COMPUTED_VALUE"""),187.5)</f>
        <v>187.5</v>
      </c>
      <c r="G193" s="5">
        <f>IFERROR(__xludf.DUMMYFUNCTION("""COMPUTED_VALUE"""),1500.0)</f>
        <v>1500</v>
      </c>
      <c r="H193" s="142" t="str">
        <f>IFERROR(__xludf.DUMMYFUNCTION("""COMPUTED_VALUE"""),"")</f>
        <v/>
      </c>
      <c r="I193" s="22">
        <f>IFERROR(__xludf.DUMMYFUNCTION("""COMPUTED_VALUE"""),-346641.1875)</f>
        <v>-346641.1875</v>
      </c>
      <c r="J193" s="22">
        <f>IFERROR(__xludf.DUMMYFUNCTION("""COMPUTED_VALUE"""),-316174.7181)</f>
        <v>-316174.7181</v>
      </c>
      <c r="K193" s="5"/>
      <c r="L193" s="5" t="str">
        <f>IFERROR(__xludf.DUMMYFUNCTION("""COMPUTED_VALUE"""),"Limit Condition not met")</f>
        <v>Limit Condition not met</v>
      </c>
    </row>
    <row r="194">
      <c r="A194" s="86">
        <f>IFERROR(__xludf.DUMMYFUNCTION("""COMPUTED_VALUE"""),44657.0)</f>
        <v>44657</v>
      </c>
      <c r="B194" s="5" t="str">
        <f>IFERROR(__xludf.DUMMYFUNCTION("""COMPUTED_VALUE"""),"77603")</f>
        <v>77603</v>
      </c>
      <c r="C194" s="5" t="str">
        <f>IFERROR(__xludf.DUMMYFUNCTION("""COMPUTED_VALUE"""),"SELL (SHORT)")</f>
        <v>SELL (SHORT)</v>
      </c>
      <c r="D194" s="90" t="str">
        <f>IFERROR(__xludf.DUMMYFUNCTION("""COMPUTED_VALUE"""),"1024.HK")</f>
        <v>1024.HK</v>
      </c>
      <c r="E194" s="5">
        <f>IFERROR(__xludf.DUMMYFUNCTION("""COMPUTED_VALUE"""),77.25)</f>
        <v>77.25</v>
      </c>
      <c r="F194" s="5">
        <f>IFERROR(__xludf.DUMMYFUNCTION("""COMPUTED_VALUE"""),75.3)</f>
        <v>75.3</v>
      </c>
      <c r="G194" s="5">
        <f>IFERROR(__xludf.DUMMYFUNCTION("""COMPUTED_VALUE"""),1000.0)</f>
        <v>1000</v>
      </c>
      <c r="H194" s="142">
        <f>IFERROR(__xludf.DUMMYFUNCTION("""COMPUTED_VALUE"""),0.0)</f>
        <v>0</v>
      </c>
      <c r="I194" s="22">
        <f>IFERROR(__xludf.DUMMYFUNCTION("""COMPUTED_VALUE"""),0.0)</f>
        <v>0</v>
      </c>
      <c r="J194" s="22">
        <f>IFERROR(__xludf.DUMMYFUNCTION("""COMPUTED_VALUE"""),78600.0)</f>
        <v>78600</v>
      </c>
      <c r="K194" s="5"/>
      <c r="L194" s="5" t="str">
        <f>IFERROR(__xludf.DUMMYFUNCTION("""COMPUTED_VALUE"""),"Limit Condition not met")</f>
        <v>Limit Condition not met</v>
      </c>
    </row>
    <row r="195">
      <c r="A195" s="86">
        <f>IFERROR(__xludf.DUMMYFUNCTION("""COMPUTED_VALUE"""),44657.0)</f>
        <v>44657</v>
      </c>
      <c r="B195" s="5" t="str">
        <f>IFERROR(__xludf.DUMMYFUNCTION("""COMPUTED_VALUE"""),"TraderX")</f>
        <v>TraderX</v>
      </c>
      <c r="C195" s="5" t="str">
        <f>IFERROR(__xludf.DUMMYFUNCTION("""COMPUTED_VALUE"""),"SELL (SHORT)")</f>
        <v>SELL (SHORT)</v>
      </c>
      <c r="D195" s="87" t="str">
        <f>IFERROR(__xludf.DUMMYFUNCTION("""COMPUTED_VALUE"""),"NDXP220406P14400000")</f>
        <v>NDXP220406P14400000</v>
      </c>
      <c r="E195" s="5"/>
      <c r="F195" s="5" t="str">
        <f>IFERROR(__xludf.DUMMYFUNCTION("""COMPUTED_VALUE"""),"")</f>
        <v/>
      </c>
      <c r="G195" s="5">
        <f>IFERROR(__xludf.DUMMYFUNCTION("""COMPUTED_VALUE"""),6.0)</f>
        <v>6</v>
      </c>
      <c r="H195" s="142">
        <f>IFERROR(__xludf.DUMMYFUNCTION("""COMPUTED_VALUE"""),0.0)</f>
        <v>0</v>
      </c>
      <c r="I195" s="22">
        <f>IFERROR(__xludf.DUMMYFUNCTION("""COMPUTED_VALUE"""),0.0)</f>
        <v>0</v>
      </c>
      <c r="J195" s="22">
        <f>IFERROR(__xludf.DUMMYFUNCTION("""COMPUTED_VALUE"""),489502.3393)</f>
        <v>489502.3393</v>
      </c>
      <c r="K195" s="5"/>
      <c r="L195" s="5" t="str">
        <f>IFERROR(__xludf.DUMMYFUNCTION("""COMPUTED_VALUE"""),"Insufficient Cash or Margin Balance")</f>
        <v>Insufficient Cash or Margin Balance</v>
      </c>
    </row>
    <row r="196">
      <c r="A196" s="86">
        <f>IFERROR(__xludf.DUMMYFUNCTION("""COMPUTED_VALUE"""),44658.0)</f>
        <v>44658</v>
      </c>
      <c r="B196" s="5" t="str">
        <f>IFERROR(__xludf.DUMMYFUNCTION("""COMPUTED_VALUE"""),"39815")</f>
        <v>39815</v>
      </c>
      <c r="C196" s="5" t="str">
        <f>IFERROR(__xludf.DUMMYFUNCTION("""COMPUTED_VALUE"""),"BUY (LONG)")</f>
        <v>BUY (LONG)</v>
      </c>
      <c r="D196" s="85" t="str">
        <f>IFERROR(__xludf.DUMMYFUNCTION("""COMPUTED_VALUE"""),"A")</f>
        <v>A</v>
      </c>
      <c r="E196" s="5">
        <f>IFERROR(__xludf.DUMMYFUNCTION("""COMPUTED_VALUE"""),100.0)</f>
        <v>100</v>
      </c>
      <c r="F196" s="5">
        <f>IFERROR(__xludf.DUMMYFUNCTION("""COMPUTED_VALUE"""),135.93)</f>
        <v>135.93</v>
      </c>
      <c r="G196" s="5">
        <f>IFERROR(__xludf.DUMMYFUNCTION("""COMPUTED_VALUE"""),100.0)</f>
        <v>100</v>
      </c>
      <c r="H196" s="142">
        <f>IFERROR(__xludf.DUMMYFUNCTION("""COMPUTED_VALUE"""),0.0)</f>
        <v>0</v>
      </c>
      <c r="I196" s="22">
        <f>IFERROR(__xludf.DUMMYFUNCTION("""COMPUTED_VALUE"""),0.0)</f>
        <v>0</v>
      </c>
      <c r="J196" s="22">
        <f>IFERROR(__xludf.DUMMYFUNCTION("""COMPUTED_VALUE"""),500000.0)</f>
        <v>500000</v>
      </c>
      <c r="K196" s="5"/>
      <c r="L196" s="5" t="str">
        <f>IFERROR(__xludf.DUMMYFUNCTION("""COMPUTED_VALUE"""),"Limit Condition not met")</f>
        <v>Limit Condition not met</v>
      </c>
    </row>
    <row r="197">
      <c r="A197" s="86">
        <f>IFERROR(__xludf.DUMMYFUNCTION("""COMPUTED_VALUE"""),44658.0)</f>
        <v>44658</v>
      </c>
      <c r="B197" s="5" t="str">
        <f>IFERROR(__xludf.DUMMYFUNCTION("""COMPUTED_VALUE"""),"39815")</f>
        <v>39815</v>
      </c>
      <c r="C197" s="5" t="str">
        <f>IFERROR(__xludf.DUMMYFUNCTION("""COMPUTED_VALUE"""),"BUY (LONG)")</f>
        <v>BUY (LONG)</v>
      </c>
      <c r="D197" s="85" t="str">
        <f>IFERROR(__xludf.DUMMYFUNCTION("""COMPUTED_VALUE"""),"COST")</f>
        <v>COST</v>
      </c>
      <c r="E197" s="5">
        <f>IFERROR(__xludf.DUMMYFUNCTION("""COMPUTED_VALUE"""),100.0)</f>
        <v>100</v>
      </c>
      <c r="F197" s="5">
        <f>IFERROR(__xludf.DUMMYFUNCTION("""COMPUTED_VALUE"""),608.05)</f>
        <v>608.05</v>
      </c>
      <c r="G197" s="5">
        <f>IFERROR(__xludf.DUMMYFUNCTION("""COMPUTED_VALUE"""),100.0)</f>
        <v>100</v>
      </c>
      <c r="H197" s="142">
        <f>IFERROR(__xludf.DUMMYFUNCTION("""COMPUTED_VALUE"""),0.0)</f>
        <v>0</v>
      </c>
      <c r="I197" s="22">
        <f>IFERROR(__xludf.DUMMYFUNCTION("""COMPUTED_VALUE"""),0.0)</f>
        <v>0</v>
      </c>
      <c r="J197" s="22">
        <f>IFERROR(__xludf.DUMMYFUNCTION("""COMPUTED_VALUE"""),496559.712845)</f>
        <v>496559.7128</v>
      </c>
      <c r="K197" s="5"/>
      <c r="L197" s="5" t="str">
        <f>IFERROR(__xludf.DUMMYFUNCTION("""COMPUTED_VALUE"""),"Limit Condition not met")</f>
        <v>Limit Condition not met</v>
      </c>
    </row>
    <row r="198">
      <c r="A198" s="86">
        <f>IFERROR(__xludf.DUMMYFUNCTION("""COMPUTED_VALUE"""),44658.0)</f>
        <v>44658</v>
      </c>
      <c r="B198" s="5" t="str">
        <f>IFERROR(__xludf.DUMMYFUNCTION("""COMPUTED_VALUE"""),"40318")</f>
        <v>40318</v>
      </c>
      <c r="C198" s="5" t="str">
        <f>IFERROR(__xludf.DUMMYFUNCTION("""COMPUTED_VALUE"""),"SELL (SHORT)")</f>
        <v>SELL (SHORT)</v>
      </c>
      <c r="D198" s="85" t="str">
        <f>IFERROR(__xludf.DUMMYFUNCTION("""COMPUTED_VALUE"""),"ABNB")</f>
        <v>ABNB</v>
      </c>
      <c r="E198" s="5">
        <f>IFERROR(__xludf.DUMMYFUNCTION("""COMPUTED_VALUE"""),170.0)</f>
        <v>170</v>
      </c>
      <c r="F198" s="5">
        <f>IFERROR(__xludf.DUMMYFUNCTION("""COMPUTED_VALUE"""),165.91)</f>
        <v>165.91</v>
      </c>
      <c r="G198" s="5">
        <f>IFERROR(__xludf.DUMMYFUNCTION("""COMPUTED_VALUE"""),60.0)</f>
        <v>60</v>
      </c>
      <c r="H198" s="142">
        <f>IFERROR(__xludf.DUMMYFUNCTION("""COMPUTED_VALUE"""),0.0)</f>
        <v>0</v>
      </c>
      <c r="I198" s="22">
        <f>IFERROR(__xludf.DUMMYFUNCTION("""COMPUTED_VALUE"""),0.0)</f>
        <v>0</v>
      </c>
      <c r="J198" s="22">
        <f>IFERROR(__xludf.DUMMYFUNCTION("""COMPUTED_VALUE"""),358776.822434)</f>
        <v>358776.8224</v>
      </c>
      <c r="K198" s="5"/>
      <c r="L198" s="5" t="str">
        <f>IFERROR(__xludf.DUMMYFUNCTION("""COMPUTED_VALUE"""),"Limit Condition not met")</f>
        <v>Limit Condition not met</v>
      </c>
    </row>
    <row r="199">
      <c r="A199" s="86">
        <f>IFERROR(__xludf.DUMMYFUNCTION("""COMPUTED_VALUE"""),44658.0)</f>
        <v>44658</v>
      </c>
      <c r="B199" s="5" t="str">
        <f>IFERROR(__xludf.DUMMYFUNCTION("""COMPUTED_VALUE"""),"46225")</f>
        <v>46225</v>
      </c>
      <c r="C199" s="5" t="str">
        <f>IFERROR(__xludf.DUMMYFUNCTION("""COMPUTED_VALUE"""),"BUY (LONG)")</f>
        <v>BUY (LONG)</v>
      </c>
      <c r="D199" s="85" t="str">
        <f>IFERROR(__xludf.DUMMYFUNCTION("""COMPUTED_VALUE"""),"SNOW")</f>
        <v>SNOW</v>
      </c>
      <c r="E199" s="5"/>
      <c r="F199" s="5">
        <f>IFERROR(__xludf.DUMMYFUNCTION("""COMPUTED_VALUE"""),213.88)</f>
        <v>213.88</v>
      </c>
      <c r="G199" s="5">
        <f>IFERROR(__xludf.DUMMYFUNCTION("""COMPUTED_VALUE"""),45.0)</f>
        <v>45</v>
      </c>
      <c r="H199" s="142" t="str">
        <f>IFERROR(__xludf.DUMMYFUNCTION("""COMPUTED_VALUE"""),"")</f>
        <v/>
      </c>
      <c r="I199" s="22">
        <f>IFERROR(__xludf.DUMMYFUNCTION("""COMPUTED_VALUE"""),-75424.573467)</f>
        <v>-75424.57347</v>
      </c>
      <c r="J199" s="22">
        <f>IFERROR(__xludf.DUMMYFUNCTION("""COMPUTED_VALUE"""),-320858.7844989999)</f>
        <v>-320858.7845</v>
      </c>
      <c r="K199" s="5"/>
      <c r="L199" s="5" t="str">
        <f>IFERROR(__xludf.DUMMYFUNCTION("""COMPUTED_VALUE"""),"Insufficient Cash or Margin Balance")</f>
        <v>Insufficient Cash or Margin Balance</v>
      </c>
    </row>
    <row r="200">
      <c r="A200" s="86">
        <f>IFERROR(__xludf.DUMMYFUNCTION("""COMPUTED_VALUE"""),44658.0)</f>
        <v>44658</v>
      </c>
      <c r="B200" s="5" t="str">
        <f>IFERROR(__xludf.DUMMYFUNCTION("""COMPUTED_VALUE"""),"46225")</f>
        <v>46225</v>
      </c>
      <c r="C200" s="5" t="str">
        <f>IFERROR(__xludf.DUMMYFUNCTION("""COMPUTED_VALUE"""),"BUY (LONG)")</f>
        <v>BUY (LONG)</v>
      </c>
      <c r="D200" s="85" t="str">
        <f>IFERROR(__xludf.DUMMYFUNCTION("""COMPUTED_VALUE"""),"SNOW")</f>
        <v>SNOW</v>
      </c>
      <c r="E200" s="5"/>
      <c r="F200" s="5"/>
      <c r="G200" s="5">
        <f>IFERROR(__xludf.DUMMYFUNCTION("""COMPUTED_VALUE"""),123.0)</f>
        <v>123</v>
      </c>
      <c r="H200" s="142" t="str">
        <f>IFERROR(__xludf.DUMMYFUNCTION("""COMPUTED_VALUE"""),"")</f>
        <v/>
      </c>
      <c r="I200" s="22">
        <f>IFERROR(__xludf.DUMMYFUNCTION("""COMPUTED_VALUE"""),-206160.5008098)</f>
        <v>-206160.5008</v>
      </c>
      <c r="J200" s="22">
        <f>IFERROR(__xludf.DUMMYFUNCTION("""COMPUTED_VALUE"""),-451594.7118417999)</f>
        <v>-451594.7118</v>
      </c>
      <c r="K200" s="5"/>
      <c r="L200" s="5" t="str">
        <f>IFERROR(__xludf.DUMMYFUNCTION("""COMPUTED_VALUE"""),"Insufficient Cash or Margin Balance")</f>
        <v>Insufficient Cash or Margin Balance</v>
      </c>
    </row>
    <row r="201">
      <c r="A201" s="86">
        <f>IFERROR(__xludf.DUMMYFUNCTION("""COMPUTED_VALUE"""),44658.0)</f>
        <v>44658</v>
      </c>
      <c r="B201" s="5" t="str">
        <f>IFERROR(__xludf.DUMMYFUNCTION("""COMPUTED_VALUE"""),"46225")</f>
        <v>46225</v>
      </c>
      <c r="C201" s="5" t="str">
        <f>IFERROR(__xludf.DUMMYFUNCTION("""COMPUTED_VALUE"""),"BUY (LONG)")</f>
        <v>BUY (LONG)</v>
      </c>
      <c r="D201" s="85" t="str">
        <f>IFERROR(__xludf.DUMMYFUNCTION("""COMPUTED_VALUE"""),"SOL-USD")</f>
        <v>SOL-USD</v>
      </c>
      <c r="E201" s="5"/>
      <c r="F201" s="5">
        <f>IFERROR(__xludf.DUMMYFUNCTION("""COMPUTED_VALUE"""),118.8)</f>
        <v>118.8</v>
      </c>
      <c r="G201" s="5">
        <f>IFERROR(__xludf.DUMMYFUNCTION("""COMPUTED_VALUE"""),84.0)</f>
        <v>84</v>
      </c>
      <c r="H201" s="142" t="str">
        <f>IFERROR(__xludf.DUMMYFUNCTION("""COMPUTED_VALUE"""),"")</f>
        <v/>
      </c>
      <c r="I201" s="22">
        <f>IFERROR(__xludf.DUMMYFUNCTION("""COMPUTED_VALUE"""),-78203.447784)</f>
        <v>-78203.44778</v>
      </c>
      <c r="J201" s="22">
        <f>IFERROR(__xludf.DUMMYFUNCTION("""COMPUTED_VALUE"""),-323637.65881599986)</f>
        <v>-323637.6588</v>
      </c>
      <c r="K201" s="5"/>
      <c r="L201" s="5" t="str">
        <f>IFERROR(__xludf.DUMMYFUNCTION("""COMPUTED_VALUE"""),"Insufficient Cash or Margin Balance")</f>
        <v>Insufficient Cash or Margin Balance</v>
      </c>
    </row>
    <row r="202">
      <c r="A202" s="86">
        <f>IFERROR(__xludf.DUMMYFUNCTION("""COMPUTED_VALUE"""),44658.0)</f>
        <v>44658</v>
      </c>
      <c r="B202" s="5" t="str">
        <f>IFERROR(__xludf.DUMMYFUNCTION("""COMPUTED_VALUE"""),"46225")</f>
        <v>46225</v>
      </c>
      <c r="C202" s="5" t="str">
        <f>IFERROR(__xludf.DUMMYFUNCTION("""COMPUTED_VALUE"""),"BUY (LONG)")</f>
        <v>BUY (LONG)</v>
      </c>
      <c r="D202" s="85" t="str">
        <f>IFERROR(__xludf.DUMMYFUNCTION("""COMPUTED_VALUE"""),"TSLA")</f>
        <v>TSLA</v>
      </c>
      <c r="E202" s="5"/>
      <c r="F202" s="5">
        <f>IFERROR(__xludf.DUMMYFUNCTION("""COMPUTED_VALUE"""),1057.26)</f>
        <v>1057.26</v>
      </c>
      <c r="G202" s="5">
        <f>IFERROR(__xludf.DUMMYFUNCTION("""COMPUTED_VALUE"""),18.0)</f>
        <v>18</v>
      </c>
      <c r="H202" s="142" t="str">
        <f>IFERROR(__xludf.DUMMYFUNCTION("""COMPUTED_VALUE"""),"")</f>
        <v/>
      </c>
      <c r="I202" s="22">
        <f>IFERROR(__xludf.DUMMYFUNCTION("""COMPUTED_VALUE"""),-149136.6832686)</f>
        <v>-149136.6833</v>
      </c>
      <c r="J202" s="22">
        <f>IFERROR(__xludf.DUMMYFUNCTION("""COMPUTED_VALUE"""),-394570.89430059993)</f>
        <v>-394570.8943</v>
      </c>
      <c r="K202" s="5"/>
      <c r="L202" s="5" t="str">
        <f>IFERROR(__xludf.DUMMYFUNCTION("""COMPUTED_VALUE"""),"Insufficient Cash or Margin Balance")</f>
        <v>Insufficient Cash or Margin Balance</v>
      </c>
    </row>
    <row r="203">
      <c r="A203" s="86">
        <f>IFERROR(__xludf.DUMMYFUNCTION("""COMPUTED_VALUE"""),44658.0)</f>
        <v>44658</v>
      </c>
      <c r="B203" s="5" t="str">
        <f>IFERROR(__xludf.DUMMYFUNCTION("""COMPUTED_VALUE"""),"75965")</f>
        <v>75965</v>
      </c>
      <c r="C203" s="5" t="str">
        <f>IFERROR(__xludf.DUMMYFUNCTION("""COMPUTED_VALUE"""),"BUY (LONG)")</f>
        <v>BUY (LONG)</v>
      </c>
      <c r="D203" s="87" t="str">
        <f>IFERROR(__xludf.DUMMYFUNCTION("""COMPUTED_VALUE"""),"Soxl")</f>
        <v>Soxl</v>
      </c>
      <c r="E203" s="5"/>
      <c r="F203" s="5">
        <f>IFERROR(__xludf.DUMMYFUNCTION("""COMPUTED_VALUE"""),30.5)</f>
        <v>30.5</v>
      </c>
      <c r="G203" s="5">
        <f>IFERROR(__xludf.DUMMYFUNCTION("""COMPUTED_VALUE"""),500.0)</f>
        <v>500</v>
      </c>
      <c r="H203" s="142" t="str">
        <f>IFERROR(__xludf.DUMMYFUNCTION("""COMPUTED_VALUE"""),"")</f>
        <v/>
      </c>
      <c r="I203" s="22">
        <f>IFERROR(__xludf.DUMMYFUNCTION("""COMPUTED_VALUE"""),-119508.83625000001)</f>
        <v>-119508.8363</v>
      </c>
      <c r="J203" s="22">
        <f>IFERROR(__xludf.DUMMYFUNCTION("""COMPUTED_VALUE"""),-365641.4847025)</f>
        <v>-365641.4847</v>
      </c>
      <c r="K203" s="5"/>
      <c r="L203" s="5" t="str">
        <f>IFERROR(__xludf.DUMMYFUNCTION("""COMPUTED_VALUE"""),"Insufficient Cash or Margin Balance")</f>
        <v>Insufficient Cash or Margin Balance</v>
      </c>
    </row>
    <row r="204">
      <c r="A204" s="86">
        <f>IFERROR(__xludf.DUMMYFUNCTION("""COMPUTED_VALUE"""),44658.0)</f>
        <v>44658</v>
      </c>
      <c r="B204" s="5" t="str">
        <f>IFERROR(__xludf.DUMMYFUNCTION("""COMPUTED_VALUE"""),"75965")</f>
        <v>75965</v>
      </c>
      <c r="C204" s="5" t="str">
        <f>IFERROR(__xludf.DUMMYFUNCTION("""COMPUTED_VALUE"""),"BUY (LONG)")</f>
        <v>BUY (LONG)</v>
      </c>
      <c r="D204" s="85" t="str">
        <f>IFERROR(__xludf.DUMMYFUNCTION("""COMPUTED_VALUE"""),"SOXL220414C00028000")</f>
        <v>SOXL220414C00028000</v>
      </c>
      <c r="E204" s="5"/>
      <c r="F204" s="5">
        <f>IFERROR(__xludf.DUMMYFUNCTION("""COMPUTED_VALUE"""),4.1)</f>
        <v>4.1</v>
      </c>
      <c r="G204" s="5">
        <f>IFERROR(__xludf.DUMMYFUNCTION("""COMPUTED_VALUE"""),5000.0)</f>
        <v>5000</v>
      </c>
      <c r="H204" s="142" t="str">
        <f>IFERROR(__xludf.DUMMYFUNCTION("""COMPUTED_VALUE"""),"")</f>
        <v/>
      </c>
      <c r="I204" s="22">
        <f>IFERROR(__xludf.DUMMYFUNCTION("""COMPUTED_VALUE"""),-3722406.375)</f>
        <v>-3722406.375</v>
      </c>
      <c r="J204" s="22">
        <f>IFERROR(__xludf.DUMMYFUNCTION("""COMPUTED_VALUE"""),-3968539.0234525)</f>
        <v>-3968539.023</v>
      </c>
      <c r="K204" s="5"/>
      <c r="L204" s="5" t="str">
        <f>IFERROR(__xludf.DUMMYFUNCTION("""COMPUTED_VALUE"""),"Insufficient Cash or Margin Balance")</f>
        <v>Insufficient Cash or Margin Balance</v>
      </c>
    </row>
    <row r="205">
      <c r="A205" s="86">
        <f>IFERROR(__xludf.DUMMYFUNCTION("""COMPUTED_VALUE"""),44658.0)</f>
        <v>44658</v>
      </c>
      <c r="B205" s="5" t="str">
        <f>IFERROR(__xludf.DUMMYFUNCTION("""COMPUTED_VALUE"""),"75965")</f>
        <v>75965</v>
      </c>
      <c r="C205" s="5" t="str">
        <f>IFERROR(__xludf.DUMMYFUNCTION("""COMPUTED_VALUE"""),"BUY (LONG)")</f>
        <v>BUY (LONG)</v>
      </c>
      <c r="D205" s="87" t="str">
        <f>IFERROR(__xludf.DUMMYFUNCTION("""COMPUTED_VALUE"""),"TQqq")</f>
        <v>TQqq</v>
      </c>
      <c r="E205" s="5"/>
      <c r="F205" s="5">
        <f>IFERROR(__xludf.DUMMYFUNCTION("""COMPUTED_VALUE"""),54.05)</f>
        <v>54.05</v>
      </c>
      <c r="G205" s="5">
        <f>IFERROR(__xludf.DUMMYFUNCTION("""COMPUTED_VALUE"""),500.0)</f>
        <v>500</v>
      </c>
      <c r="H205" s="142" t="str">
        <f>IFERROR(__xludf.DUMMYFUNCTION("""COMPUTED_VALUE"""),"")</f>
        <v/>
      </c>
      <c r="I205" s="22">
        <f>IFERROR(__xludf.DUMMYFUNCTION("""COMPUTED_VALUE"""),-211785.331125)</f>
        <v>-211785.3311</v>
      </c>
      <c r="J205" s="22">
        <f>IFERROR(__xludf.DUMMYFUNCTION("""COMPUTED_VALUE"""),-457917.9795775)</f>
        <v>-457917.9796</v>
      </c>
      <c r="K205" s="5"/>
      <c r="L205" s="5" t="str">
        <f>IFERROR(__xludf.DUMMYFUNCTION("""COMPUTED_VALUE"""),"Insufficient Cash or Margin Balance")</f>
        <v>Insufficient Cash or Margin Balance</v>
      </c>
    </row>
    <row r="206">
      <c r="A206" s="86">
        <f>IFERROR(__xludf.DUMMYFUNCTION("""COMPUTED_VALUE"""),44658.0)</f>
        <v>44658</v>
      </c>
      <c r="B206" s="5" t="str">
        <f>IFERROR(__xludf.DUMMYFUNCTION("""COMPUTED_VALUE"""),"77603")</f>
        <v>77603</v>
      </c>
      <c r="C206" s="5" t="str">
        <f>IFERROR(__xludf.DUMMYFUNCTION("""COMPUTED_VALUE"""),"BUY (LONG)")</f>
        <v>BUY (LONG)</v>
      </c>
      <c r="D206" s="90" t="str">
        <f>IFERROR(__xludf.DUMMYFUNCTION("""COMPUTED_VALUE"""),"9988.HK")</f>
        <v>9988.HK</v>
      </c>
      <c r="E206" s="5">
        <f>IFERROR(__xludf.DUMMYFUNCTION("""COMPUTED_VALUE"""),139.1)</f>
        <v>139.1</v>
      </c>
      <c r="F206" s="5">
        <f>IFERROR(__xludf.DUMMYFUNCTION("""COMPUTED_VALUE"""),105.2)</f>
        <v>105.2</v>
      </c>
      <c r="G206" s="5">
        <f>IFERROR(__xludf.DUMMYFUNCTION("""COMPUTED_VALUE"""),5000.0)</f>
        <v>5000</v>
      </c>
      <c r="H206" s="142" t="str">
        <f>IFERROR(__xludf.DUMMYFUNCTION("""COMPUTED_VALUE"""),"")</f>
        <v/>
      </c>
      <c r="I206" s="22">
        <f>IFERROR(__xludf.DUMMYFUNCTION("""COMPUTED_VALUE"""),-526000.0)</f>
        <v>-526000</v>
      </c>
      <c r="J206" s="22">
        <f>IFERROR(__xludf.DUMMYFUNCTION("""COMPUTED_VALUE"""),-498800.0)</f>
        <v>-498800</v>
      </c>
      <c r="K206" s="5"/>
      <c r="L206" s="5" t="str">
        <f>IFERROR(__xludf.DUMMYFUNCTION("""COMPUTED_VALUE"""),"Limit Condition not met")</f>
        <v>Limit Condition not met</v>
      </c>
    </row>
    <row r="207">
      <c r="A207" s="86">
        <f>IFERROR(__xludf.DUMMYFUNCTION("""COMPUTED_VALUE"""),44659.0)</f>
        <v>44659</v>
      </c>
      <c r="B207" s="5" t="str">
        <f>IFERROR(__xludf.DUMMYFUNCTION("""COMPUTED_VALUE"""),"38109")</f>
        <v>38109</v>
      </c>
      <c r="C207" s="5" t="str">
        <f>IFERROR(__xludf.DUMMYFUNCTION("""COMPUTED_VALUE"""),"BUY (LONG)")</f>
        <v>BUY (LONG)</v>
      </c>
      <c r="D207" s="85" t="str">
        <f>IFERROR(__xludf.DUMMYFUNCTION("""COMPUTED_VALUE"""),"AMZN")</f>
        <v>AMZN</v>
      </c>
      <c r="E207" s="5"/>
      <c r="F207" s="5">
        <f>IFERROR(__xludf.DUMMYFUNCTION("""COMPUTED_VALUE"""),3089.21)</f>
        <v>3089.21</v>
      </c>
      <c r="G207" s="5">
        <f>IFERROR(__xludf.DUMMYFUNCTION("""COMPUTED_VALUE"""),100.0)</f>
        <v>100</v>
      </c>
      <c r="H207" s="142" t="str">
        <f>IFERROR(__xludf.DUMMYFUNCTION("""COMPUTED_VALUE"""),"")</f>
        <v/>
      </c>
      <c r="I207" s="22">
        <f>IFERROR(__xludf.DUMMYFUNCTION("""COMPUTED_VALUE"""),-2421713.583065)</f>
        <v>-2421713.583</v>
      </c>
      <c r="J207" s="22">
        <f>IFERROR(__xludf.DUMMYFUNCTION("""COMPUTED_VALUE"""),-1921713.583065)</f>
        <v>-1921713.583</v>
      </c>
      <c r="K207" s="5"/>
      <c r="L207" s="5" t="str">
        <f>IFERROR(__xludf.DUMMYFUNCTION("""COMPUTED_VALUE"""),"Insufficient Cash or Margin Balance")</f>
        <v>Insufficient Cash or Margin Balance</v>
      </c>
    </row>
    <row r="208">
      <c r="A208" s="86">
        <f>IFERROR(__xludf.DUMMYFUNCTION("""COMPUTED_VALUE"""),44659.0)</f>
        <v>44659</v>
      </c>
      <c r="B208" s="5" t="str">
        <f>IFERROR(__xludf.DUMMYFUNCTION("""COMPUTED_VALUE"""),"38109")</f>
        <v>38109</v>
      </c>
      <c r="C208" s="5" t="str">
        <f>IFERROR(__xludf.DUMMYFUNCTION("""COMPUTED_VALUE"""),"BUY (LONG)")</f>
        <v>BUY (LONG)</v>
      </c>
      <c r="D208" s="85" t="str">
        <f>IFERROR(__xludf.DUMMYFUNCTION("""COMPUTED_VALUE"""),"FB")</f>
        <v>FB</v>
      </c>
      <c r="E208" s="5"/>
      <c r="F208" s="5">
        <f>IFERROR(__xludf.DUMMYFUNCTION("""COMPUTED_VALUE"""),222.33)</f>
        <v>222.33</v>
      </c>
      <c r="G208" s="5">
        <f>IFERROR(__xludf.DUMMYFUNCTION("""COMPUTED_VALUE"""),1000.0)</f>
        <v>1000</v>
      </c>
      <c r="H208" s="142" t="str">
        <f>IFERROR(__xludf.DUMMYFUNCTION("""COMPUTED_VALUE"""),"")</f>
        <v/>
      </c>
      <c r="I208" s="22">
        <f>IFERROR(__xludf.DUMMYFUNCTION("""COMPUTED_VALUE"""),-1742903.7874500002)</f>
        <v>-1742903.787</v>
      </c>
      <c r="J208" s="22">
        <f>IFERROR(__xludf.DUMMYFUNCTION("""COMPUTED_VALUE"""),-1242903.78745)</f>
        <v>-1242903.787</v>
      </c>
      <c r="K208" s="5"/>
      <c r="L208" s="5" t="str">
        <f>IFERROR(__xludf.DUMMYFUNCTION("""COMPUTED_VALUE"""),"Insufficient Cash or Margin Balance")</f>
        <v>Insufficient Cash or Margin Balance</v>
      </c>
    </row>
    <row r="209">
      <c r="A209" s="86">
        <f>IFERROR(__xludf.DUMMYFUNCTION("""COMPUTED_VALUE"""),44659.0)</f>
        <v>44659</v>
      </c>
      <c r="B209" s="5" t="str">
        <f>IFERROR(__xludf.DUMMYFUNCTION("""COMPUTED_VALUE"""),"38369")</f>
        <v>38369</v>
      </c>
      <c r="C209" s="5" t="str">
        <f>IFERROR(__xludf.DUMMYFUNCTION("""COMPUTED_VALUE"""),"BUY (LONG)")</f>
        <v>BUY (LONG)</v>
      </c>
      <c r="D209" s="85" t="str">
        <f>IFERROR(__xludf.DUMMYFUNCTION("""COMPUTED_VALUE"""),"TSLA")</f>
        <v>TSLA</v>
      </c>
      <c r="E209" s="5">
        <f>IFERROR(__xludf.DUMMYFUNCTION("""COMPUTED_VALUE"""),1040.0)</f>
        <v>1040</v>
      </c>
      <c r="F209" s="5">
        <f>IFERROR(__xludf.DUMMYFUNCTION("""COMPUTED_VALUE"""),1025.49)</f>
        <v>1025.49</v>
      </c>
      <c r="G209" s="5">
        <f>IFERROR(__xludf.DUMMYFUNCTION("""COMPUTED_VALUE"""),100.0)</f>
        <v>100</v>
      </c>
      <c r="H209" s="142" t="str">
        <f>IFERROR(__xludf.DUMMYFUNCTION("""COMPUTED_VALUE"""),"")</f>
        <v/>
      </c>
      <c r="I209" s="22">
        <f>IFERROR(__xludf.DUMMYFUNCTION("""COMPUTED_VALUE"""),-803908.786485)</f>
        <v>-803908.7865</v>
      </c>
      <c r="J209" s="22">
        <f>IFERROR(__xludf.DUMMYFUNCTION("""COMPUTED_VALUE"""),-303908.78648500005)</f>
        <v>-303908.7865</v>
      </c>
      <c r="K209" s="5"/>
      <c r="L209" s="5" t="str">
        <f>IFERROR(__xludf.DUMMYFUNCTION("""COMPUTED_VALUE"""),"Limit Condition not met")</f>
        <v>Limit Condition not met</v>
      </c>
    </row>
    <row r="210">
      <c r="A210" s="86">
        <f>IFERROR(__xludf.DUMMYFUNCTION("""COMPUTED_VALUE"""),44659.0)</f>
        <v>44659</v>
      </c>
      <c r="B210" s="5" t="str">
        <f>IFERROR(__xludf.DUMMYFUNCTION("""COMPUTED_VALUE"""),"39670")</f>
        <v>39670</v>
      </c>
      <c r="C210" s="5" t="str">
        <f>IFERROR(__xludf.DUMMYFUNCTION("""COMPUTED_VALUE"""),"BUY (LONG)")</f>
        <v>BUY (LONG)</v>
      </c>
      <c r="D210" s="85" t="str">
        <f>IFERROR(__xludf.DUMMYFUNCTION("""COMPUTED_VALUE"""),"AAPL")</f>
        <v>AAPL</v>
      </c>
      <c r="E210" s="5">
        <f>IFERROR(__xludf.DUMMYFUNCTION("""COMPUTED_VALUE"""),170.0)</f>
        <v>170</v>
      </c>
      <c r="F210" s="5">
        <f>IFERROR(__xludf.DUMMYFUNCTION("""COMPUTED_VALUE"""),170.09)</f>
        <v>170.09</v>
      </c>
      <c r="G210" s="5">
        <f>IFERROR(__xludf.DUMMYFUNCTION("""COMPUTED_VALUE"""),100.0)</f>
        <v>100</v>
      </c>
      <c r="H210" s="142">
        <f>IFERROR(__xludf.DUMMYFUNCTION("""COMPUTED_VALUE"""),0.0)</f>
        <v>0</v>
      </c>
      <c r="I210" s="22">
        <f>IFERROR(__xludf.DUMMYFUNCTION("""COMPUTED_VALUE"""),0.0)</f>
        <v>0</v>
      </c>
      <c r="J210" s="22">
        <f>IFERROR(__xludf.DUMMYFUNCTION("""COMPUTED_VALUE"""),98045.60675749998)</f>
        <v>98045.60676</v>
      </c>
      <c r="K210" s="5"/>
      <c r="L210" s="5" t="str">
        <f>IFERROR(__xludf.DUMMYFUNCTION("""COMPUTED_VALUE"""),"Limit Condition not met")</f>
        <v>Limit Condition not met</v>
      </c>
    </row>
    <row r="211">
      <c r="A211" s="86">
        <f>IFERROR(__xludf.DUMMYFUNCTION("""COMPUTED_VALUE"""),44659.0)</f>
        <v>44659</v>
      </c>
      <c r="B211" s="5" t="str">
        <f>IFERROR(__xludf.DUMMYFUNCTION("""COMPUTED_VALUE"""),"39776")</f>
        <v>39776</v>
      </c>
      <c r="C211" s="5" t="str">
        <f>IFERROR(__xludf.DUMMYFUNCTION("""COMPUTED_VALUE"""),"BUY (LONG)")</f>
        <v>BUY (LONG)</v>
      </c>
      <c r="D211" s="91" t="str">
        <f>IFERROR(__xludf.DUMMYFUNCTION("""COMPUTED_VALUE"""),"3800.HK")</f>
        <v>3800.HK</v>
      </c>
      <c r="E211" s="5">
        <f>IFERROR(__xludf.DUMMYFUNCTION("""COMPUTED_VALUE"""),2.5)</f>
        <v>2.5</v>
      </c>
      <c r="F211" s="5">
        <f>IFERROR(__xludf.DUMMYFUNCTION("""COMPUTED_VALUE"""),2.51)</f>
        <v>2.51</v>
      </c>
      <c r="G211" s="5">
        <f>IFERROR(__xludf.DUMMYFUNCTION("""COMPUTED_VALUE"""),10000.0)</f>
        <v>10000</v>
      </c>
      <c r="H211" s="142">
        <f>IFERROR(__xludf.DUMMYFUNCTION("""COMPUTED_VALUE"""),0.0)</f>
        <v>0</v>
      </c>
      <c r="I211" s="22">
        <f>IFERROR(__xludf.DUMMYFUNCTION("""COMPUTED_VALUE"""),0.0)</f>
        <v>0</v>
      </c>
      <c r="J211" s="22">
        <f>IFERROR(__xludf.DUMMYFUNCTION("""COMPUTED_VALUE"""),395700.0)</f>
        <v>395700</v>
      </c>
      <c r="K211" s="5"/>
      <c r="L211" s="5" t="str">
        <f>IFERROR(__xludf.DUMMYFUNCTION("""COMPUTED_VALUE"""),"Limit Condition not met")</f>
        <v>Limit Condition not met</v>
      </c>
    </row>
    <row r="212">
      <c r="A212" s="86">
        <f>IFERROR(__xludf.DUMMYFUNCTION("""COMPUTED_VALUE"""),44659.0)</f>
        <v>44659</v>
      </c>
      <c r="B212" s="5" t="str">
        <f>IFERROR(__xludf.DUMMYFUNCTION("""COMPUTED_VALUE"""),"39776")</f>
        <v>39776</v>
      </c>
      <c r="C212" s="5" t="str">
        <f>IFERROR(__xludf.DUMMYFUNCTION("""COMPUTED_VALUE"""),"BUY (LONG)")</f>
        <v>BUY (LONG)</v>
      </c>
      <c r="D212" s="91" t="str">
        <f>IFERROR(__xludf.DUMMYFUNCTION("""COMPUTED_VALUE"""),"9858.HK")</f>
        <v>9858.HK</v>
      </c>
      <c r="E212" s="5">
        <f>IFERROR(__xludf.DUMMYFUNCTION("""COMPUTED_VALUE"""),3.46)</f>
        <v>3.46</v>
      </c>
      <c r="F212" s="5">
        <f>IFERROR(__xludf.DUMMYFUNCTION("""COMPUTED_VALUE"""),3.52)</f>
        <v>3.52</v>
      </c>
      <c r="G212" s="5">
        <f>IFERROR(__xludf.DUMMYFUNCTION("""COMPUTED_VALUE"""),15000.0)</f>
        <v>15000</v>
      </c>
      <c r="H212" s="142">
        <f>IFERROR(__xludf.DUMMYFUNCTION("""COMPUTED_VALUE"""),0.0)</f>
        <v>0</v>
      </c>
      <c r="I212" s="22">
        <f>IFERROR(__xludf.DUMMYFUNCTION("""COMPUTED_VALUE"""),0.0)</f>
        <v>0</v>
      </c>
      <c r="J212" s="22">
        <f>IFERROR(__xludf.DUMMYFUNCTION("""COMPUTED_VALUE"""),395700.0)</f>
        <v>395700</v>
      </c>
      <c r="K212" s="5"/>
      <c r="L212" s="5" t="str">
        <f>IFERROR(__xludf.DUMMYFUNCTION("""COMPUTED_VALUE"""),"Limit Condition not met")</f>
        <v>Limit Condition not met</v>
      </c>
    </row>
    <row r="213">
      <c r="A213" s="86">
        <f>IFERROR(__xludf.DUMMYFUNCTION("""COMPUTED_VALUE"""),44659.0)</f>
        <v>44659</v>
      </c>
      <c r="B213" s="5" t="str">
        <f>IFERROR(__xludf.DUMMYFUNCTION("""COMPUTED_VALUE"""),"39776")</f>
        <v>39776</v>
      </c>
      <c r="C213" s="5" t="str">
        <f>IFERROR(__xludf.DUMMYFUNCTION("""COMPUTED_VALUE"""),"BUY (LONG)")</f>
        <v>BUY (LONG)</v>
      </c>
      <c r="D213" s="91" t="str">
        <f>IFERROR(__xludf.DUMMYFUNCTION("""COMPUTED_VALUE"""),"9858.HK")</f>
        <v>9858.HK</v>
      </c>
      <c r="E213" s="5">
        <f>IFERROR(__xludf.DUMMYFUNCTION("""COMPUTED_VALUE"""),3.5)</f>
        <v>3.5</v>
      </c>
      <c r="F213" s="5">
        <f>IFERROR(__xludf.DUMMYFUNCTION("""COMPUTED_VALUE"""),3.52)</f>
        <v>3.52</v>
      </c>
      <c r="G213" s="5">
        <f>IFERROR(__xludf.DUMMYFUNCTION("""COMPUTED_VALUE"""),15000.0)</f>
        <v>15000</v>
      </c>
      <c r="H213" s="142">
        <f>IFERROR(__xludf.DUMMYFUNCTION("""COMPUTED_VALUE"""),0.0)</f>
        <v>0</v>
      </c>
      <c r="I213" s="22">
        <f>IFERROR(__xludf.DUMMYFUNCTION("""COMPUTED_VALUE"""),0.0)</f>
        <v>0</v>
      </c>
      <c r="J213" s="22">
        <f>IFERROR(__xludf.DUMMYFUNCTION("""COMPUTED_VALUE"""),370600.0)</f>
        <v>370600</v>
      </c>
      <c r="K213" s="5"/>
      <c r="L213" s="5" t="str">
        <f>IFERROR(__xludf.DUMMYFUNCTION("""COMPUTED_VALUE"""),"Limit Condition not met")</f>
        <v>Limit Condition not met</v>
      </c>
    </row>
    <row r="214">
      <c r="A214" s="86">
        <f>IFERROR(__xludf.DUMMYFUNCTION("""COMPUTED_VALUE"""),44659.0)</f>
        <v>44659</v>
      </c>
      <c r="B214" s="5" t="str">
        <f>IFERROR(__xludf.DUMMYFUNCTION("""COMPUTED_VALUE"""),"39815")</f>
        <v>39815</v>
      </c>
      <c r="C214" s="5" t="str">
        <f>IFERROR(__xludf.DUMMYFUNCTION("""COMPUTED_VALUE"""),"BUY (LONG)")</f>
        <v>BUY (LONG)</v>
      </c>
      <c r="D214" s="91" t="str">
        <f>IFERROR(__xludf.DUMMYFUNCTION("""COMPUTED_VALUE"""),"600519.SS")</f>
        <v>600519.SS</v>
      </c>
      <c r="E214" s="5">
        <f>IFERROR(__xludf.DUMMYFUNCTION("""COMPUTED_VALUE"""),100.0)</f>
        <v>100</v>
      </c>
      <c r="F214" s="5">
        <f>IFERROR(__xludf.DUMMYFUNCTION("""COMPUTED_VALUE"""),1784.0)</f>
        <v>1784</v>
      </c>
      <c r="G214" s="5">
        <f>IFERROR(__xludf.DUMMYFUNCTION("""COMPUTED_VALUE"""),100.0)</f>
        <v>100</v>
      </c>
      <c r="H214" s="142">
        <f>IFERROR(__xludf.DUMMYFUNCTION("""COMPUTED_VALUE"""),0.0)</f>
        <v>0</v>
      </c>
      <c r="I214" s="22">
        <f>IFERROR(__xludf.DUMMYFUNCTION("""COMPUTED_VALUE"""),0.0)</f>
        <v>0</v>
      </c>
      <c r="J214" s="22">
        <f>IFERROR(__xludf.DUMMYFUNCTION("""COMPUTED_VALUE"""),465166.112975)</f>
        <v>465166.113</v>
      </c>
      <c r="K214" s="5"/>
      <c r="L214" s="5" t="str">
        <f>IFERROR(__xludf.DUMMYFUNCTION("""COMPUTED_VALUE"""),"Limit Condition not met")</f>
        <v>Limit Condition not met</v>
      </c>
    </row>
    <row r="215">
      <c r="A215" s="86">
        <f>IFERROR(__xludf.DUMMYFUNCTION("""COMPUTED_VALUE"""),44659.0)</f>
        <v>44659</v>
      </c>
      <c r="B215" s="5" t="str">
        <f>IFERROR(__xludf.DUMMYFUNCTION("""COMPUTED_VALUE"""),"40776")</f>
        <v>40776</v>
      </c>
      <c r="C215" s="5" t="str">
        <f>IFERROR(__xludf.DUMMYFUNCTION("""COMPUTED_VALUE"""),"BUY (LONG)")</f>
        <v>BUY (LONG)</v>
      </c>
      <c r="D215" s="85" t="str">
        <f>IFERROR(__xludf.DUMMYFUNCTION("""COMPUTED_VALUE"""),"AAPL")</f>
        <v>AAPL</v>
      </c>
      <c r="E215" s="5">
        <f>IFERROR(__xludf.DUMMYFUNCTION("""COMPUTED_VALUE"""),168.5)</f>
        <v>168.5</v>
      </c>
      <c r="F215" s="5">
        <f>IFERROR(__xludf.DUMMYFUNCTION("""COMPUTED_VALUE"""),170.09)</f>
        <v>170.09</v>
      </c>
      <c r="G215" s="5">
        <f>IFERROR(__xludf.DUMMYFUNCTION("""COMPUTED_VALUE"""),100.0)</f>
        <v>100</v>
      </c>
      <c r="H215" s="142">
        <f>IFERROR(__xludf.DUMMYFUNCTION("""COMPUTED_VALUE"""),0.0)</f>
        <v>0</v>
      </c>
      <c r="I215" s="22">
        <f>IFERROR(__xludf.DUMMYFUNCTION("""COMPUTED_VALUE"""),0.0)</f>
        <v>0</v>
      </c>
      <c r="J215" s="22">
        <f>IFERROR(__xludf.DUMMYFUNCTION("""COMPUTED_VALUE"""),98045.60675749998)</f>
        <v>98045.60676</v>
      </c>
      <c r="K215" s="5"/>
      <c r="L215" s="5" t="str">
        <f>IFERROR(__xludf.DUMMYFUNCTION("""COMPUTED_VALUE"""),"Limit Condition not met")</f>
        <v>Limit Condition not met</v>
      </c>
    </row>
    <row r="216">
      <c r="A216" s="86">
        <f>IFERROR(__xludf.DUMMYFUNCTION("""COMPUTED_VALUE"""),44659.0)</f>
        <v>44659</v>
      </c>
      <c r="B216" s="5" t="str">
        <f>IFERROR(__xludf.DUMMYFUNCTION("""COMPUTED_VALUE"""),"40776")</f>
        <v>40776</v>
      </c>
      <c r="C216" s="5" t="str">
        <f>IFERROR(__xludf.DUMMYFUNCTION("""COMPUTED_VALUE"""),"BUY (LONG)")</f>
        <v>BUY (LONG)</v>
      </c>
      <c r="D216" s="85" t="str">
        <f>IFERROR(__xludf.DUMMYFUNCTION("""COMPUTED_VALUE"""),"AAPL")</f>
        <v>AAPL</v>
      </c>
      <c r="E216" s="5">
        <f>IFERROR(__xludf.DUMMYFUNCTION("""COMPUTED_VALUE"""),170.0)</f>
        <v>170</v>
      </c>
      <c r="F216" s="5">
        <f>IFERROR(__xludf.DUMMYFUNCTION("""COMPUTED_VALUE"""),170.09)</f>
        <v>170.09</v>
      </c>
      <c r="G216" s="5">
        <f>IFERROR(__xludf.DUMMYFUNCTION("""COMPUTED_VALUE"""),100.0)</f>
        <v>100</v>
      </c>
      <c r="H216" s="142">
        <f>IFERROR(__xludf.DUMMYFUNCTION("""COMPUTED_VALUE"""),0.0)</f>
        <v>0</v>
      </c>
      <c r="I216" s="22">
        <f>IFERROR(__xludf.DUMMYFUNCTION("""COMPUTED_VALUE"""),0.0)</f>
        <v>0</v>
      </c>
      <c r="J216" s="22">
        <f>IFERROR(__xludf.DUMMYFUNCTION("""COMPUTED_VALUE"""),500000.0)</f>
        <v>500000</v>
      </c>
      <c r="K216" s="5"/>
      <c r="L216" s="5" t="str">
        <f>IFERROR(__xludf.DUMMYFUNCTION("""COMPUTED_VALUE"""),"Limit Condition not met")</f>
        <v>Limit Condition not met</v>
      </c>
    </row>
    <row r="217">
      <c r="A217" s="86">
        <f>IFERROR(__xludf.DUMMYFUNCTION("""COMPUTED_VALUE"""),44659.0)</f>
        <v>44659</v>
      </c>
      <c r="B217" s="5" t="str">
        <f>IFERROR(__xludf.DUMMYFUNCTION("""COMPUTED_VALUE"""),"40776")</f>
        <v>40776</v>
      </c>
      <c r="C217" s="5" t="str">
        <f>IFERROR(__xludf.DUMMYFUNCTION("""COMPUTED_VALUE"""),"BUY (LONG)")</f>
        <v>BUY (LONG)</v>
      </c>
      <c r="D217" s="85" t="str">
        <f>IFERROR(__xludf.DUMMYFUNCTION("""COMPUTED_VALUE"""),"TSLA")</f>
        <v>TSLA</v>
      </c>
      <c r="E217" s="5">
        <f>IFERROR(__xludf.DUMMYFUNCTION("""COMPUTED_VALUE"""),1036.67)</f>
        <v>1036.67</v>
      </c>
      <c r="F217" s="5">
        <f>IFERROR(__xludf.DUMMYFUNCTION("""COMPUTED_VALUE"""),1025.49)</f>
        <v>1025.49</v>
      </c>
      <c r="G217" s="5">
        <f>IFERROR(__xludf.DUMMYFUNCTION("""COMPUTED_VALUE"""),100.0)</f>
        <v>100</v>
      </c>
      <c r="H217" s="142" t="str">
        <f>IFERROR(__xludf.DUMMYFUNCTION("""COMPUTED_VALUE"""),"")</f>
        <v/>
      </c>
      <c r="I217" s="22">
        <f>IFERROR(__xludf.DUMMYFUNCTION("""COMPUTED_VALUE"""),-803908.786485)</f>
        <v>-803908.7865</v>
      </c>
      <c r="J217" s="22">
        <f>IFERROR(__xludf.DUMMYFUNCTION("""COMPUTED_VALUE"""),-303908.78648500005)</f>
        <v>-303908.7865</v>
      </c>
      <c r="K217" s="5"/>
      <c r="L217" s="5" t="str">
        <f>IFERROR(__xludf.DUMMYFUNCTION("""COMPUTED_VALUE"""),"Limit Condition not met")</f>
        <v>Limit Condition not met</v>
      </c>
    </row>
    <row r="218">
      <c r="A218" s="86">
        <f>IFERROR(__xludf.DUMMYFUNCTION("""COMPUTED_VALUE"""),44659.0)</f>
        <v>44659</v>
      </c>
      <c r="B218" s="5" t="str">
        <f>IFERROR(__xludf.DUMMYFUNCTION("""COMPUTED_VALUE"""),"75965")</f>
        <v>75965</v>
      </c>
      <c r="C218" s="5" t="str">
        <f>IFERROR(__xludf.DUMMYFUNCTION("""COMPUTED_VALUE"""),"BUY (LONG)")</f>
        <v>BUY (LONG)</v>
      </c>
      <c r="D218" s="91" t="str">
        <f>IFERROR(__xludf.DUMMYFUNCTION("""COMPUTED_VALUE"""),"6185.HK")</f>
        <v>6185.HK</v>
      </c>
      <c r="E218" s="5"/>
      <c r="F218" s="5">
        <f>IFERROR(__xludf.DUMMYFUNCTION("""COMPUTED_VALUE"""),111.6)</f>
        <v>111.6</v>
      </c>
      <c r="G218" s="5">
        <f>IFERROR(__xludf.DUMMYFUNCTION("""COMPUTED_VALUE"""),1000.0)</f>
        <v>1000</v>
      </c>
      <c r="H218" s="142" t="str">
        <f>IFERROR(__xludf.DUMMYFUNCTION("""COMPUTED_VALUE"""),"")</f>
        <v/>
      </c>
      <c r="I218" s="22">
        <f>IFERROR(__xludf.DUMMYFUNCTION("""COMPUTED_VALUE"""),-111600.0)</f>
        <v>-111600</v>
      </c>
      <c r="J218" s="22">
        <f>IFERROR(__xludf.DUMMYFUNCTION("""COMPUTED_VALUE"""),-357732.6484525)</f>
        <v>-357732.6485</v>
      </c>
      <c r="K218" s="5"/>
      <c r="L218" s="5" t="str">
        <f>IFERROR(__xludf.DUMMYFUNCTION("""COMPUTED_VALUE"""),"Insufficient Cash or Margin Balance")</f>
        <v>Insufficient Cash or Margin Balance</v>
      </c>
    </row>
    <row r="219">
      <c r="A219" s="86">
        <f>IFERROR(__xludf.DUMMYFUNCTION("""COMPUTED_VALUE"""),44659.0)</f>
        <v>44659</v>
      </c>
      <c r="B219" s="5" t="str">
        <f>IFERROR(__xludf.DUMMYFUNCTION("""COMPUTED_VALUE"""),"77216")</f>
        <v>77216</v>
      </c>
      <c r="C219" s="5" t="str">
        <f>IFERROR(__xludf.DUMMYFUNCTION("""COMPUTED_VALUE"""),"BUY (LONG)")</f>
        <v>BUY (LONG)</v>
      </c>
      <c r="D219" s="85" t="str">
        <f>IFERROR(__xludf.DUMMYFUNCTION("""COMPUTED_VALUE"""),"DIDI")</f>
        <v>DIDI</v>
      </c>
      <c r="E219" s="5">
        <f>IFERROR(__xludf.DUMMYFUNCTION("""COMPUTED_VALUE"""),2.581)</f>
        <v>2.581</v>
      </c>
      <c r="F219" s="5">
        <f>IFERROR(__xludf.DUMMYFUNCTION("""COMPUTED_VALUE"""),2.52)</f>
        <v>2.52</v>
      </c>
      <c r="G219" s="5">
        <f>IFERROR(__xludf.DUMMYFUNCTION("""COMPUTED_VALUE"""),24000.0)</f>
        <v>24000</v>
      </c>
      <c r="H219" s="142" t="str">
        <f>IFERROR(__xludf.DUMMYFUNCTION("""COMPUTED_VALUE"""),"")</f>
        <v/>
      </c>
      <c r="I219" s="22">
        <f>IFERROR(__xludf.DUMMYFUNCTION("""COMPUTED_VALUE"""),-474118.7472)</f>
        <v>-474118.7472</v>
      </c>
      <c r="J219" s="22">
        <f>IFERROR(__xludf.DUMMYFUNCTION("""COMPUTED_VALUE"""),-448237.49439999997)</f>
        <v>-448237.4944</v>
      </c>
      <c r="K219" s="5"/>
      <c r="L219" s="5" t="str">
        <f>IFERROR(__xludf.DUMMYFUNCTION("""COMPUTED_VALUE"""),"Limit Condition not met")</f>
        <v>Limit Condition not met</v>
      </c>
    </row>
    <row r="220">
      <c r="A220" s="86">
        <f>IFERROR(__xludf.DUMMYFUNCTION("""COMPUTED_VALUE"""),44660.0)</f>
        <v>44660</v>
      </c>
      <c r="B220" s="5" t="str">
        <f>IFERROR(__xludf.DUMMYFUNCTION("""COMPUTED_VALUE"""),"37934")</f>
        <v>37934</v>
      </c>
      <c r="C220" s="5" t="str">
        <f>IFERROR(__xludf.DUMMYFUNCTION("""COMPUTED_VALUE"""),"SELL (SHORT)")</f>
        <v>SELL (SHORT)</v>
      </c>
      <c r="D220" s="85" t="str">
        <f>IFERROR(__xludf.DUMMYFUNCTION("""COMPUTED_VALUE"""),"TSLA")</f>
        <v>TSLA</v>
      </c>
      <c r="E220" s="5">
        <f>IFERROR(__xludf.DUMMYFUNCTION("""COMPUTED_VALUE"""),1015.0)</f>
        <v>1015</v>
      </c>
      <c r="F220" s="5">
        <f>IFERROR(__xludf.DUMMYFUNCTION("""COMPUTED_VALUE"""),975.93)</f>
        <v>975.93</v>
      </c>
      <c r="G220" s="5">
        <f>IFERROR(__xludf.DUMMYFUNCTION("""COMPUTED_VALUE"""),30.0)</f>
        <v>30</v>
      </c>
      <c r="H220" s="142">
        <f>IFERROR(__xludf.DUMMYFUNCTION("""COMPUTED_VALUE"""),0.0)</f>
        <v>0</v>
      </c>
      <c r="I220" s="22">
        <f>IFERROR(__xludf.DUMMYFUNCTION("""COMPUTED_VALUE"""),0.0)</f>
        <v>0</v>
      </c>
      <c r="J220" s="22">
        <f>IFERROR(__xludf.DUMMYFUNCTION("""COMPUTED_VALUE"""),201703.76255)</f>
        <v>201703.7626</v>
      </c>
      <c r="K220" s="5"/>
      <c r="L220" s="5" t="str">
        <f>IFERROR(__xludf.DUMMYFUNCTION("""COMPUTED_VALUE"""),"Limit Condition not met")</f>
        <v>Limit Condition not met</v>
      </c>
    </row>
    <row r="221">
      <c r="A221" s="86">
        <f>IFERROR(__xludf.DUMMYFUNCTION("""COMPUTED_VALUE"""),44660.0)</f>
        <v>44660</v>
      </c>
      <c r="B221" s="5" t="str">
        <f>IFERROR(__xludf.DUMMYFUNCTION("""COMPUTED_VALUE"""),"39011")</f>
        <v>39011</v>
      </c>
      <c r="C221" s="5" t="str">
        <f>IFERROR(__xludf.DUMMYFUNCTION("""COMPUTED_VALUE"""),"BUY (LONG)")</f>
        <v>BUY (LONG)</v>
      </c>
      <c r="D221" s="85" t="str">
        <f>IFERROR(__xludf.DUMMYFUNCTION("""COMPUTED_VALUE"""),"GM")</f>
        <v>GM</v>
      </c>
      <c r="E221" s="5">
        <f>IFERROR(__xludf.DUMMYFUNCTION("""COMPUTED_VALUE"""),46.32)</f>
        <v>46.32</v>
      </c>
      <c r="F221" s="5">
        <f>IFERROR(__xludf.DUMMYFUNCTION("""COMPUTED_VALUE"""),40.33)</f>
        <v>40.33</v>
      </c>
      <c r="G221" s="5">
        <f>IFERROR(__xludf.DUMMYFUNCTION("""COMPUTED_VALUE"""),2550.0)</f>
        <v>2550</v>
      </c>
      <c r="H221" s="142" t="str">
        <f>IFERROR(__xludf.DUMMYFUNCTION("""COMPUTED_VALUE"""),"")</f>
        <v/>
      </c>
      <c r="I221" s="22">
        <f>IFERROR(__xludf.DUMMYFUNCTION("""COMPUTED_VALUE"""),-806201.7714975)</f>
        <v>-806201.7715</v>
      </c>
      <c r="J221" s="22">
        <f>IFERROR(__xludf.DUMMYFUNCTION("""COMPUTED_VALUE"""),-306201.7714975)</f>
        <v>-306201.7715</v>
      </c>
      <c r="K221" s="5"/>
      <c r="L221" s="5" t="str">
        <f>IFERROR(__xludf.DUMMYFUNCTION("""COMPUTED_VALUE"""),"Limit Condition not met")</f>
        <v>Limit Condition not met</v>
      </c>
    </row>
    <row r="222">
      <c r="A222" s="86">
        <f>IFERROR(__xludf.DUMMYFUNCTION("""COMPUTED_VALUE"""),44661.0)</f>
        <v>44661</v>
      </c>
      <c r="B222" s="5" t="str">
        <f>IFERROR(__xludf.DUMMYFUNCTION("""COMPUTED_VALUE"""),"46322")</f>
        <v>46322</v>
      </c>
      <c r="C222" s="5" t="str">
        <f>IFERROR(__xludf.DUMMYFUNCTION("""COMPUTED_VALUE"""),"BUY (LONG)")</f>
        <v>BUY (LONG)</v>
      </c>
      <c r="D222" s="85" t="str">
        <f>IFERROR(__xludf.DUMMYFUNCTION("""COMPUTED_VALUE"""),"SARK")</f>
        <v>SARK</v>
      </c>
      <c r="E222" s="5"/>
      <c r="F222" s="5">
        <f>IFERROR(__xludf.DUMMYFUNCTION("""COMPUTED_VALUE"""),50.6)</f>
        <v>50.6</v>
      </c>
      <c r="G222" s="5">
        <f>IFERROR(__xludf.DUMMYFUNCTION("""COMPUTED_VALUE"""),500.0)</f>
        <v>500</v>
      </c>
      <c r="H222" s="142" t="str">
        <f>IFERROR(__xludf.DUMMYFUNCTION("""COMPUTED_VALUE"""),"")</f>
        <v/>
      </c>
      <c r="I222" s="22">
        <f>IFERROR(__xludf.DUMMYFUNCTION("""COMPUTED_VALUE"""),-198326.3205)</f>
        <v>-198326.3205</v>
      </c>
      <c r="J222" s="22">
        <f>IFERROR(__xludf.DUMMYFUNCTION("""COMPUTED_VALUE"""),-303297.83085)</f>
        <v>-303297.8309</v>
      </c>
      <c r="K222" s="5"/>
      <c r="L222" s="5" t="str">
        <f>IFERROR(__xludf.DUMMYFUNCTION("""COMPUTED_VALUE"""),"Insufficient Cash or Margin Balance")</f>
        <v>Insufficient Cash or Margin Balance</v>
      </c>
    </row>
    <row r="223">
      <c r="A223" s="86">
        <f>IFERROR(__xludf.DUMMYFUNCTION("""COMPUTED_VALUE"""),44662.0)</f>
        <v>44662</v>
      </c>
      <c r="B223" s="5" t="str">
        <f>IFERROR(__xludf.DUMMYFUNCTION("""COMPUTED_VALUE"""),"18874")</f>
        <v>18874</v>
      </c>
      <c r="C223" s="5" t="str">
        <f>IFERROR(__xludf.DUMMYFUNCTION("""COMPUTED_VALUE"""),"BUY (LONG)")</f>
        <v>BUY (LONG)</v>
      </c>
      <c r="D223" s="85" t="str">
        <f>IFERROR(__xludf.DUMMYFUNCTION("""COMPUTED_VALUE"""),"AAPL")</f>
        <v>AAPL</v>
      </c>
      <c r="E223" s="5">
        <f>IFERROR(__xludf.DUMMYFUNCTION("""COMPUTED_VALUE"""),160.62)</f>
        <v>160.62</v>
      </c>
      <c r="F223" s="5">
        <f>IFERROR(__xludf.DUMMYFUNCTION("""COMPUTED_VALUE"""),165.75)</f>
        <v>165.75</v>
      </c>
      <c r="G223" s="5">
        <f>IFERROR(__xludf.DUMMYFUNCTION("""COMPUTED_VALUE"""),50.0)</f>
        <v>50</v>
      </c>
      <c r="H223" s="142">
        <f>IFERROR(__xludf.DUMMYFUNCTION("""COMPUTED_VALUE"""),0.0)</f>
        <v>0</v>
      </c>
      <c r="I223" s="22">
        <f>IFERROR(__xludf.DUMMYFUNCTION("""COMPUTED_VALUE"""),0.0)</f>
        <v>0</v>
      </c>
      <c r="J223" s="22">
        <f>IFERROR(__xludf.DUMMYFUNCTION("""COMPUTED_VALUE"""),500000.0)</f>
        <v>500000</v>
      </c>
      <c r="K223" s="5"/>
      <c r="L223" s="5" t="str">
        <f>IFERROR(__xludf.DUMMYFUNCTION("""COMPUTED_VALUE"""),"Limit Condition not met")</f>
        <v>Limit Condition not met</v>
      </c>
    </row>
    <row r="224">
      <c r="A224" s="86">
        <f>IFERROR(__xludf.DUMMYFUNCTION("""COMPUTED_VALUE"""),44662.0)</f>
        <v>44662</v>
      </c>
      <c r="B224" s="5" t="str">
        <f>IFERROR(__xludf.DUMMYFUNCTION("""COMPUTED_VALUE"""),"18874")</f>
        <v>18874</v>
      </c>
      <c r="C224" s="5" t="str">
        <f>IFERROR(__xludf.DUMMYFUNCTION("""COMPUTED_VALUE"""),"BUY (LONG)")</f>
        <v>BUY (LONG)</v>
      </c>
      <c r="D224" s="85" t="str">
        <f>IFERROR(__xludf.DUMMYFUNCTION("""COMPUTED_VALUE"""),"TSLA")</f>
        <v>TSLA</v>
      </c>
      <c r="E224" s="5">
        <f>IFERROR(__xludf.DUMMYFUNCTION("""COMPUTED_VALUE"""),940.53)</f>
        <v>940.53</v>
      </c>
      <c r="F224" s="5">
        <f>IFERROR(__xludf.DUMMYFUNCTION("""COMPUTED_VALUE"""),975.93)</f>
        <v>975.93</v>
      </c>
      <c r="G224" s="5">
        <f>IFERROR(__xludf.DUMMYFUNCTION("""COMPUTED_VALUE"""),40.0)</f>
        <v>40</v>
      </c>
      <c r="H224" s="142">
        <f>IFERROR(__xludf.DUMMYFUNCTION("""COMPUTED_VALUE"""),0.0)</f>
        <v>0</v>
      </c>
      <c r="I224" s="22">
        <f>IFERROR(__xludf.DUMMYFUNCTION("""COMPUTED_VALUE"""),0.0)</f>
        <v>0</v>
      </c>
      <c r="J224" s="22">
        <f>IFERROR(__xludf.DUMMYFUNCTION("""COMPUTED_VALUE"""),500000.0)</f>
        <v>500000</v>
      </c>
      <c r="K224" s="5"/>
      <c r="L224" s="5" t="str">
        <f>IFERROR(__xludf.DUMMYFUNCTION("""COMPUTED_VALUE"""),"Limit Condition not met")</f>
        <v>Limit Condition not met</v>
      </c>
    </row>
    <row r="225">
      <c r="A225" s="86">
        <f>IFERROR(__xludf.DUMMYFUNCTION("""COMPUTED_VALUE"""),44662.0)</f>
        <v>44662</v>
      </c>
      <c r="B225" s="5" t="str">
        <f>IFERROR(__xludf.DUMMYFUNCTION("""COMPUTED_VALUE"""),"37568")</f>
        <v>37568</v>
      </c>
      <c r="C225" s="5" t="str">
        <f>IFERROR(__xludf.DUMMYFUNCTION("""COMPUTED_VALUE"""),"BUY (LONG)")</f>
        <v>BUY (LONG)</v>
      </c>
      <c r="D225" s="85" t="str">
        <f>IFERROR(__xludf.DUMMYFUNCTION("""COMPUTED_VALUE"""),"MSFT")</f>
        <v>MSFT</v>
      </c>
      <c r="E225" s="5"/>
      <c r="F225" s="5">
        <f>IFERROR(__xludf.DUMMYFUNCTION("""COMPUTED_VALUE"""),285.26)</f>
        <v>285.26</v>
      </c>
      <c r="G225" s="5">
        <f>IFERROR(__xludf.DUMMYFUNCTION("""COMPUTED_VALUE"""),490.0)</f>
        <v>490</v>
      </c>
      <c r="H225" s="142" t="str">
        <f>IFERROR(__xludf.DUMMYFUNCTION("""COMPUTED_VALUE"""),"")</f>
        <v/>
      </c>
      <c r="I225" s="22">
        <f>IFERROR(__xludf.DUMMYFUNCTION("""COMPUTED_VALUE"""),-1095568.2723299998)</f>
        <v>-1095568.272</v>
      </c>
      <c r="J225" s="22">
        <f>IFERROR(__xludf.DUMMYFUNCTION("""COMPUTED_VALUE"""),-617929.7609410001)</f>
        <v>-617929.7609</v>
      </c>
      <c r="K225" s="5"/>
      <c r="L225" s="5" t="str">
        <f>IFERROR(__xludf.DUMMYFUNCTION("""COMPUTED_VALUE"""),"Insufficient Cash or Margin Balance")</f>
        <v>Insufficient Cash or Margin Balance</v>
      </c>
    </row>
    <row r="226">
      <c r="A226" s="86">
        <f>IFERROR(__xludf.DUMMYFUNCTION("""COMPUTED_VALUE"""),44662.0)</f>
        <v>44662</v>
      </c>
      <c r="B226" s="5" t="str">
        <f>IFERROR(__xludf.DUMMYFUNCTION("""COMPUTED_VALUE"""),"37568")</f>
        <v>37568</v>
      </c>
      <c r="C226" s="5" t="str">
        <f>IFERROR(__xludf.DUMMYFUNCTION("""COMPUTED_VALUE"""),"BUY (LONG)")</f>
        <v>BUY (LONG)</v>
      </c>
      <c r="D226" s="85" t="str">
        <f>IFERROR(__xludf.DUMMYFUNCTION("""COMPUTED_VALUE"""),"MSFT")</f>
        <v>MSFT</v>
      </c>
      <c r="E226" s="5"/>
      <c r="F226" s="5"/>
      <c r="G226" s="5">
        <f>IFERROR(__xludf.DUMMYFUNCTION("""COMPUTED_VALUE"""),500.0)</f>
        <v>500</v>
      </c>
      <c r="H226" s="142" t="str">
        <f>IFERROR(__xludf.DUMMYFUNCTION("""COMPUTED_VALUE"""),"")</f>
        <v/>
      </c>
      <c r="I226" s="22">
        <f>IFERROR(__xludf.DUMMYFUNCTION("""COMPUTED_VALUE"""),-1117926.8084999998)</f>
        <v>-1117926.809</v>
      </c>
      <c r="J226" s="22">
        <f>IFERROR(__xludf.DUMMYFUNCTION("""COMPUTED_VALUE"""),-640288.297111)</f>
        <v>-640288.2971</v>
      </c>
      <c r="K226" s="5"/>
      <c r="L226" s="5" t="str">
        <f>IFERROR(__xludf.DUMMYFUNCTION("""COMPUTED_VALUE"""),"Insufficient Cash or Margin Balance")</f>
        <v>Insufficient Cash or Margin Balance</v>
      </c>
    </row>
    <row r="227">
      <c r="A227" s="86">
        <f>IFERROR(__xludf.DUMMYFUNCTION("""COMPUTED_VALUE"""),44662.0)</f>
        <v>44662</v>
      </c>
      <c r="B227" s="5" t="str">
        <f>IFERROR(__xludf.DUMMYFUNCTION("""COMPUTED_VALUE"""),"39011")</f>
        <v>39011</v>
      </c>
      <c r="C227" s="5" t="str">
        <f>IFERROR(__xludf.DUMMYFUNCTION("""COMPUTED_VALUE"""),"BUY (LONG)")</f>
        <v>BUY (LONG)</v>
      </c>
      <c r="D227" s="85" t="str">
        <f>IFERROR(__xludf.DUMMYFUNCTION("""COMPUTED_VALUE"""),"DUK")</f>
        <v>DUK</v>
      </c>
      <c r="E227" s="5">
        <f>IFERROR(__xludf.DUMMYFUNCTION("""COMPUTED_VALUE"""),115.35)</f>
        <v>115.35</v>
      </c>
      <c r="F227" s="5">
        <f>IFERROR(__xludf.DUMMYFUNCTION("""COMPUTED_VALUE"""),114.23)</f>
        <v>114.23</v>
      </c>
      <c r="G227" s="5">
        <f>IFERROR(__xludf.DUMMYFUNCTION("""COMPUTED_VALUE"""),1000.0)</f>
        <v>1000</v>
      </c>
      <c r="H227" s="142" t="str">
        <f>IFERROR(__xludf.DUMMYFUNCTION("""COMPUTED_VALUE"""),"")</f>
        <v/>
      </c>
      <c r="I227" s="22">
        <f>IFERROR(__xludf.DUMMYFUNCTION("""COMPUTED_VALUE"""),-895329.0285)</f>
        <v>-895329.0285</v>
      </c>
      <c r="J227" s="22">
        <f>IFERROR(__xludf.DUMMYFUNCTION("""COMPUTED_VALUE"""),-655078.6915)</f>
        <v>-655078.6915</v>
      </c>
      <c r="K227" s="5"/>
      <c r="L227" s="5" t="str">
        <f>IFERROR(__xludf.DUMMYFUNCTION("""COMPUTED_VALUE"""),"Limit Condition not met")</f>
        <v>Limit Condition not met</v>
      </c>
    </row>
    <row r="228">
      <c r="A228" s="86">
        <f>IFERROR(__xludf.DUMMYFUNCTION("""COMPUTED_VALUE"""),44662.0)</f>
        <v>44662</v>
      </c>
      <c r="B228" s="5" t="str">
        <f>IFERROR(__xludf.DUMMYFUNCTION("""COMPUTED_VALUE"""),"39011")</f>
        <v>39011</v>
      </c>
      <c r="C228" s="5" t="str">
        <f>IFERROR(__xludf.DUMMYFUNCTION("""COMPUTED_VALUE"""),"BUY (LONG)")</f>
        <v>BUY (LONG)</v>
      </c>
      <c r="D228" s="85" t="str">
        <f>IFERROR(__xludf.DUMMYFUNCTION("""COMPUTED_VALUE"""),"XPEV")</f>
        <v>XPEV</v>
      </c>
      <c r="E228" s="5">
        <f>IFERROR(__xludf.DUMMYFUNCTION("""COMPUTED_VALUE"""),26.49)</f>
        <v>26.49</v>
      </c>
      <c r="F228" s="5">
        <f>IFERROR(__xludf.DUMMYFUNCTION("""COMPUTED_VALUE"""),26.6)</f>
        <v>26.6</v>
      </c>
      <c r="G228" s="5">
        <f>IFERROR(__xludf.DUMMYFUNCTION("""COMPUTED_VALUE"""),50000.0)</f>
        <v>50000</v>
      </c>
      <c r="H228" s="142">
        <f>IFERROR(__xludf.DUMMYFUNCTION("""COMPUTED_VALUE"""),0.0)</f>
        <v>0</v>
      </c>
      <c r="I228" s="22">
        <f>IFERROR(__xludf.DUMMYFUNCTION("""COMPUTED_VALUE"""),0.0)</f>
        <v>0</v>
      </c>
      <c r="J228" s="22">
        <f>IFERROR(__xludf.DUMMYFUNCTION("""COMPUTED_VALUE"""),240250.337)</f>
        <v>240250.337</v>
      </c>
      <c r="K228" s="5"/>
      <c r="L228" s="5" t="str">
        <f>IFERROR(__xludf.DUMMYFUNCTION("""COMPUTED_VALUE"""),"Limit Condition not met")</f>
        <v>Limit Condition not met</v>
      </c>
    </row>
    <row r="229">
      <c r="A229" s="86">
        <f>IFERROR(__xludf.DUMMYFUNCTION("""COMPUTED_VALUE"""),44662.0)</f>
        <v>44662</v>
      </c>
      <c r="B229" s="5" t="str">
        <f>IFERROR(__xludf.DUMMYFUNCTION("""COMPUTED_VALUE"""),"39011")</f>
        <v>39011</v>
      </c>
      <c r="C229" s="5" t="str">
        <f>IFERROR(__xludf.DUMMYFUNCTION("""COMPUTED_VALUE"""),"BUY (LONG)")</f>
        <v>BUY (LONG)</v>
      </c>
      <c r="D229" s="85" t="str">
        <f>IFERROR(__xludf.DUMMYFUNCTION("""COMPUTED_VALUE"""),"YANG")</f>
        <v>YANG</v>
      </c>
      <c r="E229" s="5">
        <f>IFERROR(__xludf.DUMMYFUNCTION("""COMPUTED_VALUE"""),15.49)</f>
        <v>15.49</v>
      </c>
      <c r="F229" s="5">
        <f>IFERROR(__xludf.DUMMYFUNCTION("""COMPUTED_VALUE"""),16.57)</f>
        <v>16.57</v>
      </c>
      <c r="G229" s="5">
        <f>IFERROR(__xludf.DUMMYFUNCTION("""COMPUTED_VALUE"""),2000.0)</f>
        <v>2000</v>
      </c>
      <c r="H229" s="142">
        <f>IFERROR(__xludf.DUMMYFUNCTION("""COMPUTED_VALUE"""),0.0)</f>
        <v>0</v>
      </c>
      <c r="I229" s="22">
        <f>IFERROR(__xludf.DUMMYFUNCTION("""COMPUTED_VALUE"""),0.0)</f>
        <v>0</v>
      </c>
      <c r="J229" s="22">
        <f>IFERROR(__xludf.DUMMYFUNCTION("""COMPUTED_VALUE"""),240250.337)</f>
        <v>240250.337</v>
      </c>
      <c r="K229" s="5"/>
      <c r="L229" s="5" t="str">
        <f>IFERROR(__xludf.DUMMYFUNCTION("""COMPUTED_VALUE"""),"Limit Condition not met")</f>
        <v>Limit Condition not met</v>
      </c>
    </row>
    <row r="230">
      <c r="A230" s="86">
        <f>IFERROR(__xludf.DUMMYFUNCTION("""COMPUTED_VALUE"""),44662.0)</f>
        <v>44662</v>
      </c>
      <c r="B230" s="5" t="str">
        <f>IFERROR(__xludf.DUMMYFUNCTION("""COMPUTED_VALUE"""),"39776")</f>
        <v>39776</v>
      </c>
      <c r="C230" s="5" t="str">
        <f>IFERROR(__xludf.DUMMYFUNCTION("""COMPUTED_VALUE"""),"BUY (LONG)")</f>
        <v>BUY (LONG)</v>
      </c>
      <c r="D230" s="91" t="str">
        <f>IFERROR(__xludf.DUMMYFUNCTION("""COMPUTED_VALUE"""),"0570.HK")</f>
        <v>0570.HK</v>
      </c>
      <c r="E230" s="5">
        <f>IFERROR(__xludf.DUMMYFUNCTION("""COMPUTED_VALUE"""),4.1)</f>
        <v>4.1</v>
      </c>
      <c r="F230" s="5">
        <f>IFERROR(__xludf.DUMMYFUNCTION("""COMPUTED_VALUE"""),4.17)</f>
        <v>4.17</v>
      </c>
      <c r="G230" s="5">
        <f>IFERROR(__xludf.DUMMYFUNCTION("""COMPUTED_VALUE"""),10000.0)</f>
        <v>10000</v>
      </c>
      <c r="H230" s="142">
        <f>IFERROR(__xludf.DUMMYFUNCTION("""COMPUTED_VALUE"""),0.0)</f>
        <v>0</v>
      </c>
      <c r="I230" s="22">
        <f>IFERROR(__xludf.DUMMYFUNCTION("""COMPUTED_VALUE"""),0.0)</f>
        <v>0</v>
      </c>
      <c r="J230" s="22">
        <f>IFERROR(__xludf.DUMMYFUNCTION("""COMPUTED_VALUE"""),370600.0)</f>
        <v>370600</v>
      </c>
      <c r="K230" s="5"/>
      <c r="L230" s="5" t="str">
        <f>IFERROR(__xludf.DUMMYFUNCTION("""COMPUTED_VALUE"""),"Limit Condition not met")</f>
        <v>Limit Condition not met</v>
      </c>
    </row>
    <row r="231">
      <c r="A231" s="86">
        <f>IFERROR(__xludf.DUMMYFUNCTION("""COMPUTED_VALUE"""),44662.0)</f>
        <v>44662</v>
      </c>
      <c r="B231" s="5" t="str">
        <f>IFERROR(__xludf.DUMMYFUNCTION("""COMPUTED_VALUE"""),"39776")</f>
        <v>39776</v>
      </c>
      <c r="C231" s="5" t="str">
        <f>IFERROR(__xludf.DUMMYFUNCTION("""COMPUTED_VALUE"""),"BUY (LONG)")</f>
        <v>BUY (LONG)</v>
      </c>
      <c r="D231" s="91" t="str">
        <f>IFERROR(__xludf.DUMMYFUNCTION("""COMPUTED_VALUE"""),"2319.HK")</f>
        <v>2319.HK</v>
      </c>
      <c r="E231" s="5">
        <f>IFERROR(__xludf.DUMMYFUNCTION("""COMPUTED_VALUE"""),41.5)</f>
        <v>41.5</v>
      </c>
      <c r="F231" s="5">
        <f>IFERROR(__xludf.DUMMYFUNCTION("""COMPUTED_VALUE"""),41.65)</f>
        <v>41.65</v>
      </c>
      <c r="G231" s="5">
        <f>IFERROR(__xludf.DUMMYFUNCTION("""COMPUTED_VALUE"""),1000.0)</f>
        <v>1000</v>
      </c>
      <c r="H231" s="142">
        <f>IFERROR(__xludf.DUMMYFUNCTION("""COMPUTED_VALUE"""),0.0)</f>
        <v>0</v>
      </c>
      <c r="I231" s="22">
        <f>IFERROR(__xludf.DUMMYFUNCTION("""COMPUTED_VALUE"""),0.0)</f>
        <v>0</v>
      </c>
      <c r="J231" s="22">
        <f>IFERROR(__xludf.DUMMYFUNCTION("""COMPUTED_VALUE"""),370600.0)</f>
        <v>370600</v>
      </c>
      <c r="K231" s="5"/>
      <c r="L231" s="5" t="str">
        <f>IFERROR(__xludf.DUMMYFUNCTION("""COMPUTED_VALUE"""),"Limit Condition not met")</f>
        <v>Limit Condition not met</v>
      </c>
    </row>
    <row r="232">
      <c r="A232" s="86">
        <f>IFERROR(__xludf.DUMMYFUNCTION("""COMPUTED_VALUE"""),44662.0)</f>
        <v>44662</v>
      </c>
      <c r="B232" s="5" t="str">
        <f>IFERROR(__xludf.DUMMYFUNCTION("""COMPUTED_VALUE"""),"39776")</f>
        <v>39776</v>
      </c>
      <c r="C232" s="5" t="str">
        <f>IFERROR(__xludf.DUMMYFUNCTION("""COMPUTED_VALUE"""),"BUY (LONG)")</f>
        <v>BUY (LONG)</v>
      </c>
      <c r="D232" s="91" t="str">
        <f>IFERROR(__xludf.DUMMYFUNCTION("""COMPUTED_VALUE"""),"3800.HK")</f>
        <v>3800.HK</v>
      </c>
      <c r="E232" s="5">
        <f>IFERROR(__xludf.DUMMYFUNCTION("""COMPUTED_VALUE"""),2.4)</f>
        <v>2.4</v>
      </c>
      <c r="F232" s="5">
        <f>IFERROR(__xludf.DUMMYFUNCTION("""COMPUTED_VALUE"""),2.41)</f>
        <v>2.41</v>
      </c>
      <c r="G232" s="5">
        <f>IFERROR(__xludf.DUMMYFUNCTION("""COMPUTED_VALUE"""),10000.0)</f>
        <v>10000</v>
      </c>
      <c r="H232" s="142">
        <f>IFERROR(__xludf.DUMMYFUNCTION("""COMPUTED_VALUE"""),0.0)</f>
        <v>0</v>
      </c>
      <c r="I232" s="22">
        <f>IFERROR(__xludf.DUMMYFUNCTION("""COMPUTED_VALUE"""),0.0)</f>
        <v>0</v>
      </c>
      <c r="J232" s="22">
        <f>IFERROR(__xludf.DUMMYFUNCTION("""COMPUTED_VALUE"""),370600.0)</f>
        <v>370600</v>
      </c>
      <c r="K232" s="5"/>
      <c r="L232" s="5" t="str">
        <f>IFERROR(__xludf.DUMMYFUNCTION("""COMPUTED_VALUE"""),"Limit Condition not met")</f>
        <v>Limit Condition not met</v>
      </c>
    </row>
    <row r="233">
      <c r="A233" s="86">
        <f>IFERROR(__xludf.DUMMYFUNCTION("""COMPUTED_VALUE"""),44662.0)</f>
        <v>44662</v>
      </c>
      <c r="B233" s="5" t="str">
        <f>IFERROR(__xludf.DUMMYFUNCTION("""COMPUTED_VALUE"""),"40105")</f>
        <v>40105</v>
      </c>
      <c r="C233" s="5" t="str">
        <f>IFERROR(__xludf.DUMMYFUNCTION("""COMPUTED_VALUE"""),"SELL (SHORT)")</f>
        <v>SELL (SHORT)</v>
      </c>
      <c r="D233" s="85" t="str">
        <f>IFERROR(__xludf.DUMMYFUNCTION("""COMPUTED_VALUE"""),"TSLA")</f>
        <v>TSLA</v>
      </c>
      <c r="E233" s="5"/>
      <c r="F233" s="5">
        <f>IFERROR(__xludf.DUMMYFUNCTION("""COMPUTED_VALUE"""),975.93)</f>
        <v>975.93</v>
      </c>
      <c r="G233" s="5">
        <f>IFERROR(__xludf.DUMMYFUNCTION("""COMPUTED_VALUE"""),200.0)</f>
        <v>200</v>
      </c>
      <c r="H233" s="142" t="str">
        <f>IFERROR(__xludf.DUMMYFUNCTION("""COMPUTED_VALUE"""),"")</f>
        <v/>
      </c>
      <c r="I233" s="22">
        <f>IFERROR(__xludf.DUMMYFUNCTION("""COMPUTED_VALUE"""),1529858.1087)</f>
        <v>1529858.109</v>
      </c>
      <c r="J233" s="22">
        <f>IFERROR(__xludf.DUMMYFUNCTION("""COMPUTED_VALUE"""),-1629783.9805)</f>
        <v>-1629783.981</v>
      </c>
      <c r="K233" s="5"/>
      <c r="L233" s="5" t="str">
        <f>IFERROR(__xludf.DUMMYFUNCTION("""COMPUTED_VALUE"""),"Insufficient Cash or Margin Balance")</f>
        <v>Insufficient Cash or Margin Balance</v>
      </c>
    </row>
    <row r="234">
      <c r="A234" s="86">
        <f>IFERROR(__xludf.DUMMYFUNCTION("""COMPUTED_VALUE"""),44662.0)</f>
        <v>44662</v>
      </c>
      <c r="B234" s="5" t="str">
        <f>IFERROR(__xludf.DUMMYFUNCTION("""COMPUTED_VALUE"""),"40776")</f>
        <v>40776</v>
      </c>
      <c r="C234" s="5" t="str">
        <f>IFERROR(__xludf.DUMMYFUNCTION("""COMPUTED_VALUE"""),"BUY (LONG)")</f>
        <v>BUY (LONG)</v>
      </c>
      <c r="D234" s="85" t="str">
        <f>IFERROR(__xludf.DUMMYFUNCTION("""COMPUTED_VALUE"""),"SOFI")</f>
        <v>SOFI</v>
      </c>
      <c r="E234" s="5">
        <f>IFERROR(__xludf.DUMMYFUNCTION("""COMPUTED_VALUE"""),7.64)</f>
        <v>7.64</v>
      </c>
      <c r="F234" s="5">
        <f>IFERROR(__xludf.DUMMYFUNCTION("""COMPUTED_VALUE"""),7.72)</f>
        <v>7.72</v>
      </c>
      <c r="G234" s="5">
        <f>IFERROR(__xludf.DUMMYFUNCTION("""COMPUTED_VALUE"""),200.0)</f>
        <v>200</v>
      </c>
      <c r="H234" s="142">
        <f>IFERROR(__xludf.DUMMYFUNCTION("""COMPUTED_VALUE"""),0.0)</f>
        <v>0</v>
      </c>
      <c r="I234" s="22">
        <f>IFERROR(__xludf.DUMMYFUNCTION("""COMPUTED_VALUE"""),0.0)</f>
        <v>0</v>
      </c>
      <c r="J234" s="22">
        <f>IFERROR(__xludf.DUMMYFUNCTION("""COMPUTED_VALUE"""),98045.60675749998)</f>
        <v>98045.60676</v>
      </c>
      <c r="K234" s="5"/>
      <c r="L234" s="5" t="str">
        <f>IFERROR(__xludf.DUMMYFUNCTION("""COMPUTED_VALUE"""),"Limit Condition not met")</f>
        <v>Limit Condition not met</v>
      </c>
    </row>
    <row r="235">
      <c r="A235" s="86">
        <f>IFERROR(__xludf.DUMMYFUNCTION("""COMPUTED_VALUE"""),44662.0)</f>
        <v>44662</v>
      </c>
      <c r="B235" s="5" t="str">
        <f>IFERROR(__xludf.DUMMYFUNCTION("""COMPUTED_VALUE"""),"46322")</f>
        <v>46322</v>
      </c>
      <c r="C235" s="5" t="str">
        <f>IFERROR(__xludf.DUMMYFUNCTION("""COMPUTED_VALUE"""),"BUY (LONG)")</f>
        <v>BUY (LONG)</v>
      </c>
      <c r="D235" s="85" t="str">
        <f>IFERROR(__xludf.DUMMYFUNCTION("""COMPUTED_VALUE"""),"SARK")</f>
        <v>SARK</v>
      </c>
      <c r="E235" s="5"/>
      <c r="F235" s="5">
        <f>IFERROR(__xludf.DUMMYFUNCTION("""COMPUTED_VALUE"""),50.6)</f>
        <v>50.6</v>
      </c>
      <c r="G235" s="5">
        <f>IFERROR(__xludf.DUMMYFUNCTION("""COMPUTED_VALUE"""),1500.0)</f>
        <v>1500</v>
      </c>
      <c r="H235" s="142" t="str">
        <f>IFERROR(__xludf.DUMMYFUNCTION("""COMPUTED_VALUE"""),"")</f>
        <v/>
      </c>
      <c r="I235" s="22">
        <f>IFERROR(__xludf.DUMMYFUNCTION("""COMPUTED_VALUE"""),-594900.405)</f>
        <v>-594900.405</v>
      </c>
      <c r="J235" s="22">
        <f>IFERROR(__xludf.DUMMYFUNCTION("""COMPUTED_VALUE"""),-699871.91535)</f>
        <v>-699871.9154</v>
      </c>
      <c r="K235" s="5"/>
      <c r="L235" s="5" t="str">
        <f>IFERROR(__xludf.DUMMYFUNCTION("""COMPUTED_VALUE"""),"Insufficient Cash or Margin Balance")</f>
        <v>Insufficient Cash or Margin Balance</v>
      </c>
    </row>
    <row r="236">
      <c r="A236" s="86">
        <f>IFERROR(__xludf.DUMMYFUNCTION("""COMPUTED_VALUE"""),44662.0)</f>
        <v>44662</v>
      </c>
      <c r="B236" s="5" t="str">
        <f>IFERROR(__xludf.DUMMYFUNCTION("""COMPUTED_VALUE"""),"46600")</f>
        <v>46600</v>
      </c>
      <c r="C236" s="5" t="str">
        <f>IFERROR(__xludf.DUMMYFUNCTION("""COMPUTED_VALUE"""),"BUY (LONG)")</f>
        <v>BUY (LONG)</v>
      </c>
      <c r="D236" s="85" t="str">
        <f>IFERROR(__xludf.DUMMYFUNCTION("""COMPUTED_VALUE"""),"TSLA")</f>
        <v>TSLA</v>
      </c>
      <c r="E236" s="5"/>
      <c r="F236" s="5">
        <f>IFERROR(__xludf.DUMMYFUNCTION("""COMPUTED_VALUE"""),975.93)</f>
        <v>975.93</v>
      </c>
      <c r="G236" s="5">
        <f>IFERROR(__xludf.DUMMYFUNCTION("""COMPUTED_VALUE"""),200.0)</f>
        <v>200</v>
      </c>
      <c r="H236" s="142" t="str">
        <f>IFERROR(__xludf.DUMMYFUNCTION("""COMPUTED_VALUE"""),"")</f>
        <v/>
      </c>
      <c r="I236" s="22">
        <f>IFERROR(__xludf.DUMMYFUNCTION("""COMPUTED_VALUE"""),-1529858.1087)</f>
        <v>-1529858.109</v>
      </c>
      <c r="J236" s="22">
        <f>IFERROR(__xludf.DUMMYFUNCTION("""COMPUTED_VALUE"""),-1412960.8447)</f>
        <v>-1412960.845</v>
      </c>
      <c r="K236" s="5"/>
      <c r="L236" s="5" t="str">
        <f>IFERROR(__xludf.DUMMYFUNCTION("""COMPUTED_VALUE"""),"Insufficient Cash or Margin Balance")</f>
        <v>Insufficient Cash or Margin Balance</v>
      </c>
    </row>
    <row r="237">
      <c r="A237" s="86">
        <f>IFERROR(__xludf.DUMMYFUNCTION("""COMPUTED_VALUE"""),44662.0)</f>
        <v>44662</v>
      </c>
      <c r="B237" s="5" t="str">
        <f>IFERROR(__xludf.DUMMYFUNCTION("""COMPUTED_VALUE"""),"73341")</f>
        <v>73341</v>
      </c>
      <c r="C237" s="5" t="str">
        <f>IFERROR(__xludf.DUMMYFUNCTION("""COMPUTED_VALUE"""),"BUY (LONG)")</f>
        <v>BUY (LONG)</v>
      </c>
      <c r="D237" s="85" t="str">
        <f>IFERROR(__xludf.DUMMYFUNCTION("""COMPUTED_VALUE"""),"ASML220422P00680000")</f>
        <v>ASML220422P00680000</v>
      </c>
      <c r="E237" s="5"/>
      <c r="F237" s="5" t="str">
        <f>IFERROR(__xludf.DUMMYFUNCTION("""COMPUTED_VALUE"""),"")</f>
        <v/>
      </c>
      <c r="G237" s="5">
        <f>IFERROR(__xludf.DUMMYFUNCTION("""COMPUTED_VALUE"""),10000.0)</f>
        <v>10000</v>
      </c>
      <c r="H237" s="142" t="str">
        <f>IFERROR(__xludf.DUMMYFUNCTION("""COMPUTED_VALUE"""),"")</f>
        <v/>
      </c>
      <c r="I237" s="22">
        <f>IFERROR(__xludf.DUMMYFUNCTION("""COMPUTED_VALUE"""),-5.16050628E8)</f>
        <v>-516050628</v>
      </c>
      <c r="J237" s="22">
        <f>IFERROR(__xludf.DUMMYFUNCTION("""COMPUTED_VALUE"""),-5.156009730085639E8)</f>
        <v>-515600973</v>
      </c>
      <c r="K237" s="5"/>
      <c r="L237" s="5" t="str">
        <f>IFERROR(__xludf.DUMMYFUNCTION("""COMPUTED_VALUE"""),"Insufficient Cash or Margin Balance")</f>
        <v>Insufficient Cash or Margin Balance</v>
      </c>
    </row>
    <row r="238">
      <c r="A238" s="86">
        <f>IFERROR(__xludf.DUMMYFUNCTION("""COMPUTED_VALUE"""),44662.0)</f>
        <v>44662</v>
      </c>
      <c r="B238" s="5" t="str">
        <f>IFERROR(__xludf.DUMMYFUNCTION("""COMPUTED_VALUE"""),"73341")</f>
        <v>73341</v>
      </c>
      <c r="C238" s="5" t="str">
        <f>IFERROR(__xludf.DUMMYFUNCTION("""COMPUTED_VALUE"""),"BUY (LONG)")</f>
        <v>BUY (LONG)</v>
      </c>
      <c r="D238" s="85" t="str">
        <f>IFERROR(__xludf.DUMMYFUNCTION("""COMPUTED_VALUE"""),"TQQQ220414P00064000")</f>
        <v>TQQQ220414P00064000</v>
      </c>
      <c r="E238" s="5"/>
      <c r="F238" s="5" t="str">
        <f>IFERROR(__xludf.DUMMYFUNCTION("""COMPUTED_VALUE"""),"")</f>
        <v/>
      </c>
      <c r="G238" s="5">
        <f>IFERROR(__xludf.DUMMYFUNCTION("""COMPUTED_VALUE"""),10000.0)</f>
        <v>10000</v>
      </c>
      <c r="H238" s="142" t="str">
        <f>IFERROR(__xludf.DUMMYFUNCTION("""COMPUTED_VALUE"""),"")</f>
        <v/>
      </c>
      <c r="I238" s="22">
        <f>IFERROR(__xludf.DUMMYFUNCTION("""COMPUTED_VALUE"""),-1.192152195E8)</f>
        <v>-119215219.5</v>
      </c>
      <c r="J238" s="22">
        <f>IFERROR(__xludf.DUMMYFUNCTION("""COMPUTED_VALUE"""),-1.187655645085639E8)</f>
        <v>-118765564.5</v>
      </c>
      <c r="K238" s="5"/>
      <c r="L238" s="5" t="str">
        <f>IFERROR(__xludf.DUMMYFUNCTION("""COMPUTED_VALUE"""),"Insufficient Cash or Margin Balance")</f>
        <v>Insufficient Cash or Margin Balance</v>
      </c>
    </row>
    <row r="239">
      <c r="A239" s="86">
        <f>IFERROR(__xludf.DUMMYFUNCTION("""COMPUTED_VALUE"""),44662.0)</f>
        <v>44662</v>
      </c>
      <c r="B239" s="5" t="str">
        <f>IFERROR(__xludf.DUMMYFUNCTION("""COMPUTED_VALUE"""),"75369")</f>
        <v>75369</v>
      </c>
      <c r="C239" s="5" t="str">
        <f>IFERROR(__xludf.DUMMYFUNCTION("""COMPUTED_VALUE"""),"SELL (SHORT)")</f>
        <v>SELL (SHORT)</v>
      </c>
      <c r="D239" s="91" t="str">
        <f>IFERROR(__xludf.DUMMYFUNCTION("""COMPUTED_VALUE"""),"9988.hk")</f>
        <v>9988.hk</v>
      </c>
      <c r="E239" s="5"/>
      <c r="F239" s="5">
        <f>IFERROR(__xludf.DUMMYFUNCTION("""COMPUTED_VALUE"""),98.5)</f>
        <v>98.5</v>
      </c>
      <c r="G239" s="5">
        <f>IFERROR(__xludf.DUMMYFUNCTION("""COMPUTED_VALUE"""),500.0)</f>
        <v>500</v>
      </c>
      <c r="H239" s="142" t="str">
        <f>IFERROR(__xludf.DUMMYFUNCTION("""COMPUTED_VALUE"""),"")</f>
        <v/>
      </c>
      <c r="I239" s="22">
        <f>IFERROR(__xludf.DUMMYFUNCTION("""COMPUTED_VALUE"""),49250.0)</f>
        <v>49250</v>
      </c>
      <c r="J239" s="22">
        <f>IFERROR(__xludf.DUMMYFUNCTION("""COMPUTED_VALUE"""),-267708.60962500004)</f>
        <v>-267708.6096</v>
      </c>
      <c r="K239" s="5"/>
      <c r="L239" s="5" t="str">
        <f>IFERROR(__xludf.DUMMYFUNCTION("""COMPUTED_VALUE"""),"Insufficient Cash or Margin Balance")</f>
        <v>Insufficient Cash or Margin Balance</v>
      </c>
    </row>
    <row r="240">
      <c r="A240" s="86">
        <f>IFERROR(__xludf.DUMMYFUNCTION("""COMPUTED_VALUE"""),44663.0)</f>
        <v>44663</v>
      </c>
      <c r="B240" s="5" t="str">
        <f>IFERROR(__xludf.DUMMYFUNCTION("""COMPUTED_VALUE"""),"18874")</f>
        <v>18874</v>
      </c>
      <c r="C240" s="5" t="str">
        <f>IFERROR(__xludf.DUMMYFUNCTION("""COMPUTED_VALUE"""),"BUY (LONG)")</f>
        <v>BUY (LONG)</v>
      </c>
      <c r="D240" s="91" t="str">
        <f>IFERROR(__xludf.DUMMYFUNCTION("""COMPUTED_VALUE"""),"0293.hk")</f>
        <v>0293.hk</v>
      </c>
      <c r="E240" s="5">
        <f>IFERROR(__xludf.DUMMYFUNCTION("""COMPUTED_VALUE"""),6.34)</f>
        <v>6.34</v>
      </c>
      <c r="F240" s="5">
        <f>IFERROR(__xludf.DUMMYFUNCTION("""COMPUTED_VALUE"""),7.65)</f>
        <v>7.65</v>
      </c>
      <c r="G240" s="5">
        <f>IFERROR(__xludf.DUMMYFUNCTION("""COMPUTED_VALUE"""),2000.0)</f>
        <v>2000</v>
      </c>
      <c r="H240" s="142">
        <f>IFERROR(__xludf.DUMMYFUNCTION("""COMPUTED_VALUE"""),0.0)</f>
        <v>0</v>
      </c>
      <c r="I240" s="22">
        <f>IFERROR(__xludf.DUMMYFUNCTION("""COMPUTED_VALUE"""),0.0)</f>
        <v>0</v>
      </c>
      <c r="J240" s="22">
        <f>IFERROR(__xludf.DUMMYFUNCTION("""COMPUTED_VALUE"""),500000.0)</f>
        <v>500000</v>
      </c>
      <c r="K240" s="5"/>
      <c r="L240" s="5" t="str">
        <f>IFERROR(__xludf.DUMMYFUNCTION("""COMPUTED_VALUE"""),"Limit Condition not met")</f>
        <v>Limit Condition not met</v>
      </c>
    </row>
    <row r="241">
      <c r="A241" s="86">
        <f>IFERROR(__xludf.DUMMYFUNCTION("""COMPUTED_VALUE"""),44663.0)</f>
        <v>44663</v>
      </c>
      <c r="B241" s="5" t="str">
        <f>IFERROR(__xludf.DUMMYFUNCTION("""COMPUTED_VALUE"""),"18874")</f>
        <v>18874</v>
      </c>
      <c r="C241" s="5" t="str">
        <f>IFERROR(__xludf.DUMMYFUNCTION("""COMPUTED_VALUE"""),"BUY (LONG)")</f>
        <v>BUY (LONG)</v>
      </c>
      <c r="D241" s="91" t="str">
        <f>IFERROR(__xludf.DUMMYFUNCTION("""COMPUTED_VALUE"""),"1929.hk")</f>
        <v>1929.hk</v>
      </c>
      <c r="E241" s="5">
        <f>IFERROR(__xludf.DUMMYFUNCTION("""COMPUTED_VALUE"""),12.5)</f>
        <v>12.5</v>
      </c>
      <c r="F241" s="5">
        <f>IFERROR(__xludf.DUMMYFUNCTION("""COMPUTED_VALUE"""),13.18)</f>
        <v>13.18</v>
      </c>
      <c r="G241" s="5">
        <f>IFERROR(__xludf.DUMMYFUNCTION("""COMPUTED_VALUE"""),5000.0)</f>
        <v>5000</v>
      </c>
      <c r="H241" s="142">
        <f>IFERROR(__xludf.DUMMYFUNCTION("""COMPUTED_VALUE"""),0.0)</f>
        <v>0</v>
      </c>
      <c r="I241" s="22">
        <f>IFERROR(__xludf.DUMMYFUNCTION("""COMPUTED_VALUE"""),0.0)</f>
        <v>0</v>
      </c>
      <c r="J241" s="22">
        <f>IFERROR(__xludf.DUMMYFUNCTION("""COMPUTED_VALUE"""),500000.0)</f>
        <v>500000</v>
      </c>
      <c r="K241" s="5"/>
      <c r="L241" s="5" t="str">
        <f>IFERROR(__xludf.DUMMYFUNCTION("""COMPUTED_VALUE"""),"Limit Condition not met")</f>
        <v>Limit Condition not met</v>
      </c>
    </row>
    <row r="242">
      <c r="A242" s="86">
        <f>IFERROR(__xludf.DUMMYFUNCTION("""COMPUTED_VALUE"""),44663.0)</f>
        <v>44663</v>
      </c>
      <c r="B242" s="5" t="str">
        <f>IFERROR(__xludf.DUMMYFUNCTION("""COMPUTED_VALUE"""),"18874")</f>
        <v>18874</v>
      </c>
      <c r="C242" s="5" t="str">
        <f>IFERROR(__xludf.DUMMYFUNCTION("""COMPUTED_VALUE"""),"BUY (LONG)")</f>
        <v>BUY (LONG)</v>
      </c>
      <c r="D242" s="91" t="str">
        <f>IFERROR(__xludf.DUMMYFUNCTION("""COMPUTED_VALUE"""),"9988.hk")</f>
        <v>9988.hk</v>
      </c>
      <c r="E242" s="5">
        <f>IFERROR(__xludf.DUMMYFUNCTION("""COMPUTED_VALUE"""),71.0)</f>
        <v>71</v>
      </c>
      <c r="F242" s="5">
        <f>IFERROR(__xludf.DUMMYFUNCTION("""COMPUTED_VALUE"""),99.0)</f>
        <v>99</v>
      </c>
      <c r="G242" s="5">
        <f>IFERROR(__xludf.DUMMYFUNCTION("""COMPUTED_VALUE"""),1000.0)</f>
        <v>1000</v>
      </c>
      <c r="H242" s="142">
        <f>IFERROR(__xludf.DUMMYFUNCTION("""COMPUTED_VALUE"""),0.0)</f>
        <v>0</v>
      </c>
      <c r="I242" s="22">
        <f>IFERROR(__xludf.DUMMYFUNCTION("""COMPUTED_VALUE"""),0.0)</f>
        <v>0</v>
      </c>
      <c r="J242" s="22">
        <f>IFERROR(__xludf.DUMMYFUNCTION("""COMPUTED_VALUE"""),500000.0)</f>
        <v>500000</v>
      </c>
      <c r="K242" s="5"/>
      <c r="L242" s="5" t="str">
        <f>IFERROR(__xludf.DUMMYFUNCTION("""COMPUTED_VALUE"""),"Limit Condition not met")</f>
        <v>Limit Condition not met</v>
      </c>
    </row>
    <row r="243">
      <c r="A243" s="86">
        <f>IFERROR(__xludf.DUMMYFUNCTION("""COMPUTED_VALUE"""),44663.0)</f>
        <v>44663</v>
      </c>
      <c r="B243" s="5" t="str">
        <f>IFERROR(__xludf.DUMMYFUNCTION("""COMPUTED_VALUE"""),"18874")</f>
        <v>18874</v>
      </c>
      <c r="C243" s="5" t="str">
        <f>IFERROR(__xludf.DUMMYFUNCTION("""COMPUTED_VALUE"""),"BUY (LONG)")</f>
        <v>BUY (LONG)</v>
      </c>
      <c r="D243" s="85" t="str">
        <f>IFERROR(__xludf.DUMMYFUNCTION("""COMPUTED_VALUE"""),"NVDA")</f>
        <v>NVDA</v>
      </c>
      <c r="E243" s="5">
        <f>IFERROR(__xludf.DUMMYFUNCTION("""COMPUTED_VALUE"""),120.0)</f>
        <v>120</v>
      </c>
      <c r="F243" s="5">
        <f>IFERROR(__xludf.DUMMYFUNCTION("""COMPUTED_VALUE"""),215.04)</f>
        <v>215.04</v>
      </c>
      <c r="G243" s="5">
        <f>IFERROR(__xludf.DUMMYFUNCTION("""COMPUTED_VALUE"""),10.0)</f>
        <v>10</v>
      </c>
      <c r="H243" s="142">
        <f>IFERROR(__xludf.DUMMYFUNCTION("""COMPUTED_VALUE"""),0.0)</f>
        <v>0</v>
      </c>
      <c r="I243" s="22">
        <f>IFERROR(__xludf.DUMMYFUNCTION("""COMPUTED_VALUE"""),0.0)</f>
        <v>0</v>
      </c>
      <c r="J243" s="22">
        <f>IFERROR(__xludf.DUMMYFUNCTION("""COMPUTED_VALUE"""),422645.326375)</f>
        <v>422645.3264</v>
      </c>
      <c r="K243" s="5"/>
      <c r="L243" s="5" t="str">
        <f>IFERROR(__xludf.DUMMYFUNCTION("""COMPUTED_VALUE"""),"Limit Condition not met")</f>
        <v>Limit Condition not met</v>
      </c>
    </row>
    <row r="244">
      <c r="A244" s="86">
        <f>IFERROR(__xludf.DUMMYFUNCTION("""COMPUTED_VALUE"""),44663.0)</f>
        <v>44663</v>
      </c>
      <c r="B244" s="5" t="str">
        <f>IFERROR(__xludf.DUMMYFUNCTION("""COMPUTED_VALUE"""),"33050")</f>
        <v>33050</v>
      </c>
      <c r="C244" s="5" t="str">
        <f>IFERROR(__xludf.DUMMYFUNCTION("""COMPUTED_VALUE"""),"BUY (LONG)")</f>
        <v>BUY (LONG)</v>
      </c>
      <c r="D244" s="85" t="str">
        <f>IFERROR(__xludf.DUMMYFUNCTION("""COMPUTED_VALUE"""),"BABA")</f>
        <v>BABA</v>
      </c>
      <c r="E244" s="5"/>
      <c r="F244" s="5">
        <f>IFERROR(__xludf.DUMMYFUNCTION("""COMPUTED_VALUE"""),99.75)</f>
        <v>99.75</v>
      </c>
      <c r="G244" s="5">
        <f>IFERROR(__xludf.DUMMYFUNCTION("""COMPUTED_VALUE"""),1000.0)</f>
        <v>1000</v>
      </c>
      <c r="H244" s="142" t="str">
        <f>IFERROR(__xludf.DUMMYFUNCTION("""COMPUTED_VALUE"""),"")</f>
        <v/>
      </c>
      <c r="I244" s="22">
        <f>IFERROR(__xludf.DUMMYFUNCTION("""COMPUTED_VALUE"""),-781815.5625)</f>
        <v>-781815.5625</v>
      </c>
      <c r="J244" s="22">
        <f>IFERROR(__xludf.DUMMYFUNCTION("""COMPUTED_VALUE"""),-637766.97875)</f>
        <v>-637766.9788</v>
      </c>
      <c r="K244" s="5"/>
      <c r="L244" s="5" t="str">
        <f>IFERROR(__xludf.DUMMYFUNCTION("""COMPUTED_VALUE"""),"Insufficient Cash or Margin Balance")</f>
        <v>Insufficient Cash or Margin Balance</v>
      </c>
    </row>
    <row r="245">
      <c r="A245" s="86">
        <f>IFERROR(__xludf.DUMMYFUNCTION("""COMPUTED_VALUE"""),44663.0)</f>
        <v>44663</v>
      </c>
      <c r="B245" s="5" t="str">
        <f>IFERROR(__xludf.DUMMYFUNCTION("""COMPUTED_VALUE"""),"33050")</f>
        <v>33050</v>
      </c>
      <c r="C245" s="5" t="str">
        <f>IFERROR(__xludf.DUMMYFUNCTION("""COMPUTED_VALUE"""),"BUY (LONG)")</f>
        <v>BUY (LONG)</v>
      </c>
      <c r="D245" s="85" t="str">
        <f>IFERROR(__xludf.DUMMYFUNCTION("""COMPUTED_VALUE"""),"DIS")</f>
        <v>DIS</v>
      </c>
      <c r="E245" s="5"/>
      <c r="F245" s="5">
        <f>IFERROR(__xludf.DUMMYFUNCTION("""COMPUTED_VALUE"""),130.84)</f>
        <v>130.84</v>
      </c>
      <c r="G245" s="5">
        <f>IFERROR(__xludf.DUMMYFUNCTION("""COMPUTED_VALUE"""),500.0)</f>
        <v>500</v>
      </c>
      <c r="H245" s="142" t="str">
        <f>IFERROR(__xludf.DUMMYFUNCTION("""COMPUTED_VALUE"""),"")</f>
        <v/>
      </c>
      <c r="I245" s="22">
        <f>IFERROR(__xludf.DUMMYFUNCTION("""COMPUTED_VALUE"""),-512745.605)</f>
        <v>-512745.605</v>
      </c>
      <c r="J245" s="22">
        <f>IFERROR(__xludf.DUMMYFUNCTION("""COMPUTED_VALUE"""),-368697.02125)</f>
        <v>-368697.0213</v>
      </c>
      <c r="K245" s="5"/>
      <c r="L245" s="5" t="str">
        <f>IFERROR(__xludf.DUMMYFUNCTION("""COMPUTED_VALUE"""),"Insufficient Cash or Margin Balance")</f>
        <v>Insufficient Cash or Margin Balance</v>
      </c>
    </row>
    <row r="246">
      <c r="A246" s="86">
        <f>IFERROR(__xludf.DUMMYFUNCTION("""COMPUTED_VALUE"""),44663.0)</f>
        <v>44663</v>
      </c>
      <c r="B246" s="5" t="str">
        <f>IFERROR(__xludf.DUMMYFUNCTION("""COMPUTED_VALUE"""),"37568")</f>
        <v>37568</v>
      </c>
      <c r="C246" s="5" t="str">
        <f>IFERROR(__xludf.DUMMYFUNCTION("""COMPUTED_VALUE"""),"BUY (LONG)")</f>
        <v>BUY (LONG)</v>
      </c>
      <c r="D246" s="85" t="str">
        <f>IFERROR(__xludf.DUMMYFUNCTION("""COMPUTED_VALUE"""),"BILI")</f>
        <v>BILI</v>
      </c>
      <c r="E246" s="5"/>
      <c r="F246" s="5">
        <f>IFERROR(__xludf.DUMMYFUNCTION("""COMPUTED_VALUE"""),24.94)</f>
        <v>24.94</v>
      </c>
      <c r="G246" s="5">
        <f>IFERROR(__xludf.DUMMYFUNCTION("""COMPUTED_VALUE"""),500.0)</f>
        <v>500</v>
      </c>
      <c r="H246" s="142" t="str">
        <f>IFERROR(__xludf.DUMMYFUNCTION("""COMPUTED_VALUE"""),"")</f>
        <v/>
      </c>
      <c r="I246" s="22">
        <f>IFERROR(__xludf.DUMMYFUNCTION("""COMPUTED_VALUE"""),-97736.74250000001)</f>
        <v>-97736.7425</v>
      </c>
      <c r="J246" s="22">
        <f>IFERROR(__xludf.DUMMYFUNCTION("""COMPUTED_VALUE"""),-291136.813611)</f>
        <v>-291136.8136</v>
      </c>
      <c r="K246" s="5"/>
      <c r="L246" s="5" t="str">
        <f>IFERROR(__xludf.DUMMYFUNCTION("""COMPUTED_VALUE"""),"Insufficient Cash or Margin Balance")</f>
        <v>Insufficient Cash or Margin Balance</v>
      </c>
    </row>
    <row r="247">
      <c r="A247" s="86">
        <f>IFERROR(__xludf.DUMMYFUNCTION("""COMPUTED_VALUE"""),44663.0)</f>
        <v>44663</v>
      </c>
      <c r="B247" s="5" t="str">
        <f>IFERROR(__xludf.DUMMYFUNCTION("""COMPUTED_VALUE"""),"39011")</f>
        <v>39011</v>
      </c>
      <c r="C247" s="5" t="str">
        <f>IFERROR(__xludf.DUMMYFUNCTION("""COMPUTED_VALUE"""),"BUY (LONG)")</f>
        <v>BUY (LONG)</v>
      </c>
      <c r="D247" s="85" t="str">
        <f>IFERROR(__xludf.DUMMYFUNCTION("""COMPUTED_VALUE"""),"HK0000061041")</f>
        <v>HK0000061041</v>
      </c>
      <c r="E247" s="5"/>
      <c r="F247" s="5" t="str">
        <f>IFERROR(__xludf.DUMMYFUNCTION("""COMPUTED_VALUE"""),"")</f>
        <v/>
      </c>
      <c r="G247" s="5">
        <f>IFERROR(__xludf.DUMMYFUNCTION("""COMPUTED_VALUE"""),985.0)</f>
        <v>985</v>
      </c>
      <c r="H247" s="142" t="str">
        <f>IFERROR(__xludf.DUMMYFUNCTION("""COMPUTED_VALUE"""),"")</f>
        <v/>
      </c>
      <c r="I247" s="22">
        <f>IFERROR(__xludf.DUMMYFUNCTION("""COMPUTED_VALUE"""),-1004463.6)</f>
        <v>-1004463.6</v>
      </c>
      <c r="J247" s="22">
        <f>IFERROR(__xludf.DUMMYFUNCTION("""COMPUTED_VALUE"""),-764213.263)</f>
        <v>-764213.263</v>
      </c>
      <c r="K247" s="5"/>
      <c r="L247" s="5" t="str">
        <f>IFERROR(__xludf.DUMMYFUNCTION("""COMPUTED_VALUE"""),"Insufficient Cash or Margin Balance")</f>
        <v>Insufficient Cash or Margin Balance</v>
      </c>
    </row>
    <row r="248">
      <c r="A248" s="86">
        <f>IFERROR(__xludf.DUMMYFUNCTION("""COMPUTED_VALUE"""),44663.0)</f>
        <v>44663</v>
      </c>
      <c r="B248" s="5" t="str">
        <f>IFERROR(__xludf.DUMMYFUNCTION("""COMPUTED_VALUE"""),"40658")</f>
        <v>40658</v>
      </c>
      <c r="C248" s="5" t="str">
        <f>IFERROR(__xludf.DUMMYFUNCTION("""COMPUTED_VALUE"""),"BUY (LONG)")</f>
        <v>BUY (LONG)</v>
      </c>
      <c r="D248" s="85" t="str">
        <f>IFERROR(__xludf.DUMMYFUNCTION("""COMPUTED_VALUE"""),"AAPL")</f>
        <v>AAPL</v>
      </c>
      <c r="E248" s="5"/>
      <c r="F248" s="5">
        <f>IFERROR(__xludf.DUMMYFUNCTION("""COMPUTED_VALUE"""),167.66)</f>
        <v>167.66</v>
      </c>
      <c r="G248" s="5">
        <f>IFERROR(__xludf.DUMMYFUNCTION("""COMPUTED_VALUE"""),10000.0)</f>
        <v>10000</v>
      </c>
      <c r="H248" s="142" t="str">
        <f>IFERROR(__xludf.DUMMYFUNCTION("""COMPUTED_VALUE"""),"")</f>
        <v/>
      </c>
      <c r="I248" s="22">
        <f>IFERROR(__xludf.DUMMYFUNCTION("""COMPUTED_VALUE"""),-1.3140771649999999E7)</f>
        <v>-13140771.65</v>
      </c>
      <c r="J248" s="22">
        <f>IFERROR(__xludf.DUMMYFUNCTION("""COMPUTED_VALUE"""),-1.264077165E7)</f>
        <v>-12640771.65</v>
      </c>
      <c r="K248" s="5"/>
      <c r="L248" s="5" t="str">
        <f>IFERROR(__xludf.DUMMYFUNCTION("""COMPUTED_VALUE"""),"Insufficient Cash or Margin Balance")</f>
        <v>Insufficient Cash or Margin Balance</v>
      </c>
    </row>
    <row r="249">
      <c r="A249" s="86">
        <f>IFERROR(__xludf.DUMMYFUNCTION("""COMPUTED_VALUE"""),44663.0)</f>
        <v>44663</v>
      </c>
      <c r="B249" s="5" t="str">
        <f>IFERROR(__xludf.DUMMYFUNCTION("""COMPUTED_VALUE"""),"40776")</f>
        <v>40776</v>
      </c>
      <c r="C249" s="5" t="str">
        <f>IFERROR(__xludf.DUMMYFUNCTION("""COMPUTED_VALUE"""),"BUY (LONG)")</f>
        <v>BUY (LONG)</v>
      </c>
      <c r="D249" s="91" t="str">
        <f>IFERROR(__xludf.DUMMYFUNCTION("""COMPUTED_VALUE"""),"9626.hk")</f>
        <v>9626.hk</v>
      </c>
      <c r="E249" s="5">
        <f>IFERROR(__xludf.DUMMYFUNCTION("""COMPUTED_VALUE"""),200.6)</f>
        <v>200.6</v>
      </c>
      <c r="F249" s="5">
        <f>IFERROR(__xludf.DUMMYFUNCTION("""COMPUTED_VALUE"""),210.8)</f>
        <v>210.8</v>
      </c>
      <c r="G249" s="5">
        <f>IFERROR(__xludf.DUMMYFUNCTION("""COMPUTED_VALUE"""),500.0)</f>
        <v>500</v>
      </c>
      <c r="H249" s="142">
        <f>IFERROR(__xludf.DUMMYFUNCTION("""COMPUTED_VALUE"""),0.0)</f>
        <v>0</v>
      </c>
      <c r="I249" s="22">
        <f>IFERROR(__xludf.DUMMYFUNCTION("""COMPUTED_VALUE"""),0.0)</f>
        <v>0</v>
      </c>
      <c r="J249" s="22">
        <f>IFERROR(__xludf.DUMMYFUNCTION("""COMPUTED_VALUE"""),-54940.20411250001)</f>
        <v>-54940.20411</v>
      </c>
      <c r="K249" s="5"/>
      <c r="L249" s="5" t="str">
        <f>IFERROR(__xludf.DUMMYFUNCTION("""COMPUTED_VALUE"""),"Limit Condition not met")</f>
        <v>Limit Condition not met</v>
      </c>
    </row>
    <row r="250">
      <c r="A250" s="86">
        <f>IFERROR(__xludf.DUMMYFUNCTION("""COMPUTED_VALUE"""),44663.0)</f>
        <v>44663</v>
      </c>
      <c r="B250" s="5" t="str">
        <f>IFERROR(__xludf.DUMMYFUNCTION("""COMPUTED_VALUE"""),"40776")</f>
        <v>40776</v>
      </c>
      <c r="C250" s="5" t="str">
        <f>IFERROR(__xludf.DUMMYFUNCTION("""COMPUTED_VALUE"""),"BUY (LONG)")</f>
        <v>BUY (LONG)</v>
      </c>
      <c r="D250" s="91" t="str">
        <f>IFERROR(__xludf.DUMMYFUNCTION("""COMPUTED_VALUE"""),"9988.hk")</f>
        <v>9988.hk</v>
      </c>
      <c r="E250" s="5">
        <f>IFERROR(__xludf.DUMMYFUNCTION("""COMPUTED_VALUE"""),97.25)</f>
        <v>97.25</v>
      </c>
      <c r="F250" s="5">
        <f>IFERROR(__xludf.DUMMYFUNCTION("""COMPUTED_VALUE"""),99.0)</f>
        <v>99</v>
      </c>
      <c r="G250" s="5">
        <f>IFERROR(__xludf.DUMMYFUNCTION("""COMPUTED_VALUE"""),450.0)</f>
        <v>450</v>
      </c>
      <c r="H250" s="142">
        <f>IFERROR(__xludf.DUMMYFUNCTION("""COMPUTED_VALUE"""),0.0)</f>
        <v>0</v>
      </c>
      <c r="I250" s="22">
        <f>IFERROR(__xludf.DUMMYFUNCTION("""COMPUTED_VALUE"""),0.0)</f>
        <v>0</v>
      </c>
      <c r="J250" s="22">
        <f>IFERROR(__xludf.DUMMYFUNCTION("""COMPUTED_VALUE"""),-54940.20411250001)</f>
        <v>-54940.20411</v>
      </c>
      <c r="K250" s="5"/>
      <c r="L250" s="5" t="str">
        <f>IFERROR(__xludf.DUMMYFUNCTION("""COMPUTED_VALUE"""),"Limit Condition not met")</f>
        <v>Limit Condition not met</v>
      </c>
    </row>
    <row r="251">
      <c r="A251" s="86">
        <f>IFERROR(__xludf.DUMMYFUNCTION("""COMPUTED_VALUE"""),44663.0)</f>
        <v>44663</v>
      </c>
      <c r="B251" s="5" t="str">
        <f>IFERROR(__xludf.DUMMYFUNCTION("""COMPUTED_VALUE"""),"46322")</f>
        <v>46322</v>
      </c>
      <c r="C251" s="5" t="str">
        <f>IFERROR(__xludf.DUMMYFUNCTION("""COMPUTED_VALUE"""),"BUY (LONG)")</f>
        <v>BUY (LONG)</v>
      </c>
      <c r="D251" s="85" t="str">
        <f>IFERROR(__xludf.DUMMYFUNCTION("""COMPUTED_VALUE"""),"SARK")</f>
        <v>SARK</v>
      </c>
      <c r="E251" s="5"/>
      <c r="F251" s="5">
        <f>IFERROR(__xludf.DUMMYFUNCTION("""COMPUTED_VALUE"""),50.67)</f>
        <v>50.67</v>
      </c>
      <c r="G251" s="5">
        <f>IFERROR(__xludf.DUMMYFUNCTION("""COMPUTED_VALUE"""),500.0)</f>
        <v>500</v>
      </c>
      <c r="H251" s="142" t="str">
        <f>IFERROR(__xludf.DUMMYFUNCTION("""COMPUTED_VALUE"""),"")</f>
        <v/>
      </c>
      <c r="I251" s="22">
        <f>IFERROR(__xludf.DUMMYFUNCTION("""COMPUTED_VALUE"""),-198569.39625000002)</f>
        <v>-198569.3963</v>
      </c>
      <c r="J251" s="22">
        <f>IFERROR(__xludf.DUMMYFUNCTION("""COMPUTED_VALUE"""),-303540.9066)</f>
        <v>-303540.9066</v>
      </c>
      <c r="K251" s="5"/>
      <c r="L251" s="5" t="str">
        <f>IFERROR(__xludf.DUMMYFUNCTION("""COMPUTED_VALUE"""),"Insufficient Cash or Margin Balance")</f>
        <v>Insufficient Cash or Margin Balance</v>
      </c>
    </row>
    <row r="252">
      <c r="A252" s="86">
        <f>IFERROR(__xludf.DUMMYFUNCTION("""COMPUTED_VALUE"""),44663.0)</f>
        <v>44663</v>
      </c>
      <c r="B252" s="5" t="str">
        <f>IFERROR(__xludf.DUMMYFUNCTION("""COMPUTED_VALUE"""),"76796")</f>
        <v>76796</v>
      </c>
      <c r="C252" s="5" t="str">
        <f>IFERROR(__xludf.DUMMYFUNCTION("""COMPUTED_VALUE"""),"BUY (LONG)")</f>
        <v>BUY (LONG)</v>
      </c>
      <c r="D252" s="85" t="str">
        <f>IFERROR(__xludf.DUMMYFUNCTION("""COMPUTED_VALUE"""),"MSFT")</f>
        <v>MSFT</v>
      </c>
      <c r="E252" s="5"/>
      <c r="F252" s="5">
        <f>IFERROR(__xludf.DUMMYFUNCTION("""COMPUTED_VALUE"""),282.06)</f>
        <v>282.06</v>
      </c>
      <c r="G252" s="5">
        <f>IFERROR(__xludf.DUMMYFUNCTION("""COMPUTED_VALUE"""),1000.0)</f>
        <v>1000</v>
      </c>
      <c r="H252" s="142" t="str">
        <f>IFERROR(__xludf.DUMMYFUNCTION("""COMPUTED_VALUE"""),"")</f>
        <v/>
      </c>
      <c r="I252" s="22">
        <f>IFERROR(__xludf.DUMMYFUNCTION("""COMPUTED_VALUE"""),-2210715.765)</f>
        <v>-2210715.765</v>
      </c>
      <c r="J252" s="22">
        <f>IFERROR(__xludf.DUMMYFUNCTION("""COMPUTED_VALUE"""),-1953190.3683500001)</f>
        <v>-1953190.368</v>
      </c>
      <c r="K252" s="5"/>
      <c r="L252" s="5" t="str">
        <f>IFERROR(__xludf.DUMMYFUNCTION("""COMPUTED_VALUE"""),"Insufficient Cash or Margin Balance")</f>
        <v>Insufficient Cash or Margin Balance</v>
      </c>
    </row>
    <row r="253">
      <c r="A253" s="86">
        <f>IFERROR(__xludf.DUMMYFUNCTION("""COMPUTED_VALUE"""),44663.0)</f>
        <v>44663</v>
      </c>
      <c r="B253" s="5" t="str">
        <f>IFERROR(__xludf.DUMMYFUNCTION("""COMPUTED_VALUE"""),"77603")</f>
        <v>77603</v>
      </c>
      <c r="C253" s="5" t="str">
        <f>IFERROR(__xludf.DUMMYFUNCTION("""COMPUTED_VALUE"""),"BUY (LONG)")</f>
        <v>BUY (LONG)</v>
      </c>
      <c r="D253" s="91" t="str">
        <f>IFERROR(__xludf.DUMMYFUNCTION("""COMPUTED_VALUE"""),"1024.HK")</f>
        <v>1024.HK</v>
      </c>
      <c r="E253" s="5">
        <f>IFERROR(__xludf.DUMMYFUNCTION("""COMPUTED_VALUE"""),58.55)</f>
        <v>58.55</v>
      </c>
      <c r="F253" s="5">
        <f>IFERROR(__xludf.DUMMYFUNCTION("""COMPUTED_VALUE"""),60.65)</f>
        <v>60.65</v>
      </c>
      <c r="G253" s="5">
        <f>IFERROR(__xludf.DUMMYFUNCTION("""COMPUTED_VALUE"""),4000.0)</f>
        <v>4000</v>
      </c>
      <c r="H253" s="142">
        <f>IFERROR(__xludf.DUMMYFUNCTION("""COMPUTED_VALUE"""),0.0)</f>
        <v>0</v>
      </c>
      <c r="I253" s="22">
        <f>IFERROR(__xludf.DUMMYFUNCTION("""COMPUTED_VALUE"""),0.0)</f>
        <v>0</v>
      </c>
      <c r="J253" s="22">
        <f>IFERROR(__xludf.DUMMYFUNCTION("""COMPUTED_VALUE"""),27200.0)</f>
        <v>27200</v>
      </c>
      <c r="K253" s="5"/>
      <c r="L253" s="5" t="str">
        <f>IFERROR(__xludf.DUMMYFUNCTION("""COMPUTED_VALUE"""),"Limit Condition not met")</f>
        <v>Limit Condition not met</v>
      </c>
    </row>
    <row r="254">
      <c r="A254" s="86">
        <f>IFERROR(__xludf.DUMMYFUNCTION("""COMPUTED_VALUE"""),44664.0)</f>
        <v>44664</v>
      </c>
      <c r="B254" s="5" t="str">
        <f>IFERROR(__xludf.DUMMYFUNCTION("""COMPUTED_VALUE"""),"14626")</f>
        <v>14626</v>
      </c>
      <c r="C254" s="5" t="str">
        <f>IFERROR(__xludf.DUMMYFUNCTION("""COMPUTED_VALUE"""),"BUY (LONG)")</f>
        <v>BUY (LONG)</v>
      </c>
      <c r="D254" s="85" t="str">
        <f>IFERROR(__xludf.DUMMYFUNCTION("""COMPUTED_VALUE"""),"TSLA")</f>
        <v>TSLA</v>
      </c>
      <c r="E254" s="5"/>
      <c r="F254" s="5">
        <f>IFERROR(__xludf.DUMMYFUNCTION("""COMPUTED_VALUE"""),1022.37)</f>
        <v>1022.37</v>
      </c>
      <c r="G254" s="5">
        <f>IFERROR(__xludf.DUMMYFUNCTION("""COMPUTED_VALUE"""),500.0)</f>
        <v>500</v>
      </c>
      <c r="H254" s="142" t="str">
        <f>IFERROR(__xludf.DUMMYFUNCTION("""COMPUTED_VALUE"""),"")</f>
        <v/>
      </c>
      <c r="I254" s="22">
        <f>IFERROR(__xludf.DUMMYFUNCTION("""COMPUTED_VALUE"""),-4007255.89275)</f>
        <v>-4007255.893</v>
      </c>
      <c r="J254" s="22">
        <f>IFERROR(__xludf.DUMMYFUNCTION("""COMPUTED_VALUE"""),-4213623.99401)</f>
        <v>-4213623.994</v>
      </c>
      <c r="K254" s="5"/>
      <c r="L254" s="5" t="str">
        <f>IFERROR(__xludf.DUMMYFUNCTION("""COMPUTED_VALUE"""),"Insufficient Cash or Margin Balance")</f>
        <v>Insufficient Cash or Margin Balance</v>
      </c>
    </row>
    <row r="255">
      <c r="A255" s="86">
        <f>IFERROR(__xludf.DUMMYFUNCTION("""COMPUTED_VALUE"""),44664.0)</f>
        <v>44664</v>
      </c>
      <c r="B255" s="5" t="str">
        <f>IFERROR(__xludf.DUMMYFUNCTION("""COMPUTED_VALUE"""),"33050")</f>
        <v>33050</v>
      </c>
      <c r="C255" s="5" t="str">
        <f>IFERROR(__xludf.DUMMYFUNCTION("""COMPUTED_VALUE"""),"BUY (LONG)")</f>
        <v>BUY (LONG)</v>
      </c>
      <c r="D255" s="85" t="str">
        <f>IFERROR(__xludf.DUMMYFUNCTION("""COMPUTED_VALUE"""),"AAPL")</f>
        <v>AAPL</v>
      </c>
      <c r="E255" s="5"/>
      <c r="F255" s="5">
        <f>IFERROR(__xludf.DUMMYFUNCTION("""COMPUTED_VALUE"""),170.4)</f>
        <v>170.4</v>
      </c>
      <c r="G255" s="5">
        <f>IFERROR(__xludf.DUMMYFUNCTION("""COMPUTED_VALUE"""),500.0)</f>
        <v>500</v>
      </c>
      <c r="H255" s="142" t="str">
        <f>IFERROR(__xludf.DUMMYFUNCTION("""COMPUTED_VALUE"""),"")</f>
        <v/>
      </c>
      <c r="I255" s="22">
        <f>IFERROR(__xludf.DUMMYFUNCTION("""COMPUTED_VALUE"""),-667895.58)</f>
        <v>-667895.58</v>
      </c>
      <c r="J255" s="22">
        <f>IFERROR(__xludf.DUMMYFUNCTION("""COMPUTED_VALUE"""),-523846.99624999997)</f>
        <v>-523846.9963</v>
      </c>
      <c r="K255" s="5"/>
      <c r="L255" s="5" t="str">
        <f>IFERROR(__xludf.DUMMYFUNCTION("""COMPUTED_VALUE"""),"Insufficient Cash or Margin Balance")</f>
        <v>Insufficient Cash or Margin Balance</v>
      </c>
    </row>
    <row r="256">
      <c r="A256" s="86">
        <f>IFERROR(__xludf.DUMMYFUNCTION("""COMPUTED_VALUE"""),44664.0)</f>
        <v>44664</v>
      </c>
      <c r="B256" s="5" t="str">
        <f>IFERROR(__xludf.DUMMYFUNCTION("""COMPUTED_VALUE"""),"33050")</f>
        <v>33050</v>
      </c>
      <c r="C256" s="5" t="str">
        <f>IFERROR(__xludf.DUMMYFUNCTION("""COMPUTED_VALUE"""),"BUY (LONG)")</f>
        <v>BUY (LONG)</v>
      </c>
      <c r="D256" s="85" t="str">
        <f>IFERROR(__xludf.DUMMYFUNCTION("""COMPUTED_VALUE"""),"TSLA")</f>
        <v>TSLA</v>
      </c>
      <c r="E256" s="5"/>
      <c r="F256" s="5">
        <f>IFERROR(__xludf.DUMMYFUNCTION("""COMPUTED_VALUE"""),1022.37)</f>
        <v>1022.37</v>
      </c>
      <c r="G256" s="5">
        <f>IFERROR(__xludf.DUMMYFUNCTION("""COMPUTED_VALUE"""),1000.0)</f>
        <v>1000</v>
      </c>
      <c r="H256" s="142" t="str">
        <f>IFERROR(__xludf.DUMMYFUNCTION("""COMPUTED_VALUE"""),"")</f>
        <v/>
      </c>
      <c r="I256" s="22">
        <f>IFERROR(__xludf.DUMMYFUNCTION("""COMPUTED_VALUE"""),-8014511.7855)</f>
        <v>-8014511.786</v>
      </c>
      <c r="J256" s="22">
        <f>IFERROR(__xludf.DUMMYFUNCTION("""COMPUTED_VALUE"""),-7870463.20175)</f>
        <v>-7870463.202</v>
      </c>
      <c r="K256" s="5"/>
      <c r="L256" s="5" t="str">
        <f>IFERROR(__xludf.DUMMYFUNCTION("""COMPUTED_VALUE"""),"Insufficient Cash or Margin Balance")</f>
        <v>Insufficient Cash or Margin Balance</v>
      </c>
    </row>
    <row r="257">
      <c r="A257" s="86">
        <f>IFERROR(__xludf.DUMMYFUNCTION("""COMPUTED_VALUE"""),44664.0)</f>
        <v>44664</v>
      </c>
      <c r="B257" s="5" t="str">
        <f>IFERROR(__xludf.DUMMYFUNCTION("""COMPUTED_VALUE"""),"39670")</f>
        <v>39670</v>
      </c>
      <c r="C257" s="5" t="str">
        <f>IFERROR(__xludf.DUMMYFUNCTION("""COMPUTED_VALUE"""),"BUY (LONG)")</f>
        <v>BUY (LONG)</v>
      </c>
      <c r="D257" s="91" t="str">
        <f>IFERROR(__xludf.DUMMYFUNCTION("""COMPUTED_VALUE"""),"9626.HK")</f>
        <v>9626.HK</v>
      </c>
      <c r="E257" s="5">
        <f>IFERROR(__xludf.DUMMYFUNCTION("""COMPUTED_VALUE"""),24.0)</f>
        <v>24</v>
      </c>
      <c r="F257" s="5">
        <f>IFERROR(__xludf.DUMMYFUNCTION("""COMPUTED_VALUE"""),202.6)</f>
        <v>202.6</v>
      </c>
      <c r="G257" s="5">
        <f>IFERROR(__xludf.DUMMYFUNCTION("""COMPUTED_VALUE"""),100.0)</f>
        <v>100</v>
      </c>
      <c r="H257" s="142">
        <f>IFERROR(__xludf.DUMMYFUNCTION("""COMPUTED_VALUE"""),0.0)</f>
        <v>0</v>
      </c>
      <c r="I257" s="22">
        <f>IFERROR(__xludf.DUMMYFUNCTION("""COMPUTED_VALUE"""),0.0)</f>
        <v>0</v>
      </c>
      <c r="J257" s="22">
        <f>IFERROR(__xludf.DUMMYFUNCTION("""COMPUTED_VALUE"""),98045.60675749998)</f>
        <v>98045.60676</v>
      </c>
      <c r="K257" s="5"/>
      <c r="L257" s="5" t="str">
        <f>IFERROR(__xludf.DUMMYFUNCTION("""COMPUTED_VALUE"""),"Limit Condition not met")</f>
        <v>Limit Condition not met</v>
      </c>
    </row>
    <row r="258">
      <c r="A258" s="86">
        <f>IFERROR(__xludf.DUMMYFUNCTION("""COMPUTED_VALUE"""),44664.0)</f>
        <v>44664</v>
      </c>
      <c r="B258" s="5" t="str">
        <f>IFERROR(__xludf.DUMMYFUNCTION("""COMPUTED_VALUE"""),"39670")</f>
        <v>39670</v>
      </c>
      <c r="C258" s="5" t="str">
        <f>IFERROR(__xludf.DUMMYFUNCTION("""COMPUTED_VALUE"""),"BUY (LONG)")</f>
        <v>BUY (LONG)</v>
      </c>
      <c r="D258" s="91" t="str">
        <f>IFERROR(__xludf.DUMMYFUNCTION("""COMPUTED_VALUE"""),"9988.HK")</f>
        <v>9988.HK</v>
      </c>
      <c r="E258" s="5">
        <f>IFERROR(__xludf.DUMMYFUNCTION("""COMPUTED_VALUE"""),98.0)</f>
        <v>98</v>
      </c>
      <c r="F258" s="5">
        <f>IFERROR(__xludf.DUMMYFUNCTION("""COMPUTED_VALUE"""),98.5)</f>
        <v>98.5</v>
      </c>
      <c r="G258" s="5">
        <f>IFERROR(__xludf.DUMMYFUNCTION("""COMPUTED_VALUE"""),100.0)</f>
        <v>100</v>
      </c>
      <c r="H258" s="142">
        <f>IFERROR(__xludf.DUMMYFUNCTION("""COMPUTED_VALUE"""),0.0)</f>
        <v>0</v>
      </c>
      <c r="I258" s="22">
        <f>IFERROR(__xludf.DUMMYFUNCTION("""COMPUTED_VALUE"""),0.0)</f>
        <v>0</v>
      </c>
      <c r="J258" s="22">
        <f>IFERROR(__xludf.DUMMYFUNCTION("""COMPUTED_VALUE"""),98045.60675749998)</f>
        <v>98045.60676</v>
      </c>
      <c r="K258" s="5"/>
      <c r="L258" s="5" t="str">
        <f>IFERROR(__xludf.DUMMYFUNCTION("""COMPUTED_VALUE"""),"Limit Condition not met")</f>
        <v>Limit Condition not met</v>
      </c>
    </row>
    <row r="259">
      <c r="A259" s="86">
        <f>IFERROR(__xludf.DUMMYFUNCTION("""COMPUTED_VALUE"""),44664.0)</f>
        <v>44664</v>
      </c>
      <c r="B259" s="5" t="str">
        <f>IFERROR(__xludf.DUMMYFUNCTION("""COMPUTED_VALUE"""),"39670")</f>
        <v>39670</v>
      </c>
      <c r="C259" s="5" t="str">
        <f>IFERROR(__xludf.DUMMYFUNCTION("""COMPUTED_VALUE"""),"BUY (LONG)")</f>
        <v>BUY (LONG)</v>
      </c>
      <c r="D259" s="85" t="str">
        <f>IFERROR(__xludf.DUMMYFUNCTION("""COMPUTED_VALUE"""),"AAPL")</f>
        <v>AAPL</v>
      </c>
      <c r="E259" s="5">
        <f>IFERROR(__xludf.DUMMYFUNCTION("""COMPUTED_VALUE"""),170.0)</f>
        <v>170</v>
      </c>
      <c r="F259" s="5">
        <f>IFERROR(__xludf.DUMMYFUNCTION("""COMPUTED_VALUE"""),170.4)</f>
        <v>170.4</v>
      </c>
      <c r="G259" s="5">
        <f>IFERROR(__xludf.DUMMYFUNCTION("""COMPUTED_VALUE"""),50.0)</f>
        <v>50</v>
      </c>
      <c r="H259" s="142">
        <f>IFERROR(__xludf.DUMMYFUNCTION("""COMPUTED_VALUE"""),0.0)</f>
        <v>0</v>
      </c>
      <c r="I259" s="22">
        <f>IFERROR(__xludf.DUMMYFUNCTION("""COMPUTED_VALUE"""),0.0)</f>
        <v>0</v>
      </c>
      <c r="J259" s="22">
        <f>IFERROR(__xludf.DUMMYFUNCTION("""COMPUTED_VALUE"""),98045.60675749998)</f>
        <v>98045.60676</v>
      </c>
      <c r="K259" s="5"/>
      <c r="L259" s="5" t="str">
        <f>IFERROR(__xludf.DUMMYFUNCTION("""COMPUTED_VALUE"""),"Limit Condition not met")</f>
        <v>Limit Condition not met</v>
      </c>
    </row>
    <row r="260">
      <c r="A260" s="86">
        <f>IFERROR(__xludf.DUMMYFUNCTION("""COMPUTED_VALUE"""),44664.0)</f>
        <v>44664</v>
      </c>
      <c r="B260" s="5" t="str">
        <f>IFERROR(__xludf.DUMMYFUNCTION("""COMPUTED_VALUE"""),"40658")</f>
        <v>40658</v>
      </c>
      <c r="C260" s="5" t="str">
        <f>IFERROR(__xludf.DUMMYFUNCTION("""COMPUTED_VALUE"""),"BUY (LONG), SELL (SHORT)")</f>
        <v>BUY (LONG), SELL (SHORT)</v>
      </c>
      <c r="D260" s="91" t="str">
        <f>IFERROR(__xludf.DUMMYFUNCTION("""COMPUTED_VALUE"""),"300750.SZ")</f>
        <v>300750.SZ</v>
      </c>
      <c r="E260" s="5"/>
      <c r="F260" s="5">
        <f>IFERROR(__xludf.DUMMYFUNCTION("""COMPUTED_VALUE"""),466.0)</f>
        <v>466</v>
      </c>
      <c r="G260" s="5">
        <f>IFERROR(__xludf.DUMMYFUNCTION("""COMPUTED_VALUE"""),20000.0)</f>
        <v>20000</v>
      </c>
      <c r="H260" s="142" t="str">
        <f>IFERROR(__xludf.DUMMYFUNCTION("""COMPUTED_VALUE"""),"")</f>
        <v/>
      </c>
      <c r="I260" s="22">
        <f>IFERROR(__xludf.DUMMYFUNCTION("""COMPUTED_VALUE"""),-1.147449508E7)</f>
        <v>-11474495.08</v>
      </c>
      <c r="J260" s="22">
        <f>IFERROR(__xludf.DUMMYFUNCTION("""COMPUTED_VALUE"""),-1.097449508E7)</f>
        <v>-10974495.08</v>
      </c>
      <c r="K260" s="5"/>
      <c r="L260" s="5" t="str">
        <f>IFERROR(__xludf.DUMMYFUNCTION("""COMPUTED_VALUE"""),"Insufficient Cash or Margin Balance")</f>
        <v>Insufficient Cash or Margin Balance</v>
      </c>
    </row>
    <row r="261">
      <c r="A261" s="86">
        <f>IFERROR(__xludf.DUMMYFUNCTION("""COMPUTED_VALUE"""),44664.0)</f>
        <v>44664</v>
      </c>
      <c r="B261" s="5" t="str">
        <f>IFERROR(__xludf.DUMMYFUNCTION("""COMPUTED_VALUE"""),"40658")</f>
        <v>40658</v>
      </c>
      <c r="C261" s="5" t="str">
        <f>IFERROR(__xludf.DUMMYFUNCTION("""COMPUTED_VALUE"""),"BUY (LONG), SELL (SHORT)")</f>
        <v>BUY (LONG), SELL (SHORT)</v>
      </c>
      <c r="D261" s="85" t="str">
        <f>IFERROR(__xludf.DUMMYFUNCTION("""COMPUTED_VALUE"""),"AAPL")</f>
        <v>AAPL</v>
      </c>
      <c r="E261" s="5"/>
      <c r="F261" s="5">
        <f>IFERROR(__xludf.DUMMYFUNCTION("""COMPUTED_VALUE"""),170.4)</f>
        <v>170.4</v>
      </c>
      <c r="G261" s="5">
        <f>IFERROR(__xludf.DUMMYFUNCTION("""COMPUTED_VALUE"""),30000.0)</f>
        <v>30000</v>
      </c>
      <c r="H261" s="142" t="str">
        <f>IFERROR(__xludf.DUMMYFUNCTION("""COMPUTED_VALUE"""),"")</f>
        <v/>
      </c>
      <c r="I261" s="22">
        <f>IFERROR(__xludf.DUMMYFUNCTION("""COMPUTED_VALUE"""),-4.00737348E7)</f>
        <v>-40073734.8</v>
      </c>
      <c r="J261" s="22">
        <f>IFERROR(__xludf.DUMMYFUNCTION("""COMPUTED_VALUE"""),-3.95737348E7)</f>
        <v>-39573734.8</v>
      </c>
      <c r="K261" s="5"/>
      <c r="L261" s="5" t="str">
        <f>IFERROR(__xludf.DUMMYFUNCTION("""COMPUTED_VALUE"""),"Insufficient Cash or Margin Balance")</f>
        <v>Insufficient Cash or Margin Balance</v>
      </c>
    </row>
    <row r="262">
      <c r="A262" s="86">
        <f>IFERROR(__xludf.DUMMYFUNCTION("""COMPUTED_VALUE"""),44664.0)</f>
        <v>44664</v>
      </c>
      <c r="B262" s="5" t="str">
        <f>IFERROR(__xludf.DUMMYFUNCTION("""COMPUTED_VALUE"""),"74972")</f>
        <v>74972</v>
      </c>
      <c r="C262" s="5" t="str">
        <f>IFERROR(__xludf.DUMMYFUNCTION("""COMPUTED_VALUE"""),"BUY (LONG)")</f>
        <v>BUY (LONG)</v>
      </c>
      <c r="D262" s="85" t="str">
        <f>IFERROR(__xludf.DUMMYFUNCTION("""COMPUTED_VALUE"""),"TSLA")</f>
        <v>TSLA</v>
      </c>
      <c r="E262" s="5">
        <f>IFERROR(__xludf.DUMMYFUNCTION("""COMPUTED_VALUE"""),100.0)</f>
        <v>100</v>
      </c>
      <c r="F262" s="5">
        <f>IFERROR(__xludf.DUMMYFUNCTION("""COMPUTED_VALUE"""),1022.37)</f>
        <v>1022.37</v>
      </c>
      <c r="G262" s="5">
        <f>IFERROR(__xludf.DUMMYFUNCTION("""COMPUTED_VALUE"""),100.0)</f>
        <v>100</v>
      </c>
      <c r="H262" s="142">
        <f>IFERROR(__xludf.DUMMYFUNCTION("""COMPUTED_VALUE"""),0.0)</f>
        <v>0</v>
      </c>
      <c r="I262" s="22">
        <f>IFERROR(__xludf.DUMMYFUNCTION("""COMPUTED_VALUE"""),0.0)</f>
        <v>0</v>
      </c>
      <c r="J262" s="22">
        <f>IFERROR(__xludf.DUMMYFUNCTION("""COMPUTED_VALUE"""),500000.0)</f>
        <v>500000</v>
      </c>
      <c r="K262" s="5"/>
      <c r="L262" s="5" t="str">
        <f>IFERROR(__xludf.DUMMYFUNCTION("""COMPUTED_VALUE"""),"Limit Condition not met")</f>
        <v>Limit Condition not met</v>
      </c>
    </row>
    <row r="263">
      <c r="A263" s="86">
        <f>IFERROR(__xludf.DUMMYFUNCTION("""COMPUTED_VALUE"""),44664.0)</f>
        <v>44664</v>
      </c>
      <c r="B263" s="5" t="str">
        <f>IFERROR(__xludf.DUMMYFUNCTION("""COMPUTED_VALUE"""),"75369")</f>
        <v>75369</v>
      </c>
      <c r="C263" s="5" t="str">
        <f>IFERROR(__xludf.DUMMYFUNCTION("""COMPUTED_VALUE"""),"BUY (LONG)")</f>
        <v>BUY (LONG)</v>
      </c>
      <c r="D263" s="85" t="str">
        <f>IFERROR(__xludf.DUMMYFUNCTION("""COMPUTED_VALUE"""),"NET")</f>
        <v>NET</v>
      </c>
      <c r="E263" s="5"/>
      <c r="F263" s="5">
        <f>IFERROR(__xludf.DUMMYFUNCTION("""COMPUTED_VALUE"""),121.55)</f>
        <v>121.55</v>
      </c>
      <c r="G263" s="5">
        <f>IFERROR(__xludf.DUMMYFUNCTION("""COMPUTED_VALUE"""),500.0)</f>
        <v>500</v>
      </c>
      <c r="H263" s="142" t="str">
        <f>IFERROR(__xludf.DUMMYFUNCTION("""COMPUTED_VALUE"""),"")</f>
        <v/>
      </c>
      <c r="I263" s="22">
        <f>IFERROR(__xludf.DUMMYFUNCTION("""COMPUTED_VALUE"""),-476424.34125)</f>
        <v>-476424.3413</v>
      </c>
      <c r="J263" s="22">
        <f>IFERROR(__xludf.DUMMYFUNCTION("""COMPUTED_VALUE"""),-694882.950875)</f>
        <v>-694882.9509</v>
      </c>
      <c r="K263" s="5"/>
      <c r="L263" s="5" t="str">
        <f>IFERROR(__xludf.DUMMYFUNCTION("""COMPUTED_VALUE"""),"Insufficient Cash or Margin Balance")</f>
        <v>Insufficient Cash or Margin Balance</v>
      </c>
    </row>
    <row r="264">
      <c r="A264" s="86">
        <f>IFERROR(__xludf.DUMMYFUNCTION("""COMPUTED_VALUE"""),44664.0)</f>
        <v>44664</v>
      </c>
      <c r="B264" s="5" t="str">
        <f>IFERROR(__xludf.DUMMYFUNCTION("""COMPUTED_VALUE"""),"75369")</f>
        <v>75369</v>
      </c>
      <c r="C264" s="5" t="str">
        <f>IFERROR(__xludf.DUMMYFUNCTION("""COMPUTED_VALUE"""),"BUY (LONG)")</f>
        <v>BUY (LONG)</v>
      </c>
      <c r="D264" s="85" t="str">
        <f>IFERROR(__xludf.DUMMYFUNCTION("""COMPUTED_VALUE"""),"PANW")</f>
        <v>PANW</v>
      </c>
      <c r="E264" s="5"/>
      <c r="F264" s="5">
        <f>IFERROR(__xludf.DUMMYFUNCTION("""COMPUTED_VALUE"""),629.01)</f>
        <v>629.01</v>
      </c>
      <c r="G264" s="5">
        <f>IFERROR(__xludf.DUMMYFUNCTION("""COMPUTED_VALUE"""),100.0)</f>
        <v>100</v>
      </c>
      <c r="H264" s="142" t="str">
        <f>IFERROR(__xludf.DUMMYFUNCTION("""COMPUTED_VALUE"""),"")</f>
        <v/>
      </c>
      <c r="I264" s="22">
        <f>IFERROR(__xludf.DUMMYFUNCTION("""COMPUTED_VALUE"""),-493090.37415000005)</f>
        <v>-493090.3742</v>
      </c>
      <c r="J264" s="22">
        <f>IFERROR(__xludf.DUMMYFUNCTION("""COMPUTED_VALUE"""),-711548.983775)</f>
        <v>-711548.9838</v>
      </c>
      <c r="K264" s="5"/>
      <c r="L264" s="5" t="str">
        <f>IFERROR(__xludf.DUMMYFUNCTION("""COMPUTED_VALUE"""),"Insufficient Cash or Margin Balance")</f>
        <v>Insufficient Cash or Margin Balance</v>
      </c>
    </row>
    <row r="265">
      <c r="A265" s="86">
        <f>IFERROR(__xludf.DUMMYFUNCTION("""COMPUTED_VALUE"""),44664.0)</f>
        <v>44664</v>
      </c>
      <c r="B265" s="5" t="str">
        <f>IFERROR(__xludf.DUMMYFUNCTION("""COMPUTED_VALUE"""),"75369")</f>
        <v>75369</v>
      </c>
      <c r="C265" s="5" t="str">
        <f>IFERROR(__xludf.DUMMYFUNCTION("""COMPUTED_VALUE"""),"BUY (LONG)")</f>
        <v>BUY (LONG)</v>
      </c>
      <c r="D265" s="85" t="str">
        <f>IFERROR(__xludf.DUMMYFUNCTION("""COMPUTED_VALUE"""),"SNPS")</f>
        <v>SNPS</v>
      </c>
      <c r="E265" s="5"/>
      <c r="F265" s="5">
        <f>IFERROR(__xludf.DUMMYFUNCTION("""COMPUTED_VALUE"""),306.72)</f>
        <v>306.72</v>
      </c>
      <c r="G265" s="5">
        <f>IFERROR(__xludf.DUMMYFUNCTION("""COMPUTED_VALUE"""),200.0)</f>
        <v>200</v>
      </c>
      <c r="H265" s="142" t="str">
        <f>IFERROR(__xludf.DUMMYFUNCTION("""COMPUTED_VALUE"""),"")</f>
        <v/>
      </c>
      <c r="I265" s="22">
        <f>IFERROR(__xludf.DUMMYFUNCTION("""COMPUTED_VALUE"""),-480884.81760000007)</f>
        <v>-480884.8176</v>
      </c>
      <c r="J265" s="22">
        <f>IFERROR(__xludf.DUMMYFUNCTION("""COMPUTED_VALUE"""),-699343.4272250001)</f>
        <v>-699343.4272</v>
      </c>
      <c r="K265" s="5"/>
      <c r="L265" s="5" t="str">
        <f>IFERROR(__xludf.DUMMYFUNCTION("""COMPUTED_VALUE"""),"Insufficient Cash or Margin Balance")</f>
        <v>Insufficient Cash or Margin Balance</v>
      </c>
    </row>
    <row r="266">
      <c r="D266" s="85"/>
    </row>
    <row r="267">
      <c r="D267" s="85"/>
    </row>
    <row r="268">
      <c r="D268" s="85"/>
    </row>
    <row r="269">
      <c r="D269" s="85"/>
    </row>
    <row r="270">
      <c r="D270" s="85"/>
    </row>
    <row r="271">
      <c r="D271" s="85"/>
    </row>
    <row r="272">
      <c r="D272" s="85"/>
    </row>
    <row r="273">
      <c r="D273" s="85"/>
    </row>
    <row r="274">
      <c r="D274" s="85"/>
    </row>
    <row r="275">
      <c r="D275" s="85"/>
    </row>
    <row r="276">
      <c r="D276" s="85"/>
    </row>
    <row r="277">
      <c r="D277" s="85"/>
    </row>
    <row r="278">
      <c r="D278" s="85"/>
    </row>
    <row r="279">
      <c r="D279" s="85"/>
    </row>
    <row r="280">
      <c r="D280" s="85"/>
    </row>
    <row r="281">
      <c r="D281" s="85"/>
    </row>
    <row r="282">
      <c r="D282" s="85"/>
    </row>
    <row r="283">
      <c r="D283" s="85"/>
    </row>
    <row r="284">
      <c r="D284" s="85"/>
    </row>
    <row r="285">
      <c r="D285" s="85"/>
    </row>
    <row r="286">
      <c r="D286" s="85"/>
    </row>
    <row r="287">
      <c r="D287" s="85"/>
    </row>
    <row r="288">
      <c r="D288" s="85"/>
    </row>
    <row r="289">
      <c r="D289" s="85"/>
    </row>
    <row r="290">
      <c r="D290" s="85"/>
    </row>
    <row r="291">
      <c r="D291" s="85"/>
    </row>
    <row r="292">
      <c r="D292" s="85"/>
    </row>
    <row r="293">
      <c r="D293" s="85"/>
    </row>
    <row r="294">
      <c r="D294" s="85"/>
    </row>
    <row r="295">
      <c r="D295" s="85"/>
    </row>
    <row r="296">
      <c r="D296" s="85"/>
    </row>
    <row r="297">
      <c r="D297" s="85"/>
    </row>
    <row r="298">
      <c r="D298" s="85"/>
    </row>
    <row r="299">
      <c r="D299" s="85"/>
    </row>
    <row r="300">
      <c r="D300" s="85"/>
    </row>
    <row r="301">
      <c r="D301" s="85"/>
    </row>
    <row r="302">
      <c r="D302" s="85"/>
    </row>
    <row r="303">
      <c r="D303" s="85"/>
    </row>
    <row r="304">
      <c r="D304" s="85"/>
    </row>
    <row r="305">
      <c r="D305" s="85"/>
    </row>
    <row r="306">
      <c r="D306" s="85"/>
    </row>
    <row r="307">
      <c r="D307" s="85"/>
    </row>
    <row r="308">
      <c r="D308" s="85"/>
    </row>
    <row r="309">
      <c r="D309" s="85"/>
    </row>
    <row r="310">
      <c r="D310" s="85"/>
    </row>
    <row r="311">
      <c r="D311" s="85"/>
    </row>
    <row r="312">
      <c r="D312" s="85"/>
    </row>
    <row r="313">
      <c r="D313" s="85"/>
    </row>
    <row r="314">
      <c r="D314" s="85"/>
    </row>
    <row r="315">
      <c r="D315" s="85"/>
    </row>
    <row r="316">
      <c r="D316" s="85"/>
    </row>
    <row r="317">
      <c r="D317" s="85"/>
    </row>
    <row r="318">
      <c r="D318" s="85"/>
    </row>
    <row r="319">
      <c r="D319" s="85"/>
    </row>
    <row r="320">
      <c r="D320" s="85"/>
    </row>
    <row r="321">
      <c r="D321" s="85"/>
    </row>
    <row r="322">
      <c r="D322" s="85"/>
    </row>
    <row r="323">
      <c r="D323" s="85"/>
    </row>
    <row r="324">
      <c r="D324" s="85"/>
    </row>
    <row r="325">
      <c r="D325" s="85"/>
    </row>
    <row r="326">
      <c r="D326" s="85"/>
    </row>
    <row r="327">
      <c r="D327" s="85"/>
    </row>
    <row r="328">
      <c r="D328" s="85"/>
    </row>
    <row r="329">
      <c r="D329" s="85"/>
    </row>
    <row r="330">
      <c r="D330" s="85"/>
    </row>
    <row r="331">
      <c r="D331" s="85"/>
    </row>
    <row r="332">
      <c r="D332" s="85"/>
    </row>
    <row r="333">
      <c r="D333" s="85"/>
    </row>
    <row r="334">
      <c r="D334" s="85"/>
    </row>
    <row r="335">
      <c r="D335" s="85"/>
    </row>
    <row r="336">
      <c r="D336" s="85"/>
    </row>
    <row r="337">
      <c r="D337" s="85"/>
    </row>
    <row r="338">
      <c r="D338" s="85"/>
    </row>
    <row r="339">
      <c r="D339" s="85"/>
    </row>
    <row r="340">
      <c r="D340" s="85"/>
    </row>
    <row r="341">
      <c r="D341" s="85"/>
    </row>
    <row r="342">
      <c r="D342" s="85"/>
    </row>
    <row r="343">
      <c r="D343" s="85"/>
    </row>
    <row r="344">
      <c r="D344" s="85"/>
    </row>
    <row r="345">
      <c r="D345" s="85"/>
    </row>
    <row r="346">
      <c r="D346" s="85"/>
    </row>
    <row r="347">
      <c r="D347" s="85"/>
    </row>
    <row r="348">
      <c r="D348" s="85"/>
    </row>
    <row r="349">
      <c r="D349" s="85"/>
    </row>
    <row r="350">
      <c r="D350" s="85"/>
    </row>
    <row r="351">
      <c r="D351" s="85"/>
    </row>
    <row r="352">
      <c r="D352" s="85"/>
    </row>
    <row r="353">
      <c r="D353" s="85"/>
    </row>
    <row r="354">
      <c r="D354" s="85"/>
    </row>
    <row r="355">
      <c r="D355" s="85"/>
    </row>
    <row r="356">
      <c r="D356" s="85"/>
    </row>
    <row r="357">
      <c r="D357" s="85"/>
    </row>
    <row r="358">
      <c r="D358" s="85"/>
    </row>
    <row r="359">
      <c r="D359" s="85"/>
    </row>
    <row r="360">
      <c r="D360" s="85"/>
    </row>
    <row r="361">
      <c r="D361" s="85"/>
    </row>
    <row r="362">
      <c r="D362" s="85"/>
    </row>
    <row r="363">
      <c r="D363" s="85"/>
    </row>
    <row r="364">
      <c r="D364" s="85"/>
    </row>
    <row r="365">
      <c r="D365" s="85"/>
    </row>
    <row r="366">
      <c r="D366" s="85"/>
    </row>
    <row r="367">
      <c r="D367" s="85"/>
    </row>
    <row r="368">
      <c r="D368" s="85"/>
    </row>
    <row r="369">
      <c r="D369" s="85"/>
    </row>
    <row r="370">
      <c r="D370" s="85"/>
    </row>
    <row r="371">
      <c r="D371" s="85"/>
    </row>
    <row r="372">
      <c r="D372" s="85"/>
    </row>
    <row r="373">
      <c r="D373" s="85"/>
    </row>
    <row r="374">
      <c r="D374" s="85"/>
    </row>
    <row r="375">
      <c r="D375" s="85"/>
    </row>
    <row r="376">
      <c r="D376" s="85"/>
    </row>
    <row r="377">
      <c r="D377" s="85"/>
    </row>
    <row r="378">
      <c r="D378" s="85"/>
    </row>
    <row r="379">
      <c r="D379" s="85"/>
    </row>
    <row r="380">
      <c r="D380" s="85"/>
    </row>
    <row r="381">
      <c r="D381" s="85"/>
    </row>
    <row r="382">
      <c r="D382" s="85"/>
    </row>
    <row r="383">
      <c r="D383" s="85"/>
    </row>
    <row r="384">
      <c r="D384" s="85"/>
    </row>
    <row r="385">
      <c r="D385" s="85"/>
    </row>
    <row r="386">
      <c r="D386" s="85"/>
    </row>
    <row r="387">
      <c r="D387" s="85"/>
    </row>
    <row r="388">
      <c r="D388" s="85"/>
    </row>
    <row r="389">
      <c r="D389" s="85"/>
    </row>
    <row r="390">
      <c r="D390" s="85"/>
    </row>
    <row r="391">
      <c r="D391" s="85"/>
    </row>
    <row r="392">
      <c r="D392" s="85"/>
    </row>
    <row r="393">
      <c r="D393" s="85"/>
    </row>
    <row r="394">
      <c r="D394" s="85"/>
    </row>
    <row r="395">
      <c r="D395" s="85"/>
    </row>
    <row r="396">
      <c r="D396" s="85"/>
    </row>
    <row r="397">
      <c r="D397" s="85"/>
    </row>
    <row r="398">
      <c r="D398" s="85"/>
    </row>
    <row r="399">
      <c r="D399" s="85"/>
    </row>
    <row r="400">
      <c r="D400" s="85"/>
    </row>
    <row r="401">
      <c r="D401" s="85"/>
    </row>
    <row r="402">
      <c r="D402" s="85"/>
    </row>
    <row r="403">
      <c r="D403" s="85"/>
    </row>
    <row r="404">
      <c r="D404" s="85"/>
    </row>
    <row r="405">
      <c r="D405" s="85"/>
    </row>
    <row r="406">
      <c r="D406" s="85"/>
    </row>
    <row r="407">
      <c r="D407" s="85"/>
    </row>
    <row r="408">
      <c r="D408" s="85"/>
    </row>
    <row r="409">
      <c r="D409" s="85"/>
    </row>
    <row r="410">
      <c r="D410" s="85"/>
    </row>
    <row r="411">
      <c r="D411" s="85"/>
    </row>
    <row r="412">
      <c r="D412" s="85"/>
    </row>
    <row r="413">
      <c r="D413" s="85"/>
    </row>
    <row r="414">
      <c r="D414" s="85"/>
    </row>
    <row r="415">
      <c r="D415" s="85"/>
    </row>
    <row r="416">
      <c r="D416" s="85"/>
    </row>
    <row r="417">
      <c r="D417" s="85"/>
    </row>
    <row r="418">
      <c r="D418" s="85"/>
    </row>
    <row r="419">
      <c r="D419" s="85"/>
    </row>
    <row r="420">
      <c r="D420" s="85"/>
    </row>
    <row r="421">
      <c r="D421" s="85"/>
    </row>
    <row r="422">
      <c r="D422" s="85"/>
    </row>
    <row r="423">
      <c r="D423" s="85"/>
    </row>
    <row r="424">
      <c r="D424" s="85"/>
    </row>
    <row r="425">
      <c r="D425" s="85"/>
    </row>
    <row r="426">
      <c r="D426" s="85"/>
    </row>
    <row r="427">
      <c r="D427" s="85"/>
    </row>
    <row r="428">
      <c r="D428" s="85"/>
    </row>
    <row r="429">
      <c r="D429" s="85"/>
    </row>
    <row r="430">
      <c r="D430" s="85"/>
    </row>
    <row r="431">
      <c r="D431" s="85"/>
    </row>
    <row r="432">
      <c r="D432" s="85"/>
    </row>
    <row r="433">
      <c r="D433" s="85"/>
    </row>
    <row r="434">
      <c r="D434" s="85"/>
    </row>
    <row r="435">
      <c r="D435" s="85"/>
    </row>
    <row r="436">
      <c r="D436" s="85"/>
    </row>
    <row r="437">
      <c r="D437" s="85"/>
    </row>
    <row r="438">
      <c r="D438" s="85"/>
    </row>
    <row r="439">
      <c r="D439" s="85"/>
    </row>
    <row r="440">
      <c r="D440" s="85"/>
    </row>
    <row r="441">
      <c r="D441" s="85"/>
    </row>
    <row r="442">
      <c r="D442" s="85"/>
    </row>
    <row r="443">
      <c r="D443" s="85"/>
    </row>
    <row r="444">
      <c r="D444" s="85"/>
    </row>
    <row r="445">
      <c r="D445" s="85"/>
    </row>
    <row r="446">
      <c r="D446" s="85"/>
    </row>
    <row r="447">
      <c r="D447" s="85"/>
    </row>
    <row r="448">
      <c r="D448" s="85"/>
    </row>
    <row r="449">
      <c r="D449" s="85"/>
    </row>
    <row r="450">
      <c r="D450" s="85"/>
    </row>
    <row r="451">
      <c r="D451" s="85"/>
    </row>
    <row r="452">
      <c r="D452" s="85"/>
    </row>
    <row r="453">
      <c r="D453" s="85"/>
    </row>
    <row r="454">
      <c r="D454" s="85"/>
    </row>
    <row r="455">
      <c r="D455" s="85"/>
    </row>
    <row r="456">
      <c r="D456" s="85"/>
    </row>
    <row r="457">
      <c r="D457" s="85"/>
    </row>
    <row r="458">
      <c r="D458" s="85"/>
    </row>
    <row r="459">
      <c r="D459" s="85"/>
    </row>
    <row r="460">
      <c r="D460" s="85"/>
    </row>
    <row r="461">
      <c r="D461" s="85"/>
    </row>
    <row r="462">
      <c r="D462" s="85"/>
    </row>
    <row r="463">
      <c r="D463" s="85"/>
    </row>
    <row r="464">
      <c r="D464" s="85"/>
    </row>
    <row r="465">
      <c r="D465" s="85"/>
    </row>
    <row r="466">
      <c r="D466" s="85"/>
    </row>
    <row r="467">
      <c r="D467" s="85"/>
    </row>
    <row r="468">
      <c r="D468" s="85"/>
    </row>
    <row r="469">
      <c r="D469" s="85"/>
    </row>
    <row r="470">
      <c r="D470" s="85"/>
    </row>
    <row r="471">
      <c r="D471" s="85"/>
    </row>
    <row r="472">
      <c r="D472" s="85"/>
    </row>
    <row r="473">
      <c r="D473" s="85"/>
    </row>
    <row r="474">
      <c r="D474" s="85"/>
    </row>
    <row r="475">
      <c r="D475" s="85"/>
    </row>
    <row r="476">
      <c r="D476" s="85"/>
    </row>
    <row r="477">
      <c r="D477" s="85"/>
    </row>
    <row r="478">
      <c r="D478" s="85"/>
    </row>
    <row r="479">
      <c r="D479" s="85"/>
    </row>
    <row r="480">
      <c r="D480" s="85"/>
    </row>
    <row r="481">
      <c r="D481" s="85"/>
    </row>
    <row r="482">
      <c r="D482" s="85"/>
    </row>
    <row r="483">
      <c r="D483" s="85"/>
    </row>
    <row r="484">
      <c r="D484" s="85"/>
    </row>
    <row r="485">
      <c r="D485" s="85"/>
    </row>
    <row r="486">
      <c r="D486" s="85"/>
    </row>
    <row r="487">
      <c r="D487" s="85"/>
    </row>
    <row r="488">
      <c r="D488" s="85"/>
    </row>
    <row r="489">
      <c r="D489" s="85"/>
    </row>
    <row r="490">
      <c r="D490" s="85"/>
    </row>
    <row r="491">
      <c r="D491" s="85"/>
    </row>
    <row r="492">
      <c r="D492" s="85"/>
    </row>
    <row r="493">
      <c r="D493" s="85"/>
    </row>
    <row r="494">
      <c r="D494" s="85"/>
    </row>
    <row r="495">
      <c r="D495" s="85"/>
    </row>
    <row r="496">
      <c r="D496" s="85"/>
    </row>
    <row r="497">
      <c r="D497" s="85"/>
    </row>
    <row r="498">
      <c r="D498" s="85"/>
    </row>
    <row r="499">
      <c r="D499" s="85"/>
    </row>
    <row r="500">
      <c r="D500" s="85"/>
    </row>
    <row r="501">
      <c r="D501" s="85"/>
    </row>
    <row r="502">
      <c r="D502" s="85"/>
    </row>
    <row r="503">
      <c r="D503" s="85"/>
    </row>
    <row r="504">
      <c r="D504" s="85"/>
    </row>
    <row r="505">
      <c r="D505" s="85"/>
    </row>
    <row r="506">
      <c r="D506" s="85"/>
    </row>
    <row r="507">
      <c r="D507" s="85"/>
    </row>
    <row r="508">
      <c r="D508" s="85"/>
    </row>
    <row r="509">
      <c r="D509" s="85"/>
    </row>
    <row r="510">
      <c r="D510" s="85"/>
    </row>
    <row r="511">
      <c r="D511" s="85"/>
    </row>
    <row r="512">
      <c r="D512" s="85"/>
    </row>
    <row r="513">
      <c r="D513" s="85"/>
    </row>
    <row r="514">
      <c r="D514" s="85"/>
    </row>
    <row r="515">
      <c r="D515" s="85"/>
    </row>
    <row r="516">
      <c r="D516" s="85"/>
    </row>
    <row r="517">
      <c r="D517" s="85"/>
    </row>
    <row r="518">
      <c r="D518" s="85"/>
    </row>
    <row r="519">
      <c r="D519" s="85"/>
    </row>
    <row r="520">
      <c r="D520" s="85"/>
    </row>
    <row r="521">
      <c r="D521" s="85"/>
    </row>
    <row r="522">
      <c r="D522" s="85"/>
    </row>
    <row r="523">
      <c r="D523" s="85"/>
    </row>
    <row r="524">
      <c r="D524" s="85"/>
    </row>
    <row r="525">
      <c r="D525" s="85"/>
    </row>
    <row r="526">
      <c r="D526" s="85"/>
    </row>
    <row r="527">
      <c r="D527" s="85"/>
    </row>
    <row r="528">
      <c r="D528" s="85"/>
    </row>
    <row r="529">
      <c r="D529" s="85"/>
    </row>
    <row r="530">
      <c r="D530" s="85"/>
    </row>
    <row r="531">
      <c r="D531" s="85"/>
    </row>
    <row r="532">
      <c r="D532" s="85"/>
    </row>
    <row r="533">
      <c r="D533" s="85"/>
    </row>
    <row r="534">
      <c r="D534" s="85"/>
    </row>
    <row r="535">
      <c r="D535" s="85"/>
    </row>
    <row r="536">
      <c r="D536" s="85"/>
    </row>
    <row r="537">
      <c r="D537" s="85"/>
    </row>
    <row r="538">
      <c r="D538" s="85"/>
    </row>
    <row r="539">
      <c r="D539" s="85"/>
    </row>
    <row r="540">
      <c r="D540" s="85"/>
    </row>
    <row r="541">
      <c r="D541" s="85"/>
    </row>
    <row r="542">
      <c r="D542" s="85"/>
    </row>
    <row r="543">
      <c r="D543" s="85"/>
    </row>
    <row r="544">
      <c r="D544" s="85"/>
    </row>
    <row r="545">
      <c r="D545" s="85"/>
    </row>
    <row r="546">
      <c r="D546" s="85"/>
    </row>
    <row r="547">
      <c r="D547" s="85"/>
    </row>
    <row r="548">
      <c r="D548" s="85"/>
    </row>
    <row r="549">
      <c r="D549" s="85"/>
    </row>
    <row r="550">
      <c r="D550" s="85"/>
    </row>
    <row r="551">
      <c r="D551" s="85"/>
    </row>
    <row r="552">
      <c r="D552" s="85"/>
    </row>
    <row r="553">
      <c r="D553" s="85"/>
    </row>
    <row r="554">
      <c r="D554" s="85"/>
    </row>
    <row r="555">
      <c r="D555" s="85"/>
    </row>
    <row r="556">
      <c r="D556" s="85"/>
    </row>
    <row r="557">
      <c r="D557" s="85"/>
    </row>
    <row r="558">
      <c r="D558" s="85"/>
    </row>
    <row r="559">
      <c r="D559" s="85"/>
    </row>
    <row r="560">
      <c r="D560" s="85"/>
    </row>
    <row r="561">
      <c r="D561" s="85"/>
    </row>
    <row r="562">
      <c r="D562" s="85"/>
    </row>
    <row r="563">
      <c r="D563" s="85"/>
    </row>
    <row r="564">
      <c r="D564" s="85"/>
    </row>
    <row r="565">
      <c r="D565" s="85"/>
    </row>
    <row r="566">
      <c r="D566" s="85"/>
    </row>
    <row r="567">
      <c r="D567" s="85"/>
    </row>
    <row r="568">
      <c r="D568" s="85"/>
    </row>
    <row r="569">
      <c r="D569" s="85"/>
    </row>
    <row r="570">
      <c r="D570" s="85"/>
    </row>
    <row r="571">
      <c r="D571" s="85"/>
    </row>
    <row r="572">
      <c r="D572" s="85"/>
    </row>
    <row r="573">
      <c r="D573" s="85"/>
    </row>
    <row r="574">
      <c r="D574" s="85"/>
    </row>
    <row r="575">
      <c r="D575" s="85"/>
    </row>
    <row r="576">
      <c r="D576" s="85"/>
    </row>
    <row r="577">
      <c r="D577" s="85"/>
    </row>
    <row r="578">
      <c r="D578" s="85"/>
    </row>
    <row r="579">
      <c r="D579" s="85"/>
    </row>
    <row r="580">
      <c r="D580" s="85"/>
    </row>
    <row r="581">
      <c r="D581" s="85"/>
    </row>
    <row r="582">
      <c r="D582" s="85"/>
    </row>
    <row r="583">
      <c r="D583" s="85"/>
    </row>
    <row r="584">
      <c r="D584" s="85"/>
    </row>
    <row r="585">
      <c r="D585" s="85"/>
    </row>
    <row r="586">
      <c r="D586" s="85"/>
    </row>
    <row r="587">
      <c r="D587" s="85"/>
    </row>
    <row r="588">
      <c r="D588" s="85"/>
    </row>
    <row r="589">
      <c r="D589" s="85"/>
    </row>
    <row r="590">
      <c r="D590" s="85"/>
    </row>
    <row r="591">
      <c r="D591" s="85"/>
    </row>
    <row r="592">
      <c r="D592" s="85"/>
    </row>
    <row r="593">
      <c r="D593" s="85"/>
    </row>
    <row r="594">
      <c r="D594" s="85"/>
    </row>
    <row r="595">
      <c r="D595" s="85"/>
    </row>
    <row r="596">
      <c r="D596" s="85"/>
    </row>
    <row r="597">
      <c r="D597" s="85"/>
    </row>
    <row r="598">
      <c r="D598" s="85"/>
    </row>
    <row r="599">
      <c r="D599" s="85"/>
    </row>
    <row r="600">
      <c r="D600" s="85"/>
    </row>
    <row r="601">
      <c r="D601" s="85"/>
    </row>
    <row r="602">
      <c r="D602" s="85"/>
    </row>
    <row r="603">
      <c r="D603" s="85"/>
    </row>
    <row r="604">
      <c r="D604" s="85"/>
    </row>
    <row r="605">
      <c r="D605" s="85"/>
    </row>
    <row r="606">
      <c r="D606" s="85"/>
    </row>
    <row r="607">
      <c r="D607" s="85"/>
    </row>
    <row r="608">
      <c r="D608" s="85"/>
    </row>
    <row r="609">
      <c r="D609" s="85"/>
    </row>
    <row r="610">
      <c r="D610" s="85"/>
    </row>
    <row r="611">
      <c r="D611" s="85"/>
    </row>
    <row r="612">
      <c r="D612" s="85"/>
    </row>
    <row r="613">
      <c r="D613" s="85"/>
    </row>
    <row r="614">
      <c r="D614" s="85"/>
    </row>
    <row r="615">
      <c r="D615" s="85"/>
    </row>
    <row r="616">
      <c r="D616" s="85"/>
    </row>
    <row r="617">
      <c r="D617" s="85"/>
    </row>
    <row r="618">
      <c r="D618" s="85"/>
    </row>
    <row r="619">
      <c r="D619" s="85"/>
    </row>
    <row r="620">
      <c r="D620" s="85"/>
    </row>
    <row r="621">
      <c r="D621" s="85"/>
    </row>
    <row r="622">
      <c r="D622" s="85"/>
    </row>
    <row r="623">
      <c r="D623" s="85"/>
    </row>
    <row r="624">
      <c r="D624" s="85"/>
    </row>
    <row r="625">
      <c r="D625" s="85"/>
    </row>
    <row r="626">
      <c r="D626" s="85"/>
    </row>
    <row r="627">
      <c r="D627" s="85"/>
    </row>
    <row r="628">
      <c r="D628" s="85"/>
    </row>
    <row r="629">
      <c r="D629" s="85"/>
    </row>
    <row r="630">
      <c r="D630" s="85"/>
    </row>
    <row r="631">
      <c r="D631" s="85"/>
    </row>
    <row r="632">
      <c r="D632" s="85"/>
    </row>
    <row r="633">
      <c r="D633" s="85"/>
    </row>
    <row r="634">
      <c r="D634" s="85"/>
    </row>
    <row r="635">
      <c r="D635" s="85"/>
    </row>
    <row r="636">
      <c r="D636" s="85"/>
    </row>
    <row r="637">
      <c r="D637" s="85"/>
    </row>
    <row r="638">
      <c r="D638" s="85"/>
    </row>
    <row r="639">
      <c r="D639" s="85"/>
    </row>
    <row r="640">
      <c r="D640" s="85"/>
    </row>
    <row r="641">
      <c r="D641" s="85"/>
    </row>
    <row r="642">
      <c r="D642" s="85"/>
    </row>
    <row r="643">
      <c r="D643" s="85"/>
    </row>
    <row r="644">
      <c r="D644" s="85"/>
    </row>
    <row r="645">
      <c r="D645" s="85"/>
    </row>
    <row r="646">
      <c r="D646" s="85"/>
    </row>
    <row r="647">
      <c r="D647" s="85"/>
    </row>
    <row r="648">
      <c r="D648" s="85"/>
    </row>
    <row r="649">
      <c r="D649" s="85"/>
    </row>
    <row r="650">
      <c r="D650" s="85"/>
    </row>
    <row r="651">
      <c r="D651" s="85"/>
    </row>
    <row r="652">
      <c r="D652" s="85"/>
    </row>
    <row r="653">
      <c r="D653" s="85"/>
    </row>
    <row r="654">
      <c r="D654" s="85"/>
    </row>
    <row r="655">
      <c r="D655" s="85"/>
    </row>
    <row r="656">
      <c r="D656" s="85"/>
    </row>
    <row r="657">
      <c r="D657" s="85"/>
    </row>
    <row r="658">
      <c r="D658" s="85"/>
    </row>
    <row r="659">
      <c r="D659" s="85"/>
    </row>
    <row r="660">
      <c r="D660" s="85"/>
    </row>
    <row r="661">
      <c r="D661" s="85"/>
    </row>
    <row r="662">
      <c r="D662" s="85"/>
    </row>
    <row r="663">
      <c r="D663" s="85"/>
    </row>
    <row r="664">
      <c r="D664" s="85"/>
    </row>
    <row r="665">
      <c r="D665" s="85"/>
    </row>
    <row r="666">
      <c r="D666" s="85"/>
    </row>
    <row r="667">
      <c r="D667" s="85"/>
    </row>
    <row r="668">
      <c r="D668" s="85"/>
    </row>
    <row r="669">
      <c r="D669" s="85"/>
    </row>
    <row r="670">
      <c r="D670" s="85"/>
    </row>
    <row r="671">
      <c r="D671" s="85"/>
    </row>
    <row r="672">
      <c r="D672" s="85"/>
    </row>
    <row r="673">
      <c r="D673" s="85"/>
    </row>
    <row r="674">
      <c r="D674" s="85"/>
    </row>
    <row r="675">
      <c r="D675" s="85"/>
    </row>
    <row r="676">
      <c r="D676" s="85"/>
    </row>
    <row r="677">
      <c r="D677" s="85"/>
    </row>
    <row r="678">
      <c r="D678" s="85"/>
    </row>
    <row r="679">
      <c r="D679" s="85"/>
    </row>
    <row r="680">
      <c r="D680" s="85"/>
    </row>
    <row r="681">
      <c r="D681" s="85"/>
    </row>
    <row r="682">
      <c r="D682" s="85"/>
    </row>
    <row r="683">
      <c r="D683" s="85"/>
    </row>
    <row r="684">
      <c r="D684" s="85"/>
    </row>
    <row r="685">
      <c r="D685" s="85"/>
    </row>
    <row r="686">
      <c r="D686" s="85"/>
    </row>
    <row r="687">
      <c r="D687" s="85"/>
    </row>
    <row r="688">
      <c r="D688" s="85"/>
    </row>
    <row r="689">
      <c r="D689" s="85"/>
    </row>
    <row r="690">
      <c r="D690" s="85"/>
    </row>
    <row r="691">
      <c r="D691" s="85"/>
    </row>
    <row r="692">
      <c r="D692" s="85"/>
    </row>
    <row r="693">
      <c r="D693" s="85"/>
    </row>
    <row r="694">
      <c r="D694" s="85"/>
    </row>
    <row r="695">
      <c r="D695" s="85"/>
    </row>
    <row r="696">
      <c r="D696" s="85"/>
    </row>
    <row r="697">
      <c r="D697" s="85"/>
    </row>
    <row r="698">
      <c r="D698" s="85"/>
    </row>
    <row r="699">
      <c r="D699" s="85"/>
    </row>
    <row r="700">
      <c r="D700" s="85"/>
    </row>
    <row r="701">
      <c r="D701" s="85"/>
    </row>
    <row r="702">
      <c r="D702" s="85"/>
    </row>
    <row r="703">
      <c r="D703" s="85"/>
    </row>
    <row r="704">
      <c r="D704" s="85"/>
    </row>
    <row r="705">
      <c r="D705" s="85"/>
    </row>
    <row r="706">
      <c r="D706" s="85"/>
    </row>
    <row r="707">
      <c r="D707" s="85"/>
    </row>
    <row r="708">
      <c r="D708" s="85"/>
    </row>
    <row r="709">
      <c r="D709" s="85"/>
    </row>
    <row r="710">
      <c r="D710" s="85"/>
    </row>
    <row r="711">
      <c r="D711" s="85"/>
    </row>
    <row r="712">
      <c r="D712" s="85"/>
    </row>
    <row r="713">
      <c r="D713" s="85"/>
    </row>
    <row r="714">
      <c r="D714" s="85"/>
    </row>
    <row r="715">
      <c r="D715" s="85"/>
    </row>
    <row r="716">
      <c r="D716" s="85"/>
    </row>
    <row r="717">
      <c r="D717" s="85"/>
    </row>
    <row r="718">
      <c r="D718" s="85"/>
    </row>
    <row r="719">
      <c r="D719" s="85"/>
    </row>
    <row r="720">
      <c r="D720" s="85"/>
    </row>
    <row r="721">
      <c r="D721" s="85"/>
    </row>
    <row r="722">
      <c r="D722" s="85"/>
    </row>
    <row r="723">
      <c r="D723" s="85"/>
    </row>
    <row r="724">
      <c r="D724" s="85"/>
    </row>
    <row r="725">
      <c r="D725" s="85"/>
    </row>
    <row r="726">
      <c r="D726" s="85"/>
    </row>
    <row r="727">
      <c r="D727" s="85"/>
    </row>
    <row r="728">
      <c r="D728" s="85"/>
    </row>
    <row r="729">
      <c r="D729" s="85"/>
    </row>
    <row r="730">
      <c r="D730" s="85"/>
    </row>
    <row r="731">
      <c r="D731" s="85"/>
    </row>
    <row r="732">
      <c r="D732" s="85"/>
    </row>
    <row r="733">
      <c r="D733" s="85"/>
    </row>
    <row r="734">
      <c r="D734" s="85"/>
    </row>
    <row r="735">
      <c r="D735" s="85"/>
    </row>
    <row r="736">
      <c r="D736" s="85"/>
    </row>
    <row r="737">
      <c r="D737" s="85"/>
    </row>
    <row r="738">
      <c r="D738" s="85"/>
    </row>
    <row r="739">
      <c r="D739" s="85"/>
    </row>
    <row r="740">
      <c r="D740" s="85"/>
    </row>
    <row r="741">
      <c r="D741" s="85"/>
    </row>
    <row r="742">
      <c r="D742" s="85"/>
    </row>
    <row r="743">
      <c r="D743" s="85"/>
    </row>
    <row r="744">
      <c r="D744" s="85"/>
    </row>
    <row r="745">
      <c r="D745" s="85"/>
    </row>
    <row r="746">
      <c r="D746" s="85"/>
    </row>
    <row r="747">
      <c r="D747" s="85"/>
    </row>
    <row r="748">
      <c r="D748" s="85"/>
    </row>
    <row r="749">
      <c r="D749" s="85"/>
    </row>
    <row r="750">
      <c r="D750" s="85"/>
    </row>
    <row r="751">
      <c r="D751" s="85"/>
    </row>
    <row r="752">
      <c r="D752" s="85"/>
    </row>
    <row r="753">
      <c r="D753" s="85"/>
    </row>
    <row r="754">
      <c r="D754" s="85"/>
    </row>
    <row r="755">
      <c r="D755" s="85"/>
    </row>
    <row r="756">
      <c r="D756" s="85"/>
    </row>
    <row r="757">
      <c r="D757" s="85"/>
    </row>
    <row r="758">
      <c r="D758" s="85"/>
    </row>
    <row r="759">
      <c r="D759" s="85"/>
    </row>
    <row r="760">
      <c r="D760" s="85"/>
    </row>
    <row r="761">
      <c r="D761" s="85"/>
    </row>
    <row r="762">
      <c r="D762" s="85"/>
    </row>
    <row r="763">
      <c r="D763" s="85"/>
    </row>
    <row r="764">
      <c r="D764" s="85"/>
    </row>
    <row r="765">
      <c r="D765" s="85"/>
    </row>
    <row r="766">
      <c r="D766" s="85"/>
    </row>
    <row r="767">
      <c r="D767" s="85"/>
    </row>
    <row r="768">
      <c r="D768" s="85"/>
    </row>
    <row r="769">
      <c r="D769" s="85"/>
    </row>
    <row r="770">
      <c r="D770" s="85"/>
    </row>
    <row r="771">
      <c r="D771" s="85"/>
    </row>
    <row r="772">
      <c r="D772" s="85"/>
    </row>
    <row r="773">
      <c r="D773" s="85"/>
    </row>
    <row r="774">
      <c r="D774" s="85"/>
    </row>
    <row r="775">
      <c r="D775" s="85"/>
    </row>
    <row r="776">
      <c r="D776" s="85"/>
    </row>
    <row r="777">
      <c r="D777" s="85"/>
    </row>
    <row r="778">
      <c r="D778" s="85"/>
    </row>
    <row r="779">
      <c r="D779" s="85"/>
    </row>
    <row r="780">
      <c r="D780" s="85"/>
    </row>
    <row r="781">
      <c r="D781" s="85"/>
    </row>
    <row r="782">
      <c r="D782" s="85"/>
    </row>
    <row r="783">
      <c r="D783" s="85"/>
    </row>
    <row r="784">
      <c r="D784" s="85"/>
    </row>
    <row r="785">
      <c r="D785" s="85"/>
    </row>
    <row r="786">
      <c r="D786" s="85"/>
    </row>
    <row r="787">
      <c r="D787" s="85"/>
    </row>
    <row r="788">
      <c r="D788" s="85"/>
    </row>
    <row r="789">
      <c r="D789" s="85"/>
    </row>
    <row r="790">
      <c r="D790" s="85"/>
    </row>
    <row r="791">
      <c r="D791" s="85"/>
    </row>
    <row r="792">
      <c r="D792" s="85"/>
    </row>
    <row r="793">
      <c r="D793" s="85"/>
    </row>
    <row r="794">
      <c r="D794" s="85"/>
    </row>
    <row r="795">
      <c r="D795" s="85"/>
    </row>
    <row r="796">
      <c r="D796" s="85"/>
    </row>
    <row r="797">
      <c r="D797" s="85"/>
    </row>
    <row r="798">
      <c r="D798" s="85"/>
    </row>
    <row r="799">
      <c r="D799" s="85"/>
    </row>
    <row r="800">
      <c r="D800" s="85"/>
    </row>
    <row r="801">
      <c r="D801" s="85"/>
    </row>
    <row r="802">
      <c r="D802" s="85"/>
    </row>
    <row r="803">
      <c r="D803" s="85"/>
    </row>
    <row r="804">
      <c r="D804" s="85"/>
    </row>
    <row r="805">
      <c r="D805" s="85"/>
    </row>
    <row r="806">
      <c r="D806" s="85"/>
    </row>
    <row r="807">
      <c r="D807" s="85"/>
    </row>
    <row r="808">
      <c r="D808" s="85"/>
    </row>
    <row r="809">
      <c r="D809" s="85"/>
    </row>
    <row r="810">
      <c r="D810" s="85"/>
    </row>
    <row r="811">
      <c r="D811" s="85"/>
    </row>
    <row r="812">
      <c r="D812" s="85"/>
    </row>
    <row r="813">
      <c r="D813" s="85"/>
    </row>
    <row r="814">
      <c r="D814" s="85"/>
    </row>
    <row r="815">
      <c r="D815" s="85"/>
    </row>
    <row r="816">
      <c r="D816" s="85"/>
    </row>
    <row r="817">
      <c r="D817" s="85"/>
    </row>
    <row r="818">
      <c r="D818" s="85"/>
    </row>
    <row r="819">
      <c r="D819" s="85"/>
    </row>
    <row r="820">
      <c r="D820" s="85"/>
    </row>
    <row r="821">
      <c r="D821" s="85"/>
    </row>
    <row r="822">
      <c r="D822" s="85"/>
    </row>
    <row r="823">
      <c r="D823" s="85"/>
    </row>
    <row r="824">
      <c r="D824" s="85"/>
    </row>
    <row r="825">
      <c r="D825" s="85"/>
    </row>
    <row r="826">
      <c r="D826" s="85"/>
    </row>
    <row r="827">
      <c r="D827" s="85"/>
    </row>
    <row r="828">
      <c r="D828" s="85"/>
    </row>
    <row r="829">
      <c r="D829" s="85"/>
    </row>
    <row r="830">
      <c r="D830" s="85"/>
    </row>
    <row r="831">
      <c r="D831" s="85"/>
    </row>
    <row r="832">
      <c r="D832" s="85"/>
    </row>
    <row r="833">
      <c r="D833" s="85"/>
    </row>
    <row r="834">
      <c r="D834" s="85"/>
    </row>
    <row r="835">
      <c r="D835" s="85"/>
    </row>
    <row r="836">
      <c r="D836" s="85"/>
    </row>
    <row r="837">
      <c r="D837" s="85"/>
    </row>
    <row r="838">
      <c r="D838" s="85"/>
    </row>
    <row r="839">
      <c r="D839" s="85"/>
    </row>
    <row r="840">
      <c r="D840" s="85"/>
    </row>
    <row r="841">
      <c r="D841" s="85"/>
    </row>
    <row r="842">
      <c r="D842" s="85"/>
    </row>
    <row r="843">
      <c r="D843" s="85"/>
    </row>
    <row r="844">
      <c r="D844" s="85"/>
    </row>
    <row r="845">
      <c r="D845" s="85"/>
    </row>
    <row r="846">
      <c r="D846" s="85"/>
    </row>
    <row r="847">
      <c r="D847" s="85"/>
    </row>
    <row r="848">
      <c r="D848" s="85"/>
    </row>
    <row r="849">
      <c r="D849" s="85"/>
    </row>
    <row r="850">
      <c r="D850" s="85"/>
    </row>
    <row r="851">
      <c r="D851" s="85"/>
    </row>
    <row r="852">
      <c r="D852" s="85"/>
    </row>
    <row r="853">
      <c r="D853" s="85"/>
    </row>
    <row r="854">
      <c r="D854" s="85"/>
    </row>
    <row r="855">
      <c r="D855" s="85"/>
    </row>
    <row r="856">
      <c r="D856" s="85"/>
    </row>
    <row r="857">
      <c r="D857" s="85"/>
    </row>
    <row r="858">
      <c r="D858" s="85"/>
    </row>
    <row r="859">
      <c r="D859" s="85"/>
    </row>
    <row r="860">
      <c r="D860" s="85"/>
    </row>
    <row r="861">
      <c r="D861" s="85"/>
    </row>
    <row r="862">
      <c r="D862" s="85"/>
    </row>
    <row r="863">
      <c r="D863" s="85"/>
    </row>
    <row r="864">
      <c r="D864" s="85"/>
    </row>
    <row r="865">
      <c r="D865" s="85"/>
    </row>
    <row r="866">
      <c r="D866" s="85"/>
    </row>
    <row r="867">
      <c r="D867" s="85"/>
    </row>
    <row r="868">
      <c r="D868" s="85"/>
    </row>
    <row r="869">
      <c r="D869" s="85"/>
    </row>
    <row r="870">
      <c r="D870" s="85"/>
    </row>
    <row r="871">
      <c r="D871" s="85"/>
    </row>
    <row r="872">
      <c r="D872" s="85"/>
    </row>
    <row r="873">
      <c r="D873" s="85"/>
    </row>
    <row r="874">
      <c r="D874" s="85"/>
    </row>
    <row r="875">
      <c r="D875" s="85"/>
    </row>
    <row r="876">
      <c r="D876" s="85"/>
    </row>
    <row r="877">
      <c r="D877" s="85"/>
    </row>
    <row r="878">
      <c r="D878" s="85"/>
    </row>
    <row r="879">
      <c r="D879" s="85"/>
    </row>
    <row r="880">
      <c r="D880" s="85"/>
    </row>
    <row r="881">
      <c r="D881" s="85"/>
    </row>
    <row r="882">
      <c r="D882" s="85"/>
    </row>
    <row r="883">
      <c r="D883" s="85"/>
    </row>
    <row r="884">
      <c r="D884" s="85"/>
    </row>
    <row r="885">
      <c r="D885" s="85"/>
    </row>
    <row r="886">
      <c r="D886" s="85"/>
    </row>
    <row r="887">
      <c r="D887" s="85"/>
    </row>
    <row r="888">
      <c r="D888" s="85"/>
    </row>
    <row r="889">
      <c r="D889" s="85"/>
    </row>
    <row r="890">
      <c r="D890" s="85"/>
    </row>
    <row r="891">
      <c r="D891" s="85"/>
    </row>
    <row r="892">
      <c r="D892" s="85"/>
    </row>
    <row r="893">
      <c r="D893" s="85"/>
    </row>
    <row r="894">
      <c r="D894" s="85"/>
    </row>
    <row r="895">
      <c r="D895" s="85"/>
    </row>
    <row r="896">
      <c r="D896" s="85"/>
    </row>
    <row r="897">
      <c r="D897" s="85"/>
    </row>
    <row r="898">
      <c r="D898" s="85"/>
    </row>
    <row r="899">
      <c r="D899" s="85"/>
    </row>
    <row r="900">
      <c r="D900" s="85"/>
    </row>
    <row r="901">
      <c r="D901" s="85"/>
    </row>
    <row r="902">
      <c r="D902" s="85"/>
    </row>
    <row r="903">
      <c r="D903" s="85"/>
    </row>
    <row r="904">
      <c r="D904" s="85"/>
    </row>
    <row r="905">
      <c r="D905" s="85"/>
    </row>
    <row r="906">
      <c r="D906" s="85"/>
    </row>
    <row r="907">
      <c r="D907" s="85"/>
    </row>
    <row r="908">
      <c r="D908" s="85"/>
    </row>
    <row r="909">
      <c r="D909" s="85"/>
    </row>
    <row r="910">
      <c r="D910" s="85"/>
    </row>
    <row r="911">
      <c r="D911" s="85"/>
    </row>
    <row r="912">
      <c r="D912" s="85"/>
    </row>
    <row r="913">
      <c r="D913" s="85"/>
    </row>
    <row r="914">
      <c r="D914" s="85"/>
    </row>
    <row r="915">
      <c r="D915" s="85"/>
    </row>
    <row r="916">
      <c r="D916" s="85"/>
    </row>
    <row r="917">
      <c r="D917" s="85"/>
    </row>
    <row r="918">
      <c r="D918" s="85"/>
    </row>
    <row r="919">
      <c r="D919" s="85"/>
    </row>
    <row r="920">
      <c r="D920" s="85"/>
    </row>
    <row r="921">
      <c r="D921" s="85"/>
    </row>
    <row r="922">
      <c r="D922" s="85"/>
    </row>
    <row r="923">
      <c r="D923" s="85"/>
    </row>
    <row r="924">
      <c r="D924" s="85"/>
    </row>
    <row r="925">
      <c r="D925" s="85"/>
    </row>
    <row r="926">
      <c r="D926" s="85"/>
    </row>
    <row r="927">
      <c r="D927" s="85"/>
    </row>
    <row r="928">
      <c r="D928" s="85"/>
    </row>
    <row r="929">
      <c r="D929" s="85"/>
    </row>
    <row r="930">
      <c r="D930" s="85"/>
    </row>
    <row r="931">
      <c r="D931" s="85"/>
    </row>
    <row r="932">
      <c r="D932" s="85"/>
    </row>
    <row r="933">
      <c r="D933" s="85"/>
    </row>
    <row r="934">
      <c r="D934" s="85"/>
    </row>
    <row r="935">
      <c r="D935" s="85"/>
    </row>
    <row r="936">
      <c r="D936" s="85"/>
    </row>
    <row r="937">
      <c r="D937" s="85"/>
    </row>
    <row r="938">
      <c r="D938" s="85"/>
    </row>
    <row r="939">
      <c r="D939" s="85"/>
    </row>
    <row r="940">
      <c r="D940" s="85"/>
    </row>
    <row r="941">
      <c r="D941" s="85"/>
    </row>
    <row r="942">
      <c r="D942" s="85"/>
    </row>
    <row r="943">
      <c r="D943" s="85"/>
    </row>
    <row r="944">
      <c r="D944" s="85"/>
    </row>
    <row r="945">
      <c r="D945" s="85"/>
    </row>
    <row r="946">
      <c r="D946" s="85"/>
    </row>
    <row r="947">
      <c r="D947" s="85"/>
    </row>
    <row r="948">
      <c r="D948" s="85"/>
    </row>
    <row r="949">
      <c r="D949" s="85"/>
    </row>
    <row r="950">
      <c r="D950" s="85"/>
    </row>
    <row r="951">
      <c r="D951" s="85"/>
    </row>
    <row r="952">
      <c r="D952" s="85"/>
    </row>
    <row r="953">
      <c r="D953" s="85"/>
    </row>
    <row r="954">
      <c r="D954" s="85"/>
    </row>
    <row r="955">
      <c r="D955" s="85"/>
    </row>
    <row r="956">
      <c r="D956" s="85"/>
    </row>
    <row r="957">
      <c r="D957" s="85"/>
    </row>
    <row r="958">
      <c r="D958" s="85"/>
    </row>
    <row r="959">
      <c r="D959" s="85"/>
    </row>
    <row r="960">
      <c r="D960" s="85"/>
    </row>
    <row r="961">
      <c r="D961" s="85"/>
    </row>
    <row r="962">
      <c r="D962" s="85"/>
    </row>
    <row r="963">
      <c r="D963" s="85"/>
    </row>
    <row r="964">
      <c r="D964" s="85"/>
    </row>
    <row r="965">
      <c r="D965" s="85"/>
    </row>
    <row r="966">
      <c r="D966" s="85"/>
    </row>
    <row r="967">
      <c r="D967" s="85"/>
    </row>
    <row r="968">
      <c r="D968" s="85"/>
    </row>
    <row r="969">
      <c r="D969" s="85"/>
    </row>
    <row r="970">
      <c r="D970" s="85"/>
    </row>
    <row r="971">
      <c r="D971" s="85"/>
    </row>
    <row r="972">
      <c r="D972" s="85"/>
    </row>
    <row r="973">
      <c r="D973" s="85"/>
    </row>
    <row r="974">
      <c r="D974" s="85"/>
    </row>
    <row r="975">
      <c r="D975" s="85"/>
    </row>
    <row r="976">
      <c r="D976" s="85"/>
    </row>
    <row r="977">
      <c r="D977" s="85"/>
    </row>
    <row r="978">
      <c r="D978" s="85"/>
    </row>
    <row r="979">
      <c r="D979" s="85"/>
    </row>
    <row r="980">
      <c r="D980" s="85"/>
    </row>
    <row r="981">
      <c r="D981" s="85"/>
    </row>
    <row r="982">
      <c r="D982" s="85"/>
    </row>
    <row r="983">
      <c r="D983" s="85"/>
    </row>
    <row r="984">
      <c r="D984" s="85"/>
    </row>
    <row r="985">
      <c r="D985" s="85"/>
    </row>
    <row r="986">
      <c r="D986" s="85"/>
    </row>
    <row r="987">
      <c r="D987" s="85"/>
    </row>
    <row r="988">
      <c r="D988" s="85"/>
    </row>
    <row r="989">
      <c r="D989" s="85"/>
    </row>
    <row r="990">
      <c r="D990" s="85"/>
    </row>
    <row r="991">
      <c r="D991" s="85"/>
    </row>
    <row r="992">
      <c r="D992" s="85"/>
    </row>
    <row r="993">
      <c r="D993" s="85"/>
    </row>
    <row r="994">
      <c r="D994" s="85"/>
    </row>
    <row r="995">
      <c r="D995" s="85"/>
    </row>
    <row r="996">
      <c r="D996" s="85"/>
    </row>
    <row r="997">
      <c r="D997" s="85"/>
    </row>
    <row r="998">
      <c r="D998" s="85"/>
    </row>
    <row r="999">
      <c r="D999" s="85"/>
    </row>
    <row r="1000">
      <c r="D1000" s="85"/>
    </row>
  </sheetData>
  <conditionalFormatting sqref="A5:A1000">
    <cfRule type="notContainsBlanks" dxfId="9" priority="1">
      <formula>LEN(TRIM(A5))&gt;0</formula>
    </cfRule>
  </conditionalFormatting>
  <conditionalFormatting sqref="B5:B1000">
    <cfRule type="notContainsBlanks" dxfId="10" priority="2">
      <formula>LEN(TRIM(B5))&gt;0</formula>
    </cfRule>
  </conditionalFormatting>
  <conditionalFormatting sqref="C5:C1000">
    <cfRule type="containsText" dxfId="11" priority="3" operator="containsText" text="BUY">
      <formula>NOT(ISERROR(SEARCH(("BUY"),(C5))))</formula>
    </cfRule>
  </conditionalFormatting>
  <conditionalFormatting sqref="C5:C1000">
    <cfRule type="containsText" dxfId="1" priority="4" operator="containsText" text="SELL">
      <formula>NOT(ISERROR(SEARCH(("SELL"),(C5))))</formula>
    </cfRule>
  </conditionalFormatting>
  <conditionalFormatting sqref="L5:L1000">
    <cfRule type="containsText" dxfId="12" priority="5" operator="containsText" text="Limit">
      <formula>NOT(ISERROR(SEARCH(("Limit"),(L5))))</formula>
    </cfRule>
  </conditionalFormatting>
  <conditionalFormatting sqref="L5:L1000">
    <cfRule type="containsText" dxfId="13" priority="6" operator="containsText" text="Insufficient">
      <formula>NOT(ISERROR(SEARCH(("Insufficient"),(L5))))</formula>
    </cfRule>
  </conditionalFormatting>
  <hyperlinks>
    <hyperlink r:id="rId1" ref="D8"/>
    <hyperlink r:id="rId2" ref="D9"/>
    <hyperlink r:id="rId3" ref="D10"/>
    <hyperlink r:id="rId4" ref="D13"/>
    <hyperlink r:id="rId5" ref="D14"/>
    <hyperlink r:id="rId6" ref="D15"/>
    <hyperlink r:id="rId7" ref="D16"/>
    <hyperlink r:id="rId8" ref="D25"/>
    <hyperlink r:id="rId9" ref="D32"/>
    <hyperlink r:id="rId10" ref="D33"/>
    <hyperlink r:id="rId11" ref="D43"/>
    <hyperlink r:id="rId12" ref="D45"/>
    <hyperlink r:id="rId13" ref="D46"/>
    <hyperlink r:id="rId14" ref="D48"/>
    <hyperlink r:id="rId15" ref="D49"/>
    <hyperlink r:id="rId16" ref="D51"/>
    <hyperlink r:id="rId17" ref="D52"/>
    <hyperlink r:id="rId18" ref="D53"/>
    <hyperlink r:id="rId19" ref="D54"/>
    <hyperlink r:id="rId20" ref="D56"/>
    <hyperlink r:id="rId21" ref="D61"/>
    <hyperlink r:id="rId22" ref="D63"/>
    <hyperlink r:id="rId23" ref="D67"/>
    <hyperlink r:id="rId24" ref="D68"/>
    <hyperlink r:id="rId25" ref="D69"/>
    <hyperlink r:id="rId26" ref="D70"/>
    <hyperlink r:id="rId27" ref="D71"/>
    <hyperlink r:id="rId28" ref="D72"/>
    <hyperlink r:id="rId29" ref="D76"/>
    <hyperlink r:id="rId30" ref="D80"/>
    <hyperlink r:id="rId31" ref="D84"/>
    <hyperlink r:id="rId32" ref="D94"/>
    <hyperlink r:id="rId33" ref="D98"/>
    <hyperlink r:id="rId34" ref="D119"/>
    <hyperlink r:id="rId35" ref="D130"/>
    <hyperlink r:id="rId36" ref="D131"/>
    <hyperlink r:id="rId37" ref="D137"/>
    <hyperlink r:id="rId38" ref="D142"/>
    <hyperlink r:id="rId39" ref="D145"/>
    <hyperlink r:id="rId40" ref="D147"/>
    <hyperlink r:id="rId41" ref="D148"/>
    <hyperlink r:id="rId42" ref="D150"/>
    <hyperlink r:id="rId43" ref="D156"/>
    <hyperlink r:id="rId44" ref="D166"/>
    <hyperlink r:id="rId45" ref="D167"/>
    <hyperlink r:id="rId46" ref="D169"/>
    <hyperlink r:id="rId47" ref="D171"/>
    <hyperlink r:id="rId48" ref="D172"/>
    <hyperlink r:id="rId49" ref="D173"/>
    <hyperlink r:id="rId50" ref="D174"/>
    <hyperlink r:id="rId51" ref="D178"/>
    <hyperlink r:id="rId52" ref="D182"/>
    <hyperlink r:id="rId53" ref="D193"/>
    <hyperlink r:id="rId54" ref="D194"/>
    <hyperlink r:id="rId55" ref="D206"/>
    <hyperlink r:id="rId56" ref="D211"/>
    <hyperlink r:id="rId57" ref="D212"/>
    <hyperlink r:id="rId58" ref="D213"/>
    <hyperlink r:id="rId59" ref="D214"/>
    <hyperlink r:id="rId60" ref="D218"/>
    <hyperlink r:id="rId61" ref="D230"/>
    <hyperlink r:id="rId62" ref="D231"/>
    <hyperlink r:id="rId63" ref="D232"/>
    <hyperlink r:id="rId64" ref="D239"/>
    <hyperlink r:id="rId65" ref="D240"/>
    <hyperlink r:id="rId66" ref="D241"/>
    <hyperlink r:id="rId67" ref="D242"/>
    <hyperlink r:id="rId68" ref="D249"/>
    <hyperlink r:id="rId69" ref="D250"/>
    <hyperlink r:id="rId70" ref="D253"/>
    <hyperlink r:id="rId71" ref="D257"/>
    <hyperlink r:id="rId72" ref="D258"/>
    <hyperlink r:id="rId73" ref="D260"/>
  </hyperlinks>
  <drawing r:id="rId7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outlineLevelCol="1" outlineLevelRow="1"/>
  <cols>
    <col customWidth="1" min="1" max="1" width="7.0"/>
    <col customWidth="1" min="2" max="2" width="8.38"/>
    <col customWidth="1" min="5" max="5" width="10.88"/>
    <col customWidth="1" min="6" max="6" width="6.75"/>
    <col customWidth="1" min="7" max="7" width="7.25"/>
    <col customWidth="1" min="8" max="8" width="8.13"/>
    <col customWidth="1" min="9" max="9" width="6.88"/>
    <col customWidth="1" min="10" max="10" width="10.63"/>
    <col collapsed="1" customWidth="1" min="11" max="11" width="1.63"/>
    <col customWidth="1" hidden="1" min="12" max="12" width="9.38" outlineLevel="1"/>
    <col customWidth="1" hidden="1" min="13" max="13" width="14.88" outlineLevel="1"/>
    <col hidden="1" min="14" max="15" width="12.63" outlineLevel="1"/>
    <col collapsed="1" customWidth="1" min="16" max="16" width="9.5"/>
    <col hidden="1" min="17" max="18" width="12.63" outlineLevel="1"/>
    <col collapsed="1" customWidth="1" min="19" max="19" width="8.75"/>
    <col hidden="1" min="20" max="21" width="12.63" outlineLevel="1"/>
    <col customWidth="1" min="22" max="22" width="10.0"/>
    <col customWidth="1" min="23" max="23" width="9.63"/>
    <col customWidth="1" min="24" max="25" width="7.88"/>
    <col customWidth="1" min="26" max="26" width="7.0"/>
  </cols>
  <sheetData>
    <row r="1">
      <c r="A1" s="144" t="str">
        <f>IFERROR(__xludf.DUMMYFUNCTION("importrange(""https://docs.google.com/spreadsheets/d/1mvA960mm3QaFyRdwkfIRxhE1UQJl45QEUTnDVxtxiIE/edit?usp=sharing"",""PnLDetails!o1:an"" &amp; importrange(""https://docs.google.com/spreadsheets/d/1mvA960mm3QaFyRdwkfIRxhE1UQJl45QEUTnDVxtxiIE/edit?usp=sharing"&amp;""",""PnLDetails!ao1""))"),"Trading Record Summary")</f>
        <v>Trading Record Summary</v>
      </c>
      <c r="B1" s="35"/>
      <c r="C1" s="35"/>
      <c r="D1" s="145"/>
      <c r="E1" s="146"/>
      <c r="F1" s="35"/>
      <c r="G1" s="147" t="str">
        <f>IFERROR(__xludf.DUMMYFUNCTION("""COMPUTED_VALUE"""),"As of closing day of:")</f>
        <v>As of closing day of:</v>
      </c>
      <c r="H1" s="148">
        <f>IFERROR(__xludf.DUMMYFUNCTION("""COMPUTED_VALUE"""),44664.0)</f>
        <v>44664</v>
      </c>
      <c r="I1" s="54"/>
      <c r="J1" s="149"/>
      <c r="K1" s="150"/>
      <c r="L1" s="35"/>
      <c r="M1" s="35"/>
      <c r="N1" s="35"/>
      <c r="O1" s="35"/>
      <c r="P1" s="151"/>
      <c r="Q1" s="151"/>
      <c r="R1" s="151"/>
      <c r="S1" s="151"/>
      <c r="T1" s="35"/>
      <c r="U1" s="35"/>
      <c r="V1" s="14"/>
      <c r="W1" s="150"/>
      <c r="X1" s="14"/>
      <c r="Y1" s="14"/>
      <c r="Z1" s="11"/>
    </row>
    <row r="2">
      <c r="A2" s="14"/>
      <c r="B2" s="14"/>
      <c r="C2" s="14"/>
      <c r="D2" s="152"/>
      <c r="E2" s="153"/>
      <c r="F2" s="14"/>
      <c r="G2" s="14"/>
      <c r="H2" s="14"/>
      <c r="I2" s="54"/>
      <c r="J2" s="149"/>
      <c r="K2" s="35"/>
      <c r="L2" s="3"/>
      <c r="M2" s="35"/>
      <c r="N2" s="35"/>
      <c r="O2" s="35"/>
      <c r="P2" s="151"/>
      <c r="Q2" s="151"/>
      <c r="R2" s="151"/>
      <c r="S2" s="151"/>
      <c r="T2" s="35"/>
      <c r="U2" s="35"/>
      <c r="V2" s="14"/>
      <c r="W2" s="150"/>
      <c r="X2" s="14"/>
      <c r="Y2" s="14"/>
      <c r="Z2" s="11"/>
    </row>
    <row r="3">
      <c r="A3" s="14"/>
      <c r="B3" s="14"/>
      <c r="C3" s="14"/>
      <c r="D3" s="152"/>
      <c r="E3" s="153"/>
      <c r="F3" s="14"/>
      <c r="G3" s="14"/>
      <c r="H3" s="14"/>
      <c r="I3" s="54"/>
      <c r="J3" s="149"/>
      <c r="K3" s="35"/>
      <c r="L3" s="3"/>
      <c r="M3" s="35"/>
      <c r="N3" s="35"/>
      <c r="O3" s="35"/>
      <c r="P3" s="151"/>
      <c r="Q3" s="154"/>
      <c r="R3" s="155">
        <f>IFERROR(__xludf.DUMMYFUNCTION("""COMPUTED_VALUE"""),44664.0)</f>
        <v>44664</v>
      </c>
      <c r="S3" s="155">
        <f>IFERROR(__xludf.DUMMYFUNCTION("""COMPUTED_VALUE"""),44664.0)</f>
        <v>44664</v>
      </c>
      <c r="T3" s="155">
        <f>IFERROR(__xludf.DUMMYFUNCTION("""COMPUTED_VALUE"""),44664.0)</f>
        <v>44664</v>
      </c>
      <c r="U3" s="155">
        <f>IFERROR(__xludf.DUMMYFUNCTION("""COMPUTED_VALUE"""),44664.0)</f>
        <v>44664</v>
      </c>
      <c r="V3" s="155">
        <f>IFERROR(__xludf.DUMMYFUNCTION("""COMPUTED_VALUE"""),44664.0)</f>
        <v>44664</v>
      </c>
      <c r="W3" s="155">
        <f>IFERROR(__xludf.DUMMYFUNCTION("""COMPUTED_VALUE"""),44664.0)</f>
        <v>44664</v>
      </c>
      <c r="X3" s="14"/>
      <c r="Y3" s="14"/>
      <c r="Z3" s="11"/>
    </row>
    <row r="4" collapsed="1">
      <c r="A4" s="156" t="str">
        <f>IFERROR(__xludf.DUMMYFUNCTION("""COMPUTED_VALUE"""),"Acct Total")</f>
        <v>Acct Total</v>
      </c>
      <c r="B4" s="156" t="str">
        <f>IFERROR(__xludf.DUMMYFUNCTION("""COMPUTED_VALUE"""),"Acct#")</f>
        <v>Acct#</v>
      </c>
      <c r="C4" s="62" t="str">
        <f>IFERROR(__xludf.DUMMYFUNCTION("""COMPUTED_VALUE"""),"Order #")</f>
        <v>Order #</v>
      </c>
      <c r="D4" s="157" t="str">
        <f>IFERROR(__xludf.DUMMYFUNCTION("""COMPUTED_VALUE"""),"Ticker Code")</f>
        <v>Ticker Code</v>
      </c>
      <c r="E4" s="158" t="str">
        <f>IFERROR(__xludf.DUMMYFUNCTION("""COMPUTED_VALUE"""),"Date/ Time")</f>
        <v>Date/ Time</v>
      </c>
      <c r="F4" s="159" t="str">
        <f>IFERROR(__xludf.DUMMYFUNCTION("""COMPUTED_VALUE"""),"Asset Class")</f>
        <v>Asset Class</v>
      </c>
      <c r="G4" s="160" t="str">
        <f>IFERROR(__xludf.DUMMYFUNCTION("""COMPUTED_VALUE"""),"FX Base")</f>
        <v>FX Base</v>
      </c>
      <c r="H4" s="161" t="str">
        <f>IFERROR(__xludf.DUMMYFUNCTION("""COMPUTED_VALUE"""),"Qty Executed")</f>
        <v>Qty Executed</v>
      </c>
      <c r="I4" s="162" t="str">
        <f>IFERROR(__xludf.DUMMYFUNCTION("""COMPUTED_VALUE"""),"FX Exe to HKD")</f>
        <v>FX Exe to HKD</v>
      </c>
      <c r="J4" s="163" t="str">
        <f>IFERROR(__xludf.DUMMYFUNCTION("""COMPUTED_VALUE"""),"Executed price (Local Currency) - Trade day")</f>
        <v>Executed price (Local Currency) - Trade day</v>
      </c>
      <c r="K4" s="35" t="str">
        <f>IFERROR(__xludf.DUMMYFUNCTION("""COMPUTED_VALUE"""),".")</f>
        <v>.</v>
      </c>
      <c r="L4" s="164" t="str">
        <f>IFERROR(__xludf.DUMMYFUNCTION("""COMPUTED_VALUE"""),"Closing price (Lcl) - Value day")</f>
        <v>Closing price (Lcl) - Value day</v>
      </c>
      <c r="M4" s="35" t="str">
        <f>IFERROR(__xludf.DUMMYFUNCTION("""COMPUTED_VALUE"""),"Key-Statistics")</f>
        <v>Key-Statistics</v>
      </c>
      <c r="N4" s="35" t="str">
        <f>IFERROR(__xludf.DUMMYFUNCTION("""COMPUTED_VALUE"""),".")</f>
        <v>.</v>
      </c>
      <c r="O4" s="35" t="str">
        <f>IFERROR(__xludf.DUMMYFUNCTION("""COMPUTED_VALUE"""),".")</f>
        <v>.</v>
      </c>
      <c r="P4" s="165" t="str">
        <f>IFERROR(__xludf.DUMMYFUNCTION("""COMPUTED_VALUE"""),"Executed Value (HKD)")</f>
        <v>Executed Value (HKD)</v>
      </c>
      <c r="Q4" s="3"/>
      <c r="R4" s="164" t="str">
        <f>IFERROR(__xludf.DUMMYFUNCTION("""COMPUTED_VALUE"""),"Closing price (Lcl) - Value day")</f>
        <v>Closing price (Lcl) - Value day</v>
      </c>
      <c r="S4" s="165" t="str">
        <f>IFERROR(__xludf.DUMMYFUNCTION("""COMPUTED_VALUE"""),"End of Day Value (HKD)")</f>
        <v>End of Day Value (HKD)</v>
      </c>
      <c r="T4" s="166" t="str">
        <f>IFERROR(__xludf.DUMMYFUNCTION("""COMPUTED_VALUE"""),"# of Sec")</f>
        <v># of Sec</v>
      </c>
      <c r="U4" s="166" t="str">
        <f>IFERROR(__xludf.DUMMYFUNCTION("""COMPUTED_VALUE"""),"Last Sec")</f>
        <v>Last Sec</v>
      </c>
      <c r="V4" s="167" t="str">
        <f>IFERROR(__xludf.DUMMYFUNCTION("""COMPUTED_VALUE"""),"Cumulative EOD Value (HKD)")</f>
        <v>Cumulative EOD Value (HKD)</v>
      </c>
      <c r="W4" s="168" t="str">
        <f>IFERROR(__xludf.DUMMYFUNCTION("""COMPUTED_VALUE"""),"AuM")</f>
        <v>AuM</v>
      </c>
      <c r="X4" s="163" t="str">
        <f>IFERROR(__xludf.DUMMYFUNCTION("""COMPUTED_VALUE"""),"Post-Trade Ava Margin Balance")</f>
        <v>Post-Trade Ava Margin Balance</v>
      </c>
      <c r="Y4" s="163" t="str">
        <f>IFERROR(__xludf.DUMMYFUNCTION("""COMPUTED_VALUE"""),"Post-Trade Margin Loan Balance")</f>
        <v>Post-Trade Margin Loan Balance</v>
      </c>
      <c r="Z4" s="169" t="str">
        <f>IFERROR(__xludf.DUMMYFUNCTION("""COMPUTED_VALUE"""),"PnL in %")</f>
        <v>PnL in %</v>
      </c>
    </row>
    <row r="5" hidden="1" outlineLevel="1">
      <c r="A5" s="35"/>
      <c r="B5" s="35"/>
      <c r="C5" s="35"/>
      <c r="D5" s="135"/>
      <c r="E5" s="146"/>
      <c r="F5" s="35"/>
      <c r="G5" s="35"/>
      <c r="H5" s="14"/>
      <c r="I5" s="35"/>
      <c r="J5" s="35"/>
      <c r="K5" s="35"/>
      <c r="L5" s="35"/>
      <c r="M5" s="35"/>
      <c r="N5" s="35"/>
      <c r="O5" s="35"/>
      <c r="P5" s="151"/>
      <c r="Q5" s="151"/>
      <c r="R5" s="151"/>
      <c r="S5" s="151"/>
      <c r="T5" s="14"/>
      <c r="U5" s="14"/>
      <c r="V5" s="170"/>
      <c r="W5" s="171"/>
      <c r="X5" s="14"/>
      <c r="Y5" s="14"/>
      <c r="Z5" s="11"/>
    </row>
    <row r="6" hidden="1" outlineLevel="1">
      <c r="A6" s="35"/>
      <c r="B6" s="35"/>
      <c r="C6" s="35"/>
      <c r="D6" s="135"/>
      <c r="E6" s="146"/>
      <c r="F6" s="35"/>
      <c r="G6" s="35"/>
      <c r="H6" s="14"/>
      <c r="I6" s="35"/>
      <c r="J6" s="35"/>
      <c r="K6" s="35"/>
      <c r="L6" s="35"/>
      <c r="M6" s="35"/>
      <c r="N6" s="35"/>
      <c r="O6" s="35"/>
      <c r="P6" s="151"/>
      <c r="Q6" s="151"/>
      <c r="R6" s="151"/>
      <c r="S6" s="151"/>
      <c r="T6" s="35"/>
      <c r="U6" s="35"/>
      <c r="V6" s="170"/>
      <c r="W6" s="171"/>
      <c r="X6" s="14"/>
      <c r="Y6" s="14"/>
      <c r="Z6" s="11"/>
    </row>
    <row r="7" hidden="1" outlineLevel="1">
      <c r="A7" s="35"/>
      <c r="B7" s="35"/>
      <c r="C7" s="35"/>
      <c r="D7" s="135"/>
      <c r="E7" s="146"/>
      <c r="F7" s="35"/>
      <c r="G7" s="35"/>
      <c r="H7" s="14"/>
      <c r="I7" s="35"/>
      <c r="J7" s="35"/>
      <c r="K7" s="35"/>
      <c r="L7" s="149" t="str">
        <f>IFERROR(__xludf.DUMMYFUNCTION("""COMPUTED_VALUE"""),"")</f>
        <v/>
      </c>
      <c r="M7" s="3" t="str">
        <f>IFERROR(__xludf.DUMMYFUNCTION("""COMPUTED_VALUE"""),"")</f>
        <v/>
      </c>
      <c r="N7" s="35"/>
      <c r="O7" s="35"/>
      <c r="P7" s="151" t="str">
        <f>IFERROR(__xludf.DUMMYFUNCTION("""COMPUTED_VALUE"""),"")</f>
        <v/>
      </c>
      <c r="Q7" s="151"/>
      <c r="R7" s="151"/>
      <c r="S7" s="151" t="str">
        <f>IFERROR(__xludf.DUMMYFUNCTION("""COMPUTED_VALUE"""),"")</f>
        <v/>
      </c>
      <c r="T7" s="35" t="str">
        <f>IFERROR(__xludf.DUMMYFUNCTION("""COMPUTED_VALUE"""),"")</f>
        <v/>
      </c>
      <c r="U7" s="35" t="str">
        <f>IFERROR(__xludf.DUMMYFUNCTION("""COMPUTED_VALUE"""),"")</f>
        <v/>
      </c>
      <c r="V7" s="170" t="str">
        <f>IFERROR(__xludf.DUMMYFUNCTION("""COMPUTED_VALUE"""),"")</f>
        <v/>
      </c>
      <c r="W7" s="171"/>
      <c r="X7" s="14"/>
      <c r="Y7" s="14"/>
      <c r="Z7" s="11"/>
    </row>
    <row r="8">
      <c r="A8" s="35" t="str">
        <f>IFERROR(__xludf.DUMMYFUNCTION("""COMPUTED_VALUE"""),"")</f>
        <v/>
      </c>
      <c r="B8" s="35" t="str">
        <f>IFERROR(__xludf.DUMMYFUNCTION("""COMPUTED_VALUE"""),"14626")</f>
        <v>14626</v>
      </c>
      <c r="C8" s="172">
        <f>IFERROR(__xludf.DUMMYFUNCTION("""COMPUTED_VALUE"""),4.4597000092E10)</f>
        <v>44597000092</v>
      </c>
      <c r="D8" s="135" t="str">
        <f>IFERROR(__xludf.DUMMYFUNCTION("""COMPUTED_VALUE"""),"Cash")</f>
        <v>Cash</v>
      </c>
      <c r="E8" s="173">
        <f>IFERROR(__xludf.DUMMYFUNCTION("""COMPUTED_VALUE"""),44597.0)</f>
        <v>44597</v>
      </c>
      <c r="F8" s="35" t="str">
        <f>IFERROR(__xludf.DUMMYFUNCTION("""COMPUTED_VALUE"""),"Cash")</f>
        <v>Cash</v>
      </c>
      <c r="G8" s="35" t="str">
        <f>IFERROR(__xludf.DUMMYFUNCTION("""COMPUTED_VALUE"""),"HKD")</f>
        <v>HKD</v>
      </c>
      <c r="H8" s="14" t="str">
        <f>IFERROR(__xludf.DUMMYFUNCTION("""COMPUTED_VALUE"""),"")</f>
        <v/>
      </c>
      <c r="I8" s="174">
        <f>IFERROR(__xludf.DUMMYFUNCTION("""COMPUTED_VALUE"""),1.0)</f>
        <v>1</v>
      </c>
      <c r="J8" s="95">
        <f>IFERROR(__xludf.DUMMYFUNCTION("""COMPUTED_VALUE"""),1.0)</f>
        <v>1</v>
      </c>
      <c r="K8" s="35"/>
      <c r="L8" s="175">
        <f>IFERROR(__xludf.DUMMYFUNCTION("""COMPUTED_VALUE"""),1.0)</f>
        <v>1</v>
      </c>
      <c r="M8" s="3" t="str">
        <f>IFERROR(__xludf.DUMMYFUNCTION("""COMPUTED_VALUE"""),"")</f>
        <v/>
      </c>
      <c r="N8" s="35"/>
      <c r="O8" s="35"/>
      <c r="P8" s="176">
        <f>IFERROR(__xludf.DUMMYFUNCTION("""COMPUTED_VALUE"""),500000.0)</f>
        <v>500000</v>
      </c>
      <c r="Q8" s="177"/>
      <c r="R8" s="178">
        <f>IFERROR(__xludf.DUMMYFUNCTION("""COMPUTED_VALUE"""),1.0)</f>
        <v>1</v>
      </c>
      <c r="S8" s="151" t="str">
        <f>IFERROR(__xludf.DUMMYFUNCTION("""COMPUTED_VALUE"""),"")</f>
        <v/>
      </c>
      <c r="T8" s="95">
        <f>IFERROR(__xludf.DUMMYFUNCTION("""COMPUTED_VALUE"""),1.0)</f>
        <v>1</v>
      </c>
      <c r="U8" s="95">
        <f>IFERROR(__xludf.DUMMYFUNCTION("""COMPUTED_VALUE"""),1.0)</f>
        <v>1</v>
      </c>
      <c r="V8" s="179">
        <f>IFERROR(__xludf.DUMMYFUNCTION("""COMPUTED_VALUE"""),500000.0)</f>
        <v>500000</v>
      </c>
      <c r="W8" s="171" t="str">
        <f>IFERROR(__xludf.DUMMYFUNCTION("""COMPUTED_VALUE"""),"")</f>
        <v/>
      </c>
      <c r="X8" s="14" t="str">
        <f>IFERROR(__xludf.DUMMYFUNCTION("""COMPUTED_VALUE"""),"")</f>
        <v/>
      </c>
      <c r="Y8" s="14" t="str">
        <f>IFERROR(__xludf.DUMMYFUNCTION("""COMPUTED_VALUE"""),"")</f>
        <v/>
      </c>
      <c r="Z8" s="11" t="str">
        <f>IFERROR(__xludf.DUMMYFUNCTION("""COMPUTED_VALUE"""),"")</f>
        <v/>
      </c>
    </row>
    <row r="9">
      <c r="A9" s="35" t="str">
        <f>IFERROR(__xludf.DUMMYFUNCTION("""COMPUTED_VALUE"""),"")</f>
        <v/>
      </c>
      <c r="B9" s="35" t="str">
        <f>IFERROR(__xludf.DUMMYFUNCTION("""COMPUTED_VALUE"""),"14626")</f>
        <v>14626</v>
      </c>
      <c r="C9" s="172">
        <f>IFERROR(__xludf.DUMMYFUNCTION("""COMPUTED_VALUE"""),4.461700035E10)</f>
        <v>44617000350</v>
      </c>
      <c r="D9" s="180" t="str">
        <f>IFERROR(__xludf.DUMMYFUNCTION("""COMPUTED_VALUE"""),"AAPL")</f>
        <v>AAPL</v>
      </c>
      <c r="E9" s="173">
        <f>IFERROR(__xludf.DUMMYFUNCTION("""COMPUTED_VALUE"""),44617.0)</f>
        <v>44617</v>
      </c>
      <c r="F9" s="35" t="str">
        <f>IFERROR(__xludf.DUMMYFUNCTION("""COMPUTED_VALUE"""),"Stock")</f>
        <v>Stock</v>
      </c>
      <c r="G9" s="35" t="str">
        <f>IFERROR(__xludf.DUMMYFUNCTION("""COMPUTED_VALUE"""),"USD")</f>
        <v>USD</v>
      </c>
      <c r="H9" s="181">
        <f>IFERROR(__xludf.DUMMYFUNCTION("""COMPUTED_VALUE"""),0.0)</f>
        <v>0</v>
      </c>
      <c r="I9" s="174">
        <f>IFERROR(__xludf.DUMMYFUNCTION("""COMPUTED_VALUE"""),7.808395)</f>
        <v>7.808395</v>
      </c>
      <c r="J9" s="175">
        <f>IFERROR(__xludf.DUMMYFUNCTION("""COMPUTED_VALUE"""),0.0)</f>
        <v>0</v>
      </c>
      <c r="K9" s="35"/>
      <c r="L9" s="175">
        <f>IFERROR(__xludf.DUMMYFUNCTION("""COMPUTED_VALUE"""),170.4)</f>
        <v>170.4</v>
      </c>
      <c r="M9" s="182" t="str">
        <f>IFERROR(__xludf.DUMMYFUNCTION("""COMPUTED_VALUE"""),"Equity Key Stats")</f>
        <v>Equity Key Stats</v>
      </c>
      <c r="N9" s="35"/>
      <c r="O9" s="35"/>
      <c r="P9" s="176">
        <f>IFERROR(__xludf.DUMMYFUNCTION("""COMPUTED_VALUE"""),0.0)</f>
        <v>0</v>
      </c>
      <c r="Q9" s="177"/>
      <c r="R9" s="178">
        <f>IFERROR(__xludf.DUMMYFUNCTION("""COMPUTED_VALUE"""),170.4)</f>
        <v>170.4</v>
      </c>
      <c r="S9" s="176">
        <f>IFERROR(__xludf.DUMMYFUNCTION("""COMPUTED_VALUE"""),0.0)</f>
        <v>0</v>
      </c>
      <c r="T9" s="95">
        <f>IFERROR(__xludf.DUMMYFUNCTION("""COMPUTED_VALUE"""),2.0)</f>
        <v>2</v>
      </c>
      <c r="U9" s="95" t="str">
        <f>IFERROR(__xludf.DUMMYFUNCTION("""COMPUTED_VALUE"""),"")</f>
        <v/>
      </c>
      <c r="V9" s="179" t="str">
        <f>IFERROR(__xludf.DUMMYFUNCTION("""COMPUTED_VALUE"""),"")</f>
        <v/>
      </c>
      <c r="W9" s="171" t="str">
        <f>IFERROR(__xludf.DUMMYFUNCTION("""COMPUTED_VALUE"""),"")</f>
        <v/>
      </c>
      <c r="X9" s="14" t="str">
        <f>IFERROR(__xludf.DUMMYFUNCTION("""COMPUTED_VALUE"""),"")</f>
        <v/>
      </c>
      <c r="Y9" s="14" t="str">
        <f>IFERROR(__xludf.DUMMYFUNCTION("""COMPUTED_VALUE"""),"")</f>
        <v/>
      </c>
      <c r="Z9" s="11" t="str">
        <f>IFERROR(__xludf.DUMMYFUNCTION("""COMPUTED_VALUE"""),"")</f>
        <v/>
      </c>
    </row>
    <row r="10">
      <c r="A10" s="35" t="str">
        <f>IFERROR(__xludf.DUMMYFUNCTION("""COMPUTED_VALUE"""),"")</f>
        <v/>
      </c>
      <c r="B10" s="35" t="str">
        <f>IFERROR(__xludf.DUMMYFUNCTION("""COMPUTED_VALUE"""),"14626")</f>
        <v>14626</v>
      </c>
      <c r="C10" s="172">
        <f>IFERROR(__xludf.DUMMYFUNCTION("""COMPUTED_VALUE"""),4.4617000353E10)</f>
        <v>44617000353</v>
      </c>
      <c r="D10" s="180" t="str">
        <f>IFERROR(__xludf.DUMMYFUNCTION("""COMPUTED_VALUE"""),"TSLA")</f>
        <v>TSLA</v>
      </c>
      <c r="E10" s="173">
        <f>IFERROR(__xludf.DUMMYFUNCTION("""COMPUTED_VALUE"""),44617.0)</f>
        <v>44617</v>
      </c>
      <c r="F10" s="35" t="str">
        <f>IFERROR(__xludf.DUMMYFUNCTION("""COMPUTED_VALUE"""),"Stock")</f>
        <v>Stock</v>
      </c>
      <c r="G10" s="35" t="str">
        <f>IFERROR(__xludf.DUMMYFUNCTION("""COMPUTED_VALUE"""),"USD")</f>
        <v>USD</v>
      </c>
      <c r="H10" s="181">
        <f>IFERROR(__xludf.DUMMYFUNCTION("""COMPUTED_VALUE"""),0.0)</f>
        <v>0</v>
      </c>
      <c r="I10" s="174">
        <f>IFERROR(__xludf.DUMMYFUNCTION("""COMPUTED_VALUE"""),7.808395)</f>
        <v>7.808395</v>
      </c>
      <c r="J10" s="175">
        <f>IFERROR(__xludf.DUMMYFUNCTION("""COMPUTED_VALUE"""),0.0)</f>
        <v>0</v>
      </c>
      <c r="K10" s="35"/>
      <c r="L10" s="175">
        <f>IFERROR(__xludf.DUMMYFUNCTION("""COMPUTED_VALUE"""),1022.37)</f>
        <v>1022.37</v>
      </c>
      <c r="M10" s="182" t="str">
        <f>IFERROR(__xludf.DUMMYFUNCTION("""COMPUTED_VALUE"""),"Equity Key Stats")</f>
        <v>Equity Key Stats</v>
      </c>
      <c r="N10" s="35"/>
      <c r="O10" s="35"/>
      <c r="P10" s="176">
        <f>IFERROR(__xludf.DUMMYFUNCTION("""COMPUTED_VALUE"""),0.0)</f>
        <v>0</v>
      </c>
      <c r="Q10" s="177"/>
      <c r="R10" s="178">
        <f>IFERROR(__xludf.DUMMYFUNCTION("""COMPUTED_VALUE"""),1022.37)</f>
        <v>1022.37</v>
      </c>
      <c r="S10" s="176">
        <f>IFERROR(__xludf.DUMMYFUNCTION("""COMPUTED_VALUE"""),0.0)</f>
        <v>0</v>
      </c>
      <c r="T10" s="95">
        <f>IFERROR(__xludf.DUMMYFUNCTION("""COMPUTED_VALUE"""),5.0)</f>
        <v>5</v>
      </c>
      <c r="U10" s="35" t="str">
        <f>IFERROR(__xludf.DUMMYFUNCTION("""COMPUTED_VALUE"""),"")</f>
        <v/>
      </c>
      <c r="V10" s="170" t="str">
        <f>IFERROR(__xludf.DUMMYFUNCTION("""COMPUTED_VALUE"""),"")</f>
        <v/>
      </c>
      <c r="W10" s="171" t="str">
        <f>IFERROR(__xludf.DUMMYFUNCTION("""COMPUTED_VALUE"""),"")</f>
        <v/>
      </c>
      <c r="X10" s="14" t="str">
        <f>IFERROR(__xludf.DUMMYFUNCTION("""COMPUTED_VALUE"""),"")</f>
        <v/>
      </c>
      <c r="Y10" s="14" t="str">
        <f>IFERROR(__xludf.DUMMYFUNCTION("""COMPUTED_VALUE"""),"")</f>
        <v/>
      </c>
      <c r="Z10" s="11" t="str">
        <f>IFERROR(__xludf.DUMMYFUNCTION("""COMPUTED_VALUE"""),"")</f>
        <v/>
      </c>
    </row>
    <row r="11">
      <c r="A11" s="35" t="str">
        <f>IFERROR(__xludf.DUMMYFUNCTION("""COMPUTED_VALUE"""),"")</f>
        <v/>
      </c>
      <c r="B11" s="35" t="str">
        <f>IFERROR(__xludf.DUMMYFUNCTION("""COMPUTED_VALUE"""),"14626")</f>
        <v>14626</v>
      </c>
      <c r="C11" s="172">
        <f>IFERROR(__xludf.DUMMYFUNCTION("""COMPUTED_VALUE"""),4.4620000379E10)</f>
        <v>44620000379</v>
      </c>
      <c r="D11" s="180" t="str">
        <f>IFERROR(__xludf.DUMMYFUNCTION("""COMPUTED_VALUE"""),"TSLA")</f>
        <v>TSLA</v>
      </c>
      <c r="E11" s="173">
        <f>IFERROR(__xludf.DUMMYFUNCTION("""COMPUTED_VALUE"""),44620.0)</f>
        <v>44620</v>
      </c>
      <c r="F11" s="35" t="str">
        <f>IFERROR(__xludf.DUMMYFUNCTION("""COMPUTED_VALUE"""),"Stock")</f>
        <v>Stock</v>
      </c>
      <c r="G11" s="35" t="str">
        <f>IFERROR(__xludf.DUMMYFUNCTION("""COMPUTED_VALUE"""),"USD")</f>
        <v>USD</v>
      </c>
      <c r="H11" s="181">
        <f>IFERROR(__xludf.DUMMYFUNCTION("""COMPUTED_VALUE"""),0.0)</f>
        <v>0</v>
      </c>
      <c r="I11" s="174">
        <f>IFERROR(__xludf.DUMMYFUNCTION("""COMPUTED_VALUE"""),7.81345)</f>
        <v>7.81345</v>
      </c>
      <c r="J11" s="175">
        <f>IFERROR(__xludf.DUMMYFUNCTION("""COMPUTED_VALUE"""),0.0)</f>
        <v>0</v>
      </c>
      <c r="K11" s="35"/>
      <c r="L11" s="175">
        <f>IFERROR(__xludf.DUMMYFUNCTION("""COMPUTED_VALUE"""),1022.37)</f>
        <v>1022.37</v>
      </c>
      <c r="M11" s="182" t="str">
        <f>IFERROR(__xludf.DUMMYFUNCTION("""COMPUTED_VALUE"""),"Equity Key Stats")</f>
        <v>Equity Key Stats</v>
      </c>
      <c r="N11" s="35"/>
      <c r="O11" s="35"/>
      <c r="P11" s="176">
        <f>IFERROR(__xludf.DUMMYFUNCTION("""COMPUTED_VALUE"""),0.0)</f>
        <v>0</v>
      </c>
      <c r="Q11" s="177"/>
      <c r="R11" s="178">
        <f>IFERROR(__xludf.DUMMYFUNCTION("""COMPUTED_VALUE"""),1022.37)</f>
        <v>1022.37</v>
      </c>
      <c r="S11" s="176">
        <f>IFERROR(__xludf.DUMMYFUNCTION("""COMPUTED_VALUE"""),0.0)</f>
        <v>0</v>
      </c>
      <c r="T11" s="95">
        <f>IFERROR(__xludf.DUMMYFUNCTION("""COMPUTED_VALUE"""),5.0)</f>
        <v>5</v>
      </c>
      <c r="U11" s="95" t="str">
        <f>IFERROR(__xludf.DUMMYFUNCTION("""COMPUTED_VALUE"""),"")</f>
        <v/>
      </c>
      <c r="V11" s="179" t="str">
        <f>IFERROR(__xludf.DUMMYFUNCTION("""COMPUTED_VALUE"""),"")</f>
        <v/>
      </c>
      <c r="W11" s="171" t="str">
        <f>IFERROR(__xludf.DUMMYFUNCTION("""COMPUTED_VALUE"""),"")</f>
        <v/>
      </c>
      <c r="X11" s="14" t="str">
        <f>IFERROR(__xludf.DUMMYFUNCTION("""COMPUTED_VALUE"""),"")</f>
        <v/>
      </c>
      <c r="Y11" s="14" t="str">
        <f>IFERROR(__xludf.DUMMYFUNCTION("""COMPUTED_VALUE"""),"")</f>
        <v/>
      </c>
      <c r="Z11" s="11" t="str">
        <f>IFERROR(__xludf.DUMMYFUNCTION("""COMPUTED_VALUE"""),"")</f>
        <v/>
      </c>
    </row>
    <row r="12">
      <c r="A12" s="35" t="str">
        <f>IFERROR(__xludf.DUMMYFUNCTION("""COMPUTED_VALUE"""),"")</f>
        <v/>
      </c>
      <c r="B12" s="35" t="str">
        <f>IFERROR(__xludf.DUMMYFUNCTION("""COMPUTED_VALUE"""),"14626")</f>
        <v>14626</v>
      </c>
      <c r="C12" s="172">
        <f>IFERROR(__xludf.DUMMYFUNCTION("""COMPUTED_VALUE"""),4.4621000392E10)</f>
        <v>44621000392</v>
      </c>
      <c r="D12" s="180" t="str">
        <f>IFERROR(__xludf.DUMMYFUNCTION("""COMPUTED_VALUE"""),"GC=F")</f>
        <v>GC=F</v>
      </c>
      <c r="E12" s="173">
        <f>IFERROR(__xludf.DUMMYFUNCTION("""COMPUTED_VALUE"""),44621.0)</f>
        <v>44621</v>
      </c>
      <c r="F12" s="35" t="str">
        <f>IFERROR(__xludf.DUMMYFUNCTION("""COMPUTED_VALUE"""),"Stock")</f>
        <v>Stock</v>
      </c>
      <c r="G12" s="35" t="str">
        <f>IFERROR(__xludf.DUMMYFUNCTION("""COMPUTED_VALUE"""),"USD")</f>
        <v>USD</v>
      </c>
      <c r="H12" s="183">
        <f>IFERROR(__xludf.DUMMYFUNCTION("""COMPUTED_VALUE"""),-10.0)</f>
        <v>-10</v>
      </c>
      <c r="I12" s="174">
        <f>IFERROR(__xludf.DUMMYFUNCTION("""COMPUTED_VALUE"""),7.815805)</f>
        <v>7.815805</v>
      </c>
      <c r="J12" s="175">
        <f>IFERROR(__xludf.DUMMYFUNCTION("""COMPUTED_VALUE"""),1944.0)</f>
        <v>1944</v>
      </c>
      <c r="K12" s="35"/>
      <c r="L12" s="175">
        <f>IFERROR(__xludf.DUMMYFUNCTION("""COMPUTED_VALUE"""),1980.7)</f>
        <v>1980.7</v>
      </c>
      <c r="M12" s="182" t="str">
        <f>IFERROR(__xludf.DUMMYFUNCTION("""COMPUTED_VALUE"""),"Equity Key Stats")</f>
        <v>Equity Key Stats</v>
      </c>
      <c r="N12" s="35"/>
      <c r="O12" s="35"/>
      <c r="P12" s="176">
        <f>IFERROR(__xludf.DUMMYFUNCTION("""COMPUTED_VALUE"""),151939.24920000002)</f>
        <v>151939.2492</v>
      </c>
      <c r="Q12" s="177"/>
      <c r="R12" s="178">
        <f>IFERROR(__xludf.DUMMYFUNCTION("""COMPUTED_VALUE"""),1980.7)</f>
        <v>1980.7</v>
      </c>
      <c r="S12" s="184">
        <f>IFERROR(__xludf.DUMMYFUNCTION("""COMPUTED_VALUE"""),-154807.649635)</f>
        <v>-154807.6496</v>
      </c>
      <c r="T12" s="95">
        <f>IFERROR(__xludf.DUMMYFUNCTION("""COMPUTED_VALUE"""),1.0)</f>
        <v>1</v>
      </c>
      <c r="U12" s="95">
        <f>IFERROR(__xludf.DUMMYFUNCTION("""COMPUTED_VALUE"""),1.0)</f>
        <v>1</v>
      </c>
      <c r="V12" s="179">
        <f>IFERROR(__xludf.DUMMYFUNCTION("""COMPUTED_VALUE"""),-2868.4004349999886)</f>
        <v>-2868.400435</v>
      </c>
      <c r="W12" s="171" t="str">
        <f>IFERROR(__xludf.DUMMYFUNCTION("""COMPUTED_VALUE"""),"")</f>
        <v/>
      </c>
      <c r="X12" s="14" t="str">
        <f>IFERROR(__xludf.DUMMYFUNCTION("""COMPUTED_VALUE"""),"")</f>
        <v/>
      </c>
      <c r="Y12" s="14" t="str">
        <f>IFERROR(__xludf.DUMMYFUNCTION("""COMPUTED_VALUE"""),"")</f>
        <v/>
      </c>
      <c r="Z12" s="11" t="str">
        <f>IFERROR(__xludf.DUMMYFUNCTION("""COMPUTED_VALUE"""),"")</f>
        <v/>
      </c>
    </row>
    <row r="13">
      <c r="A13" s="35" t="str">
        <f>IFERROR(__xludf.DUMMYFUNCTION("""COMPUTED_VALUE"""),"")</f>
        <v/>
      </c>
      <c r="B13" s="35" t="str">
        <f>IFERROR(__xludf.DUMMYFUNCTION("""COMPUTED_VALUE"""),"14626")</f>
        <v>14626</v>
      </c>
      <c r="C13" s="172">
        <f>IFERROR(__xludf.DUMMYFUNCTION("""COMPUTED_VALUE"""),4.4637000669E10)</f>
        <v>44637000669</v>
      </c>
      <c r="D13" s="180" t="str">
        <f>IFERROR(__xludf.DUMMYFUNCTION("""COMPUTED_VALUE"""),"CL=F")</f>
        <v>CL=F</v>
      </c>
      <c r="E13" s="173">
        <f>IFERROR(__xludf.DUMMYFUNCTION("""COMPUTED_VALUE"""),44637.0)</f>
        <v>44637</v>
      </c>
      <c r="F13" s="35" t="str">
        <f>IFERROR(__xludf.DUMMYFUNCTION("""COMPUTED_VALUE"""),"Stock")</f>
        <v>Stock</v>
      </c>
      <c r="G13" s="35" t="str">
        <f>IFERROR(__xludf.DUMMYFUNCTION("""COMPUTED_VALUE"""),"USD")</f>
        <v>USD</v>
      </c>
      <c r="H13" s="181">
        <f>IFERROR(__xludf.DUMMYFUNCTION("""COMPUTED_VALUE"""),100.0)</f>
        <v>100</v>
      </c>
      <c r="I13" s="174">
        <f>IFERROR(__xludf.DUMMYFUNCTION("""COMPUTED_VALUE"""),7.81854)</f>
        <v>7.81854</v>
      </c>
      <c r="J13" s="175">
        <f>IFERROR(__xludf.DUMMYFUNCTION("""COMPUTED_VALUE"""),103.36)</f>
        <v>103.36</v>
      </c>
      <c r="K13" s="35"/>
      <c r="L13" s="175">
        <f>IFERROR(__xludf.DUMMYFUNCTION("""COMPUTED_VALUE"""),104.31)</f>
        <v>104.31</v>
      </c>
      <c r="M13" s="182" t="str">
        <f>IFERROR(__xludf.DUMMYFUNCTION("""COMPUTED_VALUE"""),"Equity Key Stats")</f>
        <v>Equity Key Stats</v>
      </c>
      <c r="N13" s="35"/>
      <c r="O13" s="35"/>
      <c r="P13" s="184">
        <f>IFERROR(__xludf.DUMMYFUNCTION("""COMPUTED_VALUE"""),-80812.42943999999)</f>
        <v>-80812.42944</v>
      </c>
      <c r="Q13" s="177"/>
      <c r="R13" s="178">
        <f>IFERROR(__xludf.DUMMYFUNCTION("""COMPUTED_VALUE"""),104.31)</f>
        <v>104.31</v>
      </c>
      <c r="S13" s="176">
        <f>IFERROR(__xludf.DUMMYFUNCTION("""COMPUTED_VALUE"""),81555.19073999999)</f>
        <v>81555.19074</v>
      </c>
      <c r="T13" s="95">
        <f>IFERROR(__xludf.DUMMYFUNCTION("""COMPUTED_VALUE"""),2.0)</f>
        <v>2</v>
      </c>
      <c r="U13" s="95" t="str">
        <f>IFERROR(__xludf.DUMMYFUNCTION("""COMPUTED_VALUE"""),"")</f>
        <v/>
      </c>
      <c r="V13" s="185" t="str">
        <f>IFERROR(__xludf.DUMMYFUNCTION("""COMPUTED_VALUE"""),"")</f>
        <v/>
      </c>
      <c r="W13" s="171" t="str">
        <f>IFERROR(__xludf.DUMMYFUNCTION("""COMPUTED_VALUE"""),"")</f>
        <v/>
      </c>
      <c r="X13" s="14" t="str">
        <f>IFERROR(__xludf.DUMMYFUNCTION("""COMPUTED_VALUE"""),"")</f>
        <v/>
      </c>
      <c r="Y13" s="14" t="str">
        <f>IFERROR(__xludf.DUMMYFUNCTION("""COMPUTED_VALUE"""),"")</f>
        <v/>
      </c>
      <c r="Z13" s="11" t="str">
        <f>IFERROR(__xludf.DUMMYFUNCTION("""COMPUTED_VALUE"""),"")</f>
        <v/>
      </c>
    </row>
    <row r="14">
      <c r="A14" s="35" t="str">
        <f>IFERROR(__xludf.DUMMYFUNCTION("""COMPUTED_VALUE"""),"")</f>
        <v/>
      </c>
      <c r="B14" s="35" t="str">
        <f>IFERROR(__xludf.DUMMYFUNCTION("""COMPUTED_VALUE"""),"14626")</f>
        <v>14626</v>
      </c>
      <c r="C14" s="172">
        <f>IFERROR(__xludf.DUMMYFUNCTION("""COMPUTED_VALUE"""),4.463700067E10)</f>
        <v>44637000670</v>
      </c>
      <c r="D14" s="180" t="str">
        <f>IFERROR(__xludf.DUMMYFUNCTION("""COMPUTED_VALUE"""),"SI=F")</f>
        <v>SI=F</v>
      </c>
      <c r="E14" s="173">
        <f>IFERROR(__xludf.DUMMYFUNCTION("""COMPUTED_VALUE"""),44637.0)</f>
        <v>44637</v>
      </c>
      <c r="F14" s="35" t="str">
        <f>IFERROR(__xludf.DUMMYFUNCTION("""COMPUTED_VALUE"""),"Stock")</f>
        <v>Stock</v>
      </c>
      <c r="G14" s="35" t="str">
        <f>IFERROR(__xludf.DUMMYFUNCTION("""COMPUTED_VALUE"""),"USD")</f>
        <v>USD</v>
      </c>
      <c r="H14" s="181">
        <f>IFERROR(__xludf.DUMMYFUNCTION("""COMPUTED_VALUE"""),100.0)</f>
        <v>100</v>
      </c>
      <c r="I14" s="174">
        <f>IFERROR(__xludf.DUMMYFUNCTION("""COMPUTED_VALUE"""),7.81854)</f>
        <v>7.81854</v>
      </c>
      <c r="J14" s="175">
        <f>IFERROR(__xludf.DUMMYFUNCTION("""COMPUTED_VALUE"""),25.455)</f>
        <v>25.455</v>
      </c>
      <c r="K14" s="35"/>
      <c r="L14" s="175">
        <f>IFERROR(__xludf.DUMMYFUNCTION("""COMPUTED_VALUE"""),25.925)</f>
        <v>25.925</v>
      </c>
      <c r="M14" s="182" t="str">
        <f>IFERROR(__xludf.DUMMYFUNCTION("""COMPUTED_VALUE"""),"Equity Key Stats")</f>
        <v>Equity Key Stats</v>
      </c>
      <c r="N14" s="35"/>
      <c r="O14" s="35"/>
      <c r="P14" s="184">
        <f>IFERROR(__xludf.DUMMYFUNCTION("""COMPUTED_VALUE"""),-19902.093569999997)</f>
        <v>-19902.09357</v>
      </c>
      <c r="Q14" s="177"/>
      <c r="R14" s="178">
        <f>IFERROR(__xludf.DUMMYFUNCTION("""COMPUTED_VALUE"""),25.925)</f>
        <v>25.925</v>
      </c>
      <c r="S14" s="176">
        <f>IFERROR(__xludf.DUMMYFUNCTION("""COMPUTED_VALUE"""),20269.56495)</f>
        <v>20269.56495</v>
      </c>
      <c r="T14" s="95">
        <f>IFERROR(__xludf.DUMMYFUNCTION("""COMPUTED_VALUE"""),1.0)</f>
        <v>1</v>
      </c>
      <c r="U14" s="95">
        <f>IFERROR(__xludf.DUMMYFUNCTION("""COMPUTED_VALUE"""),1.0)</f>
        <v>1</v>
      </c>
      <c r="V14" s="179">
        <f>IFERROR(__xludf.DUMMYFUNCTION("""COMPUTED_VALUE"""),367.4713800000027)</f>
        <v>367.47138</v>
      </c>
      <c r="W14" s="55" t="str">
        <f>IFERROR(__xludf.DUMMYFUNCTION("""COMPUTED_VALUE"""),"")</f>
        <v/>
      </c>
      <c r="X14" s="181" t="str">
        <f>IFERROR(__xludf.DUMMYFUNCTION("""COMPUTED_VALUE"""),"")</f>
        <v/>
      </c>
      <c r="Y14" s="181" t="str">
        <f>IFERROR(__xludf.DUMMYFUNCTION("""COMPUTED_VALUE"""),"")</f>
        <v/>
      </c>
      <c r="Z14" s="186" t="str">
        <f>IFERROR(__xludf.DUMMYFUNCTION("""COMPUTED_VALUE"""),"")</f>
        <v/>
      </c>
    </row>
    <row r="15">
      <c r="A15" s="35" t="str">
        <f>IFERROR(__xludf.DUMMYFUNCTION("""COMPUTED_VALUE"""),"")</f>
        <v/>
      </c>
      <c r="B15" s="35" t="str">
        <f>IFERROR(__xludf.DUMMYFUNCTION("""COMPUTED_VALUE"""),"14626")</f>
        <v>14626</v>
      </c>
      <c r="C15" s="172">
        <f>IFERROR(__xludf.DUMMYFUNCTION("""COMPUTED_VALUE"""),4.4638000689E10)</f>
        <v>44638000689</v>
      </c>
      <c r="D15" s="180" t="str">
        <f>IFERROR(__xludf.DUMMYFUNCTION("""COMPUTED_VALUE"""),"OXY")</f>
        <v>OXY</v>
      </c>
      <c r="E15" s="173">
        <f>IFERROR(__xludf.DUMMYFUNCTION("""COMPUTED_VALUE"""),44638.0)</f>
        <v>44638</v>
      </c>
      <c r="F15" s="35" t="str">
        <f>IFERROR(__xludf.DUMMYFUNCTION("""COMPUTED_VALUE"""),"Stock")</f>
        <v>Stock</v>
      </c>
      <c r="G15" s="35" t="str">
        <f>IFERROR(__xludf.DUMMYFUNCTION("""COMPUTED_VALUE"""),"USD")</f>
        <v>USD</v>
      </c>
      <c r="H15" s="14">
        <f>IFERROR(__xludf.DUMMYFUNCTION("""COMPUTED_VALUE"""),0.0)</f>
        <v>0</v>
      </c>
      <c r="I15" s="174">
        <f>IFERROR(__xludf.DUMMYFUNCTION("""COMPUTED_VALUE"""),7.82495)</f>
        <v>7.82495</v>
      </c>
      <c r="J15" s="175">
        <f>IFERROR(__xludf.DUMMYFUNCTION("""COMPUTED_VALUE"""),0.0)</f>
        <v>0</v>
      </c>
      <c r="K15" s="35"/>
      <c r="L15" s="175">
        <f>IFERROR(__xludf.DUMMYFUNCTION("""COMPUTED_VALUE"""),59.62)</f>
        <v>59.62</v>
      </c>
      <c r="M15" s="187" t="str">
        <f>IFERROR(__xludf.DUMMYFUNCTION("""COMPUTED_VALUE"""),"Equity Key Stats")</f>
        <v>Equity Key Stats</v>
      </c>
      <c r="N15" s="35"/>
      <c r="O15" s="35"/>
      <c r="P15" s="176">
        <f>IFERROR(__xludf.DUMMYFUNCTION("""COMPUTED_VALUE"""),0.0)</f>
        <v>0</v>
      </c>
      <c r="Q15" s="177"/>
      <c r="R15" s="178">
        <f>IFERROR(__xludf.DUMMYFUNCTION("""COMPUTED_VALUE"""),59.62)</f>
        <v>59.62</v>
      </c>
      <c r="S15" s="151">
        <f>IFERROR(__xludf.DUMMYFUNCTION("""COMPUTED_VALUE"""),0.0)</f>
        <v>0</v>
      </c>
      <c r="T15" s="95">
        <f>IFERROR(__xludf.DUMMYFUNCTION("""COMPUTED_VALUE"""),2.0)</f>
        <v>2</v>
      </c>
      <c r="U15" s="95" t="str">
        <f>IFERROR(__xludf.DUMMYFUNCTION("""COMPUTED_VALUE"""),"")</f>
        <v/>
      </c>
      <c r="V15" s="179" t="str">
        <f>IFERROR(__xludf.DUMMYFUNCTION("""COMPUTED_VALUE"""),"")</f>
        <v/>
      </c>
      <c r="W15" s="55" t="str">
        <f>IFERROR(__xludf.DUMMYFUNCTION("""COMPUTED_VALUE"""),"")</f>
        <v/>
      </c>
      <c r="X15" s="181" t="str">
        <f>IFERROR(__xludf.DUMMYFUNCTION("""COMPUTED_VALUE"""),"")</f>
        <v/>
      </c>
      <c r="Y15" s="181" t="str">
        <f>IFERROR(__xludf.DUMMYFUNCTION("""COMPUTED_VALUE"""),"")</f>
        <v/>
      </c>
      <c r="Z15" s="186" t="str">
        <f>IFERROR(__xludf.DUMMYFUNCTION("""COMPUTED_VALUE"""),"")</f>
        <v/>
      </c>
    </row>
    <row r="16">
      <c r="A16" s="35" t="str">
        <f>IFERROR(__xludf.DUMMYFUNCTION("""COMPUTED_VALUE"""),"")</f>
        <v/>
      </c>
      <c r="B16" s="35" t="str">
        <f>IFERROR(__xludf.DUMMYFUNCTION("""COMPUTED_VALUE"""),"14626")</f>
        <v>14626</v>
      </c>
      <c r="C16" s="172">
        <f>IFERROR(__xludf.DUMMYFUNCTION("""COMPUTED_VALUE"""),4.4638000706E10)</f>
        <v>44638000706</v>
      </c>
      <c r="D16" s="180" t="str">
        <f>IFERROR(__xludf.DUMMYFUNCTION("""COMPUTED_VALUE"""),"ABBV")</f>
        <v>ABBV</v>
      </c>
      <c r="E16" s="173">
        <f>IFERROR(__xludf.DUMMYFUNCTION("""COMPUTED_VALUE"""),44638.0)</f>
        <v>44638</v>
      </c>
      <c r="F16" s="35" t="str">
        <f>IFERROR(__xludf.DUMMYFUNCTION("""COMPUTED_VALUE"""),"Stock")</f>
        <v>Stock</v>
      </c>
      <c r="G16" s="35" t="str">
        <f>IFERROR(__xludf.DUMMYFUNCTION("""COMPUTED_VALUE"""),"USD")</f>
        <v>USD</v>
      </c>
      <c r="H16" s="14" t="str">
        <f>IFERROR(__xludf.DUMMYFUNCTION("""COMPUTED_VALUE"""),"")</f>
        <v/>
      </c>
      <c r="I16" s="174">
        <f>IFERROR(__xludf.DUMMYFUNCTION("""COMPUTED_VALUE"""),7.82495)</f>
        <v>7.82495</v>
      </c>
      <c r="J16" s="175">
        <f>IFERROR(__xludf.DUMMYFUNCTION("""COMPUTED_VALUE"""),159.2)</f>
        <v>159.2</v>
      </c>
      <c r="K16" s="35"/>
      <c r="L16" s="175">
        <f>IFERROR(__xludf.DUMMYFUNCTION("""COMPUTED_VALUE"""),158.87)</f>
        <v>158.87</v>
      </c>
      <c r="M16" s="187" t="str">
        <f>IFERROR(__xludf.DUMMYFUNCTION("""COMPUTED_VALUE"""),"Equity Key Stats")</f>
        <v>Equity Key Stats</v>
      </c>
      <c r="N16" s="35"/>
      <c r="O16" s="35"/>
      <c r="P16" s="176">
        <f>IFERROR(__xludf.DUMMYFUNCTION("""COMPUTED_VALUE"""),0.0)</f>
        <v>0</v>
      </c>
      <c r="Q16" s="177"/>
      <c r="R16" s="178">
        <f>IFERROR(__xludf.DUMMYFUNCTION("""COMPUTED_VALUE"""),158.87)</f>
        <v>158.87</v>
      </c>
      <c r="S16" s="151">
        <f>IFERROR(__xludf.DUMMYFUNCTION("""COMPUTED_VALUE"""),0.0)</f>
        <v>0</v>
      </c>
      <c r="T16" s="95">
        <f>IFERROR(__xludf.DUMMYFUNCTION("""COMPUTED_VALUE"""),1.0)</f>
        <v>1</v>
      </c>
      <c r="U16" s="95">
        <f>IFERROR(__xludf.DUMMYFUNCTION("""COMPUTED_VALUE"""),1.0)</f>
        <v>1</v>
      </c>
      <c r="V16" s="179">
        <f>IFERROR(__xludf.DUMMYFUNCTION("""COMPUTED_VALUE"""),0.0)</f>
        <v>0</v>
      </c>
      <c r="W16" s="55" t="str">
        <f>IFERROR(__xludf.DUMMYFUNCTION("""COMPUTED_VALUE"""),"")</f>
        <v/>
      </c>
      <c r="X16" s="181" t="str">
        <f>IFERROR(__xludf.DUMMYFUNCTION("""COMPUTED_VALUE"""),"")</f>
        <v/>
      </c>
      <c r="Y16" s="181" t="str">
        <f>IFERROR(__xludf.DUMMYFUNCTION("""COMPUTED_VALUE"""),"")</f>
        <v/>
      </c>
      <c r="Z16" s="186" t="str">
        <f>IFERROR(__xludf.DUMMYFUNCTION("""COMPUTED_VALUE"""),"")</f>
        <v/>
      </c>
    </row>
    <row r="17">
      <c r="A17" s="35" t="str">
        <f>IFERROR(__xludf.DUMMYFUNCTION("""COMPUTED_VALUE"""),"")</f>
        <v/>
      </c>
      <c r="B17" s="35" t="str">
        <f>IFERROR(__xludf.DUMMYFUNCTION("""COMPUTED_VALUE"""),"14626")</f>
        <v>14626</v>
      </c>
      <c r="C17" s="172">
        <f>IFERROR(__xludf.DUMMYFUNCTION("""COMPUTED_VALUE"""),4.4638000707E10)</f>
        <v>44638000707</v>
      </c>
      <c r="D17" s="180" t="str">
        <f>IFERROR(__xludf.DUMMYFUNCTION("""COMPUTED_VALUE"""),"AAPL")</f>
        <v>AAPL</v>
      </c>
      <c r="E17" s="173">
        <f>IFERROR(__xludf.DUMMYFUNCTION("""COMPUTED_VALUE"""),44638.0)</f>
        <v>44638</v>
      </c>
      <c r="F17" s="35" t="str">
        <f>IFERROR(__xludf.DUMMYFUNCTION("""COMPUTED_VALUE"""),"Stock")</f>
        <v>Stock</v>
      </c>
      <c r="G17" s="35" t="str">
        <f>IFERROR(__xludf.DUMMYFUNCTION("""COMPUTED_VALUE"""),"USD")</f>
        <v>USD</v>
      </c>
      <c r="H17" s="14" t="str">
        <f>IFERROR(__xludf.DUMMYFUNCTION("""COMPUTED_VALUE"""),"")</f>
        <v/>
      </c>
      <c r="I17" s="174">
        <f>IFERROR(__xludf.DUMMYFUNCTION("""COMPUTED_VALUE"""),7.82495)</f>
        <v>7.82495</v>
      </c>
      <c r="J17" s="175">
        <f>IFERROR(__xludf.DUMMYFUNCTION("""COMPUTED_VALUE"""),163.98)</f>
        <v>163.98</v>
      </c>
      <c r="K17" s="35"/>
      <c r="L17" s="175">
        <f>IFERROR(__xludf.DUMMYFUNCTION("""COMPUTED_VALUE"""),170.4)</f>
        <v>170.4</v>
      </c>
      <c r="M17" s="187" t="str">
        <f>IFERROR(__xludf.DUMMYFUNCTION("""COMPUTED_VALUE"""),"Equity Key Stats")</f>
        <v>Equity Key Stats</v>
      </c>
      <c r="N17" s="35"/>
      <c r="O17" s="35"/>
      <c r="P17" s="176">
        <f>IFERROR(__xludf.DUMMYFUNCTION("""COMPUTED_VALUE"""),0.0)</f>
        <v>0</v>
      </c>
      <c r="Q17" s="177"/>
      <c r="R17" s="178">
        <f>IFERROR(__xludf.DUMMYFUNCTION("""COMPUTED_VALUE"""),170.4)</f>
        <v>170.4</v>
      </c>
      <c r="S17" s="151">
        <f>IFERROR(__xludf.DUMMYFUNCTION("""COMPUTED_VALUE"""),0.0)</f>
        <v>0</v>
      </c>
      <c r="T17" s="95">
        <f>IFERROR(__xludf.DUMMYFUNCTION("""COMPUTED_VALUE"""),2.0)</f>
        <v>2</v>
      </c>
      <c r="U17" s="95">
        <f>IFERROR(__xludf.DUMMYFUNCTION("""COMPUTED_VALUE"""),1.0)</f>
        <v>1</v>
      </c>
      <c r="V17" s="179">
        <f>IFERROR(__xludf.DUMMYFUNCTION("""COMPUTED_VALUE"""),0.0)</f>
        <v>0</v>
      </c>
      <c r="W17" s="55" t="str">
        <f>IFERROR(__xludf.DUMMYFUNCTION("""COMPUTED_VALUE"""),"")</f>
        <v/>
      </c>
      <c r="X17" s="181" t="str">
        <f>IFERROR(__xludf.DUMMYFUNCTION("""COMPUTED_VALUE"""),"")</f>
        <v/>
      </c>
      <c r="Y17" s="181" t="str">
        <f>IFERROR(__xludf.DUMMYFUNCTION("""COMPUTED_VALUE"""),"")</f>
        <v/>
      </c>
      <c r="Z17" s="186" t="str">
        <f>IFERROR(__xludf.DUMMYFUNCTION("""COMPUTED_VALUE"""),"")</f>
        <v/>
      </c>
    </row>
    <row r="18">
      <c r="A18" s="35" t="str">
        <f>IFERROR(__xludf.DUMMYFUNCTION("""COMPUTED_VALUE"""),"")</f>
        <v/>
      </c>
      <c r="B18" s="35" t="str">
        <f>IFERROR(__xludf.DUMMYFUNCTION("""COMPUTED_VALUE"""),"14626")</f>
        <v>14626</v>
      </c>
      <c r="C18" s="172">
        <f>IFERROR(__xludf.DUMMYFUNCTION("""COMPUTED_VALUE"""),4.4638000708E10)</f>
        <v>44638000708</v>
      </c>
      <c r="D18" s="180" t="str">
        <f>IFERROR(__xludf.DUMMYFUNCTION("""COMPUTED_VALUE"""),"MSFT")</f>
        <v>MSFT</v>
      </c>
      <c r="E18" s="173">
        <f>IFERROR(__xludf.DUMMYFUNCTION("""COMPUTED_VALUE"""),44638.0)</f>
        <v>44638</v>
      </c>
      <c r="F18" s="35" t="str">
        <f>IFERROR(__xludf.DUMMYFUNCTION("""COMPUTED_VALUE"""),"Stock")</f>
        <v>Stock</v>
      </c>
      <c r="G18" s="35" t="str">
        <f>IFERROR(__xludf.DUMMYFUNCTION("""COMPUTED_VALUE"""),"USD")</f>
        <v>USD</v>
      </c>
      <c r="H18" s="14" t="str">
        <f>IFERROR(__xludf.DUMMYFUNCTION("""COMPUTED_VALUE"""),"")</f>
        <v/>
      </c>
      <c r="I18" s="174">
        <f>IFERROR(__xludf.DUMMYFUNCTION("""COMPUTED_VALUE"""),7.82495)</f>
        <v>7.82495</v>
      </c>
      <c r="J18" s="175">
        <f>IFERROR(__xludf.DUMMYFUNCTION("""COMPUTED_VALUE"""),300.43)</f>
        <v>300.43</v>
      </c>
      <c r="K18" s="35"/>
      <c r="L18" s="175">
        <f>IFERROR(__xludf.DUMMYFUNCTION("""COMPUTED_VALUE"""),287.62)</f>
        <v>287.62</v>
      </c>
      <c r="M18" s="187" t="str">
        <f>IFERROR(__xludf.DUMMYFUNCTION("""COMPUTED_VALUE"""),"Equity Key Stats")</f>
        <v>Equity Key Stats</v>
      </c>
      <c r="N18" s="35"/>
      <c r="O18" s="35"/>
      <c r="P18" s="176">
        <f>IFERROR(__xludf.DUMMYFUNCTION("""COMPUTED_VALUE"""),0.0)</f>
        <v>0</v>
      </c>
      <c r="Q18" s="177"/>
      <c r="R18" s="178">
        <f>IFERROR(__xludf.DUMMYFUNCTION("""COMPUTED_VALUE"""),287.62)</f>
        <v>287.62</v>
      </c>
      <c r="S18" s="151">
        <f>IFERROR(__xludf.DUMMYFUNCTION("""COMPUTED_VALUE"""),0.0)</f>
        <v>0</v>
      </c>
      <c r="T18" s="95">
        <f>IFERROR(__xludf.DUMMYFUNCTION("""COMPUTED_VALUE"""),3.0)</f>
        <v>3</v>
      </c>
      <c r="U18" s="95" t="str">
        <f>IFERROR(__xludf.DUMMYFUNCTION("""COMPUTED_VALUE"""),"")</f>
        <v/>
      </c>
      <c r="V18" s="179" t="str">
        <f>IFERROR(__xludf.DUMMYFUNCTION("""COMPUTED_VALUE"""),"")</f>
        <v/>
      </c>
      <c r="W18" s="171" t="str">
        <f>IFERROR(__xludf.DUMMYFUNCTION("""COMPUTED_VALUE"""),"")</f>
        <v/>
      </c>
      <c r="X18" s="14" t="str">
        <f>IFERROR(__xludf.DUMMYFUNCTION("""COMPUTED_VALUE"""),"")</f>
        <v/>
      </c>
      <c r="Y18" s="14" t="str">
        <f>IFERROR(__xludf.DUMMYFUNCTION("""COMPUTED_VALUE"""),"")</f>
        <v/>
      </c>
      <c r="Z18" s="11" t="str">
        <f>IFERROR(__xludf.DUMMYFUNCTION("""COMPUTED_VALUE"""),"")</f>
        <v/>
      </c>
    </row>
    <row r="19">
      <c r="A19" s="35" t="str">
        <f>IFERROR(__xludf.DUMMYFUNCTION("""COMPUTED_VALUE"""),"")</f>
        <v/>
      </c>
      <c r="B19" s="35" t="str">
        <f>IFERROR(__xludf.DUMMYFUNCTION("""COMPUTED_VALUE"""),"14626")</f>
        <v>14626</v>
      </c>
      <c r="C19" s="172">
        <f>IFERROR(__xludf.DUMMYFUNCTION("""COMPUTED_VALUE"""),4.4638000709E10)</f>
        <v>44638000709</v>
      </c>
      <c r="D19" s="180" t="str">
        <f>IFERROR(__xludf.DUMMYFUNCTION("""COMPUTED_VALUE"""),"AMZN")</f>
        <v>AMZN</v>
      </c>
      <c r="E19" s="173">
        <f>IFERROR(__xludf.DUMMYFUNCTION("""COMPUTED_VALUE"""),44638.0)</f>
        <v>44638</v>
      </c>
      <c r="F19" s="35" t="str">
        <f>IFERROR(__xludf.DUMMYFUNCTION("""COMPUTED_VALUE"""),"Stock")</f>
        <v>Stock</v>
      </c>
      <c r="G19" s="35" t="str">
        <f>IFERROR(__xludf.DUMMYFUNCTION("""COMPUTED_VALUE"""),"USD")</f>
        <v>USD</v>
      </c>
      <c r="H19" s="181" t="str">
        <f>IFERROR(__xludf.DUMMYFUNCTION("""COMPUTED_VALUE"""),"")</f>
        <v/>
      </c>
      <c r="I19" s="174">
        <f>IFERROR(__xludf.DUMMYFUNCTION("""COMPUTED_VALUE"""),7.82495)</f>
        <v>7.82495</v>
      </c>
      <c r="J19" s="175">
        <f>IFERROR(__xludf.DUMMYFUNCTION("""COMPUTED_VALUE"""),3225.01)</f>
        <v>3225.01</v>
      </c>
      <c r="K19" s="35"/>
      <c r="L19" s="175">
        <f>IFERROR(__xludf.DUMMYFUNCTION("""COMPUTED_VALUE"""),3110.82)</f>
        <v>3110.82</v>
      </c>
      <c r="M19" s="182" t="str">
        <f>IFERROR(__xludf.DUMMYFUNCTION("""COMPUTED_VALUE"""),"Equity Key Stats")</f>
        <v>Equity Key Stats</v>
      </c>
      <c r="N19" s="35"/>
      <c r="O19" s="35"/>
      <c r="P19" s="184">
        <f>IFERROR(__xludf.DUMMYFUNCTION("""COMPUTED_VALUE"""),0.0)</f>
        <v>0</v>
      </c>
      <c r="Q19" s="177"/>
      <c r="R19" s="178">
        <f>IFERROR(__xludf.DUMMYFUNCTION("""COMPUTED_VALUE"""),3110.82)</f>
        <v>3110.82</v>
      </c>
      <c r="S19" s="176">
        <f>IFERROR(__xludf.DUMMYFUNCTION("""COMPUTED_VALUE"""),0.0)</f>
        <v>0</v>
      </c>
      <c r="T19" s="95">
        <f>IFERROR(__xludf.DUMMYFUNCTION("""COMPUTED_VALUE"""),1.0)</f>
        <v>1</v>
      </c>
      <c r="U19" s="95">
        <f>IFERROR(__xludf.DUMMYFUNCTION("""COMPUTED_VALUE"""),1.0)</f>
        <v>1</v>
      </c>
      <c r="V19" s="185">
        <f>IFERROR(__xludf.DUMMYFUNCTION("""COMPUTED_VALUE"""),0.0)</f>
        <v>0</v>
      </c>
      <c r="W19" s="171" t="str">
        <f>IFERROR(__xludf.DUMMYFUNCTION("""COMPUTED_VALUE"""),"")</f>
        <v/>
      </c>
      <c r="X19" s="14" t="str">
        <f>IFERROR(__xludf.DUMMYFUNCTION("""COMPUTED_VALUE"""),"")</f>
        <v/>
      </c>
      <c r="Y19" s="14" t="str">
        <f>IFERROR(__xludf.DUMMYFUNCTION("""COMPUTED_VALUE"""),"")</f>
        <v/>
      </c>
      <c r="Z19" s="11" t="str">
        <f>IFERROR(__xludf.DUMMYFUNCTION("""COMPUTED_VALUE"""),"")</f>
        <v/>
      </c>
    </row>
    <row r="20">
      <c r="A20" s="35" t="str">
        <f>IFERROR(__xludf.DUMMYFUNCTION("""COMPUTED_VALUE"""),"")</f>
        <v/>
      </c>
      <c r="B20" s="35" t="str">
        <f>IFERROR(__xludf.DUMMYFUNCTION("""COMPUTED_VALUE"""),"14626")</f>
        <v>14626</v>
      </c>
      <c r="C20" s="172">
        <f>IFERROR(__xludf.DUMMYFUNCTION("""COMPUTED_VALUE"""),4.4641000719E10)</f>
        <v>44641000719</v>
      </c>
      <c r="D20" s="180" t="str">
        <f>IFERROR(__xludf.DUMMYFUNCTION("""COMPUTED_VALUE"""),"^CMC200")</f>
        <v>^CMC200</v>
      </c>
      <c r="E20" s="173">
        <f>IFERROR(__xludf.DUMMYFUNCTION("""COMPUTED_VALUE"""),44641.0)</f>
        <v>44641</v>
      </c>
      <c r="F20" s="35" t="str">
        <f>IFERROR(__xludf.DUMMYFUNCTION("""COMPUTED_VALUE"""),"Stock")</f>
        <v>Stock</v>
      </c>
      <c r="G20" s="35" t="str">
        <f>IFERROR(__xludf.DUMMYFUNCTION("""COMPUTED_VALUE"""),"USD")</f>
        <v>USD</v>
      </c>
      <c r="H20" s="181" t="str">
        <f>IFERROR(__xludf.DUMMYFUNCTION("""COMPUTED_VALUE"""),"")</f>
        <v/>
      </c>
      <c r="I20" s="174">
        <f>IFERROR(__xludf.DUMMYFUNCTION("""COMPUTED_VALUE"""),7.82545)</f>
        <v>7.82545</v>
      </c>
      <c r="J20" s="175">
        <f>IFERROR(__xludf.DUMMYFUNCTION("""COMPUTED_VALUE"""),941.89)</f>
        <v>941.89</v>
      </c>
      <c r="K20" s="35"/>
      <c r="L20" s="175">
        <f>IFERROR(__xludf.DUMMYFUNCTION("""COMPUTED_VALUE"""),960.27)</f>
        <v>960.27</v>
      </c>
      <c r="M20" s="182" t="str">
        <f>IFERROR(__xludf.DUMMYFUNCTION("""COMPUTED_VALUE"""),"Equity Key Stats")</f>
        <v>Equity Key Stats</v>
      </c>
      <c r="N20" s="35"/>
      <c r="O20" s="35"/>
      <c r="P20" s="184">
        <f>IFERROR(__xludf.DUMMYFUNCTION("""COMPUTED_VALUE"""),0.0)</f>
        <v>0</v>
      </c>
      <c r="Q20" s="177"/>
      <c r="R20" s="178">
        <f>IFERROR(__xludf.DUMMYFUNCTION("""COMPUTED_VALUE"""),960.27)</f>
        <v>960.27</v>
      </c>
      <c r="S20" s="176">
        <f>IFERROR(__xludf.DUMMYFUNCTION("""COMPUTED_VALUE"""),0.0)</f>
        <v>0</v>
      </c>
      <c r="T20" s="95">
        <f>IFERROR(__xludf.DUMMYFUNCTION("""COMPUTED_VALUE"""),1.0)</f>
        <v>1</v>
      </c>
      <c r="U20" s="35">
        <f>IFERROR(__xludf.DUMMYFUNCTION("""COMPUTED_VALUE"""),1.0)</f>
        <v>1</v>
      </c>
      <c r="V20" s="170">
        <f>IFERROR(__xludf.DUMMYFUNCTION("""COMPUTED_VALUE"""),0.0)</f>
        <v>0</v>
      </c>
      <c r="W20" s="171" t="str">
        <f>IFERROR(__xludf.DUMMYFUNCTION("""COMPUTED_VALUE"""),"")</f>
        <v/>
      </c>
      <c r="X20" s="14" t="str">
        <f>IFERROR(__xludf.DUMMYFUNCTION("""COMPUTED_VALUE"""),"")</f>
        <v/>
      </c>
      <c r="Y20" s="14" t="str">
        <f>IFERROR(__xludf.DUMMYFUNCTION("""COMPUTED_VALUE"""),"")</f>
        <v/>
      </c>
      <c r="Z20" s="11" t="str">
        <f>IFERROR(__xludf.DUMMYFUNCTION("""COMPUTED_VALUE"""),"")</f>
        <v/>
      </c>
    </row>
    <row r="21">
      <c r="A21" s="35" t="str">
        <f>IFERROR(__xludf.DUMMYFUNCTION("""COMPUTED_VALUE"""),"")</f>
        <v/>
      </c>
      <c r="B21" s="35" t="str">
        <f>IFERROR(__xludf.DUMMYFUNCTION("""COMPUTED_VALUE"""),"14626")</f>
        <v>14626</v>
      </c>
      <c r="C21" s="172">
        <f>IFERROR(__xludf.DUMMYFUNCTION("""COMPUTED_VALUE"""),4.464100072E10)</f>
        <v>44641000720</v>
      </c>
      <c r="D21" s="180" t="str">
        <f>IFERROR(__xludf.DUMMYFUNCTION("""COMPUTED_VALUE"""),"SHOP")</f>
        <v>SHOP</v>
      </c>
      <c r="E21" s="173">
        <f>IFERROR(__xludf.DUMMYFUNCTION("""COMPUTED_VALUE"""),44641.0)</f>
        <v>44641</v>
      </c>
      <c r="F21" s="35" t="str">
        <f>IFERROR(__xludf.DUMMYFUNCTION("""COMPUTED_VALUE"""),"Stock")</f>
        <v>Stock</v>
      </c>
      <c r="G21" s="35" t="str">
        <f>IFERROR(__xludf.DUMMYFUNCTION("""COMPUTED_VALUE"""),"USD")</f>
        <v>USD</v>
      </c>
      <c r="H21" s="183" t="str">
        <f>IFERROR(__xludf.DUMMYFUNCTION("""COMPUTED_VALUE"""),"")</f>
        <v/>
      </c>
      <c r="I21" s="174">
        <f>IFERROR(__xludf.DUMMYFUNCTION("""COMPUTED_VALUE"""),7.82545)</f>
        <v>7.82545</v>
      </c>
      <c r="J21" s="175">
        <f>IFERROR(__xludf.DUMMYFUNCTION("""COMPUTED_VALUE"""),683.45)</f>
        <v>683.45</v>
      </c>
      <c r="K21" s="35"/>
      <c r="L21" s="175">
        <f>IFERROR(__xludf.DUMMYFUNCTION("""COMPUTED_VALUE"""),604.45)</f>
        <v>604.45</v>
      </c>
      <c r="M21" s="182" t="str">
        <f>IFERROR(__xludf.DUMMYFUNCTION("""COMPUTED_VALUE"""),"Equity Key Stats")</f>
        <v>Equity Key Stats</v>
      </c>
      <c r="N21" s="35"/>
      <c r="O21" s="35"/>
      <c r="P21" s="176">
        <f>IFERROR(__xludf.DUMMYFUNCTION("""COMPUTED_VALUE"""),0.0)</f>
        <v>0</v>
      </c>
      <c r="Q21" s="177"/>
      <c r="R21" s="178">
        <f>IFERROR(__xludf.DUMMYFUNCTION("""COMPUTED_VALUE"""),604.45)</f>
        <v>604.45</v>
      </c>
      <c r="S21" s="184">
        <f>IFERROR(__xludf.DUMMYFUNCTION("""COMPUTED_VALUE"""),0.0)</f>
        <v>0</v>
      </c>
      <c r="T21" s="95">
        <f>IFERROR(__xludf.DUMMYFUNCTION("""COMPUTED_VALUE"""),1.0)</f>
        <v>1</v>
      </c>
      <c r="U21" s="35">
        <f>IFERROR(__xludf.DUMMYFUNCTION("""COMPUTED_VALUE"""),1.0)</f>
        <v>1</v>
      </c>
      <c r="V21" s="170">
        <f>IFERROR(__xludf.DUMMYFUNCTION("""COMPUTED_VALUE"""),0.0)</f>
        <v>0</v>
      </c>
      <c r="W21" s="171" t="str">
        <f>IFERROR(__xludf.DUMMYFUNCTION("""COMPUTED_VALUE"""),"")</f>
        <v/>
      </c>
      <c r="X21" s="14" t="str">
        <f>IFERROR(__xludf.DUMMYFUNCTION("""COMPUTED_VALUE"""),"")</f>
        <v/>
      </c>
      <c r="Y21" s="14" t="str">
        <f>IFERROR(__xludf.DUMMYFUNCTION("""COMPUTED_VALUE"""),"")</f>
        <v/>
      </c>
      <c r="Z21" s="11" t="str">
        <f>IFERROR(__xludf.DUMMYFUNCTION("""COMPUTED_VALUE"""),"")</f>
        <v/>
      </c>
    </row>
    <row r="22">
      <c r="A22" s="35" t="str">
        <f>IFERROR(__xludf.DUMMYFUNCTION("""COMPUTED_VALUE"""),"")</f>
        <v/>
      </c>
      <c r="B22" s="35" t="str">
        <f>IFERROR(__xludf.DUMMYFUNCTION("""COMPUTED_VALUE"""),"14626")</f>
        <v>14626</v>
      </c>
      <c r="C22" s="172">
        <f>IFERROR(__xludf.DUMMYFUNCTION("""COMPUTED_VALUE"""),4.4641000725E10)</f>
        <v>44641000725</v>
      </c>
      <c r="D22" s="180" t="str">
        <f>IFERROR(__xludf.DUMMYFUNCTION("""COMPUTED_VALUE"""),"^N225")</f>
        <v>^N225</v>
      </c>
      <c r="E22" s="173">
        <f>IFERROR(__xludf.DUMMYFUNCTION("""COMPUTED_VALUE"""),44641.0)</f>
        <v>44641</v>
      </c>
      <c r="F22" s="35" t="str">
        <f>IFERROR(__xludf.DUMMYFUNCTION("""COMPUTED_VALUE"""),"Stock")</f>
        <v>Stock</v>
      </c>
      <c r="G22" s="35" t="str">
        <f>IFERROR(__xludf.DUMMYFUNCTION("""COMPUTED_VALUE"""),"JPY")</f>
        <v>JPY</v>
      </c>
      <c r="H22" s="181" t="str">
        <f>IFERROR(__xludf.DUMMYFUNCTION("""COMPUTED_VALUE"""),"")</f>
        <v/>
      </c>
      <c r="I22" s="174">
        <f>IFERROR(__xludf.DUMMYFUNCTION("""COMPUTED_VALUE"""),0.06541815)</f>
        <v>0.06541815</v>
      </c>
      <c r="J22" s="175">
        <f>IFERROR(__xludf.DUMMYFUNCTION("""COMPUTED_VALUE"""),27222.93)</f>
        <v>27222.93</v>
      </c>
      <c r="K22" s="35"/>
      <c r="L22" s="175">
        <f>IFERROR(__xludf.DUMMYFUNCTION("""COMPUTED_VALUE"""),26843.49)</f>
        <v>26843.49</v>
      </c>
      <c r="M22" s="182" t="str">
        <f>IFERROR(__xludf.DUMMYFUNCTION("""COMPUTED_VALUE"""),"Equity Key Stats")</f>
        <v>Equity Key Stats</v>
      </c>
      <c r="N22" s="35"/>
      <c r="O22" s="35"/>
      <c r="P22" s="184">
        <f>IFERROR(__xludf.DUMMYFUNCTION("""COMPUTED_VALUE"""),0.0)</f>
        <v>0</v>
      </c>
      <c r="Q22" s="177"/>
      <c r="R22" s="178">
        <f>IFERROR(__xludf.DUMMYFUNCTION("""COMPUTED_VALUE"""),26843.49)</f>
        <v>26843.49</v>
      </c>
      <c r="S22" s="176">
        <f>IFERROR(__xludf.DUMMYFUNCTION("""COMPUTED_VALUE"""),0.0)</f>
        <v>0</v>
      </c>
      <c r="T22" s="95">
        <f>IFERROR(__xludf.DUMMYFUNCTION("""COMPUTED_VALUE"""),1.0)</f>
        <v>1</v>
      </c>
      <c r="U22" s="95">
        <f>IFERROR(__xludf.DUMMYFUNCTION("""COMPUTED_VALUE"""),1.0)</f>
        <v>1</v>
      </c>
      <c r="V22" s="179">
        <f>IFERROR(__xludf.DUMMYFUNCTION("""COMPUTED_VALUE"""),0.0)</f>
        <v>0</v>
      </c>
      <c r="W22" s="171" t="str">
        <f>IFERROR(__xludf.DUMMYFUNCTION("""COMPUTED_VALUE"""),"")</f>
        <v/>
      </c>
      <c r="X22" s="14" t="str">
        <f>IFERROR(__xludf.DUMMYFUNCTION("""COMPUTED_VALUE"""),"")</f>
        <v/>
      </c>
      <c r="Y22" s="14" t="str">
        <f>IFERROR(__xludf.DUMMYFUNCTION("""COMPUTED_VALUE"""),"")</f>
        <v/>
      </c>
      <c r="Z22" s="11" t="str">
        <f>IFERROR(__xludf.DUMMYFUNCTION("""COMPUTED_VALUE"""),"")</f>
        <v/>
      </c>
    </row>
    <row r="23">
      <c r="A23" s="35" t="str">
        <f>IFERROR(__xludf.DUMMYFUNCTION("""COMPUTED_VALUE"""),"")</f>
        <v/>
      </c>
      <c r="B23" s="35" t="str">
        <f>IFERROR(__xludf.DUMMYFUNCTION("""COMPUTED_VALUE"""),"14626")</f>
        <v>14626</v>
      </c>
      <c r="C23" s="172">
        <f>IFERROR(__xludf.DUMMYFUNCTION("""COMPUTED_VALUE"""),4.4641000726E10)</f>
        <v>44641000726</v>
      </c>
      <c r="D23" s="180" t="str">
        <f>IFERROR(__xludf.DUMMYFUNCTION("""COMPUTED_VALUE"""),"PFE")</f>
        <v>PFE</v>
      </c>
      <c r="E23" s="173">
        <f>IFERROR(__xludf.DUMMYFUNCTION("""COMPUTED_VALUE"""),44641.0)</f>
        <v>44641</v>
      </c>
      <c r="F23" s="35" t="str">
        <f>IFERROR(__xludf.DUMMYFUNCTION("""COMPUTED_VALUE"""),"Stock")</f>
        <v>Stock</v>
      </c>
      <c r="G23" s="35" t="str">
        <f>IFERROR(__xludf.DUMMYFUNCTION("""COMPUTED_VALUE"""),"USD")</f>
        <v>USD</v>
      </c>
      <c r="H23" s="181">
        <f>IFERROR(__xludf.DUMMYFUNCTION("""COMPUTED_VALUE"""),1000.0)</f>
        <v>1000</v>
      </c>
      <c r="I23" s="174">
        <f>IFERROR(__xludf.DUMMYFUNCTION("""COMPUTED_VALUE"""),7.82545)</f>
        <v>7.82545</v>
      </c>
      <c r="J23" s="175">
        <f>IFERROR(__xludf.DUMMYFUNCTION("""COMPUTED_VALUE"""),54.19)</f>
        <v>54.19</v>
      </c>
      <c r="K23" s="35"/>
      <c r="L23" s="175">
        <f>IFERROR(__xludf.DUMMYFUNCTION("""COMPUTED_VALUE"""),53.11)</f>
        <v>53.11</v>
      </c>
      <c r="M23" s="182" t="str">
        <f>IFERROR(__xludf.DUMMYFUNCTION("""COMPUTED_VALUE"""),"Equity Key Stats")</f>
        <v>Equity Key Stats</v>
      </c>
      <c r="N23" s="35"/>
      <c r="O23" s="35"/>
      <c r="P23" s="184">
        <f>IFERROR(__xludf.DUMMYFUNCTION("""COMPUTED_VALUE"""),-424061.1355)</f>
        <v>-424061.1355</v>
      </c>
      <c r="Q23" s="177"/>
      <c r="R23" s="178">
        <f>IFERROR(__xludf.DUMMYFUNCTION("""COMPUTED_VALUE"""),53.11)</f>
        <v>53.11</v>
      </c>
      <c r="S23" s="176">
        <f>IFERROR(__xludf.DUMMYFUNCTION("""COMPUTED_VALUE"""),415609.6495)</f>
        <v>415609.6495</v>
      </c>
      <c r="T23" s="95">
        <f>IFERROR(__xludf.DUMMYFUNCTION("""COMPUTED_VALUE"""),2.0)</f>
        <v>2</v>
      </c>
      <c r="U23" s="95" t="str">
        <f>IFERROR(__xludf.DUMMYFUNCTION("""COMPUTED_VALUE"""),"")</f>
        <v/>
      </c>
      <c r="V23" s="179" t="str">
        <f>IFERROR(__xludf.DUMMYFUNCTION("""COMPUTED_VALUE"""),"")</f>
        <v/>
      </c>
      <c r="W23" s="171" t="str">
        <f>IFERROR(__xludf.DUMMYFUNCTION("""COMPUTED_VALUE"""),"")</f>
        <v/>
      </c>
      <c r="X23" s="14" t="str">
        <f>IFERROR(__xludf.DUMMYFUNCTION("""COMPUTED_VALUE"""),"")</f>
        <v/>
      </c>
      <c r="Y23" s="14" t="str">
        <f>IFERROR(__xludf.DUMMYFUNCTION("""COMPUTED_VALUE"""),"")</f>
        <v/>
      </c>
      <c r="Z23" s="11" t="str">
        <f>IFERROR(__xludf.DUMMYFUNCTION("""COMPUTED_VALUE"""),"")</f>
        <v/>
      </c>
    </row>
    <row r="24">
      <c r="A24" s="35" t="str">
        <f>IFERROR(__xludf.DUMMYFUNCTION("""COMPUTED_VALUE"""),"")</f>
        <v/>
      </c>
      <c r="B24" s="35" t="str">
        <f>IFERROR(__xludf.DUMMYFUNCTION("""COMPUTED_VALUE"""),"14626")</f>
        <v>14626</v>
      </c>
      <c r="C24" s="172">
        <f>IFERROR(__xludf.DUMMYFUNCTION("""COMPUTED_VALUE"""),4.4641000727E10)</f>
        <v>44641000727</v>
      </c>
      <c r="D24" s="180" t="str">
        <f>IFERROR(__xludf.DUMMYFUNCTION("""COMPUTED_VALUE"""),"LUNA1-USD")</f>
        <v>LUNA1-USD</v>
      </c>
      <c r="E24" s="173">
        <f>IFERROR(__xludf.DUMMYFUNCTION("""COMPUTED_VALUE"""),44641.0)</f>
        <v>44641</v>
      </c>
      <c r="F24" s="35" t="str">
        <f>IFERROR(__xludf.DUMMYFUNCTION("""COMPUTED_VALUE"""),"Stock")</f>
        <v>Stock</v>
      </c>
      <c r="G24" s="35" t="str">
        <f>IFERROR(__xludf.DUMMYFUNCTION("""COMPUTED_VALUE"""),"USD")</f>
        <v>USD</v>
      </c>
      <c r="H24" s="181" t="str">
        <f>IFERROR(__xludf.DUMMYFUNCTION("""COMPUTED_VALUE"""),"")</f>
        <v/>
      </c>
      <c r="I24" s="174">
        <f>IFERROR(__xludf.DUMMYFUNCTION("""COMPUTED_VALUE"""),7.82545)</f>
        <v>7.82545</v>
      </c>
      <c r="J24" s="175">
        <f>IFERROR(__xludf.DUMMYFUNCTION("""COMPUTED_VALUE"""),94.99)</f>
        <v>94.99</v>
      </c>
      <c r="K24" s="35"/>
      <c r="L24" s="175">
        <f>IFERROR(__xludf.DUMMYFUNCTION("""COMPUTED_VALUE"""),86.86)</f>
        <v>86.86</v>
      </c>
      <c r="M24" s="182" t="str">
        <f>IFERROR(__xludf.DUMMYFUNCTION("""COMPUTED_VALUE"""),"Equity Key Stats")</f>
        <v>Equity Key Stats</v>
      </c>
      <c r="N24" s="35"/>
      <c r="O24" s="35"/>
      <c r="P24" s="184">
        <f>IFERROR(__xludf.DUMMYFUNCTION("""COMPUTED_VALUE"""),0.0)</f>
        <v>0</v>
      </c>
      <c r="Q24" s="177"/>
      <c r="R24" s="178">
        <f>IFERROR(__xludf.DUMMYFUNCTION("""COMPUTED_VALUE"""),86.86)</f>
        <v>86.86</v>
      </c>
      <c r="S24" s="176">
        <f>IFERROR(__xludf.DUMMYFUNCTION("""COMPUTED_VALUE"""),0.0)</f>
        <v>0</v>
      </c>
      <c r="T24" s="95">
        <f>IFERROR(__xludf.DUMMYFUNCTION("""COMPUTED_VALUE"""),1.0)</f>
        <v>1</v>
      </c>
      <c r="U24" s="95">
        <f>IFERROR(__xludf.DUMMYFUNCTION("""COMPUTED_VALUE"""),1.0)</f>
        <v>1</v>
      </c>
      <c r="V24" s="179">
        <f>IFERROR(__xludf.DUMMYFUNCTION("""COMPUTED_VALUE"""),0.0)</f>
        <v>0</v>
      </c>
      <c r="W24" s="171" t="str">
        <f>IFERROR(__xludf.DUMMYFUNCTION("""COMPUTED_VALUE"""),"")</f>
        <v/>
      </c>
      <c r="X24" s="14" t="str">
        <f>IFERROR(__xludf.DUMMYFUNCTION("""COMPUTED_VALUE"""),"")</f>
        <v/>
      </c>
      <c r="Y24" s="14" t="str">
        <f>IFERROR(__xludf.DUMMYFUNCTION("""COMPUTED_VALUE"""),"")</f>
        <v/>
      </c>
      <c r="Z24" s="11" t="str">
        <f>IFERROR(__xludf.DUMMYFUNCTION("""COMPUTED_VALUE"""),"")</f>
        <v/>
      </c>
    </row>
    <row r="25">
      <c r="A25" s="35" t="str">
        <f>IFERROR(__xludf.DUMMYFUNCTION("""COMPUTED_VALUE"""),"")</f>
        <v/>
      </c>
      <c r="B25" s="35" t="str">
        <f>IFERROR(__xludf.DUMMYFUNCTION("""COMPUTED_VALUE"""),"14626")</f>
        <v>14626</v>
      </c>
      <c r="C25" s="172">
        <f>IFERROR(__xludf.DUMMYFUNCTION("""COMPUTED_VALUE"""),4.4641000728E10)</f>
        <v>44641000728</v>
      </c>
      <c r="D25" s="180" t="str">
        <f>IFERROR(__xludf.DUMMYFUNCTION("""COMPUTED_VALUE"""),"NFLX")</f>
        <v>NFLX</v>
      </c>
      <c r="E25" s="173">
        <f>IFERROR(__xludf.DUMMYFUNCTION("""COMPUTED_VALUE"""),44641.0)</f>
        <v>44641</v>
      </c>
      <c r="F25" s="35" t="str">
        <f>IFERROR(__xludf.DUMMYFUNCTION("""COMPUTED_VALUE"""),"Stock")</f>
        <v>Stock</v>
      </c>
      <c r="G25" s="35" t="str">
        <f>IFERROR(__xludf.DUMMYFUNCTION("""COMPUTED_VALUE"""),"USD")</f>
        <v>USD</v>
      </c>
      <c r="H25" s="181" t="str">
        <f>IFERROR(__xludf.DUMMYFUNCTION("""COMPUTED_VALUE"""),"")</f>
        <v/>
      </c>
      <c r="I25" s="174">
        <f>IFERROR(__xludf.DUMMYFUNCTION("""COMPUTED_VALUE"""),7.82545)</f>
        <v>7.82545</v>
      </c>
      <c r="J25" s="175">
        <f>IFERROR(__xludf.DUMMYFUNCTION("""COMPUTED_VALUE"""),374.59)</f>
        <v>374.59</v>
      </c>
      <c r="K25" s="35"/>
      <c r="L25" s="175">
        <f>IFERROR(__xludf.DUMMYFUNCTION("""COMPUTED_VALUE"""),350.43)</f>
        <v>350.43</v>
      </c>
      <c r="M25" s="182" t="str">
        <f>IFERROR(__xludf.DUMMYFUNCTION("""COMPUTED_VALUE"""),"Equity Key Stats")</f>
        <v>Equity Key Stats</v>
      </c>
      <c r="N25" s="35"/>
      <c r="O25" s="35"/>
      <c r="P25" s="184">
        <f>IFERROR(__xludf.DUMMYFUNCTION("""COMPUTED_VALUE"""),0.0)</f>
        <v>0</v>
      </c>
      <c r="Q25" s="177"/>
      <c r="R25" s="178">
        <f>IFERROR(__xludf.DUMMYFUNCTION("""COMPUTED_VALUE"""),350.43)</f>
        <v>350.43</v>
      </c>
      <c r="S25" s="176">
        <f>IFERROR(__xludf.DUMMYFUNCTION("""COMPUTED_VALUE"""),0.0)</f>
        <v>0</v>
      </c>
      <c r="T25" s="95">
        <f>IFERROR(__xludf.DUMMYFUNCTION("""COMPUTED_VALUE"""),1.0)</f>
        <v>1</v>
      </c>
      <c r="U25" s="95">
        <f>IFERROR(__xludf.DUMMYFUNCTION("""COMPUTED_VALUE"""),1.0)</f>
        <v>1</v>
      </c>
      <c r="V25" s="185">
        <f>IFERROR(__xludf.DUMMYFUNCTION("""COMPUTED_VALUE"""),0.0)</f>
        <v>0</v>
      </c>
      <c r="W25" s="171" t="str">
        <f>IFERROR(__xludf.DUMMYFUNCTION("""COMPUTED_VALUE"""),"")</f>
        <v/>
      </c>
      <c r="X25" s="14" t="str">
        <f>IFERROR(__xludf.DUMMYFUNCTION("""COMPUTED_VALUE"""),"")</f>
        <v/>
      </c>
      <c r="Y25" s="14" t="str">
        <f>IFERROR(__xludf.DUMMYFUNCTION("""COMPUTED_VALUE"""),"")</f>
        <v/>
      </c>
      <c r="Z25" s="11" t="str">
        <f>IFERROR(__xludf.DUMMYFUNCTION("""COMPUTED_VALUE"""),"")</f>
        <v/>
      </c>
    </row>
    <row r="26">
      <c r="A26" s="35" t="str">
        <f>IFERROR(__xludf.DUMMYFUNCTION("""COMPUTED_VALUE"""),"")</f>
        <v/>
      </c>
      <c r="B26" s="35" t="str">
        <f>IFERROR(__xludf.DUMMYFUNCTION("""COMPUTED_VALUE"""),"14626")</f>
        <v>14626</v>
      </c>
      <c r="C26" s="172">
        <f>IFERROR(__xludf.DUMMYFUNCTION("""COMPUTED_VALUE"""),4.464100073E10)</f>
        <v>44641000730</v>
      </c>
      <c r="D26" s="180" t="str">
        <f>IFERROR(__xludf.DUMMYFUNCTION("""COMPUTED_VALUE"""),"NVDA")</f>
        <v>NVDA</v>
      </c>
      <c r="E26" s="173">
        <f>IFERROR(__xludf.DUMMYFUNCTION("""COMPUTED_VALUE"""),44641.0)</f>
        <v>44641</v>
      </c>
      <c r="F26" s="35" t="str">
        <f>IFERROR(__xludf.DUMMYFUNCTION("""COMPUTED_VALUE"""),"Stock")</f>
        <v>Stock</v>
      </c>
      <c r="G26" s="35" t="str">
        <f>IFERROR(__xludf.DUMMYFUNCTION("""COMPUTED_VALUE"""),"USD")</f>
        <v>USD</v>
      </c>
      <c r="H26" s="181" t="str">
        <f>IFERROR(__xludf.DUMMYFUNCTION("""COMPUTED_VALUE"""),"")</f>
        <v/>
      </c>
      <c r="I26" s="174">
        <f>IFERROR(__xludf.DUMMYFUNCTION("""COMPUTED_VALUE"""),7.82545)</f>
        <v>7.82545</v>
      </c>
      <c r="J26" s="175">
        <f>IFERROR(__xludf.DUMMYFUNCTION("""COMPUTED_VALUE"""),267.34)</f>
        <v>267.34</v>
      </c>
      <c r="K26" s="35"/>
      <c r="L26" s="175">
        <f>IFERROR(__xludf.DUMMYFUNCTION("""COMPUTED_VALUE"""),222.03)</f>
        <v>222.03</v>
      </c>
      <c r="M26" s="182" t="str">
        <f>IFERROR(__xludf.DUMMYFUNCTION("""COMPUTED_VALUE"""),"Equity Key Stats")</f>
        <v>Equity Key Stats</v>
      </c>
      <c r="N26" s="35"/>
      <c r="O26" s="35"/>
      <c r="P26" s="184">
        <f>IFERROR(__xludf.DUMMYFUNCTION("""COMPUTED_VALUE"""),0.0)</f>
        <v>0</v>
      </c>
      <c r="Q26" s="177"/>
      <c r="R26" s="178">
        <f>IFERROR(__xludf.DUMMYFUNCTION("""COMPUTED_VALUE"""),222.03)</f>
        <v>222.03</v>
      </c>
      <c r="S26" s="176">
        <f>IFERROR(__xludf.DUMMYFUNCTION("""COMPUTED_VALUE"""),0.0)</f>
        <v>0</v>
      </c>
      <c r="T26" s="95">
        <f>IFERROR(__xludf.DUMMYFUNCTION("""COMPUTED_VALUE"""),1.0)</f>
        <v>1</v>
      </c>
      <c r="U26" s="95">
        <f>IFERROR(__xludf.DUMMYFUNCTION("""COMPUTED_VALUE"""),1.0)</f>
        <v>1</v>
      </c>
      <c r="V26" s="179">
        <f>IFERROR(__xludf.DUMMYFUNCTION("""COMPUTED_VALUE"""),0.0)</f>
        <v>0</v>
      </c>
      <c r="W26" s="171" t="str">
        <f>IFERROR(__xludf.DUMMYFUNCTION("""COMPUTED_VALUE"""),"")</f>
        <v/>
      </c>
      <c r="X26" s="14" t="str">
        <f>IFERROR(__xludf.DUMMYFUNCTION("""COMPUTED_VALUE"""),"")</f>
        <v/>
      </c>
      <c r="Y26" s="14" t="str">
        <f>IFERROR(__xludf.DUMMYFUNCTION("""COMPUTED_VALUE"""),"")</f>
        <v/>
      </c>
      <c r="Z26" s="11" t="str">
        <f>IFERROR(__xludf.DUMMYFUNCTION("""COMPUTED_VALUE"""),"")</f>
        <v/>
      </c>
    </row>
    <row r="27">
      <c r="A27" s="35" t="str">
        <f>IFERROR(__xludf.DUMMYFUNCTION("""COMPUTED_VALUE"""),"")</f>
        <v/>
      </c>
      <c r="B27" s="35" t="str">
        <f>IFERROR(__xludf.DUMMYFUNCTION("""COMPUTED_VALUE"""),"14626")</f>
        <v>14626</v>
      </c>
      <c r="C27" s="172">
        <f>IFERROR(__xludf.DUMMYFUNCTION("""COMPUTED_VALUE"""),4.4641000741E10)</f>
        <v>44641000741</v>
      </c>
      <c r="D27" s="180" t="str">
        <f>IFERROR(__xludf.DUMMYFUNCTION("""COMPUTED_VALUE"""),"CL=F")</f>
        <v>CL=F</v>
      </c>
      <c r="E27" s="173">
        <f>IFERROR(__xludf.DUMMYFUNCTION("""COMPUTED_VALUE"""),44641.0)</f>
        <v>44641</v>
      </c>
      <c r="F27" s="35" t="str">
        <f>IFERROR(__xludf.DUMMYFUNCTION("""COMPUTED_VALUE"""),"Stock")</f>
        <v>Stock</v>
      </c>
      <c r="G27" s="35" t="str">
        <f>IFERROR(__xludf.DUMMYFUNCTION("""COMPUTED_VALUE"""),"USD")</f>
        <v>USD</v>
      </c>
      <c r="H27" s="181" t="str">
        <f>IFERROR(__xludf.DUMMYFUNCTION("""COMPUTED_VALUE"""),"")</f>
        <v/>
      </c>
      <c r="I27" s="174">
        <f>IFERROR(__xludf.DUMMYFUNCTION("""COMPUTED_VALUE"""),7.82545)</f>
        <v>7.82545</v>
      </c>
      <c r="J27" s="175">
        <f>IFERROR(__xludf.DUMMYFUNCTION("""COMPUTED_VALUE"""),114.16)</f>
        <v>114.16</v>
      </c>
      <c r="K27" s="35"/>
      <c r="L27" s="175">
        <f>IFERROR(__xludf.DUMMYFUNCTION("""COMPUTED_VALUE"""),104.31)</f>
        <v>104.31</v>
      </c>
      <c r="M27" s="182" t="str">
        <f>IFERROR(__xludf.DUMMYFUNCTION("""COMPUTED_VALUE"""),"Equity Key Stats")</f>
        <v>Equity Key Stats</v>
      </c>
      <c r="N27" s="35"/>
      <c r="O27" s="35"/>
      <c r="P27" s="184">
        <f>IFERROR(__xludf.DUMMYFUNCTION("""COMPUTED_VALUE"""),0.0)</f>
        <v>0</v>
      </c>
      <c r="Q27" s="177"/>
      <c r="R27" s="178">
        <f>IFERROR(__xludf.DUMMYFUNCTION("""COMPUTED_VALUE"""),104.31)</f>
        <v>104.31</v>
      </c>
      <c r="S27" s="176">
        <f>IFERROR(__xludf.DUMMYFUNCTION("""COMPUTED_VALUE"""),0.0)</f>
        <v>0</v>
      </c>
      <c r="T27" s="95">
        <f>IFERROR(__xludf.DUMMYFUNCTION("""COMPUTED_VALUE"""),2.0)</f>
        <v>2</v>
      </c>
      <c r="U27" s="95">
        <f>IFERROR(__xludf.DUMMYFUNCTION("""COMPUTED_VALUE"""),1.0)</f>
        <v>1</v>
      </c>
      <c r="V27" s="179">
        <f>IFERROR(__xludf.DUMMYFUNCTION("""COMPUTED_VALUE"""),742.7612999999983)</f>
        <v>742.7613</v>
      </c>
      <c r="W27" s="171" t="str">
        <f>IFERROR(__xludf.DUMMYFUNCTION("""COMPUTED_VALUE"""),"")</f>
        <v/>
      </c>
      <c r="X27" s="14" t="str">
        <f>IFERROR(__xludf.DUMMYFUNCTION("""COMPUTED_VALUE"""),"")</f>
        <v/>
      </c>
      <c r="Y27" s="14" t="str">
        <f>IFERROR(__xludf.DUMMYFUNCTION("""COMPUTED_VALUE"""),"")</f>
        <v/>
      </c>
      <c r="Z27" s="11" t="str">
        <f>IFERROR(__xludf.DUMMYFUNCTION("""COMPUTED_VALUE"""),"")</f>
        <v/>
      </c>
    </row>
    <row r="28">
      <c r="A28" s="35" t="str">
        <f>IFERROR(__xludf.DUMMYFUNCTION("""COMPUTED_VALUE"""),"")</f>
        <v/>
      </c>
      <c r="B28" s="35" t="str">
        <f>IFERROR(__xludf.DUMMYFUNCTION("""COMPUTED_VALUE"""),"14626")</f>
        <v>14626</v>
      </c>
      <c r="C28" s="172">
        <f>IFERROR(__xludf.DUMMYFUNCTION("""COMPUTED_VALUE"""),4.4641000742E10)</f>
        <v>44641000742</v>
      </c>
      <c r="D28" s="180" t="str">
        <f>IFERROR(__xludf.DUMMYFUNCTION("""COMPUTED_VALUE"""),"NKE")</f>
        <v>NKE</v>
      </c>
      <c r="E28" s="173">
        <f>IFERROR(__xludf.DUMMYFUNCTION("""COMPUTED_VALUE"""),44641.0)</f>
        <v>44641</v>
      </c>
      <c r="F28" s="35" t="str">
        <f>IFERROR(__xludf.DUMMYFUNCTION("""COMPUTED_VALUE"""),"Stock")</f>
        <v>Stock</v>
      </c>
      <c r="G28" s="35" t="str">
        <f>IFERROR(__xludf.DUMMYFUNCTION("""COMPUTED_VALUE"""),"USD")</f>
        <v>USD</v>
      </c>
      <c r="H28" s="181" t="str">
        <f>IFERROR(__xludf.DUMMYFUNCTION("""COMPUTED_VALUE"""),"")</f>
        <v/>
      </c>
      <c r="I28" s="174">
        <f>IFERROR(__xludf.DUMMYFUNCTION("""COMPUTED_VALUE"""),7.82545)</f>
        <v>7.82545</v>
      </c>
      <c r="J28" s="175">
        <f>IFERROR(__xludf.DUMMYFUNCTION("""COMPUTED_VALUE"""),130.19)</f>
        <v>130.19</v>
      </c>
      <c r="K28" s="35"/>
      <c r="L28" s="175">
        <f>IFERROR(__xludf.DUMMYFUNCTION("""COMPUTED_VALUE"""),127.48)</f>
        <v>127.48</v>
      </c>
      <c r="M28" s="182" t="str">
        <f>IFERROR(__xludf.DUMMYFUNCTION("""COMPUTED_VALUE"""),"Equity Key Stats")</f>
        <v>Equity Key Stats</v>
      </c>
      <c r="N28" s="35"/>
      <c r="O28" s="35"/>
      <c r="P28" s="184">
        <f>IFERROR(__xludf.DUMMYFUNCTION("""COMPUTED_VALUE"""),0.0)</f>
        <v>0</v>
      </c>
      <c r="Q28" s="177"/>
      <c r="R28" s="178">
        <f>IFERROR(__xludf.DUMMYFUNCTION("""COMPUTED_VALUE"""),127.48)</f>
        <v>127.48</v>
      </c>
      <c r="S28" s="176">
        <f>IFERROR(__xludf.DUMMYFUNCTION("""COMPUTED_VALUE"""),0.0)</f>
        <v>0</v>
      </c>
      <c r="T28" s="95">
        <f>IFERROR(__xludf.DUMMYFUNCTION("""COMPUTED_VALUE"""),1.0)</f>
        <v>1</v>
      </c>
      <c r="U28" s="95">
        <f>IFERROR(__xludf.DUMMYFUNCTION("""COMPUTED_VALUE"""),1.0)</f>
        <v>1</v>
      </c>
      <c r="V28" s="179">
        <f>IFERROR(__xludf.DUMMYFUNCTION("""COMPUTED_VALUE"""),0.0)</f>
        <v>0</v>
      </c>
      <c r="W28" s="171" t="str">
        <f>IFERROR(__xludf.DUMMYFUNCTION("""COMPUTED_VALUE"""),"")</f>
        <v/>
      </c>
      <c r="X28" s="14" t="str">
        <f>IFERROR(__xludf.DUMMYFUNCTION("""COMPUTED_VALUE"""),"")</f>
        <v/>
      </c>
      <c r="Y28" s="14" t="str">
        <f>IFERROR(__xludf.DUMMYFUNCTION("""COMPUTED_VALUE"""),"")</f>
        <v/>
      </c>
      <c r="Z28" s="11" t="str">
        <f>IFERROR(__xludf.DUMMYFUNCTION("""COMPUTED_VALUE"""),"")</f>
        <v/>
      </c>
    </row>
    <row r="29">
      <c r="A29" s="35" t="str">
        <f>IFERROR(__xludf.DUMMYFUNCTION("""COMPUTED_VALUE"""),"")</f>
        <v/>
      </c>
      <c r="B29" s="35" t="str">
        <f>IFERROR(__xludf.DUMMYFUNCTION("""COMPUTED_VALUE"""),"14626")</f>
        <v>14626</v>
      </c>
      <c r="C29" s="172">
        <f>IFERROR(__xludf.DUMMYFUNCTION("""COMPUTED_VALUE"""),4.4641000743E10)</f>
        <v>44641000743</v>
      </c>
      <c r="D29" s="180" t="str">
        <f>IFERROR(__xludf.DUMMYFUNCTION("""COMPUTED_VALUE"""),"DIDI")</f>
        <v>DIDI</v>
      </c>
      <c r="E29" s="173">
        <f>IFERROR(__xludf.DUMMYFUNCTION("""COMPUTED_VALUE"""),44641.0)</f>
        <v>44641</v>
      </c>
      <c r="F29" s="35" t="str">
        <f>IFERROR(__xludf.DUMMYFUNCTION("""COMPUTED_VALUE"""),"Stock")</f>
        <v>Stock</v>
      </c>
      <c r="G29" s="35" t="str">
        <f>IFERROR(__xludf.DUMMYFUNCTION("""COMPUTED_VALUE"""),"USD")</f>
        <v>USD</v>
      </c>
      <c r="H29" s="181">
        <f>IFERROR(__xludf.DUMMYFUNCTION("""COMPUTED_VALUE"""),500.0)</f>
        <v>500</v>
      </c>
      <c r="I29" s="174">
        <f>IFERROR(__xludf.DUMMYFUNCTION("""COMPUTED_VALUE"""),7.82545)</f>
        <v>7.82545</v>
      </c>
      <c r="J29" s="175">
        <f>IFERROR(__xludf.DUMMYFUNCTION("""COMPUTED_VALUE"""),4.16)</f>
        <v>4.16</v>
      </c>
      <c r="K29" s="35"/>
      <c r="L29" s="175">
        <f>IFERROR(__xludf.DUMMYFUNCTION("""COMPUTED_VALUE"""),2.54)</f>
        <v>2.54</v>
      </c>
      <c r="M29" s="182" t="str">
        <f>IFERROR(__xludf.DUMMYFUNCTION("""COMPUTED_VALUE"""),"Equity Key Stats")</f>
        <v>Equity Key Stats</v>
      </c>
      <c r="N29" s="35"/>
      <c r="O29" s="35"/>
      <c r="P29" s="184">
        <f>IFERROR(__xludf.DUMMYFUNCTION("""COMPUTED_VALUE"""),-16276.936)</f>
        <v>-16276.936</v>
      </c>
      <c r="Q29" s="177"/>
      <c r="R29" s="178">
        <f>IFERROR(__xludf.DUMMYFUNCTION("""COMPUTED_VALUE"""),2.54)</f>
        <v>2.54</v>
      </c>
      <c r="S29" s="176">
        <f>IFERROR(__xludf.DUMMYFUNCTION("""COMPUTED_VALUE"""),9938.3215)</f>
        <v>9938.3215</v>
      </c>
      <c r="T29" s="95">
        <f>IFERROR(__xludf.DUMMYFUNCTION("""COMPUTED_VALUE"""),1.0)</f>
        <v>1</v>
      </c>
      <c r="U29" s="95">
        <f>IFERROR(__xludf.DUMMYFUNCTION("""COMPUTED_VALUE"""),1.0)</f>
        <v>1</v>
      </c>
      <c r="V29" s="179">
        <f>IFERROR(__xludf.DUMMYFUNCTION("""COMPUTED_VALUE"""),-6338.6145)</f>
        <v>-6338.6145</v>
      </c>
      <c r="W29" s="171" t="str">
        <f>IFERROR(__xludf.DUMMYFUNCTION("""COMPUTED_VALUE"""),"")</f>
        <v/>
      </c>
      <c r="X29" s="14" t="str">
        <f>IFERROR(__xludf.DUMMYFUNCTION("""COMPUTED_VALUE"""),"")</f>
        <v/>
      </c>
      <c r="Y29" s="14" t="str">
        <f>IFERROR(__xludf.DUMMYFUNCTION("""COMPUTED_VALUE"""),"")</f>
        <v/>
      </c>
      <c r="Z29" s="11" t="str">
        <f>IFERROR(__xludf.DUMMYFUNCTION("""COMPUTED_VALUE"""),"")</f>
        <v/>
      </c>
    </row>
    <row r="30">
      <c r="A30" s="35" t="str">
        <f>IFERROR(__xludf.DUMMYFUNCTION("""COMPUTED_VALUE"""),"")</f>
        <v/>
      </c>
      <c r="B30" s="35" t="str">
        <f>IFERROR(__xludf.DUMMYFUNCTION("""COMPUTED_VALUE"""),"14626")</f>
        <v>14626</v>
      </c>
      <c r="C30" s="172">
        <f>IFERROR(__xludf.DUMMYFUNCTION("""COMPUTED_VALUE"""),4.4641000744E10)</f>
        <v>44641000744</v>
      </c>
      <c r="D30" s="188" t="str">
        <f>IFERROR(__xludf.DUMMYFUNCTION("""COMPUTED_VALUE"""),"0700.HK")</f>
        <v>0700.HK</v>
      </c>
      <c r="E30" s="173">
        <f>IFERROR(__xludf.DUMMYFUNCTION("""COMPUTED_VALUE"""),44641.0)</f>
        <v>44641</v>
      </c>
      <c r="F30" s="35" t="str">
        <f>IFERROR(__xludf.DUMMYFUNCTION("""COMPUTED_VALUE"""),"Stock")</f>
        <v>Stock</v>
      </c>
      <c r="G30" s="35" t="str">
        <f>IFERROR(__xludf.DUMMYFUNCTION("""COMPUTED_VALUE"""),"HKD")</f>
        <v>HKD</v>
      </c>
      <c r="H30" s="181" t="str">
        <f>IFERROR(__xludf.DUMMYFUNCTION("""COMPUTED_VALUE"""),"")</f>
        <v/>
      </c>
      <c r="I30" s="174">
        <f>IFERROR(__xludf.DUMMYFUNCTION("""COMPUTED_VALUE"""),1.0)</f>
        <v>1</v>
      </c>
      <c r="J30" s="175">
        <f>IFERROR(__xludf.DUMMYFUNCTION("""COMPUTED_VALUE"""),372.4)</f>
        <v>372.4</v>
      </c>
      <c r="K30" s="35"/>
      <c r="L30" s="175">
        <f>IFERROR(__xludf.DUMMYFUNCTION("""COMPUTED_VALUE"""),373.6)</f>
        <v>373.6</v>
      </c>
      <c r="M30" s="182" t="str">
        <f>IFERROR(__xludf.DUMMYFUNCTION("""COMPUTED_VALUE"""),"Equity Key Stats")</f>
        <v>Equity Key Stats</v>
      </c>
      <c r="N30" s="35"/>
      <c r="O30" s="35"/>
      <c r="P30" s="184">
        <f>IFERROR(__xludf.DUMMYFUNCTION("""COMPUTED_VALUE"""),0.0)</f>
        <v>0</v>
      </c>
      <c r="Q30" s="177"/>
      <c r="R30" s="178">
        <f>IFERROR(__xludf.DUMMYFUNCTION("""COMPUTED_VALUE"""),373.6)</f>
        <v>373.6</v>
      </c>
      <c r="S30" s="176">
        <f>IFERROR(__xludf.DUMMYFUNCTION("""COMPUTED_VALUE"""),0.0)</f>
        <v>0</v>
      </c>
      <c r="T30" s="95">
        <f>IFERROR(__xludf.DUMMYFUNCTION("""COMPUTED_VALUE"""),1.0)</f>
        <v>1</v>
      </c>
      <c r="U30" s="95">
        <f>IFERROR(__xludf.DUMMYFUNCTION("""COMPUTED_VALUE"""),1.0)</f>
        <v>1</v>
      </c>
      <c r="V30" s="179">
        <f>IFERROR(__xludf.DUMMYFUNCTION("""COMPUTED_VALUE"""),0.0)</f>
        <v>0</v>
      </c>
      <c r="W30" s="171" t="str">
        <f>IFERROR(__xludf.DUMMYFUNCTION("""COMPUTED_VALUE"""),"")</f>
        <v/>
      </c>
      <c r="X30" s="14" t="str">
        <f>IFERROR(__xludf.DUMMYFUNCTION("""COMPUTED_VALUE"""),"")</f>
        <v/>
      </c>
      <c r="Y30" s="14" t="str">
        <f>IFERROR(__xludf.DUMMYFUNCTION("""COMPUTED_VALUE"""),"")</f>
        <v/>
      </c>
      <c r="Z30" s="11" t="str">
        <f>IFERROR(__xludf.DUMMYFUNCTION("""COMPUTED_VALUE"""),"")</f>
        <v/>
      </c>
    </row>
    <row r="31">
      <c r="A31" s="35" t="str">
        <f>IFERROR(__xludf.DUMMYFUNCTION("""COMPUTED_VALUE"""),"")</f>
        <v/>
      </c>
      <c r="B31" s="35" t="str">
        <f>IFERROR(__xludf.DUMMYFUNCTION("""COMPUTED_VALUE"""),"14626")</f>
        <v>14626</v>
      </c>
      <c r="C31" s="172">
        <f>IFERROR(__xludf.DUMMYFUNCTION("""COMPUTED_VALUE"""),4.4641000745E10)</f>
        <v>44641000745</v>
      </c>
      <c r="D31" s="180" t="str">
        <f>IFERROR(__xludf.DUMMYFUNCTION("""COMPUTED_VALUE"""),"GOOG")</f>
        <v>GOOG</v>
      </c>
      <c r="E31" s="173">
        <f>IFERROR(__xludf.DUMMYFUNCTION("""COMPUTED_VALUE"""),44641.0)</f>
        <v>44641</v>
      </c>
      <c r="F31" s="35" t="str">
        <f>IFERROR(__xludf.DUMMYFUNCTION("""COMPUTED_VALUE"""),"Stock")</f>
        <v>Stock</v>
      </c>
      <c r="G31" s="35" t="str">
        <f>IFERROR(__xludf.DUMMYFUNCTION("""COMPUTED_VALUE"""),"USD")</f>
        <v>USD</v>
      </c>
      <c r="H31" s="181" t="str">
        <f>IFERROR(__xludf.DUMMYFUNCTION("""COMPUTED_VALUE"""),"")</f>
        <v/>
      </c>
      <c r="I31" s="174">
        <f>IFERROR(__xludf.DUMMYFUNCTION("""COMPUTED_VALUE"""),7.82545)</f>
        <v>7.82545</v>
      </c>
      <c r="J31" s="175">
        <f>IFERROR(__xludf.DUMMYFUNCTION("""COMPUTED_VALUE"""),2729.57)</f>
        <v>2729.57</v>
      </c>
      <c r="K31" s="35"/>
      <c r="L31" s="175">
        <f>IFERROR(__xludf.DUMMYFUNCTION("""COMPUTED_VALUE"""),2605.72)</f>
        <v>2605.72</v>
      </c>
      <c r="M31" s="182" t="str">
        <f>IFERROR(__xludf.DUMMYFUNCTION("""COMPUTED_VALUE"""),"Equity Key Stats")</f>
        <v>Equity Key Stats</v>
      </c>
      <c r="N31" s="35"/>
      <c r="O31" s="35"/>
      <c r="P31" s="184">
        <f>IFERROR(__xludf.DUMMYFUNCTION("""COMPUTED_VALUE"""),0.0)</f>
        <v>0</v>
      </c>
      <c r="Q31" s="177"/>
      <c r="R31" s="178">
        <f>IFERROR(__xludf.DUMMYFUNCTION("""COMPUTED_VALUE"""),2605.72)</f>
        <v>2605.72</v>
      </c>
      <c r="S31" s="176">
        <f>IFERROR(__xludf.DUMMYFUNCTION("""COMPUTED_VALUE"""),0.0)</f>
        <v>0</v>
      </c>
      <c r="T31" s="95">
        <f>IFERROR(__xludf.DUMMYFUNCTION("""COMPUTED_VALUE"""),3.0)</f>
        <v>3</v>
      </c>
      <c r="U31" s="95" t="str">
        <f>IFERROR(__xludf.DUMMYFUNCTION("""COMPUTED_VALUE"""),"")</f>
        <v/>
      </c>
      <c r="V31" s="179" t="str">
        <f>IFERROR(__xludf.DUMMYFUNCTION("""COMPUTED_VALUE"""),"")</f>
        <v/>
      </c>
      <c r="W31" s="171" t="str">
        <f>IFERROR(__xludf.DUMMYFUNCTION("""COMPUTED_VALUE"""),"")</f>
        <v/>
      </c>
      <c r="X31" s="14" t="str">
        <f>IFERROR(__xludf.DUMMYFUNCTION("""COMPUTED_VALUE"""),"")</f>
        <v/>
      </c>
      <c r="Y31" s="14" t="str">
        <f>IFERROR(__xludf.DUMMYFUNCTION("""COMPUTED_VALUE"""),"")</f>
        <v/>
      </c>
      <c r="Z31" s="11" t="str">
        <f>IFERROR(__xludf.DUMMYFUNCTION("""COMPUTED_VALUE"""),"")</f>
        <v/>
      </c>
    </row>
    <row r="32">
      <c r="A32" s="35" t="str">
        <f>IFERROR(__xludf.DUMMYFUNCTION("""COMPUTED_VALUE"""),"")</f>
        <v/>
      </c>
      <c r="B32" s="35" t="str">
        <f>IFERROR(__xludf.DUMMYFUNCTION("""COMPUTED_VALUE"""),"14626")</f>
        <v>14626</v>
      </c>
      <c r="C32" s="172">
        <f>IFERROR(__xludf.DUMMYFUNCTION("""COMPUTED_VALUE"""),4.4641000746E10)</f>
        <v>44641000746</v>
      </c>
      <c r="D32" s="180" t="str">
        <f>IFERROR(__xludf.DUMMYFUNCTION("""COMPUTED_VALUE"""),"FB")</f>
        <v>FB</v>
      </c>
      <c r="E32" s="173">
        <f>IFERROR(__xludf.DUMMYFUNCTION("""COMPUTED_VALUE"""),44641.0)</f>
        <v>44641</v>
      </c>
      <c r="F32" s="35" t="str">
        <f>IFERROR(__xludf.DUMMYFUNCTION("""COMPUTED_VALUE"""),"Stock")</f>
        <v>Stock</v>
      </c>
      <c r="G32" s="35" t="str">
        <f>IFERROR(__xludf.DUMMYFUNCTION("""COMPUTED_VALUE"""),"USD")</f>
        <v>USD</v>
      </c>
      <c r="H32" s="181" t="str">
        <f>IFERROR(__xludf.DUMMYFUNCTION("""COMPUTED_VALUE"""),"")</f>
        <v/>
      </c>
      <c r="I32" s="174">
        <f>IFERROR(__xludf.DUMMYFUNCTION("""COMPUTED_VALUE"""),7.82545)</f>
        <v>7.82545</v>
      </c>
      <c r="J32" s="175">
        <f>IFERROR(__xludf.DUMMYFUNCTION("""COMPUTED_VALUE"""),211.49)</f>
        <v>211.49</v>
      </c>
      <c r="K32" s="35"/>
      <c r="L32" s="175">
        <f>IFERROR(__xludf.DUMMYFUNCTION("""COMPUTED_VALUE"""),214.99)</f>
        <v>214.99</v>
      </c>
      <c r="M32" s="182" t="str">
        <f>IFERROR(__xludf.DUMMYFUNCTION("""COMPUTED_VALUE"""),"Equity Key Stats")</f>
        <v>Equity Key Stats</v>
      </c>
      <c r="N32" s="35"/>
      <c r="O32" s="35"/>
      <c r="P32" s="184">
        <f>IFERROR(__xludf.DUMMYFUNCTION("""COMPUTED_VALUE"""),0.0)</f>
        <v>0</v>
      </c>
      <c r="Q32" s="177"/>
      <c r="R32" s="178">
        <f>IFERROR(__xludf.DUMMYFUNCTION("""COMPUTED_VALUE"""),214.99)</f>
        <v>214.99</v>
      </c>
      <c r="S32" s="176">
        <f>IFERROR(__xludf.DUMMYFUNCTION("""COMPUTED_VALUE"""),0.0)</f>
        <v>0</v>
      </c>
      <c r="T32" s="95">
        <f>IFERROR(__xludf.DUMMYFUNCTION("""COMPUTED_VALUE"""),2.0)</f>
        <v>2</v>
      </c>
      <c r="U32" s="35" t="str">
        <f>IFERROR(__xludf.DUMMYFUNCTION("""COMPUTED_VALUE"""),"")</f>
        <v/>
      </c>
      <c r="V32" s="170" t="str">
        <f>IFERROR(__xludf.DUMMYFUNCTION("""COMPUTED_VALUE"""),"")</f>
        <v/>
      </c>
      <c r="W32" s="171" t="str">
        <f>IFERROR(__xludf.DUMMYFUNCTION("""COMPUTED_VALUE"""),"")</f>
        <v/>
      </c>
      <c r="X32" s="14" t="str">
        <f>IFERROR(__xludf.DUMMYFUNCTION("""COMPUTED_VALUE"""),"")</f>
        <v/>
      </c>
      <c r="Y32" s="14" t="str">
        <f>IFERROR(__xludf.DUMMYFUNCTION("""COMPUTED_VALUE"""),"")</f>
        <v/>
      </c>
      <c r="Z32" s="11" t="str">
        <f>IFERROR(__xludf.DUMMYFUNCTION("""COMPUTED_VALUE"""),"")</f>
        <v/>
      </c>
    </row>
    <row r="33">
      <c r="A33" s="35" t="str">
        <f>IFERROR(__xludf.DUMMYFUNCTION("""COMPUTED_VALUE"""),"")</f>
        <v/>
      </c>
      <c r="B33" s="35" t="str">
        <f>IFERROR(__xludf.DUMMYFUNCTION("""COMPUTED_VALUE"""),"14626")</f>
        <v>14626</v>
      </c>
      <c r="C33" s="172">
        <f>IFERROR(__xludf.DUMMYFUNCTION("""COMPUTED_VALUE"""),4.4641000747E10)</f>
        <v>44641000747</v>
      </c>
      <c r="D33" s="180" t="str">
        <f>IFERROR(__xludf.DUMMYFUNCTION("""COMPUTED_VALUE"""),"MSFT")</f>
        <v>MSFT</v>
      </c>
      <c r="E33" s="173">
        <f>IFERROR(__xludf.DUMMYFUNCTION("""COMPUTED_VALUE"""),44641.0)</f>
        <v>44641</v>
      </c>
      <c r="F33" s="35" t="str">
        <f>IFERROR(__xludf.DUMMYFUNCTION("""COMPUTED_VALUE"""),"Stock")</f>
        <v>Stock</v>
      </c>
      <c r="G33" s="35" t="str">
        <f>IFERROR(__xludf.DUMMYFUNCTION("""COMPUTED_VALUE"""),"USD")</f>
        <v>USD</v>
      </c>
      <c r="H33" s="181" t="str">
        <f>IFERROR(__xludf.DUMMYFUNCTION("""COMPUTED_VALUE"""),"")</f>
        <v/>
      </c>
      <c r="I33" s="174">
        <f>IFERROR(__xludf.DUMMYFUNCTION("""COMPUTED_VALUE"""),7.82545)</f>
        <v>7.82545</v>
      </c>
      <c r="J33" s="175">
        <f>IFERROR(__xludf.DUMMYFUNCTION("""COMPUTED_VALUE"""),299.16)</f>
        <v>299.16</v>
      </c>
      <c r="K33" s="35"/>
      <c r="L33" s="175">
        <f>IFERROR(__xludf.DUMMYFUNCTION("""COMPUTED_VALUE"""),287.62)</f>
        <v>287.62</v>
      </c>
      <c r="M33" s="182" t="str">
        <f>IFERROR(__xludf.DUMMYFUNCTION("""COMPUTED_VALUE"""),"Equity Key Stats")</f>
        <v>Equity Key Stats</v>
      </c>
      <c r="N33" s="35"/>
      <c r="O33" s="35"/>
      <c r="P33" s="184">
        <f>IFERROR(__xludf.DUMMYFUNCTION("""COMPUTED_VALUE"""),0.0)</f>
        <v>0</v>
      </c>
      <c r="Q33" s="177"/>
      <c r="R33" s="178">
        <f>IFERROR(__xludf.DUMMYFUNCTION("""COMPUTED_VALUE"""),287.62)</f>
        <v>287.62</v>
      </c>
      <c r="S33" s="176">
        <f>IFERROR(__xludf.DUMMYFUNCTION("""COMPUTED_VALUE"""),0.0)</f>
        <v>0</v>
      </c>
      <c r="T33" s="95">
        <f>IFERROR(__xludf.DUMMYFUNCTION("""COMPUTED_VALUE"""),3.0)</f>
        <v>3</v>
      </c>
      <c r="U33" s="95" t="str">
        <f>IFERROR(__xludf.DUMMYFUNCTION("""COMPUTED_VALUE"""),"")</f>
        <v/>
      </c>
      <c r="V33" s="179" t="str">
        <f>IFERROR(__xludf.DUMMYFUNCTION("""COMPUTED_VALUE"""),"")</f>
        <v/>
      </c>
      <c r="W33" s="55" t="str">
        <f>IFERROR(__xludf.DUMMYFUNCTION("""COMPUTED_VALUE"""),"")</f>
        <v/>
      </c>
      <c r="X33" s="183" t="str">
        <f>IFERROR(__xludf.DUMMYFUNCTION("""COMPUTED_VALUE"""),"")</f>
        <v/>
      </c>
      <c r="Y33" s="181" t="str">
        <f>IFERROR(__xludf.DUMMYFUNCTION("""COMPUTED_VALUE"""),"")</f>
        <v/>
      </c>
      <c r="Z33" s="186" t="str">
        <f>IFERROR(__xludf.DUMMYFUNCTION("""COMPUTED_VALUE"""),"")</f>
        <v/>
      </c>
    </row>
    <row r="34">
      <c r="A34" s="35" t="str">
        <f>IFERROR(__xludf.DUMMYFUNCTION("""COMPUTED_VALUE"""),"")</f>
        <v/>
      </c>
      <c r="B34" s="35" t="str">
        <f>IFERROR(__xludf.DUMMYFUNCTION("""COMPUTED_VALUE"""),"14626")</f>
        <v>14626</v>
      </c>
      <c r="C34" s="172">
        <f>IFERROR(__xludf.DUMMYFUNCTION("""COMPUTED_VALUE"""),4.4641000748E10)</f>
        <v>44641000748</v>
      </c>
      <c r="D34" s="180" t="str">
        <f>IFERROR(__xludf.DUMMYFUNCTION("""COMPUTED_VALUE"""),"TSLA")</f>
        <v>TSLA</v>
      </c>
      <c r="E34" s="173">
        <f>IFERROR(__xludf.DUMMYFUNCTION("""COMPUTED_VALUE"""),44641.0)</f>
        <v>44641</v>
      </c>
      <c r="F34" s="35" t="str">
        <f>IFERROR(__xludf.DUMMYFUNCTION("""COMPUTED_VALUE"""),"Stock")</f>
        <v>Stock</v>
      </c>
      <c r="G34" s="35" t="str">
        <f>IFERROR(__xludf.DUMMYFUNCTION("""COMPUTED_VALUE"""),"USD")</f>
        <v>USD</v>
      </c>
      <c r="H34" s="14" t="str">
        <f>IFERROR(__xludf.DUMMYFUNCTION("""COMPUTED_VALUE"""),"")</f>
        <v/>
      </c>
      <c r="I34" s="174">
        <f>IFERROR(__xludf.DUMMYFUNCTION("""COMPUTED_VALUE"""),7.82545)</f>
        <v>7.82545</v>
      </c>
      <c r="J34" s="175">
        <f>IFERROR(__xludf.DUMMYFUNCTION("""COMPUTED_VALUE"""),921.16)</f>
        <v>921.16</v>
      </c>
      <c r="K34" s="35"/>
      <c r="L34" s="175">
        <f>IFERROR(__xludf.DUMMYFUNCTION("""COMPUTED_VALUE"""),1022.37)</f>
        <v>1022.37</v>
      </c>
      <c r="M34" s="187" t="str">
        <f>IFERROR(__xludf.DUMMYFUNCTION("""COMPUTED_VALUE"""),"Equity Key Stats")</f>
        <v>Equity Key Stats</v>
      </c>
      <c r="N34" s="35"/>
      <c r="O34" s="35"/>
      <c r="P34" s="176">
        <f>IFERROR(__xludf.DUMMYFUNCTION("""COMPUTED_VALUE"""),0.0)</f>
        <v>0</v>
      </c>
      <c r="Q34" s="177"/>
      <c r="R34" s="178">
        <f>IFERROR(__xludf.DUMMYFUNCTION("""COMPUTED_VALUE"""),1022.37)</f>
        <v>1022.37</v>
      </c>
      <c r="S34" s="151">
        <f>IFERROR(__xludf.DUMMYFUNCTION("""COMPUTED_VALUE"""),0.0)</f>
        <v>0</v>
      </c>
      <c r="T34" s="95">
        <f>IFERROR(__xludf.DUMMYFUNCTION("""COMPUTED_VALUE"""),5.0)</f>
        <v>5</v>
      </c>
      <c r="U34" s="95" t="str">
        <f>IFERROR(__xludf.DUMMYFUNCTION("""COMPUTED_VALUE"""),"")</f>
        <v/>
      </c>
      <c r="V34" s="179" t="str">
        <f>IFERROR(__xludf.DUMMYFUNCTION("""COMPUTED_VALUE"""),"")</f>
        <v/>
      </c>
      <c r="W34" s="171" t="str">
        <f>IFERROR(__xludf.DUMMYFUNCTION("""COMPUTED_VALUE"""),"")</f>
        <v/>
      </c>
      <c r="X34" s="14" t="str">
        <f>IFERROR(__xludf.DUMMYFUNCTION("""COMPUTED_VALUE"""),"")</f>
        <v/>
      </c>
      <c r="Y34" s="14" t="str">
        <f>IFERROR(__xludf.DUMMYFUNCTION("""COMPUTED_VALUE"""),"")</f>
        <v/>
      </c>
      <c r="Z34" s="11" t="str">
        <f>IFERROR(__xludf.DUMMYFUNCTION("""COMPUTED_VALUE"""),"")</f>
        <v/>
      </c>
    </row>
    <row r="35">
      <c r="A35" s="35" t="str">
        <f>IFERROR(__xludf.DUMMYFUNCTION("""COMPUTED_VALUE"""),"")</f>
        <v/>
      </c>
      <c r="B35" s="35" t="str">
        <f>IFERROR(__xludf.DUMMYFUNCTION("""COMPUTED_VALUE"""),"14626")</f>
        <v>14626</v>
      </c>
      <c r="C35" s="172">
        <f>IFERROR(__xludf.DUMMYFUNCTION("""COMPUTED_VALUE"""),4.4641000749E10)</f>
        <v>44641000749</v>
      </c>
      <c r="D35" s="180" t="str">
        <f>IFERROR(__xludf.DUMMYFUNCTION("""COMPUTED_VALUE"""),"F")</f>
        <v>F</v>
      </c>
      <c r="E35" s="173">
        <f>IFERROR(__xludf.DUMMYFUNCTION("""COMPUTED_VALUE"""),44641.0)</f>
        <v>44641</v>
      </c>
      <c r="F35" s="35" t="str">
        <f>IFERROR(__xludf.DUMMYFUNCTION("""COMPUTED_VALUE"""),"Stock")</f>
        <v>Stock</v>
      </c>
      <c r="G35" s="35" t="str">
        <f>IFERROR(__xludf.DUMMYFUNCTION("""COMPUTED_VALUE"""),"USD")</f>
        <v>USD</v>
      </c>
      <c r="H35" s="181" t="str">
        <f>IFERROR(__xludf.DUMMYFUNCTION("""COMPUTED_VALUE"""),"")</f>
        <v/>
      </c>
      <c r="I35" s="174">
        <f>IFERROR(__xludf.DUMMYFUNCTION("""COMPUTED_VALUE"""),7.82545)</f>
        <v>7.82545</v>
      </c>
      <c r="J35" s="175">
        <f>IFERROR(__xludf.DUMMYFUNCTION("""COMPUTED_VALUE"""),16.48)</f>
        <v>16.48</v>
      </c>
      <c r="K35" s="35"/>
      <c r="L35" s="175">
        <f>IFERROR(__xludf.DUMMYFUNCTION("""COMPUTED_VALUE"""),15.52)</f>
        <v>15.52</v>
      </c>
      <c r="M35" s="182" t="str">
        <f>IFERROR(__xludf.DUMMYFUNCTION("""COMPUTED_VALUE"""),"Equity Key Stats")</f>
        <v>Equity Key Stats</v>
      </c>
      <c r="N35" s="35"/>
      <c r="O35" s="35"/>
      <c r="P35" s="176">
        <f>IFERROR(__xludf.DUMMYFUNCTION("""COMPUTED_VALUE"""),0.0)</f>
        <v>0</v>
      </c>
      <c r="Q35" s="177"/>
      <c r="R35" s="178">
        <f>IFERROR(__xludf.DUMMYFUNCTION("""COMPUTED_VALUE"""),15.52)</f>
        <v>15.52</v>
      </c>
      <c r="S35" s="176">
        <f>IFERROR(__xludf.DUMMYFUNCTION("""COMPUTED_VALUE"""),0.0)</f>
        <v>0</v>
      </c>
      <c r="T35" s="95">
        <f>IFERROR(__xludf.DUMMYFUNCTION("""COMPUTED_VALUE"""),2.0)</f>
        <v>2</v>
      </c>
      <c r="U35" s="35" t="str">
        <f>IFERROR(__xludf.DUMMYFUNCTION("""COMPUTED_VALUE"""),"")</f>
        <v/>
      </c>
      <c r="V35" s="170" t="str">
        <f>IFERROR(__xludf.DUMMYFUNCTION("""COMPUTED_VALUE"""),"")</f>
        <v/>
      </c>
      <c r="W35" s="171" t="str">
        <f>IFERROR(__xludf.DUMMYFUNCTION("""COMPUTED_VALUE"""),"")</f>
        <v/>
      </c>
      <c r="X35" s="14" t="str">
        <f>IFERROR(__xludf.DUMMYFUNCTION("""COMPUTED_VALUE"""),"")</f>
        <v/>
      </c>
      <c r="Y35" s="14" t="str">
        <f>IFERROR(__xludf.DUMMYFUNCTION("""COMPUTED_VALUE"""),"")</f>
        <v/>
      </c>
      <c r="Z35" s="11" t="str">
        <f>IFERROR(__xludf.DUMMYFUNCTION("""COMPUTED_VALUE"""),"")</f>
        <v/>
      </c>
    </row>
    <row r="36">
      <c r="A36" s="35" t="str">
        <f>IFERROR(__xludf.DUMMYFUNCTION("""COMPUTED_VALUE"""),"")</f>
        <v/>
      </c>
      <c r="B36" s="35" t="str">
        <f>IFERROR(__xludf.DUMMYFUNCTION("""COMPUTED_VALUE"""),"14626")</f>
        <v>14626</v>
      </c>
      <c r="C36" s="172">
        <f>IFERROR(__xludf.DUMMYFUNCTION("""COMPUTED_VALUE"""),4.464100075E10)</f>
        <v>44641000750</v>
      </c>
      <c r="D36" s="180" t="str">
        <f>IFERROR(__xludf.DUMMYFUNCTION("""COMPUTED_VALUE"""),"BA")</f>
        <v>BA</v>
      </c>
      <c r="E36" s="173">
        <f>IFERROR(__xludf.DUMMYFUNCTION("""COMPUTED_VALUE"""),44641.0)</f>
        <v>44641</v>
      </c>
      <c r="F36" s="35" t="str">
        <f>IFERROR(__xludf.DUMMYFUNCTION("""COMPUTED_VALUE"""),"Stock")</f>
        <v>Stock</v>
      </c>
      <c r="G36" s="35" t="str">
        <f>IFERROR(__xludf.DUMMYFUNCTION("""COMPUTED_VALUE"""),"USD")</f>
        <v>USD</v>
      </c>
      <c r="H36" s="181" t="str">
        <f>IFERROR(__xludf.DUMMYFUNCTION("""COMPUTED_VALUE"""),"")</f>
        <v/>
      </c>
      <c r="I36" s="174">
        <f>IFERROR(__xludf.DUMMYFUNCTION("""COMPUTED_VALUE"""),7.82545)</f>
        <v>7.82545</v>
      </c>
      <c r="J36" s="175">
        <f>IFERROR(__xludf.DUMMYFUNCTION("""COMPUTED_VALUE"""),185.9)</f>
        <v>185.9</v>
      </c>
      <c r="K36" s="35"/>
      <c r="L36" s="175">
        <f>IFERROR(__xludf.DUMMYFUNCTION("""COMPUTED_VALUE"""),182.96)</f>
        <v>182.96</v>
      </c>
      <c r="M36" s="182" t="str">
        <f>IFERROR(__xludf.DUMMYFUNCTION("""COMPUTED_VALUE"""),"Equity Key Stats")</f>
        <v>Equity Key Stats</v>
      </c>
      <c r="N36" s="35"/>
      <c r="O36" s="35"/>
      <c r="P36" s="184">
        <f>IFERROR(__xludf.DUMMYFUNCTION("""COMPUTED_VALUE"""),0.0)</f>
        <v>0</v>
      </c>
      <c r="Q36" s="177"/>
      <c r="R36" s="178">
        <f>IFERROR(__xludf.DUMMYFUNCTION("""COMPUTED_VALUE"""),182.96)</f>
        <v>182.96</v>
      </c>
      <c r="S36" s="176">
        <f>IFERROR(__xludf.DUMMYFUNCTION("""COMPUTED_VALUE"""),0.0)</f>
        <v>0</v>
      </c>
      <c r="T36" s="95">
        <f>IFERROR(__xludf.DUMMYFUNCTION("""COMPUTED_VALUE"""),2.0)</f>
        <v>2</v>
      </c>
      <c r="U36" s="35" t="str">
        <f>IFERROR(__xludf.DUMMYFUNCTION("""COMPUTED_VALUE"""),"")</f>
        <v/>
      </c>
      <c r="V36" s="170" t="str">
        <f>IFERROR(__xludf.DUMMYFUNCTION("""COMPUTED_VALUE"""),"")</f>
        <v/>
      </c>
      <c r="W36" s="171" t="str">
        <f>IFERROR(__xludf.DUMMYFUNCTION("""COMPUTED_VALUE"""),"")</f>
        <v/>
      </c>
      <c r="X36" s="14" t="str">
        <f>IFERROR(__xludf.DUMMYFUNCTION("""COMPUTED_VALUE"""),"")</f>
        <v/>
      </c>
      <c r="Y36" s="14" t="str">
        <f>IFERROR(__xludf.DUMMYFUNCTION("""COMPUTED_VALUE"""),"")</f>
        <v/>
      </c>
      <c r="Z36" s="11" t="str">
        <f>IFERROR(__xludf.DUMMYFUNCTION("""COMPUTED_VALUE"""),"")</f>
        <v/>
      </c>
    </row>
    <row r="37">
      <c r="A37" s="35" t="str">
        <f>IFERROR(__xludf.DUMMYFUNCTION("""COMPUTED_VALUE"""),"")</f>
        <v/>
      </c>
      <c r="B37" s="35" t="str">
        <f>IFERROR(__xludf.DUMMYFUNCTION("""COMPUTED_VALUE"""),"14626")</f>
        <v>14626</v>
      </c>
      <c r="C37" s="172">
        <f>IFERROR(__xludf.DUMMYFUNCTION("""COMPUTED_VALUE"""),4.4641000751E10)</f>
        <v>44641000751</v>
      </c>
      <c r="D37" s="180" t="str">
        <f>IFERROR(__xludf.DUMMYFUNCTION("""COMPUTED_VALUE"""),"MMM")</f>
        <v>MMM</v>
      </c>
      <c r="E37" s="173">
        <f>IFERROR(__xludf.DUMMYFUNCTION("""COMPUTED_VALUE"""),44641.0)</f>
        <v>44641</v>
      </c>
      <c r="F37" s="35" t="str">
        <f>IFERROR(__xludf.DUMMYFUNCTION("""COMPUTED_VALUE"""),"Stock")</f>
        <v>Stock</v>
      </c>
      <c r="G37" s="35" t="str">
        <f>IFERROR(__xludf.DUMMYFUNCTION("""COMPUTED_VALUE"""),"USD")</f>
        <v>USD</v>
      </c>
      <c r="H37" s="181" t="str">
        <f>IFERROR(__xludf.DUMMYFUNCTION("""COMPUTED_VALUE"""),"")</f>
        <v/>
      </c>
      <c r="I37" s="174">
        <f>IFERROR(__xludf.DUMMYFUNCTION("""COMPUTED_VALUE"""),7.82545)</f>
        <v>7.82545</v>
      </c>
      <c r="J37" s="175">
        <f>IFERROR(__xludf.DUMMYFUNCTION("""COMPUTED_VALUE"""),148.58)</f>
        <v>148.58</v>
      </c>
      <c r="K37" s="35"/>
      <c r="L37" s="175">
        <f>IFERROR(__xludf.DUMMYFUNCTION("""COMPUTED_VALUE"""),148.65)</f>
        <v>148.65</v>
      </c>
      <c r="M37" s="182" t="str">
        <f>IFERROR(__xludf.DUMMYFUNCTION("""COMPUTED_VALUE"""),"Equity Key Stats")</f>
        <v>Equity Key Stats</v>
      </c>
      <c r="N37" s="35"/>
      <c r="O37" s="35"/>
      <c r="P37" s="184">
        <f>IFERROR(__xludf.DUMMYFUNCTION("""COMPUTED_VALUE"""),0.0)</f>
        <v>0</v>
      </c>
      <c r="Q37" s="177"/>
      <c r="R37" s="178">
        <f>IFERROR(__xludf.DUMMYFUNCTION("""COMPUTED_VALUE"""),148.65)</f>
        <v>148.65</v>
      </c>
      <c r="S37" s="176">
        <f>IFERROR(__xludf.DUMMYFUNCTION("""COMPUTED_VALUE"""),0.0)</f>
        <v>0</v>
      </c>
      <c r="T37" s="95">
        <f>IFERROR(__xludf.DUMMYFUNCTION("""COMPUTED_VALUE"""),1.0)</f>
        <v>1</v>
      </c>
      <c r="U37" s="35">
        <f>IFERROR(__xludf.DUMMYFUNCTION("""COMPUTED_VALUE"""),1.0)</f>
        <v>1</v>
      </c>
      <c r="V37" s="170">
        <f>IFERROR(__xludf.DUMMYFUNCTION("""COMPUTED_VALUE"""),0.0)</f>
        <v>0</v>
      </c>
      <c r="W37" s="171" t="str">
        <f>IFERROR(__xludf.DUMMYFUNCTION("""COMPUTED_VALUE"""),"")</f>
        <v/>
      </c>
      <c r="X37" s="14" t="str">
        <f>IFERROR(__xludf.DUMMYFUNCTION("""COMPUTED_VALUE"""),"")</f>
        <v/>
      </c>
      <c r="Y37" s="14" t="str">
        <f>IFERROR(__xludf.DUMMYFUNCTION("""COMPUTED_VALUE"""),"")</f>
        <v/>
      </c>
      <c r="Z37" s="11" t="str">
        <f>IFERROR(__xludf.DUMMYFUNCTION("""COMPUTED_VALUE"""),"")</f>
        <v/>
      </c>
    </row>
    <row r="38">
      <c r="A38" s="35" t="str">
        <f>IFERROR(__xludf.DUMMYFUNCTION("""COMPUTED_VALUE"""),"")</f>
        <v/>
      </c>
      <c r="B38" s="35" t="str">
        <f>IFERROR(__xludf.DUMMYFUNCTION("""COMPUTED_VALUE"""),"14626")</f>
        <v>14626</v>
      </c>
      <c r="C38" s="172">
        <f>IFERROR(__xludf.DUMMYFUNCTION("""COMPUTED_VALUE"""),4.4641000752E10)</f>
        <v>44641000752</v>
      </c>
      <c r="D38" s="180" t="str">
        <f>IFERROR(__xludf.DUMMYFUNCTION("""COMPUTED_VALUE"""),"AMC")</f>
        <v>AMC</v>
      </c>
      <c r="E38" s="173">
        <f>IFERROR(__xludf.DUMMYFUNCTION("""COMPUTED_VALUE"""),44641.0)</f>
        <v>44641</v>
      </c>
      <c r="F38" s="35" t="str">
        <f>IFERROR(__xludf.DUMMYFUNCTION("""COMPUTED_VALUE"""),"Stock")</f>
        <v>Stock</v>
      </c>
      <c r="G38" s="35" t="str">
        <f>IFERROR(__xludf.DUMMYFUNCTION("""COMPUTED_VALUE"""),"USD")</f>
        <v>USD</v>
      </c>
      <c r="H38" s="181" t="str">
        <f>IFERROR(__xludf.DUMMYFUNCTION("""COMPUTED_VALUE"""),"")</f>
        <v/>
      </c>
      <c r="I38" s="174">
        <f>IFERROR(__xludf.DUMMYFUNCTION("""COMPUTED_VALUE"""),7.82545)</f>
        <v>7.82545</v>
      </c>
      <c r="J38" s="175">
        <f>IFERROR(__xludf.DUMMYFUNCTION("""COMPUTED_VALUE"""),15.86)</f>
        <v>15.86</v>
      </c>
      <c r="K38" s="35"/>
      <c r="L38" s="175">
        <f>IFERROR(__xludf.DUMMYFUNCTION("""COMPUTED_VALUE"""),18.52)</f>
        <v>18.52</v>
      </c>
      <c r="M38" s="182" t="str">
        <f>IFERROR(__xludf.DUMMYFUNCTION("""COMPUTED_VALUE"""),"Equity Key Stats")</f>
        <v>Equity Key Stats</v>
      </c>
      <c r="N38" s="35"/>
      <c r="O38" s="35"/>
      <c r="P38" s="184">
        <f>IFERROR(__xludf.DUMMYFUNCTION("""COMPUTED_VALUE"""),0.0)</f>
        <v>0</v>
      </c>
      <c r="Q38" s="177"/>
      <c r="R38" s="178">
        <f>IFERROR(__xludf.DUMMYFUNCTION("""COMPUTED_VALUE"""),18.52)</f>
        <v>18.52</v>
      </c>
      <c r="S38" s="176">
        <f>IFERROR(__xludf.DUMMYFUNCTION("""COMPUTED_VALUE"""),0.0)</f>
        <v>0</v>
      </c>
      <c r="T38" s="95">
        <f>IFERROR(__xludf.DUMMYFUNCTION("""COMPUTED_VALUE"""),1.0)</f>
        <v>1</v>
      </c>
      <c r="U38" s="35">
        <f>IFERROR(__xludf.DUMMYFUNCTION("""COMPUTED_VALUE"""),1.0)</f>
        <v>1</v>
      </c>
      <c r="V38" s="170">
        <f>IFERROR(__xludf.DUMMYFUNCTION("""COMPUTED_VALUE"""),0.0)</f>
        <v>0</v>
      </c>
      <c r="W38" s="171" t="str">
        <f>IFERROR(__xludf.DUMMYFUNCTION("""COMPUTED_VALUE"""),"")</f>
        <v/>
      </c>
      <c r="X38" s="14" t="str">
        <f>IFERROR(__xludf.DUMMYFUNCTION("""COMPUTED_VALUE"""),"")</f>
        <v/>
      </c>
      <c r="Y38" s="14" t="str">
        <f>IFERROR(__xludf.DUMMYFUNCTION("""COMPUTED_VALUE"""),"")</f>
        <v/>
      </c>
      <c r="Z38" s="11" t="str">
        <f>IFERROR(__xludf.DUMMYFUNCTION("""COMPUTED_VALUE"""),"")</f>
        <v/>
      </c>
    </row>
    <row r="39">
      <c r="A39" s="35" t="str">
        <f>IFERROR(__xludf.DUMMYFUNCTION("""COMPUTED_VALUE"""),"")</f>
        <v/>
      </c>
      <c r="B39" s="35" t="str">
        <f>IFERROR(__xludf.DUMMYFUNCTION("""COMPUTED_VALUE"""),"14626")</f>
        <v>14626</v>
      </c>
      <c r="C39" s="172">
        <f>IFERROR(__xludf.DUMMYFUNCTION("""COMPUTED_VALUE"""),4.4642000775E10)</f>
        <v>44642000775</v>
      </c>
      <c r="D39" s="180" t="str">
        <f>IFERROR(__xludf.DUMMYFUNCTION("""COMPUTED_VALUE"""),"MSFT")</f>
        <v>MSFT</v>
      </c>
      <c r="E39" s="173">
        <f>IFERROR(__xludf.DUMMYFUNCTION("""COMPUTED_VALUE"""),44642.0)</f>
        <v>44642</v>
      </c>
      <c r="F39" s="35" t="str">
        <f>IFERROR(__xludf.DUMMYFUNCTION("""COMPUTED_VALUE"""),"Stock")</f>
        <v>Stock</v>
      </c>
      <c r="G39" s="35" t="str">
        <f>IFERROR(__xludf.DUMMYFUNCTION("""COMPUTED_VALUE"""),"USD")</f>
        <v>USD</v>
      </c>
      <c r="H39" s="183" t="str">
        <f>IFERROR(__xludf.DUMMYFUNCTION("""COMPUTED_VALUE"""),"")</f>
        <v/>
      </c>
      <c r="I39" s="174">
        <f>IFERROR(__xludf.DUMMYFUNCTION("""COMPUTED_VALUE"""),7.82695)</f>
        <v>7.82695</v>
      </c>
      <c r="J39" s="175">
        <f>IFERROR(__xludf.DUMMYFUNCTION("""COMPUTED_VALUE"""),304.06)</f>
        <v>304.06</v>
      </c>
      <c r="K39" s="35"/>
      <c r="L39" s="175">
        <f>IFERROR(__xludf.DUMMYFUNCTION("""COMPUTED_VALUE"""),287.62)</f>
        <v>287.62</v>
      </c>
      <c r="M39" s="182" t="str">
        <f>IFERROR(__xludf.DUMMYFUNCTION("""COMPUTED_VALUE"""),"Equity Key Stats")</f>
        <v>Equity Key Stats</v>
      </c>
      <c r="N39" s="35"/>
      <c r="O39" s="35"/>
      <c r="P39" s="176">
        <f>IFERROR(__xludf.DUMMYFUNCTION("""COMPUTED_VALUE"""),0.0)</f>
        <v>0</v>
      </c>
      <c r="Q39" s="177"/>
      <c r="R39" s="178">
        <f>IFERROR(__xludf.DUMMYFUNCTION("""COMPUTED_VALUE"""),287.62)</f>
        <v>287.62</v>
      </c>
      <c r="S39" s="184">
        <f>IFERROR(__xludf.DUMMYFUNCTION("""COMPUTED_VALUE"""),0.0)</f>
        <v>0</v>
      </c>
      <c r="T39" s="95">
        <f>IFERROR(__xludf.DUMMYFUNCTION("""COMPUTED_VALUE"""),3.0)</f>
        <v>3</v>
      </c>
      <c r="U39" s="95">
        <f>IFERROR(__xludf.DUMMYFUNCTION("""COMPUTED_VALUE"""),1.0)</f>
        <v>1</v>
      </c>
      <c r="V39" s="179">
        <f>IFERROR(__xludf.DUMMYFUNCTION("""COMPUTED_VALUE"""),0.0)</f>
        <v>0</v>
      </c>
      <c r="W39" s="171" t="str">
        <f>IFERROR(__xludf.DUMMYFUNCTION("""COMPUTED_VALUE"""),"")</f>
        <v/>
      </c>
      <c r="X39" s="14" t="str">
        <f>IFERROR(__xludf.DUMMYFUNCTION("""COMPUTED_VALUE"""),"")</f>
        <v/>
      </c>
      <c r="Y39" s="14" t="str">
        <f>IFERROR(__xludf.DUMMYFUNCTION("""COMPUTED_VALUE"""),"")</f>
        <v/>
      </c>
      <c r="Z39" s="11" t="str">
        <f>IFERROR(__xludf.DUMMYFUNCTION("""COMPUTED_VALUE"""),"")</f>
        <v/>
      </c>
    </row>
    <row r="40">
      <c r="A40" s="35" t="str">
        <f>IFERROR(__xludf.DUMMYFUNCTION("""COMPUTED_VALUE"""),"")</f>
        <v/>
      </c>
      <c r="B40" s="35" t="str">
        <f>IFERROR(__xludf.DUMMYFUNCTION("""COMPUTED_VALUE"""),"14626")</f>
        <v>14626</v>
      </c>
      <c r="C40" s="172">
        <f>IFERROR(__xludf.DUMMYFUNCTION("""COMPUTED_VALUE"""),4.4642000776E10)</f>
        <v>44642000776</v>
      </c>
      <c r="D40" s="180" t="str">
        <f>IFERROR(__xludf.DUMMYFUNCTION("""COMPUTED_VALUE"""),"FB")</f>
        <v>FB</v>
      </c>
      <c r="E40" s="173">
        <f>IFERROR(__xludf.DUMMYFUNCTION("""COMPUTED_VALUE"""),44642.0)</f>
        <v>44642</v>
      </c>
      <c r="F40" s="35" t="str">
        <f>IFERROR(__xludf.DUMMYFUNCTION("""COMPUTED_VALUE"""),"Stock")</f>
        <v>Stock</v>
      </c>
      <c r="G40" s="35" t="str">
        <f>IFERROR(__xludf.DUMMYFUNCTION("""COMPUTED_VALUE"""),"USD")</f>
        <v>USD</v>
      </c>
      <c r="H40" s="181" t="str">
        <f>IFERROR(__xludf.DUMMYFUNCTION("""COMPUTED_VALUE"""),"")</f>
        <v/>
      </c>
      <c r="I40" s="174">
        <f>IFERROR(__xludf.DUMMYFUNCTION("""COMPUTED_VALUE"""),7.82695)</f>
        <v>7.82695</v>
      </c>
      <c r="J40" s="175">
        <f>IFERROR(__xludf.DUMMYFUNCTION("""COMPUTED_VALUE"""),216.65)</f>
        <v>216.65</v>
      </c>
      <c r="K40" s="35"/>
      <c r="L40" s="175">
        <f>IFERROR(__xludf.DUMMYFUNCTION("""COMPUTED_VALUE"""),214.99)</f>
        <v>214.99</v>
      </c>
      <c r="M40" s="182" t="str">
        <f>IFERROR(__xludf.DUMMYFUNCTION("""COMPUTED_VALUE"""),"Equity Key Stats")</f>
        <v>Equity Key Stats</v>
      </c>
      <c r="N40" s="35"/>
      <c r="O40" s="35"/>
      <c r="P40" s="184">
        <f>IFERROR(__xludf.DUMMYFUNCTION("""COMPUTED_VALUE"""),0.0)</f>
        <v>0</v>
      </c>
      <c r="Q40" s="177"/>
      <c r="R40" s="178">
        <f>IFERROR(__xludf.DUMMYFUNCTION("""COMPUTED_VALUE"""),214.99)</f>
        <v>214.99</v>
      </c>
      <c r="S40" s="176">
        <f>IFERROR(__xludf.DUMMYFUNCTION("""COMPUTED_VALUE"""),0.0)</f>
        <v>0</v>
      </c>
      <c r="T40" s="95">
        <f>IFERROR(__xludf.DUMMYFUNCTION("""COMPUTED_VALUE"""),2.0)</f>
        <v>2</v>
      </c>
      <c r="U40" s="95">
        <f>IFERROR(__xludf.DUMMYFUNCTION("""COMPUTED_VALUE"""),1.0)</f>
        <v>1</v>
      </c>
      <c r="V40" s="179">
        <f>IFERROR(__xludf.DUMMYFUNCTION("""COMPUTED_VALUE"""),0.0)</f>
        <v>0</v>
      </c>
      <c r="W40" s="171" t="str">
        <f>IFERROR(__xludf.DUMMYFUNCTION("""COMPUTED_VALUE"""),"")</f>
        <v/>
      </c>
      <c r="X40" s="14" t="str">
        <f>IFERROR(__xludf.DUMMYFUNCTION("""COMPUTED_VALUE"""),"")</f>
        <v/>
      </c>
      <c r="Y40" s="14" t="str">
        <f>IFERROR(__xludf.DUMMYFUNCTION("""COMPUTED_VALUE"""),"")</f>
        <v/>
      </c>
      <c r="Z40" s="11" t="str">
        <f>IFERROR(__xludf.DUMMYFUNCTION("""COMPUTED_VALUE"""),"")</f>
        <v/>
      </c>
    </row>
    <row r="41">
      <c r="A41" s="35" t="str">
        <f>IFERROR(__xludf.DUMMYFUNCTION("""COMPUTED_VALUE"""),"")</f>
        <v/>
      </c>
      <c r="B41" s="35" t="str">
        <f>IFERROR(__xludf.DUMMYFUNCTION("""COMPUTED_VALUE"""),"14626")</f>
        <v>14626</v>
      </c>
      <c r="C41" s="172">
        <f>IFERROR(__xludf.DUMMYFUNCTION("""COMPUTED_VALUE"""),4.4642000777E10)</f>
        <v>44642000777</v>
      </c>
      <c r="D41" s="180" t="str">
        <f>IFERROR(__xludf.DUMMYFUNCTION("""COMPUTED_VALUE"""),"GOOG")</f>
        <v>GOOG</v>
      </c>
      <c r="E41" s="173">
        <f>IFERROR(__xludf.DUMMYFUNCTION("""COMPUTED_VALUE"""),44642.0)</f>
        <v>44642</v>
      </c>
      <c r="F41" s="35" t="str">
        <f>IFERROR(__xludf.DUMMYFUNCTION("""COMPUTED_VALUE"""),"Stock")</f>
        <v>Stock</v>
      </c>
      <c r="G41" s="35" t="str">
        <f>IFERROR(__xludf.DUMMYFUNCTION("""COMPUTED_VALUE"""),"USD")</f>
        <v>USD</v>
      </c>
      <c r="H41" s="183" t="str">
        <f>IFERROR(__xludf.DUMMYFUNCTION("""COMPUTED_VALUE"""),"")</f>
        <v/>
      </c>
      <c r="I41" s="174">
        <f>IFERROR(__xludf.DUMMYFUNCTION("""COMPUTED_VALUE"""),7.82695)</f>
        <v>7.82695</v>
      </c>
      <c r="J41" s="175">
        <f>IFERROR(__xludf.DUMMYFUNCTION("""COMPUTED_VALUE"""),2805.55)</f>
        <v>2805.55</v>
      </c>
      <c r="K41" s="35"/>
      <c r="L41" s="175">
        <f>IFERROR(__xludf.DUMMYFUNCTION("""COMPUTED_VALUE"""),2605.72)</f>
        <v>2605.72</v>
      </c>
      <c r="M41" s="182" t="str">
        <f>IFERROR(__xludf.DUMMYFUNCTION("""COMPUTED_VALUE"""),"Equity Key Stats")</f>
        <v>Equity Key Stats</v>
      </c>
      <c r="N41" s="35"/>
      <c r="O41" s="35"/>
      <c r="P41" s="176">
        <f>IFERROR(__xludf.DUMMYFUNCTION("""COMPUTED_VALUE"""),0.0)</f>
        <v>0</v>
      </c>
      <c r="Q41" s="177"/>
      <c r="R41" s="178">
        <f>IFERROR(__xludf.DUMMYFUNCTION("""COMPUTED_VALUE"""),2605.72)</f>
        <v>2605.72</v>
      </c>
      <c r="S41" s="184">
        <f>IFERROR(__xludf.DUMMYFUNCTION("""COMPUTED_VALUE"""),0.0)</f>
        <v>0</v>
      </c>
      <c r="T41" s="95">
        <f>IFERROR(__xludf.DUMMYFUNCTION("""COMPUTED_VALUE"""),3.0)</f>
        <v>3</v>
      </c>
      <c r="U41" s="95" t="str">
        <f>IFERROR(__xludf.DUMMYFUNCTION("""COMPUTED_VALUE"""),"")</f>
        <v/>
      </c>
      <c r="V41" s="185" t="str">
        <f>IFERROR(__xludf.DUMMYFUNCTION("""COMPUTED_VALUE"""),"")</f>
        <v/>
      </c>
      <c r="W41" s="55" t="str">
        <f>IFERROR(__xludf.DUMMYFUNCTION("""COMPUTED_VALUE"""),"")</f>
        <v/>
      </c>
      <c r="X41" s="181" t="str">
        <f>IFERROR(__xludf.DUMMYFUNCTION("""COMPUTED_VALUE"""),"")</f>
        <v/>
      </c>
      <c r="Y41" s="181" t="str">
        <f>IFERROR(__xludf.DUMMYFUNCTION("""COMPUTED_VALUE"""),"")</f>
        <v/>
      </c>
      <c r="Z41" s="189" t="str">
        <f>IFERROR(__xludf.DUMMYFUNCTION("""COMPUTED_VALUE"""),"")</f>
        <v/>
      </c>
    </row>
    <row r="42">
      <c r="A42" s="35" t="str">
        <f>IFERROR(__xludf.DUMMYFUNCTION("""COMPUTED_VALUE"""),"")</f>
        <v/>
      </c>
      <c r="B42" s="35" t="str">
        <f>IFERROR(__xludf.DUMMYFUNCTION("""COMPUTED_VALUE"""),"14626")</f>
        <v>14626</v>
      </c>
      <c r="C42" s="172">
        <f>IFERROR(__xludf.DUMMYFUNCTION("""COMPUTED_VALUE"""),4.4642000778E10)</f>
        <v>44642000778</v>
      </c>
      <c r="D42" s="180" t="str">
        <f>IFERROR(__xludf.DUMMYFUNCTION("""COMPUTED_VALUE"""),"TSLA")</f>
        <v>TSLA</v>
      </c>
      <c r="E42" s="173">
        <f>IFERROR(__xludf.DUMMYFUNCTION("""COMPUTED_VALUE"""),44642.0)</f>
        <v>44642</v>
      </c>
      <c r="F42" s="35" t="str">
        <f>IFERROR(__xludf.DUMMYFUNCTION("""COMPUTED_VALUE"""),"Stock")</f>
        <v>Stock</v>
      </c>
      <c r="G42" s="35" t="str">
        <f>IFERROR(__xludf.DUMMYFUNCTION("""COMPUTED_VALUE"""),"USD")</f>
        <v>USD</v>
      </c>
      <c r="H42" s="14" t="str">
        <f>IFERROR(__xludf.DUMMYFUNCTION("""COMPUTED_VALUE"""),"")</f>
        <v/>
      </c>
      <c r="I42" s="174">
        <f>IFERROR(__xludf.DUMMYFUNCTION("""COMPUTED_VALUE"""),7.82695)</f>
        <v>7.82695</v>
      </c>
      <c r="J42" s="175">
        <f>IFERROR(__xludf.DUMMYFUNCTION("""COMPUTED_VALUE"""),993.98)</f>
        <v>993.98</v>
      </c>
      <c r="K42" s="35"/>
      <c r="L42" s="175">
        <f>IFERROR(__xludf.DUMMYFUNCTION("""COMPUTED_VALUE"""),1022.37)</f>
        <v>1022.37</v>
      </c>
      <c r="M42" s="187" t="str">
        <f>IFERROR(__xludf.DUMMYFUNCTION("""COMPUTED_VALUE"""),"Equity Key Stats")</f>
        <v>Equity Key Stats</v>
      </c>
      <c r="N42" s="35"/>
      <c r="O42" s="35"/>
      <c r="P42" s="176">
        <f>IFERROR(__xludf.DUMMYFUNCTION("""COMPUTED_VALUE"""),0.0)</f>
        <v>0</v>
      </c>
      <c r="Q42" s="177"/>
      <c r="R42" s="178">
        <f>IFERROR(__xludf.DUMMYFUNCTION("""COMPUTED_VALUE"""),1022.37)</f>
        <v>1022.37</v>
      </c>
      <c r="S42" s="151">
        <f>IFERROR(__xludf.DUMMYFUNCTION("""COMPUTED_VALUE"""),0.0)</f>
        <v>0</v>
      </c>
      <c r="T42" s="95">
        <f>IFERROR(__xludf.DUMMYFUNCTION("""COMPUTED_VALUE"""),5.0)</f>
        <v>5</v>
      </c>
      <c r="U42" s="95" t="str">
        <f>IFERROR(__xludf.DUMMYFUNCTION("""COMPUTED_VALUE"""),"")</f>
        <v/>
      </c>
      <c r="V42" s="179" t="str">
        <f>IFERROR(__xludf.DUMMYFUNCTION("""COMPUTED_VALUE"""),"")</f>
        <v/>
      </c>
      <c r="W42" s="55" t="str">
        <f>IFERROR(__xludf.DUMMYFUNCTION("""COMPUTED_VALUE"""),"")</f>
        <v/>
      </c>
      <c r="X42" s="181" t="str">
        <f>IFERROR(__xludf.DUMMYFUNCTION("""COMPUTED_VALUE"""),"")</f>
        <v/>
      </c>
      <c r="Y42" s="181" t="str">
        <f>IFERROR(__xludf.DUMMYFUNCTION("""COMPUTED_VALUE"""),"")</f>
        <v/>
      </c>
      <c r="Z42" s="186" t="str">
        <f>IFERROR(__xludf.DUMMYFUNCTION("""COMPUTED_VALUE"""),"")</f>
        <v/>
      </c>
    </row>
    <row r="43">
      <c r="A43" s="35" t="str">
        <f>IFERROR(__xludf.DUMMYFUNCTION("""COMPUTED_VALUE"""),"")</f>
        <v/>
      </c>
      <c r="B43" s="35" t="str">
        <f>IFERROR(__xludf.DUMMYFUNCTION("""COMPUTED_VALUE"""),"14626")</f>
        <v>14626</v>
      </c>
      <c r="C43" s="172">
        <f>IFERROR(__xludf.DUMMYFUNCTION("""COMPUTED_VALUE"""),4.4642000779E10)</f>
        <v>44642000779</v>
      </c>
      <c r="D43" s="180" t="str">
        <f>IFERROR(__xludf.DUMMYFUNCTION("""COMPUTED_VALUE"""),"F")</f>
        <v>F</v>
      </c>
      <c r="E43" s="173">
        <f>IFERROR(__xludf.DUMMYFUNCTION("""COMPUTED_VALUE"""),44642.0)</f>
        <v>44642</v>
      </c>
      <c r="F43" s="35" t="str">
        <f>IFERROR(__xludf.DUMMYFUNCTION("""COMPUTED_VALUE"""),"Stock")</f>
        <v>Stock</v>
      </c>
      <c r="G43" s="35" t="str">
        <f>IFERROR(__xludf.DUMMYFUNCTION("""COMPUTED_VALUE"""),"USD")</f>
        <v>USD</v>
      </c>
      <c r="H43" s="14">
        <f>IFERROR(__xludf.DUMMYFUNCTION("""COMPUTED_VALUE"""),-100.0)</f>
        <v>-100</v>
      </c>
      <c r="I43" s="174">
        <f>IFERROR(__xludf.DUMMYFUNCTION("""COMPUTED_VALUE"""),7.82695)</f>
        <v>7.82695</v>
      </c>
      <c r="J43" s="175">
        <f>IFERROR(__xludf.DUMMYFUNCTION("""COMPUTED_VALUE"""),17.09)</f>
        <v>17.09</v>
      </c>
      <c r="K43" s="35"/>
      <c r="L43" s="175">
        <f>IFERROR(__xludf.DUMMYFUNCTION("""COMPUTED_VALUE"""),15.52)</f>
        <v>15.52</v>
      </c>
      <c r="M43" s="187" t="str">
        <f>IFERROR(__xludf.DUMMYFUNCTION("""COMPUTED_VALUE"""),"Equity Key Stats")</f>
        <v>Equity Key Stats</v>
      </c>
      <c r="N43" s="35"/>
      <c r="O43" s="35"/>
      <c r="P43" s="176">
        <f>IFERROR(__xludf.DUMMYFUNCTION("""COMPUTED_VALUE"""),13376.25755)</f>
        <v>13376.25755</v>
      </c>
      <c r="Q43" s="177"/>
      <c r="R43" s="178">
        <f>IFERROR(__xludf.DUMMYFUNCTION("""COMPUTED_VALUE"""),15.52)</f>
        <v>15.52</v>
      </c>
      <c r="S43" s="151">
        <f>IFERROR(__xludf.DUMMYFUNCTION("""COMPUTED_VALUE"""),-12147.4264)</f>
        <v>-12147.4264</v>
      </c>
      <c r="T43" s="95">
        <f>IFERROR(__xludf.DUMMYFUNCTION("""COMPUTED_VALUE"""),2.0)</f>
        <v>2</v>
      </c>
      <c r="U43" s="95">
        <f>IFERROR(__xludf.DUMMYFUNCTION("""COMPUTED_VALUE"""),1.0)</f>
        <v>1</v>
      </c>
      <c r="V43" s="179">
        <f>IFERROR(__xludf.DUMMYFUNCTION("""COMPUTED_VALUE"""),1228.83115)</f>
        <v>1228.83115</v>
      </c>
      <c r="W43" s="55" t="str">
        <f>IFERROR(__xludf.DUMMYFUNCTION("""COMPUTED_VALUE"""),"")</f>
        <v/>
      </c>
      <c r="X43" s="181" t="str">
        <f>IFERROR(__xludf.DUMMYFUNCTION("""COMPUTED_VALUE"""),"")</f>
        <v/>
      </c>
      <c r="Y43" s="181" t="str">
        <f>IFERROR(__xludf.DUMMYFUNCTION("""COMPUTED_VALUE"""),"")</f>
        <v/>
      </c>
      <c r="Z43" s="186" t="str">
        <f>IFERROR(__xludf.DUMMYFUNCTION("""COMPUTED_VALUE"""),"")</f>
        <v/>
      </c>
    </row>
    <row r="44">
      <c r="A44" s="35" t="str">
        <f>IFERROR(__xludf.DUMMYFUNCTION("""COMPUTED_VALUE"""),"")</f>
        <v/>
      </c>
      <c r="B44" s="35" t="str">
        <f>IFERROR(__xludf.DUMMYFUNCTION("""COMPUTED_VALUE"""),"14626")</f>
        <v>14626</v>
      </c>
      <c r="C44" s="172">
        <f>IFERROR(__xludf.DUMMYFUNCTION("""COMPUTED_VALUE"""),4.464200078E10)</f>
        <v>44642000780</v>
      </c>
      <c r="D44" s="180" t="str">
        <f>IFERROR(__xludf.DUMMYFUNCTION("""COMPUTED_VALUE"""),"BA")</f>
        <v>BA</v>
      </c>
      <c r="E44" s="173">
        <f>IFERROR(__xludf.DUMMYFUNCTION("""COMPUTED_VALUE"""),44642.0)</f>
        <v>44642</v>
      </c>
      <c r="F44" s="35" t="str">
        <f>IFERROR(__xludf.DUMMYFUNCTION("""COMPUTED_VALUE"""),"Stock")</f>
        <v>Stock</v>
      </c>
      <c r="G44" s="35" t="str">
        <f>IFERROR(__xludf.DUMMYFUNCTION("""COMPUTED_VALUE"""),"USD")</f>
        <v>USD</v>
      </c>
      <c r="H44" s="14" t="str">
        <f>IFERROR(__xludf.DUMMYFUNCTION("""COMPUTED_VALUE"""),"")</f>
        <v/>
      </c>
      <c r="I44" s="174">
        <f>IFERROR(__xludf.DUMMYFUNCTION("""COMPUTED_VALUE"""),7.82695)</f>
        <v>7.82695</v>
      </c>
      <c r="J44" s="175">
        <f>IFERROR(__xludf.DUMMYFUNCTION("""COMPUTED_VALUE"""),191.04)</f>
        <v>191.04</v>
      </c>
      <c r="K44" s="35"/>
      <c r="L44" s="175">
        <f>IFERROR(__xludf.DUMMYFUNCTION("""COMPUTED_VALUE"""),182.96)</f>
        <v>182.96</v>
      </c>
      <c r="M44" s="187" t="str">
        <f>IFERROR(__xludf.DUMMYFUNCTION("""COMPUTED_VALUE"""),"Equity Key Stats")</f>
        <v>Equity Key Stats</v>
      </c>
      <c r="N44" s="35"/>
      <c r="O44" s="35"/>
      <c r="P44" s="176">
        <f>IFERROR(__xludf.DUMMYFUNCTION("""COMPUTED_VALUE"""),0.0)</f>
        <v>0</v>
      </c>
      <c r="Q44" s="177"/>
      <c r="R44" s="178">
        <f>IFERROR(__xludf.DUMMYFUNCTION("""COMPUTED_VALUE"""),182.96)</f>
        <v>182.96</v>
      </c>
      <c r="S44" s="151">
        <f>IFERROR(__xludf.DUMMYFUNCTION("""COMPUTED_VALUE"""),0.0)</f>
        <v>0</v>
      </c>
      <c r="T44" s="95">
        <f>IFERROR(__xludf.DUMMYFUNCTION("""COMPUTED_VALUE"""),2.0)</f>
        <v>2</v>
      </c>
      <c r="U44" s="95">
        <f>IFERROR(__xludf.DUMMYFUNCTION("""COMPUTED_VALUE"""),1.0)</f>
        <v>1</v>
      </c>
      <c r="V44" s="179">
        <f>IFERROR(__xludf.DUMMYFUNCTION("""COMPUTED_VALUE"""),0.0)</f>
        <v>0</v>
      </c>
      <c r="W44" s="55" t="str">
        <f>IFERROR(__xludf.DUMMYFUNCTION("""COMPUTED_VALUE"""),"")</f>
        <v/>
      </c>
      <c r="X44" s="181" t="str">
        <f>IFERROR(__xludf.DUMMYFUNCTION("""COMPUTED_VALUE"""),"")</f>
        <v/>
      </c>
      <c r="Y44" s="181" t="str">
        <f>IFERROR(__xludf.DUMMYFUNCTION("""COMPUTED_VALUE"""),"")</f>
        <v/>
      </c>
      <c r="Z44" s="186" t="str">
        <f>IFERROR(__xludf.DUMMYFUNCTION("""COMPUTED_VALUE"""),"")</f>
        <v/>
      </c>
    </row>
    <row r="45">
      <c r="A45" s="35" t="str">
        <f>IFERROR(__xludf.DUMMYFUNCTION("""COMPUTED_VALUE"""),"")</f>
        <v/>
      </c>
      <c r="B45" s="35" t="str">
        <f>IFERROR(__xludf.DUMMYFUNCTION("""COMPUTED_VALUE"""),"14626")</f>
        <v>14626</v>
      </c>
      <c r="C45" s="172">
        <f>IFERROR(__xludf.DUMMYFUNCTION("""COMPUTED_VALUE"""),4.4642000781E10)</f>
        <v>44642000781</v>
      </c>
      <c r="D45" s="180" t="str">
        <f>IFERROR(__xludf.DUMMYFUNCTION("""COMPUTED_VALUE"""),"BRK-B")</f>
        <v>BRK-B</v>
      </c>
      <c r="E45" s="173">
        <f>IFERROR(__xludf.DUMMYFUNCTION("""COMPUTED_VALUE"""),44642.0)</f>
        <v>44642</v>
      </c>
      <c r="F45" s="35" t="str">
        <f>IFERROR(__xludf.DUMMYFUNCTION("""COMPUTED_VALUE"""),"Stock")</f>
        <v>Stock</v>
      </c>
      <c r="G45" s="35" t="str">
        <f>IFERROR(__xludf.DUMMYFUNCTION("""COMPUTED_VALUE"""),"USD")</f>
        <v>USD</v>
      </c>
      <c r="H45" s="14" t="str">
        <f>IFERROR(__xludf.DUMMYFUNCTION("""COMPUTED_VALUE"""),"")</f>
        <v/>
      </c>
      <c r="I45" s="174">
        <f>IFERROR(__xludf.DUMMYFUNCTION("""COMPUTED_VALUE"""),7.82695)</f>
        <v>7.82695</v>
      </c>
      <c r="J45" s="175">
        <f>IFERROR(__xludf.DUMMYFUNCTION("""COMPUTED_VALUE"""),349.93)</f>
        <v>349.93</v>
      </c>
      <c r="K45" s="35"/>
      <c r="L45" s="175">
        <f>IFERROR(__xludf.DUMMYFUNCTION("""COMPUTED_VALUE"""),346.07)</f>
        <v>346.07</v>
      </c>
      <c r="M45" s="187" t="str">
        <f>IFERROR(__xludf.DUMMYFUNCTION("""COMPUTED_VALUE"""),"Equity Key Stats")</f>
        <v>Equity Key Stats</v>
      </c>
      <c r="N45" s="35"/>
      <c r="O45" s="35"/>
      <c r="P45" s="176">
        <f>IFERROR(__xludf.DUMMYFUNCTION("""COMPUTED_VALUE"""),0.0)</f>
        <v>0</v>
      </c>
      <c r="Q45" s="177"/>
      <c r="R45" s="178">
        <f>IFERROR(__xludf.DUMMYFUNCTION("""COMPUTED_VALUE"""),346.07)</f>
        <v>346.07</v>
      </c>
      <c r="S45" s="151">
        <f>IFERROR(__xludf.DUMMYFUNCTION("""COMPUTED_VALUE"""),0.0)</f>
        <v>0</v>
      </c>
      <c r="T45" s="95">
        <f>IFERROR(__xludf.DUMMYFUNCTION("""COMPUTED_VALUE"""),1.0)</f>
        <v>1</v>
      </c>
      <c r="U45" s="95">
        <f>IFERROR(__xludf.DUMMYFUNCTION("""COMPUTED_VALUE"""),1.0)</f>
        <v>1</v>
      </c>
      <c r="V45" s="179">
        <f>IFERROR(__xludf.DUMMYFUNCTION("""COMPUTED_VALUE"""),0.0)</f>
        <v>0</v>
      </c>
      <c r="W45" s="171" t="str">
        <f>IFERROR(__xludf.DUMMYFUNCTION("""COMPUTED_VALUE"""),"")</f>
        <v/>
      </c>
      <c r="X45" s="14" t="str">
        <f>IFERROR(__xludf.DUMMYFUNCTION("""COMPUTED_VALUE"""),"")</f>
        <v/>
      </c>
      <c r="Y45" s="14" t="str">
        <f>IFERROR(__xludf.DUMMYFUNCTION("""COMPUTED_VALUE"""),"")</f>
        <v/>
      </c>
      <c r="Z45" s="11" t="str">
        <f>IFERROR(__xludf.DUMMYFUNCTION("""COMPUTED_VALUE"""),"")</f>
        <v/>
      </c>
    </row>
    <row r="46">
      <c r="A46" s="35" t="str">
        <f>IFERROR(__xludf.DUMMYFUNCTION("""COMPUTED_VALUE"""),"")</f>
        <v/>
      </c>
      <c r="B46" s="35" t="str">
        <f>IFERROR(__xludf.DUMMYFUNCTION("""COMPUTED_VALUE"""),"14626")</f>
        <v>14626</v>
      </c>
      <c r="C46" s="172">
        <f>IFERROR(__xludf.DUMMYFUNCTION("""COMPUTED_VALUE"""),4.4642000782E10)</f>
        <v>44642000782</v>
      </c>
      <c r="D46" s="180" t="str">
        <f>IFERROR(__xludf.DUMMYFUNCTION("""COMPUTED_VALUE"""),"OXY")</f>
        <v>OXY</v>
      </c>
      <c r="E46" s="173">
        <f>IFERROR(__xludf.DUMMYFUNCTION("""COMPUTED_VALUE"""),44642.0)</f>
        <v>44642</v>
      </c>
      <c r="F46" s="35" t="str">
        <f>IFERROR(__xludf.DUMMYFUNCTION("""COMPUTED_VALUE"""),"Stock")</f>
        <v>Stock</v>
      </c>
      <c r="G46" s="35" t="str">
        <f>IFERROR(__xludf.DUMMYFUNCTION("""COMPUTED_VALUE"""),"USD")</f>
        <v>USD</v>
      </c>
      <c r="H46" s="181" t="str">
        <f>IFERROR(__xludf.DUMMYFUNCTION("""COMPUTED_VALUE"""),"")</f>
        <v/>
      </c>
      <c r="I46" s="174">
        <f>IFERROR(__xludf.DUMMYFUNCTION("""COMPUTED_VALUE"""),7.82695)</f>
        <v>7.82695</v>
      </c>
      <c r="J46" s="175">
        <f>IFERROR(__xludf.DUMMYFUNCTION("""COMPUTED_VALUE"""),59.64)</f>
        <v>59.64</v>
      </c>
      <c r="K46" s="35"/>
      <c r="L46" s="175">
        <f>IFERROR(__xludf.DUMMYFUNCTION("""COMPUTED_VALUE"""),59.62)</f>
        <v>59.62</v>
      </c>
      <c r="M46" s="187" t="str">
        <f>IFERROR(__xludf.DUMMYFUNCTION("""COMPUTED_VALUE"""),"Equity Key Stats")</f>
        <v>Equity Key Stats</v>
      </c>
      <c r="N46" s="35"/>
      <c r="O46" s="35"/>
      <c r="P46" s="184">
        <f>IFERROR(__xludf.DUMMYFUNCTION("""COMPUTED_VALUE"""),0.0)</f>
        <v>0</v>
      </c>
      <c r="Q46" s="177"/>
      <c r="R46" s="178">
        <f>IFERROR(__xludf.DUMMYFUNCTION("""COMPUTED_VALUE"""),59.62)</f>
        <v>59.62</v>
      </c>
      <c r="S46" s="176">
        <f>IFERROR(__xludf.DUMMYFUNCTION("""COMPUTED_VALUE"""),0.0)</f>
        <v>0</v>
      </c>
      <c r="T46" s="95">
        <f>IFERROR(__xludf.DUMMYFUNCTION("""COMPUTED_VALUE"""),2.0)</f>
        <v>2</v>
      </c>
      <c r="U46" s="95">
        <f>IFERROR(__xludf.DUMMYFUNCTION("""COMPUTED_VALUE"""),1.0)</f>
        <v>1</v>
      </c>
      <c r="V46" s="179">
        <f>IFERROR(__xludf.DUMMYFUNCTION("""COMPUTED_VALUE"""),0.0)</f>
        <v>0</v>
      </c>
      <c r="W46" s="171" t="str">
        <f>IFERROR(__xludf.DUMMYFUNCTION("""COMPUTED_VALUE"""),"")</f>
        <v/>
      </c>
      <c r="X46" s="14" t="str">
        <f>IFERROR(__xludf.DUMMYFUNCTION("""COMPUTED_VALUE"""),"")</f>
        <v/>
      </c>
      <c r="Y46" s="14" t="str">
        <f>IFERROR(__xludf.DUMMYFUNCTION("""COMPUTED_VALUE"""),"")</f>
        <v/>
      </c>
      <c r="Z46" s="11" t="str">
        <f>IFERROR(__xludf.DUMMYFUNCTION("""COMPUTED_VALUE"""),"")</f>
        <v/>
      </c>
    </row>
    <row r="47">
      <c r="A47" s="35" t="str">
        <f>IFERROR(__xludf.DUMMYFUNCTION("""COMPUTED_VALUE"""),"")</f>
        <v/>
      </c>
      <c r="B47" s="35" t="str">
        <f>IFERROR(__xludf.DUMMYFUNCTION("""COMPUTED_VALUE"""),"14626")</f>
        <v>14626</v>
      </c>
      <c r="C47" s="172">
        <f>IFERROR(__xludf.DUMMYFUNCTION("""COMPUTED_VALUE"""),4.4642000783E10)</f>
        <v>44642000783</v>
      </c>
      <c r="D47" s="180" t="str">
        <f>IFERROR(__xludf.DUMMYFUNCTION("""COMPUTED_VALUE"""),"PFE")</f>
        <v>PFE</v>
      </c>
      <c r="E47" s="173">
        <f>IFERROR(__xludf.DUMMYFUNCTION("""COMPUTED_VALUE"""),44642.0)</f>
        <v>44642</v>
      </c>
      <c r="F47" s="35" t="str">
        <f>IFERROR(__xludf.DUMMYFUNCTION("""COMPUTED_VALUE"""),"Stock")</f>
        <v>Stock</v>
      </c>
      <c r="G47" s="35" t="str">
        <f>IFERROR(__xludf.DUMMYFUNCTION("""COMPUTED_VALUE"""),"USD")</f>
        <v>USD</v>
      </c>
      <c r="H47" s="181" t="str">
        <f>IFERROR(__xludf.DUMMYFUNCTION("""COMPUTED_VALUE"""),"")</f>
        <v/>
      </c>
      <c r="I47" s="174">
        <f>IFERROR(__xludf.DUMMYFUNCTION("""COMPUTED_VALUE"""),7.82695)</f>
        <v>7.82695</v>
      </c>
      <c r="J47" s="175">
        <f>IFERROR(__xludf.DUMMYFUNCTION("""COMPUTED_VALUE"""),53.04)</f>
        <v>53.04</v>
      </c>
      <c r="K47" s="35"/>
      <c r="L47" s="175">
        <f>IFERROR(__xludf.DUMMYFUNCTION("""COMPUTED_VALUE"""),53.11)</f>
        <v>53.11</v>
      </c>
      <c r="M47" s="182" t="str">
        <f>IFERROR(__xludf.DUMMYFUNCTION("""COMPUTED_VALUE"""),"Equity Key Stats")</f>
        <v>Equity Key Stats</v>
      </c>
      <c r="N47" s="35"/>
      <c r="O47" s="35"/>
      <c r="P47" s="184">
        <f>IFERROR(__xludf.DUMMYFUNCTION("""COMPUTED_VALUE"""),0.0)</f>
        <v>0</v>
      </c>
      <c r="Q47" s="177"/>
      <c r="R47" s="178">
        <f>IFERROR(__xludf.DUMMYFUNCTION("""COMPUTED_VALUE"""),53.11)</f>
        <v>53.11</v>
      </c>
      <c r="S47" s="176">
        <f>IFERROR(__xludf.DUMMYFUNCTION("""COMPUTED_VALUE"""),0.0)</f>
        <v>0</v>
      </c>
      <c r="T47" s="95">
        <f>IFERROR(__xludf.DUMMYFUNCTION("""COMPUTED_VALUE"""),2.0)</f>
        <v>2</v>
      </c>
      <c r="U47" s="95">
        <f>IFERROR(__xludf.DUMMYFUNCTION("""COMPUTED_VALUE"""),1.0)</f>
        <v>1</v>
      </c>
      <c r="V47" s="185">
        <f>IFERROR(__xludf.DUMMYFUNCTION("""COMPUTED_VALUE"""),-8451.485999999975)</f>
        <v>-8451.486</v>
      </c>
      <c r="W47" s="171" t="str">
        <f>IFERROR(__xludf.DUMMYFUNCTION("""COMPUTED_VALUE"""),"")</f>
        <v/>
      </c>
      <c r="X47" s="14" t="str">
        <f>IFERROR(__xludf.DUMMYFUNCTION("""COMPUTED_VALUE"""),"")</f>
        <v/>
      </c>
      <c r="Y47" s="14" t="str">
        <f>IFERROR(__xludf.DUMMYFUNCTION("""COMPUTED_VALUE"""),"")</f>
        <v/>
      </c>
      <c r="Z47" s="11" t="str">
        <f>IFERROR(__xludf.DUMMYFUNCTION("""COMPUTED_VALUE"""),"")</f>
        <v/>
      </c>
    </row>
    <row r="48">
      <c r="A48" s="35" t="str">
        <f>IFERROR(__xludf.DUMMYFUNCTION("""COMPUTED_VALUE"""),"")</f>
        <v/>
      </c>
      <c r="B48" s="35" t="str">
        <f>IFERROR(__xludf.DUMMYFUNCTION("""COMPUTED_VALUE"""),"14626")</f>
        <v>14626</v>
      </c>
      <c r="C48" s="172">
        <f>IFERROR(__xludf.DUMMYFUNCTION("""COMPUTED_VALUE"""),4.4642000784E10)</f>
        <v>44642000784</v>
      </c>
      <c r="D48" s="180" t="str">
        <f>IFERROR(__xludf.DUMMYFUNCTION("""COMPUTED_VALUE"""),"GOOG")</f>
        <v>GOOG</v>
      </c>
      <c r="E48" s="173">
        <f>IFERROR(__xludf.DUMMYFUNCTION("""COMPUTED_VALUE"""),44642.0)</f>
        <v>44642</v>
      </c>
      <c r="F48" s="35" t="str">
        <f>IFERROR(__xludf.DUMMYFUNCTION("""COMPUTED_VALUE"""),"Stock")</f>
        <v>Stock</v>
      </c>
      <c r="G48" s="35" t="str">
        <f>IFERROR(__xludf.DUMMYFUNCTION("""COMPUTED_VALUE"""),"USD")</f>
        <v>USD</v>
      </c>
      <c r="H48" s="181" t="str">
        <f>IFERROR(__xludf.DUMMYFUNCTION("""COMPUTED_VALUE"""),"")</f>
        <v/>
      </c>
      <c r="I48" s="174">
        <f>IFERROR(__xludf.DUMMYFUNCTION("""COMPUTED_VALUE"""),7.82695)</f>
        <v>7.82695</v>
      </c>
      <c r="J48" s="175">
        <f>IFERROR(__xludf.DUMMYFUNCTION("""COMPUTED_VALUE"""),2805.55)</f>
        <v>2805.55</v>
      </c>
      <c r="K48" s="35"/>
      <c r="L48" s="175">
        <f>IFERROR(__xludf.DUMMYFUNCTION("""COMPUTED_VALUE"""),2605.72)</f>
        <v>2605.72</v>
      </c>
      <c r="M48" s="182" t="str">
        <f>IFERROR(__xludf.DUMMYFUNCTION("""COMPUTED_VALUE"""),"Equity Key Stats")</f>
        <v>Equity Key Stats</v>
      </c>
      <c r="N48" s="35"/>
      <c r="O48" s="35"/>
      <c r="P48" s="184">
        <f>IFERROR(__xludf.DUMMYFUNCTION("""COMPUTED_VALUE"""),0.0)</f>
        <v>0</v>
      </c>
      <c r="Q48" s="177"/>
      <c r="R48" s="177">
        <f>IFERROR(__xludf.DUMMYFUNCTION("""COMPUTED_VALUE"""),2605.72)</f>
        <v>2605.72</v>
      </c>
      <c r="S48" s="176">
        <f>IFERROR(__xludf.DUMMYFUNCTION("""COMPUTED_VALUE"""),0.0)</f>
        <v>0</v>
      </c>
      <c r="T48" s="95">
        <f>IFERROR(__xludf.DUMMYFUNCTION("""COMPUTED_VALUE"""),3.0)</f>
        <v>3</v>
      </c>
      <c r="U48" s="95">
        <f>IFERROR(__xludf.DUMMYFUNCTION("""COMPUTED_VALUE"""),1.0)</f>
        <v>1</v>
      </c>
      <c r="V48" s="185">
        <f>IFERROR(__xludf.DUMMYFUNCTION("""COMPUTED_VALUE"""),0.0)</f>
        <v>0</v>
      </c>
      <c r="W48" s="171" t="str">
        <f>IFERROR(__xludf.DUMMYFUNCTION("""COMPUTED_VALUE"""),"")</f>
        <v/>
      </c>
      <c r="X48" s="14" t="str">
        <f>IFERROR(__xludf.DUMMYFUNCTION("""COMPUTED_VALUE"""),"")</f>
        <v/>
      </c>
      <c r="Y48" s="14" t="str">
        <f>IFERROR(__xludf.DUMMYFUNCTION("""COMPUTED_VALUE"""),"")</f>
        <v/>
      </c>
      <c r="Z48" s="11" t="str">
        <f>IFERROR(__xludf.DUMMYFUNCTION("""COMPUTED_VALUE"""),"")</f>
        <v/>
      </c>
    </row>
    <row r="49">
      <c r="A49" s="35" t="str">
        <f>IFERROR(__xludf.DUMMYFUNCTION("""COMPUTED_VALUE"""),"14626")</f>
        <v>14626</v>
      </c>
      <c r="B49" s="35" t="str">
        <f>IFERROR(__xludf.DUMMYFUNCTION("""COMPUTED_VALUE"""),"14626")</f>
        <v>14626</v>
      </c>
      <c r="C49" s="172">
        <f>IFERROR(__xludf.DUMMYFUNCTION("""COMPUTED_VALUE"""),4.4664001461E10)</f>
        <v>44664001461</v>
      </c>
      <c r="D49" s="135" t="str">
        <f>IFERROR(__xludf.DUMMYFUNCTION("""COMPUTED_VALUE"""),"TSLA")</f>
        <v>TSLA</v>
      </c>
      <c r="E49" s="173">
        <f>IFERROR(__xludf.DUMMYFUNCTION("""COMPUTED_VALUE"""),44664.0)</f>
        <v>44664</v>
      </c>
      <c r="F49" s="35" t="str">
        <f>IFERROR(__xludf.DUMMYFUNCTION("""COMPUTED_VALUE"""),"Stock")</f>
        <v>Stock</v>
      </c>
      <c r="G49" s="35" t="str">
        <f>IFERROR(__xludf.DUMMYFUNCTION("""COMPUTED_VALUE"""),"USD")</f>
        <v>USD</v>
      </c>
      <c r="H49" s="181" t="str">
        <f>IFERROR(__xludf.DUMMYFUNCTION("""COMPUTED_VALUE"""),"")</f>
        <v/>
      </c>
      <c r="I49" s="174">
        <f>IFERROR(__xludf.DUMMYFUNCTION("""COMPUTED_VALUE"""),7.83915)</f>
        <v>7.83915</v>
      </c>
      <c r="J49" s="175">
        <f>IFERROR(__xludf.DUMMYFUNCTION("""COMPUTED_VALUE"""),1022.37)</f>
        <v>1022.37</v>
      </c>
      <c r="K49" s="35"/>
      <c r="L49" s="175">
        <f>IFERROR(__xludf.DUMMYFUNCTION("""COMPUTED_VALUE"""),1022.37)</f>
        <v>1022.37</v>
      </c>
      <c r="M49" s="182" t="str">
        <f>IFERROR(__xludf.DUMMYFUNCTION("""COMPUTED_VALUE"""),"Equity Key Stats")</f>
        <v>Equity Key Stats</v>
      </c>
      <c r="N49" s="35"/>
      <c r="O49" s="35"/>
      <c r="P49" s="184">
        <f>IFERROR(__xludf.DUMMYFUNCTION("""COMPUTED_VALUE"""),0.0)</f>
        <v>0</v>
      </c>
      <c r="Q49" s="177"/>
      <c r="R49" s="178">
        <f>IFERROR(__xludf.DUMMYFUNCTION("""COMPUTED_VALUE"""),1022.37)</f>
        <v>1022.37</v>
      </c>
      <c r="S49" s="176">
        <f>IFERROR(__xludf.DUMMYFUNCTION("""COMPUTED_VALUE"""),0.0)</f>
        <v>0</v>
      </c>
      <c r="T49" s="95">
        <f>IFERROR(__xludf.DUMMYFUNCTION("""COMPUTED_VALUE"""),5.0)</f>
        <v>5</v>
      </c>
      <c r="U49" s="95">
        <f>IFERROR(__xludf.DUMMYFUNCTION("""COMPUTED_VALUE"""),1.0)</f>
        <v>1</v>
      </c>
      <c r="V49" s="179">
        <f>IFERROR(__xludf.DUMMYFUNCTION("""COMPUTED_VALUE"""),0.0)</f>
        <v>0</v>
      </c>
      <c r="W49" s="171">
        <f>IFERROR(__xludf.DUMMYFUNCTION("""COMPUTED_VALUE"""),484680.56289500004)</f>
        <v>484680.5629</v>
      </c>
      <c r="X49" s="14">
        <f>IFERROR(__xludf.DUMMYFUNCTION("""COMPUTED_VALUE"""),-206368.1012599999)</f>
        <v>-206368.1013</v>
      </c>
      <c r="Y49" s="14">
        <f>IFERROR(__xludf.DUMMYFUNCTION("""COMPUTED_VALUE"""),206368.1012599999)</f>
        <v>206368.1013</v>
      </c>
      <c r="Z49" s="11">
        <f>IFERROR(__xludf.DUMMYFUNCTION("""COMPUTED_VALUE"""),-0.03063887420999989)</f>
        <v>-0.03063887421</v>
      </c>
    </row>
    <row r="50">
      <c r="A50" s="35" t="str">
        <f>IFERROR(__xludf.DUMMYFUNCTION("""COMPUTED_VALUE"""),"18111")</f>
        <v>18111</v>
      </c>
      <c r="B50" s="35" t="str">
        <f>IFERROR(__xludf.DUMMYFUNCTION("""COMPUTED_VALUE"""),"18111")</f>
        <v>18111</v>
      </c>
      <c r="C50" s="172">
        <f>IFERROR(__xludf.DUMMYFUNCTION("""COMPUTED_VALUE"""),4.4597000112E10)</f>
        <v>44597000112</v>
      </c>
      <c r="D50" s="135" t="str">
        <f>IFERROR(__xludf.DUMMYFUNCTION("""COMPUTED_VALUE"""),"Cash")</f>
        <v>Cash</v>
      </c>
      <c r="E50" s="173">
        <f>IFERROR(__xludf.DUMMYFUNCTION("""COMPUTED_VALUE"""),44597.0)</f>
        <v>44597</v>
      </c>
      <c r="F50" s="35" t="str">
        <f>IFERROR(__xludf.DUMMYFUNCTION("""COMPUTED_VALUE"""),"Cash")</f>
        <v>Cash</v>
      </c>
      <c r="G50" s="35" t="str">
        <f>IFERROR(__xludf.DUMMYFUNCTION("""COMPUTED_VALUE"""),"HKD")</f>
        <v>HKD</v>
      </c>
      <c r="H50" s="181" t="str">
        <f>IFERROR(__xludf.DUMMYFUNCTION("""COMPUTED_VALUE"""),"")</f>
        <v/>
      </c>
      <c r="I50" s="174">
        <f>IFERROR(__xludf.DUMMYFUNCTION("""COMPUTED_VALUE"""),1.0)</f>
        <v>1</v>
      </c>
      <c r="J50" s="175">
        <f>IFERROR(__xludf.DUMMYFUNCTION("""COMPUTED_VALUE"""),1.0)</f>
        <v>1</v>
      </c>
      <c r="K50" s="35"/>
      <c r="L50" s="175">
        <f>IFERROR(__xludf.DUMMYFUNCTION("""COMPUTED_VALUE"""),1.0)</f>
        <v>1</v>
      </c>
      <c r="M50" s="182" t="str">
        <f>IFERROR(__xludf.DUMMYFUNCTION("""COMPUTED_VALUE"""),"")</f>
        <v/>
      </c>
      <c r="N50" s="35"/>
      <c r="O50" s="35"/>
      <c r="P50" s="176">
        <f>IFERROR(__xludf.DUMMYFUNCTION("""COMPUTED_VALUE"""),500000.0)</f>
        <v>500000</v>
      </c>
      <c r="Q50" s="177"/>
      <c r="R50" s="178">
        <f>IFERROR(__xludf.DUMMYFUNCTION("""COMPUTED_VALUE"""),1.0)</f>
        <v>1</v>
      </c>
      <c r="S50" s="176" t="str">
        <f>IFERROR(__xludf.DUMMYFUNCTION("""COMPUTED_VALUE"""),"")</f>
        <v/>
      </c>
      <c r="T50" s="95">
        <f>IFERROR(__xludf.DUMMYFUNCTION("""COMPUTED_VALUE"""),1.0)</f>
        <v>1</v>
      </c>
      <c r="U50" s="35">
        <f>IFERROR(__xludf.DUMMYFUNCTION("""COMPUTED_VALUE"""),1.0)</f>
        <v>1</v>
      </c>
      <c r="V50" s="170">
        <f>IFERROR(__xludf.DUMMYFUNCTION("""COMPUTED_VALUE"""),500000.0)</f>
        <v>500000</v>
      </c>
      <c r="W50" s="171">
        <f>IFERROR(__xludf.DUMMYFUNCTION("""COMPUTED_VALUE"""),500000.0)</f>
        <v>500000</v>
      </c>
      <c r="X50" s="14">
        <f>IFERROR(__xludf.DUMMYFUNCTION("""COMPUTED_VALUE"""),500000.0)</f>
        <v>500000</v>
      </c>
      <c r="Y50" s="14">
        <f>IFERROR(__xludf.DUMMYFUNCTION("""COMPUTED_VALUE"""),0.0)</f>
        <v>0</v>
      </c>
      <c r="Z50" s="11">
        <f>IFERROR(__xludf.DUMMYFUNCTION("""COMPUTED_VALUE"""),0.0)</f>
        <v>0</v>
      </c>
    </row>
    <row r="51">
      <c r="A51" s="35" t="str">
        <f>IFERROR(__xludf.DUMMYFUNCTION("""COMPUTED_VALUE"""),"18649")</f>
        <v>18649</v>
      </c>
      <c r="B51" s="35" t="str">
        <f>IFERROR(__xludf.DUMMYFUNCTION("""COMPUTED_VALUE"""),"18649")</f>
        <v>18649</v>
      </c>
      <c r="C51" s="172">
        <f>IFERROR(__xludf.DUMMYFUNCTION("""COMPUTED_VALUE"""),4.4597000102E10)</f>
        <v>44597000102</v>
      </c>
      <c r="D51" s="135" t="str">
        <f>IFERROR(__xludf.DUMMYFUNCTION("""COMPUTED_VALUE"""),"Cash")</f>
        <v>Cash</v>
      </c>
      <c r="E51" s="173">
        <f>IFERROR(__xludf.DUMMYFUNCTION("""COMPUTED_VALUE"""),44597.0)</f>
        <v>44597</v>
      </c>
      <c r="F51" s="35" t="str">
        <f>IFERROR(__xludf.DUMMYFUNCTION("""COMPUTED_VALUE"""),"Cash")</f>
        <v>Cash</v>
      </c>
      <c r="G51" s="35" t="str">
        <f>IFERROR(__xludf.DUMMYFUNCTION("""COMPUTED_VALUE"""),"HKD")</f>
        <v>HKD</v>
      </c>
      <c r="H51" s="181" t="str">
        <f>IFERROR(__xludf.DUMMYFUNCTION("""COMPUTED_VALUE"""),"")</f>
        <v/>
      </c>
      <c r="I51" s="174">
        <f>IFERROR(__xludf.DUMMYFUNCTION("""COMPUTED_VALUE"""),1.0)</f>
        <v>1</v>
      </c>
      <c r="J51" s="175">
        <f>IFERROR(__xludf.DUMMYFUNCTION("""COMPUTED_VALUE"""),1.0)</f>
        <v>1</v>
      </c>
      <c r="K51" s="35"/>
      <c r="L51" s="175">
        <f>IFERROR(__xludf.DUMMYFUNCTION("""COMPUTED_VALUE"""),1.0)</f>
        <v>1</v>
      </c>
      <c r="M51" s="182" t="str">
        <f>IFERROR(__xludf.DUMMYFUNCTION("""COMPUTED_VALUE"""),"")</f>
        <v/>
      </c>
      <c r="N51" s="35"/>
      <c r="O51" s="35"/>
      <c r="P51" s="184">
        <f>IFERROR(__xludf.DUMMYFUNCTION("""COMPUTED_VALUE"""),500000.0)</f>
        <v>500000</v>
      </c>
      <c r="Q51" s="177"/>
      <c r="R51" s="178">
        <f>IFERROR(__xludf.DUMMYFUNCTION("""COMPUTED_VALUE"""),1.0)</f>
        <v>1</v>
      </c>
      <c r="S51" s="176" t="str">
        <f>IFERROR(__xludf.DUMMYFUNCTION("""COMPUTED_VALUE"""),"")</f>
        <v/>
      </c>
      <c r="T51" s="95">
        <f>IFERROR(__xludf.DUMMYFUNCTION("""COMPUTED_VALUE"""),1.0)</f>
        <v>1</v>
      </c>
      <c r="U51" s="95">
        <f>IFERROR(__xludf.DUMMYFUNCTION("""COMPUTED_VALUE"""),1.0)</f>
        <v>1</v>
      </c>
      <c r="V51" s="179">
        <f>IFERROR(__xludf.DUMMYFUNCTION("""COMPUTED_VALUE"""),500000.0)</f>
        <v>500000</v>
      </c>
      <c r="W51" s="55">
        <f>IFERROR(__xludf.DUMMYFUNCTION("""COMPUTED_VALUE"""),500000.0)</f>
        <v>500000</v>
      </c>
      <c r="X51" s="181">
        <f>IFERROR(__xludf.DUMMYFUNCTION("""COMPUTED_VALUE"""),500000.0)</f>
        <v>500000</v>
      </c>
      <c r="Y51" s="181">
        <f>IFERROR(__xludf.DUMMYFUNCTION("""COMPUTED_VALUE"""),0.0)</f>
        <v>0</v>
      </c>
      <c r="Z51" s="189">
        <f>IFERROR(__xludf.DUMMYFUNCTION("""COMPUTED_VALUE"""),0.0)</f>
        <v>0</v>
      </c>
    </row>
    <row r="52">
      <c r="A52" s="35" t="str">
        <f>IFERROR(__xludf.DUMMYFUNCTION("""COMPUTED_VALUE"""),"")</f>
        <v/>
      </c>
      <c r="B52" s="35" t="str">
        <f>IFERROR(__xludf.DUMMYFUNCTION("""COMPUTED_VALUE"""),"18874")</f>
        <v>18874</v>
      </c>
      <c r="C52" s="172">
        <f>IFERROR(__xludf.DUMMYFUNCTION("""COMPUTED_VALUE"""),4.4597000125E10)</f>
        <v>44597000125</v>
      </c>
      <c r="D52" s="135" t="str">
        <f>IFERROR(__xludf.DUMMYFUNCTION("""COMPUTED_VALUE"""),"Cash")</f>
        <v>Cash</v>
      </c>
      <c r="E52" s="173">
        <f>IFERROR(__xludf.DUMMYFUNCTION("""COMPUTED_VALUE"""),44597.0)</f>
        <v>44597</v>
      </c>
      <c r="F52" s="35" t="str">
        <f>IFERROR(__xludf.DUMMYFUNCTION("""COMPUTED_VALUE"""),"Cash")</f>
        <v>Cash</v>
      </c>
      <c r="G52" s="35" t="str">
        <f>IFERROR(__xludf.DUMMYFUNCTION("""COMPUTED_VALUE"""),"HKD")</f>
        <v>HKD</v>
      </c>
      <c r="H52" s="14" t="str">
        <f>IFERROR(__xludf.DUMMYFUNCTION("""COMPUTED_VALUE"""),"")</f>
        <v/>
      </c>
      <c r="I52" s="174">
        <f>IFERROR(__xludf.DUMMYFUNCTION("""COMPUTED_VALUE"""),1.0)</f>
        <v>1</v>
      </c>
      <c r="J52" s="95">
        <f>IFERROR(__xludf.DUMMYFUNCTION("""COMPUTED_VALUE"""),1.0)</f>
        <v>1</v>
      </c>
      <c r="K52" s="35"/>
      <c r="L52" s="175">
        <f>IFERROR(__xludf.DUMMYFUNCTION("""COMPUTED_VALUE"""),1.0)</f>
        <v>1</v>
      </c>
      <c r="M52" s="3" t="str">
        <f>IFERROR(__xludf.DUMMYFUNCTION("""COMPUTED_VALUE"""),"")</f>
        <v/>
      </c>
      <c r="N52" s="35"/>
      <c r="O52" s="35"/>
      <c r="P52" s="176">
        <f>IFERROR(__xludf.DUMMYFUNCTION("""COMPUTED_VALUE"""),500000.0)</f>
        <v>500000</v>
      </c>
      <c r="Q52" s="177"/>
      <c r="R52" s="178">
        <f>IFERROR(__xludf.DUMMYFUNCTION("""COMPUTED_VALUE"""),1.0)</f>
        <v>1</v>
      </c>
      <c r="S52" s="151" t="str">
        <f>IFERROR(__xludf.DUMMYFUNCTION("""COMPUTED_VALUE"""),"")</f>
        <v/>
      </c>
      <c r="T52" s="95">
        <f>IFERROR(__xludf.DUMMYFUNCTION("""COMPUTED_VALUE"""),1.0)</f>
        <v>1</v>
      </c>
      <c r="U52" s="95">
        <f>IFERROR(__xludf.DUMMYFUNCTION("""COMPUTED_VALUE"""),1.0)</f>
        <v>1</v>
      </c>
      <c r="V52" s="179">
        <f>IFERROR(__xludf.DUMMYFUNCTION("""COMPUTED_VALUE"""),500000.0)</f>
        <v>500000</v>
      </c>
      <c r="W52" s="55" t="str">
        <f>IFERROR(__xludf.DUMMYFUNCTION("""COMPUTED_VALUE"""),"")</f>
        <v/>
      </c>
      <c r="X52" s="181" t="str">
        <f>IFERROR(__xludf.DUMMYFUNCTION("""COMPUTED_VALUE"""),"")</f>
        <v/>
      </c>
      <c r="Y52" s="181" t="str">
        <f>IFERROR(__xludf.DUMMYFUNCTION("""COMPUTED_VALUE"""),"")</f>
        <v/>
      </c>
      <c r="Z52" s="186" t="str">
        <f>IFERROR(__xludf.DUMMYFUNCTION("""COMPUTED_VALUE"""),"")</f>
        <v/>
      </c>
    </row>
    <row r="53">
      <c r="A53" s="35" t="str">
        <f>IFERROR(__xludf.DUMMYFUNCTION("""COMPUTED_VALUE"""),"")</f>
        <v/>
      </c>
      <c r="B53" s="35" t="str">
        <f>IFERROR(__xludf.DUMMYFUNCTION("""COMPUTED_VALUE"""),"18874")</f>
        <v>18874</v>
      </c>
      <c r="C53" s="172">
        <f>IFERROR(__xludf.DUMMYFUNCTION("""COMPUTED_VALUE"""),4.4662001369E10)</f>
        <v>44662001369</v>
      </c>
      <c r="D53" s="135" t="str">
        <f>IFERROR(__xludf.DUMMYFUNCTION("""COMPUTED_VALUE"""),"AAPL")</f>
        <v>AAPL</v>
      </c>
      <c r="E53" s="173">
        <f>IFERROR(__xludf.DUMMYFUNCTION("""COMPUTED_VALUE"""),44662.0)</f>
        <v>44662</v>
      </c>
      <c r="F53" s="35" t="str">
        <f>IFERROR(__xludf.DUMMYFUNCTION("""COMPUTED_VALUE"""),"Stock")</f>
        <v>Stock</v>
      </c>
      <c r="G53" s="35" t="str">
        <f>IFERROR(__xludf.DUMMYFUNCTION("""COMPUTED_VALUE"""),"USD")</f>
        <v>USD</v>
      </c>
      <c r="H53" s="14">
        <f>IFERROR(__xludf.DUMMYFUNCTION("""COMPUTED_VALUE"""),0.0)</f>
        <v>0</v>
      </c>
      <c r="I53" s="174">
        <f>IFERROR(__xludf.DUMMYFUNCTION("""COMPUTED_VALUE"""),7.83795)</f>
        <v>7.83795</v>
      </c>
      <c r="J53" s="175">
        <f>IFERROR(__xludf.DUMMYFUNCTION("""COMPUTED_VALUE"""),0.0)</f>
        <v>0</v>
      </c>
      <c r="K53" s="35"/>
      <c r="L53" s="175">
        <f>IFERROR(__xludf.DUMMYFUNCTION("""COMPUTED_VALUE"""),170.4)</f>
        <v>170.4</v>
      </c>
      <c r="M53" s="187" t="str">
        <f>IFERROR(__xludf.DUMMYFUNCTION("""COMPUTED_VALUE"""),"Equity Key Stats")</f>
        <v>Equity Key Stats</v>
      </c>
      <c r="N53" s="35"/>
      <c r="O53" s="35"/>
      <c r="P53" s="176">
        <f>IFERROR(__xludf.DUMMYFUNCTION("""COMPUTED_VALUE"""),0.0)</f>
        <v>0</v>
      </c>
      <c r="Q53" s="177"/>
      <c r="R53" s="178">
        <f>IFERROR(__xludf.DUMMYFUNCTION("""COMPUTED_VALUE"""),170.4)</f>
        <v>170.4</v>
      </c>
      <c r="S53" s="151">
        <f>IFERROR(__xludf.DUMMYFUNCTION("""COMPUTED_VALUE"""),0.0)</f>
        <v>0</v>
      </c>
      <c r="T53" s="95">
        <f>IFERROR(__xludf.DUMMYFUNCTION("""COMPUTED_VALUE"""),1.0)</f>
        <v>1</v>
      </c>
      <c r="U53" s="95">
        <f>IFERROR(__xludf.DUMMYFUNCTION("""COMPUTED_VALUE"""),1.0)</f>
        <v>1</v>
      </c>
      <c r="V53" s="179">
        <f>IFERROR(__xludf.DUMMYFUNCTION("""COMPUTED_VALUE"""),0.0)</f>
        <v>0</v>
      </c>
      <c r="W53" s="55" t="str">
        <f>IFERROR(__xludf.DUMMYFUNCTION("""COMPUTED_VALUE"""),"")</f>
        <v/>
      </c>
      <c r="X53" s="181" t="str">
        <f>IFERROR(__xludf.DUMMYFUNCTION("""COMPUTED_VALUE"""),"")</f>
        <v/>
      </c>
      <c r="Y53" s="181" t="str">
        <f>IFERROR(__xludf.DUMMYFUNCTION("""COMPUTED_VALUE"""),"")</f>
        <v/>
      </c>
      <c r="Z53" s="186" t="str">
        <f>IFERROR(__xludf.DUMMYFUNCTION("""COMPUTED_VALUE"""),"")</f>
        <v/>
      </c>
    </row>
    <row r="54">
      <c r="A54" s="35" t="str">
        <f>IFERROR(__xludf.DUMMYFUNCTION("""COMPUTED_VALUE"""),"")</f>
        <v/>
      </c>
      <c r="B54" s="35" t="str">
        <f>IFERROR(__xludf.DUMMYFUNCTION("""COMPUTED_VALUE"""),"18874")</f>
        <v>18874</v>
      </c>
      <c r="C54" s="172">
        <f>IFERROR(__xludf.DUMMYFUNCTION("""COMPUTED_VALUE"""),4.466200137E10)</f>
        <v>44662001370</v>
      </c>
      <c r="D54" s="135" t="str">
        <f>IFERROR(__xludf.DUMMYFUNCTION("""COMPUTED_VALUE"""),"TSLA")</f>
        <v>TSLA</v>
      </c>
      <c r="E54" s="173">
        <f>IFERROR(__xludf.DUMMYFUNCTION("""COMPUTED_VALUE"""),44662.0)</f>
        <v>44662</v>
      </c>
      <c r="F54" s="35" t="str">
        <f>IFERROR(__xludf.DUMMYFUNCTION("""COMPUTED_VALUE"""),"Stock")</f>
        <v>Stock</v>
      </c>
      <c r="G54" s="35" t="str">
        <f>IFERROR(__xludf.DUMMYFUNCTION("""COMPUTED_VALUE"""),"USD")</f>
        <v>USD</v>
      </c>
      <c r="H54" s="14">
        <f>IFERROR(__xludf.DUMMYFUNCTION("""COMPUTED_VALUE"""),0.0)</f>
        <v>0</v>
      </c>
      <c r="I54" s="174">
        <f>IFERROR(__xludf.DUMMYFUNCTION("""COMPUTED_VALUE"""),7.83795)</f>
        <v>7.83795</v>
      </c>
      <c r="J54" s="175">
        <f>IFERROR(__xludf.DUMMYFUNCTION("""COMPUTED_VALUE"""),0.0)</f>
        <v>0</v>
      </c>
      <c r="K54" s="35"/>
      <c r="L54" s="175">
        <f>IFERROR(__xludf.DUMMYFUNCTION("""COMPUTED_VALUE"""),1022.37)</f>
        <v>1022.37</v>
      </c>
      <c r="M54" s="187" t="str">
        <f>IFERROR(__xludf.DUMMYFUNCTION("""COMPUTED_VALUE"""),"Equity Key Stats")</f>
        <v>Equity Key Stats</v>
      </c>
      <c r="N54" s="35"/>
      <c r="O54" s="35"/>
      <c r="P54" s="176">
        <f>IFERROR(__xludf.DUMMYFUNCTION("""COMPUTED_VALUE"""),0.0)</f>
        <v>0</v>
      </c>
      <c r="Q54" s="177"/>
      <c r="R54" s="178">
        <f>IFERROR(__xludf.DUMMYFUNCTION("""COMPUTED_VALUE"""),1022.37)</f>
        <v>1022.37</v>
      </c>
      <c r="S54" s="151">
        <f>IFERROR(__xludf.DUMMYFUNCTION("""COMPUTED_VALUE"""),0.0)</f>
        <v>0</v>
      </c>
      <c r="T54" s="95">
        <f>IFERROR(__xludf.DUMMYFUNCTION("""COMPUTED_VALUE"""),3.0)</f>
        <v>3</v>
      </c>
      <c r="U54" s="95" t="str">
        <f>IFERROR(__xludf.DUMMYFUNCTION("""COMPUTED_VALUE"""),"")</f>
        <v/>
      </c>
      <c r="V54" s="179" t="str">
        <f>IFERROR(__xludf.DUMMYFUNCTION("""COMPUTED_VALUE"""),"")</f>
        <v/>
      </c>
      <c r="W54" s="55" t="str">
        <f>IFERROR(__xludf.DUMMYFUNCTION("""COMPUTED_VALUE"""),"")</f>
        <v/>
      </c>
      <c r="X54" s="181" t="str">
        <f>IFERROR(__xludf.DUMMYFUNCTION("""COMPUTED_VALUE"""),"")</f>
        <v/>
      </c>
      <c r="Y54" s="181" t="str">
        <f>IFERROR(__xludf.DUMMYFUNCTION("""COMPUTED_VALUE"""),"")</f>
        <v/>
      </c>
      <c r="Z54" s="186" t="str">
        <f>IFERROR(__xludf.DUMMYFUNCTION("""COMPUTED_VALUE"""),"")</f>
        <v/>
      </c>
    </row>
    <row r="55">
      <c r="A55" s="35" t="str">
        <f>IFERROR(__xludf.DUMMYFUNCTION("""COMPUTED_VALUE"""),"")</f>
        <v/>
      </c>
      <c r="B55" s="35" t="str">
        <f>IFERROR(__xludf.DUMMYFUNCTION("""COMPUTED_VALUE"""),"18874")</f>
        <v>18874</v>
      </c>
      <c r="C55" s="172">
        <f>IFERROR(__xludf.DUMMYFUNCTION("""COMPUTED_VALUE"""),4.4663001417E10)</f>
        <v>44663001417</v>
      </c>
      <c r="D55" s="190" t="str">
        <f>IFERROR(__xludf.DUMMYFUNCTION("""COMPUTED_VALUE"""),"1929.hk")</f>
        <v>1929.hk</v>
      </c>
      <c r="E55" s="173">
        <f>IFERROR(__xludf.DUMMYFUNCTION("""COMPUTED_VALUE"""),44663.0)</f>
        <v>44663</v>
      </c>
      <c r="F55" s="35" t="str">
        <f>IFERROR(__xludf.DUMMYFUNCTION("""COMPUTED_VALUE"""),"Stock")</f>
        <v>Stock</v>
      </c>
      <c r="G55" s="35" t="str">
        <f>IFERROR(__xludf.DUMMYFUNCTION("""COMPUTED_VALUE"""),"HKD")</f>
        <v>HKD</v>
      </c>
      <c r="H55" s="14">
        <f>IFERROR(__xludf.DUMMYFUNCTION("""COMPUTED_VALUE"""),0.0)</f>
        <v>0</v>
      </c>
      <c r="I55" s="174">
        <f>IFERROR(__xludf.DUMMYFUNCTION("""COMPUTED_VALUE"""),1.0)</f>
        <v>1</v>
      </c>
      <c r="J55" s="175">
        <f>IFERROR(__xludf.DUMMYFUNCTION("""COMPUTED_VALUE"""),0.0)</f>
        <v>0</v>
      </c>
      <c r="K55" s="35"/>
      <c r="L55" s="175">
        <f>IFERROR(__xludf.DUMMYFUNCTION("""COMPUTED_VALUE"""),13.24)</f>
        <v>13.24</v>
      </c>
      <c r="M55" s="187" t="str">
        <f>IFERROR(__xludf.DUMMYFUNCTION("""COMPUTED_VALUE"""),"Equity Key Stats")</f>
        <v>Equity Key Stats</v>
      </c>
      <c r="N55" s="35"/>
      <c r="O55" s="35"/>
      <c r="P55" s="176">
        <f>IFERROR(__xludf.DUMMYFUNCTION("""COMPUTED_VALUE"""),0.0)</f>
        <v>0</v>
      </c>
      <c r="Q55" s="177"/>
      <c r="R55" s="178">
        <f>IFERROR(__xludf.DUMMYFUNCTION("""COMPUTED_VALUE"""),13.24)</f>
        <v>13.24</v>
      </c>
      <c r="S55" s="151">
        <f>IFERROR(__xludf.DUMMYFUNCTION("""COMPUTED_VALUE"""),0.0)</f>
        <v>0</v>
      </c>
      <c r="T55" s="95">
        <f>IFERROR(__xludf.DUMMYFUNCTION("""COMPUTED_VALUE"""),1.0)</f>
        <v>1</v>
      </c>
      <c r="U55" s="95">
        <f>IFERROR(__xludf.DUMMYFUNCTION("""COMPUTED_VALUE"""),1.0)</f>
        <v>1</v>
      </c>
      <c r="V55" s="179">
        <f>IFERROR(__xludf.DUMMYFUNCTION("""COMPUTED_VALUE"""),0.0)</f>
        <v>0</v>
      </c>
      <c r="W55" s="171" t="str">
        <f>IFERROR(__xludf.DUMMYFUNCTION("""COMPUTED_VALUE"""),"")</f>
        <v/>
      </c>
      <c r="X55" s="14" t="str">
        <f>IFERROR(__xludf.DUMMYFUNCTION("""COMPUTED_VALUE"""),"")</f>
        <v/>
      </c>
      <c r="Y55" s="14" t="str">
        <f>IFERROR(__xludf.DUMMYFUNCTION("""COMPUTED_VALUE"""),"")</f>
        <v/>
      </c>
      <c r="Z55" s="11" t="str">
        <f>IFERROR(__xludf.DUMMYFUNCTION("""COMPUTED_VALUE"""),"")</f>
        <v/>
      </c>
    </row>
    <row r="56">
      <c r="A56" s="35" t="str">
        <f>IFERROR(__xludf.DUMMYFUNCTION("""COMPUTED_VALUE"""),"")</f>
        <v/>
      </c>
      <c r="B56" s="35" t="str">
        <f>IFERROR(__xludf.DUMMYFUNCTION("""COMPUTED_VALUE"""),"18874")</f>
        <v>18874</v>
      </c>
      <c r="C56" s="172">
        <f>IFERROR(__xludf.DUMMYFUNCTION("""COMPUTED_VALUE"""),4.4663001419E10)</f>
        <v>44663001419</v>
      </c>
      <c r="D56" s="190" t="str">
        <f>IFERROR(__xludf.DUMMYFUNCTION("""COMPUTED_VALUE"""),"9988.hk")</f>
        <v>9988.hk</v>
      </c>
      <c r="E56" s="173">
        <f>IFERROR(__xludf.DUMMYFUNCTION("""COMPUTED_VALUE"""),44663.0)</f>
        <v>44663</v>
      </c>
      <c r="F56" s="35" t="str">
        <f>IFERROR(__xludf.DUMMYFUNCTION("""COMPUTED_VALUE"""),"Stock")</f>
        <v>Stock</v>
      </c>
      <c r="G56" s="35" t="str">
        <f>IFERROR(__xludf.DUMMYFUNCTION("""COMPUTED_VALUE"""),"HKD")</f>
        <v>HKD</v>
      </c>
      <c r="H56" s="181">
        <f>IFERROR(__xludf.DUMMYFUNCTION("""COMPUTED_VALUE"""),0.0)</f>
        <v>0</v>
      </c>
      <c r="I56" s="174">
        <f>IFERROR(__xludf.DUMMYFUNCTION("""COMPUTED_VALUE"""),1.0)</f>
        <v>1</v>
      </c>
      <c r="J56" s="175">
        <f>IFERROR(__xludf.DUMMYFUNCTION("""COMPUTED_VALUE"""),0.0)</f>
        <v>0</v>
      </c>
      <c r="K56" s="35"/>
      <c r="L56" s="175">
        <f>IFERROR(__xludf.DUMMYFUNCTION("""COMPUTED_VALUE"""),98.5)</f>
        <v>98.5</v>
      </c>
      <c r="M56" s="182" t="str">
        <f>IFERROR(__xludf.DUMMYFUNCTION("""COMPUTED_VALUE"""),"Equity Key Stats")</f>
        <v>Equity Key Stats</v>
      </c>
      <c r="N56" s="35"/>
      <c r="O56" s="35"/>
      <c r="P56" s="184">
        <f>IFERROR(__xludf.DUMMYFUNCTION("""COMPUTED_VALUE"""),0.0)</f>
        <v>0</v>
      </c>
      <c r="Q56" s="177"/>
      <c r="R56" s="178">
        <f>IFERROR(__xludf.DUMMYFUNCTION("""COMPUTED_VALUE"""),98.5)</f>
        <v>98.5</v>
      </c>
      <c r="S56" s="176">
        <f>IFERROR(__xludf.DUMMYFUNCTION("""COMPUTED_VALUE"""),0.0)</f>
        <v>0</v>
      </c>
      <c r="T56" s="95">
        <f>IFERROR(__xludf.DUMMYFUNCTION("""COMPUTED_VALUE"""),1.0)</f>
        <v>1</v>
      </c>
      <c r="U56" s="95">
        <f>IFERROR(__xludf.DUMMYFUNCTION("""COMPUTED_VALUE"""),1.0)</f>
        <v>1</v>
      </c>
      <c r="V56" s="185">
        <f>IFERROR(__xludf.DUMMYFUNCTION("""COMPUTED_VALUE"""),0.0)</f>
        <v>0</v>
      </c>
      <c r="W56" s="171" t="str">
        <f>IFERROR(__xludf.DUMMYFUNCTION("""COMPUTED_VALUE"""),"")</f>
        <v/>
      </c>
      <c r="X56" s="14" t="str">
        <f>IFERROR(__xludf.DUMMYFUNCTION("""COMPUTED_VALUE"""),"")</f>
        <v/>
      </c>
      <c r="Y56" s="14" t="str">
        <f>IFERROR(__xludf.DUMMYFUNCTION("""COMPUTED_VALUE"""),"")</f>
        <v/>
      </c>
      <c r="Z56" s="11" t="str">
        <f>IFERROR(__xludf.DUMMYFUNCTION("""COMPUTED_VALUE"""),"")</f>
        <v/>
      </c>
    </row>
    <row r="57">
      <c r="A57" s="35" t="str">
        <f>IFERROR(__xludf.DUMMYFUNCTION("""COMPUTED_VALUE"""),"")</f>
        <v/>
      </c>
      <c r="B57" s="35" t="str">
        <f>IFERROR(__xludf.DUMMYFUNCTION("""COMPUTED_VALUE"""),"18874")</f>
        <v>18874</v>
      </c>
      <c r="C57" s="172">
        <f>IFERROR(__xludf.DUMMYFUNCTION("""COMPUTED_VALUE"""),4.4663001423E10)</f>
        <v>44663001423</v>
      </c>
      <c r="D57" s="190" t="str">
        <f>IFERROR(__xludf.DUMMYFUNCTION("""COMPUTED_VALUE"""),"0293.hk")</f>
        <v>0293.hk</v>
      </c>
      <c r="E57" s="173">
        <f>IFERROR(__xludf.DUMMYFUNCTION("""COMPUTED_VALUE"""),44663.0)</f>
        <v>44663</v>
      </c>
      <c r="F57" s="35" t="str">
        <f>IFERROR(__xludf.DUMMYFUNCTION("""COMPUTED_VALUE"""),"Stock")</f>
        <v>Stock</v>
      </c>
      <c r="G57" s="35" t="str">
        <f>IFERROR(__xludf.DUMMYFUNCTION("""COMPUTED_VALUE"""),"HKD")</f>
        <v>HKD</v>
      </c>
      <c r="H57" s="181">
        <f>IFERROR(__xludf.DUMMYFUNCTION("""COMPUTED_VALUE"""),0.0)</f>
        <v>0</v>
      </c>
      <c r="I57" s="174">
        <f>IFERROR(__xludf.DUMMYFUNCTION("""COMPUTED_VALUE"""),1.0)</f>
        <v>1</v>
      </c>
      <c r="J57" s="175">
        <f>IFERROR(__xludf.DUMMYFUNCTION("""COMPUTED_VALUE"""),0.0)</f>
        <v>0</v>
      </c>
      <c r="K57" s="35"/>
      <c r="L57" s="175">
        <f>IFERROR(__xludf.DUMMYFUNCTION("""COMPUTED_VALUE"""),7.68)</f>
        <v>7.68</v>
      </c>
      <c r="M57" s="182" t="str">
        <f>IFERROR(__xludf.DUMMYFUNCTION("""COMPUTED_VALUE"""),"Equity Key Stats")</f>
        <v>Equity Key Stats</v>
      </c>
      <c r="N57" s="35"/>
      <c r="O57" s="35"/>
      <c r="P57" s="184">
        <f>IFERROR(__xludf.DUMMYFUNCTION("""COMPUTED_VALUE"""),0.0)</f>
        <v>0</v>
      </c>
      <c r="Q57" s="177"/>
      <c r="R57" s="178">
        <f>IFERROR(__xludf.DUMMYFUNCTION("""COMPUTED_VALUE"""),7.68)</f>
        <v>7.68</v>
      </c>
      <c r="S57" s="176">
        <f>IFERROR(__xludf.DUMMYFUNCTION("""COMPUTED_VALUE"""),0.0)</f>
        <v>0</v>
      </c>
      <c r="T57" s="95">
        <f>IFERROR(__xludf.DUMMYFUNCTION("""COMPUTED_VALUE"""),1.0)</f>
        <v>1</v>
      </c>
      <c r="U57" s="95">
        <f>IFERROR(__xludf.DUMMYFUNCTION("""COMPUTED_VALUE"""),1.0)</f>
        <v>1</v>
      </c>
      <c r="V57" s="185">
        <f>IFERROR(__xludf.DUMMYFUNCTION("""COMPUTED_VALUE"""),0.0)</f>
        <v>0</v>
      </c>
      <c r="W57" s="171" t="str">
        <f>IFERROR(__xludf.DUMMYFUNCTION("""COMPUTED_VALUE"""),"")</f>
        <v/>
      </c>
      <c r="X57" s="14" t="str">
        <f>IFERROR(__xludf.DUMMYFUNCTION("""COMPUTED_VALUE"""),"")</f>
        <v/>
      </c>
      <c r="Y57" s="14" t="str">
        <f>IFERROR(__xludf.DUMMYFUNCTION("""COMPUTED_VALUE"""),"")</f>
        <v/>
      </c>
      <c r="Z57" s="11" t="str">
        <f>IFERROR(__xludf.DUMMYFUNCTION("""COMPUTED_VALUE"""),"")</f>
        <v/>
      </c>
    </row>
    <row r="58">
      <c r="A58" s="35" t="str">
        <f>IFERROR(__xludf.DUMMYFUNCTION("""COMPUTED_VALUE"""),"")</f>
        <v/>
      </c>
      <c r="B58" s="35" t="str">
        <f>IFERROR(__xludf.DUMMYFUNCTION("""COMPUTED_VALUE"""),"18874")</f>
        <v>18874</v>
      </c>
      <c r="C58" s="172">
        <f>IFERROR(__xludf.DUMMYFUNCTION("""COMPUTED_VALUE"""),4.4663001438E10)</f>
        <v>44663001438</v>
      </c>
      <c r="D58" s="135" t="str">
        <f>IFERROR(__xludf.DUMMYFUNCTION("""COMPUTED_VALUE"""),"TSLA")</f>
        <v>TSLA</v>
      </c>
      <c r="E58" s="173">
        <f>IFERROR(__xludf.DUMMYFUNCTION("""COMPUTED_VALUE"""),44663.0)</f>
        <v>44663</v>
      </c>
      <c r="F58" s="35" t="str">
        <f>IFERROR(__xludf.DUMMYFUNCTION("""COMPUTED_VALUE"""),"Stock")</f>
        <v>Stock</v>
      </c>
      <c r="G58" s="35" t="str">
        <f>IFERROR(__xludf.DUMMYFUNCTION("""COMPUTED_VALUE"""),"USD")</f>
        <v>USD</v>
      </c>
      <c r="H58" s="181">
        <f>IFERROR(__xludf.DUMMYFUNCTION("""COMPUTED_VALUE"""),10.0)</f>
        <v>10</v>
      </c>
      <c r="I58" s="174">
        <f>IFERROR(__xludf.DUMMYFUNCTION("""COMPUTED_VALUE"""),7.83775)</f>
        <v>7.83775</v>
      </c>
      <c r="J58" s="175">
        <f>IFERROR(__xludf.DUMMYFUNCTION("""COMPUTED_VALUE"""),986.95)</f>
        <v>986.95</v>
      </c>
      <c r="K58" s="35"/>
      <c r="L58" s="175">
        <f>IFERROR(__xludf.DUMMYFUNCTION("""COMPUTED_VALUE"""),1022.37)</f>
        <v>1022.37</v>
      </c>
      <c r="M58" s="182" t="str">
        <f>IFERROR(__xludf.DUMMYFUNCTION("""COMPUTED_VALUE"""),"Equity Key Stats")</f>
        <v>Equity Key Stats</v>
      </c>
      <c r="N58" s="35"/>
      <c r="O58" s="35"/>
      <c r="P58" s="184">
        <f>IFERROR(__xludf.DUMMYFUNCTION("""COMPUTED_VALUE"""),-77354.673625)</f>
        <v>-77354.67363</v>
      </c>
      <c r="Q58" s="177"/>
      <c r="R58" s="178">
        <f>IFERROR(__xludf.DUMMYFUNCTION("""COMPUTED_VALUE"""),1022.37)</f>
        <v>1022.37</v>
      </c>
      <c r="S58" s="176">
        <f>IFERROR(__xludf.DUMMYFUNCTION("""COMPUTED_VALUE"""),80130.80467499999)</f>
        <v>80130.80468</v>
      </c>
      <c r="T58" s="95">
        <f>IFERROR(__xludf.DUMMYFUNCTION("""COMPUTED_VALUE"""),3.0)</f>
        <v>3</v>
      </c>
      <c r="U58" s="95" t="str">
        <f>IFERROR(__xludf.DUMMYFUNCTION("""COMPUTED_VALUE"""),"")</f>
        <v/>
      </c>
      <c r="V58" s="185" t="str">
        <f>IFERROR(__xludf.DUMMYFUNCTION("""COMPUTED_VALUE"""),"")</f>
        <v/>
      </c>
      <c r="W58" s="171" t="str">
        <f>IFERROR(__xludf.DUMMYFUNCTION("""COMPUTED_VALUE"""),"")</f>
        <v/>
      </c>
      <c r="X58" s="14" t="str">
        <f>IFERROR(__xludf.DUMMYFUNCTION("""COMPUTED_VALUE"""),"")</f>
        <v/>
      </c>
      <c r="Y58" s="14" t="str">
        <f>IFERROR(__xludf.DUMMYFUNCTION("""COMPUTED_VALUE"""),"")</f>
        <v/>
      </c>
      <c r="Z58" s="11" t="str">
        <f>IFERROR(__xludf.DUMMYFUNCTION("""COMPUTED_VALUE"""),"")</f>
        <v/>
      </c>
    </row>
    <row r="59">
      <c r="A59" s="35" t="str">
        <f>IFERROR(__xludf.DUMMYFUNCTION("""COMPUTED_VALUE"""),"")</f>
        <v/>
      </c>
      <c r="B59" s="35" t="str">
        <f>IFERROR(__xludf.DUMMYFUNCTION("""COMPUTED_VALUE"""),"18874")</f>
        <v>18874</v>
      </c>
      <c r="C59" s="172">
        <f>IFERROR(__xludf.DUMMYFUNCTION("""COMPUTED_VALUE"""),4.4663001442E10)</f>
        <v>44663001442</v>
      </c>
      <c r="D59" s="135" t="str">
        <f>IFERROR(__xludf.DUMMYFUNCTION("""COMPUTED_VALUE"""),"NVDA")</f>
        <v>NVDA</v>
      </c>
      <c r="E59" s="173">
        <f>IFERROR(__xludf.DUMMYFUNCTION("""COMPUTED_VALUE"""),44663.0)</f>
        <v>44663</v>
      </c>
      <c r="F59" s="35" t="str">
        <f>IFERROR(__xludf.DUMMYFUNCTION("""COMPUTED_VALUE"""),"Stock")</f>
        <v>Stock</v>
      </c>
      <c r="G59" s="35" t="str">
        <f>IFERROR(__xludf.DUMMYFUNCTION("""COMPUTED_VALUE"""),"USD")</f>
        <v>USD</v>
      </c>
      <c r="H59" s="14">
        <f>IFERROR(__xludf.DUMMYFUNCTION("""COMPUTED_VALUE"""),0.0)</f>
        <v>0</v>
      </c>
      <c r="I59" s="174">
        <f>IFERROR(__xludf.DUMMYFUNCTION("""COMPUTED_VALUE"""),7.83775)</f>
        <v>7.83775</v>
      </c>
      <c r="J59" s="175">
        <f>IFERROR(__xludf.DUMMYFUNCTION("""COMPUTED_VALUE"""),0.0)</f>
        <v>0</v>
      </c>
      <c r="K59" s="35"/>
      <c r="L59" s="175">
        <f>IFERROR(__xludf.DUMMYFUNCTION("""COMPUTED_VALUE"""),222.03)</f>
        <v>222.03</v>
      </c>
      <c r="M59" s="182" t="str">
        <f>IFERROR(__xludf.DUMMYFUNCTION("""COMPUTED_VALUE"""),"Equity Key Stats")</f>
        <v>Equity Key Stats</v>
      </c>
      <c r="N59" s="35"/>
      <c r="O59" s="35"/>
      <c r="P59" s="176">
        <f>IFERROR(__xludf.DUMMYFUNCTION("""COMPUTED_VALUE"""),0.0)</f>
        <v>0</v>
      </c>
      <c r="Q59" s="177"/>
      <c r="R59" s="178">
        <f>IFERROR(__xludf.DUMMYFUNCTION("""COMPUTED_VALUE"""),222.03)</f>
        <v>222.03</v>
      </c>
      <c r="S59" s="176">
        <f>IFERROR(__xludf.DUMMYFUNCTION("""COMPUTED_VALUE"""),0.0)</f>
        <v>0</v>
      </c>
      <c r="T59" s="95">
        <f>IFERROR(__xludf.DUMMYFUNCTION("""COMPUTED_VALUE"""),1.0)</f>
        <v>1</v>
      </c>
      <c r="U59" s="95">
        <f>IFERROR(__xludf.DUMMYFUNCTION("""COMPUTED_VALUE"""),1.0)</f>
        <v>1</v>
      </c>
      <c r="V59" s="179">
        <f>IFERROR(__xludf.DUMMYFUNCTION("""COMPUTED_VALUE"""),0.0)</f>
        <v>0</v>
      </c>
      <c r="W59" s="55" t="str">
        <f>IFERROR(__xludf.DUMMYFUNCTION("""COMPUTED_VALUE"""),"")</f>
        <v/>
      </c>
      <c r="X59" s="183" t="str">
        <f>IFERROR(__xludf.DUMMYFUNCTION("""COMPUTED_VALUE"""),"")</f>
        <v/>
      </c>
      <c r="Y59" s="181" t="str">
        <f>IFERROR(__xludf.DUMMYFUNCTION("""COMPUTED_VALUE"""),"")</f>
        <v/>
      </c>
      <c r="Z59" s="189" t="str">
        <f>IFERROR(__xludf.DUMMYFUNCTION("""COMPUTED_VALUE"""),"")</f>
        <v/>
      </c>
    </row>
    <row r="60">
      <c r="A60" s="35" t="str">
        <f>IFERROR(__xludf.DUMMYFUNCTION("""COMPUTED_VALUE"""),"")</f>
        <v/>
      </c>
      <c r="B60" s="35" t="str">
        <f>IFERROR(__xludf.DUMMYFUNCTION("""COMPUTED_VALUE"""),"18874")</f>
        <v>18874</v>
      </c>
      <c r="C60" s="172">
        <f>IFERROR(__xludf.DUMMYFUNCTION("""COMPUTED_VALUE"""),4.4663001443E10)</f>
        <v>44663001443</v>
      </c>
      <c r="D60" s="135" t="str">
        <f>IFERROR(__xludf.DUMMYFUNCTION("""COMPUTED_VALUE"""),"TSM")</f>
        <v>TSM</v>
      </c>
      <c r="E60" s="173">
        <f>IFERROR(__xludf.DUMMYFUNCTION("""COMPUTED_VALUE"""),44663.0)</f>
        <v>44663</v>
      </c>
      <c r="F60" s="35" t="str">
        <f>IFERROR(__xludf.DUMMYFUNCTION("""COMPUTED_VALUE"""),"Stock")</f>
        <v>Stock</v>
      </c>
      <c r="G60" s="35" t="str">
        <f>IFERROR(__xludf.DUMMYFUNCTION("""COMPUTED_VALUE"""),"USD")</f>
        <v>USD</v>
      </c>
      <c r="H60" s="14">
        <f>IFERROR(__xludf.DUMMYFUNCTION("""COMPUTED_VALUE"""),50.0)</f>
        <v>50</v>
      </c>
      <c r="I60" s="174">
        <f>IFERROR(__xludf.DUMMYFUNCTION("""COMPUTED_VALUE"""),7.83775)</f>
        <v>7.83775</v>
      </c>
      <c r="J60" s="175">
        <f>IFERROR(__xludf.DUMMYFUNCTION("""COMPUTED_VALUE"""),97.44)</f>
        <v>97.44</v>
      </c>
      <c r="K60" s="35"/>
      <c r="L60" s="175">
        <f>IFERROR(__xludf.DUMMYFUNCTION("""COMPUTED_VALUE"""),101.55)</f>
        <v>101.55</v>
      </c>
      <c r="M60" s="187" t="str">
        <f>IFERROR(__xludf.DUMMYFUNCTION("""COMPUTED_VALUE"""),"Equity Key Stats")</f>
        <v>Equity Key Stats</v>
      </c>
      <c r="N60" s="35"/>
      <c r="O60" s="35"/>
      <c r="P60" s="176">
        <f>IFERROR(__xludf.DUMMYFUNCTION("""COMPUTED_VALUE"""),-38185.518)</f>
        <v>-38185.518</v>
      </c>
      <c r="Q60" s="177"/>
      <c r="R60" s="178">
        <f>IFERROR(__xludf.DUMMYFUNCTION("""COMPUTED_VALUE"""),101.55)</f>
        <v>101.55</v>
      </c>
      <c r="S60" s="151">
        <f>IFERROR(__xludf.DUMMYFUNCTION("""COMPUTED_VALUE"""),39796.175624999996)</f>
        <v>39796.17563</v>
      </c>
      <c r="T60" s="95">
        <f>IFERROR(__xludf.DUMMYFUNCTION("""COMPUTED_VALUE"""),1.0)</f>
        <v>1</v>
      </c>
      <c r="U60" s="95">
        <f>IFERROR(__xludf.DUMMYFUNCTION("""COMPUTED_VALUE"""),1.0)</f>
        <v>1</v>
      </c>
      <c r="V60" s="179">
        <f>IFERROR(__xludf.DUMMYFUNCTION("""COMPUTED_VALUE"""),1610.6576249999998)</f>
        <v>1610.657625</v>
      </c>
      <c r="W60" s="55" t="str">
        <f>IFERROR(__xludf.DUMMYFUNCTION("""COMPUTED_VALUE"""),"")</f>
        <v/>
      </c>
      <c r="X60" s="181" t="str">
        <f>IFERROR(__xludf.DUMMYFUNCTION("""COMPUTED_VALUE"""),"")</f>
        <v/>
      </c>
      <c r="Y60" s="181" t="str">
        <f>IFERROR(__xludf.DUMMYFUNCTION("""COMPUTED_VALUE"""),"")</f>
        <v/>
      </c>
      <c r="Z60" s="186" t="str">
        <f>IFERROR(__xludf.DUMMYFUNCTION("""COMPUTED_VALUE"""),"")</f>
        <v/>
      </c>
    </row>
    <row r="61">
      <c r="A61" s="35" t="str">
        <f>IFERROR(__xludf.DUMMYFUNCTION("""COMPUTED_VALUE"""),"")</f>
        <v/>
      </c>
      <c r="B61" s="35" t="str">
        <f>IFERROR(__xludf.DUMMYFUNCTION("""COMPUTED_VALUE"""),"18874")</f>
        <v>18874</v>
      </c>
      <c r="C61" s="172">
        <f>IFERROR(__xludf.DUMMYFUNCTION("""COMPUTED_VALUE"""),4.4663001444E10)</f>
        <v>44663001444</v>
      </c>
      <c r="D61" s="135" t="str">
        <f>IFERROR(__xludf.DUMMYFUNCTION("""COMPUTED_VALUE"""),"KO")</f>
        <v>KO</v>
      </c>
      <c r="E61" s="173">
        <f>IFERROR(__xludf.DUMMYFUNCTION("""COMPUTED_VALUE"""),44663.0)</f>
        <v>44663</v>
      </c>
      <c r="F61" s="35" t="str">
        <f>IFERROR(__xludf.DUMMYFUNCTION("""COMPUTED_VALUE"""),"Stock")</f>
        <v>Stock</v>
      </c>
      <c r="G61" s="35" t="str">
        <f>IFERROR(__xludf.DUMMYFUNCTION("""COMPUTED_VALUE"""),"USD")</f>
        <v>USD</v>
      </c>
      <c r="H61" s="14">
        <f>IFERROR(__xludf.DUMMYFUNCTION("""COMPUTED_VALUE"""),200.0)</f>
        <v>200</v>
      </c>
      <c r="I61" s="174">
        <f>IFERROR(__xludf.DUMMYFUNCTION("""COMPUTED_VALUE"""),7.83775)</f>
        <v>7.83775</v>
      </c>
      <c r="J61" s="175">
        <f>IFERROR(__xludf.DUMMYFUNCTION("""COMPUTED_VALUE"""),64.56)</f>
        <v>64.56</v>
      </c>
      <c r="K61" s="35"/>
      <c r="L61" s="175">
        <f>IFERROR(__xludf.DUMMYFUNCTION("""COMPUTED_VALUE"""),64.74)</f>
        <v>64.74</v>
      </c>
      <c r="M61" s="187" t="str">
        <f>IFERROR(__xludf.DUMMYFUNCTION("""COMPUTED_VALUE"""),"Equity Key Stats")</f>
        <v>Equity Key Stats</v>
      </c>
      <c r="N61" s="35"/>
      <c r="O61" s="35"/>
      <c r="P61" s="176">
        <f>IFERROR(__xludf.DUMMYFUNCTION("""COMPUTED_VALUE"""),-101201.028)</f>
        <v>-101201.028</v>
      </c>
      <c r="Q61" s="177"/>
      <c r="R61" s="178">
        <f>IFERROR(__xludf.DUMMYFUNCTION("""COMPUTED_VALUE"""),64.74)</f>
        <v>64.74</v>
      </c>
      <c r="S61" s="151">
        <f>IFERROR(__xludf.DUMMYFUNCTION("""COMPUTED_VALUE"""),101483.18699999999)</f>
        <v>101483.187</v>
      </c>
      <c r="T61" s="95">
        <f>IFERROR(__xludf.DUMMYFUNCTION("""COMPUTED_VALUE"""),1.0)</f>
        <v>1</v>
      </c>
      <c r="U61" s="95">
        <f>IFERROR(__xludf.DUMMYFUNCTION("""COMPUTED_VALUE"""),1.0)</f>
        <v>1</v>
      </c>
      <c r="V61" s="179">
        <f>IFERROR(__xludf.DUMMYFUNCTION("""COMPUTED_VALUE"""),282.1589999999851)</f>
        <v>282.159</v>
      </c>
      <c r="W61" s="55" t="str">
        <f>IFERROR(__xludf.DUMMYFUNCTION("""COMPUTED_VALUE"""),"")</f>
        <v/>
      </c>
      <c r="X61" s="181" t="str">
        <f>IFERROR(__xludf.DUMMYFUNCTION("""COMPUTED_VALUE"""),"")</f>
        <v/>
      </c>
      <c r="Y61" s="181" t="str">
        <f>IFERROR(__xludf.DUMMYFUNCTION("""COMPUTED_VALUE"""),"")</f>
        <v/>
      </c>
      <c r="Z61" s="186" t="str">
        <f>IFERROR(__xludf.DUMMYFUNCTION("""COMPUTED_VALUE"""),"")</f>
        <v/>
      </c>
    </row>
    <row r="62">
      <c r="A62" s="35" t="str">
        <f>IFERROR(__xludf.DUMMYFUNCTION("""COMPUTED_VALUE"""),"18874")</f>
        <v>18874</v>
      </c>
      <c r="B62" s="35" t="str">
        <f>IFERROR(__xludf.DUMMYFUNCTION("""COMPUTED_VALUE"""),"18874")</f>
        <v>18874</v>
      </c>
      <c r="C62" s="172">
        <f>IFERROR(__xludf.DUMMYFUNCTION("""COMPUTED_VALUE"""),4.4664001487E10)</f>
        <v>44664001487</v>
      </c>
      <c r="D62" s="135" t="str">
        <f>IFERROR(__xludf.DUMMYFUNCTION("""COMPUTED_VALUE"""),"TSLA")</f>
        <v>TSLA</v>
      </c>
      <c r="E62" s="173">
        <f>IFERROR(__xludf.DUMMYFUNCTION("""COMPUTED_VALUE"""),44664.0)</f>
        <v>44664</v>
      </c>
      <c r="F62" s="35" t="str">
        <f>IFERROR(__xludf.DUMMYFUNCTION("""COMPUTED_VALUE"""),"Stock")</f>
        <v>Stock</v>
      </c>
      <c r="G62" s="35" t="str">
        <f>IFERROR(__xludf.DUMMYFUNCTION("""COMPUTED_VALUE"""),"USD")</f>
        <v>USD</v>
      </c>
      <c r="H62" s="14">
        <f>IFERROR(__xludf.DUMMYFUNCTION("""COMPUTED_VALUE"""),-10.0)</f>
        <v>-10</v>
      </c>
      <c r="I62" s="174">
        <f>IFERROR(__xludf.DUMMYFUNCTION("""COMPUTED_VALUE"""),7.83915)</f>
        <v>7.83915</v>
      </c>
      <c r="J62" s="175">
        <f>IFERROR(__xludf.DUMMYFUNCTION("""COMPUTED_VALUE"""),1022.37)</f>
        <v>1022.37</v>
      </c>
      <c r="K62" s="35"/>
      <c r="L62" s="175">
        <f>IFERROR(__xludf.DUMMYFUNCTION("""COMPUTED_VALUE"""),1022.37)</f>
        <v>1022.37</v>
      </c>
      <c r="M62" s="187" t="str">
        <f>IFERROR(__xludf.DUMMYFUNCTION("""COMPUTED_VALUE"""),"Equity Key Stats")</f>
        <v>Equity Key Stats</v>
      </c>
      <c r="N62" s="35"/>
      <c r="O62" s="35"/>
      <c r="P62" s="176">
        <f>IFERROR(__xludf.DUMMYFUNCTION("""COMPUTED_VALUE"""),80145.117855)</f>
        <v>80145.11786</v>
      </c>
      <c r="Q62" s="177"/>
      <c r="R62" s="178">
        <f>IFERROR(__xludf.DUMMYFUNCTION("""COMPUTED_VALUE"""),1022.37)</f>
        <v>1022.37</v>
      </c>
      <c r="S62" s="151">
        <f>IFERROR(__xludf.DUMMYFUNCTION("""COMPUTED_VALUE"""),-80145.117855)</f>
        <v>-80145.11786</v>
      </c>
      <c r="T62" s="95">
        <f>IFERROR(__xludf.DUMMYFUNCTION("""COMPUTED_VALUE"""),3.0)</f>
        <v>3</v>
      </c>
      <c r="U62" s="95">
        <f>IFERROR(__xludf.DUMMYFUNCTION("""COMPUTED_VALUE"""),1.0)</f>
        <v>1</v>
      </c>
      <c r="V62" s="179">
        <f>IFERROR(__xludf.DUMMYFUNCTION("""COMPUTED_VALUE"""),2776.1310499999963)</f>
        <v>2776.13105</v>
      </c>
      <c r="W62" s="171">
        <f>IFERROR(__xludf.DUMMYFUNCTION("""COMPUTED_VALUE"""),504668.94767499994)</f>
        <v>504668.9477</v>
      </c>
      <c r="X62" s="14">
        <f>IFERROR(__xludf.DUMMYFUNCTION("""COMPUTED_VALUE"""),363403.89823000005)</f>
        <v>363403.8982</v>
      </c>
      <c r="Y62" s="14">
        <f>IFERROR(__xludf.DUMMYFUNCTION("""COMPUTED_VALUE"""),0.0)</f>
        <v>0</v>
      </c>
      <c r="Z62" s="11">
        <f>IFERROR(__xludf.DUMMYFUNCTION("""COMPUTED_VALUE"""),0.009337895349999847)</f>
        <v>0.00933789535</v>
      </c>
    </row>
    <row r="63">
      <c r="A63" s="35" t="str">
        <f>IFERROR(__xludf.DUMMYFUNCTION("""COMPUTED_VALUE"""),"")</f>
        <v/>
      </c>
      <c r="B63" s="35" t="str">
        <f>IFERROR(__xludf.DUMMYFUNCTION("""COMPUTED_VALUE"""),"24442")</f>
        <v>24442</v>
      </c>
      <c r="C63" s="172">
        <f>IFERROR(__xludf.DUMMYFUNCTION("""COMPUTED_VALUE"""),4.459700009E10)</f>
        <v>44597000090</v>
      </c>
      <c r="D63" s="191" t="str">
        <f>IFERROR(__xludf.DUMMYFUNCTION("""COMPUTED_VALUE"""),"Cash")</f>
        <v>Cash</v>
      </c>
      <c r="E63" s="173">
        <f>IFERROR(__xludf.DUMMYFUNCTION("""COMPUTED_VALUE"""),44597.0)</f>
        <v>44597</v>
      </c>
      <c r="F63" s="35" t="str">
        <f>IFERROR(__xludf.DUMMYFUNCTION("""COMPUTED_VALUE"""),"Cash")</f>
        <v>Cash</v>
      </c>
      <c r="G63" s="35" t="str">
        <f>IFERROR(__xludf.DUMMYFUNCTION("""COMPUTED_VALUE"""),"HKD")</f>
        <v>HKD</v>
      </c>
      <c r="H63" s="181" t="str">
        <f>IFERROR(__xludf.DUMMYFUNCTION("""COMPUTED_VALUE"""),"")</f>
        <v/>
      </c>
      <c r="I63" s="174">
        <f>IFERROR(__xludf.DUMMYFUNCTION("""COMPUTED_VALUE"""),1.0)</f>
        <v>1</v>
      </c>
      <c r="J63" s="175">
        <f>IFERROR(__xludf.DUMMYFUNCTION("""COMPUTED_VALUE"""),1.0)</f>
        <v>1</v>
      </c>
      <c r="K63" s="35"/>
      <c r="L63" s="175">
        <f>IFERROR(__xludf.DUMMYFUNCTION("""COMPUTED_VALUE"""),1.0)</f>
        <v>1</v>
      </c>
      <c r="M63" s="182" t="str">
        <f>IFERROR(__xludf.DUMMYFUNCTION("""COMPUTED_VALUE"""),"")</f>
        <v/>
      </c>
      <c r="N63" s="35"/>
      <c r="O63" s="35"/>
      <c r="P63" s="184">
        <f>IFERROR(__xludf.DUMMYFUNCTION("""COMPUTED_VALUE"""),500000.0)</f>
        <v>500000</v>
      </c>
      <c r="Q63" s="177"/>
      <c r="R63" s="178">
        <f>IFERROR(__xludf.DUMMYFUNCTION("""COMPUTED_VALUE"""),1.0)</f>
        <v>1</v>
      </c>
      <c r="S63" s="176" t="str">
        <f>IFERROR(__xludf.DUMMYFUNCTION("""COMPUTED_VALUE"""),"")</f>
        <v/>
      </c>
      <c r="T63" s="95">
        <f>IFERROR(__xludf.DUMMYFUNCTION("""COMPUTED_VALUE"""),1.0)</f>
        <v>1</v>
      </c>
      <c r="U63" s="95">
        <f>IFERROR(__xludf.DUMMYFUNCTION("""COMPUTED_VALUE"""),1.0)</f>
        <v>1</v>
      </c>
      <c r="V63" s="185">
        <f>IFERROR(__xludf.DUMMYFUNCTION("""COMPUTED_VALUE"""),500000.0)</f>
        <v>500000</v>
      </c>
      <c r="W63" s="171" t="str">
        <f>IFERROR(__xludf.DUMMYFUNCTION("""COMPUTED_VALUE"""),"")</f>
        <v/>
      </c>
      <c r="X63" s="14" t="str">
        <f>IFERROR(__xludf.DUMMYFUNCTION("""COMPUTED_VALUE"""),"")</f>
        <v/>
      </c>
      <c r="Y63" s="14" t="str">
        <f>IFERROR(__xludf.DUMMYFUNCTION("""COMPUTED_VALUE"""),"")</f>
        <v/>
      </c>
      <c r="Z63" s="11" t="str">
        <f>IFERROR(__xludf.DUMMYFUNCTION("""COMPUTED_VALUE"""),"")</f>
        <v/>
      </c>
    </row>
    <row r="64">
      <c r="A64" s="35" t="str">
        <f>IFERROR(__xludf.DUMMYFUNCTION("""COMPUTED_VALUE"""),"")</f>
        <v/>
      </c>
      <c r="B64" s="35" t="str">
        <f>IFERROR(__xludf.DUMMYFUNCTION("""COMPUTED_VALUE"""),"24442")</f>
        <v>24442</v>
      </c>
      <c r="C64" s="172">
        <f>IFERROR(__xludf.DUMMYFUNCTION("""COMPUTED_VALUE"""),4.4620000373E10)</f>
        <v>44620000373</v>
      </c>
      <c r="D64" s="180" t="str">
        <f>IFERROR(__xludf.DUMMYFUNCTION("""COMPUTED_VALUE"""),"005930.KS")</f>
        <v>005930.KS</v>
      </c>
      <c r="E64" s="173">
        <f>IFERROR(__xludf.DUMMYFUNCTION("""COMPUTED_VALUE"""),44620.0)</f>
        <v>44620</v>
      </c>
      <c r="F64" s="35" t="str">
        <f>IFERROR(__xludf.DUMMYFUNCTION("""COMPUTED_VALUE"""),"Stock")</f>
        <v>Stock</v>
      </c>
      <c r="G64" s="35" t="str">
        <f>IFERROR(__xludf.DUMMYFUNCTION("""COMPUTED_VALUE"""),"KRW")</f>
        <v>KRW</v>
      </c>
      <c r="H64" s="181">
        <f>IFERROR(__xludf.DUMMYFUNCTION("""COMPUTED_VALUE"""),100.0)</f>
        <v>100</v>
      </c>
      <c r="I64" s="174">
        <f>IFERROR(__xludf.DUMMYFUNCTION("""COMPUTED_VALUE"""),0.006503313)</f>
        <v>0.006503313</v>
      </c>
      <c r="J64" s="175">
        <f>IFERROR(__xludf.DUMMYFUNCTION("""COMPUTED_VALUE"""),72100.0)</f>
        <v>72100</v>
      </c>
      <c r="K64" s="35"/>
      <c r="L64" s="175">
        <f>IFERROR(__xludf.DUMMYFUNCTION("""COMPUTED_VALUE"""),68700.0)</f>
        <v>68700</v>
      </c>
      <c r="M64" s="182" t="str">
        <f>IFERROR(__xludf.DUMMYFUNCTION("""COMPUTED_VALUE"""),"Equity Key Stats")</f>
        <v>Equity Key Stats</v>
      </c>
      <c r="N64" s="35"/>
      <c r="O64" s="35"/>
      <c r="P64" s="184">
        <f>IFERROR(__xludf.DUMMYFUNCTION("""COMPUTED_VALUE"""),-46888.886730000006)</f>
        <v>-46888.88673</v>
      </c>
      <c r="Q64" s="177"/>
      <c r="R64" s="178">
        <f>IFERROR(__xludf.DUMMYFUNCTION("""COMPUTED_VALUE"""),68700.0)</f>
        <v>68700</v>
      </c>
      <c r="S64" s="176">
        <f>IFERROR(__xludf.DUMMYFUNCTION("""COMPUTED_VALUE"""),44677.760310000005)</f>
        <v>44677.76031</v>
      </c>
      <c r="T64" s="95">
        <f>IFERROR(__xludf.DUMMYFUNCTION("""COMPUTED_VALUE"""),1.0)</f>
        <v>1</v>
      </c>
      <c r="U64" s="35">
        <f>IFERROR(__xludf.DUMMYFUNCTION("""COMPUTED_VALUE"""),1.0)</f>
        <v>1</v>
      </c>
      <c r="V64" s="170">
        <f>IFERROR(__xludf.DUMMYFUNCTION("""COMPUTED_VALUE"""),-2211.1264200000005)</f>
        <v>-2211.12642</v>
      </c>
      <c r="W64" s="171" t="str">
        <f>IFERROR(__xludf.DUMMYFUNCTION("""COMPUTED_VALUE"""),"")</f>
        <v/>
      </c>
      <c r="X64" s="14" t="str">
        <f>IFERROR(__xludf.DUMMYFUNCTION("""COMPUTED_VALUE"""),"")</f>
        <v/>
      </c>
      <c r="Y64" s="14" t="str">
        <f>IFERROR(__xludf.DUMMYFUNCTION("""COMPUTED_VALUE"""),"")</f>
        <v/>
      </c>
      <c r="Z64" s="11" t="str">
        <f>IFERROR(__xludf.DUMMYFUNCTION("""COMPUTED_VALUE"""),"")</f>
        <v/>
      </c>
    </row>
    <row r="65">
      <c r="A65" s="35" t="str">
        <f>IFERROR(__xludf.DUMMYFUNCTION("""COMPUTED_VALUE"""),"")</f>
        <v/>
      </c>
      <c r="B65" s="35" t="str">
        <f>IFERROR(__xludf.DUMMYFUNCTION("""COMPUTED_VALUE"""),"24442")</f>
        <v>24442</v>
      </c>
      <c r="C65" s="172">
        <f>IFERROR(__xludf.DUMMYFUNCTION("""COMPUTED_VALUE"""),4.4627000445E10)</f>
        <v>44627000445</v>
      </c>
      <c r="D65" s="180" t="str">
        <f>IFERROR(__xludf.DUMMYFUNCTION("""COMPUTED_VALUE"""),"XLK")</f>
        <v>XLK</v>
      </c>
      <c r="E65" s="173">
        <f>IFERROR(__xludf.DUMMYFUNCTION("""COMPUTED_VALUE"""),44627.0)</f>
        <v>44627</v>
      </c>
      <c r="F65" s="35" t="str">
        <f>IFERROR(__xludf.DUMMYFUNCTION("""COMPUTED_VALUE"""),"Stock")</f>
        <v>Stock</v>
      </c>
      <c r="G65" s="35" t="str">
        <f>IFERROR(__xludf.DUMMYFUNCTION("""COMPUTED_VALUE"""),"USD")</f>
        <v>USD</v>
      </c>
      <c r="H65" s="14">
        <f>IFERROR(__xludf.DUMMYFUNCTION("""COMPUTED_VALUE"""),100.0)</f>
        <v>100</v>
      </c>
      <c r="I65" s="174">
        <f>IFERROR(__xludf.DUMMYFUNCTION("""COMPUTED_VALUE"""),7.81855)</f>
        <v>7.81855</v>
      </c>
      <c r="J65" s="175">
        <f>IFERROR(__xludf.DUMMYFUNCTION("""COMPUTED_VALUE"""),144.27)</f>
        <v>144.27</v>
      </c>
      <c r="K65" s="35"/>
      <c r="L65" s="175">
        <f>IFERROR(__xludf.DUMMYFUNCTION("""COMPUTED_VALUE"""),150.27)</f>
        <v>150.27</v>
      </c>
      <c r="M65" s="182" t="str">
        <f>IFERROR(__xludf.DUMMYFUNCTION("""COMPUTED_VALUE"""),"Equity Key Stats")</f>
        <v>Equity Key Stats</v>
      </c>
      <c r="N65" s="35"/>
      <c r="O65" s="35"/>
      <c r="P65" s="176">
        <f>IFERROR(__xludf.DUMMYFUNCTION("""COMPUTED_VALUE"""),-112798.22085000001)</f>
        <v>-112798.2209</v>
      </c>
      <c r="Q65" s="177"/>
      <c r="R65" s="178">
        <f>IFERROR(__xludf.DUMMYFUNCTION("""COMPUTED_VALUE"""),150.27)</f>
        <v>150.27</v>
      </c>
      <c r="S65" s="176">
        <f>IFERROR(__xludf.DUMMYFUNCTION("""COMPUTED_VALUE"""),117489.35085000002)</f>
        <v>117489.3509</v>
      </c>
      <c r="T65" s="95">
        <f>IFERROR(__xludf.DUMMYFUNCTION("""COMPUTED_VALUE"""),3.0)</f>
        <v>3</v>
      </c>
      <c r="U65" s="95" t="str">
        <f>IFERROR(__xludf.DUMMYFUNCTION("""COMPUTED_VALUE"""),"")</f>
        <v/>
      </c>
      <c r="V65" s="179" t="str">
        <f>IFERROR(__xludf.DUMMYFUNCTION("""COMPUTED_VALUE"""),"")</f>
        <v/>
      </c>
      <c r="W65" s="171" t="str">
        <f>IFERROR(__xludf.DUMMYFUNCTION("""COMPUTED_VALUE"""),"")</f>
        <v/>
      </c>
      <c r="X65" s="14" t="str">
        <f>IFERROR(__xludf.DUMMYFUNCTION("""COMPUTED_VALUE"""),"")</f>
        <v/>
      </c>
      <c r="Y65" s="14" t="str">
        <f>IFERROR(__xludf.DUMMYFUNCTION("""COMPUTED_VALUE"""),"")</f>
        <v/>
      </c>
      <c r="Z65" s="11" t="str">
        <f>IFERROR(__xludf.DUMMYFUNCTION("""COMPUTED_VALUE"""),"")</f>
        <v/>
      </c>
    </row>
    <row r="66">
      <c r="A66" s="35" t="str">
        <f>IFERROR(__xludf.DUMMYFUNCTION("""COMPUTED_VALUE"""),"")</f>
        <v/>
      </c>
      <c r="B66" s="35" t="str">
        <f>IFERROR(__xludf.DUMMYFUNCTION("""COMPUTED_VALUE"""),"24442")</f>
        <v>24442</v>
      </c>
      <c r="C66" s="172">
        <f>IFERROR(__xludf.DUMMYFUNCTION("""COMPUTED_VALUE"""),4.4628000484E10)</f>
        <v>44628000484</v>
      </c>
      <c r="D66" s="180" t="str">
        <f>IFERROR(__xludf.DUMMYFUNCTION("""COMPUTED_VALUE"""),"XLK")</f>
        <v>XLK</v>
      </c>
      <c r="E66" s="173">
        <f>IFERROR(__xludf.DUMMYFUNCTION("""COMPUTED_VALUE"""),44628.0)</f>
        <v>44628</v>
      </c>
      <c r="F66" s="35" t="str">
        <f>IFERROR(__xludf.DUMMYFUNCTION("""COMPUTED_VALUE"""),"Stock")</f>
        <v>Stock</v>
      </c>
      <c r="G66" s="35" t="str">
        <f>IFERROR(__xludf.DUMMYFUNCTION("""COMPUTED_VALUE"""),"USD")</f>
        <v>USD</v>
      </c>
      <c r="H66" s="183">
        <f>IFERROR(__xludf.DUMMYFUNCTION("""COMPUTED_VALUE"""),-100.0)</f>
        <v>-100</v>
      </c>
      <c r="I66" s="174">
        <f>IFERROR(__xludf.DUMMYFUNCTION("""COMPUTED_VALUE"""),7.818975)</f>
        <v>7.818975</v>
      </c>
      <c r="J66" s="175">
        <f>IFERROR(__xludf.DUMMYFUNCTION("""COMPUTED_VALUE"""),143.57)</f>
        <v>143.57</v>
      </c>
      <c r="K66" s="35"/>
      <c r="L66" s="175">
        <f>IFERROR(__xludf.DUMMYFUNCTION("""COMPUTED_VALUE"""),150.27)</f>
        <v>150.27</v>
      </c>
      <c r="M66" s="182" t="str">
        <f>IFERROR(__xludf.DUMMYFUNCTION("""COMPUTED_VALUE"""),"Equity Key Stats")</f>
        <v>Equity Key Stats</v>
      </c>
      <c r="N66" s="35"/>
      <c r="O66" s="35"/>
      <c r="P66" s="176">
        <f>IFERROR(__xludf.DUMMYFUNCTION("""COMPUTED_VALUE"""),112257.024075)</f>
        <v>112257.0241</v>
      </c>
      <c r="Q66" s="177"/>
      <c r="R66" s="178">
        <f>IFERROR(__xludf.DUMMYFUNCTION("""COMPUTED_VALUE"""),150.27)</f>
        <v>150.27</v>
      </c>
      <c r="S66" s="184">
        <f>IFERROR(__xludf.DUMMYFUNCTION("""COMPUTED_VALUE"""),-117495.73732500001)</f>
        <v>-117495.7373</v>
      </c>
      <c r="T66" s="95">
        <f>IFERROR(__xludf.DUMMYFUNCTION("""COMPUTED_VALUE"""),3.0)</f>
        <v>3</v>
      </c>
      <c r="U66" s="95" t="str">
        <f>IFERROR(__xludf.DUMMYFUNCTION("""COMPUTED_VALUE"""),"")</f>
        <v/>
      </c>
      <c r="V66" s="179" t="str">
        <f>IFERROR(__xludf.DUMMYFUNCTION("""COMPUTED_VALUE"""),"")</f>
        <v/>
      </c>
      <c r="W66" s="55" t="str">
        <f>IFERROR(__xludf.DUMMYFUNCTION("""COMPUTED_VALUE"""),"")</f>
        <v/>
      </c>
      <c r="X66" s="181" t="str">
        <f>IFERROR(__xludf.DUMMYFUNCTION("""COMPUTED_VALUE"""),"")</f>
        <v/>
      </c>
      <c r="Y66" s="181" t="str">
        <f>IFERROR(__xludf.DUMMYFUNCTION("""COMPUTED_VALUE"""),"")</f>
        <v/>
      </c>
      <c r="Z66" s="186" t="str">
        <f>IFERROR(__xludf.DUMMYFUNCTION("""COMPUTED_VALUE"""),"")</f>
        <v/>
      </c>
    </row>
    <row r="67">
      <c r="A67" s="35" t="str">
        <f>IFERROR(__xludf.DUMMYFUNCTION("""COMPUTED_VALUE"""),"")</f>
        <v/>
      </c>
      <c r="B67" s="35" t="str">
        <f>IFERROR(__xludf.DUMMYFUNCTION("""COMPUTED_VALUE"""),"24442")</f>
        <v>24442</v>
      </c>
      <c r="C67" s="172">
        <f>IFERROR(__xludf.DUMMYFUNCTION("""COMPUTED_VALUE"""),4.4634000578E10)</f>
        <v>44634000578</v>
      </c>
      <c r="D67" s="180" t="str">
        <f>IFERROR(__xludf.DUMMYFUNCTION("""COMPUTED_VALUE"""),"XLRE")</f>
        <v>XLRE</v>
      </c>
      <c r="E67" s="173">
        <f>IFERROR(__xludf.DUMMYFUNCTION("""COMPUTED_VALUE"""),44634.0)</f>
        <v>44634</v>
      </c>
      <c r="F67" s="35" t="str">
        <f>IFERROR(__xludf.DUMMYFUNCTION("""COMPUTED_VALUE"""),"Stock")</f>
        <v>Stock</v>
      </c>
      <c r="G67" s="35" t="str">
        <f>IFERROR(__xludf.DUMMYFUNCTION("""COMPUTED_VALUE"""),"USD")</f>
        <v>USD</v>
      </c>
      <c r="H67" s="14">
        <f>IFERROR(__xludf.DUMMYFUNCTION("""COMPUTED_VALUE"""),159.0)</f>
        <v>159</v>
      </c>
      <c r="I67" s="174">
        <f>IFERROR(__xludf.DUMMYFUNCTION("""COMPUTED_VALUE"""),7.82925)</f>
        <v>7.82925</v>
      </c>
      <c r="J67" s="175">
        <f>IFERROR(__xludf.DUMMYFUNCTION("""COMPUTED_VALUE"""),45.59)</f>
        <v>45.59</v>
      </c>
      <c r="K67" s="35"/>
      <c r="L67" s="175">
        <f>IFERROR(__xludf.DUMMYFUNCTION("""COMPUTED_VALUE"""),49.04)</f>
        <v>49.04</v>
      </c>
      <c r="M67" s="187" t="str">
        <f>IFERROR(__xludf.DUMMYFUNCTION("""COMPUTED_VALUE"""),"Equity Key Stats")</f>
        <v>Equity Key Stats</v>
      </c>
      <c r="N67" s="35"/>
      <c r="O67" s="35"/>
      <c r="P67" s="176">
        <f>IFERROR(__xludf.DUMMYFUNCTION("""COMPUTED_VALUE"""),-56752.74569250001)</f>
        <v>-56752.74569</v>
      </c>
      <c r="Q67" s="177"/>
      <c r="R67" s="178">
        <f>IFERROR(__xludf.DUMMYFUNCTION("""COMPUTED_VALUE"""),49.04)</f>
        <v>49.04</v>
      </c>
      <c r="S67" s="151">
        <f>IFERROR(__xludf.DUMMYFUNCTION("""COMPUTED_VALUE"""),61047.480780000005)</f>
        <v>61047.48078</v>
      </c>
      <c r="T67" s="95">
        <f>IFERROR(__xludf.DUMMYFUNCTION("""COMPUTED_VALUE"""),1.0)</f>
        <v>1</v>
      </c>
      <c r="U67" s="95">
        <f>IFERROR(__xludf.DUMMYFUNCTION("""COMPUTED_VALUE"""),1.0)</f>
        <v>1</v>
      </c>
      <c r="V67" s="179">
        <f>IFERROR(__xludf.DUMMYFUNCTION("""COMPUTED_VALUE"""),4294.7350874999975)</f>
        <v>4294.735088</v>
      </c>
      <c r="W67" s="55" t="str">
        <f>IFERROR(__xludf.DUMMYFUNCTION("""COMPUTED_VALUE"""),"")</f>
        <v/>
      </c>
      <c r="X67" s="181" t="str">
        <f>IFERROR(__xludf.DUMMYFUNCTION("""COMPUTED_VALUE"""),"")</f>
        <v/>
      </c>
      <c r="Y67" s="181" t="str">
        <f>IFERROR(__xludf.DUMMYFUNCTION("""COMPUTED_VALUE"""),"")</f>
        <v/>
      </c>
      <c r="Z67" s="186" t="str">
        <f>IFERROR(__xludf.DUMMYFUNCTION("""COMPUTED_VALUE"""),"")</f>
        <v/>
      </c>
    </row>
    <row r="68">
      <c r="A68" s="35" t="str">
        <f>IFERROR(__xludf.DUMMYFUNCTION("""COMPUTED_VALUE"""),"")</f>
        <v/>
      </c>
      <c r="B68" s="35" t="str">
        <f>IFERROR(__xludf.DUMMYFUNCTION("""COMPUTED_VALUE"""),"24442")</f>
        <v>24442</v>
      </c>
      <c r="C68" s="172">
        <f>IFERROR(__xludf.DUMMYFUNCTION("""COMPUTED_VALUE"""),4.4634000579E10)</f>
        <v>44634000579</v>
      </c>
      <c r="D68" s="180" t="str">
        <f>IFERROR(__xludf.DUMMYFUNCTION("""COMPUTED_VALUE"""),"XLU")</f>
        <v>XLU</v>
      </c>
      <c r="E68" s="173">
        <f>IFERROR(__xludf.DUMMYFUNCTION("""COMPUTED_VALUE"""),44634.0)</f>
        <v>44634</v>
      </c>
      <c r="F68" s="35" t="str">
        <f>IFERROR(__xludf.DUMMYFUNCTION("""COMPUTED_VALUE"""),"Stock")</f>
        <v>Stock</v>
      </c>
      <c r="G68" s="35" t="str">
        <f>IFERROR(__xludf.DUMMYFUNCTION("""COMPUTED_VALUE"""),"USD")</f>
        <v>USD</v>
      </c>
      <c r="H68" s="14">
        <f>IFERROR(__xludf.DUMMYFUNCTION("""COMPUTED_VALUE"""),112.0)</f>
        <v>112</v>
      </c>
      <c r="I68" s="174">
        <f>IFERROR(__xludf.DUMMYFUNCTION("""COMPUTED_VALUE"""),7.82925)</f>
        <v>7.82925</v>
      </c>
      <c r="J68" s="175">
        <f>IFERROR(__xludf.DUMMYFUNCTION("""COMPUTED_VALUE"""),70.35)</f>
        <v>70.35</v>
      </c>
      <c r="K68" s="35"/>
      <c r="L68" s="175">
        <f>IFERROR(__xludf.DUMMYFUNCTION("""COMPUTED_VALUE"""),76.08)</f>
        <v>76.08</v>
      </c>
      <c r="M68" s="187" t="str">
        <f>IFERROR(__xludf.DUMMYFUNCTION("""COMPUTED_VALUE"""),"Equity Key Stats")</f>
        <v>Equity Key Stats</v>
      </c>
      <c r="N68" s="35"/>
      <c r="O68" s="35"/>
      <c r="P68" s="176">
        <f>IFERROR(__xludf.DUMMYFUNCTION("""COMPUTED_VALUE"""),-61688.226599999995)</f>
        <v>-61688.2266</v>
      </c>
      <c r="Q68" s="177"/>
      <c r="R68" s="178">
        <f>IFERROR(__xludf.DUMMYFUNCTION("""COMPUTED_VALUE"""),76.08)</f>
        <v>76.08</v>
      </c>
      <c r="S68" s="151">
        <f>IFERROR(__xludf.DUMMYFUNCTION("""COMPUTED_VALUE"""),66712.72608)</f>
        <v>66712.72608</v>
      </c>
      <c r="T68" s="95">
        <f>IFERROR(__xludf.DUMMYFUNCTION("""COMPUTED_VALUE"""),1.0)</f>
        <v>1</v>
      </c>
      <c r="U68" s="95">
        <f>IFERROR(__xludf.DUMMYFUNCTION("""COMPUTED_VALUE"""),1.0)</f>
        <v>1</v>
      </c>
      <c r="V68" s="179">
        <f>IFERROR(__xludf.DUMMYFUNCTION("""COMPUTED_VALUE"""),5024.499479999999)</f>
        <v>5024.49948</v>
      </c>
      <c r="W68" s="171" t="str">
        <f>IFERROR(__xludf.DUMMYFUNCTION("""COMPUTED_VALUE"""),"")</f>
        <v/>
      </c>
      <c r="X68" s="14" t="str">
        <f>IFERROR(__xludf.DUMMYFUNCTION("""COMPUTED_VALUE"""),"")</f>
        <v/>
      </c>
      <c r="Y68" s="14" t="str">
        <f>IFERROR(__xludf.DUMMYFUNCTION("""COMPUTED_VALUE"""),"")</f>
        <v/>
      </c>
      <c r="Z68" s="11" t="str">
        <f>IFERROR(__xludf.DUMMYFUNCTION("""COMPUTED_VALUE"""),"")</f>
        <v/>
      </c>
    </row>
    <row r="69">
      <c r="A69" s="35" t="str">
        <f>IFERROR(__xludf.DUMMYFUNCTION("""COMPUTED_VALUE"""),"")</f>
        <v/>
      </c>
      <c r="B69" s="35" t="str">
        <f>IFERROR(__xludf.DUMMYFUNCTION("""COMPUTED_VALUE"""),"24442")</f>
        <v>24442</v>
      </c>
      <c r="C69" s="172">
        <f>IFERROR(__xludf.DUMMYFUNCTION("""COMPUTED_VALUE"""),4.463400058E10)</f>
        <v>44634000580</v>
      </c>
      <c r="D69" s="180" t="str">
        <f>IFERROR(__xludf.DUMMYFUNCTION("""COMPUTED_VALUE"""),"XLP")</f>
        <v>XLP</v>
      </c>
      <c r="E69" s="173">
        <f>IFERROR(__xludf.DUMMYFUNCTION("""COMPUTED_VALUE"""),44634.0)</f>
        <v>44634</v>
      </c>
      <c r="F69" s="35" t="str">
        <f>IFERROR(__xludf.DUMMYFUNCTION("""COMPUTED_VALUE"""),"Stock")</f>
        <v>Stock</v>
      </c>
      <c r="G69" s="35" t="str">
        <f>IFERROR(__xludf.DUMMYFUNCTION("""COMPUTED_VALUE"""),"USD")</f>
        <v>USD</v>
      </c>
      <c r="H69" s="181">
        <f>IFERROR(__xludf.DUMMYFUNCTION("""COMPUTED_VALUE"""),190.0)</f>
        <v>190</v>
      </c>
      <c r="I69" s="174">
        <f>IFERROR(__xludf.DUMMYFUNCTION("""COMPUTED_VALUE"""),7.82925)</f>
        <v>7.82925</v>
      </c>
      <c r="J69" s="175">
        <f>IFERROR(__xludf.DUMMYFUNCTION("""COMPUTED_VALUE"""),71.82)</f>
        <v>71.82</v>
      </c>
      <c r="K69" s="35"/>
      <c r="L69" s="175">
        <f>IFERROR(__xludf.DUMMYFUNCTION("""COMPUTED_VALUE"""),78.86)</f>
        <v>78.86</v>
      </c>
      <c r="M69" s="182" t="str">
        <f>IFERROR(__xludf.DUMMYFUNCTION("""COMPUTED_VALUE"""),"Equity Key Stats")</f>
        <v>Equity Key Stats</v>
      </c>
      <c r="N69" s="35"/>
      <c r="O69" s="35"/>
      <c r="P69" s="184">
        <f>IFERROR(__xludf.DUMMYFUNCTION("""COMPUTED_VALUE"""),-106836.37965)</f>
        <v>-106836.3797</v>
      </c>
      <c r="Q69" s="177"/>
      <c r="R69" s="178">
        <f>IFERROR(__xludf.DUMMYFUNCTION("""COMPUTED_VALUE"""),78.86)</f>
        <v>78.86</v>
      </c>
      <c r="S69" s="176">
        <f>IFERROR(__xludf.DUMMYFUNCTION("""COMPUTED_VALUE"""),117308.78445)</f>
        <v>117308.7845</v>
      </c>
      <c r="T69" s="95">
        <f>IFERROR(__xludf.DUMMYFUNCTION("""COMPUTED_VALUE"""),1.0)</f>
        <v>1</v>
      </c>
      <c r="U69" s="35">
        <f>IFERROR(__xludf.DUMMYFUNCTION("""COMPUTED_VALUE"""),1.0)</f>
        <v>1</v>
      </c>
      <c r="V69" s="170">
        <f>IFERROR(__xludf.DUMMYFUNCTION("""COMPUTED_VALUE"""),10472.404800000004)</f>
        <v>10472.4048</v>
      </c>
      <c r="W69" s="171" t="str">
        <f>IFERROR(__xludf.DUMMYFUNCTION("""COMPUTED_VALUE"""),"")</f>
        <v/>
      </c>
      <c r="X69" s="14" t="str">
        <f>IFERROR(__xludf.DUMMYFUNCTION("""COMPUTED_VALUE"""),"")</f>
        <v/>
      </c>
      <c r="Y69" s="14" t="str">
        <f>IFERROR(__xludf.DUMMYFUNCTION("""COMPUTED_VALUE"""),"")</f>
        <v/>
      </c>
      <c r="Z69" s="11" t="str">
        <f>IFERROR(__xludf.DUMMYFUNCTION("""COMPUTED_VALUE"""),"")</f>
        <v/>
      </c>
    </row>
    <row r="70">
      <c r="A70" s="35" t="str">
        <f>IFERROR(__xludf.DUMMYFUNCTION("""COMPUTED_VALUE"""),"")</f>
        <v/>
      </c>
      <c r="B70" s="35" t="str">
        <f>IFERROR(__xludf.DUMMYFUNCTION("""COMPUTED_VALUE"""),"24442")</f>
        <v>24442</v>
      </c>
      <c r="C70" s="172">
        <f>IFERROR(__xludf.DUMMYFUNCTION("""COMPUTED_VALUE"""),4.4634000581E10)</f>
        <v>44634000581</v>
      </c>
      <c r="D70" s="180" t="str">
        <f>IFERROR(__xludf.DUMMYFUNCTION("""COMPUTED_VALUE"""),"XLE")</f>
        <v>XLE</v>
      </c>
      <c r="E70" s="173">
        <f>IFERROR(__xludf.DUMMYFUNCTION("""COMPUTED_VALUE"""),44634.0)</f>
        <v>44634</v>
      </c>
      <c r="F70" s="35" t="str">
        <f>IFERROR(__xludf.DUMMYFUNCTION("""COMPUTED_VALUE"""),"Stock")</f>
        <v>Stock</v>
      </c>
      <c r="G70" s="35" t="str">
        <f>IFERROR(__xludf.DUMMYFUNCTION("""COMPUTED_VALUE"""),"USD")</f>
        <v>USD</v>
      </c>
      <c r="H70" s="181">
        <f>IFERROR(__xludf.DUMMYFUNCTION("""COMPUTED_VALUE"""),19.0)</f>
        <v>19</v>
      </c>
      <c r="I70" s="174">
        <f>IFERROR(__xludf.DUMMYFUNCTION("""COMPUTED_VALUE"""),7.82925)</f>
        <v>7.82925</v>
      </c>
      <c r="J70" s="175">
        <f>IFERROR(__xludf.DUMMYFUNCTION("""COMPUTED_VALUE"""),74.55)</f>
        <v>74.55</v>
      </c>
      <c r="K70" s="35"/>
      <c r="L70" s="175">
        <f>IFERROR(__xludf.DUMMYFUNCTION("""COMPUTED_VALUE"""),79.6)</f>
        <v>79.6</v>
      </c>
      <c r="M70" s="182" t="str">
        <f>IFERROR(__xludf.DUMMYFUNCTION("""COMPUTED_VALUE"""),"Equity Key Stats")</f>
        <v>Equity Key Stats</v>
      </c>
      <c r="N70" s="35"/>
      <c r="O70" s="35"/>
      <c r="P70" s="184">
        <f>IFERROR(__xludf.DUMMYFUNCTION("""COMPUTED_VALUE"""),-11089.7411625)</f>
        <v>-11089.74116</v>
      </c>
      <c r="Q70" s="177"/>
      <c r="R70" s="178">
        <f>IFERROR(__xludf.DUMMYFUNCTION("""COMPUTED_VALUE"""),79.6)</f>
        <v>79.6</v>
      </c>
      <c r="S70" s="176">
        <f>IFERROR(__xludf.DUMMYFUNCTION("""COMPUTED_VALUE"""),11840.957699999999)</f>
        <v>11840.9577</v>
      </c>
      <c r="T70" s="95">
        <f>IFERROR(__xludf.DUMMYFUNCTION("""COMPUTED_VALUE"""),1.0)</f>
        <v>1</v>
      </c>
      <c r="U70" s="95">
        <f>IFERROR(__xludf.DUMMYFUNCTION("""COMPUTED_VALUE"""),1.0)</f>
        <v>1</v>
      </c>
      <c r="V70" s="185">
        <f>IFERROR(__xludf.DUMMYFUNCTION("""COMPUTED_VALUE"""),751.2165374999986)</f>
        <v>751.2165375</v>
      </c>
      <c r="W70" s="171" t="str">
        <f>IFERROR(__xludf.DUMMYFUNCTION("""COMPUTED_VALUE"""),"")</f>
        <v/>
      </c>
      <c r="X70" s="14" t="str">
        <f>IFERROR(__xludf.DUMMYFUNCTION("""COMPUTED_VALUE"""),"")</f>
        <v/>
      </c>
      <c r="Y70" s="14" t="str">
        <f>IFERROR(__xludf.DUMMYFUNCTION("""COMPUTED_VALUE"""),"")</f>
        <v/>
      </c>
      <c r="Z70" s="11" t="str">
        <f>IFERROR(__xludf.DUMMYFUNCTION("""COMPUTED_VALUE"""),"")</f>
        <v/>
      </c>
    </row>
    <row r="71">
      <c r="A71" s="35" t="str">
        <f>IFERROR(__xludf.DUMMYFUNCTION("""COMPUTED_VALUE"""),"")</f>
        <v/>
      </c>
      <c r="B71" s="35" t="str">
        <f>IFERROR(__xludf.DUMMYFUNCTION("""COMPUTED_VALUE"""),"24442")</f>
        <v>24442</v>
      </c>
      <c r="C71" s="172">
        <f>IFERROR(__xludf.DUMMYFUNCTION("""COMPUTED_VALUE"""),4.4634000582E10)</f>
        <v>44634000582</v>
      </c>
      <c r="D71" s="180" t="str">
        <f>IFERROR(__xludf.DUMMYFUNCTION("""COMPUTED_VALUE"""),"XLF")</f>
        <v>XLF</v>
      </c>
      <c r="E71" s="173">
        <f>IFERROR(__xludf.DUMMYFUNCTION("""COMPUTED_VALUE"""),44634.0)</f>
        <v>44634</v>
      </c>
      <c r="F71" s="35" t="str">
        <f>IFERROR(__xludf.DUMMYFUNCTION("""COMPUTED_VALUE"""),"Stock")</f>
        <v>Stock</v>
      </c>
      <c r="G71" s="35" t="str">
        <f>IFERROR(__xludf.DUMMYFUNCTION("""COMPUTED_VALUE"""),"USD")</f>
        <v>USD</v>
      </c>
      <c r="H71" s="181">
        <f>IFERROR(__xludf.DUMMYFUNCTION("""COMPUTED_VALUE"""),70.0)</f>
        <v>70</v>
      </c>
      <c r="I71" s="174">
        <f>IFERROR(__xludf.DUMMYFUNCTION("""COMPUTED_VALUE"""),7.82925)</f>
        <v>7.82925</v>
      </c>
      <c r="J71" s="175">
        <f>IFERROR(__xludf.DUMMYFUNCTION("""COMPUTED_VALUE"""),36.86)</f>
        <v>36.86</v>
      </c>
      <c r="K71" s="35"/>
      <c r="L71" s="175">
        <f>IFERROR(__xludf.DUMMYFUNCTION("""COMPUTED_VALUE"""),37.29)</f>
        <v>37.29</v>
      </c>
      <c r="M71" s="182" t="str">
        <f>IFERROR(__xludf.DUMMYFUNCTION("""COMPUTED_VALUE"""),"Equity Key Stats")</f>
        <v>Equity Key Stats</v>
      </c>
      <c r="N71" s="35"/>
      <c r="O71" s="35"/>
      <c r="P71" s="184">
        <f>IFERROR(__xludf.DUMMYFUNCTION("""COMPUTED_VALUE"""),-20201.03085)</f>
        <v>-20201.03085</v>
      </c>
      <c r="Q71" s="177"/>
      <c r="R71" s="178">
        <f>IFERROR(__xludf.DUMMYFUNCTION("""COMPUTED_VALUE"""),37.29)</f>
        <v>37.29</v>
      </c>
      <c r="S71" s="176">
        <f>IFERROR(__xludf.DUMMYFUNCTION("""COMPUTED_VALUE"""),20436.691275)</f>
        <v>20436.69128</v>
      </c>
      <c r="T71" s="95">
        <f>IFERROR(__xludf.DUMMYFUNCTION("""COMPUTED_VALUE"""),1.0)</f>
        <v>1</v>
      </c>
      <c r="U71" s="95">
        <f>IFERROR(__xludf.DUMMYFUNCTION("""COMPUTED_VALUE"""),1.0)</f>
        <v>1</v>
      </c>
      <c r="V71" s="185">
        <f>IFERROR(__xludf.DUMMYFUNCTION("""COMPUTED_VALUE"""),235.66042500000185)</f>
        <v>235.660425</v>
      </c>
      <c r="W71" s="171" t="str">
        <f>IFERROR(__xludf.DUMMYFUNCTION("""COMPUTED_VALUE"""),"")</f>
        <v/>
      </c>
      <c r="X71" s="14" t="str">
        <f>IFERROR(__xludf.DUMMYFUNCTION("""COMPUTED_VALUE"""),"")</f>
        <v/>
      </c>
      <c r="Y71" s="14" t="str">
        <f>IFERROR(__xludf.DUMMYFUNCTION("""COMPUTED_VALUE"""),"")</f>
        <v/>
      </c>
      <c r="Z71" s="11" t="str">
        <f>IFERROR(__xludf.DUMMYFUNCTION("""COMPUTED_VALUE"""),"")</f>
        <v/>
      </c>
    </row>
    <row r="72">
      <c r="A72" s="35" t="str">
        <f>IFERROR(__xludf.DUMMYFUNCTION("""COMPUTED_VALUE"""),"")</f>
        <v/>
      </c>
      <c r="B72" s="35" t="str">
        <f>IFERROR(__xludf.DUMMYFUNCTION("""COMPUTED_VALUE"""),"24442")</f>
        <v>24442</v>
      </c>
      <c r="C72" s="172">
        <f>IFERROR(__xludf.DUMMYFUNCTION("""COMPUTED_VALUE"""),4.4634000583E10)</f>
        <v>44634000583</v>
      </c>
      <c r="D72" s="180" t="str">
        <f>IFERROR(__xludf.DUMMYFUNCTION("""COMPUTED_VALUE"""),"XLB")</f>
        <v>XLB</v>
      </c>
      <c r="E72" s="173">
        <f>IFERROR(__xludf.DUMMYFUNCTION("""COMPUTED_VALUE"""),44634.0)</f>
        <v>44634</v>
      </c>
      <c r="F72" s="35" t="str">
        <f>IFERROR(__xludf.DUMMYFUNCTION("""COMPUTED_VALUE"""),"Stock")</f>
        <v>Stock</v>
      </c>
      <c r="G72" s="35" t="str">
        <f>IFERROR(__xludf.DUMMYFUNCTION("""COMPUTED_VALUE"""),"USD")</f>
        <v>USD</v>
      </c>
      <c r="H72" s="181">
        <f>IFERROR(__xludf.DUMMYFUNCTION("""COMPUTED_VALUE"""),45.0)</f>
        <v>45</v>
      </c>
      <c r="I72" s="174">
        <f>IFERROR(__xludf.DUMMYFUNCTION("""COMPUTED_VALUE"""),7.82925)</f>
        <v>7.82925</v>
      </c>
      <c r="J72" s="175">
        <f>IFERROR(__xludf.DUMMYFUNCTION("""COMPUTED_VALUE"""),81.73)</f>
        <v>81.73</v>
      </c>
      <c r="K72" s="35"/>
      <c r="L72" s="175">
        <f>IFERROR(__xludf.DUMMYFUNCTION("""COMPUTED_VALUE"""),89.37)</f>
        <v>89.37</v>
      </c>
      <c r="M72" s="182" t="str">
        <f>IFERROR(__xludf.DUMMYFUNCTION("""COMPUTED_VALUE"""),"Equity Key Stats")</f>
        <v>Equity Key Stats</v>
      </c>
      <c r="N72" s="35"/>
      <c r="O72" s="35"/>
      <c r="P72" s="184">
        <f>IFERROR(__xludf.DUMMYFUNCTION("""COMPUTED_VALUE"""),-28794.807112500002)</f>
        <v>-28794.80711</v>
      </c>
      <c r="Q72" s="177"/>
      <c r="R72" s="178">
        <f>IFERROR(__xludf.DUMMYFUNCTION("""COMPUTED_VALUE"""),89.37)</f>
        <v>89.37</v>
      </c>
      <c r="S72" s="176">
        <f>IFERROR(__xludf.DUMMYFUNCTION("""COMPUTED_VALUE"""),31486.503262500002)</f>
        <v>31486.50326</v>
      </c>
      <c r="T72" s="95">
        <f>IFERROR(__xludf.DUMMYFUNCTION("""COMPUTED_VALUE"""),1.0)</f>
        <v>1</v>
      </c>
      <c r="U72" s="95">
        <f>IFERROR(__xludf.DUMMYFUNCTION("""COMPUTED_VALUE"""),1.0)</f>
        <v>1</v>
      </c>
      <c r="V72" s="185">
        <f>IFERROR(__xludf.DUMMYFUNCTION("""COMPUTED_VALUE"""),2691.6961499999998)</f>
        <v>2691.69615</v>
      </c>
      <c r="W72" s="171" t="str">
        <f>IFERROR(__xludf.DUMMYFUNCTION("""COMPUTED_VALUE"""),"")</f>
        <v/>
      </c>
      <c r="X72" s="14" t="str">
        <f>IFERROR(__xludf.DUMMYFUNCTION("""COMPUTED_VALUE"""),"")</f>
        <v/>
      </c>
      <c r="Y72" s="14" t="str">
        <f>IFERROR(__xludf.DUMMYFUNCTION("""COMPUTED_VALUE"""),"")</f>
        <v/>
      </c>
      <c r="Z72" s="11" t="str">
        <f>IFERROR(__xludf.DUMMYFUNCTION("""COMPUTED_VALUE"""),"")</f>
        <v/>
      </c>
    </row>
    <row r="73">
      <c r="A73" s="35" t="str">
        <f>IFERROR(__xludf.DUMMYFUNCTION("""COMPUTED_VALUE"""),"")</f>
        <v/>
      </c>
      <c r="B73" s="35" t="str">
        <f>IFERROR(__xludf.DUMMYFUNCTION("""COMPUTED_VALUE"""),"24442")</f>
        <v>24442</v>
      </c>
      <c r="C73" s="172">
        <f>IFERROR(__xludf.DUMMYFUNCTION("""COMPUTED_VALUE"""),4.4634000584E10)</f>
        <v>44634000584</v>
      </c>
      <c r="D73" s="192" t="str">
        <f>IFERROR(__xludf.DUMMYFUNCTION("""COMPUTED_VALUE"""),"XLY")</f>
        <v>XLY</v>
      </c>
      <c r="E73" s="173">
        <f>IFERROR(__xludf.DUMMYFUNCTION("""COMPUTED_VALUE"""),44634.0)</f>
        <v>44634</v>
      </c>
      <c r="F73" s="35" t="str">
        <f>IFERROR(__xludf.DUMMYFUNCTION("""COMPUTED_VALUE"""),"Stock")</f>
        <v>Stock</v>
      </c>
      <c r="G73" s="35" t="str">
        <f>IFERROR(__xludf.DUMMYFUNCTION("""COMPUTED_VALUE"""),"USD")</f>
        <v>USD</v>
      </c>
      <c r="H73" s="181">
        <f>IFERROR(__xludf.DUMMYFUNCTION("""COMPUTED_VALUE"""),26.0)</f>
        <v>26</v>
      </c>
      <c r="I73" s="174">
        <f>IFERROR(__xludf.DUMMYFUNCTION("""COMPUTED_VALUE"""),7.82925)</f>
        <v>7.82925</v>
      </c>
      <c r="J73" s="175">
        <f>IFERROR(__xludf.DUMMYFUNCTION("""COMPUTED_VALUE"""),163.94)</f>
        <v>163.94</v>
      </c>
      <c r="K73" s="35"/>
      <c r="L73" s="175">
        <f>IFERROR(__xludf.DUMMYFUNCTION("""COMPUTED_VALUE"""),180.95)</f>
        <v>180.95</v>
      </c>
      <c r="M73" s="182" t="str">
        <f>IFERROR(__xludf.DUMMYFUNCTION("""COMPUTED_VALUE"""),"Equity Key Stats")</f>
        <v>Equity Key Stats</v>
      </c>
      <c r="N73" s="35"/>
      <c r="O73" s="35"/>
      <c r="P73" s="184">
        <f>IFERROR(__xludf.DUMMYFUNCTION("""COMPUTED_VALUE"""),-33371.70837)</f>
        <v>-33371.70837</v>
      </c>
      <c r="Q73" s="177"/>
      <c r="R73" s="178">
        <f>IFERROR(__xludf.DUMMYFUNCTION("""COMPUTED_VALUE"""),180.95)</f>
        <v>180.95</v>
      </c>
      <c r="S73" s="176">
        <f>IFERROR(__xludf.DUMMYFUNCTION("""COMPUTED_VALUE"""),36834.272475)</f>
        <v>36834.27248</v>
      </c>
      <c r="T73" s="95">
        <f>IFERROR(__xludf.DUMMYFUNCTION("""COMPUTED_VALUE"""),1.0)</f>
        <v>1</v>
      </c>
      <c r="U73" s="95">
        <f>IFERROR(__xludf.DUMMYFUNCTION("""COMPUTED_VALUE"""),1.0)</f>
        <v>1</v>
      </c>
      <c r="V73" s="179">
        <f>IFERROR(__xludf.DUMMYFUNCTION("""COMPUTED_VALUE"""),3462.5641049999977)</f>
        <v>3462.564105</v>
      </c>
      <c r="W73" s="55" t="str">
        <f>IFERROR(__xludf.DUMMYFUNCTION("""COMPUTED_VALUE"""),"")</f>
        <v/>
      </c>
      <c r="X73" s="181" t="str">
        <f>IFERROR(__xludf.DUMMYFUNCTION("""COMPUTED_VALUE"""),"")</f>
        <v/>
      </c>
      <c r="Y73" s="181" t="str">
        <f>IFERROR(__xludf.DUMMYFUNCTION("""COMPUTED_VALUE"""),"")</f>
        <v/>
      </c>
      <c r="Z73" s="189" t="str">
        <f>IFERROR(__xludf.DUMMYFUNCTION("""COMPUTED_VALUE"""),"")</f>
        <v/>
      </c>
    </row>
    <row r="74">
      <c r="A74" s="35" t="str">
        <f>IFERROR(__xludf.DUMMYFUNCTION("""COMPUTED_VALUE"""),"")</f>
        <v/>
      </c>
      <c r="B74" s="35" t="str">
        <f>IFERROR(__xludf.DUMMYFUNCTION("""COMPUTED_VALUE"""),"24442")</f>
        <v>24442</v>
      </c>
      <c r="C74" s="172">
        <f>IFERROR(__xludf.DUMMYFUNCTION("""COMPUTED_VALUE"""),4.4634000585E10)</f>
        <v>44634000585</v>
      </c>
      <c r="D74" s="180" t="str">
        <f>IFERROR(__xludf.DUMMYFUNCTION("""COMPUTED_VALUE"""),"XLC")</f>
        <v>XLC</v>
      </c>
      <c r="E74" s="173">
        <f>IFERROR(__xludf.DUMMYFUNCTION("""COMPUTED_VALUE"""),44634.0)</f>
        <v>44634</v>
      </c>
      <c r="F74" s="35" t="str">
        <f>IFERROR(__xludf.DUMMYFUNCTION("""COMPUTED_VALUE"""),"Stock")</f>
        <v>Stock</v>
      </c>
      <c r="G74" s="35" t="str">
        <f>IFERROR(__xludf.DUMMYFUNCTION("""COMPUTED_VALUE"""),"USD")</f>
        <v>USD</v>
      </c>
      <c r="H74" s="14">
        <f>IFERROR(__xludf.DUMMYFUNCTION("""COMPUTED_VALUE"""),72.0)</f>
        <v>72</v>
      </c>
      <c r="I74" s="174">
        <f>IFERROR(__xludf.DUMMYFUNCTION("""COMPUTED_VALUE"""),7.82925)</f>
        <v>7.82925</v>
      </c>
      <c r="J74" s="175">
        <f>IFERROR(__xludf.DUMMYFUNCTION("""COMPUTED_VALUE"""),63.62)</f>
        <v>63.62</v>
      </c>
      <c r="K74" s="35"/>
      <c r="L74" s="175">
        <f>IFERROR(__xludf.DUMMYFUNCTION("""COMPUTED_VALUE"""),67.61)</f>
        <v>67.61</v>
      </c>
      <c r="M74" s="187" t="str">
        <f>IFERROR(__xludf.DUMMYFUNCTION("""COMPUTED_VALUE"""),"Equity Key Stats")</f>
        <v>Equity Key Stats</v>
      </c>
      <c r="N74" s="35"/>
      <c r="O74" s="35"/>
      <c r="P74" s="176">
        <f>IFERROR(__xludf.DUMMYFUNCTION("""COMPUTED_VALUE"""),-35862.97572)</f>
        <v>-35862.97572</v>
      </c>
      <c r="Q74" s="177"/>
      <c r="R74" s="178">
        <f>IFERROR(__xludf.DUMMYFUNCTION("""COMPUTED_VALUE"""),67.61)</f>
        <v>67.61</v>
      </c>
      <c r="S74" s="151">
        <f>IFERROR(__xludf.DUMMYFUNCTION("""COMPUTED_VALUE"""),38112.16266)</f>
        <v>38112.16266</v>
      </c>
      <c r="T74" s="95">
        <f>IFERROR(__xludf.DUMMYFUNCTION("""COMPUTED_VALUE"""),1.0)</f>
        <v>1</v>
      </c>
      <c r="U74" s="95">
        <f>IFERROR(__xludf.DUMMYFUNCTION("""COMPUTED_VALUE"""),1.0)</f>
        <v>1</v>
      </c>
      <c r="V74" s="179">
        <f>IFERROR(__xludf.DUMMYFUNCTION("""COMPUTED_VALUE"""),2249.1869399999996)</f>
        <v>2249.18694</v>
      </c>
      <c r="W74" s="171" t="str">
        <f>IFERROR(__xludf.DUMMYFUNCTION("""COMPUTED_VALUE"""),"")</f>
        <v/>
      </c>
      <c r="X74" s="14" t="str">
        <f>IFERROR(__xludf.DUMMYFUNCTION("""COMPUTED_VALUE"""),"")</f>
        <v/>
      </c>
      <c r="Y74" s="14" t="str">
        <f>IFERROR(__xludf.DUMMYFUNCTION("""COMPUTED_VALUE"""),"")</f>
        <v/>
      </c>
      <c r="Z74" s="11" t="str">
        <f>IFERROR(__xludf.DUMMYFUNCTION("""COMPUTED_VALUE"""),"")</f>
        <v/>
      </c>
    </row>
    <row r="75">
      <c r="A75" s="35" t="str">
        <f>IFERROR(__xludf.DUMMYFUNCTION("""COMPUTED_VALUE"""),"")</f>
        <v/>
      </c>
      <c r="B75" s="35" t="str">
        <f>IFERROR(__xludf.DUMMYFUNCTION("""COMPUTED_VALUE"""),"24442")</f>
        <v>24442</v>
      </c>
      <c r="C75" s="172">
        <f>IFERROR(__xludf.DUMMYFUNCTION("""COMPUTED_VALUE"""),4.4634000586E10)</f>
        <v>44634000586</v>
      </c>
      <c r="D75" s="180" t="str">
        <f>IFERROR(__xludf.DUMMYFUNCTION("""COMPUTED_VALUE"""),"XLK")</f>
        <v>XLK</v>
      </c>
      <c r="E75" s="173">
        <f>IFERROR(__xludf.DUMMYFUNCTION("""COMPUTED_VALUE"""),44634.0)</f>
        <v>44634</v>
      </c>
      <c r="F75" s="35" t="str">
        <f>IFERROR(__xludf.DUMMYFUNCTION("""COMPUTED_VALUE"""),"Stock")</f>
        <v>Stock</v>
      </c>
      <c r="G75" s="35" t="str">
        <f>IFERROR(__xludf.DUMMYFUNCTION("""COMPUTED_VALUE"""),"USD")</f>
        <v>USD</v>
      </c>
      <c r="H75" s="181">
        <f>IFERROR(__xludf.DUMMYFUNCTION("""COMPUTED_VALUE"""),39.0)</f>
        <v>39</v>
      </c>
      <c r="I75" s="174">
        <f>IFERROR(__xludf.DUMMYFUNCTION("""COMPUTED_VALUE"""),7.82925)</f>
        <v>7.82925</v>
      </c>
      <c r="J75" s="175">
        <f>IFERROR(__xludf.DUMMYFUNCTION("""COMPUTED_VALUE"""),141.39)</f>
        <v>141.39</v>
      </c>
      <c r="K75" s="35"/>
      <c r="L75" s="175">
        <f>IFERROR(__xludf.DUMMYFUNCTION("""COMPUTED_VALUE"""),150.27)</f>
        <v>150.27</v>
      </c>
      <c r="M75" s="182" t="str">
        <f>IFERROR(__xludf.DUMMYFUNCTION("""COMPUTED_VALUE"""),"Equity Key Stats")</f>
        <v>Equity Key Stats</v>
      </c>
      <c r="N75" s="35"/>
      <c r="O75" s="35"/>
      <c r="P75" s="184">
        <f>IFERROR(__xludf.DUMMYFUNCTION("""COMPUTED_VALUE"""),-43172.1286425)</f>
        <v>-43172.12864</v>
      </c>
      <c r="Q75" s="177"/>
      <c r="R75" s="178">
        <f>IFERROR(__xludf.DUMMYFUNCTION("""COMPUTED_VALUE"""),150.27)</f>
        <v>150.27</v>
      </c>
      <c r="S75" s="176">
        <f>IFERROR(__xludf.DUMMYFUNCTION("""COMPUTED_VALUE"""),45883.5545025)</f>
        <v>45883.5545</v>
      </c>
      <c r="T75" s="95">
        <f>IFERROR(__xludf.DUMMYFUNCTION("""COMPUTED_VALUE"""),3.0)</f>
        <v>3</v>
      </c>
      <c r="U75" s="95">
        <f>IFERROR(__xludf.DUMMYFUNCTION("""COMPUTED_VALUE"""),1.0)</f>
        <v>1</v>
      </c>
      <c r="V75" s="179">
        <f>IFERROR(__xludf.DUMMYFUNCTION("""COMPUTED_VALUE"""),2163.8426099999924)</f>
        <v>2163.84261</v>
      </c>
      <c r="W75" s="171" t="str">
        <f>IFERROR(__xludf.DUMMYFUNCTION("""COMPUTED_VALUE"""),"")</f>
        <v/>
      </c>
      <c r="X75" s="14" t="str">
        <f>IFERROR(__xludf.DUMMYFUNCTION("""COMPUTED_VALUE"""),"")</f>
        <v/>
      </c>
      <c r="Y75" s="14" t="str">
        <f>IFERROR(__xludf.DUMMYFUNCTION("""COMPUTED_VALUE"""),"")</f>
        <v/>
      </c>
      <c r="Z75" s="11" t="str">
        <f>IFERROR(__xludf.DUMMYFUNCTION("""COMPUTED_VALUE"""),"")</f>
        <v/>
      </c>
    </row>
    <row r="76">
      <c r="A76" s="35" t="str">
        <f>IFERROR(__xludf.DUMMYFUNCTION("""COMPUTED_VALUE"""),"")</f>
        <v/>
      </c>
      <c r="B76" s="35" t="str">
        <f>IFERROR(__xludf.DUMMYFUNCTION("""COMPUTED_VALUE"""),"24442")</f>
        <v>24442</v>
      </c>
      <c r="C76" s="172">
        <f>IFERROR(__xludf.DUMMYFUNCTION("""COMPUTED_VALUE"""),4.4634000587E10)</f>
        <v>44634000587</v>
      </c>
      <c r="D76" s="180" t="str">
        <f>IFERROR(__xludf.DUMMYFUNCTION("""COMPUTED_VALUE"""),"XLI")</f>
        <v>XLI</v>
      </c>
      <c r="E76" s="173">
        <f>IFERROR(__xludf.DUMMYFUNCTION("""COMPUTED_VALUE"""),44634.0)</f>
        <v>44634</v>
      </c>
      <c r="F76" s="35" t="str">
        <f>IFERROR(__xludf.DUMMYFUNCTION("""COMPUTED_VALUE"""),"Stock")</f>
        <v>Stock</v>
      </c>
      <c r="G76" s="35" t="str">
        <f>IFERROR(__xludf.DUMMYFUNCTION("""COMPUTED_VALUE"""),"USD")</f>
        <v>USD</v>
      </c>
      <c r="H76" s="181">
        <f>IFERROR(__xludf.DUMMYFUNCTION("""COMPUTED_VALUE"""),59.0)</f>
        <v>59</v>
      </c>
      <c r="I76" s="174">
        <f>IFERROR(__xludf.DUMMYFUNCTION("""COMPUTED_VALUE"""),7.82925)</f>
        <v>7.82925</v>
      </c>
      <c r="J76" s="175">
        <f>IFERROR(__xludf.DUMMYFUNCTION("""COMPUTED_VALUE"""),98.27)</f>
        <v>98.27</v>
      </c>
      <c r="K76" s="35"/>
      <c r="L76" s="175">
        <f>IFERROR(__xludf.DUMMYFUNCTION("""COMPUTED_VALUE"""),100.07)</f>
        <v>100.07</v>
      </c>
      <c r="M76" s="182" t="str">
        <f>IFERROR(__xludf.DUMMYFUNCTION("""COMPUTED_VALUE"""),"Equity Key Stats")</f>
        <v>Equity Key Stats</v>
      </c>
      <c r="N76" s="35"/>
      <c r="O76" s="35"/>
      <c r="P76" s="176">
        <f>IFERROR(__xludf.DUMMYFUNCTION("""COMPUTED_VALUE"""),-45393.443452499996)</f>
        <v>-45393.44345</v>
      </c>
      <c r="Q76" s="177"/>
      <c r="R76" s="178">
        <f>IFERROR(__xludf.DUMMYFUNCTION("""COMPUTED_VALUE"""),100.07)</f>
        <v>100.07</v>
      </c>
      <c r="S76" s="176">
        <f>IFERROR(__xludf.DUMMYFUNCTION("""COMPUTED_VALUE"""),46224.9098025)</f>
        <v>46224.9098</v>
      </c>
      <c r="T76" s="95">
        <f>IFERROR(__xludf.DUMMYFUNCTION("""COMPUTED_VALUE"""),1.0)</f>
        <v>1</v>
      </c>
      <c r="U76" s="95">
        <f>IFERROR(__xludf.DUMMYFUNCTION("""COMPUTED_VALUE"""),1.0)</f>
        <v>1</v>
      </c>
      <c r="V76" s="179">
        <f>IFERROR(__xludf.DUMMYFUNCTION("""COMPUTED_VALUE"""),831.4663500000024)</f>
        <v>831.46635</v>
      </c>
      <c r="W76" s="55" t="str">
        <f>IFERROR(__xludf.DUMMYFUNCTION("""COMPUTED_VALUE"""),"")</f>
        <v/>
      </c>
      <c r="X76" s="181" t="str">
        <f>IFERROR(__xludf.DUMMYFUNCTION("""COMPUTED_VALUE"""),"")</f>
        <v/>
      </c>
      <c r="Y76" s="181" t="str">
        <f>IFERROR(__xludf.DUMMYFUNCTION("""COMPUTED_VALUE"""),"")</f>
        <v/>
      </c>
      <c r="Z76" s="186" t="str">
        <f>IFERROR(__xludf.DUMMYFUNCTION("""COMPUTED_VALUE"""),"")</f>
        <v/>
      </c>
    </row>
    <row r="77">
      <c r="A77" s="35" t="str">
        <f>IFERROR(__xludf.DUMMYFUNCTION("""COMPUTED_VALUE"""),"")</f>
        <v/>
      </c>
      <c r="B77" s="35" t="str">
        <f>IFERROR(__xludf.DUMMYFUNCTION("""COMPUTED_VALUE"""),"24442")</f>
        <v>24442</v>
      </c>
      <c r="C77" s="172">
        <f>IFERROR(__xludf.DUMMYFUNCTION("""COMPUTED_VALUE"""),4.4634000588E10)</f>
        <v>44634000588</v>
      </c>
      <c r="D77" s="180" t="str">
        <f>IFERROR(__xludf.DUMMYFUNCTION("""COMPUTED_VALUE"""),"XLV")</f>
        <v>XLV</v>
      </c>
      <c r="E77" s="173">
        <f>IFERROR(__xludf.DUMMYFUNCTION("""COMPUTED_VALUE"""),44634.0)</f>
        <v>44634</v>
      </c>
      <c r="F77" s="35" t="str">
        <f>IFERROR(__xludf.DUMMYFUNCTION("""COMPUTED_VALUE"""),"Stock")</f>
        <v>Stock</v>
      </c>
      <c r="G77" s="35" t="str">
        <f>IFERROR(__xludf.DUMMYFUNCTION("""COMPUTED_VALUE"""),"USD")</f>
        <v>USD</v>
      </c>
      <c r="H77" s="14">
        <f>IFERROR(__xludf.DUMMYFUNCTION("""COMPUTED_VALUE"""),48.0)</f>
        <v>48</v>
      </c>
      <c r="I77" s="174">
        <f>IFERROR(__xludf.DUMMYFUNCTION("""COMPUTED_VALUE"""),7.82925)</f>
        <v>7.82925</v>
      </c>
      <c r="J77" s="175">
        <f>IFERROR(__xludf.DUMMYFUNCTION("""COMPUTED_VALUE"""),129.85)</f>
        <v>129.85</v>
      </c>
      <c r="K77" s="35"/>
      <c r="L77" s="175">
        <f>IFERROR(__xludf.DUMMYFUNCTION("""COMPUTED_VALUE"""),139.31)</f>
        <v>139.31</v>
      </c>
      <c r="M77" s="187" t="str">
        <f>IFERROR(__xludf.DUMMYFUNCTION("""COMPUTED_VALUE"""),"Equity Key Stats")</f>
        <v>Equity Key Stats</v>
      </c>
      <c r="N77" s="35"/>
      <c r="O77" s="35"/>
      <c r="P77" s="176">
        <f>IFERROR(__xludf.DUMMYFUNCTION("""COMPUTED_VALUE"""),-48798.149399999995)</f>
        <v>-48798.1494</v>
      </c>
      <c r="Q77" s="177"/>
      <c r="R77" s="178">
        <f>IFERROR(__xludf.DUMMYFUNCTION("""COMPUTED_VALUE"""),139.31)</f>
        <v>139.31</v>
      </c>
      <c r="S77" s="151">
        <f>IFERROR(__xludf.DUMMYFUNCTION("""COMPUTED_VALUE"""),52353.25524)</f>
        <v>52353.25524</v>
      </c>
      <c r="T77" s="95">
        <f>IFERROR(__xludf.DUMMYFUNCTION("""COMPUTED_VALUE"""),2.0)</f>
        <v>2</v>
      </c>
      <c r="U77" s="95" t="str">
        <f>IFERROR(__xludf.DUMMYFUNCTION("""COMPUTED_VALUE"""),"")</f>
        <v/>
      </c>
      <c r="V77" s="179" t="str">
        <f>IFERROR(__xludf.DUMMYFUNCTION("""COMPUTED_VALUE"""),"")</f>
        <v/>
      </c>
      <c r="W77" s="171" t="str">
        <f>IFERROR(__xludf.DUMMYFUNCTION("""COMPUTED_VALUE"""),"")</f>
        <v/>
      </c>
      <c r="X77" s="14" t="str">
        <f>IFERROR(__xludf.DUMMYFUNCTION("""COMPUTED_VALUE"""),"")</f>
        <v/>
      </c>
      <c r="Y77" s="14" t="str">
        <f>IFERROR(__xludf.DUMMYFUNCTION("""COMPUTED_VALUE"""),"")</f>
        <v/>
      </c>
      <c r="Z77" s="11" t="str">
        <f>IFERROR(__xludf.DUMMYFUNCTION("""COMPUTED_VALUE"""),"")</f>
        <v/>
      </c>
    </row>
    <row r="78">
      <c r="A78" s="35" t="str">
        <f>IFERROR(__xludf.DUMMYFUNCTION("""COMPUTED_VALUE"""),"24442")</f>
        <v>24442</v>
      </c>
      <c r="B78" s="35" t="str">
        <f>IFERROR(__xludf.DUMMYFUNCTION("""COMPUTED_VALUE"""),"24442")</f>
        <v>24442</v>
      </c>
      <c r="C78" s="172">
        <f>IFERROR(__xludf.DUMMYFUNCTION("""COMPUTED_VALUE"""),4.4634000589E10)</f>
        <v>44634000589</v>
      </c>
      <c r="D78" s="180" t="str">
        <f>IFERROR(__xludf.DUMMYFUNCTION("""COMPUTED_VALUE"""),"XLV")</f>
        <v>XLV</v>
      </c>
      <c r="E78" s="173">
        <f>IFERROR(__xludf.DUMMYFUNCTION("""COMPUTED_VALUE"""),44634.0)</f>
        <v>44634</v>
      </c>
      <c r="F78" s="35" t="str">
        <f>IFERROR(__xludf.DUMMYFUNCTION("""COMPUTED_VALUE"""),"Stock")</f>
        <v>Stock</v>
      </c>
      <c r="G78" s="35" t="str">
        <f>IFERROR(__xludf.DUMMYFUNCTION("""COMPUTED_VALUE"""),"USD")</f>
        <v>USD</v>
      </c>
      <c r="H78" s="181">
        <f>IFERROR(__xludf.DUMMYFUNCTION("""COMPUTED_VALUE"""),48.0)</f>
        <v>48</v>
      </c>
      <c r="I78" s="174">
        <f>IFERROR(__xludf.DUMMYFUNCTION("""COMPUTED_VALUE"""),7.82925)</f>
        <v>7.82925</v>
      </c>
      <c r="J78" s="175">
        <f>IFERROR(__xludf.DUMMYFUNCTION("""COMPUTED_VALUE"""),129.85)</f>
        <v>129.85</v>
      </c>
      <c r="K78" s="35"/>
      <c r="L78" s="175">
        <f>IFERROR(__xludf.DUMMYFUNCTION("""COMPUTED_VALUE"""),139.31)</f>
        <v>139.31</v>
      </c>
      <c r="M78" s="182" t="str">
        <f>IFERROR(__xludf.DUMMYFUNCTION("""COMPUTED_VALUE"""),"Equity Key Stats")</f>
        <v>Equity Key Stats</v>
      </c>
      <c r="N78" s="35"/>
      <c r="O78" s="35"/>
      <c r="P78" s="176">
        <f>IFERROR(__xludf.DUMMYFUNCTION("""COMPUTED_VALUE"""),-48798.149399999995)</f>
        <v>-48798.1494</v>
      </c>
      <c r="Q78" s="177"/>
      <c r="R78" s="178">
        <f>IFERROR(__xludf.DUMMYFUNCTION("""COMPUTED_VALUE"""),139.31)</f>
        <v>139.31</v>
      </c>
      <c r="S78" s="176">
        <f>IFERROR(__xludf.DUMMYFUNCTION("""COMPUTED_VALUE"""),52353.25524)</f>
        <v>52353.25524</v>
      </c>
      <c r="T78" s="95">
        <f>IFERROR(__xludf.DUMMYFUNCTION("""COMPUTED_VALUE"""),2.0)</f>
        <v>2</v>
      </c>
      <c r="U78" s="35">
        <f>IFERROR(__xludf.DUMMYFUNCTION("""COMPUTED_VALUE"""),1.0)</f>
        <v>1</v>
      </c>
      <c r="V78" s="170">
        <f>IFERROR(__xludf.DUMMYFUNCTION("""COMPUTED_VALUE"""),7110.211680000008)</f>
        <v>7110.21168</v>
      </c>
      <c r="W78" s="171">
        <f>IFERROR(__xludf.DUMMYFUNCTION("""COMPUTED_VALUE"""),537076.3577450002)</f>
        <v>537076.3577</v>
      </c>
      <c r="X78" s="14">
        <f>IFERROR(__xludf.DUMMYFUNCTION("""COMPUTED_VALUE"""),-88189.5695575001)</f>
        <v>-88189.56956</v>
      </c>
      <c r="Y78" s="14">
        <f>IFERROR(__xludf.DUMMYFUNCTION("""COMPUTED_VALUE"""),88189.5695575001)</f>
        <v>88189.56956</v>
      </c>
      <c r="Z78" s="11">
        <f>IFERROR(__xludf.DUMMYFUNCTION("""COMPUTED_VALUE"""),0.07415271549000035)</f>
        <v>0.07415271549</v>
      </c>
    </row>
    <row r="79">
      <c r="A79" s="35" t="str">
        <f>IFERROR(__xludf.DUMMYFUNCTION("""COMPUTED_VALUE"""),"")</f>
        <v/>
      </c>
      <c r="B79" s="35" t="str">
        <f>IFERROR(__xludf.DUMMYFUNCTION("""COMPUTED_VALUE"""),"32312")</f>
        <v>32312</v>
      </c>
      <c r="C79" s="172">
        <f>IFERROR(__xludf.DUMMYFUNCTION("""COMPUTED_VALUE"""),4.459700007E10)</f>
        <v>44597000070</v>
      </c>
      <c r="D79" s="135" t="str">
        <f>IFERROR(__xludf.DUMMYFUNCTION("""COMPUTED_VALUE"""),"Cash")</f>
        <v>Cash</v>
      </c>
      <c r="E79" s="173">
        <f>IFERROR(__xludf.DUMMYFUNCTION("""COMPUTED_VALUE"""),44597.0)</f>
        <v>44597</v>
      </c>
      <c r="F79" s="35" t="str">
        <f>IFERROR(__xludf.DUMMYFUNCTION("""COMPUTED_VALUE"""),"Cash")</f>
        <v>Cash</v>
      </c>
      <c r="G79" s="35" t="str">
        <f>IFERROR(__xludf.DUMMYFUNCTION("""COMPUTED_VALUE"""),"HKD")</f>
        <v>HKD</v>
      </c>
      <c r="H79" s="181" t="str">
        <f>IFERROR(__xludf.DUMMYFUNCTION("""COMPUTED_VALUE"""),"")</f>
        <v/>
      </c>
      <c r="I79" s="174">
        <f>IFERROR(__xludf.DUMMYFUNCTION("""COMPUTED_VALUE"""),1.0)</f>
        <v>1</v>
      </c>
      <c r="J79" s="175">
        <f>IFERROR(__xludf.DUMMYFUNCTION("""COMPUTED_VALUE"""),1.0)</f>
        <v>1</v>
      </c>
      <c r="K79" s="35"/>
      <c r="L79" s="175">
        <f>IFERROR(__xludf.DUMMYFUNCTION("""COMPUTED_VALUE"""),1.0)</f>
        <v>1</v>
      </c>
      <c r="M79" s="182" t="str">
        <f>IFERROR(__xludf.DUMMYFUNCTION("""COMPUTED_VALUE"""),"")</f>
        <v/>
      </c>
      <c r="N79" s="35"/>
      <c r="O79" s="35"/>
      <c r="P79" s="184">
        <f>IFERROR(__xludf.DUMMYFUNCTION("""COMPUTED_VALUE"""),500000.0)</f>
        <v>500000</v>
      </c>
      <c r="Q79" s="177"/>
      <c r="R79" s="178">
        <f>IFERROR(__xludf.DUMMYFUNCTION("""COMPUTED_VALUE"""),1.0)</f>
        <v>1</v>
      </c>
      <c r="S79" s="176" t="str">
        <f>IFERROR(__xludf.DUMMYFUNCTION("""COMPUTED_VALUE"""),"")</f>
        <v/>
      </c>
      <c r="T79" s="95">
        <f>IFERROR(__xludf.DUMMYFUNCTION("""COMPUTED_VALUE"""),1.0)</f>
        <v>1</v>
      </c>
      <c r="U79" s="35">
        <f>IFERROR(__xludf.DUMMYFUNCTION("""COMPUTED_VALUE"""),1.0)</f>
        <v>1</v>
      </c>
      <c r="V79" s="170">
        <f>IFERROR(__xludf.DUMMYFUNCTION("""COMPUTED_VALUE"""),500000.0)</f>
        <v>500000</v>
      </c>
      <c r="W79" s="171" t="str">
        <f>IFERROR(__xludf.DUMMYFUNCTION("""COMPUTED_VALUE"""),"")</f>
        <v/>
      </c>
      <c r="X79" s="14" t="str">
        <f>IFERROR(__xludf.DUMMYFUNCTION("""COMPUTED_VALUE"""),"")</f>
        <v/>
      </c>
      <c r="Y79" s="14" t="str">
        <f>IFERROR(__xludf.DUMMYFUNCTION("""COMPUTED_VALUE"""),"")</f>
        <v/>
      </c>
      <c r="Z79" s="11" t="str">
        <f>IFERROR(__xludf.DUMMYFUNCTION("""COMPUTED_VALUE"""),"")</f>
        <v/>
      </c>
    </row>
    <row r="80">
      <c r="A80" s="35" t="str">
        <f>IFERROR(__xludf.DUMMYFUNCTION("""COMPUTED_VALUE"""),"")</f>
        <v/>
      </c>
      <c r="B80" s="35" t="str">
        <f>IFERROR(__xludf.DUMMYFUNCTION("""COMPUTED_VALUE"""),"32312")</f>
        <v>32312</v>
      </c>
      <c r="C80" s="172">
        <f>IFERROR(__xludf.DUMMYFUNCTION("""COMPUTED_VALUE"""),4.4608000229E10)</f>
        <v>44608000229</v>
      </c>
      <c r="D80" s="180" t="str">
        <f>IFERROR(__xludf.DUMMYFUNCTION("""COMPUTED_VALUE"""),"TSLA")</f>
        <v>TSLA</v>
      </c>
      <c r="E80" s="173">
        <f>IFERROR(__xludf.DUMMYFUNCTION("""COMPUTED_VALUE"""),44608.0)</f>
        <v>44608</v>
      </c>
      <c r="F80" s="35" t="str">
        <f>IFERROR(__xludf.DUMMYFUNCTION("""COMPUTED_VALUE"""),"Stock")</f>
        <v>Stock</v>
      </c>
      <c r="G80" s="35" t="str">
        <f>IFERROR(__xludf.DUMMYFUNCTION("""COMPUTED_VALUE"""),"USD")</f>
        <v>USD</v>
      </c>
      <c r="H80" s="181">
        <f>IFERROR(__xludf.DUMMYFUNCTION("""COMPUTED_VALUE"""),0.0)</f>
        <v>0</v>
      </c>
      <c r="I80" s="174">
        <f>IFERROR(__xludf.DUMMYFUNCTION("""COMPUTED_VALUE"""),7.8005)</f>
        <v>7.8005</v>
      </c>
      <c r="J80" s="175">
        <f>IFERROR(__xludf.DUMMYFUNCTION("""COMPUTED_VALUE"""),0.0)</f>
        <v>0</v>
      </c>
      <c r="K80" s="35"/>
      <c r="L80" s="175">
        <f>IFERROR(__xludf.DUMMYFUNCTION("""COMPUTED_VALUE"""),1022.37)</f>
        <v>1022.37</v>
      </c>
      <c r="M80" s="182" t="str">
        <f>IFERROR(__xludf.DUMMYFUNCTION("""COMPUTED_VALUE"""),"Equity Key Stats")</f>
        <v>Equity Key Stats</v>
      </c>
      <c r="N80" s="35"/>
      <c r="O80" s="35"/>
      <c r="P80" s="184">
        <f>IFERROR(__xludf.DUMMYFUNCTION("""COMPUTED_VALUE"""),0.0)</f>
        <v>0</v>
      </c>
      <c r="Q80" s="177"/>
      <c r="R80" s="178">
        <f>IFERROR(__xludf.DUMMYFUNCTION("""COMPUTED_VALUE"""),1022.37)</f>
        <v>1022.37</v>
      </c>
      <c r="S80" s="176">
        <f>IFERROR(__xludf.DUMMYFUNCTION("""COMPUTED_VALUE"""),0.0)</f>
        <v>0</v>
      </c>
      <c r="T80" s="95">
        <f>IFERROR(__xludf.DUMMYFUNCTION("""COMPUTED_VALUE"""),4.0)</f>
        <v>4</v>
      </c>
      <c r="U80" s="35" t="str">
        <f>IFERROR(__xludf.DUMMYFUNCTION("""COMPUTED_VALUE"""),"")</f>
        <v/>
      </c>
      <c r="V80" s="170" t="str">
        <f>IFERROR(__xludf.DUMMYFUNCTION("""COMPUTED_VALUE"""),"")</f>
        <v/>
      </c>
      <c r="W80" s="171" t="str">
        <f>IFERROR(__xludf.DUMMYFUNCTION("""COMPUTED_VALUE"""),"")</f>
        <v/>
      </c>
      <c r="X80" s="14" t="str">
        <f>IFERROR(__xludf.DUMMYFUNCTION("""COMPUTED_VALUE"""),"")</f>
        <v/>
      </c>
      <c r="Y80" s="14" t="str">
        <f>IFERROR(__xludf.DUMMYFUNCTION("""COMPUTED_VALUE"""),"")</f>
        <v/>
      </c>
      <c r="Z80" s="11" t="str">
        <f>IFERROR(__xludf.DUMMYFUNCTION("""COMPUTED_VALUE"""),"")</f>
        <v/>
      </c>
    </row>
    <row r="81">
      <c r="A81" s="35" t="str">
        <f>IFERROR(__xludf.DUMMYFUNCTION("""COMPUTED_VALUE"""),"")</f>
        <v/>
      </c>
      <c r="B81" s="35" t="str">
        <f>IFERROR(__xludf.DUMMYFUNCTION("""COMPUTED_VALUE"""),"32312")</f>
        <v>32312</v>
      </c>
      <c r="C81" s="172">
        <f>IFERROR(__xludf.DUMMYFUNCTION("""COMPUTED_VALUE"""),4.4609000242E10)</f>
        <v>44609000242</v>
      </c>
      <c r="D81" s="180" t="str">
        <f>IFERROR(__xludf.DUMMYFUNCTION("""COMPUTED_VALUE"""),"TSLA")</f>
        <v>TSLA</v>
      </c>
      <c r="E81" s="173">
        <f>IFERROR(__xludf.DUMMYFUNCTION("""COMPUTED_VALUE"""),44609.0)</f>
        <v>44609</v>
      </c>
      <c r="F81" s="35" t="str">
        <f>IFERROR(__xludf.DUMMYFUNCTION("""COMPUTED_VALUE"""),"Stock")</f>
        <v>Stock</v>
      </c>
      <c r="G81" s="35" t="str">
        <f>IFERROR(__xludf.DUMMYFUNCTION("""COMPUTED_VALUE"""),"USD")</f>
        <v>USD</v>
      </c>
      <c r="H81" s="181">
        <f>IFERROR(__xludf.DUMMYFUNCTION("""COMPUTED_VALUE"""),18.0)</f>
        <v>18</v>
      </c>
      <c r="I81" s="174">
        <f>IFERROR(__xludf.DUMMYFUNCTION("""COMPUTED_VALUE"""),7.799115)</f>
        <v>7.799115</v>
      </c>
      <c r="J81" s="175">
        <f>IFERROR(__xludf.DUMMYFUNCTION("""COMPUTED_VALUE"""),876.35)</f>
        <v>876.35</v>
      </c>
      <c r="K81" s="35"/>
      <c r="L81" s="175">
        <f>IFERROR(__xludf.DUMMYFUNCTION("""COMPUTED_VALUE"""),1022.37)</f>
        <v>1022.37</v>
      </c>
      <c r="M81" s="182" t="str">
        <f>IFERROR(__xludf.DUMMYFUNCTION("""COMPUTED_VALUE"""),"Equity Key Stats")</f>
        <v>Equity Key Stats</v>
      </c>
      <c r="N81" s="35"/>
      <c r="O81" s="35"/>
      <c r="P81" s="184">
        <f>IFERROR(__xludf.DUMMYFUNCTION("""COMPUTED_VALUE"""),-123025.57974449999)</f>
        <v>-123025.5797</v>
      </c>
      <c r="Q81" s="177"/>
      <c r="R81" s="178">
        <f>IFERROR(__xludf.DUMMYFUNCTION("""COMPUTED_VALUE"""),1022.37)</f>
        <v>1022.37</v>
      </c>
      <c r="S81" s="176">
        <f>IFERROR(__xludf.DUMMYFUNCTION("""COMPUTED_VALUE"""),143524.46164589998)</f>
        <v>143524.4616</v>
      </c>
      <c r="T81" s="95">
        <f>IFERROR(__xludf.DUMMYFUNCTION("""COMPUTED_VALUE"""),4.0)</f>
        <v>4</v>
      </c>
      <c r="U81" s="35" t="str">
        <f>IFERROR(__xludf.DUMMYFUNCTION("""COMPUTED_VALUE"""),"")</f>
        <v/>
      </c>
      <c r="V81" s="170" t="str">
        <f>IFERROR(__xludf.DUMMYFUNCTION("""COMPUTED_VALUE"""),"")</f>
        <v/>
      </c>
      <c r="W81" s="171" t="str">
        <f>IFERROR(__xludf.DUMMYFUNCTION("""COMPUTED_VALUE"""),"")</f>
        <v/>
      </c>
      <c r="X81" s="14" t="str">
        <f>IFERROR(__xludf.DUMMYFUNCTION("""COMPUTED_VALUE"""),"")</f>
        <v/>
      </c>
      <c r="Y81" s="14" t="str">
        <f>IFERROR(__xludf.DUMMYFUNCTION("""COMPUTED_VALUE"""),"")</f>
        <v/>
      </c>
      <c r="Z81" s="11" t="str">
        <f>IFERROR(__xludf.DUMMYFUNCTION("""COMPUTED_VALUE"""),"")</f>
        <v/>
      </c>
    </row>
    <row r="82">
      <c r="A82" s="35" t="str">
        <f>IFERROR(__xludf.DUMMYFUNCTION("""COMPUTED_VALUE"""),"")</f>
        <v/>
      </c>
      <c r="B82" s="35" t="str">
        <f>IFERROR(__xludf.DUMMYFUNCTION("""COMPUTED_VALUE"""),"32312")</f>
        <v>32312</v>
      </c>
      <c r="C82" s="172">
        <f>IFERROR(__xludf.DUMMYFUNCTION("""COMPUTED_VALUE"""),4.4610000273E10)</f>
        <v>44610000273</v>
      </c>
      <c r="D82" s="180" t="str">
        <f>IFERROR(__xludf.DUMMYFUNCTION("""COMPUTED_VALUE"""),"ANPDY")</f>
        <v>ANPDY</v>
      </c>
      <c r="E82" s="173">
        <f>IFERROR(__xludf.DUMMYFUNCTION("""COMPUTED_VALUE"""),44610.0)</f>
        <v>44610</v>
      </c>
      <c r="F82" s="35" t="str">
        <f>IFERROR(__xludf.DUMMYFUNCTION("""COMPUTED_VALUE"""),"Stock")</f>
        <v>Stock</v>
      </c>
      <c r="G82" s="35" t="str">
        <f>IFERROR(__xludf.DUMMYFUNCTION("""COMPUTED_VALUE"""),"USD")</f>
        <v>USD</v>
      </c>
      <c r="H82" s="183">
        <f>IFERROR(__xludf.DUMMYFUNCTION("""COMPUTED_VALUE"""),30.0)</f>
        <v>30</v>
      </c>
      <c r="I82" s="174">
        <f>IFERROR(__xludf.DUMMYFUNCTION("""COMPUTED_VALUE"""),7.80051)</f>
        <v>7.80051</v>
      </c>
      <c r="J82" s="175">
        <f>IFERROR(__xludf.DUMMYFUNCTION("""COMPUTED_VALUE"""),397.5)</f>
        <v>397.5</v>
      </c>
      <c r="K82" s="35"/>
      <c r="L82" s="175">
        <f>IFERROR(__xludf.DUMMYFUNCTION("""COMPUTED_VALUE"""),288.61)</f>
        <v>288.61</v>
      </c>
      <c r="M82" s="182" t="str">
        <f>IFERROR(__xludf.DUMMYFUNCTION("""COMPUTED_VALUE"""),"Equity Key Stats")</f>
        <v>Equity Key Stats</v>
      </c>
      <c r="N82" s="35"/>
      <c r="O82" s="35"/>
      <c r="P82" s="176">
        <f>IFERROR(__xludf.DUMMYFUNCTION("""COMPUTED_VALUE"""),-93021.08175)</f>
        <v>-93021.08175</v>
      </c>
      <c r="Q82" s="177"/>
      <c r="R82" s="178">
        <f>IFERROR(__xludf.DUMMYFUNCTION("""COMPUTED_VALUE"""),288.61)</f>
        <v>288.61</v>
      </c>
      <c r="S82" s="184">
        <f>IFERROR(__xludf.DUMMYFUNCTION("""COMPUTED_VALUE"""),67539.155733)</f>
        <v>67539.15573</v>
      </c>
      <c r="T82" s="95">
        <f>IFERROR(__xludf.DUMMYFUNCTION("""COMPUTED_VALUE"""),2.0)</f>
        <v>2</v>
      </c>
      <c r="U82" s="95" t="str">
        <f>IFERROR(__xludf.DUMMYFUNCTION("""COMPUTED_VALUE"""),"")</f>
        <v/>
      </c>
      <c r="V82" s="179" t="str">
        <f>IFERROR(__xludf.DUMMYFUNCTION("""COMPUTED_VALUE"""),"")</f>
        <v/>
      </c>
      <c r="W82" s="171" t="str">
        <f>IFERROR(__xludf.DUMMYFUNCTION("""COMPUTED_VALUE"""),"")</f>
        <v/>
      </c>
      <c r="X82" s="14" t="str">
        <f>IFERROR(__xludf.DUMMYFUNCTION("""COMPUTED_VALUE"""),"")</f>
        <v/>
      </c>
      <c r="Y82" s="14" t="str">
        <f>IFERROR(__xludf.DUMMYFUNCTION("""COMPUTED_VALUE"""),"")</f>
        <v/>
      </c>
      <c r="Z82" s="11" t="str">
        <f>IFERROR(__xludf.DUMMYFUNCTION("""COMPUTED_VALUE"""),"")</f>
        <v/>
      </c>
    </row>
    <row r="83">
      <c r="A83" s="35" t="str">
        <f>IFERROR(__xludf.DUMMYFUNCTION("""COMPUTED_VALUE"""),"")</f>
        <v/>
      </c>
      <c r="B83" s="35" t="str">
        <f>IFERROR(__xludf.DUMMYFUNCTION("""COMPUTED_VALUE"""),"32312")</f>
        <v>32312</v>
      </c>
      <c r="C83" s="172">
        <f>IFERROR(__xludf.DUMMYFUNCTION("""COMPUTED_VALUE"""),4.4616000335E10)</f>
        <v>44616000335</v>
      </c>
      <c r="D83" s="180" t="str">
        <f>IFERROR(__xludf.DUMMYFUNCTION("""COMPUTED_VALUE"""),"GOLD")</f>
        <v>GOLD</v>
      </c>
      <c r="E83" s="173">
        <f>IFERROR(__xludf.DUMMYFUNCTION("""COMPUTED_VALUE"""),44616.0)</f>
        <v>44616</v>
      </c>
      <c r="F83" s="35" t="str">
        <f>IFERROR(__xludf.DUMMYFUNCTION("""COMPUTED_VALUE"""),"Stock")</f>
        <v>Stock</v>
      </c>
      <c r="G83" s="35" t="str">
        <f>IFERROR(__xludf.DUMMYFUNCTION("""COMPUTED_VALUE"""),"USD")</f>
        <v>USD</v>
      </c>
      <c r="H83" s="181">
        <f>IFERROR(__xludf.DUMMYFUNCTION("""COMPUTED_VALUE"""),888.0)</f>
        <v>888</v>
      </c>
      <c r="I83" s="174">
        <f>IFERROR(__xludf.DUMMYFUNCTION("""COMPUTED_VALUE"""),7.80775)</f>
        <v>7.80775</v>
      </c>
      <c r="J83" s="175">
        <f>IFERROR(__xludf.DUMMYFUNCTION("""COMPUTED_VALUE"""),22.54)</f>
        <v>22.54</v>
      </c>
      <c r="K83" s="35"/>
      <c r="L83" s="175">
        <f>IFERROR(__xludf.DUMMYFUNCTION("""COMPUTED_VALUE"""),25.62)</f>
        <v>25.62</v>
      </c>
      <c r="M83" s="182" t="str">
        <f>IFERROR(__xludf.DUMMYFUNCTION("""COMPUTED_VALUE"""),"Equity Key Stats")</f>
        <v>Equity Key Stats</v>
      </c>
      <c r="N83" s="35"/>
      <c r="O83" s="35"/>
      <c r="P83" s="184">
        <f>IFERROR(__xludf.DUMMYFUNCTION("""COMPUTED_VALUE"""),-156276.17627999999)</f>
        <v>-156276.1763</v>
      </c>
      <c r="Q83" s="177"/>
      <c r="R83" s="178">
        <f>IFERROR(__xludf.DUMMYFUNCTION("""COMPUTED_VALUE"""),25.62)</f>
        <v>25.62</v>
      </c>
      <c r="S83" s="176">
        <f>IFERROR(__xludf.DUMMYFUNCTION("""COMPUTED_VALUE"""),177630.68484)</f>
        <v>177630.6848</v>
      </c>
      <c r="T83" s="95">
        <f>IFERROR(__xludf.DUMMYFUNCTION("""COMPUTED_VALUE"""),3.0)</f>
        <v>3</v>
      </c>
      <c r="U83" s="95" t="str">
        <f>IFERROR(__xludf.DUMMYFUNCTION("""COMPUTED_VALUE"""),"")</f>
        <v/>
      </c>
      <c r="V83" s="179" t="str">
        <f>IFERROR(__xludf.DUMMYFUNCTION("""COMPUTED_VALUE"""),"")</f>
        <v/>
      </c>
      <c r="W83" s="171" t="str">
        <f>IFERROR(__xludf.DUMMYFUNCTION("""COMPUTED_VALUE"""),"")</f>
        <v/>
      </c>
      <c r="X83" s="14" t="str">
        <f>IFERROR(__xludf.DUMMYFUNCTION("""COMPUTED_VALUE"""),"")</f>
        <v/>
      </c>
      <c r="Y83" s="14" t="str">
        <f>IFERROR(__xludf.DUMMYFUNCTION("""COMPUTED_VALUE"""),"")</f>
        <v/>
      </c>
      <c r="Z83" s="11" t="str">
        <f>IFERROR(__xludf.DUMMYFUNCTION("""COMPUTED_VALUE"""),"")</f>
        <v/>
      </c>
    </row>
    <row r="84">
      <c r="A84" s="35" t="str">
        <f>IFERROR(__xludf.DUMMYFUNCTION("""COMPUTED_VALUE"""),"")</f>
        <v/>
      </c>
      <c r="B84" s="35" t="str">
        <f>IFERROR(__xludf.DUMMYFUNCTION("""COMPUTED_VALUE"""),"32312")</f>
        <v>32312</v>
      </c>
      <c r="C84" s="172">
        <f>IFERROR(__xludf.DUMMYFUNCTION("""COMPUTED_VALUE"""),4.4623000419E10)</f>
        <v>44623000419</v>
      </c>
      <c r="D84" s="180" t="str">
        <f>IFERROR(__xludf.DUMMYFUNCTION("""COMPUTED_VALUE"""),"GOLD")</f>
        <v>GOLD</v>
      </c>
      <c r="E84" s="173">
        <f>IFERROR(__xludf.DUMMYFUNCTION("""COMPUTED_VALUE"""),44623.0)</f>
        <v>44623</v>
      </c>
      <c r="F84" s="35" t="str">
        <f>IFERROR(__xludf.DUMMYFUNCTION("""COMPUTED_VALUE"""),"Stock")</f>
        <v>Stock</v>
      </c>
      <c r="G84" s="35" t="str">
        <f>IFERROR(__xludf.DUMMYFUNCTION("""COMPUTED_VALUE"""),"USD")</f>
        <v>USD</v>
      </c>
      <c r="H84" s="183">
        <f>IFERROR(__xludf.DUMMYFUNCTION("""COMPUTED_VALUE"""),-388.0)</f>
        <v>-388</v>
      </c>
      <c r="I84" s="174">
        <f>IFERROR(__xludf.DUMMYFUNCTION("""COMPUTED_VALUE"""),7.81585)</f>
        <v>7.81585</v>
      </c>
      <c r="J84" s="175">
        <f>IFERROR(__xludf.DUMMYFUNCTION("""COMPUTED_VALUE"""),23.57)</f>
        <v>23.57</v>
      </c>
      <c r="K84" s="35"/>
      <c r="L84" s="175">
        <f>IFERROR(__xludf.DUMMYFUNCTION("""COMPUTED_VALUE"""),25.62)</f>
        <v>25.62</v>
      </c>
      <c r="M84" s="182" t="str">
        <f>IFERROR(__xludf.DUMMYFUNCTION("""COMPUTED_VALUE"""),"Equity Key Stats")</f>
        <v>Equity Key Stats</v>
      </c>
      <c r="N84" s="35"/>
      <c r="O84" s="35"/>
      <c r="P84" s="176">
        <f>IFERROR(__xludf.DUMMYFUNCTION("""COMPUTED_VALUE"""),71477.19878600001)</f>
        <v>71477.19879</v>
      </c>
      <c r="Q84" s="177"/>
      <c r="R84" s="178">
        <f>IFERROR(__xludf.DUMMYFUNCTION("""COMPUTED_VALUE"""),25.62)</f>
        <v>25.62</v>
      </c>
      <c r="S84" s="184">
        <f>IFERROR(__xludf.DUMMYFUNCTION("""COMPUTED_VALUE"""),-77693.92587600001)</f>
        <v>-77693.92588</v>
      </c>
      <c r="T84" s="95">
        <f>IFERROR(__xludf.DUMMYFUNCTION("""COMPUTED_VALUE"""),3.0)</f>
        <v>3</v>
      </c>
      <c r="U84" s="95" t="str">
        <f>IFERROR(__xludf.DUMMYFUNCTION("""COMPUTED_VALUE"""),"")</f>
        <v/>
      </c>
      <c r="V84" s="185" t="str">
        <f>IFERROR(__xludf.DUMMYFUNCTION("""COMPUTED_VALUE"""),"")</f>
        <v/>
      </c>
      <c r="W84" s="55" t="str">
        <f>IFERROR(__xludf.DUMMYFUNCTION("""COMPUTED_VALUE"""),"")</f>
        <v/>
      </c>
      <c r="X84" s="181" t="str">
        <f>IFERROR(__xludf.DUMMYFUNCTION("""COMPUTED_VALUE"""),"")</f>
        <v/>
      </c>
      <c r="Y84" s="181" t="str">
        <f>IFERROR(__xludf.DUMMYFUNCTION("""COMPUTED_VALUE"""),"")</f>
        <v/>
      </c>
      <c r="Z84" s="189" t="str">
        <f>IFERROR(__xludf.DUMMYFUNCTION("""COMPUTED_VALUE"""),"")</f>
        <v/>
      </c>
    </row>
    <row r="85">
      <c r="A85" s="35" t="str">
        <f>IFERROR(__xludf.DUMMYFUNCTION("""COMPUTED_VALUE"""),"")</f>
        <v/>
      </c>
      <c r="B85" s="35" t="str">
        <f>IFERROR(__xludf.DUMMYFUNCTION("""COMPUTED_VALUE"""),"32312")</f>
        <v>32312</v>
      </c>
      <c r="C85" s="172">
        <f>IFERROR(__xludf.DUMMYFUNCTION("""COMPUTED_VALUE"""),4.462400044E10)</f>
        <v>44624000440</v>
      </c>
      <c r="D85" s="180" t="str">
        <f>IFERROR(__xludf.DUMMYFUNCTION("""COMPUTED_VALUE"""),"TSLA")</f>
        <v>TSLA</v>
      </c>
      <c r="E85" s="173">
        <f>IFERROR(__xludf.DUMMYFUNCTION("""COMPUTED_VALUE"""),44624.0)</f>
        <v>44624</v>
      </c>
      <c r="F85" s="35" t="str">
        <f>IFERROR(__xludf.DUMMYFUNCTION("""COMPUTED_VALUE"""),"Stock")</f>
        <v>Stock</v>
      </c>
      <c r="G85" s="35" t="str">
        <f>IFERROR(__xludf.DUMMYFUNCTION("""COMPUTED_VALUE"""),"USD")</f>
        <v>USD</v>
      </c>
      <c r="H85" s="14">
        <f>IFERROR(__xludf.DUMMYFUNCTION("""COMPUTED_VALUE"""),18.0)</f>
        <v>18</v>
      </c>
      <c r="I85" s="174">
        <f>IFERROR(__xludf.DUMMYFUNCTION("""COMPUTED_VALUE"""),7.81428)</f>
        <v>7.81428</v>
      </c>
      <c r="J85" s="175">
        <f>IFERROR(__xludf.DUMMYFUNCTION("""COMPUTED_VALUE"""),838.29)</f>
        <v>838.29</v>
      </c>
      <c r="K85" s="35"/>
      <c r="L85" s="175">
        <f>IFERROR(__xludf.DUMMYFUNCTION("""COMPUTED_VALUE"""),1022.37)</f>
        <v>1022.37</v>
      </c>
      <c r="M85" s="187" t="str">
        <f>IFERROR(__xludf.DUMMYFUNCTION("""COMPUTED_VALUE"""),"Equity Key Stats")</f>
        <v>Equity Key Stats</v>
      </c>
      <c r="N85" s="35"/>
      <c r="O85" s="35"/>
      <c r="P85" s="176">
        <f>IFERROR(__xludf.DUMMYFUNCTION("""COMPUTED_VALUE"""),-117911.39006159999)</f>
        <v>-117911.3901</v>
      </c>
      <c r="Q85" s="177"/>
      <c r="R85" s="178">
        <f>IFERROR(__xludf.DUMMYFUNCTION("""COMPUTED_VALUE"""),1022.37)</f>
        <v>1022.37</v>
      </c>
      <c r="S85" s="151">
        <f>IFERROR(__xludf.DUMMYFUNCTION("""COMPUTED_VALUE"""),143803.5379848)</f>
        <v>143803.538</v>
      </c>
      <c r="T85" s="95">
        <f>IFERROR(__xludf.DUMMYFUNCTION("""COMPUTED_VALUE"""),4.0)</f>
        <v>4</v>
      </c>
      <c r="U85" s="95" t="str">
        <f>IFERROR(__xludf.DUMMYFUNCTION("""COMPUTED_VALUE"""),"")</f>
        <v/>
      </c>
      <c r="V85" s="179" t="str">
        <f>IFERROR(__xludf.DUMMYFUNCTION("""COMPUTED_VALUE"""),"")</f>
        <v/>
      </c>
      <c r="W85" s="55" t="str">
        <f>IFERROR(__xludf.DUMMYFUNCTION("""COMPUTED_VALUE"""),"")</f>
        <v/>
      </c>
      <c r="X85" s="181" t="str">
        <f>IFERROR(__xludf.DUMMYFUNCTION("""COMPUTED_VALUE"""),"")</f>
        <v/>
      </c>
      <c r="Y85" s="181" t="str">
        <f>IFERROR(__xludf.DUMMYFUNCTION("""COMPUTED_VALUE"""),"")</f>
        <v/>
      </c>
      <c r="Z85" s="186" t="str">
        <f>IFERROR(__xludf.DUMMYFUNCTION("""COMPUTED_VALUE"""),"")</f>
        <v/>
      </c>
    </row>
    <row r="86">
      <c r="A86" s="35" t="str">
        <f>IFERROR(__xludf.DUMMYFUNCTION("""COMPUTED_VALUE"""),"")</f>
        <v/>
      </c>
      <c r="B86" s="35" t="str">
        <f>IFERROR(__xludf.DUMMYFUNCTION("""COMPUTED_VALUE"""),"32312")</f>
        <v>32312</v>
      </c>
      <c r="C86" s="172">
        <f>IFERROR(__xludf.DUMMYFUNCTION("""COMPUTED_VALUE"""),4.4629000499E10)</f>
        <v>44629000499</v>
      </c>
      <c r="D86" s="180" t="str">
        <f>IFERROR(__xludf.DUMMYFUNCTION("""COMPUTED_VALUE"""),"ANPDY")</f>
        <v>ANPDY</v>
      </c>
      <c r="E86" s="173">
        <f>IFERROR(__xludf.DUMMYFUNCTION("""COMPUTED_VALUE"""),44629.0)</f>
        <v>44629</v>
      </c>
      <c r="F86" s="35" t="str">
        <f>IFERROR(__xludf.DUMMYFUNCTION("""COMPUTED_VALUE"""),"Stock")</f>
        <v>Stock</v>
      </c>
      <c r="G86" s="35" t="str">
        <f>IFERROR(__xludf.DUMMYFUNCTION("""COMPUTED_VALUE"""),"USD")</f>
        <v>USD</v>
      </c>
      <c r="H86" s="14">
        <f>IFERROR(__xludf.DUMMYFUNCTION("""COMPUTED_VALUE"""),-30.0)</f>
        <v>-30</v>
      </c>
      <c r="I86" s="174">
        <f>IFERROR(__xludf.DUMMYFUNCTION("""COMPUTED_VALUE"""),7.81935)</f>
        <v>7.81935</v>
      </c>
      <c r="J86" s="175">
        <f>IFERROR(__xludf.DUMMYFUNCTION("""COMPUTED_VALUE"""),314.05)</f>
        <v>314.05</v>
      </c>
      <c r="K86" s="35"/>
      <c r="L86" s="175">
        <f>IFERROR(__xludf.DUMMYFUNCTION("""COMPUTED_VALUE"""),288.61)</f>
        <v>288.61</v>
      </c>
      <c r="M86" s="187" t="str">
        <f>IFERROR(__xludf.DUMMYFUNCTION("""COMPUTED_VALUE"""),"Equity Key Stats")</f>
        <v>Equity Key Stats</v>
      </c>
      <c r="N86" s="35"/>
      <c r="O86" s="35"/>
      <c r="P86" s="176">
        <f>IFERROR(__xludf.DUMMYFUNCTION("""COMPUTED_VALUE"""),73670.00602500001)</f>
        <v>73670.00603</v>
      </c>
      <c r="Q86" s="177"/>
      <c r="R86" s="178">
        <f>IFERROR(__xludf.DUMMYFUNCTION("""COMPUTED_VALUE"""),288.61)</f>
        <v>288.61</v>
      </c>
      <c r="S86" s="151">
        <f>IFERROR(__xludf.DUMMYFUNCTION("""COMPUTED_VALUE"""),-67702.278105)</f>
        <v>-67702.27811</v>
      </c>
      <c r="T86" s="95">
        <f>IFERROR(__xludf.DUMMYFUNCTION("""COMPUTED_VALUE"""),2.0)</f>
        <v>2</v>
      </c>
      <c r="U86" s="95">
        <f>IFERROR(__xludf.DUMMYFUNCTION("""COMPUTED_VALUE"""),1.0)</f>
        <v>1</v>
      </c>
      <c r="V86" s="179">
        <f>IFERROR(__xludf.DUMMYFUNCTION("""COMPUTED_VALUE"""),-19514.198096999986)</f>
        <v>-19514.1981</v>
      </c>
      <c r="W86" s="171" t="str">
        <f>IFERROR(__xludf.DUMMYFUNCTION("""COMPUTED_VALUE"""),"")</f>
        <v/>
      </c>
      <c r="X86" s="14" t="str">
        <f>IFERROR(__xludf.DUMMYFUNCTION("""COMPUTED_VALUE"""),"")</f>
        <v/>
      </c>
      <c r="Y86" s="14" t="str">
        <f>IFERROR(__xludf.DUMMYFUNCTION("""COMPUTED_VALUE"""),"")</f>
        <v/>
      </c>
      <c r="Z86" s="11" t="str">
        <f>IFERROR(__xludf.DUMMYFUNCTION("""COMPUTED_VALUE"""),"")</f>
        <v/>
      </c>
    </row>
    <row r="87">
      <c r="A87" s="35" t="str">
        <f>IFERROR(__xludf.DUMMYFUNCTION("""COMPUTED_VALUE"""),"")</f>
        <v/>
      </c>
      <c r="B87" s="35" t="str">
        <f>IFERROR(__xludf.DUMMYFUNCTION("""COMPUTED_VALUE"""),"32312")</f>
        <v>32312</v>
      </c>
      <c r="C87" s="172">
        <f>IFERROR(__xludf.DUMMYFUNCTION("""COMPUTED_VALUE"""),4.4641000772E10)</f>
        <v>44641000772</v>
      </c>
      <c r="D87" s="192" t="str">
        <f>IFERROR(__xludf.DUMMYFUNCTION("""COMPUTED_VALUE"""),"TSLA")</f>
        <v>TSLA</v>
      </c>
      <c r="E87" s="173">
        <f>IFERROR(__xludf.DUMMYFUNCTION("""COMPUTED_VALUE"""),44641.0)</f>
        <v>44641</v>
      </c>
      <c r="F87" s="35" t="str">
        <f>IFERROR(__xludf.DUMMYFUNCTION("""COMPUTED_VALUE"""),"Stock")</f>
        <v>Stock</v>
      </c>
      <c r="G87" s="35" t="str">
        <f>IFERROR(__xludf.DUMMYFUNCTION("""COMPUTED_VALUE"""),"USD")</f>
        <v>USD</v>
      </c>
      <c r="H87" s="181">
        <f>IFERROR(__xludf.DUMMYFUNCTION("""COMPUTED_VALUE"""),-36.0)</f>
        <v>-36</v>
      </c>
      <c r="I87" s="174">
        <f>IFERROR(__xludf.DUMMYFUNCTION("""COMPUTED_VALUE"""),7.82545)</f>
        <v>7.82545</v>
      </c>
      <c r="J87" s="175">
        <f>IFERROR(__xludf.DUMMYFUNCTION("""COMPUTED_VALUE"""),921.16)</f>
        <v>921.16</v>
      </c>
      <c r="K87" s="35"/>
      <c r="L87" s="175">
        <f>IFERROR(__xludf.DUMMYFUNCTION("""COMPUTED_VALUE"""),1022.37)</f>
        <v>1022.37</v>
      </c>
      <c r="M87" s="182" t="str">
        <f>IFERROR(__xludf.DUMMYFUNCTION("""COMPUTED_VALUE"""),"Equity Key Stats")</f>
        <v>Equity Key Stats</v>
      </c>
      <c r="N87" s="35"/>
      <c r="O87" s="35"/>
      <c r="P87" s="184">
        <f>IFERROR(__xludf.DUMMYFUNCTION("""COMPUTED_VALUE"""),259505.694792)</f>
        <v>259505.6948</v>
      </c>
      <c r="Q87" s="177"/>
      <c r="R87" s="178">
        <f>IFERROR(__xludf.DUMMYFUNCTION("""COMPUTED_VALUE"""),1022.37)</f>
        <v>1022.37</v>
      </c>
      <c r="S87" s="176">
        <f>IFERROR(__xludf.DUMMYFUNCTION("""COMPUTED_VALUE"""),-288018.191394)</f>
        <v>-288018.1914</v>
      </c>
      <c r="T87" s="95">
        <f>IFERROR(__xludf.DUMMYFUNCTION("""COMPUTED_VALUE"""),4.0)</f>
        <v>4</v>
      </c>
      <c r="U87" s="95">
        <f>IFERROR(__xludf.DUMMYFUNCTION("""COMPUTED_VALUE"""),1.0)</f>
        <v>1</v>
      </c>
      <c r="V87" s="185">
        <f>IFERROR(__xludf.DUMMYFUNCTION("""COMPUTED_VALUE"""),17878.533222599974)</f>
        <v>17878.53322</v>
      </c>
      <c r="W87" s="55" t="str">
        <f>IFERROR(__xludf.DUMMYFUNCTION("""COMPUTED_VALUE"""),"")</f>
        <v/>
      </c>
      <c r="X87" s="181" t="str">
        <f>IFERROR(__xludf.DUMMYFUNCTION("""COMPUTED_VALUE"""),"")</f>
        <v/>
      </c>
      <c r="Y87" s="181" t="str">
        <f>IFERROR(__xludf.DUMMYFUNCTION("""COMPUTED_VALUE"""),"")</f>
        <v/>
      </c>
      <c r="Z87" s="189" t="str">
        <f>IFERROR(__xludf.DUMMYFUNCTION("""COMPUTED_VALUE"""),"")</f>
        <v/>
      </c>
    </row>
    <row r="88">
      <c r="A88" s="35" t="str">
        <f>IFERROR(__xludf.DUMMYFUNCTION("""COMPUTED_VALUE"""),"32312")</f>
        <v>32312</v>
      </c>
      <c r="B88" s="35" t="str">
        <f>IFERROR(__xludf.DUMMYFUNCTION("""COMPUTED_VALUE"""),"32312")</f>
        <v>32312</v>
      </c>
      <c r="C88" s="172">
        <f>IFERROR(__xludf.DUMMYFUNCTION("""COMPUTED_VALUE"""),4.4645000936E10)</f>
        <v>44645000936</v>
      </c>
      <c r="D88" s="180" t="str">
        <f>IFERROR(__xludf.DUMMYFUNCTION("""COMPUTED_VALUE"""),"GOLD")</f>
        <v>GOLD</v>
      </c>
      <c r="E88" s="173">
        <f>IFERROR(__xludf.DUMMYFUNCTION("""COMPUTED_VALUE"""),44645.0)</f>
        <v>44645</v>
      </c>
      <c r="F88" s="35" t="str">
        <f>IFERROR(__xludf.DUMMYFUNCTION("""COMPUTED_VALUE"""),"Stock")</f>
        <v>Stock</v>
      </c>
      <c r="G88" s="35" t="str">
        <f>IFERROR(__xludf.DUMMYFUNCTION("""COMPUTED_VALUE"""),"USD")</f>
        <v>USD</v>
      </c>
      <c r="H88" s="14">
        <f>IFERROR(__xludf.DUMMYFUNCTION("""COMPUTED_VALUE"""),-500.0)</f>
        <v>-500</v>
      </c>
      <c r="I88" s="174">
        <f>IFERROR(__xludf.DUMMYFUNCTION("""COMPUTED_VALUE"""),7.82975)</f>
        <v>7.82975</v>
      </c>
      <c r="J88" s="175">
        <f>IFERROR(__xludf.DUMMYFUNCTION("""COMPUTED_VALUE"""),24.54)</f>
        <v>24.54</v>
      </c>
      <c r="K88" s="35"/>
      <c r="L88" s="175">
        <f>IFERROR(__xludf.DUMMYFUNCTION("""COMPUTED_VALUE"""),25.62)</f>
        <v>25.62</v>
      </c>
      <c r="M88" s="187" t="str">
        <f>IFERROR(__xludf.DUMMYFUNCTION("""COMPUTED_VALUE"""),"Equity Key Stats")</f>
        <v>Equity Key Stats</v>
      </c>
      <c r="N88" s="35"/>
      <c r="O88" s="35"/>
      <c r="P88" s="176">
        <f>IFERROR(__xludf.DUMMYFUNCTION("""COMPUTED_VALUE"""),96071.0325)</f>
        <v>96071.0325</v>
      </c>
      <c r="Q88" s="177"/>
      <c r="R88" s="178">
        <f>IFERROR(__xludf.DUMMYFUNCTION("""COMPUTED_VALUE"""),25.62)</f>
        <v>25.62</v>
      </c>
      <c r="S88" s="151">
        <f>IFERROR(__xludf.DUMMYFUNCTION("""COMPUTED_VALUE"""),-100299.0975)</f>
        <v>-100299.0975</v>
      </c>
      <c r="T88" s="95">
        <f>IFERROR(__xludf.DUMMYFUNCTION("""COMPUTED_VALUE"""),3.0)</f>
        <v>3</v>
      </c>
      <c r="U88" s="95">
        <f>IFERROR(__xludf.DUMMYFUNCTION("""COMPUTED_VALUE"""),1.0)</f>
        <v>1</v>
      </c>
      <c r="V88" s="179">
        <f>IFERROR(__xludf.DUMMYFUNCTION("""COMPUTED_VALUE"""),10909.716470000014)</f>
        <v>10909.71647</v>
      </c>
      <c r="W88" s="171">
        <f>IFERROR(__xludf.DUMMYFUNCTION("""COMPUTED_VALUE"""),509274.0515956)</f>
        <v>509274.0516</v>
      </c>
      <c r="X88" s="14">
        <f>IFERROR(__xludf.DUMMYFUNCTION("""COMPUTED_VALUE"""),510489.70426689996)</f>
        <v>510489.7043</v>
      </c>
      <c r="Y88" s="14">
        <f>IFERROR(__xludf.DUMMYFUNCTION("""COMPUTED_VALUE"""),0.0)</f>
        <v>0</v>
      </c>
      <c r="Z88" s="11">
        <f>IFERROR(__xludf.DUMMYFUNCTION("""COMPUTED_VALUE"""),0.018548103191200038)</f>
        <v>0.01854810319</v>
      </c>
    </row>
    <row r="89">
      <c r="A89" s="35" t="str">
        <f>IFERROR(__xludf.DUMMYFUNCTION("""COMPUTED_VALUE"""),"32582")</f>
        <v>32582</v>
      </c>
      <c r="B89" s="35" t="str">
        <f>IFERROR(__xludf.DUMMYFUNCTION("""COMPUTED_VALUE"""),"32582")</f>
        <v>32582</v>
      </c>
      <c r="C89" s="172">
        <f>IFERROR(__xludf.DUMMYFUNCTION("""COMPUTED_VALUE"""),4.4597000084E10)</f>
        <v>44597000084</v>
      </c>
      <c r="D89" s="191" t="str">
        <f>IFERROR(__xludf.DUMMYFUNCTION("""COMPUTED_VALUE"""),"Cash")</f>
        <v>Cash</v>
      </c>
      <c r="E89" s="173">
        <f>IFERROR(__xludf.DUMMYFUNCTION("""COMPUTED_VALUE"""),44597.0)</f>
        <v>44597</v>
      </c>
      <c r="F89" s="35" t="str">
        <f>IFERROR(__xludf.DUMMYFUNCTION("""COMPUTED_VALUE"""),"Cash")</f>
        <v>Cash</v>
      </c>
      <c r="G89" s="35" t="str">
        <f>IFERROR(__xludf.DUMMYFUNCTION("""COMPUTED_VALUE"""),"HKD")</f>
        <v>HKD</v>
      </c>
      <c r="H89" s="181" t="str">
        <f>IFERROR(__xludf.DUMMYFUNCTION("""COMPUTED_VALUE"""),"")</f>
        <v/>
      </c>
      <c r="I89" s="174">
        <f>IFERROR(__xludf.DUMMYFUNCTION("""COMPUTED_VALUE"""),1.0)</f>
        <v>1</v>
      </c>
      <c r="J89" s="175">
        <f>IFERROR(__xludf.DUMMYFUNCTION("""COMPUTED_VALUE"""),1.0)</f>
        <v>1</v>
      </c>
      <c r="K89" s="35"/>
      <c r="L89" s="175">
        <f>IFERROR(__xludf.DUMMYFUNCTION("""COMPUTED_VALUE"""),1.0)</f>
        <v>1</v>
      </c>
      <c r="M89" s="182" t="str">
        <f>IFERROR(__xludf.DUMMYFUNCTION("""COMPUTED_VALUE"""),"")</f>
        <v/>
      </c>
      <c r="N89" s="35"/>
      <c r="O89" s="35"/>
      <c r="P89" s="184">
        <f>IFERROR(__xludf.DUMMYFUNCTION("""COMPUTED_VALUE"""),500000.0)</f>
        <v>500000</v>
      </c>
      <c r="Q89" s="177"/>
      <c r="R89" s="178">
        <f>IFERROR(__xludf.DUMMYFUNCTION("""COMPUTED_VALUE"""),1.0)</f>
        <v>1</v>
      </c>
      <c r="S89" s="176" t="str">
        <f>IFERROR(__xludf.DUMMYFUNCTION("""COMPUTED_VALUE"""),"")</f>
        <v/>
      </c>
      <c r="T89" s="95">
        <f>IFERROR(__xludf.DUMMYFUNCTION("""COMPUTED_VALUE"""),1.0)</f>
        <v>1</v>
      </c>
      <c r="U89" s="95">
        <f>IFERROR(__xludf.DUMMYFUNCTION("""COMPUTED_VALUE"""),1.0)</f>
        <v>1</v>
      </c>
      <c r="V89" s="179">
        <f>IFERROR(__xludf.DUMMYFUNCTION("""COMPUTED_VALUE"""),500000.0)</f>
        <v>500000</v>
      </c>
      <c r="W89" s="55">
        <f>IFERROR(__xludf.DUMMYFUNCTION("""COMPUTED_VALUE"""),500000.0)</f>
        <v>500000</v>
      </c>
      <c r="X89" s="181">
        <f>IFERROR(__xludf.DUMMYFUNCTION("""COMPUTED_VALUE"""),500000.0)</f>
        <v>500000</v>
      </c>
      <c r="Y89" s="181">
        <f>IFERROR(__xludf.DUMMYFUNCTION("""COMPUTED_VALUE"""),0.0)</f>
        <v>0</v>
      </c>
      <c r="Z89" s="186">
        <f>IFERROR(__xludf.DUMMYFUNCTION("""COMPUTED_VALUE"""),0.0)</f>
        <v>0</v>
      </c>
    </row>
    <row r="90">
      <c r="A90" s="35" t="str">
        <f>IFERROR(__xludf.DUMMYFUNCTION("""COMPUTED_VALUE"""),"")</f>
        <v/>
      </c>
      <c r="B90" s="35" t="str">
        <f>IFERROR(__xludf.DUMMYFUNCTION("""COMPUTED_VALUE"""),"33050")</f>
        <v>33050</v>
      </c>
      <c r="C90" s="172">
        <f>IFERROR(__xludf.DUMMYFUNCTION("""COMPUTED_VALUE"""),4.4597000062E10)</f>
        <v>44597000062</v>
      </c>
      <c r="D90" s="135" t="str">
        <f>IFERROR(__xludf.DUMMYFUNCTION("""COMPUTED_VALUE"""),"Cash")</f>
        <v>Cash</v>
      </c>
      <c r="E90" s="173">
        <f>IFERROR(__xludf.DUMMYFUNCTION("""COMPUTED_VALUE"""),44597.0)</f>
        <v>44597</v>
      </c>
      <c r="F90" s="35" t="str">
        <f>IFERROR(__xludf.DUMMYFUNCTION("""COMPUTED_VALUE"""),"Cash")</f>
        <v>Cash</v>
      </c>
      <c r="G90" s="35" t="str">
        <f>IFERROR(__xludf.DUMMYFUNCTION("""COMPUTED_VALUE"""),"HKD")</f>
        <v>HKD</v>
      </c>
      <c r="H90" s="14" t="str">
        <f>IFERROR(__xludf.DUMMYFUNCTION("""COMPUTED_VALUE"""),"")</f>
        <v/>
      </c>
      <c r="I90" s="174">
        <f>IFERROR(__xludf.DUMMYFUNCTION("""COMPUTED_VALUE"""),1.0)</f>
        <v>1</v>
      </c>
      <c r="J90" s="95">
        <f>IFERROR(__xludf.DUMMYFUNCTION("""COMPUTED_VALUE"""),1.0)</f>
        <v>1</v>
      </c>
      <c r="K90" s="35"/>
      <c r="L90" s="175">
        <f>IFERROR(__xludf.DUMMYFUNCTION("""COMPUTED_VALUE"""),1.0)</f>
        <v>1</v>
      </c>
      <c r="M90" s="3" t="str">
        <f>IFERROR(__xludf.DUMMYFUNCTION("""COMPUTED_VALUE"""),"")</f>
        <v/>
      </c>
      <c r="N90" s="35"/>
      <c r="O90" s="35"/>
      <c r="P90" s="176">
        <f>IFERROR(__xludf.DUMMYFUNCTION("""COMPUTED_VALUE"""),500000.0)</f>
        <v>500000</v>
      </c>
      <c r="Q90" s="177"/>
      <c r="R90" s="178">
        <f>IFERROR(__xludf.DUMMYFUNCTION("""COMPUTED_VALUE"""),1.0)</f>
        <v>1</v>
      </c>
      <c r="S90" s="151" t="str">
        <f>IFERROR(__xludf.DUMMYFUNCTION("""COMPUTED_VALUE"""),"")</f>
        <v/>
      </c>
      <c r="T90" s="95">
        <f>IFERROR(__xludf.DUMMYFUNCTION("""COMPUTED_VALUE"""),1.0)</f>
        <v>1</v>
      </c>
      <c r="U90" s="95">
        <f>IFERROR(__xludf.DUMMYFUNCTION("""COMPUTED_VALUE"""),1.0)</f>
        <v>1</v>
      </c>
      <c r="V90" s="179">
        <f>IFERROR(__xludf.DUMMYFUNCTION("""COMPUTED_VALUE"""),500000.0)</f>
        <v>500000</v>
      </c>
      <c r="W90" s="171" t="str">
        <f>IFERROR(__xludf.DUMMYFUNCTION("""COMPUTED_VALUE"""),"")</f>
        <v/>
      </c>
      <c r="X90" s="14" t="str">
        <f>IFERROR(__xludf.DUMMYFUNCTION("""COMPUTED_VALUE"""),"")</f>
        <v/>
      </c>
      <c r="Y90" s="14" t="str">
        <f>IFERROR(__xludf.DUMMYFUNCTION("""COMPUTED_VALUE"""),"")</f>
        <v/>
      </c>
      <c r="Z90" s="11" t="str">
        <f>IFERROR(__xludf.DUMMYFUNCTION("""COMPUTED_VALUE"""),"")</f>
        <v/>
      </c>
    </row>
    <row r="91">
      <c r="A91" s="35" t="str">
        <f>IFERROR(__xludf.DUMMYFUNCTION("""COMPUTED_VALUE"""),"")</f>
        <v/>
      </c>
      <c r="B91" s="35" t="str">
        <f>IFERROR(__xludf.DUMMYFUNCTION("""COMPUTED_VALUE"""),"33050")</f>
        <v>33050</v>
      </c>
      <c r="C91" s="172">
        <f>IFERROR(__xludf.DUMMYFUNCTION("""COMPUTED_VALUE"""),4.4663001425E10)</f>
        <v>44663001425</v>
      </c>
      <c r="D91" s="135" t="str">
        <f>IFERROR(__xludf.DUMMYFUNCTION("""COMPUTED_VALUE"""),"SONY")</f>
        <v>SONY</v>
      </c>
      <c r="E91" s="173">
        <f>IFERROR(__xludf.DUMMYFUNCTION("""COMPUTED_VALUE"""),44663.0)</f>
        <v>44663</v>
      </c>
      <c r="F91" s="35" t="str">
        <f>IFERROR(__xludf.DUMMYFUNCTION("""COMPUTED_VALUE"""),"Stock")</f>
        <v>Stock</v>
      </c>
      <c r="G91" s="35" t="str">
        <f>IFERROR(__xludf.DUMMYFUNCTION("""COMPUTED_VALUE"""),"USD")</f>
        <v>USD</v>
      </c>
      <c r="H91" s="181">
        <f>IFERROR(__xludf.DUMMYFUNCTION("""COMPUTED_VALUE"""),500.0)</f>
        <v>500</v>
      </c>
      <c r="I91" s="174">
        <f>IFERROR(__xludf.DUMMYFUNCTION("""COMPUTED_VALUE"""),7.83775)</f>
        <v>7.83775</v>
      </c>
      <c r="J91" s="175">
        <f>IFERROR(__xludf.DUMMYFUNCTION("""COMPUTED_VALUE"""),90.83)</f>
        <v>90.83</v>
      </c>
      <c r="K91" s="35"/>
      <c r="L91" s="175">
        <f>IFERROR(__xludf.DUMMYFUNCTION("""COMPUTED_VALUE"""),91.79)</f>
        <v>91.79</v>
      </c>
      <c r="M91" s="182" t="str">
        <f>IFERROR(__xludf.DUMMYFUNCTION("""COMPUTED_VALUE"""),"Equity Key Stats")</f>
        <v>Equity Key Stats</v>
      </c>
      <c r="N91" s="35"/>
      <c r="O91" s="35"/>
      <c r="P91" s="184">
        <f>IFERROR(__xludf.DUMMYFUNCTION("""COMPUTED_VALUE"""),-355951.41625)</f>
        <v>-355951.4163</v>
      </c>
      <c r="Q91" s="177"/>
      <c r="R91" s="178">
        <f>IFERROR(__xludf.DUMMYFUNCTION("""COMPUTED_VALUE"""),91.79)</f>
        <v>91.79</v>
      </c>
      <c r="S91" s="176">
        <f>IFERROR(__xludf.DUMMYFUNCTION("""COMPUTED_VALUE"""),359713.53625)</f>
        <v>359713.5363</v>
      </c>
      <c r="T91" s="95">
        <f>IFERROR(__xludf.DUMMYFUNCTION("""COMPUTED_VALUE"""),1.0)</f>
        <v>1</v>
      </c>
      <c r="U91" s="95">
        <f>IFERROR(__xludf.DUMMYFUNCTION("""COMPUTED_VALUE"""),1.0)</f>
        <v>1</v>
      </c>
      <c r="V91" s="185">
        <f>IFERROR(__xludf.DUMMYFUNCTION("""COMPUTED_VALUE"""),3762.1199999999953)</f>
        <v>3762.12</v>
      </c>
      <c r="W91" s="171" t="str">
        <f>IFERROR(__xludf.DUMMYFUNCTION("""COMPUTED_VALUE"""),"")</f>
        <v/>
      </c>
      <c r="X91" s="14" t="str">
        <f>IFERROR(__xludf.DUMMYFUNCTION("""COMPUTED_VALUE"""),"")</f>
        <v/>
      </c>
      <c r="Y91" s="14" t="str">
        <f>IFERROR(__xludf.DUMMYFUNCTION("""COMPUTED_VALUE"""),"")</f>
        <v/>
      </c>
      <c r="Z91" s="11" t="str">
        <f>IFERROR(__xludf.DUMMYFUNCTION("""COMPUTED_VALUE"""),"")</f>
        <v/>
      </c>
    </row>
    <row r="92">
      <c r="A92" s="35" t="str">
        <f>IFERROR(__xludf.DUMMYFUNCTION("""COMPUTED_VALUE"""),"")</f>
        <v/>
      </c>
      <c r="B92" s="35" t="str">
        <f>IFERROR(__xludf.DUMMYFUNCTION("""COMPUTED_VALUE"""),"33050")</f>
        <v>33050</v>
      </c>
      <c r="C92" s="172">
        <f>IFERROR(__xludf.DUMMYFUNCTION("""COMPUTED_VALUE"""),4.4663001426E10)</f>
        <v>44663001426</v>
      </c>
      <c r="D92" s="191" t="str">
        <f>IFERROR(__xludf.DUMMYFUNCTION("""COMPUTED_VALUE"""),"BABA")</f>
        <v>BABA</v>
      </c>
      <c r="E92" s="173">
        <f>IFERROR(__xludf.DUMMYFUNCTION("""COMPUTED_VALUE"""),44663.0)</f>
        <v>44663</v>
      </c>
      <c r="F92" s="35" t="str">
        <f>IFERROR(__xludf.DUMMYFUNCTION("""COMPUTED_VALUE"""),"Stock")</f>
        <v>Stock</v>
      </c>
      <c r="G92" s="35" t="str">
        <f>IFERROR(__xludf.DUMMYFUNCTION("""COMPUTED_VALUE"""),"USD")</f>
        <v>USD</v>
      </c>
      <c r="H92" s="181" t="str">
        <f>IFERROR(__xludf.DUMMYFUNCTION("""COMPUTED_VALUE"""),"")</f>
        <v/>
      </c>
      <c r="I92" s="174">
        <f>IFERROR(__xludf.DUMMYFUNCTION("""COMPUTED_VALUE"""),7.83775)</f>
        <v>7.83775</v>
      </c>
      <c r="J92" s="175">
        <f>IFERROR(__xludf.DUMMYFUNCTION("""COMPUTED_VALUE"""),99.75)</f>
        <v>99.75</v>
      </c>
      <c r="K92" s="35"/>
      <c r="L92" s="175">
        <f>IFERROR(__xludf.DUMMYFUNCTION("""COMPUTED_VALUE"""),100.09)</f>
        <v>100.09</v>
      </c>
      <c r="M92" s="182" t="str">
        <f>IFERROR(__xludf.DUMMYFUNCTION("""COMPUTED_VALUE"""),"Equity Key Stats")</f>
        <v>Equity Key Stats</v>
      </c>
      <c r="N92" s="35"/>
      <c r="O92" s="35"/>
      <c r="P92" s="184">
        <f>IFERROR(__xludf.DUMMYFUNCTION("""COMPUTED_VALUE"""),0.0)</f>
        <v>0</v>
      </c>
      <c r="Q92" s="177"/>
      <c r="R92" s="178">
        <f>IFERROR(__xludf.DUMMYFUNCTION("""COMPUTED_VALUE"""),100.09)</f>
        <v>100.09</v>
      </c>
      <c r="S92" s="176">
        <f>IFERROR(__xludf.DUMMYFUNCTION("""COMPUTED_VALUE"""),0.0)</f>
        <v>0</v>
      </c>
      <c r="T92" s="95">
        <f>IFERROR(__xludf.DUMMYFUNCTION("""COMPUTED_VALUE"""),1.0)</f>
        <v>1</v>
      </c>
      <c r="U92" s="35">
        <f>IFERROR(__xludf.DUMMYFUNCTION("""COMPUTED_VALUE"""),1.0)</f>
        <v>1</v>
      </c>
      <c r="V92" s="170">
        <f>IFERROR(__xludf.DUMMYFUNCTION("""COMPUTED_VALUE"""),0.0)</f>
        <v>0</v>
      </c>
      <c r="W92" s="171" t="str">
        <f>IFERROR(__xludf.DUMMYFUNCTION("""COMPUTED_VALUE"""),"")</f>
        <v/>
      </c>
      <c r="X92" s="14" t="str">
        <f>IFERROR(__xludf.DUMMYFUNCTION("""COMPUTED_VALUE"""),"")</f>
        <v/>
      </c>
      <c r="Y92" s="14" t="str">
        <f>IFERROR(__xludf.DUMMYFUNCTION("""COMPUTED_VALUE"""),"")</f>
        <v/>
      </c>
      <c r="Z92" s="11" t="str">
        <f>IFERROR(__xludf.DUMMYFUNCTION("""COMPUTED_VALUE"""),"")</f>
        <v/>
      </c>
    </row>
    <row r="93">
      <c r="A93" s="35" t="str">
        <f>IFERROR(__xludf.DUMMYFUNCTION("""COMPUTED_VALUE"""),"")</f>
        <v/>
      </c>
      <c r="B93" s="35" t="str">
        <f>IFERROR(__xludf.DUMMYFUNCTION("""COMPUTED_VALUE"""),"33050")</f>
        <v>33050</v>
      </c>
      <c r="C93" s="172">
        <f>IFERROR(__xludf.DUMMYFUNCTION("""COMPUTED_VALUE"""),4.4663001427E10)</f>
        <v>44663001427</v>
      </c>
      <c r="D93" s="191" t="str">
        <f>IFERROR(__xludf.DUMMYFUNCTION("""COMPUTED_VALUE"""),"DIS")</f>
        <v>DIS</v>
      </c>
      <c r="E93" s="173">
        <f>IFERROR(__xludf.DUMMYFUNCTION("""COMPUTED_VALUE"""),44663.0)</f>
        <v>44663</v>
      </c>
      <c r="F93" s="35" t="str">
        <f>IFERROR(__xludf.DUMMYFUNCTION("""COMPUTED_VALUE"""),"Stock")</f>
        <v>Stock</v>
      </c>
      <c r="G93" s="35" t="str">
        <f>IFERROR(__xludf.DUMMYFUNCTION("""COMPUTED_VALUE"""),"USD")</f>
        <v>USD</v>
      </c>
      <c r="H93" s="181" t="str">
        <f>IFERROR(__xludf.DUMMYFUNCTION("""COMPUTED_VALUE"""),"")</f>
        <v/>
      </c>
      <c r="I93" s="174">
        <f>IFERROR(__xludf.DUMMYFUNCTION("""COMPUTED_VALUE"""),7.83775)</f>
        <v>7.83775</v>
      </c>
      <c r="J93" s="175">
        <f>IFERROR(__xludf.DUMMYFUNCTION("""COMPUTED_VALUE"""),130.84)</f>
        <v>130.84</v>
      </c>
      <c r="K93" s="35"/>
      <c r="L93" s="175">
        <f>IFERROR(__xludf.DUMMYFUNCTION("""COMPUTED_VALUE"""),132.38)</f>
        <v>132.38</v>
      </c>
      <c r="M93" s="182" t="str">
        <f>IFERROR(__xludf.DUMMYFUNCTION("""COMPUTED_VALUE"""),"Equity Key Stats")</f>
        <v>Equity Key Stats</v>
      </c>
      <c r="N93" s="35"/>
      <c r="O93" s="35"/>
      <c r="P93" s="176">
        <f>IFERROR(__xludf.DUMMYFUNCTION("""COMPUTED_VALUE"""),0.0)</f>
        <v>0</v>
      </c>
      <c r="Q93" s="177"/>
      <c r="R93" s="178">
        <f>IFERROR(__xludf.DUMMYFUNCTION("""COMPUTED_VALUE"""),132.38)</f>
        <v>132.38</v>
      </c>
      <c r="S93" s="176">
        <f>IFERROR(__xludf.DUMMYFUNCTION("""COMPUTED_VALUE"""),0.0)</f>
        <v>0</v>
      </c>
      <c r="T93" s="95">
        <f>IFERROR(__xludf.DUMMYFUNCTION("""COMPUTED_VALUE"""),1.0)</f>
        <v>1</v>
      </c>
      <c r="U93" s="95">
        <f>IFERROR(__xludf.DUMMYFUNCTION("""COMPUTED_VALUE"""),1.0)</f>
        <v>1</v>
      </c>
      <c r="V93" s="179">
        <f>IFERROR(__xludf.DUMMYFUNCTION("""COMPUTED_VALUE"""),0.0)</f>
        <v>0</v>
      </c>
      <c r="W93" s="171" t="str">
        <f>IFERROR(__xludf.DUMMYFUNCTION("""COMPUTED_VALUE"""),"")</f>
        <v/>
      </c>
      <c r="X93" s="14" t="str">
        <f>IFERROR(__xludf.DUMMYFUNCTION("""COMPUTED_VALUE"""),"")</f>
        <v/>
      </c>
      <c r="Y93" s="14" t="str">
        <f>IFERROR(__xludf.DUMMYFUNCTION("""COMPUTED_VALUE"""),"")</f>
        <v/>
      </c>
      <c r="Z93" s="11" t="str">
        <f>IFERROR(__xludf.DUMMYFUNCTION("""COMPUTED_VALUE"""),"")</f>
        <v/>
      </c>
    </row>
    <row r="94">
      <c r="A94" s="35" t="str">
        <f>IFERROR(__xludf.DUMMYFUNCTION("""COMPUTED_VALUE"""),"")</f>
        <v/>
      </c>
      <c r="B94" s="35" t="str">
        <f>IFERROR(__xludf.DUMMYFUNCTION("""COMPUTED_VALUE"""),"33050")</f>
        <v>33050</v>
      </c>
      <c r="C94" s="172">
        <f>IFERROR(__xludf.DUMMYFUNCTION("""COMPUTED_VALUE"""),4.4664001453E10)</f>
        <v>44664001453</v>
      </c>
      <c r="D94" s="191" t="str">
        <f>IFERROR(__xludf.DUMMYFUNCTION("""COMPUTED_VALUE"""),"AAPL")</f>
        <v>AAPL</v>
      </c>
      <c r="E94" s="173">
        <f>IFERROR(__xludf.DUMMYFUNCTION("""COMPUTED_VALUE"""),44664.0)</f>
        <v>44664</v>
      </c>
      <c r="F94" s="35" t="str">
        <f>IFERROR(__xludf.DUMMYFUNCTION("""COMPUTED_VALUE"""),"Stock")</f>
        <v>Stock</v>
      </c>
      <c r="G94" s="35" t="str">
        <f>IFERROR(__xludf.DUMMYFUNCTION("""COMPUTED_VALUE"""),"USD")</f>
        <v>USD</v>
      </c>
      <c r="H94" s="181" t="str">
        <f>IFERROR(__xludf.DUMMYFUNCTION("""COMPUTED_VALUE"""),"")</f>
        <v/>
      </c>
      <c r="I94" s="174">
        <f>IFERROR(__xludf.DUMMYFUNCTION("""COMPUTED_VALUE"""),7.83915)</f>
        <v>7.83915</v>
      </c>
      <c r="J94" s="175">
        <f>IFERROR(__xludf.DUMMYFUNCTION("""COMPUTED_VALUE"""),170.4)</f>
        <v>170.4</v>
      </c>
      <c r="K94" s="35"/>
      <c r="L94" s="175">
        <f>IFERROR(__xludf.DUMMYFUNCTION("""COMPUTED_VALUE"""),170.4)</f>
        <v>170.4</v>
      </c>
      <c r="M94" s="182" t="str">
        <f>IFERROR(__xludf.DUMMYFUNCTION("""COMPUTED_VALUE"""),"Equity Key Stats")</f>
        <v>Equity Key Stats</v>
      </c>
      <c r="N94" s="35"/>
      <c r="O94" s="35"/>
      <c r="P94" s="184">
        <f>IFERROR(__xludf.DUMMYFUNCTION("""COMPUTED_VALUE"""),0.0)</f>
        <v>0</v>
      </c>
      <c r="Q94" s="177"/>
      <c r="R94" s="178">
        <f>IFERROR(__xludf.DUMMYFUNCTION("""COMPUTED_VALUE"""),170.4)</f>
        <v>170.4</v>
      </c>
      <c r="S94" s="176">
        <f>IFERROR(__xludf.DUMMYFUNCTION("""COMPUTED_VALUE"""),0.0)</f>
        <v>0</v>
      </c>
      <c r="T94" s="95">
        <f>IFERROR(__xludf.DUMMYFUNCTION("""COMPUTED_VALUE"""),1.0)</f>
        <v>1</v>
      </c>
      <c r="U94" s="95">
        <f>IFERROR(__xludf.DUMMYFUNCTION("""COMPUTED_VALUE"""),1.0)</f>
        <v>1</v>
      </c>
      <c r="V94" s="185">
        <f>IFERROR(__xludf.DUMMYFUNCTION("""COMPUTED_VALUE"""),0.0)</f>
        <v>0</v>
      </c>
      <c r="W94" s="171" t="str">
        <f>IFERROR(__xludf.DUMMYFUNCTION("""COMPUTED_VALUE"""),"")</f>
        <v/>
      </c>
      <c r="X94" s="14" t="str">
        <f>IFERROR(__xludf.DUMMYFUNCTION("""COMPUTED_VALUE"""),"")</f>
        <v/>
      </c>
      <c r="Y94" s="14" t="str">
        <f>IFERROR(__xludf.DUMMYFUNCTION("""COMPUTED_VALUE"""),"")</f>
        <v/>
      </c>
      <c r="Z94" s="11" t="str">
        <f>IFERROR(__xludf.DUMMYFUNCTION("""COMPUTED_VALUE"""),"")</f>
        <v/>
      </c>
    </row>
    <row r="95">
      <c r="A95" s="35" t="str">
        <f>IFERROR(__xludf.DUMMYFUNCTION("""COMPUTED_VALUE"""),"33050")</f>
        <v>33050</v>
      </c>
      <c r="B95" s="35" t="str">
        <f>IFERROR(__xludf.DUMMYFUNCTION("""COMPUTED_VALUE"""),"33050")</f>
        <v>33050</v>
      </c>
      <c r="C95" s="172">
        <f>IFERROR(__xludf.DUMMYFUNCTION("""COMPUTED_VALUE"""),4.4664001454E10)</f>
        <v>44664001454</v>
      </c>
      <c r="D95" s="191" t="str">
        <f>IFERROR(__xludf.DUMMYFUNCTION("""COMPUTED_VALUE"""),"TSLA")</f>
        <v>TSLA</v>
      </c>
      <c r="E95" s="173">
        <f>IFERROR(__xludf.DUMMYFUNCTION("""COMPUTED_VALUE"""),44664.0)</f>
        <v>44664</v>
      </c>
      <c r="F95" s="35" t="str">
        <f>IFERROR(__xludf.DUMMYFUNCTION("""COMPUTED_VALUE"""),"Stock")</f>
        <v>Stock</v>
      </c>
      <c r="G95" s="35" t="str">
        <f>IFERROR(__xludf.DUMMYFUNCTION("""COMPUTED_VALUE"""),"USD")</f>
        <v>USD</v>
      </c>
      <c r="H95" s="181" t="str">
        <f>IFERROR(__xludf.DUMMYFUNCTION("""COMPUTED_VALUE"""),"")</f>
        <v/>
      </c>
      <c r="I95" s="174">
        <f>IFERROR(__xludf.DUMMYFUNCTION("""COMPUTED_VALUE"""),7.83915)</f>
        <v>7.83915</v>
      </c>
      <c r="J95" s="175">
        <f>IFERROR(__xludf.DUMMYFUNCTION("""COMPUTED_VALUE"""),1022.37)</f>
        <v>1022.37</v>
      </c>
      <c r="K95" s="35"/>
      <c r="L95" s="175">
        <f>IFERROR(__xludf.DUMMYFUNCTION("""COMPUTED_VALUE"""),1022.37)</f>
        <v>1022.37</v>
      </c>
      <c r="M95" s="182" t="str">
        <f>IFERROR(__xludf.DUMMYFUNCTION("""COMPUTED_VALUE"""),"Equity Key Stats")</f>
        <v>Equity Key Stats</v>
      </c>
      <c r="N95" s="35"/>
      <c r="O95" s="35"/>
      <c r="P95" s="184">
        <f>IFERROR(__xludf.DUMMYFUNCTION("""COMPUTED_VALUE"""),0.0)</f>
        <v>0</v>
      </c>
      <c r="Q95" s="177"/>
      <c r="R95" s="178">
        <f>IFERROR(__xludf.DUMMYFUNCTION("""COMPUTED_VALUE"""),1022.37)</f>
        <v>1022.37</v>
      </c>
      <c r="S95" s="176">
        <f>IFERROR(__xludf.DUMMYFUNCTION("""COMPUTED_VALUE"""),0.0)</f>
        <v>0</v>
      </c>
      <c r="T95" s="95">
        <f>IFERROR(__xludf.DUMMYFUNCTION("""COMPUTED_VALUE"""),1.0)</f>
        <v>1</v>
      </c>
      <c r="U95" s="95">
        <f>IFERROR(__xludf.DUMMYFUNCTION("""COMPUTED_VALUE"""),1.0)</f>
        <v>1</v>
      </c>
      <c r="V95" s="185">
        <f>IFERROR(__xludf.DUMMYFUNCTION("""COMPUTED_VALUE"""),0.0)</f>
        <v>0</v>
      </c>
      <c r="W95" s="171">
        <f>IFERROR(__xludf.DUMMYFUNCTION("""COMPUTED_VALUE"""),503762.12)</f>
        <v>503762.12</v>
      </c>
      <c r="X95" s="14">
        <f>IFERROR(__xludf.DUMMYFUNCTION("""COMPUTED_VALUE"""),144048.58375)</f>
        <v>144048.5838</v>
      </c>
      <c r="Y95" s="14">
        <f>IFERROR(__xludf.DUMMYFUNCTION("""COMPUTED_VALUE"""),0.0)</f>
        <v>0</v>
      </c>
      <c r="Z95" s="11">
        <f>IFERROR(__xludf.DUMMYFUNCTION("""COMPUTED_VALUE"""),0.00752423999999996)</f>
        <v>0.00752424</v>
      </c>
    </row>
    <row r="96">
      <c r="A96" s="35" t="str">
        <f>IFERROR(__xludf.DUMMYFUNCTION("""COMPUTED_VALUE"""),"34857")</f>
        <v>34857</v>
      </c>
      <c r="B96" s="35" t="str">
        <f>IFERROR(__xludf.DUMMYFUNCTION("""COMPUTED_VALUE"""),"34857")</f>
        <v>34857</v>
      </c>
      <c r="C96" s="172">
        <f>IFERROR(__xludf.DUMMYFUNCTION("""COMPUTED_VALUE"""),4.4597000039E10)</f>
        <v>44597000039</v>
      </c>
      <c r="D96" s="135" t="str">
        <f>IFERROR(__xludf.DUMMYFUNCTION("""COMPUTED_VALUE"""),"Cash")</f>
        <v>Cash</v>
      </c>
      <c r="E96" s="173">
        <f>IFERROR(__xludf.DUMMYFUNCTION("""COMPUTED_VALUE"""),44597.0)</f>
        <v>44597</v>
      </c>
      <c r="F96" s="35" t="str">
        <f>IFERROR(__xludf.DUMMYFUNCTION("""COMPUTED_VALUE"""),"Cash")</f>
        <v>Cash</v>
      </c>
      <c r="G96" s="35" t="str">
        <f>IFERROR(__xludf.DUMMYFUNCTION("""COMPUTED_VALUE"""),"HKD")</f>
        <v>HKD</v>
      </c>
      <c r="H96" s="181" t="str">
        <f>IFERROR(__xludf.DUMMYFUNCTION("""COMPUTED_VALUE"""),"")</f>
        <v/>
      </c>
      <c r="I96" s="174">
        <f>IFERROR(__xludf.DUMMYFUNCTION("""COMPUTED_VALUE"""),1.0)</f>
        <v>1</v>
      </c>
      <c r="J96" s="175">
        <f>IFERROR(__xludf.DUMMYFUNCTION("""COMPUTED_VALUE"""),1.0)</f>
        <v>1</v>
      </c>
      <c r="K96" s="35"/>
      <c r="L96" s="175">
        <f>IFERROR(__xludf.DUMMYFUNCTION("""COMPUTED_VALUE"""),1.0)</f>
        <v>1</v>
      </c>
      <c r="M96" s="182" t="str">
        <f>IFERROR(__xludf.DUMMYFUNCTION("""COMPUTED_VALUE"""),"")</f>
        <v/>
      </c>
      <c r="N96" s="35"/>
      <c r="O96" s="35"/>
      <c r="P96" s="184">
        <f>IFERROR(__xludf.DUMMYFUNCTION("""COMPUTED_VALUE"""),500000.0)</f>
        <v>500000</v>
      </c>
      <c r="Q96" s="177"/>
      <c r="R96" s="178">
        <f>IFERROR(__xludf.DUMMYFUNCTION("""COMPUTED_VALUE"""),1.0)</f>
        <v>1</v>
      </c>
      <c r="S96" s="176" t="str">
        <f>IFERROR(__xludf.DUMMYFUNCTION("""COMPUTED_VALUE"""),"")</f>
        <v/>
      </c>
      <c r="T96" s="95">
        <f>IFERROR(__xludf.DUMMYFUNCTION("""COMPUTED_VALUE"""),1.0)</f>
        <v>1</v>
      </c>
      <c r="U96" s="95">
        <f>IFERROR(__xludf.DUMMYFUNCTION("""COMPUTED_VALUE"""),1.0)</f>
        <v>1</v>
      </c>
      <c r="V96" s="179">
        <f>IFERROR(__xludf.DUMMYFUNCTION("""COMPUTED_VALUE"""),500000.0)</f>
        <v>500000</v>
      </c>
      <c r="W96" s="55">
        <f>IFERROR(__xludf.DUMMYFUNCTION("""COMPUTED_VALUE"""),500000.0)</f>
        <v>500000</v>
      </c>
      <c r="X96" s="181">
        <f>IFERROR(__xludf.DUMMYFUNCTION("""COMPUTED_VALUE"""),500000.0)</f>
        <v>500000</v>
      </c>
      <c r="Y96" s="181">
        <f>IFERROR(__xludf.DUMMYFUNCTION("""COMPUTED_VALUE"""),0.0)</f>
        <v>0</v>
      </c>
      <c r="Z96" s="189">
        <f>IFERROR(__xludf.DUMMYFUNCTION("""COMPUTED_VALUE"""),0.0)</f>
        <v>0</v>
      </c>
    </row>
    <row r="97">
      <c r="A97" s="35" t="str">
        <f>IFERROR(__xludf.DUMMYFUNCTION("""COMPUTED_VALUE"""),"")</f>
        <v/>
      </c>
      <c r="B97" s="35" t="str">
        <f>IFERROR(__xludf.DUMMYFUNCTION("""COMPUTED_VALUE"""),"35577")</f>
        <v>35577</v>
      </c>
      <c r="C97" s="172">
        <f>IFERROR(__xludf.DUMMYFUNCTION("""COMPUTED_VALUE"""),4.4597000048E10)</f>
        <v>44597000048</v>
      </c>
      <c r="D97" s="135" t="str">
        <f>IFERROR(__xludf.DUMMYFUNCTION("""COMPUTED_VALUE"""),"Cash")</f>
        <v>Cash</v>
      </c>
      <c r="E97" s="173">
        <f>IFERROR(__xludf.DUMMYFUNCTION("""COMPUTED_VALUE"""),44597.0)</f>
        <v>44597</v>
      </c>
      <c r="F97" s="35" t="str">
        <f>IFERROR(__xludf.DUMMYFUNCTION("""COMPUTED_VALUE"""),"Cash")</f>
        <v>Cash</v>
      </c>
      <c r="G97" s="35" t="str">
        <f>IFERROR(__xludf.DUMMYFUNCTION("""COMPUTED_VALUE"""),"HKD")</f>
        <v>HKD</v>
      </c>
      <c r="H97" s="14" t="str">
        <f>IFERROR(__xludf.DUMMYFUNCTION("""COMPUTED_VALUE"""),"")</f>
        <v/>
      </c>
      <c r="I97" s="174">
        <f>IFERROR(__xludf.DUMMYFUNCTION("""COMPUTED_VALUE"""),1.0)</f>
        <v>1</v>
      </c>
      <c r="J97" s="95">
        <f>IFERROR(__xludf.DUMMYFUNCTION("""COMPUTED_VALUE"""),1.0)</f>
        <v>1</v>
      </c>
      <c r="K97" s="35"/>
      <c r="L97" s="175">
        <f>IFERROR(__xludf.DUMMYFUNCTION("""COMPUTED_VALUE"""),1.0)</f>
        <v>1</v>
      </c>
      <c r="M97" s="3" t="str">
        <f>IFERROR(__xludf.DUMMYFUNCTION("""COMPUTED_VALUE"""),"")</f>
        <v/>
      </c>
      <c r="N97" s="35"/>
      <c r="O97" s="35"/>
      <c r="P97" s="176">
        <f>IFERROR(__xludf.DUMMYFUNCTION("""COMPUTED_VALUE"""),500000.0)</f>
        <v>500000</v>
      </c>
      <c r="Q97" s="177"/>
      <c r="R97" s="178">
        <f>IFERROR(__xludf.DUMMYFUNCTION("""COMPUTED_VALUE"""),1.0)</f>
        <v>1</v>
      </c>
      <c r="S97" s="151" t="str">
        <f>IFERROR(__xludf.DUMMYFUNCTION("""COMPUTED_VALUE"""),"")</f>
        <v/>
      </c>
      <c r="T97" s="95">
        <f>IFERROR(__xludf.DUMMYFUNCTION("""COMPUTED_VALUE"""),1.0)</f>
        <v>1</v>
      </c>
      <c r="U97" s="95">
        <f>IFERROR(__xludf.DUMMYFUNCTION("""COMPUTED_VALUE"""),1.0)</f>
        <v>1</v>
      </c>
      <c r="V97" s="179">
        <f>IFERROR(__xludf.DUMMYFUNCTION("""COMPUTED_VALUE"""),500000.0)</f>
        <v>500000</v>
      </c>
      <c r="W97" s="55" t="str">
        <f>IFERROR(__xludf.DUMMYFUNCTION("""COMPUTED_VALUE"""),"")</f>
        <v/>
      </c>
      <c r="X97" s="181" t="str">
        <f>IFERROR(__xludf.DUMMYFUNCTION("""COMPUTED_VALUE"""),"")</f>
        <v/>
      </c>
      <c r="Y97" s="181" t="str">
        <f>IFERROR(__xludf.DUMMYFUNCTION("""COMPUTED_VALUE"""),"")</f>
        <v/>
      </c>
      <c r="Z97" s="186" t="str">
        <f>IFERROR(__xludf.DUMMYFUNCTION("""COMPUTED_VALUE"""),"")</f>
        <v/>
      </c>
    </row>
    <row r="98">
      <c r="A98" s="35" t="str">
        <f>IFERROR(__xludf.DUMMYFUNCTION("""COMPUTED_VALUE"""),"")</f>
        <v/>
      </c>
      <c r="B98" s="35" t="str">
        <f>IFERROR(__xludf.DUMMYFUNCTION("""COMPUTED_VALUE"""),"35577")</f>
        <v>35577</v>
      </c>
      <c r="C98" s="172">
        <f>IFERROR(__xludf.DUMMYFUNCTION("""COMPUTED_VALUE"""),4.4606000177E10)</f>
        <v>44606000177</v>
      </c>
      <c r="D98" s="180" t="str">
        <f>IFERROR(__xludf.DUMMYFUNCTION("""COMPUTED_VALUE"""),"1m")</f>
        <v>1m</v>
      </c>
      <c r="E98" s="173">
        <f>IFERROR(__xludf.DUMMYFUNCTION("""COMPUTED_VALUE"""),44606.0)</f>
        <v>44606</v>
      </c>
      <c r="F98" s="35" t="str">
        <f>IFERROR(__xludf.DUMMYFUNCTION("""COMPUTED_VALUE"""),"Time Deposit")</f>
        <v>Time Deposit</v>
      </c>
      <c r="G98" s="35" t="str">
        <f>IFERROR(__xludf.DUMMYFUNCTION("""COMPUTED_VALUE"""),"HKD")</f>
        <v>HKD</v>
      </c>
      <c r="H98" s="14">
        <f>IFERROR(__xludf.DUMMYFUNCTION("""COMPUTED_VALUE"""),50000.0)</f>
        <v>50000</v>
      </c>
      <c r="I98" s="174">
        <f>IFERROR(__xludf.DUMMYFUNCTION("""COMPUTED_VALUE"""),1.0)</f>
        <v>1</v>
      </c>
      <c r="J98" s="95">
        <f>IFERROR(__xludf.DUMMYFUNCTION("""COMPUTED_VALUE"""),1.0)</f>
        <v>1</v>
      </c>
      <c r="K98" s="35"/>
      <c r="L98" s="175">
        <f>IFERROR(__xludf.DUMMYFUNCTION("""COMPUTED_VALUE"""),1.0)</f>
        <v>1</v>
      </c>
      <c r="M98" s="3" t="str">
        <f>IFERROR(__xludf.DUMMYFUNCTION("""COMPUTED_VALUE"""),"")</f>
        <v/>
      </c>
      <c r="N98" s="35"/>
      <c r="O98" s="35"/>
      <c r="P98" s="176">
        <f>IFERROR(__xludf.DUMMYFUNCTION("""COMPUTED_VALUE"""),-50000.0)</f>
        <v>-50000</v>
      </c>
      <c r="Q98" s="177"/>
      <c r="R98" s="178">
        <f>IFERROR(__xludf.DUMMYFUNCTION("""COMPUTED_VALUE"""),1.0)</f>
        <v>1</v>
      </c>
      <c r="S98" s="151">
        <f>IFERROR(__xludf.DUMMYFUNCTION("""COMPUTED_VALUE"""),50000.0)</f>
        <v>50000</v>
      </c>
      <c r="T98" s="95">
        <f>IFERROR(__xludf.DUMMYFUNCTION("""COMPUTED_VALUE"""),1.0)</f>
        <v>1</v>
      </c>
      <c r="U98" s="95">
        <f>IFERROR(__xludf.DUMMYFUNCTION("""COMPUTED_VALUE"""),1.0)</f>
        <v>1</v>
      </c>
      <c r="V98" s="179">
        <f>IFERROR(__xludf.DUMMYFUNCTION("""COMPUTED_VALUE"""),0.0)</f>
        <v>0</v>
      </c>
      <c r="W98" s="55" t="str">
        <f>IFERROR(__xludf.DUMMYFUNCTION("""COMPUTED_VALUE"""),"")</f>
        <v/>
      </c>
      <c r="X98" s="181" t="str">
        <f>IFERROR(__xludf.DUMMYFUNCTION("""COMPUTED_VALUE"""),"")</f>
        <v/>
      </c>
      <c r="Y98" s="181" t="str">
        <f>IFERROR(__xludf.DUMMYFUNCTION("""COMPUTED_VALUE"""),"")</f>
        <v/>
      </c>
      <c r="Z98" s="186" t="str">
        <f>IFERROR(__xludf.DUMMYFUNCTION("""COMPUTED_VALUE"""),"")</f>
        <v/>
      </c>
    </row>
    <row r="99">
      <c r="A99" s="35" t="str">
        <f>IFERROR(__xludf.DUMMYFUNCTION("""COMPUTED_VALUE"""),"")</f>
        <v/>
      </c>
      <c r="B99" s="35" t="str">
        <f>IFERROR(__xludf.DUMMYFUNCTION("""COMPUTED_VALUE"""),"35577")</f>
        <v>35577</v>
      </c>
      <c r="C99" s="172">
        <f>IFERROR(__xludf.DUMMYFUNCTION("""COMPUTED_VALUE"""),4.4606000178E10)</f>
        <v>44606000178</v>
      </c>
      <c r="D99" s="180" t="str">
        <f>IFERROR(__xludf.DUMMYFUNCTION("""COMPUTED_VALUE"""),"VYGLX")</f>
        <v>VYGLX</v>
      </c>
      <c r="E99" s="173">
        <f>IFERROR(__xludf.DUMMYFUNCTION("""COMPUTED_VALUE"""),44606.0)</f>
        <v>44606</v>
      </c>
      <c r="F99" s="35" t="str">
        <f>IFERROR(__xludf.DUMMYFUNCTION("""COMPUTED_VALUE"""),"Stock")</f>
        <v>Stock</v>
      </c>
      <c r="G99" s="35" t="str">
        <f>IFERROR(__xludf.DUMMYFUNCTION("""COMPUTED_VALUE"""),"USD")</f>
        <v>USD</v>
      </c>
      <c r="H99" s="14">
        <f>IFERROR(__xludf.DUMMYFUNCTION("""COMPUTED_VALUE"""),300.0)</f>
        <v>300</v>
      </c>
      <c r="I99" s="174">
        <f>IFERROR(__xludf.DUMMYFUNCTION("""COMPUTED_VALUE"""),7.802945)</f>
        <v>7.802945</v>
      </c>
      <c r="J99" s="175">
        <f>IFERROR(__xludf.DUMMYFUNCTION("""COMPUTED_VALUE"""),12.28)</f>
        <v>12.28</v>
      </c>
      <c r="K99" s="35"/>
      <c r="L99" s="175">
        <f>IFERROR(__xludf.DUMMYFUNCTION("""COMPUTED_VALUE"""),11.87)</f>
        <v>11.87</v>
      </c>
      <c r="M99" s="187" t="str">
        <f>IFERROR(__xludf.DUMMYFUNCTION("""COMPUTED_VALUE"""),"Equity Key Stats")</f>
        <v>Equity Key Stats</v>
      </c>
      <c r="N99" s="35"/>
      <c r="O99" s="35"/>
      <c r="P99" s="176">
        <f>IFERROR(__xludf.DUMMYFUNCTION("""COMPUTED_VALUE"""),-28746.049379999997)</f>
        <v>-28746.04938</v>
      </c>
      <c r="Q99" s="177"/>
      <c r="R99" s="178">
        <f>IFERROR(__xludf.DUMMYFUNCTION("""COMPUTED_VALUE"""),11.87)</f>
        <v>11.87</v>
      </c>
      <c r="S99" s="151">
        <f>IFERROR(__xludf.DUMMYFUNCTION("""COMPUTED_VALUE"""),27786.287145)</f>
        <v>27786.28715</v>
      </c>
      <c r="T99" s="95">
        <f>IFERROR(__xludf.DUMMYFUNCTION("""COMPUTED_VALUE"""),1.0)</f>
        <v>1</v>
      </c>
      <c r="U99" s="95">
        <f>IFERROR(__xludf.DUMMYFUNCTION("""COMPUTED_VALUE"""),1.0)</f>
        <v>1</v>
      </c>
      <c r="V99" s="179">
        <f>IFERROR(__xludf.DUMMYFUNCTION("""COMPUTED_VALUE"""),-959.7622349999983)</f>
        <v>-959.762235</v>
      </c>
      <c r="W99" s="55" t="str">
        <f>IFERROR(__xludf.DUMMYFUNCTION("""COMPUTED_VALUE"""),"")</f>
        <v/>
      </c>
      <c r="X99" s="181" t="str">
        <f>IFERROR(__xludf.DUMMYFUNCTION("""COMPUTED_VALUE"""),"")</f>
        <v/>
      </c>
      <c r="Y99" s="181" t="str">
        <f>IFERROR(__xludf.DUMMYFUNCTION("""COMPUTED_VALUE"""),"")</f>
        <v/>
      </c>
      <c r="Z99" s="186" t="str">
        <f>IFERROR(__xludf.DUMMYFUNCTION("""COMPUTED_VALUE"""),"")</f>
        <v/>
      </c>
    </row>
    <row r="100">
      <c r="A100" s="35" t="str">
        <f>IFERROR(__xludf.DUMMYFUNCTION("""COMPUTED_VALUE"""),"")</f>
        <v/>
      </c>
      <c r="B100" s="35" t="str">
        <f>IFERROR(__xludf.DUMMYFUNCTION("""COMPUTED_VALUE"""),"35577")</f>
        <v>35577</v>
      </c>
      <c r="C100" s="172">
        <f>IFERROR(__xludf.DUMMYFUNCTION("""COMPUTED_VALUE"""),4.4607000207E10)</f>
        <v>44607000207</v>
      </c>
      <c r="D100" s="180" t="str">
        <f>IFERROR(__xludf.DUMMYFUNCTION("""COMPUTED_VALUE"""),"US023135AN60")</f>
        <v>US023135AN60</v>
      </c>
      <c r="E100" s="173">
        <f>IFERROR(__xludf.DUMMYFUNCTION("""COMPUTED_VALUE"""),44607.0)</f>
        <v>44607</v>
      </c>
      <c r="F100" s="35" t="str">
        <f>IFERROR(__xludf.DUMMYFUNCTION("""COMPUTED_VALUE"""),"Bond")</f>
        <v>Bond</v>
      </c>
      <c r="G100" s="35" t="str">
        <f>IFERROR(__xludf.DUMMYFUNCTION("""COMPUTED_VALUE"""),"USD")</f>
        <v>USD</v>
      </c>
      <c r="H100" s="14">
        <f>IFERROR(__xludf.DUMMYFUNCTION("""COMPUTED_VALUE"""),3.0)</f>
        <v>3</v>
      </c>
      <c r="I100" s="174">
        <f>IFERROR(__xludf.DUMMYFUNCTION("""COMPUTED_VALUE"""),7.801355)</f>
        <v>7.801355</v>
      </c>
      <c r="J100" s="175">
        <f>IFERROR(__xludf.DUMMYFUNCTION("""COMPUTED_VALUE"""),104.957)</f>
        <v>104.957</v>
      </c>
      <c r="K100" s="35"/>
      <c r="L100" s="175">
        <f>IFERROR(__xludf.DUMMYFUNCTION("""COMPUTED_VALUE"""),102.758)</f>
        <v>102.758</v>
      </c>
      <c r="M100" s="187" t="str">
        <f>IFERROR(__xludf.DUMMYFUNCTION("""COMPUTED_VALUE"""),"Bond Fact Sheet")</f>
        <v>Bond Fact Sheet</v>
      </c>
      <c r="N100" s="35"/>
      <c r="O100" s="35"/>
      <c r="P100" s="176">
        <f>IFERROR(__xludf.DUMMYFUNCTION("""COMPUTED_VALUE"""),-2456.4204502049997)</f>
        <v>-2456.42045</v>
      </c>
      <c r="Q100" s="177"/>
      <c r="R100" s="178">
        <f>IFERROR(__xludf.DUMMYFUNCTION("""COMPUTED_VALUE"""),102.5925)</f>
        <v>102.5925</v>
      </c>
      <c r="S100" s="151">
        <f>IFERROR(__xludf.DUMMYFUNCTION("""COMPUTED_VALUE"""),2401.0815385125)</f>
        <v>2401.081539</v>
      </c>
      <c r="T100" s="95">
        <f>IFERROR(__xludf.DUMMYFUNCTION("""COMPUTED_VALUE"""),1.0)</f>
        <v>1</v>
      </c>
      <c r="U100" s="95">
        <f>IFERROR(__xludf.DUMMYFUNCTION("""COMPUTED_VALUE"""),1.0)</f>
        <v>1</v>
      </c>
      <c r="V100" s="179">
        <f>IFERROR(__xludf.DUMMYFUNCTION("""COMPUTED_VALUE"""),-55.33891169249955)</f>
        <v>-55.33891169</v>
      </c>
      <c r="W100" s="55" t="str">
        <f>IFERROR(__xludf.DUMMYFUNCTION("""COMPUTED_VALUE"""),"")</f>
        <v/>
      </c>
      <c r="X100" s="181" t="str">
        <f>IFERROR(__xludf.DUMMYFUNCTION("""COMPUTED_VALUE"""),"")</f>
        <v/>
      </c>
      <c r="Y100" s="181" t="str">
        <f>IFERROR(__xludf.DUMMYFUNCTION("""COMPUTED_VALUE"""),"")</f>
        <v/>
      </c>
      <c r="Z100" s="186" t="str">
        <f>IFERROR(__xludf.DUMMYFUNCTION("""COMPUTED_VALUE"""),"")</f>
        <v/>
      </c>
    </row>
    <row r="101">
      <c r="A101" s="35" t="str">
        <f>IFERROR(__xludf.DUMMYFUNCTION("""COMPUTED_VALUE"""),"")</f>
        <v/>
      </c>
      <c r="B101" s="35" t="str">
        <f>IFERROR(__xludf.DUMMYFUNCTION("""COMPUTED_VALUE"""),"35577")</f>
        <v>35577</v>
      </c>
      <c r="C101" s="172">
        <f>IFERROR(__xludf.DUMMYFUNCTION("""COMPUTED_VALUE"""),4.4627000468E10)</f>
        <v>44627000468</v>
      </c>
      <c r="D101" s="180" t="str">
        <f>IFERROR(__xludf.DUMMYFUNCTION("""COMPUTED_VALUE"""),"AAPL")</f>
        <v>AAPL</v>
      </c>
      <c r="E101" s="173">
        <f>IFERROR(__xludf.DUMMYFUNCTION("""COMPUTED_VALUE"""),44627.0)</f>
        <v>44627</v>
      </c>
      <c r="F101" s="35" t="str">
        <f>IFERROR(__xludf.DUMMYFUNCTION("""COMPUTED_VALUE"""),"Stock")</f>
        <v>Stock</v>
      </c>
      <c r="G101" s="35" t="str">
        <f>IFERROR(__xludf.DUMMYFUNCTION("""COMPUTED_VALUE"""),"USD")</f>
        <v>USD</v>
      </c>
      <c r="H101" s="14">
        <f>IFERROR(__xludf.DUMMYFUNCTION("""COMPUTED_VALUE"""),11.0)</f>
        <v>11</v>
      </c>
      <c r="I101" s="174">
        <f>IFERROR(__xludf.DUMMYFUNCTION("""COMPUTED_VALUE"""),7.81855)</f>
        <v>7.81855</v>
      </c>
      <c r="J101" s="175">
        <f>IFERROR(__xludf.DUMMYFUNCTION("""COMPUTED_VALUE"""),159.3)</f>
        <v>159.3</v>
      </c>
      <c r="K101" s="35"/>
      <c r="L101" s="175">
        <f>IFERROR(__xludf.DUMMYFUNCTION("""COMPUTED_VALUE"""),170.4)</f>
        <v>170.4</v>
      </c>
      <c r="M101" s="187" t="str">
        <f>IFERROR(__xludf.DUMMYFUNCTION("""COMPUTED_VALUE"""),"Equity Key Stats")</f>
        <v>Equity Key Stats</v>
      </c>
      <c r="N101" s="35"/>
      <c r="O101" s="35"/>
      <c r="P101" s="176">
        <f>IFERROR(__xludf.DUMMYFUNCTION("""COMPUTED_VALUE"""),-13700.445165000003)</f>
        <v>-13700.44517</v>
      </c>
      <c r="Q101" s="177"/>
      <c r="R101" s="178">
        <f>IFERROR(__xludf.DUMMYFUNCTION("""COMPUTED_VALUE"""),170.4)</f>
        <v>170.4</v>
      </c>
      <c r="S101" s="151">
        <f>IFERROR(__xludf.DUMMYFUNCTION("""COMPUTED_VALUE"""),14655.09012)</f>
        <v>14655.09012</v>
      </c>
      <c r="T101" s="95">
        <f>IFERROR(__xludf.DUMMYFUNCTION("""COMPUTED_VALUE"""),3.0)</f>
        <v>3</v>
      </c>
      <c r="U101" s="95" t="str">
        <f>IFERROR(__xludf.DUMMYFUNCTION("""COMPUTED_VALUE"""),"")</f>
        <v/>
      </c>
      <c r="V101" s="179" t="str">
        <f>IFERROR(__xludf.DUMMYFUNCTION("""COMPUTED_VALUE"""),"")</f>
        <v/>
      </c>
      <c r="W101" s="171" t="str">
        <f>IFERROR(__xludf.DUMMYFUNCTION("""COMPUTED_VALUE"""),"")</f>
        <v/>
      </c>
      <c r="X101" s="14" t="str">
        <f>IFERROR(__xludf.DUMMYFUNCTION("""COMPUTED_VALUE"""),"")</f>
        <v/>
      </c>
      <c r="Y101" s="14" t="str">
        <f>IFERROR(__xludf.DUMMYFUNCTION("""COMPUTED_VALUE"""),"")</f>
        <v/>
      </c>
      <c r="Z101" s="11" t="str">
        <f>IFERROR(__xludf.DUMMYFUNCTION("""COMPUTED_VALUE"""),"")</f>
        <v/>
      </c>
    </row>
    <row r="102">
      <c r="A102" s="35" t="str">
        <f>IFERROR(__xludf.DUMMYFUNCTION("""COMPUTED_VALUE"""),"")</f>
        <v/>
      </c>
      <c r="B102" s="35" t="str">
        <f>IFERROR(__xludf.DUMMYFUNCTION("""COMPUTED_VALUE"""),"35577")</f>
        <v>35577</v>
      </c>
      <c r="C102" s="172">
        <f>IFERROR(__xludf.DUMMYFUNCTION("""COMPUTED_VALUE"""),4.4627000469E10)</f>
        <v>44627000469</v>
      </c>
      <c r="D102" s="192" t="str">
        <f>IFERROR(__xludf.DUMMYFUNCTION("""COMPUTED_VALUE"""),"WMT")</f>
        <v>WMT</v>
      </c>
      <c r="E102" s="173">
        <f>IFERROR(__xludf.DUMMYFUNCTION("""COMPUTED_VALUE"""),44627.0)</f>
        <v>44627</v>
      </c>
      <c r="F102" s="35" t="str">
        <f>IFERROR(__xludf.DUMMYFUNCTION("""COMPUTED_VALUE"""),"Stock")</f>
        <v>Stock</v>
      </c>
      <c r="G102" s="35" t="str">
        <f>IFERROR(__xludf.DUMMYFUNCTION("""COMPUTED_VALUE"""),"USD")</f>
        <v>USD</v>
      </c>
      <c r="H102" s="181">
        <f>IFERROR(__xludf.DUMMYFUNCTION("""COMPUTED_VALUE"""),0.0)</f>
        <v>0</v>
      </c>
      <c r="I102" s="174">
        <f>IFERROR(__xludf.DUMMYFUNCTION("""COMPUTED_VALUE"""),7.81855)</f>
        <v>7.81855</v>
      </c>
      <c r="J102" s="175">
        <f>IFERROR(__xludf.DUMMYFUNCTION("""COMPUTED_VALUE"""),0.0)</f>
        <v>0</v>
      </c>
      <c r="K102" s="35"/>
      <c r="L102" s="175">
        <f>IFERROR(__xludf.DUMMYFUNCTION("""COMPUTED_VALUE"""),157.28)</f>
        <v>157.28</v>
      </c>
      <c r="M102" s="182" t="str">
        <f>IFERROR(__xludf.DUMMYFUNCTION("""COMPUTED_VALUE"""),"Equity Key Stats")</f>
        <v>Equity Key Stats</v>
      </c>
      <c r="N102" s="35"/>
      <c r="O102" s="35"/>
      <c r="P102" s="176">
        <f>IFERROR(__xludf.DUMMYFUNCTION("""COMPUTED_VALUE"""),0.0)</f>
        <v>0</v>
      </c>
      <c r="Q102" s="177"/>
      <c r="R102" s="178">
        <f>IFERROR(__xludf.DUMMYFUNCTION("""COMPUTED_VALUE"""),157.28)</f>
        <v>157.28</v>
      </c>
      <c r="S102" s="176">
        <f>IFERROR(__xludf.DUMMYFUNCTION("""COMPUTED_VALUE"""),0.0)</f>
        <v>0</v>
      </c>
      <c r="T102" s="95">
        <f>IFERROR(__xludf.DUMMYFUNCTION("""COMPUTED_VALUE"""),2.0)</f>
        <v>2</v>
      </c>
      <c r="U102" s="35" t="str">
        <f>IFERROR(__xludf.DUMMYFUNCTION("""COMPUTED_VALUE"""),"")</f>
        <v/>
      </c>
      <c r="V102" s="170" t="str">
        <f>IFERROR(__xludf.DUMMYFUNCTION("""COMPUTED_VALUE"""),"")</f>
        <v/>
      </c>
      <c r="W102" s="171" t="str">
        <f>IFERROR(__xludf.DUMMYFUNCTION("""COMPUTED_VALUE"""),"")</f>
        <v/>
      </c>
      <c r="X102" s="14" t="str">
        <f>IFERROR(__xludf.DUMMYFUNCTION("""COMPUTED_VALUE"""),"")</f>
        <v/>
      </c>
      <c r="Y102" s="14" t="str">
        <f>IFERROR(__xludf.DUMMYFUNCTION("""COMPUTED_VALUE"""),"")</f>
        <v/>
      </c>
      <c r="Z102" s="11" t="str">
        <f>IFERROR(__xludf.DUMMYFUNCTION("""COMPUTED_VALUE"""),"")</f>
        <v/>
      </c>
    </row>
    <row r="103">
      <c r="A103" s="35" t="str">
        <f>IFERROR(__xludf.DUMMYFUNCTION("""COMPUTED_VALUE"""),"")</f>
        <v/>
      </c>
      <c r="B103" s="35" t="str">
        <f>IFERROR(__xludf.DUMMYFUNCTION("""COMPUTED_VALUE"""),"35577")</f>
        <v>35577</v>
      </c>
      <c r="C103" s="172">
        <f>IFERROR(__xludf.DUMMYFUNCTION("""COMPUTED_VALUE"""),4.4628000476E10)</f>
        <v>44628000476</v>
      </c>
      <c r="D103" s="192" t="str">
        <f>IFERROR(__xludf.DUMMYFUNCTION("""COMPUTED_VALUE"""),"WMT")</f>
        <v>WMT</v>
      </c>
      <c r="E103" s="173">
        <f>IFERROR(__xludf.DUMMYFUNCTION("""COMPUTED_VALUE"""),44628.0)</f>
        <v>44628</v>
      </c>
      <c r="F103" s="35" t="str">
        <f>IFERROR(__xludf.DUMMYFUNCTION("""COMPUTED_VALUE"""),"Stock")</f>
        <v>Stock</v>
      </c>
      <c r="G103" s="35" t="str">
        <f>IFERROR(__xludf.DUMMYFUNCTION("""COMPUTED_VALUE"""),"USD")</f>
        <v>USD</v>
      </c>
      <c r="H103" s="181">
        <f>IFERROR(__xludf.DUMMYFUNCTION("""COMPUTED_VALUE"""),13.0)</f>
        <v>13</v>
      </c>
      <c r="I103" s="174">
        <f>IFERROR(__xludf.DUMMYFUNCTION("""COMPUTED_VALUE"""),7.818975)</f>
        <v>7.818975</v>
      </c>
      <c r="J103" s="175">
        <f>IFERROR(__xludf.DUMMYFUNCTION("""COMPUTED_VALUE"""),138.74)</f>
        <v>138.74</v>
      </c>
      <c r="K103" s="35"/>
      <c r="L103" s="175">
        <f>IFERROR(__xludf.DUMMYFUNCTION("""COMPUTED_VALUE"""),157.28)</f>
        <v>157.28</v>
      </c>
      <c r="M103" s="182" t="str">
        <f>IFERROR(__xludf.DUMMYFUNCTION("""COMPUTED_VALUE"""),"Equity Key Stats")</f>
        <v>Equity Key Stats</v>
      </c>
      <c r="N103" s="35"/>
      <c r="O103" s="35"/>
      <c r="P103" s="184">
        <f>IFERROR(__xludf.DUMMYFUNCTION("""COMPUTED_VALUE"""),-14102.459689500001)</f>
        <v>-14102.45969</v>
      </c>
      <c r="Q103" s="177"/>
      <c r="R103" s="178">
        <f>IFERROR(__xludf.DUMMYFUNCTION("""COMPUTED_VALUE"""),157.28)</f>
        <v>157.28</v>
      </c>
      <c r="S103" s="176">
        <f>IFERROR(__xludf.DUMMYFUNCTION("""COMPUTED_VALUE"""),15986.989044)</f>
        <v>15986.98904</v>
      </c>
      <c r="T103" s="95">
        <f>IFERROR(__xludf.DUMMYFUNCTION("""COMPUTED_VALUE"""),2.0)</f>
        <v>2</v>
      </c>
      <c r="U103" s="35">
        <f>IFERROR(__xludf.DUMMYFUNCTION("""COMPUTED_VALUE"""),1.0)</f>
        <v>1</v>
      </c>
      <c r="V103" s="170">
        <f>IFERROR(__xludf.DUMMYFUNCTION("""COMPUTED_VALUE"""),1884.5293544999986)</f>
        <v>1884.529355</v>
      </c>
      <c r="W103" s="171" t="str">
        <f>IFERROR(__xludf.DUMMYFUNCTION("""COMPUTED_VALUE"""),"")</f>
        <v/>
      </c>
      <c r="X103" s="14" t="str">
        <f>IFERROR(__xludf.DUMMYFUNCTION("""COMPUTED_VALUE"""),"")</f>
        <v/>
      </c>
      <c r="Y103" s="14" t="str">
        <f>IFERROR(__xludf.DUMMYFUNCTION("""COMPUTED_VALUE"""),"")</f>
        <v/>
      </c>
      <c r="Z103" s="11" t="str">
        <f>IFERROR(__xludf.DUMMYFUNCTION("""COMPUTED_VALUE"""),"")</f>
        <v/>
      </c>
    </row>
    <row r="104">
      <c r="A104" s="35" t="str">
        <f>IFERROR(__xludf.DUMMYFUNCTION("""COMPUTED_VALUE"""),"")</f>
        <v/>
      </c>
      <c r="B104" s="35" t="str">
        <f>IFERROR(__xludf.DUMMYFUNCTION("""COMPUTED_VALUE"""),"35577")</f>
        <v>35577</v>
      </c>
      <c r="C104" s="172">
        <f>IFERROR(__xludf.DUMMYFUNCTION("""COMPUTED_VALUE"""),4.4642000796E10)</f>
        <v>44642000796</v>
      </c>
      <c r="D104" s="192" t="str">
        <f>IFERROR(__xludf.DUMMYFUNCTION("""COMPUTED_VALUE"""),"AAPL")</f>
        <v>AAPL</v>
      </c>
      <c r="E104" s="173">
        <f>IFERROR(__xludf.DUMMYFUNCTION("""COMPUTED_VALUE"""),44642.0)</f>
        <v>44642</v>
      </c>
      <c r="F104" s="35" t="str">
        <f>IFERROR(__xludf.DUMMYFUNCTION("""COMPUTED_VALUE"""),"Stock")</f>
        <v>Stock</v>
      </c>
      <c r="G104" s="35" t="str">
        <f>IFERROR(__xludf.DUMMYFUNCTION("""COMPUTED_VALUE"""),"USD")</f>
        <v>USD</v>
      </c>
      <c r="H104" s="181">
        <f>IFERROR(__xludf.DUMMYFUNCTION("""COMPUTED_VALUE"""),0.0)</f>
        <v>0</v>
      </c>
      <c r="I104" s="174">
        <f>IFERROR(__xludf.DUMMYFUNCTION("""COMPUTED_VALUE"""),7.82695)</f>
        <v>7.82695</v>
      </c>
      <c r="J104" s="175">
        <f>IFERROR(__xludf.DUMMYFUNCTION("""COMPUTED_VALUE"""),0.0)</f>
        <v>0</v>
      </c>
      <c r="K104" s="35"/>
      <c r="L104" s="175">
        <f>IFERROR(__xludf.DUMMYFUNCTION("""COMPUTED_VALUE"""),170.4)</f>
        <v>170.4</v>
      </c>
      <c r="M104" s="182" t="str">
        <f>IFERROR(__xludf.DUMMYFUNCTION("""COMPUTED_VALUE"""),"Equity Key Stats")</f>
        <v>Equity Key Stats</v>
      </c>
      <c r="N104" s="35"/>
      <c r="O104" s="35"/>
      <c r="P104" s="184">
        <f>IFERROR(__xludf.DUMMYFUNCTION("""COMPUTED_VALUE"""),0.0)</f>
        <v>0</v>
      </c>
      <c r="Q104" s="177"/>
      <c r="R104" s="178">
        <f>IFERROR(__xludf.DUMMYFUNCTION("""COMPUTED_VALUE"""),170.4)</f>
        <v>170.4</v>
      </c>
      <c r="S104" s="176">
        <f>IFERROR(__xludf.DUMMYFUNCTION("""COMPUTED_VALUE"""),0.0)</f>
        <v>0</v>
      </c>
      <c r="T104" s="95">
        <f>IFERROR(__xludf.DUMMYFUNCTION("""COMPUTED_VALUE"""),3.0)</f>
        <v>3</v>
      </c>
      <c r="U104" s="35" t="str">
        <f>IFERROR(__xludf.DUMMYFUNCTION("""COMPUTED_VALUE"""),"")</f>
        <v/>
      </c>
      <c r="V104" s="170" t="str">
        <f>IFERROR(__xludf.DUMMYFUNCTION("""COMPUTED_VALUE"""),"")</f>
        <v/>
      </c>
      <c r="W104" s="171" t="str">
        <f>IFERROR(__xludf.DUMMYFUNCTION("""COMPUTED_VALUE"""),"")</f>
        <v/>
      </c>
      <c r="X104" s="14" t="str">
        <f>IFERROR(__xludf.DUMMYFUNCTION("""COMPUTED_VALUE"""),"")</f>
        <v/>
      </c>
      <c r="Y104" s="14" t="str">
        <f>IFERROR(__xludf.DUMMYFUNCTION("""COMPUTED_VALUE"""),"")</f>
        <v/>
      </c>
      <c r="Z104" s="11" t="str">
        <f>IFERROR(__xludf.DUMMYFUNCTION("""COMPUTED_VALUE"""),"")</f>
        <v/>
      </c>
    </row>
    <row r="105">
      <c r="A105" s="35" t="str">
        <f>IFERROR(__xludf.DUMMYFUNCTION("""COMPUTED_VALUE"""),"")</f>
        <v/>
      </c>
      <c r="B105" s="35" t="str">
        <f>IFERROR(__xludf.DUMMYFUNCTION("""COMPUTED_VALUE"""),"35577")</f>
        <v>35577</v>
      </c>
      <c r="C105" s="172">
        <f>IFERROR(__xludf.DUMMYFUNCTION("""COMPUTED_VALUE"""),4.4644000881E10)</f>
        <v>44644000881</v>
      </c>
      <c r="D105" s="192" t="str">
        <f>IFERROR(__xludf.DUMMYFUNCTION("""COMPUTED_VALUE"""),"AAPL")</f>
        <v>AAPL</v>
      </c>
      <c r="E105" s="173">
        <f>IFERROR(__xludf.DUMMYFUNCTION("""COMPUTED_VALUE"""),44644.0)</f>
        <v>44644</v>
      </c>
      <c r="F105" s="35" t="str">
        <f>IFERROR(__xludf.DUMMYFUNCTION("""COMPUTED_VALUE"""),"Stock")</f>
        <v>Stock</v>
      </c>
      <c r="G105" s="35" t="str">
        <f>IFERROR(__xludf.DUMMYFUNCTION("""COMPUTED_VALUE"""),"USD")</f>
        <v>USD</v>
      </c>
      <c r="H105" s="181">
        <f>IFERROR(__xludf.DUMMYFUNCTION("""COMPUTED_VALUE"""),-11.0)</f>
        <v>-11</v>
      </c>
      <c r="I105" s="174">
        <f>IFERROR(__xludf.DUMMYFUNCTION("""COMPUTED_VALUE"""),7.82365)</f>
        <v>7.82365</v>
      </c>
      <c r="J105" s="175">
        <f>IFERROR(__xludf.DUMMYFUNCTION("""COMPUTED_VALUE"""),174.07)</f>
        <v>174.07</v>
      </c>
      <c r="K105" s="35"/>
      <c r="L105" s="175">
        <f>IFERROR(__xludf.DUMMYFUNCTION("""COMPUTED_VALUE"""),170.4)</f>
        <v>170.4</v>
      </c>
      <c r="M105" s="182" t="str">
        <f>IFERROR(__xludf.DUMMYFUNCTION("""COMPUTED_VALUE"""),"Equity Key Stats")</f>
        <v>Equity Key Stats</v>
      </c>
      <c r="N105" s="35"/>
      <c r="O105" s="35"/>
      <c r="P105" s="184">
        <f>IFERROR(__xludf.DUMMYFUNCTION("""COMPUTED_VALUE"""),14980.490310499998)</f>
        <v>14980.49031</v>
      </c>
      <c r="Q105" s="177"/>
      <c r="R105" s="178">
        <f>IFERROR(__xludf.DUMMYFUNCTION("""COMPUTED_VALUE"""),170.4)</f>
        <v>170.4</v>
      </c>
      <c r="S105" s="176">
        <f>IFERROR(__xludf.DUMMYFUNCTION("""COMPUTED_VALUE"""),-14664.64956)</f>
        <v>-14664.64956</v>
      </c>
      <c r="T105" s="95">
        <f>IFERROR(__xludf.DUMMYFUNCTION("""COMPUTED_VALUE"""),3.0)</f>
        <v>3</v>
      </c>
      <c r="U105" s="35">
        <f>IFERROR(__xludf.DUMMYFUNCTION("""COMPUTED_VALUE"""),1.0)</f>
        <v>1</v>
      </c>
      <c r="V105" s="170">
        <f>IFERROR(__xludf.DUMMYFUNCTION("""COMPUTED_VALUE"""),1270.4857054999957)</f>
        <v>1270.485706</v>
      </c>
      <c r="W105" s="171" t="str">
        <f>IFERROR(__xludf.DUMMYFUNCTION("""COMPUTED_VALUE"""),"")</f>
        <v/>
      </c>
      <c r="X105" s="14" t="str">
        <f>IFERROR(__xludf.DUMMYFUNCTION("""COMPUTED_VALUE"""),"")</f>
        <v/>
      </c>
      <c r="Y105" s="14" t="str">
        <f>IFERROR(__xludf.DUMMYFUNCTION("""COMPUTED_VALUE"""),"")</f>
        <v/>
      </c>
      <c r="Z105" s="11" t="str">
        <f>IFERROR(__xludf.DUMMYFUNCTION("""COMPUTED_VALUE"""),"")</f>
        <v/>
      </c>
    </row>
    <row r="106">
      <c r="A106" s="35" t="str">
        <f>IFERROR(__xludf.DUMMYFUNCTION("""COMPUTED_VALUE"""),"")</f>
        <v/>
      </c>
      <c r="B106" s="35" t="str">
        <f>IFERROR(__xludf.DUMMYFUNCTION("""COMPUTED_VALUE"""),"35577")</f>
        <v>35577</v>
      </c>
      <c r="C106" s="172">
        <f>IFERROR(__xludf.DUMMYFUNCTION("""COMPUTED_VALUE"""),4.4648000982E10)</f>
        <v>44648000982</v>
      </c>
      <c r="D106" s="192" t="str">
        <f>IFERROR(__xludf.DUMMYFUNCTION("""COMPUTED_VALUE"""),"ADBE")</f>
        <v>ADBE</v>
      </c>
      <c r="E106" s="173">
        <f>IFERROR(__xludf.DUMMYFUNCTION("""COMPUTED_VALUE"""),44648.0)</f>
        <v>44648</v>
      </c>
      <c r="F106" s="35" t="str">
        <f>IFERROR(__xludf.DUMMYFUNCTION("""COMPUTED_VALUE"""),"Stock")</f>
        <v>Stock</v>
      </c>
      <c r="G106" s="35" t="str">
        <f>IFERROR(__xludf.DUMMYFUNCTION("""COMPUTED_VALUE"""),"USD")</f>
        <v>USD</v>
      </c>
      <c r="H106" s="181">
        <f>IFERROR(__xludf.DUMMYFUNCTION("""COMPUTED_VALUE"""),0.0)</f>
        <v>0</v>
      </c>
      <c r="I106" s="174">
        <f>IFERROR(__xludf.DUMMYFUNCTION("""COMPUTED_VALUE"""),7.82905)</f>
        <v>7.82905</v>
      </c>
      <c r="J106" s="175">
        <f>IFERROR(__xludf.DUMMYFUNCTION("""COMPUTED_VALUE"""),0.0)</f>
        <v>0</v>
      </c>
      <c r="K106" s="35"/>
      <c r="L106" s="175">
        <f>IFERROR(__xludf.DUMMYFUNCTION("""COMPUTED_VALUE"""),431.67)</f>
        <v>431.67</v>
      </c>
      <c r="M106" s="182" t="str">
        <f>IFERROR(__xludf.DUMMYFUNCTION("""COMPUTED_VALUE"""),"Equity Key Stats")</f>
        <v>Equity Key Stats</v>
      </c>
      <c r="N106" s="35"/>
      <c r="O106" s="35"/>
      <c r="P106" s="184">
        <f>IFERROR(__xludf.DUMMYFUNCTION("""COMPUTED_VALUE"""),0.0)</f>
        <v>0</v>
      </c>
      <c r="Q106" s="177"/>
      <c r="R106" s="178">
        <f>IFERROR(__xludf.DUMMYFUNCTION("""COMPUTED_VALUE"""),431.67)</f>
        <v>431.67</v>
      </c>
      <c r="S106" s="176">
        <f>IFERROR(__xludf.DUMMYFUNCTION("""COMPUTED_VALUE"""),0.0)</f>
        <v>0</v>
      </c>
      <c r="T106" s="95">
        <f>IFERROR(__xludf.DUMMYFUNCTION("""COMPUTED_VALUE"""),2.0)</f>
        <v>2</v>
      </c>
      <c r="U106" s="35" t="str">
        <f>IFERROR(__xludf.DUMMYFUNCTION("""COMPUTED_VALUE"""),"")</f>
        <v/>
      </c>
      <c r="V106" s="170" t="str">
        <f>IFERROR(__xludf.DUMMYFUNCTION("""COMPUTED_VALUE"""),"")</f>
        <v/>
      </c>
      <c r="W106" s="171" t="str">
        <f>IFERROR(__xludf.DUMMYFUNCTION("""COMPUTED_VALUE"""),"")</f>
        <v/>
      </c>
      <c r="X106" s="14" t="str">
        <f>IFERROR(__xludf.DUMMYFUNCTION("""COMPUTED_VALUE"""),"")</f>
        <v/>
      </c>
      <c r="Y106" s="14" t="str">
        <f>IFERROR(__xludf.DUMMYFUNCTION("""COMPUTED_VALUE"""),"")</f>
        <v/>
      </c>
      <c r="Z106" s="11" t="str">
        <f>IFERROR(__xludf.DUMMYFUNCTION("""COMPUTED_VALUE"""),"")</f>
        <v/>
      </c>
    </row>
    <row r="107">
      <c r="A107" s="35" t="str">
        <f>IFERROR(__xludf.DUMMYFUNCTION("""COMPUTED_VALUE"""),"")</f>
        <v/>
      </c>
      <c r="B107" s="35" t="str">
        <f>IFERROR(__xludf.DUMMYFUNCTION("""COMPUTED_VALUE"""),"35577")</f>
        <v>35577</v>
      </c>
      <c r="C107" s="172">
        <f>IFERROR(__xludf.DUMMYFUNCTION("""COMPUTED_VALUE"""),4.4649001011E10)</f>
        <v>44649001011</v>
      </c>
      <c r="D107" s="192" t="str">
        <f>IFERROR(__xludf.DUMMYFUNCTION("""COMPUTED_VALUE"""),"BAC")</f>
        <v>BAC</v>
      </c>
      <c r="E107" s="173">
        <f>IFERROR(__xludf.DUMMYFUNCTION("""COMPUTED_VALUE"""),44649.0)</f>
        <v>44649</v>
      </c>
      <c r="F107" s="35" t="str">
        <f>IFERROR(__xludf.DUMMYFUNCTION("""COMPUTED_VALUE"""),"Stock")</f>
        <v>Stock</v>
      </c>
      <c r="G107" s="35" t="str">
        <f>IFERROR(__xludf.DUMMYFUNCTION("""COMPUTED_VALUE"""),"USD")</f>
        <v>USD</v>
      </c>
      <c r="H107" s="181">
        <f>IFERROR(__xludf.DUMMYFUNCTION("""COMPUTED_VALUE"""),235.0)</f>
        <v>235</v>
      </c>
      <c r="I107" s="174">
        <f>IFERROR(__xludf.DUMMYFUNCTION("""COMPUTED_VALUE"""),7.827315)</f>
        <v>7.827315</v>
      </c>
      <c r="J107" s="175">
        <f>IFERROR(__xludf.DUMMYFUNCTION("""COMPUTED_VALUE"""),43.44)</f>
        <v>43.44</v>
      </c>
      <c r="K107" s="35"/>
      <c r="L107" s="175">
        <f>IFERROR(__xludf.DUMMYFUNCTION("""COMPUTED_VALUE"""),38.85)</f>
        <v>38.85</v>
      </c>
      <c r="M107" s="182" t="str">
        <f>IFERROR(__xludf.DUMMYFUNCTION("""COMPUTED_VALUE"""),"Equity Key Stats")</f>
        <v>Equity Key Stats</v>
      </c>
      <c r="N107" s="35"/>
      <c r="O107" s="35"/>
      <c r="P107" s="176">
        <f>IFERROR(__xludf.DUMMYFUNCTION("""COMPUTED_VALUE"""),-79904.362446)</f>
        <v>-79904.36245</v>
      </c>
      <c r="Q107" s="177"/>
      <c r="R107" s="178">
        <f>IFERROR(__xludf.DUMMYFUNCTION("""COMPUTED_VALUE"""),38.85)</f>
        <v>38.85</v>
      </c>
      <c r="S107" s="176">
        <f>IFERROR(__xludf.DUMMYFUNCTION("""COMPUTED_VALUE"""),71461.42912125)</f>
        <v>71461.42912</v>
      </c>
      <c r="T107" s="95">
        <f>IFERROR(__xludf.DUMMYFUNCTION("""COMPUTED_VALUE"""),2.0)</f>
        <v>2</v>
      </c>
      <c r="U107" s="35" t="str">
        <f>IFERROR(__xludf.DUMMYFUNCTION("""COMPUTED_VALUE"""),"")</f>
        <v/>
      </c>
      <c r="V107" s="170" t="str">
        <f>IFERROR(__xludf.DUMMYFUNCTION("""COMPUTED_VALUE"""),"")</f>
        <v/>
      </c>
      <c r="W107" s="171" t="str">
        <f>IFERROR(__xludf.DUMMYFUNCTION("""COMPUTED_VALUE"""),"")</f>
        <v/>
      </c>
      <c r="X107" s="14" t="str">
        <f>IFERROR(__xludf.DUMMYFUNCTION("""COMPUTED_VALUE"""),"")</f>
        <v/>
      </c>
      <c r="Y107" s="14" t="str">
        <f>IFERROR(__xludf.DUMMYFUNCTION("""COMPUTED_VALUE"""),"")</f>
        <v/>
      </c>
      <c r="Z107" s="11" t="str">
        <f>IFERROR(__xludf.DUMMYFUNCTION("""COMPUTED_VALUE"""),"")</f>
        <v/>
      </c>
    </row>
    <row r="108">
      <c r="A108" s="35" t="str">
        <f>IFERROR(__xludf.DUMMYFUNCTION("""COMPUTED_VALUE"""),"")</f>
        <v/>
      </c>
      <c r="B108" s="35" t="str">
        <f>IFERROR(__xludf.DUMMYFUNCTION("""COMPUTED_VALUE"""),"35577")</f>
        <v>35577</v>
      </c>
      <c r="C108" s="172">
        <f>IFERROR(__xludf.DUMMYFUNCTION("""COMPUTED_VALUE"""),4.4649001012E10)</f>
        <v>44649001012</v>
      </c>
      <c r="D108" s="192" t="str">
        <f>IFERROR(__xludf.DUMMYFUNCTION("""COMPUTED_VALUE"""),"ADBE")</f>
        <v>ADBE</v>
      </c>
      <c r="E108" s="173">
        <f>IFERROR(__xludf.DUMMYFUNCTION("""COMPUTED_VALUE"""),44649.0)</f>
        <v>44649</v>
      </c>
      <c r="F108" s="35" t="str">
        <f>IFERROR(__xludf.DUMMYFUNCTION("""COMPUTED_VALUE"""),"Stock")</f>
        <v>Stock</v>
      </c>
      <c r="G108" s="35" t="str">
        <f>IFERROR(__xludf.DUMMYFUNCTION("""COMPUTED_VALUE"""),"USD")</f>
        <v>USD</v>
      </c>
      <c r="H108" s="181">
        <f>IFERROR(__xludf.DUMMYFUNCTION("""COMPUTED_VALUE"""),25.0)</f>
        <v>25</v>
      </c>
      <c r="I108" s="174">
        <f>IFERROR(__xludf.DUMMYFUNCTION("""COMPUTED_VALUE"""),7.827315)</f>
        <v>7.827315</v>
      </c>
      <c r="J108" s="175">
        <f>IFERROR(__xludf.DUMMYFUNCTION("""COMPUTED_VALUE"""),466.33)</f>
        <v>466.33</v>
      </c>
      <c r="K108" s="35"/>
      <c r="L108" s="175">
        <f>IFERROR(__xludf.DUMMYFUNCTION("""COMPUTED_VALUE"""),431.67)</f>
        <v>431.67</v>
      </c>
      <c r="M108" s="182" t="str">
        <f>IFERROR(__xludf.DUMMYFUNCTION("""COMPUTED_VALUE"""),"Equity Key Stats")</f>
        <v>Equity Key Stats</v>
      </c>
      <c r="N108" s="35"/>
      <c r="O108" s="35"/>
      <c r="P108" s="184">
        <f>IFERROR(__xludf.DUMMYFUNCTION("""COMPUTED_VALUE"""),-91252.79509875)</f>
        <v>-91252.7951</v>
      </c>
      <c r="Q108" s="177"/>
      <c r="R108" s="178">
        <f>IFERROR(__xludf.DUMMYFUNCTION("""COMPUTED_VALUE"""),431.67)</f>
        <v>431.67</v>
      </c>
      <c r="S108" s="176">
        <f>IFERROR(__xludf.DUMMYFUNCTION("""COMPUTED_VALUE"""),84470.42665125)</f>
        <v>84470.42665</v>
      </c>
      <c r="T108" s="95">
        <f>IFERROR(__xludf.DUMMYFUNCTION("""COMPUTED_VALUE"""),2.0)</f>
        <v>2</v>
      </c>
      <c r="U108" s="35">
        <f>IFERROR(__xludf.DUMMYFUNCTION("""COMPUTED_VALUE"""),1.0)</f>
        <v>1</v>
      </c>
      <c r="V108" s="170">
        <f>IFERROR(__xludf.DUMMYFUNCTION("""COMPUTED_VALUE"""),-6782.36844749999)</f>
        <v>-6782.368447</v>
      </c>
      <c r="W108" s="171" t="str">
        <f>IFERROR(__xludf.DUMMYFUNCTION("""COMPUTED_VALUE"""),"")</f>
        <v/>
      </c>
      <c r="X108" s="14" t="str">
        <f>IFERROR(__xludf.DUMMYFUNCTION("""COMPUTED_VALUE"""),"")</f>
        <v/>
      </c>
      <c r="Y108" s="14" t="str">
        <f>IFERROR(__xludf.DUMMYFUNCTION("""COMPUTED_VALUE"""),"")</f>
        <v/>
      </c>
      <c r="Z108" s="11" t="str">
        <f>IFERROR(__xludf.DUMMYFUNCTION("""COMPUTED_VALUE"""),"")</f>
        <v/>
      </c>
    </row>
    <row r="109">
      <c r="A109" s="35" t="str">
        <f>IFERROR(__xludf.DUMMYFUNCTION("""COMPUTED_VALUE"""),"")</f>
        <v/>
      </c>
      <c r="B109" s="35" t="str">
        <f>IFERROR(__xludf.DUMMYFUNCTION("""COMPUTED_VALUE"""),"35577")</f>
        <v>35577</v>
      </c>
      <c r="C109" s="172">
        <f>IFERROR(__xludf.DUMMYFUNCTION("""COMPUTED_VALUE"""),4.4651001066E10)</f>
        <v>44651001066</v>
      </c>
      <c r="D109" s="192" t="str">
        <f>IFERROR(__xludf.DUMMYFUNCTION("""COMPUTED_VALUE"""),"DIS")</f>
        <v>DIS</v>
      </c>
      <c r="E109" s="173">
        <f>IFERROR(__xludf.DUMMYFUNCTION("""COMPUTED_VALUE"""),44651.0)</f>
        <v>44651</v>
      </c>
      <c r="F109" s="35" t="str">
        <f>IFERROR(__xludf.DUMMYFUNCTION("""COMPUTED_VALUE"""),"Stock")</f>
        <v>Stock</v>
      </c>
      <c r="G109" s="35" t="str">
        <f>IFERROR(__xludf.DUMMYFUNCTION("""COMPUTED_VALUE"""),"USD")</f>
        <v>USD</v>
      </c>
      <c r="H109" s="181">
        <f>IFERROR(__xludf.DUMMYFUNCTION("""COMPUTED_VALUE"""),36.0)</f>
        <v>36</v>
      </c>
      <c r="I109" s="174">
        <f>IFERROR(__xludf.DUMMYFUNCTION("""COMPUTED_VALUE"""),7.83335)</f>
        <v>7.83335</v>
      </c>
      <c r="J109" s="175">
        <f>IFERROR(__xludf.DUMMYFUNCTION("""COMPUTED_VALUE"""),137.16)</f>
        <v>137.16</v>
      </c>
      <c r="K109" s="35"/>
      <c r="L109" s="175">
        <f>IFERROR(__xludf.DUMMYFUNCTION("""COMPUTED_VALUE"""),132.38)</f>
        <v>132.38</v>
      </c>
      <c r="M109" s="182" t="str">
        <f>IFERROR(__xludf.DUMMYFUNCTION("""COMPUTED_VALUE"""),"Equity Key Stats")</f>
        <v>Equity Key Stats</v>
      </c>
      <c r="N109" s="35"/>
      <c r="O109" s="35"/>
      <c r="P109" s="184">
        <f>IFERROR(__xludf.DUMMYFUNCTION("""COMPUTED_VALUE"""),-38679.202296)</f>
        <v>-38679.2023</v>
      </c>
      <c r="Q109" s="177"/>
      <c r="R109" s="178">
        <f>IFERROR(__xludf.DUMMYFUNCTION("""COMPUTED_VALUE"""),132.38)</f>
        <v>132.38</v>
      </c>
      <c r="S109" s="176">
        <f>IFERROR(__xludf.DUMMYFUNCTION("""COMPUTED_VALUE"""),37331.239428)</f>
        <v>37331.23943</v>
      </c>
      <c r="T109" s="95">
        <f>IFERROR(__xludf.DUMMYFUNCTION("""COMPUTED_VALUE"""),1.0)</f>
        <v>1</v>
      </c>
      <c r="U109" s="35">
        <f>IFERROR(__xludf.DUMMYFUNCTION("""COMPUTED_VALUE"""),1.0)</f>
        <v>1</v>
      </c>
      <c r="V109" s="170">
        <f>IFERROR(__xludf.DUMMYFUNCTION("""COMPUTED_VALUE"""),-1347.9628680000023)</f>
        <v>-1347.962868</v>
      </c>
      <c r="W109" s="171" t="str">
        <f>IFERROR(__xludf.DUMMYFUNCTION("""COMPUTED_VALUE"""),"")</f>
        <v/>
      </c>
      <c r="X109" s="14" t="str">
        <f>IFERROR(__xludf.DUMMYFUNCTION("""COMPUTED_VALUE"""),"")</f>
        <v/>
      </c>
      <c r="Y109" s="14" t="str">
        <f>IFERROR(__xludf.DUMMYFUNCTION("""COMPUTED_VALUE"""),"")</f>
        <v/>
      </c>
      <c r="Z109" s="11" t="str">
        <f>IFERROR(__xludf.DUMMYFUNCTION("""COMPUTED_VALUE"""),"")</f>
        <v/>
      </c>
    </row>
    <row r="110">
      <c r="A110" s="35" t="str">
        <f>IFERROR(__xludf.DUMMYFUNCTION("""COMPUTED_VALUE"""),"35577")</f>
        <v>35577</v>
      </c>
      <c r="B110" s="35" t="str">
        <f>IFERROR(__xludf.DUMMYFUNCTION("""COMPUTED_VALUE"""),"35577")</f>
        <v>35577</v>
      </c>
      <c r="C110" s="172">
        <f>IFERROR(__xludf.DUMMYFUNCTION("""COMPUTED_VALUE"""),4.4656001147E10)</f>
        <v>44656001147</v>
      </c>
      <c r="D110" s="192" t="str">
        <f>IFERROR(__xludf.DUMMYFUNCTION("""COMPUTED_VALUE"""),"BAC")</f>
        <v>BAC</v>
      </c>
      <c r="E110" s="173">
        <f>IFERROR(__xludf.DUMMYFUNCTION("""COMPUTED_VALUE"""),44656.0)</f>
        <v>44656</v>
      </c>
      <c r="F110" s="35" t="str">
        <f>IFERROR(__xludf.DUMMYFUNCTION("""COMPUTED_VALUE"""),"Stock")</f>
        <v>Stock</v>
      </c>
      <c r="G110" s="35" t="str">
        <f>IFERROR(__xludf.DUMMYFUNCTION("""COMPUTED_VALUE"""),"USD")</f>
        <v>USD</v>
      </c>
      <c r="H110" s="181">
        <f>IFERROR(__xludf.DUMMYFUNCTION("""COMPUTED_VALUE"""),80.0)</f>
        <v>80</v>
      </c>
      <c r="I110" s="174">
        <f>IFERROR(__xludf.DUMMYFUNCTION("""COMPUTED_VALUE"""),7.83386)</f>
        <v>7.83386</v>
      </c>
      <c r="J110" s="175">
        <f>IFERROR(__xludf.DUMMYFUNCTION("""COMPUTED_VALUE"""),40.14)</f>
        <v>40.14</v>
      </c>
      <c r="K110" s="35"/>
      <c r="L110" s="175">
        <f>IFERROR(__xludf.DUMMYFUNCTION("""COMPUTED_VALUE"""),38.85)</f>
        <v>38.85</v>
      </c>
      <c r="M110" s="182" t="str">
        <f>IFERROR(__xludf.DUMMYFUNCTION("""COMPUTED_VALUE"""),"Equity Key Stats")</f>
        <v>Equity Key Stats</v>
      </c>
      <c r="N110" s="35"/>
      <c r="O110" s="35"/>
      <c r="P110" s="184">
        <f>IFERROR(__xludf.DUMMYFUNCTION("""COMPUTED_VALUE"""),-25156.091232)</f>
        <v>-25156.09123</v>
      </c>
      <c r="Q110" s="177"/>
      <c r="R110" s="178">
        <f>IFERROR(__xludf.DUMMYFUNCTION("""COMPUTED_VALUE"""),38.85)</f>
        <v>38.85</v>
      </c>
      <c r="S110" s="176">
        <f>IFERROR(__xludf.DUMMYFUNCTION("""COMPUTED_VALUE"""),24347.636880000002)</f>
        <v>24347.63688</v>
      </c>
      <c r="T110" s="95">
        <f>IFERROR(__xludf.DUMMYFUNCTION("""COMPUTED_VALUE"""),2.0)</f>
        <v>2</v>
      </c>
      <c r="U110" s="35">
        <f>IFERROR(__xludf.DUMMYFUNCTION("""COMPUTED_VALUE"""),1.0)</f>
        <v>1</v>
      </c>
      <c r="V110" s="170">
        <f>IFERROR(__xludf.DUMMYFUNCTION("""COMPUTED_VALUE"""),-9251.38767674999)</f>
        <v>-9251.387677</v>
      </c>
      <c r="W110" s="171">
        <f>IFERROR(__xludf.DUMMYFUNCTION("""COMPUTED_VALUE"""),484758.19492105755)</f>
        <v>484758.1949</v>
      </c>
      <c r="X110" s="14">
        <f>IFERROR(__xludf.DUMMYFUNCTION("""COMPUTED_VALUE"""),148874.8805012001)</f>
        <v>148874.8805</v>
      </c>
      <c r="Y110" s="14">
        <f>IFERROR(__xludf.DUMMYFUNCTION("""COMPUTED_VALUE"""),0.0)</f>
        <v>0</v>
      </c>
      <c r="Z110" s="11">
        <f>IFERROR(__xludf.DUMMYFUNCTION("""COMPUTED_VALUE"""),-0.03048361015788492)</f>
        <v>-0.03048361016</v>
      </c>
    </row>
    <row r="111">
      <c r="A111" s="35" t="str">
        <f>IFERROR(__xludf.DUMMYFUNCTION("""COMPUTED_VALUE"""),"")</f>
        <v/>
      </c>
      <c r="B111" s="35" t="str">
        <f>IFERROR(__xludf.DUMMYFUNCTION("""COMPUTED_VALUE"""),"35702")</f>
        <v>35702</v>
      </c>
      <c r="C111" s="172">
        <f>IFERROR(__xludf.DUMMYFUNCTION("""COMPUTED_VALUE"""),4.4597000031E10)</f>
        <v>44597000031</v>
      </c>
      <c r="D111" s="191" t="str">
        <f>IFERROR(__xludf.DUMMYFUNCTION("""COMPUTED_VALUE"""),"Cash")</f>
        <v>Cash</v>
      </c>
      <c r="E111" s="173">
        <f>IFERROR(__xludf.DUMMYFUNCTION("""COMPUTED_VALUE"""),44597.0)</f>
        <v>44597</v>
      </c>
      <c r="F111" s="35" t="str">
        <f>IFERROR(__xludf.DUMMYFUNCTION("""COMPUTED_VALUE"""),"Cash")</f>
        <v>Cash</v>
      </c>
      <c r="G111" s="35" t="str">
        <f>IFERROR(__xludf.DUMMYFUNCTION("""COMPUTED_VALUE"""),"HKD")</f>
        <v>HKD</v>
      </c>
      <c r="H111" s="181" t="str">
        <f>IFERROR(__xludf.DUMMYFUNCTION("""COMPUTED_VALUE"""),"")</f>
        <v/>
      </c>
      <c r="I111" s="174">
        <f>IFERROR(__xludf.DUMMYFUNCTION("""COMPUTED_VALUE"""),1.0)</f>
        <v>1</v>
      </c>
      <c r="J111" s="175">
        <f>IFERROR(__xludf.DUMMYFUNCTION("""COMPUTED_VALUE"""),1.0)</f>
        <v>1</v>
      </c>
      <c r="K111" s="35"/>
      <c r="L111" s="175">
        <f>IFERROR(__xludf.DUMMYFUNCTION("""COMPUTED_VALUE"""),1.0)</f>
        <v>1</v>
      </c>
      <c r="M111" s="182" t="str">
        <f>IFERROR(__xludf.DUMMYFUNCTION("""COMPUTED_VALUE"""),"")</f>
        <v/>
      </c>
      <c r="N111" s="35"/>
      <c r="O111" s="35"/>
      <c r="P111" s="184">
        <f>IFERROR(__xludf.DUMMYFUNCTION("""COMPUTED_VALUE"""),500000.0)</f>
        <v>500000</v>
      </c>
      <c r="Q111" s="177"/>
      <c r="R111" s="178">
        <f>IFERROR(__xludf.DUMMYFUNCTION("""COMPUTED_VALUE"""),1.0)</f>
        <v>1</v>
      </c>
      <c r="S111" s="176" t="str">
        <f>IFERROR(__xludf.DUMMYFUNCTION("""COMPUTED_VALUE"""),"")</f>
        <v/>
      </c>
      <c r="T111" s="95">
        <f>IFERROR(__xludf.DUMMYFUNCTION("""COMPUTED_VALUE"""),1.0)</f>
        <v>1</v>
      </c>
      <c r="U111" s="35">
        <f>IFERROR(__xludf.DUMMYFUNCTION("""COMPUTED_VALUE"""),1.0)</f>
        <v>1</v>
      </c>
      <c r="V111" s="170">
        <f>IFERROR(__xludf.DUMMYFUNCTION("""COMPUTED_VALUE"""),500000.0)</f>
        <v>500000</v>
      </c>
      <c r="W111" s="171" t="str">
        <f>IFERROR(__xludf.DUMMYFUNCTION("""COMPUTED_VALUE"""),"")</f>
        <v/>
      </c>
      <c r="X111" s="14" t="str">
        <f>IFERROR(__xludf.DUMMYFUNCTION("""COMPUTED_VALUE"""),"")</f>
        <v/>
      </c>
      <c r="Y111" s="14" t="str">
        <f>IFERROR(__xludf.DUMMYFUNCTION("""COMPUTED_VALUE"""),"")</f>
        <v/>
      </c>
      <c r="Z111" s="11" t="str">
        <f>IFERROR(__xludf.DUMMYFUNCTION("""COMPUTED_VALUE"""),"")</f>
        <v/>
      </c>
    </row>
    <row r="112">
      <c r="A112" s="35" t="str">
        <f>IFERROR(__xludf.DUMMYFUNCTION("""COMPUTED_VALUE"""),"")</f>
        <v/>
      </c>
      <c r="B112" s="35" t="str">
        <f>IFERROR(__xludf.DUMMYFUNCTION("""COMPUTED_VALUE"""),"35702")</f>
        <v>35702</v>
      </c>
      <c r="C112" s="172">
        <f>IFERROR(__xludf.DUMMYFUNCTION("""COMPUTED_VALUE"""),4.464400085E10)</f>
        <v>44644000850</v>
      </c>
      <c r="D112" s="192" t="str">
        <f>IFERROR(__xludf.DUMMYFUNCTION("""COMPUTED_VALUE"""),"0853.HK")</f>
        <v>0853.HK</v>
      </c>
      <c r="E112" s="173">
        <f>IFERROR(__xludf.DUMMYFUNCTION("""COMPUTED_VALUE"""),44644.0)</f>
        <v>44644</v>
      </c>
      <c r="F112" s="35" t="str">
        <f>IFERROR(__xludf.DUMMYFUNCTION("""COMPUTED_VALUE"""),"Stock")</f>
        <v>Stock</v>
      </c>
      <c r="G112" s="35" t="str">
        <f>IFERROR(__xludf.DUMMYFUNCTION("""COMPUTED_VALUE"""),"HKD")</f>
        <v>HKD</v>
      </c>
      <c r="H112" s="181">
        <f>IFERROR(__xludf.DUMMYFUNCTION("""COMPUTED_VALUE"""),1000.0)</f>
        <v>1000</v>
      </c>
      <c r="I112" s="174">
        <f>IFERROR(__xludf.DUMMYFUNCTION("""COMPUTED_VALUE"""),1.0)</f>
        <v>1</v>
      </c>
      <c r="J112" s="175">
        <f>IFERROR(__xludf.DUMMYFUNCTION("""COMPUTED_VALUE"""),19.38)</f>
        <v>19.38</v>
      </c>
      <c r="K112" s="35"/>
      <c r="L112" s="175">
        <f>IFERROR(__xludf.DUMMYFUNCTION("""COMPUTED_VALUE"""),15.54)</f>
        <v>15.54</v>
      </c>
      <c r="M112" s="182" t="str">
        <f>IFERROR(__xludf.DUMMYFUNCTION("""COMPUTED_VALUE"""),"Equity Key Stats")</f>
        <v>Equity Key Stats</v>
      </c>
      <c r="N112" s="35"/>
      <c r="O112" s="35"/>
      <c r="P112" s="176">
        <f>IFERROR(__xludf.DUMMYFUNCTION("""COMPUTED_VALUE"""),-19380.0)</f>
        <v>-19380</v>
      </c>
      <c r="Q112" s="177"/>
      <c r="R112" s="178">
        <f>IFERROR(__xludf.DUMMYFUNCTION("""COMPUTED_VALUE"""),15.54)</f>
        <v>15.54</v>
      </c>
      <c r="S112" s="176">
        <f>IFERROR(__xludf.DUMMYFUNCTION("""COMPUTED_VALUE"""),15540.0)</f>
        <v>15540</v>
      </c>
      <c r="T112" s="95">
        <f>IFERROR(__xludf.DUMMYFUNCTION("""COMPUTED_VALUE"""),2.0)</f>
        <v>2</v>
      </c>
      <c r="U112" s="35" t="str">
        <f>IFERROR(__xludf.DUMMYFUNCTION("""COMPUTED_VALUE"""),"")</f>
        <v/>
      </c>
      <c r="V112" s="170" t="str">
        <f>IFERROR(__xludf.DUMMYFUNCTION("""COMPUTED_VALUE"""),"")</f>
        <v/>
      </c>
      <c r="W112" s="171" t="str">
        <f>IFERROR(__xludf.DUMMYFUNCTION("""COMPUTED_VALUE"""),"")</f>
        <v/>
      </c>
      <c r="X112" s="14" t="str">
        <f>IFERROR(__xludf.DUMMYFUNCTION("""COMPUTED_VALUE"""),"")</f>
        <v/>
      </c>
      <c r="Y112" s="14" t="str">
        <f>IFERROR(__xludf.DUMMYFUNCTION("""COMPUTED_VALUE"""),"")</f>
        <v/>
      </c>
      <c r="Z112" s="11" t="str">
        <f>IFERROR(__xludf.DUMMYFUNCTION("""COMPUTED_VALUE"""),"")</f>
        <v/>
      </c>
    </row>
    <row r="113">
      <c r="A113" s="35" t="str">
        <f>IFERROR(__xludf.DUMMYFUNCTION("""COMPUTED_VALUE"""),"")</f>
        <v/>
      </c>
      <c r="B113" s="35" t="str">
        <f>IFERROR(__xludf.DUMMYFUNCTION("""COMPUTED_VALUE"""),"35702")</f>
        <v>35702</v>
      </c>
      <c r="C113" s="172">
        <f>IFERROR(__xludf.DUMMYFUNCTION("""COMPUTED_VALUE"""),4.4644000851E10)</f>
        <v>44644000851</v>
      </c>
      <c r="D113" s="192" t="str">
        <f>IFERROR(__xludf.DUMMYFUNCTION("""COMPUTED_VALUE"""),"NIO")</f>
        <v>NIO</v>
      </c>
      <c r="E113" s="173">
        <f>IFERROR(__xludf.DUMMYFUNCTION("""COMPUTED_VALUE"""),44644.0)</f>
        <v>44644</v>
      </c>
      <c r="F113" s="35" t="str">
        <f>IFERROR(__xludf.DUMMYFUNCTION("""COMPUTED_VALUE"""),"Stock")</f>
        <v>Stock</v>
      </c>
      <c r="G113" s="35" t="str">
        <f>IFERROR(__xludf.DUMMYFUNCTION("""COMPUTED_VALUE"""),"USD")</f>
        <v>USD</v>
      </c>
      <c r="H113" s="181">
        <f>IFERROR(__xludf.DUMMYFUNCTION("""COMPUTED_VALUE"""),1000.0)</f>
        <v>1000</v>
      </c>
      <c r="I113" s="174">
        <f>IFERROR(__xludf.DUMMYFUNCTION("""COMPUTED_VALUE"""),7.82365)</f>
        <v>7.82365</v>
      </c>
      <c r="J113" s="175">
        <f>IFERROR(__xludf.DUMMYFUNCTION("""COMPUTED_VALUE"""),21.98)</f>
        <v>21.98</v>
      </c>
      <c r="K113" s="35"/>
      <c r="L113" s="175">
        <f>IFERROR(__xludf.DUMMYFUNCTION("""COMPUTED_VALUE"""),20.41)</f>
        <v>20.41</v>
      </c>
      <c r="M113" s="182" t="str">
        <f>IFERROR(__xludf.DUMMYFUNCTION("""COMPUTED_VALUE"""),"Equity Key Stats")</f>
        <v>Equity Key Stats</v>
      </c>
      <c r="N113" s="35"/>
      <c r="O113" s="35"/>
      <c r="P113" s="184">
        <f>IFERROR(__xludf.DUMMYFUNCTION("""COMPUTED_VALUE"""),-171963.827)</f>
        <v>-171963.827</v>
      </c>
      <c r="Q113" s="177"/>
      <c r="R113" s="178">
        <f>IFERROR(__xludf.DUMMYFUNCTION("""COMPUTED_VALUE"""),20.41)</f>
        <v>20.41</v>
      </c>
      <c r="S113" s="176">
        <f>IFERROR(__xludf.DUMMYFUNCTION("""COMPUTED_VALUE"""),159680.6965)</f>
        <v>159680.6965</v>
      </c>
      <c r="T113" s="95">
        <f>IFERROR(__xludf.DUMMYFUNCTION("""COMPUTED_VALUE"""),1.0)</f>
        <v>1</v>
      </c>
      <c r="U113" s="35">
        <f>IFERROR(__xludf.DUMMYFUNCTION("""COMPUTED_VALUE"""),1.0)</f>
        <v>1</v>
      </c>
      <c r="V113" s="170">
        <f>IFERROR(__xludf.DUMMYFUNCTION("""COMPUTED_VALUE"""),-12283.1305)</f>
        <v>-12283.1305</v>
      </c>
      <c r="W113" s="171" t="str">
        <f>IFERROR(__xludf.DUMMYFUNCTION("""COMPUTED_VALUE"""),"")</f>
        <v/>
      </c>
      <c r="X113" s="14" t="str">
        <f>IFERROR(__xludf.DUMMYFUNCTION("""COMPUTED_VALUE"""),"")</f>
        <v/>
      </c>
      <c r="Y113" s="14" t="str">
        <f>IFERROR(__xludf.DUMMYFUNCTION("""COMPUTED_VALUE"""),"")</f>
        <v/>
      </c>
      <c r="Z113" s="11" t="str">
        <f>IFERROR(__xludf.DUMMYFUNCTION("""COMPUTED_VALUE"""),"")</f>
        <v/>
      </c>
    </row>
    <row r="114">
      <c r="A114" s="35" t="str">
        <f>IFERROR(__xludf.DUMMYFUNCTION("""COMPUTED_VALUE"""),"35702")</f>
        <v>35702</v>
      </c>
      <c r="B114" s="35" t="str">
        <f>IFERROR(__xludf.DUMMYFUNCTION("""COMPUTED_VALUE"""),"35702")</f>
        <v>35702</v>
      </c>
      <c r="C114" s="172">
        <f>IFERROR(__xludf.DUMMYFUNCTION("""COMPUTED_VALUE"""),4.4644000856E10)</f>
        <v>44644000856</v>
      </c>
      <c r="D114" s="192" t="str">
        <f>IFERROR(__xludf.DUMMYFUNCTION("""COMPUTED_VALUE"""),"0853.HK")</f>
        <v>0853.HK</v>
      </c>
      <c r="E114" s="173">
        <f>IFERROR(__xludf.DUMMYFUNCTION("""COMPUTED_VALUE"""),44644.0)</f>
        <v>44644</v>
      </c>
      <c r="F114" s="35" t="str">
        <f>IFERROR(__xludf.DUMMYFUNCTION("""COMPUTED_VALUE"""),"Stock")</f>
        <v>Stock</v>
      </c>
      <c r="G114" s="35" t="str">
        <f>IFERROR(__xludf.DUMMYFUNCTION("""COMPUTED_VALUE"""),"HKD")</f>
        <v>HKD</v>
      </c>
      <c r="H114" s="181">
        <f>IFERROR(__xludf.DUMMYFUNCTION("""COMPUTED_VALUE"""),1000.0)</f>
        <v>1000</v>
      </c>
      <c r="I114" s="174">
        <f>IFERROR(__xludf.DUMMYFUNCTION("""COMPUTED_VALUE"""),1.0)</f>
        <v>1</v>
      </c>
      <c r="J114" s="175">
        <f>IFERROR(__xludf.DUMMYFUNCTION("""COMPUTED_VALUE"""),19.38)</f>
        <v>19.38</v>
      </c>
      <c r="K114" s="35"/>
      <c r="L114" s="175">
        <f>IFERROR(__xludf.DUMMYFUNCTION("""COMPUTED_VALUE"""),15.54)</f>
        <v>15.54</v>
      </c>
      <c r="M114" s="182" t="str">
        <f>IFERROR(__xludf.DUMMYFUNCTION("""COMPUTED_VALUE"""),"Equity Key Stats")</f>
        <v>Equity Key Stats</v>
      </c>
      <c r="N114" s="35"/>
      <c r="O114" s="35"/>
      <c r="P114" s="176">
        <f>IFERROR(__xludf.DUMMYFUNCTION("""COMPUTED_VALUE"""),-19380.0)</f>
        <v>-19380</v>
      </c>
      <c r="Q114" s="177"/>
      <c r="R114" s="178">
        <f>IFERROR(__xludf.DUMMYFUNCTION("""COMPUTED_VALUE"""),15.54)</f>
        <v>15.54</v>
      </c>
      <c r="S114" s="176">
        <f>IFERROR(__xludf.DUMMYFUNCTION("""COMPUTED_VALUE"""),15540.0)</f>
        <v>15540</v>
      </c>
      <c r="T114" s="95">
        <f>IFERROR(__xludf.DUMMYFUNCTION("""COMPUTED_VALUE"""),2.0)</f>
        <v>2</v>
      </c>
      <c r="U114" s="35">
        <f>IFERROR(__xludf.DUMMYFUNCTION("""COMPUTED_VALUE"""),1.0)</f>
        <v>1</v>
      </c>
      <c r="V114" s="170">
        <f>IFERROR(__xludf.DUMMYFUNCTION("""COMPUTED_VALUE"""),-7680.0)</f>
        <v>-7680</v>
      </c>
      <c r="W114" s="171">
        <f>IFERROR(__xludf.DUMMYFUNCTION("""COMPUTED_VALUE"""),480036.86950000003)</f>
        <v>480036.8695</v>
      </c>
      <c r="X114" s="14">
        <f>IFERROR(__xludf.DUMMYFUNCTION("""COMPUTED_VALUE"""),289276.173)</f>
        <v>289276.173</v>
      </c>
      <c r="Y114" s="14">
        <f>IFERROR(__xludf.DUMMYFUNCTION("""COMPUTED_VALUE"""),0.0)</f>
        <v>0</v>
      </c>
      <c r="Z114" s="11">
        <f>IFERROR(__xludf.DUMMYFUNCTION("""COMPUTED_VALUE"""),-0.03992626099999996)</f>
        <v>-0.039926261</v>
      </c>
    </row>
    <row r="115">
      <c r="A115" s="35" t="str">
        <f>IFERROR(__xludf.DUMMYFUNCTION("""COMPUTED_VALUE"""),"35792")</f>
        <v>35792</v>
      </c>
      <c r="B115" s="35" t="str">
        <f>IFERROR(__xludf.DUMMYFUNCTION("""COMPUTED_VALUE"""),"35792")</f>
        <v>35792</v>
      </c>
      <c r="C115" s="172">
        <f>IFERROR(__xludf.DUMMYFUNCTION("""COMPUTED_VALUE"""),4.4597000071E10)</f>
        <v>44597000071</v>
      </c>
      <c r="D115" s="191" t="str">
        <f>IFERROR(__xludf.DUMMYFUNCTION("""COMPUTED_VALUE"""),"Cash")</f>
        <v>Cash</v>
      </c>
      <c r="E115" s="173">
        <f>IFERROR(__xludf.DUMMYFUNCTION("""COMPUTED_VALUE"""),44597.0)</f>
        <v>44597</v>
      </c>
      <c r="F115" s="35" t="str">
        <f>IFERROR(__xludf.DUMMYFUNCTION("""COMPUTED_VALUE"""),"Cash")</f>
        <v>Cash</v>
      </c>
      <c r="G115" s="35" t="str">
        <f>IFERROR(__xludf.DUMMYFUNCTION("""COMPUTED_VALUE"""),"HKD")</f>
        <v>HKD</v>
      </c>
      <c r="H115" s="181" t="str">
        <f>IFERROR(__xludf.DUMMYFUNCTION("""COMPUTED_VALUE"""),"")</f>
        <v/>
      </c>
      <c r="I115" s="174">
        <f>IFERROR(__xludf.DUMMYFUNCTION("""COMPUTED_VALUE"""),1.0)</f>
        <v>1</v>
      </c>
      <c r="J115" s="175">
        <f>IFERROR(__xludf.DUMMYFUNCTION("""COMPUTED_VALUE"""),1.0)</f>
        <v>1</v>
      </c>
      <c r="K115" s="35"/>
      <c r="L115" s="175">
        <f>IFERROR(__xludf.DUMMYFUNCTION("""COMPUTED_VALUE"""),1.0)</f>
        <v>1</v>
      </c>
      <c r="M115" s="182" t="str">
        <f>IFERROR(__xludf.DUMMYFUNCTION("""COMPUTED_VALUE"""),"")</f>
        <v/>
      </c>
      <c r="N115" s="35"/>
      <c r="O115" s="35"/>
      <c r="P115" s="176">
        <f>IFERROR(__xludf.DUMMYFUNCTION("""COMPUTED_VALUE"""),500000.0)</f>
        <v>500000</v>
      </c>
      <c r="Q115" s="177"/>
      <c r="R115" s="178">
        <f>IFERROR(__xludf.DUMMYFUNCTION("""COMPUTED_VALUE"""),1.0)</f>
        <v>1</v>
      </c>
      <c r="S115" s="176" t="str">
        <f>IFERROR(__xludf.DUMMYFUNCTION("""COMPUTED_VALUE"""),"")</f>
        <v/>
      </c>
      <c r="T115" s="95">
        <f>IFERROR(__xludf.DUMMYFUNCTION("""COMPUTED_VALUE"""),1.0)</f>
        <v>1</v>
      </c>
      <c r="U115" s="35">
        <f>IFERROR(__xludf.DUMMYFUNCTION("""COMPUTED_VALUE"""),1.0)</f>
        <v>1</v>
      </c>
      <c r="V115" s="170">
        <f>IFERROR(__xludf.DUMMYFUNCTION("""COMPUTED_VALUE"""),500000.0)</f>
        <v>500000</v>
      </c>
      <c r="W115" s="171">
        <f>IFERROR(__xludf.DUMMYFUNCTION("""COMPUTED_VALUE"""),500000.0)</f>
        <v>500000</v>
      </c>
      <c r="X115" s="14">
        <f>IFERROR(__xludf.DUMMYFUNCTION("""COMPUTED_VALUE"""),500000.0)</f>
        <v>500000</v>
      </c>
      <c r="Y115" s="14">
        <f>IFERROR(__xludf.DUMMYFUNCTION("""COMPUTED_VALUE"""),0.0)</f>
        <v>0</v>
      </c>
      <c r="Z115" s="11">
        <f>IFERROR(__xludf.DUMMYFUNCTION("""COMPUTED_VALUE"""),0.0)</f>
        <v>0</v>
      </c>
    </row>
    <row r="116">
      <c r="A116" s="35" t="str">
        <f>IFERROR(__xludf.DUMMYFUNCTION("""COMPUTED_VALUE"""),"36196")</f>
        <v>36196</v>
      </c>
      <c r="B116" s="35" t="str">
        <f>IFERROR(__xludf.DUMMYFUNCTION("""COMPUTED_VALUE"""),"36196")</f>
        <v>36196</v>
      </c>
      <c r="C116" s="172">
        <f>IFERROR(__xludf.DUMMYFUNCTION("""COMPUTED_VALUE"""),4.4597000119E10)</f>
        <v>44597000119</v>
      </c>
      <c r="D116" s="191" t="str">
        <f>IFERROR(__xludf.DUMMYFUNCTION("""COMPUTED_VALUE"""),"Cash")</f>
        <v>Cash</v>
      </c>
      <c r="E116" s="173">
        <f>IFERROR(__xludf.DUMMYFUNCTION("""COMPUTED_VALUE"""),44597.0)</f>
        <v>44597</v>
      </c>
      <c r="F116" s="35" t="str">
        <f>IFERROR(__xludf.DUMMYFUNCTION("""COMPUTED_VALUE"""),"Cash")</f>
        <v>Cash</v>
      </c>
      <c r="G116" s="35" t="str">
        <f>IFERROR(__xludf.DUMMYFUNCTION("""COMPUTED_VALUE"""),"HKD")</f>
        <v>HKD</v>
      </c>
      <c r="H116" s="181" t="str">
        <f>IFERROR(__xludf.DUMMYFUNCTION("""COMPUTED_VALUE"""),"")</f>
        <v/>
      </c>
      <c r="I116" s="174">
        <f>IFERROR(__xludf.DUMMYFUNCTION("""COMPUTED_VALUE"""),1.0)</f>
        <v>1</v>
      </c>
      <c r="J116" s="175">
        <f>IFERROR(__xludf.DUMMYFUNCTION("""COMPUTED_VALUE"""),1.0)</f>
        <v>1</v>
      </c>
      <c r="K116" s="35"/>
      <c r="L116" s="175">
        <f>IFERROR(__xludf.DUMMYFUNCTION("""COMPUTED_VALUE"""),1.0)</f>
        <v>1</v>
      </c>
      <c r="M116" s="182" t="str">
        <f>IFERROR(__xludf.DUMMYFUNCTION("""COMPUTED_VALUE"""),"")</f>
        <v/>
      </c>
      <c r="N116" s="35"/>
      <c r="O116" s="35"/>
      <c r="P116" s="176">
        <f>IFERROR(__xludf.DUMMYFUNCTION("""COMPUTED_VALUE"""),500000.0)</f>
        <v>500000</v>
      </c>
      <c r="Q116" s="177"/>
      <c r="R116" s="178">
        <f>IFERROR(__xludf.DUMMYFUNCTION("""COMPUTED_VALUE"""),1.0)</f>
        <v>1</v>
      </c>
      <c r="S116" s="176" t="str">
        <f>IFERROR(__xludf.DUMMYFUNCTION("""COMPUTED_VALUE"""),"")</f>
        <v/>
      </c>
      <c r="T116" s="95">
        <f>IFERROR(__xludf.DUMMYFUNCTION("""COMPUTED_VALUE"""),1.0)</f>
        <v>1</v>
      </c>
      <c r="U116" s="35">
        <f>IFERROR(__xludf.DUMMYFUNCTION("""COMPUTED_VALUE"""),1.0)</f>
        <v>1</v>
      </c>
      <c r="V116" s="170">
        <f>IFERROR(__xludf.DUMMYFUNCTION("""COMPUTED_VALUE"""),500000.0)</f>
        <v>500000</v>
      </c>
      <c r="W116" s="171">
        <f>IFERROR(__xludf.DUMMYFUNCTION("""COMPUTED_VALUE"""),500000.0)</f>
        <v>500000</v>
      </c>
      <c r="X116" s="14">
        <f>IFERROR(__xludf.DUMMYFUNCTION("""COMPUTED_VALUE"""),500000.0)</f>
        <v>500000</v>
      </c>
      <c r="Y116" s="14">
        <f>IFERROR(__xludf.DUMMYFUNCTION("""COMPUTED_VALUE"""),0.0)</f>
        <v>0</v>
      </c>
      <c r="Z116" s="11">
        <f>IFERROR(__xludf.DUMMYFUNCTION("""COMPUTED_VALUE"""),0.0)</f>
        <v>0</v>
      </c>
    </row>
    <row r="117">
      <c r="A117" s="35" t="str">
        <f>IFERROR(__xludf.DUMMYFUNCTION("""COMPUTED_VALUE"""),"")</f>
        <v/>
      </c>
      <c r="B117" s="35" t="str">
        <f>IFERROR(__xludf.DUMMYFUNCTION("""COMPUTED_VALUE"""),"36221")</f>
        <v>36221</v>
      </c>
      <c r="C117" s="172">
        <f>IFERROR(__xludf.DUMMYFUNCTION("""COMPUTED_VALUE"""),4.4597000118E10)</f>
        <v>44597000118</v>
      </c>
      <c r="D117" s="191" t="str">
        <f>IFERROR(__xludf.DUMMYFUNCTION("""COMPUTED_VALUE"""),"Cash")</f>
        <v>Cash</v>
      </c>
      <c r="E117" s="173">
        <f>IFERROR(__xludf.DUMMYFUNCTION("""COMPUTED_VALUE"""),44597.0)</f>
        <v>44597</v>
      </c>
      <c r="F117" s="35" t="str">
        <f>IFERROR(__xludf.DUMMYFUNCTION("""COMPUTED_VALUE"""),"Cash")</f>
        <v>Cash</v>
      </c>
      <c r="G117" s="35" t="str">
        <f>IFERROR(__xludf.DUMMYFUNCTION("""COMPUTED_VALUE"""),"HKD")</f>
        <v>HKD</v>
      </c>
      <c r="H117" s="181" t="str">
        <f>IFERROR(__xludf.DUMMYFUNCTION("""COMPUTED_VALUE"""),"")</f>
        <v/>
      </c>
      <c r="I117" s="174">
        <f>IFERROR(__xludf.DUMMYFUNCTION("""COMPUTED_VALUE"""),1.0)</f>
        <v>1</v>
      </c>
      <c r="J117" s="175">
        <f>IFERROR(__xludf.DUMMYFUNCTION("""COMPUTED_VALUE"""),1.0)</f>
        <v>1</v>
      </c>
      <c r="K117" s="35"/>
      <c r="L117" s="175">
        <f>IFERROR(__xludf.DUMMYFUNCTION("""COMPUTED_VALUE"""),1.0)</f>
        <v>1</v>
      </c>
      <c r="M117" s="182" t="str">
        <f>IFERROR(__xludf.DUMMYFUNCTION("""COMPUTED_VALUE"""),"")</f>
        <v/>
      </c>
      <c r="N117" s="35"/>
      <c r="O117" s="35"/>
      <c r="P117" s="176">
        <f>IFERROR(__xludf.DUMMYFUNCTION("""COMPUTED_VALUE"""),500000.0)</f>
        <v>500000</v>
      </c>
      <c r="Q117" s="177"/>
      <c r="R117" s="178">
        <f>IFERROR(__xludf.DUMMYFUNCTION("""COMPUTED_VALUE"""),1.0)</f>
        <v>1</v>
      </c>
      <c r="S117" s="176" t="str">
        <f>IFERROR(__xludf.DUMMYFUNCTION("""COMPUTED_VALUE"""),"")</f>
        <v/>
      </c>
      <c r="T117" s="95">
        <f>IFERROR(__xludf.DUMMYFUNCTION("""COMPUTED_VALUE"""),1.0)</f>
        <v>1</v>
      </c>
      <c r="U117" s="35">
        <f>IFERROR(__xludf.DUMMYFUNCTION("""COMPUTED_VALUE"""),1.0)</f>
        <v>1</v>
      </c>
      <c r="V117" s="170">
        <f>IFERROR(__xludf.DUMMYFUNCTION("""COMPUTED_VALUE"""),500000.0)</f>
        <v>500000</v>
      </c>
      <c r="W117" s="171" t="str">
        <f>IFERROR(__xludf.DUMMYFUNCTION("""COMPUTED_VALUE"""),"")</f>
        <v/>
      </c>
      <c r="X117" s="14" t="str">
        <f>IFERROR(__xludf.DUMMYFUNCTION("""COMPUTED_VALUE"""),"")</f>
        <v/>
      </c>
      <c r="Y117" s="14" t="str">
        <f>IFERROR(__xludf.DUMMYFUNCTION("""COMPUTED_VALUE"""),"")</f>
        <v/>
      </c>
      <c r="Z117" s="11" t="str">
        <f>IFERROR(__xludf.DUMMYFUNCTION("""COMPUTED_VALUE"""),"")</f>
        <v/>
      </c>
    </row>
    <row r="118">
      <c r="A118" s="35" t="str">
        <f>IFERROR(__xludf.DUMMYFUNCTION("""COMPUTED_VALUE"""),"")</f>
        <v/>
      </c>
      <c r="B118" s="35" t="str">
        <f>IFERROR(__xludf.DUMMYFUNCTION("""COMPUTED_VALUE"""),"36221")</f>
        <v>36221</v>
      </c>
      <c r="C118" s="172">
        <f>IFERROR(__xludf.DUMMYFUNCTION("""COMPUTED_VALUE"""),4.4607000197E10)</f>
        <v>44607000197</v>
      </c>
      <c r="D118" s="192" t="str">
        <f>IFERROR(__xludf.DUMMYFUNCTION("""COMPUTED_VALUE"""),"NVDA")</f>
        <v>NVDA</v>
      </c>
      <c r="E118" s="173">
        <f>IFERROR(__xludf.DUMMYFUNCTION("""COMPUTED_VALUE"""),44607.0)</f>
        <v>44607</v>
      </c>
      <c r="F118" s="35" t="str">
        <f>IFERROR(__xludf.DUMMYFUNCTION("""COMPUTED_VALUE"""),"Stock")</f>
        <v>Stock</v>
      </c>
      <c r="G118" s="35" t="str">
        <f>IFERROR(__xludf.DUMMYFUNCTION("""COMPUTED_VALUE"""),"USD")</f>
        <v>USD</v>
      </c>
      <c r="H118" s="181">
        <f>IFERROR(__xludf.DUMMYFUNCTION("""COMPUTED_VALUE"""),100.0)</f>
        <v>100</v>
      </c>
      <c r="I118" s="174">
        <f>IFERROR(__xludf.DUMMYFUNCTION("""COMPUTED_VALUE"""),7.801355)</f>
        <v>7.801355</v>
      </c>
      <c r="J118" s="175">
        <f>IFERROR(__xludf.DUMMYFUNCTION("""COMPUTED_VALUE"""),264.95)</f>
        <v>264.95</v>
      </c>
      <c r="K118" s="35"/>
      <c r="L118" s="175">
        <f>IFERROR(__xludf.DUMMYFUNCTION("""COMPUTED_VALUE"""),222.03)</f>
        <v>222.03</v>
      </c>
      <c r="M118" s="182" t="str">
        <f>IFERROR(__xludf.DUMMYFUNCTION("""COMPUTED_VALUE"""),"Equity Key Stats")</f>
        <v>Equity Key Stats</v>
      </c>
      <c r="N118" s="35"/>
      <c r="O118" s="35"/>
      <c r="P118" s="176">
        <f>IFERROR(__xludf.DUMMYFUNCTION("""COMPUTED_VALUE"""),-206696.90072499998)</f>
        <v>-206696.9007</v>
      </c>
      <c r="Q118" s="177"/>
      <c r="R118" s="178">
        <f>IFERROR(__xludf.DUMMYFUNCTION("""COMPUTED_VALUE"""),222.03)</f>
        <v>222.03</v>
      </c>
      <c r="S118" s="176">
        <f>IFERROR(__xludf.DUMMYFUNCTION("""COMPUTED_VALUE"""),173213.485065)</f>
        <v>173213.4851</v>
      </c>
      <c r="T118" s="95">
        <f>IFERROR(__xludf.DUMMYFUNCTION("""COMPUTED_VALUE"""),1.0)</f>
        <v>1</v>
      </c>
      <c r="U118" s="95">
        <f>IFERROR(__xludf.DUMMYFUNCTION("""COMPUTED_VALUE"""),1.0)</f>
        <v>1</v>
      </c>
      <c r="V118" s="185">
        <f>IFERROR(__xludf.DUMMYFUNCTION("""COMPUTED_VALUE"""),-33483.41566)</f>
        <v>-33483.41566</v>
      </c>
      <c r="W118" s="171" t="str">
        <f>IFERROR(__xludf.DUMMYFUNCTION("""COMPUTED_VALUE"""),"")</f>
        <v/>
      </c>
      <c r="X118" s="14" t="str">
        <f>IFERROR(__xludf.DUMMYFUNCTION("""COMPUTED_VALUE"""),"")</f>
        <v/>
      </c>
      <c r="Y118" s="14" t="str">
        <f>IFERROR(__xludf.DUMMYFUNCTION("""COMPUTED_VALUE"""),"")</f>
        <v/>
      </c>
      <c r="Z118" s="11" t="str">
        <f>IFERROR(__xludf.DUMMYFUNCTION("""COMPUTED_VALUE"""),"")</f>
        <v/>
      </c>
    </row>
    <row r="119">
      <c r="A119" s="35" t="str">
        <f>IFERROR(__xludf.DUMMYFUNCTION("""COMPUTED_VALUE"""),"")</f>
        <v/>
      </c>
      <c r="B119" s="35" t="str">
        <f>IFERROR(__xludf.DUMMYFUNCTION("""COMPUTED_VALUE"""),"36221")</f>
        <v>36221</v>
      </c>
      <c r="C119" s="172">
        <f>IFERROR(__xludf.DUMMYFUNCTION("""COMPUTED_VALUE"""),4.4607000201E10)</f>
        <v>44607000201</v>
      </c>
      <c r="D119" s="192" t="str">
        <f>IFERROR(__xludf.DUMMYFUNCTION("""COMPUTED_VALUE"""),"SONY")</f>
        <v>SONY</v>
      </c>
      <c r="E119" s="173">
        <f>IFERROR(__xludf.DUMMYFUNCTION("""COMPUTED_VALUE"""),44607.0)</f>
        <v>44607</v>
      </c>
      <c r="F119" s="35" t="str">
        <f>IFERROR(__xludf.DUMMYFUNCTION("""COMPUTED_VALUE"""),"Stock")</f>
        <v>Stock</v>
      </c>
      <c r="G119" s="35" t="str">
        <f>IFERROR(__xludf.DUMMYFUNCTION("""COMPUTED_VALUE"""),"USD")</f>
        <v>USD</v>
      </c>
      <c r="H119" s="183">
        <f>IFERROR(__xludf.DUMMYFUNCTION("""COMPUTED_VALUE"""),400.0)</f>
        <v>400</v>
      </c>
      <c r="I119" s="174">
        <f>IFERROR(__xludf.DUMMYFUNCTION("""COMPUTED_VALUE"""),7.801355)</f>
        <v>7.801355</v>
      </c>
      <c r="J119" s="175">
        <f>IFERROR(__xludf.DUMMYFUNCTION("""COMPUTED_VALUE"""),108.46)</f>
        <v>108.46</v>
      </c>
      <c r="K119" s="35"/>
      <c r="L119" s="175">
        <f>IFERROR(__xludf.DUMMYFUNCTION("""COMPUTED_VALUE"""),91.79)</f>
        <v>91.79</v>
      </c>
      <c r="M119" s="182" t="str">
        <f>IFERROR(__xludf.DUMMYFUNCTION("""COMPUTED_VALUE"""),"Equity Key Stats")</f>
        <v>Equity Key Stats</v>
      </c>
      <c r="N119" s="35"/>
      <c r="O119" s="35"/>
      <c r="P119" s="176">
        <f>IFERROR(__xludf.DUMMYFUNCTION("""COMPUTED_VALUE"""),-338453.98532)</f>
        <v>-338453.9853</v>
      </c>
      <c r="Q119" s="177"/>
      <c r="R119" s="178">
        <f>IFERROR(__xludf.DUMMYFUNCTION("""COMPUTED_VALUE"""),91.79)</f>
        <v>91.79</v>
      </c>
      <c r="S119" s="184">
        <f>IFERROR(__xludf.DUMMYFUNCTION("""COMPUTED_VALUE"""),286434.55018)</f>
        <v>286434.5502</v>
      </c>
      <c r="T119" s="95">
        <f>IFERROR(__xludf.DUMMYFUNCTION("""COMPUTED_VALUE"""),1.0)</f>
        <v>1</v>
      </c>
      <c r="U119" s="95">
        <f>IFERROR(__xludf.DUMMYFUNCTION("""COMPUTED_VALUE"""),1.0)</f>
        <v>1</v>
      </c>
      <c r="V119" s="185">
        <f>IFERROR(__xludf.DUMMYFUNCTION("""COMPUTED_VALUE"""),-52019.43513999996)</f>
        <v>-52019.43514</v>
      </c>
      <c r="W119" s="171" t="str">
        <f>IFERROR(__xludf.DUMMYFUNCTION("""COMPUTED_VALUE"""),"")</f>
        <v/>
      </c>
      <c r="X119" s="14" t="str">
        <f>IFERROR(__xludf.DUMMYFUNCTION("""COMPUTED_VALUE"""),"")</f>
        <v/>
      </c>
      <c r="Y119" s="14" t="str">
        <f>IFERROR(__xludf.DUMMYFUNCTION("""COMPUTED_VALUE"""),"")</f>
        <v/>
      </c>
      <c r="Z119" s="11" t="str">
        <f>IFERROR(__xludf.DUMMYFUNCTION("""COMPUTED_VALUE"""),"")</f>
        <v/>
      </c>
    </row>
    <row r="120">
      <c r="A120" s="35" t="str">
        <f>IFERROR(__xludf.DUMMYFUNCTION("""COMPUTED_VALUE"""),"")</f>
        <v/>
      </c>
      <c r="B120" s="35" t="str">
        <f>IFERROR(__xludf.DUMMYFUNCTION("""COMPUTED_VALUE"""),"36221")</f>
        <v>36221</v>
      </c>
      <c r="C120" s="172">
        <f>IFERROR(__xludf.DUMMYFUNCTION("""COMPUTED_VALUE"""),4.4607000202E10)</f>
        <v>44607000202</v>
      </c>
      <c r="D120" s="192" t="str">
        <f>IFERROR(__xludf.DUMMYFUNCTION("""COMPUTED_VALUE"""),"ATVI")</f>
        <v>ATVI</v>
      </c>
      <c r="E120" s="173">
        <f>IFERROR(__xludf.DUMMYFUNCTION("""COMPUTED_VALUE"""),44607.0)</f>
        <v>44607</v>
      </c>
      <c r="F120" s="35" t="str">
        <f>IFERROR(__xludf.DUMMYFUNCTION("""COMPUTED_VALUE"""),"Stock")</f>
        <v>Stock</v>
      </c>
      <c r="G120" s="35" t="str">
        <f>IFERROR(__xludf.DUMMYFUNCTION("""COMPUTED_VALUE"""),"USD")</f>
        <v>USD</v>
      </c>
      <c r="H120" s="183">
        <f>IFERROR(__xludf.DUMMYFUNCTION("""COMPUTED_VALUE"""),200.0)</f>
        <v>200</v>
      </c>
      <c r="I120" s="174">
        <f>IFERROR(__xludf.DUMMYFUNCTION("""COMPUTED_VALUE"""),7.801355)</f>
        <v>7.801355</v>
      </c>
      <c r="J120" s="175">
        <f>IFERROR(__xludf.DUMMYFUNCTION("""COMPUTED_VALUE"""),81.52)</f>
        <v>81.52</v>
      </c>
      <c r="K120" s="35"/>
      <c r="L120" s="175">
        <f>IFERROR(__xludf.DUMMYFUNCTION("""COMPUTED_VALUE"""),79.1)</f>
        <v>79.1</v>
      </c>
      <c r="M120" s="182" t="str">
        <f>IFERROR(__xludf.DUMMYFUNCTION("""COMPUTED_VALUE"""),"Equity Key Stats")</f>
        <v>Equity Key Stats</v>
      </c>
      <c r="N120" s="35"/>
      <c r="O120" s="35"/>
      <c r="P120" s="176">
        <f>IFERROR(__xludf.DUMMYFUNCTION("""COMPUTED_VALUE"""),-127193.29191999999)</f>
        <v>-127193.2919</v>
      </c>
      <c r="Q120" s="177"/>
      <c r="R120" s="178">
        <f>IFERROR(__xludf.DUMMYFUNCTION("""COMPUTED_VALUE"""),79.1)</f>
        <v>79.1</v>
      </c>
      <c r="S120" s="184">
        <f>IFERROR(__xludf.DUMMYFUNCTION("""COMPUTED_VALUE"""),123417.43609999999)</f>
        <v>123417.4361</v>
      </c>
      <c r="T120" s="95">
        <f>IFERROR(__xludf.DUMMYFUNCTION("""COMPUTED_VALUE"""),1.0)</f>
        <v>1</v>
      </c>
      <c r="U120" s="35">
        <f>IFERROR(__xludf.DUMMYFUNCTION("""COMPUTED_VALUE"""),1.0)</f>
        <v>1</v>
      </c>
      <c r="V120" s="170">
        <f>IFERROR(__xludf.DUMMYFUNCTION("""COMPUTED_VALUE"""),-3775.855819999997)</f>
        <v>-3775.85582</v>
      </c>
      <c r="W120" s="171" t="str">
        <f>IFERROR(__xludf.DUMMYFUNCTION("""COMPUTED_VALUE"""),"")</f>
        <v/>
      </c>
      <c r="X120" s="14" t="str">
        <f>IFERROR(__xludf.DUMMYFUNCTION("""COMPUTED_VALUE"""),"")</f>
        <v/>
      </c>
      <c r="Y120" s="14" t="str">
        <f>IFERROR(__xludf.DUMMYFUNCTION("""COMPUTED_VALUE"""),"")</f>
        <v/>
      </c>
      <c r="Z120" s="11" t="str">
        <f>IFERROR(__xludf.DUMMYFUNCTION("""COMPUTED_VALUE"""),"")</f>
        <v/>
      </c>
    </row>
    <row r="121">
      <c r="A121" s="35" t="str">
        <f>IFERROR(__xludf.DUMMYFUNCTION("""COMPUTED_VALUE"""),"36221")</f>
        <v>36221</v>
      </c>
      <c r="B121" s="35" t="str">
        <f>IFERROR(__xludf.DUMMYFUNCTION("""COMPUTED_VALUE"""),"36221")</f>
        <v>36221</v>
      </c>
      <c r="C121" s="172">
        <f>IFERROR(__xludf.DUMMYFUNCTION("""COMPUTED_VALUE"""),4.4607000205E10)</f>
        <v>44607000205</v>
      </c>
      <c r="D121" s="192" t="str">
        <f>IFERROR(__xludf.DUMMYFUNCTION("""COMPUTED_VALUE"""),"tcehy")</f>
        <v>tcehy</v>
      </c>
      <c r="E121" s="173">
        <f>IFERROR(__xludf.DUMMYFUNCTION("""COMPUTED_VALUE"""),44607.0)</f>
        <v>44607</v>
      </c>
      <c r="F121" s="35" t="str">
        <f>IFERROR(__xludf.DUMMYFUNCTION("""COMPUTED_VALUE"""),"Stock")</f>
        <v>Stock</v>
      </c>
      <c r="G121" s="35" t="str">
        <f>IFERROR(__xludf.DUMMYFUNCTION("""COMPUTED_VALUE"""),"USD")</f>
        <v>USD</v>
      </c>
      <c r="H121" s="181" t="str">
        <f>IFERROR(__xludf.DUMMYFUNCTION("""COMPUTED_VALUE"""),"")</f>
        <v/>
      </c>
      <c r="I121" s="174">
        <f>IFERROR(__xludf.DUMMYFUNCTION("""COMPUTED_VALUE"""),7.801355)</f>
        <v>7.801355</v>
      </c>
      <c r="J121" s="175">
        <f>IFERROR(__xludf.DUMMYFUNCTION("""COMPUTED_VALUE"""),61.07)</f>
        <v>61.07</v>
      </c>
      <c r="K121" s="35"/>
      <c r="L121" s="175">
        <f>IFERROR(__xludf.DUMMYFUNCTION("""COMPUTED_VALUE"""),48.03)</f>
        <v>48.03</v>
      </c>
      <c r="M121" s="182" t="str">
        <f>IFERROR(__xludf.DUMMYFUNCTION("""COMPUTED_VALUE"""),"Equity Key Stats")</f>
        <v>Equity Key Stats</v>
      </c>
      <c r="N121" s="35"/>
      <c r="O121" s="35"/>
      <c r="P121" s="184">
        <f>IFERROR(__xludf.DUMMYFUNCTION("""COMPUTED_VALUE"""),0.0)</f>
        <v>0</v>
      </c>
      <c r="Q121" s="177"/>
      <c r="R121" s="178">
        <f>IFERROR(__xludf.DUMMYFUNCTION("""COMPUTED_VALUE"""),48.03)</f>
        <v>48.03</v>
      </c>
      <c r="S121" s="176">
        <f>IFERROR(__xludf.DUMMYFUNCTION("""COMPUTED_VALUE"""),0.0)</f>
        <v>0</v>
      </c>
      <c r="T121" s="95">
        <f>IFERROR(__xludf.DUMMYFUNCTION("""COMPUTED_VALUE"""),1.0)</f>
        <v>1</v>
      </c>
      <c r="U121" s="35">
        <f>IFERROR(__xludf.DUMMYFUNCTION("""COMPUTED_VALUE"""),1.0)</f>
        <v>1</v>
      </c>
      <c r="V121" s="170">
        <f>IFERROR(__xludf.DUMMYFUNCTION("""COMPUTED_VALUE"""),0.0)</f>
        <v>0</v>
      </c>
      <c r="W121" s="171">
        <f>IFERROR(__xludf.DUMMYFUNCTION("""COMPUTED_VALUE"""),410721.29338000005)</f>
        <v>410721.2934</v>
      </c>
      <c r="X121" s="14">
        <f>IFERROR(__xludf.DUMMYFUNCTION("""COMPUTED_VALUE"""),-172344.17796499998)</f>
        <v>-172344.178</v>
      </c>
      <c r="Y121" s="14">
        <f>IFERROR(__xludf.DUMMYFUNCTION("""COMPUTED_VALUE"""),172344.17796499998)</f>
        <v>172344.178</v>
      </c>
      <c r="Z121" s="11">
        <f>IFERROR(__xludf.DUMMYFUNCTION("""COMPUTED_VALUE"""),-0.17855741323999996)</f>
        <v>-0.1785574132</v>
      </c>
    </row>
    <row r="122">
      <c r="A122" s="35" t="str">
        <f>IFERROR(__xludf.DUMMYFUNCTION("""COMPUTED_VALUE"""),"")</f>
        <v/>
      </c>
      <c r="B122" s="35" t="str">
        <f>IFERROR(__xludf.DUMMYFUNCTION("""COMPUTED_VALUE"""),"36242")</f>
        <v>36242</v>
      </c>
      <c r="C122" s="172">
        <f>IFERROR(__xludf.DUMMYFUNCTION("""COMPUTED_VALUE"""),4.4597000123E10)</f>
        <v>44597000123</v>
      </c>
      <c r="D122" s="191" t="str">
        <f>IFERROR(__xludf.DUMMYFUNCTION("""COMPUTED_VALUE"""),"Cash")</f>
        <v>Cash</v>
      </c>
      <c r="E122" s="173">
        <f>IFERROR(__xludf.DUMMYFUNCTION("""COMPUTED_VALUE"""),44597.0)</f>
        <v>44597</v>
      </c>
      <c r="F122" s="35" t="str">
        <f>IFERROR(__xludf.DUMMYFUNCTION("""COMPUTED_VALUE"""),"Cash")</f>
        <v>Cash</v>
      </c>
      <c r="G122" s="35" t="str">
        <f>IFERROR(__xludf.DUMMYFUNCTION("""COMPUTED_VALUE"""),"HKD")</f>
        <v>HKD</v>
      </c>
      <c r="H122" s="181" t="str">
        <f>IFERROR(__xludf.DUMMYFUNCTION("""COMPUTED_VALUE"""),"")</f>
        <v/>
      </c>
      <c r="I122" s="174">
        <f>IFERROR(__xludf.DUMMYFUNCTION("""COMPUTED_VALUE"""),1.0)</f>
        <v>1</v>
      </c>
      <c r="J122" s="175">
        <f>IFERROR(__xludf.DUMMYFUNCTION("""COMPUTED_VALUE"""),1.0)</f>
        <v>1</v>
      </c>
      <c r="K122" s="35"/>
      <c r="L122" s="175">
        <f>IFERROR(__xludf.DUMMYFUNCTION("""COMPUTED_VALUE"""),1.0)</f>
        <v>1</v>
      </c>
      <c r="M122" s="182" t="str">
        <f>IFERROR(__xludf.DUMMYFUNCTION("""COMPUTED_VALUE"""),"")</f>
        <v/>
      </c>
      <c r="N122" s="35"/>
      <c r="O122" s="35"/>
      <c r="P122" s="184">
        <f>IFERROR(__xludf.DUMMYFUNCTION("""COMPUTED_VALUE"""),500000.0)</f>
        <v>500000</v>
      </c>
      <c r="Q122" s="177"/>
      <c r="R122" s="178">
        <f>IFERROR(__xludf.DUMMYFUNCTION("""COMPUTED_VALUE"""),1.0)</f>
        <v>1</v>
      </c>
      <c r="S122" s="176" t="str">
        <f>IFERROR(__xludf.DUMMYFUNCTION("""COMPUTED_VALUE"""),"")</f>
        <v/>
      </c>
      <c r="T122" s="95">
        <f>IFERROR(__xludf.DUMMYFUNCTION("""COMPUTED_VALUE"""),1.0)</f>
        <v>1</v>
      </c>
      <c r="U122" s="95">
        <f>IFERROR(__xludf.DUMMYFUNCTION("""COMPUTED_VALUE"""),1.0)</f>
        <v>1</v>
      </c>
      <c r="V122" s="179">
        <f>IFERROR(__xludf.DUMMYFUNCTION("""COMPUTED_VALUE"""),500000.0)</f>
        <v>500000</v>
      </c>
      <c r="W122" s="171" t="str">
        <f>IFERROR(__xludf.DUMMYFUNCTION("""COMPUTED_VALUE"""),"")</f>
        <v/>
      </c>
      <c r="X122" s="14" t="str">
        <f>IFERROR(__xludf.DUMMYFUNCTION("""COMPUTED_VALUE"""),"")</f>
        <v/>
      </c>
      <c r="Y122" s="14" t="str">
        <f>IFERROR(__xludf.DUMMYFUNCTION("""COMPUTED_VALUE"""),"")</f>
        <v/>
      </c>
      <c r="Z122" s="11" t="str">
        <f>IFERROR(__xludf.DUMMYFUNCTION("""COMPUTED_VALUE"""),"")</f>
        <v/>
      </c>
    </row>
    <row r="123">
      <c r="A123" s="35" t="str">
        <f>IFERROR(__xludf.DUMMYFUNCTION("""COMPUTED_VALUE"""),"")</f>
        <v/>
      </c>
      <c r="B123" s="35" t="str">
        <f>IFERROR(__xludf.DUMMYFUNCTION("""COMPUTED_VALUE"""),"36242")</f>
        <v>36242</v>
      </c>
      <c r="C123" s="172">
        <f>IFERROR(__xludf.DUMMYFUNCTION("""COMPUTED_VALUE"""),4.4643000806E10)</f>
        <v>44643000806</v>
      </c>
      <c r="D123" s="192" t="str">
        <f>IFERROR(__xludf.DUMMYFUNCTION("""COMPUTED_VALUE"""),"BA")</f>
        <v>BA</v>
      </c>
      <c r="E123" s="173">
        <f>IFERROR(__xludf.DUMMYFUNCTION("""COMPUTED_VALUE"""),44643.0)</f>
        <v>44643</v>
      </c>
      <c r="F123" s="35" t="str">
        <f>IFERROR(__xludf.DUMMYFUNCTION("""COMPUTED_VALUE"""),"Stock")</f>
        <v>Stock</v>
      </c>
      <c r="G123" s="35" t="str">
        <f>IFERROR(__xludf.DUMMYFUNCTION("""COMPUTED_VALUE"""),"USD")</f>
        <v>USD</v>
      </c>
      <c r="H123" s="181">
        <f>IFERROR(__xludf.DUMMYFUNCTION("""COMPUTED_VALUE"""),0.0)</f>
        <v>0</v>
      </c>
      <c r="I123" s="174">
        <f>IFERROR(__xludf.DUMMYFUNCTION("""COMPUTED_VALUE"""),7.823645)</f>
        <v>7.823645</v>
      </c>
      <c r="J123" s="175">
        <f>IFERROR(__xludf.DUMMYFUNCTION("""COMPUTED_VALUE"""),0.0)</f>
        <v>0</v>
      </c>
      <c r="K123" s="35"/>
      <c r="L123" s="175">
        <f>IFERROR(__xludf.DUMMYFUNCTION("""COMPUTED_VALUE"""),182.96)</f>
        <v>182.96</v>
      </c>
      <c r="M123" s="182" t="str">
        <f>IFERROR(__xludf.DUMMYFUNCTION("""COMPUTED_VALUE"""),"Equity Key Stats")</f>
        <v>Equity Key Stats</v>
      </c>
      <c r="N123" s="35"/>
      <c r="O123" s="35"/>
      <c r="P123" s="184">
        <f>IFERROR(__xludf.DUMMYFUNCTION("""COMPUTED_VALUE"""),0.0)</f>
        <v>0</v>
      </c>
      <c r="Q123" s="177"/>
      <c r="R123" s="178">
        <f>IFERROR(__xludf.DUMMYFUNCTION("""COMPUTED_VALUE"""),182.96)</f>
        <v>182.96</v>
      </c>
      <c r="S123" s="176">
        <f>IFERROR(__xludf.DUMMYFUNCTION("""COMPUTED_VALUE"""),0.0)</f>
        <v>0</v>
      </c>
      <c r="T123" s="95">
        <f>IFERROR(__xludf.DUMMYFUNCTION("""COMPUTED_VALUE"""),2.0)</f>
        <v>2</v>
      </c>
      <c r="U123" s="95" t="str">
        <f>IFERROR(__xludf.DUMMYFUNCTION("""COMPUTED_VALUE"""),"")</f>
        <v/>
      </c>
      <c r="V123" s="179" t="str">
        <f>IFERROR(__xludf.DUMMYFUNCTION("""COMPUTED_VALUE"""),"")</f>
        <v/>
      </c>
      <c r="W123" s="171" t="str">
        <f>IFERROR(__xludf.DUMMYFUNCTION("""COMPUTED_VALUE"""),"")</f>
        <v/>
      </c>
      <c r="X123" s="14" t="str">
        <f>IFERROR(__xludf.DUMMYFUNCTION("""COMPUTED_VALUE"""),"")</f>
        <v/>
      </c>
      <c r="Y123" s="14" t="str">
        <f>IFERROR(__xludf.DUMMYFUNCTION("""COMPUTED_VALUE"""),"")</f>
        <v/>
      </c>
      <c r="Z123" s="11" t="str">
        <f>IFERROR(__xludf.DUMMYFUNCTION("""COMPUTED_VALUE"""),"")</f>
        <v/>
      </c>
    </row>
    <row r="124">
      <c r="A124" s="35" t="str">
        <f>IFERROR(__xludf.DUMMYFUNCTION("""COMPUTED_VALUE"""),"")</f>
        <v/>
      </c>
      <c r="B124" s="35" t="str">
        <f>IFERROR(__xludf.DUMMYFUNCTION("""COMPUTED_VALUE"""),"36242")</f>
        <v>36242</v>
      </c>
      <c r="C124" s="172">
        <f>IFERROR(__xludf.DUMMYFUNCTION("""COMPUTED_VALUE"""),4.4644000849E10)</f>
        <v>44644000849</v>
      </c>
      <c r="D124" s="180" t="str">
        <f>IFERROR(__xludf.DUMMYFUNCTION("""COMPUTED_VALUE"""),"BA")</f>
        <v>BA</v>
      </c>
      <c r="E124" s="173">
        <f>IFERROR(__xludf.DUMMYFUNCTION("""COMPUTED_VALUE"""),44644.0)</f>
        <v>44644</v>
      </c>
      <c r="F124" s="35" t="str">
        <f>IFERROR(__xludf.DUMMYFUNCTION("""COMPUTED_VALUE"""),"Stock")</f>
        <v>Stock</v>
      </c>
      <c r="G124" s="35" t="str">
        <f>IFERROR(__xludf.DUMMYFUNCTION("""COMPUTED_VALUE"""),"USD")</f>
        <v>USD</v>
      </c>
      <c r="H124" s="181">
        <f>IFERROR(__xludf.DUMMYFUNCTION("""COMPUTED_VALUE"""),0.0)</f>
        <v>0</v>
      </c>
      <c r="I124" s="174">
        <f>IFERROR(__xludf.DUMMYFUNCTION("""COMPUTED_VALUE"""),7.82365)</f>
        <v>7.82365</v>
      </c>
      <c r="J124" s="175">
        <f>IFERROR(__xludf.DUMMYFUNCTION("""COMPUTED_VALUE"""),0.0)</f>
        <v>0</v>
      </c>
      <c r="K124" s="35"/>
      <c r="L124" s="175">
        <f>IFERROR(__xludf.DUMMYFUNCTION("""COMPUTED_VALUE"""),182.96)</f>
        <v>182.96</v>
      </c>
      <c r="M124" s="182" t="str">
        <f>IFERROR(__xludf.DUMMYFUNCTION("""COMPUTED_VALUE"""),"Equity Key Stats")</f>
        <v>Equity Key Stats</v>
      </c>
      <c r="N124" s="35"/>
      <c r="O124" s="35"/>
      <c r="P124" s="184">
        <f>IFERROR(__xludf.DUMMYFUNCTION("""COMPUTED_VALUE"""),0.0)</f>
        <v>0</v>
      </c>
      <c r="Q124" s="177"/>
      <c r="R124" s="178">
        <f>IFERROR(__xludf.DUMMYFUNCTION("""COMPUTED_VALUE"""),182.96)</f>
        <v>182.96</v>
      </c>
      <c r="S124" s="176">
        <f>IFERROR(__xludf.DUMMYFUNCTION("""COMPUTED_VALUE"""),0.0)</f>
        <v>0</v>
      </c>
      <c r="T124" s="95">
        <f>IFERROR(__xludf.DUMMYFUNCTION("""COMPUTED_VALUE"""),2.0)</f>
        <v>2</v>
      </c>
      <c r="U124" s="95">
        <f>IFERROR(__xludf.DUMMYFUNCTION("""COMPUTED_VALUE"""),1.0)</f>
        <v>1</v>
      </c>
      <c r="V124" s="179">
        <f>IFERROR(__xludf.DUMMYFUNCTION("""COMPUTED_VALUE"""),0.0)</f>
        <v>0</v>
      </c>
      <c r="W124" s="171" t="str">
        <f>IFERROR(__xludf.DUMMYFUNCTION("""COMPUTED_VALUE"""),"")</f>
        <v/>
      </c>
      <c r="X124" s="14" t="str">
        <f>IFERROR(__xludf.DUMMYFUNCTION("""COMPUTED_VALUE"""),"")</f>
        <v/>
      </c>
      <c r="Y124" s="14" t="str">
        <f>IFERROR(__xludf.DUMMYFUNCTION("""COMPUTED_VALUE"""),"")</f>
        <v/>
      </c>
      <c r="Z124" s="11" t="str">
        <f>IFERROR(__xludf.DUMMYFUNCTION("""COMPUTED_VALUE"""),"")</f>
        <v/>
      </c>
    </row>
    <row r="125">
      <c r="A125" s="35" t="str">
        <f>IFERROR(__xludf.DUMMYFUNCTION("""COMPUTED_VALUE"""),"")</f>
        <v/>
      </c>
      <c r="B125" s="35" t="str">
        <f>IFERROR(__xludf.DUMMYFUNCTION("""COMPUTED_VALUE"""),"36242")</f>
        <v>36242</v>
      </c>
      <c r="C125" s="172">
        <f>IFERROR(__xludf.DUMMYFUNCTION("""COMPUTED_VALUE"""),4.4648000948E10)</f>
        <v>44648000948</v>
      </c>
      <c r="D125" s="192" t="str">
        <f>IFERROR(__xludf.DUMMYFUNCTION("""COMPUTED_VALUE"""),"TSLA")</f>
        <v>TSLA</v>
      </c>
      <c r="E125" s="173">
        <f>IFERROR(__xludf.DUMMYFUNCTION("""COMPUTED_VALUE"""),44648.0)</f>
        <v>44648</v>
      </c>
      <c r="F125" s="35" t="str">
        <f>IFERROR(__xludf.DUMMYFUNCTION("""COMPUTED_VALUE"""),"Stock")</f>
        <v>Stock</v>
      </c>
      <c r="G125" s="35" t="str">
        <f>IFERROR(__xludf.DUMMYFUNCTION("""COMPUTED_VALUE"""),"USD")</f>
        <v>USD</v>
      </c>
      <c r="H125" s="181">
        <f>IFERROR(__xludf.DUMMYFUNCTION("""COMPUTED_VALUE"""),0.0)</f>
        <v>0</v>
      </c>
      <c r="I125" s="174">
        <f>IFERROR(__xludf.DUMMYFUNCTION("""COMPUTED_VALUE"""),7.82905)</f>
        <v>7.82905</v>
      </c>
      <c r="J125" s="175">
        <f>IFERROR(__xludf.DUMMYFUNCTION("""COMPUTED_VALUE"""),0.0)</f>
        <v>0</v>
      </c>
      <c r="K125" s="35"/>
      <c r="L125" s="175">
        <f>IFERROR(__xludf.DUMMYFUNCTION("""COMPUTED_VALUE"""),1022.37)</f>
        <v>1022.37</v>
      </c>
      <c r="M125" s="182" t="str">
        <f>IFERROR(__xludf.DUMMYFUNCTION("""COMPUTED_VALUE"""),"Equity Key Stats")</f>
        <v>Equity Key Stats</v>
      </c>
      <c r="N125" s="35"/>
      <c r="O125" s="35"/>
      <c r="P125" s="184">
        <f>IFERROR(__xludf.DUMMYFUNCTION("""COMPUTED_VALUE"""),0.0)</f>
        <v>0</v>
      </c>
      <c r="Q125" s="177"/>
      <c r="R125" s="178">
        <f>IFERROR(__xludf.DUMMYFUNCTION("""COMPUTED_VALUE"""),1022.37)</f>
        <v>1022.37</v>
      </c>
      <c r="S125" s="176">
        <f>IFERROR(__xludf.DUMMYFUNCTION("""COMPUTED_VALUE"""),0.0)</f>
        <v>0</v>
      </c>
      <c r="T125" s="95">
        <f>IFERROR(__xludf.DUMMYFUNCTION("""COMPUTED_VALUE"""),4.0)</f>
        <v>4</v>
      </c>
      <c r="U125" s="95" t="str">
        <f>IFERROR(__xludf.DUMMYFUNCTION("""COMPUTED_VALUE"""),"")</f>
        <v/>
      </c>
      <c r="V125" s="179" t="str">
        <f>IFERROR(__xludf.DUMMYFUNCTION("""COMPUTED_VALUE"""),"")</f>
        <v/>
      </c>
      <c r="W125" s="171" t="str">
        <f>IFERROR(__xludf.DUMMYFUNCTION("""COMPUTED_VALUE"""),"")</f>
        <v/>
      </c>
      <c r="X125" s="14" t="str">
        <f>IFERROR(__xludf.DUMMYFUNCTION("""COMPUTED_VALUE"""),"")</f>
        <v/>
      </c>
      <c r="Y125" s="14" t="str">
        <f>IFERROR(__xludf.DUMMYFUNCTION("""COMPUTED_VALUE"""),"")</f>
        <v/>
      </c>
      <c r="Z125" s="11" t="str">
        <f>IFERROR(__xludf.DUMMYFUNCTION("""COMPUTED_VALUE"""),"")</f>
        <v/>
      </c>
    </row>
    <row r="126">
      <c r="A126" s="35" t="str">
        <f>IFERROR(__xludf.DUMMYFUNCTION("""COMPUTED_VALUE"""),"")</f>
        <v/>
      </c>
      <c r="B126" s="35" t="str">
        <f>IFERROR(__xludf.DUMMYFUNCTION("""COMPUTED_VALUE"""),"36242")</f>
        <v>36242</v>
      </c>
      <c r="C126" s="172">
        <f>IFERROR(__xludf.DUMMYFUNCTION("""COMPUTED_VALUE"""),4.4649000989E10)</f>
        <v>44649000989</v>
      </c>
      <c r="D126" s="192" t="str">
        <f>IFERROR(__xludf.DUMMYFUNCTION("""COMPUTED_VALUE"""),"TSLA")</f>
        <v>TSLA</v>
      </c>
      <c r="E126" s="173">
        <f>IFERROR(__xludf.DUMMYFUNCTION("""COMPUTED_VALUE"""),44649.0)</f>
        <v>44649</v>
      </c>
      <c r="F126" s="35" t="str">
        <f>IFERROR(__xludf.DUMMYFUNCTION("""COMPUTED_VALUE"""),"Stock")</f>
        <v>Stock</v>
      </c>
      <c r="G126" s="35" t="str">
        <f>IFERROR(__xludf.DUMMYFUNCTION("""COMPUTED_VALUE"""),"USD")</f>
        <v>USD</v>
      </c>
      <c r="H126" s="183">
        <f>IFERROR(__xludf.DUMMYFUNCTION("""COMPUTED_VALUE"""),-50.0)</f>
        <v>-50</v>
      </c>
      <c r="I126" s="174">
        <f>IFERROR(__xludf.DUMMYFUNCTION("""COMPUTED_VALUE"""),7.827315)</f>
        <v>7.827315</v>
      </c>
      <c r="J126" s="175">
        <f>IFERROR(__xludf.DUMMYFUNCTION("""COMPUTED_VALUE"""),1099.57)</f>
        <v>1099.57</v>
      </c>
      <c r="K126" s="35"/>
      <c r="L126" s="175">
        <f>IFERROR(__xludf.DUMMYFUNCTION("""COMPUTED_VALUE"""),1022.37)</f>
        <v>1022.37</v>
      </c>
      <c r="M126" s="182" t="str">
        <f>IFERROR(__xludf.DUMMYFUNCTION("""COMPUTED_VALUE"""),"Equity Key Stats")</f>
        <v>Equity Key Stats</v>
      </c>
      <c r="N126" s="35"/>
      <c r="O126" s="35"/>
      <c r="P126" s="176">
        <f>IFERROR(__xludf.DUMMYFUNCTION("""COMPUTED_VALUE"""),430334.03772749996)</f>
        <v>430334.0377</v>
      </c>
      <c r="Q126" s="177"/>
      <c r="R126" s="178">
        <f>IFERROR(__xludf.DUMMYFUNCTION("""COMPUTED_VALUE"""),1022.37)</f>
        <v>1022.37</v>
      </c>
      <c r="S126" s="184">
        <f>IFERROR(__xludf.DUMMYFUNCTION("""COMPUTED_VALUE"""),-400120.6018275)</f>
        <v>-400120.6018</v>
      </c>
      <c r="T126" s="95">
        <f>IFERROR(__xludf.DUMMYFUNCTION("""COMPUTED_VALUE"""),4.0)</f>
        <v>4</v>
      </c>
      <c r="U126" s="95" t="str">
        <f>IFERROR(__xludf.DUMMYFUNCTION("""COMPUTED_VALUE"""),"")</f>
        <v/>
      </c>
      <c r="V126" s="179" t="str">
        <f>IFERROR(__xludf.DUMMYFUNCTION("""COMPUTED_VALUE"""),"")</f>
        <v/>
      </c>
      <c r="W126" s="55" t="str">
        <f>IFERROR(__xludf.DUMMYFUNCTION("""COMPUTED_VALUE"""),"")</f>
        <v/>
      </c>
      <c r="X126" s="183" t="str">
        <f>IFERROR(__xludf.DUMMYFUNCTION("""COMPUTED_VALUE"""),"")</f>
        <v/>
      </c>
      <c r="Y126" s="181" t="str">
        <f>IFERROR(__xludf.DUMMYFUNCTION("""COMPUTED_VALUE"""),"")</f>
        <v/>
      </c>
      <c r="Z126" s="186" t="str">
        <f>IFERROR(__xludf.DUMMYFUNCTION("""COMPUTED_VALUE"""),"")</f>
        <v/>
      </c>
    </row>
    <row r="127">
      <c r="A127" s="35" t="str">
        <f>IFERROR(__xludf.DUMMYFUNCTION("""COMPUTED_VALUE"""),"")</f>
        <v/>
      </c>
      <c r="B127" s="35" t="str">
        <f>IFERROR(__xludf.DUMMYFUNCTION("""COMPUTED_VALUE"""),"36242")</f>
        <v>36242</v>
      </c>
      <c r="C127" s="172">
        <f>IFERROR(__xludf.DUMMYFUNCTION("""COMPUTED_VALUE"""),4.4651001057E10)</f>
        <v>44651001057</v>
      </c>
      <c r="D127" s="180" t="str">
        <f>IFERROR(__xludf.DUMMYFUNCTION("""COMPUTED_VALUE"""),"TSLA")</f>
        <v>TSLA</v>
      </c>
      <c r="E127" s="173">
        <f>IFERROR(__xludf.DUMMYFUNCTION("""COMPUTED_VALUE"""),44651.0)</f>
        <v>44651</v>
      </c>
      <c r="F127" s="35" t="str">
        <f>IFERROR(__xludf.DUMMYFUNCTION("""COMPUTED_VALUE"""),"Stock")</f>
        <v>Stock</v>
      </c>
      <c r="G127" s="35" t="str">
        <f>IFERROR(__xludf.DUMMYFUNCTION("""COMPUTED_VALUE"""),"USD")</f>
        <v>USD</v>
      </c>
      <c r="H127" s="14">
        <f>IFERROR(__xludf.DUMMYFUNCTION("""COMPUTED_VALUE"""),0.0)</f>
        <v>0</v>
      </c>
      <c r="I127" s="174">
        <f>IFERROR(__xludf.DUMMYFUNCTION("""COMPUTED_VALUE"""),7.83335)</f>
        <v>7.83335</v>
      </c>
      <c r="J127" s="175">
        <f>IFERROR(__xludf.DUMMYFUNCTION("""COMPUTED_VALUE"""),0.0)</f>
        <v>0</v>
      </c>
      <c r="K127" s="35"/>
      <c r="L127" s="175">
        <f>IFERROR(__xludf.DUMMYFUNCTION("""COMPUTED_VALUE"""),1022.37)</f>
        <v>1022.37</v>
      </c>
      <c r="M127" s="187" t="str">
        <f>IFERROR(__xludf.DUMMYFUNCTION("""COMPUTED_VALUE"""),"Equity Key Stats")</f>
        <v>Equity Key Stats</v>
      </c>
      <c r="N127" s="35"/>
      <c r="O127" s="35"/>
      <c r="P127" s="176">
        <f>IFERROR(__xludf.DUMMYFUNCTION("""COMPUTED_VALUE"""),0.0)</f>
        <v>0</v>
      </c>
      <c r="Q127" s="177"/>
      <c r="R127" s="178">
        <f>IFERROR(__xludf.DUMMYFUNCTION("""COMPUTED_VALUE"""),1022.37)</f>
        <v>1022.37</v>
      </c>
      <c r="S127" s="151">
        <f>IFERROR(__xludf.DUMMYFUNCTION("""COMPUTED_VALUE"""),0.0)</f>
        <v>0</v>
      </c>
      <c r="T127" s="95">
        <f>IFERROR(__xludf.DUMMYFUNCTION("""COMPUTED_VALUE"""),4.0)</f>
        <v>4</v>
      </c>
      <c r="U127" s="95" t="str">
        <f>IFERROR(__xludf.DUMMYFUNCTION("""COMPUTED_VALUE"""),"")</f>
        <v/>
      </c>
      <c r="V127" s="179" t="str">
        <f>IFERROR(__xludf.DUMMYFUNCTION("""COMPUTED_VALUE"""),"")</f>
        <v/>
      </c>
      <c r="W127" s="55" t="str">
        <f>IFERROR(__xludf.DUMMYFUNCTION("""COMPUTED_VALUE"""),"")</f>
        <v/>
      </c>
      <c r="X127" s="181" t="str">
        <f>IFERROR(__xludf.DUMMYFUNCTION("""COMPUTED_VALUE"""),"")</f>
        <v/>
      </c>
      <c r="Y127" s="181" t="str">
        <f>IFERROR(__xludf.DUMMYFUNCTION("""COMPUTED_VALUE"""),"")</f>
        <v/>
      </c>
      <c r="Z127" s="186" t="str">
        <f>IFERROR(__xludf.DUMMYFUNCTION("""COMPUTED_VALUE"""),"")</f>
        <v/>
      </c>
    </row>
    <row r="128">
      <c r="A128" s="35" t="str">
        <f>IFERROR(__xludf.DUMMYFUNCTION("""COMPUTED_VALUE"""),"")</f>
        <v/>
      </c>
      <c r="B128" s="35" t="str">
        <f>IFERROR(__xludf.DUMMYFUNCTION("""COMPUTED_VALUE"""),"36242")</f>
        <v>36242</v>
      </c>
      <c r="C128" s="172">
        <f>IFERROR(__xludf.DUMMYFUNCTION("""COMPUTED_VALUE"""),4.465900129E10)</f>
        <v>44659001290</v>
      </c>
      <c r="D128" s="135" t="str">
        <f>IFERROR(__xludf.DUMMYFUNCTION("""COMPUTED_VALUE"""),"SOHU")</f>
        <v>SOHU</v>
      </c>
      <c r="E128" s="173">
        <f>IFERROR(__xludf.DUMMYFUNCTION("""COMPUTED_VALUE"""),44659.0)</f>
        <v>44659</v>
      </c>
      <c r="F128" s="35" t="str">
        <f>IFERROR(__xludf.DUMMYFUNCTION("""COMPUTED_VALUE"""),"Stock")</f>
        <v>Stock</v>
      </c>
      <c r="G128" s="35" t="str">
        <f>IFERROR(__xludf.DUMMYFUNCTION("""COMPUTED_VALUE"""),"USD")</f>
        <v>USD</v>
      </c>
      <c r="H128" s="14">
        <f>IFERROR(__xludf.DUMMYFUNCTION("""COMPUTED_VALUE"""),300.0)</f>
        <v>300</v>
      </c>
      <c r="I128" s="174">
        <f>IFERROR(__xludf.DUMMYFUNCTION("""COMPUTED_VALUE"""),7.839265)</f>
        <v>7.839265</v>
      </c>
      <c r="J128" s="175">
        <f>IFERROR(__xludf.DUMMYFUNCTION("""COMPUTED_VALUE"""),19.03)</f>
        <v>19.03</v>
      </c>
      <c r="K128" s="35"/>
      <c r="L128" s="175">
        <f>IFERROR(__xludf.DUMMYFUNCTION("""COMPUTED_VALUE"""),18.86)</f>
        <v>18.86</v>
      </c>
      <c r="M128" s="187" t="str">
        <f>IFERROR(__xludf.DUMMYFUNCTION("""COMPUTED_VALUE"""),"Equity Key Stats")</f>
        <v>Equity Key Stats</v>
      </c>
      <c r="N128" s="35"/>
      <c r="O128" s="35"/>
      <c r="P128" s="176">
        <f>IFERROR(__xludf.DUMMYFUNCTION("""COMPUTED_VALUE"""),-44754.363885000006)</f>
        <v>-44754.36389</v>
      </c>
      <c r="Q128" s="177"/>
      <c r="R128" s="178">
        <f>IFERROR(__xludf.DUMMYFUNCTION("""COMPUTED_VALUE"""),18.86)</f>
        <v>18.86</v>
      </c>
      <c r="S128" s="151">
        <f>IFERROR(__xludf.DUMMYFUNCTION("""COMPUTED_VALUE"""),44354.56137)</f>
        <v>44354.56137</v>
      </c>
      <c r="T128" s="95">
        <f>IFERROR(__xludf.DUMMYFUNCTION("""COMPUTED_VALUE"""),2.0)</f>
        <v>2</v>
      </c>
      <c r="U128" s="95" t="str">
        <f>IFERROR(__xludf.DUMMYFUNCTION("""COMPUTED_VALUE"""),"")</f>
        <v/>
      </c>
      <c r="V128" s="179" t="str">
        <f>IFERROR(__xludf.DUMMYFUNCTION("""COMPUTED_VALUE"""),"")</f>
        <v/>
      </c>
      <c r="W128" s="171" t="str">
        <f>IFERROR(__xludf.DUMMYFUNCTION("""COMPUTED_VALUE"""),"")</f>
        <v/>
      </c>
      <c r="X128" s="14" t="str">
        <f>IFERROR(__xludf.DUMMYFUNCTION("""COMPUTED_VALUE"""),"")</f>
        <v/>
      </c>
      <c r="Y128" s="14" t="str">
        <f>IFERROR(__xludf.DUMMYFUNCTION("""COMPUTED_VALUE"""),"")</f>
        <v/>
      </c>
      <c r="Z128" s="11" t="str">
        <f>IFERROR(__xludf.DUMMYFUNCTION("""COMPUTED_VALUE"""),"")</f>
        <v/>
      </c>
    </row>
    <row r="129">
      <c r="A129" s="35" t="str">
        <f>IFERROR(__xludf.DUMMYFUNCTION("""COMPUTED_VALUE"""),"")</f>
        <v/>
      </c>
      <c r="B129" s="35" t="str">
        <f>IFERROR(__xludf.DUMMYFUNCTION("""COMPUTED_VALUE"""),"36242")</f>
        <v>36242</v>
      </c>
      <c r="C129" s="172">
        <f>IFERROR(__xludf.DUMMYFUNCTION("""COMPUTED_VALUE"""),4.4659001293E10)</f>
        <v>44659001293</v>
      </c>
      <c r="D129" s="135" t="str">
        <f>IFERROR(__xludf.DUMMYFUNCTION("""COMPUTED_VALUE"""),"TSLA")</f>
        <v>TSLA</v>
      </c>
      <c r="E129" s="173">
        <f>IFERROR(__xludf.DUMMYFUNCTION("""COMPUTED_VALUE"""),44659.0)</f>
        <v>44659</v>
      </c>
      <c r="F129" s="35" t="str">
        <f>IFERROR(__xludf.DUMMYFUNCTION("""COMPUTED_VALUE"""),"Stock")</f>
        <v>Stock</v>
      </c>
      <c r="G129" s="35" t="str">
        <f>IFERROR(__xludf.DUMMYFUNCTION("""COMPUTED_VALUE"""),"USD")</f>
        <v>USD</v>
      </c>
      <c r="H129" s="181">
        <f>IFERROR(__xludf.DUMMYFUNCTION("""COMPUTED_VALUE"""),50.0)</f>
        <v>50</v>
      </c>
      <c r="I129" s="174">
        <f>IFERROR(__xludf.DUMMYFUNCTION("""COMPUTED_VALUE"""),7.839265)</f>
        <v>7.839265</v>
      </c>
      <c r="J129" s="175">
        <f>IFERROR(__xludf.DUMMYFUNCTION("""COMPUTED_VALUE"""),1025.49)</f>
        <v>1025.49</v>
      </c>
      <c r="K129" s="35"/>
      <c r="L129" s="175">
        <f>IFERROR(__xludf.DUMMYFUNCTION("""COMPUTED_VALUE"""),1022.37)</f>
        <v>1022.37</v>
      </c>
      <c r="M129" s="182" t="str">
        <f>IFERROR(__xludf.DUMMYFUNCTION("""COMPUTED_VALUE"""),"Equity Key Stats")</f>
        <v>Equity Key Stats</v>
      </c>
      <c r="N129" s="35"/>
      <c r="O129" s="35"/>
      <c r="P129" s="184">
        <f>IFERROR(__xludf.DUMMYFUNCTION("""COMPUTED_VALUE"""),-401954.3932425)</f>
        <v>-401954.3932</v>
      </c>
      <c r="Q129" s="177"/>
      <c r="R129" s="178">
        <f>IFERROR(__xludf.DUMMYFUNCTION("""COMPUTED_VALUE"""),1022.37)</f>
        <v>1022.37</v>
      </c>
      <c r="S129" s="176">
        <f>IFERROR(__xludf.DUMMYFUNCTION("""COMPUTED_VALUE"""),400731.4679025)</f>
        <v>400731.4679</v>
      </c>
      <c r="T129" s="95">
        <f>IFERROR(__xludf.DUMMYFUNCTION("""COMPUTED_VALUE"""),4.0)</f>
        <v>4</v>
      </c>
      <c r="U129" s="35">
        <f>IFERROR(__xludf.DUMMYFUNCTION("""COMPUTED_VALUE"""),1.0)</f>
        <v>1</v>
      </c>
      <c r="V129" s="170">
        <f>IFERROR(__xludf.DUMMYFUNCTION("""COMPUTED_VALUE"""),28990.510559999966)</f>
        <v>28990.51056</v>
      </c>
      <c r="W129" s="171" t="str">
        <f>IFERROR(__xludf.DUMMYFUNCTION("""COMPUTED_VALUE"""),"")</f>
        <v/>
      </c>
      <c r="X129" s="14" t="str">
        <f>IFERROR(__xludf.DUMMYFUNCTION("""COMPUTED_VALUE"""),"")</f>
        <v/>
      </c>
      <c r="Y129" s="14" t="str">
        <f>IFERROR(__xludf.DUMMYFUNCTION("""COMPUTED_VALUE"""),"")</f>
        <v/>
      </c>
      <c r="Z129" s="11" t="str">
        <f>IFERROR(__xludf.DUMMYFUNCTION("""COMPUTED_VALUE"""),"")</f>
        <v/>
      </c>
    </row>
    <row r="130">
      <c r="A130" s="35" t="str">
        <f>IFERROR(__xludf.DUMMYFUNCTION("""COMPUTED_VALUE"""),"")</f>
        <v/>
      </c>
      <c r="B130" s="35" t="str">
        <f>IFERROR(__xludf.DUMMYFUNCTION("""COMPUTED_VALUE"""),"36242")</f>
        <v>36242</v>
      </c>
      <c r="C130" s="172">
        <f>IFERROR(__xludf.DUMMYFUNCTION("""COMPUTED_VALUE"""),4.4663001434E10)</f>
        <v>44663001434</v>
      </c>
      <c r="D130" s="135" t="str">
        <f>IFERROR(__xludf.DUMMYFUNCTION("""COMPUTED_VALUE"""),"SOHU")</f>
        <v>SOHU</v>
      </c>
      <c r="E130" s="173">
        <f>IFERROR(__xludf.DUMMYFUNCTION("""COMPUTED_VALUE"""),44663.0)</f>
        <v>44663</v>
      </c>
      <c r="F130" s="35" t="str">
        <f>IFERROR(__xludf.DUMMYFUNCTION("""COMPUTED_VALUE"""),"Stock")</f>
        <v>Stock</v>
      </c>
      <c r="G130" s="35" t="str">
        <f>IFERROR(__xludf.DUMMYFUNCTION("""COMPUTED_VALUE"""),"USD")</f>
        <v>USD</v>
      </c>
      <c r="H130" s="181">
        <f>IFERROR(__xludf.DUMMYFUNCTION("""COMPUTED_VALUE"""),-300.0)</f>
        <v>-300</v>
      </c>
      <c r="I130" s="174">
        <f>IFERROR(__xludf.DUMMYFUNCTION("""COMPUTED_VALUE"""),7.83775)</f>
        <v>7.83775</v>
      </c>
      <c r="J130" s="175">
        <f>IFERROR(__xludf.DUMMYFUNCTION("""COMPUTED_VALUE"""),19.01)</f>
        <v>19.01</v>
      </c>
      <c r="K130" s="35"/>
      <c r="L130" s="175">
        <f>IFERROR(__xludf.DUMMYFUNCTION("""COMPUTED_VALUE"""),18.86)</f>
        <v>18.86</v>
      </c>
      <c r="M130" s="182" t="str">
        <f>IFERROR(__xludf.DUMMYFUNCTION("""COMPUTED_VALUE"""),"Equity Key Stats")</f>
        <v>Equity Key Stats</v>
      </c>
      <c r="N130" s="35"/>
      <c r="O130" s="35"/>
      <c r="P130" s="184">
        <f>IFERROR(__xludf.DUMMYFUNCTION("""COMPUTED_VALUE"""),44698.68825)</f>
        <v>44698.68825</v>
      </c>
      <c r="Q130" s="177"/>
      <c r="R130" s="178">
        <f>IFERROR(__xludf.DUMMYFUNCTION("""COMPUTED_VALUE"""),18.86)</f>
        <v>18.86</v>
      </c>
      <c r="S130" s="176">
        <f>IFERROR(__xludf.DUMMYFUNCTION("""COMPUTED_VALUE"""),-44345.989499999996)</f>
        <v>-44345.9895</v>
      </c>
      <c r="T130" s="95">
        <f>IFERROR(__xludf.DUMMYFUNCTION("""COMPUTED_VALUE"""),2.0)</f>
        <v>2</v>
      </c>
      <c r="U130" s="95">
        <f>IFERROR(__xludf.DUMMYFUNCTION("""COMPUTED_VALUE"""),1.0)</f>
        <v>1</v>
      </c>
      <c r="V130" s="179">
        <f>IFERROR(__xludf.DUMMYFUNCTION("""COMPUTED_VALUE"""),-47.10376499999984)</f>
        <v>-47.103765</v>
      </c>
      <c r="W130" s="171" t="str">
        <f>IFERROR(__xludf.DUMMYFUNCTION("""COMPUTED_VALUE"""),"")</f>
        <v/>
      </c>
      <c r="X130" s="14" t="str">
        <f>IFERROR(__xludf.DUMMYFUNCTION("""COMPUTED_VALUE"""),"")</f>
        <v/>
      </c>
      <c r="Y130" s="14" t="str">
        <f>IFERROR(__xludf.DUMMYFUNCTION("""COMPUTED_VALUE"""),"")</f>
        <v/>
      </c>
      <c r="Z130" s="11" t="str">
        <f>IFERROR(__xludf.DUMMYFUNCTION("""COMPUTED_VALUE"""),"")</f>
        <v/>
      </c>
    </row>
    <row r="131">
      <c r="A131" s="35" t="str">
        <f>IFERROR(__xludf.DUMMYFUNCTION("""COMPUTED_VALUE"""),"")</f>
        <v/>
      </c>
      <c r="B131" s="35" t="str">
        <f>IFERROR(__xludf.DUMMYFUNCTION("""COMPUTED_VALUE"""),"36242")</f>
        <v>36242</v>
      </c>
      <c r="C131" s="172">
        <f>IFERROR(__xludf.DUMMYFUNCTION("""COMPUTED_VALUE"""),4.4663001435E10)</f>
        <v>44663001435</v>
      </c>
      <c r="D131" s="135" t="str">
        <f>IFERROR(__xludf.DUMMYFUNCTION("""COMPUTED_VALUE"""),"LMT")</f>
        <v>LMT</v>
      </c>
      <c r="E131" s="173">
        <f>IFERROR(__xludf.DUMMYFUNCTION("""COMPUTED_VALUE"""),44663.0)</f>
        <v>44663</v>
      </c>
      <c r="F131" s="35" t="str">
        <f>IFERROR(__xludf.DUMMYFUNCTION("""COMPUTED_VALUE"""),"Stock")</f>
        <v>Stock</v>
      </c>
      <c r="G131" s="35" t="str">
        <f>IFERROR(__xludf.DUMMYFUNCTION("""COMPUTED_VALUE"""),"USD")</f>
        <v>USD</v>
      </c>
      <c r="H131" s="181">
        <f>IFERROR(__xludf.DUMMYFUNCTION("""COMPUTED_VALUE"""),50.0)</f>
        <v>50</v>
      </c>
      <c r="I131" s="174">
        <f>IFERROR(__xludf.DUMMYFUNCTION("""COMPUTED_VALUE"""),7.83775)</f>
        <v>7.83775</v>
      </c>
      <c r="J131" s="175">
        <f>IFERROR(__xludf.DUMMYFUNCTION("""COMPUTED_VALUE"""),467.55)</f>
        <v>467.55</v>
      </c>
      <c r="K131" s="35"/>
      <c r="L131" s="175">
        <f>IFERROR(__xludf.DUMMYFUNCTION("""COMPUTED_VALUE"""),469.2)</f>
        <v>469.2</v>
      </c>
      <c r="M131" s="182" t="str">
        <f>IFERROR(__xludf.DUMMYFUNCTION("""COMPUTED_VALUE"""),"Equity Key Stats")</f>
        <v>Equity Key Stats</v>
      </c>
      <c r="N131" s="35"/>
      <c r="O131" s="35"/>
      <c r="P131" s="184">
        <f>IFERROR(__xludf.DUMMYFUNCTION("""COMPUTED_VALUE"""),-183227.000625)</f>
        <v>-183227.0006</v>
      </c>
      <c r="Q131" s="177"/>
      <c r="R131" s="178">
        <f>IFERROR(__xludf.DUMMYFUNCTION("""COMPUTED_VALUE"""),469.2)</f>
        <v>469.2</v>
      </c>
      <c r="S131" s="176">
        <f>IFERROR(__xludf.DUMMYFUNCTION("""COMPUTED_VALUE"""),183873.615)</f>
        <v>183873.615</v>
      </c>
      <c r="T131" s="95">
        <f>IFERROR(__xludf.DUMMYFUNCTION("""COMPUTED_VALUE"""),1.0)</f>
        <v>1</v>
      </c>
      <c r="U131" s="95">
        <f>IFERROR(__xludf.DUMMYFUNCTION("""COMPUTED_VALUE"""),1.0)</f>
        <v>1</v>
      </c>
      <c r="V131" s="179">
        <f>IFERROR(__xludf.DUMMYFUNCTION("""COMPUTED_VALUE"""),646.6143750000047)</f>
        <v>646.614375</v>
      </c>
      <c r="W131" s="171" t="str">
        <f>IFERROR(__xludf.DUMMYFUNCTION("""COMPUTED_VALUE"""),"")</f>
        <v/>
      </c>
      <c r="X131" s="14" t="str">
        <f>IFERROR(__xludf.DUMMYFUNCTION("""COMPUTED_VALUE"""),"")</f>
        <v/>
      </c>
      <c r="Y131" s="14" t="str">
        <f>IFERROR(__xludf.DUMMYFUNCTION("""COMPUTED_VALUE"""),"")</f>
        <v/>
      </c>
      <c r="Z131" s="11" t="str">
        <f>IFERROR(__xludf.DUMMYFUNCTION("""COMPUTED_VALUE"""),"")</f>
        <v/>
      </c>
    </row>
    <row r="132">
      <c r="A132" s="35" t="str">
        <f>IFERROR(__xludf.DUMMYFUNCTION("""COMPUTED_VALUE"""),"")</f>
        <v/>
      </c>
      <c r="B132" s="35" t="str">
        <f>IFERROR(__xludf.DUMMYFUNCTION("""COMPUTED_VALUE"""),"36242")</f>
        <v>36242</v>
      </c>
      <c r="C132" s="172">
        <f>IFERROR(__xludf.DUMMYFUNCTION("""COMPUTED_VALUE"""),4.4664001446E10)</f>
        <v>44664001446</v>
      </c>
      <c r="D132" s="191" t="str">
        <f>IFERROR(__xludf.DUMMYFUNCTION("""COMPUTED_VALUE"""),"1024.HK")</f>
        <v>1024.HK</v>
      </c>
      <c r="E132" s="173">
        <f>IFERROR(__xludf.DUMMYFUNCTION("""COMPUTED_VALUE"""),44664.0)</f>
        <v>44664</v>
      </c>
      <c r="F132" s="35" t="str">
        <f>IFERROR(__xludf.DUMMYFUNCTION("""COMPUTED_VALUE"""),"Stock")</f>
        <v>Stock</v>
      </c>
      <c r="G132" s="35" t="str">
        <f>IFERROR(__xludf.DUMMYFUNCTION("""COMPUTED_VALUE"""),"HKD")</f>
        <v>HKD</v>
      </c>
      <c r="H132" s="181">
        <f>IFERROR(__xludf.DUMMYFUNCTION("""COMPUTED_VALUE"""),1000.0)</f>
        <v>1000</v>
      </c>
      <c r="I132" s="174">
        <f>IFERROR(__xludf.DUMMYFUNCTION("""COMPUTED_VALUE"""),1.0)</f>
        <v>1</v>
      </c>
      <c r="J132" s="175">
        <f>IFERROR(__xludf.DUMMYFUNCTION("""COMPUTED_VALUE"""),64.0)</f>
        <v>64</v>
      </c>
      <c r="K132" s="35"/>
      <c r="L132" s="175">
        <f>IFERROR(__xludf.DUMMYFUNCTION("""COMPUTED_VALUE"""),64.0)</f>
        <v>64</v>
      </c>
      <c r="M132" s="182" t="str">
        <f>IFERROR(__xludf.DUMMYFUNCTION("""COMPUTED_VALUE"""),"Equity Key Stats")</f>
        <v>Equity Key Stats</v>
      </c>
      <c r="N132" s="35"/>
      <c r="O132" s="35"/>
      <c r="P132" s="184">
        <f>IFERROR(__xludf.DUMMYFUNCTION("""COMPUTED_VALUE"""),-64000.0)</f>
        <v>-64000</v>
      </c>
      <c r="Q132" s="177"/>
      <c r="R132" s="178">
        <f>IFERROR(__xludf.DUMMYFUNCTION("""COMPUTED_VALUE"""),64.0)</f>
        <v>64</v>
      </c>
      <c r="S132" s="176">
        <f>IFERROR(__xludf.DUMMYFUNCTION("""COMPUTED_VALUE"""),64000.0)</f>
        <v>64000</v>
      </c>
      <c r="T132" s="95">
        <f>IFERROR(__xludf.DUMMYFUNCTION("""COMPUTED_VALUE"""),1.0)</f>
        <v>1</v>
      </c>
      <c r="U132" s="95">
        <f>IFERROR(__xludf.DUMMYFUNCTION("""COMPUTED_VALUE"""),1.0)</f>
        <v>1</v>
      </c>
      <c r="V132" s="179">
        <f>IFERROR(__xludf.DUMMYFUNCTION("""COMPUTED_VALUE"""),0.0)</f>
        <v>0</v>
      </c>
      <c r="W132" s="171" t="str">
        <f>IFERROR(__xludf.DUMMYFUNCTION("""COMPUTED_VALUE"""),"")</f>
        <v/>
      </c>
      <c r="X132" s="14" t="str">
        <f>IFERROR(__xludf.DUMMYFUNCTION("""COMPUTED_VALUE"""),"")</f>
        <v/>
      </c>
      <c r="Y132" s="14" t="str">
        <f>IFERROR(__xludf.DUMMYFUNCTION("""COMPUTED_VALUE"""),"")</f>
        <v/>
      </c>
      <c r="Z132" s="11" t="str">
        <f>IFERROR(__xludf.DUMMYFUNCTION("""COMPUTED_VALUE"""),"")</f>
        <v/>
      </c>
    </row>
    <row r="133">
      <c r="A133" s="35" t="str">
        <f>IFERROR(__xludf.DUMMYFUNCTION("""COMPUTED_VALUE"""),"36242")</f>
        <v>36242</v>
      </c>
      <c r="B133" s="35" t="str">
        <f>IFERROR(__xludf.DUMMYFUNCTION("""COMPUTED_VALUE"""),"36242")</f>
        <v>36242</v>
      </c>
      <c r="C133" s="172">
        <f>IFERROR(__xludf.DUMMYFUNCTION("""COMPUTED_VALUE"""),4.4665001459E10)</f>
        <v>44665001459</v>
      </c>
      <c r="D133" s="191" t="str">
        <f>IFERROR(__xludf.DUMMYFUNCTION("""COMPUTED_VALUE"""),"000927.SZ")</f>
        <v>000927.SZ</v>
      </c>
      <c r="E133" s="173">
        <f>IFERROR(__xludf.DUMMYFUNCTION("""COMPUTED_VALUE"""),44665.0)</f>
        <v>44665</v>
      </c>
      <c r="F133" s="35" t="str">
        <f>IFERROR(__xludf.DUMMYFUNCTION("""COMPUTED_VALUE"""),"Stock")</f>
        <v>Stock</v>
      </c>
      <c r="G133" s="35" t="str">
        <f>IFERROR(__xludf.DUMMYFUNCTION("""COMPUTED_VALUE"""),"")</f>
        <v/>
      </c>
      <c r="H133" s="14" t="str">
        <f>IFERROR(__xludf.DUMMYFUNCTION("""COMPUTED_VALUE"""),"#N/A")</f>
        <v>#N/A</v>
      </c>
      <c r="I133" s="174" t="str">
        <f>IFERROR(__xludf.DUMMYFUNCTION("""COMPUTED_VALUE"""),"#N/A")</f>
        <v>#N/A</v>
      </c>
      <c r="J133" s="175">
        <f>IFERROR(__xludf.DUMMYFUNCTION("""COMPUTED_VALUE"""),0.0)</f>
        <v>0</v>
      </c>
      <c r="K133" s="35"/>
      <c r="L133" s="175">
        <f>IFERROR(__xludf.DUMMYFUNCTION("""COMPUTED_VALUE"""),4.27)</f>
        <v>4.27</v>
      </c>
      <c r="M133" s="182" t="str">
        <f>IFERROR(__xludf.DUMMYFUNCTION("""COMPUTED_VALUE"""),"Equity Key Stats")</f>
        <v>Equity Key Stats</v>
      </c>
      <c r="N133" s="35"/>
      <c r="O133" s="35"/>
      <c r="P133" s="176" t="str">
        <f>IFERROR(__xludf.DUMMYFUNCTION("""COMPUTED_VALUE"""),"#N/A")</f>
        <v>#N/A</v>
      </c>
      <c r="Q133" s="177"/>
      <c r="R133" s="178">
        <f>IFERROR(__xludf.DUMMYFUNCTION("""COMPUTED_VALUE"""),4.27)</f>
        <v>4.27</v>
      </c>
      <c r="S133" s="176" t="str">
        <f>IFERROR(__xludf.DUMMYFUNCTION("""COMPUTED_VALUE"""),"")</f>
        <v/>
      </c>
      <c r="T133" s="95" t="str">
        <f>IFERROR(__xludf.DUMMYFUNCTION("""COMPUTED_VALUE"""),"")</f>
        <v/>
      </c>
      <c r="U133" s="95" t="str">
        <f>IFERROR(__xludf.DUMMYFUNCTION("""COMPUTED_VALUE"""),"")</f>
        <v/>
      </c>
      <c r="V133" s="179" t="str">
        <f>IFERROR(__xludf.DUMMYFUNCTION("""COMPUTED_VALUE"""),"")</f>
        <v/>
      </c>
      <c r="W133" s="55">
        <f>IFERROR(__xludf.DUMMYFUNCTION("""COMPUTED_VALUE"""),529590.02117)</f>
        <v>529590.0212</v>
      </c>
      <c r="X133" s="183" t="str">
        <f>IFERROR(__xludf.DUMMYFUNCTION("""COMPUTED_VALUE"""),"#N/A")</f>
        <v>#N/A</v>
      </c>
      <c r="Y133" s="181" t="str">
        <f>IFERROR(__xludf.DUMMYFUNCTION("""COMPUTED_VALUE"""),"#N/A")</f>
        <v>#N/A</v>
      </c>
      <c r="Z133" s="186">
        <f>IFERROR(__xludf.DUMMYFUNCTION("""COMPUTED_VALUE"""),0.05918004233999996)</f>
        <v>0.05918004234</v>
      </c>
    </row>
    <row r="134">
      <c r="A134" s="35" t="str">
        <f>IFERROR(__xludf.DUMMYFUNCTION("""COMPUTED_VALUE"""),"")</f>
        <v/>
      </c>
      <c r="B134" s="35" t="str">
        <f>IFERROR(__xludf.DUMMYFUNCTION("""COMPUTED_VALUE"""),"36252")</f>
        <v>36252</v>
      </c>
      <c r="C134" s="172">
        <f>IFERROR(__xludf.DUMMYFUNCTION("""COMPUTED_VALUE"""),4.4597000037E10)</f>
        <v>44597000037</v>
      </c>
      <c r="D134" s="135" t="str">
        <f>IFERROR(__xludf.DUMMYFUNCTION("""COMPUTED_VALUE"""),"Cash")</f>
        <v>Cash</v>
      </c>
      <c r="E134" s="173">
        <f>IFERROR(__xludf.DUMMYFUNCTION("""COMPUTED_VALUE"""),44597.0)</f>
        <v>44597</v>
      </c>
      <c r="F134" s="35" t="str">
        <f>IFERROR(__xludf.DUMMYFUNCTION("""COMPUTED_VALUE"""),"Cash")</f>
        <v>Cash</v>
      </c>
      <c r="G134" s="35" t="str">
        <f>IFERROR(__xludf.DUMMYFUNCTION("""COMPUTED_VALUE"""),"HKD")</f>
        <v>HKD</v>
      </c>
      <c r="H134" s="14" t="str">
        <f>IFERROR(__xludf.DUMMYFUNCTION("""COMPUTED_VALUE"""),"")</f>
        <v/>
      </c>
      <c r="I134" s="174">
        <f>IFERROR(__xludf.DUMMYFUNCTION("""COMPUTED_VALUE"""),1.0)</f>
        <v>1</v>
      </c>
      <c r="J134" s="95">
        <f>IFERROR(__xludf.DUMMYFUNCTION("""COMPUTED_VALUE"""),1.0)</f>
        <v>1</v>
      </c>
      <c r="K134" s="35"/>
      <c r="L134" s="175">
        <f>IFERROR(__xludf.DUMMYFUNCTION("""COMPUTED_VALUE"""),1.0)</f>
        <v>1</v>
      </c>
      <c r="M134" s="3" t="str">
        <f>IFERROR(__xludf.DUMMYFUNCTION("""COMPUTED_VALUE"""),"")</f>
        <v/>
      </c>
      <c r="N134" s="35"/>
      <c r="O134" s="35"/>
      <c r="P134" s="176">
        <f>IFERROR(__xludf.DUMMYFUNCTION("""COMPUTED_VALUE"""),500000.0)</f>
        <v>500000</v>
      </c>
      <c r="Q134" s="177"/>
      <c r="R134" s="178">
        <f>IFERROR(__xludf.DUMMYFUNCTION("""COMPUTED_VALUE"""),1.0)</f>
        <v>1</v>
      </c>
      <c r="S134" s="151" t="str">
        <f>IFERROR(__xludf.DUMMYFUNCTION("""COMPUTED_VALUE"""),"")</f>
        <v/>
      </c>
      <c r="T134" s="95">
        <f>IFERROR(__xludf.DUMMYFUNCTION("""COMPUTED_VALUE"""),1.0)</f>
        <v>1</v>
      </c>
      <c r="U134" s="95">
        <f>IFERROR(__xludf.DUMMYFUNCTION("""COMPUTED_VALUE"""),1.0)</f>
        <v>1</v>
      </c>
      <c r="V134" s="179">
        <f>IFERROR(__xludf.DUMMYFUNCTION("""COMPUTED_VALUE"""),500000.0)</f>
        <v>500000</v>
      </c>
      <c r="W134" s="55" t="str">
        <f>IFERROR(__xludf.DUMMYFUNCTION("""COMPUTED_VALUE"""),"")</f>
        <v/>
      </c>
      <c r="X134" s="181" t="str">
        <f>IFERROR(__xludf.DUMMYFUNCTION("""COMPUTED_VALUE"""),"")</f>
        <v/>
      </c>
      <c r="Y134" s="181" t="str">
        <f>IFERROR(__xludf.DUMMYFUNCTION("""COMPUTED_VALUE"""),"")</f>
        <v/>
      </c>
      <c r="Z134" s="186" t="str">
        <f>IFERROR(__xludf.DUMMYFUNCTION("""COMPUTED_VALUE"""),"")</f>
        <v/>
      </c>
    </row>
    <row r="135">
      <c r="A135" s="35" t="str">
        <f>IFERROR(__xludf.DUMMYFUNCTION("""COMPUTED_VALUE"""),"")</f>
        <v/>
      </c>
      <c r="B135" s="35" t="str">
        <f>IFERROR(__xludf.DUMMYFUNCTION("""COMPUTED_VALUE"""),"36252")</f>
        <v>36252</v>
      </c>
      <c r="C135" s="172">
        <f>IFERROR(__xludf.DUMMYFUNCTION("""COMPUTED_VALUE"""),4.4639000715E10)</f>
        <v>44639000715</v>
      </c>
      <c r="D135" s="188" t="str">
        <f>IFERROR(__xludf.DUMMYFUNCTION("""COMPUTED_VALUE"""),"2318.hk")</f>
        <v>2318.hk</v>
      </c>
      <c r="E135" s="173">
        <f>IFERROR(__xludf.DUMMYFUNCTION("""COMPUTED_VALUE"""),44639.0)</f>
        <v>44639</v>
      </c>
      <c r="F135" s="35" t="str">
        <f>IFERROR(__xludf.DUMMYFUNCTION("""COMPUTED_VALUE"""),"Stock")</f>
        <v>Stock</v>
      </c>
      <c r="G135" s="35" t="str">
        <f>IFERROR(__xludf.DUMMYFUNCTION("""COMPUTED_VALUE"""),"HKD")</f>
        <v>HKD</v>
      </c>
      <c r="H135" s="14">
        <f>IFERROR(__xludf.DUMMYFUNCTION("""COMPUTED_VALUE"""),1600.0)</f>
        <v>1600</v>
      </c>
      <c r="I135" s="174">
        <f>IFERROR(__xludf.DUMMYFUNCTION("""COMPUTED_VALUE"""),1.0)</f>
        <v>1</v>
      </c>
      <c r="J135" s="175">
        <f>IFERROR(__xludf.DUMMYFUNCTION("""COMPUTED_VALUE"""),54.7)</f>
        <v>54.7</v>
      </c>
      <c r="K135" s="35"/>
      <c r="L135" s="175">
        <f>IFERROR(__xludf.DUMMYFUNCTION("""COMPUTED_VALUE"""),55.3)</f>
        <v>55.3</v>
      </c>
      <c r="M135" s="187" t="str">
        <f>IFERROR(__xludf.DUMMYFUNCTION("""COMPUTED_VALUE"""),"Equity Key Stats")</f>
        <v>Equity Key Stats</v>
      </c>
      <c r="N135" s="35"/>
      <c r="O135" s="35"/>
      <c r="P135" s="176">
        <f>IFERROR(__xludf.DUMMYFUNCTION("""COMPUTED_VALUE"""),-87520.0)</f>
        <v>-87520</v>
      </c>
      <c r="Q135" s="177"/>
      <c r="R135" s="178">
        <f>IFERROR(__xludf.DUMMYFUNCTION("""COMPUTED_VALUE"""),55.3)</f>
        <v>55.3</v>
      </c>
      <c r="S135" s="151">
        <f>IFERROR(__xludf.DUMMYFUNCTION("""COMPUTED_VALUE"""),88480.0)</f>
        <v>88480</v>
      </c>
      <c r="T135" s="95">
        <f>IFERROR(__xludf.DUMMYFUNCTION("""COMPUTED_VALUE"""),2.0)</f>
        <v>2</v>
      </c>
      <c r="U135" s="95" t="str">
        <f>IFERROR(__xludf.DUMMYFUNCTION("""COMPUTED_VALUE"""),"")</f>
        <v/>
      </c>
      <c r="V135" s="179" t="str">
        <f>IFERROR(__xludf.DUMMYFUNCTION("""COMPUTED_VALUE"""),"")</f>
        <v/>
      </c>
      <c r="W135" s="171" t="str">
        <f>IFERROR(__xludf.DUMMYFUNCTION("""COMPUTED_VALUE"""),"")</f>
        <v/>
      </c>
      <c r="X135" s="14" t="str">
        <f>IFERROR(__xludf.DUMMYFUNCTION("""COMPUTED_VALUE"""),"")</f>
        <v/>
      </c>
      <c r="Y135" s="14" t="str">
        <f>IFERROR(__xludf.DUMMYFUNCTION("""COMPUTED_VALUE"""),"")</f>
        <v/>
      </c>
      <c r="Z135" s="11" t="str">
        <f>IFERROR(__xludf.DUMMYFUNCTION("""COMPUTED_VALUE"""),"")</f>
        <v/>
      </c>
    </row>
    <row r="136">
      <c r="A136" s="35" t="str">
        <f>IFERROR(__xludf.DUMMYFUNCTION("""COMPUTED_VALUE"""),"")</f>
        <v/>
      </c>
      <c r="B136" s="35" t="str">
        <f>IFERROR(__xludf.DUMMYFUNCTION("""COMPUTED_VALUE"""),"36252")</f>
        <v>36252</v>
      </c>
      <c r="C136" s="172">
        <f>IFERROR(__xludf.DUMMYFUNCTION("""COMPUTED_VALUE"""),4.464100071E10)</f>
        <v>44641000710</v>
      </c>
      <c r="D136" s="188" t="str">
        <f>IFERROR(__xludf.DUMMYFUNCTION("""COMPUTED_VALUE"""),"0346.hk")</f>
        <v>0346.hk</v>
      </c>
      <c r="E136" s="173">
        <f>IFERROR(__xludf.DUMMYFUNCTION("""COMPUTED_VALUE"""),44641.0)</f>
        <v>44641</v>
      </c>
      <c r="F136" s="35" t="str">
        <f>IFERROR(__xludf.DUMMYFUNCTION("""COMPUTED_VALUE"""),"Stock")</f>
        <v>Stock</v>
      </c>
      <c r="G136" s="35" t="str">
        <f>IFERROR(__xludf.DUMMYFUNCTION("""COMPUTED_VALUE"""),"HKD")</f>
        <v>HKD</v>
      </c>
      <c r="H136" s="181">
        <f>IFERROR(__xludf.DUMMYFUNCTION("""COMPUTED_VALUE"""),500000.0)</f>
        <v>500000</v>
      </c>
      <c r="I136" s="174">
        <f>IFERROR(__xludf.DUMMYFUNCTION("""COMPUTED_VALUE"""),1.0)</f>
        <v>1</v>
      </c>
      <c r="J136" s="175">
        <f>IFERROR(__xludf.DUMMYFUNCTION("""COMPUTED_VALUE"""),0.064)</f>
        <v>0.064</v>
      </c>
      <c r="K136" s="35"/>
      <c r="L136" s="175">
        <f>IFERROR(__xludf.DUMMYFUNCTION("""COMPUTED_VALUE"""),0.059)</f>
        <v>0.059</v>
      </c>
      <c r="M136" s="182" t="str">
        <f>IFERROR(__xludf.DUMMYFUNCTION("""COMPUTED_VALUE"""),"Equity Key Stats")</f>
        <v>Equity Key Stats</v>
      </c>
      <c r="N136" s="35"/>
      <c r="O136" s="35"/>
      <c r="P136" s="184">
        <f>IFERROR(__xludf.DUMMYFUNCTION("""COMPUTED_VALUE"""),-32000.0)</f>
        <v>-32000</v>
      </c>
      <c r="Q136" s="177"/>
      <c r="R136" s="178">
        <f>IFERROR(__xludf.DUMMYFUNCTION("""COMPUTED_VALUE"""),0.059)</f>
        <v>0.059</v>
      </c>
      <c r="S136" s="176">
        <f>IFERROR(__xludf.DUMMYFUNCTION("""COMPUTED_VALUE"""),29500.0)</f>
        <v>29500</v>
      </c>
      <c r="T136" s="95">
        <f>IFERROR(__xludf.DUMMYFUNCTION("""COMPUTED_VALUE"""),2.0)</f>
        <v>2</v>
      </c>
      <c r="U136" s="95" t="str">
        <f>IFERROR(__xludf.DUMMYFUNCTION("""COMPUTED_VALUE"""),"")</f>
        <v/>
      </c>
      <c r="V136" s="179" t="str">
        <f>IFERROR(__xludf.DUMMYFUNCTION("""COMPUTED_VALUE"""),"")</f>
        <v/>
      </c>
      <c r="W136" s="171" t="str">
        <f>IFERROR(__xludf.DUMMYFUNCTION("""COMPUTED_VALUE"""),"")</f>
        <v/>
      </c>
      <c r="X136" s="14" t="str">
        <f>IFERROR(__xludf.DUMMYFUNCTION("""COMPUTED_VALUE"""),"")</f>
        <v/>
      </c>
      <c r="Y136" s="14" t="str">
        <f>IFERROR(__xludf.DUMMYFUNCTION("""COMPUTED_VALUE"""),"")</f>
        <v/>
      </c>
      <c r="Z136" s="11" t="str">
        <f>IFERROR(__xludf.DUMMYFUNCTION("""COMPUTED_VALUE"""),"")</f>
        <v/>
      </c>
    </row>
    <row r="137">
      <c r="A137" s="35" t="str">
        <f>IFERROR(__xludf.DUMMYFUNCTION("""COMPUTED_VALUE"""),"")</f>
        <v/>
      </c>
      <c r="B137" s="35" t="str">
        <f>IFERROR(__xludf.DUMMYFUNCTION("""COMPUTED_VALUE"""),"36252")</f>
        <v>36252</v>
      </c>
      <c r="C137" s="172">
        <f>IFERROR(__xludf.DUMMYFUNCTION("""COMPUTED_VALUE"""),4.4641000711E10)</f>
        <v>44641000711</v>
      </c>
      <c r="D137" s="188" t="str">
        <f>IFERROR(__xludf.DUMMYFUNCTION("""COMPUTED_VALUE"""),"2607.hk")</f>
        <v>2607.hk</v>
      </c>
      <c r="E137" s="173">
        <f>IFERROR(__xludf.DUMMYFUNCTION("""COMPUTED_VALUE"""),44641.0)</f>
        <v>44641</v>
      </c>
      <c r="F137" s="35" t="str">
        <f>IFERROR(__xludf.DUMMYFUNCTION("""COMPUTED_VALUE"""),"Stock")</f>
        <v>Stock</v>
      </c>
      <c r="G137" s="35" t="str">
        <f>IFERROR(__xludf.DUMMYFUNCTION("""COMPUTED_VALUE"""),"HKD")</f>
        <v>HKD</v>
      </c>
      <c r="H137" s="181">
        <f>IFERROR(__xludf.DUMMYFUNCTION("""COMPUTED_VALUE"""),11000.0)</f>
        <v>11000</v>
      </c>
      <c r="I137" s="174">
        <f>IFERROR(__xludf.DUMMYFUNCTION("""COMPUTED_VALUE"""),1.0)</f>
        <v>1</v>
      </c>
      <c r="J137" s="175">
        <f>IFERROR(__xludf.DUMMYFUNCTION("""COMPUTED_VALUE"""),16.58)</f>
        <v>16.58</v>
      </c>
      <c r="K137" s="35"/>
      <c r="L137" s="175">
        <f>IFERROR(__xludf.DUMMYFUNCTION("""COMPUTED_VALUE"""),12.92)</f>
        <v>12.92</v>
      </c>
      <c r="M137" s="182" t="str">
        <f>IFERROR(__xludf.DUMMYFUNCTION("""COMPUTED_VALUE"""),"Equity Key Stats")</f>
        <v>Equity Key Stats</v>
      </c>
      <c r="N137" s="35"/>
      <c r="O137" s="35"/>
      <c r="P137" s="184">
        <f>IFERROR(__xludf.DUMMYFUNCTION("""COMPUTED_VALUE"""),-182379.99999999997)</f>
        <v>-182380</v>
      </c>
      <c r="Q137" s="177"/>
      <c r="R137" s="178">
        <f>IFERROR(__xludf.DUMMYFUNCTION("""COMPUTED_VALUE"""),12.92)</f>
        <v>12.92</v>
      </c>
      <c r="S137" s="176">
        <f>IFERROR(__xludf.DUMMYFUNCTION("""COMPUTED_VALUE"""),142120.0)</f>
        <v>142120</v>
      </c>
      <c r="T137" s="95">
        <f>IFERROR(__xludf.DUMMYFUNCTION("""COMPUTED_VALUE"""),3.0)</f>
        <v>3</v>
      </c>
      <c r="U137" s="95" t="str">
        <f>IFERROR(__xludf.DUMMYFUNCTION("""COMPUTED_VALUE"""),"")</f>
        <v/>
      </c>
      <c r="V137" s="179" t="str">
        <f>IFERROR(__xludf.DUMMYFUNCTION("""COMPUTED_VALUE"""),"")</f>
        <v/>
      </c>
      <c r="W137" s="171" t="str">
        <f>IFERROR(__xludf.DUMMYFUNCTION("""COMPUTED_VALUE"""),"")</f>
        <v/>
      </c>
      <c r="X137" s="14" t="str">
        <f>IFERROR(__xludf.DUMMYFUNCTION("""COMPUTED_VALUE"""),"")</f>
        <v/>
      </c>
      <c r="Y137" s="14" t="str">
        <f>IFERROR(__xludf.DUMMYFUNCTION("""COMPUTED_VALUE"""),"")</f>
        <v/>
      </c>
      <c r="Z137" s="11" t="str">
        <f>IFERROR(__xludf.DUMMYFUNCTION("""COMPUTED_VALUE"""),"")</f>
        <v/>
      </c>
    </row>
    <row r="138">
      <c r="A138" s="35" t="str">
        <f>IFERROR(__xludf.DUMMYFUNCTION("""COMPUTED_VALUE"""),"")</f>
        <v/>
      </c>
      <c r="B138" s="35" t="str">
        <f>IFERROR(__xludf.DUMMYFUNCTION("""COMPUTED_VALUE"""),"36252")</f>
        <v>36252</v>
      </c>
      <c r="C138" s="172">
        <f>IFERROR(__xludf.DUMMYFUNCTION("""COMPUTED_VALUE"""),4.4644000844E10)</f>
        <v>44644000844</v>
      </c>
      <c r="D138" s="192" t="str">
        <f>IFERROR(__xludf.DUMMYFUNCTION("""COMPUTED_VALUE"""),"603261.SS")</f>
        <v>603261.SS</v>
      </c>
      <c r="E138" s="173">
        <f>IFERROR(__xludf.DUMMYFUNCTION("""COMPUTED_VALUE"""),44644.0)</f>
        <v>44644</v>
      </c>
      <c r="F138" s="35" t="str">
        <f>IFERROR(__xludf.DUMMYFUNCTION("""COMPUTED_VALUE"""),"Stock")</f>
        <v>Stock</v>
      </c>
      <c r="G138" s="35" t="str">
        <f>IFERROR(__xludf.DUMMYFUNCTION("""COMPUTED_VALUE"""),"CNY")</f>
        <v>CNY</v>
      </c>
      <c r="H138" s="181">
        <f>IFERROR(__xludf.DUMMYFUNCTION("""COMPUTED_VALUE"""),3000.0)</f>
        <v>3000</v>
      </c>
      <c r="I138" s="174">
        <f>IFERROR(__xludf.DUMMYFUNCTION("""COMPUTED_VALUE"""),1.228618)</f>
        <v>1.228618</v>
      </c>
      <c r="J138" s="175">
        <f>IFERROR(__xludf.DUMMYFUNCTION("""COMPUTED_VALUE"""),55.29)</f>
        <v>55.29</v>
      </c>
      <c r="K138" s="35"/>
      <c r="L138" s="175">
        <f>IFERROR(__xludf.DUMMYFUNCTION("""COMPUTED_VALUE"""),45.74)</f>
        <v>45.74</v>
      </c>
      <c r="M138" s="182" t="str">
        <f>IFERROR(__xludf.DUMMYFUNCTION("""COMPUTED_VALUE"""),"Equity Key Stats")</f>
        <v>Equity Key Stats</v>
      </c>
      <c r="N138" s="35"/>
      <c r="O138" s="35"/>
      <c r="P138" s="184">
        <f>IFERROR(__xludf.DUMMYFUNCTION("""COMPUTED_VALUE"""),-203790.86766)</f>
        <v>-203790.8677</v>
      </c>
      <c r="Q138" s="177"/>
      <c r="R138" s="178">
        <f>IFERROR(__xludf.DUMMYFUNCTION("""COMPUTED_VALUE"""),45.74)</f>
        <v>45.74</v>
      </c>
      <c r="S138" s="176">
        <f>IFERROR(__xludf.DUMMYFUNCTION("""COMPUTED_VALUE"""),168590.96196)</f>
        <v>168590.962</v>
      </c>
      <c r="T138" s="95">
        <f>IFERROR(__xludf.DUMMYFUNCTION("""COMPUTED_VALUE"""),2.0)</f>
        <v>2</v>
      </c>
      <c r="U138" s="95" t="str">
        <f>IFERROR(__xludf.DUMMYFUNCTION("""COMPUTED_VALUE"""),"")</f>
        <v/>
      </c>
      <c r="V138" s="179" t="str">
        <f>IFERROR(__xludf.DUMMYFUNCTION("""COMPUTED_VALUE"""),"")</f>
        <v/>
      </c>
      <c r="W138" s="171" t="str">
        <f>IFERROR(__xludf.DUMMYFUNCTION("""COMPUTED_VALUE"""),"")</f>
        <v/>
      </c>
      <c r="X138" s="14" t="str">
        <f>IFERROR(__xludf.DUMMYFUNCTION("""COMPUTED_VALUE"""),"")</f>
        <v/>
      </c>
      <c r="Y138" s="14" t="str">
        <f>IFERROR(__xludf.DUMMYFUNCTION("""COMPUTED_VALUE"""),"")</f>
        <v/>
      </c>
      <c r="Z138" s="11" t="str">
        <f>IFERROR(__xludf.DUMMYFUNCTION("""COMPUTED_VALUE"""),"")</f>
        <v/>
      </c>
    </row>
    <row r="139">
      <c r="A139" s="35" t="str">
        <f>IFERROR(__xludf.DUMMYFUNCTION("""COMPUTED_VALUE"""),"")</f>
        <v/>
      </c>
      <c r="B139" s="35" t="str">
        <f>IFERROR(__xludf.DUMMYFUNCTION("""COMPUTED_VALUE"""),"36252")</f>
        <v>36252</v>
      </c>
      <c r="C139" s="172">
        <f>IFERROR(__xludf.DUMMYFUNCTION("""COMPUTED_VALUE"""),4.4644000848E10)</f>
        <v>44644000848</v>
      </c>
      <c r="D139" s="188" t="str">
        <f>IFERROR(__xludf.DUMMYFUNCTION("""COMPUTED_VALUE"""),"0346.hk")</f>
        <v>0346.hk</v>
      </c>
      <c r="E139" s="173">
        <f>IFERROR(__xludf.DUMMYFUNCTION("""COMPUTED_VALUE"""),44644.0)</f>
        <v>44644</v>
      </c>
      <c r="F139" s="35" t="str">
        <f>IFERROR(__xludf.DUMMYFUNCTION("""COMPUTED_VALUE"""),"Stock")</f>
        <v>Stock</v>
      </c>
      <c r="G139" s="35" t="str">
        <f>IFERROR(__xludf.DUMMYFUNCTION("""COMPUTED_VALUE"""),"HKD")</f>
        <v>HKD</v>
      </c>
      <c r="H139" s="14">
        <f>IFERROR(__xludf.DUMMYFUNCTION("""COMPUTED_VALUE"""),-500000.0)</f>
        <v>-500000</v>
      </c>
      <c r="I139" s="174">
        <f>IFERROR(__xludf.DUMMYFUNCTION("""COMPUTED_VALUE"""),1.0)</f>
        <v>1</v>
      </c>
      <c r="J139" s="175">
        <f>IFERROR(__xludf.DUMMYFUNCTION("""COMPUTED_VALUE"""),0.069)</f>
        <v>0.069</v>
      </c>
      <c r="K139" s="35"/>
      <c r="L139" s="175">
        <f>IFERROR(__xludf.DUMMYFUNCTION("""COMPUTED_VALUE"""),0.059)</f>
        <v>0.059</v>
      </c>
      <c r="M139" s="182" t="str">
        <f>IFERROR(__xludf.DUMMYFUNCTION("""COMPUTED_VALUE"""),"Equity Key Stats")</f>
        <v>Equity Key Stats</v>
      </c>
      <c r="N139" s="35"/>
      <c r="O139" s="35"/>
      <c r="P139" s="176">
        <f>IFERROR(__xludf.DUMMYFUNCTION("""COMPUTED_VALUE"""),34500.0)</f>
        <v>34500</v>
      </c>
      <c r="Q139" s="177"/>
      <c r="R139" s="178">
        <f>IFERROR(__xludf.DUMMYFUNCTION("""COMPUTED_VALUE"""),0.059)</f>
        <v>0.059</v>
      </c>
      <c r="S139" s="176">
        <f>IFERROR(__xludf.DUMMYFUNCTION("""COMPUTED_VALUE"""),-29500.0)</f>
        <v>-29500</v>
      </c>
      <c r="T139" s="95">
        <f>IFERROR(__xludf.DUMMYFUNCTION("""COMPUTED_VALUE"""),2.0)</f>
        <v>2</v>
      </c>
      <c r="U139" s="95">
        <f>IFERROR(__xludf.DUMMYFUNCTION("""COMPUTED_VALUE"""),1.0)</f>
        <v>1</v>
      </c>
      <c r="V139" s="179">
        <f>IFERROR(__xludf.DUMMYFUNCTION("""COMPUTED_VALUE"""),2500.0)</f>
        <v>2500</v>
      </c>
      <c r="W139" s="55" t="str">
        <f>IFERROR(__xludf.DUMMYFUNCTION("""COMPUTED_VALUE"""),"")</f>
        <v/>
      </c>
      <c r="X139" s="183" t="str">
        <f>IFERROR(__xludf.DUMMYFUNCTION("""COMPUTED_VALUE"""),"")</f>
        <v/>
      </c>
      <c r="Y139" s="181" t="str">
        <f>IFERROR(__xludf.DUMMYFUNCTION("""COMPUTED_VALUE"""),"")</f>
        <v/>
      </c>
      <c r="Z139" s="186" t="str">
        <f>IFERROR(__xludf.DUMMYFUNCTION("""COMPUTED_VALUE"""),"")</f>
        <v/>
      </c>
    </row>
    <row r="140">
      <c r="A140" s="35" t="str">
        <f>IFERROR(__xludf.DUMMYFUNCTION("""COMPUTED_VALUE"""),"")</f>
        <v/>
      </c>
      <c r="B140" s="35" t="str">
        <f>IFERROR(__xludf.DUMMYFUNCTION("""COMPUTED_VALUE"""),"36252")</f>
        <v>36252</v>
      </c>
      <c r="C140" s="172">
        <f>IFERROR(__xludf.DUMMYFUNCTION("""COMPUTED_VALUE"""),4.4645000907E10)</f>
        <v>44645000907</v>
      </c>
      <c r="D140" s="188" t="str">
        <f>IFERROR(__xludf.DUMMYFUNCTION("""COMPUTED_VALUE"""),"2607.hk")</f>
        <v>2607.hk</v>
      </c>
      <c r="E140" s="173">
        <f>IFERROR(__xludf.DUMMYFUNCTION("""COMPUTED_VALUE"""),44645.0)</f>
        <v>44645</v>
      </c>
      <c r="F140" s="35" t="str">
        <f>IFERROR(__xludf.DUMMYFUNCTION("""COMPUTED_VALUE"""),"Stock")</f>
        <v>Stock</v>
      </c>
      <c r="G140" s="35" t="str">
        <f>IFERROR(__xludf.DUMMYFUNCTION("""COMPUTED_VALUE"""),"HKD")</f>
        <v>HKD</v>
      </c>
      <c r="H140" s="14">
        <f>IFERROR(__xludf.DUMMYFUNCTION("""COMPUTED_VALUE"""),-5000.0)</f>
        <v>-5000</v>
      </c>
      <c r="I140" s="174">
        <f>IFERROR(__xludf.DUMMYFUNCTION("""COMPUTED_VALUE"""),1.0)</f>
        <v>1</v>
      </c>
      <c r="J140" s="175">
        <f>IFERROR(__xludf.DUMMYFUNCTION("""COMPUTED_VALUE"""),15.3)</f>
        <v>15.3</v>
      </c>
      <c r="K140" s="35"/>
      <c r="L140" s="175">
        <f>IFERROR(__xludf.DUMMYFUNCTION("""COMPUTED_VALUE"""),12.92)</f>
        <v>12.92</v>
      </c>
      <c r="M140" s="187" t="str">
        <f>IFERROR(__xludf.DUMMYFUNCTION("""COMPUTED_VALUE"""),"Equity Key Stats")</f>
        <v>Equity Key Stats</v>
      </c>
      <c r="N140" s="35"/>
      <c r="O140" s="35"/>
      <c r="P140" s="176">
        <f>IFERROR(__xludf.DUMMYFUNCTION("""COMPUTED_VALUE"""),76500.0)</f>
        <v>76500</v>
      </c>
      <c r="Q140" s="177"/>
      <c r="R140" s="178">
        <f>IFERROR(__xludf.DUMMYFUNCTION("""COMPUTED_VALUE"""),12.92)</f>
        <v>12.92</v>
      </c>
      <c r="S140" s="151">
        <f>IFERROR(__xludf.DUMMYFUNCTION("""COMPUTED_VALUE"""),-64600.0)</f>
        <v>-64600</v>
      </c>
      <c r="T140" s="95">
        <f>IFERROR(__xludf.DUMMYFUNCTION("""COMPUTED_VALUE"""),3.0)</f>
        <v>3</v>
      </c>
      <c r="U140" s="95" t="str">
        <f>IFERROR(__xludf.DUMMYFUNCTION("""COMPUTED_VALUE"""),"")</f>
        <v/>
      </c>
      <c r="V140" s="179" t="str">
        <f>IFERROR(__xludf.DUMMYFUNCTION("""COMPUTED_VALUE"""),"")</f>
        <v/>
      </c>
      <c r="W140" s="55" t="str">
        <f>IFERROR(__xludf.DUMMYFUNCTION("""COMPUTED_VALUE"""),"")</f>
        <v/>
      </c>
      <c r="X140" s="181" t="str">
        <f>IFERROR(__xludf.DUMMYFUNCTION("""COMPUTED_VALUE"""),"")</f>
        <v/>
      </c>
      <c r="Y140" s="181" t="str">
        <f>IFERROR(__xludf.DUMMYFUNCTION("""COMPUTED_VALUE"""),"")</f>
        <v/>
      </c>
      <c r="Z140" s="186" t="str">
        <f>IFERROR(__xludf.DUMMYFUNCTION("""COMPUTED_VALUE"""),"")</f>
        <v/>
      </c>
    </row>
    <row r="141">
      <c r="A141" s="35" t="str">
        <f>IFERROR(__xludf.DUMMYFUNCTION("""COMPUTED_VALUE"""),"")</f>
        <v/>
      </c>
      <c r="B141" s="35" t="str">
        <f>IFERROR(__xludf.DUMMYFUNCTION("""COMPUTED_VALUE"""),"36252")</f>
        <v>36252</v>
      </c>
      <c r="C141" s="172">
        <f>IFERROR(__xludf.DUMMYFUNCTION("""COMPUTED_VALUE"""),4.4645000911E10)</f>
        <v>44645000911</v>
      </c>
      <c r="D141" s="188" t="str">
        <f>IFERROR(__xludf.DUMMYFUNCTION("""COMPUTED_VALUE"""),"002864.SZ")</f>
        <v>002864.SZ</v>
      </c>
      <c r="E141" s="173">
        <f>IFERROR(__xludf.DUMMYFUNCTION("""COMPUTED_VALUE"""),44645.0)</f>
        <v>44645</v>
      </c>
      <c r="F141" s="35" t="str">
        <f>IFERROR(__xludf.DUMMYFUNCTION("""COMPUTED_VALUE"""),"Stock")</f>
        <v>Stock</v>
      </c>
      <c r="G141" s="35" t="str">
        <f>IFERROR(__xludf.DUMMYFUNCTION("""COMPUTED_VALUE"""),"CNY")</f>
        <v>CNY</v>
      </c>
      <c r="H141" s="14">
        <f>IFERROR(__xludf.DUMMYFUNCTION("""COMPUTED_VALUE"""),600.0)</f>
        <v>600</v>
      </c>
      <c r="I141" s="174">
        <f>IFERROR(__xludf.DUMMYFUNCTION("""COMPUTED_VALUE"""),1.230306)</f>
        <v>1.230306</v>
      </c>
      <c r="J141" s="175">
        <f>IFERROR(__xludf.DUMMYFUNCTION("""COMPUTED_VALUE"""),58.1)</f>
        <v>58.1</v>
      </c>
      <c r="K141" s="35"/>
      <c r="L141" s="175">
        <f>IFERROR(__xludf.DUMMYFUNCTION("""COMPUTED_VALUE"""),45.95)</f>
        <v>45.95</v>
      </c>
      <c r="M141" s="187" t="str">
        <f>IFERROR(__xludf.DUMMYFUNCTION("""COMPUTED_VALUE"""),"Equity Key Stats")</f>
        <v>Equity Key Stats</v>
      </c>
      <c r="N141" s="35"/>
      <c r="O141" s="35"/>
      <c r="P141" s="176">
        <f>IFERROR(__xludf.DUMMYFUNCTION("""COMPUTED_VALUE"""),-42888.46716)</f>
        <v>-42888.46716</v>
      </c>
      <c r="Q141" s="177"/>
      <c r="R141" s="178">
        <f>IFERROR(__xludf.DUMMYFUNCTION("""COMPUTED_VALUE"""),45.95)</f>
        <v>45.95</v>
      </c>
      <c r="S141" s="151">
        <f>IFERROR(__xludf.DUMMYFUNCTION("""COMPUTED_VALUE"""),33919.53642)</f>
        <v>33919.53642</v>
      </c>
      <c r="T141" s="95">
        <f>IFERROR(__xludf.DUMMYFUNCTION("""COMPUTED_VALUE"""),2.0)</f>
        <v>2</v>
      </c>
      <c r="U141" s="95" t="str">
        <f>IFERROR(__xludf.DUMMYFUNCTION("""COMPUTED_VALUE"""),"")</f>
        <v/>
      </c>
      <c r="V141" s="179" t="str">
        <f>IFERROR(__xludf.DUMMYFUNCTION("""COMPUTED_VALUE"""),"")</f>
        <v/>
      </c>
      <c r="W141" s="55" t="str">
        <f>IFERROR(__xludf.DUMMYFUNCTION("""COMPUTED_VALUE"""),"")</f>
        <v/>
      </c>
      <c r="X141" s="181" t="str">
        <f>IFERROR(__xludf.DUMMYFUNCTION("""COMPUTED_VALUE"""),"")</f>
        <v/>
      </c>
      <c r="Y141" s="181" t="str">
        <f>IFERROR(__xludf.DUMMYFUNCTION("""COMPUTED_VALUE"""),"")</f>
        <v/>
      </c>
      <c r="Z141" s="186" t="str">
        <f>IFERROR(__xludf.DUMMYFUNCTION("""COMPUTED_VALUE"""),"")</f>
        <v/>
      </c>
    </row>
    <row r="142">
      <c r="A142" s="35" t="str">
        <f>IFERROR(__xludf.DUMMYFUNCTION("""COMPUTED_VALUE"""),"")</f>
        <v/>
      </c>
      <c r="B142" s="35" t="str">
        <f>IFERROR(__xludf.DUMMYFUNCTION("""COMPUTED_VALUE"""),"36252")</f>
        <v>36252</v>
      </c>
      <c r="C142" s="172">
        <f>IFERROR(__xludf.DUMMYFUNCTION("""COMPUTED_VALUE"""),4.4645000913E10)</f>
        <v>44645000913</v>
      </c>
      <c r="D142" s="188" t="str">
        <f>IFERROR(__xludf.DUMMYFUNCTION("""COMPUTED_VALUE"""),"2328.hk")</f>
        <v>2328.hk</v>
      </c>
      <c r="E142" s="173">
        <f>IFERROR(__xludf.DUMMYFUNCTION("""COMPUTED_VALUE"""),44645.0)</f>
        <v>44645</v>
      </c>
      <c r="F142" s="35" t="str">
        <f>IFERROR(__xludf.DUMMYFUNCTION("""COMPUTED_VALUE"""),"Stock")</f>
        <v>Stock</v>
      </c>
      <c r="G142" s="35" t="str">
        <f>IFERROR(__xludf.DUMMYFUNCTION("""COMPUTED_VALUE"""),"HKD")</f>
        <v>HKD</v>
      </c>
      <c r="H142" s="14">
        <f>IFERROR(__xludf.DUMMYFUNCTION("""COMPUTED_VALUE"""),-1600.0)</f>
        <v>-1600</v>
      </c>
      <c r="I142" s="174">
        <f>IFERROR(__xludf.DUMMYFUNCTION("""COMPUTED_VALUE"""),1.0)</f>
        <v>1</v>
      </c>
      <c r="J142" s="175">
        <f>IFERROR(__xludf.DUMMYFUNCTION("""COMPUTED_VALUE"""),7.68)</f>
        <v>7.68</v>
      </c>
      <c r="K142" s="35"/>
      <c r="L142" s="175">
        <f>IFERROR(__xludf.DUMMYFUNCTION("""COMPUTED_VALUE"""),8.26)</f>
        <v>8.26</v>
      </c>
      <c r="M142" s="187" t="str">
        <f>IFERROR(__xludf.DUMMYFUNCTION("""COMPUTED_VALUE"""),"Equity Key Stats")</f>
        <v>Equity Key Stats</v>
      </c>
      <c r="N142" s="35"/>
      <c r="O142" s="35"/>
      <c r="P142" s="176">
        <f>IFERROR(__xludf.DUMMYFUNCTION("""COMPUTED_VALUE"""),12288.0)</f>
        <v>12288</v>
      </c>
      <c r="Q142" s="177"/>
      <c r="R142" s="178">
        <f>IFERROR(__xludf.DUMMYFUNCTION("""COMPUTED_VALUE"""),8.26)</f>
        <v>8.26</v>
      </c>
      <c r="S142" s="151">
        <f>IFERROR(__xludf.DUMMYFUNCTION("""COMPUTED_VALUE"""),-13216.0)</f>
        <v>-13216</v>
      </c>
      <c r="T142" s="95">
        <f>IFERROR(__xludf.DUMMYFUNCTION("""COMPUTED_VALUE"""),2.0)</f>
        <v>2</v>
      </c>
      <c r="U142" s="95" t="str">
        <f>IFERROR(__xludf.DUMMYFUNCTION("""COMPUTED_VALUE"""),"")</f>
        <v/>
      </c>
      <c r="V142" s="179" t="str">
        <f>IFERROR(__xludf.DUMMYFUNCTION("""COMPUTED_VALUE"""),"")</f>
        <v/>
      </c>
      <c r="W142" s="55" t="str">
        <f>IFERROR(__xludf.DUMMYFUNCTION("""COMPUTED_VALUE"""),"")</f>
        <v/>
      </c>
      <c r="X142" s="181" t="str">
        <f>IFERROR(__xludf.DUMMYFUNCTION("""COMPUTED_VALUE"""),"")</f>
        <v/>
      </c>
      <c r="Y142" s="181" t="str">
        <f>IFERROR(__xludf.DUMMYFUNCTION("""COMPUTED_VALUE"""),"")</f>
        <v/>
      </c>
      <c r="Z142" s="186" t="str">
        <f>IFERROR(__xludf.DUMMYFUNCTION("""COMPUTED_VALUE"""),"")</f>
        <v/>
      </c>
    </row>
    <row r="143">
      <c r="A143" s="35" t="str">
        <f>IFERROR(__xludf.DUMMYFUNCTION("""COMPUTED_VALUE"""),"")</f>
        <v/>
      </c>
      <c r="B143" s="35" t="str">
        <f>IFERROR(__xludf.DUMMYFUNCTION("""COMPUTED_VALUE"""),"36252")</f>
        <v>36252</v>
      </c>
      <c r="C143" s="172">
        <f>IFERROR(__xludf.DUMMYFUNCTION("""COMPUTED_VALUE"""),4.4648000955E10)</f>
        <v>44648000955</v>
      </c>
      <c r="D143" s="188" t="str">
        <f>IFERROR(__xludf.DUMMYFUNCTION("""COMPUTED_VALUE"""),"2318.hk")</f>
        <v>2318.hk</v>
      </c>
      <c r="E143" s="173">
        <f>IFERROR(__xludf.DUMMYFUNCTION("""COMPUTED_VALUE"""),44648.0)</f>
        <v>44648</v>
      </c>
      <c r="F143" s="35" t="str">
        <f>IFERROR(__xludf.DUMMYFUNCTION("""COMPUTED_VALUE"""),"Stock")</f>
        <v>Stock</v>
      </c>
      <c r="G143" s="35" t="str">
        <f>IFERROR(__xludf.DUMMYFUNCTION("""COMPUTED_VALUE"""),"HKD")</f>
        <v>HKD</v>
      </c>
      <c r="H143" s="14">
        <f>IFERROR(__xludf.DUMMYFUNCTION("""COMPUTED_VALUE"""),-1600.0)</f>
        <v>-1600</v>
      </c>
      <c r="I143" s="174">
        <f>IFERROR(__xludf.DUMMYFUNCTION("""COMPUTED_VALUE"""),1.0)</f>
        <v>1</v>
      </c>
      <c r="J143" s="175">
        <f>IFERROR(__xludf.DUMMYFUNCTION("""COMPUTED_VALUE"""),55.4)</f>
        <v>55.4</v>
      </c>
      <c r="K143" s="35"/>
      <c r="L143" s="175">
        <f>IFERROR(__xludf.DUMMYFUNCTION("""COMPUTED_VALUE"""),55.3)</f>
        <v>55.3</v>
      </c>
      <c r="M143" s="187" t="str">
        <f>IFERROR(__xludf.DUMMYFUNCTION("""COMPUTED_VALUE"""),"Equity Key Stats")</f>
        <v>Equity Key Stats</v>
      </c>
      <c r="N143" s="35"/>
      <c r="O143" s="35"/>
      <c r="P143" s="176">
        <f>IFERROR(__xludf.DUMMYFUNCTION("""COMPUTED_VALUE"""),88640.0)</f>
        <v>88640</v>
      </c>
      <c r="Q143" s="177"/>
      <c r="R143" s="178">
        <f>IFERROR(__xludf.DUMMYFUNCTION("""COMPUTED_VALUE"""),55.3)</f>
        <v>55.3</v>
      </c>
      <c r="S143" s="151">
        <f>IFERROR(__xludf.DUMMYFUNCTION("""COMPUTED_VALUE"""),-88480.0)</f>
        <v>-88480</v>
      </c>
      <c r="T143" s="95">
        <f>IFERROR(__xludf.DUMMYFUNCTION("""COMPUTED_VALUE"""),2.0)</f>
        <v>2</v>
      </c>
      <c r="U143" s="95">
        <f>IFERROR(__xludf.DUMMYFUNCTION("""COMPUTED_VALUE"""),1.0)</f>
        <v>1</v>
      </c>
      <c r="V143" s="179">
        <f>IFERROR(__xludf.DUMMYFUNCTION("""COMPUTED_VALUE"""),1120.0)</f>
        <v>1120</v>
      </c>
      <c r="W143" s="171" t="str">
        <f>IFERROR(__xludf.DUMMYFUNCTION("""COMPUTED_VALUE"""),"")</f>
        <v/>
      </c>
      <c r="X143" s="14" t="str">
        <f>IFERROR(__xludf.DUMMYFUNCTION("""COMPUTED_VALUE"""),"")</f>
        <v/>
      </c>
      <c r="Y143" s="14" t="str">
        <f>IFERROR(__xludf.DUMMYFUNCTION("""COMPUTED_VALUE"""),"")</f>
        <v/>
      </c>
      <c r="Z143" s="11" t="str">
        <f>IFERROR(__xludf.DUMMYFUNCTION("""COMPUTED_VALUE"""),"")</f>
        <v/>
      </c>
    </row>
    <row r="144">
      <c r="A144" s="35" t="str">
        <f>IFERROR(__xludf.DUMMYFUNCTION("""COMPUTED_VALUE"""),"")</f>
        <v/>
      </c>
      <c r="B144" s="35" t="str">
        <f>IFERROR(__xludf.DUMMYFUNCTION("""COMPUTED_VALUE"""),"36252")</f>
        <v>36252</v>
      </c>
      <c r="C144" s="172">
        <f>IFERROR(__xludf.DUMMYFUNCTION("""COMPUTED_VALUE"""),4.4648000957E10)</f>
        <v>44648000957</v>
      </c>
      <c r="D144" s="192" t="str">
        <f>IFERROR(__xludf.DUMMYFUNCTION("""COMPUTED_VALUE"""),"002864.SZ")</f>
        <v>002864.SZ</v>
      </c>
      <c r="E144" s="173">
        <f>IFERROR(__xludf.DUMMYFUNCTION("""COMPUTED_VALUE"""),44648.0)</f>
        <v>44648</v>
      </c>
      <c r="F144" s="35" t="str">
        <f>IFERROR(__xludf.DUMMYFUNCTION("""COMPUTED_VALUE"""),"Stock")</f>
        <v>Stock</v>
      </c>
      <c r="G144" s="35" t="str">
        <f>IFERROR(__xludf.DUMMYFUNCTION("""COMPUTED_VALUE"""),"CNY")</f>
        <v>CNY</v>
      </c>
      <c r="H144" s="181">
        <f>IFERROR(__xludf.DUMMYFUNCTION("""COMPUTED_VALUE"""),-600.0)</f>
        <v>-600</v>
      </c>
      <c r="I144" s="174">
        <f>IFERROR(__xludf.DUMMYFUNCTION("""COMPUTED_VALUE"""),1.228493)</f>
        <v>1.228493</v>
      </c>
      <c r="J144" s="175">
        <f>IFERROR(__xludf.DUMMYFUNCTION("""COMPUTED_VALUE"""),63.91)</f>
        <v>63.91</v>
      </c>
      <c r="K144" s="35"/>
      <c r="L144" s="175">
        <f>IFERROR(__xludf.DUMMYFUNCTION("""COMPUTED_VALUE"""),45.95)</f>
        <v>45.95</v>
      </c>
      <c r="M144" s="182" t="str">
        <f>IFERROR(__xludf.DUMMYFUNCTION("""COMPUTED_VALUE"""),"Equity Key Stats")</f>
        <v>Equity Key Stats</v>
      </c>
      <c r="N144" s="35"/>
      <c r="O144" s="35"/>
      <c r="P144" s="184">
        <f>IFERROR(__xludf.DUMMYFUNCTION("""COMPUTED_VALUE"""),47107.792578)</f>
        <v>47107.79258</v>
      </c>
      <c r="Q144" s="177"/>
      <c r="R144" s="178">
        <f>IFERROR(__xludf.DUMMYFUNCTION("""COMPUTED_VALUE"""),45.95)</f>
        <v>45.95</v>
      </c>
      <c r="S144" s="176">
        <f>IFERROR(__xludf.DUMMYFUNCTION("""COMPUTED_VALUE"""),-33869.55201000001)</f>
        <v>-33869.55201</v>
      </c>
      <c r="T144" s="95">
        <f>IFERROR(__xludf.DUMMYFUNCTION("""COMPUTED_VALUE"""),2.0)</f>
        <v>2</v>
      </c>
      <c r="U144" s="95">
        <f>IFERROR(__xludf.DUMMYFUNCTION("""COMPUTED_VALUE"""),1.0)</f>
        <v>1</v>
      </c>
      <c r="V144" s="185">
        <f>IFERROR(__xludf.DUMMYFUNCTION("""COMPUTED_VALUE"""),4269.30982799999)</f>
        <v>4269.309828</v>
      </c>
      <c r="W144" s="55" t="str">
        <f>IFERROR(__xludf.DUMMYFUNCTION("""COMPUTED_VALUE"""),"")</f>
        <v/>
      </c>
      <c r="X144" s="181" t="str">
        <f>IFERROR(__xludf.DUMMYFUNCTION("""COMPUTED_VALUE"""),"")</f>
        <v/>
      </c>
      <c r="Y144" s="181" t="str">
        <f>IFERROR(__xludf.DUMMYFUNCTION("""COMPUTED_VALUE"""),"")</f>
        <v/>
      </c>
      <c r="Z144" s="189" t="str">
        <f>IFERROR(__xludf.DUMMYFUNCTION("""COMPUTED_VALUE"""),"")</f>
        <v/>
      </c>
    </row>
    <row r="145">
      <c r="A145" s="35" t="str">
        <f>IFERROR(__xludf.DUMMYFUNCTION("""COMPUTED_VALUE"""),"")</f>
        <v/>
      </c>
      <c r="B145" s="35" t="str">
        <f>IFERROR(__xludf.DUMMYFUNCTION("""COMPUTED_VALUE"""),"36252")</f>
        <v>36252</v>
      </c>
      <c r="C145" s="172">
        <f>IFERROR(__xludf.DUMMYFUNCTION("""COMPUTED_VALUE"""),4.4648000959E10)</f>
        <v>44648000959</v>
      </c>
      <c r="D145" s="188" t="str">
        <f>IFERROR(__xludf.DUMMYFUNCTION("""COMPUTED_VALUE"""),"2328.hk")</f>
        <v>2328.hk</v>
      </c>
      <c r="E145" s="173">
        <f>IFERROR(__xludf.DUMMYFUNCTION("""COMPUTED_VALUE"""),44648.0)</f>
        <v>44648</v>
      </c>
      <c r="F145" s="35" t="str">
        <f>IFERROR(__xludf.DUMMYFUNCTION("""COMPUTED_VALUE"""),"Stock")</f>
        <v>Stock</v>
      </c>
      <c r="G145" s="35" t="str">
        <f>IFERROR(__xludf.DUMMYFUNCTION("""COMPUTED_VALUE"""),"HKD")</f>
        <v>HKD</v>
      </c>
      <c r="H145" s="14">
        <f>IFERROR(__xludf.DUMMYFUNCTION("""COMPUTED_VALUE"""),1600.0)</f>
        <v>1600</v>
      </c>
      <c r="I145" s="174">
        <f>IFERROR(__xludf.DUMMYFUNCTION("""COMPUTED_VALUE"""),1.0)</f>
        <v>1</v>
      </c>
      <c r="J145" s="175">
        <f>IFERROR(__xludf.DUMMYFUNCTION("""COMPUTED_VALUE"""),7.6)</f>
        <v>7.6</v>
      </c>
      <c r="K145" s="35"/>
      <c r="L145" s="175">
        <f>IFERROR(__xludf.DUMMYFUNCTION("""COMPUTED_VALUE"""),8.26)</f>
        <v>8.26</v>
      </c>
      <c r="M145" s="187" t="str">
        <f>IFERROR(__xludf.DUMMYFUNCTION("""COMPUTED_VALUE"""),"Equity Key Stats")</f>
        <v>Equity Key Stats</v>
      </c>
      <c r="N145" s="35"/>
      <c r="O145" s="35"/>
      <c r="P145" s="176">
        <f>IFERROR(__xludf.DUMMYFUNCTION("""COMPUTED_VALUE"""),-12160.0)</f>
        <v>-12160</v>
      </c>
      <c r="Q145" s="177"/>
      <c r="R145" s="178">
        <f>IFERROR(__xludf.DUMMYFUNCTION("""COMPUTED_VALUE"""),8.26)</f>
        <v>8.26</v>
      </c>
      <c r="S145" s="151">
        <f>IFERROR(__xludf.DUMMYFUNCTION("""COMPUTED_VALUE"""),13216.0)</f>
        <v>13216</v>
      </c>
      <c r="T145" s="95">
        <f>IFERROR(__xludf.DUMMYFUNCTION("""COMPUTED_VALUE"""),2.0)</f>
        <v>2</v>
      </c>
      <c r="U145" s="95">
        <f>IFERROR(__xludf.DUMMYFUNCTION("""COMPUTED_VALUE"""),1.0)</f>
        <v>1</v>
      </c>
      <c r="V145" s="179">
        <f>IFERROR(__xludf.DUMMYFUNCTION("""COMPUTED_VALUE"""),128.0)</f>
        <v>128</v>
      </c>
      <c r="W145" s="55" t="str">
        <f>IFERROR(__xludf.DUMMYFUNCTION("""COMPUTED_VALUE"""),"")</f>
        <v/>
      </c>
      <c r="X145" s="181" t="str">
        <f>IFERROR(__xludf.DUMMYFUNCTION("""COMPUTED_VALUE"""),"")</f>
        <v/>
      </c>
      <c r="Y145" s="181" t="str">
        <f>IFERROR(__xludf.DUMMYFUNCTION("""COMPUTED_VALUE"""),"")</f>
        <v/>
      </c>
      <c r="Z145" s="186" t="str">
        <f>IFERROR(__xludf.DUMMYFUNCTION("""COMPUTED_VALUE"""),"")</f>
        <v/>
      </c>
    </row>
    <row r="146">
      <c r="A146" s="35" t="str">
        <f>IFERROR(__xludf.DUMMYFUNCTION("""COMPUTED_VALUE"""),"")</f>
        <v/>
      </c>
      <c r="B146" s="35" t="str">
        <f>IFERROR(__xludf.DUMMYFUNCTION("""COMPUTED_VALUE"""),"36252")</f>
        <v>36252</v>
      </c>
      <c r="C146" s="172">
        <f>IFERROR(__xludf.DUMMYFUNCTION("""COMPUTED_VALUE"""),4.464800097E10)</f>
        <v>44648000970</v>
      </c>
      <c r="D146" s="188" t="str">
        <f>IFERROR(__xludf.DUMMYFUNCTION("""COMPUTED_VALUE"""),"2607.hk")</f>
        <v>2607.hk</v>
      </c>
      <c r="E146" s="173">
        <f>IFERROR(__xludf.DUMMYFUNCTION("""COMPUTED_VALUE"""),44648.0)</f>
        <v>44648</v>
      </c>
      <c r="F146" s="35" t="str">
        <f>IFERROR(__xludf.DUMMYFUNCTION("""COMPUTED_VALUE"""),"Stock")</f>
        <v>Stock</v>
      </c>
      <c r="G146" s="35" t="str">
        <f>IFERROR(__xludf.DUMMYFUNCTION("""COMPUTED_VALUE"""),"HKD")</f>
        <v>HKD</v>
      </c>
      <c r="H146" s="14">
        <f>IFERROR(__xludf.DUMMYFUNCTION("""COMPUTED_VALUE"""),-6000.0)</f>
        <v>-6000</v>
      </c>
      <c r="I146" s="174">
        <f>IFERROR(__xludf.DUMMYFUNCTION("""COMPUTED_VALUE"""),1.0)</f>
        <v>1</v>
      </c>
      <c r="J146" s="175">
        <f>IFERROR(__xludf.DUMMYFUNCTION("""COMPUTED_VALUE"""),15.2)</f>
        <v>15.2</v>
      </c>
      <c r="K146" s="35"/>
      <c r="L146" s="175">
        <f>IFERROR(__xludf.DUMMYFUNCTION("""COMPUTED_VALUE"""),12.92)</f>
        <v>12.92</v>
      </c>
      <c r="M146" s="187" t="str">
        <f>IFERROR(__xludf.DUMMYFUNCTION("""COMPUTED_VALUE"""),"Equity Key Stats")</f>
        <v>Equity Key Stats</v>
      </c>
      <c r="N146" s="35"/>
      <c r="O146" s="35"/>
      <c r="P146" s="176">
        <f>IFERROR(__xludf.DUMMYFUNCTION("""COMPUTED_VALUE"""),91200.0)</f>
        <v>91200</v>
      </c>
      <c r="Q146" s="177"/>
      <c r="R146" s="178">
        <f>IFERROR(__xludf.DUMMYFUNCTION("""COMPUTED_VALUE"""),12.92)</f>
        <v>12.92</v>
      </c>
      <c r="S146" s="151">
        <f>IFERROR(__xludf.DUMMYFUNCTION("""COMPUTED_VALUE"""),-77520.0)</f>
        <v>-77520</v>
      </c>
      <c r="T146" s="95">
        <f>IFERROR(__xludf.DUMMYFUNCTION("""COMPUTED_VALUE"""),3.0)</f>
        <v>3</v>
      </c>
      <c r="U146" s="95">
        <f>IFERROR(__xludf.DUMMYFUNCTION("""COMPUTED_VALUE"""),1.0)</f>
        <v>1</v>
      </c>
      <c r="V146" s="179">
        <f>IFERROR(__xludf.DUMMYFUNCTION("""COMPUTED_VALUE"""),-14679.99999999997)</f>
        <v>-14680</v>
      </c>
      <c r="W146" s="171" t="str">
        <f>IFERROR(__xludf.DUMMYFUNCTION("""COMPUTED_VALUE"""),"")</f>
        <v/>
      </c>
      <c r="X146" s="14" t="str">
        <f>IFERROR(__xludf.DUMMYFUNCTION("""COMPUTED_VALUE"""),"")</f>
        <v/>
      </c>
      <c r="Y146" s="14" t="str">
        <f>IFERROR(__xludf.DUMMYFUNCTION("""COMPUTED_VALUE"""),"")</f>
        <v/>
      </c>
      <c r="Z146" s="11" t="str">
        <f>IFERROR(__xludf.DUMMYFUNCTION("""COMPUTED_VALUE"""),"")</f>
        <v/>
      </c>
    </row>
    <row r="147">
      <c r="A147" s="35" t="str">
        <f>IFERROR(__xludf.DUMMYFUNCTION("""COMPUTED_VALUE"""),"")</f>
        <v/>
      </c>
      <c r="B147" s="35" t="str">
        <f>IFERROR(__xludf.DUMMYFUNCTION("""COMPUTED_VALUE"""),"36252")</f>
        <v>36252</v>
      </c>
      <c r="C147" s="172">
        <f>IFERROR(__xludf.DUMMYFUNCTION("""COMPUTED_VALUE"""),4.4650001024E10)</f>
        <v>44650001024</v>
      </c>
      <c r="D147" s="188" t="str">
        <f>IFERROR(__xludf.DUMMYFUNCTION("""COMPUTED_VALUE"""),"603261.SS")</f>
        <v>603261.SS</v>
      </c>
      <c r="E147" s="173">
        <f>IFERROR(__xludf.DUMMYFUNCTION("""COMPUTED_VALUE"""),44650.0)</f>
        <v>44650</v>
      </c>
      <c r="F147" s="35" t="str">
        <f>IFERROR(__xludf.DUMMYFUNCTION("""COMPUTED_VALUE"""),"Stock")</f>
        <v>Stock</v>
      </c>
      <c r="G147" s="35" t="str">
        <f>IFERROR(__xludf.DUMMYFUNCTION("""COMPUTED_VALUE"""),"CNY")</f>
        <v>CNY</v>
      </c>
      <c r="H147" s="181">
        <f>IFERROR(__xludf.DUMMYFUNCTION("""COMPUTED_VALUE"""),-3000.0)</f>
        <v>-3000</v>
      </c>
      <c r="I147" s="174">
        <f>IFERROR(__xludf.DUMMYFUNCTION("""COMPUTED_VALUE"""),1.23338)</f>
        <v>1.23338</v>
      </c>
      <c r="J147" s="175">
        <f>IFERROR(__xludf.DUMMYFUNCTION("""COMPUTED_VALUE"""),66.23)</f>
        <v>66.23</v>
      </c>
      <c r="K147" s="35"/>
      <c r="L147" s="175">
        <f>IFERROR(__xludf.DUMMYFUNCTION("""COMPUTED_VALUE"""),45.74)</f>
        <v>45.74</v>
      </c>
      <c r="M147" s="182" t="str">
        <f>IFERROR(__xludf.DUMMYFUNCTION("""COMPUTED_VALUE"""),"Equity Key Stats")</f>
        <v>Equity Key Stats</v>
      </c>
      <c r="N147" s="35"/>
      <c r="O147" s="35"/>
      <c r="P147" s="184">
        <f>IFERROR(__xludf.DUMMYFUNCTION("""COMPUTED_VALUE"""),245060.2722)</f>
        <v>245060.2722</v>
      </c>
      <c r="Q147" s="177"/>
      <c r="R147" s="178">
        <f>IFERROR(__xludf.DUMMYFUNCTION("""COMPUTED_VALUE"""),45.74)</f>
        <v>45.74</v>
      </c>
      <c r="S147" s="176">
        <f>IFERROR(__xludf.DUMMYFUNCTION("""COMPUTED_VALUE"""),-169244.4036)</f>
        <v>-169244.4036</v>
      </c>
      <c r="T147" s="95">
        <f>IFERROR(__xludf.DUMMYFUNCTION("""COMPUTED_VALUE"""),2.0)</f>
        <v>2</v>
      </c>
      <c r="U147" s="35">
        <f>IFERROR(__xludf.DUMMYFUNCTION("""COMPUTED_VALUE"""),1.0)</f>
        <v>1</v>
      </c>
      <c r="V147" s="170">
        <f>IFERROR(__xludf.DUMMYFUNCTION("""COMPUTED_VALUE"""),40615.96290000001)</f>
        <v>40615.9629</v>
      </c>
      <c r="W147" s="171" t="str">
        <f>IFERROR(__xludf.DUMMYFUNCTION("""COMPUTED_VALUE"""),"")</f>
        <v/>
      </c>
      <c r="X147" s="14" t="str">
        <f>IFERROR(__xludf.DUMMYFUNCTION("""COMPUTED_VALUE"""),"")</f>
        <v/>
      </c>
      <c r="Y147" s="14" t="str">
        <f>IFERROR(__xludf.DUMMYFUNCTION("""COMPUTED_VALUE"""),"")</f>
        <v/>
      </c>
      <c r="Z147" s="11" t="str">
        <f>IFERROR(__xludf.DUMMYFUNCTION("""COMPUTED_VALUE"""),"")</f>
        <v/>
      </c>
    </row>
    <row r="148">
      <c r="A148" s="35" t="str">
        <f>IFERROR(__xludf.DUMMYFUNCTION("""COMPUTED_VALUE"""),"")</f>
        <v/>
      </c>
      <c r="B148" s="35" t="str">
        <f>IFERROR(__xludf.DUMMYFUNCTION("""COMPUTED_VALUE"""),"36252")</f>
        <v>36252</v>
      </c>
      <c r="C148" s="172">
        <f>IFERROR(__xludf.DUMMYFUNCTION("""COMPUTED_VALUE"""),4.4650001026E10)</f>
        <v>44650001026</v>
      </c>
      <c r="D148" s="188" t="str">
        <f>IFERROR(__xludf.DUMMYFUNCTION("""COMPUTED_VALUE"""),"000545.SZ")</f>
        <v>000545.SZ</v>
      </c>
      <c r="E148" s="173">
        <f>IFERROR(__xludf.DUMMYFUNCTION("""COMPUTED_VALUE"""),44650.0)</f>
        <v>44650</v>
      </c>
      <c r="F148" s="35" t="str">
        <f>IFERROR(__xludf.DUMMYFUNCTION("""COMPUTED_VALUE"""),"Stock")</f>
        <v>Stock</v>
      </c>
      <c r="G148" s="35" t="str">
        <f>IFERROR(__xludf.DUMMYFUNCTION("""COMPUTED_VALUE"""),"CNY")</f>
        <v>CNY</v>
      </c>
      <c r="H148" s="183">
        <f>IFERROR(__xludf.DUMMYFUNCTION("""COMPUTED_VALUE"""),10000.0)</f>
        <v>10000</v>
      </c>
      <c r="I148" s="174">
        <f>IFERROR(__xludf.DUMMYFUNCTION("""COMPUTED_VALUE"""),1.23338)</f>
        <v>1.23338</v>
      </c>
      <c r="J148" s="175">
        <f>IFERROR(__xludf.DUMMYFUNCTION("""COMPUTED_VALUE"""),4.71)</f>
        <v>4.71</v>
      </c>
      <c r="K148" s="35"/>
      <c r="L148" s="175">
        <f>IFERROR(__xludf.DUMMYFUNCTION("""COMPUTED_VALUE"""),4.36)</f>
        <v>4.36</v>
      </c>
      <c r="M148" s="182" t="str">
        <f>IFERROR(__xludf.DUMMYFUNCTION("""COMPUTED_VALUE"""),"Equity Key Stats")</f>
        <v>Equity Key Stats</v>
      </c>
      <c r="N148" s="35"/>
      <c r="O148" s="35"/>
      <c r="P148" s="176">
        <f>IFERROR(__xludf.DUMMYFUNCTION("""COMPUTED_VALUE"""),-58092.198)</f>
        <v>-58092.198</v>
      </c>
      <c r="Q148" s="177"/>
      <c r="R148" s="178">
        <f>IFERROR(__xludf.DUMMYFUNCTION("""COMPUTED_VALUE"""),4.36)</f>
        <v>4.36</v>
      </c>
      <c r="S148" s="184">
        <f>IFERROR(__xludf.DUMMYFUNCTION("""COMPUTED_VALUE"""),53775.368)</f>
        <v>53775.368</v>
      </c>
      <c r="T148" s="95">
        <f>IFERROR(__xludf.DUMMYFUNCTION("""COMPUTED_VALUE"""),2.0)</f>
        <v>2</v>
      </c>
      <c r="U148" s="35" t="str">
        <f>IFERROR(__xludf.DUMMYFUNCTION("""COMPUTED_VALUE"""),"")</f>
        <v/>
      </c>
      <c r="V148" s="170" t="str">
        <f>IFERROR(__xludf.DUMMYFUNCTION("""COMPUTED_VALUE"""),"")</f>
        <v/>
      </c>
      <c r="W148" s="171" t="str">
        <f>IFERROR(__xludf.DUMMYFUNCTION("""COMPUTED_VALUE"""),"")</f>
        <v/>
      </c>
      <c r="X148" s="14" t="str">
        <f>IFERROR(__xludf.DUMMYFUNCTION("""COMPUTED_VALUE"""),"")</f>
        <v/>
      </c>
      <c r="Y148" s="14" t="str">
        <f>IFERROR(__xludf.DUMMYFUNCTION("""COMPUTED_VALUE"""),"")</f>
        <v/>
      </c>
      <c r="Z148" s="11" t="str">
        <f>IFERROR(__xludf.DUMMYFUNCTION("""COMPUTED_VALUE"""),"")</f>
        <v/>
      </c>
    </row>
    <row r="149">
      <c r="A149" s="35" t="str">
        <f>IFERROR(__xludf.DUMMYFUNCTION("""COMPUTED_VALUE"""),"")</f>
        <v/>
      </c>
      <c r="B149" s="35" t="str">
        <f>IFERROR(__xludf.DUMMYFUNCTION("""COMPUTED_VALUE"""),"36252")</f>
        <v>36252</v>
      </c>
      <c r="C149" s="172">
        <f>IFERROR(__xludf.DUMMYFUNCTION("""COMPUTED_VALUE"""),4.465100103E10)</f>
        <v>44651001030</v>
      </c>
      <c r="D149" s="188" t="str">
        <f>IFERROR(__xludf.DUMMYFUNCTION("""COMPUTED_VALUE"""),"603051.SS")</f>
        <v>603051.SS</v>
      </c>
      <c r="E149" s="173">
        <f>IFERROR(__xludf.DUMMYFUNCTION("""COMPUTED_VALUE"""),44651.0)</f>
        <v>44651</v>
      </c>
      <c r="F149" s="35" t="str">
        <f>IFERROR(__xludf.DUMMYFUNCTION("""COMPUTED_VALUE"""),"Stock")</f>
        <v>Stock</v>
      </c>
      <c r="G149" s="35" t="str">
        <f>IFERROR(__xludf.DUMMYFUNCTION("""COMPUTED_VALUE"""),"CNY")</f>
        <v>CNY</v>
      </c>
      <c r="H149" s="181">
        <f>IFERROR(__xludf.DUMMYFUNCTION("""COMPUTED_VALUE"""),1500.0)</f>
        <v>1500</v>
      </c>
      <c r="I149" s="174">
        <f>IFERROR(__xludf.DUMMYFUNCTION("""COMPUTED_VALUE"""),1.23559)</f>
        <v>1.23559</v>
      </c>
      <c r="J149" s="175">
        <f>IFERROR(__xludf.DUMMYFUNCTION("""COMPUTED_VALUE"""),54.37)</f>
        <v>54.37</v>
      </c>
      <c r="K149" s="35"/>
      <c r="L149" s="175">
        <f>IFERROR(__xludf.DUMMYFUNCTION("""COMPUTED_VALUE"""),49.41)</f>
        <v>49.41</v>
      </c>
      <c r="M149" s="187" t="str">
        <f>IFERROR(__xludf.DUMMYFUNCTION("""COMPUTED_VALUE"""),"Equity Key Stats")</f>
        <v>Equity Key Stats</v>
      </c>
      <c r="N149" s="35"/>
      <c r="O149" s="35"/>
      <c r="P149" s="184">
        <f>IFERROR(__xludf.DUMMYFUNCTION("""COMPUTED_VALUE"""),-100768.54245)</f>
        <v>-100768.5425</v>
      </c>
      <c r="Q149" s="177"/>
      <c r="R149" s="178">
        <f>IFERROR(__xludf.DUMMYFUNCTION("""COMPUTED_VALUE"""),49.41)</f>
        <v>49.41</v>
      </c>
      <c r="S149" s="176">
        <f>IFERROR(__xludf.DUMMYFUNCTION("""COMPUTED_VALUE"""),91575.75284999999)</f>
        <v>91575.75285</v>
      </c>
      <c r="T149" s="95">
        <f>IFERROR(__xludf.DUMMYFUNCTION("""COMPUTED_VALUE"""),3.0)</f>
        <v>3</v>
      </c>
      <c r="U149" s="95" t="str">
        <f>IFERROR(__xludf.DUMMYFUNCTION("""COMPUTED_VALUE"""),"")</f>
        <v/>
      </c>
      <c r="V149" s="179" t="str">
        <f>IFERROR(__xludf.DUMMYFUNCTION("""COMPUTED_VALUE"""),"")</f>
        <v/>
      </c>
      <c r="W149" s="171" t="str">
        <f>IFERROR(__xludf.DUMMYFUNCTION("""COMPUTED_VALUE"""),"")</f>
        <v/>
      </c>
      <c r="X149" s="14" t="str">
        <f>IFERROR(__xludf.DUMMYFUNCTION("""COMPUTED_VALUE"""),"")</f>
        <v/>
      </c>
      <c r="Y149" s="14" t="str">
        <f>IFERROR(__xludf.DUMMYFUNCTION("""COMPUTED_VALUE"""),"")</f>
        <v/>
      </c>
      <c r="Z149" s="11" t="str">
        <f>IFERROR(__xludf.DUMMYFUNCTION("""COMPUTED_VALUE"""),"")</f>
        <v/>
      </c>
    </row>
    <row r="150">
      <c r="A150" s="35" t="str">
        <f>IFERROR(__xludf.DUMMYFUNCTION("""COMPUTED_VALUE"""),"")</f>
        <v/>
      </c>
      <c r="B150" s="35" t="str">
        <f>IFERROR(__xludf.DUMMYFUNCTION("""COMPUTED_VALUE"""),"36252")</f>
        <v>36252</v>
      </c>
      <c r="C150" s="172">
        <f>IFERROR(__xludf.DUMMYFUNCTION("""COMPUTED_VALUE"""),4.4651001044E10)</f>
        <v>44651001044</v>
      </c>
      <c r="D150" s="188" t="str">
        <f>IFERROR(__xludf.DUMMYFUNCTION("""COMPUTED_VALUE"""),"000545.SZ")</f>
        <v>000545.SZ</v>
      </c>
      <c r="E150" s="173">
        <f>IFERROR(__xludf.DUMMYFUNCTION("""COMPUTED_VALUE"""),44651.0)</f>
        <v>44651</v>
      </c>
      <c r="F150" s="35" t="str">
        <f>IFERROR(__xludf.DUMMYFUNCTION("""COMPUTED_VALUE"""),"Stock")</f>
        <v>Stock</v>
      </c>
      <c r="G150" s="35" t="str">
        <f>IFERROR(__xludf.DUMMYFUNCTION("""COMPUTED_VALUE"""),"CNY")</f>
        <v>CNY</v>
      </c>
      <c r="H150" s="181">
        <f>IFERROR(__xludf.DUMMYFUNCTION("""COMPUTED_VALUE"""),-10000.0)</f>
        <v>-10000</v>
      </c>
      <c r="I150" s="174">
        <f>IFERROR(__xludf.DUMMYFUNCTION("""COMPUTED_VALUE"""),1.23559)</f>
        <v>1.23559</v>
      </c>
      <c r="J150" s="175">
        <f>IFERROR(__xludf.DUMMYFUNCTION("""COMPUTED_VALUE"""),5.18)</f>
        <v>5.18</v>
      </c>
      <c r="K150" s="35"/>
      <c r="L150" s="175">
        <f>IFERROR(__xludf.DUMMYFUNCTION("""COMPUTED_VALUE"""),4.36)</f>
        <v>4.36</v>
      </c>
      <c r="M150" s="182" t="str">
        <f>IFERROR(__xludf.DUMMYFUNCTION("""COMPUTED_VALUE"""),"Equity Key Stats")</f>
        <v>Equity Key Stats</v>
      </c>
      <c r="N150" s="35"/>
      <c r="O150" s="35"/>
      <c r="P150" s="184">
        <f>IFERROR(__xludf.DUMMYFUNCTION("""COMPUTED_VALUE"""),64003.562)</f>
        <v>64003.562</v>
      </c>
      <c r="Q150" s="177"/>
      <c r="R150" s="178">
        <f>IFERROR(__xludf.DUMMYFUNCTION("""COMPUTED_VALUE"""),4.36)</f>
        <v>4.36</v>
      </c>
      <c r="S150" s="176">
        <f>IFERROR(__xludf.DUMMYFUNCTION("""COMPUTED_VALUE"""),-53871.724)</f>
        <v>-53871.724</v>
      </c>
      <c r="T150" s="95">
        <f>IFERROR(__xludf.DUMMYFUNCTION("""COMPUTED_VALUE"""),2.0)</f>
        <v>2</v>
      </c>
      <c r="U150" s="95">
        <f>IFERROR(__xludf.DUMMYFUNCTION("""COMPUTED_VALUE"""),1.0)</f>
        <v>1</v>
      </c>
      <c r="V150" s="179">
        <f>IFERROR(__xludf.DUMMYFUNCTION("""COMPUTED_VALUE"""),5815.008000000002)</f>
        <v>5815.008</v>
      </c>
      <c r="W150" s="171" t="str">
        <f>IFERROR(__xludf.DUMMYFUNCTION("""COMPUTED_VALUE"""),"")</f>
        <v/>
      </c>
      <c r="X150" s="14" t="str">
        <f>IFERROR(__xludf.DUMMYFUNCTION("""COMPUTED_VALUE"""),"")</f>
        <v/>
      </c>
      <c r="Y150" s="14" t="str">
        <f>IFERROR(__xludf.DUMMYFUNCTION("""COMPUTED_VALUE"""),"")</f>
        <v/>
      </c>
      <c r="Z150" s="11" t="str">
        <f>IFERROR(__xludf.DUMMYFUNCTION("""COMPUTED_VALUE"""),"")</f>
        <v/>
      </c>
    </row>
    <row r="151">
      <c r="A151" s="35" t="str">
        <f>IFERROR(__xludf.DUMMYFUNCTION("""COMPUTED_VALUE"""),"")</f>
        <v/>
      </c>
      <c r="B151" s="35" t="str">
        <f>IFERROR(__xludf.DUMMYFUNCTION("""COMPUTED_VALUE"""),"36252")</f>
        <v>36252</v>
      </c>
      <c r="C151" s="172">
        <f>IFERROR(__xludf.DUMMYFUNCTION("""COMPUTED_VALUE"""),4.465100105E10)</f>
        <v>44651001050</v>
      </c>
      <c r="D151" s="188" t="str">
        <f>IFERROR(__xludf.DUMMYFUNCTION("""COMPUTED_VALUE"""),"603051.SS")</f>
        <v>603051.SS</v>
      </c>
      <c r="E151" s="173">
        <f>IFERROR(__xludf.DUMMYFUNCTION("""COMPUTED_VALUE"""),44651.0)</f>
        <v>44651</v>
      </c>
      <c r="F151" s="35" t="str">
        <f>IFERROR(__xludf.DUMMYFUNCTION("""COMPUTED_VALUE"""),"Stock")</f>
        <v>Stock</v>
      </c>
      <c r="G151" s="35" t="str">
        <f>IFERROR(__xludf.DUMMYFUNCTION("""COMPUTED_VALUE"""),"CNY")</f>
        <v>CNY</v>
      </c>
      <c r="H151" s="181">
        <f>IFERROR(__xludf.DUMMYFUNCTION("""COMPUTED_VALUE"""),500.0)</f>
        <v>500</v>
      </c>
      <c r="I151" s="174">
        <f>IFERROR(__xludf.DUMMYFUNCTION("""COMPUTED_VALUE"""),1.23559)</f>
        <v>1.23559</v>
      </c>
      <c r="J151" s="175">
        <f>IFERROR(__xludf.DUMMYFUNCTION("""COMPUTED_VALUE"""),54.37)</f>
        <v>54.37</v>
      </c>
      <c r="K151" s="35"/>
      <c r="L151" s="175">
        <f>IFERROR(__xludf.DUMMYFUNCTION("""COMPUTED_VALUE"""),49.41)</f>
        <v>49.41</v>
      </c>
      <c r="M151" s="182" t="str">
        <f>IFERROR(__xludf.DUMMYFUNCTION("""COMPUTED_VALUE"""),"Equity Key Stats")</f>
        <v>Equity Key Stats</v>
      </c>
      <c r="N151" s="35"/>
      <c r="O151" s="35"/>
      <c r="P151" s="184">
        <f>IFERROR(__xludf.DUMMYFUNCTION("""COMPUTED_VALUE"""),-33589.514149999995)</f>
        <v>-33589.51415</v>
      </c>
      <c r="Q151" s="177"/>
      <c r="R151" s="178">
        <f>IFERROR(__xludf.DUMMYFUNCTION("""COMPUTED_VALUE"""),49.41)</f>
        <v>49.41</v>
      </c>
      <c r="S151" s="176">
        <f>IFERROR(__xludf.DUMMYFUNCTION("""COMPUTED_VALUE"""),30525.250949999994)</f>
        <v>30525.25095</v>
      </c>
      <c r="T151" s="95">
        <f>IFERROR(__xludf.DUMMYFUNCTION("""COMPUTED_VALUE"""),3.0)</f>
        <v>3</v>
      </c>
      <c r="U151" s="35" t="str">
        <f>IFERROR(__xludf.DUMMYFUNCTION("""COMPUTED_VALUE"""),"")</f>
        <v/>
      </c>
      <c r="V151" s="170" t="str">
        <f>IFERROR(__xludf.DUMMYFUNCTION("""COMPUTED_VALUE"""),"")</f>
        <v/>
      </c>
      <c r="W151" s="171" t="str">
        <f>IFERROR(__xludf.DUMMYFUNCTION("""COMPUTED_VALUE"""),"")</f>
        <v/>
      </c>
      <c r="X151" s="14" t="str">
        <f>IFERROR(__xludf.DUMMYFUNCTION("""COMPUTED_VALUE"""),"")</f>
        <v/>
      </c>
      <c r="Y151" s="14" t="str">
        <f>IFERROR(__xludf.DUMMYFUNCTION("""COMPUTED_VALUE"""),"")</f>
        <v/>
      </c>
      <c r="Z151" s="11" t="str">
        <f>IFERROR(__xludf.DUMMYFUNCTION("""COMPUTED_VALUE"""),"")</f>
        <v/>
      </c>
    </row>
    <row r="152">
      <c r="A152" s="35" t="str">
        <f>IFERROR(__xludf.DUMMYFUNCTION("""COMPUTED_VALUE"""),"36252")</f>
        <v>36252</v>
      </c>
      <c r="B152" s="35" t="str">
        <f>IFERROR(__xludf.DUMMYFUNCTION("""COMPUTED_VALUE"""),"36252")</f>
        <v>36252</v>
      </c>
      <c r="C152" s="172">
        <f>IFERROR(__xludf.DUMMYFUNCTION("""COMPUTED_VALUE"""),4.465400111E10)</f>
        <v>44654001110</v>
      </c>
      <c r="D152" s="188" t="str">
        <f>IFERROR(__xludf.DUMMYFUNCTION("""COMPUTED_VALUE"""),"603051.SS")</f>
        <v>603051.SS</v>
      </c>
      <c r="E152" s="173">
        <f>IFERROR(__xludf.DUMMYFUNCTION("""COMPUTED_VALUE"""),44654.0)</f>
        <v>44654</v>
      </c>
      <c r="F152" s="35" t="str">
        <f>IFERROR(__xludf.DUMMYFUNCTION("""COMPUTED_VALUE"""),"Stock")</f>
        <v>Stock</v>
      </c>
      <c r="G152" s="35" t="str">
        <f>IFERROR(__xludf.DUMMYFUNCTION("""COMPUTED_VALUE"""),"CNY")</f>
        <v>CNY</v>
      </c>
      <c r="H152" s="183">
        <f>IFERROR(__xludf.DUMMYFUNCTION("""COMPUTED_VALUE"""),-2000.0)</f>
        <v>-2000</v>
      </c>
      <c r="I152" s="174">
        <f>IFERROR(__xludf.DUMMYFUNCTION("""COMPUTED_VALUE"""),1.23024)</f>
        <v>1.23024</v>
      </c>
      <c r="J152" s="175">
        <f>IFERROR(__xludf.DUMMYFUNCTION("""COMPUTED_VALUE"""),59.81)</f>
        <v>59.81</v>
      </c>
      <c r="K152" s="35"/>
      <c r="L152" s="175">
        <f>IFERROR(__xludf.DUMMYFUNCTION("""COMPUTED_VALUE"""),49.41)</f>
        <v>49.41</v>
      </c>
      <c r="M152" s="182" t="str">
        <f>IFERROR(__xludf.DUMMYFUNCTION("""COMPUTED_VALUE"""),"Equity Key Stats")</f>
        <v>Equity Key Stats</v>
      </c>
      <c r="N152" s="35"/>
      <c r="O152" s="35"/>
      <c r="P152" s="176">
        <f>IFERROR(__xludf.DUMMYFUNCTION("""COMPUTED_VALUE"""),147161.3088)</f>
        <v>147161.3088</v>
      </c>
      <c r="Q152" s="177"/>
      <c r="R152" s="178">
        <f>IFERROR(__xludf.DUMMYFUNCTION("""COMPUTED_VALUE"""),49.41)</f>
        <v>49.41</v>
      </c>
      <c r="S152" s="184">
        <f>IFERROR(__xludf.DUMMYFUNCTION("""COMPUTED_VALUE"""),-121572.31679999999)</f>
        <v>-121572.3168</v>
      </c>
      <c r="T152" s="95">
        <f>IFERROR(__xludf.DUMMYFUNCTION("""COMPUTED_VALUE"""),3.0)</f>
        <v>3</v>
      </c>
      <c r="U152" s="95">
        <f>IFERROR(__xludf.DUMMYFUNCTION("""COMPUTED_VALUE"""),1.0)</f>
        <v>1</v>
      </c>
      <c r="V152" s="179">
        <f>IFERROR(__xludf.DUMMYFUNCTION("""COMPUTED_VALUE"""),13331.939200000008)</f>
        <v>13331.9392</v>
      </c>
      <c r="W152" s="171">
        <f>IFERROR(__xludf.DUMMYFUNCTION("""COMPUTED_VALUE"""),553100.2199280001)</f>
        <v>553100.2199</v>
      </c>
      <c r="X152" s="14">
        <f>IFERROR(__xludf.DUMMYFUNCTION("""COMPUTED_VALUE"""),553015.346158)</f>
        <v>553015.3462</v>
      </c>
      <c r="Y152" s="14">
        <f>IFERROR(__xludf.DUMMYFUNCTION("""COMPUTED_VALUE"""),0.0)</f>
        <v>0</v>
      </c>
      <c r="Z152" s="11">
        <f>IFERROR(__xludf.DUMMYFUNCTION("""COMPUTED_VALUE"""),0.10620043985600014)</f>
        <v>0.1062004399</v>
      </c>
    </row>
    <row r="153">
      <c r="A153" s="35" t="str">
        <f>IFERROR(__xludf.DUMMYFUNCTION("""COMPUTED_VALUE"""),"")</f>
        <v/>
      </c>
      <c r="B153" s="35" t="str">
        <f>IFERROR(__xludf.DUMMYFUNCTION("""COMPUTED_VALUE"""),"36460")</f>
        <v>36460</v>
      </c>
      <c r="C153" s="172">
        <f>IFERROR(__xludf.DUMMYFUNCTION("""COMPUTED_VALUE"""),4.4597000063E10)</f>
        <v>44597000063</v>
      </c>
      <c r="D153" s="135" t="str">
        <f>IFERROR(__xludf.DUMMYFUNCTION("""COMPUTED_VALUE"""),"Cash")</f>
        <v>Cash</v>
      </c>
      <c r="E153" s="173">
        <f>IFERROR(__xludf.DUMMYFUNCTION("""COMPUTED_VALUE"""),44597.0)</f>
        <v>44597</v>
      </c>
      <c r="F153" s="35" t="str">
        <f>IFERROR(__xludf.DUMMYFUNCTION("""COMPUTED_VALUE"""),"Cash")</f>
        <v>Cash</v>
      </c>
      <c r="G153" s="35" t="str">
        <f>IFERROR(__xludf.DUMMYFUNCTION("""COMPUTED_VALUE"""),"HKD")</f>
        <v>HKD</v>
      </c>
      <c r="H153" s="181" t="str">
        <f>IFERROR(__xludf.DUMMYFUNCTION("""COMPUTED_VALUE"""),"")</f>
        <v/>
      </c>
      <c r="I153" s="174">
        <f>IFERROR(__xludf.DUMMYFUNCTION("""COMPUTED_VALUE"""),1.0)</f>
        <v>1</v>
      </c>
      <c r="J153" s="175">
        <f>IFERROR(__xludf.DUMMYFUNCTION("""COMPUTED_VALUE"""),1.0)</f>
        <v>1</v>
      </c>
      <c r="K153" s="35"/>
      <c r="L153" s="175">
        <f>IFERROR(__xludf.DUMMYFUNCTION("""COMPUTED_VALUE"""),1.0)</f>
        <v>1</v>
      </c>
      <c r="M153" s="182" t="str">
        <f>IFERROR(__xludf.DUMMYFUNCTION("""COMPUTED_VALUE"""),"")</f>
        <v/>
      </c>
      <c r="N153" s="35"/>
      <c r="O153" s="35"/>
      <c r="P153" s="184">
        <f>IFERROR(__xludf.DUMMYFUNCTION("""COMPUTED_VALUE"""),500000.0)</f>
        <v>500000</v>
      </c>
      <c r="Q153" s="177"/>
      <c r="R153" s="178">
        <f>IFERROR(__xludf.DUMMYFUNCTION("""COMPUTED_VALUE"""),1.0)</f>
        <v>1</v>
      </c>
      <c r="S153" s="176" t="str">
        <f>IFERROR(__xludf.DUMMYFUNCTION("""COMPUTED_VALUE"""),"")</f>
        <v/>
      </c>
      <c r="T153" s="95">
        <f>IFERROR(__xludf.DUMMYFUNCTION("""COMPUTED_VALUE"""),1.0)</f>
        <v>1</v>
      </c>
      <c r="U153" s="95">
        <f>IFERROR(__xludf.DUMMYFUNCTION("""COMPUTED_VALUE"""),1.0)</f>
        <v>1</v>
      </c>
      <c r="V153" s="179">
        <f>IFERROR(__xludf.DUMMYFUNCTION("""COMPUTED_VALUE"""),500000.0)</f>
        <v>500000</v>
      </c>
      <c r="W153" s="171" t="str">
        <f>IFERROR(__xludf.DUMMYFUNCTION("""COMPUTED_VALUE"""),"")</f>
        <v/>
      </c>
      <c r="X153" s="14" t="str">
        <f>IFERROR(__xludf.DUMMYFUNCTION("""COMPUTED_VALUE"""),"")</f>
        <v/>
      </c>
      <c r="Y153" s="14" t="str">
        <f>IFERROR(__xludf.DUMMYFUNCTION("""COMPUTED_VALUE"""),"")</f>
        <v/>
      </c>
      <c r="Z153" s="11" t="str">
        <f>IFERROR(__xludf.DUMMYFUNCTION("""COMPUTED_VALUE"""),"")</f>
        <v/>
      </c>
    </row>
    <row r="154">
      <c r="A154" s="35" t="str">
        <f>IFERROR(__xludf.DUMMYFUNCTION("""COMPUTED_VALUE"""),"")</f>
        <v/>
      </c>
      <c r="B154" s="35" t="str">
        <f>IFERROR(__xludf.DUMMYFUNCTION("""COMPUTED_VALUE"""),"36460")</f>
        <v>36460</v>
      </c>
      <c r="C154" s="172">
        <f>IFERROR(__xludf.DUMMYFUNCTION("""COMPUTED_VALUE"""),4.4613000265E10)</f>
        <v>44613000265</v>
      </c>
      <c r="D154" s="188" t="str">
        <f>IFERROR(__xludf.DUMMYFUNCTION("""COMPUTED_VALUE"""),"0700.HK")</f>
        <v>0700.HK</v>
      </c>
      <c r="E154" s="173">
        <f>IFERROR(__xludf.DUMMYFUNCTION("""COMPUTED_VALUE"""),44613.0)</f>
        <v>44613</v>
      </c>
      <c r="F154" s="35" t="str">
        <f>IFERROR(__xludf.DUMMYFUNCTION("""COMPUTED_VALUE"""),"Stock")</f>
        <v>Stock</v>
      </c>
      <c r="G154" s="35" t="str">
        <f>IFERROR(__xludf.DUMMYFUNCTION("""COMPUTED_VALUE"""),"HKD")</f>
        <v>HKD</v>
      </c>
      <c r="H154" s="181">
        <f>IFERROR(__xludf.DUMMYFUNCTION("""COMPUTED_VALUE"""),200.0)</f>
        <v>200</v>
      </c>
      <c r="I154" s="174">
        <f>IFERROR(__xludf.DUMMYFUNCTION("""COMPUTED_VALUE"""),1.0)</f>
        <v>1</v>
      </c>
      <c r="J154" s="175">
        <f>IFERROR(__xludf.DUMMYFUNCTION("""COMPUTED_VALUE"""),470.0)</f>
        <v>470</v>
      </c>
      <c r="K154" s="35"/>
      <c r="L154" s="175">
        <f>IFERROR(__xludf.DUMMYFUNCTION("""COMPUTED_VALUE"""),373.6)</f>
        <v>373.6</v>
      </c>
      <c r="M154" s="182" t="str">
        <f>IFERROR(__xludf.DUMMYFUNCTION("""COMPUTED_VALUE"""),"Equity Key Stats")</f>
        <v>Equity Key Stats</v>
      </c>
      <c r="N154" s="35"/>
      <c r="O154" s="35"/>
      <c r="P154" s="184">
        <f>IFERROR(__xludf.DUMMYFUNCTION("""COMPUTED_VALUE"""),-94000.0)</f>
        <v>-94000</v>
      </c>
      <c r="Q154" s="177"/>
      <c r="R154" s="178">
        <f>IFERROR(__xludf.DUMMYFUNCTION("""COMPUTED_VALUE"""),373.6)</f>
        <v>373.6</v>
      </c>
      <c r="S154" s="176">
        <f>IFERROR(__xludf.DUMMYFUNCTION("""COMPUTED_VALUE"""),74720.0)</f>
        <v>74720</v>
      </c>
      <c r="T154" s="95">
        <f>IFERROR(__xludf.DUMMYFUNCTION("""COMPUTED_VALUE"""),2.0)</f>
        <v>2</v>
      </c>
      <c r="U154" s="35" t="str">
        <f>IFERROR(__xludf.DUMMYFUNCTION("""COMPUTED_VALUE"""),"")</f>
        <v/>
      </c>
      <c r="V154" s="170" t="str">
        <f>IFERROR(__xludf.DUMMYFUNCTION("""COMPUTED_VALUE"""),"")</f>
        <v/>
      </c>
      <c r="W154" s="171" t="str">
        <f>IFERROR(__xludf.DUMMYFUNCTION("""COMPUTED_VALUE"""),"")</f>
        <v/>
      </c>
      <c r="X154" s="14" t="str">
        <f>IFERROR(__xludf.DUMMYFUNCTION("""COMPUTED_VALUE"""),"")</f>
        <v/>
      </c>
      <c r="Y154" s="14" t="str">
        <f>IFERROR(__xludf.DUMMYFUNCTION("""COMPUTED_VALUE"""),"")</f>
        <v/>
      </c>
      <c r="Z154" s="11" t="str">
        <f>IFERROR(__xludf.DUMMYFUNCTION("""COMPUTED_VALUE"""),"")</f>
        <v/>
      </c>
    </row>
    <row r="155">
      <c r="A155" s="35" t="str">
        <f>IFERROR(__xludf.DUMMYFUNCTION("""COMPUTED_VALUE"""),"")</f>
        <v/>
      </c>
      <c r="B155" s="35" t="str">
        <f>IFERROR(__xludf.DUMMYFUNCTION("""COMPUTED_VALUE"""),"36460")</f>
        <v>36460</v>
      </c>
      <c r="C155" s="172">
        <f>IFERROR(__xludf.DUMMYFUNCTION("""COMPUTED_VALUE"""),4.4616000316E10)</f>
        <v>44616000316</v>
      </c>
      <c r="D155" s="192" t="str">
        <f>IFERROR(__xludf.DUMMYFUNCTION("""COMPUTED_VALUE"""),"TSLA")</f>
        <v>TSLA</v>
      </c>
      <c r="E155" s="173">
        <f>IFERROR(__xludf.DUMMYFUNCTION("""COMPUTED_VALUE"""),44616.0)</f>
        <v>44616</v>
      </c>
      <c r="F155" s="35" t="str">
        <f>IFERROR(__xludf.DUMMYFUNCTION("""COMPUTED_VALUE"""),"Stock")</f>
        <v>Stock</v>
      </c>
      <c r="G155" s="35" t="str">
        <f>IFERROR(__xludf.DUMMYFUNCTION("""COMPUTED_VALUE"""),"USD")</f>
        <v>USD</v>
      </c>
      <c r="H155" s="183">
        <f>IFERROR(__xludf.DUMMYFUNCTION("""COMPUTED_VALUE"""),100.0)</f>
        <v>100</v>
      </c>
      <c r="I155" s="174">
        <f>IFERROR(__xludf.DUMMYFUNCTION("""COMPUTED_VALUE"""),7.80775)</f>
        <v>7.80775</v>
      </c>
      <c r="J155" s="175">
        <f>IFERROR(__xludf.DUMMYFUNCTION("""COMPUTED_VALUE"""),800.77)</f>
        <v>800.77</v>
      </c>
      <c r="K155" s="35"/>
      <c r="L155" s="175">
        <f>IFERROR(__xludf.DUMMYFUNCTION("""COMPUTED_VALUE"""),1022.37)</f>
        <v>1022.37</v>
      </c>
      <c r="M155" s="182" t="str">
        <f>IFERROR(__xludf.DUMMYFUNCTION("""COMPUTED_VALUE"""),"Equity Key Stats")</f>
        <v>Equity Key Stats</v>
      </c>
      <c r="N155" s="35"/>
      <c r="O155" s="35"/>
      <c r="P155" s="176">
        <f>IFERROR(__xludf.DUMMYFUNCTION("""COMPUTED_VALUE"""),-625221.19675)</f>
        <v>-625221.1968</v>
      </c>
      <c r="Q155" s="177"/>
      <c r="R155" s="178">
        <f>IFERROR(__xludf.DUMMYFUNCTION("""COMPUTED_VALUE"""),1022.37)</f>
        <v>1022.37</v>
      </c>
      <c r="S155" s="184">
        <f>IFERROR(__xludf.DUMMYFUNCTION("""COMPUTED_VALUE"""),798240.9367500001)</f>
        <v>798240.9368</v>
      </c>
      <c r="T155" s="95">
        <f>IFERROR(__xludf.DUMMYFUNCTION("""COMPUTED_VALUE"""),3.0)</f>
        <v>3</v>
      </c>
      <c r="U155" s="95" t="str">
        <f>IFERROR(__xludf.DUMMYFUNCTION("""COMPUTED_VALUE"""),"")</f>
        <v/>
      </c>
      <c r="V155" s="185" t="str">
        <f>IFERROR(__xludf.DUMMYFUNCTION("""COMPUTED_VALUE"""),"")</f>
        <v/>
      </c>
      <c r="W155" s="171" t="str">
        <f>IFERROR(__xludf.DUMMYFUNCTION("""COMPUTED_VALUE"""),"")</f>
        <v/>
      </c>
      <c r="X155" s="14" t="str">
        <f>IFERROR(__xludf.DUMMYFUNCTION("""COMPUTED_VALUE"""),"")</f>
        <v/>
      </c>
      <c r="Y155" s="14" t="str">
        <f>IFERROR(__xludf.DUMMYFUNCTION("""COMPUTED_VALUE"""),"")</f>
        <v/>
      </c>
      <c r="Z155" s="11" t="str">
        <f>IFERROR(__xludf.DUMMYFUNCTION("""COMPUTED_VALUE"""),"")</f>
        <v/>
      </c>
    </row>
    <row r="156">
      <c r="A156" s="35" t="str">
        <f>IFERROR(__xludf.DUMMYFUNCTION("""COMPUTED_VALUE"""),"")</f>
        <v/>
      </c>
      <c r="B156" s="35" t="str">
        <f>IFERROR(__xludf.DUMMYFUNCTION("""COMPUTED_VALUE"""),"36460")</f>
        <v>36460</v>
      </c>
      <c r="C156" s="172">
        <f>IFERROR(__xludf.DUMMYFUNCTION("""COMPUTED_VALUE"""),4.4616000325E10)</f>
        <v>44616000325</v>
      </c>
      <c r="D156" s="180" t="str">
        <f>IFERROR(__xludf.DUMMYFUNCTION("""COMPUTED_VALUE"""),"CL=F")</f>
        <v>CL=F</v>
      </c>
      <c r="E156" s="173">
        <f>IFERROR(__xludf.DUMMYFUNCTION("""COMPUTED_VALUE"""),44616.0)</f>
        <v>44616</v>
      </c>
      <c r="F156" s="35" t="str">
        <f>IFERROR(__xludf.DUMMYFUNCTION("""COMPUTED_VALUE"""),"Stock")</f>
        <v>Stock</v>
      </c>
      <c r="G156" s="35" t="str">
        <f>IFERROR(__xludf.DUMMYFUNCTION("""COMPUTED_VALUE"""),"USD")</f>
        <v>USD</v>
      </c>
      <c r="H156" s="183" t="str">
        <f>IFERROR(__xludf.DUMMYFUNCTION("""COMPUTED_VALUE"""),"")</f>
        <v/>
      </c>
      <c r="I156" s="174">
        <f>IFERROR(__xludf.DUMMYFUNCTION("""COMPUTED_VALUE"""),7.80775)</f>
        <v>7.80775</v>
      </c>
      <c r="J156" s="175">
        <f>IFERROR(__xludf.DUMMYFUNCTION("""COMPUTED_VALUE"""),92.81)</f>
        <v>92.81</v>
      </c>
      <c r="K156" s="35"/>
      <c r="L156" s="175">
        <f>IFERROR(__xludf.DUMMYFUNCTION("""COMPUTED_VALUE"""),104.31)</f>
        <v>104.31</v>
      </c>
      <c r="M156" s="182" t="str">
        <f>IFERROR(__xludf.DUMMYFUNCTION("""COMPUTED_VALUE"""),"Equity Key Stats")</f>
        <v>Equity Key Stats</v>
      </c>
      <c r="N156" s="35"/>
      <c r="O156" s="35"/>
      <c r="P156" s="176">
        <f>IFERROR(__xludf.DUMMYFUNCTION("""COMPUTED_VALUE"""),0.0)</f>
        <v>0</v>
      </c>
      <c r="Q156" s="177"/>
      <c r="R156" s="178">
        <f>IFERROR(__xludf.DUMMYFUNCTION("""COMPUTED_VALUE"""),104.31)</f>
        <v>104.31</v>
      </c>
      <c r="S156" s="184">
        <f>IFERROR(__xludf.DUMMYFUNCTION("""COMPUTED_VALUE"""),0.0)</f>
        <v>0</v>
      </c>
      <c r="T156" s="95">
        <f>IFERROR(__xludf.DUMMYFUNCTION("""COMPUTED_VALUE"""),1.0)</f>
        <v>1</v>
      </c>
      <c r="U156" s="35">
        <f>IFERROR(__xludf.DUMMYFUNCTION("""COMPUTED_VALUE"""),1.0)</f>
        <v>1</v>
      </c>
      <c r="V156" s="170">
        <f>IFERROR(__xludf.DUMMYFUNCTION("""COMPUTED_VALUE"""),0.0)</f>
        <v>0</v>
      </c>
      <c r="W156" s="171" t="str">
        <f>IFERROR(__xludf.DUMMYFUNCTION("""COMPUTED_VALUE"""),"")</f>
        <v/>
      </c>
      <c r="X156" s="14" t="str">
        <f>IFERROR(__xludf.DUMMYFUNCTION("""COMPUTED_VALUE"""),"")</f>
        <v/>
      </c>
      <c r="Y156" s="14" t="str">
        <f>IFERROR(__xludf.DUMMYFUNCTION("""COMPUTED_VALUE"""),"")</f>
        <v/>
      </c>
      <c r="Z156" s="11" t="str">
        <f>IFERROR(__xludf.DUMMYFUNCTION("""COMPUTED_VALUE"""),"")</f>
        <v/>
      </c>
    </row>
    <row r="157">
      <c r="A157" s="35" t="str">
        <f>IFERROR(__xludf.DUMMYFUNCTION("""COMPUTED_VALUE"""),"")</f>
        <v/>
      </c>
      <c r="B157" s="35" t="str">
        <f>IFERROR(__xludf.DUMMYFUNCTION("""COMPUTED_VALUE"""),"36460")</f>
        <v>36460</v>
      </c>
      <c r="C157" s="172">
        <f>IFERROR(__xludf.DUMMYFUNCTION("""COMPUTED_VALUE"""),4.4620000376E10)</f>
        <v>44620000376</v>
      </c>
      <c r="D157" s="192" t="str">
        <f>IFERROR(__xludf.DUMMYFUNCTION("""COMPUTED_VALUE"""),"TSLA")</f>
        <v>TSLA</v>
      </c>
      <c r="E157" s="173">
        <f>IFERROR(__xludf.DUMMYFUNCTION("""COMPUTED_VALUE"""),44620.0)</f>
        <v>44620</v>
      </c>
      <c r="F157" s="35" t="str">
        <f>IFERROR(__xludf.DUMMYFUNCTION("""COMPUTED_VALUE"""),"Stock")</f>
        <v>Stock</v>
      </c>
      <c r="G157" s="35" t="str">
        <f>IFERROR(__xludf.DUMMYFUNCTION("""COMPUTED_VALUE"""),"USD")</f>
        <v>USD</v>
      </c>
      <c r="H157" s="181">
        <f>IFERROR(__xludf.DUMMYFUNCTION("""COMPUTED_VALUE"""),-80.0)</f>
        <v>-80</v>
      </c>
      <c r="I157" s="174">
        <f>IFERROR(__xludf.DUMMYFUNCTION("""COMPUTED_VALUE"""),7.81345)</f>
        <v>7.81345</v>
      </c>
      <c r="J157" s="175">
        <f>IFERROR(__xludf.DUMMYFUNCTION("""COMPUTED_VALUE"""),870.43)</f>
        <v>870.43</v>
      </c>
      <c r="K157" s="35"/>
      <c r="L157" s="175">
        <f>IFERROR(__xludf.DUMMYFUNCTION("""COMPUTED_VALUE"""),1022.37)</f>
        <v>1022.37</v>
      </c>
      <c r="M157" s="182" t="str">
        <f>IFERROR(__xludf.DUMMYFUNCTION("""COMPUTED_VALUE"""),"Equity Key Stats")</f>
        <v>Equity Key Stats</v>
      </c>
      <c r="N157" s="35"/>
      <c r="O157" s="35"/>
      <c r="P157" s="184">
        <f>IFERROR(__xludf.DUMMYFUNCTION("""COMPUTED_VALUE"""),544084.9026799999)</f>
        <v>544084.9027</v>
      </c>
      <c r="Q157" s="177"/>
      <c r="R157" s="178">
        <f>IFERROR(__xludf.DUMMYFUNCTION("""COMPUTED_VALUE"""),1022.37)</f>
        <v>1022.37</v>
      </c>
      <c r="S157" s="176">
        <f>IFERROR(__xludf.DUMMYFUNCTION("""COMPUTED_VALUE"""),-639058.95012)</f>
        <v>-639058.9501</v>
      </c>
      <c r="T157" s="95">
        <f>IFERROR(__xludf.DUMMYFUNCTION("""COMPUTED_VALUE"""),3.0)</f>
        <v>3</v>
      </c>
      <c r="U157" s="35" t="str">
        <f>IFERROR(__xludf.DUMMYFUNCTION("""COMPUTED_VALUE"""),"")</f>
        <v/>
      </c>
      <c r="V157" s="170" t="str">
        <f>IFERROR(__xludf.DUMMYFUNCTION("""COMPUTED_VALUE"""),"")</f>
        <v/>
      </c>
      <c r="W157" s="171" t="str">
        <f>IFERROR(__xludf.DUMMYFUNCTION("""COMPUTED_VALUE"""),"")</f>
        <v/>
      </c>
      <c r="X157" s="14" t="str">
        <f>IFERROR(__xludf.DUMMYFUNCTION("""COMPUTED_VALUE"""),"")</f>
        <v/>
      </c>
      <c r="Y157" s="14" t="str">
        <f>IFERROR(__xludf.DUMMYFUNCTION("""COMPUTED_VALUE"""),"")</f>
        <v/>
      </c>
      <c r="Z157" s="11" t="str">
        <f>IFERROR(__xludf.DUMMYFUNCTION("""COMPUTED_VALUE"""),"")</f>
        <v/>
      </c>
    </row>
    <row r="158">
      <c r="A158" s="35" t="str">
        <f>IFERROR(__xludf.DUMMYFUNCTION("""COMPUTED_VALUE"""),"")</f>
        <v/>
      </c>
      <c r="B158" s="35" t="str">
        <f>IFERROR(__xludf.DUMMYFUNCTION("""COMPUTED_VALUE"""),"36460")</f>
        <v>36460</v>
      </c>
      <c r="C158" s="172">
        <f>IFERROR(__xludf.DUMMYFUNCTION("""COMPUTED_VALUE"""),4.4643000802E10)</f>
        <v>44643000802</v>
      </c>
      <c r="D158" s="188" t="str">
        <f>IFERROR(__xludf.DUMMYFUNCTION("""COMPUTED_VALUE"""),"0700.HK")</f>
        <v>0700.HK</v>
      </c>
      <c r="E158" s="173">
        <f>IFERROR(__xludf.DUMMYFUNCTION("""COMPUTED_VALUE"""),44643.0)</f>
        <v>44643</v>
      </c>
      <c r="F158" s="35" t="str">
        <f>IFERROR(__xludf.DUMMYFUNCTION("""COMPUTED_VALUE"""),"Stock")</f>
        <v>Stock</v>
      </c>
      <c r="G158" s="35" t="str">
        <f>IFERROR(__xludf.DUMMYFUNCTION("""COMPUTED_VALUE"""),"HKD")</f>
        <v>HKD</v>
      </c>
      <c r="H158" s="183">
        <f>IFERROR(__xludf.DUMMYFUNCTION("""COMPUTED_VALUE"""),-150.0)</f>
        <v>-150</v>
      </c>
      <c r="I158" s="174">
        <f>IFERROR(__xludf.DUMMYFUNCTION("""COMPUTED_VALUE"""),1.0)</f>
        <v>1</v>
      </c>
      <c r="J158" s="175">
        <f>IFERROR(__xludf.DUMMYFUNCTION("""COMPUTED_VALUE"""),389.0)</f>
        <v>389</v>
      </c>
      <c r="K158" s="35"/>
      <c r="L158" s="175">
        <f>IFERROR(__xludf.DUMMYFUNCTION("""COMPUTED_VALUE"""),373.6)</f>
        <v>373.6</v>
      </c>
      <c r="M158" s="182" t="str">
        <f>IFERROR(__xludf.DUMMYFUNCTION("""COMPUTED_VALUE"""),"Equity Key Stats")</f>
        <v>Equity Key Stats</v>
      </c>
      <c r="N158" s="35"/>
      <c r="O158" s="35"/>
      <c r="P158" s="176">
        <f>IFERROR(__xludf.DUMMYFUNCTION("""COMPUTED_VALUE"""),58350.0)</f>
        <v>58350</v>
      </c>
      <c r="Q158" s="177"/>
      <c r="R158" s="178">
        <f>IFERROR(__xludf.DUMMYFUNCTION("""COMPUTED_VALUE"""),373.6)</f>
        <v>373.6</v>
      </c>
      <c r="S158" s="184">
        <f>IFERROR(__xludf.DUMMYFUNCTION("""COMPUTED_VALUE"""),-56040.0)</f>
        <v>-56040</v>
      </c>
      <c r="T158" s="95">
        <f>IFERROR(__xludf.DUMMYFUNCTION("""COMPUTED_VALUE"""),2.0)</f>
        <v>2</v>
      </c>
      <c r="U158" s="35">
        <f>IFERROR(__xludf.DUMMYFUNCTION("""COMPUTED_VALUE"""),1.0)</f>
        <v>1</v>
      </c>
      <c r="V158" s="170">
        <f>IFERROR(__xludf.DUMMYFUNCTION("""COMPUTED_VALUE"""),-16970.0)</f>
        <v>-16970</v>
      </c>
      <c r="W158" s="171" t="str">
        <f>IFERROR(__xludf.DUMMYFUNCTION("""COMPUTED_VALUE"""),"")</f>
        <v/>
      </c>
      <c r="X158" s="14" t="str">
        <f>IFERROR(__xludf.DUMMYFUNCTION("""COMPUTED_VALUE"""),"")</f>
        <v/>
      </c>
      <c r="Y158" s="14" t="str">
        <f>IFERROR(__xludf.DUMMYFUNCTION("""COMPUTED_VALUE"""),"")</f>
        <v/>
      </c>
      <c r="Z158" s="11" t="str">
        <f>IFERROR(__xludf.DUMMYFUNCTION("""COMPUTED_VALUE"""),"")</f>
        <v/>
      </c>
    </row>
    <row r="159">
      <c r="A159" s="35" t="str">
        <f>IFERROR(__xludf.DUMMYFUNCTION("""COMPUTED_VALUE"""),"")</f>
        <v/>
      </c>
      <c r="B159" s="35" t="str">
        <f>IFERROR(__xludf.DUMMYFUNCTION("""COMPUTED_VALUE"""),"36460")</f>
        <v>36460</v>
      </c>
      <c r="C159" s="172">
        <f>IFERROR(__xludf.DUMMYFUNCTION("""COMPUTED_VALUE"""),4.4643000803E10)</f>
        <v>44643000803</v>
      </c>
      <c r="D159" s="192" t="str">
        <f>IFERROR(__xludf.DUMMYFUNCTION("""COMPUTED_VALUE"""),"F220325C00010000")</f>
        <v>F220325C00010000</v>
      </c>
      <c r="E159" s="173">
        <f>IFERROR(__xludf.DUMMYFUNCTION("""COMPUTED_VALUE"""),44643.0)</f>
        <v>44643</v>
      </c>
      <c r="F159" s="35" t="str">
        <f>IFERROR(__xludf.DUMMYFUNCTION("""COMPUTED_VALUE"""),"Option")</f>
        <v>Option</v>
      </c>
      <c r="G159" s="35" t="str">
        <f>IFERROR(__xludf.DUMMYFUNCTION("""COMPUTED_VALUE"""),"USD")</f>
        <v>USD</v>
      </c>
      <c r="H159" s="183">
        <f>IFERROR(__xludf.DUMMYFUNCTION("""COMPUTED_VALUE"""),1.0)</f>
        <v>1</v>
      </c>
      <c r="I159" s="174">
        <f>IFERROR(__xludf.DUMMYFUNCTION("""COMPUTED_VALUE"""),7.823645)</f>
        <v>7.823645</v>
      </c>
      <c r="J159" s="175">
        <f>IFERROR(__xludf.DUMMYFUNCTION("""COMPUTED_VALUE"""),6.65)</f>
        <v>6.65</v>
      </c>
      <c r="K159" s="35"/>
      <c r="L159" s="175">
        <f>IFERROR(__xludf.DUMMYFUNCTION("""COMPUTED_VALUE"""),0.0)</f>
        <v>0</v>
      </c>
      <c r="M159" s="182" t="str">
        <f>IFERROR(__xludf.DUMMYFUNCTION("""COMPUTED_VALUE"""),"")</f>
        <v/>
      </c>
      <c r="N159" s="35"/>
      <c r="O159" s="35"/>
      <c r="P159" s="176">
        <f>IFERROR(__xludf.DUMMYFUNCTION("""COMPUTED_VALUE"""),-5202.723925)</f>
        <v>-5202.723925</v>
      </c>
      <c r="Q159" s="177"/>
      <c r="R159" s="178">
        <f>IFERROR(__xludf.DUMMYFUNCTION("""COMPUTED_VALUE"""),0.0)</f>
        <v>0</v>
      </c>
      <c r="S159" s="184">
        <f>IFERROR(__xludf.DUMMYFUNCTION("""COMPUTED_VALUE"""),0.0)</f>
        <v>0</v>
      </c>
      <c r="T159" s="95">
        <f>IFERROR(__xludf.DUMMYFUNCTION("""COMPUTED_VALUE"""),3.0)</f>
        <v>3</v>
      </c>
      <c r="U159" s="95" t="str">
        <f>IFERROR(__xludf.DUMMYFUNCTION("""COMPUTED_VALUE"""),"")</f>
        <v/>
      </c>
      <c r="V159" s="179" t="str">
        <f>IFERROR(__xludf.DUMMYFUNCTION("""COMPUTED_VALUE"""),"")</f>
        <v/>
      </c>
      <c r="W159" s="171" t="str">
        <f>IFERROR(__xludf.DUMMYFUNCTION("""COMPUTED_VALUE"""),"")</f>
        <v/>
      </c>
      <c r="X159" s="14" t="str">
        <f>IFERROR(__xludf.DUMMYFUNCTION("""COMPUTED_VALUE"""),"")</f>
        <v/>
      </c>
      <c r="Y159" s="14" t="str">
        <f>IFERROR(__xludf.DUMMYFUNCTION("""COMPUTED_VALUE"""),"")</f>
        <v/>
      </c>
      <c r="Z159" s="11" t="str">
        <f>IFERROR(__xludf.DUMMYFUNCTION("""COMPUTED_VALUE"""),"")</f>
        <v/>
      </c>
    </row>
    <row r="160">
      <c r="A160" s="35" t="str">
        <f>IFERROR(__xludf.DUMMYFUNCTION("""COMPUTED_VALUE"""),"")</f>
        <v/>
      </c>
      <c r="B160" s="35" t="str">
        <f>IFERROR(__xludf.DUMMYFUNCTION("""COMPUTED_VALUE"""),"36460")</f>
        <v>36460</v>
      </c>
      <c r="C160" s="172">
        <f>IFERROR(__xludf.DUMMYFUNCTION("""COMPUTED_VALUE"""),4.4645000901E10)</f>
        <v>44645000901</v>
      </c>
      <c r="D160" s="180" t="str">
        <f>IFERROR(__xludf.DUMMYFUNCTION("""COMPUTED_VALUE"""),"F220325C00010000")</f>
        <v>F220325C00010000</v>
      </c>
      <c r="E160" s="173">
        <f>IFERROR(__xludf.DUMMYFUNCTION("""COMPUTED_VALUE"""),44645.0)</f>
        <v>44645</v>
      </c>
      <c r="F160" s="35" t="str">
        <f>IFERROR(__xludf.DUMMYFUNCTION("""COMPUTED_VALUE"""),"Option")</f>
        <v>Option</v>
      </c>
      <c r="G160" s="35" t="str">
        <f>IFERROR(__xludf.DUMMYFUNCTION("""COMPUTED_VALUE"""),"USD")</f>
        <v>USD</v>
      </c>
      <c r="H160" s="181">
        <f>IFERROR(__xludf.DUMMYFUNCTION("""COMPUTED_VALUE"""),-1.0)</f>
        <v>-1</v>
      </c>
      <c r="I160" s="174">
        <f>IFERROR(__xludf.DUMMYFUNCTION("""COMPUTED_VALUE"""),7.82975)</f>
        <v>7.82975</v>
      </c>
      <c r="J160" s="175">
        <f>IFERROR(__xludf.DUMMYFUNCTION("""COMPUTED_VALUE"""),6.37)</f>
        <v>6.37</v>
      </c>
      <c r="K160" s="35"/>
      <c r="L160" s="175">
        <f>IFERROR(__xludf.DUMMYFUNCTION("""COMPUTED_VALUE"""),0.0)</f>
        <v>0</v>
      </c>
      <c r="M160" s="182" t="str">
        <f>IFERROR(__xludf.DUMMYFUNCTION("""COMPUTED_VALUE"""),"")</f>
        <v/>
      </c>
      <c r="N160" s="35"/>
      <c r="O160" s="35"/>
      <c r="P160" s="176">
        <f>IFERROR(__xludf.DUMMYFUNCTION("""COMPUTED_VALUE"""),4987.550749999999)</f>
        <v>4987.55075</v>
      </c>
      <c r="Q160" s="177"/>
      <c r="R160" s="178">
        <f>IFERROR(__xludf.DUMMYFUNCTION("""COMPUTED_VALUE"""),0.0)</f>
        <v>0</v>
      </c>
      <c r="S160" s="176">
        <f>IFERROR(__xludf.DUMMYFUNCTION("""COMPUTED_VALUE"""),0.0)</f>
        <v>0</v>
      </c>
      <c r="T160" s="95">
        <f>IFERROR(__xludf.DUMMYFUNCTION("""COMPUTED_VALUE"""),3.0)</f>
        <v>3</v>
      </c>
      <c r="U160" s="95" t="str">
        <f>IFERROR(__xludf.DUMMYFUNCTION("""COMPUTED_VALUE"""),"")</f>
        <v/>
      </c>
      <c r="V160" s="185" t="str">
        <f>IFERROR(__xludf.DUMMYFUNCTION("""COMPUTED_VALUE"""),"")</f>
        <v/>
      </c>
      <c r="W160" s="55" t="str">
        <f>IFERROR(__xludf.DUMMYFUNCTION("""COMPUTED_VALUE"""),"")</f>
        <v/>
      </c>
      <c r="X160" s="183" t="str">
        <f>IFERROR(__xludf.DUMMYFUNCTION("""COMPUTED_VALUE"""),"")</f>
        <v/>
      </c>
      <c r="Y160" s="181" t="str">
        <f>IFERROR(__xludf.DUMMYFUNCTION("""COMPUTED_VALUE"""),"")</f>
        <v/>
      </c>
      <c r="Z160" s="186" t="str">
        <f>IFERROR(__xludf.DUMMYFUNCTION("""COMPUTED_VALUE"""),"")</f>
        <v/>
      </c>
    </row>
    <row r="161">
      <c r="A161" s="35" t="str">
        <f>IFERROR(__xludf.DUMMYFUNCTION("""COMPUTED_VALUE"""),"")</f>
        <v/>
      </c>
      <c r="B161" s="35" t="str">
        <f>IFERROR(__xludf.DUMMYFUNCTION("""COMPUTED_VALUE"""),"36460")</f>
        <v>36460</v>
      </c>
      <c r="C161" s="172">
        <f>IFERROR(__xludf.DUMMYFUNCTION("""COMPUTED_VALUE"""),4.4645000902E10)</f>
        <v>44645000902</v>
      </c>
      <c r="D161" s="180" t="str">
        <f>IFERROR(__xludf.DUMMYFUNCTION("""COMPUTED_VALUE"""),"F220325C00010000")</f>
        <v>F220325C00010000</v>
      </c>
      <c r="E161" s="173">
        <f>IFERROR(__xludf.DUMMYFUNCTION("""COMPUTED_VALUE"""),44645.0)</f>
        <v>44645</v>
      </c>
      <c r="F161" s="35" t="str">
        <f>IFERROR(__xludf.DUMMYFUNCTION("""COMPUTED_VALUE"""),"Option")</f>
        <v>Option</v>
      </c>
      <c r="G161" s="35" t="str">
        <f>IFERROR(__xludf.DUMMYFUNCTION("""COMPUTED_VALUE"""),"USD")</f>
        <v>USD</v>
      </c>
      <c r="H161" s="14">
        <f>IFERROR(__xludf.DUMMYFUNCTION("""COMPUTED_VALUE"""),-1.0)</f>
        <v>-1</v>
      </c>
      <c r="I161" s="174">
        <f>IFERROR(__xludf.DUMMYFUNCTION("""COMPUTED_VALUE"""),7.82975)</f>
        <v>7.82975</v>
      </c>
      <c r="J161" s="175">
        <f>IFERROR(__xludf.DUMMYFUNCTION("""COMPUTED_VALUE"""),6.37)</f>
        <v>6.37</v>
      </c>
      <c r="K161" s="35"/>
      <c r="L161" s="175">
        <f>IFERROR(__xludf.DUMMYFUNCTION("""COMPUTED_VALUE"""),0.0)</f>
        <v>0</v>
      </c>
      <c r="M161" s="3" t="str">
        <f>IFERROR(__xludf.DUMMYFUNCTION("""COMPUTED_VALUE"""),"")</f>
        <v/>
      </c>
      <c r="N161" s="35"/>
      <c r="O161" s="35"/>
      <c r="P161" s="176">
        <f>IFERROR(__xludf.DUMMYFUNCTION("""COMPUTED_VALUE"""),4987.550749999999)</f>
        <v>4987.55075</v>
      </c>
      <c r="Q161" s="177"/>
      <c r="R161" s="178">
        <f>IFERROR(__xludf.DUMMYFUNCTION("""COMPUTED_VALUE"""),0.0)</f>
        <v>0</v>
      </c>
      <c r="S161" s="151">
        <f>IFERROR(__xludf.DUMMYFUNCTION("""COMPUTED_VALUE"""),0.0)</f>
        <v>0</v>
      </c>
      <c r="T161" s="95">
        <f>IFERROR(__xludf.DUMMYFUNCTION("""COMPUTED_VALUE"""),3.0)</f>
        <v>3</v>
      </c>
      <c r="U161" s="95">
        <f>IFERROR(__xludf.DUMMYFUNCTION("""COMPUTED_VALUE"""),1.0)</f>
        <v>1</v>
      </c>
      <c r="V161" s="179">
        <f>IFERROR(__xludf.DUMMYFUNCTION("""COMPUTED_VALUE"""),4772.377574999999)</f>
        <v>4772.377575</v>
      </c>
      <c r="W161" s="171" t="str">
        <f>IFERROR(__xludf.DUMMYFUNCTION("""COMPUTED_VALUE"""),"")</f>
        <v/>
      </c>
      <c r="X161" s="14" t="str">
        <f>IFERROR(__xludf.DUMMYFUNCTION("""COMPUTED_VALUE"""),"")</f>
        <v/>
      </c>
      <c r="Y161" s="14" t="str">
        <f>IFERROR(__xludf.DUMMYFUNCTION("""COMPUTED_VALUE"""),"")</f>
        <v/>
      </c>
      <c r="Z161" s="11" t="str">
        <f>IFERROR(__xludf.DUMMYFUNCTION("""COMPUTED_VALUE"""),"")</f>
        <v/>
      </c>
    </row>
    <row r="162">
      <c r="A162" s="35" t="str">
        <f>IFERROR(__xludf.DUMMYFUNCTION("""COMPUTED_VALUE"""),"")</f>
        <v/>
      </c>
      <c r="B162" s="35" t="str">
        <f>IFERROR(__xludf.DUMMYFUNCTION("""COMPUTED_VALUE"""),"36460")</f>
        <v>36460</v>
      </c>
      <c r="C162" s="172">
        <f>IFERROR(__xludf.DUMMYFUNCTION("""COMPUTED_VALUE"""),4.465200107E10)</f>
        <v>44652001070</v>
      </c>
      <c r="D162" s="180" t="str">
        <f>IFERROR(__xludf.DUMMYFUNCTION("""COMPUTED_VALUE"""),"TSLA")</f>
        <v>TSLA</v>
      </c>
      <c r="E162" s="173">
        <f>IFERROR(__xludf.DUMMYFUNCTION("""COMPUTED_VALUE"""),44652.0)</f>
        <v>44652</v>
      </c>
      <c r="F162" s="35" t="str">
        <f>IFERROR(__xludf.DUMMYFUNCTION("""COMPUTED_VALUE"""),"Stock")</f>
        <v>Stock</v>
      </c>
      <c r="G162" s="35" t="str">
        <f>IFERROR(__xludf.DUMMYFUNCTION("""COMPUTED_VALUE"""),"USD")</f>
        <v>USD</v>
      </c>
      <c r="H162" s="181">
        <f>IFERROR(__xludf.DUMMYFUNCTION("""COMPUTED_VALUE"""),-20.0)</f>
        <v>-20</v>
      </c>
      <c r="I162" s="174">
        <f>IFERROR(__xludf.DUMMYFUNCTION("""COMPUTED_VALUE"""),7.833725)</f>
        <v>7.833725</v>
      </c>
      <c r="J162" s="175">
        <f>IFERROR(__xludf.DUMMYFUNCTION("""COMPUTED_VALUE"""),1084.59)</f>
        <v>1084.59</v>
      </c>
      <c r="K162" s="35"/>
      <c r="L162" s="175">
        <f>IFERROR(__xludf.DUMMYFUNCTION("""COMPUTED_VALUE"""),1022.37)</f>
        <v>1022.37</v>
      </c>
      <c r="M162" s="182" t="str">
        <f>IFERROR(__xludf.DUMMYFUNCTION("""COMPUTED_VALUE"""),"Equity Key Stats")</f>
        <v>Equity Key Stats</v>
      </c>
      <c r="N162" s="35"/>
      <c r="O162" s="35"/>
      <c r="P162" s="184">
        <f>IFERROR(__xludf.DUMMYFUNCTION("""COMPUTED_VALUE"""),169927.59595499997)</f>
        <v>169927.596</v>
      </c>
      <c r="Q162" s="177"/>
      <c r="R162" s="178">
        <f>IFERROR(__xludf.DUMMYFUNCTION("""COMPUTED_VALUE"""),1022.37)</f>
        <v>1022.37</v>
      </c>
      <c r="S162" s="176">
        <f>IFERROR(__xludf.DUMMYFUNCTION("""COMPUTED_VALUE"""),-160179.30856499998)</f>
        <v>-160179.3086</v>
      </c>
      <c r="T162" s="95">
        <f>IFERROR(__xludf.DUMMYFUNCTION("""COMPUTED_VALUE"""),3.0)</f>
        <v>3</v>
      </c>
      <c r="U162" s="95">
        <f>IFERROR(__xludf.DUMMYFUNCTION("""COMPUTED_VALUE"""),1.0)</f>
        <v>1</v>
      </c>
      <c r="V162" s="179">
        <f>IFERROR(__xludf.DUMMYFUNCTION("""COMPUTED_VALUE"""),87793.97994999998)</f>
        <v>87793.97995</v>
      </c>
      <c r="W162" s="171" t="str">
        <f>IFERROR(__xludf.DUMMYFUNCTION("""COMPUTED_VALUE"""),"")</f>
        <v/>
      </c>
      <c r="X162" s="14" t="str">
        <f>IFERROR(__xludf.DUMMYFUNCTION("""COMPUTED_VALUE"""),"")</f>
        <v/>
      </c>
      <c r="Y162" s="14" t="str">
        <f>IFERROR(__xludf.DUMMYFUNCTION("""COMPUTED_VALUE"""),"")</f>
        <v/>
      </c>
      <c r="Z162" s="11" t="str">
        <f>IFERROR(__xludf.DUMMYFUNCTION("""COMPUTED_VALUE"""),"")</f>
        <v/>
      </c>
    </row>
    <row r="163">
      <c r="A163" s="35" t="str">
        <f>IFERROR(__xludf.DUMMYFUNCTION("""COMPUTED_VALUE"""),"36460")</f>
        <v>36460</v>
      </c>
      <c r="B163" s="35" t="str">
        <f>IFERROR(__xludf.DUMMYFUNCTION("""COMPUTED_VALUE"""),"36460")</f>
        <v>36460</v>
      </c>
      <c r="C163" s="172">
        <f>IFERROR(__xludf.DUMMYFUNCTION("""COMPUTED_VALUE"""),4.4657001152E10)</f>
        <v>44657001152</v>
      </c>
      <c r="D163" s="192" t="str">
        <f>IFERROR(__xludf.DUMMYFUNCTION("""COMPUTED_VALUE"""),"XS1637274124")</f>
        <v>XS1637274124</v>
      </c>
      <c r="E163" s="173">
        <f>IFERROR(__xludf.DUMMYFUNCTION("""COMPUTED_VALUE"""),44657.0)</f>
        <v>44657</v>
      </c>
      <c r="F163" s="35" t="str">
        <f>IFERROR(__xludf.DUMMYFUNCTION("""COMPUTED_VALUE"""),"Bond")</f>
        <v>Bond</v>
      </c>
      <c r="G163" s="35" t="str">
        <f>IFERROR(__xludf.DUMMYFUNCTION("""COMPUTED_VALUE"""),"USD")</f>
        <v>USD</v>
      </c>
      <c r="H163" s="181">
        <f>IFERROR(__xludf.DUMMYFUNCTION("""COMPUTED_VALUE"""),5.0)</f>
        <v>5</v>
      </c>
      <c r="I163" s="174">
        <f>IFERROR(__xludf.DUMMYFUNCTION("""COMPUTED_VALUE"""),7.837775)</f>
        <v>7.837775</v>
      </c>
      <c r="J163" s="175">
        <f>IFERROR(__xludf.DUMMYFUNCTION("""COMPUTED_VALUE"""),39.525)</f>
        <v>39.525</v>
      </c>
      <c r="K163" s="35"/>
      <c r="L163" s="175">
        <f>IFERROR(__xludf.DUMMYFUNCTION("""COMPUTED_VALUE"""),39.913)</f>
        <v>39.913</v>
      </c>
      <c r="M163" s="182" t="str">
        <f>IFERROR(__xludf.DUMMYFUNCTION("""COMPUTED_VALUE"""),"Bond Fact Sheet")</f>
        <v>Bond Fact Sheet</v>
      </c>
      <c r="N163" s="35"/>
      <c r="O163" s="35"/>
      <c r="P163" s="184">
        <f>IFERROR(__xludf.DUMMYFUNCTION("""COMPUTED_VALUE"""),-1548.9402843749997)</f>
        <v>-1548.940284</v>
      </c>
      <c r="Q163" s="177"/>
      <c r="R163" s="178">
        <f>IFERROR(__xludf.DUMMYFUNCTION("""COMPUTED_VALUE"""),39.413)</f>
        <v>39.413</v>
      </c>
      <c r="S163" s="176">
        <f>IFERROR(__xludf.DUMMYFUNCTION("""COMPUTED_VALUE"""),1544.5511303749997)</f>
        <v>1544.55113</v>
      </c>
      <c r="T163" s="95">
        <f>IFERROR(__xludf.DUMMYFUNCTION("""COMPUTED_VALUE"""),1.0)</f>
        <v>1</v>
      </c>
      <c r="U163" s="95">
        <f>IFERROR(__xludf.DUMMYFUNCTION("""COMPUTED_VALUE"""),1.0)</f>
        <v>1</v>
      </c>
      <c r="V163" s="185">
        <f>IFERROR(__xludf.DUMMYFUNCTION("""COMPUTED_VALUE"""),-4.389153999999962)</f>
        <v>-4.389154</v>
      </c>
      <c r="W163" s="171">
        <f>IFERROR(__xludf.DUMMYFUNCTION("""COMPUTED_VALUE"""),575591.968371)</f>
        <v>575591.9684</v>
      </c>
      <c r="X163" s="14">
        <f>IFERROR(__xludf.DUMMYFUNCTION("""COMPUTED_VALUE"""),542424.2766162499)</f>
        <v>542424.2766</v>
      </c>
      <c r="Y163" s="14">
        <f>IFERROR(__xludf.DUMMYFUNCTION("""COMPUTED_VALUE"""),0.0)</f>
        <v>0</v>
      </c>
      <c r="Z163" s="11">
        <f>IFERROR(__xludf.DUMMYFUNCTION("""COMPUTED_VALUE"""),0.15118393674200004)</f>
        <v>0.1511839367</v>
      </c>
    </row>
    <row r="164">
      <c r="A164" s="35" t="str">
        <f>IFERROR(__xludf.DUMMYFUNCTION("""COMPUTED_VALUE"""),"36560")</f>
        <v>36560</v>
      </c>
      <c r="B164" s="35" t="str">
        <f>IFERROR(__xludf.DUMMYFUNCTION("""COMPUTED_VALUE"""),"36560")</f>
        <v>36560</v>
      </c>
      <c r="C164" s="172">
        <f>IFERROR(__xludf.DUMMYFUNCTION("""COMPUTED_VALUE"""),4.4597000096E10)</f>
        <v>44597000096</v>
      </c>
      <c r="D164" s="135" t="str">
        <f>IFERROR(__xludf.DUMMYFUNCTION("""COMPUTED_VALUE"""),"Cash")</f>
        <v>Cash</v>
      </c>
      <c r="E164" s="173">
        <f>IFERROR(__xludf.DUMMYFUNCTION("""COMPUTED_VALUE"""),44597.0)</f>
        <v>44597</v>
      </c>
      <c r="F164" s="35" t="str">
        <f>IFERROR(__xludf.DUMMYFUNCTION("""COMPUTED_VALUE"""),"Cash")</f>
        <v>Cash</v>
      </c>
      <c r="G164" s="35" t="str">
        <f>IFERROR(__xludf.DUMMYFUNCTION("""COMPUTED_VALUE"""),"HKD")</f>
        <v>HKD</v>
      </c>
      <c r="H164" s="181" t="str">
        <f>IFERROR(__xludf.DUMMYFUNCTION("""COMPUTED_VALUE"""),"")</f>
        <v/>
      </c>
      <c r="I164" s="174">
        <f>IFERROR(__xludf.DUMMYFUNCTION("""COMPUTED_VALUE"""),1.0)</f>
        <v>1</v>
      </c>
      <c r="J164" s="175">
        <f>IFERROR(__xludf.DUMMYFUNCTION("""COMPUTED_VALUE"""),1.0)</f>
        <v>1</v>
      </c>
      <c r="K164" s="35"/>
      <c r="L164" s="175">
        <f>IFERROR(__xludf.DUMMYFUNCTION("""COMPUTED_VALUE"""),1.0)</f>
        <v>1</v>
      </c>
      <c r="M164" s="182" t="str">
        <f>IFERROR(__xludf.DUMMYFUNCTION("""COMPUTED_VALUE"""),"")</f>
        <v/>
      </c>
      <c r="N164" s="35"/>
      <c r="O164" s="35"/>
      <c r="P164" s="184">
        <f>IFERROR(__xludf.DUMMYFUNCTION("""COMPUTED_VALUE"""),500000.0)</f>
        <v>500000</v>
      </c>
      <c r="Q164" s="177"/>
      <c r="R164" s="178">
        <f>IFERROR(__xludf.DUMMYFUNCTION("""COMPUTED_VALUE"""),1.0)</f>
        <v>1</v>
      </c>
      <c r="S164" s="176" t="str">
        <f>IFERROR(__xludf.DUMMYFUNCTION("""COMPUTED_VALUE"""),"")</f>
        <v/>
      </c>
      <c r="T164" s="95">
        <f>IFERROR(__xludf.DUMMYFUNCTION("""COMPUTED_VALUE"""),1.0)</f>
        <v>1</v>
      </c>
      <c r="U164" s="95">
        <f>IFERROR(__xludf.DUMMYFUNCTION("""COMPUTED_VALUE"""),1.0)</f>
        <v>1</v>
      </c>
      <c r="V164" s="185">
        <f>IFERROR(__xludf.DUMMYFUNCTION("""COMPUTED_VALUE"""),500000.0)</f>
        <v>500000</v>
      </c>
      <c r="W164" s="171">
        <f>IFERROR(__xludf.DUMMYFUNCTION("""COMPUTED_VALUE"""),500000.0)</f>
        <v>500000</v>
      </c>
      <c r="X164" s="14">
        <f>IFERROR(__xludf.DUMMYFUNCTION("""COMPUTED_VALUE"""),500000.0)</f>
        <v>500000</v>
      </c>
      <c r="Y164" s="14">
        <f>IFERROR(__xludf.DUMMYFUNCTION("""COMPUTED_VALUE"""),0.0)</f>
        <v>0</v>
      </c>
      <c r="Z164" s="11">
        <f>IFERROR(__xludf.DUMMYFUNCTION("""COMPUTED_VALUE"""),0.0)</f>
        <v>0</v>
      </c>
    </row>
    <row r="165">
      <c r="A165" s="35" t="str">
        <f>IFERROR(__xludf.DUMMYFUNCTION("""COMPUTED_VALUE"""),"")</f>
        <v/>
      </c>
      <c r="B165" s="35" t="str">
        <f>IFERROR(__xludf.DUMMYFUNCTION("""COMPUTED_VALUE"""),"36903")</f>
        <v>36903</v>
      </c>
      <c r="C165" s="172">
        <f>IFERROR(__xludf.DUMMYFUNCTION("""COMPUTED_VALUE"""),4.4597000027E10)</f>
        <v>44597000027</v>
      </c>
      <c r="D165" s="135" t="str">
        <f>IFERROR(__xludf.DUMMYFUNCTION("""COMPUTED_VALUE"""),"Cash")</f>
        <v>Cash</v>
      </c>
      <c r="E165" s="173">
        <f>IFERROR(__xludf.DUMMYFUNCTION("""COMPUTED_VALUE"""),44597.0)</f>
        <v>44597</v>
      </c>
      <c r="F165" s="35" t="str">
        <f>IFERROR(__xludf.DUMMYFUNCTION("""COMPUTED_VALUE"""),"Cash")</f>
        <v>Cash</v>
      </c>
      <c r="G165" s="35" t="str">
        <f>IFERROR(__xludf.DUMMYFUNCTION("""COMPUTED_VALUE"""),"HKD")</f>
        <v>HKD</v>
      </c>
      <c r="H165" s="181" t="str">
        <f>IFERROR(__xludf.DUMMYFUNCTION("""COMPUTED_VALUE"""),"")</f>
        <v/>
      </c>
      <c r="I165" s="174">
        <f>IFERROR(__xludf.DUMMYFUNCTION("""COMPUTED_VALUE"""),1.0)</f>
        <v>1</v>
      </c>
      <c r="J165" s="175">
        <f>IFERROR(__xludf.DUMMYFUNCTION("""COMPUTED_VALUE"""),1.0)</f>
        <v>1</v>
      </c>
      <c r="K165" s="35"/>
      <c r="L165" s="175">
        <f>IFERROR(__xludf.DUMMYFUNCTION("""COMPUTED_VALUE"""),1.0)</f>
        <v>1</v>
      </c>
      <c r="M165" s="182" t="str">
        <f>IFERROR(__xludf.DUMMYFUNCTION("""COMPUTED_VALUE"""),"")</f>
        <v/>
      </c>
      <c r="N165" s="35"/>
      <c r="O165" s="35"/>
      <c r="P165" s="184">
        <f>IFERROR(__xludf.DUMMYFUNCTION("""COMPUTED_VALUE"""),500000.0)</f>
        <v>500000</v>
      </c>
      <c r="Q165" s="177"/>
      <c r="R165" s="178">
        <f>IFERROR(__xludf.DUMMYFUNCTION("""COMPUTED_VALUE"""),1.0)</f>
        <v>1</v>
      </c>
      <c r="S165" s="176" t="str">
        <f>IFERROR(__xludf.DUMMYFUNCTION("""COMPUTED_VALUE"""),"")</f>
        <v/>
      </c>
      <c r="T165" s="95">
        <f>IFERROR(__xludf.DUMMYFUNCTION("""COMPUTED_VALUE"""),1.0)</f>
        <v>1</v>
      </c>
      <c r="U165" s="95">
        <f>IFERROR(__xludf.DUMMYFUNCTION("""COMPUTED_VALUE"""),1.0)</f>
        <v>1</v>
      </c>
      <c r="V165" s="185">
        <f>IFERROR(__xludf.DUMMYFUNCTION("""COMPUTED_VALUE"""),500000.0)</f>
        <v>500000</v>
      </c>
      <c r="W165" s="171" t="str">
        <f>IFERROR(__xludf.DUMMYFUNCTION("""COMPUTED_VALUE"""),"")</f>
        <v/>
      </c>
      <c r="X165" s="14" t="str">
        <f>IFERROR(__xludf.DUMMYFUNCTION("""COMPUTED_VALUE"""),"")</f>
        <v/>
      </c>
      <c r="Y165" s="14" t="str">
        <f>IFERROR(__xludf.DUMMYFUNCTION("""COMPUTED_VALUE"""),"")</f>
        <v/>
      </c>
      <c r="Z165" s="11" t="str">
        <f>IFERROR(__xludf.DUMMYFUNCTION("""COMPUTED_VALUE"""),"")</f>
        <v/>
      </c>
    </row>
    <row r="166">
      <c r="A166" s="35" t="str">
        <f>IFERROR(__xludf.DUMMYFUNCTION("""COMPUTED_VALUE"""),"")</f>
        <v/>
      </c>
      <c r="B166" s="35" t="str">
        <f>IFERROR(__xludf.DUMMYFUNCTION("""COMPUTED_VALUE"""),"36903")</f>
        <v>36903</v>
      </c>
      <c r="C166" s="172">
        <f>IFERROR(__xludf.DUMMYFUNCTION("""COMPUTED_VALUE"""),4.4599000128E10)</f>
        <v>44599000128</v>
      </c>
      <c r="D166" s="180" t="str">
        <f>IFERROR(__xludf.DUMMYFUNCTION("""COMPUTED_VALUE"""),"FB")</f>
        <v>FB</v>
      </c>
      <c r="E166" s="173">
        <f>IFERROR(__xludf.DUMMYFUNCTION("""COMPUTED_VALUE"""),44599.0)</f>
        <v>44599</v>
      </c>
      <c r="F166" s="35" t="str">
        <f>IFERROR(__xludf.DUMMYFUNCTION("""COMPUTED_VALUE"""),"Stock")</f>
        <v>Stock</v>
      </c>
      <c r="G166" s="35" t="str">
        <f>IFERROR(__xludf.DUMMYFUNCTION("""COMPUTED_VALUE"""),"USD")</f>
        <v>USD</v>
      </c>
      <c r="H166" s="181">
        <f>IFERROR(__xludf.DUMMYFUNCTION("""COMPUTED_VALUE"""),50.0)</f>
        <v>50</v>
      </c>
      <c r="I166" s="174">
        <f>IFERROR(__xludf.DUMMYFUNCTION("""COMPUTED_VALUE"""),7.79205)</f>
        <v>7.79205</v>
      </c>
      <c r="J166" s="175">
        <f>IFERROR(__xludf.DUMMYFUNCTION("""COMPUTED_VALUE"""),224.91)</f>
        <v>224.91</v>
      </c>
      <c r="K166" s="35"/>
      <c r="L166" s="175">
        <f>IFERROR(__xludf.DUMMYFUNCTION("""COMPUTED_VALUE"""),214.99)</f>
        <v>214.99</v>
      </c>
      <c r="M166" s="182" t="str">
        <f>IFERROR(__xludf.DUMMYFUNCTION("""COMPUTED_VALUE"""),"Equity Key Stats")</f>
        <v>Equity Key Stats</v>
      </c>
      <c r="N166" s="35"/>
      <c r="O166" s="35"/>
      <c r="P166" s="184">
        <f>IFERROR(__xludf.DUMMYFUNCTION("""COMPUTED_VALUE"""),-87625.49827499999)</f>
        <v>-87625.49828</v>
      </c>
      <c r="Q166" s="177"/>
      <c r="R166" s="178">
        <f>IFERROR(__xludf.DUMMYFUNCTION("""COMPUTED_VALUE"""),214.99)</f>
        <v>214.99</v>
      </c>
      <c r="S166" s="176">
        <f>IFERROR(__xludf.DUMMYFUNCTION("""COMPUTED_VALUE"""),83760.641475)</f>
        <v>83760.64148</v>
      </c>
      <c r="T166" s="95">
        <f>IFERROR(__xludf.DUMMYFUNCTION("""COMPUTED_VALUE"""),2.0)</f>
        <v>2</v>
      </c>
      <c r="U166" s="95" t="str">
        <f>IFERROR(__xludf.DUMMYFUNCTION("""COMPUTED_VALUE"""),"")</f>
        <v/>
      </c>
      <c r="V166" s="179" t="str">
        <f>IFERROR(__xludf.DUMMYFUNCTION("""COMPUTED_VALUE"""),"")</f>
        <v/>
      </c>
      <c r="W166" s="55" t="str">
        <f>IFERROR(__xludf.DUMMYFUNCTION("""COMPUTED_VALUE"""),"")</f>
        <v/>
      </c>
      <c r="X166" s="181" t="str">
        <f>IFERROR(__xludf.DUMMYFUNCTION("""COMPUTED_VALUE"""),"")</f>
        <v/>
      </c>
      <c r="Y166" s="181" t="str">
        <f>IFERROR(__xludf.DUMMYFUNCTION("""COMPUTED_VALUE"""),"")</f>
        <v/>
      </c>
      <c r="Z166" s="189" t="str">
        <f>IFERROR(__xludf.DUMMYFUNCTION("""COMPUTED_VALUE"""),"")</f>
        <v/>
      </c>
    </row>
    <row r="167">
      <c r="A167" s="35" t="str">
        <f>IFERROR(__xludf.DUMMYFUNCTION("""COMPUTED_VALUE"""),"")</f>
        <v/>
      </c>
      <c r="B167" s="35" t="str">
        <f>IFERROR(__xludf.DUMMYFUNCTION("""COMPUTED_VALUE"""),"36903")</f>
        <v>36903</v>
      </c>
      <c r="C167" s="172">
        <f>IFERROR(__xludf.DUMMYFUNCTION("""COMPUTED_VALUE"""),4.4601000145E10)</f>
        <v>44601000145</v>
      </c>
      <c r="D167" s="180" t="str">
        <f>IFERROR(__xludf.DUMMYFUNCTION("""COMPUTED_VALUE"""),"FB")</f>
        <v>FB</v>
      </c>
      <c r="E167" s="173">
        <f>IFERROR(__xludf.DUMMYFUNCTION("""COMPUTED_VALUE"""),44601.0)</f>
        <v>44601</v>
      </c>
      <c r="F167" s="35" t="str">
        <f>IFERROR(__xludf.DUMMYFUNCTION("""COMPUTED_VALUE"""),"Stock")</f>
        <v>Stock</v>
      </c>
      <c r="G167" s="35" t="str">
        <f>IFERROR(__xludf.DUMMYFUNCTION("""COMPUTED_VALUE"""),"USD")</f>
        <v>USD</v>
      </c>
      <c r="H167" s="14">
        <f>IFERROR(__xludf.DUMMYFUNCTION("""COMPUTED_VALUE"""),80.0)</f>
        <v>80</v>
      </c>
      <c r="I167" s="174">
        <f>IFERROR(__xludf.DUMMYFUNCTION("""COMPUTED_VALUE"""),7.79135)</f>
        <v>7.79135</v>
      </c>
      <c r="J167" s="175">
        <f>IFERROR(__xludf.DUMMYFUNCTION("""COMPUTED_VALUE"""),232.0)</f>
        <v>232</v>
      </c>
      <c r="K167" s="35"/>
      <c r="L167" s="175">
        <f>IFERROR(__xludf.DUMMYFUNCTION("""COMPUTED_VALUE"""),214.99)</f>
        <v>214.99</v>
      </c>
      <c r="M167" s="187" t="str">
        <f>IFERROR(__xludf.DUMMYFUNCTION("""COMPUTED_VALUE"""),"Equity Key Stats")</f>
        <v>Equity Key Stats</v>
      </c>
      <c r="N167" s="35"/>
      <c r="O167" s="35"/>
      <c r="P167" s="176">
        <f>IFERROR(__xludf.DUMMYFUNCTION("""COMPUTED_VALUE"""),-144607.456)</f>
        <v>-144607.456</v>
      </c>
      <c r="Q167" s="177"/>
      <c r="R167" s="178">
        <f>IFERROR(__xludf.DUMMYFUNCTION("""COMPUTED_VALUE"""),214.99)</f>
        <v>214.99</v>
      </c>
      <c r="S167" s="151">
        <f>IFERROR(__xludf.DUMMYFUNCTION("""COMPUTED_VALUE"""),134004.98692)</f>
        <v>134004.9869</v>
      </c>
      <c r="T167" s="95">
        <f>IFERROR(__xludf.DUMMYFUNCTION("""COMPUTED_VALUE"""),2.0)</f>
        <v>2</v>
      </c>
      <c r="U167" s="95">
        <f>IFERROR(__xludf.DUMMYFUNCTION("""COMPUTED_VALUE"""),1.0)</f>
        <v>1</v>
      </c>
      <c r="V167" s="179">
        <f>IFERROR(__xludf.DUMMYFUNCTION("""COMPUTED_VALUE"""),-14467.32587999999)</f>
        <v>-14467.32588</v>
      </c>
      <c r="W167" s="55" t="str">
        <f>IFERROR(__xludf.DUMMYFUNCTION("""COMPUTED_VALUE"""),"")</f>
        <v/>
      </c>
      <c r="X167" s="181" t="str">
        <f>IFERROR(__xludf.DUMMYFUNCTION("""COMPUTED_VALUE"""),"")</f>
        <v/>
      </c>
      <c r="Y167" s="181" t="str">
        <f>IFERROR(__xludf.DUMMYFUNCTION("""COMPUTED_VALUE"""),"")</f>
        <v/>
      </c>
      <c r="Z167" s="186" t="str">
        <f>IFERROR(__xludf.DUMMYFUNCTION("""COMPUTED_VALUE"""),"")</f>
        <v/>
      </c>
    </row>
    <row r="168">
      <c r="A168" s="35" t="str">
        <f>IFERROR(__xludf.DUMMYFUNCTION("""COMPUTED_VALUE"""),"")</f>
        <v/>
      </c>
      <c r="B168" s="35" t="str">
        <f>IFERROR(__xludf.DUMMYFUNCTION("""COMPUTED_VALUE"""),"36903")</f>
        <v>36903</v>
      </c>
      <c r="C168" s="172">
        <f>IFERROR(__xludf.DUMMYFUNCTION("""COMPUTED_VALUE"""),4.4601000146E10)</f>
        <v>44601000146</v>
      </c>
      <c r="D168" s="180" t="str">
        <f>IFERROR(__xludf.DUMMYFUNCTION("""COMPUTED_VALUE"""),"BMBL")</f>
        <v>BMBL</v>
      </c>
      <c r="E168" s="173">
        <f>IFERROR(__xludf.DUMMYFUNCTION("""COMPUTED_VALUE"""),44601.0)</f>
        <v>44601</v>
      </c>
      <c r="F168" s="35" t="str">
        <f>IFERROR(__xludf.DUMMYFUNCTION("""COMPUTED_VALUE"""),"Stock")</f>
        <v>Stock</v>
      </c>
      <c r="G168" s="35" t="str">
        <f>IFERROR(__xludf.DUMMYFUNCTION("""COMPUTED_VALUE"""),"USD")</f>
        <v>USD</v>
      </c>
      <c r="H168" s="14">
        <f>IFERROR(__xludf.DUMMYFUNCTION("""COMPUTED_VALUE"""),500.0)</f>
        <v>500</v>
      </c>
      <c r="I168" s="174">
        <f>IFERROR(__xludf.DUMMYFUNCTION("""COMPUTED_VALUE"""),7.79135)</f>
        <v>7.79135</v>
      </c>
      <c r="J168" s="175">
        <f>IFERROR(__xludf.DUMMYFUNCTION("""COMPUTED_VALUE"""),29.59)</f>
        <v>29.59</v>
      </c>
      <c r="K168" s="35"/>
      <c r="L168" s="175">
        <f>IFERROR(__xludf.DUMMYFUNCTION("""COMPUTED_VALUE"""),26.66)</f>
        <v>26.66</v>
      </c>
      <c r="M168" s="187" t="str">
        <f>IFERROR(__xludf.DUMMYFUNCTION("""COMPUTED_VALUE"""),"Equity Key Stats")</f>
        <v>Equity Key Stats</v>
      </c>
      <c r="N168" s="35"/>
      <c r="O168" s="35"/>
      <c r="P168" s="176">
        <f>IFERROR(__xludf.DUMMYFUNCTION("""COMPUTED_VALUE"""),-115273.02325)</f>
        <v>-115273.0233</v>
      </c>
      <c r="Q168" s="177"/>
      <c r="R168" s="178">
        <f>IFERROR(__xludf.DUMMYFUNCTION("""COMPUTED_VALUE"""),26.66)</f>
        <v>26.66</v>
      </c>
      <c r="S168" s="151">
        <f>IFERROR(__xludf.DUMMYFUNCTION("""COMPUTED_VALUE"""),103858.6955)</f>
        <v>103858.6955</v>
      </c>
      <c r="T168" s="95">
        <f>IFERROR(__xludf.DUMMYFUNCTION("""COMPUTED_VALUE"""),1.0)</f>
        <v>1</v>
      </c>
      <c r="U168" s="95">
        <f>IFERROR(__xludf.DUMMYFUNCTION("""COMPUTED_VALUE"""),1.0)</f>
        <v>1</v>
      </c>
      <c r="V168" s="179">
        <f>IFERROR(__xludf.DUMMYFUNCTION("""COMPUTED_VALUE"""),-11414.327749999997)</f>
        <v>-11414.32775</v>
      </c>
      <c r="W168" s="171" t="str">
        <f>IFERROR(__xludf.DUMMYFUNCTION("""COMPUTED_VALUE"""),"")</f>
        <v/>
      </c>
      <c r="X168" s="14" t="str">
        <f>IFERROR(__xludf.DUMMYFUNCTION("""COMPUTED_VALUE"""),"")</f>
        <v/>
      </c>
      <c r="Y168" s="14" t="str">
        <f>IFERROR(__xludf.DUMMYFUNCTION("""COMPUTED_VALUE"""),"")</f>
        <v/>
      </c>
      <c r="Z168" s="11" t="str">
        <f>IFERROR(__xludf.DUMMYFUNCTION("""COMPUTED_VALUE"""),"")</f>
        <v/>
      </c>
    </row>
    <row r="169">
      <c r="A169" s="35" t="str">
        <f>IFERROR(__xludf.DUMMYFUNCTION("""COMPUTED_VALUE"""),"")</f>
        <v/>
      </c>
      <c r="B169" s="35" t="str">
        <f>IFERROR(__xludf.DUMMYFUNCTION("""COMPUTED_VALUE"""),"36903")</f>
        <v>36903</v>
      </c>
      <c r="C169" s="172">
        <f>IFERROR(__xludf.DUMMYFUNCTION("""COMPUTED_VALUE"""),4.4601000147E10)</f>
        <v>44601000147</v>
      </c>
      <c r="D169" s="180" t="str">
        <f>IFERROR(__xludf.DUMMYFUNCTION("""COMPUTED_VALUE"""),"NUSI")</f>
        <v>NUSI</v>
      </c>
      <c r="E169" s="173">
        <f>IFERROR(__xludf.DUMMYFUNCTION("""COMPUTED_VALUE"""),44601.0)</f>
        <v>44601</v>
      </c>
      <c r="F169" s="35" t="str">
        <f>IFERROR(__xludf.DUMMYFUNCTION("""COMPUTED_VALUE"""),"Stock")</f>
        <v>Stock</v>
      </c>
      <c r="G169" s="35" t="str">
        <f>IFERROR(__xludf.DUMMYFUNCTION("""COMPUTED_VALUE"""),"USD")</f>
        <v>USD</v>
      </c>
      <c r="H169" s="181">
        <f>IFERROR(__xludf.DUMMYFUNCTION("""COMPUTED_VALUE"""),400.0)</f>
        <v>400</v>
      </c>
      <c r="I169" s="174">
        <f>IFERROR(__xludf.DUMMYFUNCTION("""COMPUTED_VALUE"""),7.79135)</f>
        <v>7.79135</v>
      </c>
      <c r="J169" s="175">
        <f>IFERROR(__xludf.DUMMYFUNCTION("""COMPUTED_VALUE"""),25.76)</f>
        <v>25.76</v>
      </c>
      <c r="K169" s="35"/>
      <c r="L169" s="175">
        <f>IFERROR(__xludf.DUMMYFUNCTION("""COMPUTED_VALUE"""),23.43)</f>
        <v>23.43</v>
      </c>
      <c r="M169" s="182" t="str">
        <f>IFERROR(__xludf.DUMMYFUNCTION("""COMPUTED_VALUE"""),"Equity Key Stats")</f>
        <v>Equity Key Stats</v>
      </c>
      <c r="N169" s="35"/>
      <c r="O169" s="35"/>
      <c r="P169" s="176">
        <f>IFERROR(__xludf.DUMMYFUNCTION("""COMPUTED_VALUE"""),-80282.0704)</f>
        <v>-80282.0704</v>
      </c>
      <c r="Q169" s="177"/>
      <c r="R169" s="178">
        <f>IFERROR(__xludf.DUMMYFUNCTION("""COMPUTED_VALUE"""),23.43)</f>
        <v>23.43</v>
      </c>
      <c r="S169" s="176">
        <f>IFERROR(__xludf.DUMMYFUNCTION("""COMPUTED_VALUE"""),73020.5322)</f>
        <v>73020.5322</v>
      </c>
      <c r="T169" s="95">
        <f>IFERROR(__xludf.DUMMYFUNCTION("""COMPUTED_VALUE"""),1.0)</f>
        <v>1</v>
      </c>
      <c r="U169" s="35">
        <f>IFERROR(__xludf.DUMMYFUNCTION("""COMPUTED_VALUE"""),1.0)</f>
        <v>1</v>
      </c>
      <c r="V169" s="170">
        <f>IFERROR(__xludf.DUMMYFUNCTION("""COMPUTED_VALUE"""),-7261.538199999995)</f>
        <v>-7261.5382</v>
      </c>
      <c r="W169" s="171" t="str">
        <f>IFERROR(__xludf.DUMMYFUNCTION("""COMPUTED_VALUE"""),"")</f>
        <v/>
      </c>
      <c r="X169" s="14" t="str">
        <f>IFERROR(__xludf.DUMMYFUNCTION("""COMPUTED_VALUE"""),"")</f>
        <v/>
      </c>
      <c r="Y169" s="14" t="str">
        <f>IFERROR(__xludf.DUMMYFUNCTION("""COMPUTED_VALUE"""),"")</f>
        <v/>
      </c>
      <c r="Z169" s="11" t="str">
        <f>IFERROR(__xludf.DUMMYFUNCTION("""COMPUTED_VALUE"""),"")</f>
        <v/>
      </c>
    </row>
    <row r="170">
      <c r="A170" s="35" t="str">
        <f>IFERROR(__xludf.DUMMYFUNCTION("""COMPUTED_VALUE"""),"36903")</f>
        <v>36903</v>
      </c>
      <c r="B170" s="35" t="str">
        <f>IFERROR(__xludf.DUMMYFUNCTION("""COMPUTED_VALUE"""),"36903")</f>
        <v>36903</v>
      </c>
      <c r="C170" s="172">
        <f>IFERROR(__xludf.DUMMYFUNCTION("""COMPUTED_VALUE"""),4.4634000552E10)</f>
        <v>44634000552</v>
      </c>
      <c r="D170" s="188" t="str">
        <f>IFERROR(__xludf.DUMMYFUNCTION("""COMPUTED_VALUE"""),"0388.HK")</f>
        <v>0388.HK</v>
      </c>
      <c r="E170" s="173">
        <f>IFERROR(__xludf.DUMMYFUNCTION("""COMPUTED_VALUE"""),44634.0)</f>
        <v>44634</v>
      </c>
      <c r="F170" s="35" t="str">
        <f>IFERROR(__xludf.DUMMYFUNCTION("""COMPUTED_VALUE"""),"Stock")</f>
        <v>Stock</v>
      </c>
      <c r="G170" s="35" t="str">
        <f>IFERROR(__xludf.DUMMYFUNCTION("""COMPUTED_VALUE"""),"HKD")</f>
        <v>HKD</v>
      </c>
      <c r="H170" s="181">
        <f>IFERROR(__xludf.DUMMYFUNCTION("""COMPUTED_VALUE"""),100.0)</f>
        <v>100</v>
      </c>
      <c r="I170" s="174">
        <f>IFERROR(__xludf.DUMMYFUNCTION("""COMPUTED_VALUE"""),1.0)</f>
        <v>1</v>
      </c>
      <c r="J170" s="175">
        <f>IFERROR(__xludf.DUMMYFUNCTION("""COMPUTED_VALUE"""),333.4)</f>
        <v>333.4</v>
      </c>
      <c r="K170" s="35"/>
      <c r="L170" s="175">
        <f>IFERROR(__xludf.DUMMYFUNCTION("""COMPUTED_VALUE"""),340.8)</f>
        <v>340.8</v>
      </c>
      <c r="M170" s="182" t="str">
        <f>IFERROR(__xludf.DUMMYFUNCTION("""COMPUTED_VALUE"""),"Equity Key Stats")</f>
        <v>Equity Key Stats</v>
      </c>
      <c r="N170" s="35"/>
      <c r="O170" s="35"/>
      <c r="P170" s="184">
        <f>IFERROR(__xludf.DUMMYFUNCTION("""COMPUTED_VALUE"""),-33340.0)</f>
        <v>-33340</v>
      </c>
      <c r="Q170" s="177"/>
      <c r="R170" s="178">
        <f>IFERROR(__xludf.DUMMYFUNCTION("""COMPUTED_VALUE"""),340.8)</f>
        <v>340.8</v>
      </c>
      <c r="S170" s="176">
        <f>IFERROR(__xludf.DUMMYFUNCTION("""COMPUTED_VALUE"""),34080.0)</f>
        <v>34080</v>
      </c>
      <c r="T170" s="95">
        <f>IFERROR(__xludf.DUMMYFUNCTION("""COMPUTED_VALUE"""),1.0)</f>
        <v>1</v>
      </c>
      <c r="U170" s="35">
        <f>IFERROR(__xludf.DUMMYFUNCTION("""COMPUTED_VALUE"""),1.0)</f>
        <v>1</v>
      </c>
      <c r="V170" s="170">
        <f>IFERROR(__xludf.DUMMYFUNCTION("""COMPUTED_VALUE"""),740.0)</f>
        <v>740</v>
      </c>
      <c r="W170" s="171">
        <f>IFERROR(__xludf.DUMMYFUNCTION("""COMPUTED_VALUE"""),467596.80817)</f>
        <v>467596.8082</v>
      </c>
      <c r="X170" s="14">
        <f>IFERROR(__xludf.DUMMYFUNCTION("""COMPUTED_VALUE"""),38871.952074999936)</f>
        <v>38871.95207</v>
      </c>
      <c r="Y170" s="14">
        <f>IFERROR(__xludf.DUMMYFUNCTION("""COMPUTED_VALUE"""),0.0)</f>
        <v>0</v>
      </c>
      <c r="Z170" s="11">
        <f>IFERROR(__xludf.DUMMYFUNCTION("""COMPUTED_VALUE"""),-0.06480638366000002)</f>
        <v>-0.06480638366</v>
      </c>
    </row>
    <row r="171">
      <c r="A171" s="35" t="str">
        <f>IFERROR(__xludf.DUMMYFUNCTION("""COMPUTED_VALUE"""),"")</f>
        <v/>
      </c>
      <c r="B171" s="35" t="str">
        <f>IFERROR(__xludf.DUMMYFUNCTION("""COMPUTED_VALUE"""),"37198")</f>
        <v>37198</v>
      </c>
      <c r="C171" s="172">
        <f>IFERROR(__xludf.DUMMYFUNCTION("""COMPUTED_VALUE"""),4.4597000073E10)</f>
        <v>44597000073</v>
      </c>
      <c r="D171" s="135" t="str">
        <f>IFERROR(__xludf.DUMMYFUNCTION("""COMPUTED_VALUE"""),"Cash")</f>
        <v>Cash</v>
      </c>
      <c r="E171" s="173">
        <f>IFERROR(__xludf.DUMMYFUNCTION("""COMPUTED_VALUE"""),44597.0)</f>
        <v>44597</v>
      </c>
      <c r="F171" s="35" t="str">
        <f>IFERROR(__xludf.DUMMYFUNCTION("""COMPUTED_VALUE"""),"Cash")</f>
        <v>Cash</v>
      </c>
      <c r="G171" s="35" t="str">
        <f>IFERROR(__xludf.DUMMYFUNCTION("""COMPUTED_VALUE"""),"HKD")</f>
        <v>HKD</v>
      </c>
      <c r="H171" s="181" t="str">
        <f>IFERROR(__xludf.DUMMYFUNCTION("""COMPUTED_VALUE"""),"")</f>
        <v/>
      </c>
      <c r="I171" s="174">
        <f>IFERROR(__xludf.DUMMYFUNCTION("""COMPUTED_VALUE"""),1.0)</f>
        <v>1</v>
      </c>
      <c r="J171" s="175">
        <f>IFERROR(__xludf.DUMMYFUNCTION("""COMPUTED_VALUE"""),1.0)</f>
        <v>1</v>
      </c>
      <c r="K171" s="35"/>
      <c r="L171" s="175">
        <f>IFERROR(__xludf.DUMMYFUNCTION("""COMPUTED_VALUE"""),1.0)</f>
        <v>1</v>
      </c>
      <c r="M171" s="182" t="str">
        <f>IFERROR(__xludf.DUMMYFUNCTION("""COMPUTED_VALUE"""),"")</f>
        <v/>
      </c>
      <c r="N171" s="35"/>
      <c r="O171" s="35"/>
      <c r="P171" s="184">
        <f>IFERROR(__xludf.DUMMYFUNCTION("""COMPUTED_VALUE"""),500000.0)</f>
        <v>500000</v>
      </c>
      <c r="Q171" s="177"/>
      <c r="R171" s="178">
        <f>IFERROR(__xludf.DUMMYFUNCTION("""COMPUTED_VALUE"""),1.0)</f>
        <v>1</v>
      </c>
      <c r="S171" s="176" t="str">
        <f>IFERROR(__xludf.DUMMYFUNCTION("""COMPUTED_VALUE"""),"")</f>
        <v/>
      </c>
      <c r="T171" s="95">
        <f>IFERROR(__xludf.DUMMYFUNCTION("""COMPUTED_VALUE"""),1.0)</f>
        <v>1</v>
      </c>
      <c r="U171" s="35">
        <f>IFERROR(__xludf.DUMMYFUNCTION("""COMPUTED_VALUE"""),1.0)</f>
        <v>1</v>
      </c>
      <c r="V171" s="170">
        <f>IFERROR(__xludf.DUMMYFUNCTION("""COMPUTED_VALUE"""),500000.0)</f>
        <v>500000</v>
      </c>
      <c r="W171" s="171" t="str">
        <f>IFERROR(__xludf.DUMMYFUNCTION("""COMPUTED_VALUE"""),"")</f>
        <v/>
      </c>
      <c r="X171" s="14" t="str">
        <f>IFERROR(__xludf.DUMMYFUNCTION("""COMPUTED_VALUE"""),"")</f>
        <v/>
      </c>
      <c r="Y171" s="14" t="str">
        <f>IFERROR(__xludf.DUMMYFUNCTION("""COMPUTED_VALUE"""),"")</f>
        <v/>
      </c>
      <c r="Z171" s="11" t="str">
        <f>IFERROR(__xludf.DUMMYFUNCTION("""COMPUTED_VALUE"""),"")</f>
        <v/>
      </c>
    </row>
    <row r="172">
      <c r="A172" s="35" t="str">
        <f>IFERROR(__xludf.DUMMYFUNCTION("""COMPUTED_VALUE"""),"")</f>
        <v/>
      </c>
      <c r="B172" s="35" t="str">
        <f>IFERROR(__xludf.DUMMYFUNCTION("""COMPUTED_VALUE"""),"37198")</f>
        <v>37198</v>
      </c>
      <c r="C172" s="172">
        <f>IFERROR(__xludf.DUMMYFUNCTION("""COMPUTED_VALUE"""),4.4637000662E10)</f>
        <v>44637000662</v>
      </c>
      <c r="D172" s="180" t="str">
        <f>IFERROR(__xludf.DUMMYFUNCTION("""COMPUTED_VALUE"""),"TME")</f>
        <v>TME</v>
      </c>
      <c r="E172" s="173">
        <f>IFERROR(__xludf.DUMMYFUNCTION("""COMPUTED_VALUE"""),44637.0)</f>
        <v>44637</v>
      </c>
      <c r="F172" s="35" t="str">
        <f>IFERROR(__xludf.DUMMYFUNCTION("""COMPUTED_VALUE"""),"Stock")</f>
        <v>Stock</v>
      </c>
      <c r="G172" s="35" t="str">
        <f>IFERROR(__xludf.DUMMYFUNCTION("""COMPUTED_VALUE"""),"USD")</f>
        <v>USD</v>
      </c>
      <c r="H172" s="181">
        <f>IFERROR(__xludf.DUMMYFUNCTION("""COMPUTED_VALUE"""),200.0)</f>
        <v>200</v>
      </c>
      <c r="I172" s="174">
        <f>IFERROR(__xludf.DUMMYFUNCTION("""COMPUTED_VALUE"""),7.81854)</f>
        <v>7.81854</v>
      </c>
      <c r="J172" s="175">
        <f>IFERROR(__xludf.DUMMYFUNCTION("""COMPUTED_VALUE"""),4.19)</f>
        <v>4.19</v>
      </c>
      <c r="K172" s="35"/>
      <c r="L172" s="175">
        <f>IFERROR(__xludf.DUMMYFUNCTION("""COMPUTED_VALUE"""),5.0)</f>
        <v>5</v>
      </c>
      <c r="M172" s="182" t="str">
        <f>IFERROR(__xludf.DUMMYFUNCTION("""COMPUTED_VALUE"""),"Equity Key Stats")</f>
        <v>Equity Key Stats</v>
      </c>
      <c r="N172" s="35"/>
      <c r="O172" s="35"/>
      <c r="P172" s="184">
        <f>IFERROR(__xludf.DUMMYFUNCTION("""COMPUTED_VALUE"""),-6551.93652)</f>
        <v>-6551.93652</v>
      </c>
      <c r="Q172" s="177"/>
      <c r="R172" s="178">
        <f>IFERROR(__xludf.DUMMYFUNCTION("""COMPUTED_VALUE"""),5.0)</f>
        <v>5</v>
      </c>
      <c r="S172" s="176">
        <f>IFERROR(__xludf.DUMMYFUNCTION("""COMPUTED_VALUE"""),7818.539999999999)</f>
        <v>7818.54</v>
      </c>
      <c r="T172" s="95">
        <f>IFERROR(__xludf.DUMMYFUNCTION("""COMPUTED_VALUE"""),2.0)</f>
        <v>2</v>
      </c>
      <c r="U172" s="35" t="str">
        <f>IFERROR(__xludf.DUMMYFUNCTION("""COMPUTED_VALUE"""),"")</f>
        <v/>
      </c>
      <c r="V172" s="170" t="str">
        <f>IFERROR(__xludf.DUMMYFUNCTION("""COMPUTED_VALUE"""),"")</f>
        <v/>
      </c>
      <c r="W172" s="171" t="str">
        <f>IFERROR(__xludf.DUMMYFUNCTION("""COMPUTED_VALUE"""),"")</f>
        <v/>
      </c>
      <c r="X172" s="14" t="str">
        <f>IFERROR(__xludf.DUMMYFUNCTION("""COMPUTED_VALUE"""),"")</f>
        <v/>
      </c>
      <c r="Y172" s="14" t="str">
        <f>IFERROR(__xludf.DUMMYFUNCTION("""COMPUTED_VALUE"""),"")</f>
        <v/>
      </c>
      <c r="Z172" s="11" t="str">
        <f>IFERROR(__xludf.DUMMYFUNCTION("""COMPUTED_VALUE"""),"")</f>
        <v/>
      </c>
    </row>
    <row r="173">
      <c r="A173" s="35" t="str">
        <f>IFERROR(__xludf.DUMMYFUNCTION("""COMPUTED_VALUE"""),"")</f>
        <v/>
      </c>
      <c r="B173" s="35" t="str">
        <f>IFERROR(__xludf.DUMMYFUNCTION("""COMPUTED_VALUE"""),"37198")</f>
        <v>37198</v>
      </c>
      <c r="C173" s="172">
        <f>IFERROR(__xludf.DUMMYFUNCTION("""COMPUTED_VALUE"""),4.4637000663E10)</f>
        <v>44637000663</v>
      </c>
      <c r="D173" s="180" t="str">
        <f>IFERROR(__xludf.DUMMYFUNCTION("""COMPUTED_VALUE"""),"BNTX")</f>
        <v>BNTX</v>
      </c>
      <c r="E173" s="173">
        <f>IFERROR(__xludf.DUMMYFUNCTION("""COMPUTED_VALUE"""),44637.0)</f>
        <v>44637</v>
      </c>
      <c r="F173" s="35" t="str">
        <f>IFERROR(__xludf.DUMMYFUNCTION("""COMPUTED_VALUE"""),"Stock")</f>
        <v>Stock</v>
      </c>
      <c r="G173" s="35" t="str">
        <f>IFERROR(__xludf.DUMMYFUNCTION("""COMPUTED_VALUE"""),"USD")</f>
        <v>USD</v>
      </c>
      <c r="H173" s="183">
        <f>IFERROR(__xludf.DUMMYFUNCTION("""COMPUTED_VALUE"""),0.0)</f>
        <v>0</v>
      </c>
      <c r="I173" s="174">
        <f>IFERROR(__xludf.DUMMYFUNCTION("""COMPUTED_VALUE"""),7.81854)</f>
        <v>7.81854</v>
      </c>
      <c r="J173" s="175">
        <f>IFERROR(__xludf.DUMMYFUNCTION("""COMPUTED_VALUE"""),0.0)</f>
        <v>0</v>
      </c>
      <c r="K173" s="35"/>
      <c r="L173" s="175">
        <f>IFERROR(__xludf.DUMMYFUNCTION("""COMPUTED_VALUE"""),179.38)</f>
        <v>179.38</v>
      </c>
      <c r="M173" s="182" t="str">
        <f>IFERROR(__xludf.DUMMYFUNCTION("""COMPUTED_VALUE"""),"Equity Key Stats")</f>
        <v>Equity Key Stats</v>
      </c>
      <c r="N173" s="35"/>
      <c r="O173" s="35"/>
      <c r="P173" s="176">
        <f>IFERROR(__xludf.DUMMYFUNCTION("""COMPUTED_VALUE"""),0.0)</f>
        <v>0</v>
      </c>
      <c r="Q173" s="177"/>
      <c r="R173" s="178">
        <f>IFERROR(__xludf.DUMMYFUNCTION("""COMPUTED_VALUE"""),179.38)</f>
        <v>179.38</v>
      </c>
      <c r="S173" s="184">
        <f>IFERROR(__xludf.DUMMYFUNCTION("""COMPUTED_VALUE"""),0.0)</f>
        <v>0</v>
      </c>
      <c r="T173" s="95">
        <f>IFERROR(__xludf.DUMMYFUNCTION("""COMPUTED_VALUE"""),2.0)</f>
        <v>2</v>
      </c>
      <c r="U173" s="95" t="str">
        <f>IFERROR(__xludf.DUMMYFUNCTION("""COMPUTED_VALUE"""),"")</f>
        <v/>
      </c>
      <c r="V173" s="179" t="str">
        <f>IFERROR(__xludf.DUMMYFUNCTION("""COMPUTED_VALUE"""),"")</f>
        <v/>
      </c>
      <c r="W173" s="171" t="str">
        <f>IFERROR(__xludf.DUMMYFUNCTION("""COMPUTED_VALUE"""),"")</f>
        <v/>
      </c>
      <c r="X173" s="14" t="str">
        <f>IFERROR(__xludf.DUMMYFUNCTION("""COMPUTED_VALUE"""),"")</f>
        <v/>
      </c>
      <c r="Y173" s="14" t="str">
        <f>IFERROR(__xludf.DUMMYFUNCTION("""COMPUTED_VALUE"""),"")</f>
        <v/>
      </c>
      <c r="Z173" s="11" t="str">
        <f>IFERROR(__xludf.DUMMYFUNCTION("""COMPUTED_VALUE"""),"")</f>
        <v/>
      </c>
    </row>
    <row r="174">
      <c r="A174" s="35" t="str">
        <f>IFERROR(__xludf.DUMMYFUNCTION("""COMPUTED_VALUE"""),"")</f>
        <v/>
      </c>
      <c r="B174" s="35" t="str">
        <f>IFERROR(__xludf.DUMMYFUNCTION("""COMPUTED_VALUE"""),"37198")</f>
        <v>37198</v>
      </c>
      <c r="C174" s="172">
        <f>IFERROR(__xludf.DUMMYFUNCTION("""COMPUTED_VALUE"""),4.4638000686E10)</f>
        <v>44638000686</v>
      </c>
      <c r="D174" s="180" t="str">
        <f>IFERROR(__xludf.DUMMYFUNCTION("""COMPUTED_VALUE"""),"BNTX")</f>
        <v>BNTX</v>
      </c>
      <c r="E174" s="173">
        <f>IFERROR(__xludf.DUMMYFUNCTION("""COMPUTED_VALUE"""),44638.0)</f>
        <v>44638</v>
      </c>
      <c r="F174" s="35" t="str">
        <f>IFERROR(__xludf.DUMMYFUNCTION("""COMPUTED_VALUE"""),"Stock")</f>
        <v>Stock</v>
      </c>
      <c r="G174" s="35" t="str">
        <f>IFERROR(__xludf.DUMMYFUNCTION("""COMPUTED_VALUE"""),"USD")</f>
        <v>USD</v>
      </c>
      <c r="H174" s="181">
        <f>IFERROR(__xludf.DUMMYFUNCTION("""COMPUTED_VALUE"""),0.0)</f>
        <v>0</v>
      </c>
      <c r="I174" s="174">
        <f>IFERROR(__xludf.DUMMYFUNCTION("""COMPUTED_VALUE"""),7.82495)</f>
        <v>7.82495</v>
      </c>
      <c r="J174" s="175">
        <f>IFERROR(__xludf.DUMMYFUNCTION("""COMPUTED_VALUE"""),0.0)</f>
        <v>0</v>
      </c>
      <c r="K174" s="35"/>
      <c r="L174" s="175">
        <f>IFERROR(__xludf.DUMMYFUNCTION("""COMPUTED_VALUE"""),179.38)</f>
        <v>179.38</v>
      </c>
      <c r="M174" s="182" t="str">
        <f>IFERROR(__xludf.DUMMYFUNCTION("""COMPUTED_VALUE"""),"Equity Key Stats")</f>
        <v>Equity Key Stats</v>
      </c>
      <c r="N174" s="35"/>
      <c r="O174" s="35"/>
      <c r="P174" s="184">
        <f>IFERROR(__xludf.DUMMYFUNCTION("""COMPUTED_VALUE"""),0.0)</f>
        <v>0</v>
      </c>
      <c r="Q174" s="177"/>
      <c r="R174" s="178">
        <f>IFERROR(__xludf.DUMMYFUNCTION("""COMPUTED_VALUE"""),179.38)</f>
        <v>179.38</v>
      </c>
      <c r="S174" s="176">
        <f>IFERROR(__xludf.DUMMYFUNCTION("""COMPUTED_VALUE"""),0.0)</f>
        <v>0</v>
      </c>
      <c r="T174" s="95">
        <f>IFERROR(__xludf.DUMMYFUNCTION("""COMPUTED_VALUE"""),2.0)</f>
        <v>2</v>
      </c>
      <c r="U174" s="95">
        <f>IFERROR(__xludf.DUMMYFUNCTION("""COMPUTED_VALUE"""),1.0)</f>
        <v>1</v>
      </c>
      <c r="V174" s="179">
        <f>IFERROR(__xludf.DUMMYFUNCTION("""COMPUTED_VALUE"""),0.0)</f>
        <v>0</v>
      </c>
      <c r="W174" s="171" t="str">
        <f>IFERROR(__xludf.DUMMYFUNCTION("""COMPUTED_VALUE"""),"")</f>
        <v/>
      </c>
      <c r="X174" s="14" t="str">
        <f>IFERROR(__xludf.DUMMYFUNCTION("""COMPUTED_VALUE"""),"")</f>
        <v/>
      </c>
      <c r="Y174" s="14" t="str">
        <f>IFERROR(__xludf.DUMMYFUNCTION("""COMPUTED_VALUE"""),"")</f>
        <v/>
      </c>
      <c r="Z174" s="11" t="str">
        <f>IFERROR(__xludf.DUMMYFUNCTION("""COMPUTED_VALUE"""),"")</f>
        <v/>
      </c>
    </row>
    <row r="175">
      <c r="A175" s="35" t="str">
        <f>IFERROR(__xludf.DUMMYFUNCTION("""COMPUTED_VALUE"""),"")</f>
        <v/>
      </c>
      <c r="B175" s="35" t="str">
        <f>IFERROR(__xludf.DUMMYFUNCTION("""COMPUTED_VALUE"""),"37198")</f>
        <v>37198</v>
      </c>
      <c r="C175" s="172">
        <f>IFERROR(__xludf.DUMMYFUNCTION("""COMPUTED_VALUE"""),4.4638000687E10)</f>
        <v>44638000687</v>
      </c>
      <c r="D175" s="180" t="str">
        <f>IFERROR(__xludf.DUMMYFUNCTION("""COMPUTED_VALUE"""),"DVN")</f>
        <v>DVN</v>
      </c>
      <c r="E175" s="173">
        <f>IFERROR(__xludf.DUMMYFUNCTION("""COMPUTED_VALUE"""),44638.0)</f>
        <v>44638</v>
      </c>
      <c r="F175" s="35" t="str">
        <f>IFERROR(__xludf.DUMMYFUNCTION("""COMPUTED_VALUE"""),"Stock")</f>
        <v>Stock</v>
      </c>
      <c r="G175" s="35" t="str">
        <f>IFERROR(__xludf.DUMMYFUNCTION("""COMPUTED_VALUE"""),"USD")</f>
        <v>USD</v>
      </c>
      <c r="H175" s="183">
        <f>IFERROR(__xludf.DUMMYFUNCTION("""COMPUTED_VALUE"""),0.0)</f>
        <v>0</v>
      </c>
      <c r="I175" s="174">
        <f>IFERROR(__xludf.DUMMYFUNCTION("""COMPUTED_VALUE"""),7.82495)</f>
        <v>7.82495</v>
      </c>
      <c r="J175" s="175">
        <f>IFERROR(__xludf.DUMMYFUNCTION("""COMPUTED_VALUE"""),0.0)</f>
        <v>0</v>
      </c>
      <c r="K175" s="35"/>
      <c r="L175" s="175">
        <f>IFERROR(__xludf.DUMMYFUNCTION("""COMPUTED_VALUE"""),63.73)</f>
        <v>63.73</v>
      </c>
      <c r="M175" s="182" t="str">
        <f>IFERROR(__xludf.DUMMYFUNCTION("""COMPUTED_VALUE"""),"Equity Key Stats")</f>
        <v>Equity Key Stats</v>
      </c>
      <c r="N175" s="35"/>
      <c r="O175" s="35"/>
      <c r="P175" s="176">
        <f>IFERROR(__xludf.DUMMYFUNCTION("""COMPUTED_VALUE"""),0.0)</f>
        <v>0</v>
      </c>
      <c r="Q175" s="177"/>
      <c r="R175" s="178">
        <f>IFERROR(__xludf.DUMMYFUNCTION("""COMPUTED_VALUE"""),63.73)</f>
        <v>63.73</v>
      </c>
      <c r="S175" s="184">
        <f>IFERROR(__xludf.DUMMYFUNCTION("""COMPUTED_VALUE"""),0.0)</f>
        <v>0</v>
      </c>
      <c r="T175" s="95">
        <f>IFERROR(__xludf.DUMMYFUNCTION("""COMPUTED_VALUE"""),2.0)</f>
        <v>2</v>
      </c>
      <c r="U175" s="95" t="str">
        <f>IFERROR(__xludf.DUMMYFUNCTION("""COMPUTED_VALUE"""),"")</f>
        <v/>
      </c>
      <c r="V175" s="185" t="str">
        <f>IFERROR(__xludf.DUMMYFUNCTION("""COMPUTED_VALUE"""),"")</f>
        <v/>
      </c>
      <c r="W175" s="55" t="str">
        <f>IFERROR(__xludf.DUMMYFUNCTION("""COMPUTED_VALUE"""),"")</f>
        <v/>
      </c>
      <c r="X175" s="181" t="str">
        <f>IFERROR(__xludf.DUMMYFUNCTION("""COMPUTED_VALUE"""),"")</f>
        <v/>
      </c>
      <c r="Y175" s="181" t="str">
        <f>IFERROR(__xludf.DUMMYFUNCTION("""COMPUTED_VALUE"""),"")</f>
        <v/>
      </c>
      <c r="Z175" s="189" t="str">
        <f>IFERROR(__xludf.DUMMYFUNCTION("""COMPUTED_VALUE"""),"")</f>
        <v/>
      </c>
    </row>
    <row r="176">
      <c r="A176" s="35" t="str">
        <f>IFERROR(__xludf.DUMMYFUNCTION("""COMPUTED_VALUE"""),"")</f>
        <v/>
      </c>
      <c r="B176" s="35" t="str">
        <f>IFERROR(__xludf.DUMMYFUNCTION("""COMPUTED_VALUE"""),"37198")</f>
        <v>37198</v>
      </c>
      <c r="C176" s="172">
        <f>IFERROR(__xludf.DUMMYFUNCTION("""COMPUTED_VALUE"""),4.4638000688E10)</f>
        <v>44638000688</v>
      </c>
      <c r="D176" s="180" t="str">
        <f>IFERROR(__xludf.DUMMYFUNCTION("""COMPUTED_VALUE"""),"CL=F")</f>
        <v>CL=F</v>
      </c>
      <c r="E176" s="173">
        <f>IFERROR(__xludf.DUMMYFUNCTION("""COMPUTED_VALUE"""),44638.0)</f>
        <v>44638</v>
      </c>
      <c r="F176" s="35" t="str">
        <f>IFERROR(__xludf.DUMMYFUNCTION("""COMPUTED_VALUE"""),"Stock")</f>
        <v>Stock</v>
      </c>
      <c r="G176" s="35" t="str">
        <f>IFERROR(__xludf.DUMMYFUNCTION("""COMPUTED_VALUE"""),"USD")</f>
        <v>USD</v>
      </c>
      <c r="H176" s="14">
        <f>IFERROR(__xludf.DUMMYFUNCTION("""COMPUTED_VALUE"""),50.0)</f>
        <v>50</v>
      </c>
      <c r="I176" s="174">
        <f>IFERROR(__xludf.DUMMYFUNCTION("""COMPUTED_VALUE"""),7.82495)</f>
        <v>7.82495</v>
      </c>
      <c r="J176" s="175">
        <f>IFERROR(__xludf.DUMMYFUNCTION("""COMPUTED_VALUE"""),105.1)</f>
        <v>105.1</v>
      </c>
      <c r="K176" s="35"/>
      <c r="L176" s="175">
        <f>IFERROR(__xludf.DUMMYFUNCTION("""COMPUTED_VALUE"""),104.31)</f>
        <v>104.31</v>
      </c>
      <c r="M176" s="187" t="str">
        <f>IFERROR(__xludf.DUMMYFUNCTION("""COMPUTED_VALUE"""),"Equity Key Stats")</f>
        <v>Equity Key Stats</v>
      </c>
      <c r="N176" s="35"/>
      <c r="O176" s="35"/>
      <c r="P176" s="176">
        <f>IFERROR(__xludf.DUMMYFUNCTION("""COMPUTED_VALUE"""),-41120.11225)</f>
        <v>-41120.11225</v>
      </c>
      <c r="Q176" s="177"/>
      <c r="R176" s="178">
        <f>IFERROR(__xludf.DUMMYFUNCTION("""COMPUTED_VALUE"""),104.31)</f>
        <v>104.31</v>
      </c>
      <c r="S176" s="151">
        <f>IFERROR(__xludf.DUMMYFUNCTION("""COMPUTED_VALUE"""),40811.026725)</f>
        <v>40811.02673</v>
      </c>
      <c r="T176" s="95">
        <f>IFERROR(__xludf.DUMMYFUNCTION("""COMPUTED_VALUE"""),1.0)</f>
        <v>1</v>
      </c>
      <c r="U176" s="95">
        <f>IFERROR(__xludf.DUMMYFUNCTION("""COMPUTED_VALUE"""),1.0)</f>
        <v>1</v>
      </c>
      <c r="V176" s="179">
        <f>IFERROR(__xludf.DUMMYFUNCTION("""COMPUTED_VALUE"""),-309.08552499999496)</f>
        <v>-309.085525</v>
      </c>
      <c r="W176" s="55" t="str">
        <f>IFERROR(__xludf.DUMMYFUNCTION("""COMPUTED_VALUE"""),"")</f>
        <v/>
      </c>
      <c r="X176" s="181" t="str">
        <f>IFERROR(__xludf.DUMMYFUNCTION("""COMPUTED_VALUE"""),"")</f>
        <v/>
      </c>
      <c r="Y176" s="181" t="str">
        <f>IFERROR(__xludf.DUMMYFUNCTION("""COMPUTED_VALUE"""),"")</f>
        <v/>
      </c>
      <c r="Z176" s="186" t="str">
        <f>IFERROR(__xludf.DUMMYFUNCTION("""COMPUTED_VALUE"""),"")</f>
        <v/>
      </c>
    </row>
    <row r="177">
      <c r="A177" s="35" t="str">
        <f>IFERROR(__xludf.DUMMYFUNCTION("""COMPUTED_VALUE"""),"")</f>
        <v/>
      </c>
      <c r="B177" s="35" t="str">
        <f>IFERROR(__xludf.DUMMYFUNCTION("""COMPUTED_VALUE"""),"37198")</f>
        <v>37198</v>
      </c>
      <c r="C177" s="172">
        <f>IFERROR(__xludf.DUMMYFUNCTION("""COMPUTED_VALUE"""),4.4658001187E10)</f>
        <v>44658001187</v>
      </c>
      <c r="D177" s="180" t="str">
        <f>IFERROR(__xludf.DUMMYFUNCTION("""COMPUTED_VALUE"""),"MF")</f>
        <v>MF</v>
      </c>
      <c r="E177" s="173">
        <f>IFERROR(__xludf.DUMMYFUNCTION("""COMPUTED_VALUE"""),44658.0)</f>
        <v>44658</v>
      </c>
      <c r="F177" s="35" t="str">
        <f>IFERROR(__xludf.DUMMYFUNCTION("""COMPUTED_VALUE"""),"Stock")</f>
        <v>Stock</v>
      </c>
      <c r="G177" s="35" t="str">
        <f>IFERROR(__xludf.DUMMYFUNCTION("""COMPUTED_VALUE"""),"USD")</f>
        <v>USD</v>
      </c>
      <c r="H177" s="14">
        <f>IFERROR(__xludf.DUMMYFUNCTION("""COMPUTED_VALUE"""),1000.0)</f>
        <v>1000</v>
      </c>
      <c r="I177" s="174">
        <f>IFERROR(__xludf.DUMMYFUNCTION("""COMPUTED_VALUE"""),7.836645)</f>
        <v>7.836645</v>
      </c>
      <c r="J177" s="175">
        <f>IFERROR(__xludf.DUMMYFUNCTION("""COMPUTED_VALUE"""),1.47)</f>
        <v>1.47</v>
      </c>
      <c r="K177" s="35"/>
      <c r="L177" s="175">
        <f>IFERROR(__xludf.DUMMYFUNCTION("""COMPUTED_VALUE"""),1.19)</f>
        <v>1.19</v>
      </c>
      <c r="M177" s="187" t="str">
        <f>IFERROR(__xludf.DUMMYFUNCTION("""COMPUTED_VALUE"""),"Equity Key Stats")</f>
        <v>Equity Key Stats</v>
      </c>
      <c r="N177" s="35"/>
      <c r="O177" s="35"/>
      <c r="P177" s="176">
        <f>IFERROR(__xludf.DUMMYFUNCTION("""COMPUTED_VALUE"""),-11519.868149999998)</f>
        <v>-11519.86815</v>
      </c>
      <c r="Q177" s="177"/>
      <c r="R177" s="178">
        <f>IFERROR(__xludf.DUMMYFUNCTION("""COMPUTED_VALUE"""),1.19)</f>
        <v>1.19</v>
      </c>
      <c r="S177" s="151">
        <f>IFERROR(__xludf.DUMMYFUNCTION("""COMPUTED_VALUE"""),9325.607549999999)</f>
        <v>9325.60755</v>
      </c>
      <c r="T177" s="95">
        <f>IFERROR(__xludf.DUMMYFUNCTION("""COMPUTED_VALUE"""),2.0)</f>
        <v>2</v>
      </c>
      <c r="U177" s="95" t="str">
        <f>IFERROR(__xludf.DUMMYFUNCTION("""COMPUTED_VALUE"""),"")</f>
        <v/>
      </c>
      <c r="V177" s="179" t="str">
        <f>IFERROR(__xludf.DUMMYFUNCTION("""COMPUTED_VALUE"""),"")</f>
        <v/>
      </c>
      <c r="W177" s="171" t="str">
        <f>IFERROR(__xludf.DUMMYFUNCTION("""COMPUTED_VALUE"""),"")</f>
        <v/>
      </c>
      <c r="X177" s="14" t="str">
        <f>IFERROR(__xludf.DUMMYFUNCTION("""COMPUTED_VALUE"""),"")</f>
        <v/>
      </c>
      <c r="Y177" s="14" t="str">
        <f>IFERROR(__xludf.DUMMYFUNCTION("""COMPUTED_VALUE"""),"")</f>
        <v/>
      </c>
      <c r="Z177" s="11" t="str">
        <f>IFERROR(__xludf.DUMMYFUNCTION("""COMPUTED_VALUE"""),"")</f>
        <v/>
      </c>
    </row>
    <row r="178">
      <c r="A178" s="35" t="str">
        <f>IFERROR(__xludf.DUMMYFUNCTION("""COMPUTED_VALUE"""),"")</f>
        <v/>
      </c>
      <c r="B178" s="35" t="str">
        <f>IFERROR(__xludf.DUMMYFUNCTION("""COMPUTED_VALUE"""),"37198")</f>
        <v>37198</v>
      </c>
      <c r="C178" s="172">
        <f>IFERROR(__xludf.DUMMYFUNCTION("""COMPUTED_VALUE"""),4.4658001188E10)</f>
        <v>44658001188</v>
      </c>
      <c r="D178" s="180" t="str">
        <f>IFERROR(__xludf.DUMMYFUNCTION("""COMPUTED_VALUE"""),"ADN")</f>
        <v>ADN</v>
      </c>
      <c r="E178" s="173">
        <f>IFERROR(__xludf.DUMMYFUNCTION("""COMPUTED_VALUE"""),44658.0)</f>
        <v>44658</v>
      </c>
      <c r="F178" s="35" t="str">
        <f>IFERROR(__xludf.DUMMYFUNCTION("""COMPUTED_VALUE"""),"Stock")</f>
        <v>Stock</v>
      </c>
      <c r="G178" s="35" t="str">
        <f>IFERROR(__xludf.DUMMYFUNCTION("""COMPUTED_VALUE"""),"USD")</f>
        <v>USD</v>
      </c>
      <c r="H178" s="181">
        <f>IFERROR(__xludf.DUMMYFUNCTION("""COMPUTED_VALUE"""),500.0)</f>
        <v>500</v>
      </c>
      <c r="I178" s="174">
        <f>IFERROR(__xludf.DUMMYFUNCTION("""COMPUTED_VALUE"""),7.836645)</f>
        <v>7.836645</v>
      </c>
      <c r="J178" s="175">
        <f>IFERROR(__xludf.DUMMYFUNCTION("""COMPUTED_VALUE"""),3.3)</f>
        <v>3.3</v>
      </c>
      <c r="K178" s="35"/>
      <c r="L178" s="175">
        <f>IFERROR(__xludf.DUMMYFUNCTION("""COMPUTED_VALUE"""),2.46)</f>
        <v>2.46</v>
      </c>
      <c r="M178" s="182" t="str">
        <f>IFERROR(__xludf.DUMMYFUNCTION("""COMPUTED_VALUE"""),"Equity Key Stats")</f>
        <v>Equity Key Stats</v>
      </c>
      <c r="N178" s="35"/>
      <c r="O178" s="35"/>
      <c r="P178" s="184">
        <f>IFERROR(__xludf.DUMMYFUNCTION("""COMPUTED_VALUE"""),-12930.464249999999)</f>
        <v>-12930.46425</v>
      </c>
      <c r="Q178" s="177"/>
      <c r="R178" s="178">
        <f>IFERROR(__xludf.DUMMYFUNCTION("""COMPUTED_VALUE"""),2.46)</f>
        <v>2.46</v>
      </c>
      <c r="S178" s="176">
        <f>IFERROR(__xludf.DUMMYFUNCTION("""COMPUTED_VALUE"""),9639.073349999999)</f>
        <v>9639.07335</v>
      </c>
      <c r="T178" s="95">
        <f>IFERROR(__xludf.DUMMYFUNCTION("""COMPUTED_VALUE"""),2.0)</f>
        <v>2</v>
      </c>
      <c r="U178" s="95" t="str">
        <f>IFERROR(__xludf.DUMMYFUNCTION("""COMPUTED_VALUE"""),"")</f>
        <v/>
      </c>
      <c r="V178" s="185" t="str">
        <f>IFERROR(__xludf.DUMMYFUNCTION("""COMPUTED_VALUE"""),"")</f>
        <v/>
      </c>
      <c r="W178" s="55" t="str">
        <f>IFERROR(__xludf.DUMMYFUNCTION("""COMPUTED_VALUE"""),"")</f>
        <v/>
      </c>
      <c r="X178" s="181" t="str">
        <f>IFERROR(__xludf.DUMMYFUNCTION("""COMPUTED_VALUE"""),"")</f>
        <v/>
      </c>
      <c r="Y178" s="181" t="str">
        <f>IFERROR(__xludf.DUMMYFUNCTION("""COMPUTED_VALUE"""),"")</f>
        <v/>
      </c>
      <c r="Z178" s="189" t="str">
        <f>IFERROR(__xludf.DUMMYFUNCTION("""COMPUTED_VALUE"""),"")</f>
        <v/>
      </c>
    </row>
    <row r="179">
      <c r="A179" s="35" t="str">
        <f>IFERROR(__xludf.DUMMYFUNCTION("""COMPUTED_VALUE"""),"")</f>
        <v/>
      </c>
      <c r="B179" s="35" t="str">
        <f>IFERROR(__xludf.DUMMYFUNCTION("""COMPUTED_VALUE"""),"37198")</f>
        <v>37198</v>
      </c>
      <c r="C179" s="172">
        <f>IFERROR(__xludf.DUMMYFUNCTION("""COMPUTED_VALUE"""),4.4658001189E10)</f>
        <v>44658001189</v>
      </c>
      <c r="D179" s="180" t="str">
        <f>IFERROR(__xludf.DUMMYFUNCTION("""COMPUTED_VALUE"""),"MF")</f>
        <v>MF</v>
      </c>
      <c r="E179" s="173">
        <f>IFERROR(__xludf.DUMMYFUNCTION("""COMPUTED_VALUE"""),44658.0)</f>
        <v>44658</v>
      </c>
      <c r="F179" s="35" t="str">
        <f>IFERROR(__xludf.DUMMYFUNCTION("""COMPUTED_VALUE"""),"Stock")</f>
        <v>Stock</v>
      </c>
      <c r="G179" s="35" t="str">
        <f>IFERROR(__xludf.DUMMYFUNCTION("""COMPUTED_VALUE"""),"USD")</f>
        <v>USD</v>
      </c>
      <c r="H179" s="14">
        <f>IFERROR(__xludf.DUMMYFUNCTION("""COMPUTED_VALUE"""),1000.0)</f>
        <v>1000</v>
      </c>
      <c r="I179" s="174">
        <f>IFERROR(__xludf.DUMMYFUNCTION("""COMPUTED_VALUE"""),7.836645)</f>
        <v>7.836645</v>
      </c>
      <c r="J179" s="175">
        <f>IFERROR(__xludf.DUMMYFUNCTION("""COMPUTED_VALUE"""),1.47)</f>
        <v>1.47</v>
      </c>
      <c r="K179" s="35"/>
      <c r="L179" s="175">
        <f>IFERROR(__xludf.DUMMYFUNCTION("""COMPUTED_VALUE"""),1.19)</f>
        <v>1.19</v>
      </c>
      <c r="M179" s="187" t="str">
        <f>IFERROR(__xludf.DUMMYFUNCTION("""COMPUTED_VALUE"""),"Equity Key Stats")</f>
        <v>Equity Key Stats</v>
      </c>
      <c r="N179" s="35"/>
      <c r="O179" s="35"/>
      <c r="P179" s="176">
        <f>IFERROR(__xludf.DUMMYFUNCTION("""COMPUTED_VALUE"""),-11519.868149999998)</f>
        <v>-11519.86815</v>
      </c>
      <c r="Q179" s="177"/>
      <c r="R179" s="178">
        <f>IFERROR(__xludf.DUMMYFUNCTION("""COMPUTED_VALUE"""),1.19)</f>
        <v>1.19</v>
      </c>
      <c r="S179" s="151">
        <f>IFERROR(__xludf.DUMMYFUNCTION("""COMPUTED_VALUE"""),9325.607549999999)</f>
        <v>9325.60755</v>
      </c>
      <c r="T179" s="95">
        <f>IFERROR(__xludf.DUMMYFUNCTION("""COMPUTED_VALUE"""),2.0)</f>
        <v>2</v>
      </c>
      <c r="U179" s="95">
        <f>IFERROR(__xludf.DUMMYFUNCTION("""COMPUTED_VALUE"""),1.0)</f>
        <v>1</v>
      </c>
      <c r="V179" s="179">
        <f>IFERROR(__xludf.DUMMYFUNCTION("""COMPUTED_VALUE"""),-4388.521199999999)</f>
        <v>-4388.5212</v>
      </c>
      <c r="W179" s="171" t="str">
        <f>IFERROR(__xludf.DUMMYFUNCTION("""COMPUTED_VALUE"""),"")</f>
        <v/>
      </c>
      <c r="X179" s="14" t="str">
        <f>IFERROR(__xludf.DUMMYFUNCTION("""COMPUTED_VALUE"""),"")</f>
        <v/>
      </c>
      <c r="Y179" s="14" t="str">
        <f>IFERROR(__xludf.DUMMYFUNCTION("""COMPUTED_VALUE"""),"")</f>
        <v/>
      </c>
      <c r="Z179" s="11" t="str">
        <f>IFERROR(__xludf.DUMMYFUNCTION("""COMPUTED_VALUE"""),"")</f>
        <v/>
      </c>
    </row>
    <row r="180">
      <c r="A180" s="35" t="str">
        <f>IFERROR(__xludf.DUMMYFUNCTION("""COMPUTED_VALUE"""),"")</f>
        <v/>
      </c>
      <c r="B180" s="35" t="str">
        <f>IFERROR(__xludf.DUMMYFUNCTION("""COMPUTED_VALUE"""),"37198")</f>
        <v>37198</v>
      </c>
      <c r="C180" s="172">
        <f>IFERROR(__xludf.DUMMYFUNCTION("""COMPUTED_VALUE"""),4.465800119E10)</f>
        <v>44658001190</v>
      </c>
      <c r="D180" s="192" t="str">
        <f>IFERROR(__xludf.DUMMYFUNCTION("""COMPUTED_VALUE"""),"ADN")</f>
        <v>ADN</v>
      </c>
      <c r="E180" s="173">
        <f>IFERROR(__xludf.DUMMYFUNCTION("""COMPUTED_VALUE"""),44658.0)</f>
        <v>44658</v>
      </c>
      <c r="F180" s="35" t="str">
        <f>IFERROR(__xludf.DUMMYFUNCTION("""COMPUTED_VALUE"""),"Stock")</f>
        <v>Stock</v>
      </c>
      <c r="G180" s="35" t="str">
        <f>IFERROR(__xludf.DUMMYFUNCTION("""COMPUTED_VALUE"""),"USD")</f>
        <v>USD</v>
      </c>
      <c r="H180" s="181">
        <f>IFERROR(__xludf.DUMMYFUNCTION("""COMPUTED_VALUE"""),500.0)</f>
        <v>500</v>
      </c>
      <c r="I180" s="174">
        <f>IFERROR(__xludf.DUMMYFUNCTION("""COMPUTED_VALUE"""),7.836645)</f>
        <v>7.836645</v>
      </c>
      <c r="J180" s="175">
        <f>IFERROR(__xludf.DUMMYFUNCTION("""COMPUTED_VALUE"""),3.3)</f>
        <v>3.3</v>
      </c>
      <c r="K180" s="35"/>
      <c r="L180" s="175">
        <f>IFERROR(__xludf.DUMMYFUNCTION("""COMPUTED_VALUE"""),2.46)</f>
        <v>2.46</v>
      </c>
      <c r="M180" s="182" t="str">
        <f>IFERROR(__xludf.DUMMYFUNCTION("""COMPUTED_VALUE"""),"Equity Key Stats")</f>
        <v>Equity Key Stats</v>
      </c>
      <c r="N180" s="35"/>
      <c r="O180" s="35"/>
      <c r="P180" s="176">
        <f>IFERROR(__xludf.DUMMYFUNCTION("""COMPUTED_VALUE"""),-12930.464249999999)</f>
        <v>-12930.46425</v>
      </c>
      <c r="Q180" s="177"/>
      <c r="R180" s="178">
        <f>IFERROR(__xludf.DUMMYFUNCTION("""COMPUTED_VALUE"""),2.46)</f>
        <v>2.46</v>
      </c>
      <c r="S180" s="176">
        <f>IFERROR(__xludf.DUMMYFUNCTION("""COMPUTED_VALUE"""),9639.073349999999)</f>
        <v>9639.07335</v>
      </c>
      <c r="T180" s="95">
        <f>IFERROR(__xludf.DUMMYFUNCTION("""COMPUTED_VALUE"""),2.0)</f>
        <v>2</v>
      </c>
      <c r="U180" s="35">
        <f>IFERROR(__xludf.DUMMYFUNCTION("""COMPUTED_VALUE"""),1.0)</f>
        <v>1</v>
      </c>
      <c r="V180" s="170">
        <f>IFERROR(__xludf.DUMMYFUNCTION("""COMPUTED_VALUE"""),-6582.781800000001)</f>
        <v>-6582.7818</v>
      </c>
      <c r="W180" s="171" t="str">
        <f>IFERROR(__xludf.DUMMYFUNCTION("""COMPUTED_VALUE"""),"")</f>
        <v/>
      </c>
      <c r="X180" s="14" t="str">
        <f>IFERROR(__xludf.DUMMYFUNCTION("""COMPUTED_VALUE"""),"")</f>
        <v/>
      </c>
      <c r="Y180" s="14" t="str">
        <f>IFERROR(__xludf.DUMMYFUNCTION("""COMPUTED_VALUE"""),"")</f>
        <v/>
      </c>
      <c r="Z180" s="11" t="str">
        <f>IFERROR(__xludf.DUMMYFUNCTION("""COMPUTED_VALUE"""),"")</f>
        <v/>
      </c>
    </row>
    <row r="181">
      <c r="A181" s="35" t="str">
        <f>IFERROR(__xludf.DUMMYFUNCTION("""COMPUTED_VALUE"""),"")</f>
        <v/>
      </c>
      <c r="B181" s="35" t="str">
        <f>IFERROR(__xludf.DUMMYFUNCTION("""COMPUTED_VALUE"""),"37198")</f>
        <v>37198</v>
      </c>
      <c r="C181" s="172">
        <f>IFERROR(__xludf.DUMMYFUNCTION("""COMPUTED_VALUE"""),4.46600013E10)</f>
        <v>44660001300</v>
      </c>
      <c r="D181" s="191" t="str">
        <f>IFERROR(__xludf.DUMMYFUNCTION("""COMPUTED_VALUE"""),"DVN")</f>
        <v>DVN</v>
      </c>
      <c r="E181" s="173">
        <f>IFERROR(__xludf.DUMMYFUNCTION("""COMPUTED_VALUE"""),44660.0)</f>
        <v>44660</v>
      </c>
      <c r="F181" s="35" t="str">
        <f>IFERROR(__xludf.DUMMYFUNCTION("""COMPUTED_VALUE"""),"Stock")</f>
        <v>Stock</v>
      </c>
      <c r="G181" s="35" t="str">
        <f>IFERROR(__xludf.DUMMYFUNCTION("""COMPUTED_VALUE"""),"USD")</f>
        <v>USD</v>
      </c>
      <c r="H181" s="181">
        <f>IFERROR(__xludf.DUMMYFUNCTION("""COMPUTED_VALUE"""),100.0)</f>
        <v>100</v>
      </c>
      <c r="I181" s="174">
        <f>IFERROR(__xludf.DUMMYFUNCTION("""COMPUTED_VALUE"""),7.839265)</f>
        <v>7.839265</v>
      </c>
      <c r="J181" s="175">
        <f>IFERROR(__xludf.DUMMYFUNCTION("""COMPUTED_VALUE"""),60.03)</f>
        <v>60.03</v>
      </c>
      <c r="K181" s="35"/>
      <c r="L181" s="175">
        <f>IFERROR(__xludf.DUMMYFUNCTION("""COMPUTED_VALUE"""),63.73)</f>
        <v>63.73</v>
      </c>
      <c r="M181" s="182" t="str">
        <f>IFERROR(__xludf.DUMMYFUNCTION("""COMPUTED_VALUE"""),"Equity Key Stats")</f>
        <v>Equity Key Stats</v>
      </c>
      <c r="N181" s="35"/>
      <c r="O181" s="35"/>
      <c r="P181" s="176">
        <f>IFERROR(__xludf.DUMMYFUNCTION("""COMPUTED_VALUE"""),-47059.107795)</f>
        <v>-47059.1078</v>
      </c>
      <c r="Q181" s="177"/>
      <c r="R181" s="178">
        <f>IFERROR(__xludf.DUMMYFUNCTION("""COMPUTED_VALUE"""),63.73)</f>
        <v>63.73</v>
      </c>
      <c r="S181" s="176">
        <f>IFERROR(__xludf.DUMMYFUNCTION("""COMPUTED_VALUE"""),49959.635845)</f>
        <v>49959.63585</v>
      </c>
      <c r="T181" s="95">
        <f>IFERROR(__xludf.DUMMYFUNCTION("""COMPUTED_VALUE"""),2.0)</f>
        <v>2</v>
      </c>
      <c r="U181" s="95">
        <f>IFERROR(__xludf.DUMMYFUNCTION("""COMPUTED_VALUE"""),1.0)</f>
        <v>1</v>
      </c>
      <c r="V181" s="179">
        <f>IFERROR(__xludf.DUMMYFUNCTION("""COMPUTED_VALUE"""),2900.5280499999935)</f>
        <v>2900.52805</v>
      </c>
      <c r="W181" s="171" t="str">
        <f>IFERROR(__xludf.DUMMYFUNCTION("""COMPUTED_VALUE"""),"")</f>
        <v/>
      </c>
      <c r="X181" s="14" t="str">
        <f>IFERROR(__xludf.DUMMYFUNCTION("""COMPUTED_VALUE"""),"")</f>
        <v/>
      </c>
      <c r="Y181" s="14" t="str">
        <f>IFERROR(__xludf.DUMMYFUNCTION("""COMPUTED_VALUE"""),"")</f>
        <v/>
      </c>
      <c r="Z181" s="11" t="str">
        <f>IFERROR(__xludf.DUMMYFUNCTION("""COMPUTED_VALUE"""),"")</f>
        <v/>
      </c>
    </row>
    <row r="182">
      <c r="A182" s="35" t="str">
        <f>IFERROR(__xludf.DUMMYFUNCTION("""COMPUTED_VALUE"""),"37198")</f>
        <v>37198</v>
      </c>
      <c r="B182" s="35" t="str">
        <f>IFERROR(__xludf.DUMMYFUNCTION("""COMPUTED_VALUE"""),"37198")</f>
        <v>37198</v>
      </c>
      <c r="C182" s="172">
        <f>IFERROR(__xludf.DUMMYFUNCTION("""COMPUTED_VALUE"""),4.4660001301E10)</f>
        <v>44660001301</v>
      </c>
      <c r="D182" s="191" t="str">
        <f>IFERROR(__xludf.DUMMYFUNCTION("""COMPUTED_VALUE"""),"TME")</f>
        <v>TME</v>
      </c>
      <c r="E182" s="173">
        <f>IFERROR(__xludf.DUMMYFUNCTION("""COMPUTED_VALUE"""),44660.0)</f>
        <v>44660</v>
      </c>
      <c r="F182" s="35" t="str">
        <f>IFERROR(__xludf.DUMMYFUNCTION("""COMPUTED_VALUE"""),"Stock")</f>
        <v>Stock</v>
      </c>
      <c r="G182" s="35" t="str">
        <f>IFERROR(__xludf.DUMMYFUNCTION("""COMPUTED_VALUE"""),"USD")</f>
        <v>USD</v>
      </c>
      <c r="H182" s="181">
        <f>IFERROR(__xludf.DUMMYFUNCTION("""COMPUTED_VALUE"""),-200.0)</f>
        <v>-200</v>
      </c>
      <c r="I182" s="174">
        <f>IFERROR(__xludf.DUMMYFUNCTION("""COMPUTED_VALUE"""),7.839265)</f>
        <v>7.839265</v>
      </c>
      <c r="J182" s="175">
        <f>IFERROR(__xludf.DUMMYFUNCTION("""COMPUTED_VALUE"""),4.96)</f>
        <v>4.96</v>
      </c>
      <c r="K182" s="35"/>
      <c r="L182" s="175">
        <f>IFERROR(__xludf.DUMMYFUNCTION("""COMPUTED_VALUE"""),5.0)</f>
        <v>5</v>
      </c>
      <c r="M182" s="182" t="str">
        <f>IFERROR(__xludf.DUMMYFUNCTION("""COMPUTED_VALUE"""),"Equity Key Stats")</f>
        <v>Equity Key Stats</v>
      </c>
      <c r="N182" s="35"/>
      <c r="O182" s="35"/>
      <c r="P182" s="176">
        <f>IFERROR(__xludf.DUMMYFUNCTION("""COMPUTED_VALUE"""),7776.550880000001)</f>
        <v>7776.55088</v>
      </c>
      <c r="Q182" s="177"/>
      <c r="R182" s="178">
        <f>IFERROR(__xludf.DUMMYFUNCTION("""COMPUTED_VALUE"""),5.0)</f>
        <v>5</v>
      </c>
      <c r="S182" s="176">
        <f>IFERROR(__xludf.DUMMYFUNCTION("""COMPUTED_VALUE"""),-7839.265)</f>
        <v>-7839.265</v>
      </c>
      <c r="T182" s="95">
        <f>IFERROR(__xludf.DUMMYFUNCTION("""COMPUTED_VALUE"""),2.0)</f>
        <v>2</v>
      </c>
      <c r="U182" s="35">
        <f>IFERROR(__xludf.DUMMYFUNCTION("""COMPUTED_VALUE"""),1.0)</f>
        <v>1</v>
      </c>
      <c r="V182" s="170">
        <f>IFERROR(__xludf.DUMMYFUNCTION("""COMPUTED_VALUE"""),1203.8893599999992)</f>
        <v>1203.88936</v>
      </c>
      <c r="W182" s="171">
        <f>IFERROR(__xludf.DUMMYFUNCTION("""COMPUTED_VALUE"""),492824.028885)</f>
        <v>492824.0289</v>
      </c>
      <c r="X182" s="14">
        <f>IFERROR(__xludf.DUMMYFUNCTION("""COMPUTED_VALUE"""),364144.72951499996)</f>
        <v>364144.7295</v>
      </c>
      <c r="Y182" s="14">
        <f>IFERROR(__xludf.DUMMYFUNCTION("""COMPUTED_VALUE"""),0.0)</f>
        <v>0</v>
      </c>
      <c r="Z182" s="11">
        <f>IFERROR(__xludf.DUMMYFUNCTION("""COMPUTED_VALUE"""),-0.014351942230000025)</f>
        <v>-0.01435194223</v>
      </c>
    </row>
    <row r="183">
      <c r="A183" s="35" t="str">
        <f>IFERROR(__xludf.DUMMYFUNCTION("""COMPUTED_VALUE"""),"")</f>
        <v/>
      </c>
      <c r="B183" s="35" t="str">
        <f>IFERROR(__xludf.DUMMYFUNCTION("""COMPUTED_VALUE"""),"37400")</f>
        <v>37400</v>
      </c>
      <c r="C183" s="172">
        <f>IFERROR(__xludf.DUMMYFUNCTION("""COMPUTED_VALUE"""),4.4597000101E10)</f>
        <v>44597000101</v>
      </c>
      <c r="D183" s="191" t="str">
        <f>IFERROR(__xludf.DUMMYFUNCTION("""COMPUTED_VALUE"""),"Cash")</f>
        <v>Cash</v>
      </c>
      <c r="E183" s="173">
        <f>IFERROR(__xludf.DUMMYFUNCTION("""COMPUTED_VALUE"""),44597.0)</f>
        <v>44597</v>
      </c>
      <c r="F183" s="35" t="str">
        <f>IFERROR(__xludf.DUMMYFUNCTION("""COMPUTED_VALUE"""),"Cash")</f>
        <v>Cash</v>
      </c>
      <c r="G183" s="35" t="str">
        <f>IFERROR(__xludf.DUMMYFUNCTION("""COMPUTED_VALUE"""),"HKD")</f>
        <v>HKD</v>
      </c>
      <c r="H183" s="181" t="str">
        <f>IFERROR(__xludf.DUMMYFUNCTION("""COMPUTED_VALUE"""),"")</f>
        <v/>
      </c>
      <c r="I183" s="174">
        <f>IFERROR(__xludf.DUMMYFUNCTION("""COMPUTED_VALUE"""),1.0)</f>
        <v>1</v>
      </c>
      <c r="J183" s="175">
        <f>IFERROR(__xludf.DUMMYFUNCTION("""COMPUTED_VALUE"""),1.0)</f>
        <v>1</v>
      </c>
      <c r="K183" s="35"/>
      <c r="L183" s="175">
        <f>IFERROR(__xludf.DUMMYFUNCTION("""COMPUTED_VALUE"""),1.0)</f>
        <v>1</v>
      </c>
      <c r="M183" s="182" t="str">
        <f>IFERROR(__xludf.DUMMYFUNCTION("""COMPUTED_VALUE"""),"")</f>
        <v/>
      </c>
      <c r="N183" s="35"/>
      <c r="O183" s="35"/>
      <c r="P183" s="184">
        <f>IFERROR(__xludf.DUMMYFUNCTION("""COMPUTED_VALUE"""),500000.0)</f>
        <v>500000</v>
      </c>
      <c r="Q183" s="177"/>
      <c r="R183" s="178">
        <f>IFERROR(__xludf.DUMMYFUNCTION("""COMPUTED_VALUE"""),1.0)</f>
        <v>1</v>
      </c>
      <c r="S183" s="176" t="str">
        <f>IFERROR(__xludf.DUMMYFUNCTION("""COMPUTED_VALUE"""),"")</f>
        <v/>
      </c>
      <c r="T183" s="95">
        <f>IFERROR(__xludf.DUMMYFUNCTION("""COMPUTED_VALUE"""),1.0)</f>
        <v>1</v>
      </c>
      <c r="U183" s="95">
        <f>IFERROR(__xludf.DUMMYFUNCTION("""COMPUTED_VALUE"""),1.0)</f>
        <v>1</v>
      </c>
      <c r="V183" s="185">
        <f>IFERROR(__xludf.DUMMYFUNCTION("""COMPUTED_VALUE"""),500000.0)</f>
        <v>500000</v>
      </c>
      <c r="W183" s="55" t="str">
        <f>IFERROR(__xludf.DUMMYFUNCTION("""COMPUTED_VALUE"""),"")</f>
        <v/>
      </c>
      <c r="X183" s="181" t="str">
        <f>IFERROR(__xludf.DUMMYFUNCTION("""COMPUTED_VALUE"""),"")</f>
        <v/>
      </c>
      <c r="Y183" s="181" t="str">
        <f>IFERROR(__xludf.DUMMYFUNCTION("""COMPUTED_VALUE"""),"")</f>
        <v/>
      </c>
      <c r="Z183" s="189" t="str">
        <f>IFERROR(__xludf.DUMMYFUNCTION("""COMPUTED_VALUE"""),"")</f>
        <v/>
      </c>
    </row>
    <row r="184">
      <c r="A184" s="35" t="str">
        <f>IFERROR(__xludf.DUMMYFUNCTION("""COMPUTED_VALUE"""),"")</f>
        <v/>
      </c>
      <c r="B184" s="35" t="str">
        <f>IFERROR(__xludf.DUMMYFUNCTION("""COMPUTED_VALUE"""),"37400")</f>
        <v>37400</v>
      </c>
      <c r="C184" s="172">
        <f>IFERROR(__xludf.DUMMYFUNCTION("""COMPUTED_VALUE"""),4.4608000228E10)</f>
        <v>44608000228</v>
      </c>
      <c r="D184" s="180" t="str">
        <f>IFERROR(__xludf.DUMMYFUNCTION("""COMPUTED_VALUE"""),"TSLA")</f>
        <v>TSLA</v>
      </c>
      <c r="E184" s="173">
        <f>IFERROR(__xludf.DUMMYFUNCTION("""COMPUTED_VALUE"""),44608.0)</f>
        <v>44608</v>
      </c>
      <c r="F184" s="35" t="str">
        <f>IFERROR(__xludf.DUMMYFUNCTION("""COMPUTED_VALUE"""),"Stock")</f>
        <v>Stock</v>
      </c>
      <c r="G184" s="35" t="str">
        <f>IFERROR(__xludf.DUMMYFUNCTION("""COMPUTED_VALUE"""),"USD")</f>
        <v>USD</v>
      </c>
      <c r="H184" s="14">
        <f>IFERROR(__xludf.DUMMYFUNCTION("""COMPUTED_VALUE"""),0.0)</f>
        <v>0</v>
      </c>
      <c r="I184" s="174">
        <f>IFERROR(__xludf.DUMMYFUNCTION("""COMPUTED_VALUE"""),7.8005)</f>
        <v>7.8005</v>
      </c>
      <c r="J184" s="175">
        <f>IFERROR(__xludf.DUMMYFUNCTION("""COMPUTED_VALUE"""),0.0)</f>
        <v>0</v>
      </c>
      <c r="K184" s="35"/>
      <c r="L184" s="175">
        <f>IFERROR(__xludf.DUMMYFUNCTION("""COMPUTED_VALUE"""),1022.37)</f>
        <v>1022.37</v>
      </c>
      <c r="M184" s="187" t="str">
        <f>IFERROR(__xludf.DUMMYFUNCTION("""COMPUTED_VALUE"""),"Equity Key Stats")</f>
        <v>Equity Key Stats</v>
      </c>
      <c r="N184" s="35"/>
      <c r="O184" s="35"/>
      <c r="P184" s="176">
        <f>IFERROR(__xludf.DUMMYFUNCTION("""COMPUTED_VALUE"""),0.0)</f>
        <v>0</v>
      </c>
      <c r="Q184" s="177"/>
      <c r="R184" s="178">
        <f>IFERROR(__xludf.DUMMYFUNCTION("""COMPUTED_VALUE"""),1022.37)</f>
        <v>1022.37</v>
      </c>
      <c r="S184" s="151">
        <f>IFERROR(__xludf.DUMMYFUNCTION("""COMPUTED_VALUE"""),0.0)</f>
        <v>0</v>
      </c>
      <c r="T184" s="95">
        <f>IFERROR(__xludf.DUMMYFUNCTION("""COMPUTED_VALUE"""),4.0)</f>
        <v>4</v>
      </c>
      <c r="U184" s="95" t="str">
        <f>IFERROR(__xludf.DUMMYFUNCTION("""COMPUTED_VALUE"""),"")</f>
        <v/>
      </c>
      <c r="V184" s="179" t="str">
        <f>IFERROR(__xludf.DUMMYFUNCTION("""COMPUTED_VALUE"""),"")</f>
        <v/>
      </c>
      <c r="W184" s="55" t="str">
        <f>IFERROR(__xludf.DUMMYFUNCTION("""COMPUTED_VALUE"""),"")</f>
        <v/>
      </c>
      <c r="X184" s="181" t="str">
        <f>IFERROR(__xludf.DUMMYFUNCTION("""COMPUTED_VALUE"""),"")</f>
        <v/>
      </c>
      <c r="Y184" s="181" t="str">
        <f>IFERROR(__xludf.DUMMYFUNCTION("""COMPUTED_VALUE"""),"")</f>
        <v/>
      </c>
      <c r="Z184" s="186" t="str">
        <f>IFERROR(__xludf.DUMMYFUNCTION("""COMPUTED_VALUE"""),"")</f>
        <v/>
      </c>
    </row>
    <row r="185">
      <c r="A185" s="35" t="str">
        <f>IFERROR(__xludf.DUMMYFUNCTION("""COMPUTED_VALUE"""),"")</f>
        <v/>
      </c>
      <c r="B185" s="35" t="str">
        <f>IFERROR(__xludf.DUMMYFUNCTION("""COMPUTED_VALUE"""),"37400")</f>
        <v>37400</v>
      </c>
      <c r="C185" s="172">
        <f>IFERROR(__xludf.DUMMYFUNCTION("""COMPUTED_VALUE"""),4.460900024E10)</f>
        <v>44609000240</v>
      </c>
      <c r="D185" s="180" t="str">
        <f>IFERROR(__xludf.DUMMYFUNCTION("""COMPUTED_VALUE"""),"TSLA")</f>
        <v>TSLA</v>
      </c>
      <c r="E185" s="173">
        <f>IFERROR(__xludf.DUMMYFUNCTION("""COMPUTED_VALUE"""),44609.0)</f>
        <v>44609</v>
      </c>
      <c r="F185" s="35" t="str">
        <f>IFERROR(__xludf.DUMMYFUNCTION("""COMPUTED_VALUE"""),"Stock")</f>
        <v>Stock</v>
      </c>
      <c r="G185" s="35" t="str">
        <f>IFERROR(__xludf.DUMMYFUNCTION("""COMPUTED_VALUE"""),"USD")</f>
        <v>USD</v>
      </c>
      <c r="H185" s="14">
        <f>IFERROR(__xludf.DUMMYFUNCTION("""COMPUTED_VALUE"""),18.0)</f>
        <v>18</v>
      </c>
      <c r="I185" s="174">
        <f>IFERROR(__xludf.DUMMYFUNCTION("""COMPUTED_VALUE"""),7.799115)</f>
        <v>7.799115</v>
      </c>
      <c r="J185" s="175">
        <f>IFERROR(__xludf.DUMMYFUNCTION("""COMPUTED_VALUE"""),876.35)</f>
        <v>876.35</v>
      </c>
      <c r="K185" s="35"/>
      <c r="L185" s="175">
        <f>IFERROR(__xludf.DUMMYFUNCTION("""COMPUTED_VALUE"""),1022.37)</f>
        <v>1022.37</v>
      </c>
      <c r="M185" s="187" t="str">
        <f>IFERROR(__xludf.DUMMYFUNCTION("""COMPUTED_VALUE"""),"Equity Key Stats")</f>
        <v>Equity Key Stats</v>
      </c>
      <c r="N185" s="35"/>
      <c r="O185" s="35"/>
      <c r="P185" s="176">
        <f>IFERROR(__xludf.DUMMYFUNCTION("""COMPUTED_VALUE"""),-123025.57974449999)</f>
        <v>-123025.5797</v>
      </c>
      <c r="Q185" s="177"/>
      <c r="R185" s="178">
        <f>IFERROR(__xludf.DUMMYFUNCTION("""COMPUTED_VALUE"""),1022.37)</f>
        <v>1022.37</v>
      </c>
      <c r="S185" s="151">
        <f>IFERROR(__xludf.DUMMYFUNCTION("""COMPUTED_VALUE"""),143524.46164589998)</f>
        <v>143524.4616</v>
      </c>
      <c r="T185" s="95">
        <f>IFERROR(__xludf.DUMMYFUNCTION("""COMPUTED_VALUE"""),4.0)</f>
        <v>4</v>
      </c>
      <c r="U185" s="95" t="str">
        <f>IFERROR(__xludf.DUMMYFUNCTION("""COMPUTED_VALUE"""),"")</f>
        <v/>
      </c>
      <c r="V185" s="179" t="str">
        <f>IFERROR(__xludf.DUMMYFUNCTION("""COMPUTED_VALUE"""),"")</f>
        <v/>
      </c>
      <c r="W185" s="171" t="str">
        <f>IFERROR(__xludf.DUMMYFUNCTION("""COMPUTED_VALUE"""),"")</f>
        <v/>
      </c>
      <c r="X185" s="14" t="str">
        <f>IFERROR(__xludf.DUMMYFUNCTION("""COMPUTED_VALUE"""),"")</f>
        <v/>
      </c>
      <c r="Y185" s="14" t="str">
        <f>IFERROR(__xludf.DUMMYFUNCTION("""COMPUTED_VALUE"""),"")</f>
        <v/>
      </c>
      <c r="Z185" s="11" t="str">
        <f>IFERROR(__xludf.DUMMYFUNCTION("""COMPUTED_VALUE"""),"")</f>
        <v/>
      </c>
    </row>
    <row r="186">
      <c r="A186" s="35" t="str">
        <f>IFERROR(__xludf.DUMMYFUNCTION("""COMPUTED_VALUE"""),"")</f>
        <v/>
      </c>
      <c r="B186" s="35" t="str">
        <f>IFERROR(__xludf.DUMMYFUNCTION("""COMPUTED_VALUE"""),"37400")</f>
        <v>37400</v>
      </c>
      <c r="C186" s="172">
        <f>IFERROR(__xludf.DUMMYFUNCTION("""COMPUTED_VALUE"""),4.4610000272E10)</f>
        <v>44610000272</v>
      </c>
      <c r="D186" s="180" t="str">
        <f>IFERROR(__xludf.DUMMYFUNCTION("""COMPUTED_VALUE"""),"ANPDY")</f>
        <v>ANPDY</v>
      </c>
      <c r="E186" s="173">
        <f>IFERROR(__xludf.DUMMYFUNCTION("""COMPUTED_VALUE"""),44610.0)</f>
        <v>44610</v>
      </c>
      <c r="F186" s="35" t="str">
        <f>IFERROR(__xludf.DUMMYFUNCTION("""COMPUTED_VALUE"""),"Stock")</f>
        <v>Stock</v>
      </c>
      <c r="G186" s="35" t="str">
        <f>IFERROR(__xludf.DUMMYFUNCTION("""COMPUTED_VALUE"""),"USD")</f>
        <v>USD</v>
      </c>
      <c r="H186" s="183">
        <f>IFERROR(__xludf.DUMMYFUNCTION("""COMPUTED_VALUE"""),30.0)</f>
        <v>30</v>
      </c>
      <c r="I186" s="174">
        <f>IFERROR(__xludf.DUMMYFUNCTION("""COMPUTED_VALUE"""),7.80051)</f>
        <v>7.80051</v>
      </c>
      <c r="J186" s="175">
        <f>IFERROR(__xludf.DUMMYFUNCTION("""COMPUTED_VALUE"""),397.5)</f>
        <v>397.5</v>
      </c>
      <c r="K186" s="35"/>
      <c r="L186" s="175">
        <f>IFERROR(__xludf.DUMMYFUNCTION("""COMPUTED_VALUE"""),288.61)</f>
        <v>288.61</v>
      </c>
      <c r="M186" s="182" t="str">
        <f>IFERROR(__xludf.DUMMYFUNCTION("""COMPUTED_VALUE"""),"Equity Key Stats")</f>
        <v>Equity Key Stats</v>
      </c>
      <c r="N186" s="35"/>
      <c r="O186" s="35"/>
      <c r="P186" s="176">
        <f>IFERROR(__xludf.DUMMYFUNCTION("""COMPUTED_VALUE"""),-93021.08175)</f>
        <v>-93021.08175</v>
      </c>
      <c r="Q186" s="177"/>
      <c r="R186" s="178">
        <f>IFERROR(__xludf.DUMMYFUNCTION("""COMPUTED_VALUE"""),288.61)</f>
        <v>288.61</v>
      </c>
      <c r="S186" s="184">
        <f>IFERROR(__xludf.DUMMYFUNCTION("""COMPUTED_VALUE"""),67539.155733)</f>
        <v>67539.15573</v>
      </c>
      <c r="T186" s="95">
        <f>IFERROR(__xludf.DUMMYFUNCTION("""COMPUTED_VALUE"""),2.0)</f>
        <v>2</v>
      </c>
      <c r="U186" s="35" t="str">
        <f>IFERROR(__xludf.DUMMYFUNCTION("""COMPUTED_VALUE"""),"")</f>
        <v/>
      </c>
      <c r="V186" s="170" t="str">
        <f>IFERROR(__xludf.DUMMYFUNCTION("""COMPUTED_VALUE"""),"")</f>
        <v/>
      </c>
      <c r="W186" s="171" t="str">
        <f>IFERROR(__xludf.DUMMYFUNCTION("""COMPUTED_VALUE"""),"")</f>
        <v/>
      </c>
      <c r="X186" s="14" t="str">
        <f>IFERROR(__xludf.DUMMYFUNCTION("""COMPUTED_VALUE"""),"")</f>
        <v/>
      </c>
      <c r="Y186" s="14" t="str">
        <f>IFERROR(__xludf.DUMMYFUNCTION("""COMPUTED_VALUE"""),"")</f>
        <v/>
      </c>
      <c r="Z186" s="11" t="str">
        <f>IFERROR(__xludf.DUMMYFUNCTION("""COMPUTED_VALUE"""),"")</f>
        <v/>
      </c>
    </row>
    <row r="187">
      <c r="A187" s="35" t="str">
        <f>IFERROR(__xludf.DUMMYFUNCTION("""COMPUTED_VALUE"""),"")</f>
        <v/>
      </c>
      <c r="B187" s="35" t="str">
        <f>IFERROR(__xludf.DUMMYFUNCTION("""COMPUTED_VALUE"""),"37400")</f>
        <v>37400</v>
      </c>
      <c r="C187" s="172">
        <f>IFERROR(__xludf.DUMMYFUNCTION("""COMPUTED_VALUE"""),4.4616000337E10)</f>
        <v>44616000337</v>
      </c>
      <c r="D187" s="180" t="str">
        <f>IFERROR(__xludf.DUMMYFUNCTION("""COMPUTED_VALUE"""),"GOLD")</f>
        <v>GOLD</v>
      </c>
      <c r="E187" s="173">
        <f>IFERROR(__xludf.DUMMYFUNCTION("""COMPUTED_VALUE"""),44616.0)</f>
        <v>44616</v>
      </c>
      <c r="F187" s="35" t="str">
        <f>IFERROR(__xludf.DUMMYFUNCTION("""COMPUTED_VALUE"""),"Stock")</f>
        <v>Stock</v>
      </c>
      <c r="G187" s="35" t="str">
        <f>IFERROR(__xludf.DUMMYFUNCTION("""COMPUTED_VALUE"""),"USD")</f>
        <v>USD</v>
      </c>
      <c r="H187" s="181">
        <f>IFERROR(__xludf.DUMMYFUNCTION("""COMPUTED_VALUE"""),888.0)</f>
        <v>888</v>
      </c>
      <c r="I187" s="174">
        <f>IFERROR(__xludf.DUMMYFUNCTION("""COMPUTED_VALUE"""),7.80775)</f>
        <v>7.80775</v>
      </c>
      <c r="J187" s="175">
        <f>IFERROR(__xludf.DUMMYFUNCTION("""COMPUTED_VALUE"""),22.54)</f>
        <v>22.54</v>
      </c>
      <c r="K187" s="35"/>
      <c r="L187" s="175">
        <f>IFERROR(__xludf.DUMMYFUNCTION("""COMPUTED_VALUE"""),25.62)</f>
        <v>25.62</v>
      </c>
      <c r="M187" s="182" t="str">
        <f>IFERROR(__xludf.DUMMYFUNCTION("""COMPUTED_VALUE"""),"Equity Key Stats")</f>
        <v>Equity Key Stats</v>
      </c>
      <c r="N187" s="35"/>
      <c r="O187" s="35"/>
      <c r="P187" s="184">
        <f>IFERROR(__xludf.DUMMYFUNCTION("""COMPUTED_VALUE"""),-156276.17627999999)</f>
        <v>-156276.1763</v>
      </c>
      <c r="Q187" s="177"/>
      <c r="R187" s="178">
        <f>IFERROR(__xludf.DUMMYFUNCTION("""COMPUTED_VALUE"""),25.62)</f>
        <v>25.62</v>
      </c>
      <c r="S187" s="176">
        <f>IFERROR(__xludf.DUMMYFUNCTION("""COMPUTED_VALUE"""),177630.68484)</f>
        <v>177630.6848</v>
      </c>
      <c r="T187" s="95">
        <f>IFERROR(__xludf.DUMMYFUNCTION("""COMPUTED_VALUE"""),3.0)</f>
        <v>3</v>
      </c>
      <c r="U187" s="35" t="str">
        <f>IFERROR(__xludf.DUMMYFUNCTION("""COMPUTED_VALUE"""),"")</f>
        <v/>
      </c>
      <c r="V187" s="170" t="str">
        <f>IFERROR(__xludf.DUMMYFUNCTION("""COMPUTED_VALUE"""),"")</f>
        <v/>
      </c>
      <c r="W187" s="171" t="str">
        <f>IFERROR(__xludf.DUMMYFUNCTION("""COMPUTED_VALUE"""),"")</f>
        <v/>
      </c>
      <c r="X187" s="14" t="str">
        <f>IFERROR(__xludf.DUMMYFUNCTION("""COMPUTED_VALUE"""),"")</f>
        <v/>
      </c>
      <c r="Y187" s="14" t="str">
        <f>IFERROR(__xludf.DUMMYFUNCTION("""COMPUTED_VALUE"""),"")</f>
        <v/>
      </c>
      <c r="Z187" s="11" t="str">
        <f>IFERROR(__xludf.DUMMYFUNCTION("""COMPUTED_VALUE"""),"")</f>
        <v/>
      </c>
    </row>
    <row r="188">
      <c r="A188" s="35" t="str">
        <f>IFERROR(__xludf.DUMMYFUNCTION("""COMPUTED_VALUE"""),"")</f>
        <v/>
      </c>
      <c r="B188" s="35" t="str">
        <f>IFERROR(__xludf.DUMMYFUNCTION("""COMPUTED_VALUE"""),"37400")</f>
        <v>37400</v>
      </c>
      <c r="C188" s="172">
        <f>IFERROR(__xludf.DUMMYFUNCTION("""COMPUTED_VALUE"""),4.462300042E10)</f>
        <v>44623000420</v>
      </c>
      <c r="D188" s="180" t="str">
        <f>IFERROR(__xludf.DUMMYFUNCTION("""COMPUTED_VALUE"""),"GOLD")</f>
        <v>GOLD</v>
      </c>
      <c r="E188" s="173">
        <f>IFERROR(__xludf.DUMMYFUNCTION("""COMPUTED_VALUE"""),44623.0)</f>
        <v>44623</v>
      </c>
      <c r="F188" s="35" t="str">
        <f>IFERROR(__xludf.DUMMYFUNCTION("""COMPUTED_VALUE"""),"Stock")</f>
        <v>Stock</v>
      </c>
      <c r="G188" s="35" t="str">
        <f>IFERROR(__xludf.DUMMYFUNCTION("""COMPUTED_VALUE"""),"USD")</f>
        <v>USD</v>
      </c>
      <c r="H188" s="181">
        <f>IFERROR(__xludf.DUMMYFUNCTION("""COMPUTED_VALUE"""),-388.0)</f>
        <v>-388</v>
      </c>
      <c r="I188" s="174">
        <f>IFERROR(__xludf.DUMMYFUNCTION("""COMPUTED_VALUE"""),7.81585)</f>
        <v>7.81585</v>
      </c>
      <c r="J188" s="175">
        <f>IFERROR(__xludf.DUMMYFUNCTION("""COMPUTED_VALUE"""),23.57)</f>
        <v>23.57</v>
      </c>
      <c r="K188" s="35"/>
      <c r="L188" s="175">
        <f>IFERROR(__xludf.DUMMYFUNCTION("""COMPUTED_VALUE"""),25.62)</f>
        <v>25.62</v>
      </c>
      <c r="M188" s="182" t="str">
        <f>IFERROR(__xludf.DUMMYFUNCTION("""COMPUTED_VALUE"""),"Equity Key Stats")</f>
        <v>Equity Key Stats</v>
      </c>
      <c r="N188" s="35"/>
      <c r="O188" s="35"/>
      <c r="P188" s="184">
        <f>IFERROR(__xludf.DUMMYFUNCTION("""COMPUTED_VALUE"""),71477.19878600001)</f>
        <v>71477.19879</v>
      </c>
      <c r="Q188" s="177"/>
      <c r="R188" s="178">
        <f>IFERROR(__xludf.DUMMYFUNCTION("""COMPUTED_VALUE"""),25.62)</f>
        <v>25.62</v>
      </c>
      <c r="S188" s="176">
        <f>IFERROR(__xludf.DUMMYFUNCTION("""COMPUTED_VALUE"""),-77693.92587600001)</f>
        <v>-77693.92588</v>
      </c>
      <c r="T188" s="95">
        <f>IFERROR(__xludf.DUMMYFUNCTION("""COMPUTED_VALUE"""),3.0)</f>
        <v>3</v>
      </c>
      <c r="U188" s="35" t="str">
        <f>IFERROR(__xludf.DUMMYFUNCTION("""COMPUTED_VALUE"""),"")</f>
        <v/>
      </c>
      <c r="V188" s="170" t="str">
        <f>IFERROR(__xludf.DUMMYFUNCTION("""COMPUTED_VALUE"""),"")</f>
        <v/>
      </c>
      <c r="W188" s="171" t="str">
        <f>IFERROR(__xludf.DUMMYFUNCTION("""COMPUTED_VALUE"""),"")</f>
        <v/>
      </c>
      <c r="X188" s="14" t="str">
        <f>IFERROR(__xludf.DUMMYFUNCTION("""COMPUTED_VALUE"""),"")</f>
        <v/>
      </c>
      <c r="Y188" s="14" t="str">
        <f>IFERROR(__xludf.DUMMYFUNCTION("""COMPUTED_VALUE"""),"")</f>
        <v/>
      </c>
      <c r="Z188" s="11" t="str">
        <f>IFERROR(__xludf.DUMMYFUNCTION("""COMPUTED_VALUE"""),"")</f>
        <v/>
      </c>
    </row>
    <row r="189">
      <c r="A189" s="35" t="str">
        <f>IFERROR(__xludf.DUMMYFUNCTION("""COMPUTED_VALUE"""),"")</f>
        <v/>
      </c>
      <c r="B189" s="35" t="str">
        <f>IFERROR(__xludf.DUMMYFUNCTION("""COMPUTED_VALUE"""),"37400")</f>
        <v>37400</v>
      </c>
      <c r="C189" s="172">
        <f>IFERROR(__xludf.DUMMYFUNCTION("""COMPUTED_VALUE"""),4.4624000438E10)</f>
        <v>44624000438</v>
      </c>
      <c r="D189" s="180" t="str">
        <f>IFERROR(__xludf.DUMMYFUNCTION("""COMPUTED_VALUE"""),"TSLA")</f>
        <v>TSLA</v>
      </c>
      <c r="E189" s="173">
        <f>IFERROR(__xludf.DUMMYFUNCTION("""COMPUTED_VALUE"""),44624.0)</f>
        <v>44624</v>
      </c>
      <c r="F189" s="35" t="str">
        <f>IFERROR(__xludf.DUMMYFUNCTION("""COMPUTED_VALUE"""),"Stock")</f>
        <v>Stock</v>
      </c>
      <c r="G189" s="35" t="str">
        <f>IFERROR(__xludf.DUMMYFUNCTION("""COMPUTED_VALUE"""),"USD")</f>
        <v>USD</v>
      </c>
      <c r="H189" s="181">
        <f>IFERROR(__xludf.DUMMYFUNCTION("""COMPUTED_VALUE"""),18.0)</f>
        <v>18</v>
      </c>
      <c r="I189" s="174">
        <f>IFERROR(__xludf.DUMMYFUNCTION("""COMPUTED_VALUE"""),7.81428)</f>
        <v>7.81428</v>
      </c>
      <c r="J189" s="175">
        <f>IFERROR(__xludf.DUMMYFUNCTION("""COMPUTED_VALUE"""),838.29)</f>
        <v>838.29</v>
      </c>
      <c r="K189" s="35"/>
      <c r="L189" s="175">
        <f>IFERROR(__xludf.DUMMYFUNCTION("""COMPUTED_VALUE"""),1022.37)</f>
        <v>1022.37</v>
      </c>
      <c r="M189" s="182" t="str">
        <f>IFERROR(__xludf.DUMMYFUNCTION("""COMPUTED_VALUE"""),"Equity Key Stats")</f>
        <v>Equity Key Stats</v>
      </c>
      <c r="N189" s="35"/>
      <c r="O189" s="35"/>
      <c r="P189" s="184">
        <f>IFERROR(__xludf.DUMMYFUNCTION("""COMPUTED_VALUE"""),-117911.39006159999)</f>
        <v>-117911.3901</v>
      </c>
      <c r="Q189" s="177"/>
      <c r="R189" s="178">
        <f>IFERROR(__xludf.DUMMYFUNCTION("""COMPUTED_VALUE"""),1022.37)</f>
        <v>1022.37</v>
      </c>
      <c r="S189" s="176">
        <f>IFERROR(__xludf.DUMMYFUNCTION("""COMPUTED_VALUE"""),143803.5379848)</f>
        <v>143803.538</v>
      </c>
      <c r="T189" s="95">
        <f>IFERROR(__xludf.DUMMYFUNCTION("""COMPUTED_VALUE"""),4.0)</f>
        <v>4</v>
      </c>
      <c r="U189" s="35" t="str">
        <f>IFERROR(__xludf.DUMMYFUNCTION("""COMPUTED_VALUE"""),"")</f>
        <v/>
      </c>
      <c r="V189" s="170" t="str">
        <f>IFERROR(__xludf.DUMMYFUNCTION("""COMPUTED_VALUE"""),"")</f>
        <v/>
      </c>
      <c r="W189" s="171" t="str">
        <f>IFERROR(__xludf.DUMMYFUNCTION("""COMPUTED_VALUE"""),"")</f>
        <v/>
      </c>
      <c r="X189" s="14" t="str">
        <f>IFERROR(__xludf.DUMMYFUNCTION("""COMPUTED_VALUE"""),"")</f>
        <v/>
      </c>
      <c r="Y189" s="14" t="str">
        <f>IFERROR(__xludf.DUMMYFUNCTION("""COMPUTED_VALUE"""),"")</f>
        <v/>
      </c>
      <c r="Z189" s="11" t="str">
        <f>IFERROR(__xludf.DUMMYFUNCTION("""COMPUTED_VALUE"""),"")</f>
        <v/>
      </c>
    </row>
    <row r="190">
      <c r="A190" s="35" t="str">
        <f>IFERROR(__xludf.DUMMYFUNCTION("""COMPUTED_VALUE"""),"")</f>
        <v/>
      </c>
      <c r="B190" s="35" t="str">
        <f>IFERROR(__xludf.DUMMYFUNCTION("""COMPUTED_VALUE"""),"37400")</f>
        <v>37400</v>
      </c>
      <c r="C190" s="172">
        <f>IFERROR(__xludf.DUMMYFUNCTION("""COMPUTED_VALUE"""),4.46290005E10)</f>
        <v>44629000500</v>
      </c>
      <c r="D190" s="180" t="str">
        <f>IFERROR(__xludf.DUMMYFUNCTION("""COMPUTED_VALUE"""),"ANPDY")</f>
        <v>ANPDY</v>
      </c>
      <c r="E190" s="173">
        <f>IFERROR(__xludf.DUMMYFUNCTION("""COMPUTED_VALUE"""),44629.0)</f>
        <v>44629</v>
      </c>
      <c r="F190" s="35" t="str">
        <f>IFERROR(__xludf.DUMMYFUNCTION("""COMPUTED_VALUE"""),"Stock")</f>
        <v>Stock</v>
      </c>
      <c r="G190" s="35" t="str">
        <f>IFERROR(__xludf.DUMMYFUNCTION("""COMPUTED_VALUE"""),"USD")</f>
        <v>USD</v>
      </c>
      <c r="H190" s="181">
        <f>IFERROR(__xludf.DUMMYFUNCTION("""COMPUTED_VALUE"""),-30.0)</f>
        <v>-30</v>
      </c>
      <c r="I190" s="174">
        <f>IFERROR(__xludf.DUMMYFUNCTION("""COMPUTED_VALUE"""),7.81935)</f>
        <v>7.81935</v>
      </c>
      <c r="J190" s="175">
        <f>IFERROR(__xludf.DUMMYFUNCTION("""COMPUTED_VALUE"""),314.05)</f>
        <v>314.05</v>
      </c>
      <c r="K190" s="35"/>
      <c r="L190" s="175">
        <f>IFERROR(__xludf.DUMMYFUNCTION("""COMPUTED_VALUE"""),288.61)</f>
        <v>288.61</v>
      </c>
      <c r="M190" s="182" t="str">
        <f>IFERROR(__xludf.DUMMYFUNCTION("""COMPUTED_VALUE"""),"Equity Key Stats")</f>
        <v>Equity Key Stats</v>
      </c>
      <c r="N190" s="35"/>
      <c r="O190" s="35"/>
      <c r="P190" s="176">
        <f>IFERROR(__xludf.DUMMYFUNCTION("""COMPUTED_VALUE"""),73670.00602500001)</f>
        <v>73670.00603</v>
      </c>
      <c r="Q190" s="177"/>
      <c r="R190" s="178">
        <f>IFERROR(__xludf.DUMMYFUNCTION("""COMPUTED_VALUE"""),288.61)</f>
        <v>288.61</v>
      </c>
      <c r="S190" s="176">
        <f>IFERROR(__xludf.DUMMYFUNCTION("""COMPUTED_VALUE"""),-67702.278105)</f>
        <v>-67702.27811</v>
      </c>
      <c r="T190" s="95">
        <f>IFERROR(__xludf.DUMMYFUNCTION("""COMPUTED_VALUE"""),2.0)</f>
        <v>2</v>
      </c>
      <c r="U190" s="35">
        <f>IFERROR(__xludf.DUMMYFUNCTION("""COMPUTED_VALUE"""),1.0)</f>
        <v>1</v>
      </c>
      <c r="V190" s="170">
        <f>IFERROR(__xludf.DUMMYFUNCTION("""COMPUTED_VALUE"""),-19514.198096999986)</f>
        <v>-19514.1981</v>
      </c>
      <c r="W190" s="171" t="str">
        <f>IFERROR(__xludf.DUMMYFUNCTION("""COMPUTED_VALUE"""),"")</f>
        <v/>
      </c>
      <c r="X190" s="14" t="str">
        <f>IFERROR(__xludf.DUMMYFUNCTION("""COMPUTED_VALUE"""),"")</f>
        <v/>
      </c>
      <c r="Y190" s="14" t="str">
        <f>IFERROR(__xludf.DUMMYFUNCTION("""COMPUTED_VALUE"""),"")</f>
        <v/>
      </c>
      <c r="Z190" s="11" t="str">
        <f>IFERROR(__xludf.DUMMYFUNCTION("""COMPUTED_VALUE"""),"")</f>
        <v/>
      </c>
    </row>
    <row r="191">
      <c r="A191" s="35" t="str">
        <f>IFERROR(__xludf.DUMMYFUNCTION("""COMPUTED_VALUE"""),"")</f>
        <v/>
      </c>
      <c r="B191" s="35" t="str">
        <f>IFERROR(__xludf.DUMMYFUNCTION("""COMPUTED_VALUE"""),"37400")</f>
        <v>37400</v>
      </c>
      <c r="C191" s="172">
        <f>IFERROR(__xludf.DUMMYFUNCTION("""COMPUTED_VALUE"""),4.464100077E10)</f>
        <v>44641000770</v>
      </c>
      <c r="D191" s="180" t="str">
        <f>IFERROR(__xludf.DUMMYFUNCTION("""COMPUTED_VALUE"""),"TSLA")</f>
        <v>TSLA</v>
      </c>
      <c r="E191" s="173">
        <f>IFERROR(__xludf.DUMMYFUNCTION("""COMPUTED_VALUE"""),44641.0)</f>
        <v>44641</v>
      </c>
      <c r="F191" s="35" t="str">
        <f>IFERROR(__xludf.DUMMYFUNCTION("""COMPUTED_VALUE"""),"Stock")</f>
        <v>Stock</v>
      </c>
      <c r="G191" s="35" t="str">
        <f>IFERROR(__xludf.DUMMYFUNCTION("""COMPUTED_VALUE"""),"USD")</f>
        <v>USD</v>
      </c>
      <c r="H191" s="181">
        <f>IFERROR(__xludf.DUMMYFUNCTION("""COMPUTED_VALUE"""),-36.0)</f>
        <v>-36</v>
      </c>
      <c r="I191" s="174">
        <f>IFERROR(__xludf.DUMMYFUNCTION("""COMPUTED_VALUE"""),7.82545)</f>
        <v>7.82545</v>
      </c>
      <c r="J191" s="175">
        <f>IFERROR(__xludf.DUMMYFUNCTION("""COMPUTED_VALUE"""),921.16)</f>
        <v>921.16</v>
      </c>
      <c r="K191" s="35"/>
      <c r="L191" s="175">
        <f>IFERROR(__xludf.DUMMYFUNCTION("""COMPUTED_VALUE"""),1022.37)</f>
        <v>1022.37</v>
      </c>
      <c r="M191" s="182" t="str">
        <f>IFERROR(__xludf.DUMMYFUNCTION("""COMPUTED_VALUE"""),"Equity Key Stats")</f>
        <v>Equity Key Stats</v>
      </c>
      <c r="N191" s="35"/>
      <c r="O191" s="35"/>
      <c r="P191" s="176">
        <f>IFERROR(__xludf.DUMMYFUNCTION("""COMPUTED_VALUE"""),259505.694792)</f>
        <v>259505.6948</v>
      </c>
      <c r="Q191" s="177"/>
      <c r="R191" s="178">
        <f>IFERROR(__xludf.DUMMYFUNCTION("""COMPUTED_VALUE"""),1022.37)</f>
        <v>1022.37</v>
      </c>
      <c r="S191" s="176">
        <f>IFERROR(__xludf.DUMMYFUNCTION("""COMPUTED_VALUE"""),-288018.191394)</f>
        <v>-288018.1914</v>
      </c>
      <c r="T191" s="95">
        <f>IFERROR(__xludf.DUMMYFUNCTION("""COMPUTED_VALUE"""),4.0)</f>
        <v>4</v>
      </c>
      <c r="U191" s="95">
        <f>IFERROR(__xludf.DUMMYFUNCTION("""COMPUTED_VALUE"""),1.0)</f>
        <v>1</v>
      </c>
      <c r="V191" s="179">
        <f>IFERROR(__xludf.DUMMYFUNCTION("""COMPUTED_VALUE"""),17878.533222599974)</f>
        <v>17878.53322</v>
      </c>
      <c r="W191" s="171" t="str">
        <f>IFERROR(__xludf.DUMMYFUNCTION("""COMPUTED_VALUE"""),"")</f>
        <v/>
      </c>
      <c r="X191" s="14" t="str">
        <f>IFERROR(__xludf.DUMMYFUNCTION("""COMPUTED_VALUE"""),"")</f>
        <v/>
      </c>
      <c r="Y191" s="14" t="str">
        <f>IFERROR(__xludf.DUMMYFUNCTION("""COMPUTED_VALUE"""),"")</f>
        <v/>
      </c>
      <c r="Z191" s="11" t="str">
        <f>IFERROR(__xludf.DUMMYFUNCTION("""COMPUTED_VALUE"""),"")</f>
        <v/>
      </c>
    </row>
    <row r="192">
      <c r="A192" s="35" t="str">
        <f>IFERROR(__xludf.DUMMYFUNCTION("""COMPUTED_VALUE"""),"37400")</f>
        <v>37400</v>
      </c>
      <c r="B192" s="35" t="str">
        <f>IFERROR(__xludf.DUMMYFUNCTION("""COMPUTED_VALUE"""),"37400")</f>
        <v>37400</v>
      </c>
      <c r="C192" s="172">
        <f>IFERROR(__xludf.DUMMYFUNCTION("""COMPUTED_VALUE"""),4.4645000935E10)</f>
        <v>44645000935</v>
      </c>
      <c r="D192" s="180" t="str">
        <f>IFERROR(__xludf.DUMMYFUNCTION("""COMPUTED_VALUE"""),"GOLD")</f>
        <v>GOLD</v>
      </c>
      <c r="E192" s="173">
        <f>IFERROR(__xludf.DUMMYFUNCTION("""COMPUTED_VALUE"""),44645.0)</f>
        <v>44645</v>
      </c>
      <c r="F192" s="35" t="str">
        <f>IFERROR(__xludf.DUMMYFUNCTION("""COMPUTED_VALUE"""),"Stock")</f>
        <v>Stock</v>
      </c>
      <c r="G192" s="35" t="str">
        <f>IFERROR(__xludf.DUMMYFUNCTION("""COMPUTED_VALUE"""),"USD")</f>
        <v>USD</v>
      </c>
      <c r="H192" s="14">
        <f>IFERROR(__xludf.DUMMYFUNCTION("""COMPUTED_VALUE"""),-500.0)</f>
        <v>-500</v>
      </c>
      <c r="I192" s="174">
        <f>IFERROR(__xludf.DUMMYFUNCTION("""COMPUTED_VALUE"""),7.82975)</f>
        <v>7.82975</v>
      </c>
      <c r="J192" s="175">
        <f>IFERROR(__xludf.DUMMYFUNCTION("""COMPUTED_VALUE"""),24.54)</f>
        <v>24.54</v>
      </c>
      <c r="K192" s="35"/>
      <c r="L192" s="175">
        <f>IFERROR(__xludf.DUMMYFUNCTION("""COMPUTED_VALUE"""),25.62)</f>
        <v>25.62</v>
      </c>
      <c r="M192" s="182" t="str">
        <f>IFERROR(__xludf.DUMMYFUNCTION("""COMPUTED_VALUE"""),"Equity Key Stats")</f>
        <v>Equity Key Stats</v>
      </c>
      <c r="N192" s="35"/>
      <c r="O192" s="35"/>
      <c r="P192" s="176">
        <f>IFERROR(__xludf.DUMMYFUNCTION("""COMPUTED_VALUE"""),96071.0325)</f>
        <v>96071.0325</v>
      </c>
      <c r="Q192" s="177"/>
      <c r="R192" s="178">
        <f>IFERROR(__xludf.DUMMYFUNCTION("""COMPUTED_VALUE"""),25.62)</f>
        <v>25.62</v>
      </c>
      <c r="S192" s="176">
        <f>IFERROR(__xludf.DUMMYFUNCTION("""COMPUTED_VALUE"""),-100299.0975)</f>
        <v>-100299.0975</v>
      </c>
      <c r="T192" s="95">
        <f>IFERROR(__xludf.DUMMYFUNCTION("""COMPUTED_VALUE"""),3.0)</f>
        <v>3</v>
      </c>
      <c r="U192" s="35">
        <f>IFERROR(__xludf.DUMMYFUNCTION("""COMPUTED_VALUE"""),1.0)</f>
        <v>1</v>
      </c>
      <c r="V192" s="170">
        <f>IFERROR(__xludf.DUMMYFUNCTION("""COMPUTED_VALUE"""),10909.716470000014)</f>
        <v>10909.71647</v>
      </c>
      <c r="W192" s="171">
        <f>IFERROR(__xludf.DUMMYFUNCTION("""COMPUTED_VALUE"""),509274.0515956)</f>
        <v>509274.0516</v>
      </c>
      <c r="X192" s="14">
        <f>IFERROR(__xludf.DUMMYFUNCTION("""COMPUTED_VALUE"""),510489.70426689996)</f>
        <v>510489.7043</v>
      </c>
      <c r="Y192" s="14">
        <f>IFERROR(__xludf.DUMMYFUNCTION("""COMPUTED_VALUE"""),0.0)</f>
        <v>0</v>
      </c>
      <c r="Z192" s="11">
        <f>IFERROR(__xludf.DUMMYFUNCTION("""COMPUTED_VALUE"""),0.018548103191200038)</f>
        <v>0.01854810319</v>
      </c>
    </row>
    <row r="193">
      <c r="A193" s="35" t="str">
        <f>IFERROR(__xludf.DUMMYFUNCTION("""COMPUTED_VALUE"""),"")</f>
        <v/>
      </c>
      <c r="B193" s="35" t="str">
        <f>IFERROR(__xludf.DUMMYFUNCTION("""COMPUTED_VALUE"""),"37568")</f>
        <v>37568</v>
      </c>
      <c r="C193" s="172">
        <f>IFERROR(__xludf.DUMMYFUNCTION("""COMPUTED_VALUE"""),4.4597000105E10)</f>
        <v>44597000105</v>
      </c>
      <c r="D193" s="135" t="str">
        <f>IFERROR(__xludf.DUMMYFUNCTION("""COMPUTED_VALUE"""),"Cash")</f>
        <v>Cash</v>
      </c>
      <c r="E193" s="173">
        <f>IFERROR(__xludf.DUMMYFUNCTION("""COMPUTED_VALUE"""),44597.0)</f>
        <v>44597</v>
      </c>
      <c r="F193" s="35" t="str">
        <f>IFERROR(__xludf.DUMMYFUNCTION("""COMPUTED_VALUE"""),"Cash")</f>
        <v>Cash</v>
      </c>
      <c r="G193" s="35" t="str">
        <f>IFERROR(__xludf.DUMMYFUNCTION("""COMPUTED_VALUE"""),"HKD")</f>
        <v>HKD</v>
      </c>
      <c r="H193" s="183" t="str">
        <f>IFERROR(__xludf.DUMMYFUNCTION("""COMPUTED_VALUE"""),"")</f>
        <v/>
      </c>
      <c r="I193" s="174">
        <f>IFERROR(__xludf.DUMMYFUNCTION("""COMPUTED_VALUE"""),1.0)</f>
        <v>1</v>
      </c>
      <c r="J193" s="175">
        <f>IFERROR(__xludf.DUMMYFUNCTION("""COMPUTED_VALUE"""),1.0)</f>
        <v>1</v>
      </c>
      <c r="K193" s="35"/>
      <c r="L193" s="175">
        <f>IFERROR(__xludf.DUMMYFUNCTION("""COMPUTED_VALUE"""),1.0)</f>
        <v>1</v>
      </c>
      <c r="M193" s="182" t="str">
        <f>IFERROR(__xludf.DUMMYFUNCTION("""COMPUTED_VALUE"""),"")</f>
        <v/>
      </c>
      <c r="N193" s="35"/>
      <c r="O193" s="35"/>
      <c r="P193" s="176">
        <f>IFERROR(__xludf.DUMMYFUNCTION("""COMPUTED_VALUE"""),500000.0)</f>
        <v>500000</v>
      </c>
      <c r="Q193" s="177"/>
      <c r="R193" s="178">
        <f>IFERROR(__xludf.DUMMYFUNCTION("""COMPUTED_VALUE"""),1.0)</f>
        <v>1</v>
      </c>
      <c r="S193" s="184" t="str">
        <f>IFERROR(__xludf.DUMMYFUNCTION("""COMPUTED_VALUE"""),"")</f>
        <v/>
      </c>
      <c r="T193" s="95">
        <f>IFERROR(__xludf.DUMMYFUNCTION("""COMPUTED_VALUE"""),1.0)</f>
        <v>1</v>
      </c>
      <c r="U193" s="95">
        <f>IFERROR(__xludf.DUMMYFUNCTION("""COMPUTED_VALUE"""),1.0)</f>
        <v>1</v>
      </c>
      <c r="V193" s="185">
        <f>IFERROR(__xludf.DUMMYFUNCTION("""COMPUTED_VALUE"""),500000.0)</f>
        <v>500000</v>
      </c>
      <c r="W193" s="171" t="str">
        <f>IFERROR(__xludf.DUMMYFUNCTION("""COMPUTED_VALUE"""),"")</f>
        <v/>
      </c>
      <c r="X193" s="14" t="str">
        <f>IFERROR(__xludf.DUMMYFUNCTION("""COMPUTED_VALUE"""),"")</f>
        <v/>
      </c>
      <c r="Y193" s="14" t="str">
        <f>IFERROR(__xludf.DUMMYFUNCTION("""COMPUTED_VALUE"""),"")</f>
        <v/>
      </c>
      <c r="Z193" s="11" t="str">
        <f>IFERROR(__xludf.DUMMYFUNCTION("""COMPUTED_VALUE"""),"")</f>
        <v/>
      </c>
    </row>
    <row r="194">
      <c r="A194" s="35" t="str">
        <f>IFERROR(__xludf.DUMMYFUNCTION("""COMPUTED_VALUE"""),"")</f>
        <v/>
      </c>
      <c r="B194" s="35" t="str">
        <f>IFERROR(__xludf.DUMMYFUNCTION("""COMPUTED_VALUE"""),"37568")</f>
        <v>37568</v>
      </c>
      <c r="C194" s="172">
        <f>IFERROR(__xludf.DUMMYFUNCTION("""COMPUTED_VALUE"""),4.4661001323E10)</f>
        <v>44661001323</v>
      </c>
      <c r="D194" s="135" t="str">
        <f>IFERROR(__xludf.DUMMYFUNCTION("""COMPUTED_VALUE"""),"MSFT")</f>
        <v>MSFT</v>
      </c>
      <c r="E194" s="173">
        <f>IFERROR(__xludf.DUMMYFUNCTION("""COMPUTED_VALUE"""),44661.0)</f>
        <v>44661</v>
      </c>
      <c r="F194" s="35" t="str">
        <f>IFERROR(__xludf.DUMMYFUNCTION("""COMPUTED_VALUE"""),"Stock")</f>
        <v>Stock</v>
      </c>
      <c r="G194" s="35" t="str">
        <f>IFERROR(__xludf.DUMMYFUNCTION("""COMPUTED_VALUE"""),"USD")</f>
        <v>USD</v>
      </c>
      <c r="H194" s="183">
        <f>IFERROR(__xludf.DUMMYFUNCTION("""COMPUTED_VALUE"""),10.0)</f>
        <v>10</v>
      </c>
      <c r="I194" s="174">
        <f>IFERROR(__xludf.DUMMYFUNCTION("""COMPUTED_VALUE"""),7.838985)</f>
        <v>7.838985</v>
      </c>
      <c r="J194" s="175">
        <f>IFERROR(__xludf.DUMMYFUNCTION("""COMPUTED_VALUE"""),285.26)</f>
        <v>285.26</v>
      </c>
      <c r="K194" s="35"/>
      <c r="L194" s="175">
        <f>IFERROR(__xludf.DUMMYFUNCTION("""COMPUTED_VALUE"""),287.62)</f>
        <v>287.62</v>
      </c>
      <c r="M194" s="182" t="str">
        <f>IFERROR(__xludf.DUMMYFUNCTION("""COMPUTED_VALUE"""),"Equity Key Stats")</f>
        <v>Equity Key Stats</v>
      </c>
      <c r="N194" s="35"/>
      <c r="O194" s="35"/>
      <c r="P194" s="176">
        <f>IFERROR(__xludf.DUMMYFUNCTION("""COMPUTED_VALUE"""),-22361.488610999997)</f>
        <v>-22361.48861</v>
      </c>
      <c r="Q194" s="177"/>
      <c r="R194" s="178">
        <f>IFERROR(__xludf.DUMMYFUNCTION("""COMPUTED_VALUE"""),287.62)</f>
        <v>287.62</v>
      </c>
      <c r="S194" s="184">
        <f>IFERROR(__xludf.DUMMYFUNCTION("""COMPUTED_VALUE"""),22546.488656999998)</f>
        <v>22546.48866</v>
      </c>
      <c r="T194" s="95">
        <f>IFERROR(__xludf.DUMMYFUNCTION("""COMPUTED_VALUE"""),3.0)</f>
        <v>3</v>
      </c>
      <c r="U194" s="35" t="str">
        <f>IFERROR(__xludf.DUMMYFUNCTION("""COMPUTED_VALUE"""),"")</f>
        <v/>
      </c>
      <c r="V194" s="170" t="str">
        <f>IFERROR(__xludf.DUMMYFUNCTION("""COMPUTED_VALUE"""),"")</f>
        <v/>
      </c>
      <c r="W194" s="171" t="str">
        <f>IFERROR(__xludf.DUMMYFUNCTION("""COMPUTED_VALUE"""),"")</f>
        <v/>
      </c>
      <c r="X194" s="14" t="str">
        <f>IFERROR(__xludf.DUMMYFUNCTION("""COMPUTED_VALUE"""),"")</f>
        <v/>
      </c>
      <c r="Y194" s="14" t="str">
        <f>IFERROR(__xludf.DUMMYFUNCTION("""COMPUTED_VALUE"""),"")</f>
        <v/>
      </c>
      <c r="Z194" s="11" t="str">
        <f>IFERROR(__xludf.DUMMYFUNCTION("""COMPUTED_VALUE"""),"")</f>
        <v/>
      </c>
    </row>
    <row r="195">
      <c r="A195" s="35" t="str">
        <f>IFERROR(__xludf.DUMMYFUNCTION("""COMPUTED_VALUE"""),"")</f>
        <v/>
      </c>
      <c r="B195" s="35" t="str">
        <f>IFERROR(__xludf.DUMMYFUNCTION("""COMPUTED_VALUE"""),"37568")</f>
        <v>37568</v>
      </c>
      <c r="C195" s="172">
        <f>IFERROR(__xludf.DUMMYFUNCTION("""COMPUTED_VALUE"""),4.4662001366E10)</f>
        <v>44662001366</v>
      </c>
      <c r="D195" s="135" t="str">
        <f>IFERROR(__xludf.DUMMYFUNCTION("""COMPUTED_VALUE"""),"MSFT")</f>
        <v>MSFT</v>
      </c>
      <c r="E195" s="173">
        <f>IFERROR(__xludf.DUMMYFUNCTION("""COMPUTED_VALUE"""),44662.0)</f>
        <v>44662</v>
      </c>
      <c r="F195" s="35" t="str">
        <f>IFERROR(__xludf.DUMMYFUNCTION("""COMPUTED_VALUE"""),"Stock")</f>
        <v>Stock</v>
      </c>
      <c r="G195" s="35" t="str">
        <f>IFERROR(__xludf.DUMMYFUNCTION("""COMPUTED_VALUE"""),"USD")</f>
        <v>USD</v>
      </c>
      <c r="H195" s="181" t="str">
        <f>IFERROR(__xludf.DUMMYFUNCTION("""COMPUTED_VALUE"""),"")</f>
        <v/>
      </c>
      <c r="I195" s="174">
        <f>IFERROR(__xludf.DUMMYFUNCTION("""COMPUTED_VALUE"""),7.83795)</f>
        <v>7.83795</v>
      </c>
      <c r="J195" s="175">
        <f>IFERROR(__xludf.DUMMYFUNCTION("""COMPUTED_VALUE"""),285.26)</f>
        <v>285.26</v>
      </c>
      <c r="K195" s="35"/>
      <c r="L195" s="175">
        <f>IFERROR(__xludf.DUMMYFUNCTION("""COMPUTED_VALUE"""),287.62)</f>
        <v>287.62</v>
      </c>
      <c r="M195" s="182" t="str">
        <f>IFERROR(__xludf.DUMMYFUNCTION("""COMPUTED_VALUE"""),"Equity Key Stats")</f>
        <v>Equity Key Stats</v>
      </c>
      <c r="N195" s="35"/>
      <c r="O195" s="35"/>
      <c r="P195" s="184">
        <f>IFERROR(__xludf.DUMMYFUNCTION("""COMPUTED_VALUE"""),0.0)</f>
        <v>0</v>
      </c>
      <c r="Q195" s="177"/>
      <c r="R195" s="178">
        <f>IFERROR(__xludf.DUMMYFUNCTION("""COMPUTED_VALUE"""),287.62)</f>
        <v>287.62</v>
      </c>
      <c r="S195" s="176">
        <f>IFERROR(__xludf.DUMMYFUNCTION("""COMPUTED_VALUE"""),0.0)</f>
        <v>0</v>
      </c>
      <c r="T195" s="95">
        <f>IFERROR(__xludf.DUMMYFUNCTION("""COMPUTED_VALUE"""),3.0)</f>
        <v>3</v>
      </c>
      <c r="U195" s="95" t="str">
        <f>IFERROR(__xludf.DUMMYFUNCTION("""COMPUTED_VALUE"""),"")</f>
        <v/>
      </c>
      <c r="V195" s="185" t="str">
        <f>IFERROR(__xludf.DUMMYFUNCTION("""COMPUTED_VALUE"""),"")</f>
        <v/>
      </c>
      <c r="W195" s="55" t="str">
        <f>IFERROR(__xludf.DUMMYFUNCTION("""COMPUTED_VALUE"""),"")</f>
        <v/>
      </c>
      <c r="X195" s="181" t="str">
        <f>IFERROR(__xludf.DUMMYFUNCTION("""COMPUTED_VALUE"""),"")</f>
        <v/>
      </c>
      <c r="Y195" s="181" t="str">
        <f>IFERROR(__xludf.DUMMYFUNCTION("""COMPUTED_VALUE"""),"")</f>
        <v/>
      </c>
      <c r="Z195" s="189" t="str">
        <f>IFERROR(__xludf.DUMMYFUNCTION("""COMPUTED_VALUE"""),"")</f>
        <v/>
      </c>
    </row>
    <row r="196">
      <c r="A196" s="35" t="str">
        <f>IFERROR(__xludf.DUMMYFUNCTION("""COMPUTED_VALUE"""),"")</f>
        <v/>
      </c>
      <c r="B196" s="35" t="str">
        <f>IFERROR(__xludf.DUMMYFUNCTION("""COMPUTED_VALUE"""),"37568")</f>
        <v>37568</v>
      </c>
      <c r="C196" s="172">
        <f>IFERROR(__xludf.DUMMYFUNCTION("""COMPUTED_VALUE"""),4.4662001367E10)</f>
        <v>44662001367</v>
      </c>
      <c r="D196" s="135" t="str">
        <f>IFERROR(__xludf.DUMMYFUNCTION("""COMPUTED_VALUE"""),"MSFT")</f>
        <v>MSFT</v>
      </c>
      <c r="E196" s="173">
        <f>IFERROR(__xludf.DUMMYFUNCTION("""COMPUTED_VALUE"""),44662.0)</f>
        <v>44662</v>
      </c>
      <c r="F196" s="35" t="str">
        <f>IFERROR(__xludf.DUMMYFUNCTION("""COMPUTED_VALUE"""),"Stock")</f>
        <v>Stock</v>
      </c>
      <c r="G196" s="35" t="str">
        <f>IFERROR(__xludf.DUMMYFUNCTION("""COMPUTED_VALUE"""),"USD")</f>
        <v>USD</v>
      </c>
      <c r="H196" s="14" t="str">
        <f>IFERROR(__xludf.DUMMYFUNCTION("""COMPUTED_VALUE"""),"")</f>
        <v/>
      </c>
      <c r="I196" s="174">
        <f>IFERROR(__xludf.DUMMYFUNCTION("""COMPUTED_VALUE"""),7.83795)</f>
        <v>7.83795</v>
      </c>
      <c r="J196" s="175">
        <f>IFERROR(__xludf.DUMMYFUNCTION("""COMPUTED_VALUE"""),285.26)</f>
        <v>285.26</v>
      </c>
      <c r="K196" s="35"/>
      <c r="L196" s="175">
        <f>IFERROR(__xludf.DUMMYFUNCTION("""COMPUTED_VALUE"""),287.62)</f>
        <v>287.62</v>
      </c>
      <c r="M196" s="187" t="str">
        <f>IFERROR(__xludf.DUMMYFUNCTION("""COMPUTED_VALUE"""),"Equity Key Stats")</f>
        <v>Equity Key Stats</v>
      </c>
      <c r="N196" s="35"/>
      <c r="O196" s="35"/>
      <c r="P196" s="176">
        <f>IFERROR(__xludf.DUMMYFUNCTION("""COMPUTED_VALUE"""),0.0)</f>
        <v>0</v>
      </c>
      <c r="Q196" s="177"/>
      <c r="R196" s="178">
        <f>IFERROR(__xludf.DUMMYFUNCTION("""COMPUTED_VALUE"""),287.62)</f>
        <v>287.62</v>
      </c>
      <c r="S196" s="151">
        <f>IFERROR(__xludf.DUMMYFUNCTION("""COMPUTED_VALUE"""),0.0)</f>
        <v>0</v>
      </c>
      <c r="T196" s="95">
        <f>IFERROR(__xludf.DUMMYFUNCTION("""COMPUTED_VALUE"""),3.0)</f>
        <v>3</v>
      </c>
      <c r="U196" s="95">
        <f>IFERROR(__xludf.DUMMYFUNCTION("""COMPUTED_VALUE"""),1.0)</f>
        <v>1</v>
      </c>
      <c r="V196" s="179">
        <f>IFERROR(__xludf.DUMMYFUNCTION("""COMPUTED_VALUE"""),185.00004600000102)</f>
        <v>185.000046</v>
      </c>
      <c r="W196" s="171" t="str">
        <f>IFERROR(__xludf.DUMMYFUNCTION("""COMPUTED_VALUE"""),"")</f>
        <v/>
      </c>
      <c r="X196" s="14" t="str">
        <f>IFERROR(__xludf.DUMMYFUNCTION("""COMPUTED_VALUE"""),"")</f>
        <v/>
      </c>
      <c r="Y196" s="14" t="str">
        <f>IFERROR(__xludf.DUMMYFUNCTION("""COMPUTED_VALUE"""),"")</f>
        <v/>
      </c>
      <c r="Z196" s="11" t="str">
        <f>IFERROR(__xludf.DUMMYFUNCTION("""COMPUTED_VALUE"""),"")</f>
        <v/>
      </c>
    </row>
    <row r="197">
      <c r="A197" s="35" t="str">
        <f>IFERROR(__xludf.DUMMYFUNCTION("""COMPUTED_VALUE"""),"")</f>
        <v/>
      </c>
      <c r="B197" s="35" t="str">
        <f>IFERROR(__xludf.DUMMYFUNCTION("""COMPUTED_VALUE"""),"37568")</f>
        <v>37568</v>
      </c>
      <c r="C197" s="172">
        <f>IFERROR(__xludf.DUMMYFUNCTION("""COMPUTED_VALUE"""),4.4663001396E10)</f>
        <v>44663001396</v>
      </c>
      <c r="D197" s="190" t="str">
        <f>IFERROR(__xludf.DUMMYFUNCTION("""COMPUTED_VALUE"""),"9939.HK")</f>
        <v>9939.HK</v>
      </c>
      <c r="E197" s="173">
        <f>IFERROR(__xludf.DUMMYFUNCTION("""COMPUTED_VALUE"""),44663.0)</f>
        <v>44663</v>
      </c>
      <c r="F197" s="35" t="str">
        <f>IFERROR(__xludf.DUMMYFUNCTION("""COMPUTED_VALUE"""),"Stock")</f>
        <v>Stock</v>
      </c>
      <c r="G197" s="35" t="str">
        <f>IFERROR(__xludf.DUMMYFUNCTION("""COMPUTED_VALUE"""),"HKD")</f>
        <v>HKD</v>
      </c>
      <c r="H197" s="181">
        <f>IFERROR(__xludf.DUMMYFUNCTION("""COMPUTED_VALUE"""),500.0)</f>
        <v>500</v>
      </c>
      <c r="I197" s="174">
        <f>IFERROR(__xludf.DUMMYFUNCTION("""COMPUTED_VALUE"""),1.0)</f>
        <v>1</v>
      </c>
      <c r="J197" s="175">
        <f>IFERROR(__xludf.DUMMYFUNCTION("""COMPUTED_VALUE"""),28.0)</f>
        <v>28</v>
      </c>
      <c r="K197" s="35"/>
      <c r="L197" s="175">
        <f>IFERROR(__xludf.DUMMYFUNCTION("""COMPUTED_VALUE"""),28.15)</f>
        <v>28.15</v>
      </c>
      <c r="M197" s="187" t="str">
        <f>IFERROR(__xludf.DUMMYFUNCTION("""COMPUTED_VALUE"""),"Equity Key Stats")</f>
        <v>Equity Key Stats</v>
      </c>
      <c r="N197" s="35"/>
      <c r="O197" s="35"/>
      <c r="P197" s="184">
        <f>IFERROR(__xludf.DUMMYFUNCTION("""COMPUTED_VALUE"""),-14000.0)</f>
        <v>-14000</v>
      </c>
      <c r="Q197" s="177"/>
      <c r="R197" s="178">
        <f>IFERROR(__xludf.DUMMYFUNCTION("""COMPUTED_VALUE"""),28.15)</f>
        <v>28.15</v>
      </c>
      <c r="S197" s="176">
        <f>IFERROR(__xludf.DUMMYFUNCTION("""COMPUTED_VALUE"""),14075.0)</f>
        <v>14075</v>
      </c>
      <c r="T197" s="95">
        <f>IFERROR(__xludf.DUMMYFUNCTION("""COMPUTED_VALUE"""),1.0)</f>
        <v>1</v>
      </c>
      <c r="U197" s="95">
        <f>IFERROR(__xludf.DUMMYFUNCTION("""COMPUTED_VALUE"""),1.0)</f>
        <v>1</v>
      </c>
      <c r="V197" s="179">
        <f>IFERROR(__xludf.DUMMYFUNCTION("""COMPUTED_VALUE"""),75.0)</f>
        <v>75</v>
      </c>
      <c r="W197" s="171" t="str">
        <f>IFERROR(__xludf.DUMMYFUNCTION("""COMPUTED_VALUE"""),"")</f>
        <v/>
      </c>
      <c r="X197" s="14" t="str">
        <f>IFERROR(__xludf.DUMMYFUNCTION("""COMPUTED_VALUE"""),"")</f>
        <v/>
      </c>
      <c r="Y197" s="14" t="str">
        <f>IFERROR(__xludf.DUMMYFUNCTION("""COMPUTED_VALUE"""),"")</f>
        <v/>
      </c>
      <c r="Z197" s="11" t="str">
        <f>IFERROR(__xludf.DUMMYFUNCTION("""COMPUTED_VALUE"""),"")</f>
        <v/>
      </c>
    </row>
    <row r="198">
      <c r="A198" s="35" t="str">
        <f>IFERROR(__xludf.DUMMYFUNCTION("""COMPUTED_VALUE"""),"")</f>
        <v/>
      </c>
      <c r="B198" s="35" t="str">
        <f>IFERROR(__xludf.DUMMYFUNCTION("""COMPUTED_VALUE"""),"37568")</f>
        <v>37568</v>
      </c>
      <c r="C198" s="172">
        <f>IFERROR(__xludf.DUMMYFUNCTION("""COMPUTED_VALUE"""),4.4663001429E10)</f>
        <v>44663001429</v>
      </c>
      <c r="D198" s="135" t="str">
        <f>IFERROR(__xludf.DUMMYFUNCTION("""COMPUTED_VALUE"""),"AAPL")</f>
        <v>AAPL</v>
      </c>
      <c r="E198" s="173">
        <f>IFERROR(__xludf.DUMMYFUNCTION("""COMPUTED_VALUE"""),44663.0)</f>
        <v>44663</v>
      </c>
      <c r="F198" s="35" t="str">
        <f>IFERROR(__xludf.DUMMYFUNCTION("""COMPUTED_VALUE"""),"Stock")</f>
        <v>Stock</v>
      </c>
      <c r="G198" s="35" t="str">
        <f>IFERROR(__xludf.DUMMYFUNCTION("""COMPUTED_VALUE"""),"USD")</f>
        <v>USD</v>
      </c>
      <c r="H198" s="181">
        <f>IFERROR(__xludf.DUMMYFUNCTION("""COMPUTED_VALUE"""),500.0)</f>
        <v>500</v>
      </c>
      <c r="I198" s="174">
        <f>IFERROR(__xludf.DUMMYFUNCTION("""COMPUTED_VALUE"""),7.83775)</f>
        <v>7.83775</v>
      </c>
      <c r="J198" s="175">
        <f>IFERROR(__xludf.DUMMYFUNCTION("""COMPUTED_VALUE"""),167.66)</f>
        <v>167.66</v>
      </c>
      <c r="K198" s="35"/>
      <c r="L198" s="175">
        <f>IFERROR(__xludf.DUMMYFUNCTION("""COMPUTED_VALUE"""),170.4)</f>
        <v>170.4</v>
      </c>
      <c r="M198" s="182" t="str">
        <f>IFERROR(__xludf.DUMMYFUNCTION("""COMPUTED_VALUE"""),"Equity Key Stats")</f>
        <v>Equity Key Stats</v>
      </c>
      <c r="N198" s="35"/>
      <c r="O198" s="35"/>
      <c r="P198" s="176">
        <f>IFERROR(__xludf.DUMMYFUNCTION("""COMPUTED_VALUE"""),-657038.5825)</f>
        <v>-657038.5825</v>
      </c>
      <c r="Q198" s="177"/>
      <c r="R198" s="178">
        <f>IFERROR(__xludf.DUMMYFUNCTION("""COMPUTED_VALUE"""),170.4)</f>
        <v>170.4</v>
      </c>
      <c r="S198" s="176">
        <f>IFERROR(__xludf.DUMMYFUNCTION("""COMPUTED_VALUE"""),667776.3)</f>
        <v>667776.3</v>
      </c>
      <c r="T198" s="95">
        <f>IFERROR(__xludf.DUMMYFUNCTION("""COMPUTED_VALUE"""),1.0)</f>
        <v>1</v>
      </c>
      <c r="U198" s="35">
        <f>IFERROR(__xludf.DUMMYFUNCTION("""COMPUTED_VALUE"""),1.0)</f>
        <v>1</v>
      </c>
      <c r="V198" s="170">
        <f>IFERROR(__xludf.DUMMYFUNCTION("""COMPUTED_VALUE"""),10737.717500000028)</f>
        <v>10737.7175</v>
      </c>
      <c r="W198" s="171" t="str">
        <f>IFERROR(__xludf.DUMMYFUNCTION("""COMPUTED_VALUE"""),"")</f>
        <v/>
      </c>
      <c r="X198" s="14" t="str">
        <f>IFERROR(__xludf.DUMMYFUNCTION("""COMPUTED_VALUE"""),"")</f>
        <v/>
      </c>
      <c r="Y198" s="14" t="str">
        <f>IFERROR(__xludf.DUMMYFUNCTION("""COMPUTED_VALUE"""),"")</f>
        <v/>
      </c>
      <c r="Z198" s="11" t="str">
        <f>IFERROR(__xludf.DUMMYFUNCTION("""COMPUTED_VALUE"""),"")</f>
        <v/>
      </c>
    </row>
    <row r="199">
      <c r="A199" s="35" t="str">
        <f>IFERROR(__xludf.DUMMYFUNCTION("""COMPUTED_VALUE"""),"37568")</f>
        <v>37568</v>
      </c>
      <c r="B199" s="35" t="str">
        <f>IFERROR(__xludf.DUMMYFUNCTION("""COMPUTED_VALUE"""),"37568")</f>
        <v>37568</v>
      </c>
      <c r="C199" s="172">
        <f>IFERROR(__xludf.DUMMYFUNCTION("""COMPUTED_VALUE"""),4.466300143E10)</f>
        <v>44663001430</v>
      </c>
      <c r="D199" s="135" t="str">
        <f>IFERROR(__xludf.DUMMYFUNCTION("""COMPUTED_VALUE"""),"BILI")</f>
        <v>BILI</v>
      </c>
      <c r="E199" s="173">
        <f>IFERROR(__xludf.DUMMYFUNCTION("""COMPUTED_VALUE"""),44663.0)</f>
        <v>44663</v>
      </c>
      <c r="F199" s="35" t="str">
        <f>IFERROR(__xludf.DUMMYFUNCTION("""COMPUTED_VALUE"""),"Stock")</f>
        <v>Stock</v>
      </c>
      <c r="G199" s="35" t="str">
        <f>IFERROR(__xludf.DUMMYFUNCTION("""COMPUTED_VALUE"""),"USD")</f>
        <v>USD</v>
      </c>
      <c r="H199" s="181" t="str">
        <f>IFERROR(__xludf.DUMMYFUNCTION("""COMPUTED_VALUE"""),"")</f>
        <v/>
      </c>
      <c r="I199" s="174">
        <f>IFERROR(__xludf.DUMMYFUNCTION("""COMPUTED_VALUE"""),7.83775)</f>
        <v>7.83775</v>
      </c>
      <c r="J199" s="175">
        <f>IFERROR(__xludf.DUMMYFUNCTION("""COMPUTED_VALUE"""),24.94)</f>
        <v>24.94</v>
      </c>
      <c r="K199" s="35"/>
      <c r="L199" s="175">
        <f>IFERROR(__xludf.DUMMYFUNCTION("""COMPUTED_VALUE"""),26.24)</f>
        <v>26.24</v>
      </c>
      <c r="M199" s="182" t="str">
        <f>IFERROR(__xludf.DUMMYFUNCTION("""COMPUTED_VALUE"""),"Equity Key Stats")</f>
        <v>Equity Key Stats</v>
      </c>
      <c r="N199" s="35"/>
      <c r="O199" s="35"/>
      <c r="P199" s="176">
        <f>IFERROR(__xludf.DUMMYFUNCTION("""COMPUTED_VALUE"""),0.0)</f>
        <v>0</v>
      </c>
      <c r="Q199" s="177"/>
      <c r="R199" s="178">
        <f>IFERROR(__xludf.DUMMYFUNCTION("""COMPUTED_VALUE"""),26.24)</f>
        <v>26.24</v>
      </c>
      <c r="S199" s="176">
        <f>IFERROR(__xludf.DUMMYFUNCTION("""COMPUTED_VALUE"""),0.0)</f>
        <v>0</v>
      </c>
      <c r="T199" s="95">
        <f>IFERROR(__xludf.DUMMYFUNCTION("""COMPUTED_VALUE"""),1.0)</f>
        <v>1</v>
      </c>
      <c r="U199" s="35">
        <f>IFERROR(__xludf.DUMMYFUNCTION("""COMPUTED_VALUE"""),1.0)</f>
        <v>1</v>
      </c>
      <c r="V199" s="170">
        <f>IFERROR(__xludf.DUMMYFUNCTION("""COMPUTED_VALUE"""),0.0)</f>
        <v>0</v>
      </c>
      <c r="W199" s="171">
        <f>IFERROR(__xludf.DUMMYFUNCTION("""COMPUTED_VALUE"""),510997.717546)</f>
        <v>510997.7175</v>
      </c>
      <c r="X199" s="14">
        <f>IFERROR(__xludf.DUMMYFUNCTION("""COMPUTED_VALUE"""),-193400.07111100003)</f>
        <v>-193400.0711</v>
      </c>
      <c r="Y199" s="14">
        <f>IFERROR(__xludf.DUMMYFUNCTION("""COMPUTED_VALUE"""),193400.07111100003)</f>
        <v>193400.0711</v>
      </c>
      <c r="Z199" s="11">
        <f>IFERROR(__xludf.DUMMYFUNCTION("""COMPUTED_VALUE"""),0.02199543509199997)</f>
        <v>0.02199543509</v>
      </c>
    </row>
    <row r="200">
      <c r="A200" s="35" t="str">
        <f>IFERROR(__xludf.DUMMYFUNCTION("""COMPUTED_VALUE"""),"")</f>
        <v/>
      </c>
      <c r="B200" s="35" t="str">
        <f>IFERROR(__xludf.DUMMYFUNCTION("""COMPUTED_VALUE"""),"37649")</f>
        <v>37649</v>
      </c>
      <c r="C200" s="172">
        <f>IFERROR(__xludf.DUMMYFUNCTION("""COMPUTED_VALUE"""),4.4597000016E10)</f>
        <v>44597000016</v>
      </c>
      <c r="D200" s="135" t="str">
        <f>IFERROR(__xludf.DUMMYFUNCTION("""COMPUTED_VALUE"""),"Cash")</f>
        <v>Cash</v>
      </c>
      <c r="E200" s="173">
        <f>IFERROR(__xludf.DUMMYFUNCTION("""COMPUTED_VALUE"""),44597.0)</f>
        <v>44597</v>
      </c>
      <c r="F200" s="35" t="str">
        <f>IFERROR(__xludf.DUMMYFUNCTION("""COMPUTED_VALUE"""),"Cash")</f>
        <v>Cash</v>
      </c>
      <c r="G200" s="35" t="str">
        <f>IFERROR(__xludf.DUMMYFUNCTION("""COMPUTED_VALUE"""),"HKD")</f>
        <v>HKD</v>
      </c>
      <c r="H200" s="181" t="str">
        <f>IFERROR(__xludf.DUMMYFUNCTION("""COMPUTED_VALUE"""),"")</f>
        <v/>
      </c>
      <c r="I200" s="174">
        <f>IFERROR(__xludf.DUMMYFUNCTION("""COMPUTED_VALUE"""),1.0)</f>
        <v>1</v>
      </c>
      <c r="J200" s="175">
        <f>IFERROR(__xludf.DUMMYFUNCTION("""COMPUTED_VALUE"""),1.0)</f>
        <v>1</v>
      </c>
      <c r="K200" s="35"/>
      <c r="L200" s="175">
        <f>IFERROR(__xludf.DUMMYFUNCTION("""COMPUTED_VALUE"""),1.0)</f>
        <v>1</v>
      </c>
      <c r="M200" s="182" t="str">
        <f>IFERROR(__xludf.DUMMYFUNCTION("""COMPUTED_VALUE"""),"")</f>
        <v/>
      </c>
      <c r="N200" s="35"/>
      <c r="O200" s="35"/>
      <c r="P200" s="184">
        <f>IFERROR(__xludf.DUMMYFUNCTION("""COMPUTED_VALUE"""),500000.0)</f>
        <v>500000</v>
      </c>
      <c r="Q200" s="177"/>
      <c r="R200" s="178">
        <f>IFERROR(__xludf.DUMMYFUNCTION("""COMPUTED_VALUE"""),1.0)</f>
        <v>1</v>
      </c>
      <c r="S200" s="176" t="str">
        <f>IFERROR(__xludf.DUMMYFUNCTION("""COMPUTED_VALUE"""),"")</f>
        <v/>
      </c>
      <c r="T200" s="95">
        <f>IFERROR(__xludf.DUMMYFUNCTION("""COMPUTED_VALUE"""),1.0)</f>
        <v>1</v>
      </c>
      <c r="U200" s="95">
        <f>IFERROR(__xludf.DUMMYFUNCTION("""COMPUTED_VALUE"""),1.0)</f>
        <v>1</v>
      </c>
      <c r="V200" s="185">
        <f>IFERROR(__xludf.DUMMYFUNCTION("""COMPUTED_VALUE"""),500000.0)</f>
        <v>500000</v>
      </c>
      <c r="W200" s="55" t="str">
        <f>IFERROR(__xludf.DUMMYFUNCTION("""COMPUTED_VALUE"""),"")</f>
        <v/>
      </c>
      <c r="X200" s="181" t="str">
        <f>IFERROR(__xludf.DUMMYFUNCTION("""COMPUTED_VALUE"""),"")</f>
        <v/>
      </c>
      <c r="Y200" s="181" t="str">
        <f>IFERROR(__xludf.DUMMYFUNCTION("""COMPUTED_VALUE"""),"")</f>
        <v/>
      </c>
      <c r="Z200" s="189" t="str">
        <f>IFERROR(__xludf.DUMMYFUNCTION("""COMPUTED_VALUE"""),"")</f>
        <v/>
      </c>
    </row>
    <row r="201">
      <c r="A201" s="35" t="str">
        <f>IFERROR(__xludf.DUMMYFUNCTION("""COMPUTED_VALUE"""),"")</f>
        <v/>
      </c>
      <c r="B201" s="35" t="str">
        <f>IFERROR(__xludf.DUMMYFUNCTION("""COMPUTED_VALUE"""),"37649")</f>
        <v>37649</v>
      </c>
      <c r="C201" s="172">
        <f>IFERROR(__xludf.DUMMYFUNCTION("""COMPUTED_VALUE"""),4.4613000292E10)</f>
        <v>44613000292</v>
      </c>
      <c r="D201" s="188" t="str">
        <f>IFERROR(__xludf.DUMMYFUNCTION("""COMPUTED_VALUE"""),"1109.HK")</f>
        <v>1109.HK</v>
      </c>
      <c r="E201" s="173">
        <f>IFERROR(__xludf.DUMMYFUNCTION("""COMPUTED_VALUE"""),44613.0)</f>
        <v>44613</v>
      </c>
      <c r="F201" s="35" t="str">
        <f>IFERROR(__xludf.DUMMYFUNCTION("""COMPUTED_VALUE"""),"Stock")</f>
        <v>Stock</v>
      </c>
      <c r="G201" s="35" t="str">
        <f>IFERROR(__xludf.DUMMYFUNCTION("""COMPUTED_VALUE"""),"HKD")</f>
        <v>HKD</v>
      </c>
      <c r="H201" s="14">
        <f>IFERROR(__xludf.DUMMYFUNCTION("""COMPUTED_VALUE"""),4000.0)</f>
        <v>4000</v>
      </c>
      <c r="I201" s="174">
        <f>IFERROR(__xludf.DUMMYFUNCTION("""COMPUTED_VALUE"""),1.0)</f>
        <v>1</v>
      </c>
      <c r="J201" s="175">
        <f>IFERROR(__xludf.DUMMYFUNCTION("""COMPUTED_VALUE"""),39.7)</f>
        <v>39.7</v>
      </c>
      <c r="K201" s="35"/>
      <c r="L201" s="175">
        <f>IFERROR(__xludf.DUMMYFUNCTION("""COMPUTED_VALUE"""),38.75)</f>
        <v>38.75</v>
      </c>
      <c r="M201" s="187" t="str">
        <f>IFERROR(__xludf.DUMMYFUNCTION("""COMPUTED_VALUE"""),"Equity Key Stats")</f>
        <v>Equity Key Stats</v>
      </c>
      <c r="N201" s="35"/>
      <c r="O201" s="35"/>
      <c r="P201" s="176">
        <f>IFERROR(__xludf.DUMMYFUNCTION("""COMPUTED_VALUE"""),-158800.0)</f>
        <v>-158800</v>
      </c>
      <c r="Q201" s="177"/>
      <c r="R201" s="178">
        <f>IFERROR(__xludf.DUMMYFUNCTION("""COMPUTED_VALUE"""),38.75)</f>
        <v>38.75</v>
      </c>
      <c r="S201" s="151">
        <f>IFERROR(__xludf.DUMMYFUNCTION("""COMPUTED_VALUE"""),155000.0)</f>
        <v>155000</v>
      </c>
      <c r="T201" s="95">
        <f>IFERROR(__xludf.DUMMYFUNCTION("""COMPUTED_VALUE"""),2.0)</f>
        <v>2</v>
      </c>
      <c r="U201" s="95" t="str">
        <f>IFERROR(__xludf.DUMMYFUNCTION("""COMPUTED_VALUE"""),"")</f>
        <v/>
      </c>
      <c r="V201" s="179" t="str">
        <f>IFERROR(__xludf.DUMMYFUNCTION("""COMPUTED_VALUE"""),"")</f>
        <v/>
      </c>
      <c r="W201" s="171" t="str">
        <f>IFERROR(__xludf.DUMMYFUNCTION("""COMPUTED_VALUE"""),"")</f>
        <v/>
      </c>
      <c r="X201" s="14" t="str">
        <f>IFERROR(__xludf.DUMMYFUNCTION("""COMPUTED_VALUE"""),"")</f>
        <v/>
      </c>
      <c r="Y201" s="14" t="str">
        <f>IFERROR(__xludf.DUMMYFUNCTION("""COMPUTED_VALUE"""),"")</f>
        <v/>
      </c>
      <c r="Z201" s="11" t="str">
        <f>IFERROR(__xludf.DUMMYFUNCTION("""COMPUTED_VALUE"""),"")</f>
        <v/>
      </c>
    </row>
    <row r="202">
      <c r="A202" s="35" t="str">
        <f>IFERROR(__xludf.DUMMYFUNCTION("""COMPUTED_VALUE"""),"")</f>
        <v/>
      </c>
      <c r="B202" s="35" t="str">
        <f>IFERROR(__xludf.DUMMYFUNCTION("""COMPUTED_VALUE"""),"37649")</f>
        <v>37649</v>
      </c>
      <c r="C202" s="172">
        <f>IFERROR(__xludf.DUMMYFUNCTION("""COMPUTED_VALUE"""),4.4638000693E10)</f>
        <v>44638000693</v>
      </c>
      <c r="D202" s="192" t="str">
        <f>IFERROR(__xludf.DUMMYFUNCTION("""COMPUTED_VALUE"""),"1109.HK")</f>
        <v>1109.HK</v>
      </c>
      <c r="E202" s="173">
        <f>IFERROR(__xludf.DUMMYFUNCTION("""COMPUTED_VALUE"""),44638.0)</f>
        <v>44638</v>
      </c>
      <c r="F202" s="35" t="str">
        <f>IFERROR(__xludf.DUMMYFUNCTION("""COMPUTED_VALUE"""),"Stock")</f>
        <v>Stock</v>
      </c>
      <c r="G202" s="35" t="str">
        <f>IFERROR(__xludf.DUMMYFUNCTION("""COMPUTED_VALUE"""),"HKD")</f>
        <v>HKD</v>
      </c>
      <c r="H202" s="181">
        <f>IFERROR(__xludf.DUMMYFUNCTION("""COMPUTED_VALUE"""),-4000.0)</f>
        <v>-4000</v>
      </c>
      <c r="I202" s="174">
        <f>IFERROR(__xludf.DUMMYFUNCTION("""COMPUTED_VALUE"""),1.0)</f>
        <v>1</v>
      </c>
      <c r="J202" s="175">
        <f>IFERROR(__xludf.DUMMYFUNCTION("""COMPUTED_VALUE"""),37.2)</f>
        <v>37.2</v>
      </c>
      <c r="K202" s="35"/>
      <c r="L202" s="175">
        <f>IFERROR(__xludf.DUMMYFUNCTION("""COMPUTED_VALUE"""),38.75)</f>
        <v>38.75</v>
      </c>
      <c r="M202" s="182" t="str">
        <f>IFERROR(__xludf.DUMMYFUNCTION("""COMPUTED_VALUE"""),"Equity Key Stats")</f>
        <v>Equity Key Stats</v>
      </c>
      <c r="N202" s="35"/>
      <c r="O202" s="35"/>
      <c r="P202" s="184">
        <f>IFERROR(__xludf.DUMMYFUNCTION("""COMPUTED_VALUE"""),148800.0)</f>
        <v>148800</v>
      </c>
      <c r="Q202" s="177"/>
      <c r="R202" s="178">
        <f>IFERROR(__xludf.DUMMYFUNCTION("""COMPUTED_VALUE"""),38.75)</f>
        <v>38.75</v>
      </c>
      <c r="S202" s="176">
        <f>IFERROR(__xludf.DUMMYFUNCTION("""COMPUTED_VALUE"""),-155000.0)</f>
        <v>-155000</v>
      </c>
      <c r="T202" s="95">
        <f>IFERROR(__xludf.DUMMYFUNCTION("""COMPUTED_VALUE"""),2.0)</f>
        <v>2</v>
      </c>
      <c r="U202" s="35">
        <f>IFERROR(__xludf.DUMMYFUNCTION("""COMPUTED_VALUE"""),1.0)</f>
        <v>1</v>
      </c>
      <c r="V202" s="170">
        <f>IFERROR(__xludf.DUMMYFUNCTION("""COMPUTED_VALUE"""),-10000.0)</f>
        <v>-10000</v>
      </c>
      <c r="W202" s="171" t="str">
        <f>IFERROR(__xludf.DUMMYFUNCTION("""COMPUTED_VALUE"""),"")</f>
        <v/>
      </c>
      <c r="X202" s="14" t="str">
        <f>IFERROR(__xludf.DUMMYFUNCTION("""COMPUTED_VALUE"""),"")</f>
        <v/>
      </c>
      <c r="Y202" s="14" t="str">
        <f>IFERROR(__xludf.DUMMYFUNCTION("""COMPUTED_VALUE"""),"")</f>
        <v/>
      </c>
      <c r="Z202" s="11" t="str">
        <f>IFERROR(__xludf.DUMMYFUNCTION("""COMPUTED_VALUE"""),"")</f>
        <v/>
      </c>
    </row>
    <row r="203">
      <c r="A203" s="35" t="str">
        <f>IFERROR(__xludf.DUMMYFUNCTION("""COMPUTED_VALUE"""),"")</f>
        <v/>
      </c>
      <c r="B203" s="35" t="str">
        <f>IFERROR(__xludf.DUMMYFUNCTION("""COMPUTED_VALUE"""),"37649")</f>
        <v>37649</v>
      </c>
      <c r="C203" s="172">
        <f>IFERROR(__xludf.DUMMYFUNCTION("""COMPUTED_VALUE"""),4.4648000965E10)</f>
        <v>44648000965</v>
      </c>
      <c r="D203" s="192" t="str">
        <f>IFERROR(__xludf.DUMMYFUNCTION("""COMPUTED_VALUE"""),"NDAQ")</f>
        <v>NDAQ</v>
      </c>
      <c r="E203" s="173">
        <f>IFERROR(__xludf.DUMMYFUNCTION("""COMPUTED_VALUE"""),44648.0)</f>
        <v>44648</v>
      </c>
      <c r="F203" s="35" t="str">
        <f>IFERROR(__xludf.DUMMYFUNCTION("""COMPUTED_VALUE"""),"Stock")</f>
        <v>Stock</v>
      </c>
      <c r="G203" s="35" t="str">
        <f>IFERROR(__xludf.DUMMYFUNCTION("""COMPUTED_VALUE"""),"USD")</f>
        <v>USD</v>
      </c>
      <c r="H203" s="181">
        <f>IFERROR(__xludf.DUMMYFUNCTION("""COMPUTED_VALUE"""),50.0)</f>
        <v>50</v>
      </c>
      <c r="I203" s="174">
        <f>IFERROR(__xludf.DUMMYFUNCTION("""COMPUTED_VALUE"""),7.82905)</f>
        <v>7.82905</v>
      </c>
      <c r="J203" s="175">
        <f>IFERROR(__xludf.DUMMYFUNCTION("""COMPUTED_VALUE"""),177.54)</f>
        <v>177.54</v>
      </c>
      <c r="K203" s="35"/>
      <c r="L203" s="175">
        <f>IFERROR(__xludf.DUMMYFUNCTION("""COMPUTED_VALUE"""),181.39)</f>
        <v>181.39</v>
      </c>
      <c r="M203" s="182" t="str">
        <f>IFERROR(__xludf.DUMMYFUNCTION("""COMPUTED_VALUE"""),"Equity Key Stats")</f>
        <v>Equity Key Stats</v>
      </c>
      <c r="N203" s="35"/>
      <c r="O203" s="35"/>
      <c r="P203" s="184">
        <f>IFERROR(__xludf.DUMMYFUNCTION("""COMPUTED_VALUE"""),-69498.47684999999)</f>
        <v>-69498.47685</v>
      </c>
      <c r="Q203" s="177"/>
      <c r="R203" s="178">
        <f>IFERROR(__xludf.DUMMYFUNCTION("""COMPUTED_VALUE"""),181.39)</f>
        <v>181.39</v>
      </c>
      <c r="S203" s="176">
        <f>IFERROR(__xludf.DUMMYFUNCTION("""COMPUTED_VALUE"""),71005.56897499999)</f>
        <v>71005.56898</v>
      </c>
      <c r="T203" s="95">
        <f>IFERROR(__xludf.DUMMYFUNCTION("""COMPUTED_VALUE"""),1.0)</f>
        <v>1</v>
      </c>
      <c r="U203" s="95">
        <f>IFERROR(__xludf.DUMMYFUNCTION("""COMPUTED_VALUE"""),1.0)</f>
        <v>1</v>
      </c>
      <c r="V203" s="185">
        <f>IFERROR(__xludf.DUMMYFUNCTION("""COMPUTED_VALUE"""),1507.0921249999956)</f>
        <v>1507.092125</v>
      </c>
      <c r="W203" s="171" t="str">
        <f>IFERROR(__xludf.DUMMYFUNCTION("""COMPUTED_VALUE"""),"")</f>
        <v/>
      </c>
      <c r="X203" s="14" t="str">
        <f>IFERROR(__xludf.DUMMYFUNCTION("""COMPUTED_VALUE"""),"")</f>
        <v/>
      </c>
      <c r="Y203" s="14" t="str">
        <f>IFERROR(__xludf.DUMMYFUNCTION("""COMPUTED_VALUE"""),"")</f>
        <v/>
      </c>
      <c r="Z203" s="11" t="str">
        <f>IFERROR(__xludf.DUMMYFUNCTION("""COMPUTED_VALUE"""),"")</f>
        <v/>
      </c>
    </row>
    <row r="204">
      <c r="A204" s="35" t="str">
        <f>IFERROR(__xludf.DUMMYFUNCTION("""COMPUTED_VALUE"""),"")</f>
        <v/>
      </c>
      <c r="B204" s="35" t="str">
        <f>IFERROR(__xludf.DUMMYFUNCTION("""COMPUTED_VALUE"""),"37649")</f>
        <v>37649</v>
      </c>
      <c r="C204" s="172">
        <f>IFERROR(__xludf.DUMMYFUNCTION("""COMPUTED_VALUE"""),4.4648000966E10)</f>
        <v>44648000966</v>
      </c>
      <c r="D204" s="180" t="str">
        <f>IFERROR(__xludf.DUMMYFUNCTION("""COMPUTED_VALUE"""),"AAPL")</f>
        <v>AAPL</v>
      </c>
      <c r="E204" s="173">
        <f>IFERROR(__xludf.DUMMYFUNCTION("""COMPUTED_VALUE"""),44648.0)</f>
        <v>44648</v>
      </c>
      <c r="F204" s="35" t="str">
        <f>IFERROR(__xludf.DUMMYFUNCTION("""COMPUTED_VALUE"""),"Stock")</f>
        <v>Stock</v>
      </c>
      <c r="G204" s="35" t="str">
        <f>IFERROR(__xludf.DUMMYFUNCTION("""COMPUTED_VALUE"""),"USD")</f>
        <v>USD</v>
      </c>
      <c r="H204" s="181">
        <f>IFERROR(__xludf.DUMMYFUNCTION("""COMPUTED_VALUE"""),50.0)</f>
        <v>50</v>
      </c>
      <c r="I204" s="174">
        <f>IFERROR(__xludf.DUMMYFUNCTION("""COMPUTED_VALUE"""),7.82905)</f>
        <v>7.82905</v>
      </c>
      <c r="J204" s="175">
        <f>IFERROR(__xludf.DUMMYFUNCTION("""COMPUTED_VALUE"""),175.6)</f>
        <v>175.6</v>
      </c>
      <c r="K204" s="35"/>
      <c r="L204" s="175">
        <f>IFERROR(__xludf.DUMMYFUNCTION("""COMPUTED_VALUE"""),170.4)</f>
        <v>170.4</v>
      </c>
      <c r="M204" s="182" t="str">
        <f>IFERROR(__xludf.DUMMYFUNCTION("""COMPUTED_VALUE"""),"Equity Key Stats")</f>
        <v>Equity Key Stats</v>
      </c>
      <c r="N204" s="35"/>
      <c r="O204" s="35"/>
      <c r="P204" s="184">
        <f>IFERROR(__xludf.DUMMYFUNCTION("""COMPUTED_VALUE"""),-68739.059)</f>
        <v>-68739.059</v>
      </c>
      <c r="Q204" s="177"/>
      <c r="R204" s="178">
        <f>IFERROR(__xludf.DUMMYFUNCTION("""COMPUTED_VALUE"""),170.4)</f>
        <v>170.4</v>
      </c>
      <c r="S204" s="176">
        <f>IFERROR(__xludf.DUMMYFUNCTION("""COMPUTED_VALUE"""),66703.506)</f>
        <v>66703.506</v>
      </c>
      <c r="T204" s="95">
        <f>IFERROR(__xludf.DUMMYFUNCTION("""COMPUTED_VALUE"""),1.0)</f>
        <v>1</v>
      </c>
      <c r="U204" s="95">
        <f>IFERROR(__xludf.DUMMYFUNCTION("""COMPUTED_VALUE"""),1.0)</f>
        <v>1</v>
      </c>
      <c r="V204" s="185">
        <f>IFERROR(__xludf.DUMMYFUNCTION("""COMPUTED_VALUE"""),-2035.5529999999999)</f>
        <v>-2035.553</v>
      </c>
      <c r="W204" s="55" t="str">
        <f>IFERROR(__xludf.DUMMYFUNCTION("""COMPUTED_VALUE"""),"")</f>
        <v/>
      </c>
      <c r="X204" s="181" t="str">
        <f>IFERROR(__xludf.DUMMYFUNCTION("""COMPUTED_VALUE"""),"")</f>
        <v/>
      </c>
      <c r="Y204" s="181" t="str">
        <f>IFERROR(__xludf.DUMMYFUNCTION("""COMPUTED_VALUE"""),"")</f>
        <v/>
      </c>
      <c r="Z204" s="189" t="str">
        <f>IFERROR(__xludf.DUMMYFUNCTION("""COMPUTED_VALUE"""),"")</f>
        <v/>
      </c>
    </row>
    <row r="205">
      <c r="A205" s="35" t="str">
        <f>IFERROR(__xludf.DUMMYFUNCTION("""COMPUTED_VALUE"""),"37649")</f>
        <v>37649</v>
      </c>
      <c r="B205" s="35" t="str">
        <f>IFERROR(__xludf.DUMMYFUNCTION("""COMPUTED_VALUE"""),"37649")</f>
        <v>37649</v>
      </c>
      <c r="C205" s="172">
        <f>IFERROR(__xludf.DUMMYFUNCTION("""COMPUTED_VALUE"""),4.4652001092E10)</f>
        <v>44652001092</v>
      </c>
      <c r="D205" s="188" t="str">
        <f>IFERROR(__xludf.DUMMYFUNCTION("""COMPUTED_VALUE"""),"9988.HK")</f>
        <v>9988.HK</v>
      </c>
      <c r="E205" s="173">
        <f>IFERROR(__xludf.DUMMYFUNCTION("""COMPUTED_VALUE"""),44652.0)</f>
        <v>44652</v>
      </c>
      <c r="F205" s="35" t="str">
        <f>IFERROR(__xludf.DUMMYFUNCTION("""COMPUTED_VALUE"""),"Stock")</f>
        <v>Stock</v>
      </c>
      <c r="G205" s="35" t="str">
        <f>IFERROR(__xludf.DUMMYFUNCTION("""COMPUTED_VALUE"""),"HKD")</f>
        <v>HKD</v>
      </c>
      <c r="H205" s="14">
        <f>IFERROR(__xludf.DUMMYFUNCTION("""COMPUTED_VALUE"""),1500.0)</f>
        <v>1500</v>
      </c>
      <c r="I205" s="174">
        <f>IFERROR(__xludf.DUMMYFUNCTION("""COMPUTED_VALUE"""),1.0)</f>
        <v>1</v>
      </c>
      <c r="J205" s="175">
        <f>IFERROR(__xludf.DUMMYFUNCTION("""COMPUTED_VALUE"""),109.7)</f>
        <v>109.7</v>
      </c>
      <c r="K205" s="35"/>
      <c r="L205" s="175">
        <f>IFERROR(__xludf.DUMMYFUNCTION("""COMPUTED_VALUE"""),98.5)</f>
        <v>98.5</v>
      </c>
      <c r="M205" s="187" t="str">
        <f>IFERROR(__xludf.DUMMYFUNCTION("""COMPUTED_VALUE"""),"Equity Key Stats")</f>
        <v>Equity Key Stats</v>
      </c>
      <c r="N205" s="35"/>
      <c r="O205" s="35"/>
      <c r="P205" s="176">
        <f>IFERROR(__xludf.DUMMYFUNCTION("""COMPUTED_VALUE"""),-164550.0)</f>
        <v>-164550</v>
      </c>
      <c r="Q205" s="177"/>
      <c r="R205" s="178">
        <f>IFERROR(__xludf.DUMMYFUNCTION("""COMPUTED_VALUE"""),98.5)</f>
        <v>98.5</v>
      </c>
      <c r="S205" s="151">
        <f>IFERROR(__xludf.DUMMYFUNCTION("""COMPUTED_VALUE"""),147750.0)</f>
        <v>147750</v>
      </c>
      <c r="T205" s="95">
        <f>IFERROR(__xludf.DUMMYFUNCTION("""COMPUTED_VALUE"""),1.0)</f>
        <v>1</v>
      </c>
      <c r="U205" s="95">
        <f>IFERROR(__xludf.DUMMYFUNCTION("""COMPUTED_VALUE"""),1.0)</f>
        <v>1</v>
      </c>
      <c r="V205" s="179">
        <f>IFERROR(__xludf.DUMMYFUNCTION("""COMPUTED_VALUE"""),-16800.0)</f>
        <v>-16800</v>
      </c>
      <c r="W205" s="171">
        <f>IFERROR(__xludf.DUMMYFUNCTION("""COMPUTED_VALUE"""),472671.53912499995)</f>
        <v>472671.5391</v>
      </c>
      <c r="X205" s="14">
        <f>IFERROR(__xludf.DUMMYFUNCTION("""COMPUTED_VALUE"""),187212.46415)</f>
        <v>187212.4642</v>
      </c>
      <c r="Y205" s="14">
        <f>IFERROR(__xludf.DUMMYFUNCTION("""COMPUTED_VALUE"""),0.0)</f>
        <v>0</v>
      </c>
      <c r="Z205" s="11">
        <f>IFERROR(__xludf.DUMMYFUNCTION("""COMPUTED_VALUE"""),-0.05465692175000014)</f>
        <v>-0.05465692175</v>
      </c>
    </row>
    <row r="206">
      <c r="A206" s="35" t="str">
        <f>IFERROR(__xludf.DUMMYFUNCTION("""COMPUTED_VALUE"""),"")</f>
        <v/>
      </c>
      <c r="B206" s="35" t="str">
        <f>IFERROR(__xludf.DUMMYFUNCTION("""COMPUTED_VALUE"""),"37922")</f>
        <v>37922</v>
      </c>
      <c r="C206" s="172">
        <f>IFERROR(__xludf.DUMMYFUNCTION("""COMPUTED_VALUE"""),4.4597000094E10)</f>
        <v>44597000094</v>
      </c>
      <c r="D206" s="135" t="str">
        <f>IFERROR(__xludf.DUMMYFUNCTION("""COMPUTED_VALUE"""),"Cash")</f>
        <v>Cash</v>
      </c>
      <c r="E206" s="173">
        <f>IFERROR(__xludf.DUMMYFUNCTION("""COMPUTED_VALUE"""),44597.0)</f>
        <v>44597</v>
      </c>
      <c r="F206" s="35" t="str">
        <f>IFERROR(__xludf.DUMMYFUNCTION("""COMPUTED_VALUE"""),"Cash")</f>
        <v>Cash</v>
      </c>
      <c r="G206" s="35" t="str">
        <f>IFERROR(__xludf.DUMMYFUNCTION("""COMPUTED_VALUE"""),"HKD")</f>
        <v>HKD</v>
      </c>
      <c r="H206" s="181" t="str">
        <f>IFERROR(__xludf.DUMMYFUNCTION("""COMPUTED_VALUE"""),"")</f>
        <v/>
      </c>
      <c r="I206" s="174">
        <f>IFERROR(__xludf.DUMMYFUNCTION("""COMPUTED_VALUE"""),1.0)</f>
        <v>1</v>
      </c>
      <c r="J206" s="175">
        <f>IFERROR(__xludf.DUMMYFUNCTION("""COMPUTED_VALUE"""),1.0)</f>
        <v>1</v>
      </c>
      <c r="K206" s="35"/>
      <c r="L206" s="175">
        <f>IFERROR(__xludf.DUMMYFUNCTION("""COMPUTED_VALUE"""),1.0)</f>
        <v>1</v>
      </c>
      <c r="M206" s="182" t="str">
        <f>IFERROR(__xludf.DUMMYFUNCTION("""COMPUTED_VALUE"""),"")</f>
        <v/>
      </c>
      <c r="N206" s="35"/>
      <c r="O206" s="35"/>
      <c r="P206" s="184">
        <f>IFERROR(__xludf.DUMMYFUNCTION("""COMPUTED_VALUE"""),500000.0)</f>
        <v>500000</v>
      </c>
      <c r="Q206" s="177"/>
      <c r="R206" s="178">
        <f>IFERROR(__xludf.DUMMYFUNCTION("""COMPUTED_VALUE"""),1.0)</f>
        <v>1</v>
      </c>
      <c r="S206" s="176" t="str">
        <f>IFERROR(__xludf.DUMMYFUNCTION("""COMPUTED_VALUE"""),"")</f>
        <v/>
      </c>
      <c r="T206" s="95">
        <f>IFERROR(__xludf.DUMMYFUNCTION("""COMPUTED_VALUE"""),1.0)</f>
        <v>1</v>
      </c>
      <c r="U206" s="35">
        <f>IFERROR(__xludf.DUMMYFUNCTION("""COMPUTED_VALUE"""),1.0)</f>
        <v>1</v>
      </c>
      <c r="V206" s="170">
        <f>IFERROR(__xludf.DUMMYFUNCTION("""COMPUTED_VALUE"""),500000.0)</f>
        <v>500000</v>
      </c>
      <c r="W206" s="171" t="str">
        <f>IFERROR(__xludf.DUMMYFUNCTION("""COMPUTED_VALUE"""),"")</f>
        <v/>
      </c>
      <c r="X206" s="14" t="str">
        <f>IFERROR(__xludf.DUMMYFUNCTION("""COMPUTED_VALUE"""),"")</f>
        <v/>
      </c>
      <c r="Y206" s="14" t="str">
        <f>IFERROR(__xludf.DUMMYFUNCTION("""COMPUTED_VALUE"""),"")</f>
        <v/>
      </c>
      <c r="Z206" s="11" t="str">
        <f>IFERROR(__xludf.DUMMYFUNCTION("""COMPUTED_VALUE"""),"")</f>
        <v/>
      </c>
    </row>
    <row r="207">
      <c r="A207" s="35" t="str">
        <f>IFERROR(__xludf.DUMMYFUNCTION("""COMPUTED_VALUE"""),"")</f>
        <v/>
      </c>
      <c r="B207" s="35" t="str">
        <f>IFERROR(__xludf.DUMMYFUNCTION("""COMPUTED_VALUE"""),"37922")</f>
        <v>37922</v>
      </c>
      <c r="C207" s="172">
        <f>IFERROR(__xludf.DUMMYFUNCTION("""COMPUTED_VALUE"""),4.4636000611E10)</f>
        <v>44636000611</v>
      </c>
      <c r="D207" s="188" t="str">
        <f>IFERROR(__xludf.DUMMYFUNCTION("""COMPUTED_VALUE"""),"0700.hk")</f>
        <v>0700.hk</v>
      </c>
      <c r="E207" s="173">
        <f>IFERROR(__xludf.DUMMYFUNCTION("""COMPUTED_VALUE"""),44636.0)</f>
        <v>44636</v>
      </c>
      <c r="F207" s="35" t="str">
        <f>IFERROR(__xludf.DUMMYFUNCTION("""COMPUTED_VALUE"""),"Stock")</f>
        <v>Stock</v>
      </c>
      <c r="G207" s="35" t="str">
        <f>IFERROR(__xludf.DUMMYFUNCTION("""COMPUTED_VALUE"""),"HKD")</f>
        <v>HKD</v>
      </c>
      <c r="H207" s="181">
        <f>IFERROR(__xludf.DUMMYFUNCTION("""COMPUTED_VALUE"""),1.0)</f>
        <v>1</v>
      </c>
      <c r="I207" s="174">
        <f>IFERROR(__xludf.DUMMYFUNCTION("""COMPUTED_VALUE"""),1.0)</f>
        <v>1</v>
      </c>
      <c r="J207" s="175">
        <f>IFERROR(__xludf.DUMMYFUNCTION("""COMPUTED_VALUE"""),298.0)</f>
        <v>298</v>
      </c>
      <c r="K207" s="35"/>
      <c r="L207" s="175">
        <f>IFERROR(__xludf.DUMMYFUNCTION("""COMPUTED_VALUE"""),373.6)</f>
        <v>373.6</v>
      </c>
      <c r="M207" s="182" t="str">
        <f>IFERROR(__xludf.DUMMYFUNCTION("""COMPUTED_VALUE"""),"Equity Key Stats")</f>
        <v>Equity Key Stats</v>
      </c>
      <c r="N207" s="35"/>
      <c r="O207" s="35"/>
      <c r="P207" s="184">
        <f>IFERROR(__xludf.DUMMYFUNCTION("""COMPUTED_VALUE"""),-298.0)</f>
        <v>-298</v>
      </c>
      <c r="Q207" s="177"/>
      <c r="R207" s="178">
        <f>IFERROR(__xludf.DUMMYFUNCTION("""COMPUTED_VALUE"""),373.6)</f>
        <v>373.6</v>
      </c>
      <c r="S207" s="176">
        <f>IFERROR(__xludf.DUMMYFUNCTION("""COMPUTED_VALUE"""),373.6)</f>
        <v>373.6</v>
      </c>
      <c r="T207" s="95">
        <f>IFERROR(__xludf.DUMMYFUNCTION("""COMPUTED_VALUE"""),2.0)</f>
        <v>2</v>
      </c>
      <c r="U207" s="95" t="str">
        <f>IFERROR(__xludf.DUMMYFUNCTION("""COMPUTED_VALUE"""),"")</f>
        <v/>
      </c>
      <c r="V207" s="185" t="str">
        <f>IFERROR(__xludf.DUMMYFUNCTION("""COMPUTED_VALUE"""),"")</f>
        <v/>
      </c>
      <c r="W207" s="171" t="str">
        <f>IFERROR(__xludf.DUMMYFUNCTION("""COMPUTED_VALUE"""),"")</f>
        <v/>
      </c>
      <c r="X207" s="14" t="str">
        <f>IFERROR(__xludf.DUMMYFUNCTION("""COMPUTED_VALUE"""),"")</f>
        <v/>
      </c>
      <c r="Y207" s="14" t="str">
        <f>IFERROR(__xludf.DUMMYFUNCTION("""COMPUTED_VALUE"""),"")</f>
        <v/>
      </c>
      <c r="Z207" s="11" t="str">
        <f>IFERROR(__xludf.DUMMYFUNCTION("""COMPUTED_VALUE"""),"")</f>
        <v/>
      </c>
    </row>
    <row r="208">
      <c r="A208" s="35" t="str">
        <f>IFERROR(__xludf.DUMMYFUNCTION("""COMPUTED_VALUE"""),"")</f>
        <v/>
      </c>
      <c r="B208" s="35" t="str">
        <f>IFERROR(__xludf.DUMMYFUNCTION("""COMPUTED_VALUE"""),"37922")</f>
        <v>37922</v>
      </c>
      <c r="C208" s="172">
        <f>IFERROR(__xludf.DUMMYFUNCTION("""COMPUTED_VALUE"""),4.4643000797E10)</f>
        <v>44643000797</v>
      </c>
      <c r="D208" s="188" t="str">
        <f>IFERROR(__xludf.DUMMYFUNCTION("""COMPUTED_VALUE"""),"0700.HK")</f>
        <v>0700.HK</v>
      </c>
      <c r="E208" s="173">
        <f>IFERROR(__xludf.DUMMYFUNCTION("""COMPUTED_VALUE"""),44643.0)</f>
        <v>44643</v>
      </c>
      <c r="F208" s="35" t="str">
        <f>IFERROR(__xludf.DUMMYFUNCTION("""COMPUTED_VALUE"""),"Stock")</f>
        <v>Stock</v>
      </c>
      <c r="G208" s="35" t="str">
        <f>IFERROR(__xludf.DUMMYFUNCTION("""COMPUTED_VALUE"""),"HKD")</f>
        <v>HKD</v>
      </c>
      <c r="H208" s="181">
        <f>IFERROR(__xludf.DUMMYFUNCTION("""COMPUTED_VALUE"""),-1.0)</f>
        <v>-1</v>
      </c>
      <c r="I208" s="174">
        <f>IFERROR(__xludf.DUMMYFUNCTION("""COMPUTED_VALUE"""),1.0)</f>
        <v>1</v>
      </c>
      <c r="J208" s="175">
        <f>IFERROR(__xludf.DUMMYFUNCTION("""COMPUTED_VALUE"""),389.0)</f>
        <v>389</v>
      </c>
      <c r="K208" s="35"/>
      <c r="L208" s="175">
        <f>IFERROR(__xludf.DUMMYFUNCTION("""COMPUTED_VALUE"""),373.6)</f>
        <v>373.6</v>
      </c>
      <c r="M208" s="182" t="str">
        <f>IFERROR(__xludf.DUMMYFUNCTION("""COMPUTED_VALUE"""),"Equity Key Stats")</f>
        <v>Equity Key Stats</v>
      </c>
      <c r="N208" s="35"/>
      <c r="O208" s="35"/>
      <c r="P208" s="184">
        <f>IFERROR(__xludf.DUMMYFUNCTION("""COMPUTED_VALUE"""),389.0)</f>
        <v>389</v>
      </c>
      <c r="Q208" s="177"/>
      <c r="R208" s="178">
        <f>IFERROR(__xludf.DUMMYFUNCTION("""COMPUTED_VALUE"""),373.6)</f>
        <v>373.6</v>
      </c>
      <c r="S208" s="176">
        <f>IFERROR(__xludf.DUMMYFUNCTION("""COMPUTED_VALUE"""),-373.6)</f>
        <v>-373.6</v>
      </c>
      <c r="T208" s="95">
        <f>IFERROR(__xludf.DUMMYFUNCTION("""COMPUTED_VALUE"""),2.0)</f>
        <v>2</v>
      </c>
      <c r="U208" s="95">
        <f>IFERROR(__xludf.DUMMYFUNCTION("""COMPUTED_VALUE"""),1.0)</f>
        <v>1</v>
      </c>
      <c r="V208" s="179">
        <f>IFERROR(__xludf.DUMMYFUNCTION("""COMPUTED_VALUE"""),91.0)</f>
        <v>91</v>
      </c>
      <c r="W208" s="171" t="str">
        <f>IFERROR(__xludf.DUMMYFUNCTION("""COMPUTED_VALUE"""),"")</f>
        <v/>
      </c>
      <c r="X208" s="14" t="str">
        <f>IFERROR(__xludf.DUMMYFUNCTION("""COMPUTED_VALUE"""),"")</f>
        <v/>
      </c>
      <c r="Y208" s="14" t="str">
        <f>IFERROR(__xludf.DUMMYFUNCTION("""COMPUTED_VALUE"""),"")</f>
        <v/>
      </c>
      <c r="Z208" s="11" t="str">
        <f>IFERROR(__xludf.DUMMYFUNCTION("""COMPUTED_VALUE"""),"")</f>
        <v/>
      </c>
    </row>
    <row r="209">
      <c r="A209" s="35" t="str">
        <f>IFERROR(__xludf.DUMMYFUNCTION("""COMPUTED_VALUE"""),"")</f>
        <v/>
      </c>
      <c r="B209" s="35" t="str">
        <f>IFERROR(__xludf.DUMMYFUNCTION("""COMPUTED_VALUE"""),"37922")</f>
        <v>37922</v>
      </c>
      <c r="C209" s="172">
        <f>IFERROR(__xludf.DUMMYFUNCTION("""COMPUTED_VALUE"""),4.4645000897E10)</f>
        <v>44645000897</v>
      </c>
      <c r="D209" s="180" t="str">
        <f>IFERROR(__xludf.DUMMYFUNCTION("""COMPUTED_VALUE"""),"3M")</f>
        <v>3M</v>
      </c>
      <c r="E209" s="173">
        <f>IFERROR(__xludf.DUMMYFUNCTION("""COMPUTED_VALUE"""),44645.0)</f>
        <v>44645</v>
      </c>
      <c r="F209" s="35" t="str">
        <f>IFERROR(__xludf.DUMMYFUNCTION("""COMPUTED_VALUE"""),"Time Deposit")</f>
        <v>Time Deposit</v>
      </c>
      <c r="G209" s="35" t="str">
        <f>IFERROR(__xludf.DUMMYFUNCTION("""COMPUTED_VALUE"""),"HKD")</f>
        <v>HKD</v>
      </c>
      <c r="H209" s="183">
        <f>IFERROR(__xludf.DUMMYFUNCTION("""COMPUTED_VALUE"""),100000.0)</f>
        <v>100000</v>
      </c>
      <c r="I209" s="174">
        <f>IFERROR(__xludf.DUMMYFUNCTION("""COMPUTED_VALUE"""),1.0)</f>
        <v>1</v>
      </c>
      <c r="J209" s="175">
        <f>IFERROR(__xludf.DUMMYFUNCTION("""COMPUTED_VALUE"""),1.0)</f>
        <v>1</v>
      </c>
      <c r="K209" s="35"/>
      <c r="L209" s="175">
        <f>IFERROR(__xludf.DUMMYFUNCTION("""COMPUTED_VALUE"""),1.0)</f>
        <v>1</v>
      </c>
      <c r="M209" s="182" t="str">
        <f>IFERROR(__xludf.DUMMYFUNCTION("""COMPUTED_VALUE"""),"")</f>
        <v/>
      </c>
      <c r="N209" s="35"/>
      <c r="O209" s="35"/>
      <c r="P209" s="176">
        <f>IFERROR(__xludf.DUMMYFUNCTION("""COMPUTED_VALUE"""),-100000.0)</f>
        <v>-100000</v>
      </c>
      <c r="Q209" s="177"/>
      <c r="R209" s="178">
        <f>IFERROR(__xludf.DUMMYFUNCTION("""COMPUTED_VALUE"""),1.0)</f>
        <v>1</v>
      </c>
      <c r="S209" s="184">
        <f>IFERROR(__xludf.DUMMYFUNCTION("""COMPUTED_VALUE"""),100000.0)</f>
        <v>100000</v>
      </c>
      <c r="T209" s="95">
        <f>IFERROR(__xludf.DUMMYFUNCTION("""COMPUTED_VALUE"""),1.0)</f>
        <v>1</v>
      </c>
      <c r="U209" s="95">
        <f>IFERROR(__xludf.DUMMYFUNCTION("""COMPUTED_VALUE"""),1.0)</f>
        <v>1</v>
      </c>
      <c r="V209" s="185">
        <f>IFERROR(__xludf.DUMMYFUNCTION("""COMPUTED_VALUE"""),0.0)</f>
        <v>0</v>
      </c>
      <c r="W209" s="55" t="str">
        <f>IFERROR(__xludf.DUMMYFUNCTION("""COMPUTED_VALUE"""),"")</f>
        <v/>
      </c>
      <c r="X209" s="181" t="str">
        <f>IFERROR(__xludf.DUMMYFUNCTION("""COMPUTED_VALUE"""),"")</f>
        <v/>
      </c>
      <c r="Y209" s="181" t="str">
        <f>IFERROR(__xludf.DUMMYFUNCTION("""COMPUTED_VALUE"""),"")</f>
        <v/>
      </c>
      <c r="Z209" s="189" t="str">
        <f>IFERROR(__xludf.DUMMYFUNCTION("""COMPUTED_VALUE"""),"")</f>
        <v/>
      </c>
    </row>
    <row r="210">
      <c r="A210" s="35" t="str">
        <f>IFERROR(__xludf.DUMMYFUNCTION("""COMPUTED_VALUE"""),"")</f>
        <v/>
      </c>
      <c r="B210" s="35" t="str">
        <f>IFERROR(__xludf.DUMMYFUNCTION("""COMPUTED_VALUE"""),"37922")</f>
        <v>37922</v>
      </c>
      <c r="C210" s="172">
        <f>IFERROR(__xludf.DUMMYFUNCTION("""COMPUTED_VALUE"""),4.4649000974E10)</f>
        <v>44649000974</v>
      </c>
      <c r="D210" s="188" t="str">
        <f>IFERROR(__xludf.DUMMYFUNCTION("""COMPUTED_VALUE"""),"600056.SS")</f>
        <v>600056.SS</v>
      </c>
      <c r="E210" s="173">
        <f>IFERROR(__xludf.DUMMYFUNCTION("""COMPUTED_VALUE"""),44649.0)</f>
        <v>44649</v>
      </c>
      <c r="F210" s="35" t="str">
        <f>IFERROR(__xludf.DUMMYFUNCTION("""COMPUTED_VALUE"""),"Stock")</f>
        <v>Stock</v>
      </c>
      <c r="G210" s="35" t="str">
        <f>IFERROR(__xludf.DUMMYFUNCTION("""COMPUTED_VALUE"""),"CNY")</f>
        <v>CNY</v>
      </c>
      <c r="H210" s="14">
        <f>IFERROR(__xludf.DUMMYFUNCTION("""COMPUTED_VALUE"""),10.0)</f>
        <v>10</v>
      </c>
      <c r="I210" s="174">
        <f>IFERROR(__xludf.DUMMYFUNCTION("""COMPUTED_VALUE"""),1.229779)</f>
        <v>1.229779</v>
      </c>
      <c r="J210" s="175">
        <f>IFERROR(__xludf.DUMMYFUNCTION("""COMPUTED_VALUE"""),33.25)</f>
        <v>33.25</v>
      </c>
      <c r="K210" s="35"/>
      <c r="L210" s="175">
        <f>IFERROR(__xludf.DUMMYFUNCTION("""COMPUTED_VALUE"""),25.89)</f>
        <v>25.89</v>
      </c>
      <c r="M210" s="187" t="str">
        <f>IFERROR(__xludf.DUMMYFUNCTION("""COMPUTED_VALUE"""),"Equity Key Stats")</f>
        <v>Equity Key Stats</v>
      </c>
      <c r="N210" s="35"/>
      <c r="O210" s="35"/>
      <c r="P210" s="176">
        <f>IFERROR(__xludf.DUMMYFUNCTION("""COMPUTED_VALUE"""),-408.90151749999995)</f>
        <v>-408.9015175</v>
      </c>
      <c r="Q210" s="177"/>
      <c r="R210" s="178">
        <f>IFERROR(__xludf.DUMMYFUNCTION("""COMPUTED_VALUE"""),25.89)</f>
        <v>25.89</v>
      </c>
      <c r="S210" s="151">
        <f>IFERROR(__xludf.DUMMYFUNCTION("""COMPUTED_VALUE"""),318.3897831)</f>
        <v>318.3897831</v>
      </c>
      <c r="T210" s="95">
        <f>IFERROR(__xludf.DUMMYFUNCTION("""COMPUTED_VALUE"""),1.0)</f>
        <v>1</v>
      </c>
      <c r="U210" s="95">
        <f>IFERROR(__xludf.DUMMYFUNCTION("""COMPUTED_VALUE"""),1.0)</f>
        <v>1</v>
      </c>
      <c r="V210" s="179">
        <f>IFERROR(__xludf.DUMMYFUNCTION("""COMPUTED_VALUE"""),-90.51173439999997)</f>
        <v>-90.5117344</v>
      </c>
      <c r="W210" s="171" t="str">
        <f>IFERROR(__xludf.DUMMYFUNCTION("""COMPUTED_VALUE"""),"")</f>
        <v/>
      </c>
      <c r="X210" s="14" t="str">
        <f>IFERROR(__xludf.DUMMYFUNCTION("""COMPUTED_VALUE"""),"")</f>
        <v/>
      </c>
      <c r="Y210" s="14" t="str">
        <f>IFERROR(__xludf.DUMMYFUNCTION("""COMPUTED_VALUE"""),"")</f>
        <v/>
      </c>
      <c r="Z210" s="11" t="str">
        <f>IFERROR(__xludf.DUMMYFUNCTION("""COMPUTED_VALUE"""),"")</f>
        <v/>
      </c>
    </row>
    <row r="211">
      <c r="A211" s="35" t="str">
        <f>IFERROR(__xludf.DUMMYFUNCTION("""COMPUTED_VALUE"""),"")</f>
        <v/>
      </c>
      <c r="B211" s="35" t="str">
        <f>IFERROR(__xludf.DUMMYFUNCTION("""COMPUTED_VALUE"""),"37922")</f>
        <v>37922</v>
      </c>
      <c r="C211" s="172">
        <f>IFERROR(__xludf.DUMMYFUNCTION("""COMPUTED_VALUE"""),4.4649000975E10)</f>
        <v>44649000975</v>
      </c>
      <c r="D211" s="188" t="str">
        <f>IFERROR(__xludf.DUMMYFUNCTION("""COMPUTED_VALUE"""),"002060.SZ")</f>
        <v>002060.SZ</v>
      </c>
      <c r="E211" s="173">
        <f>IFERROR(__xludf.DUMMYFUNCTION("""COMPUTED_VALUE"""),44649.0)</f>
        <v>44649</v>
      </c>
      <c r="F211" s="35" t="str">
        <f>IFERROR(__xludf.DUMMYFUNCTION("""COMPUTED_VALUE"""),"Stock")</f>
        <v>Stock</v>
      </c>
      <c r="G211" s="35" t="str">
        <f>IFERROR(__xludf.DUMMYFUNCTION("""COMPUTED_VALUE"""),"CNY")</f>
        <v>CNY</v>
      </c>
      <c r="H211" s="181">
        <f>IFERROR(__xludf.DUMMYFUNCTION("""COMPUTED_VALUE"""),10.0)</f>
        <v>10</v>
      </c>
      <c r="I211" s="174">
        <f>IFERROR(__xludf.DUMMYFUNCTION("""COMPUTED_VALUE"""),1.229779)</f>
        <v>1.229779</v>
      </c>
      <c r="J211" s="175">
        <f>IFERROR(__xludf.DUMMYFUNCTION("""COMPUTED_VALUE"""),8.25)</f>
        <v>8.25</v>
      </c>
      <c r="K211" s="35"/>
      <c r="L211" s="175">
        <f>IFERROR(__xludf.DUMMYFUNCTION("""COMPUTED_VALUE"""),6.85)</f>
        <v>6.85</v>
      </c>
      <c r="M211" s="182" t="str">
        <f>IFERROR(__xludf.DUMMYFUNCTION("""COMPUTED_VALUE"""),"Equity Key Stats")</f>
        <v>Equity Key Stats</v>
      </c>
      <c r="N211" s="35"/>
      <c r="O211" s="35"/>
      <c r="P211" s="176">
        <f>IFERROR(__xludf.DUMMYFUNCTION("""COMPUTED_VALUE"""),-101.4567675)</f>
        <v>-101.4567675</v>
      </c>
      <c r="Q211" s="177"/>
      <c r="R211" s="178">
        <f>IFERROR(__xludf.DUMMYFUNCTION("""COMPUTED_VALUE"""),6.85)</f>
        <v>6.85</v>
      </c>
      <c r="S211" s="176">
        <f>IFERROR(__xludf.DUMMYFUNCTION("""COMPUTED_VALUE"""),84.23986149999999)</f>
        <v>84.2398615</v>
      </c>
      <c r="T211" s="95">
        <f>IFERROR(__xludf.DUMMYFUNCTION("""COMPUTED_VALUE"""),1.0)</f>
        <v>1</v>
      </c>
      <c r="U211" s="35">
        <f>IFERROR(__xludf.DUMMYFUNCTION("""COMPUTED_VALUE"""),1.0)</f>
        <v>1</v>
      </c>
      <c r="V211" s="170">
        <f>IFERROR(__xludf.DUMMYFUNCTION("""COMPUTED_VALUE"""),-17.21690600000001)</f>
        <v>-17.216906</v>
      </c>
      <c r="W211" s="171" t="str">
        <f>IFERROR(__xludf.DUMMYFUNCTION("""COMPUTED_VALUE"""),"")</f>
        <v/>
      </c>
      <c r="X211" s="14" t="str">
        <f>IFERROR(__xludf.DUMMYFUNCTION("""COMPUTED_VALUE"""),"")</f>
        <v/>
      </c>
      <c r="Y211" s="14" t="str">
        <f>IFERROR(__xludf.DUMMYFUNCTION("""COMPUTED_VALUE"""),"")</f>
        <v/>
      </c>
      <c r="Z211" s="11" t="str">
        <f>IFERROR(__xludf.DUMMYFUNCTION("""COMPUTED_VALUE"""),"")</f>
        <v/>
      </c>
    </row>
    <row r="212">
      <c r="A212" s="35" t="str">
        <f>IFERROR(__xludf.DUMMYFUNCTION("""COMPUTED_VALUE"""),"37922")</f>
        <v>37922</v>
      </c>
      <c r="B212" s="35" t="str">
        <f>IFERROR(__xludf.DUMMYFUNCTION("""COMPUTED_VALUE"""),"37922")</f>
        <v>37922</v>
      </c>
      <c r="C212" s="172">
        <f>IFERROR(__xludf.DUMMYFUNCTION("""COMPUTED_VALUE"""),4.4650001009E10)</f>
        <v>44650001009</v>
      </c>
      <c r="D212" s="180" t="str">
        <f>IFERROR(__xludf.DUMMYFUNCTION("""COMPUTED_VALUE"""),"HK0000814290")</f>
        <v>HK0000814290</v>
      </c>
      <c r="E212" s="173">
        <f>IFERROR(__xludf.DUMMYFUNCTION("""COMPUTED_VALUE"""),44650.0)</f>
        <v>44650</v>
      </c>
      <c r="F212" s="35" t="str">
        <f>IFERROR(__xludf.DUMMYFUNCTION("""COMPUTED_VALUE"""),"Bond")</f>
        <v>Bond</v>
      </c>
      <c r="G212" s="35" t="str">
        <f>IFERROR(__xludf.DUMMYFUNCTION("""COMPUTED_VALUE"""),"CNY")</f>
        <v>CNY</v>
      </c>
      <c r="H212" s="14">
        <f>IFERROR(__xludf.DUMMYFUNCTION("""COMPUTED_VALUE"""),1.0)</f>
        <v>1</v>
      </c>
      <c r="I212" s="174">
        <f>IFERROR(__xludf.DUMMYFUNCTION("""COMPUTED_VALUE"""),1.23338)</f>
        <v>1.23338</v>
      </c>
      <c r="J212" s="175">
        <f>IFERROR(__xludf.DUMMYFUNCTION("""COMPUTED_VALUE"""),99.867)</f>
        <v>99.867</v>
      </c>
      <c r="K212" s="35"/>
      <c r="L212" s="175">
        <f>IFERROR(__xludf.DUMMYFUNCTION("""COMPUTED_VALUE"""),99.921)</f>
        <v>99.921</v>
      </c>
      <c r="M212" s="182" t="str">
        <f>IFERROR(__xludf.DUMMYFUNCTION("""COMPUTED_VALUE"""),"Bond Fact Sheet")</f>
        <v>Bond Fact Sheet</v>
      </c>
      <c r="N212" s="35"/>
      <c r="O212" s="35"/>
      <c r="P212" s="176">
        <f>IFERROR(__xludf.DUMMYFUNCTION("""COMPUTED_VALUE"""),-123.17396046)</f>
        <v>-123.1739605</v>
      </c>
      <c r="Q212" s="177"/>
      <c r="R212" s="178">
        <f>IFERROR(__xludf.DUMMYFUNCTION("""COMPUTED_VALUE"""),99.7155)</f>
        <v>99.7155</v>
      </c>
      <c r="S212" s="176">
        <f>IFERROR(__xludf.DUMMYFUNCTION("""COMPUTED_VALUE"""),122.98710339)</f>
        <v>122.9871034</v>
      </c>
      <c r="T212" s="95">
        <f>IFERROR(__xludf.DUMMYFUNCTION("""COMPUTED_VALUE"""),1.0)</f>
        <v>1</v>
      </c>
      <c r="U212" s="95">
        <f>IFERROR(__xludf.DUMMYFUNCTION("""COMPUTED_VALUE"""),1.0)</f>
        <v>1</v>
      </c>
      <c r="V212" s="179">
        <f>IFERROR(__xludf.DUMMYFUNCTION("""COMPUTED_VALUE"""),-0.18685707000000207)</f>
        <v>-0.18685707</v>
      </c>
      <c r="W212" s="171">
        <f>IFERROR(__xludf.DUMMYFUNCTION("""COMPUTED_VALUE"""),499983.08450253)</f>
        <v>499983.0845</v>
      </c>
      <c r="X212" s="14">
        <f>IFERROR(__xludf.DUMMYFUNCTION("""COMPUTED_VALUE"""),398348.90211039997)</f>
        <v>398348.9021</v>
      </c>
      <c r="Y212" s="14">
        <f>IFERROR(__xludf.DUMMYFUNCTION("""COMPUTED_VALUE"""),0.0)</f>
        <v>0</v>
      </c>
      <c r="Z212" s="11">
        <f>IFERROR(__xludf.DUMMYFUNCTION("""COMPUTED_VALUE"""),-3.383099494003172E-5)</f>
        <v>-0.00003383099494</v>
      </c>
    </row>
    <row r="213">
      <c r="A213" s="35" t="str">
        <f>IFERROR(__xludf.DUMMYFUNCTION("""COMPUTED_VALUE"""),"")</f>
        <v/>
      </c>
      <c r="B213" s="35" t="str">
        <f>IFERROR(__xludf.DUMMYFUNCTION("""COMPUTED_VALUE"""),"37934")</f>
        <v>37934</v>
      </c>
      <c r="C213" s="172">
        <f>IFERROR(__xludf.DUMMYFUNCTION("""COMPUTED_VALUE"""),4.4597000091E10)</f>
        <v>44597000091</v>
      </c>
      <c r="D213" s="135" t="str">
        <f>IFERROR(__xludf.DUMMYFUNCTION("""COMPUTED_VALUE"""),"Cash")</f>
        <v>Cash</v>
      </c>
      <c r="E213" s="173">
        <f>IFERROR(__xludf.DUMMYFUNCTION("""COMPUTED_VALUE"""),44597.0)</f>
        <v>44597</v>
      </c>
      <c r="F213" s="35" t="str">
        <f>IFERROR(__xludf.DUMMYFUNCTION("""COMPUTED_VALUE"""),"Cash")</f>
        <v>Cash</v>
      </c>
      <c r="G213" s="35" t="str">
        <f>IFERROR(__xludf.DUMMYFUNCTION("""COMPUTED_VALUE"""),"HKD")</f>
        <v>HKD</v>
      </c>
      <c r="H213" s="181" t="str">
        <f>IFERROR(__xludf.DUMMYFUNCTION("""COMPUTED_VALUE"""),"")</f>
        <v/>
      </c>
      <c r="I213" s="174">
        <f>IFERROR(__xludf.DUMMYFUNCTION("""COMPUTED_VALUE"""),1.0)</f>
        <v>1</v>
      </c>
      <c r="J213" s="175">
        <f>IFERROR(__xludf.DUMMYFUNCTION("""COMPUTED_VALUE"""),1.0)</f>
        <v>1</v>
      </c>
      <c r="K213" s="35"/>
      <c r="L213" s="175">
        <f>IFERROR(__xludf.DUMMYFUNCTION("""COMPUTED_VALUE"""),1.0)</f>
        <v>1</v>
      </c>
      <c r="M213" s="182" t="str">
        <f>IFERROR(__xludf.DUMMYFUNCTION("""COMPUTED_VALUE"""),"")</f>
        <v/>
      </c>
      <c r="N213" s="35"/>
      <c r="O213" s="35"/>
      <c r="P213" s="184">
        <f>IFERROR(__xludf.DUMMYFUNCTION("""COMPUTED_VALUE"""),500000.0)</f>
        <v>500000</v>
      </c>
      <c r="Q213" s="177"/>
      <c r="R213" s="178">
        <f>IFERROR(__xludf.DUMMYFUNCTION("""COMPUTED_VALUE"""),1.0)</f>
        <v>1</v>
      </c>
      <c r="S213" s="176" t="str">
        <f>IFERROR(__xludf.DUMMYFUNCTION("""COMPUTED_VALUE"""),"")</f>
        <v/>
      </c>
      <c r="T213" s="95">
        <f>IFERROR(__xludf.DUMMYFUNCTION("""COMPUTED_VALUE"""),1.0)</f>
        <v>1</v>
      </c>
      <c r="U213" s="95">
        <f>IFERROR(__xludf.DUMMYFUNCTION("""COMPUTED_VALUE"""),1.0)</f>
        <v>1</v>
      </c>
      <c r="V213" s="185">
        <f>IFERROR(__xludf.DUMMYFUNCTION("""COMPUTED_VALUE"""),500000.0)</f>
        <v>500000</v>
      </c>
      <c r="W213" s="171" t="str">
        <f>IFERROR(__xludf.DUMMYFUNCTION("""COMPUTED_VALUE"""),"")</f>
        <v/>
      </c>
      <c r="X213" s="14" t="str">
        <f>IFERROR(__xludf.DUMMYFUNCTION("""COMPUTED_VALUE"""),"")</f>
        <v/>
      </c>
      <c r="Y213" s="14" t="str">
        <f>IFERROR(__xludf.DUMMYFUNCTION("""COMPUTED_VALUE"""),"")</f>
        <v/>
      </c>
      <c r="Z213" s="11" t="str">
        <f>IFERROR(__xludf.DUMMYFUNCTION("""COMPUTED_VALUE"""),"")</f>
        <v/>
      </c>
    </row>
    <row r="214">
      <c r="A214" s="35" t="str">
        <f>IFERROR(__xludf.DUMMYFUNCTION("""COMPUTED_VALUE"""),"")</f>
        <v/>
      </c>
      <c r="B214" s="35" t="str">
        <f>IFERROR(__xludf.DUMMYFUNCTION("""COMPUTED_VALUE"""),"37934")</f>
        <v>37934</v>
      </c>
      <c r="C214" s="172">
        <f>IFERROR(__xludf.DUMMYFUNCTION("""COMPUTED_VALUE"""),4.4614000287E10)</f>
        <v>44614000287</v>
      </c>
      <c r="D214" s="180" t="str">
        <f>IFERROR(__xludf.DUMMYFUNCTION("""COMPUTED_VALUE"""),"SOFI")</f>
        <v>SOFI</v>
      </c>
      <c r="E214" s="173">
        <f>IFERROR(__xludf.DUMMYFUNCTION("""COMPUTED_VALUE"""),44614.0)</f>
        <v>44614</v>
      </c>
      <c r="F214" s="35" t="str">
        <f>IFERROR(__xludf.DUMMYFUNCTION("""COMPUTED_VALUE"""),"Stock")</f>
        <v>Stock</v>
      </c>
      <c r="G214" s="35" t="str">
        <f>IFERROR(__xludf.DUMMYFUNCTION("""COMPUTED_VALUE"""),"USD")</f>
        <v>USD</v>
      </c>
      <c r="H214" s="181">
        <f>IFERROR(__xludf.DUMMYFUNCTION("""COMPUTED_VALUE"""),200.0)</f>
        <v>200</v>
      </c>
      <c r="I214" s="174">
        <f>IFERROR(__xludf.DUMMYFUNCTION("""COMPUTED_VALUE"""),7.80175)</f>
        <v>7.80175</v>
      </c>
      <c r="J214" s="175">
        <f>IFERROR(__xludf.DUMMYFUNCTION("""COMPUTED_VALUE"""),10.26)</f>
        <v>10.26</v>
      </c>
      <c r="K214" s="35"/>
      <c r="L214" s="175">
        <f>IFERROR(__xludf.DUMMYFUNCTION("""COMPUTED_VALUE"""),7.61)</f>
        <v>7.61</v>
      </c>
      <c r="M214" s="182" t="str">
        <f>IFERROR(__xludf.DUMMYFUNCTION("""COMPUTED_VALUE"""),"Equity Key Stats")</f>
        <v>Equity Key Stats</v>
      </c>
      <c r="N214" s="35"/>
      <c r="O214" s="35"/>
      <c r="P214" s="184">
        <f>IFERROR(__xludf.DUMMYFUNCTION("""COMPUTED_VALUE"""),-16009.191)</f>
        <v>-16009.191</v>
      </c>
      <c r="Q214" s="177"/>
      <c r="R214" s="178">
        <f>IFERROR(__xludf.DUMMYFUNCTION("""COMPUTED_VALUE"""),7.61)</f>
        <v>7.61</v>
      </c>
      <c r="S214" s="176">
        <f>IFERROR(__xludf.DUMMYFUNCTION("""COMPUTED_VALUE"""),11874.263500000001)</f>
        <v>11874.2635</v>
      </c>
      <c r="T214" s="95">
        <f>IFERROR(__xludf.DUMMYFUNCTION("""COMPUTED_VALUE"""),1.0)</f>
        <v>1</v>
      </c>
      <c r="U214" s="95">
        <f>IFERROR(__xludf.DUMMYFUNCTION("""COMPUTED_VALUE"""),1.0)</f>
        <v>1</v>
      </c>
      <c r="V214" s="185">
        <f>IFERROR(__xludf.DUMMYFUNCTION("""COMPUTED_VALUE"""),-4134.9275)</f>
        <v>-4134.9275</v>
      </c>
      <c r="W214" s="55" t="str">
        <f>IFERROR(__xludf.DUMMYFUNCTION("""COMPUTED_VALUE"""),"")</f>
        <v/>
      </c>
      <c r="X214" s="181" t="str">
        <f>IFERROR(__xludf.DUMMYFUNCTION("""COMPUTED_VALUE"""),"")</f>
        <v/>
      </c>
      <c r="Y214" s="181" t="str">
        <f>IFERROR(__xludf.DUMMYFUNCTION("""COMPUTED_VALUE"""),"")</f>
        <v/>
      </c>
      <c r="Z214" s="189" t="str">
        <f>IFERROR(__xludf.DUMMYFUNCTION("""COMPUTED_VALUE"""),"")</f>
        <v/>
      </c>
    </row>
    <row r="215">
      <c r="A215" s="35" t="str">
        <f>IFERROR(__xludf.DUMMYFUNCTION("""COMPUTED_VALUE"""),"")</f>
        <v/>
      </c>
      <c r="B215" s="35" t="str">
        <f>IFERROR(__xludf.DUMMYFUNCTION("""COMPUTED_VALUE"""),"37934")</f>
        <v>37934</v>
      </c>
      <c r="C215" s="172">
        <f>IFERROR(__xludf.DUMMYFUNCTION("""COMPUTED_VALUE"""),4.4619000365E10)</f>
        <v>44619000365</v>
      </c>
      <c r="D215" s="188" t="str">
        <f>IFERROR(__xludf.DUMMYFUNCTION("""COMPUTED_VALUE"""),"9626.HK")</f>
        <v>9626.HK</v>
      </c>
      <c r="E215" s="173">
        <f>IFERROR(__xludf.DUMMYFUNCTION("""COMPUTED_VALUE"""),44619.0)</f>
        <v>44619</v>
      </c>
      <c r="F215" s="35" t="str">
        <f>IFERROR(__xludf.DUMMYFUNCTION("""COMPUTED_VALUE"""),"Stock")</f>
        <v>Stock</v>
      </c>
      <c r="G215" s="35" t="str">
        <f>IFERROR(__xludf.DUMMYFUNCTION("""COMPUTED_VALUE"""),"HKD")</f>
        <v>HKD</v>
      </c>
      <c r="H215" s="14">
        <f>IFERROR(__xludf.DUMMYFUNCTION("""COMPUTED_VALUE"""),50.0)</f>
        <v>50</v>
      </c>
      <c r="I215" s="174">
        <f>IFERROR(__xludf.DUMMYFUNCTION("""COMPUTED_VALUE"""),1.0)</f>
        <v>1</v>
      </c>
      <c r="J215" s="175">
        <f>IFERROR(__xludf.DUMMYFUNCTION("""COMPUTED_VALUE"""),237.0)</f>
        <v>237</v>
      </c>
      <c r="K215" s="35"/>
      <c r="L215" s="175">
        <f>IFERROR(__xludf.DUMMYFUNCTION("""COMPUTED_VALUE"""),202.6)</f>
        <v>202.6</v>
      </c>
      <c r="M215" s="187" t="str">
        <f>IFERROR(__xludf.DUMMYFUNCTION("""COMPUTED_VALUE"""),"Equity Key Stats")</f>
        <v>Equity Key Stats</v>
      </c>
      <c r="N215" s="35"/>
      <c r="O215" s="35"/>
      <c r="P215" s="176">
        <f>IFERROR(__xludf.DUMMYFUNCTION("""COMPUTED_VALUE"""),-11850.0)</f>
        <v>-11850</v>
      </c>
      <c r="Q215" s="177"/>
      <c r="R215" s="178">
        <f>IFERROR(__xludf.DUMMYFUNCTION("""COMPUTED_VALUE"""),202.6)</f>
        <v>202.6</v>
      </c>
      <c r="S215" s="151">
        <f>IFERROR(__xludf.DUMMYFUNCTION("""COMPUTED_VALUE"""),10130.0)</f>
        <v>10130</v>
      </c>
      <c r="T215" s="95">
        <f>IFERROR(__xludf.DUMMYFUNCTION("""COMPUTED_VALUE"""),2.0)</f>
        <v>2</v>
      </c>
      <c r="U215" s="95" t="str">
        <f>IFERROR(__xludf.DUMMYFUNCTION("""COMPUTED_VALUE"""),"")</f>
        <v/>
      </c>
      <c r="V215" s="179" t="str">
        <f>IFERROR(__xludf.DUMMYFUNCTION("""COMPUTED_VALUE"""),"")</f>
        <v/>
      </c>
      <c r="W215" s="55" t="str">
        <f>IFERROR(__xludf.DUMMYFUNCTION("""COMPUTED_VALUE"""),"")</f>
        <v/>
      </c>
      <c r="X215" s="181" t="str">
        <f>IFERROR(__xludf.DUMMYFUNCTION("""COMPUTED_VALUE"""),"")</f>
        <v/>
      </c>
      <c r="Y215" s="181" t="str">
        <f>IFERROR(__xludf.DUMMYFUNCTION("""COMPUTED_VALUE"""),"")</f>
        <v/>
      </c>
      <c r="Z215" s="186" t="str">
        <f>IFERROR(__xludf.DUMMYFUNCTION("""COMPUTED_VALUE"""),"")</f>
        <v/>
      </c>
    </row>
    <row r="216">
      <c r="A216" s="35" t="str">
        <f>IFERROR(__xludf.DUMMYFUNCTION("""COMPUTED_VALUE"""),"")</f>
        <v/>
      </c>
      <c r="B216" s="35" t="str">
        <f>IFERROR(__xludf.DUMMYFUNCTION("""COMPUTED_VALUE"""),"37934")</f>
        <v>37934</v>
      </c>
      <c r="C216" s="172">
        <f>IFERROR(__xludf.DUMMYFUNCTION("""COMPUTED_VALUE"""),4.4619000366E10)</f>
        <v>44619000366</v>
      </c>
      <c r="D216" s="188" t="str">
        <f>IFERROR(__xludf.DUMMYFUNCTION("""COMPUTED_VALUE"""),"9888.HK")</f>
        <v>9888.HK</v>
      </c>
      <c r="E216" s="173">
        <f>IFERROR(__xludf.DUMMYFUNCTION("""COMPUTED_VALUE"""),44619.0)</f>
        <v>44619</v>
      </c>
      <c r="F216" s="35" t="str">
        <f>IFERROR(__xludf.DUMMYFUNCTION("""COMPUTED_VALUE"""),"Stock")</f>
        <v>Stock</v>
      </c>
      <c r="G216" s="35" t="str">
        <f>IFERROR(__xludf.DUMMYFUNCTION("""COMPUTED_VALUE"""),"HKD")</f>
        <v>HKD</v>
      </c>
      <c r="H216" s="14">
        <f>IFERROR(__xludf.DUMMYFUNCTION("""COMPUTED_VALUE"""),0.0)</f>
        <v>0</v>
      </c>
      <c r="I216" s="174">
        <f>IFERROR(__xludf.DUMMYFUNCTION("""COMPUTED_VALUE"""),1.0)</f>
        <v>1</v>
      </c>
      <c r="J216" s="175">
        <f>IFERROR(__xludf.DUMMYFUNCTION("""COMPUTED_VALUE"""),0.0)</f>
        <v>0</v>
      </c>
      <c r="K216" s="35"/>
      <c r="L216" s="175">
        <f>IFERROR(__xludf.DUMMYFUNCTION("""COMPUTED_VALUE"""),128.9)</f>
        <v>128.9</v>
      </c>
      <c r="M216" s="187" t="str">
        <f>IFERROR(__xludf.DUMMYFUNCTION("""COMPUTED_VALUE"""),"Equity Key Stats")</f>
        <v>Equity Key Stats</v>
      </c>
      <c r="N216" s="35"/>
      <c r="O216" s="35"/>
      <c r="P216" s="176">
        <f>IFERROR(__xludf.DUMMYFUNCTION("""COMPUTED_VALUE"""),0.0)</f>
        <v>0</v>
      </c>
      <c r="Q216" s="177"/>
      <c r="R216" s="178">
        <f>IFERROR(__xludf.DUMMYFUNCTION("""COMPUTED_VALUE"""),128.9)</f>
        <v>128.9</v>
      </c>
      <c r="S216" s="151">
        <f>IFERROR(__xludf.DUMMYFUNCTION("""COMPUTED_VALUE"""),0.0)</f>
        <v>0</v>
      </c>
      <c r="T216" s="95">
        <f>IFERROR(__xludf.DUMMYFUNCTION("""COMPUTED_VALUE"""),1.0)</f>
        <v>1</v>
      </c>
      <c r="U216" s="95">
        <f>IFERROR(__xludf.DUMMYFUNCTION("""COMPUTED_VALUE"""),1.0)</f>
        <v>1</v>
      </c>
      <c r="V216" s="179">
        <f>IFERROR(__xludf.DUMMYFUNCTION("""COMPUTED_VALUE"""),0.0)</f>
        <v>0</v>
      </c>
      <c r="W216" s="55" t="str">
        <f>IFERROR(__xludf.DUMMYFUNCTION("""COMPUTED_VALUE"""),"")</f>
        <v/>
      </c>
      <c r="X216" s="181" t="str">
        <f>IFERROR(__xludf.DUMMYFUNCTION("""COMPUTED_VALUE"""),"")</f>
        <v/>
      </c>
      <c r="Y216" s="181" t="str">
        <f>IFERROR(__xludf.DUMMYFUNCTION("""COMPUTED_VALUE"""),"")</f>
        <v/>
      </c>
      <c r="Z216" s="186" t="str">
        <f>IFERROR(__xludf.DUMMYFUNCTION("""COMPUTED_VALUE"""),"")</f>
        <v/>
      </c>
    </row>
    <row r="217">
      <c r="A217" s="35" t="str">
        <f>IFERROR(__xludf.DUMMYFUNCTION("""COMPUTED_VALUE"""),"")</f>
        <v/>
      </c>
      <c r="B217" s="35" t="str">
        <f>IFERROR(__xludf.DUMMYFUNCTION("""COMPUTED_VALUE"""),"37934")</f>
        <v>37934</v>
      </c>
      <c r="C217" s="172">
        <f>IFERROR(__xludf.DUMMYFUNCTION("""COMPUTED_VALUE"""),4.4619000367E10)</f>
        <v>44619000367</v>
      </c>
      <c r="D217" s="188" t="str">
        <f>IFERROR(__xludf.DUMMYFUNCTION("""COMPUTED_VALUE"""),"9626.HK")</f>
        <v>9626.HK</v>
      </c>
      <c r="E217" s="173">
        <f>IFERROR(__xludf.DUMMYFUNCTION("""COMPUTED_VALUE"""),44619.0)</f>
        <v>44619</v>
      </c>
      <c r="F217" s="35" t="str">
        <f>IFERROR(__xludf.DUMMYFUNCTION("""COMPUTED_VALUE"""),"Stock")</f>
        <v>Stock</v>
      </c>
      <c r="G217" s="35" t="str">
        <f>IFERROR(__xludf.DUMMYFUNCTION("""COMPUTED_VALUE"""),"HKD")</f>
        <v>HKD</v>
      </c>
      <c r="H217" s="14">
        <f>IFERROR(__xludf.DUMMYFUNCTION("""COMPUTED_VALUE"""),450.0)</f>
        <v>450</v>
      </c>
      <c r="I217" s="174">
        <f>IFERROR(__xludf.DUMMYFUNCTION("""COMPUTED_VALUE"""),1.0)</f>
        <v>1</v>
      </c>
      <c r="J217" s="175">
        <f>IFERROR(__xludf.DUMMYFUNCTION("""COMPUTED_VALUE"""),237.0)</f>
        <v>237</v>
      </c>
      <c r="K217" s="35"/>
      <c r="L217" s="175">
        <f>IFERROR(__xludf.DUMMYFUNCTION("""COMPUTED_VALUE"""),202.6)</f>
        <v>202.6</v>
      </c>
      <c r="M217" s="187" t="str">
        <f>IFERROR(__xludf.DUMMYFUNCTION("""COMPUTED_VALUE"""),"Equity Key Stats")</f>
        <v>Equity Key Stats</v>
      </c>
      <c r="N217" s="35"/>
      <c r="O217" s="35"/>
      <c r="P217" s="176">
        <f>IFERROR(__xludf.DUMMYFUNCTION("""COMPUTED_VALUE"""),-106650.0)</f>
        <v>-106650</v>
      </c>
      <c r="Q217" s="177"/>
      <c r="R217" s="178">
        <f>IFERROR(__xludf.DUMMYFUNCTION("""COMPUTED_VALUE"""),202.6)</f>
        <v>202.6</v>
      </c>
      <c r="S217" s="151">
        <f>IFERROR(__xludf.DUMMYFUNCTION("""COMPUTED_VALUE"""),91170.0)</f>
        <v>91170</v>
      </c>
      <c r="T217" s="95">
        <f>IFERROR(__xludf.DUMMYFUNCTION("""COMPUTED_VALUE"""),2.0)</f>
        <v>2</v>
      </c>
      <c r="U217" s="95">
        <f>IFERROR(__xludf.DUMMYFUNCTION("""COMPUTED_VALUE"""),1.0)</f>
        <v>1</v>
      </c>
      <c r="V217" s="179">
        <f>IFERROR(__xludf.DUMMYFUNCTION("""COMPUTED_VALUE"""),-17200.0)</f>
        <v>-17200</v>
      </c>
      <c r="W217" s="171" t="str">
        <f>IFERROR(__xludf.DUMMYFUNCTION("""COMPUTED_VALUE"""),"")</f>
        <v/>
      </c>
      <c r="X217" s="14" t="str">
        <f>IFERROR(__xludf.DUMMYFUNCTION("""COMPUTED_VALUE"""),"")</f>
        <v/>
      </c>
      <c r="Y217" s="14" t="str">
        <f>IFERROR(__xludf.DUMMYFUNCTION("""COMPUTED_VALUE"""),"")</f>
        <v/>
      </c>
      <c r="Z217" s="11" t="str">
        <f>IFERROR(__xludf.DUMMYFUNCTION("""COMPUTED_VALUE"""),"")</f>
        <v/>
      </c>
    </row>
    <row r="218">
      <c r="A218" s="35" t="str">
        <f>IFERROR(__xludf.DUMMYFUNCTION("""COMPUTED_VALUE"""),"")</f>
        <v/>
      </c>
      <c r="B218" s="35" t="str">
        <f>IFERROR(__xludf.DUMMYFUNCTION("""COMPUTED_VALUE"""),"37934")</f>
        <v>37934</v>
      </c>
      <c r="C218" s="172">
        <f>IFERROR(__xludf.DUMMYFUNCTION("""COMPUTED_VALUE"""),4.4619000368E10)</f>
        <v>44619000368</v>
      </c>
      <c r="D218" s="192" t="str">
        <f>IFERROR(__xludf.DUMMYFUNCTION("""COMPUTED_VALUE"""),"9988.HK")</f>
        <v>9988.HK</v>
      </c>
      <c r="E218" s="173">
        <f>IFERROR(__xludf.DUMMYFUNCTION("""COMPUTED_VALUE"""),44619.0)</f>
        <v>44619</v>
      </c>
      <c r="F218" s="35" t="str">
        <f>IFERROR(__xludf.DUMMYFUNCTION("""COMPUTED_VALUE"""),"Stock")</f>
        <v>Stock</v>
      </c>
      <c r="G218" s="35" t="str">
        <f>IFERROR(__xludf.DUMMYFUNCTION("""COMPUTED_VALUE"""),"HKD")</f>
        <v>HKD</v>
      </c>
      <c r="H218" s="181">
        <f>IFERROR(__xludf.DUMMYFUNCTION("""COMPUTED_VALUE"""),900.0)</f>
        <v>900</v>
      </c>
      <c r="I218" s="174">
        <f>IFERROR(__xludf.DUMMYFUNCTION("""COMPUTED_VALUE"""),1.0)</f>
        <v>1</v>
      </c>
      <c r="J218" s="175">
        <f>IFERROR(__xludf.DUMMYFUNCTION("""COMPUTED_VALUE"""),104.2)</f>
        <v>104.2</v>
      </c>
      <c r="K218" s="35"/>
      <c r="L218" s="175">
        <f>IFERROR(__xludf.DUMMYFUNCTION("""COMPUTED_VALUE"""),98.5)</f>
        <v>98.5</v>
      </c>
      <c r="M218" s="182" t="str">
        <f>IFERROR(__xludf.DUMMYFUNCTION("""COMPUTED_VALUE"""),"Equity Key Stats")</f>
        <v>Equity Key Stats</v>
      </c>
      <c r="N218" s="35"/>
      <c r="O218" s="35"/>
      <c r="P218" s="184">
        <f>IFERROR(__xludf.DUMMYFUNCTION("""COMPUTED_VALUE"""),-93780.0)</f>
        <v>-93780</v>
      </c>
      <c r="Q218" s="177"/>
      <c r="R218" s="178">
        <f>IFERROR(__xludf.DUMMYFUNCTION("""COMPUTED_VALUE"""),98.5)</f>
        <v>98.5</v>
      </c>
      <c r="S218" s="176">
        <f>IFERROR(__xludf.DUMMYFUNCTION("""COMPUTED_VALUE"""),88650.0)</f>
        <v>88650</v>
      </c>
      <c r="T218" s="95">
        <f>IFERROR(__xludf.DUMMYFUNCTION("""COMPUTED_VALUE"""),2.0)</f>
        <v>2</v>
      </c>
      <c r="U218" s="35" t="str">
        <f>IFERROR(__xludf.DUMMYFUNCTION("""COMPUTED_VALUE"""),"")</f>
        <v/>
      </c>
      <c r="V218" s="170" t="str">
        <f>IFERROR(__xludf.DUMMYFUNCTION("""COMPUTED_VALUE"""),"")</f>
        <v/>
      </c>
      <c r="W218" s="171" t="str">
        <f>IFERROR(__xludf.DUMMYFUNCTION("""COMPUTED_VALUE"""),"")</f>
        <v/>
      </c>
      <c r="X218" s="14" t="str">
        <f>IFERROR(__xludf.DUMMYFUNCTION("""COMPUTED_VALUE"""),"")</f>
        <v/>
      </c>
      <c r="Y218" s="14" t="str">
        <f>IFERROR(__xludf.DUMMYFUNCTION("""COMPUTED_VALUE"""),"")</f>
        <v/>
      </c>
      <c r="Z218" s="11" t="str">
        <f>IFERROR(__xludf.DUMMYFUNCTION("""COMPUTED_VALUE"""),"")</f>
        <v/>
      </c>
    </row>
    <row r="219">
      <c r="A219" s="35" t="str">
        <f>IFERROR(__xludf.DUMMYFUNCTION("""COMPUTED_VALUE"""),"")</f>
        <v/>
      </c>
      <c r="B219" s="35" t="str">
        <f>IFERROR(__xludf.DUMMYFUNCTION("""COMPUTED_VALUE"""),"37934")</f>
        <v>37934</v>
      </c>
      <c r="C219" s="172">
        <f>IFERROR(__xludf.DUMMYFUNCTION("""COMPUTED_VALUE"""),4.4634000539E10)</f>
        <v>44634000539</v>
      </c>
      <c r="D219" s="192" t="str">
        <f>IFERROR(__xludf.DUMMYFUNCTION("""COMPUTED_VALUE"""),"TSLA")</f>
        <v>TSLA</v>
      </c>
      <c r="E219" s="173">
        <f>IFERROR(__xludf.DUMMYFUNCTION("""COMPUTED_VALUE"""),44634.0)</f>
        <v>44634</v>
      </c>
      <c r="F219" s="35" t="str">
        <f>IFERROR(__xludf.DUMMYFUNCTION("""COMPUTED_VALUE"""),"Stock")</f>
        <v>Stock</v>
      </c>
      <c r="G219" s="35" t="str">
        <f>IFERROR(__xludf.DUMMYFUNCTION("""COMPUTED_VALUE"""),"USD")</f>
        <v>USD</v>
      </c>
      <c r="H219" s="181">
        <f>IFERROR(__xludf.DUMMYFUNCTION("""COMPUTED_VALUE"""),20.0)</f>
        <v>20</v>
      </c>
      <c r="I219" s="174">
        <f>IFERROR(__xludf.DUMMYFUNCTION("""COMPUTED_VALUE"""),7.82925)</f>
        <v>7.82925</v>
      </c>
      <c r="J219" s="175">
        <f>IFERROR(__xludf.DUMMYFUNCTION("""COMPUTED_VALUE"""),766.37)</f>
        <v>766.37</v>
      </c>
      <c r="K219" s="35"/>
      <c r="L219" s="175">
        <f>IFERROR(__xludf.DUMMYFUNCTION("""COMPUTED_VALUE"""),1022.37)</f>
        <v>1022.37</v>
      </c>
      <c r="M219" s="182" t="str">
        <f>IFERROR(__xludf.DUMMYFUNCTION("""COMPUTED_VALUE"""),"Equity Key Stats")</f>
        <v>Equity Key Stats</v>
      </c>
      <c r="N219" s="35"/>
      <c r="O219" s="35"/>
      <c r="P219" s="184">
        <f>IFERROR(__xludf.DUMMYFUNCTION("""COMPUTED_VALUE"""),-120002.04645000001)</f>
        <v>-120002.0465</v>
      </c>
      <c r="Q219" s="177"/>
      <c r="R219" s="178">
        <f>IFERROR(__xludf.DUMMYFUNCTION("""COMPUTED_VALUE"""),1022.37)</f>
        <v>1022.37</v>
      </c>
      <c r="S219" s="176">
        <f>IFERROR(__xludf.DUMMYFUNCTION("""COMPUTED_VALUE"""),160087.80645)</f>
        <v>160087.8065</v>
      </c>
      <c r="T219" s="95">
        <f>IFERROR(__xludf.DUMMYFUNCTION("""COMPUTED_VALUE"""),2.0)</f>
        <v>2</v>
      </c>
      <c r="U219" s="95" t="str">
        <f>IFERROR(__xludf.DUMMYFUNCTION("""COMPUTED_VALUE"""),"")</f>
        <v/>
      </c>
      <c r="V219" s="185" t="str">
        <f>IFERROR(__xludf.DUMMYFUNCTION("""COMPUTED_VALUE"""),"")</f>
        <v/>
      </c>
      <c r="W219" s="55" t="str">
        <f>IFERROR(__xludf.DUMMYFUNCTION("""COMPUTED_VALUE"""),"")</f>
        <v/>
      </c>
      <c r="X219" s="181" t="str">
        <f>IFERROR(__xludf.DUMMYFUNCTION("""COMPUTED_VALUE"""),"")</f>
        <v/>
      </c>
      <c r="Y219" s="181" t="str">
        <f>IFERROR(__xludf.DUMMYFUNCTION("""COMPUTED_VALUE"""),"")</f>
        <v/>
      </c>
      <c r="Z219" s="189" t="str">
        <f>IFERROR(__xludf.DUMMYFUNCTION("""COMPUTED_VALUE"""),"")</f>
        <v/>
      </c>
    </row>
    <row r="220">
      <c r="A220" s="35" t="str">
        <f>IFERROR(__xludf.DUMMYFUNCTION("""COMPUTED_VALUE"""),"")</f>
        <v/>
      </c>
      <c r="B220" s="35" t="str">
        <f>IFERROR(__xludf.DUMMYFUNCTION("""COMPUTED_VALUE"""),"37934")</f>
        <v>37934</v>
      </c>
      <c r="C220" s="172">
        <f>IFERROR(__xludf.DUMMYFUNCTION("""COMPUTED_VALUE"""),4.4648000929E10)</f>
        <v>44648000929</v>
      </c>
      <c r="D220" s="188" t="str">
        <f>IFERROR(__xludf.DUMMYFUNCTION("""COMPUTED_VALUE"""),"9988.HK")</f>
        <v>9988.HK</v>
      </c>
      <c r="E220" s="173">
        <f>IFERROR(__xludf.DUMMYFUNCTION("""COMPUTED_VALUE"""),44648.0)</f>
        <v>44648</v>
      </c>
      <c r="F220" s="35" t="str">
        <f>IFERROR(__xludf.DUMMYFUNCTION("""COMPUTED_VALUE"""),"Stock")</f>
        <v>Stock</v>
      </c>
      <c r="G220" s="35" t="str">
        <f>IFERROR(__xludf.DUMMYFUNCTION("""COMPUTED_VALUE"""),"HKD")</f>
        <v>HKD</v>
      </c>
      <c r="H220" s="14">
        <f>IFERROR(__xludf.DUMMYFUNCTION("""COMPUTED_VALUE"""),-450.0)</f>
        <v>-450</v>
      </c>
      <c r="I220" s="174">
        <f>IFERROR(__xludf.DUMMYFUNCTION("""COMPUTED_VALUE"""),1.0)</f>
        <v>1</v>
      </c>
      <c r="J220" s="175">
        <f>IFERROR(__xludf.DUMMYFUNCTION("""COMPUTED_VALUE"""),111.1)</f>
        <v>111.1</v>
      </c>
      <c r="K220" s="35"/>
      <c r="L220" s="175">
        <f>IFERROR(__xludf.DUMMYFUNCTION("""COMPUTED_VALUE"""),98.5)</f>
        <v>98.5</v>
      </c>
      <c r="M220" s="187" t="str">
        <f>IFERROR(__xludf.DUMMYFUNCTION("""COMPUTED_VALUE"""),"Equity Key Stats")</f>
        <v>Equity Key Stats</v>
      </c>
      <c r="N220" s="35"/>
      <c r="O220" s="35"/>
      <c r="P220" s="176">
        <f>IFERROR(__xludf.DUMMYFUNCTION("""COMPUTED_VALUE"""),49995.0)</f>
        <v>49995</v>
      </c>
      <c r="Q220" s="177"/>
      <c r="R220" s="178">
        <f>IFERROR(__xludf.DUMMYFUNCTION("""COMPUTED_VALUE"""),98.5)</f>
        <v>98.5</v>
      </c>
      <c r="S220" s="151">
        <f>IFERROR(__xludf.DUMMYFUNCTION("""COMPUTED_VALUE"""),-44325.0)</f>
        <v>-44325</v>
      </c>
      <c r="T220" s="95">
        <f>IFERROR(__xludf.DUMMYFUNCTION("""COMPUTED_VALUE"""),2.0)</f>
        <v>2</v>
      </c>
      <c r="U220" s="95">
        <f>IFERROR(__xludf.DUMMYFUNCTION("""COMPUTED_VALUE"""),1.0)</f>
        <v>1</v>
      </c>
      <c r="V220" s="179">
        <f>IFERROR(__xludf.DUMMYFUNCTION("""COMPUTED_VALUE"""),540.0)</f>
        <v>540</v>
      </c>
      <c r="W220" s="171" t="str">
        <f>IFERROR(__xludf.DUMMYFUNCTION("""COMPUTED_VALUE"""),"")</f>
        <v/>
      </c>
      <c r="X220" s="14" t="str">
        <f>IFERROR(__xludf.DUMMYFUNCTION("""COMPUTED_VALUE"""),"")</f>
        <v/>
      </c>
      <c r="Y220" s="14" t="str">
        <f>IFERROR(__xludf.DUMMYFUNCTION("""COMPUTED_VALUE"""),"")</f>
        <v/>
      </c>
      <c r="Z220" s="11" t="str">
        <f>IFERROR(__xludf.DUMMYFUNCTION("""COMPUTED_VALUE"""),"")</f>
        <v/>
      </c>
    </row>
    <row r="221">
      <c r="A221" s="35" t="str">
        <f>IFERROR(__xludf.DUMMYFUNCTION("""COMPUTED_VALUE"""),"")</f>
        <v/>
      </c>
      <c r="B221" s="35" t="str">
        <f>IFERROR(__xludf.DUMMYFUNCTION("""COMPUTED_VALUE"""),"37934")</f>
        <v>37934</v>
      </c>
      <c r="C221" s="172">
        <f>IFERROR(__xludf.DUMMYFUNCTION("""COMPUTED_VALUE"""),4.4648000933E10)</f>
        <v>44648000933</v>
      </c>
      <c r="D221" s="188" t="str">
        <f>IFERROR(__xludf.DUMMYFUNCTION("""COMPUTED_VALUE"""),"0700.HK")</f>
        <v>0700.HK</v>
      </c>
      <c r="E221" s="173">
        <f>IFERROR(__xludf.DUMMYFUNCTION("""COMPUTED_VALUE"""),44648.0)</f>
        <v>44648</v>
      </c>
      <c r="F221" s="35" t="str">
        <f>IFERROR(__xludf.DUMMYFUNCTION("""COMPUTED_VALUE"""),"Stock")</f>
        <v>Stock</v>
      </c>
      <c r="G221" s="35" t="str">
        <f>IFERROR(__xludf.DUMMYFUNCTION("""COMPUTED_VALUE"""),"HKD")</f>
        <v>HKD</v>
      </c>
      <c r="H221" s="181">
        <f>IFERROR(__xludf.DUMMYFUNCTION("""COMPUTED_VALUE"""),0.0)</f>
        <v>0</v>
      </c>
      <c r="I221" s="174">
        <f>IFERROR(__xludf.DUMMYFUNCTION("""COMPUTED_VALUE"""),1.0)</f>
        <v>1</v>
      </c>
      <c r="J221" s="175">
        <f>IFERROR(__xludf.DUMMYFUNCTION("""COMPUTED_VALUE"""),0.0)</f>
        <v>0</v>
      </c>
      <c r="K221" s="35"/>
      <c r="L221" s="175">
        <f>IFERROR(__xludf.DUMMYFUNCTION("""COMPUTED_VALUE"""),373.6)</f>
        <v>373.6</v>
      </c>
      <c r="M221" s="187" t="str">
        <f>IFERROR(__xludf.DUMMYFUNCTION("""COMPUTED_VALUE"""),"Equity Key Stats")</f>
        <v>Equity Key Stats</v>
      </c>
      <c r="N221" s="35"/>
      <c r="O221" s="35"/>
      <c r="P221" s="184">
        <f>IFERROR(__xludf.DUMMYFUNCTION("""COMPUTED_VALUE"""),0.0)</f>
        <v>0</v>
      </c>
      <c r="Q221" s="177"/>
      <c r="R221" s="178">
        <f>IFERROR(__xludf.DUMMYFUNCTION("""COMPUTED_VALUE"""),373.6)</f>
        <v>373.6</v>
      </c>
      <c r="S221" s="176">
        <f>IFERROR(__xludf.DUMMYFUNCTION("""COMPUTED_VALUE"""),0.0)</f>
        <v>0</v>
      </c>
      <c r="T221" s="95">
        <f>IFERROR(__xludf.DUMMYFUNCTION("""COMPUTED_VALUE"""),1.0)</f>
        <v>1</v>
      </c>
      <c r="U221" s="35">
        <f>IFERROR(__xludf.DUMMYFUNCTION("""COMPUTED_VALUE"""),1.0)</f>
        <v>1</v>
      </c>
      <c r="V221" s="170">
        <f>IFERROR(__xludf.DUMMYFUNCTION("""COMPUTED_VALUE"""),0.0)</f>
        <v>0</v>
      </c>
      <c r="W221" s="171" t="str">
        <f>IFERROR(__xludf.DUMMYFUNCTION("""COMPUTED_VALUE"""),"")</f>
        <v/>
      </c>
      <c r="X221" s="14" t="str">
        <f>IFERROR(__xludf.DUMMYFUNCTION("""COMPUTED_VALUE"""),"")</f>
        <v/>
      </c>
      <c r="Y221" s="14" t="str">
        <f>IFERROR(__xludf.DUMMYFUNCTION("""COMPUTED_VALUE"""),"")</f>
        <v/>
      </c>
      <c r="Z221" s="11" t="str">
        <f>IFERROR(__xludf.DUMMYFUNCTION("""COMPUTED_VALUE"""),"")</f>
        <v/>
      </c>
    </row>
    <row r="222">
      <c r="A222" s="35" t="str">
        <f>IFERROR(__xludf.DUMMYFUNCTION("""COMPUTED_VALUE"""),"37934")</f>
        <v>37934</v>
      </c>
      <c r="B222" s="35" t="str">
        <f>IFERROR(__xludf.DUMMYFUNCTION("""COMPUTED_VALUE"""),"37934")</f>
        <v>37934</v>
      </c>
      <c r="C222" s="172">
        <f>IFERROR(__xludf.DUMMYFUNCTION("""COMPUTED_VALUE"""),4.4660001311E10)</f>
        <v>44660001311</v>
      </c>
      <c r="D222" s="135" t="str">
        <f>IFERROR(__xludf.DUMMYFUNCTION("""COMPUTED_VALUE"""),"TSLA")</f>
        <v>TSLA</v>
      </c>
      <c r="E222" s="173">
        <f>IFERROR(__xludf.DUMMYFUNCTION("""COMPUTED_VALUE"""),44660.0)</f>
        <v>44660</v>
      </c>
      <c r="F222" s="35" t="str">
        <f>IFERROR(__xludf.DUMMYFUNCTION("""COMPUTED_VALUE"""),"Stock")</f>
        <v>Stock</v>
      </c>
      <c r="G222" s="35" t="str">
        <f>IFERROR(__xludf.DUMMYFUNCTION("""COMPUTED_VALUE"""),"USD")</f>
        <v>USD</v>
      </c>
      <c r="H222" s="181">
        <f>IFERROR(__xludf.DUMMYFUNCTION("""COMPUTED_VALUE"""),0.0)</f>
        <v>0</v>
      </c>
      <c r="I222" s="174">
        <f>IFERROR(__xludf.DUMMYFUNCTION("""COMPUTED_VALUE"""),7.839265)</f>
        <v>7.839265</v>
      </c>
      <c r="J222" s="175">
        <f>IFERROR(__xludf.DUMMYFUNCTION("""COMPUTED_VALUE"""),0.0)</f>
        <v>0</v>
      </c>
      <c r="K222" s="35"/>
      <c r="L222" s="175">
        <f>IFERROR(__xludf.DUMMYFUNCTION("""COMPUTED_VALUE"""),1022.37)</f>
        <v>1022.37</v>
      </c>
      <c r="M222" s="187" t="str">
        <f>IFERROR(__xludf.DUMMYFUNCTION("""COMPUTED_VALUE"""),"Equity Key Stats")</f>
        <v>Equity Key Stats</v>
      </c>
      <c r="N222" s="35"/>
      <c r="O222" s="35"/>
      <c r="P222" s="184">
        <f>IFERROR(__xludf.DUMMYFUNCTION("""COMPUTED_VALUE"""),0.0)</f>
        <v>0</v>
      </c>
      <c r="Q222" s="177"/>
      <c r="R222" s="178">
        <f>IFERROR(__xludf.DUMMYFUNCTION("""COMPUTED_VALUE"""),1022.37)</f>
        <v>1022.37</v>
      </c>
      <c r="S222" s="176">
        <f>IFERROR(__xludf.DUMMYFUNCTION("""COMPUTED_VALUE"""),0.0)</f>
        <v>0</v>
      </c>
      <c r="T222" s="95">
        <f>IFERROR(__xludf.DUMMYFUNCTION("""COMPUTED_VALUE"""),2.0)</f>
        <v>2</v>
      </c>
      <c r="U222" s="35">
        <f>IFERROR(__xludf.DUMMYFUNCTION("""COMPUTED_VALUE"""),1.0)</f>
        <v>1</v>
      </c>
      <c r="V222" s="170">
        <f>IFERROR(__xludf.DUMMYFUNCTION("""COMPUTED_VALUE"""),40085.759999999995)</f>
        <v>40085.76</v>
      </c>
      <c r="W222" s="171">
        <f>IFERROR(__xludf.DUMMYFUNCTION("""COMPUTED_VALUE"""),519290.8325)</f>
        <v>519290.8325</v>
      </c>
      <c r="X222" s="14">
        <f>IFERROR(__xludf.DUMMYFUNCTION("""COMPUTED_VALUE"""),201703.76255)</f>
        <v>201703.7626</v>
      </c>
      <c r="Y222" s="14">
        <f>IFERROR(__xludf.DUMMYFUNCTION("""COMPUTED_VALUE"""),0.0)</f>
        <v>0</v>
      </c>
      <c r="Z222" s="11">
        <f>IFERROR(__xludf.DUMMYFUNCTION("""COMPUTED_VALUE"""),0.03858166499999993)</f>
        <v>0.038581665</v>
      </c>
    </row>
    <row r="223">
      <c r="A223" s="35" t="str">
        <f>IFERROR(__xludf.DUMMYFUNCTION("""COMPUTED_VALUE"""),"")</f>
        <v/>
      </c>
      <c r="B223" s="35" t="str">
        <f>IFERROR(__xludf.DUMMYFUNCTION("""COMPUTED_VALUE"""),"38063")</f>
        <v>38063</v>
      </c>
      <c r="C223" s="172">
        <f>IFERROR(__xludf.DUMMYFUNCTION("""COMPUTED_VALUE"""),4.459700011E10)</f>
        <v>44597000110</v>
      </c>
      <c r="D223" s="135" t="str">
        <f>IFERROR(__xludf.DUMMYFUNCTION("""COMPUTED_VALUE"""),"Cash")</f>
        <v>Cash</v>
      </c>
      <c r="E223" s="173">
        <f>IFERROR(__xludf.DUMMYFUNCTION("""COMPUTED_VALUE"""),44597.0)</f>
        <v>44597</v>
      </c>
      <c r="F223" s="35" t="str">
        <f>IFERROR(__xludf.DUMMYFUNCTION("""COMPUTED_VALUE"""),"Cash")</f>
        <v>Cash</v>
      </c>
      <c r="G223" s="35" t="str">
        <f>IFERROR(__xludf.DUMMYFUNCTION("""COMPUTED_VALUE"""),"HKD")</f>
        <v>HKD</v>
      </c>
      <c r="H223" s="181" t="str">
        <f>IFERROR(__xludf.DUMMYFUNCTION("""COMPUTED_VALUE"""),"")</f>
        <v/>
      </c>
      <c r="I223" s="174">
        <f>IFERROR(__xludf.DUMMYFUNCTION("""COMPUTED_VALUE"""),1.0)</f>
        <v>1</v>
      </c>
      <c r="J223" s="175">
        <f>IFERROR(__xludf.DUMMYFUNCTION("""COMPUTED_VALUE"""),1.0)</f>
        <v>1</v>
      </c>
      <c r="K223" s="35"/>
      <c r="L223" s="175">
        <f>IFERROR(__xludf.DUMMYFUNCTION("""COMPUTED_VALUE"""),1.0)</f>
        <v>1</v>
      </c>
      <c r="M223" s="3" t="str">
        <f>IFERROR(__xludf.DUMMYFUNCTION("""COMPUTED_VALUE"""),"")</f>
        <v/>
      </c>
      <c r="N223" s="35"/>
      <c r="O223" s="35"/>
      <c r="P223" s="184">
        <f>IFERROR(__xludf.DUMMYFUNCTION("""COMPUTED_VALUE"""),500000.0)</f>
        <v>500000</v>
      </c>
      <c r="Q223" s="177"/>
      <c r="R223" s="178">
        <f>IFERROR(__xludf.DUMMYFUNCTION("""COMPUTED_VALUE"""),1.0)</f>
        <v>1</v>
      </c>
      <c r="S223" s="176" t="str">
        <f>IFERROR(__xludf.DUMMYFUNCTION("""COMPUTED_VALUE"""),"")</f>
        <v/>
      </c>
      <c r="T223" s="95">
        <f>IFERROR(__xludf.DUMMYFUNCTION("""COMPUTED_VALUE"""),1.0)</f>
        <v>1</v>
      </c>
      <c r="U223" s="95">
        <f>IFERROR(__xludf.DUMMYFUNCTION("""COMPUTED_VALUE"""),1.0)</f>
        <v>1</v>
      </c>
      <c r="V223" s="185">
        <f>IFERROR(__xludf.DUMMYFUNCTION("""COMPUTED_VALUE"""),500000.0)</f>
        <v>500000</v>
      </c>
      <c r="W223" s="171" t="str">
        <f>IFERROR(__xludf.DUMMYFUNCTION("""COMPUTED_VALUE"""),"")</f>
        <v/>
      </c>
      <c r="X223" s="14" t="str">
        <f>IFERROR(__xludf.DUMMYFUNCTION("""COMPUTED_VALUE"""),"")</f>
        <v/>
      </c>
      <c r="Y223" s="14" t="str">
        <f>IFERROR(__xludf.DUMMYFUNCTION("""COMPUTED_VALUE"""),"")</f>
        <v/>
      </c>
      <c r="Z223" s="11" t="str">
        <f>IFERROR(__xludf.DUMMYFUNCTION("""COMPUTED_VALUE"""),"")</f>
        <v/>
      </c>
    </row>
    <row r="224">
      <c r="A224" s="35" t="str">
        <f>IFERROR(__xludf.DUMMYFUNCTION("""COMPUTED_VALUE"""),"")</f>
        <v/>
      </c>
      <c r="B224" s="35" t="str">
        <f>IFERROR(__xludf.DUMMYFUNCTION("""COMPUTED_VALUE"""),"38063")</f>
        <v>38063</v>
      </c>
      <c r="C224" s="172">
        <f>IFERROR(__xludf.DUMMYFUNCTION("""COMPUTED_VALUE"""),4.4650001016E10)</f>
        <v>44650001016</v>
      </c>
      <c r="D224" s="188" t="str">
        <f>IFERROR(__xludf.DUMMYFUNCTION("""COMPUTED_VALUE"""),"2007.hk")</f>
        <v>2007.hk</v>
      </c>
      <c r="E224" s="173">
        <f>IFERROR(__xludf.DUMMYFUNCTION("""COMPUTED_VALUE"""),44650.0)</f>
        <v>44650</v>
      </c>
      <c r="F224" s="35" t="str">
        <f>IFERROR(__xludf.DUMMYFUNCTION("""COMPUTED_VALUE"""),"Stock")</f>
        <v>Stock</v>
      </c>
      <c r="G224" s="35" t="str">
        <f>IFERROR(__xludf.DUMMYFUNCTION("""COMPUTED_VALUE"""),"HKD")</f>
        <v>HKD</v>
      </c>
      <c r="H224" s="183">
        <f>IFERROR(__xludf.DUMMYFUNCTION("""COMPUTED_VALUE"""),500.0)</f>
        <v>500</v>
      </c>
      <c r="I224" s="174">
        <f>IFERROR(__xludf.DUMMYFUNCTION("""COMPUTED_VALUE"""),1.0)</f>
        <v>1</v>
      </c>
      <c r="J224" s="175">
        <f>IFERROR(__xludf.DUMMYFUNCTION("""COMPUTED_VALUE"""),6.08)</f>
        <v>6.08</v>
      </c>
      <c r="K224" s="35"/>
      <c r="L224" s="175">
        <f>IFERROR(__xludf.DUMMYFUNCTION("""COMPUTED_VALUE"""),5.9)</f>
        <v>5.9</v>
      </c>
      <c r="M224" s="187" t="str">
        <f>IFERROR(__xludf.DUMMYFUNCTION("""COMPUTED_VALUE"""),"Equity Key Stats")</f>
        <v>Equity Key Stats</v>
      </c>
      <c r="N224" s="35"/>
      <c r="O224" s="35"/>
      <c r="P224" s="176">
        <f>IFERROR(__xludf.DUMMYFUNCTION("""COMPUTED_VALUE"""),-3040.0)</f>
        <v>-3040</v>
      </c>
      <c r="Q224" s="177"/>
      <c r="R224" s="178">
        <f>IFERROR(__xludf.DUMMYFUNCTION("""COMPUTED_VALUE"""),5.9)</f>
        <v>5.9</v>
      </c>
      <c r="S224" s="184">
        <f>IFERROR(__xludf.DUMMYFUNCTION("""COMPUTED_VALUE"""),2950.0)</f>
        <v>2950</v>
      </c>
      <c r="T224" s="95">
        <f>IFERROR(__xludf.DUMMYFUNCTION("""COMPUTED_VALUE"""),1.0)</f>
        <v>1</v>
      </c>
      <c r="U224" s="95">
        <f>IFERROR(__xludf.DUMMYFUNCTION("""COMPUTED_VALUE"""),1.0)</f>
        <v>1</v>
      </c>
      <c r="V224" s="179">
        <f>IFERROR(__xludf.DUMMYFUNCTION("""COMPUTED_VALUE"""),-90.0)</f>
        <v>-90</v>
      </c>
      <c r="W224" s="171" t="str">
        <f>IFERROR(__xludf.DUMMYFUNCTION("""COMPUTED_VALUE"""),"")</f>
        <v/>
      </c>
      <c r="X224" s="14" t="str">
        <f>IFERROR(__xludf.DUMMYFUNCTION("""COMPUTED_VALUE"""),"")</f>
        <v/>
      </c>
      <c r="Y224" s="14" t="str">
        <f>IFERROR(__xludf.DUMMYFUNCTION("""COMPUTED_VALUE"""),"")</f>
        <v/>
      </c>
      <c r="Z224" s="11" t="str">
        <f>IFERROR(__xludf.DUMMYFUNCTION("""COMPUTED_VALUE"""),"")</f>
        <v/>
      </c>
    </row>
    <row r="225">
      <c r="A225" s="35" t="str">
        <f>IFERROR(__xludf.DUMMYFUNCTION("""COMPUTED_VALUE"""),"")</f>
        <v/>
      </c>
      <c r="B225" s="35" t="str">
        <f>IFERROR(__xludf.DUMMYFUNCTION("""COMPUTED_VALUE"""),"38063")</f>
        <v>38063</v>
      </c>
      <c r="C225" s="172">
        <f>IFERROR(__xludf.DUMMYFUNCTION("""COMPUTED_VALUE"""),4.4652001075E10)</f>
        <v>44652001075</v>
      </c>
      <c r="D225" s="188" t="str">
        <f>IFERROR(__xludf.DUMMYFUNCTION("""COMPUTED_VALUE"""),"0836.HK")</f>
        <v>0836.HK</v>
      </c>
      <c r="E225" s="173">
        <f>IFERROR(__xludf.DUMMYFUNCTION("""COMPUTED_VALUE"""),44652.0)</f>
        <v>44652</v>
      </c>
      <c r="F225" s="35" t="str">
        <f>IFERROR(__xludf.DUMMYFUNCTION("""COMPUTED_VALUE"""),"Stock")</f>
        <v>Stock</v>
      </c>
      <c r="G225" s="35" t="str">
        <f>IFERROR(__xludf.DUMMYFUNCTION("""COMPUTED_VALUE"""),"HKD")</f>
        <v>HKD</v>
      </c>
      <c r="H225" s="183">
        <f>IFERROR(__xludf.DUMMYFUNCTION("""COMPUTED_VALUE"""),5000.0)</f>
        <v>5000</v>
      </c>
      <c r="I225" s="174">
        <f>IFERROR(__xludf.DUMMYFUNCTION("""COMPUTED_VALUE"""),1.0)</f>
        <v>1</v>
      </c>
      <c r="J225" s="175">
        <f>IFERROR(__xludf.DUMMYFUNCTION("""COMPUTED_VALUE"""),14.92)</f>
        <v>14.92</v>
      </c>
      <c r="K225" s="35"/>
      <c r="L225" s="175">
        <f>IFERROR(__xludf.DUMMYFUNCTION("""COMPUTED_VALUE"""),14.56)</f>
        <v>14.56</v>
      </c>
      <c r="M225" s="187" t="str">
        <f>IFERROR(__xludf.DUMMYFUNCTION("""COMPUTED_VALUE"""),"Equity Key Stats")</f>
        <v>Equity Key Stats</v>
      </c>
      <c r="N225" s="35"/>
      <c r="O225" s="35"/>
      <c r="P225" s="176">
        <f>IFERROR(__xludf.DUMMYFUNCTION("""COMPUTED_VALUE"""),-74600.0)</f>
        <v>-74600</v>
      </c>
      <c r="Q225" s="177"/>
      <c r="R225" s="178">
        <f>IFERROR(__xludf.DUMMYFUNCTION("""COMPUTED_VALUE"""),14.56)</f>
        <v>14.56</v>
      </c>
      <c r="S225" s="184">
        <f>IFERROR(__xludf.DUMMYFUNCTION("""COMPUTED_VALUE"""),72800.0)</f>
        <v>72800</v>
      </c>
      <c r="T225" s="95">
        <f>IFERROR(__xludf.DUMMYFUNCTION("""COMPUTED_VALUE"""),2.0)</f>
        <v>2</v>
      </c>
      <c r="U225" s="95" t="str">
        <f>IFERROR(__xludf.DUMMYFUNCTION("""COMPUTED_VALUE"""),"")</f>
        <v/>
      </c>
      <c r="V225" s="179" t="str">
        <f>IFERROR(__xludf.DUMMYFUNCTION("""COMPUTED_VALUE"""),"")</f>
        <v/>
      </c>
      <c r="W225" s="171" t="str">
        <f>IFERROR(__xludf.DUMMYFUNCTION("""COMPUTED_VALUE"""),"")</f>
        <v/>
      </c>
      <c r="X225" s="14" t="str">
        <f>IFERROR(__xludf.DUMMYFUNCTION("""COMPUTED_VALUE"""),"")</f>
        <v/>
      </c>
      <c r="Y225" s="14" t="str">
        <f>IFERROR(__xludf.DUMMYFUNCTION("""COMPUTED_VALUE"""),"")</f>
        <v/>
      </c>
      <c r="Z225" s="11" t="str">
        <f>IFERROR(__xludf.DUMMYFUNCTION("""COMPUTED_VALUE"""),"")</f>
        <v/>
      </c>
    </row>
    <row r="226">
      <c r="A226" s="35" t="str">
        <f>IFERROR(__xludf.DUMMYFUNCTION("""COMPUTED_VALUE"""),"")</f>
        <v/>
      </c>
      <c r="B226" s="35" t="str">
        <f>IFERROR(__xludf.DUMMYFUNCTION("""COMPUTED_VALUE"""),"38063")</f>
        <v>38063</v>
      </c>
      <c r="C226" s="172">
        <f>IFERROR(__xludf.DUMMYFUNCTION("""COMPUTED_VALUE"""),4.4657001158E10)</f>
        <v>44657001158</v>
      </c>
      <c r="D226" s="188" t="str">
        <f>IFERROR(__xludf.DUMMYFUNCTION("""COMPUTED_VALUE"""),"0095.HK")</f>
        <v>0095.HK</v>
      </c>
      <c r="E226" s="173">
        <f>IFERROR(__xludf.DUMMYFUNCTION("""COMPUTED_VALUE"""),44657.0)</f>
        <v>44657</v>
      </c>
      <c r="F226" s="35" t="str">
        <f>IFERROR(__xludf.DUMMYFUNCTION("""COMPUTED_VALUE"""),"Stock")</f>
        <v>Stock</v>
      </c>
      <c r="G226" s="35" t="str">
        <f>IFERROR(__xludf.DUMMYFUNCTION("""COMPUTED_VALUE"""),"HKD")</f>
        <v>HKD</v>
      </c>
      <c r="H226" s="181">
        <f>IFERROR(__xludf.DUMMYFUNCTION("""COMPUTED_VALUE"""),1000.0)</f>
        <v>1000</v>
      </c>
      <c r="I226" s="174">
        <f>IFERROR(__xludf.DUMMYFUNCTION("""COMPUTED_VALUE"""),1.0)</f>
        <v>1</v>
      </c>
      <c r="J226" s="175">
        <f>IFERROR(__xludf.DUMMYFUNCTION("""COMPUTED_VALUE"""),1.39)</f>
        <v>1.39</v>
      </c>
      <c r="K226" s="35"/>
      <c r="L226" s="175">
        <f>IFERROR(__xludf.DUMMYFUNCTION("""COMPUTED_VALUE"""),1.3)</f>
        <v>1.3</v>
      </c>
      <c r="M226" s="187" t="str">
        <f>IFERROR(__xludf.DUMMYFUNCTION("""COMPUTED_VALUE"""),"Equity Key Stats")</f>
        <v>Equity Key Stats</v>
      </c>
      <c r="N226" s="35"/>
      <c r="O226" s="35"/>
      <c r="P226" s="184">
        <f>IFERROR(__xludf.DUMMYFUNCTION("""COMPUTED_VALUE"""),-1390.0)</f>
        <v>-1390</v>
      </c>
      <c r="Q226" s="177"/>
      <c r="R226" s="178">
        <f>IFERROR(__xludf.DUMMYFUNCTION("""COMPUTED_VALUE"""),1.3)</f>
        <v>1.3</v>
      </c>
      <c r="S226" s="176">
        <f>IFERROR(__xludf.DUMMYFUNCTION("""COMPUTED_VALUE"""),1300.0)</f>
        <v>1300</v>
      </c>
      <c r="T226" s="95">
        <f>IFERROR(__xludf.DUMMYFUNCTION("""COMPUTED_VALUE"""),1.0)</f>
        <v>1</v>
      </c>
      <c r="U226" s="95">
        <f>IFERROR(__xludf.DUMMYFUNCTION("""COMPUTED_VALUE"""),1.0)</f>
        <v>1</v>
      </c>
      <c r="V226" s="185">
        <f>IFERROR(__xludf.DUMMYFUNCTION("""COMPUTED_VALUE"""),-90.0)</f>
        <v>-90</v>
      </c>
      <c r="W226" s="55" t="str">
        <f>IFERROR(__xludf.DUMMYFUNCTION("""COMPUTED_VALUE"""),"")</f>
        <v/>
      </c>
      <c r="X226" s="181" t="str">
        <f>IFERROR(__xludf.DUMMYFUNCTION("""COMPUTED_VALUE"""),"")</f>
        <v/>
      </c>
      <c r="Y226" s="181" t="str">
        <f>IFERROR(__xludf.DUMMYFUNCTION("""COMPUTED_VALUE"""),"")</f>
        <v/>
      </c>
      <c r="Z226" s="186" t="str">
        <f>IFERROR(__xludf.DUMMYFUNCTION("""COMPUTED_VALUE"""),"")</f>
        <v/>
      </c>
    </row>
    <row r="227">
      <c r="A227" s="35" t="str">
        <f>IFERROR(__xludf.DUMMYFUNCTION("""COMPUTED_VALUE"""),"")</f>
        <v/>
      </c>
      <c r="B227" s="35" t="str">
        <f>IFERROR(__xludf.DUMMYFUNCTION("""COMPUTED_VALUE"""),"38063")</f>
        <v>38063</v>
      </c>
      <c r="C227" s="172">
        <f>IFERROR(__xludf.DUMMYFUNCTION("""COMPUTED_VALUE"""),4.4659001244E10)</f>
        <v>44659001244</v>
      </c>
      <c r="D227" s="190" t="str">
        <f>IFERROR(__xludf.DUMMYFUNCTION("""COMPUTED_VALUE"""),"0001.HK")</f>
        <v>0001.HK</v>
      </c>
      <c r="E227" s="173">
        <f>IFERROR(__xludf.DUMMYFUNCTION("""COMPUTED_VALUE"""),44659.0)</f>
        <v>44659</v>
      </c>
      <c r="F227" s="35" t="str">
        <f>IFERROR(__xludf.DUMMYFUNCTION("""COMPUTED_VALUE"""),"Stock")</f>
        <v>Stock</v>
      </c>
      <c r="G227" s="35" t="str">
        <f>IFERROR(__xludf.DUMMYFUNCTION("""COMPUTED_VALUE"""),"HKD")</f>
        <v>HKD</v>
      </c>
      <c r="H227" s="14">
        <f>IFERROR(__xludf.DUMMYFUNCTION("""COMPUTED_VALUE"""),1000.0)</f>
        <v>1000</v>
      </c>
      <c r="I227" s="174">
        <f>IFERROR(__xludf.DUMMYFUNCTION("""COMPUTED_VALUE"""),1.0)</f>
        <v>1</v>
      </c>
      <c r="J227" s="175">
        <f>IFERROR(__xludf.DUMMYFUNCTION("""COMPUTED_VALUE"""),56.5)</f>
        <v>56.5</v>
      </c>
      <c r="K227" s="35"/>
      <c r="L227" s="175">
        <f>IFERROR(__xludf.DUMMYFUNCTION("""COMPUTED_VALUE"""),56.7)</f>
        <v>56.7</v>
      </c>
      <c r="M227" s="187" t="str">
        <f>IFERROR(__xludf.DUMMYFUNCTION("""COMPUTED_VALUE"""),"Equity Key Stats")</f>
        <v>Equity Key Stats</v>
      </c>
      <c r="N227" s="35"/>
      <c r="O227" s="35"/>
      <c r="P227" s="176">
        <f>IFERROR(__xludf.DUMMYFUNCTION("""COMPUTED_VALUE"""),-56500.0)</f>
        <v>-56500</v>
      </c>
      <c r="Q227" s="177"/>
      <c r="R227" s="178">
        <f>IFERROR(__xludf.DUMMYFUNCTION("""COMPUTED_VALUE"""),56.7)</f>
        <v>56.7</v>
      </c>
      <c r="S227" s="151">
        <f>IFERROR(__xludf.DUMMYFUNCTION("""COMPUTED_VALUE"""),56700.0)</f>
        <v>56700</v>
      </c>
      <c r="T227" s="95">
        <f>IFERROR(__xludf.DUMMYFUNCTION("""COMPUTED_VALUE"""),1.0)</f>
        <v>1</v>
      </c>
      <c r="U227" s="95">
        <f>IFERROR(__xludf.DUMMYFUNCTION("""COMPUTED_VALUE"""),1.0)</f>
        <v>1</v>
      </c>
      <c r="V227" s="179">
        <f>IFERROR(__xludf.DUMMYFUNCTION("""COMPUTED_VALUE"""),200.0)</f>
        <v>200</v>
      </c>
      <c r="W227" s="55" t="str">
        <f>IFERROR(__xludf.DUMMYFUNCTION("""COMPUTED_VALUE"""),"")</f>
        <v/>
      </c>
      <c r="X227" s="181" t="str">
        <f>IFERROR(__xludf.DUMMYFUNCTION("""COMPUTED_VALUE"""),"")</f>
        <v/>
      </c>
      <c r="Y227" s="181" t="str">
        <f>IFERROR(__xludf.DUMMYFUNCTION("""COMPUTED_VALUE"""),"")</f>
        <v/>
      </c>
      <c r="Z227" s="186" t="str">
        <f>IFERROR(__xludf.DUMMYFUNCTION("""COMPUTED_VALUE"""),"")</f>
        <v/>
      </c>
    </row>
    <row r="228">
      <c r="A228" s="35" t="str">
        <f>IFERROR(__xludf.DUMMYFUNCTION("""COMPUTED_VALUE"""),"")</f>
        <v/>
      </c>
      <c r="B228" s="35" t="str">
        <f>IFERROR(__xludf.DUMMYFUNCTION("""COMPUTED_VALUE"""),"38063")</f>
        <v>38063</v>
      </c>
      <c r="C228" s="172">
        <f>IFERROR(__xludf.DUMMYFUNCTION("""COMPUTED_VALUE"""),4.4659001245E10)</f>
        <v>44659001245</v>
      </c>
      <c r="D228" s="190" t="str">
        <f>IFERROR(__xludf.DUMMYFUNCTION("""COMPUTED_VALUE"""),"9988.HK")</f>
        <v>9988.HK</v>
      </c>
      <c r="E228" s="173">
        <f>IFERROR(__xludf.DUMMYFUNCTION("""COMPUTED_VALUE"""),44659.0)</f>
        <v>44659</v>
      </c>
      <c r="F228" s="35" t="str">
        <f>IFERROR(__xludf.DUMMYFUNCTION("""COMPUTED_VALUE"""),"Stock")</f>
        <v>Stock</v>
      </c>
      <c r="G228" s="35" t="str">
        <f>IFERROR(__xludf.DUMMYFUNCTION("""COMPUTED_VALUE"""),"HKD")</f>
        <v>HKD</v>
      </c>
      <c r="H228" s="14">
        <f>IFERROR(__xludf.DUMMYFUNCTION("""COMPUTED_VALUE"""),1000.0)</f>
        <v>1000</v>
      </c>
      <c r="I228" s="174">
        <f>IFERROR(__xludf.DUMMYFUNCTION("""COMPUTED_VALUE"""),1.0)</f>
        <v>1</v>
      </c>
      <c r="J228" s="175">
        <f>IFERROR(__xludf.DUMMYFUNCTION("""COMPUTED_VALUE"""),103.8)</f>
        <v>103.8</v>
      </c>
      <c r="K228" s="35"/>
      <c r="L228" s="175">
        <f>IFERROR(__xludf.DUMMYFUNCTION("""COMPUTED_VALUE"""),98.5)</f>
        <v>98.5</v>
      </c>
      <c r="M228" s="187" t="str">
        <f>IFERROR(__xludf.DUMMYFUNCTION("""COMPUTED_VALUE"""),"Equity Key Stats")</f>
        <v>Equity Key Stats</v>
      </c>
      <c r="N228" s="35"/>
      <c r="O228" s="35"/>
      <c r="P228" s="176">
        <f>IFERROR(__xludf.DUMMYFUNCTION("""COMPUTED_VALUE"""),-103800.0)</f>
        <v>-103800</v>
      </c>
      <c r="Q228" s="177"/>
      <c r="R228" s="178">
        <f>IFERROR(__xludf.DUMMYFUNCTION("""COMPUTED_VALUE"""),98.5)</f>
        <v>98.5</v>
      </c>
      <c r="S228" s="151">
        <f>IFERROR(__xludf.DUMMYFUNCTION("""COMPUTED_VALUE"""),98500.0)</f>
        <v>98500</v>
      </c>
      <c r="T228" s="95">
        <f>IFERROR(__xludf.DUMMYFUNCTION("""COMPUTED_VALUE"""),1.0)</f>
        <v>1</v>
      </c>
      <c r="U228" s="95">
        <f>IFERROR(__xludf.DUMMYFUNCTION("""COMPUTED_VALUE"""),1.0)</f>
        <v>1</v>
      </c>
      <c r="V228" s="179">
        <f>IFERROR(__xludf.DUMMYFUNCTION("""COMPUTED_VALUE"""),-5300.0)</f>
        <v>-5300</v>
      </c>
      <c r="W228" s="171" t="str">
        <f>IFERROR(__xludf.DUMMYFUNCTION("""COMPUTED_VALUE"""),"")</f>
        <v/>
      </c>
      <c r="X228" s="14" t="str">
        <f>IFERROR(__xludf.DUMMYFUNCTION("""COMPUTED_VALUE"""),"")</f>
        <v/>
      </c>
      <c r="Y228" s="14" t="str">
        <f>IFERROR(__xludf.DUMMYFUNCTION("""COMPUTED_VALUE"""),"")</f>
        <v/>
      </c>
      <c r="Z228" s="11" t="str">
        <f>IFERROR(__xludf.DUMMYFUNCTION("""COMPUTED_VALUE"""),"")</f>
        <v/>
      </c>
    </row>
    <row r="229">
      <c r="A229" s="35" t="str">
        <f>IFERROR(__xludf.DUMMYFUNCTION("""COMPUTED_VALUE"""),"38063")</f>
        <v>38063</v>
      </c>
      <c r="B229" s="35" t="str">
        <f>IFERROR(__xludf.DUMMYFUNCTION("""COMPUTED_VALUE"""),"38063")</f>
        <v>38063</v>
      </c>
      <c r="C229" s="172">
        <f>IFERROR(__xludf.DUMMYFUNCTION("""COMPUTED_VALUE"""),4.4659001246E10)</f>
        <v>44659001246</v>
      </c>
      <c r="D229" s="190" t="str">
        <f>IFERROR(__xludf.DUMMYFUNCTION("""COMPUTED_VALUE"""),"0836.HK")</f>
        <v>0836.HK</v>
      </c>
      <c r="E229" s="173">
        <f>IFERROR(__xludf.DUMMYFUNCTION("""COMPUTED_VALUE"""),44659.0)</f>
        <v>44659</v>
      </c>
      <c r="F229" s="35" t="str">
        <f>IFERROR(__xludf.DUMMYFUNCTION("""COMPUTED_VALUE"""),"Stock")</f>
        <v>Stock</v>
      </c>
      <c r="G229" s="35" t="str">
        <f>IFERROR(__xludf.DUMMYFUNCTION("""COMPUTED_VALUE"""),"HKD")</f>
        <v>HKD</v>
      </c>
      <c r="H229" s="181">
        <f>IFERROR(__xludf.DUMMYFUNCTION("""COMPUTED_VALUE"""),5000.0)</f>
        <v>5000</v>
      </c>
      <c r="I229" s="174">
        <f>IFERROR(__xludf.DUMMYFUNCTION("""COMPUTED_VALUE"""),1.0)</f>
        <v>1</v>
      </c>
      <c r="J229" s="175">
        <f>IFERROR(__xludf.DUMMYFUNCTION("""COMPUTED_VALUE"""),15.46)</f>
        <v>15.46</v>
      </c>
      <c r="K229" s="35"/>
      <c r="L229" s="175">
        <f>IFERROR(__xludf.DUMMYFUNCTION("""COMPUTED_VALUE"""),14.56)</f>
        <v>14.56</v>
      </c>
      <c r="M229" s="182" t="str">
        <f>IFERROR(__xludf.DUMMYFUNCTION("""COMPUTED_VALUE"""),"Equity Key Stats")</f>
        <v>Equity Key Stats</v>
      </c>
      <c r="N229" s="35"/>
      <c r="O229" s="35"/>
      <c r="P229" s="184">
        <f>IFERROR(__xludf.DUMMYFUNCTION("""COMPUTED_VALUE"""),-77300.0)</f>
        <v>-77300</v>
      </c>
      <c r="Q229" s="177"/>
      <c r="R229" s="178">
        <f>IFERROR(__xludf.DUMMYFUNCTION("""COMPUTED_VALUE"""),14.56)</f>
        <v>14.56</v>
      </c>
      <c r="S229" s="176">
        <f>IFERROR(__xludf.DUMMYFUNCTION("""COMPUTED_VALUE"""),72800.0)</f>
        <v>72800</v>
      </c>
      <c r="T229" s="95">
        <f>IFERROR(__xludf.DUMMYFUNCTION("""COMPUTED_VALUE"""),2.0)</f>
        <v>2</v>
      </c>
      <c r="U229" s="35">
        <f>IFERROR(__xludf.DUMMYFUNCTION("""COMPUTED_VALUE"""),1.0)</f>
        <v>1</v>
      </c>
      <c r="V229" s="170">
        <f>IFERROR(__xludf.DUMMYFUNCTION("""COMPUTED_VALUE"""),-6300.0)</f>
        <v>-6300</v>
      </c>
      <c r="W229" s="171">
        <f>IFERROR(__xludf.DUMMYFUNCTION("""COMPUTED_VALUE"""),488420.0)</f>
        <v>488420</v>
      </c>
      <c r="X229" s="14">
        <f>IFERROR(__xludf.DUMMYFUNCTION("""COMPUTED_VALUE"""),183370.0)</f>
        <v>183370</v>
      </c>
      <c r="Y229" s="14">
        <f>IFERROR(__xludf.DUMMYFUNCTION("""COMPUTED_VALUE"""),0.0)</f>
        <v>0</v>
      </c>
      <c r="Z229" s="11">
        <f>IFERROR(__xludf.DUMMYFUNCTION("""COMPUTED_VALUE"""),-0.02315999999999996)</f>
        <v>-0.02316</v>
      </c>
    </row>
    <row r="230">
      <c r="A230" s="35" t="str">
        <f>IFERROR(__xludf.DUMMYFUNCTION("""COMPUTED_VALUE"""),"")</f>
        <v/>
      </c>
      <c r="B230" s="35" t="str">
        <f>IFERROR(__xludf.DUMMYFUNCTION("""COMPUTED_VALUE"""),"38093")</f>
        <v>38093</v>
      </c>
      <c r="C230" s="172">
        <f>IFERROR(__xludf.DUMMYFUNCTION("""COMPUTED_VALUE"""),4.4597000064E10)</f>
        <v>44597000064</v>
      </c>
      <c r="D230" s="191" t="str">
        <f>IFERROR(__xludf.DUMMYFUNCTION("""COMPUTED_VALUE"""),"Cash")</f>
        <v>Cash</v>
      </c>
      <c r="E230" s="173">
        <f>IFERROR(__xludf.DUMMYFUNCTION("""COMPUTED_VALUE"""),44597.0)</f>
        <v>44597</v>
      </c>
      <c r="F230" s="35" t="str">
        <f>IFERROR(__xludf.DUMMYFUNCTION("""COMPUTED_VALUE"""),"Cash")</f>
        <v>Cash</v>
      </c>
      <c r="G230" s="35" t="str">
        <f>IFERROR(__xludf.DUMMYFUNCTION("""COMPUTED_VALUE"""),"HKD")</f>
        <v>HKD</v>
      </c>
      <c r="H230" s="181" t="str">
        <f>IFERROR(__xludf.DUMMYFUNCTION("""COMPUTED_VALUE"""),"")</f>
        <v/>
      </c>
      <c r="I230" s="174">
        <f>IFERROR(__xludf.DUMMYFUNCTION("""COMPUTED_VALUE"""),1.0)</f>
        <v>1</v>
      </c>
      <c r="J230" s="175">
        <f>IFERROR(__xludf.DUMMYFUNCTION("""COMPUTED_VALUE"""),1.0)</f>
        <v>1</v>
      </c>
      <c r="K230" s="35"/>
      <c r="L230" s="175">
        <f>IFERROR(__xludf.DUMMYFUNCTION("""COMPUTED_VALUE"""),1.0)</f>
        <v>1</v>
      </c>
      <c r="M230" s="182" t="str">
        <f>IFERROR(__xludf.DUMMYFUNCTION("""COMPUTED_VALUE"""),"")</f>
        <v/>
      </c>
      <c r="N230" s="35"/>
      <c r="O230" s="35"/>
      <c r="P230" s="184">
        <f>IFERROR(__xludf.DUMMYFUNCTION("""COMPUTED_VALUE"""),500000.0)</f>
        <v>500000</v>
      </c>
      <c r="Q230" s="177"/>
      <c r="R230" s="178">
        <f>IFERROR(__xludf.DUMMYFUNCTION("""COMPUTED_VALUE"""),1.0)</f>
        <v>1</v>
      </c>
      <c r="S230" s="176" t="str">
        <f>IFERROR(__xludf.DUMMYFUNCTION("""COMPUTED_VALUE"""),"")</f>
        <v/>
      </c>
      <c r="T230" s="95">
        <f>IFERROR(__xludf.DUMMYFUNCTION("""COMPUTED_VALUE"""),1.0)</f>
        <v>1</v>
      </c>
      <c r="U230" s="35">
        <f>IFERROR(__xludf.DUMMYFUNCTION("""COMPUTED_VALUE"""),1.0)</f>
        <v>1</v>
      </c>
      <c r="V230" s="170">
        <f>IFERROR(__xludf.DUMMYFUNCTION("""COMPUTED_VALUE"""),500000.0)</f>
        <v>500000</v>
      </c>
      <c r="W230" s="171" t="str">
        <f>IFERROR(__xludf.DUMMYFUNCTION("""COMPUTED_VALUE"""),"")</f>
        <v/>
      </c>
      <c r="X230" s="14" t="str">
        <f>IFERROR(__xludf.DUMMYFUNCTION("""COMPUTED_VALUE"""),"")</f>
        <v/>
      </c>
      <c r="Y230" s="14" t="str">
        <f>IFERROR(__xludf.DUMMYFUNCTION("""COMPUTED_VALUE"""),"")</f>
        <v/>
      </c>
      <c r="Z230" s="11" t="str">
        <f>IFERROR(__xludf.DUMMYFUNCTION("""COMPUTED_VALUE"""),"")</f>
        <v/>
      </c>
    </row>
    <row r="231">
      <c r="A231" s="35" t="str">
        <f>IFERROR(__xludf.DUMMYFUNCTION("""COMPUTED_VALUE"""),"")</f>
        <v/>
      </c>
      <c r="B231" s="35" t="str">
        <f>IFERROR(__xludf.DUMMYFUNCTION("""COMPUTED_VALUE"""),"38093")</f>
        <v>38093</v>
      </c>
      <c r="C231" s="172">
        <f>IFERROR(__xludf.DUMMYFUNCTION("""COMPUTED_VALUE"""),4.4644000859E10)</f>
        <v>44644000859</v>
      </c>
      <c r="D231" s="180" t="str">
        <f>IFERROR(__xludf.DUMMYFUNCTION("""COMPUTED_VALUE"""),"NKE")</f>
        <v>NKE</v>
      </c>
      <c r="E231" s="173">
        <f>IFERROR(__xludf.DUMMYFUNCTION("""COMPUTED_VALUE"""),44644.0)</f>
        <v>44644</v>
      </c>
      <c r="F231" s="35" t="str">
        <f>IFERROR(__xludf.DUMMYFUNCTION("""COMPUTED_VALUE"""),"Stock")</f>
        <v>Stock</v>
      </c>
      <c r="G231" s="35" t="str">
        <f>IFERROR(__xludf.DUMMYFUNCTION("""COMPUTED_VALUE"""),"USD")</f>
        <v>USD</v>
      </c>
      <c r="H231" s="181" t="str">
        <f>IFERROR(__xludf.DUMMYFUNCTION("""COMPUTED_VALUE"""),"")</f>
        <v/>
      </c>
      <c r="I231" s="174">
        <f>IFERROR(__xludf.DUMMYFUNCTION("""COMPUTED_VALUE"""),7.82365)</f>
        <v>7.82365</v>
      </c>
      <c r="J231" s="175">
        <f>IFERROR(__xludf.DUMMYFUNCTION("""COMPUTED_VALUE"""),132.08)</f>
        <v>132.08</v>
      </c>
      <c r="K231" s="35"/>
      <c r="L231" s="175">
        <f>IFERROR(__xludf.DUMMYFUNCTION("""COMPUTED_VALUE"""),127.48)</f>
        <v>127.48</v>
      </c>
      <c r="M231" s="182" t="str">
        <f>IFERROR(__xludf.DUMMYFUNCTION("""COMPUTED_VALUE"""),"Equity Key Stats")</f>
        <v>Equity Key Stats</v>
      </c>
      <c r="N231" s="35"/>
      <c r="O231" s="35"/>
      <c r="P231" s="184">
        <f>IFERROR(__xludf.DUMMYFUNCTION("""COMPUTED_VALUE"""),0.0)</f>
        <v>0</v>
      </c>
      <c r="Q231" s="177"/>
      <c r="R231" s="178">
        <f>IFERROR(__xludf.DUMMYFUNCTION("""COMPUTED_VALUE"""),127.48)</f>
        <v>127.48</v>
      </c>
      <c r="S231" s="176">
        <f>IFERROR(__xludf.DUMMYFUNCTION("""COMPUTED_VALUE"""),0.0)</f>
        <v>0</v>
      </c>
      <c r="T231" s="95">
        <f>IFERROR(__xludf.DUMMYFUNCTION("""COMPUTED_VALUE"""),3.0)</f>
        <v>3</v>
      </c>
      <c r="U231" s="95" t="str">
        <f>IFERROR(__xludf.DUMMYFUNCTION("""COMPUTED_VALUE"""),"")</f>
        <v/>
      </c>
      <c r="V231" s="185" t="str">
        <f>IFERROR(__xludf.DUMMYFUNCTION("""COMPUTED_VALUE"""),"")</f>
        <v/>
      </c>
      <c r="W231" s="171" t="str">
        <f>IFERROR(__xludf.DUMMYFUNCTION("""COMPUTED_VALUE"""),"")</f>
        <v/>
      </c>
      <c r="X231" s="14" t="str">
        <f>IFERROR(__xludf.DUMMYFUNCTION("""COMPUTED_VALUE"""),"")</f>
        <v/>
      </c>
      <c r="Y231" s="14" t="str">
        <f>IFERROR(__xludf.DUMMYFUNCTION("""COMPUTED_VALUE"""),"")</f>
        <v/>
      </c>
      <c r="Z231" s="11" t="str">
        <f>IFERROR(__xludf.DUMMYFUNCTION("""COMPUTED_VALUE"""),"")</f>
        <v/>
      </c>
    </row>
    <row r="232">
      <c r="A232" s="35" t="str">
        <f>IFERROR(__xludf.DUMMYFUNCTION("""COMPUTED_VALUE"""),"")</f>
        <v/>
      </c>
      <c r="B232" s="35" t="str">
        <f>IFERROR(__xludf.DUMMYFUNCTION("""COMPUTED_VALUE"""),"38093")</f>
        <v>38093</v>
      </c>
      <c r="C232" s="172">
        <f>IFERROR(__xludf.DUMMYFUNCTION("""COMPUTED_VALUE"""),4.464400086E10)</f>
        <v>44644000860</v>
      </c>
      <c r="D232" s="180" t="str">
        <f>IFERROR(__xludf.DUMMYFUNCTION("""COMPUTED_VALUE"""),"TSLA")</f>
        <v>TSLA</v>
      </c>
      <c r="E232" s="173">
        <f>IFERROR(__xludf.DUMMYFUNCTION("""COMPUTED_VALUE"""),44644.0)</f>
        <v>44644</v>
      </c>
      <c r="F232" s="35" t="str">
        <f>IFERROR(__xludf.DUMMYFUNCTION("""COMPUTED_VALUE"""),"Stock")</f>
        <v>Stock</v>
      </c>
      <c r="G232" s="35" t="str">
        <f>IFERROR(__xludf.DUMMYFUNCTION("""COMPUTED_VALUE"""),"USD")</f>
        <v>USD</v>
      </c>
      <c r="H232" s="14" t="str">
        <f>IFERROR(__xludf.DUMMYFUNCTION("""COMPUTED_VALUE"""),"")</f>
        <v/>
      </c>
      <c r="I232" s="174">
        <f>IFERROR(__xludf.DUMMYFUNCTION("""COMPUTED_VALUE"""),7.82365)</f>
        <v>7.82365</v>
      </c>
      <c r="J232" s="175">
        <f>IFERROR(__xludf.DUMMYFUNCTION("""COMPUTED_VALUE"""),1013.92)</f>
        <v>1013.92</v>
      </c>
      <c r="K232" s="35"/>
      <c r="L232" s="175">
        <f>IFERROR(__xludf.DUMMYFUNCTION("""COMPUTED_VALUE"""),1022.37)</f>
        <v>1022.37</v>
      </c>
      <c r="M232" s="182" t="str">
        <f>IFERROR(__xludf.DUMMYFUNCTION("""COMPUTED_VALUE"""),"Equity Key Stats")</f>
        <v>Equity Key Stats</v>
      </c>
      <c r="N232" s="35"/>
      <c r="O232" s="35"/>
      <c r="P232" s="176">
        <f>IFERROR(__xludf.DUMMYFUNCTION("""COMPUTED_VALUE"""),0.0)</f>
        <v>0</v>
      </c>
      <c r="Q232" s="177"/>
      <c r="R232" s="178">
        <f>IFERROR(__xludf.DUMMYFUNCTION("""COMPUTED_VALUE"""),1022.37)</f>
        <v>1022.37</v>
      </c>
      <c r="S232" s="176">
        <f>IFERROR(__xludf.DUMMYFUNCTION("""COMPUTED_VALUE"""),0.0)</f>
        <v>0</v>
      </c>
      <c r="T232" s="95">
        <f>IFERROR(__xludf.DUMMYFUNCTION("""COMPUTED_VALUE"""),2.0)</f>
        <v>2</v>
      </c>
      <c r="U232" s="35" t="str">
        <f>IFERROR(__xludf.DUMMYFUNCTION("""COMPUTED_VALUE"""),"")</f>
        <v/>
      </c>
      <c r="V232" s="170" t="str">
        <f>IFERROR(__xludf.DUMMYFUNCTION("""COMPUTED_VALUE"""),"")</f>
        <v/>
      </c>
      <c r="W232" s="171" t="str">
        <f>IFERROR(__xludf.DUMMYFUNCTION("""COMPUTED_VALUE"""),"")</f>
        <v/>
      </c>
      <c r="X232" s="14" t="str">
        <f>IFERROR(__xludf.DUMMYFUNCTION("""COMPUTED_VALUE"""),"")</f>
        <v/>
      </c>
      <c r="Y232" s="14" t="str">
        <f>IFERROR(__xludf.DUMMYFUNCTION("""COMPUTED_VALUE"""),"")</f>
        <v/>
      </c>
      <c r="Z232" s="11" t="str">
        <f>IFERROR(__xludf.DUMMYFUNCTION("""COMPUTED_VALUE"""),"")</f>
        <v/>
      </c>
    </row>
    <row r="233">
      <c r="A233" s="35" t="str">
        <f>IFERROR(__xludf.DUMMYFUNCTION("""COMPUTED_VALUE"""),"")</f>
        <v/>
      </c>
      <c r="B233" s="35" t="str">
        <f>IFERROR(__xludf.DUMMYFUNCTION("""COMPUTED_VALUE"""),"38093")</f>
        <v>38093</v>
      </c>
      <c r="C233" s="172">
        <f>IFERROR(__xludf.DUMMYFUNCTION("""COMPUTED_VALUE"""),4.4645000908E10)</f>
        <v>44645000908</v>
      </c>
      <c r="D233" s="180" t="str">
        <f>IFERROR(__xludf.DUMMYFUNCTION("""COMPUTED_VALUE"""),"NKE")</f>
        <v>NKE</v>
      </c>
      <c r="E233" s="173">
        <f>IFERROR(__xludf.DUMMYFUNCTION("""COMPUTED_VALUE"""),44645.0)</f>
        <v>44645</v>
      </c>
      <c r="F233" s="35" t="str">
        <f>IFERROR(__xludf.DUMMYFUNCTION("""COMPUTED_VALUE"""),"Stock")</f>
        <v>Stock</v>
      </c>
      <c r="G233" s="35" t="str">
        <f>IFERROR(__xludf.DUMMYFUNCTION("""COMPUTED_VALUE"""),"USD")</f>
        <v>USD</v>
      </c>
      <c r="H233" s="181">
        <f>IFERROR(__xludf.DUMMYFUNCTION("""COMPUTED_VALUE"""),100.0)</f>
        <v>100</v>
      </c>
      <c r="I233" s="174">
        <f>IFERROR(__xludf.DUMMYFUNCTION("""COMPUTED_VALUE"""),7.82975)</f>
        <v>7.82975</v>
      </c>
      <c r="J233" s="175">
        <f>IFERROR(__xludf.DUMMYFUNCTION("""COMPUTED_VALUE"""),133.7)</f>
        <v>133.7</v>
      </c>
      <c r="K233" s="35"/>
      <c r="L233" s="175">
        <f>IFERROR(__xludf.DUMMYFUNCTION("""COMPUTED_VALUE"""),127.48)</f>
        <v>127.48</v>
      </c>
      <c r="M233" s="182" t="str">
        <f>IFERROR(__xludf.DUMMYFUNCTION("""COMPUTED_VALUE"""),"Equity Key Stats")</f>
        <v>Equity Key Stats</v>
      </c>
      <c r="N233" s="35"/>
      <c r="O233" s="35"/>
      <c r="P233" s="184">
        <f>IFERROR(__xludf.DUMMYFUNCTION("""COMPUTED_VALUE"""),-104683.75749999999)</f>
        <v>-104683.7575</v>
      </c>
      <c r="Q233" s="177"/>
      <c r="R233" s="178">
        <f>IFERROR(__xludf.DUMMYFUNCTION("""COMPUTED_VALUE"""),127.48)</f>
        <v>127.48</v>
      </c>
      <c r="S233" s="176">
        <f>IFERROR(__xludf.DUMMYFUNCTION("""COMPUTED_VALUE"""),99813.653)</f>
        <v>99813.653</v>
      </c>
      <c r="T233" s="95">
        <f>IFERROR(__xludf.DUMMYFUNCTION("""COMPUTED_VALUE"""),3.0)</f>
        <v>3</v>
      </c>
      <c r="U233" s="35" t="str">
        <f>IFERROR(__xludf.DUMMYFUNCTION("""COMPUTED_VALUE"""),"")</f>
        <v/>
      </c>
      <c r="V233" s="170" t="str">
        <f>IFERROR(__xludf.DUMMYFUNCTION("""COMPUTED_VALUE"""),"")</f>
        <v/>
      </c>
      <c r="W233" s="171" t="str">
        <f>IFERROR(__xludf.DUMMYFUNCTION("""COMPUTED_VALUE"""),"")</f>
        <v/>
      </c>
      <c r="X233" s="14" t="str">
        <f>IFERROR(__xludf.DUMMYFUNCTION("""COMPUTED_VALUE"""),"")</f>
        <v/>
      </c>
      <c r="Y233" s="14" t="str">
        <f>IFERROR(__xludf.DUMMYFUNCTION("""COMPUTED_VALUE"""),"")</f>
        <v/>
      </c>
      <c r="Z233" s="11" t="str">
        <f>IFERROR(__xludf.DUMMYFUNCTION("""COMPUTED_VALUE"""),"")</f>
        <v/>
      </c>
    </row>
    <row r="234">
      <c r="A234" s="35" t="str">
        <f>IFERROR(__xludf.DUMMYFUNCTION("""COMPUTED_VALUE"""),"")</f>
        <v/>
      </c>
      <c r="B234" s="35" t="str">
        <f>IFERROR(__xludf.DUMMYFUNCTION("""COMPUTED_VALUE"""),"38093")</f>
        <v>38093</v>
      </c>
      <c r="C234" s="172">
        <f>IFERROR(__xludf.DUMMYFUNCTION("""COMPUTED_VALUE"""),4.4645000909E10)</f>
        <v>44645000909</v>
      </c>
      <c r="D234" s="180" t="str">
        <f>IFERROR(__xludf.DUMMYFUNCTION("""COMPUTED_VALUE"""),"TSLA")</f>
        <v>TSLA</v>
      </c>
      <c r="E234" s="173">
        <f>IFERROR(__xludf.DUMMYFUNCTION("""COMPUTED_VALUE"""),44645.0)</f>
        <v>44645</v>
      </c>
      <c r="F234" s="35" t="str">
        <f>IFERROR(__xludf.DUMMYFUNCTION("""COMPUTED_VALUE"""),"Stock")</f>
        <v>Stock</v>
      </c>
      <c r="G234" s="35" t="str">
        <f>IFERROR(__xludf.DUMMYFUNCTION("""COMPUTED_VALUE"""),"USD")</f>
        <v>USD</v>
      </c>
      <c r="H234" s="181">
        <f>IFERROR(__xludf.DUMMYFUNCTION("""COMPUTED_VALUE"""),50.0)</f>
        <v>50</v>
      </c>
      <c r="I234" s="174">
        <f>IFERROR(__xludf.DUMMYFUNCTION("""COMPUTED_VALUE"""),7.82975)</f>
        <v>7.82975</v>
      </c>
      <c r="J234" s="175">
        <f>IFERROR(__xludf.DUMMYFUNCTION("""COMPUTED_VALUE"""),1010.64)</f>
        <v>1010.64</v>
      </c>
      <c r="K234" s="35"/>
      <c r="L234" s="175">
        <f>IFERROR(__xludf.DUMMYFUNCTION("""COMPUTED_VALUE"""),1022.37)</f>
        <v>1022.37</v>
      </c>
      <c r="M234" s="182" t="str">
        <f>IFERROR(__xludf.DUMMYFUNCTION("""COMPUTED_VALUE"""),"Equity Key Stats")</f>
        <v>Equity Key Stats</v>
      </c>
      <c r="N234" s="35"/>
      <c r="O234" s="35"/>
      <c r="P234" s="184">
        <f>IFERROR(__xludf.DUMMYFUNCTION("""COMPUTED_VALUE"""),-395652.927)</f>
        <v>-395652.927</v>
      </c>
      <c r="Q234" s="177"/>
      <c r="R234" s="178">
        <f>IFERROR(__xludf.DUMMYFUNCTION("""COMPUTED_VALUE"""),1022.37)</f>
        <v>1022.37</v>
      </c>
      <c r="S234" s="176">
        <f>IFERROR(__xludf.DUMMYFUNCTION("""COMPUTED_VALUE"""),400245.075375)</f>
        <v>400245.0754</v>
      </c>
      <c r="T234" s="95">
        <f>IFERROR(__xludf.DUMMYFUNCTION("""COMPUTED_VALUE"""),2.0)</f>
        <v>2</v>
      </c>
      <c r="U234" s="95">
        <f>IFERROR(__xludf.DUMMYFUNCTION("""COMPUTED_VALUE"""),1.0)</f>
        <v>1</v>
      </c>
      <c r="V234" s="185">
        <f>IFERROR(__xludf.DUMMYFUNCTION("""COMPUTED_VALUE"""),4592.14837499999)</f>
        <v>4592.148375</v>
      </c>
      <c r="W234" s="171" t="str">
        <f>IFERROR(__xludf.DUMMYFUNCTION("""COMPUTED_VALUE"""),"")</f>
        <v/>
      </c>
      <c r="X234" s="14" t="str">
        <f>IFERROR(__xludf.DUMMYFUNCTION("""COMPUTED_VALUE"""),"")</f>
        <v/>
      </c>
      <c r="Y234" s="14" t="str">
        <f>IFERROR(__xludf.DUMMYFUNCTION("""COMPUTED_VALUE"""),"")</f>
        <v/>
      </c>
      <c r="Z234" s="11" t="str">
        <f>IFERROR(__xludf.DUMMYFUNCTION("""COMPUTED_VALUE"""),"")</f>
        <v/>
      </c>
    </row>
    <row r="235">
      <c r="A235" s="35" t="str">
        <f>IFERROR(__xludf.DUMMYFUNCTION("""COMPUTED_VALUE"""),"")</f>
        <v/>
      </c>
      <c r="B235" s="35" t="str">
        <f>IFERROR(__xludf.DUMMYFUNCTION("""COMPUTED_VALUE"""),"38093")</f>
        <v>38093</v>
      </c>
      <c r="C235" s="172">
        <f>IFERROR(__xludf.DUMMYFUNCTION("""COMPUTED_VALUE"""),4.464500091E10)</f>
        <v>44645000910</v>
      </c>
      <c r="D235" s="180" t="str">
        <f>IFERROR(__xludf.DUMMYFUNCTION("""COMPUTED_VALUE"""),"ADA-USD")</f>
        <v>ADA-USD</v>
      </c>
      <c r="E235" s="173">
        <f>IFERROR(__xludf.DUMMYFUNCTION("""COMPUTED_VALUE"""),44645.0)</f>
        <v>44645</v>
      </c>
      <c r="F235" s="35" t="str">
        <f>IFERROR(__xludf.DUMMYFUNCTION("""COMPUTED_VALUE"""),"Stock")</f>
        <v>Stock</v>
      </c>
      <c r="G235" s="35" t="str">
        <f>IFERROR(__xludf.DUMMYFUNCTION("""COMPUTED_VALUE"""),"USD")</f>
        <v>USD</v>
      </c>
      <c r="H235" s="181">
        <f>IFERROR(__xludf.DUMMYFUNCTION("""COMPUTED_VALUE"""),500.0)</f>
        <v>500</v>
      </c>
      <c r="I235" s="174">
        <f>IFERROR(__xludf.DUMMYFUNCTION("""COMPUTED_VALUE"""),7.82975)</f>
        <v>7.82975</v>
      </c>
      <c r="J235" s="175">
        <f>IFERROR(__xludf.DUMMYFUNCTION("""COMPUTED_VALUE"""),1.0994)</f>
        <v>1.0994</v>
      </c>
      <c r="K235" s="35"/>
      <c r="L235" s="175">
        <f>IFERROR(__xludf.DUMMYFUNCTION("""COMPUTED_VALUE"""),0.9647)</f>
        <v>0.9647</v>
      </c>
      <c r="M235" s="182" t="str">
        <f>IFERROR(__xludf.DUMMYFUNCTION("""COMPUTED_VALUE"""),"Equity Key Stats")</f>
        <v>Equity Key Stats</v>
      </c>
      <c r="N235" s="35"/>
      <c r="O235" s="35"/>
      <c r="P235" s="184">
        <f>IFERROR(__xludf.DUMMYFUNCTION("""COMPUTED_VALUE"""),-4304.013575)</f>
        <v>-4304.013575</v>
      </c>
      <c r="Q235" s="177"/>
      <c r="R235" s="178">
        <f>IFERROR(__xludf.DUMMYFUNCTION("""COMPUTED_VALUE"""),0.9647)</f>
        <v>0.9647</v>
      </c>
      <c r="S235" s="176">
        <f>IFERROR(__xludf.DUMMYFUNCTION("""COMPUTED_VALUE"""),3776.6799125000002)</f>
        <v>3776.679913</v>
      </c>
      <c r="T235" s="95">
        <f>IFERROR(__xludf.DUMMYFUNCTION("""COMPUTED_VALUE"""),1.0)</f>
        <v>1</v>
      </c>
      <c r="U235" s="35">
        <f>IFERROR(__xludf.DUMMYFUNCTION("""COMPUTED_VALUE"""),1.0)</f>
        <v>1</v>
      </c>
      <c r="V235" s="170">
        <f>IFERROR(__xludf.DUMMYFUNCTION("""COMPUTED_VALUE"""),-527.3336624999997)</f>
        <v>-527.3336625</v>
      </c>
      <c r="W235" s="171" t="str">
        <f>IFERROR(__xludf.DUMMYFUNCTION("""COMPUTED_VALUE"""),"")</f>
        <v/>
      </c>
      <c r="X235" s="14" t="str">
        <f>IFERROR(__xludf.DUMMYFUNCTION("""COMPUTED_VALUE"""),"")</f>
        <v/>
      </c>
      <c r="Y235" s="14" t="str">
        <f>IFERROR(__xludf.DUMMYFUNCTION("""COMPUTED_VALUE"""),"")</f>
        <v/>
      </c>
      <c r="Z235" s="11" t="str">
        <f>IFERROR(__xludf.DUMMYFUNCTION("""COMPUTED_VALUE"""),"")</f>
        <v/>
      </c>
    </row>
    <row r="236">
      <c r="A236" s="35" t="str">
        <f>IFERROR(__xludf.DUMMYFUNCTION("""COMPUTED_VALUE"""),"")</f>
        <v/>
      </c>
      <c r="B236" s="35" t="str">
        <f>IFERROR(__xludf.DUMMYFUNCTION("""COMPUTED_VALUE"""),"38093")</f>
        <v>38093</v>
      </c>
      <c r="C236" s="172">
        <f>IFERROR(__xludf.DUMMYFUNCTION("""COMPUTED_VALUE"""),4.4648000921E10)</f>
        <v>44648000921</v>
      </c>
      <c r="D236" s="188" t="str">
        <f>IFERROR(__xludf.DUMMYFUNCTION("""COMPUTED_VALUE"""),"0700.HK")</f>
        <v>0700.HK</v>
      </c>
      <c r="E236" s="173">
        <f>IFERROR(__xludf.DUMMYFUNCTION("""COMPUTED_VALUE"""),44648.0)</f>
        <v>44648</v>
      </c>
      <c r="F236" s="35" t="str">
        <f>IFERROR(__xludf.DUMMYFUNCTION("""COMPUTED_VALUE"""),"Stock")</f>
        <v>Stock</v>
      </c>
      <c r="G236" s="35" t="str">
        <f>IFERROR(__xludf.DUMMYFUNCTION("""COMPUTED_VALUE"""),"HKD")</f>
        <v>HKD</v>
      </c>
      <c r="H236" s="14">
        <f>IFERROR(__xludf.DUMMYFUNCTION("""COMPUTED_VALUE"""),100.0)</f>
        <v>100</v>
      </c>
      <c r="I236" s="174">
        <f>IFERROR(__xludf.DUMMYFUNCTION("""COMPUTED_VALUE"""),1.0)</f>
        <v>1</v>
      </c>
      <c r="J236" s="175">
        <f>IFERROR(__xludf.DUMMYFUNCTION("""COMPUTED_VALUE"""),366.4)</f>
        <v>366.4</v>
      </c>
      <c r="K236" s="35"/>
      <c r="L236" s="175">
        <f>IFERROR(__xludf.DUMMYFUNCTION("""COMPUTED_VALUE"""),373.6)</f>
        <v>373.6</v>
      </c>
      <c r="M236" s="182" t="str">
        <f>IFERROR(__xludf.DUMMYFUNCTION("""COMPUTED_VALUE"""),"Equity Key Stats")</f>
        <v>Equity Key Stats</v>
      </c>
      <c r="N236" s="35"/>
      <c r="O236" s="35"/>
      <c r="P236" s="176">
        <f>IFERROR(__xludf.DUMMYFUNCTION("""COMPUTED_VALUE"""),-36640.0)</f>
        <v>-36640</v>
      </c>
      <c r="Q236" s="177"/>
      <c r="R236" s="178">
        <f>IFERROR(__xludf.DUMMYFUNCTION("""COMPUTED_VALUE"""),373.6)</f>
        <v>373.6</v>
      </c>
      <c r="S236" s="176">
        <f>IFERROR(__xludf.DUMMYFUNCTION("""COMPUTED_VALUE"""),37360.0)</f>
        <v>37360</v>
      </c>
      <c r="T236" s="95">
        <f>IFERROR(__xludf.DUMMYFUNCTION("""COMPUTED_VALUE"""),1.0)</f>
        <v>1</v>
      </c>
      <c r="U236" s="35">
        <f>IFERROR(__xludf.DUMMYFUNCTION("""COMPUTED_VALUE"""),1.0)</f>
        <v>1</v>
      </c>
      <c r="V236" s="170">
        <f>IFERROR(__xludf.DUMMYFUNCTION("""COMPUTED_VALUE"""),720.0)</f>
        <v>720</v>
      </c>
      <c r="W236" s="171" t="str">
        <f>IFERROR(__xludf.DUMMYFUNCTION("""COMPUTED_VALUE"""),"")</f>
        <v/>
      </c>
      <c r="X236" s="14" t="str">
        <f>IFERROR(__xludf.DUMMYFUNCTION("""COMPUTED_VALUE"""),"")</f>
        <v/>
      </c>
      <c r="Y236" s="14" t="str">
        <f>IFERROR(__xludf.DUMMYFUNCTION("""COMPUTED_VALUE"""),"")</f>
        <v/>
      </c>
      <c r="Z236" s="11" t="str">
        <f>IFERROR(__xludf.DUMMYFUNCTION("""COMPUTED_VALUE"""),"")</f>
        <v/>
      </c>
    </row>
    <row r="237">
      <c r="A237" s="35" t="str">
        <f>IFERROR(__xludf.DUMMYFUNCTION("""COMPUTED_VALUE"""),"")</f>
        <v/>
      </c>
      <c r="B237" s="35" t="str">
        <f>IFERROR(__xludf.DUMMYFUNCTION("""COMPUTED_VALUE"""),"38093")</f>
        <v>38093</v>
      </c>
      <c r="C237" s="172">
        <f>IFERROR(__xludf.DUMMYFUNCTION("""COMPUTED_VALUE"""),4.4651001053E10)</f>
        <v>44651001053</v>
      </c>
      <c r="D237" s="192" t="str">
        <f>IFERROR(__xludf.DUMMYFUNCTION("""COMPUTED_VALUE"""),"1398.HK")</f>
        <v>1398.HK</v>
      </c>
      <c r="E237" s="173">
        <f>IFERROR(__xludf.DUMMYFUNCTION("""COMPUTED_VALUE"""),44651.0)</f>
        <v>44651</v>
      </c>
      <c r="F237" s="35" t="str">
        <f>IFERROR(__xludf.DUMMYFUNCTION("""COMPUTED_VALUE"""),"Stock")</f>
        <v>Stock</v>
      </c>
      <c r="G237" s="35" t="str">
        <f>IFERROR(__xludf.DUMMYFUNCTION("""COMPUTED_VALUE"""),"HKD")</f>
        <v>HKD</v>
      </c>
      <c r="H237" s="183">
        <f>IFERROR(__xludf.DUMMYFUNCTION("""COMPUTED_VALUE"""),200.0)</f>
        <v>200</v>
      </c>
      <c r="I237" s="174">
        <f>IFERROR(__xludf.DUMMYFUNCTION("""COMPUTED_VALUE"""),1.0)</f>
        <v>1</v>
      </c>
      <c r="J237" s="175">
        <f>IFERROR(__xludf.DUMMYFUNCTION("""COMPUTED_VALUE"""),4.81)</f>
        <v>4.81</v>
      </c>
      <c r="K237" s="35"/>
      <c r="L237" s="175">
        <f>IFERROR(__xludf.DUMMYFUNCTION("""COMPUTED_VALUE"""),4.75)</f>
        <v>4.75</v>
      </c>
      <c r="M237" s="182" t="str">
        <f>IFERROR(__xludf.DUMMYFUNCTION("""COMPUTED_VALUE"""),"Equity Key Stats")</f>
        <v>Equity Key Stats</v>
      </c>
      <c r="N237" s="35"/>
      <c r="O237" s="35"/>
      <c r="P237" s="176">
        <f>IFERROR(__xludf.DUMMYFUNCTION("""COMPUTED_VALUE"""),-961.9999999999999)</f>
        <v>-962</v>
      </c>
      <c r="Q237" s="177"/>
      <c r="R237" s="178">
        <f>IFERROR(__xludf.DUMMYFUNCTION("""COMPUTED_VALUE"""),4.75)</f>
        <v>4.75</v>
      </c>
      <c r="S237" s="184">
        <f>IFERROR(__xludf.DUMMYFUNCTION("""COMPUTED_VALUE"""),950.0)</f>
        <v>950</v>
      </c>
      <c r="T237" s="95">
        <f>IFERROR(__xludf.DUMMYFUNCTION("""COMPUTED_VALUE"""),1.0)</f>
        <v>1</v>
      </c>
      <c r="U237" s="95">
        <f>IFERROR(__xludf.DUMMYFUNCTION("""COMPUTED_VALUE"""),1.0)</f>
        <v>1</v>
      </c>
      <c r="V237" s="179">
        <f>IFERROR(__xludf.DUMMYFUNCTION("""COMPUTED_VALUE"""),-11.999999999999886)</f>
        <v>-12</v>
      </c>
      <c r="W237" s="171" t="str">
        <f>IFERROR(__xludf.DUMMYFUNCTION("""COMPUTED_VALUE"""),"")</f>
        <v/>
      </c>
      <c r="X237" s="14" t="str">
        <f>IFERROR(__xludf.DUMMYFUNCTION("""COMPUTED_VALUE"""),"")</f>
        <v/>
      </c>
      <c r="Y237" s="14" t="str">
        <f>IFERROR(__xludf.DUMMYFUNCTION("""COMPUTED_VALUE"""),"")</f>
        <v/>
      </c>
      <c r="Z237" s="11" t="str">
        <f>IFERROR(__xludf.DUMMYFUNCTION("""COMPUTED_VALUE"""),"")</f>
        <v/>
      </c>
    </row>
    <row r="238">
      <c r="A238" s="35" t="str">
        <f>IFERROR(__xludf.DUMMYFUNCTION("""COMPUTED_VALUE"""),"")</f>
        <v/>
      </c>
      <c r="B238" s="35" t="str">
        <f>IFERROR(__xludf.DUMMYFUNCTION("""COMPUTED_VALUE"""),"38093")</f>
        <v>38093</v>
      </c>
      <c r="C238" s="172">
        <f>IFERROR(__xludf.DUMMYFUNCTION("""COMPUTED_VALUE"""),4.4651001054E10)</f>
        <v>44651001054</v>
      </c>
      <c r="D238" s="188" t="str">
        <f>IFERROR(__xludf.DUMMYFUNCTION("""COMPUTED_VALUE"""),"0386.HK")</f>
        <v>0386.HK</v>
      </c>
      <c r="E238" s="173">
        <f>IFERROR(__xludf.DUMMYFUNCTION("""COMPUTED_VALUE"""),44651.0)</f>
        <v>44651</v>
      </c>
      <c r="F238" s="35" t="str">
        <f>IFERROR(__xludf.DUMMYFUNCTION("""COMPUTED_VALUE"""),"Stock")</f>
        <v>Stock</v>
      </c>
      <c r="G238" s="35" t="str">
        <f>IFERROR(__xludf.DUMMYFUNCTION("""COMPUTED_VALUE"""),"HKD")</f>
        <v>HKD</v>
      </c>
      <c r="H238" s="181">
        <f>IFERROR(__xludf.DUMMYFUNCTION("""COMPUTED_VALUE"""),200.0)</f>
        <v>200</v>
      </c>
      <c r="I238" s="174">
        <f>IFERROR(__xludf.DUMMYFUNCTION("""COMPUTED_VALUE"""),1.0)</f>
        <v>1</v>
      </c>
      <c r="J238" s="175">
        <f>IFERROR(__xludf.DUMMYFUNCTION("""COMPUTED_VALUE"""),3.93)</f>
        <v>3.93</v>
      </c>
      <c r="K238" s="35"/>
      <c r="L238" s="175">
        <f>IFERROR(__xludf.DUMMYFUNCTION("""COMPUTED_VALUE"""),4.0)</f>
        <v>4</v>
      </c>
      <c r="M238" s="182" t="str">
        <f>IFERROR(__xludf.DUMMYFUNCTION("""COMPUTED_VALUE"""),"Equity Key Stats")</f>
        <v>Equity Key Stats</v>
      </c>
      <c r="N238" s="35"/>
      <c r="O238" s="35"/>
      <c r="P238" s="184">
        <f>IFERROR(__xludf.DUMMYFUNCTION("""COMPUTED_VALUE"""),-786.0)</f>
        <v>-786</v>
      </c>
      <c r="Q238" s="177"/>
      <c r="R238" s="178">
        <f>IFERROR(__xludf.DUMMYFUNCTION("""COMPUTED_VALUE"""),4.0)</f>
        <v>4</v>
      </c>
      <c r="S238" s="176">
        <f>IFERROR(__xludf.DUMMYFUNCTION("""COMPUTED_VALUE"""),800.0)</f>
        <v>800</v>
      </c>
      <c r="T238" s="95">
        <f>IFERROR(__xludf.DUMMYFUNCTION("""COMPUTED_VALUE"""),1.0)</f>
        <v>1</v>
      </c>
      <c r="U238" s="95">
        <f>IFERROR(__xludf.DUMMYFUNCTION("""COMPUTED_VALUE"""),1.0)</f>
        <v>1</v>
      </c>
      <c r="V238" s="185">
        <f>IFERROR(__xludf.DUMMYFUNCTION("""COMPUTED_VALUE"""),14.0)</f>
        <v>14</v>
      </c>
      <c r="W238" s="171" t="str">
        <f>IFERROR(__xludf.DUMMYFUNCTION("""COMPUTED_VALUE"""),"")</f>
        <v/>
      </c>
      <c r="X238" s="14" t="str">
        <f>IFERROR(__xludf.DUMMYFUNCTION("""COMPUTED_VALUE"""),"")</f>
        <v/>
      </c>
      <c r="Y238" s="14" t="str">
        <f>IFERROR(__xludf.DUMMYFUNCTION("""COMPUTED_VALUE"""),"")</f>
        <v/>
      </c>
      <c r="Z238" s="11" t="str">
        <f>IFERROR(__xludf.DUMMYFUNCTION("""COMPUTED_VALUE"""),"")</f>
        <v/>
      </c>
    </row>
    <row r="239">
      <c r="A239" s="35" t="str">
        <f>IFERROR(__xludf.DUMMYFUNCTION("""COMPUTED_VALUE"""),"")</f>
        <v/>
      </c>
      <c r="B239" s="35" t="str">
        <f>IFERROR(__xludf.DUMMYFUNCTION("""COMPUTED_VALUE"""),"38093")</f>
        <v>38093</v>
      </c>
      <c r="C239" s="172">
        <f>IFERROR(__xludf.DUMMYFUNCTION("""COMPUTED_VALUE"""),4.4651001055E10)</f>
        <v>44651001055</v>
      </c>
      <c r="D239" s="188" t="str">
        <f>IFERROR(__xludf.DUMMYFUNCTION("""COMPUTED_VALUE"""),"8055.HK")</f>
        <v>8055.HK</v>
      </c>
      <c r="E239" s="173">
        <f>IFERROR(__xludf.DUMMYFUNCTION("""COMPUTED_VALUE"""),44651.0)</f>
        <v>44651</v>
      </c>
      <c r="F239" s="35" t="str">
        <f>IFERROR(__xludf.DUMMYFUNCTION("""COMPUTED_VALUE"""),"Stock")</f>
        <v>Stock</v>
      </c>
      <c r="G239" s="35" t="str">
        <f>IFERROR(__xludf.DUMMYFUNCTION("""COMPUTED_VALUE"""),"HKD")</f>
        <v>HKD</v>
      </c>
      <c r="H239" s="181">
        <f>IFERROR(__xludf.DUMMYFUNCTION("""COMPUTED_VALUE"""),500.0)</f>
        <v>500</v>
      </c>
      <c r="I239" s="174">
        <f>IFERROR(__xludf.DUMMYFUNCTION("""COMPUTED_VALUE"""),1.0)</f>
        <v>1</v>
      </c>
      <c r="J239" s="175">
        <f>IFERROR(__xludf.DUMMYFUNCTION("""COMPUTED_VALUE"""),0.011)</f>
        <v>0.011</v>
      </c>
      <c r="K239" s="35"/>
      <c r="L239" s="175">
        <f>IFERROR(__xludf.DUMMYFUNCTION("""COMPUTED_VALUE"""),0.011)</f>
        <v>0.011</v>
      </c>
      <c r="M239" s="182" t="str">
        <f>IFERROR(__xludf.DUMMYFUNCTION("""COMPUTED_VALUE"""),"Equity Key Stats")</f>
        <v>Equity Key Stats</v>
      </c>
      <c r="N239" s="35"/>
      <c r="O239" s="35"/>
      <c r="P239" s="184">
        <f>IFERROR(__xludf.DUMMYFUNCTION("""COMPUTED_VALUE"""),-5.5)</f>
        <v>-5.5</v>
      </c>
      <c r="Q239" s="177"/>
      <c r="R239" s="178">
        <f>IFERROR(__xludf.DUMMYFUNCTION("""COMPUTED_VALUE"""),0.011)</f>
        <v>0.011</v>
      </c>
      <c r="S239" s="176">
        <f>IFERROR(__xludf.DUMMYFUNCTION("""COMPUTED_VALUE"""),5.5)</f>
        <v>5.5</v>
      </c>
      <c r="T239" s="95">
        <f>IFERROR(__xludf.DUMMYFUNCTION("""COMPUTED_VALUE"""),1.0)</f>
        <v>1</v>
      </c>
      <c r="U239" s="95">
        <f>IFERROR(__xludf.DUMMYFUNCTION("""COMPUTED_VALUE"""),1.0)</f>
        <v>1</v>
      </c>
      <c r="V239" s="185">
        <f>IFERROR(__xludf.DUMMYFUNCTION("""COMPUTED_VALUE"""),0.0)</f>
        <v>0</v>
      </c>
      <c r="W239" s="171" t="str">
        <f>IFERROR(__xludf.DUMMYFUNCTION("""COMPUTED_VALUE"""),"")</f>
        <v/>
      </c>
      <c r="X239" s="14" t="str">
        <f>IFERROR(__xludf.DUMMYFUNCTION("""COMPUTED_VALUE"""),"")</f>
        <v/>
      </c>
      <c r="Y239" s="14" t="str">
        <f>IFERROR(__xludf.DUMMYFUNCTION("""COMPUTED_VALUE"""),"")</f>
        <v/>
      </c>
      <c r="Z239" s="11" t="str">
        <f>IFERROR(__xludf.DUMMYFUNCTION("""COMPUTED_VALUE"""),"")</f>
        <v/>
      </c>
    </row>
    <row r="240">
      <c r="A240" s="35" t="str">
        <f>IFERROR(__xludf.DUMMYFUNCTION("""COMPUTED_VALUE"""),"")</f>
        <v/>
      </c>
      <c r="B240" s="35" t="str">
        <f>IFERROR(__xludf.DUMMYFUNCTION("""COMPUTED_VALUE"""),"38093")</f>
        <v>38093</v>
      </c>
      <c r="C240" s="172">
        <f>IFERROR(__xludf.DUMMYFUNCTION("""COMPUTED_VALUE"""),4.4651001056E10)</f>
        <v>44651001056</v>
      </c>
      <c r="D240" s="188" t="str">
        <f>IFERROR(__xludf.DUMMYFUNCTION("""COMPUTED_VALUE"""),"3333.HK")</f>
        <v>3333.HK</v>
      </c>
      <c r="E240" s="173">
        <f>IFERROR(__xludf.DUMMYFUNCTION("""COMPUTED_VALUE"""),44651.0)</f>
        <v>44651</v>
      </c>
      <c r="F240" s="35" t="str">
        <f>IFERROR(__xludf.DUMMYFUNCTION("""COMPUTED_VALUE"""),"Stock")</f>
        <v>Stock</v>
      </c>
      <c r="G240" s="35" t="str">
        <f>IFERROR(__xludf.DUMMYFUNCTION("""COMPUTED_VALUE"""),"HKD")</f>
        <v>HKD</v>
      </c>
      <c r="H240" s="14">
        <f>IFERROR(__xludf.DUMMYFUNCTION("""COMPUTED_VALUE"""),400.0)</f>
        <v>400</v>
      </c>
      <c r="I240" s="174">
        <f>IFERROR(__xludf.DUMMYFUNCTION("""COMPUTED_VALUE"""),1.0)</f>
        <v>1</v>
      </c>
      <c r="J240" s="175">
        <f>IFERROR(__xludf.DUMMYFUNCTION("""COMPUTED_VALUE"""),1.65)</f>
        <v>1.65</v>
      </c>
      <c r="K240" s="35"/>
      <c r="L240" s="175">
        <f>IFERROR(__xludf.DUMMYFUNCTION("""COMPUTED_VALUE"""),1.65)</f>
        <v>1.65</v>
      </c>
      <c r="M240" s="182" t="str">
        <f>IFERROR(__xludf.DUMMYFUNCTION("""COMPUTED_VALUE"""),"Equity Key Stats")</f>
        <v>Equity Key Stats</v>
      </c>
      <c r="N240" s="35"/>
      <c r="O240" s="35"/>
      <c r="P240" s="176">
        <f>IFERROR(__xludf.DUMMYFUNCTION("""COMPUTED_VALUE"""),-660.0)</f>
        <v>-660</v>
      </c>
      <c r="Q240" s="177"/>
      <c r="R240" s="178">
        <f>IFERROR(__xludf.DUMMYFUNCTION("""COMPUTED_VALUE"""),1.65)</f>
        <v>1.65</v>
      </c>
      <c r="S240" s="176">
        <f>IFERROR(__xludf.DUMMYFUNCTION("""COMPUTED_VALUE"""),660.0)</f>
        <v>660</v>
      </c>
      <c r="T240" s="95">
        <f>IFERROR(__xludf.DUMMYFUNCTION("""COMPUTED_VALUE"""),1.0)</f>
        <v>1</v>
      </c>
      <c r="U240" s="95">
        <f>IFERROR(__xludf.DUMMYFUNCTION("""COMPUTED_VALUE"""),1.0)</f>
        <v>1</v>
      </c>
      <c r="V240" s="179">
        <f>IFERROR(__xludf.DUMMYFUNCTION("""COMPUTED_VALUE"""),0.0)</f>
        <v>0</v>
      </c>
      <c r="W240" s="171" t="str">
        <f>IFERROR(__xludf.DUMMYFUNCTION("""COMPUTED_VALUE"""),"")</f>
        <v/>
      </c>
      <c r="X240" s="14" t="str">
        <f>IFERROR(__xludf.DUMMYFUNCTION("""COMPUTED_VALUE"""),"")</f>
        <v/>
      </c>
      <c r="Y240" s="14" t="str">
        <f>IFERROR(__xludf.DUMMYFUNCTION("""COMPUTED_VALUE"""),"")</f>
        <v/>
      </c>
      <c r="Z240" s="11" t="str">
        <f>IFERROR(__xludf.DUMMYFUNCTION("""COMPUTED_VALUE"""),"")</f>
        <v/>
      </c>
    </row>
    <row r="241">
      <c r="A241" s="35" t="str">
        <f>IFERROR(__xludf.DUMMYFUNCTION("""COMPUTED_VALUE"""),"")</f>
        <v/>
      </c>
      <c r="B241" s="35" t="str">
        <f>IFERROR(__xludf.DUMMYFUNCTION("""COMPUTED_VALUE"""),"38093")</f>
        <v>38093</v>
      </c>
      <c r="C241" s="172">
        <f>IFERROR(__xludf.DUMMYFUNCTION("""COMPUTED_VALUE"""),4.4653001095E10)</f>
        <v>44653001095</v>
      </c>
      <c r="D241" s="192" t="str">
        <f>IFERROR(__xludf.DUMMYFUNCTION("""COMPUTED_VALUE"""),"2799.HK")</f>
        <v>2799.HK</v>
      </c>
      <c r="E241" s="173">
        <f>IFERROR(__xludf.DUMMYFUNCTION("""COMPUTED_VALUE"""),44653.0)</f>
        <v>44653</v>
      </c>
      <c r="F241" s="35" t="str">
        <f>IFERROR(__xludf.DUMMYFUNCTION("""COMPUTED_VALUE"""),"Stock")</f>
        <v>Stock</v>
      </c>
      <c r="G241" s="35" t="str">
        <f>IFERROR(__xludf.DUMMYFUNCTION("""COMPUTED_VALUE"""),"HKD")</f>
        <v>HKD</v>
      </c>
      <c r="H241" s="14">
        <f>IFERROR(__xludf.DUMMYFUNCTION("""COMPUTED_VALUE"""),300.0)</f>
        <v>300</v>
      </c>
      <c r="I241" s="174">
        <f>IFERROR(__xludf.DUMMYFUNCTION("""COMPUTED_VALUE"""),1.0)</f>
        <v>1</v>
      </c>
      <c r="J241" s="175">
        <f>IFERROR(__xludf.DUMMYFUNCTION("""COMPUTED_VALUE"""),0.44)</f>
        <v>0.44</v>
      </c>
      <c r="K241" s="35"/>
      <c r="L241" s="175">
        <f>IFERROR(__xludf.DUMMYFUNCTION("""COMPUTED_VALUE"""),0.405)</f>
        <v>0.405</v>
      </c>
      <c r="M241" s="182" t="str">
        <f>IFERROR(__xludf.DUMMYFUNCTION("""COMPUTED_VALUE"""),"Equity Key Stats")</f>
        <v>Equity Key Stats</v>
      </c>
      <c r="N241" s="35"/>
      <c r="O241" s="35"/>
      <c r="P241" s="176">
        <f>IFERROR(__xludf.DUMMYFUNCTION("""COMPUTED_VALUE"""),-132.0)</f>
        <v>-132</v>
      </c>
      <c r="Q241" s="177"/>
      <c r="R241" s="178">
        <f>IFERROR(__xludf.DUMMYFUNCTION("""COMPUTED_VALUE"""),0.405)</f>
        <v>0.405</v>
      </c>
      <c r="S241" s="176">
        <f>IFERROR(__xludf.DUMMYFUNCTION("""COMPUTED_VALUE"""),121.50000000000001)</f>
        <v>121.5</v>
      </c>
      <c r="T241" s="95">
        <f>IFERROR(__xludf.DUMMYFUNCTION("""COMPUTED_VALUE"""),1.0)</f>
        <v>1</v>
      </c>
      <c r="U241" s="95">
        <f>IFERROR(__xludf.DUMMYFUNCTION("""COMPUTED_VALUE"""),1.0)</f>
        <v>1</v>
      </c>
      <c r="V241" s="179">
        <f>IFERROR(__xludf.DUMMYFUNCTION("""COMPUTED_VALUE"""),-10.499999999999986)</f>
        <v>-10.5</v>
      </c>
      <c r="W241" s="171" t="str">
        <f>IFERROR(__xludf.DUMMYFUNCTION("""COMPUTED_VALUE"""),"")</f>
        <v/>
      </c>
      <c r="X241" s="14" t="str">
        <f>IFERROR(__xludf.DUMMYFUNCTION("""COMPUTED_VALUE"""),"")</f>
        <v/>
      </c>
      <c r="Y241" s="14" t="str">
        <f>IFERROR(__xludf.DUMMYFUNCTION("""COMPUTED_VALUE"""),"")</f>
        <v/>
      </c>
      <c r="Z241" s="11" t="str">
        <f>IFERROR(__xludf.DUMMYFUNCTION("""COMPUTED_VALUE"""),"")</f>
        <v/>
      </c>
    </row>
    <row r="242">
      <c r="A242" s="35" t="str">
        <f>IFERROR(__xludf.DUMMYFUNCTION("""COMPUTED_VALUE"""),"")</f>
        <v/>
      </c>
      <c r="B242" s="35" t="str">
        <f>IFERROR(__xludf.DUMMYFUNCTION("""COMPUTED_VALUE"""),"38093")</f>
        <v>38093</v>
      </c>
      <c r="C242" s="172">
        <f>IFERROR(__xludf.DUMMYFUNCTION("""COMPUTED_VALUE"""),4.4653001096E10)</f>
        <v>44653001096</v>
      </c>
      <c r="D242" s="188" t="str">
        <f>IFERROR(__xludf.DUMMYFUNCTION("""COMPUTED_VALUE"""),"1919.HK")</f>
        <v>1919.HK</v>
      </c>
      <c r="E242" s="173">
        <f>IFERROR(__xludf.DUMMYFUNCTION("""COMPUTED_VALUE"""),44653.0)</f>
        <v>44653</v>
      </c>
      <c r="F242" s="35" t="str">
        <f>IFERROR(__xludf.DUMMYFUNCTION("""COMPUTED_VALUE"""),"Stock")</f>
        <v>Stock</v>
      </c>
      <c r="G242" s="35" t="str">
        <f>IFERROR(__xludf.DUMMYFUNCTION("""COMPUTED_VALUE"""),"HKD")</f>
        <v>HKD</v>
      </c>
      <c r="H242" s="14">
        <f>IFERROR(__xludf.DUMMYFUNCTION("""COMPUTED_VALUE"""),150.0)</f>
        <v>150</v>
      </c>
      <c r="I242" s="174">
        <f>IFERROR(__xludf.DUMMYFUNCTION("""COMPUTED_VALUE"""),1.0)</f>
        <v>1</v>
      </c>
      <c r="J242" s="175">
        <f>IFERROR(__xludf.DUMMYFUNCTION("""COMPUTED_VALUE"""),14.72)</f>
        <v>14.72</v>
      </c>
      <c r="K242" s="35"/>
      <c r="L242" s="175">
        <f>IFERROR(__xludf.DUMMYFUNCTION("""COMPUTED_VALUE"""),12.78)</f>
        <v>12.78</v>
      </c>
      <c r="M242" s="182" t="str">
        <f>IFERROR(__xludf.DUMMYFUNCTION("""COMPUTED_VALUE"""),"Equity Key Stats")</f>
        <v>Equity Key Stats</v>
      </c>
      <c r="N242" s="35"/>
      <c r="O242" s="35"/>
      <c r="P242" s="176">
        <f>IFERROR(__xludf.DUMMYFUNCTION("""COMPUTED_VALUE"""),-2208.0)</f>
        <v>-2208</v>
      </c>
      <c r="Q242" s="177"/>
      <c r="R242" s="178">
        <f>IFERROR(__xludf.DUMMYFUNCTION("""COMPUTED_VALUE"""),12.78)</f>
        <v>12.78</v>
      </c>
      <c r="S242" s="176">
        <f>IFERROR(__xludf.DUMMYFUNCTION("""COMPUTED_VALUE"""),1917.0)</f>
        <v>1917</v>
      </c>
      <c r="T242" s="95">
        <f>IFERROR(__xludf.DUMMYFUNCTION("""COMPUTED_VALUE"""),1.0)</f>
        <v>1</v>
      </c>
      <c r="U242" s="95">
        <f>IFERROR(__xludf.DUMMYFUNCTION("""COMPUTED_VALUE"""),1.0)</f>
        <v>1</v>
      </c>
      <c r="V242" s="179">
        <f>IFERROR(__xludf.DUMMYFUNCTION("""COMPUTED_VALUE"""),-291.0)</f>
        <v>-291</v>
      </c>
      <c r="W242" s="171" t="str">
        <f>IFERROR(__xludf.DUMMYFUNCTION("""COMPUTED_VALUE"""),"")</f>
        <v/>
      </c>
      <c r="X242" s="14" t="str">
        <f>IFERROR(__xludf.DUMMYFUNCTION("""COMPUTED_VALUE"""),"")</f>
        <v/>
      </c>
      <c r="Y242" s="14" t="str">
        <f>IFERROR(__xludf.DUMMYFUNCTION("""COMPUTED_VALUE"""),"")</f>
        <v/>
      </c>
      <c r="Z242" s="11" t="str">
        <f>IFERROR(__xludf.DUMMYFUNCTION("""COMPUTED_VALUE"""),"")</f>
        <v/>
      </c>
    </row>
    <row r="243">
      <c r="A243" s="35" t="str">
        <f>IFERROR(__xludf.DUMMYFUNCTION("""COMPUTED_VALUE"""),"")</f>
        <v/>
      </c>
      <c r="B243" s="35" t="str">
        <f>IFERROR(__xludf.DUMMYFUNCTION("""COMPUTED_VALUE"""),"38093")</f>
        <v>38093</v>
      </c>
      <c r="C243" s="172">
        <f>IFERROR(__xludf.DUMMYFUNCTION("""COMPUTED_VALUE"""),4.4653001097E10)</f>
        <v>44653001097</v>
      </c>
      <c r="D243" s="188" t="str">
        <f>IFERROR(__xludf.DUMMYFUNCTION("""COMPUTED_VALUE"""),"0587.HK")</f>
        <v>0587.HK</v>
      </c>
      <c r="E243" s="173">
        <f>IFERROR(__xludf.DUMMYFUNCTION("""COMPUTED_VALUE"""),44653.0)</f>
        <v>44653</v>
      </c>
      <c r="F243" s="35" t="str">
        <f>IFERROR(__xludf.DUMMYFUNCTION("""COMPUTED_VALUE"""),"Stock")</f>
        <v>Stock</v>
      </c>
      <c r="G243" s="35" t="str">
        <f>IFERROR(__xludf.DUMMYFUNCTION("""COMPUTED_VALUE"""),"HKD")</f>
        <v>HKD</v>
      </c>
      <c r="H243" s="181">
        <f>IFERROR(__xludf.DUMMYFUNCTION("""COMPUTED_VALUE"""),150.0)</f>
        <v>150</v>
      </c>
      <c r="I243" s="174">
        <f>IFERROR(__xludf.DUMMYFUNCTION("""COMPUTED_VALUE"""),1.0)</f>
        <v>1</v>
      </c>
      <c r="J243" s="175">
        <f>IFERROR(__xludf.DUMMYFUNCTION("""COMPUTED_VALUE"""),10.1)</f>
        <v>10.1</v>
      </c>
      <c r="K243" s="35"/>
      <c r="L243" s="175">
        <f>IFERROR(__xludf.DUMMYFUNCTION("""COMPUTED_VALUE"""),9.35)</f>
        <v>9.35</v>
      </c>
      <c r="M243" s="182" t="str">
        <f>IFERROR(__xludf.DUMMYFUNCTION("""COMPUTED_VALUE"""),"Equity Key Stats")</f>
        <v>Equity Key Stats</v>
      </c>
      <c r="N243" s="35"/>
      <c r="O243" s="35"/>
      <c r="P243" s="184">
        <f>IFERROR(__xludf.DUMMYFUNCTION("""COMPUTED_VALUE"""),-1515.0)</f>
        <v>-1515</v>
      </c>
      <c r="Q243" s="177"/>
      <c r="R243" s="178">
        <f>IFERROR(__xludf.DUMMYFUNCTION("""COMPUTED_VALUE"""),9.35)</f>
        <v>9.35</v>
      </c>
      <c r="S243" s="176">
        <f>IFERROR(__xludf.DUMMYFUNCTION("""COMPUTED_VALUE"""),1402.5)</f>
        <v>1402.5</v>
      </c>
      <c r="T243" s="95">
        <f>IFERROR(__xludf.DUMMYFUNCTION("""COMPUTED_VALUE"""),1.0)</f>
        <v>1</v>
      </c>
      <c r="U243" s="95">
        <f>IFERROR(__xludf.DUMMYFUNCTION("""COMPUTED_VALUE"""),1.0)</f>
        <v>1</v>
      </c>
      <c r="V243" s="185">
        <f>IFERROR(__xludf.DUMMYFUNCTION("""COMPUTED_VALUE"""),-112.5)</f>
        <v>-112.5</v>
      </c>
      <c r="W243" s="171" t="str">
        <f>IFERROR(__xludf.DUMMYFUNCTION("""COMPUTED_VALUE"""),"")</f>
        <v/>
      </c>
      <c r="X243" s="14" t="str">
        <f>IFERROR(__xludf.DUMMYFUNCTION("""COMPUTED_VALUE"""),"")</f>
        <v/>
      </c>
      <c r="Y243" s="14" t="str">
        <f>IFERROR(__xludf.DUMMYFUNCTION("""COMPUTED_VALUE"""),"")</f>
        <v/>
      </c>
      <c r="Z243" s="11" t="str">
        <f>IFERROR(__xludf.DUMMYFUNCTION("""COMPUTED_VALUE"""),"")</f>
        <v/>
      </c>
    </row>
    <row r="244">
      <c r="A244" s="35" t="str">
        <f>IFERROR(__xludf.DUMMYFUNCTION("""COMPUTED_VALUE"""),"")</f>
        <v/>
      </c>
      <c r="B244" s="35" t="str">
        <f>IFERROR(__xludf.DUMMYFUNCTION("""COMPUTED_VALUE"""),"38093")</f>
        <v>38093</v>
      </c>
      <c r="C244" s="172">
        <f>IFERROR(__xludf.DUMMYFUNCTION("""COMPUTED_VALUE"""),4.4655001115E10)</f>
        <v>44655001115</v>
      </c>
      <c r="D244" s="188" t="str">
        <f>IFERROR(__xludf.DUMMYFUNCTION("""COMPUTED_VALUE"""),"0817.HK")</f>
        <v>0817.HK</v>
      </c>
      <c r="E244" s="173">
        <f>IFERROR(__xludf.DUMMYFUNCTION("""COMPUTED_VALUE"""),44655.0)</f>
        <v>44655</v>
      </c>
      <c r="F244" s="35" t="str">
        <f>IFERROR(__xludf.DUMMYFUNCTION("""COMPUTED_VALUE"""),"Stock")</f>
        <v>Stock</v>
      </c>
      <c r="G244" s="35" t="str">
        <f>IFERROR(__xludf.DUMMYFUNCTION("""COMPUTED_VALUE"""),"HKD")</f>
        <v>HKD</v>
      </c>
      <c r="H244" s="14">
        <f>IFERROR(__xludf.DUMMYFUNCTION("""COMPUTED_VALUE"""),200.0)</f>
        <v>200</v>
      </c>
      <c r="I244" s="174">
        <f>IFERROR(__xludf.DUMMYFUNCTION("""COMPUTED_VALUE"""),1.0)</f>
        <v>1</v>
      </c>
      <c r="J244" s="175">
        <f>IFERROR(__xludf.DUMMYFUNCTION("""COMPUTED_VALUE"""),2.85)</f>
        <v>2.85</v>
      </c>
      <c r="K244" s="35"/>
      <c r="L244" s="175">
        <f>IFERROR(__xludf.DUMMYFUNCTION("""COMPUTED_VALUE"""),2.66)</f>
        <v>2.66</v>
      </c>
      <c r="M244" s="182" t="str">
        <f>IFERROR(__xludf.DUMMYFUNCTION("""COMPUTED_VALUE"""),"Equity Key Stats")</f>
        <v>Equity Key Stats</v>
      </c>
      <c r="N244" s="35"/>
      <c r="O244" s="35"/>
      <c r="P244" s="176">
        <f>IFERROR(__xludf.DUMMYFUNCTION("""COMPUTED_VALUE"""),-570.0)</f>
        <v>-570</v>
      </c>
      <c r="Q244" s="177"/>
      <c r="R244" s="178">
        <f>IFERROR(__xludf.DUMMYFUNCTION("""COMPUTED_VALUE"""),2.66)</f>
        <v>2.66</v>
      </c>
      <c r="S244" s="176">
        <f>IFERROR(__xludf.DUMMYFUNCTION("""COMPUTED_VALUE"""),532.0)</f>
        <v>532</v>
      </c>
      <c r="T244" s="95">
        <f>IFERROR(__xludf.DUMMYFUNCTION("""COMPUTED_VALUE"""),1.0)</f>
        <v>1</v>
      </c>
      <c r="U244" s="95">
        <f>IFERROR(__xludf.DUMMYFUNCTION("""COMPUTED_VALUE"""),1.0)</f>
        <v>1</v>
      </c>
      <c r="V244" s="179">
        <f>IFERROR(__xludf.DUMMYFUNCTION("""COMPUTED_VALUE"""),-38.0)</f>
        <v>-38</v>
      </c>
      <c r="W244" s="171" t="str">
        <f>IFERROR(__xludf.DUMMYFUNCTION("""COMPUTED_VALUE"""),"")</f>
        <v/>
      </c>
      <c r="X244" s="14" t="str">
        <f>IFERROR(__xludf.DUMMYFUNCTION("""COMPUTED_VALUE"""),"")</f>
        <v/>
      </c>
      <c r="Y244" s="14" t="str">
        <f>IFERROR(__xludf.DUMMYFUNCTION("""COMPUTED_VALUE"""),"")</f>
        <v/>
      </c>
      <c r="Z244" s="11" t="str">
        <f>IFERROR(__xludf.DUMMYFUNCTION("""COMPUTED_VALUE"""),"")</f>
        <v/>
      </c>
    </row>
    <row r="245">
      <c r="A245" s="35" t="str">
        <f>IFERROR(__xludf.DUMMYFUNCTION("""COMPUTED_VALUE"""),"")</f>
        <v/>
      </c>
      <c r="B245" s="35" t="str">
        <f>IFERROR(__xludf.DUMMYFUNCTION("""COMPUTED_VALUE"""),"38093")</f>
        <v>38093</v>
      </c>
      <c r="C245" s="172">
        <f>IFERROR(__xludf.DUMMYFUNCTION("""COMPUTED_VALUE"""),4.4655001116E10)</f>
        <v>44655001116</v>
      </c>
      <c r="D245" s="188" t="str">
        <f>IFERROR(__xludf.DUMMYFUNCTION("""COMPUTED_VALUE"""),"1638.HK")</f>
        <v>1638.HK</v>
      </c>
      <c r="E245" s="173">
        <f>IFERROR(__xludf.DUMMYFUNCTION("""COMPUTED_VALUE"""),44655.0)</f>
        <v>44655</v>
      </c>
      <c r="F245" s="35" t="str">
        <f>IFERROR(__xludf.DUMMYFUNCTION("""COMPUTED_VALUE"""),"Stock")</f>
        <v>Stock</v>
      </c>
      <c r="G245" s="35" t="str">
        <f>IFERROR(__xludf.DUMMYFUNCTION("""COMPUTED_VALUE"""),"HKD")</f>
        <v>HKD</v>
      </c>
      <c r="H245" s="14">
        <f>IFERROR(__xludf.DUMMYFUNCTION("""COMPUTED_VALUE"""),500.0)</f>
        <v>500</v>
      </c>
      <c r="I245" s="174">
        <f>IFERROR(__xludf.DUMMYFUNCTION("""COMPUTED_VALUE"""),1.0)</f>
        <v>1</v>
      </c>
      <c r="J245" s="175">
        <f>IFERROR(__xludf.DUMMYFUNCTION("""COMPUTED_VALUE"""),0.84)</f>
        <v>0.84</v>
      </c>
      <c r="K245" s="35"/>
      <c r="L245" s="175">
        <f>IFERROR(__xludf.DUMMYFUNCTION("""COMPUTED_VALUE"""),0.84)</f>
        <v>0.84</v>
      </c>
      <c r="M245" s="182" t="str">
        <f>IFERROR(__xludf.DUMMYFUNCTION("""COMPUTED_VALUE"""),"Equity Key Stats")</f>
        <v>Equity Key Stats</v>
      </c>
      <c r="N245" s="35"/>
      <c r="O245" s="35"/>
      <c r="P245" s="176">
        <f>IFERROR(__xludf.DUMMYFUNCTION("""COMPUTED_VALUE"""),-420.0)</f>
        <v>-420</v>
      </c>
      <c r="Q245" s="177"/>
      <c r="R245" s="178">
        <f>IFERROR(__xludf.DUMMYFUNCTION("""COMPUTED_VALUE"""),0.84)</f>
        <v>0.84</v>
      </c>
      <c r="S245" s="176">
        <f>IFERROR(__xludf.DUMMYFUNCTION("""COMPUTED_VALUE"""),420.0)</f>
        <v>420</v>
      </c>
      <c r="T245" s="95">
        <f>IFERROR(__xludf.DUMMYFUNCTION("""COMPUTED_VALUE"""),1.0)</f>
        <v>1</v>
      </c>
      <c r="U245" s="95">
        <f>IFERROR(__xludf.DUMMYFUNCTION("""COMPUTED_VALUE"""),1.0)</f>
        <v>1</v>
      </c>
      <c r="V245" s="185">
        <f>IFERROR(__xludf.DUMMYFUNCTION("""COMPUTED_VALUE"""),0.0)</f>
        <v>0</v>
      </c>
      <c r="W245" s="171" t="str">
        <f>IFERROR(__xludf.DUMMYFUNCTION("""COMPUTED_VALUE"""),"")</f>
        <v/>
      </c>
      <c r="X245" s="14" t="str">
        <f>IFERROR(__xludf.DUMMYFUNCTION("""COMPUTED_VALUE"""),"")</f>
        <v/>
      </c>
      <c r="Y245" s="14" t="str">
        <f>IFERROR(__xludf.DUMMYFUNCTION("""COMPUTED_VALUE"""),"")</f>
        <v/>
      </c>
      <c r="Z245" s="11" t="str">
        <f>IFERROR(__xludf.DUMMYFUNCTION("""COMPUTED_VALUE"""),"")</f>
        <v/>
      </c>
    </row>
    <row r="246">
      <c r="A246" s="35" t="str">
        <f>IFERROR(__xludf.DUMMYFUNCTION("""COMPUTED_VALUE"""),"")</f>
        <v/>
      </c>
      <c r="B246" s="35" t="str">
        <f>IFERROR(__xludf.DUMMYFUNCTION("""COMPUTED_VALUE"""),"38093")</f>
        <v>38093</v>
      </c>
      <c r="C246" s="172">
        <f>IFERROR(__xludf.DUMMYFUNCTION("""COMPUTED_VALUE"""),4.4655001117E10)</f>
        <v>44655001117</v>
      </c>
      <c r="D246" s="192" t="str">
        <f>IFERROR(__xludf.DUMMYFUNCTION("""COMPUTED_VALUE"""),"3380.HK")</f>
        <v>3380.HK</v>
      </c>
      <c r="E246" s="173">
        <f>IFERROR(__xludf.DUMMYFUNCTION("""COMPUTED_VALUE"""),44655.0)</f>
        <v>44655</v>
      </c>
      <c r="F246" s="35" t="str">
        <f>IFERROR(__xludf.DUMMYFUNCTION("""COMPUTED_VALUE"""),"Stock")</f>
        <v>Stock</v>
      </c>
      <c r="G246" s="35" t="str">
        <f>IFERROR(__xludf.DUMMYFUNCTION("""COMPUTED_VALUE"""),"HKD")</f>
        <v>HKD</v>
      </c>
      <c r="H246" s="14">
        <f>IFERROR(__xludf.DUMMYFUNCTION("""COMPUTED_VALUE"""),300.0)</f>
        <v>300</v>
      </c>
      <c r="I246" s="174">
        <f>IFERROR(__xludf.DUMMYFUNCTION("""COMPUTED_VALUE"""),1.0)</f>
        <v>1</v>
      </c>
      <c r="J246" s="175">
        <f>IFERROR(__xludf.DUMMYFUNCTION("""COMPUTED_VALUE"""),2.83)</f>
        <v>2.83</v>
      </c>
      <c r="K246" s="35"/>
      <c r="L246" s="175">
        <f>IFERROR(__xludf.DUMMYFUNCTION("""COMPUTED_VALUE"""),2.42)</f>
        <v>2.42</v>
      </c>
      <c r="M246" s="182" t="str">
        <f>IFERROR(__xludf.DUMMYFUNCTION("""COMPUTED_VALUE"""),"Equity Key Stats")</f>
        <v>Equity Key Stats</v>
      </c>
      <c r="N246" s="35"/>
      <c r="O246" s="35"/>
      <c r="P246" s="176">
        <f>IFERROR(__xludf.DUMMYFUNCTION("""COMPUTED_VALUE"""),-849.0)</f>
        <v>-849</v>
      </c>
      <c r="Q246" s="177"/>
      <c r="R246" s="178">
        <f>IFERROR(__xludf.DUMMYFUNCTION("""COMPUTED_VALUE"""),2.42)</f>
        <v>2.42</v>
      </c>
      <c r="S246" s="176">
        <f>IFERROR(__xludf.DUMMYFUNCTION("""COMPUTED_VALUE"""),726.0)</f>
        <v>726</v>
      </c>
      <c r="T246" s="95">
        <f>IFERROR(__xludf.DUMMYFUNCTION("""COMPUTED_VALUE"""),1.0)</f>
        <v>1</v>
      </c>
      <c r="U246" s="95">
        <f>IFERROR(__xludf.DUMMYFUNCTION("""COMPUTED_VALUE"""),1.0)</f>
        <v>1</v>
      </c>
      <c r="V246" s="179">
        <f>IFERROR(__xludf.DUMMYFUNCTION("""COMPUTED_VALUE"""),-123.0)</f>
        <v>-123</v>
      </c>
      <c r="W246" s="171" t="str">
        <f>IFERROR(__xludf.DUMMYFUNCTION("""COMPUTED_VALUE"""),"")</f>
        <v/>
      </c>
      <c r="X246" s="14" t="str">
        <f>IFERROR(__xludf.DUMMYFUNCTION("""COMPUTED_VALUE"""),"")</f>
        <v/>
      </c>
      <c r="Y246" s="14" t="str">
        <f>IFERROR(__xludf.DUMMYFUNCTION("""COMPUTED_VALUE"""),"")</f>
        <v/>
      </c>
      <c r="Z246" s="11" t="str">
        <f>IFERROR(__xludf.DUMMYFUNCTION("""COMPUTED_VALUE"""),"")</f>
        <v/>
      </c>
    </row>
    <row r="247">
      <c r="A247" s="35" t="str">
        <f>IFERROR(__xludf.DUMMYFUNCTION("""COMPUTED_VALUE"""),"")</f>
        <v/>
      </c>
      <c r="B247" s="35" t="str">
        <f>IFERROR(__xludf.DUMMYFUNCTION("""COMPUTED_VALUE"""),"38093")</f>
        <v>38093</v>
      </c>
      <c r="C247" s="172">
        <f>IFERROR(__xludf.DUMMYFUNCTION("""COMPUTED_VALUE"""),4.4655001118E10)</f>
        <v>44655001118</v>
      </c>
      <c r="D247" s="180" t="str">
        <f>IFERROR(__xludf.DUMMYFUNCTION("""COMPUTED_VALUE"""),"NKE")</f>
        <v>NKE</v>
      </c>
      <c r="E247" s="173">
        <f>IFERROR(__xludf.DUMMYFUNCTION("""COMPUTED_VALUE"""),44655.0)</f>
        <v>44655</v>
      </c>
      <c r="F247" s="35" t="str">
        <f>IFERROR(__xludf.DUMMYFUNCTION("""COMPUTED_VALUE"""),"Stock")</f>
        <v>Stock</v>
      </c>
      <c r="G247" s="35" t="str">
        <f>IFERROR(__xludf.DUMMYFUNCTION("""COMPUTED_VALUE"""),"USD")</f>
        <v>USD</v>
      </c>
      <c r="H247" s="14">
        <f>IFERROR(__xludf.DUMMYFUNCTION("""COMPUTED_VALUE"""),-100.0)</f>
        <v>-100</v>
      </c>
      <c r="I247" s="174">
        <f>IFERROR(__xludf.DUMMYFUNCTION("""COMPUTED_VALUE"""),7.834585)</f>
        <v>7.834585</v>
      </c>
      <c r="J247" s="175">
        <f>IFERROR(__xludf.DUMMYFUNCTION("""COMPUTED_VALUE"""),134.34)</f>
        <v>134.34</v>
      </c>
      <c r="K247" s="35"/>
      <c r="L247" s="175">
        <f>IFERROR(__xludf.DUMMYFUNCTION("""COMPUTED_VALUE"""),127.48)</f>
        <v>127.48</v>
      </c>
      <c r="M247" s="182" t="str">
        <f>IFERROR(__xludf.DUMMYFUNCTION("""COMPUTED_VALUE"""),"Equity Key Stats")</f>
        <v>Equity Key Stats</v>
      </c>
      <c r="N247" s="35"/>
      <c r="O247" s="35"/>
      <c r="P247" s="176">
        <f>IFERROR(__xludf.DUMMYFUNCTION("""COMPUTED_VALUE"""),105249.81489)</f>
        <v>105249.8149</v>
      </c>
      <c r="Q247" s="177"/>
      <c r="R247" s="178">
        <f>IFERROR(__xludf.DUMMYFUNCTION("""COMPUTED_VALUE"""),127.48)</f>
        <v>127.48</v>
      </c>
      <c r="S247" s="176">
        <f>IFERROR(__xludf.DUMMYFUNCTION("""COMPUTED_VALUE"""),-99875.28958)</f>
        <v>-99875.28958</v>
      </c>
      <c r="T247" s="95">
        <f>IFERROR(__xludf.DUMMYFUNCTION("""COMPUTED_VALUE"""),3.0)</f>
        <v>3</v>
      </c>
      <c r="U247" s="95">
        <f>IFERROR(__xludf.DUMMYFUNCTION("""COMPUTED_VALUE"""),1.0)</f>
        <v>1</v>
      </c>
      <c r="V247" s="179">
        <f>IFERROR(__xludf.DUMMYFUNCTION("""COMPUTED_VALUE"""),504.42081000001053)</f>
        <v>504.42081</v>
      </c>
      <c r="W247" s="55" t="str">
        <f>IFERROR(__xludf.DUMMYFUNCTION("""COMPUTED_VALUE"""),"")</f>
        <v/>
      </c>
      <c r="X247" s="183" t="str">
        <f>IFERROR(__xludf.DUMMYFUNCTION("""COMPUTED_VALUE"""),"")</f>
        <v/>
      </c>
      <c r="Y247" s="181" t="str">
        <f>IFERROR(__xludf.DUMMYFUNCTION("""COMPUTED_VALUE"""),"")</f>
        <v/>
      </c>
      <c r="Z247" s="189" t="str">
        <f>IFERROR(__xludf.DUMMYFUNCTION("""COMPUTED_VALUE"""),"")</f>
        <v/>
      </c>
    </row>
    <row r="248">
      <c r="A248" s="35" t="str">
        <f>IFERROR(__xludf.DUMMYFUNCTION("""COMPUTED_VALUE"""),"")</f>
        <v/>
      </c>
      <c r="B248" s="35" t="str">
        <f>IFERROR(__xludf.DUMMYFUNCTION("""COMPUTED_VALUE"""),"38093")</f>
        <v>38093</v>
      </c>
      <c r="C248" s="172">
        <f>IFERROR(__xludf.DUMMYFUNCTION("""COMPUTED_VALUE"""),4.4658001202E10)</f>
        <v>44658001202</v>
      </c>
      <c r="D248" s="190" t="str">
        <f>IFERROR(__xludf.DUMMYFUNCTION("""COMPUTED_VALUE"""),"1725.HK")</f>
        <v>1725.HK</v>
      </c>
      <c r="E248" s="173">
        <f>IFERROR(__xludf.DUMMYFUNCTION("""COMPUTED_VALUE"""),44658.0)</f>
        <v>44658</v>
      </c>
      <c r="F248" s="35" t="str">
        <f>IFERROR(__xludf.DUMMYFUNCTION("""COMPUTED_VALUE"""),"Stock")</f>
        <v>Stock</v>
      </c>
      <c r="G248" s="35" t="str">
        <f>IFERROR(__xludf.DUMMYFUNCTION("""COMPUTED_VALUE"""),"HKD")</f>
        <v>HKD</v>
      </c>
      <c r="H248" s="14">
        <f>IFERROR(__xludf.DUMMYFUNCTION("""COMPUTED_VALUE"""),120.0)</f>
        <v>120</v>
      </c>
      <c r="I248" s="174">
        <f>IFERROR(__xludf.DUMMYFUNCTION("""COMPUTED_VALUE"""),1.0)</f>
        <v>1</v>
      </c>
      <c r="J248" s="175">
        <f>IFERROR(__xludf.DUMMYFUNCTION("""COMPUTED_VALUE"""),26.0)</f>
        <v>26</v>
      </c>
      <c r="K248" s="35"/>
      <c r="L248" s="175">
        <f>IFERROR(__xludf.DUMMYFUNCTION("""COMPUTED_VALUE"""),19.26)</f>
        <v>19.26</v>
      </c>
      <c r="M248" s="187" t="str">
        <f>IFERROR(__xludf.DUMMYFUNCTION("""COMPUTED_VALUE"""),"Equity Key Stats")</f>
        <v>Equity Key Stats</v>
      </c>
      <c r="N248" s="35"/>
      <c r="O248" s="35"/>
      <c r="P248" s="176">
        <f>IFERROR(__xludf.DUMMYFUNCTION("""COMPUTED_VALUE"""),-3120.0)</f>
        <v>-3120</v>
      </c>
      <c r="Q248" s="177"/>
      <c r="R248" s="178">
        <f>IFERROR(__xludf.DUMMYFUNCTION("""COMPUTED_VALUE"""),19.26)</f>
        <v>19.26</v>
      </c>
      <c r="S248" s="151">
        <f>IFERROR(__xludf.DUMMYFUNCTION("""COMPUTED_VALUE"""),2311.2000000000003)</f>
        <v>2311.2</v>
      </c>
      <c r="T248" s="95">
        <f>IFERROR(__xludf.DUMMYFUNCTION("""COMPUTED_VALUE"""),1.0)</f>
        <v>1</v>
      </c>
      <c r="U248" s="95">
        <f>IFERROR(__xludf.DUMMYFUNCTION("""COMPUTED_VALUE"""),1.0)</f>
        <v>1</v>
      </c>
      <c r="V248" s="179">
        <f>IFERROR(__xludf.DUMMYFUNCTION("""COMPUTED_VALUE"""),-808.7999999999997)</f>
        <v>-808.8</v>
      </c>
      <c r="W248" s="55" t="str">
        <f>IFERROR(__xludf.DUMMYFUNCTION("""COMPUTED_VALUE"""),"")</f>
        <v/>
      </c>
      <c r="X248" s="181" t="str">
        <f>IFERROR(__xludf.DUMMYFUNCTION("""COMPUTED_VALUE"""),"")</f>
        <v/>
      </c>
      <c r="Y248" s="181" t="str">
        <f>IFERROR(__xludf.DUMMYFUNCTION("""COMPUTED_VALUE"""),"")</f>
        <v/>
      </c>
      <c r="Z248" s="186" t="str">
        <f>IFERROR(__xludf.DUMMYFUNCTION("""COMPUTED_VALUE"""),"")</f>
        <v/>
      </c>
    </row>
    <row r="249">
      <c r="A249" s="35" t="str">
        <f>IFERROR(__xludf.DUMMYFUNCTION("""COMPUTED_VALUE"""),"")</f>
        <v/>
      </c>
      <c r="B249" s="35" t="str">
        <f>IFERROR(__xludf.DUMMYFUNCTION("""COMPUTED_VALUE"""),"38093")</f>
        <v>38093</v>
      </c>
      <c r="C249" s="172">
        <f>IFERROR(__xludf.DUMMYFUNCTION("""COMPUTED_VALUE"""),4.4658001203E10)</f>
        <v>44658001203</v>
      </c>
      <c r="D249" s="190" t="str">
        <f>IFERROR(__xludf.DUMMYFUNCTION("""COMPUTED_VALUE"""),"8009.HK")</f>
        <v>8009.HK</v>
      </c>
      <c r="E249" s="173">
        <f>IFERROR(__xludf.DUMMYFUNCTION("""COMPUTED_VALUE"""),44658.0)</f>
        <v>44658</v>
      </c>
      <c r="F249" s="35" t="str">
        <f>IFERROR(__xludf.DUMMYFUNCTION("""COMPUTED_VALUE"""),"Stock")</f>
        <v>Stock</v>
      </c>
      <c r="G249" s="35" t="str">
        <f>IFERROR(__xludf.DUMMYFUNCTION("""COMPUTED_VALUE"""),"HKD")</f>
        <v>HKD</v>
      </c>
      <c r="H249" s="14">
        <f>IFERROR(__xludf.DUMMYFUNCTION("""COMPUTED_VALUE"""),150.0)</f>
        <v>150</v>
      </c>
      <c r="I249" s="174">
        <f>IFERROR(__xludf.DUMMYFUNCTION("""COMPUTED_VALUE"""),1.0)</f>
        <v>1</v>
      </c>
      <c r="J249" s="175">
        <f>IFERROR(__xludf.DUMMYFUNCTION("""COMPUTED_VALUE"""),0.365)</f>
        <v>0.365</v>
      </c>
      <c r="K249" s="35"/>
      <c r="L249" s="175">
        <f>IFERROR(__xludf.DUMMYFUNCTION("""COMPUTED_VALUE"""),0.365)</f>
        <v>0.365</v>
      </c>
      <c r="M249" s="187" t="str">
        <f>IFERROR(__xludf.DUMMYFUNCTION("""COMPUTED_VALUE"""),"Equity Key Stats")</f>
        <v>Equity Key Stats</v>
      </c>
      <c r="N249" s="35"/>
      <c r="O249" s="35"/>
      <c r="P249" s="176">
        <f>IFERROR(__xludf.DUMMYFUNCTION("""COMPUTED_VALUE"""),-54.75)</f>
        <v>-54.75</v>
      </c>
      <c r="Q249" s="177"/>
      <c r="R249" s="178">
        <f>IFERROR(__xludf.DUMMYFUNCTION("""COMPUTED_VALUE"""),0.365)</f>
        <v>0.365</v>
      </c>
      <c r="S249" s="151">
        <f>IFERROR(__xludf.DUMMYFUNCTION("""COMPUTED_VALUE"""),54.75)</f>
        <v>54.75</v>
      </c>
      <c r="T249" s="95">
        <f>IFERROR(__xludf.DUMMYFUNCTION("""COMPUTED_VALUE"""),1.0)</f>
        <v>1</v>
      </c>
      <c r="U249" s="95">
        <f>IFERROR(__xludf.DUMMYFUNCTION("""COMPUTED_VALUE"""),1.0)</f>
        <v>1</v>
      </c>
      <c r="V249" s="179">
        <f>IFERROR(__xludf.DUMMYFUNCTION("""COMPUTED_VALUE"""),0.0)</f>
        <v>0</v>
      </c>
      <c r="W249" s="171" t="str">
        <f>IFERROR(__xludf.DUMMYFUNCTION("""COMPUTED_VALUE"""),"")</f>
        <v/>
      </c>
      <c r="X249" s="14" t="str">
        <f>IFERROR(__xludf.DUMMYFUNCTION("""COMPUTED_VALUE"""),"")</f>
        <v/>
      </c>
      <c r="Y249" s="14" t="str">
        <f>IFERROR(__xludf.DUMMYFUNCTION("""COMPUTED_VALUE"""),"")</f>
        <v/>
      </c>
      <c r="Z249" s="11" t="str">
        <f>IFERROR(__xludf.DUMMYFUNCTION("""COMPUTED_VALUE"""),"")</f>
        <v/>
      </c>
    </row>
    <row r="250">
      <c r="A250" s="35" t="str">
        <f>IFERROR(__xludf.DUMMYFUNCTION("""COMPUTED_VALUE"""),"")</f>
        <v/>
      </c>
      <c r="B250" s="35" t="str">
        <f>IFERROR(__xludf.DUMMYFUNCTION("""COMPUTED_VALUE"""),"38093")</f>
        <v>38093</v>
      </c>
      <c r="C250" s="172">
        <f>IFERROR(__xludf.DUMMYFUNCTION("""COMPUTED_VALUE"""),4.4658001205E10)</f>
        <v>44658001205</v>
      </c>
      <c r="D250" s="190" t="str">
        <f>IFERROR(__xludf.DUMMYFUNCTION("""COMPUTED_VALUE"""),"0510.HK")</f>
        <v>0510.HK</v>
      </c>
      <c r="E250" s="173">
        <f>IFERROR(__xludf.DUMMYFUNCTION("""COMPUTED_VALUE"""),44658.0)</f>
        <v>44658</v>
      </c>
      <c r="F250" s="35" t="str">
        <f>IFERROR(__xludf.DUMMYFUNCTION("""COMPUTED_VALUE"""),"Stock")</f>
        <v>Stock</v>
      </c>
      <c r="G250" s="35" t="str">
        <f>IFERROR(__xludf.DUMMYFUNCTION("""COMPUTED_VALUE"""),"HKD")</f>
        <v>HKD</v>
      </c>
      <c r="H250" s="181">
        <f>IFERROR(__xludf.DUMMYFUNCTION("""COMPUTED_VALUE"""),300.0)</f>
        <v>300</v>
      </c>
      <c r="I250" s="174">
        <f>IFERROR(__xludf.DUMMYFUNCTION("""COMPUTED_VALUE"""),1.0)</f>
        <v>1</v>
      </c>
      <c r="J250" s="175">
        <f>IFERROR(__xludf.DUMMYFUNCTION("""COMPUTED_VALUE"""),0.28)</f>
        <v>0.28</v>
      </c>
      <c r="K250" s="35"/>
      <c r="L250" s="175">
        <f>IFERROR(__xludf.DUMMYFUNCTION("""COMPUTED_VALUE"""),0.275)</f>
        <v>0.275</v>
      </c>
      <c r="M250" s="182" t="str">
        <f>IFERROR(__xludf.DUMMYFUNCTION("""COMPUTED_VALUE"""),"Equity Key Stats")</f>
        <v>Equity Key Stats</v>
      </c>
      <c r="N250" s="35"/>
      <c r="O250" s="35"/>
      <c r="P250" s="184">
        <f>IFERROR(__xludf.DUMMYFUNCTION("""COMPUTED_VALUE"""),-84.00000000000001)</f>
        <v>-84</v>
      </c>
      <c r="Q250" s="177"/>
      <c r="R250" s="178">
        <f>IFERROR(__xludf.DUMMYFUNCTION("""COMPUTED_VALUE"""),0.275)</f>
        <v>0.275</v>
      </c>
      <c r="S250" s="176">
        <f>IFERROR(__xludf.DUMMYFUNCTION("""COMPUTED_VALUE"""),82.5)</f>
        <v>82.5</v>
      </c>
      <c r="T250" s="95">
        <f>IFERROR(__xludf.DUMMYFUNCTION("""COMPUTED_VALUE"""),1.0)</f>
        <v>1</v>
      </c>
      <c r="U250" s="95">
        <f>IFERROR(__xludf.DUMMYFUNCTION("""COMPUTED_VALUE"""),1.0)</f>
        <v>1</v>
      </c>
      <c r="V250" s="185">
        <f>IFERROR(__xludf.DUMMYFUNCTION("""COMPUTED_VALUE"""),-1.5000000000000142)</f>
        <v>-1.5</v>
      </c>
      <c r="W250" s="171" t="str">
        <f>IFERROR(__xludf.DUMMYFUNCTION("""COMPUTED_VALUE"""),"")</f>
        <v/>
      </c>
      <c r="X250" s="14" t="str">
        <f>IFERROR(__xludf.DUMMYFUNCTION("""COMPUTED_VALUE"""),"")</f>
        <v/>
      </c>
      <c r="Y250" s="14" t="str">
        <f>IFERROR(__xludf.DUMMYFUNCTION("""COMPUTED_VALUE"""),"")</f>
        <v/>
      </c>
      <c r="Z250" s="11" t="str">
        <f>IFERROR(__xludf.DUMMYFUNCTION("""COMPUTED_VALUE"""),"")</f>
        <v/>
      </c>
    </row>
    <row r="251">
      <c r="A251" s="35" t="str">
        <f>IFERROR(__xludf.DUMMYFUNCTION("""COMPUTED_VALUE"""),"")</f>
        <v/>
      </c>
      <c r="B251" s="35" t="str">
        <f>IFERROR(__xludf.DUMMYFUNCTION("""COMPUTED_VALUE"""),"38093")</f>
        <v>38093</v>
      </c>
      <c r="C251" s="172">
        <f>IFERROR(__xludf.DUMMYFUNCTION("""COMPUTED_VALUE"""),4.4659001258E10)</f>
        <v>44659001258</v>
      </c>
      <c r="D251" s="190" t="str">
        <f>IFERROR(__xludf.DUMMYFUNCTION("""COMPUTED_VALUE"""),"9939.HK")</f>
        <v>9939.HK</v>
      </c>
      <c r="E251" s="173">
        <f>IFERROR(__xludf.DUMMYFUNCTION("""COMPUTED_VALUE"""),44659.0)</f>
        <v>44659</v>
      </c>
      <c r="F251" s="35" t="str">
        <f>IFERROR(__xludf.DUMMYFUNCTION("""COMPUTED_VALUE"""),"Stock")</f>
        <v>Stock</v>
      </c>
      <c r="G251" s="35" t="str">
        <f>IFERROR(__xludf.DUMMYFUNCTION("""COMPUTED_VALUE"""),"HKD")</f>
        <v>HKD</v>
      </c>
      <c r="H251" s="181">
        <f>IFERROR(__xludf.DUMMYFUNCTION("""COMPUTED_VALUE"""),200.0)</f>
        <v>200</v>
      </c>
      <c r="I251" s="174">
        <f>IFERROR(__xludf.DUMMYFUNCTION("""COMPUTED_VALUE"""),1.0)</f>
        <v>1</v>
      </c>
      <c r="J251" s="175">
        <f>IFERROR(__xludf.DUMMYFUNCTION("""COMPUTED_VALUE"""),25.65)</f>
        <v>25.65</v>
      </c>
      <c r="K251" s="35"/>
      <c r="L251" s="175">
        <f>IFERROR(__xludf.DUMMYFUNCTION("""COMPUTED_VALUE"""),28.15)</f>
        <v>28.15</v>
      </c>
      <c r="M251" s="182" t="str">
        <f>IFERROR(__xludf.DUMMYFUNCTION("""COMPUTED_VALUE"""),"Equity Key Stats")</f>
        <v>Equity Key Stats</v>
      </c>
      <c r="N251" s="35"/>
      <c r="O251" s="35"/>
      <c r="P251" s="184">
        <f>IFERROR(__xludf.DUMMYFUNCTION("""COMPUTED_VALUE"""),-5130.0)</f>
        <v>-5130</v>
      </c>
      <c r="Q251" s="177"/>
      <c r="R251" s="178">
        <f>IFERROR(__xludf.DUMMYFUNCTION("""COMPUTED_VALUE"""),28.15)</f>
        <v>28.15</v>
      </c>
      <c r="S251" s="176">
        <f>IFERROR(__xludf.DUMMYFUNCTION("""COMPUTED_VALUE"""),5630.0)</f>
        <v>5630</v>
      </c>
      <c r="T251" s="95">
        <f>IFERROR(__xludf.DUMMYFUNCTION("""COMPUTED_VALUE"""),1.0)</f>
        <v>1</v>
      </c>
      <c r="U251" s="35">
        <f>IFERROR(__xludf.DUMMYFUNCTION("""COMPUTED_VALUE"""),1.0)</f>
        <v>1</v>
      </c>
      <c r="V251" s="170">
        <f>IFERROR(__xludf.DUMMYFUNCTION("""COMPUTED_VALUE"""),500.0)</f>
        <v>500</v>
      </c>
      <c r="W251" s="171" t="str">
        <f>IFERROR(__xludf.DUMMYFUNCTION("""COMPUTED_VALUE"""),"")</f>
        <v/>
      </c>
      <c r="X251" s="14" t="str">
        <f>IFERROR(__xludf.DUMMYFUNCTION("""COMPUTED_VALUE"""),"")</f>
        <v/>
      </c>
      <c r="Y251" s="14" t="str">
        <f>IFERROR(__xludf.DUMMYFUNCTION("""COMPUTED_VALUE"""),"")</f>
        <v/>
      </c>
      <c r="Z251" s="11" t="str">
        <f>IFERROR(__xludf.DUMMYFUNCTION("""COMPUTED_VALUE"""),"")</f>
        <v/>
      </c>
    </row>
    <row r="252">
      <c r="A252" s="35" t="str">
        <f>IFERROR(__xludf.DUMMYFUNCTION("""COMPUTED_VALUE"""),"")</f>
        <v/>
      </c>
      <c r="B252" s="35" t="str">
        <f>IFERROR(__xludf.DUMMYFUNCTION("""COMPUTED_VALUE"""),"38093")</f>
        <v>38093</v>
      </c>
      <c r="C252" s="172">
        <f>IFERROR(__xludf.DUMMYFUNCTION("""COMPUTED_VALUE"""),4.4659001259E10)</f>
        <v>44659001259</v>
      </c>
      <c r="D252" s="190" t="str">
        <f>IFERROR(__xludf.DUMMYFUNCTION("""COMPUTED_VALUE"""),"1566.HK")</f>
        <v>1566.HK</v>
      </c>
      <c r="E252" s="173">
        <f>IFERROR(__xludf.DUMMYFUNCTION("""COMPUTED_VALUE"""),44659.0)</f>
        <v>44659</v>
      </c>
      <c r="F252" s="35" t="str">
        <f>IFERROR(__xludf.DUMMYFUNCTION("""COMPUTED_VALUE"""),"Stock")</f>
        <v>Stock</v>
      </c>
      <c r="G252" s="35" t="str">
        <f>IFERROR(__xludf.DUMMYFUNCTION("""COMPUTED_VALUE"""),"HKD")</f>
        <v>HKD</v>
      </c>
      <c r="H252" s="181">
        <f>IFERROR(__xludf.DUMMYFUNCTION("""COMPUTED_VALUE"""),200.0)</f>
        <v>200</v>
      </c>
      <c r="I252" s="174">
        <f>IFERROR(__xludf.DUMMYFUNCTION("""COMPUTED_VALUE"""),1.0)</f>
        <v>1</v>
      </c>
      <c r="J252" s="175">
        <f>IFERROR(__xludf.DUMMYFUNCTION("""COMPUTED_VALUE"""),0.216)</f>
        <v>0.216</v>
      </c>
      <c r="K252" s="35"/>
      <c r="L252" s="175">
        <f>IFERROR(__xludf.DUMMYFUNCTION("""COMPUTED_VALUE"""),0.154)</f>
        <v>0.154</v>
      </c>
      <c r="M252" s="182" t="str">
        <f>IFERROR(__xludf.DUMMYFUNCTION("""COMPUTED_VALUE"""),"Equity Key Stats")</f>
        <v>Equity Key Stats</v>
      </c>
      <c r="N252" s="35"/>
      <c r="O252" s="35"/>
      <c r="P252" s="184">
        <f>IFERROR(__xludf.DUMMYFUNCTION("""COMPUTED_VALUE"""),-43.2)</f>
        <v>-43.2</v>
      </c>
      <c r="Q252" s="177"/>
      <c r="R252" s="178">
        <f>IFERROR(__xludf.DUMMYFUNCTION("""COMPUTED_VALUE"""),0.154)</f>
        <v>0.154</v>
      </c>
      <c r="S252" s="176">
        <f>IFERROR(__xludf.DUMMYFUNCTION("""COMPUTED_VALUE"""),30.8)</f>
        <v>30.8</v>
      </c>
      <c r="T252" s="95">
        <f>IFERROR(__xludf.DUMMYFUNCTION("""COMPUTED_VALUE"""),1.0)</f>
        <v>1</v>
      </c>
      <c r="U252" s="95">
        <f>IFERROR(__xludf.DUMMYFUNCTION("""COMPUTED_VALUE"""),1.0)</f>
        <v>1</v>
      </c>
      <c r="V252" s="179">
        <f>IFERROR(__xludf.DUMMYFUNCTION("""COMPUTED_VALUE"""),-12.400000000000002)</f>
        <v>-12.4</v>
      </c>
      <c r="W252" s="55" t="str">
        <f>IFERROR(__xludf.DUMMYFUNCTION("""COMPUTED_VALUE"""),"")</f>
        <v/>
      </c>
      <c r="X252" s="181" t="str">
        <f>IFERROR(__xludf.DUMMYFUNCTION("""COMPUTED_VALUE"""),"")</f>
        <v/>
      </c>
      <c r="Y252" s="181" t="str">
        <f>IFERROR(__xludf.DUMMYFUNCTION("""COMPUTED_VALUE"""),"")</f>
        <v/>
      </c>
      <c r="Z252" s="186" t="str">
        <f>IFERROR(__xludf.DUMMYFUNCTION("""COMPUTED_VALUE"""),"")</f>
        <v/>
      </c>
    </row>
    <row r="253">
      <c r="A253" s="35" t="str">
        <f>IFERROR(__xludf.DUMMYFUNCTION("""COMPUTED_VALUE"""),"")</f>
        <v/>
      </c>
      <c r="B253" s="35" t="str">
        <f>IFERROR(__xludf.DUMMYFUNCTION("""COMPUTED_VALUE"""),"38093")</f>
        <v>38093</v>
      </c>
      <c r="C253" s="172">
        <f>IFERROR(__xludf.DUMMYFUNCTION("""COMPUTED_VALUE"""),4.4662001336E10)</f>
        <v>44662001336</v>
      </c>
      <c r="D253" s="190" t="str">
        <f>IFERROR(__xludf.DUMMYFUNCTION("""COMPUTED_VALUE"""),"6928.HK")</f>
        <v>6928.HK</v>
      </c>
      <c r="E253" s="173">
        <f>IFERROR(__xludf.DUMMYFUNCTION("""COMPUTED_VALUE"""),44662.0)</f>
        <v>44662</v>
      </c>
      <c r="F253" s="35" t="str">
        <f>IFERROR(__xludf.DUMMYFUNCTION("""COMPUTED_VALUE"""),"Stock")</f>
        <v>Stock</v>
      </c>
      <c r="G253" s="35" t="str">
        <f>IFERROR(__xludf.DUMMYFUNCTION("""COMPUTED_VALUE"""),"HKD")</f>
        <v>HKD</v>
      </c>
      <c r="H253" s="14">
        <f>IFERROR(__xludf.DUMMYFUNCTION("""COMPUTED_VALUE"""),800.0)</f>
        <v>800</v>
      </c>
      <c r="I253" s="174">
        <f>IFERROR(__xludf.DUMMYFUNCTION("""COMPUTED_VALUE"""),1.0)</f>
        <v>1</v>
      </c>
      <c r="J253" s="175">
        <f>IFERROR(__xludf.DUMMYFUNCTION("""COMPUTED_VALUE"""),3.1)</f>
        <v>3.1</v>
      </c>
      <c r="K253" s="35"/>
      <c r="L253" s="175">
        <f>IFERROR(__xludf.DUMMYFUNCTION("""COMPUTED_VALUE"""),3.05)</f>
        <v>3.05</v>
      </c>
      <c r="M253" s="187" t="str">
        <f>IFERROR(__xludf.DUMMYFUNCTION("""COMPUTED_VALUE"""),"Equity Key Stats")</f>
        <v>Equity Key Stats</v>
      </c>
      <c r="N253" s="35"/>
      <c r="O253" s="35"/>
      <c r="P253" s="176">
        <f>IFERROR(__xludf.DUMMYFUNCTION("""COMPUTED_VALUE"""),-2480.0)</f>
        <v>-2480</v>
      </c>
      <c r="Q253" s="177"/>
      <c r="R253" s="178">
        <f>IFERROR(__xludf.DUMMYFUNCTION("""COMPUTED_VALUE"""),3.05)</f>
        <v>3.05</v>
      </c>
      <c r="S253" s="151">
        <f>IFERROR(__xludf.DUMMYFUNCTION("""COMPUTED_VALUE"""),2440.0)</f>
        <v>2440</v>
      </c>
      <c r="T253" s="95">
        <f>IFERROR(__xludf.DUMMYFUNCTION("""COMPUTED_VALUE"""),1.0)</f>
        <v>1</v>
      </c>
      <c r="U253" s="95">
        <f>IFERROR(__xludf.DUMMYFUNCTION("""COMPUTED_VALUE"""),1.0)</f>
        <v>1</v>
      </c>
      <c r="V253" s="179">
        <f>IFERROR(__xludf.DUMMYFUNCTION("""COMPUTED_VALUE"""),-40.0)</f>
        <v>-40</v>
      </c>
      <c r="W253" s="171" t="str">
        <f>IFERROR(__xludf.DUMMYFUNCTION("""COMPUTED_VALUE"""),"")</f>
        <v/>
      </c>
      <c r="X253" s="14" t="str">
        <f>IFERROR(__xludf.DUMMYFUNCTION("""COMPUTED_VALUE"""),"")</f>
        <v/>
      </c>
      <c r="Y253" s="14" t="str">
        <f>IFERROR(__xludf.DUMMYFUNCTION("""COMPUTED_VALUE"""),"")</f>
        <v/>
      </c>
      <c r="Z253" s="11" t="str">
        <f>IFERROR(__xludf.DUMMYFUNCTION("""COMPUTED_VALUE"""),"")</f>
        <v/>
      </c>
    </row>
    <row r="254">
      <c r="A254" s="35" t="str">
        <f>IFERROR(__xludf.DUMMYFUNCTION("""COMPUTED_VALUE"""),"")</f>
        <v/>
      </c>
      <c r="B254" s="35" t="str">
        <f>IFERROR(__xludf.DUMMYFUNCTION("""COMPUTED_VALUE"""),"38093")</f>
        <v>38093</v>
      </c>
      <c r="C254" s="172">
        <f>IFERROR(__xludf.DUMMYFUNCTION("""COMPUTED_VALUE"""),4.4662001337E10)</f>
        <v>44662001337</v>
      </c>
      <c r="D254" s="191" t="str">
        <f>IFERROR(__xludf.DUMMYFUNCTION("""COMPUTED_VALUE"""),"7552.HK")</f>
        <v>7552.HK</v>
      </c>
      <c r="E254" s="173">
        <f>IFERROR(__xludf.DUMMYFUNCTION("""COMPUTED_VALUE"""),44662.0)</f>
        <v>44662</v>
      </c>
      <c r="F254" s="35" t="str">
        <f>IFERROR(__xludf.DUMMYFUNCTION("""COMPUTED_VALUE"""),"Stock")</f>
        <v>Stock</v>
      </c>
      <c r="G254" s="35" t="str">
        <f>IFERROR(__xludf.DUMMYFUNCTION("""COMPUTED_VALUE"""),"HKD")</f>
        <v>HKD</v>
      </c>
      <c r="H254" s="181">
        <f>IFERROR(__xludf.DUMMYFUNCTION("""COMPUTED_VALUE"""),600.0)</f>
        <v>600</v>
      </c>
      <c r="I254" s="174">
        <f>IFERROR(__xludf.DUMMYFUNCTION("""COMPUTED_VALUE"""),1.0)</f>
        <v>1</v>
      </c>
      <c r="J254" s="175">
        <f>IFERROR(__xludf.DUMMYFUNCTION("""COMPUTED_VALUE"""),12.2)</f>
        <v>12.2</v>
      </c>
      <c r="K254" s="35"/>
      <c r="L254" s="175">
        <f>IFERROR(__xludf.DUMMYFUNCTION("""COMPUTED_VALUE"""),11.73)</f>
        <v>11.73</v>
      </c>
      <c r="M254" s="182" t="str">
        <f>IFERROR(__xludf.DUMMYFUNCTION("""COMPUTED_VALUE"""),"Equity Key Stats")</f>
        <v>Equity Key Stats</v>
      </c>
      <c r="N254" s="35"/>
      <c r="O254" s="35"/>
      <c r="P254" s="184">
        <f>IFERROR(__xludf.DUMMYFUNCTION("""COMPUTED_VALUE"""),-7320.0)</f>
        <v>-7320</v>
      </c>
      <c r="Q254" s="177"/>
      <c r="R254" s="178">
        <f>IFERROR(__xludf.DUMMYFUNCTION("""COMPUTED_VALUE"""),11.73)</f>
        <v>11.73</v>
      </c>
      <c r="S254" s="176">
        <f>IFERROR(__xludf.DUMMYFUNCTION("""COMPUTED_VALUE"""),7038.0)</f>
        <v>7038</v>
      </c>
      <c r="T254" s="95">
        <f>IFERROR(__xludf.DUMMYFUNCTION("""COMPUTED_VALUE"""),1.0)</f>
        <v>1</v>
      </c>
      <c r="U254" s="35">
        <f>IFERROR(__xludf.DUMMYFUNCTION("""COMPUTED_VALUE"""),1.0)</f>
        <v>1</v>
      </c>
      <c r="V254" s="170">
        <f>IFERROR(__xludf.DUMMYFUNCTION("""COMPUTED_VALUE"""),-282.0)</f>
        <v>-282</v>
      </c>
      <c r="W254" s="171" t="str">
        <f>IFERROR(__xludf.DUMMYFUNCTION("""COMPUTED_VALUE"""),"")</f>
        <v/>
      </c>
      <c r="X254" s="14" t="str">
        <f>IFERROR(__xludf.DUMMYFUNCTION("""COMPUTED_VALUE"""),"")</f>
        <v/>
      </c>
      <c r="Y254" s="14" t="str">
        <f>IFERROR(__xludf.DUMMYFUNCTION("""COMPUTED_VALUE"""),"")</f>
        <v/>
      </c>
      <c r="Z254" s="11" t="str">
        <f>IFERROR(__xludf.DUMMYFUNCTION("""COMPUTED_VALUE"""),"")</f>
        <v/>
      </c>
    </row>
    <row r="255">
      <c r="A255" s="35" t="str">
        <f>IFERROR(__xludf.DUMMYFUNCTION("""COMPUTED_VALUE"""),"")</f>
        <v/>
      </c>
      <c r="B255" s="35" t="str">
        <f>IFERROR(__xludf.DUMMYFUNCTION("""COMPUTED_VALUE"""),"38093")</f>
        <v>38093</v>
      </c>
      <c r="C255" s="172">
        <f>IFERROR(__xludf.DUMMYFUNCTION("""COMPUTED_VALUE"""),4.4663001421E10)</f>
        <v>44663001421</v>
      </c>
      <c r="D255" s="191" t="str">
        <f>IFERROR(__xludf.DUMMYFUNCTION("""COMPUTED_VALUE"""),"9922.HK")</f>
        <v>9922.HK</v>
      </c>
      <c r="E255" s="173">
        <f>IFERROR(__xludf.DUMMYFUNCTION("""COMPUTED_VALUE"""),44663.0)</f>
        <v>44663</v>
      </c>
      <c r="F255" s="35" t="str">
        <f>IFERROR(__xludf.DUMMYFUNCTION("""COMPUTED_VALUE"""),"Stock")</f>
        <v>Stock</v>
      </c>
      <c r="G255" s="35" t="str">
        <f>IFERROR(__xludf.DUMMYFUNCTION("""COMPUTED_VALUE"""),"HKD")</f>
        <v>HKD</v>
      </c>
      <c r="H255" s="181">
        <f>IFERROR(__xludf.DUMMYFUNCTION("""COMPUTED_VALUE"""),400.0)</f>
        <v>400</v>
      </c>
      <c r="I255" s="174">
        <f>IFERROR(__xludf.DUMMYFUNCTION("""COMPUTED_VALUE"""),1.0)</f>
        <v>1</v>
      </c>
      <c r="J255" s="175">
        <f>IFERROR(__xludf.DUMMYFUNCTION("""COMPUTED_VALUE"""),15.04)</f>
        <v>15.04</v>
      </c>
      <c r="K255" s="35"/>
      <c r="L255" s="175">
        <f>IFERROR(__xludf.DUMMYFUNCTION("""COMPUTED_VALUE"""),15.58)</f>
        <v>15.58</v>
      </c>
      <c r="M255" s="182" t="str">
        <f>IFERROR(__xludf.DUMMYFUNCTION("""COMPUTED_VALUE"""),"Equity Key Stats")</f>
        <v>Equity Key Stats</v>
      </c>
      <c r="N255" s="35"/>
      <c r="O255" s="35"/>
      <c r="P255" s="184">
        <f>IFERROR(__xludf.DUMMYFUNCTION("""COMPUTED_VALUE"""),-6016.0)</f>
        <v>-6016</v>
      </c>
      <c r="Q255" s="177"/>
      <c r="R255" s="178">
        <f>IFERROR(__xludf.DUMMYFUNCTION("""COMPUTED_VALUE"""),15.58)</f>
        <v>15.58</v>
      </c>
      <c r="S255" s="176">
        <f>IFERROR(__xludf.DUMMYFUNCTION("""COMPUTED_VALUE"""),6232.0)</f>
        <v>6232</v>
      </c>
      <c r="T255" s="95">
        <f>IFERROR(__xludf.DUMMYFUNCTION("""COMPUTED_VALUE"""),1.0)</f>
        <v>1</v>
      </c>
      <c r="U255" s="35">
        <f>IFERROR(__xludf.DUMMYFUNCTION("""COMPUTED_VALUE"""),1.0)</f>
        <v>1</v>
      </c>
      <c r="V255" s="170">
        <f>IFERROR(__xludf.DUMMYFUNCTION("""COMPUTED_VALUE"""),216.0)</f>
        <v>216</v>
      </c>
      <c r="W255" s="171" t="str">
        <f>IFERROR(__xludf.DUMMYFUNCTION("""COMPUTED_VALUE"""),"")</f>
        <v/>
      </c>
      <c r="X255" s="14" t="str">
        <f>IFERROR(__xludf.DUMMYFUNCTION("""COMPUTED_VALUE"""),"")</f>
        <v/>
      </c>
      <c r="Y255" s="14" t="str">
        <f>IFERROR(__xludf.DUMMYFUNCTION("""COMPUTED_VALUE"""),"")</f>
        <v/>
      </c>
      <c r="Z255" s="11" t="str">
        <f>IFERROR(__xludf.DUMMYFUNCTION("""COMPUTED_VALUE"""),"")</f>
        <v/>
      </c>
    </row>
    <row r="256">
      <c r="A256" s="35" t="str">
        <f>IFERROR(__xludf.DUMMYFUNCTION("""COMPUTED_VALUE"""),"")</f>
        <v/>
      </c>
      <c r="B256" s="35" t="str">
        <f>IFERROR(__xludf.DUMMYFUNCTION("""COMPUTED_VALUE"""),"38093")</f>
        <v>38093</v>
      </c>
      <c r="C256" s="172">
        <f>IFERROR(__xludf.DUMMYFUNCTION("""COMPUTED_VALUE"""),4.4663001422E10)</f>
        <v>44663001422</v>
      </c>
      <c r="D256" s="191" t="str">
        <f>IFERROR(__xludf.DUMMYFUNCTION("""COMPUTED_VALUE"""),"9992.HK")</f>
        <v>9992.HK</v>
      </c>
      <c r="E256" s="173">
        <f>IFERROR(__xludf.DUMMYFUNCTION("""COMPUTED_VALUE"""),44663.0)</f>
        <v>44663</v>
      </c>
      <c r="F256" s="35" t="str">
        <f>IFERROR(__xludf.DUMMYFUNCTION("""COMPUTED_VALUE"""),"Stock")</f>
        <v>Stock</v>
      </c>
      <c r="G256" s="35" t="str">
        <f>IFERROR(__xludf.DUMMYFUNCTION("""COMPUTED_VALUE"""),"HKD")</f>
        <v>HKD</v>
      </c>
      <c r="H256" s="181">
        <f>IFERROR(__xludf.DUMMYFUNCTION("""COMPUTED_VALUE"""),400.0)</f>
        <v>400</v>
      </c>
      <c r="I256" s="174">
        <f>IFERROR(__xludf.DUMMYFUNCTION("""COMPUTED_VALUE"""),1.0)</f>
        <v>1</v>
      </c>
      <c r="J256" s="175">
        <f>IFERROR(__xludf.DUMMYFUNCTION("""COMPUTED_VALUE"""),35.7)</f>
        <v>35.7</v>
      </c>
      <c r="K256" s="35"/>
      <c r="L256" s="175">
        <f>IFERROR(__xludf.DUMMYFUNCTION("""COMPUTED_VALUE"""),34.75)</f>
        <v>34.75</v>
      </c>
      <c r="M256" s="182" t="str">
        <f>IFERROR(__xludf.DUMMYFUNCTION("""COMPUTED_VALUE"""),"Equity Key Stats")</f>
        <v>Equity Key Stats</v>
      </c>
      <c r="N256" s="35"/>
      <c r="O256" s="35"/>
      <c r="P256" s="184">
        <f>IFERROR(__xludf.DUMMYFUNCTION("""COMPUTED_VALUE"""),-14280.000000000002)</f>
        <v>-14280</v>
      </c>
      <c r="Q256" s="177"/>
      <c r="R256" s="178">
        <f>IFERROR(__xludf.DUMMYFUNCTION("""COMPUTED_VALUE"""),34.75)</f>
        <v>34.75</v>
      </c>
      <c r="S256" s="176">
        <f>IFERROR(__xludf.DUMMYFUNCTION("""COMPUTED_VALUE"""),13900.0)</f>
        <v>13900</v>
      </c>
      <c r="T256" s="95">
        <f>IFERROR(__xludf.DUMMYFUNCTION("""COMPUTED_VALUE"""),1.0)</f>
        <v>1</v>
      </c>
      <c r="U256" s="95">
        <f>IFERROR(__xludf.DUMMYFUNCTION("""COMPUTED_VALUE"""),1.0)</f>
        <v>1</v>
      </c>
      <c r="V256" s="185">
        <f>IFERROR(__xludf.DUMMYFUNCTION("""COMPUTED_VALUE"""),-380.0000000000018)</f>
        <v>-380</v>
      </c>
      <c r="W256" s="171" t="str">
        <f>IFERROR(__xludf.DUMMYFUNCTION("""COMPUTED_VALUE"""),"")</f>
        <v/>
      </c>
      <c r="X256" s="14" t="str">
        <f>IFERROR(__xludf.DUMMYFUNCTION("""COMPUTED_VALUE"""),"")</f>
        <v/>
      </c>
      <c r="Y256" s="14" t="str">
        <f>IFERROR(__xludf.DUMMYFUNCTION("""COMPUTED_VALUE"""),"")</f>
        <v/>
      </c>
      <c r="Z256" s="11" t="str">
        <f>IFERROR(__xludf.DUMMYFUNCTION("""COMPUTED_VALUE"""),"")</f>
        <v/>
      </c>
    </row>
    <row r="257">
      <c r="A257" s="35" t="str">
        <f>IFERROR(__xludf.DUMMYFUNCTION("""COMPUTED_VALUE"""),"38093")</f>
        <v>38093</v>
      </c>
      <c r="B257" s="35" t="str">
        <f>IFERROR(__xludf.DUMMYFUNCTION("""COMPUTED_VALUE"""),"38093")</f>
        <v>38093</v>
      </c>
      <c r="C257" s="172">
        <f>IFERROR(__xludf.DUMMYFUNCTION("""COMPUTED_VALUE"""),4.4664001424E10)</f>
        <v>44664001424</v>
      </c>
      <c r="D257" s="190" t="str">
        <f>IFERROR(__xludf.DUMMYFUNCTION("""COMPUTED_VALUE"""),"6862.HK")</f>
        <v>6862.HK</v>
      </c>
      <c r="E257" s="173">
        <f>IFERROR(__xludf.DUMMYFUNCTION("""COMPUTED_VALUE"""),44664.0)</f>
        <v>44664</v>
      </c>
      <c r="F257" s="35" t="str">
        <f>IFERROR(__xludf.DUMMYFUNCTION("""COMPUTED_VALUE"""),"Stock")</f>
        <v>Stock</v>
      </c>
      <c r="G257" s="35" t="str">
        <f>IFERROR(__xludf.DUMMYFUNCTION("""COMPUTED_VALUE"""),"HKD")</f>
        <v>HKD</v>
      </c>
      <c r="H257" s="181">
        <f>IFERROR(__xludf.DUMMYFUNCTION("""COMPUTED_VALUE"""),300.0)</f>
        <v>300</v>
      </c>
      <c r="I257" s="174">
        <f>IFERROR(__xludf.DUMMYFUNCTION("""COMPUTED_VALUE"""),1.0)</f>
        <v>1</v>
      </c>
      <c r="J257" s="175">
        <f>IFERROR(__xludf.DUMMYFUNCTION("""COMPUTED_VALUE"""),14.68)</f>
        <v>14.68</v>
      </c>
      <c r="K257" s="35"/>
      <c r="L257" s="175">
        <f>IFERROR(__xludf.DUMMYFUNCTION("""COMPUTED_VALUE"""),14.68)</f>
        <v>14.68</v>
      </c>
      <c r="M257" s="182" t="str">
        <f>IFERROR(__xludf.DUMMYFUNCTION("""COMPUTED_VALUE"""),"Equity Key Stats")</f>
        <v>Equity Key Stats</v>
      </c>
      <c r="N257" s="35"/>
      <c r="O257" s="35"/>
      <c r="P257" s="184">
        <f>IFERROR(__xludf.DUMMYFUNCTION("""COMPUTED_VALUE"""),-4404.0)</f>
        <v>-4404</v>
      </c>
      <c r="Q257" s="177"/>
      <c r="R257" s="178">
        <f>IFERROR(__xludf.DUMMYFUNCTION("""COMPUTED_VALUE"""),14.68)</f>
        <v>14.68</v>
      </c>
      <c r="S257" s="176">
        <f>IFERROR(__xludf.DUMMYFUNCTION("""COMPUTED_VALUE"""),4404.0)</f>
        <v>4404</v>
      </c>
      <c r="T257" s="95">
        <f>IFERROR(__xludf.DUMMYFUNCTION("""COMPUTED_VALUE"""),1.0)</f>
        <v>1</v>
      </c>
      <c r="U257" s="35">
        <f>IFERROR(__xludf.DUMMYFUNCTION("""COMPUTED_VALUE"""),1.0)</f>
        <v>1</v>
      </c>
      <c r="V257" s="170">
        <f>IFERROR(__xludf.DUMMYFUNCTION("""COMPUTED_VALUE"""),0.0)</f>
        <v>0</v>
      </c>
      <c r="W257" s="171">
        <f>IFERROR(__xludf.DUMMYFUNCTION("""COMPUTED_VALUE"""),503907.5355225)</f>
        <v>503907.5355</v>
      </c>
      <c r="X257" s="14">
        <f>IFERROR(__xludf.DUMMYFUNCTION("""COMPUTED_VALUE"""),12929.666815000084)</f>
        <v>12929.66682</v>
      </c>
      <c r="Y257" s="14">
        <f>IFERROR(__xludf.DUMMYFUNCTION("""COMPUTED_VALUE"""),0.0)</f>
        <v>0</v>
      </c>
      <c r="Z257" s="11">
        <f>IFERROR(__xludf.DUMMYFUNCTION("""COMPUTED_VALUE"""),0.00781507104500001)</f>
        <v>0.007815071045</v>
      </c>
    </row>
    <row r="258">
      <c r="A258" s="35" t="str">
        <f>IFERROR(__xludf.DUMMYFUNCTION("""COMPUTED_VALUE"""),"")</f>
        <v/>
      </c>
      <c r="B258" s="35" t="str">
        <f>IFERROR(__xludf.DUMMYFUNCTION("""COMPUTED_VALUE"""),"38105")</f>
        <v>38105</v>
      </c>
      <c r="C258" s="172">
        <f>IFERROR(__xludf.DUMMYFUNCTION("""COMPUTED_VALUE"""),4.4597000054E10)</f>
        <v>44597000054</v>
      </c>
      <c r="D258" s="135" t="str">
        <f>IFERROR(__xludf.DUMMYFUNCTION("""COMPUTED_VALUE"""),"Cash")</f>
        <v>Cash</v>
      </c>
      <c r="E258" s="173">
        <f>IFERROR(__xludf.DUMMYFUNCTION("""COMPUTED_VALUE"""),44597.0)</f>
        <v>44597</v>
      </c>
      <c r="F258" s="35" t="str">
        <f>IFERROR(__xludf.DUMMYFUNCTION("""COMPUTED_VALUE"""),"Cash")</f>
        <v>Cash</v>
      </c>
      <c r="G258" s="35" t="str">
        <f>IFERROR(__xludf.DUMMYFUNCTION("""COMPUTED_VALUE"""),"HKD")</f>
        <v>HKD</v>
      </c>
      <c r="H258" s="181" t="str">
        <f>IFERROR(__xludf.DUMMYFUNCTION("""COMPUTED_VALUE"""),"")</f>
        <v/>
      </c>
      <c r="I258" s="174">
        <f>IFERROR(__xludf.DUMMYFUNCTION("""COMPUTED_VALUE"""),1.0)</f>
        <v>1</v>
      </c>
      <c r="J258" s="175">
        <f>IFERROR(__xludf.DUMMYFUNCTION("""COMPUTED_VALUE"""),1.0)</f>
        <v>1</v>
      </c>
      <c r="K258" s="35"/>
      <c r="L258" s="175">
        <f>IFERROR(__xludf.DUMMYFUNCTION("""COMPUTED_VALUE"""),1.0)</f>
        <v>1</v>
      </c>
      <c r="M258" s="182" t="str">
        <f>IFERROR(__xludf.DUMMYFUNCTION("""COMPUTED_VALUE"""),"")</f>
        <v/>
      </c>
      <c r="N258" s="35"/>
      <c r="O258" s="35"/>
      <c r="P258" s="184">
        <f>IFERROR(__xludf.DUMMYFUNCTION("""COMPUTED_VALUE"""),500000.0)</f>
        <v>500000</v>
      </c>
      <c r="Q258" s="177"/>
      <c r="R258" s="178">
        <f>IFERROR(__xludf.DUMMYFUNCTION("""COMPUTED_VALUE"""),1.0)</f>
        <v>1</v>
      </c>
      <c r="S258" s="176" t="str">
        <f>IFERROR(__xludf.DUMMYFUNCTION("""COMPUTED_VALUE"""),"")</f>
        <v/>
      </c>
      <c r="T258" s="95">
        <f>IFERROR(__xludf.DUMMYFUNCTION("""COMPUTED_VALUE"""),1.0)</f>
        <v>1</v>
      </c>
      <c r="U258" s="35">
        <f>IFERROR(__xludf.DUMMYFUNCTION("""COMPUTED_VALUE"""),1.0)</f>
        <v>1</v>
      </c>
      <c r="V258" s="170">
        <f>IFERROR(__xludf.DUMMYFUNCTION("""COMPUTED_VALUE"""),500000.0)</f>
        <v>500000</v>
      </c>
      <c r="W258" s="171" t="str">
        <f>IFERROR(__xludf.DUMMYFUNCTION("""COMPUTED_VALUE"""),"")</f>
        <v/>
      </c>
      <c r="X258" s="14" t="str">
        <f>IFERROR(__xludf.DUMMYFUNCTION("""COMPUTED_VALUE"""),"")</f>
        <v/>
      </c>
      <c r="Y258" s="14" t="str">
        <f>IFERROR(__xludf.DUMMYFUNCTION("""COMPUTED_VALUE"""),"")</f>
        <v/>
      </c>
      <c r="Z258" s="11" t="str">
        <f>IFERROR(__xludf.DUMMYFUNCTION("""COMPUTED_VALUE"""),"")</f>
        <v/>
      </c>
    </row>
    <row r="259">
      <c r="A259" s="35" t="str">
        <f>IFERROR(__xludf.DUMMYFUNCTION("""COMPUTED_VALUE"""),"")</f>
        <v/>
      </c>
      <c r="B259" s="35" t="str">
        <f>IFERROR(__xludf.DUMMYFUNCTION("""COMPUTED_VALUE"""),"38105")</f>
        <v>38105</v>
      </c>
      <c r="C259" s="172">
        <f>IFERROR(__xludf.DUMMYFUNCTION("""COMPUTED_VALUE"""),4.4648000972E10)</f>
        <v>44648000972</v>
      </c>
      <c r="D259" s="180" t="str">
        <f>IFERROR(__xludf.DUMMYFUNCTION("""COMPUTED_VALUE"""),"GME")</f>
        <v>GME</v>
      </c>
      <c r="E259" s="173">
        <f>IFERROR(__xludf.DUMMYFUNCTION("""COMPUTED_VALUE"""),44648.0)</f>
        <v>44648</v>
      </c>
      <c r="F259" s="35" t="str">
        <f>IFERROR(__xludf.DUMMYFUNCTION("""COMPUTED_VALUE"""),"Stock")</f>
        <v>Stock</v>
      </c>
      <c r="G259" s="35" t="str">
        <f>IFERROR(__xludf.DUMMYFUNCTION("""COMPUTED_VALUE"""),"USD")</f>
        <v>USD</v>
      </c>
      <c r="H259" s="183">
        <f>IFERROR(__xludf.DUMMYFUNCTION("""COMPUTED_VALUE"""),0.0)</f>
        <v>0</v>
      </c>
      <c r="I259" s="174">
        <f>IFERROR(__xludf.DUMMYFUNCTION("""COMPUTED_VALUE"""),7.82905)</f>
        <v>7.82905</v>
      </c>
      <c r="J259" s="175">
        <f>IFERROR(__xludf.DUMMYFUNCTION("""COMPUTED_VALUE"""),0.0)</f>
        <v>0</v>
      </c>
      <c r="K259" s="35"/>
      <c r="L259" s="175">
        <f>IFERROR(__xludf.DUMMYFUNCTION("""COMPUTED_VALUE"""),150.4)</f>
        <v>150.4</v>
      </c>
      <c r="M259" s="182" t="str">
        <f>IFERROR(__xludf.DUMMYFUNCTION("""COMPUTED_VALUE"""),"Equity Key Stats")</f>
        <v>Equity Key Stats</v>
      </c>
      <c r="N259" s="35"/>
      <c r="O259" s="35"/>
      <c r="P259" s="176">
        <f>IFERROR(__xludf.DUMMYFUNCTION("""COMPUTED_VALUE"""),0.0)</f>
        <v>0</v>
      </c>
      <c r="Q259" s="177"/>
      <c r="R259" s="178">
        <f>IFERROR(__xludf.DUMMYFUNCTION("""COMPUTED_VALUE"""),150.4)</f>
        <v>150.4</v>
      </c>
      <c r="S259" s="184">
        <f>IFERROR(__xludf.DUMMYFUNCTION("""COMPUTED_VALUE"""),0.0)</f>
        <v>0</v>
      </c>
      <c r="T259" s="95">
        <f>IFERROR(__xludf.DUMMYFUNCTION("""COMPUTED_VALUE"""),1.0)</f>
        <v>1</v>
      </c>
      <c r="U259" s="95">
        <f>IFERROR(__xludf.DUMMYFUNCTION("""COMPUTED_VALUE"""),1.0)</f>
        <v>1</v>
      </c>
      <c r="V259" s="185">
        <f>IFERROR(__xludf.DUMMYFUNCTION("""COMPUTED_VALUE"""),0.0)</f>
        <v>0</v>
      </c>
      <c r="W259" s="171" t="str">
        <f>IFERROR(__xludf.DUMMYFUNCTION("""COMPUTED_VALUE"""),"")</f>
        <v/>
      </c>
      <c r="X259" s="14" t="str">
        <f>IFERROR(__xludf.DUMMYFUNCTION("""COMPUTED_VALUE"""),"")</f>
        <v/>
      </c>
      <c r="Y259" s="14" t="str">
        <f>IFERROR(__xludf.DUMMYFUNCTION("""COMPUTED_VALUE"""),"")</f>
        <v/>
      </c>
      <c r="Z259" s="11" t="str">
        <f>IFERROR(__xludf.DUMMYFUNCTION("""COMPUTED_VALUE"""),"")</f>
        <v/>
      </c>
    </row>
    <row r="260">
      <c r="A260" s="35" t="str">
        <f>IFERROR(__xludf.DUMMYFUNCTION("""COMPUTED_VALUE"""),"")</f>
        <v/>
      </c>
      <c r="B260" s="35" t="str">
        <f>IFERROR(__xludf.DUMMYFUNCTION("""COMPUTED_VALUE"""),"38105")</f>
        <v>38105</v>
      </c>
      <c r="C260" s="172">
        <f>IFERROR(__xludf.DUMMYFUNCTION("""COMPUTED_VALUE"""),4.4649001004E10)</f>
        <v>44649001004</v>
      </c>
      <c r="D260" s="180" t="str">
        <f>IFERROR(__xludf.DUMMYFUNCTION("""COMPUTED_VALUE"""),"XOM")</f>
        <v>XOM</v>
      </c>
      <c r="E260" s="173">
        <f>IFERROR(__xludf.DUMMYFUNCTION("""COMPUTED_VALUE"""),44649.0)</f>
        <v>44649</v>
      </c>
      <c r="F260" s="35" t="str">
        <f>IFERROR(__xludf.DUMMYFUNCTION("""COMPUTED_VALUE"""),"Stock")</f>
        <v>Stock</v>
      </c>
      <c r="G260" s="35" t="str">
        <f>IFERROR(__xludf.DUMMYFUNCTION("""COMPUTED_VALUE"""),"USD")</f>
        <v>USD</v>
      </c>
      <c r="H260" s="181">
        <f>IFERROR(__xludf.DUMMYFUNCTION("""COMPUTED_VALUE"""),-30.0)</f>
        <v>-30</v>
      </c>
      <c r="I260" s="174">
        <f>IFERROR(__xludf.DUMMYFUNCTION("""COMPUTED_VALUE"""),7.827315)</f>
        <v>7.827315</v>
      </c>
      <c r="J260" s="175">
        <f>IFERROR(__xludf.DUMMYFUNCTION("""COMPUTED_VALUE"""),82.37)</f>
        <v>82.37</v>
      </c>
      <c r="K260" s="35"/>
      <c r="L260" s="175">
        <f>IFERROR(__xludf.DUMMYFUNCTION("""COMPUTED_VALUE"""),86.84)</f>
        <v>86.84</v>
      </c>
      <c r="M260" s="182" t="str">
        <f>IFERROR(__xludf.DUMMYFUNCTION("""COMPUTED_VALUE"""),"Equity Key Stats")</f>
        <v>Equity Key Stats</v>
      </c>
      <c r="N260" s="35"/>
      <c r="O260" s="35"/>
      <c r="P260" s="184">
        <f>IFERROR(__xludf.DUMMYFUNCTION("""COMPUTED_VALUE"""),19342.0780965)</f>
        <v>19342.0781</v>
      </c>
      <c r="Q260" s="177"/>
      <c r="R260" s="178">
        <f>IFERROR(__xludf.DUMMYFUNCTION("""COMPUTED_VALUE"""),86.84)</f>
        <v>86.84</v>
      </c>
      <c r="S260" s="176">
        <f>IFERROR(__xludf.DUMMYFUNCTION("""COMPUTED_VALUE"""),-20391.721038)</f>
        <v>-20391.72104</v>
      </c>
      <c r="T260" s="95">
        <f>IFERROR(__xludf.DUMMYFUNCTION("""COMPUTED_VALUE"""),1.0)</f>
        <v>1</v>
      </c>
      <c r="U260" s="35">
        <f>IFERROR(__xludf.DUMMYFUNCTION("""COMPUTED_VALUE"""),1.0)</f>
        <v>1</v>
      </c>
      <c r="V260" s="170">
        <f>IFERROR(__xludf.DUMMYFUNCTION("""COMPUTED_VALUE"""),-1049.6429414999984)</f>
        <v>-1049.642942</v>
      </c>
      <c r="W260" s="171" t="str">
        <f>IFERROR(__xludf.DUMMYFUNCTION("""COMPUTED_VALUE"""),"")</f>
        <v/>
      </c>
      <c r="X260" s="14" t="str">
        <f>IFERROR(__xludf.DUMMYFUNCTION("""COMPUTED_VALUE"""),"")</f>
        <v/>
      </c>
      <c r="Y260" s="14" t="str">
        <f>IFERROR(__xludf.DUMMYFUNCTION("""COMPUTED_VALUE"""),"")</f>
        <v/>
      </c>
      <c r="Z260" s="11" t="str">
        <f>IFERROR(__xludf.DUMMYFUNCTION("""COMPUTED_VALUE"""),"")</f>
        <v/>
      </c>
    </row>
    <row r="261">
      <c r="A261" s="35" t="str">
        <f>IFERROR(__xludf.DUMMYFUNCTION("""COMPUTED_VALUE"""),"38105")</f>
        <v>38105</v>
      </c>
      <c r="B261" s="35" t="str">
        <f>IFERROR(__xludf.DUMMYFUNCTION("""COMPUTED_VALUE"""),"38105")</f>
        <v>38105</v>
      </c>
      <c r="C261" s="172">
        <f>IFERROR(__xludf.DUMMYFUNCTION("""COMPUTED_VALUE"""),4.46520011E10)</f>
        <v>44652001100</v>
      </c>
      <c r="D261" s="192" t="str">
        <f>IFERROR(__xludf.DUMMYFUNCTION("""COMPUTED_VALUE"""),"LMT")</f>
        <v>LMT</v>
      </c>
      <c r="E261" s="173">
        <f>IFERROR(__xludf.DUMMYFUNCTION("""COMPUTED_VALUE"""),44652.0)</f>
        <v>44652</v>
      </c>
      <c r="F261" s="35" t="str">
        <f>IFERROR(__xludf.DUMMYFUNCTION("""COMPUTED_VALUE"""),"Stock")</f>
        <v>Stock</v>
      </c>
      <c r="G261" s="35" t="str">
        <f>IFERROR(__xludf.DUMMYFUNCTION("""COMPUTED_VALUE"""),"USD")</f>
        <v>USD</v>
      </c>
      <c r="H261" s="181">
        <f>IFERROR(__xludf.DUMMYFUNCTION("""COMPUTED_VALUE"""),200.0)</f>
        <v>200</v>
      </c>
      <c r="I261" s="174">
        <f>IFERROR(__xludf.DUMMYFUNCTION("""COMPUTED_VALUE"""),7.833725)</f>
        <v>7.833725</v>
      </c>
      <c r="J261" s="175">
        <f>IFERROR(__xludf.DUMMYFUNCTION("""COMPUTED_VALUE"""),445.98)</f>
        <v>445.98</v>
      </c>
      <c r="K261" s="35"/>
      <c r="L261" s="175">
        <f>IFERROR(__xludf.DUMMYFUNCTION("""COMPUTED_VALUE"""),469.2)</f>
        <v>469.2</v>
      </c>
      <c r="M261" s="182" t="str">
        <f>IFERROR(__xludf.DUMMYFUNCTION("""COMPUTED_VALUE"""),"Equity Key Stats")</f>
        <v>Equity Key Stats</v>
      </c>
      <c r="N261" s="35"/>
      <c r="O261" s="35"/>
      <c r="P261" s="184">
        <f>IFERROR(__xludf.DUMMYFUNCTION("""COMPUTED_VALUE"""),-698736.9351000001)</f>
        <v>-698736.9351</v>
      </c>
      <c r="Q261" s="177"/>
      <c r="R261" s="178">
        <f>IFERROR(__xludf.DUMMYFUNCTION("""COMPUTED_VALUE"""),469.2)</f>
        <v>469.2</v>
      </c>
      <c r="S261" s="176">
        <f>IFERROR(__xludf.DUMMYFUNCTION("""COMPUTED_VALUE"""),735116.7540000001)</f>
        <v>735116.754</v>
      </c>
      <c r="T261" s="95">
        <f>IFERROR(__xludf.DUMMYFUNCTION("""COMPUTED_VALUE"""),1.0)</f>
        <v>1</v>
      </c>
      <c r="U261" s="95">
        <f>IFERROR(__xludf.DUMMYFUNCTION("""COMPUTED_VALUE"""),1.0)</f>
        <v>1</v>
      </c>
      <c r="V261" s="179">
        <f>IFERROR(__xludf.DUMMYFUNCTION("""COMPUTED_VALUE"""),36379.818899999955)</f>
        <v>36379.8189</v>
      </c>
      <c r="W261" s="171">
        <f>IFERROR(__xludf.DUMMYFUNCTION("""COMPUTED_VALUE"""),535330.1759585)</f>
        <v>535330.176</v>
      </c>
      <c r="X261" s="14">
        <f>IFERROR(__xludf.DUMMYFUNCTION("""COMPUTED_VALUE"""),-218079.01319650002)</f>
        <v>-218079.0132</v>
      </c>
      <c r="Y261" s="14">
        <f>IFERROR(__xludf.DUMMYFUNCTION("""COMPUTED_VALUE"""),218079.01319650002)</f>
        <v>218079.0132</v>
      </c>
      <c r="Z261" s="11">
        <f>IFERROR(__xludf.DUMMYFUNCTION("""COMPUTED_VALUE"""),0.07066035191699993)</f>
        <v>0.07066035192</v>
      </c>
    </row>
    <row r="262">
      <c r="A262" s="35" t="str">
        <f>IFERROR(__xludf.DUMMYFUNCTION("""COMPUTED_VALUE"""),"")</f>
        <v/>
      </c>
      <c r="B262" s="35" t="str">
        <f>IFERROR(__xludf.DUMMYFUNCTION("""COMPUTED_VALUE"""),"38109")</f>
        <v>38109</v>
      </c>
      <c r="C262" s="172">
        <f>IFERROR(__xludf.DUMMYFUNCTION("""COMPUTED_VALUE"""),4.4597000028E10)</f>
        <v>44597000028</v>
      </c>
      <c r="D262" s="191" t="str">
        <f>IFERROR(__xludf.DUMMYFUNCTION("""COMPUTED_VALUE"""),"Cash")</f>
        <v>Cash</v>
      </c>
      <c r="E262" s="173">
        <f>IFERROR(__xludf.DUMMYFUNCTION("""COMPUTED_VALUE"""),44597.0)</f>
        <v>44597</v>
      </c>
      <c r="F262" s="35" t="str">
        <f>IFERROR(__xludf.DUMMYFUNCTION("""COMPUTED_VALUE"""),"Cash")</f>
        <v>Cash</v>
      </c>
      <c r="G262" s="35" t="str">
        <f>IFERROR(__xludf.DUMMYFUNCTION("""COMPUTED_VALUE"""),"HKD")</f>
        <v>HKD</v>
      </c>
      <c r="H262" s="14" t="str">
        <f>IFERROR(__xludf.DUMMYFUNCTION("""COMPUTED_VALUE"""),"")</f>
        <v/>
      </c>
      <c r="I262" s="174">
        <f>IFERROR(__xludf.DUMMYFUNCTION("""COMPUTED_VALUE"""),1.0)</f>
        <v>1</v>
      </c>
      <c r="J262" s="175">
        <f>IFERROR(__xludf.DUMMYFUNCTION("""COMPUTED_VALUE"""),1.0)</f>
        <v>1</v>
      </c>
      <c r="K262" s="35"/>
      <c r="L262" s="175">
        <f>IFERROR(__xludf.DUMMYFUNCTION("""COMPUTED_VALUE"""),1.0)</f>
        <v>1</v>
      </c>
      <c r="M262" s="182" t="str">
        <f>IFERROR(__xludf.DUMMYFUNCTION("""COMPUTED_VALUE"""),"")</f>
        <v/>
      </c>
      <c r="N262" s="35"/>
      <c r="O262" s="35"/>
      <c r="P262" s="176">
        <f>IFERROR(__xludf.DUMMYFUNCTION("""COMPUTED_VALUE"""),500000.0)</f>
        <v>500000</v>
      </c>
      <c r="Q262" s="177"/>
      <c r="R262" s="178">
        <f>IFERROR(__xludf.DUMMYFUNCTION("""COMPUTED_VALUE"""),1.0)</f>
        <v>1</v>
      </c>
      <c r="S262" s="176" t="str">
        <f>IFERROR(__xludf.DUMMYFUNCTION("""COMPUTED_VALUE"""),"")</f>
        <v/>
      </c>
      <c r="T262" s="95">
        <f>IFERROR(__xludf.DUMMYFUNCTION("""COMPUTED_VALUE"""),1.0)</f>
        <v>1</v>
      </c>
      <c r="U262" s="35">
        <f>IFERROR(__xludf.DUMMYFUNCTION("""COMPUTED_VALUE"""),1.0)</f>
        <v>1</v>
      </c>
      <c r="V262" s="170">
        <f>IFERROR(__xludf.DUMMYFUNCTION("""COMPUTED_VALUE"""),500000.0)</f>
        <v>500000</v>
      </c>
      <c r="W262" s="171" t="str">
        <f>IFERROR(__xludf.DUMMYFUNCTION("""COMPUTED_VALUE"""),"")</f>
        <v/>
      </c>
      <c r="X262" s="14" t="str">
        <f>IFERROR(__xludf.DUMMYFUNCTION("""COMPUTED_VALUE"""),"")</f>
        <v/>
      </c>
      <c r="Y262" s="14" t="str">
        <f>IFERROR(__xludf.DUMMYFUNCTION("""COMPUTED_VALUE"""),"")</f>
        <v/>
      </c>
      <c r="Z262" s="11" t="str">
        <f>IFERROR(__xludf.DUMMYFUNCTION("""COMPUTED_VALUE"""),"")</f>
        <v/>
      </c>
    </row>
    <row r="263">
      <c r="A263" s="35" t="str">
        <f>IFERROR(__xludf.DUMMYFUNCTION("""COMPUTED_VALUE"""),"")</f>
        <v/>
      </c>
      <c r="B263" s="35" t="str">
        <f>IFERROR(__xludf.DUMMYFUNCTION("""COMPUTED_VALUE"""),"38109")</f>
        <v>38109</v>
      </c>
      <c r="C263" s="172">
        <f>IFERROR(__xludf.DUMMYFUNCTION("""COMPUTED_VALUE"""),4.4659001291E10)</f>
        <v>44659001291</v>
      </c>
      <c r="D263" s="135" t="str">
        <f>IFERROR(__xludf.DUMMYFUNCTION("""COMPUTED_VALUE"""),"AMZN")</f>
        <v>AMZN</v>
      </c>
      <c r="E263" s="173">
        <f>IFERROR(__xludf.DUMMYFUNCTION("""COMPUTED_VALUE"""),44659.0)</f>
        <v>44659</v>
      </c>
      <c r="F263" s="35" t="str">
        <f>IFERROR(__xludf.DUMMYFUNCTION("""COMPUTED_VALUE"""),"Stock")</f>
        <v>Stock</v>
      </c>
      <c r="G263" s="35" t="str">
        <f>IFERROR(__xludf.DUMMYFUNCTION("""COMPUTED_VALUE"""),"USD")</f>
        <v>USD</v>
      </c>
      <c r="H263" s="181" t="str">
        <f>IFERROR(__xludf.DUMMYFUNCTION("""COMPUTED_VALUE"""),"")</f>
        <v/>
      </c>
      <c r="I263" s="174">
        <f>IFERROR(__xludf.DUMMYFUNCTION("""COMPUTED_VALUE"""),7.839265)</f>
        <v>7.839265</v>
      </c>
      <c r="J263" s="149">
        <f>IFERROR(__xludf.DUMMYFUNCTION("""COMPUTED_VALUE"""),3089.21)</f>
        <v>3089.21</v>
      </c>
      <c r="K263" s="35"/>
      <c r="L263" s="175">
        <f>IFERROR(__xludf.DUMMYFUNCTION("""COMPUTED_VALUE"""),3110.82)</f>
        <v>3110.82</v>
      </c>
      <c r="M263" s="182" t="str">
        <f>IFERROR(__xludf.DUMMYFUNCTION("""COMPUTED_VALUE"""),"Equity Key Stats")</f>
        <v>Equity Key Stats</v>
      </c>
      <c r="N263" s="35"/>
      <c r="O263" s="35"/>
      <c r="P263" s="176">
        <f>IFERROR(__xludf.DUMMYFUNCTION("""COMPUTED_VALUE"""),0.0)</f>
        <v>0</v>
      </c>
      <c r="Q263" s="177"/>
      <c r="R263" s="178">
        <f>IFERROR(__xludf.DUMMYFUNCTION("""COMPUTED_VALUE"""),3110.82)</f>
        <v>3110.82</v>
      </c>
      <c r="S263" s="176">
        <f>IFERROR(__xludf.DUMMYFUNCTION("""COMPUTED_VALUE"""),0.0)</f>
        <v>0</v>
      </c>
      <c r="T263" s="95">
        <f>IFERROR(__xludf.DUMMYFUNCTION("""COMPUTED_VALUE"""),2.0)</f>
        <v>2</v>
      </c>
      <c r="U263" s="95" t="str">
        <f>IFERROR(__xludf.DUMMYFUNCTION("""COMPUTED_VALUE"""),"")</f>
        <v/>
      </c>
      <c r="V263" s="179" t="str">
        <f>IFERROR(__xludf.DUMMYFUNCTION("""COMPUTED_VALUE"""),"")</f>
        <v/>
      </c>
      <c r="W263" s="171" t="str">
        <f>IFERROR(__xludf.DUMMYFUNCTION("""COMPUTED_VALUE"""),"")</f>
        <v/>
      </c>
      <c r="X263" s="14" t="str">
        <f>IFERROR(__xludf.DUMMYFUNCTION("""COMPUTED_VALUE"""),"")</f>
        <v/>
      </c>
      <c r="Y263" s="14" t="str">
        <f>IFERROR(__xludf.DUMMYFUNCTION("""COMPUTED_VALUE"""),"")</f>
        <v/>
      </c>
      <c r="Z263" s="11" t="str">
        <f>IFERROR(__xludf.DUMMYFUNCTION("""COMPUTED_VALUE"""),"")</f>
        <v/>
      </c>
    </row>
    <row r="264">
      <c r="A264" s="35" t="str">
        <f>IFERROR(__xludf.DUMMYFUNCTION("""COMPUTED_VALUE"""),"")</f>
        <v/>
      </c>
      <c r="B264" s="35" t="str">
        <f>IFERROR(__xludf.DUMMYFUNCTION("""COMPUTED_VALUE"""),"38109")</f>
        <v>38109</v>
      </c>
      <c r="C264" s="172">
        <f>IFERROR(__xludf.DUMMYFUNCTION("""COMPUTED_VALUE"""),4.4659001292E10)</f>
        <v>44659001292</v>
      </c>
      <c r="D264" s="191" t="str">
        <f>IFERROR(__xludf.DUMMYFUNCTION("""COMPUTED_VALUE"""),"FB")</f>
        <v>FB</v>
      </c>
      <c r="E264" s="173">
        <f>IFERROR(__xludf.DUMMYFUNCTION("""COMPUTED_VALUE"""),44659.0)</f>
        <v>44659</v>
      </c>
      <c r="F264" s="35" t="str">
        <f>IFERROR(__xludf.DUMMYFUNCTION("""COMPUTED_VALUE"""),"Stock")</f>
        <v>Stock</v>
      </c>
      <c r="G264" s="35" t="str">
        <f>IFERROR(__xludf.DUMMYFUNCTION("""COMPUTED_VALUE"""),"USD")</f>
        <v>USD</v>
      </c>
      <c r="H264" s="181" t="str">
        <f>IFERROR(__xludf.DUMMYFUNCTION("""COMPUTED_VALUE"""),"")</f>
        <v/>
      </c>
      <c r="I264" s="174">
        <f>IFERROR(__xludf.DUMMYFUNCTION("""COMPUTED_VALUE"""),7.839265)</f>
        <v>7.839265</v>
      </c>
      <c r="J264" s="175">
        <f>IFERROR(__xludf.DUMMYFUNCTION("""COMPUTED_VALUE"""),222.33)</f>
        <v>222.33</v>
      </c>
      <c r="K264" s="35"/>
      <c r="L264" s="175">
        <f>IFERROR(__xludf.DUMMYFUNCTION("""COMPUTED_VALUE"""),214.99)</f>
        <v>214.99</v>
      </c>
      <c r="M264" s="182" t="str">
        <f>IFERROR(__xludf.DUMMYFUNCTION("""COMPUTED_VALUE"""),"Equity Key Stats")</f>
        <v>Equity Key Stats</v>
      </c>
      <c r="N264" s="35"/>
      <c r="O264" s="35"/>
      <c r="P264" s="184">
        <f>IFERROR(__xludf.DUMMYFUNCTION("""COMPUTED_VALUE"""),0.0)</f>
        <v>0</v>
      </c>
      <c r="Q264" s="177"/>
      <c r="R264" s="178">
        <f>IFERROR(__xludf.DUMMYFUNCTION("""COMPUTED_VALUE"""),214.99)</f>
        <v>214.99</v>
      </c>
      <c r="S264" s="176">
        <f>IFERROR(__xludf.DUMMYFUNCTION("""COMPUTED_VALUE"""),0.0)</f>
        <v>0</v>
      </c>
      <c r="T264" s="95">
        <f>IFERROR(__xludf.DUMMYFUNCTION("""COMPUTED_VALUE"""),2.0)</f>
        <v>2</v>
      </c>
      <c r="U264" s="95" t="str">
        <f>IFERROR(__xludf.DUMMYFUNCTION("""COMPUTED_VALUE"""),"")</f>
        <v/>
      </c>
      <c r="V264" s="179" t="str">
        <f>IFERROR(__xludf.DUMMYFUNCTION("""COMPUTED_VALUE"""),"")</f>
        <v/>
      </c>
      <c r="W264" s="171" t="str">
        <f>IFERROR(__xludf.DUMMYFUNCTION("""COMPUTED_VALUE"""),"")</f>
        <v/>
      </c>
      <c r="X264" s="14" t="str">
        <f>IFERROR(__xludf.DUMMYFUNCTION("""COMPUTED_VALUE"""),"")</f>
        <v/>
      </c>
      <c r="Y264" s="14" t="str">
        <f>IFERROR(__xludf.DUMMYFUNCTION("""COMPUTED_VALUE"""),"")</f>
        <v/>
      </c>
      <c r="Z264" s="11" t="str">
        <f>IFERROR(__xludf.DUMMYFUNCTION("""COMPUTED_VALUE"""),"")</f>
        <v/>
      </c>
    </row>
    <row r="265">
      <c r="A265" s="35" t="str">
        <f>IFERROR(__xludf.DUMMYFUNCTION("""COMPUTED_VALUE"""),"")</f>
        <v/>
      </c>
      <c r="B265" s="35" t="str">
        <f>IFERROR(__xludf.DUMMYFUNCTION("""COMPUTED_VALUE"""),"38109")</f>
        <v>38109</v>
      </c>
      <c r="C265" s="172">
        <f>IFERROR(__xludf.DUMMYFUNCTION("""COMPUTED_VALUE"""),4.466400147E10)</f>
        <v>44664001470</v>
      </c>
      <c r="D265" s="135" t="str">
        <f>IFERROR(__xludf.DUMMYFUNCTION("""COMPUTED_VALUE"""),"AAPL")</f>
        <v>AAPL</v>
      </c>
      <c r="E265" s="173">
        <f>IFERROR(__xludf.DUMMYFUNCTION("""COMPUTED_VALUE"""),44664.0)</f>
        <v>44664</v>
      </c>
      <c r="F265" s="35" t="str">
        <f>IFERROR(__xludf.DUMMYFUNCTION("""COMPUTED_VALUE"""),"Stock")</f>
        <v>Stock</v>
      </c>
      <c r="G265" s="35" t="str">
        <f>IFERROR(__xludf.DUMMYFUNCTION("""COMPUTED_VALUE"""),"USD")</f>
        <v>USD</v>
      </c>
      <c r="H265" s="181">
        <f>IFERROR(__xludf.DUMMYFUNCTION("""COMPUTED_VALUE"""),10.0)</f>
        <v>10</v>
      </c>
      <c r="I265" s="174">
        <f>IFERROR(__xludf.DUMMYFUNCTION("""COMPUTED_VALUE"""),7.83915)</f>
        <v>7.83915</v>
      </c>
      <c r="J265" s="175">
        <f>IFERROR(__xludf.DUMMYFUNCTION("""COMPUTED_VALUE"""),170.4)</f>
        <v>170.4</v>
      </c>
      <c r="K265" s="35"/>
      <c r="L265" s="175">
        <f>IFERROR(__xludf.DUMMYFUNCTION("""COMPUTED_VALUE"""),170.4)</f>
        <v>170.4</v>
      </c>
      <c r="M265" s="182" t="str">
        <f>IFERROR(__xludf.DUMMYFUNCTION("""COMPUTED_VALUE"""),"Equity Key Stats")</f>
        <v>Equity Key Stats</v>
      </c>
      <c r="N265" s="35"/>
      <c r="O265" s="35"/>
      <c r="P265" s="184">
        <f>IFERROR(__xludf.DUMMYFUNCTION("""COMPUTED_VALUE"""),-13357.911600000001)</f>
        <v>-13357.9116</v>
      </c>
      <c r="Q265" s="177"/>
      <c r="R265" s="178">
        <f>IFERROR(__xludf.DUMMYFUNCTION("""COMPUTED_VALUE"""),170.4)</f>
        <v>170.4</v>
      </c>
      <c r="S265" s="176">
        <f>IFERROR(__xludf.DUMMYFUNCTION("""COMPUTED_VALUE"""),13357.911600000001)</f>
        <v>13357.9116</v>
      </c>
      <c r="T265" s="95">
        <f>IFERROR(__xludf.DUMMYFUNCTION("""COMPUTED_VALUE"""),1.0)</f>
        <v>1</v>
      </c>
      <c r="U265" s="35">
        <f>IFERROR(__xludf.DUMMYFUNCTION("""COMPUTED_VALUE"""),1.0)</f>
        <v>1</v>
      </c>
      <c r="V265" s="170">
        <f>IFERROR(__xludf.DUMMYFUNCTION("""COMPUTED_VALUE"""),0.0)</f>
        <v>0</v>
      </c>
      <c r="W265" s="171" t="str">
        <f>IFERROR(__xludf.DUMMYFUNCTION("""COMPUTED_VALUE"""),"")</f>
        <v/>
      </c>
      <c r="X265" s="14" t="str">
        <f>IFERROR(__xludf.DUMMYFUNCTION("""COMPUTED_VALUE"""),"")</f>
        <v/>
      </c>
      <c r="Y265" s="14" t="str">
        <f>IFERROR(__xludf.DUMMYFUNCTION("""COMPUTED_VALUE"""),"")</f>
        <v/>
      </c>
      <c r="Z265" s="11" t="str">
        <f>IFERROR(__xludf.DUMMYFUNCTION("""COMPUTED_VALUE"""),"")</f>
        <v/>
      </c>
    </row>
    <row r="266">
      <c r="A266" s="35" t="str">
        <f>IFERROR(__xludf.DUMMYFUNCTION("""COMPUTED_VALUE"""),"")</f>
        <v/>
      </c>
      <c r="B266" s="35" t="str">
        <f>IFERROR(__xludf.DUMMYFUNCTION("""COMPUTED_VALUE"""),"38109")</f>
        <v>38109</v>
      </c>
      <c r="C266" s="172">
        <f>IFERROR(__xludf.DUMMYFUNCTION("""COMPUTED_VALUE"""),4.4664001494E10)</f>
        <v>44664001494</v>
      </c>
      <c r="D266" s="135" t="str">
        <f>IFERROR(__xludf.DUMMYFUNCTION("""COMPUTED_VALUE"""),"AMZN")</f>
        <v>AMZN</v>
      </c>
      <c r="E266" s="173">
        <f>IFERROR(__xludf.DUMMYFUNCTION("""COMPUTED_VALUE"""),44664.0)</f>
        <v>44664</v>
      </c>
      <c r="F266" s="35" t="str">
        <f>IFERROR(__xludf.DUMMYFUNCTION("""COMPUTED_VALUE"""),"Stock")</f>
        <v>Stock</v>
      </c>
      <c r="G266" s="35" t="str">
        <f>IFERROR(__xludf.DUMMYFUNCTION("""COMPUTED_VALUE"""),"USD")</f>
        <v>USD</v>
      </c>
      <c r="H266" s="183">
        <f>IFERROR(__xludf.DUMMYFUNCTION("""COMPUTED_VALUE"""),10.0)</f>
        <v>10</v>
      </c>
      <c r="I266" s="174">
        <f>IFERROR(__xludf.DUMMYFUNCTION("""COMPUTED_VALUE"""),7.83915)</f>
        <v>7.83915</v>
      </c>
      <c r="J266" s="175">
        <f>IFERROR(__xludf.DUMMYFUNCTION("""COMPUTED_VALUE"""),3110.82)</f>
        <v>3110.82</v>
      </c>
      <c r="K266" s="35"/>
      <c r="L266" s="175">
        <f>IFERROR(__xludf.DUMMYFUNCTION("""COMPUTED_VALUE"""),3110.82)</f>
        <v>3110.82</v>
      </c>
      <c r="M266" s="182" t="str">
        <f>IFERROR(__xludf.DUMMYFUNCTION("""COMPUTED_VALUE"""),"Equity Key Stats")</f>
        <v>Equity Key Stats</v>
      </c>
      <c r="N266" s="35"/>
      <c r="O266" s="35"/>
      <c r="P266" s="176">
        <f>IFERROR(__xludf.DUMMYFUNCTION("""COMPUTED_VALUE"""),-243861.84603000004)</f>
        <v>-243861.846</v>
      </c>
      <c r="Q266" s="177"/>
      <c r="R266" s="178">
        <f>IFERROR(__xludf.DUMMYFUNCTION("""COMPUTED_VALUE"""),3110.82)</f>
        <v>3110.82</v>
      </c>
      <c r="S266" s="184">
        <f>IFERROR(__xludf.DUMMYFUNCTION("""COMPUTED_VALUE"""),243861.84603000004)</f>
        <v>243861.846</v>
      </c>
      <c r="T266" s="95">
        <f>IFERROR(__xludf.DUMMYFUNCTION("""COMPUTED_VALUE"""),2.0)</f>
        <v>2</v>
      </c>
      <c r="U266" s="95">
        <f>IFERROR(__xludf.DUMMYFUNCTION("""COMPUTED_VALUE"""),1.0)</f>
        <v>1</v>
      </c>
      <c r="V266" s="185">
        <f>IFERROR(__xludf.DUMMYFUNCTION("""COMPUTED_VALUE"""),0.0)</f>
        <v>0</v>
      </c>
      <c r="W266" s="55" t="str">
        <f>IFERROR(__xludf.DUMMYFUNCTION("""COMPUTED_VALUE"""),"")</f>
        <v/>
      </c>
      <c r="X266" s="181" t="str">
        <f>IFERROR(__xludf.DUMMYFUNCTION("""COMPUTED_VALUE"""),"")</f>
        <v/>
      </c>
      <c r="Y266" s="181" t="str">
        <f>IFERROR(__xludf.DUMMYFUNCTION("""COMPUTED_VALUE"""),"")</f>
        <v/>
      </c>
      <c r="Z266" s="189" t="str">
        <f>IFERROR(__xludf.DUMMYFUNCTION("""COMPUTED_VALUE"""),"")</f>
        <v/>
      </c>
    </row>
    <row r="267">
      <c r="A267" s="35" t="str">
        <f>IFERROR(__xludf.DUMMYFUNCTION("""COMPUTED_VALUE"""),"")</f>
        <v/>
      </c>
      <c r="B267" s="35" t="str">
        <f>IFERROR(__xludf.DUMMYFUNCTION("""COMPUTED_VALUE"""),"38109")</f>
        <v>38109</v>
      </c>
      <c r="C267" s="172">
        <f>IFERROR(__xludf.DUMMYFUNCTION("""COMPUTED_VALUE"""),4.4664001495E10)</f>
        <v>44664001495</v>
      </c>
      <c r="D267" s="135" t="str">
        <f>IFERROR(__xludf.DUMMYFUNCTION("""COMPUTED_VALUE"""),"FB")</f>
        <v>FB</v>
      </c>
      <c r="E267" s="173">
        <f>IFERROR(__xludf.DUMMYFUNCTION("""COMPUTED_VALUE"""),44664.0)</f>
        <v>44664</v>
      </c>
      <c r="F267" s="35" t="str">
        <f>IFERROR(__xludf.DUMMYFUNCTION("""COMPUTED_VALUE"""),"Stock")</f>
        <v>Stock</v>
      </c>
      <c r="G267" s="35" t="str">
        <f>IFERROR(__xludf.DUMMYFUNCTION("""COMPUTED_VALUE"""),"USD")</f>
        <v>USD</v>
      </c>
      <c r="H267" s="14">
        <f>IFERROR(__xludf.DUMMYFUNCTION("""COMPUTED_VALUE"""),100.0)</f>
        <v>100</v>
      </c>
      <c r="I267" s="174">
        <f>IFERROR(__xludf.DUMMYFUNCTION("""COMPUTED_VALUE"""),7.83915)</f>
        <v>7.83915</v>
      </c>
      <c r="J267" s="175">
        <f>IFERROR(__xludf.DUMMYFUNCTION("""COMPUTED_VALUE"""),214.99)</f>
        <v>214.99</v>
      </c>
      <c r="K267" s="35"/>
      <c r="L267" s="175">
        <f>IFERROR(__xludf.DUMMYFUNCTION("""COMPUTED_VALUE"""),214.99)</f>
        <v>214.99</v>
      </c>
      <c r="M267" s="187" t="str">
        <f>IFERROR(__xludf.DUMMYFUNCTION("""COMPUTED_VALUE"""),"Equity Key Stats")</f>
        <v>Equity Key Stats</v>
      </c>
      <c r="N267" s="35"/>
      <c r="O267" s="35"/>
      <c r="P267" s="176">
        <f>IFERROR(__xludf.DUMMYFUNCTION("""COMPUTED_VALUE"""),-168533.88585)</f>
        <v>-168533.8859</v>
      </c>
      <c r="Q267" s="177"/>
      <c r="R267" s="178">
        <f>IFERROR(__xludf.DUMMYFUNCTION("""COMPUTED_VALUE"""),214.99)</f>
        <v>214.99</v>
      </c>
      <c r="S267" s="151">
        <f>IFERROR(__xludf.DUMMYFUNCTION("""COMPUTED_VALUE"""),168533.88585)</f>
        <v>168533.8859</v>
      </c>
      <c r="T267" s="95">
        <f>IFERROR(__xludf.DUMMYFUNCTION("""COMPUTED_VALUE"""),2.0)</f>
        <v>2</v>
      </c>
      <c r="U267" s="95">
        <f>IFERROR(__xludf.DUMMYFUNCTION("""COMPUTED_VALUE"""),1.0)</f>
        <v>1</v>
      </c>
      <c r="V267" s="179">
        <f>IFERROR(__xludf.DUMMYFUNCTION("""COMPUTED_VALUE"""),0.0)</f>
        <v>0</v>
      </c>
      <c r="W267" s="55" t="str">
        <f>IFERROR(__xludf.DUMMYFUNCTION("""COMPUTED_VALUE"""),"")</f>
        <v/>
      </c>
      <c r="X267" s="181" t="str">
        <f>IFERROR(__xludf.DUMMYFUNCTION("""COMPUTED_VALUE"""),"")</f>
        <v/>
      </c>
      <c r="Y267" s="181" t="str">
        <f>IFERROR(__xludf.DUMMYFUNCTION("""COMPUTED_VALUE"""),"")</f>
        <v/>
      </c>
      <c r="Z267" s="186" t="str">
        <f>IFERROR(__xludf.DUMMYFUNCTION("""COMPUTED_VALUE"""),"")</f>
        <v/>
      </c>
    </row>
    <row r="268">
      <c r="A268" s="35" t="str">
        <f>IFERROR(__xludf.DUMMYFUNCTION("""COMPUTED_VALUE"""),"38109")</f>
        <v>38109</v>
      </c>
      <c r="B268" s="35" t="str">
        <f>IFERROR(__xludf.DUMMYFUNCTION("""COMPUTED_VALUE"""),"38109")</f>
        <v>38109</v>
      </c>
      <c r="C268" s="172">
        <f>IFERROR(__xludf.DUMMYFUNCTION("""COMPUTED_VALUE"""),4.4664001496E10)</f>
        <v>44664001496</v>
      </c>
      <c r="D268" s="135" t="str">
        <f>IFERROR(__xludf.DUMMYFUNCTION("""COMPUTED_VALUE"""),"TSLA")</f>
        <v>TSLA</v>
      </c>
      <c r="E268" s="173">
        <f>IFERROR(__xludf.DUMMYFUNCTION("""COMPUTED_VALUE"""),44664.0)</f>
        <v>44664</v>
      </c>
      <c r="F268" s="35" t="str">
        <f>IFERROR(__xludf.DUMMYFUNCTION("""COMPUTED_VALUE"""),"Stock")</f>
        <v>Stock</v>
      </c>
      <c r="G268" s="35" t="str">
        <f>IFERROR(__xludf.DUMMYFUNCTION("""COMPUTED_VALUE"""),"USD")</f>
        <v>USD</v>
      </c>
      <c r="H268" s="14">
        <f>IFERROR(__xludf.DUMMYFUNCTION("""COMPUTED_VALUE"""),6.0)</f>
        <v>6</v>
      </c>
      <c r="I268" s="174">
        <f>IFERROR(__xludf.DUMMYFUNCTION("""COMPUTED_VALUE"""),7.83915)</f>
        <v>7.83915</v>
      </c>
      <c r="J268" s="175">
        <f>IFERROR(__xludf.DUMMYFUNCTION("""COMPUTED_VALUE"""),1022.37)</f>
        <v>1022.37</v>
      </c>
      <c r="K268" s="35"/>
      <c r="L268" s="175">
        <f>IFERROR(__xludf.DUMMYFUNCTION("""COMPUTED_VALUE"""),1022.37)</f>
        <v>1022.37</v>
      </c>
      <c r="M268" s="187" t="str">
        <f>IFERROR(__xludf.DUMMYFUNCTION("""COMPUTED_VALUE"""),"Equity Key Stats")</f>
        <v>Equity Key Stats</v>
      </c>
      <c r="N268" s="35"/>
      <c r="O268" s="35"/>
      <c r="P268" s="176">
        <f>IFERROR(__xludf.DUMMYFUNCTION("""COMPUTED_VALUE"""),-48087.070713)</f>
        <v>-48087.07071</v>
      </c>
      <c r="Q268" s="177"/>
      <c r="R268" s="178">
        <f>IFERROR(__xludf.DUMMYFUNCTION("""COMPUTED_VALUE"""),1022.37)</f>
        <v>1022.37</v>
      </c>
      <c r="S268" s="151">
        <f>IFERROR(__xludf.DUMMYFUNCTION("""COMPUTED_VALUE"""),48087.070713)</f>
        <v>48087.07071</v>
      </c>
      <c r="T268" s="95">
        <f>IFERROR(__xludf.DUMMYFUNCTION("""COMPUTED_VALUE"""),1.0)</f>
        <v>1</v>
      </c>
      <c r="U268" s="95">
        <f>IFERROR(__xludf.DUMMYFUNCTION("""COMPUTED_VALUE"""),1.0)</f>
        <v>1</v>
      </c>
      <c r="V268" s="179">
        <f>IFERROR(__xludf.DUMMYFUNCTION("""COMPUTED_VALUE"""),0.0)</f>
        <v>0</v>
      </c>
      <c r="W268" s="171">
        <f>IFERROR(__xludf.DUMMYFUNCTION("""COMPUTED_VALUE"""),500000.0)</f>
        <v>500000</v>
      </c>
      <c r="X268" s="14">
        <f>IFERROR(__xludf.DUMMYFUNCTION("""COMPUTED_VALUE"""),26159.285807)</f>
        <v>26159.28581</v>
      </c>
      <c r="Y268" s="14">
        <f>IFERROR(__xludf.DUMMYFUNCTION("""COMPUTED_VALUE"""),0.0)</f>
        <v>0</v>
      </c>
      <c r="Z268" s="11">
        <f>IFERROR(__xludf.DUMMYFUNCTION("""COMPUTED_VALUE"""),0.0)</f>
        <v>0</v>
      </c>
    </row>
    <row r="269">
      <c r="A269" s="35" t="str">
        <f>IFERROR(__xludf.DUMMYFUNCTION("""COMPUTED_VALUE"""),"")</f>
        <v/>
      </c>
      <c r="B269" s="35" t="str">
        <f>IFERROR(__xludf.DUMMYFUNCTION("""COMPUTED_VALUE"""),"38209")</f>
        <v>38209</v>
      </c>
      <c r="C269" s="172">
        <f>IFERROR(__xludf.DUMMYFUNCTION("""COMPUTED_VALUE"""),4.4597000044E10)</f>
        <v>44597000044</v>
      </c>
      <c r="D269" s="191" t="str">
        <f>IFERROR(__xludf.DUMMYFUNCTION("""COMPUTED_VALUE"""),"Cash")</f>
        <v>Cash</v>
      </c>
      <c r="E269" s="173">
        <f>IFERROR(__xludf.DUMMYFUNCTION("""COMPUTED_VALUE"""),44597.0)</f>
        <v>44597</v>
      </c>
      <c r="F269" s="35" t="str">
        <f>IFERROR(__xludf.DUMMYFUNCTION("""COMPUTED_VALUE"""),"Cash")</f>
        <v>Cash</v>
      </c>
      <c r="G269" s="35" t="str">
        <f>IFERROR(__xludf.DUMMYFUNCTION("""COMPUTED_VALUE"""),"HKD")</f>
        <v>HKD</v>
      </c>
      <c r="H269" s="181" t="str">
        <f>IFERROR(__xludf.DUMMYFUNCTION("""COMPUTED_VALUE"""),"")</f>
        <v/>
      </c>
      <c r="I269" s="174">
        <f>IFERROR(__xludf.DUMMYFUNCTION("""COMPUTED_VALUE"""),1.0)</f>
        <v>1</v>
      </c>
      <c r="J269" s="175">
        <f>IFERROR(__xludf.DUMMYFUNCTION("""COMPUTED_VALUE"""),1.0)</f>
        <v>1</v>
      </c>
      <c r="K269" s="35"/>
      <c r="L269" s="175">
        <f>IFERROR(__xludf.DUMMYFUNCTION("""COMPUTED_VALUE"""),1.0)</f>
        <v>1</v>
      </c>
      <c r="M269" s="182" t="str">
        <f>IFERROR(__xludf.DUMMYFUNCTION("""COMPUTED_VALUE"""),"")</f>
        <v/>
      </c>
      <c r="N269" s="35"/>
      <c r="O269" s="35"/>
      <c r="P269" s="184">
        <f>IFERROR(__xludf.DUMMYFUNCTION("""COMPUTED_VALUE"""),500000.0)</f>
        <v>500000</v>
      </c>
      <c r="Q269" s="177"/>
      <c r="R269" s="178">
        <f>IFERROR(__xludf.DUMMYFUNCTION("""COMPUTED_VALUE"""),1.0)</f>
        <v>1</v>
      </c>
      <c r="S269" s="176" t="str">
        <f>IFERROR(__xludf.DUMMYFUNCTION("""COMPUTED_VALUE"""),"")</f>
        <v/>
      </c>
      <c r="T269" s="95">
        <f>IFERROR(__xludf.DUMMYFUNCTION("""COMPUTED_VALUE"""),1.0)</f>
        <v>1</v>
      </c>
      <c r="U269" s="35">
        <f>IFERROR(__xludf.DUMMYFUNCTION("""COMPUTED_VALUE"""),1.0)</f>
        <v>1</v>
      </c>
      <c r="V269" s="170">
        <f>IFERROR(__xludf.DUMMYFUNCTION("""COMPUTED_VALUE"""),500000.0)</f>
        <v>500000</v>
      </c>
      <c r="W269" s="171" t="str">
        <f>IFERROR(__xludf.DUMMYFUNCTION("""COMPUTED_VALUE"""),"")</f>
        <v/>
      </c>
      <c r="X269" s="14" t="str">
        <f>IFERROR(__xludf.DUMMYFUNCTION("""COMPUTED_VALUE"""),"")</f>
        <v/>
      </c>
      <c r="Y269" s="14" t="str">
        <f>IFERROR(__xludf.DUMMYFUNCTION("""COMPUTED_VALUE"""),"")</f>
        <v/>
      </c>
      <c r="Z269" s="11" t="str">
        <f>IFERROR(__xludf.DUMMYFUNCTION("""COMPUTED_VALUE"""),"")</f>
        <v/>
      </c>
    </row>
    <row r="270">
      <c r="A270" s="35" t="str">
        <f>IFERROR(__xludf.DUMMYFUNCTION("""COMPUTED_VALUE"""),"")</f>
        <v/>
      </c>
      <c r="B270" s="35" t="str">
        <f>IFERROR(__xludf.DUMMYFUNCTION("""COMPUTED_VALUE"""),"38209")</f>
        <v>38209</v>
      </c>
      <c r="C270" s="172">
        <f>IFERROR(__xludf.DUMMYFUNCTION("""COMPUTED_VALUE"""),4.4623000416E10)</f>
        <v>44623000416</v>
      </c>
      <c r="D270" s="192" t="str">
        <f>IFERROR(__xludf.DUMMYFUNCTION("""COMPUTED_VALUE"""),"1810.HK")</f>
        <v>1810.HK</v>
      </c>
      <c r="E270" s="173">
        <f>IFERROR(__xludf.DUMMYFUNCTION("""COMPUTED_VALUE"""),44623.0)</f>
        <v>44623</v>
      </c>
      <c r="F270" s="35" t="str">
        <f>IFERROR(__xludf.DUMMYFUNCTION("""COMPUTED_VALUE"""),"Stock")</f>
        <v>Stock</v>
      </c>
      <c r="G270" s="35" t="str">
        <f>IFERROR(__xludf.DUMMYFUNCTION("""COMPUTED_VALUE"""),"HKD")</f>
        <v>HKD</v>
      </c>
      <c r="H270" s="181">
        <f>IFERROR(__xludf.DUMMYFUNCTION("""COMPUTED_VALUE"""),0.0)</f>
        <v>0</v>
      </c>
      <c r="I270" s="174">
        <f>IFERROR(__xludf.DUMMYFUNCTION("""COMPUTED_VALUE"""),1.0)</f>
        <v>1</v>
      </c>
      <c r="J270" s="175">
        <f>IFERROR(__xludf.DUMMYFUNCTION("""COMPUTED_VALUE"""),0.0)</f>
        <v>0</v>
      </c>
      <c r="K270" s="35"/>
      <c r="L270" s="175">
        <f>IFERROR(__xludf.DUMMYFUNCTION("""COMPUTED_VALUE"""),12.36)</f>
        <v>12.36</v>
      </c>
      <c r="M270" s="182" t="str">
        <f>IFERROR(__xludf.DUMMYFUNCTION("""COMPUTED_VALUE"""),"Equity Key Stats")</f>
        <v>Equity Key Stats</v>
      </c>
      <c r="N270" s="35"/>
      <c r="O270" s="35"/>
      <c r="P270" s="176">
        <f>IFERROR(__xludf.DUMMYFUNCTION("""COMPUTED_VALUE"""),0.0)</f>
        <v>0</v>
      </c>
      <c r="Q270" s="177"/>
      <c r="R270" s="178">
        <f>IFERROR(__xludf.DUMMYFUNCTION("""COMPUTED_VALUE"""),12.36)</f>
        <v>12.36</v>
      </c>
      <c r="S270" s="176">
        <f>IFERROR(__xludf.DUMMYFUNCTION("""COMPUTED_VALUE"""),0.0)</f>
        <v>0</v>
      </c>
      <c r="T270" s="95">
        <f>IFERROR(__xludf.DUMMYFUNCTION("""COMPUTED_VALUE"""),6.0)</f>
        <v>6</v>
      </c>
      <c r="U270" s="95" t="str">
        <f>IFERROR(__xludf.DUMMYFUNCTION("""COMPUTED_VALUE"""),"")</f>
        <v/>
      </c>
      <c r="V270" s="179" t="str">
        <f>IFERROR(__xludf.DUMMYFUNCTION("""COMPUTED_VALUE"""),"")</f>
        <v/>
      </c>
      <c r="W270" s="55" t="str">
        <f>IFERROR(__xludf.DUMMYFUNCTION("""COMPUTED_VALUE"""),"")</f>
        <v/>
      </c>
      <c r="X270" s="181" t="str">
        <f>IFERROR(__xludf.DUMMYFUNCTION("""COMPUTED_VALUE"""),"")</f>
        <v/>
      </c>
      <c r="Y270" s="181" t="str">
        <f>IFERROR(__xludf.DUMMYFUNCTION("""COMPUTED_VALUE"""),"")</f>
        <v/>
      </c>
      <c r="Z270" s="186" t="str">
        <f>IFERROR(__xludf.DUMMYFUNCTION("""COMPUTED_VALUE"""),"")</f>
        <v/>
      </c>
    </row>
    <row r="271">
      <c r="A271" s="35" t="str">
        <f>IFERROR(__xludf.DUMMYFUNCTION("""COMPUTED_VALUE"""),"")</f>
        <v/>
      </c>
      <c r="B271" s="35" t="str">
        <f>IFERROR(__xludf.DUMMYFUNCTION("""COMPUTED_VALUE"""),"38209")</f>
        <v>38209</v>
      </c>
      <c r="C271" s="172">
        <f>IFERROR(__xludf.DUMMYFUNCTION("""COMPUTED_VALUE"""),4.4624000425E10)</f>
        <v>44624000425</v>
      </c>
      <c r="D271" s="188" t="str">
        <f>IFERROR(__xludf.DUMMYFUNCTION("""COMPUTED_VALUE"""),"9988.HK")</f>
        <v>9988.HK</v>
      </c>
      <c r="E271" s="173">
        <f>IFERROR(__xludf.DUMMYFUNCTION("""COMPUTED_VALUE"""),44624.0)</f>
        <v>44624</v>
      </c>
      <c r="F271" s="35" t="str">
        <f>IFERROR(__xludf.DUMMYFUNCTION("""COMPUTED_VALUE"""),"Stock")</f>
        <v>Stock</v>
      </c>
      <c r="G271" s="35" t="str">
        <f>IFERROR(__xludf.DUMMYFUNCTION("""COMPUTED_VALUE"""),"HKD")</f>
        <v>HKD</v>
      </c>
      <c r="H271" s="14">
        <f>IFERROR(__xludf.DUMMYFUNCTION("""COMPUTED_VALUE"""),200.0)</f>
        <v>200</v>
      </c>
      <c r="I271" s="174">
        <f>IFERROR(__xludf.DUMMYFUNCTION("""COMPUTED_VALUE"""),1.0)</f>
        <v>1</v>
      </c>
      <c r="J271" s="175">
        <f>IFERROR(__xludf.DUMMYFUNCTION("""COMPUTED_VALUE"""),99.0)</f>
        <v>99</v>
      </c>
      <c r="K271" s="35"/>
      <c r="L271" s="175">
        <f>IFERROR(__xludf.DUMMYFUNCTION("""COMPUTED_VALUE"""),98.5)</f>
        <v>98.5</v>
      </c>
      <c r="M271" s="187" t="str">
        <f>IFERROR(__xludf.DUMMYFUNCTION("""COMPUTED_VALUE"""),"Equity Key Stats")</f>
        <v>Equity Key Stats</v>
      </c>
      <c r="N271" s="35"/>
      <c r="O271" s="35"/>
      <c r="P271" s="176">
        <f>IFERROR(__xludf.DUMMYFUNCTION("""COMPUTED_VALUE"""),-19800.0)</f>
        <v>-19800</v>
      </c>
      <c r="Q271" s="177"/>
      <c r="R271" s="178">
        <f>IFERROR(__xludf.DUMMYFUNCTION("""COMPUTED_VALUE"""),98.5)</f>
        <v>98.5</v>
      </c>
      <c r="S271" s="151">
        <f>IFERROR(__xludf.DUMMYFUNCTION("""COMPUTED_VALUE"""),19700.0)</f>
        <v>19700</v>
      </c>
      <c r="T271" s="95">
        <f>IFERROR(__xludf.DUMMYFUNCTION("""COMPUTED_VALUE"""),7.0)</f>
        <v>7</v>
      </c>
      <c r="U271" s="95" t="str">
        <f>IFERROR(__xludf.DUMMYFUNCTION("""COMPUTED_VALUE"""),"")</f>
        <v/>
      </c>
      <c r="V271" s="179" t="str">
        <f>IFERROR(__xludf.DUMMYFUNCTION("""COMPUTED_VALUE"""),"")</f>
        <v/>
      </c>
      <c r="W271" s="171" t="str">
        <f>IFERROR(__xludf.DUMMYFUNCTION("""COMPUTED_VALUE"""),"")</f>
        <v/>
      </c>
      <c r="X271" s="14" t="str">
        <f>IFERROR(__xludf.DUMMYFUNCTION("""COMPUTED_VALUE"""),"")</f>
        <v/>
      </c>
      <c r="Y271" s="14" t="str">
        <f>IFERROR(__xludf.DUMMYFUNCTION("""COMPUTED_VALUE"""),"")</f>
        <v/>
      </c>
      <c r="Z271" s="11" t="str">
        <f>IFERROR(__xludf.DUMMYFUNCTION("""COMPUTED_VALUE"""),"")</f>
        <v/>
      </c>
    </row>
    <row r="272">
      <c r="A272" s="35" t="str">
        <f>IFERROR(__xludf.DUMMYFUNCTION("""COMPUTED_VALUE"""),"")</f>
        <v/>
      </c>
      <c r="B272" s="35" t="str">
        <f>IFERROR(__xludf.DUMMYFUNCTION("""COMPUTED_VALUE"""),"38209")</f>
        <v>38209</v>
      </c>
      <c r="C272" s="172">
        <f>IFERROR(__xludf.DUMMYFUNCTION("""COMPUTED_VALUE"""),4.4624000426E10)</f>
        <v>44624000426</v>
      </c>
      <c r="D272" s="188" t="str">
        <f>IFERROR(__xludf.DUMMYFUNCTION("""COMPUTED_VALUE"""),"1024.HK")</f>
        <v>1024.HK</v>
      </c>
      <c r="E272" s="173">
        <f>IFERROR(__xludf.DUMMYFUNCTION("""COMPUTED_VALUE"""),44624.0)</f>
        <v>44624</v>
      </c>
      <c r="F272" s="35" t="str">
        <f>IFERROR(__xludf.DUMMYFUNCTION("""COMPUTED_VALUE"""),"Stock")</f>
        <v>Stock</v>
      </c>
      <c r="G272" s="35" t="str">
        <f>IFERROR(__xludf.DUMMYFUNCTION("""COMPUTED_VALUE"""),"HKD")</f>
        <v>HKD</v>
      </c>
      <c r="H272" s="181">
        <f>IFERROR(__xludf.DUMMYFUNCTION("""COMPUTED_VALUE"""),200.0)</f>
        <v>200</v>
      </c>
      <c r="I272" s="174">
        <f>IFERROR(__xludf.DUMMYFUNCTION("""COMPUTED_VALUE"""),1.0)</f>
        <v>1</v>
      </c>
      <c r="J272" s="175">
        <f>IFERROR(__xludf.DUMMYFUNCTION("""COMPUTED_VALUE"""),76.65)</f>
        <v>76.65</v>
      </c>
      <c r="K272" s="35"/>
      <c r="L272" s="175">
        <f>IFERROR(__xludf.DUMMYFUNCTION("""COMPUTED_VALUE"""),64.0)</f>
        <v>64</v>
      </c>
      <c r="M272" s="182" t="str">
        <f>IFERROR(__xludf.DUMMYFUNCTION("""COMPUTED_VALUE"""),"Equity Key Stats")</f>
        <v>Equity Key Stats</v>
      </c>
      <c r="N272" s="35"/>
      <c r="O272" s="35"/>
      <c r="P272" s="184">
        <f>IFERROR(__xludf.DUMMYFUNCTION("""COMPUTED_VALUE"""),-15330.000000000002)</f>
        <v>-15330</v>
      </c>
      <c r="Q272" s="177"/>
      <c r="R272" s="178">
        <f>IFERROR(__xludf.DUMMYFUNCTION("""COMPUTED_VALUE"""),64.0)</f>
        <v>64</v>
      </c>
      <c r="S272" s="176">
        <f>IFERROR(__xludf.DUMMYFUNCTION("""COMPUTED_VALUE"""),12800.0)</f>
        <v>12800</v>
      </c>
      <c r="T272" s="95">
        <f>IFERROR(__xludf.DUMMYFUNCTION("""COMPUTED_VALUE"""),9.0)</f>
        <v>9</v>
      </c>
      <c r="U272" s="95" t="str">
        <f>IFERROR(__xludf.DUMMYFUNCTION("""COMPUTED_VALUE"""),"")</f>
        <v/>
      </c>
      <c r="V272" s="185" t="str">
        <f>IFERROR(__xludf.DUMMYFUNCTION("""COMPUTED_VALUE"""),"")</f>
        <v/>
      </c>
      <c r="W272" s="171" t="str">
        <f>IFERROR(__xludf.DUMMYFUNCTION("""COMPUTED_VALUE"""),"")</f>
        <v/>
      </c>
      <c r="X272" s="14" t="str">
        <f>IFERROR(__xludf.DUMMYFUNCTION("""COMPUTED_VALUE"""),"")</f>
        <v/>
      </c>
      <c r="Y272" s="14" t="str">
        <f>IFERROR(__xludf.DUMMYFUNCTION("""COMPUTED_VALUE"""),"")</f>
        <v/>
      </c>
      <c r="Z272" s="11" t="str">
        <f>IFERROR(__xludf.DUMMYFUNCTION("""COMPUTED_VALUE"""),"")</f>
        <v/>
      </c>
    </row>
    <row r="273">
      <c r="A273" s="35" t="str">
        <f>IFERROR(__xludf.DUMMYFUNCTION("""COMPUTED_VALUE"""),"")</f>
        <v/>
      </c>
      <c r="B273" s="35" t="str">
        <f>IFERROR(__xludf.DUMMYFUNCTION("""COMPUTED_VALUE"""),"38209")</f>
        <v>38209</v>
      </c>
      <c r="C273" s="172">
        <f>IFERROR(__xludf.DUMMYFUNCTION("""COMPUTED_VALUE"""),4.4624000427E10)</f>
        <v>44624000427</v>
      </c>
      <c r="D273" s="188" t="str">
        <f>IFERROR(__xludf.DUMMYFUNCTION("""COMPUTED_VALUE"""),"1810.HK")</f>
        <v>1810.HK</v>
      </c>
      <c r="E273" s="173">
        <f>IFERROR(__xludf.DUMMYFUNCTION("""COMPUTED_VALUE"""),44624.0)</f>
        <v>44624</v>
      </c>
      <c r="F273" s="35" t="str">
        <f>IFERROR(__xludf.DUMMYFUNCTION("""COMPUTED_VALUE"""),"Stock")</f>
        <v>Stock</v>
      </c>
      <c r="G273" s="35" t="str">
        <f>IFERROR(__xludf.DUMMYFUNCTION("""COMPUTED_VALUE"""),"HKD")</f>
        <v>HKD</v>
      </c>
      <c r="H273" s="181">
        <f>IFERROR(__xludf.DUMMYFUNCTION("""COMPUTED_VALUE"""),1000.0)</f>
        <v>1000</v>
      </c>
      <c r="I273" s="174">
        <f>IFERROR(__xludf.DUMMYFUNCTION("""COMPUTED_VALUE"""),1.0)</f>
        <v>1</v>
      </c>
      <c r="J273" s="175">
        <f>IFERROR(__xludf.DUMMYFUNCTION("""COMPUTED_VALUE"""),13.96)</f>
        <v>13.96</v>
      </c>
      <c r="K273" s="35"/>
      <c r="L273" s="175">
        <f>IFERROR(__xludf.DUMMYFUNCTION("""COMPUTED_VALUE"""),12.36)</f>
        <v>12.36</v>
      </c>
      <c r="M273" s="182" t="str">
        <f>IFERROR(__xludf.DUMMYFUNCTION("""COMPUTED_VALUE"""),"Equity Key Stats")</f>
        <v>Equity Key Stats</v>
      </c>
      <c r="N273" s="35"/>
      <c r="O273" s="35"/>
      <c r="P273" s="184">
        <f>IFERROR(__xludf.DUMMYFUNCTION("""COMPUTED_VALUE"""),-13960.0)</f>
        <v>-13960</v>
      </c>
      <c r="Q273" s="177"/>
      <c r="R273" s="178">
        <f>IFERROR(__xludf.DUMMYFUNCTION("""COMPUTED_VALUE"""),12.36)</f>
        <v>12.36</v>
      </c>
      <c r="S273" s="176">
        <f>IFERROR(__xludf.DUMMYFUNCTION("""COMPUTED_VALUE"""),12360.0)</f>
        <v>12360</v>
      </c>
      <c r="T273" s="95">
        <f>IFERROR(__xludf.DUMMYFUNCTION("""COMPUTED_VALUE"""),6.0)</f>
        <v>6</v>
      </c>
      <c r="U273" s="95" t="str">
        <f>IFERROR(__xludf.DUMMYFUNCTION("""COMPUTED_VALUE"""),"")</f>
        <v/>
      </c>
      <c r="V273" s="185" t="str">
        <f>IFERROR(__xludf.DUMMYFUNCTION("""COMPUTED_VALUE"""),"")</f>
        <v/>
      </c>
      <c r="W273" s="55" t="str">
        <f>IFERROR(__xludf.DUMMYFUNCTION("""COMPUTED_VALUE"""),"")</f>
        <v/>
      </c>
      <c r="X273" s="181" t="str">
        <f>IFERROR(__xludf.DUMMYFUNCTION("""COMPUTED_VALUE"""),"")</f>
        <v/>
      </c>
      <c r="Y273" s="181" t="str">
        <f>IFERROR(__xludf.DUMMYFUNCTION("""COMPUTED_VALUE"""),"")</f>
        <v/>
      </c>
      <c r="Z273" s="189" t="str">
        <f>IFERROR(__xludf.DUMMYFUNCTION("""COMPUTED_VALUE"""),"")</f>
        <v/>
      </c>
    </row>
    <row r="274">
      <c r="A274" s="35" t="str">
        <f>IFERROR(__xludf.DUMMYFUNCTION("""COMPUTED_VALUE"""),"")</f>
        <v/>
      </c>
      <c r="B274" s="35" t="str">
        <f>IFERROR(__xludf.DUMMYFUNCTION("""COMPUTED_VALUE"""),"38209")</f>
        <v>38209</v>
      </c>
      <c r="C274" s="172">
        <f>IFERROR(__xludf.DUMMYFUNCTION("""COMPUTED_VALUE"""),4.4627000455E10)</f>
        <v>44627000455</v>
      </c>
      <c r="D274" s="188" t="str">
        <f>IFERROR(__xludf.DUMMYFUNCTION("""COMPUTED_VALUE"""),"9988.Hk")</f>
        <v>9988.Hk</v>
      </c>
      <c r="E274" s="173">
        <f>IFERROR(__xludf.DUMMYFUNCTION("""COMPUTED_VALUE"""),44627.0)</f>
        <v>44627</v>
      </c>
      <c r="F274" s="35" t="str">
        <f>IFERROR(__xludf.DUMMYFUNCTION("""COMPUTED_VALUE"""),"Stock")</f>
        <v>Stock</v>
      </c>
      <c r="G274" s="35" t="str">
        <f>IFERROR(__xludf.DUMMYFUNCTION("""COMPUTED_VALUE"""),"HKD")</f>
        <v>HKD</v>
      </c>
      <c r="H274" s="14">
        <f>IFERROR(__xludf.DUMMYFUNCTION("""COMPUTED_VALUE"""),100.0)</f>
        <v>100</v>
      </c>
      <c r="I274" s="174">
        <f>IFERROR(__xludf.DUMMYFUNCTION("""COMPUTED_VALUE"""),1.0)</f>
        <v>1</v>
      </c>
      <c r="J274" s="175">
        <f>IFERROR(__xludf.DUMMYFUNCTION("""COMPUTED_VALUE"""),96.0)</f>
        <v>96</v>
      </c>
      <c r="K274" s="35"/>
      <c r="L274" s="175">
        <f>IFERROR(__xludf.DUMMYFUNCTION("""COMPUTED_VALUE"""),98.5)</f>
        <v>98.5</v>
      </c>
      <c r="M274" s="187" t="str">
        <f>IFERROR(__xludf.DUMMYFUNCTION("""COMPUTED_VALUE"""),"Equity Key Stats")</f>
        <v>Equity Key Stats</v>
      </c>
      <c r="N274" s="35"/>
      <c r="O274" s="35"/>
      <c r="P274" s="176">
        <f>IFERROR(__xludf.DUMMYFUNCTION("""COMPUTED_VALUE"""),-9600.0)</f>
        <v>-9600</v>
      </c>
      <c r="Q274" s="177"/>
      <c r="R274" s="178">
        <f>IFERROR(__xludf.DUMMYFUNCTION("""COMPUTED_VALUE"""),98.5)</f>
        <v>98.5</v>
      </c>
      <c r="S274" s="151">
        <f>IFERROR(__xludf.DUMMYFUNCTION("""COMPUTED_VALUE"""),9850.0)</f>
        <v>9850</v>
      </c>
      <c r="T274" s="95">
        <f>IFERROR(__xludf.DUMMYFUNCTION("""COMPUTED_VALUE"""),7.0)</f>
        <v>7</v>
      </c>
      <c r="U274" s="95" t="str">
        <f>IFERROR(__xludf.DUMMYFUNCTION("""COMPUTED_VALUE"""),"")</f>
        <v/>
      </c>
      <c r="V274" s="179" t="str">
        <f>IFERROR(__xludf.DUMMYFUNCTION("""COMPUTED_VALUE"""),"")</f>
        <v/>
      </c>
      <c r="W274" s="171" t="str">
        <f>IFERROR(__xludf.DUMMYFUNCTION("""COMPUTED_VALUE"""),"")</f>
        <v/>
      </c>
      <c r="X274" s="14" t="str">
        <f>IFERROR(__xludf.DUMMYFUNCTION("""COMPUTED_VALUE"""),"")</f>
        <v/>
      </c>
      <c r="Y274" s="14" t="str">
        <f>IFERROR(__xludf.DUMMYFUNCTION("""COMPUTED_VALUE"""),"")</f>
        <v/>
      </c>
      <c r="Z274" s="11" t="str">
        <f>IFERROR(__xludf.DUMMYFUNCTION("""COMPUTED_VALUE"""),"")</f>
        <v/>
      </c>
    </row>
    <row r="275">
      <c r="A275" s="35" t="str">
        <f>IFERROR(__xludf.DUMMYFUNCTION("""COMPUTED_VALUE"""),"")</f>
        <v/>
      </c>
      <c r="B275" s="35" t="str">
        <f>IFERROR(__xludf.DUMMYFUNCTION("""COMPUTED_VALUE"""),"38209")</f>
        <v>38209</v>
      </c>
      <c r="C275" s="172">
        <f>IFERROR(__xludf.DUMMYFUNCTION("""COMPUTED_VALUE"""),4.4627000456E10)</f>
        <v>44627000456</v>
      </c>
      <c r="D275" s="192" t="str">
        <f>IFERROR(__xludf.DUMMYFUNCTION("""COMPUTED_VALUE"""),"1024.HK")</f>
        <v>1024.HK</v>
      </c>
      <c r="E275" s="173">
        <f>IFERROR(__xludf.DUMMYFUNCTION("""COMPUTED_VALUE"""),44627.0)</f>
        <v>44627</v>
      </c>
      <c r="F275" s="35" t="str">
        <f>IFERROR(__xludf.DUMMYFUNCTION("""COMPUTED_VALUE"""),"Stock")</f>
        <v>Stock</v>
      </c>
      <c r="G275" s="35" t="str">
        <f>IFERROR(__xludf.DUMMYFUNCTION("""COMPUTED_VALUE"""),"HKD")</f>
        <v>HKD</v>
      </c>
      <c r="H275" s="181">
        <f>IFERROR(__xludf.DUMMYFUNCTION("""COMPUTED_VALUE"""),0.0)</f>
        <v>0</v>
      </c>
      <c r="I275" s="174">
        <f>IFERROR(__xludf.DUMMYFUNCTION("""COMPUTED_VALUE"""),1.0)</f>
        <v>1</v>
      </c>
      <c r="J275" s="175">
        <f>IFERROR(__xludf.DUMMYFUNCTION("""COMPUTED_VALUE"""),0.0)</f>
        <v>0</v>
      </c>
      <c r="K275" s="35"/>
      <c r="L275" s="175">
        <f>IFERROR(__xludf.DUMMYFUNCTION("""COMPUTED_VALUE"""),64.0)</f>
        <v>64</v>
      </c>
      <c r="M275" s="182" t="str">
        <f>IFERROR(__xludf.DUMMYFUNCTION("""COMPUTED_VALUE"""),"Equity Key Stats")</f>
        <v>Equity Key Stats</v>
      </c>
      <c r="N275" s="35"/>
      <c r="O275" s="35"/>
      <c r="P275" s="184">
        <f>IFERROR(__xludf.DUMMYFUNCTION("""COMPUTED_VALUE"""),0.0)</f>
        <v>0</v>
      </c>
      <c r="Q275" s="177"/>
      <c r="R275" s="178">
        <f>IFERROR(__xludf.DUMMYFUNCTION("""COMPUTED_VALUE"""),64.0)</f>
        <v>64</v>
      </c>
      <c r="S275" s="176">
        <f>IFERROR(__xludf.DUMMYFUNCTION("""COMPUTED_VALUE"""),0.0)</f>
        <v>0</v>
      </c>
      <c r="T275" s="95">
        <f>IFERROR(__xludf.DUMMYFUNCTION("""COMPUTED_VALUE"""),9.0)</f>
        <v>9</v>
      </c>
      <c r="U275" s="35" t="str">
        <f>IFERROR(__xludf.DUMMYFUNCTION("""COMPUTED_VALUE"""),"")</f>
        <v/>
      </c>
      <c r="V275" s="170" t="str">
        <f>IFERROR(__xludf.DUMMYFUNCTION("""COMPUTED_VALUE"""),"")</f>
        <v/>
      </c>
      <c r="W275" s="171" t="str">
        <f>IFERROR(__xludf.DUMMYFUNCTION("""COMPUTED_VALUE"""),"")</f>
        <v/>
      </c>
      <c r="X275" s="14" t="str">
        <f>IFERROR(__xludf.DUMMYFUNCTION("""COMPUTED_VALUE"""),"")</f>
        <v/>
      </c>
      <c r="Y275" s="14" t="str">
        <f>IFERROR(__xludf.DUMMYFUNCTION("""COMPUTED_VALUE"""),"")</f>
        <v/>
      </c>
      <c r="Z275" s="11" t="str">
        <f>IFERROR(__xludf.DUMMYFUNCTION("""COMPUTED_VALUE"""),"")</f>
        <v/>
      </c>
    </row>
    <row r="276">
      <c r="A276" s="35" t="str">
        <f>IFERROR(__xludf.DUMMYFUNCTION("""COMPUTED_VALUE"""),"")</f>
        <v/>
      </c>
      <c r="B276" s="35" t="str">
        <f>IFERROR(__xludf.DUMMYFUNCTION("""COMPUTED_VALUE"""),"38209")</f>
        <v>38209</v>
      </c>
      <c r="C276" s="172">
        <f>IFERROR(__xludf.DUMMYFUNCTION("""COMPUTED_VALUE"""),4.4627000457E10)</f>
        <v>44627000457</v>
      </c>
      <c r="D276" s="192" t="str">
        <f>IFERROR(__xludf.DUMMYFUNCTION("""COMPUTED_VALUE"""),"1810.HK")</f>
        <v>1810.HK</v>
      </c>
      <c r="E276" s="173">
        <f>IFERROR(__xludf.DUMMYFUNCTION("""COMPUTED_VALUE"""),44627.0)</f>
        <v>44627</v>
      </c>
      <c r="F276" s="35" t="str">
        <f>IFERROR(__xludf.DUMMYFUNCTION("""COMPUTED_VALUE"""),"Stock")</f>
        <v>Stock</v>
      </c>
      <c r="G276" s="35" t="str">
        <f>IFERROR(__xludf.DUMMYFUNCTION("""COMPUTED_VALUE"""),"HKD")</f>
        <v>HKD</v>
      </c>
      <c r="H276" s="181">
        <f>IFERROR(__xludf.DUMMYFUNCTION("""COMPUTED_VALUE"""),1000.0)</f>
        <v>1000</v>
      </c>
      <c r="I276" s="174">
        <f>IFERROR(__xludf.DUMMYFUNCTION("""COMPUTED_VALUE"""),1.0)</f>
        <v>1</v>
      </c>
      <c r="J276" s="175">
        <f>IFERROR(__xludf.DUMMYFUNCTION("""COMPUTED_VALUE"""),13.68)</f>
        <v>13.68</v>
      </c>
      <c r="K276" s="35"/>
      <c r="L276" s="175">
        <f>IFERROR(__xludf.DUMMYFUNCTION("""COMPUTED_VALUE"""),12.36)</f>
        <v>12.36</v>
      </c>
      <c r="M276" s="182" t="str">
        <f>IFERROR(__xludf.DUMMYFUNCTION("""COMPUTED_VALUE"""),"Equity Key Stats")</f>
        <v>Equity Key Stats</v>
      </c>
      <c r="N276" s="35"/>
      <c r="O276" s="35"/>
      <c r="P276" s="184">
        <f>IFERROR(__xludf.DUMMYFUNCTION("""COMPUTED_VALUE"""),-13680.0)</f>
        <v>-13680</v>
      </c>
      <c r="Q276" s="177"/>
      <c r="R276" s="178">
        <f>IFERROR(__xludf.DUMMYFUNCTION("""COMPUTED_VALUE"""),12.36)</f>
        <v>12.36</v>
      </c>
      <c r="S276" s="176">
        <f>IFERROR(__xludf.DUMMYFUNCTION("""COMPUTED_VALUE"""),12360.0)</f>
        <v>12360</v>
      </c>
      <c r="T276" s="95">
        <f>IFERROR(__xludf.DUMMYFUNCTION("""COMPUTED_VALUE"""),6.0)</f>
        <v>6</v>
      </c>
      <c r="U276" s="95" t="str">
        <f>IFERROR(__xludf.DUMMYFUNCTION("""COMPUTED_VALUE"""),"")</f>
        <v/>
      </c>
      <c r="V276" s="179" t="str">
        <f>IFERROR(__xludf.DUMMYFUNCTION("""COMPUTED_VALUE"""),"")</f>
        <v/>
      </c>
      <c r="W276" s="171" t="str">
        <f>IFERROR(__xludf.DUMMYFUNCTION("""COMPUTED_VALUE"""),"")</f>
        <v/>
      </c>
      <c r="X276" s="14" t="str">
        <f>IFERROR(__xludf.DUMMYFUNCTION("""COMPUTED_VALUE"""),"")</f>
        <v/>
      </c>
      <c r="Y276" s="14" t="str">
        <f>IFERROR(__xludf.DUMMYFUNCTION("""COMPUTED_VALUE"""),"")</f>
        <v/>
      </c>
      <c r="Z276" s="11" t="str">
        <f>IFERROR(__xludf.DUMMYFUNCTION("""COMPUTED_VALUE"""),"")</f>
        <v/>
      </c>
    </row>
    <row r="277">
      <c r="A277" s="35" t="str">
        <f>IFERROR(__xludf.DUMMYFUNCTION("""COMPUTED_VALUE"""),"")</f>
        <v/>
      </c>
      <c r="B277" s="35" t="str">
        <f>IFERROR(__xludf.DUMMYFUNCTION("""COMPUTED_VALUE"""),"38209")</f>
        <v>38209</v>
      </c>
      <c r="C277" s="172">
        <f>IFERROR(__xludf.DUMMYFUNCTION("""COMPUTED_VALUE"""),4.4629000493E10)</f>
        <v>44629000493</v>
      </c>
      <c r="D277" s="192" t="str">
        <f>IFERROR(__xludf.DUMMYFUNCTION("""COMPUTED_VALUE"""),"6680.HK")</f>
        <v>6680.HK</v>
      </c>
      <c r="E277" s="173">
        <f>IFERROR(__xludf.DUMMYFUNCTION("""COMPUTED_VALUE"""),44629.0)</f>
        <v>44629</v>
      </c>
      <c r="F277" s="35" t="str">
        <f>IFERROR(__xludf.DUMMYFUNCTION("""COMPUTED_VALUE"""),"Stock")</f>
        <v>Stock</v>
      </c>
      <c r="G277" s="35" t="str">
        <f>IFERROR(__xludf.DUMMYFUNCTION("""COMPUTED_VALUE"""),"HKD")</f>
        <v>HKD</v>
      </c>
      <c r="H277" s="183">
        <f>IFERROR(__xludf.DUMMYFUNCTION("""COMPUTED_VALUE"""),1000.0)</f>
        <v>1000</v>
      </c>
      <c r="I277" s="174">
        <f>IFERROR(__xludf.DUMMYFUNCTION("""COMPUTED_VALUE"""),1.0)</f>
        <v>1</v>
      </c>
      <c r="J277" s="175">
        <f>IFERROR(__xludf.DUMMYFUNCTION("""COMPUTED_VALUE"""),26.65)</f>
        <v>26.65</v>
      </c>
      <c r="K277" s="35"/>
      <c r="L277" s="175">
        <f>IFERROR(__xludf.DUMMYFUNCTION("""COMPUTED_VALUE"""),22.8)</f>
        <v>22.8</v>
      </c>
      <c r="M277" s="182" t="str">
        <f>IFERROR(__xludf.DUMMYFUNCTION("""COMPUTED_VALUE"""),"Equity Key Stats")</f>
        <v>Equity Key Stats</v>
      </c>
      <c r="N277" s="35"/>
      <c r="O277" s="35"/>
      <c r="P277" s="176">
        <f>IFERROR(__xludf.DUMMYFUNCTION("""COMPUTED_VALUE"""),-26650.0)</f>
        <v>-26650</v>
      </c>
      <c r="Q277" s="177"/>
      <c r="R277" s="178">
        <f>IFERROR(__xludf.DUMMYFUNCTION("""COMPUTED_VALUE"""),22.8)</f>
        <v>22.8</v>
      </c>
      <c r="S277" s="184">
        <f>IFERROR(__xludf.DUMMYFUNCTION("""COMPUTED_VALUE"""),22800.0)</f>
        <v>22800</v>
      </c>
      <c r="T277" s="95">
        <f>IFERROR(__xludf.DUMMYFUNCTION("""COMPUTED_VALUE"""),3.0)</f>
        <v>3</v>
      </c>
      <c r="U277" s="35" t="str">
        <f>IFERROR(__xludf.DUMMYFUNCTION("""COMPUTED_VALUE"""),"")</f>
        <v/>
      </c>
      <c r="V277" s="170" t="str">
        <f>IFERROR(__xludf.DUMMYFUNCTION("""COMPUTED_VALUE"""),"")</f>
        <v/>
      </c>
      <c r="W277" s="171" t="str">
        <f>IFERROR(__xludf.DUMMYFUNCTION("""COMPUTED_VALUE"""),"")</f>
        <v/>
      </c>
      <c r="X277" s="14" t="str">
        <f>IFERROR(__xludf.DUMMYFUNCTION("""COMPUTED_VALUE"""),"")</f>
        <v/>
      </c>
      <c r="Y277" s="14" t="str">
        <f>IFERROR(__xludf.DUMMYFUNCTION("""COMPUTED_VALUE"""),"")</f>
        <v/>
      </c>
      <c r="Z277" s="11" t="str">
        <f>IFERROR(__xludf.DUMMYFUNCTION("""COMPUTED_VALUE"""),"")</f>
        <v/>
      </c>
    </row>
    <row r="278">
      <c r="A278" s="35" t="str">
        <f>IFERROR(__xludf.DUMMYFUNCTION("""COMPUTED_VALUE"""),"")</f>
        <v/>
      </c>
      <c r="B278" s="35" t="str">
        <f>IFERROR(__xludf.DUMMYFUNCTION("""COMPUTED_VALUE"""),"38209")</f>
        <v>38209</v>
      </c>
      <c r="C278" s="172">
        <f>IFERROR(__xludf.DUMMYFUNCTION("""COMPUTED_VALUE"""),4.4629000494E10)</f>
        <v>44629000494</v>
      </c>
      <c r="D278" s="192" t="str">
        <f>IFERROR(__xludf.DUMMYFUNCTION("""COMPUTED_VALUE"""),"9988.HK")</f>
        <v>9988.HK</v>
      </c>
      <c r="E278" s="173">
        <f>IFERROR(__xludf.DUMMYFUNCTION("""COMPUTED_VALUE"""),44629.0)</f>
        <v>44629</v>
      </c>
      <c r="F278" s="35" t="str">
        <f>IFERROR(__xludf.DUMMYFUNCTION("""COMPUTED_VALUE"""),"Stock")</f>
        <v>Stock</v>
      </c>
      <c r="G278" s="35" t="str">
        <f>IFERROR(__xludf.DUMMYFUNCTION("""COMPUTED_VALUE"""),"HKD")</f>
        <v>HKD</v>
      </c>
      <c r="H278" s="181">
        <f>IFERROR(__xludf.DUMMYFUNCTION("""COMPUTED_VALUE"""),300.0)</f>
        <v>300</v>
      </c>
      <c r="I278" s="174">
        <f>IFERROR(__xludf.DUMMYFUNCTION("""COMPUTED_VALUE"""),1.0)</f>
        <v>1</v>
      </c>
      <c r="J278" s="175">
        <f>IFERROR(__xludf.DUMMYFUNCTION("""COMPUTED_VALUE"""),96.25)</f>
        <v>96.25</v>
      </c>
      <c r="K278" s="35"/>
      <c r="L278" s="175">
        <f>IFERROR(__xludf.DUMMYFUNCTION("""COMPUTED_VALUE"""),98.5)</f>
        <v>98.5</v>
      </c>
      <c r="M278" s="182" t="str">
        <f>IFERROR(__xludf.DUMMYFUNCTION("""COMPUTED_VALUE"""),"Equity Key Stats")</f>
        <v>Equity Key Stats</v>
      </c>
      <c r="N278" s="35"/>
      <c r="O278" s="35"/>
      <c r="P278" s="184">
        <f>IFERROR(__xludf.DUMMYFUNCTION("""COMPUTED_VALUE"""),-28875.0)</f>
        <v>-28875</v>
      </c>
      <c r="Q278" s="177"/>
      <c r="R278" s="178">
        <f>IFERROR(__xludf.DUMMYFUNCTION("""COMPUTED_VALUE"""),98.5)</f>
        <v>98.5</v>
      </c>
      <c r="S278" s="176">
        <f>IFERROR(__xludf.DUMMYFUNCTION("""COMPUTED_VALUE"""),29550.0)</f>
        <v>29550</v>
      </c>
      <c r="T278" s="95">
        <f>IFERROR(__xludf.DUMMYFUNCTION("""COMPUTED_VALUE"""),7.0)</f>
        <v>7</v>
      </c>
      <c r="U278" s="95" t="str">
        <f>IFERROR(__xludf.DUMMYFUNCTION("""COMPUTED_VALUE"""),"")</f>
        <v/>
      </c>
      <c r="V278" s="185" t="str">
        <f>IFERROR(__xludf.DUMMYFUNCTION("""COMPUTED_VALUE"""),"")</f>
        <v/>
      </c>
      <c r="W278" s="55" t="str">
        <f>IFERROR(__xludf.DUMMYFUNCTION("""COMPUTED_VALUE"""),"")</f>
        <v/>
      </c>
      <c r="X278" s="181" t="str">
        <f>IFERROR(__xludf.DUMMYFUNCTION("""COMPUTED_VALUE"""),"")</f>
        <v/>
      </c>
      <c r="Y278" s="181" t="str">
        <f>IFERROR(__xludf.DUMMYFUNCTION("""COMPUTED_VALUE"""),"")</f>
        <v/>
      </c>
      <c r="Z278" s="186" t="str">
        <f>IFERROR(__xludf.DUMMYFUNCTION("""COMPUTED_VALUE"""),"")</f>
        <v/>
      </c>
    </row>
    <row r="279">
      <c r="A279" s="35" t="str">
        <f>IFERROR(__xludf.DUMMYFUNCTION("""COMPUTED_VALUE"""),"")</f>
        <v/>
      </c>
      <c r="B279" s="35" t="str">
        <f>IFERROR(__xludf.DUMMYFUNCTION("""COMPUTED_VALUE"""),"38209")</f>
        <v>38209</v>
      </c>
      <c r="C279" s="172">
        <f>IFERROR(__xludf.DUMMYFUNCTION("""COMPUTED_VALUE"""),4.4629000495E10)</f>
        <v>44629000495</v>
      </c>
      <c r="D279" s="188" t="str">
        <f>IFERROR(__xludf.DUMMYFUNCTION("""COMPUTED_VALUE"""),"1024.HK")</f>
        <v>1024.HK</v>
      </c>
      <c r="E279" s="173">
        <f>IFERROR(__xludf.DUMMYFUNCTION("""COMPUTED_VALUE"""),44629.0)</f>
        <v>44629</v>
      </c>
      <c r="F279" s="35" t="str">
        <f>IFERROR(__xludf.DUMMYFUNCTION("""COMPUTED_VALUE"""),"Stock")</f>
        <v>Stock</v>
      </c>
      <c r="G279" s="35" t="str">
        <f>IFERROR(__xludf.DUMMYFUNCTION("""COMPUTED_VALUE"""),"HKD")</f>
        <v>HKD</v>
      </c>
      <c r="H279" s="14">
        <f>IFERROR(__xludf.DUMMYFUNCTION("""COMPUTED_VALUE"""),400.0)</f>
        <v>400</v>
      </c>
      <c r="I279" s="174">
        <f>IFERROR(__xludf.DUMMYFUNCTION("""COMPUTED_VALUE"""),1.0)</f>
        <v>1</v>
      </c>
      <c r="J279" s="175">
        <f>IFERROR(__xludf.DUMMYFUNCTION("""COMPUTED_VALUE"""),71.95)</f>
        <v>71.95</v>
      </c>
      <c r="K279" s="35"/>
      <c r="L279" s="175">
        <f>IFERROR(__xludf.DUMMYFUNCTION("""COMPUTED_VALUE"""),64.0)</f>
        <v>64</v>
      </c>
      <c r="M279" s="187" t="str">
        <f>IFERROR(__xludf.DUMMYFUNCTION("""COMPUTED_VALUE"""),"Equity Key Stats")</f>
        <v>Equity Key Stats</v>
      </c>
      <c r="N279" s="35"/>
      <c r="O279" s="35"/>
      <c r="P279" s="176">
        <f>IFERROR(__xludf.DUMMYFUNCTION("""COMPUTED_VALUE"""),-28780.0)</f>
        <v>-28780</v>
      </c>
      <c r="Q279" s="177"/>
      <c r="R279" s="178">
        <f>IFERROR(__xludf.DUMMYFUNCTION("""COMPUTED_VALUE"""),64.0)</f>
        <v>64</v>
      </c>
      <c r="S279" s="151">
        <f>IFERROR(__xludf.DUMMYFUNCTION("""COMPUTED_VALUE"""),25600.0)</f>
        <v>25600</v>
      </c>
      <c r="T279" s="95">
        <f>IFERROR(__xludf.DUMMYFUNCTION("""COMPUTED_VALUE"""),9.0)</f>
        <v>9</v>
      </c>
      <c r="U279" s="95" t="str">
        <f>IFERROR(__xludf.DUMMYFUNCTION("""COMPUTED_VALUE"""),"")</f>
        <v/>
      </c>
      <c r="V279" s="179" t="str">
        <f>IFERROR(__xludf.DUMMYFUNCTION("""COMPUTED_VALUE"""),"")</f>
        <v/>
      </c>
      <c r="W279" s="171" t="str">
        <f>IFERROR(__xludf.DUMMYFUNCTION("""COMPUTED_VALUE"""),"")</f>
        <v/>
      </c>
      <c r="X279" s="14" t="str">
        <f>IFERROR(__xludf.DUMMYFUNCTION("""COMPUTED_VALUE"""),"")</f>
        <v/>
      </c>
      <c r="Y279" s="14" t="str">
        <f>IFERROR(__xludf.DUMMYFUNCTION("""COMPUTED_VALUE"""),"")</f>
        <v/>
      </c>
      <c r="Z279" s="11" t="str">
        <f>IFERROR(__xludf.DUMMYFUNCTION("""COMPUTED_VALUE"""),"")</f>
        <v/>
      </c>
    </row>
    <row r="280">
      <c r="A280" s="35" t="str">
        <f>IFERROR(__xludf.DUMMYFUNCTION("""COMPUTED_VALUE"""),"")</f>
        <v/>
      </c>
      <c r="B280" s="35" t="str">
        <f>IFERROR(__xludf.DUMMYFUNCTION("""COMPUTED_VALUE"""),"38209")</f>
        <v>38209</v>
      </c>
      <c r="C280" s="172">
        <f>IFERROR(__xludf.DUMMYFUNCTION("""COMPUTED_VALUE"""),4.4629000496E10)</f>
        <v>44629000496</v>
      </c>
      <c r="D280" s="188" t="str">
        <f>IFERROR(__xludf.DUMMYFUNCTION("""COMPUTED_VALUE"""),"1810.HK")</f>
        <v>1810.HK</v>
      </c>
      <c r="E280" s="173">
        <f>IFERROR(__xludf.DUMMYFUNCTION("""COMPUTED_VALUE"""),44629.0)</f>
        <v>44629</v>
      </c>
      <c r="F280" s="35" t="str">
        <f>IFERROR(__xludf.DUMMYFUNCTION("""COMPUTED_VALUE"""),"Stock")</f>
        <v>Stock</v>
      </c>
      <c r="G280" s="35" t="str">
        <f>IFERROR(__xludf.DUMMYFUNCTION("""COMPUTED_VALUE"""),"HKD")</f>
        <v>HKD</v>
      </c>
      <c r="H280" s="181">
        <f>IFERROR(__xludf.DUMMYFUNCTION("""COMPUTED_VALUE"""),0.0)</f>
        <v>0</v>
      </c>
      <c r="I280" s="174">
        <f>IFERROR(__xludf.DUMMYFUNCTION("""COMPUTED_VALUE"""),1.0)</f>
        <v>1</v>
      </c>
      <c r="J280" s="175">
        <f>IFERROR(__xludf.DUMMYFUNCTION("""COMPUTED_VALUE"""),0.0)</f>
        <v>0</v>
      </c>
      <c r="K280" s="35"/>
      <c r="L280" s="175">
        <f>IFERROR(__xludf.DUMMYFUNCTION("""COMPUTED_VALUE"""),12.36)</f>
        <v>12.36</v>
      </c>
      <c r="M280" s="182" t="str">
        <f>IFERROR(__xludf.DUMMYFUNCTION("""COMPUTED_VALUE"""),"Equity Key Stats")</f>
        <v>Equity Key Stats</v>
      </c>
      <c r="N280" s="35"/>
      <c r="O280" s="35"/>
      <c r="P280" s="176">
        <f>IFERROR(__xludf.DUMMYFUNCTION("""COMPUTED_VALUE"""),0.0)</f>
        <v>0</v>
      </c>
      <c r="Q280" s="177"/>
      <c r="R280" s="178">
        <f>IFERROR(__xludf.DUMMYFUNCTION("""COMPUTED_VALUE"""),12.36)</f>
        <v>12.36</v>
      </c>
      <c r="S280" s="176">
        <f>IFERROR(__xludf.DUMMYFUNCTION("""COMPUTED_VALUE"""),0.0)</f>
        <v>0</v>
      </c>
      <c r="T280" s="95">
        <f>IFERROR(__xludf.DUMMYFUNCTION("""COMPUTED_VALUE"""),6.0)</f>
        <v>6</v>
      </c>
      <c r="U280" s="95" t="str">
        <f>IFERROR(__xludf.DUMMYFUNCTION("""COMPUTED_VALUE"""),"")</f>
        <v/>
      </c>
      <c r="V280" s="179" t="str">
        <f>IFERROR(__xludf.DUMMYFUNCTION("""COMPUTED_VALUE"""),"")</f>
        <v/>
      </c>
      <c r="W280" s="171" t="str">
        <f>IFERROR(__xludf.DUMMYFUNCTION("""COMPUTED_VALUE"""),"")</f>
        <v/>
      </c>
      <c r="X280" s="14" t="str">
        <f>IFERROR(__xludf.DUMMYFUNCTION("""COMPUTED_VALUE"""),"")</f>
        <v/>
      </c>
      <c r="Y280" s="14" t="str">
        <f>IFERROR(__xludf.DUMMYFUNCTION("""COMPUTED_VALUE"""),"")</f>
        <v/>
      </c>
      <c r="Z280" s="11" t="str">
        <f>IFERROR(__xludf.DUMMYFUNCTION("""COMPUTED_VALUE"""),"")</f>
        <v/>
      </c>
    </row>
    <row r="281">
      <c r="A281" s="35" t="str">
        <f>IFERROR(__xludf.DUMMYFUNCTION("""COMPUTED_VALUE"""),"")</f>
        <v/>
      </c>
      <c r="B281" s="35" t="str">
        <f>IFERROR(__xludf.DUMMYFUNCTION("""COMPUTED_VALUE"""),"38209")</f>
        <v>38209</v>
      </c>
      <c r="C281" s="172">
        <f>IFERROR(__xludf.DUMMYFUNCTION("""COMPUTED_VALUE"""),4.4630000504E10)</f>
        <v>44630000504</v>
      </c>
      <c r="D281" s="192" t="str">
        <f>IFERROR(__xludf.DUMMYFUNCTION("""COMPUTED_VALUE"""),"1024.HK")</f>
        <v>1024.HK</v>
      </c>
      <c r="E281" s="173">
        <f>IFERROR(__xludf.DUMMYFUNCTION("""COMPUTED_VALUE"""),44630.0)</f>
        <v>44630</v>
      </c>
      <c r="F281" s="35" t="str">
        <f>IFERROR(__xludf.DUMMYFUNCTION("""COMPUTED_VALUE"""),"Stock")</f>
        <v>Stock</v>
      </c>
      <c r="G281" s="35" t="str">
        <f>IFERROR(__xludf.DUMMYFUNCTION("""COMPUTED_VALUE"""),"HKD")</f>
        <v>HKD</v>
      </c>
      <c r="H281" s="181">
        <f>IFERROR(__xludf.DUMMYFUNCTION("""COMPUTED_VALUE"""),800.0)</f>
        <v>800</v>
      </c>
      <c r="I281" s="174">
        <f>IFERROR(__xludf.DUMMYFUNCTION("""COMPUTED_VALUE"""),1.0)</f>
        <v>1</v>
      </c>
      <c r="J281" s="175">
        <f>IFERROR(__xludf.DUMMYFUNCTION("""COMPUTED_VALUE"""),73.9)</f>
        <v>73.9</v>
      </c>
      <c r="K281" s="35"/>
      <c r="L281" s="175">
        <f>IFERROR(__xludf.DUMMYFUNCTION("""COMPUTED_VALUE"""),64.0)</f>
        <v>64</v>
      </c>
      <c r="M281" s="182" t="str">
        <f>IFERROR(__xludf.DUMMYFUNCTION("""COMPUTED_VALUE"""),"Equity Key Stats")</f>
        <v>Equity Key Stats</v>
      </c>
      <c r="N281" s="35"/>
      <c r="O281" s="35"/>
      <c r="P281" s="184">
        <f>IFERROR(__xludf.DUMMYFUNCTION("""COMPUTED_VALUE"""),-59120.00000000001)</f>
        <v>-59120</v>
      </c>
      <c r="Q281" s="177"/>
      <c r="R281" s="178">
        <f>IFERROR(__xludf.DUMMYFUNCTION("""COMPUTED_VALUE"""),64.0)</f>
        <v>64</v>
      </c>
      <c r="S281" s="176">
        <f>IFERROR(__xludf.DUMMYFUNCTION("""COMPUTED_VALUE"""),51200.0)</f>
        <v>51200</v>
      </c>
      <c r="T281" s="95">
        <f>IFERROR(__xludf.DUMMYFUNCTION("""COMPUTED_VALUE"""),9.0)</f>
        <v>9</v>
      </c>
      <c r="U281" s="95" t="str">
        <f>IFERROR(__xludf.DUMMYFUNCTION("""COMPUTED_VALUE"""),"")</f>
        <v/>
      </c>
      <c r="V281" s="179" t="str">
        <f>IFERROR(__xludf.DUMMYFUNCTION("""COMPUTED_VALUE"""),"")</f>
        <v/>
      </c>
      <c r="W281" s="55" t="str">
        <f>IFERROR(__xludf.DUMMYFUNCTION("""COMPUTED_VALUE"""),"")</f>
        <v/>
      </c>
      <c r="X281" s="181" t="str">
        <f>IFERROR(__xludf.DUMMYFUNCTION("""COMPUTED_VALUE"""),"")</f>
        <v/>
      </c>
      <c r="Y281" s="181" t="str">
        <f>IFERROR(__xludf.DUMMYFUNCTION("""COMPUTED_VALUE"""),"")</f>
        <v/>
      </c>
      <c r="Z281" s="186" t="str">
        <f>IFERROR(__xludf.DUMMYFUNCTION("""COMPUTED_VALUE"""),"")</f>
        <v/>
      </c>
    </row>
    <row r="282">
      <c r="A282" s="35" t="str">
        <f>IFERROR(__xludf.DUMMYFUNCTION("""COMPUTED_VALUE"""),"")</f>
        <v/>
      </c>
      <c r="B282" s="35" t="str">
        <f>IFERROR(__xludf.DUMMYFUNCTION("""COMPUTED_VALUE"""),"38209")</f>
        <v>38209</v>
      </c>
      <c r="C282" s="172">
        <f>IFERROR(__xludf.DUMMYFUNCTION("""COMPUTED_VALUE"""),4.4630000505E10)</f>
        <v>44630000505</v>
      </c>
      <c r="D282" s="188" t="str">
        <f>IFERROR(__xludf.DUMMYFUNCTION("""COMPUTED_VALUE"""),"1024.HK")</f>
        <v>1024.HK</v>
      </c>
      <c r="E282" s="173">
        <f>IFERROR(__xludf.DUMMYFUNCTION("""COMPUTED_VALUE"""),44630.0)</f>
        <v>44630</v>
      </c>
      <c r="F282" s="35" t="str">
        <f>IFERROR(__xludf.DUMMYFUNCTION("""COMPUTED_VALUE"""),"Stock")</f>
        <v>Stock</v>
      </c>
      <c r="G282" s="35" t="str">
        <f>IFERROR(__xludf.DUMMYFUNCTION("""COMPUTED_VALUE"""),"HKD")</f>
        <v>HKD</v>
      </c>
      <c r="H282" s="14">
        <f>IFERROR(__xludf.DUMMYFUNCTION("""COMPUTED_VALUE"""),0.0)</f>
        <v>0</v>
      </c>
      <c r="I282" s="174">
        <f>IFERROR(__xludf.DUMMYFUNCTION("""COMPUTED_VALUE"""),1.0)</f>
        <v>1</v>
      </c>
      <c r="J282" s="175">
        <f>IFERROR(__xludf.DUMMYFUNCTION("""COMPUTED_VALUE"""),0.0)</f>
        <v>0</v>
      </c>
      <c r="K282" s="35"/>
      <c r="L282" s="175">
        <f>IFERROR(__xludf.DUMMYFUNCTION("""COMPUTED_VALUE"""),64.0)</f>
        <v>64</v>
      </c>
      <c r="M282" s="187" t="str">
        <f>IFERROR(__xludf.DUMMYFUNCTION("""COMPUTED_VALUE"""),"Equity Key Stats")</f>
        <v>Equity Key Stats</v>
      </c>
      <c r="N282" s="35"/>
      <c r="O282" s="35"/>
      <c r="P282" s="176">
        <f>IFERROR(__xludf.DUMMYFUNCTION("""COMPUTED_VALUE"""),0.0)</f>
        <v>0</v>
      </c>
      <c r="Q282" s="177"/>
      <c r="R282" s="178">
        <f>IFERROR(__xludf.DUMMYFUNCTION("""COMPUTED_VALUE"""),64.0)</f>
        <v>64</v>
      </c>
      <c r="S282" s="151">
        <f>IFERROR(__xludf.DUMMYFUNCTION("""COMPUTED_VALUE"""),0.0)</f>
        <v>0</v>
      </c>
      <c r="T282" s="95">
        <f>IFERROR(__xludf.DUMMYFUNCTION("""COMPUTED_VALUE"""),9.0)</f>
        <v>9</v>
      </c>
      <c r="U282" s="95" t="str">
        <f>IFERROR(__xludf.DUMMYFUNCTION("""COMPUTED_VALUE"""),"")</f>
        <v/>
      </c>
      <c r="V282" s="179" t="str">
        <f>IFERROR(__xludf.DUMMYFUNCTION("""COMPUTED_VALUE"""),"")</f>
        <v/>
      </c>
      <c r="W282" s="171" t="str">
        <f>IFERROR(__xludf.DUMMYFUNCTION("""COMPUTED_VALUE"""),"")</f>
        <v/>
      </c>
      <c r="X282" s="14" t="str">
        <f>IFERROR(__xludf.DUMMYFUNCTION("""COMPUTED_VALUE"""),"")</f>
        <v/>
      </c>
      <c r="Y282" s="14" t="str">
        <f>IFERROR(__xludf.DUMMYFUNCTION("""COMPUTED_VALUE"""),"")</f>
        <v/>
      </c>
      <c r="Z282" s="11" t="str">
        <f>IFERROR(__xludf.DUMMYFUNCTION("""COMPUTED_VALUE"""),"")</f>
        <v/>
      </c>
    </row>
    <row r="283">
      <c r="A283" s="35" t="str">
        <f>IFERROR(__xludf.DUMMYFUNCTION("""COMPUTED_VALUE"""),"")</f>
        <v/>
      </c>
      <c r="B283" s="35" t="str">
        <f>IFERROR(__xludf.DUMMYFUNCTION("""COMPUTED_VALUE"""),"38209")</f>
        <v>38209</v>
      </c>
      <c r="C283" s="172">
        <f>IFERROR(__xludf.DUMMYFUNCTION("""COMPUTED_VALUE"""),4.4630000506E10)</f>
        <v>44630000506</v>
      </c>
      <c r="D283" s="188" t="str">
        <f>IFERROR(__xludf.DUMMYFUNCTION("""COMPUTED_VALUE"""),"1024.HK")</f>
        <v>1024.HK</v>
      </c>
      <c r="E283" s="173">
        <f>IFERROR(__xludf.DUMMYFUNCTION("""COMPUTED_VALUE"""),44630.0)</f>
        <v>44630</v>
      </c>
      <c r="F283" s="35" t="str">
        <f>IFERROR(__xludf.DUMMYFUNCTION("""COMPUTED_VALUE"""),"Stock")</f>
        <v>Stock</v>
      </c>
      <c r="G283" s="35" t="str">
        <f>IFERROR(__xludf.DUMMYFUNCTION("""COMPUTED_VALUE"""),"HKD")</f>
        <v>HKD</v>
      </c>
      <c r="H283" s="181">
        <f>IFERROR(__xludf.DUMMYFUNCTION("""COMPUTED_VALUE"""),0.0)</f>
        <v>0</v>
      </c>
      <c r="I283" s="174">
        <f>IFERROR(__xludf.DUMMYFUNCTION("""COMPUTED_VALUE"""),1.0)</f>
        <v>1</v>
      </c>
      <c r="J283" s="175">
        <f>IFERROR(__xludf.DUMMYFUNCTION("""COMPUTED_VALUE"""),0.0)</f>
        <v>0</v>
      </c>
      <c r="K283" s="35"/>
      <c r="L283" s="175">
        <f>IFERROR(__xludf.DUMMYFUNCTION("""COMPUTED_VALUE"""),64.0)</f>
        <v>64</v>
      </c>
      <c r="M283" s="182" t="str">
        <f>IFERROR(__xludf.DUMMYFUNCTION("""COMPUTED_VALUE"""),"Equity Key Stats")</f>
        <v>Equity Key Stats</v>
      </c>
      <c r="N283" s="35"/>
      <c r="O283" s="35"/>
      <c r="P283" s="184">
        <f>IFERROR(__xludf.DUMMYFUNCTION("""COMPUTED_VALUE"""),0.0)</f>
        <v>0</v>
      </c>
      <c r="Q283" s="177"/>
      <c r="R283" s="178">
        <f>IFERROR(__xludf.DUMMYFUNCTION("""COMPUTED_VALUE"""),64.0)</f>
        <v>64</v>
      </c>
      <c r="S283" s="176">
        <f>IFERROR(__xludf.DUMMYFUNCTION("""COMPUTED_VALUE"""),0.0)</f>
        <v>0</v>
      </c>
      <c r="T283" s="95">
        <f>IFERROR(__xludf.DUMMYFUNCTION("""COMPUTED_VALUE"""),9.0)</f>
        <v>9</v>
      </c>
      <c r="U283" s="95" t="str">
        <f>IFERROR(__xludf.DUMMYFUNCTION("""COMPUTED_VALUE"""),"")</f>
        <v/>
      </c>
      <c r="V283" s="185" t="str">
        <f>IFERROR(__xludf.DUMMYFUNCTION("""COMPUTED_VALUE"""),"")</f>
        <v/>
      </c>
      <c r="W283" s="171" t="str">
        <f>IFERROR(__xludf.DUMMYFUNCTION("""COMPUTED_VALUE"""),"")</f>
        <v/>
      </c>
      <c r="X283" s="14" t="str">
        <f>IFERROR(__xludf.DUMMYFUNCTION("""COMPUTED_VALUE"""),"")</f>
        <v/>
      </c>
      <c r="Y283" s="14" t="str">
        <f>IFERROR(__xludf.DUMMYFUNCTION("""COMPUTED_VALUE"""),"")</f>
        <v/>
      </c>
      <c r="Z283" s="11" t="str">
        <f>IFERROR(__xludf.DUMMYFUNCTION("""COMPUTED_VALUE"""),"")</f>
        <v/>
      </c>
    </row>
    <row r="284">
      <c r="A284" s="35" t="str">
        <f>IFERROR(__xludf.DUMMYFUNCTION("""COMPUTED_VALUE"""),"")</f>
        <v/>
      </c>
      <c r="B284" s="35" t="str">
        <f>IFERROR(__xludf.DUMMYFUNCTION("""COMPUTED_VALUE"""),"38209")</f>
        <v>38209</v>
      </c>
      <c r="C284" s="172">
        <f>IFERROR(__xludf.DUMMYFUNCTION("""COMPUTED_VALUE"""),4.4630000507E10)</f>
        <v>44630000507</v>
      </c>
      <c r="D284" s="192" t="str">
        <f>IFERROR(__xludf.DUMMYFUNCTION("""COMPUTED_VALUE"""),"1024.HK")</f>
        <v>1024.HK</v>
      </c>
      <c r="E284" s="173">
        <f>IFERROR(__xludf.DUMMYFUNCTION("""COMPUTED_VALUE"""),44630.0)</f>
        <v>44630</v>
      </c>
      <c r="F284" s="35" t="str">
        <f>IFERROR(__xludf.DUMMYFUNCTION("""COMPUTED_VALUE"""),"Stock")</f>
        <v>Stock</v>
      </c>
      <c r="G284" s="35" t="str">
        <f>IFERROR(__xludf.DUMMYFUNCTION("""COMPUTED_VALUE"""),"HKD")</f>
        <v>HKD</v>
      </c>
      <c r="H284" s="183">
        <f>IFERROR(__xludf.DUMMYFUNCTION("""COMPUTED_VALUE"""),0.0)</f>
        <v>0</v>
      </c>
      <c r="I284" s="174">
        <f>IFERROR(__xludf.DUMMYFUNCTION("""COMPUTED_VALUE"""),1.0)</f>
        <v>1</v>
      </c>
      <c r="J284" s="175">
        <f>IFERROR(__xludf.DUMMYFUNCTION("""COMPUTED_VALUE"""),0.0)</f>
        <v>0</v>
      </c>
      <c r="K284" s="35"/>
      <c r="L284" s="175">
        <f>IFERROR(__xludf.DUMMYFUNCTION("""COMPUTED_VALUE"""),64.0)</f>
        <v>64</v>
      </c>
      <c r="M284" s="182" t="str">
        <f>IFERROR(__xludf.DUMMYFUNCTION("""COMPUTED_VALUE"""),"Equity Key Stats")</f>
        <v>Equity Key Stats</v>
      </c>
      <c r="N284" s="35"/>
      <c r="O284" s="35"/>
      <c r="P284" s="176">
        <f>IFERROR(__xludf.DUMMYFUNCTION("""COMPUTED_VALUE"""),0.0)</f>
        <v>0</v>
      </c>
      <c r="Q284" s="177"/>
      <c r="R284" s="178">
        <f>IFERROR(__xludf.DUMMYFUNCTION("""COMPUTED_VALUE"""),64.0)</f>
        <v>64</v>
      </c>
      <c r="S284" s="184">
        <f>IFERROR(__xludf.DUMMYFUNCTION("""COMPUTED_VALUE"""),0.0)</f>
        <v>0</v>
      </c>
      <c r="T284" s="95">
        <f>IFERROR(__xludf.DUMMYFUNCTION("""COMPUTED_VALUE"""),9.0)</f>
        <v>9</v>
      </c>
      <c r="U284" s="35" t="str">
        <f>IFERROR(__xludf.DUMMYFUNCTION("""COMPUTED_VALUE"""),"")</f>
        <v/>
      </c>
      <c r="V284" s="170" t="str">
        <f>IFERROR(__xludf.DUMMYFUNCTION("""COMPUTED_VALUE"""),"")</f>
        <v/>
      </c>
      <c r="W284" s="171" t="str">
        <f>IFERROR(__xludf.DUMMYFUNCTION("""COMPUTED_VALUE"""),"")</f>
        <v/>
      </c>
      <c r="X284" s="14" t="str">
        <f>IFERROR(__xludf.DUMMYFUNCTION("""COMPUTED_VALUE"""),"")</f>
        <v/>
      </c>
      <c r="Y284" s="14" t="str">
        <f>IFERROR(__xludf.DUMMYFUNCTION("""COMPUTED_VALUE"""),"")</f>
        <v/>
      </c>
      <c r="Z284" s="11" t="str">
        <f>IFERROR(__xludf.DUMMYFUNCTION("""COMPUTED_VALUE"""),"")</f>
        <v/>
      </c>
    </row>
    <row r="285">
      <c r="A285" s="35" t="str">
        <f>IFERROR(__xludf.DUMMYFUNCTION("""COMPUTED_VALUE"""),"")</f>
        <v/>
      </c>
      <c r="B285" s="35" t="str">
        <f>IFERROR(__xludf.DUMMYFUNCTION("""COMPUTED_VALUE"""),"38209")</f>
        <v>38209</v>
      </c>
      <c r="C285" s="172">
        <f>IFERROR(__xludf.DUMMYFUNCTION("""COMPUTED_VALUE"""),4.4630000508E10)</f>
        <v>44630000508</v>
      </c>
      <c r="D285" s="192" t="str">
        <f>IFERROR(__xludf.DUMMYFUNCTION("""COMPUTED_VALUE"""),"9988.HK")</f>
        <v>9988.HK</v>
      </c>
      <c r="E285" s="173">
        <f>IFERROR(__xludf.DUMMYFUNCTION("""COMPUTED_VALUE"""),44630.0)</f>
        <v>44630</v>
      </c>
      <c r="F285" s="35" t="str">
        <f>IFERROR(__xludf.DUMMYFUNCTION("""COMPUTED_VALUE"""),"Stock")</f>
        <v>Stock</v>
      </c>
      <c r="G285" s="35" t="str">
        <f>IFERROR(__xludf.DUMMYFUNCTION("""COMPUTED_VALUE"""),"HKD")</f>
        <v>HKD</v>
      </c>
      <c r="H285" s="183">
        <f>IFERROR(__xludf.DUMMYFUNCTION("""COMPUTED_VALUE"""),0.0)</f>
        <v>0</v>
      </c>
      <c r="I285" s="174">
        <f>IFERROR(__xludf.DUMMYFUNCTION("""COMPUTED_VALUE"""),1.0)</f>
        <v>1</v>
      </c>
      <c r="J285" s="175">
        <f>IFERROR(__xludf.DUMMYFUNCTION("""COMPUTED_VALUE"""),0.0)</f>
        <v>0</v>
      </c>
      <c r="K285" s="35"/>
      <c r="L285" s="175">
        <f>IFERROR(__xludf.DUMMYFUNCTION("""COMPUTED_VALUE"""),98.5)</f>
        <v>98.5</v>
      </c>
      <c r="M285" s="182" t="str">
        <f>IFERROR(__xludf.DUMMYFUNCTION("""COMPUTED_VALUE"""),"Equity Key Stats")</f>
        <v>Equity Key Stats</v>
      </c>
      <c r="N285" s="35"/>
      <c r="O285" s="35"/>
      <c r="P285" s="176">
        <f>IFERROR(__xludf.DUMMYFUNCTION("""COMPUTED_VALUE"""),0.0)</f>
        <v>0</v>
      </c>
      <c r="Q285" s="177"/>
      <c r="R285" s="178">
        <f>IFERROR(__xludf.DUMMYFUNCTION("""COMPUTED_VALUE"""),98.5)</f>
        <v>98.5</v>
      </c>
      <c r="S285" s="184">
        <f>IFERROR(__xludf.DUMMYFUNCTION("""COMPUTED_VALUE"""),0.0)</f>
        <v>0</v>
      </c>
      <c r="T285" s="95">
        <f>IFERROR(__xludf.DUMMYFUNCTION("""COMPUTED_VALUE"""),7.0)</f>
        <v>7</v>
      </c>
      <c r="U285" s="35" t="str">
        <f>IFERROR(__xludf.DUMMYFUNCTION("""COMPUTED_VALUE"""),"")</f>
        <v/>
      </c>
      <c r="V285" s="170" t="str">
        <f>IFERROR(__xludf.DUMMYFUNCTION("""COMPUTED_VALUE"""),"")</f>
        <v/>
      </c>
      <c r="W285" s="171" t="str">
        <f>IFERROR(__xludf.DUMMYFUNCTION("""COMPUTED_VALUE"""),"")</f>
        <v/>
      </c>
      <c r="X285" s="14" t="str">
        <f>IFERROR(__xludf.DUMMYFUNCTION("""COMPUTED_VALUE"""),"")</f>
        <v/>
      </c>
      <c r="Y285" s="14" t="str">
        <f>IFERROR(__xludf.DUMMYFUNCTION("""COMPUTED_VALUE"""),"")</f>
        <v/>
      </c>
      <c r="Z285" s="11" t="str">
        <f>IFERROR(__xludf.DUMMYFUNCTION("""COMPUTED_VALUE"""),"")</f>
        <v/>
      </c>
    </row>
    <row r="286">
      <c r="A286" s="35" t="str">
        <f>IFERROR(__xludf.DUMMYFUNCTION("""COMPUTED_VALUE"""),"")</f>
        <v/>
      </c>
      <c r="B286" s="35" t="str">
        <f>IFERROR(__xludf.DUMMYFUNCTION("""COMPUTED_VALUE"""),"38209")</f>
        <v>38209</v>
      </c>
      <c r="C286" s="172">
        <f>IFERROR(__xludf.DUMMYFUNCTION("""COMPUTED_VALUE"""),4.4630000509E10)</f>
        <v>44630000509</v>
      </c>
      <c r="D286" s="192" t="str">
        <f>IFERROR(__xludf.DUMMYFUNCTION("""COMPUTED_VALUE"""),"6680.HK")</f>
        <v>6680.HK</v>
      </c>
      <c r="E286" s="173">
        <f>IFERROR(__xludf.DUMMYFUNCTION("""COMPUTED_VALUE"""),44630.0)</f>
        <v>44630</v>
      </c>
      <c r="F286" s="35" t="str">
        <f>IFERROR(__xludf.DUMMYFUNCTION("""COMPUTED_VALUE"""),"Stock")</f>
        <v>Stock</v>
      </c>
      <c r="G286" s="35" t="str">
        <f>IFERROR(__xludf.DUMMYFUNCTION("""COMPUTED_VALUE"""),"HKD")</f>
        <v>HKD</v>
      </c>
      <c r="H286" s="181">
        <f>IFERROR(__xludf.DUMMYFUNCTION("""COMPUTED_VALUE"""),0.0)</f>
        <v>0</v>
      </c>
      <c r="I286" s="174">
        <f>IFERROR(__xludf.DUMMYFUNCTION("""COMPUTED_VALUE"""),1.0)</f>
        <v>1</v>
      </c>
      <c r="J286" s="175">
        <f>IFERROR(__xludf.DUMMYFUNCTION("""COMPUTED_VALUE"""),0.0)</f>
        <v>0</v>
      </c>
      <c r="K286" s="35"/>
      <c r="L286" s="175">
        <f>IFERROR(__xludf.DUMMYFUNCTION("""COMPUTED_VALUE"""),22.8)</f>
        <v>22.8</v>
      </c>
      <c r="M286" s="182" t="str">
        <f>IFERROR(__xludf.DUMMYFUNCTION("""COMPUTED_VALUE"""),"Equity Key Stats")</f>
        <v>Equity Key Stats</v>
      </c>
      <c r="N286" s="35"/>
      <c r="O286" s="35"/>
      <c r="P286" s="184">
        <f>IFERROR(__xludf.DUMMYFUNCTION("""COMPUTED_VALUE"""),0.0)</f>
        <v>0</v>
      </c>
      <c r="Q286" s="177"/>
      <c r="R286" s="178">
        <f>IFERROR(__xludf.DUMMYFUNCTION("""COMPUTED_VALUE"""),22.8)</f>
        <v>22.8</v>
      </c>
      <c r="S286" s="176">
        <f>IFERROR(__xludf.DUMMYFUNCTION("""COMPUTED_VALUE"""),0.0)</f>
        <v>0</v>
      </c>
      <c r="T286" s="95">
        <f>IFERROR(__xludf.DUMMYFUNCTION("""COMPUTED_VALUE"""),3.0)</f>
        <v>3</v>
      </c>
      <c r="U286" s="95" t="str">
        <f>IFERROR(__xludf.DUMMYFUNCTION("""COMPUTED_VALUE"""),"")</f>
        <v/>
      </c>
      <c r="V286" s="185" t="str">
        <f>IFERROR(__xludf.DUMMYFUNCTION("""COMPUTED_VALUE"""),"")</f>
        <v/>
      </c>
      <c r="W286" s="171" t="str">
        <f>IFERROR(__xludf.DUMMYFUNCTION("""COMPUTED_VALUE"""),"")</f>
        <v/>
      </c>
      <c r="X286" s="14" t="str">
        <f>IFERROR(__xludf.DUMMYFUNCTION("""COMPUTED_VALUE"""),"")</f>
        <v/>
      </c>
      <c r="Y286" s="14" t="str">
        <f>IFERROR(__xludf.DUMMYFUNCTION("""COMPUTED_VALUE"""),"")</f>
        <v/>
      </c>
      <c r="Z286" s="11" t="str">
        <f>IFERROR(__xludf.DUMMYFUNCTION("""COMPUTED_VALUE"""),"")</f>
        <v/>
      </c>
    </row>
    <row r="287">
      <c r="A287" s="35" t="str">
        <f>IFERROR(__xludf.DUMMYFUNCTION("""COMPUTED_VALUE"""),"")</f>
        <v/>
      </c>
      <c r="B287" s="35" t="str">
        <f>IFERROR(__xludf.DUMMYFUNCTION("""COMPUTED_VALUE"""),"38209")</f>
        <v>38209</v>
      </c>
      <c r="C287" s="172">
        <f>IFERROR(__xludf.DUMMYFUNCTION("""COMPUTED_VALUE"""),4.4634000542E10)</f>
        <v>44634000542</v>
      </c>
      <c r="D287" s="192" t="str">
        <f>IFERROR(__xludf.DUMMYFUNCTION("""COMPUTED_VALUE"""),"1024.HK")</f>
        <v>1024.HK</v>
      </c>
      <c r="E287" s="173">
        <f>IFERROR(__xludf.DUMMYFUNCTION("""COMPUTED_VALUE"""),44634.0)</f>
        <v>44634</v>
      </c>
      <c r="F287" s="35" t="str">
        <f>IFERROR(__xludf.DUMMYFUNCTION("""COMPUTED_VALUE"""),"Stock")</f>
        <v>Stock</v>
      </c>
      <c r="G287" s="35" t="str">
        <f>IFERROR(__xludf.DUMMYFUNCTION("""COMPUTED_VALUE"""),"HKD")</f>
        <v>HKD</v>
      </c>
      <c r="H287" s="181">
        <f>IFERROR(__xludf.DUMMYFUNCTION("""COMPUTED_VALUE"""),-1600.0)</f>
        <v>-1600</v>
      </c>
      <c r="I287" s="174">
        <f>IFERROR(__xludf.DUMMYFUNCTION("""COMPUTED_VALUE"""),1.0)</f>
        <v>1</v>
      </c>
      <c r="J287" s="175">
        <f>IFERROR(__xludf.DUMMYFUNCTION("""COMPUTED_VALUE"""),60.2)</f>
        <v>60.2</v>
      </c>
      <c r="K287" s="35"/>
      <c r="L287" s="175">
        <f>IFERROR(__xludf.DUMMYFUNCTION("""COMPUTED_VALUE"""),64.0)</f>
        <v>64</v>
      </c>
      <c r="M287" s="182" t="str">
        <f>IFERROR(__xludf.DUMMYFUNCTION("""COMPUTED_VALUE"""),"Equity Key Stats")</f>
        <v>Equity Key Stats</v>
      </c>
      <c r="N287" s="35"/>
      <c r="O287" s="35"/>
      <c r="P287" s="184">
        <f>IFERROR(__xludf.DUMMYFUNCTION("""COMPUTED_VALUE"""),96320.0)</f>
        <v>96320</v>
      </c>
      <c r="Q287" s="177"/>
      <c r="R287" s="178">
        <f>IFERROR(__xludf.DUMMYFUNCTION("""COMPUTED_VALUE"""),64.0)</f>
        <v>64</v>
      </c>
      <c r="S287" s="176">
        <f>IFERROR(__xludf.DUMMYFUNCTION("""COMPUTED_VALUE"""),-102400.0)</f>
        <v>-102400</v>
      </c>
      <c r="T287" s="95">
        <f>IFERROR(__xludf.DUMMYFUNCTION("""COMPUTED_VALUE"""),9.0)</f>
        <v>9</v>
      </c>
      <c r="U287" s="95" t="str">
        <f>IFERROR(__xludf.DUMMYFUNCTION("""COMPUTED_VALUE"""),"")</f>
        <v/>
      </c>
      <c r="V287" s="179" t="str">
        <f>IFERROR(__xludf.DUMMYFUNCTION("""COMPUTED_VALUE"""),"")</f>
        <v/>
      </c>
      <c r="W287" s="55" t="str">
        <f>IFERROR(__xludf.DUMMYFUNCTION("""COMPUTED_VALUE"""),"")</f>
        <v/>
      </c>
      <c r="X287" s="181" t="str">
        <f>IFERROR(__xludf.DUMMYFUNCTION("""COMPUTED_VALUE"""),"")</f>
        <v/>
      </c>
      <c r="Y287" s="181" t="str">
        <f>IFERROR(__xludf.DUMMYFUNCTION("""COMPUTED_VALUE"""),"")</f>
        <v/>
      </c>
      <c r="Z287" s="189" t="str">
        <f>IFERROR(__xludf.DUMMYFUNCTION("""COMPUTED_VALUE"""),"")</f>
        <v/>
      </c>
    </row>
    <row r="288">
      <c r="A288" s="35" t="str">
        <f>IFERROR(__xludf.DUMMYFUNCTION("""COMPUTED_VALUE"""),"")</f>
        <v/>
      </c>
      <c r="B288" s="35" t="str">
        <f>IFERROR(__xludf.DUMMYFUNCTION("""COMPUTED_VALUE"""),"38209")</f>
        <v>38209</v>
      </c>
      <c r="C288" s="172">
        <f>IFERROR(__xludf.DUMMYFUNCTION("""COMPUTED_VALUE"""),4.4634000543E10)</f>
        <v>44634000543</v>
      </c>
      <c r="D288" s="188" t="str">
        <f>IFERROR(__xludf.DUMMYFUNCTION("""COMPUTED_VALUE"""),"9988.HK")</f>
        <v>9988.HK</v>
      </c>
      <c r="E288" s="173">
        <f>IFERROR(__xludf.DUMMYFUNCTION("""COMPUTED_VALUE"""),44634.0)</f>
        <v>44634</v>
      </c>
      <c r="F288" s="35" t="str">
        <f>IFERROR(__xludf.DUMMYFUNCTION("""COMPUTED_VALUE"""),"Stock")</f>
        <v>Stock</v>
      </c>
      <c r="G288" s="35" t="str">
        <f>IFERROR(__xludf.DUMMYFUNCTION("""COMPUTED_VALUE"""),"HKD")</f>
        <v>HKD</v>
      </c>
      <c r="H288" s="14">
        <f>IFERROR(__xludf.DUMMYFUNCTION("""COMPUTED_VALUE"""),-600.0)</f>
        <v>-600</v>
      </c>
      <c r="I288" s="174">
        <f>IFERROR(__xludf.DUMMYFUNCTION("""COMPUTED_VALUE"""),1.0)</f>
        <v>1</v>
      </c>
      <c r="J288" s="175">
        <f>IFERROR(__xludf.DUMMYFUNCTION("""COMPUTED_VALUE"""),80.9)</f>
        <v>80.9</v>
      </c>
      <c r="K288" s="35"/>
      <c r="L288" s="175">
        <f>IFERROR(__xludf.DUMMYFUNCTION("""COMPUTED_VALUE"""),98.5)</f>
        <v>98.5</v>
      </c>
      <c r="M288" s="187" t="str">
        <f>IFERROR(__xludf.DUMMYFUNCTION("""COMPUTED_VALUE"""),"Equity Key Stats")</f>
        <v>Equity Key Stats</v>
      </c>
      <c r="N288" s="35"/>
      <c r="O288" s="35"/>
      <c r="P288" s="176">
        <f>IFERROR(__xludf.DUMMYFUNCTION("""COMPUTED_VALUE"""),48540.0)</f>
        <v>48540</v>
      </c>
      <c r="Q288" s="177"/>
      <c r="R288" s="178">
        <f>IFERROR(__xludf.DUMMYFUNCTION("""COMPUTED_VALUE"""),98.5)</f>
        <v>98.5</v>
      </c>
      <c r="S288" s="151">
        <f>IFERROR(__xludf.DUMMYFUNCTION("""COMPUTED_VALUE"""),-59100.0)</f>
        <v>-59100</v>
      </c>
      <c r="T288" s="95">
        <f>IFERROR(__xludf.DUMMYFUNCTION("""COMPUTED_VALUE"""),7.0)</f>
        <v>7</v>
      </c>
      <c r="U288" s="95" t="str">
        <f>IFERROR(__xludf.DUMMYFUNCTION("""COMPUTED_VALUE"""),"")</f>
        <v/>
      </c>
      <c r="V288" s="179" t="str">
        <f>IFERROR(__xludf.DUMMYFUNCTION("""COMPUTED_VALUE"""),"")</f>
        <v/>
      </c>
      <c r="W288" s="55" t="str">
        <f>IFERROR(__xludf.DUMMYFUNCTION("""COMPUTED_VALUE"""),"")</f>
        <v/>
      </c>
      <c r="X288" s="181" t="str">
        <f>IFERROR(__xludf.DUMMYFUNCTION("""COMPUTED_VALUE"""),"")</f>
        <v/>
      </c>
      <c r="Y288" s="181" t="str">
        <f>IFERROR(__xludf.DUMMYFUNCTION("""COMPUTED_VALUE"""),"")</f>
        <v/>
      </c>
      <c r="Z288" s="186" t="str">
        <f>IFERROR(__xludf.DUMMYFUNCTION("""COMPUTED_VALUE"""),"")</f>
        <v/>
      </c>
    </row>
    <row r="289">
      <c r="A289" s="35" t="str">
        <f>IFERROR(__xludf.DUMMYFUNCTION("""COMPUTED_VALUE"""),"")</f>
        <v/>
      </c>
      <c r="B289" s="35" t="str">
        <f>IFERROR(__xludf.DUMMYFUNCTION("""COMPUTED_VALUE"""),"38209")</f>
        <v>38209</v>
      </c>
      <c r="C289" s="172">
        <f>IFERROR(__xludf.DUMMYFUNCTION("""COMPUTED_VALUE"""),4.4635000602E10)</f>
        <v>44635000602</v>
      </c>
      <c r="D289" s="188" t="str">
        <f>IFERROR(__xludf.DUMMYFUNCTION("""COMPUTED_VALUE"""),"9988.HK")</f>
        <v>9988.HK</v>
      </c>
      <c r="E289" s="173">
        <f>IFERROR(__xludf.DUMMYFUNCTION("""COMPUTED_VALUE"""),44635.0)</f>
        <v>44635</v>
      </c>
      <c r="F289" s="35" t="str">
        <f>IFERROR(__xludf.DUMMYFUNCTION("""COMPUTED_VALUE"""),"Stock")</f>
        <v>Stock</v>
      </c>
      <c r="G289" s="35" t="str">
        <f>IFERROR(__xludf.DUMMYFUNCTION("""COMPUTED_VALUE"""),"HKD")</f>
        <v>HKD</v>
      </c>
      <c r="H289" s="14">
        <f>IFERROR(__xludf.DUMMYFUNCTION("""COMPUTED_VALUE"""),1000.0)</f>
        <v>1000</v>
      </c>
      <c r="I289" s="174">
        <f>IFERROR(__xludf.DUMMYFUNCTION("""COMPUTED_VALUE"""),1.0)</f>
        <v>1</v>
      </c>
      <c r="J289" s="175">
        <f>IFERROR(__xludf.DUMMYFUNCTION("""COMPUTED_VALUE"""),71.25)</f>
        <v>71.25</v>
      </c>
      <c r="K289" s="35"/>
      <c r="L289" s="175">
        <f>IFERROR(__xludf.DUMMYFUNCTION("""COMPUTED_VALUE"""),98.5)</f>
        <v>98.5</v>
      </c>
      <c r="M289" s="187" t="str">
        <f>IFERROR(__xludf.DUMMYFUNCTION("""COMPUTED_VALUE"""),"Equity Key Stats")</f>
        <v>Equity Key Stats</v>
      </c>
      <c r="N289" s="35"/>
      <c r="O289" s="35"/>
      <c r="P289" s="176">
        <f>IFERROR(__xludf.DUMMYFUNCTION("""COMPUTED_VALUE"""),-71250.0)</f>
        <v>-71250</v>
      </c>
      <c r="Q289" s="177"/>
      <c r="R289" s="178">
        <f>IFERROR(__xludf.DUMMYFUNCTION("""COMPUTED_VALUE"""),98.5)</f>
        <v>98.5</v>
      </c>
      <c r="S289" s="151">
        <f>IFERROR(__xludf.DUMMYFUNCTION("""COMPUTED_VALUE"""),98500.0)</f>
        <v>98500</v>
      </c>
      <c r="T289" s="95">
        <f>IFERROR(__xludf.DUMMYFUNCTION("""COMPUTED_VALUE"""),7.0)</f>
        <v>7</v>
      </c>
      <c r="U289" s="95" t="str">
        <f>IFERROR(__xludf.DUMMYFUNCTION("""COMPUTED_VALUE"""),"")</f>
        <v/>
      </c>
      <c r="V289" s="179" t="str">
        <f>IFERROR(__xludf.DUMMYFUNCTION("""COMPUTED_VALUE"""),"")</f>
        <v/>
      </c>
      <c r="W289" s="171" t="str">
        <f>IFERROR(__xludf.DUMMYFUNCTION("""COMPUTED_VALUE"""),"")</f>
        <v/>
      </c>
      <c r="X289" s="14" t="str">
        <f>IFERROR(__xludf.DUMMYFUNCTION("""COMPUTED_VALUE"""),"")</f>
        <v/>
      </c>
      <c r="Y289" s="14" t="str">
        <f>IFERROR(__xludf.DUMMYFUNCTION("""COMPUTED_VALUE"""),"")</f>
        <v/>
      </c>
      <c r="Z289" s="11" t="str">
        <f>IFERROR(__xludf.DUMMYFUNCTION("""COMPUTED_VALUE"""),"")</f>
        <v/>
      </c>
    </row>
    <row r="290">
      <c r="A290" s="35" t="str">
        <f>IFERROR(__xludf.DUMMYFUNCTION("""COMPUTED_VALUE"""),"")</f>
        <v/>
      </c>
      <c r="B290" s="35" t="str">
        <f>IFERROR(__xludf.DUMMYFUNCTION("""COMPUTED_VALUE"""),"38209")</f>
        <v>38209</v>
      </c>
      <c r="C290" s="172">
        <f>IFERROR(__xludf.DUMMYFUNCTION("""COMPUTED_VALUE"""),4.4635000604E10)</f>
        <v>44635000604</v>
      </c>
      <c r="D290" s="188" t="str">
        <f>IFERROR(__xludf.DUMMYFUNCTION("""COMPUTED_VALUE"""),"6862.HK")</f>
        <v>6862.HK</v>
      </c>
      <c r="E290" s="173">
        <f>IFERROR(__xludf.DUMMYFUNCTION("""COMPUTED_VALUE"""),44635.0)</f>
        <v>44635</v>
      </c>
      <c r="F290" s="35" t="str">
        <f>IFERROR(__xludf.DUMMYFUNCTION("""COMPUTED_VALUE"""),"Stock")</f>
        <v>Stock</v>
      </c>
      <c r="G290" s="35" t="str">
        <f>IFERROR(__xludf.DUMMYFUNCTION("""COMPUTED_VALUE"""),"HKD")</f>
        <v>HKD</v>
      </c>
      <c r="H290" s="181">
        <f>IFERROR(__xludf.DUMMYFUNCTION("""COMPUTED_VALUE"""),2500.0)</f>
        <v>2500</v>
      </c>
      <c r="I290" s="174">
        <f>IFERROR(__xludf.DUMMYFUNCTION("""COMPUTED_VALUE"""),1.0)</f>
        <v>1</v>
      </c>
      <c r="J290" s="175">
        <f>IFERROR(__xludf.DUMMYFUNCTION("""COMPUTED_VALUE"""),10.08)</f>
        <v>10.08</v>
      </c>
      <c r="K290" s="35"/>
      <c r="L290" s="175">
        <f>IFERROR(__xludf.DUMMYFUNCTION("""COMPUTED_VALUE"""),14.68)</f>
        <v>14.68</v>
      </c>
      <c r="M290" s="182" t="str">
        <f>IFERROR(__xludf.DUMMYFUNCTION("""COMPUTED_VALUE"""),"Equity Key Stats")</f>
        <v>Equity Key Stats</v>
      </c>
      <c r="N290" s="35"/>
      <c r="O290" s="35"/>
      <c r="P290" s="184">
        <f>IFERROR(__xludf.DUMMYFUNCTION("""COMPUTED_VALUE"""),-25200.0)</f>
        <v>-25200</v>
      </c>
      <c r="Q290" s="177"/>
      <c r="R290" s="178">
        <f>IFERROR(__xludf.DUMMYFUNCTION("""COMPUTED_VALUE"""),14.68)</f>
        <v>14.68</v>
      </c>
      <c r="S290" s="176">
        <f>IFERROR(__xludf.DUMMYFUNCTION("""COMPUTED_VALUE"""),36700.0)</f>
        <v>36700</v>
      </c>
      <c r="T290" s="95">
        <f>IFERROR(__xludf.DUMMYFUNCTION("""COMPUTED_VALUE"""),2.0)</f>
        <v>2</v>
      </c>
      <c r="U290" s="95" t="str">
        <f>IFERROR(__xludf.DUMMYFUNCTION("""COMPUTED_VALUE"""),"")</f>
        <v/>
      </c>
      <c r="V290" s="185" t="str">
        <f>IFERROR(__xludf.DUMMYFUNCTION("""COMPUTED_VALUE"""),"")</f>
        <v/>
      </c>
      <c r="W290" s="171" t="str">
        <f>IFERROR(__xludf.DUMMYFUNCTION("""COMPUTED_VALUE"""),"")</f>
        <v/>
      </c>
      <c r="X290" s="14" t="str">
        <f>IFERROR(__xludf.DUMMYFUNCTION("""COMPUTED_VALUE"""),"")</f>
        <v/>
      </c>
      <c r="Y290" s="14" t="str">
        <f>IFERROR(__xludf.DUMMYFUNCTION("""COMPUTED_VALUE"""),"")</f>
        <v/>
      </c>
      <c r="Z290" s="11" t="str">
        <f>IFERROR(__xludf.DUMMYFUNCTION("""COMPUTED_VALUE"""),"")</f>
        <v/>
      </c>
    </row>
    <row r="291">
      <c r="A291" s="35" t="str">
        <f>IFERROR(__xludf.DUMMYFUNCTION("""COMPUTED_VALUE"""),"")</f>
        <v/>
      </c>
      <c r="B291" s="35" t="str">
        <f>IFERROR(__xludf.DUMMYFUNCTION("""COMPUTED_VALUE"""),"38209")</f>
        <v>38209</v>
      </c>
      <c r="C291" s="172">
        <f>IFERROR(__xludf.DUMMYFUNCTION("""COMPUTED_VALUE"""),4.4635000606E10)</f>
        <v>44635000606</v>
      </c>
      <c r="D291" s="188" t="str">
        <f>IFERROR(__xludf.DUMMYFUNCTION("""COMPUTED_VALUE"""),"600519.SS")</f>
        <v>600519.SS</v>
      </c>
      <c r="E291" s="173">
        <f>IFERROR(__xludf.DUMMYFUNCTION("""COMPUTED_VALUE"""),44635.0)</f>
        <v>44635</v>
      </c>
      <c r="F291" s="35" t="str">
        <f>IFERROR(__xludf.DUMMYFUNCTION("""COMPUTED_VALUE"""),"Stock")</f>
        <v>Stock</v>
      </c>
      <c r="G291" s="35" t="str">
        <f>IFERROR(__xludf.DUMMYFUNCTION("""COMPUTED_VALUE"""),"CNY")</f>
        <v>CNY</v>
      </c>
      <c r="H291" s="181">
        <f>IFERROR(__xludf.DUMMYFUNCTION("""COMPUTED_VALUE"""),100.0)</f>
        <v>100</v>
      </c>
      <c r="I291" s="174">
        <f>IFERROR(__xludf.DUMMYFUNCTION("""COMPUTED_VALUE"""),1.228816)</f>
        <v>1.228816</v>
      </c>
      <c r="J291" s="175">
        <f>IFERROR(__xludf.DUMMYFUNCTION("""COMPUTED_VALUE"""),1603.0)</f>
        <v>1603</v>
      </c>
      <c r="K291" s="35"/>
      <c r="L291" s="175">
        <f>IFERROR(__xludf.DUMMYFUNCTION("""COMPUTED_VALUE"""),1769.0)</f>
        <v>1769</v>
      </c>
      <c r="M291" s="182" t="str">
        <f>IFERROR(__xludf.DUMMYFUNCTION("""COMPUTED_VALUE"""),"Equity Key Stats")</f>
        <v>Equity Key Stats</v>
      </c>
      <c r="N291" s="35"/>
      <c r="O291" s="35"/>
      <c r="P291" s="184">
        <f>IFERROR(__xludf.DUMMYFUNCTION("""COMPUTED_VALUE"""),-196979.20479999998)</f>
        <v>-196979.2048</v>
      </c>
      <c r="Q291" s="177"/>
      <c r="R291" s="178">
        <f>IFERROR(__xludf.DUMMYFUNCTION("""COMPUTED_VALUE"""),1769.0)</f>
        <v>1769</v>
      </c>
      <c r="S291" s="176">
        <f>IFERROR(__xludf.DUMMYFUNCTION("""COMPUTED_VALUE"""),217377.55039999998)</f>
        <v>217377.5504</v>
      </c>
      <c r="T291" s="95">
        <f>IFERROR(__xludf.DUMMYFUNCTION("""COMPUTED_VALUE"""),4.0)</f>
        <v>4</v>
      </c>
      <c r="U291" s="35" t="str">
        <f>IFERROR(__xludf.DUMMYFUNCTION("""COMPUTED_VALUE"""),"")</f>
        <v/>
      </c>
      <c r="V291" s="170" t="str">
        <f>IFERROR(__xludf.DUMMYFUNCTION("""COMPUTED_VALUE"""),"")</f>
        <v/>
      </c>
      <c r="W291" s="171" t="str">
        <f>IFERROR(__xludf.DUMMYFUNCTION("""COMPUTED_VALUE"""),"")</f>
        <v/>
      </c>
      <c r="X291" s="14" t="str">
        <f>IFERROR(__xludf.DUMMYFUNCTION("""COMPUTED_VALUE"""),"")</f>
        <v/>
      </c>
      <c r="Y291" s="14" t="str">
        <f>IFERROR(__xludf.DUMMYFUNCTION("""COMPUTED_VALUE"""),"")</f>
        <v/>
      </c>
      <c r="Z291" s="11" t="str">
        <f>IFERROR(__xludf.DUMMYFUNCTION("""COMPUTED_VALUE"""),"")</f>
        <v/>
      </c>
    </row>
    <row r="292">
      <c r="A292" s="35" t="str">
        <f>IFERROR(__xludf.DUMMYFUNCTION("""COMPUTED_VALUE"""),"")</f>
        <v/>
      </c>
      <c r="B292" s="35" t="str">
        <f>IFERROR(__xludf.DUMMYFUNCTION("""COMPUTED_VALUE"""),"38209")</f>
        <v>38209</v>
      </c>
      <c r="C292" s="172">
        <f>IFERROR(__xludf.DUMMYFUNCTION("""COMPUTED_VALUE"""),4.4635000612E10)</f>
        <v>44635000612</v>
      </c>
      <c r="D292" s="192" t="str">
        <f>IFERROR(__xludf.DUMMYFUNCTION("""COMPUTED_VALUE"""),"XLV")</f>
        <v>XLV</v>
      </c>
      <c r="E292" s="173">
        <f>IFERROR(__xludf.DUMMYFUNCTION("""COMPUTED_VALUE"""),44635.0)</f>
        <v>44635</v>
      </c>
      <c r="F292" s="35" t="str">
        <f>IFERROR(__xludf.DUMMYFUNCTION("""COMPUTED_VALUE"""),"Stock")</f>
        <v>Stock</v>
      </c>
      <c r="G292" s="35" t="str">
        <f>IFERROR(__xludf.DUMMYFUNCTION("""COMPUTED_VALUE"""),"USD")</f>
        <v>USD</v>
      </c>
      <c r="H292" s="181">
        <f>IFERROR(__xludf.DUMMYFUNCTION("""COMPUTED_VALUE"""),200.0)</f>
        <v>200</v>
      </c>
      <c r="I292" s="174">
        <f>IFERROR(__xludf.DUMMYFUNCTION("""COMPUTED_VALUE"""),7.82695)</f>
        <v>7.82695</v>
      </c>
      <c r="J292" s="175">
        <f>IFERROR(__xludf.DUMMYFUNCTION("""COMPUTED_VALUE"""),132.44)</f>
        <v>132.44</v>
      </c>
      <c r="K292" s="35"/>
      <c r="L292" s="175">
        <f>IFERROR(__xludf.DUMMYFUNCTION("""COMPUTED_VALUE"""),139.31)</f>
        <v>139.31</v>
      </c>
      <c r="M292" s="182" t="str">
        <f>IFERROR(__xludf.DUMMYFUNCTION("""COMPUTED_VALUE"""),"Equity Key Stats")</f>
        <v>Equity Key Stats</v>
      </c>
      <c r="N292" s="35"/>
      <c r="O292" s="35"/>
      <c r="P292" s="184">
        <f>IFERROR(__xludf.DUMMYFUNCTION("""COMPUTED_VALUE"""),-207320.25160000002)</f>
        <v>-207320.2516</v>
      </c>
      <c r="Q292" s="177"/>
      <c r="R292" s="178">
        <f>IFERROR(__xludf.DUMMYFUNCTION("""COMPUTED_VALUE"""),139.31)</f>
        <v>139.31</v>
      </c>
      <c r="S292" s="176">
        <f>IFERROR(__xludf.DUMMYFUNCTION("""COMPUTED_VALUE"""),218074.48090000002)</f>
        <v>218074.4809</v>
      </c>
      <c r="T292" s="95">
        <f>IFERROR(__xludf.DUMMYFUNCTION("""COMPUTED_VALUE"""),2.0)</f>
        <v>2</v>
      </c>
      <c r="U292" s="95" t="str">
        <f>IFERROR(__xludf.DUMMYFUNCTION("""COMPUTED_VALUE"""),"")</f>
        <v/>
      </c>
      <c r="V292" s="179" t="str">
        <f>IFERROR(__xludf.DUMMYFUNCTION("""COMPUTED_VALUE"""),"")</f>
        <v/>
      </c>
      <c r="W292" s="171" t="str">
        <f>IFERROR(__xludf.DUMMYFUNCTION("""COMPUTED_VALUE"""),"")</f>
        <v/>
      </c>
      <c r="X292" s="14" t="str">
        <f>IFERROR(__xludf.DUMMYFUNCTION("""COMPUTED_VALUE"""),"")</f>
        <v/>
      </c>
      <c r="Y292" s="14" t="str">
        <f>IFERROR(__xludf.DUMMYFUNCTION("""COMPUTED_VALUE"""),"")</f>
        <v/>
      </c>
      <c r="Z292" s="11" t="str">
        <f>IFERROR(__xludf.DUMMYFUNCTION("""COMPUTED_VALUE"""),"")</f>
        <v/>
      </c>
    </row>
    <row r="293">
      <c r="A293" s="35" t="str">
        <f>IFERROR(__xludf.DUMMYFUNCTION("""COMPUTED_VALUE"""),"")</f>
        <v/>
      </c>
      <c r="B293" s="35" t="str">
        <f>IFERROR(__xludf.DUMMYFUNCTION("""COMPUTED_VALUE"""),"38209")</f>
        <v>38209</v>
      </c>
      <c r="C293" s="172">
        <f>IFERROR(__xludf.DUMMYFUNCTION("""COMPUTED_VALUE"""),4.4636000639E10)</f>
        <v>44636000639</v>
      </c>
      <c r="D293" s="188" t="str">
        <f>IFERROR(__xludf.DUMMYFUNCTION("""COMPUTED_VALUE"""),"1810.HK")</f>
        <v>1810.HK</v>
      </c>
      <c r="E293" s="173">
        <f>IFERROR(__xludf.DUMMYFUNCTION("""COMPUTED_VALUE"""),44636.0)</f>
        <v>44636</v>
      </c>
      <c r="F293" s="35" t="str">
        <f>IFERROR(__xludf.DUMMYFUNCTION("""COMPUTED_VALUE"""),"Stock")</f>
        <v>Stock</v>
      </c>
      <c r="G293" s="35" t="str">
        <f>IFERROR(__xludf.DUMMYFUNCTION("""COMPUTED_VALUE"""),"HKD")</f>
        <v>HKD</v>
      </c>
      <c r="H293" s="181">
        <f>IFERROR(__xludf.DUMMYFUNCTION("""COMPUTED_VALUE"""),3000.0)</f>
        <v>3000</v>
      </c>
      <c r="I293" s="174">
        <f>IFERROR(__xludf.DUMMYFUNCTION("""COMPUTED_VALUE"""),1.0)</f>
        <v>1</v>
      </c>
      <c r="J293" s="175">
        <f>IFERROR(__xludf.DUMMYFUNCTION("""COMPUTED_VALUE"""),13.4)</f>
        <v>13.4</v>
      </c>
      <c r="K293" s="35"/>
      <c r="L293" s="175">
        <f>IFERROR(__xludf.DUMMYFUNCTION("""COMPUTED_VALUE"""),12.36)</f>
        <v>12.36</v>
      </c>
      <c r="M293" s="182" t="str">
        <f>IFERROR(__xludf.DUMMYFUNCTION("""COMPUTED_VALUE"""),"Equity Key Stats")</f>
        <v>Equity Key Stats</v>
      </c>
      <c r="N293" s="35"/>
      <c r="O293" s="35"/>
      <c r="P293" s="184">
        <f>IFERROR(__xludf.DUMMYFUNCTION("""COMPUTED_VALUE"""),-40200.0)</f>
        <v>-40200</v>
      </c>
      <c r="Q293" s="177"/>
      <c r="R293" s="178">
        <f>IFERROR(__xludf.DUMMYFUNCTION("""COMPUTED_VALUE"""),12.36)</f>
        <v>12.36</v>
      </c>
      <c r="S293" s="176">
        <f>IFERROR(__xludf.DUMMYFUNCTION("""COMPUTED_VALUE"""),37080.0)</f>
        <v>37080</v>
      </c>
      <c r="T293" s="95">
        <f>IFERROR(__xludf.DUMMYFUNCTION("""COMPUTED_VALUE"""),6.0)</f>
        <v>6</v>
      </c>
      <c r="U293" s="95" t="str">
        <f>IFERROR(__xludf.DUMMYFUNCTION("""COMPUTED_VALUE"""),"")</f>
        <v/>
      </c>
      <c r="V293" s="179" t="str">
        <f>IFERROR(__xludf.DUMMYFUNCTION("""COMPUTED_VALUE"""),"")</f>
        <v/>
      </c>
      <c r="W293" s="171" t="str">
        <f>IFERROR(__xludf.DUMMYFUNCTION("""COMPUTED_VALUE"""),"")</f>
        <v/>
      </c>
      <c r="X293" s="14" t="str">
        <f>IFERROR(__xludf.DUMMYFUNCTION("""COMPUTED_VALUE"""),"")</f>
        <v/>
      </c>
      <c r="Y293" s="14" t="str">
        <f>IFERROR(__xludf.DUMMYFUNCTION("""COMPUTED_VALUE"""),"")</f>
        <v/>
      </c>
      <c r="Z293" s="11" t="str">
        <f>IFERROR(__xludf.DUMMYFUNCTION("""COMPUTED_VALUE"""),"")</f>
        <v/>
      </c>
    </row>
    <row r="294">
      <c r="A294" s="35" t="str">
        <f>IFERROR(__xludf.DUMMYFUNCTION("""COMPUTED_VALUE"""),"")</f>
        <v/>
      </c>
      <c r="B294" s="35" t="str">
        <f>IFERROR(__xludf.DUMMYFUNCTION("""COMPUTED_VALUE"""),"38209")</f>
        <v>38209</v>
      </c>
      <c r="C294" s="172">
        <f>IFERROR(__xludf.DUMMYFUNCTION("""COMPUTED_VALUE"""),4.4637000666E10)</f>
        <v>44637000666</v>
      </c>
      <c r="D294" s="188" t="str">
        <f>IFERROR(__xludf.DUMMYFUNCTION("""COMPUTED_VALUE"""),"9988.HK")</f>
        <v>9988.HK</v>
      </c>
      <c r="E294" s="173">
        <f>IFERROR(__xludf.DUMMYFUNCTION("""COMPUTED_VALUE"""),44637.0)</f>
        <v>44637</v>
      </c>
      <c r="F294" s="35" t="str">
        <f>IFERROR(__xludf.DUMMYFUNCTION("""COMPUTED_VALUE"""),"Stock")</f>
        <v>Stock</v>
      </c>
      <c r="G294" s="35" t="str">
        <f>IFERROR(__xludf.DUMMYFUNCTION("""COMPUTED_VALUE"""),"HKD")</f>
        <v>HKD</v>
      </c>
      <c r="H294" s="181">
        <f>IFERROR(__xludf.DUMMYFUNCTION("""COMPUTED_VALUE"""),-1000.0)</f>
        <v>-1000</v>
      </c>
      <c r="I294" s="174">
        <f>IFERROR(__xludf.DUMMYFUNCTION("""COMPUTED_VALUE"""),1.0)</f>
        <v>1</v>
      </c>
      <c r="J294" s="175">
        <f>IFERROR(__xludf.DUMMYFUNCTION("""COMPUTED_VALUE"""),102.0)</f>
        <v>102</v>
      </c>
      <c r="K294" s="35"/>
      <c r="L294" s="175">
        <f>IFERROR(__xludf.DUMMYFUNCTION("""COMPUTED_VALUE"""),98.5)</f>
        <v>98.5</v>
      </c>
      <c r="M294" s="182" t="str">
        <f>IFERROR(__xludf.DUMMYFUNCTION("""COMPUTED_VALUE"""),"Equity Key Stats")</f>
        <v>Equity Key Stats</v>
      </c>
      <c r="N294" s="35"/>
      <c r="O294" s="35"/>
      <c r="P294" s="184">
        <f>IFERROR(__xludf.DUMMYFUNCTION("""COMPUTED_VALUE"""),102000.0)</f>
        <v>102000</v>
      </c>
      <c r="Q294" s="177"/>
      <c r="R294" s="178">
        <f>IFERROR(__xludf.DUMMYFUNCTION("""COMPUTED_VALUE"""),98.5)</f>
        <v>98.5</v>
      </c>
      <c r="S294" s="176">
        <f>IFERROR(__xludf.DUMMYFUNCTION("""COMPUTED_VALUE"""),-98500.0)</f>
        <v>-98500</v>
      </c>
      <c r="T294" s="95">
        <f>IFERROR(__xludf.DUMMYFUNCTION("""COMPUTED_VALUE"""),7.0)</f>
        <v>7</v>
      </c>
      <c r="U294" s="95">
        <f>IFERROR(__xludf.DUMMYFUNCTION("""COMPUTED_VALUE"""),1.0)</f>
        <v>1</v>
      </c>
      <c r="V294" s="179">
        <f>IFERROR(__xludf.DUMMYFUNCTION("""COMPUTED_VALUE"""),21015.0)</f>
        <v>21015</v>
      </c>
      <c r="W294" s="55" t="str">
        <f>IFERROR(__xludf.DUMMYFUNCTION("""COMPUTED_VALUE"""),"")</f>
        <v/>
      </c>
      <c r="X294" s="183" t="str">
        <f>IFERROR(__xludf.DUMMYFUNCTION("""COMPUTED_VALUE"""),"")</f>
        <v/>
      </c>
      <c r="Y294" s="181" t="str">
        <f>IFERROR(__xludf.DUMMYFUNCTION("""COMPUTED_VALUE"""),"")</f>
        <v/>
      </c>
      <c r="Z294" s="186" t="str">
        <f>IFERROR(__xludf.DUMMYFUNCTION("""COMPUTED_VALUE"""),"")</f>
        <v/>
      </c>
    </row>
    <row r="295">
      <c r="A295" s="35" t="str">
        <f>IFERROR(__xludf.DUMMYFUNCTION("""COMPUTED_VALUE"""),"")</f>
        <v/>
      </c>
      <c r="B295" s="35" t="str">
        <f>IFERROR(__xludf.DUMMYFUNCTION("""COMPUTED_VALUE"""),"38209")</f>
        <v>38209</v>
      </c>
      <c r="C295" s="172">
        <f>IFERROR(__xludf.DUMMYFUNCTION("""COMPUTED_VALUE"""),4.4638000695E10)</f>
        <v>44638000695</v>
      </c>
      <c r="D295" s="188" t="str">
        <f>IFERROR(__xludf.DUMMYFUNCTION("""COMPUTED_VALUE"""),"600519.SS")</f>
        <v>600519.SS</v>
      </c>
      <c r="E295" s="173">
        <f>IFERROR(__xludf.DUMMYFUNCTION("""COMPUTED_VALUE"""),44638.0)</f>
        <v>44638</v>
      </c>
      <c r="F295" s="35" t="str">
        <f>IFERROR(__xludf.DUMMYFUNCTION("""COMPUTED_VALUE"""),"Stock")</f>
        <v>Stock</v>
      </c>
      <c r="G295" s="35" t="str">
        <f>IFERROR(__xludf.DUMMYFUNCTION("""COMPUTED_VALUE"""),"CNY")</f>
        <v>CNY</v>
      </c>
      <c r="H295" s="14">
        <f>IFERROR(__xludf.DUMMYFUNCTION("""COMPUTED_VALUE"""),-100.0)</f>
        <v>-100</v>
      </c>
      <c r="I295" s="174">
        <f>IFERROR(__xludf.DUMMYFUNCTION("""COMPUTED_VALUE"""),1.231731)</f>
        <v>1.231731</v>
      </c>
      <c r="J295" s="175">
        <f>IFERROR(__xludf.DUMMYFUNCTION("""COMPUTED_VALUE"""),1707.79)</f>
        <v>1707.79</v>
      </c>
      <c r="K295" s="35"/>
      <c r="L295" s="175">
        <f>IFERROR(__xludf.DUMMYFUNCTION("""COMPUTED_VALUE"""),1769.0)</f>
        <v>1769</v>
      </c>
      <c r="M295" s="187" t="str">
        <f>IFERROR(__xludf.DUMMYFUNCTION("""COMPUTED_VALUE"""),"Equity Key Stats")</f>
        <v>Equity Key Stats</v>
      </c>
      <c r="N295" s="35"/>
      <c r="O295" s="35"/>
      <c r="P295" s="176">
        <f>IFERROR(__xludf.DUMMYFUNCTION("""COMPUTED_VALUE"""),210353.78844899999)</f>
        <v>210353.7884</v>
      </c>
      <c r="Q295" s="177"/>
      <c r="R295" s="178">
        <f>IFERROR(__xludf.DUMMYFUNCTION("""COMPUTED_VALUE"""),1769.0)</f>
        <v>1769</v>
      </c>
      <c r="S295" s="151">
        <f>IFERROR(__xludf.DUMMYFUNCTION("""COMPUTED_VALUE"""),-217893.21389999997)</f>
        <v>-217893.2139</v>
      </c>
      <c r="T295" s="95">
        <f>IFERROR(__xludf.DUMMYFUNCTION("""COMPUTED_VALUE"""),4.0)</f>
        <v>4</v>
      </c>
      <c r="U295" s="95" t="str">
        <f>IFERROR(__xludf.DUMMYFUNCTION("""COMPUTED_VALUE"""),"")</f>
        <v/>
      </c>
      <c r="V295" s="179" t="str">
        <f>IFERROR(__xludf.DUMMYFUNCTION("""COMPUTED_VALUE"""),"")</f>
        <v/>
      </c>
      <c r="W295" s="171" t="str">
        <f>IFERROR(__xludf.DUMMYFUNCTION("""COMPUTED_VALUE"""),"")</f>
        <v/>
      </c>
      <c r="X295" s="14" t="str">
        <f>IFERROR(__xludf.DUMMYFUNCTION("""COMPUTED_VALUE"""),"")</f>
        <v/>
      </c>
      <c r="Y295" s="14" t="str">
        <f>IFERROR(__xludf.DUMMYFUNCTION("""COMPUTED_VALUE"""),"")</f>
        <v/>
      </c>
      <c r="Z295" s="11" t="str">
        <f>IFERROR(__xludf.DUMMYFUNCTION("""COMPUTED_VALUE"""),"")</f>
        <v/>
      </c>
    </row>
    <row r="296">
      <c r="A296" s="35" t="str">
        <f>IFERROR(__xludf.DUMMYFUNCTION("""COMPUTED_VALUE"""),"")</f>
        <v/>
      </c>
      <c r="B296" s="35" t="str">
        <f>IFERROR(__xludf.DUMMYFUNCTION("""COMPUTED_VALUE"""),"38209")</f>
        <v>38209</v>
      </c>
      <c r="C296" s="172">
        <f>IFERROR(__xludf.DUMMYFUNCTION("""COMPUTED_VALUE"""),4.4638000714E10)</f>
        <v>44638000714</v>
      </c>
      <c r="D296" s="192" t="str">
        <f>IFERROR(__xludf.DUMMYFUNCTION("""COMPUTED_VALUE"""),"XLV")</f>
        <v>XLV</v>
      </c>
      <c r="E296" s="173">
        <f>IFERROR(__xludf.DUMMYFUNCTION("""COMPUTED_VALUE"""),44638.0)</f>
        <v>44638</v>
      </c>
      <c r="F296" s="35" t="str">
        <f>IFERROR(__xludf.DUMMYFUNCTION("""COMPUTED_VALUE"""),"Stock")</f>
        <v>Stock</v>
      </c>
      <c r="G296" s="35" t="str">
        <f>IFERROR(__xludf.DUMMYFUNCTION("""COMPUTED_VALUE"""),"USD")</f>
        <v>USD</v>
      </c>
      <c r="H296" s="181">
        <f>IFERROR(__xludf.DUMMYFUNCTION("""COMPUTED_VALUE"""),-200.0)</f>
        <v>-200</v>
      </c>
      <c r="I296" s="174">
        <f>IFERROR(__xludf.DUMMYFUNCTION("""COMPUTED_VALUE"""),7.82495)</f>
        <v>7.82495</v>
      </c>
      <c r="J296" s="175">
        <f>IFERROR(__xludf.DUMMYFUNCTION("""COMPUTED_VALUE"""),136.99)</f>
        <v>136.99</v>
      </c>
      <c r="K296" s="35"/>
      <c r="L296" s="175">
        <f>IFERROR(__xludf.DUMMYFUNCTION("""COMPUTED_VALUE"""),139.31)</f>
        <v>139.31</v>
      </c>
      <c r="M296" s="182" t="str">
        <f>IFERROR(__xludf.DUMMYFUNCTION("""COMPUTED_VALUE"""),"Equity Key Stats")</f>
        <v>Equity Key Stats</v>
      </c>
      <c r="N296" s="35"/>
      <c r="O296" s="35"/>
      <c r="P296" s="184">
        <f>IFERROR(__xludf.DUMMYFUNCTION("""COMPUTED_VALUE"""),214387.98010000002)</f>
        <v>214387.9801</v>
      </c>
      <c r="Q296" s="177"/>
      <c r="R296" s="178">
        <f>IFERROR(__xludf.DUMMYFUNCTION("""COMPUTED_VALUE"""),139.31)</f>
        <v>139.31</v>
      </c>
      <c r="S296" s="176">
        <f>IFERROR(__xludf.DUMMYFUNCTION("""COMPUTED_VALUE"""),-218018.7569)</f>
        <v>-218018.7569</v>
      </c>
      <c r="T296" s="95">
        <f>IFERROR(__xludf.DUMMYFUNCTION("""COMPUTED_VALUE"""),2.0)</f>
        <v>2</v>
      </c>
      <c r="U296" s="35">
        <f>IFERROR(__xludf.DUMMYFUNCTION("""COMPUTED_VALUE"""),1.0)</f>
        <v>1</v>
      </c>
      <c r="V296" s="170">
        <f>IFERROR(__xludf.DUMMYFUNCTION("""COMPUTED_VALUE"""),7123.452500000014)</f>
        <v>7123.4525</v>
      </c>
      <c r="W296" s="171" t="str">
        <f>IFERROR(__xludf.DUMMYFUNCTION("""COMPUTED_VALUE"""),"")</f>
        <v/>
      </c>
      <c r="X296" s="14" t="str">
        <f>IFERROR(__xludf.DUMMYFUNCTION("""COMPUTED_VALUE"""),"")</f>
        <v/>
      </c>
      <c r="Y296" s="14" t="str">
        <f>IFERROR(__xludf.DUMMYFUNCTION("""COMPUTED_VALUE"""),"")</f>
        <v/>
      </c>
      <c r="Z296" s="11" t="str">
        <f>IFERROR(__xludf.DUMMYFUNCTION("""COMPUTED_VALUE"""),"")</f>
        <v/>
      </c>
    </row>
    <row r="297">
      <c r="A297" s="35" t="str">
        <f>IFERROR(__xludf.DUMMYFUNCTION("""COMPUTED_VALUE"""),"")</f>
        <v/>
      </c>
      <c r="B297" s="35" t="str">
        <f>IFERROR(__xludf.DUMMYFUNCTION("""COMPUTED_VALUE"""),"38209")</f>
        <v>38209</v>
      </c>
      <c r="C297" s="172">
        <f>IFERROR(__xludf.DUMMYFUNCTION("""COMPUTED_VALUE"""),4.4644000863E10)</f>
        <v>44644000863</v>
      </c>
      <c r="D297" s="192" t="str">
        <f>IFERROR(__xludf.DUMMYFUNCTION("""COMPUTED_VALUE"""),"1810.HK")</f>
        <v>1810.HK</v>
      </c>
      <c r="E297" s="173">
        <f>IFERROR(__xludf.DUMMYFUNCTION("""COMPUTED_VALUE"""),44644.0)</f>
        <v>44644</v>
      </c>
      <c r="F297" s="35" t="str">
        <f>IFERROR(__xludf.DUMMYFUNCTION("""COMPUTED_VALUE"""),"Stock")</f>
        <v>Stock</v>
      </c>
      <c r="G297" s="35" t="str">
        <f>IFERROR(__xludf.DUMMYFUNCTION("""COMPUTED_VALUE"""),"HKD")</f>
        <v>HKD</v>
      </c>
      <c r="H297" s="183">
        <f>IFERROR(__xludf.DUMMYFUNCTION("""COMPUTED_VALUE"""),-5000.0)</f>
        <v>-5000</v>
      </c>
      <c r="I297" s="174">
        <f>IFERROR(__xludf.DUMMYFUNCTION("""COMPUTED_VALUE"""),1.0)</f>
        <v>1</v>
      </c>
      <c r="J297" s="175">
        <f>IFERROR(__xludf.DUMMYFUNCTION("""COMPUTED_VALUE"""),14.5)</f>
        <v>14.5</v>
      </c>
      <c r="K297" s="35"/>
      <c r="L297" s="175">
        <f>IFERROR(__xludf.DUMMYFUNCTION("""COMPUTED_VALUE"""),12.36)</f>
        <v>12.36</v>
      </c>
      <c r="M297" s="182" t="str">
        <f>IFERROR(__xludf.DUMMYFUNCTION("""COMPUTED_VALUE"""),"Equity Key Stats")</f>
        <v>Equity Key Stats</v>
      </c>
      <c r="N297" s="35"/>
      <c r="O297" s="35"/>
      <c r="P297" s="176">
        <f>IFERROR(__xludf.DUMMYFUNCTION("""COMPUTED_VALUE"""),72500.0)</f>
        <v>72500</v>
      </c>
      <c r="Q297" s="177"/>
      <c r="R297" s="178">
        <f>IFERROR(__xludf.DUMMYFUNCTION("""COMPUTED_VALUE"""),12.36)</f>
        <v>12.36</v>
      </c>
      <c r="S297" s="184">
        <f>IFERROR(__xludf.DUMMYFUNCTION("""COMPUTED_VALUE"""),-61800.0)</f>
        <v>-61800</v>
      </c>
      <c r="T297" s="95">
        <f>IFERROR(__xludf.DUMMYFUNCTION("""COMPUTED_VALUE"""),6.0)</f>
        <v>6</v>
      </c>
      <c r="U297" s="95">
        <f>IFERROR(__xludf.DUMMYFUNCTION("""COMPUTED_VALUE"""),1.0)</f>
        <v>1</v>
      </c>
      <c r="V297" s="185">
        <f>IFERROR(__xludf.DUMMYFUNCTION("""COMPUTED_VALUE"""),4660.0)</f>
        <v>4660</v>
      </c>
      <c r="W297" s="55" t="str">
        <f>IFERROR(__xludf.DUMMYFUNCTION("""COMPUTED_VALUE"""),"")</f>
        <v/>
      </c>
      <c r="X297" s="181" t="str">
        <f>IFERROR(__xludf.DUMMYFUNCTION("""COMPUTED_VALUE"""),"")</f>
        <v/>
      </c>
      <c r="Y297" s="181" t="str">
        <f>IFERROR(__xludf.DUMMYFUNCTION("""COMPUTED_VALUE"""),"")</f>
        <v/>
      </c>
      <c r="Z297" s="189" t="str">
        <f>IFERROR(__xludf.DUMMYFUNCTION("""COMPUTED_VALUE"""),"")</f>
        <v/>
      </c>
    </row>
    <row r="298">
      <c r="A298" s="35" t="str">
        <f>IFERROR(__xludf.DUMMYFUNCTION("""COMPUTED_VALUE"""),"")</f>
        <v/>
      </c>
      <c r="B298" s="35" t="str">
        <f>IFERROR(__xludf.DUMMYFUNCTION("""COMPUTED_VALUE"""),"38209")</f>
        <v>38209</v>
      </c>
      <c r="C298" s="172">
        <f>IFERROR(__xludf.DUMMYFUNCTION("""COMPUTED_VALUE"""),4.4644000864E10)</f>
        <v>44644000864</v>
      </c>
      <c r="D298" s="188" t="str">
        <f>IFERROR(__xludf.DUMMYFUNCTION("""COMPUTED_VALUE"""),"6862.HK")</f>
        <v>6862.HK</v>
      </c>
      <c r="E298" s="173">
        <f>IFERROR(__xludf.DUMMYFUNCTION("""COMPUTED_VALUE"""),44644.0)</f>
        <v>44644</v>
      </c>
      <c r="F298" s="35" t="str">
        <f>IFERROR(__xludf.DUMMYFUNCTION("""COMPUTED_VALUE"""),"Stock")</f>
        <v>Stock</v>
      </c>
      <c r="G298" s="35" t="str">
        <f>IFERROR(__xludf.DUMMYFUNCTION("""COMPUTED_VALUE"""),"HKD")</f>
        <v>HKD</v>
      </c>
      <c r="H298" s="14">
        <f>IFERROR(__xludf.DUMMYFUNCTION("""COMPUTED_VALUE"""),-2500.0)</f>
        <v>-2500</v>
      </c>
      <c r="I298" s="174">
        <f>IFERROR(__xludf.DUMMYFUNCTION("""COMPUTED_VALUE"""),1.0)</f>
        <v>1</v>
      </c>
      <c r="J298" s="175">
        <f>IFERROR(__xludf.DUMMYFUNCTION("""COMPUTED_VALUE"""),14.48)</f>
        <v>14.48</v>
      </c>
      <c r="K298" s="35"/>
      <c r="L298" s="175">
        <f>IFERROR(__xludf.DUMMYFUNCTION("""COMPUTED_VALUE"""),14.68)</f>
        <v>14.68</v>
      </c>
      <c r="M298" s="187" t="str">
        <f>IFERROR(__xludf.DUMMYFUNCTION("""COMPUTED_VALUE"""),"Equity Key Stats")</f>
        <v>Equity Key Stats</v>
      </c>
      <c r="N298" s="35"/>
      <c r="O298" s="35"/>
      <c r="P298" s="176">
        <f>IFERROR(__xludf.DUMMYFUNCTION("""COMPUTED_VALUE"""),36200.0)</f>
        <v>36200</v>
      </c>
      <c r="Q298" s="177"/>
      <c r="R298" s="178">
        <f>IFERROR(__xludf.DUMMYFUNCTION("""COMPUTED_VALUE"""),14.68)</f>
        <v>14.68</v>
      </c>
      <c r="S298" s="151">
        <f>IFERROR(__xludf.DUMMYFUNCTION("""COMPUTED_VALUE"""),-36700.0)</f>
        <v>-36700</v>
      </c>
      <c r="T298" s="95">
        <f>IFERROR(__xludf.DUMMYFUNCTION("""COMPUTED_VALUE"""),2.0)</f>
        <v>2</v>
      </c>
      <c r="U298" s="95">
        <f>IFERROR(__xludf.DUMMYFUNCTION("""COMPUTED_VALUE"""),1.0)</f>
        <v>1</v>
      </c>
      <c r="V298" s="179">
        <f>IFERROR(__xludf.DUMMYFUNCTION("""COMPUTED_VALUE"""),11000.0)</f>
        <v>11000</v>
      </c>
      <c r="W298" s="55" t="str">
        <f>IFERROR(__xludf.DUMMYFUNCTION("""COMPUTED_VALUE"""),"")</f>
        <v/>
      </c>
      <c r="X298" s="181" t="str">
        <f>IFERROR(__xludf.DUMMYFUNCTION("""COMPUTED_VALUE"""),"")</f>
        <v/>
      </c>
      <c r="Y298" s="181" t="str">
        <f>IFERROR(__xludf.DUMMYFUNCTION("""COMPUTED_VALUE"""),"")</f>
        <v/>
      </c>
      <c r="Z298" s="186" t="str">
        <f>IFERROR(__xludf.DUMMYFUNCTION("""COMPUTED_VALUE"""),"")</f>
        <v/>
      </c>
    </row>
    <row r="299">
      <c r="A299" s="35" t="str">
        <f>IFERROR(__xludf.DUMMYFUNCTION("""COMPUTED_VALUE"""),"")</f>
        <v/>
      </c>
      <c r="B299" s="35" t="str">
        <f>IFERROR(__xludf.DUMMYFUNCTION("""COMPUTED_VALUE"""),"38209")</f>
        <v>38209</v>
      </c>
      <c r="C299" s="172">
        <f>IFERROR(__xludf.DUMMYFUNCTION("""COMPUTED_VALUE"""),4.4644000865E10)</f>
        <v>44644000865</v>
      </c>
      <c r="D299" s="188" t="str">
        <f>IFERROR(__xludf.DUMMYFUNCTION("""COMPUTED_VALUE"""),"0700.HK")</f>
        <v>0700.HK</v>
      </c>
      <c r="E299" s="173">
        <f>IFERROR(__xludf.DUMMYFUNCTION("""COMPUTED_VALUE"""),44644.0)</f>
        <v>44644</v>
      </c>
      <c r="F299" s="35" t="str">
        <f>IFERROR(__xludf.DUMMYFUNCTION("""COMPUTED_VALUE"""),"Stock")</f>
        <v>Stock</v>
      </c>
      <c r="G299" s="35" t="str">
        <f>IFERROR(__xludf.DUMMYFUNCTION("""COMPUTED_VALUE"""),"HKD")</f>
        <v>HKD</v>
      </c>
      <c r="H299" s="14">
        <f>IFERROR(__xludf.DUMMYFUNCTION("""COMPUTED_VALUE"""),-1000.0)</f>
        <v>-1000</v>
      </c>
      <c r="I299" s="174">
        <f>IFERROR(__xludf.DUMMYFUNCTION("""COMPUTED_VALUE"""),1.0)</f>
        <v>1</v>
      </c>
      <c r="J299" s="175">
        <f>IFERROR(__xludf.DUMMYFUNCTION("""COMPUTED_VALUE"""),366.0)</f>
        <v>366</v>
      </c>
      <c r="K299" s="35"/>
      <c r="L299" s="175">
        <f>IFERROR(__xludf.DUMMYFUNCTION("""COMPUTED_VALUE"""),373.6)</f>
        <v>373.6</v>
      </c>
      <c r="M299" s="187" t="str">
        <f>IFERROR(__xludf.DUMMYFUNCTION("""COMPUTED_VALUE"""),"Equity Key Stats")</f>
        <v>Equity Key Stats</v>
      </c>
      <c r="N299" s="35"/>
      <c r="O299" s="35"/>
      <c r="P299" s="176">
        <f>IFERROR(__xludf.DUMMYFUNCTION("""COMPUTED_VALUE"""),366000.0)</f>
        <v>366000</v>
      </c>
      <c r="Q299" s="177"/>
      <c r="R299" s="178">
        <f>IFERROR(__xludf.DUMMYFUNCTION("""COMPUTED_VALUE"""),373.6)</f>
        <v>373.6</v>
      </c>
      <c r="S299" s="151">
        <f>IFERROR(__xludf.DUMMYFUNCTION("""COMPUTED_VALUE"""),-373600.0)</f>
        <v>-373600</v>
      </c>
      <c r="T299" s="95">
        <f>IFERROR(__xludf.DUMMYFUNCTION("""COMPUTED_VALUE"""),1.0)</f>
        <v>1</v>
      </c>
      <c r="U299" s="95">
        <f>IFERROR(__xludf.DUMMYFUNCTION("""COMPUTED_VALUE"""),1.0)</f>
        <v>1</v>
      </c>
      <c r="V299" s="179">
        <f>IFERROR(__xludf.DUMMYFUNCTION("""COMPUTED_VALUE"""),-7600.0)</f>
        <v>-7600</v>
      </c>
      <c r="W299" s="55" t="str">
        <f>IFERROR(__xludf.DUMMYFUNCTION("""COMPUTED_VALUE"""),"")</f>
        <v/>
      </c>
      <c r="X299" s="181" t="str">
        <f>IFERROR(__xludf.DUMMYFUNCTION("""COMPUTED_VALUE"""),"")</f>
        <v/>
      </c>
      <c r="Y299" s="181" t="str">
        <f>IFERROR(__xludf.DUMMYFUNCTION("""COMPUTED_VALUE"""),"")</f>
        <v/>
      </c>
      <c r="Z299" s="186" t="str">
        <f>IFERROR(__xludf.DUMMYFUNCTION("""COMPUTED_VALUE"""),"")</f>
        <v/>
      </c>
    </row>
    <row r="300">
      <c r="A300" s="35" t="str">
        <f>IFERROR(__xludf.DUMMYFUNCTION("""COMPUTED_VALUE"""),"")</f>
        <v/>
      </c>
      <c r="B300" s="35" t="str">
        <f>IFERROR(__xludf.DUMMYFUNCTION("""COMPUTED_VALUE"""),"38209")</f>
        <v>38209</v>
      </c>
      <c r="C300" s="172">
        <f>IFERROR(__xludf.DUMMYFUNCTION("""COMPUTED_VALUE"""),4.4648000916E10)</f>
        <v>44648000916</v>
      </c>
      <c r="D300" s="188" t="str">
        <f>IFERROR(__xludf.DUMMYFUNCTION("""COMPUTED_VALUE"""),"600519.SS")</f>
        <v>600519.SS</v>
      </c>
      <c r="E300" s="173">
        <f>IFERROR(__xludf.DUMMYFUNCTION("""COMPUTED_VALUE"""),44648.0)</f>
        <v>44648</v>
      </c>
      <c r="F300" s="35" t="str">
        <f>IFERROR(__xludf.DUMMYFUNCTION("""COMPUTED_VALUE"""),"Stock")</f>
        <v>Stock</v>
      </c>
      <c r="G300" s="35" t="str">
        <f>IFERROR(__xludf.DUMMYFUNCTION("""COMPUTED_VALUE"""),"CNY")</f>
        <v>CNY</v>
      </c>
      <c r="H300" s="14">
        <f>IFERROR(__xludf.DUMMYFUNCTION("""COMPUTED_VALUE"""),-100.0)</f>
        <v>-100</v>
      </c>
      <c r="I300" s="174">
        <f>IFERROR(__xludf.DUMMYFUNCTION("""COMPUTED_VALUE"""),1.228493)</f>
        <v>1.228493</v>
      </c>
      <c r="J300" s="175">
        <f>IFERROR(__xludf.DUMMYFUNCTION("""COMPUTED_VALUE"""),1660.8)</f>
        <v>1660.8</v>
      </c>
      <c r="K300" s="35"/>
      <c r="L300" s="175">
        <f>IFERROR(__xludf.DUMMYFUNCTION("""COMPUTED_VALUE"""),1769.0)</f>
        <v>1769</v>
      </c>
      <c r="M300" s="187" t="str">
        <f>IFERROR(__xludf.DUMMYFUNCTION("""COMPUTED_VALUE"""),"Equity Key Stats")</f>
        <v>Equity Key Stats</v>
      </c>
      <c r="N300" s="35"/>
      <c r="O300" s="35"/>
      <c r="P300" s="176">
        <f>IFERROR(__xludf.DUMMYFUNCTION("""COMPUTED_VALUE"""),204028.11744)</f>
        <v>204028.1174</v>
      </c>
      <c r="Q300" s="177"/>
      <c r="R300" s="178">
        <f>IFERROR(__xludf.DUMMYFUNCTION("""COMPUTED_VALUE"""),1769.0)</f>
        <v>1769</v>
      </c>
      <c r="S300" s="151">
        <f>IFERROR(__xludf.DUMMYFUNCTION("""COMPUTED_VALUE"""),-217320.4117)</f>
        <v>-217320.4117</v>
      </c>
      <c r="T300" s="95">
        <f>IFERROR(__xludf.DUMMYFUNCTION("""COMPUTED_VALUE"""),4.0)</f>
        <v>4</v>
      </c>
      <c r="U300" s="95" t="str">
        <f>IFERROR(__xludf.DUMMYFUNCTION("""COMPUTED_VALUE"""),"")</f>
        <v/>
      </c>
      <c r="V300" s="179" t="str">
        <f>IFERROR(__xludf.DUMMYFUNCTION("""COMPUTED_VALUE"""),"")</f>
        <v/>
      </c>
      <c r="W300" s="171" t="str">
        <f>IFERROR(__xludf.DUMMYFUNCTION("""COMPUTED_VALUE"""),"")</f>
        <v/>
      </c>
      <c r="X300" s="14" t="str">
        <f>IFERROR(__xludf.DUMMYFUNCTION("""COMPUTED_VALUE"""),"")</f>
        <v/>
      </c>
      <c r="Y300" s="14" t="str">
        <f>IFERROR(__xludf.DUMMYFUNCTION("""COMPUTED_VALUE"""),"")</f>
        <v/>
      </c>
      <c r="Z300" s="11" t="str">
        <f>IFERROR(__xludf.DUMMYFUNCTION("""COMPUTED_VALUE"""),"")</f>
        <v/>
      </c>
    </row>
    <row r="301">
      <c r="A301" s="35" t="str">
        <f>IFERROR(__xludf.DUMMYFUNCTION("""COMPUTED_VALUE"""),"")</f>
        <v/>
      </c>
      <c r="B301" s="35" t="str">
        <f>IFERROR(__xludf.DUMMYFUNCTION("""COMPUTED_VALUE"""),"38209")</f>
        <v>38209</v>
      </c>
      <c r="C301" s="172">
        <f>IFERROR(__xludf.DUMMYFUNCTION("""COMPUTED_VALUE"""),4.4648000964E10)</f>
        <v>44648000964</v>
      </c>
      <c r="D301" s="192" t="str">
        <f>IFERROR(__xludf.DUMMYFUNCTION("""COMPUTED_VALUE"""),"6680.HK")</f>
        <v>6680.HK</v>
      </c>
      <c r="E301" s="173">
        <f>IFERROR(__xludf.DUMMYFUNCTION("""COMPUTED_VALUE"""),44648.0)</f>
        <v>44648</v>
      </c>
      <c r="F301" s="35" t="str">
        <f>IFERROR(__xludf.DUMMYFUNCTION("""COMPUTED_VALUE"""),"Stock")</f>
        <v>Stock</v>
      </c>
      <c r="G301" s="35" t="str">
        <f>IFERROR(__xludf.DUMMYFUNCTION("""COMPUTED_VALUE"""),"HKD")</f>
        <v>HKD</v>
      </c>
      <c r="H301" s="181">
        <f>IFERROR(__xludf.DUMMYFUNCTION("""COMPUTED_VALUE"""),-1000.0)</f>
        <v>-1000</v>
      </c>
      <c r="I301" s="174">
        <f>IFERROR(__xludf.DUMMYFUNCTION("""COMPUTED_VALUE"""),1.0)</f>
        <v>1</v>
      </c>
      <c r="J301" s="175">
        <f>IFERROR(__xludf.DUMMYFUNCTION("""COMPUTED_VALUE"""),25.1)</f>
        <v>25.1</v>
      </c>
      <c r="K301" s="35"/>
      <c r="L301" s="175">
        <f>IFERROR(__xludf.DUMMYFUNCTION("""COMPUTED_VALUE"""),22.8)</f>
        <v>22.8</v>
      </c>
      <c r="M301" s="182" t="str">
        <f>IFERROR(__xludf.DUMMYFUNCTION("""COMPUTED_VALUE"""),"Equity Key Stats")</f>
        <v>Equity Key Stats</v>
      </c>
      <c r="N301" s="35"/>
      <c r="O301" s="35"/>
      <c r="P301" s="176">
        <f>IFERROR(__xludf.DUMMYFUNCTION("""COMPUTED_VALUE"""),25100.0)</f>
        <v>25100</v>
      </c>
      <c r="Q301" s="177"/>
      <c r="R301" s="178">
        <f>IFERROR(__xludf.DUMMYFUNCTION("""COMPUTED_VALUE"""),22.8)</f>
        <v>22.8</v>
      </c>
      <c r="S301" s="176">
        <f>IFERROR(__xludf.DUMMYFUNCTION("""COMPUTED_VALUE"""),-22800.0)</f>
        <v>-22800</v>
      </c>
      <c r="T301" s="95">
        <f>IFERROR(__xludf.DUMMYFUNCTION("""COMPUTED_VALUE"""),3.0)</f>
        <v>3</v>
      </c>
      <c r="U301" s="35">
        <f>IFERROR(__xludf.DUMMYFUNCTION("""COMPUTED_VALUE"""),1.0)</f>
        <v>1</v>
      </c>
      <c r="V301" s="170">
        <f>IFERROR(__xludf.DUMMYFUNCTION("""COMPUTED_VALUE"""),-1550.0)</f>
        <v>-1550</v>
      </c>
      <c r="W301" s="171" t="str">
        <f>IFERROR(__xludf.DUMMYFUNCTION("""COMPUTED_VALUE"""),"")</f>
        <v/>
      </c>
      <c r="X301" s="14" t="str">
        <f>IFERROR(__xludf.DUMMYFUNCTION("""COMPUTED_VALUE"""),"")</f>
        <v/>
      </c>
      <c r="Y301" s="14" t="str">
        <f>IFERROR(__xludf.DUMMYFUNCTION("""COMPUTED_VALUE"""),"")</f>
        <v/>
      </c>
      <c r="Z301" s="11" t="str">
        <f>IFERROR(__xludf.DUMMYFUNCTION("""COMPUTED_VALUE"""),"")</f>
        <v/>
      </c>
    </row>
    <row r="302">
      <c r="A302" s="35" t="str">
        <f>IFERROR(__xludf.DUMMYFUNCTION("""COMPUTED_VALUE"""),"")</f>
        <v/>
      </c>
      <c r="B302" s="35" t="str">
        <f>IFERROR(__xludf.DUMMYFUNCTION("""COMPUTED_VALUE"""),"38209")</f>
        <v>38209</v>
      </c>
      <c r="C302" s="172">
        <f>IFERROR(__xludf.DUMMYFUNCTION("""COMPUTED_VALUE"""),4.466200134E10)</f>
        <v>44662001340</v>
      </c>
      <c r="D302" s="191" t="str">
        <f>IFERROR(__xludf.DUMMYFUNCTION("""COMPUTED_VALUE"""),"600519.SS")</f>
        <v>600519.SS</v>
      </c>
      <c r="E302" s="173">
        <f>IFERROR(__xludf.DUMMYFUNCTION("""COMPUTED_VALUE"""),44662.0)</f>
        <v>44662</v>
      </c>
      <c r="F302" s="35" t="str">
        <f>IFERROR(__xludf.DUMMYFUNCTION("""COMPUTED_VALUE"""),"Stock")</f>
        <v>Stock</v>
      </c>
      <c r="G302" s="35" t="str">
        <f>IFERROR(__xludf.DUMMYFUNCTION("""COMPUTED_VALUE"""),"CNY")</f>
        <v>CNY</v>
      </c>
      <c r="H302" s="181">
        <f>IFERROR(__xludf.DUMMYFUNCTION("""COMPUTED_VALUE"""),100.0)</f>
        <v>100</v>
      </c>
      <c r="I302" s="174">
        <f>IFERROR(__xludf.DUMMYFUNCTION("""COMPUTED_VALUE"""),1.230624)</f>
        <v>1.230624</v>
      </c>
      <c r="J302" s="175">
        <f>IFERROR(__xludf.DUMMYFUNCTION("""COMPUTED_VALUE"""),1720.0)</f>
        <v>1720</v>
      </c>
      <c r="K302" s="35"/>
      <c r="L302" s="175">
        <f>IFERROR(__xludf.DUMMYFUNCTION("""COMPUTED_VALUE"""),1769.0)</f>
        <v>1769</v>
      </c>
      <c r="M302" s="182" t="str">
        <f>IFERROR(__xludf.DUMMYFUNCTION("""COMPUTED_VALUE"""),"Equity Key Stats")</f>
        <v>Equity Key Stats</v>
      </c>
      <c r="N302" s="35"/>
      <c r="O302" s="35"/>
      <c r="P302" s="176">
        <f>IFERROR(__xludf.DUMMYFUNCTION("""COMPUTED_VALUE"""),-211667.328)</f>
        <v>-211667.328</v>
      </c>
      <c r="Q302" s="177"/>
      <c r="R302" s="178">
        <f>IFERROR(__xludf.DUMMYFUNCTION("""COMPUTED_VALUE"""),1769.0)</f>
        <v>1769</v>
      </c>
      <c r="S302" s="176">
        <f>IFERROR(__xludf.DUMMYFUNCTION("""COMPUTED_VALUE"""),217697.38559999998)</f>
        <v>217697.3856</v>
      </c>
      <c r="T302" s="95">
        <f>IFERROR(__xludf.DUMMYFUNCTION("""COMPUTED_VALUE"""),4.0)</f>
        <v>4</v>
      </c>
      <c r="U302" s="35">
        <f>IFERROR(__xludf.DUMMYFUNCTION("""COMPUTED_VALUE"""),1.0)</f>
        <v>1</v>
      </c>
      <c r="V302" s="170">
        <f>IFERROR(__xludf.DUMMYFUNCTION("""COMPUTED_VALUE"""),5596.683488999988)</f>
        <v>5596.683489</v>
      </c>
      <c r="W302" s="171" t="str">
        <f>IFERROR(__xludf.DUMMYFUNCTION("""COMPUTED_VALUE"""),"")</f>
        <v/>
      </c>
      <c r="X302" s="14" t="str">
        <f>IFERROR(__xludf.DUMMYFUNCTION("""COMPUTED_VALUE"""),"")</f>
        <v/>
      </c>
      <c r="Y302" s="14" t="str">
        <f>IFERROR(__xludf.DUMMYFUNCTION("""COMPUTED_VALUE"""),"")</f>
        <v/>
      </c>
      <c r="Z302" s="11" t="str">
        <f>IFERROR(__xludf.DUMMYFUNCTION("""COMPUTED_VALUE"""),"")</f>
        <v/>
      </c>
    </row>
    <row r="303">
      <c r="A303" s="35" t="str">
        <f>IFERROR(__xludf.DUMMYFUNCTION("""COMPUTED_VALUE"""),"")</f>
        <v/>
      </c>
      <c r="B303" s="35" t="str">
        <f>IFERROR(__xludf.DUMMYFUNCTION("""COMPUTED_VALUE"""),"38209")</f>
        <v>38209</v>
      </c>
      <c r="C303" s="172">
        <f>IFERROR(__xludf.DUMMYFUNCTION("""COMPUTED_VALUE"""),4.4662001343E10)</f>
        <v>44662001343</v>
      </c>
      <c r="D303" s="191" t="str">
        <f>IFERROR(__xludf.DUMMYFUNCTION("""COMPUTED_VALUE"""),"000568.SZ")</f>
        <v>000568.SZ</v>
      </c>
      <c r="E303" s="173">
        <f>IFERROR(__xludf.DUMMYFUNCTION("""COMPUTED_VALUE"""),44662.0)</f>
        <v>44662</v>
      </c>
      <c r="F303" s="35" t="str">
        <f>IFERROR(__xludf.DUMMYFUNCTION("""COMPUTED_VALUE"""),"Stock")</f>
        <v>Stock</v>
      </c>
      <c r="G303" s="35" t="str">
        <f>IFERROR(__xludf.DUMMYFUNCTION("""COMPUTED_VALUE"""),"CNY")</f>
        <v>CNY</v>
      </c>
      <c r="H303" s="181">
        <f>IFERROR(__xludf.DUMMYFUNCTION("""COMPUTED_VALUE"""),1000.0)</f>
        <v>1000</v>
      </c>
      <c r="I303" s="174">
        <f>IFERROR(__xludf.DUMMYFUNCTION("""COMPUTED_VALUE"""),1.230624)</f>
        <v>1.230624</v>
      </c>
      <c r="J303" s="175">
        <f>IFERROR(__xludf.DUMMYFUNCTION("""COMPUTED_VALUE"""),180.1)</f>
        <v>180.1</v>
      </c>
      <c r="K303" s="35"/>
      <c r="L303" s="175">
        <f>IFERROR(__xludf.DUMMYFUNCTION("""COMPUTED_VALUE"""),192.7)</f>
        <v>192.7</v>
      </c>
      <c r="M303" s="182" t="str">
        <f>IFERROR(__xludf.DUMMYFUNCTION("""COMPUTED_VALUE"""),"Equity Key Stats")</f>
        <v>Equity Key Stats</v>
      </c>
      <c r="N303" s="35"/>
      <c r="O303" s="35"/>
      <c r="P303" s="176">
        <f>IFERROR(__xludf.DUMMYFUNCTION("""COMPUTED_VALUE"""),-221635.3824)</f>
        <v>-221635.3824</v>
      </c>
      <c r="Q303" s="177"/>
      <c r="R303" s="178">
        <f>IFERROR(__xludf.DUMMYFUNCTION("""COMPUTED_VALUE"""),192.7)</f>
        <v>192.7</v>
      </c>
      <c r="S303" s="176">
        <f>IFERROR(__xludf.DUMMYFUNCTION("""COMPUTED_VALUE"""),237141.2448)</f>
        <v>237141.2448</v>
      </c>
      <c r="T303" s="95">
        <f>IFERROR(__xludf.DUMMYFUNCTION("""COMPUTED_VALUE"""),2.0)</f>
        <v>2</v>
      </c>
      <c r="U303" s="95" t="str">
        <f>IFERROR(__xludf.DUMMYFUNCTION("""COMPUTED_VALUE"""),"")</f>
        <v/>
      </c>
      <c r="V303" s="179" t="str">
        <f>IFERROR(__xludf.DUMMYFUNCTION("""COMPUTED_VALUE"""),"")</f>
        <v/>
      </c>
      <c r="W303" s="171" t="str">
        <f>IFERROR(__xludf.DUMMYFUNCTION("""COMPUTED_VALUE"""),"")</f>
        <v/>
      </c>
      <c r="X303" s="14" t="str">
        <f>IFERROR(__xludf.DUMMYFUNCTION("""COMPUTED_VALUE"""),"")</f>
        <v/>
      </c>
      <c r="Y303" s="14" t="str">
        <f>IFERROR(__xludf.DUMMYFUNCTION("""COMPUTED_VALUE"""),"")</f>
        <v/>
      </c>
      <c r="Z303" s="11" t="str">
        <f>IFERROR(__xludf.DUMMYFUNCTION("""COMPUTED_VALUE"""),"")</f>
        <v/>
      </c>
    </row>
    <row r="304">
      <c r="A304" s="35" t="str">
        <f>IFERROR(__xludf.DUMMYFUNCTION("""COMPUTED_VALUE"""),"")</f>
        <v/>
      </c>
      <c r="B304" s="35" t="str">
        <f>IFERROR(__xludf.DUMMYFUNCTION("""COMPUTED_VALUE"""),"38209")</f>
        <v>38209</v>
      </c>
      <c r="C304" s="172">
        <f>IFERROR(__xludf.DUMMYFUNCTION("""COMPUTED_VALUE"""),4.4663001407E10)</f>
        <v>44663001407</v>
      </c>
      <c r="D304" s="191" t="str">
        <f>IFERROR(__xludf.DUMMYFUNCTION("""COMPUTED_VALUE"""),"1024.HK")</f>
        <v>1024.HK</v>
      </c>
      <c r="E304" s="173">
        <f>IFERROR(__xludf.DUMMYFUNCTION("""COMPUTED_VALUE"""),44663.0)</f>
        <v>44663</v>
      </c>
      <c r="F304" s="35" t="str">
        <f>IFERROR(__xludf.DUMMYFUNCTION("""COMPUTED_VALUE"""),"Stock")</f>
        <v>Stock</v>
      </c>
      <c r="G304" s="35" t="str">
        <f>IFERROR(__xludf.DUMMYFUNCTION("""COMPUTED_VALUE"""),"HKD")</f>
        <v>HKD</v>
      </c>
      <c r="H304" s="181">
        <f>IFERROR(__xludf.DUMMYFUNCTION("""COMPUTED_VALUE"""),200.0)</f>
        <v>200</v>
      </c>
      <c r="I304" s="174">
        <f>IFERROR(__xludf.DUMMYFUNCTION("""COMPUTED_VALUE"""),1.0)</f>
        <v>1</v>
      </c>
      <c r="J304" s="175">
        <f>IFERROR(__xludf.DUMMYFUNCTION("""COMPUTED_VALUE"""),60.65)</f>
        <v>60.65</v>
      </c>
      <c r="K304" s="35"/>
      <c r="L304" s="175">
        <f>IFERROR(__xludf.DUMMYFUNCTION("""COMPUTED_VALUE"""),64.0)</f>
        <v>64</v>
      </c>
      <c r="M304" s="182" t="str">
        <f>IFERROR(__xludf.DUMMYFUNCTION("""COMPUTED_VALUE"""),"Equity Key Stats")</f>
        <v>Equity Key Stats</v>
      </c>
      <c r="N304" s="35"/>
      <c r="O304" s="35"/>
      <c r="P304" s="176">
        <f>IFERROR(__xludf.DUMMYFUNCTION("""COMPUTED_VALUE"""),-12130.0)</f>
        <v>-12130</v>
      </c>
      <c r="Q304" s="177"/>
      <c r="R304" s="178">
        <f>IFERROR(__xludf.DUMMYFUNCTION("""COMPUTED_VALUE"""),64.0)</f>
        <v>64</v>
      </c>
      <c r="S304" s="176">
        <f>IFERROR(__xludf.DUMMYFUNCTION("""COMPUTED_VALUE"""),12800.0)</f>
        <v>12800</v>
      </c>
      <c r="T304" s="95">
        <f>IFERROR(__xludf.DUMMYFUNCTION("""COMPUTED_VALUE"""),9.0)</f>
        <v>9</v>
      </c>
      <c r="U304" s="35">
        <f>IFERROR(__xludf.DUMMYFUNCTION("""COMPUTED_VALUE"""),1.0)</f>
        <v>1</v>
      </c>
      <c r="V304" s="170">
        <f>IFERROR(__xludf.DUMMYFUNCTION("""COMPUTED_VALUE"""),-19040.0)</f>
        <v>-19040</v>
      </c>
      <c r="W304" s="171" t="str">
        <f>IFERROR(__xludf.DUMMYFUNCTION("""COMPUTED_VALUE"""),"")</f>
        <v/>
      </c>
      <c r="X304" s="14" t="str">
        <f>IFERROR(__xludf.DUMMYFUNCTION("""COMPUTED_VALUE"""),"")</f>
        <v/>
      </c>
      <c r="Y304" s="14" t="str">
        <f>IFERROR(__xludf.DUMMYFUNCTION("""COMPUTED_VALUE"""),"")</f>
        <v/>
      </c>
      <c r="Z304" s="11" t="str">
        <f>IFERROR(__xludf.DUMMYFUNCTION("""COMPUTED_VALUE"""),"")</f>
        <v/>
      </c>
    </row>
    <row r="305">
      <c r="A305" s="35" t="str">
        <f>IFERROR(__xludf.DUMMYFUNCTION("""COMPUTED_VALUE"""),"")</f>
        <v/>
      </c>
      <c r="B305" s="35" t="str">
        <f>IFERROR(__xludf.DUMMYFUNCTION("""COMPUTED_VALUE"""),"38209")</f>
        <v>38209</v>
      </c>
      <c r="C305" s="172">
        <f>IFERROR(__xludf.DUMMYFUNCTION("""COMPUTED_VALUE"""),4.4663001409E10)</f>
        <v>44663001409</v>
      </c>
      <c r="D305" s="191" t="str">
        <f>IFERROR(__xludf.DUMMYFUNCTION("""COMPUTED_VALUE"""),"000568.SZ")</f>
        <v>000568.SZ</v>
      </c>
      <c r="E305" s="173">
        <f>IFERROR(__xludf.DUMMYFUNCTION("""COMPUTED_VALUE"""),44663.0)</f>
        <v>44663</v>
      </c>
      <c r="F305" s="35" t="str">
        <f>IFERROR(__xludf.DUMMYFUNCTION("""COMPUTED_VALUE"""),"Stock")</f>
        <v>Stock</v>
      </c>
      <c r="G305" s="35" t="str">
        <f>IFERROR(__xludf.DUMMYFUNCTION("""COMPUTED_VALUE"""),"CNY")</f>
        <v>CNY</v>
      </c>
      <c r="H305" s="181">
        <f>IFERROR(__xludf.DUMMYFUNCTION("""COMPUTED_VALUE"""),-1000.0)</f>
        <v>-1000</v>
      </c>
      <c r="I305" s="174">
        <f>IFERROR(__xludf.DUMMYFUNCTION("""COMPUTED_VALUE"""),1.231267)</f>
        <v>1.231267</v>
      </c>
      <c r="J305" s="175">
        <f>IFERROR(__xludf.DUMMYFUNCTION("""COMPUTED_VALUE"""),193.0)</f>
        <v>193</v>
      </c>
      <c r="K305" s="35"/>
      <c r="L305" s="175">
        <f>IFERROR(__xludf.DUMMYFUNCTION("""COMPUTED_VALUE"""),192.7)</f>
        <v>192.7</v>
      </c>
      <c r="M305" s="182" t="str">
        <f>IFERROR(__xludf.DUMMYFUNCTION("""COMPUTED_VALUE"""),"Equity Key Stats")</f>
        <v>Equity Key Stats</v>
      </c>
      <c r="N305" s="35"/>
      <c r="O305" s="35"/>
      <c r="P305" s="184">
        <f>IFERROR(__xludf.DUMMYFUNCTION("""COMPUTED_VALUE"""),237634.53099999996)</f>
        <v>237634.531</v>
      </c>
      <c r="Q305" s="177"/>
      <c r="R305" s="178">
        <f>IFERROR(__xludf.DUMMYFUNCTION("""COMPUTED_VALUE"""),192.7)</f>
        <v>192.7</v>
      </c>
      <c r="S305" s="176">
        <f>IFERROR(__xludf.DUMMYFUNCTION("""COMPUTED_VALUE"""),-237265.15089999995)</f>
        <v>-237265.1509</v>
      </c>
      <c r="T305" s="95">
        <f>IFERROR(__xludf.DUMMYFUNCTION("""COMPUTED_VALUE"""),2.0)</f>
        <v>2</v>
      </c>
      <c r="U305" s="35">
        <f>IFERROR(__xludf.DUMMYFUNCTION("""COMPUTED_VALUE"""),1.0)</f>
        <v>1</v>
      </c>
      <c r="V305" s="170">
        <f>IFERROR(__xludf.DUMMYFUNCTION("""COMPUTED_VALUE"""),15875.242499999993)</f>
        <v>15875.2425</v>
      </c>
      <c r="W305" s="171" t="str">
        <f>IFERROR(__xludf.DUMMYFUNCTION("""COMPUTED_VALUE"""),"")</f>
        <v/>
      </c>
      <c r="X305" s="14" t="str">
        <f>IFERROR(__xludf.DUMMYFUNCTION("""COMPUTED_VALUE"""),"")</f>
        <v/>
      </c>
      <c r="Y305" s="14" t="str">
        <f>IFERROR(__xludf.DUMMYFUNCTION("""COMPUTED_VALUE"""),"")</f>
        <v/>
      </c>
      <c r="Z305" s="11" t="str">
        <f>IFERROR(__xludf.DUMMYFUNCTION("""COMPUTED_VALUE"""),"")</f>
        <v/>
      </c>
    </row>
    <row r="306">
      <c r="A306" s="35" t="str">
        <f>IFERROR(__xludf.DUMMYFUNCTION("""COMPUTED_VALUE"""),"38209")</f>
        <v>38209</v>
      </c>
      <c r="B306" s="35" t="str">
        <f>IFERROR(__xludf.DUMMYFUNCTION("""COMPUTED_VALUE"""),"38209")</f>
        <v>38209</v>
      </c>
      <c r="C306" s="172">
        <f>IFERROR(__xludf.DUMMYFUNCTION("""COMPUTED_VALUE"""),4.4663001433E10)</f>
        <v>44663001433</v>
      </c>
      <c r="D306" s="191" t="str">
        <f>IFERROR(__xludf.DUMMYFUNCTION("""COMPUTED_VALUE"""),"^SPX")</f>
        <v>^SPX</v>
      </c>
      <c r="E306" s="173">
        <f>IFERROR(__xludf.DUMMYFUNCTION("""COMPUTED_VALUE"""),44663.0)</f>
        <v>44663</v>
      </c>
      <c r="F306" s="35" t="str">
        <f>IFERROR(__xludf.DUMMYFUNCTION("""COMPUTED_VALUE"""),"Stock")</f>
        <v>Stock</v>
      </c>
      <c r="G306" s="35" t="str">
        <f>IFERROR(__xludf.DUMMYFUNCTION("""COMPUTED_VALUE"""),"USD")</f>
        <v>USD</v>
      </c>
      <c r="H306" s="181">
        <f>IFERROR(__xludf.DUMMYFUNCTION("""COMPUTED_VALUE"""),1.0)</f>
        <v>1</v>
      </c>
      <c r="I306" s="174">
        <f>IFERROR(__xludf.DUMMYFUNCTION("""COMPUTED_VALUE"""),7.83775)</f>
        <v>7.83775</v>
      </c>
      <c r="J306" s="175">
        <f>IFERROR(__xludf.DUMMYFUNCTION("""COMPUTED_VALUE"""),4397.45)</f>
        <v>4397.45</v>
      </c>
      <c r="K306" s="35"/>
      <c r="L306" s="175">
        <f>IFERROR(__xludf.DUMMYFUNCTION("""COMPUTED_VALUE"""),4446.87)</f>
        <v>4446.87</v>
      </c>
      <c r="M306" s="182" t="str">
        <f>IFERROR(__xludf.DUMMYFUNCTION("""COMPUTED_VALUE"""),"Equity Key Stats")</f>
        <v>Equity Key Stats</v>
      </c>
      <c r="N306" s="35"/>
      <c r="O306" s="35"/>
      <c r="P306" s="184">
        <f>IFERROR(__xludf.DUMMYFUNCTION("""COMPUTED_VALUE"""),-34466.113737499996)</f>
        <v>-34466.11374</v>
      </c>
      <c r="Q306" s="177"/>
      <c r="R306" s="178">
        <f>IFERROR(__xludf.DUMMYFUNCTION("""COMPUTED_VALUE"""),4446.87)</f>
        <v>4446.87</v>
      </c>
      <c r="S306" s="176">
        <f>IFERROR(__xludf.DUMMYFUNCTION("""COMPUTED_VALUE"""),34853.4553425)</f>
        <v>34853.45534</v>
      </c>
      <c r="T306" s="95">
        <f>IFERROR(__xludf.DUMMYFUNCTION("""COMPUTED_VALUE"""),1.0)</f>
        <v>1</v>
      </c>
      <c r="U306" s="95">
        <f>IFERROR(__xludf.DUMMYFUNCTION("""COMPUTED_VALUE"""),1.0)</f>
        <v>1</v>
      </c>
      <c r="V306" s="179">
        <f>IFERROR(__xludf.DUMMYFUNCTION("""COMPUTED_VALUE"""),387.34160500000144)</f>
        <v>387.341605</v>
      </c>
      <c r="W306" s="171">
        <f>IFERROR(__xludf.DUMMYFUNCTION("""COMPUTED_VALUE"""),537467.720094)</f>
        <v>537467.7201</v>
      </c>
      <c r="X306" s="14">
        <f>IFERROR(__xludf.DUMMYFUNCTION("""COMPUTED_VALUE"""),159879.55757149996)</f>
        <v>159879.5576</v>
      </c>
      <c r="Y306" s="14">
        <f>IFERROR(__xludf.DUMMYFUNCTION("""COMPUTED_VALUE"""),0.0)</f>
        <v>0</v>
      </c>
      <c r="Z306" s="11">
        <f>IFERROR(__xludf.DUMMYFUNCTION("""COMPUTED_VALUE"""),0.07493544018800002)</f>
        <v>0.07493544019</v>
      </c>
    </row>
    <row r="307">
      <c r="A307" s="35" t="str">
        <f>IFERROR(__xludf.DUMMYFUNCTION("""COMPUTED_VALUE"""),"")</f>
        <v/>
      </c>
      <c r="B307" s="35" t="str">
        <f>IFERROR(__xludf.DUMMYFUNCTION("""COMPUTED_VALUE"""),"38302")</f>
        <v>38302</v>
      </c>
      <c r="C307" s="172">
        <f>IFERROR(__xludf.DUMMYFUNCTION("""COMPUTED_VALUE"""),4.459700003E10)</f>
        <v>44597000030</v>
      </c>
      <c r="D307" s="191" t="str">
        <f>IFERROR(__xludf.DUMMYFUNCTION("""COMPUTED_VALUE"""),"Cash")</f>
        <v>Cash</v>
      </c>
      <c r="E307" s="173">
        <f>IFERROR(__xludf.DUMMYFUNCTION("""COMPUTED_VALUE"""),44597.0)</f>
        <v>44597</v>
      </c>
      <c r="F307" s="35" t="str">
        <f>IFERROR(__xludf.DUMMYFUNCTION("""COMPUTED_VALUE"""),"Cash")</f>
        <v>Cash</v>
      </c>
      <c r="G307" s="35" t="str">
        <f>IFERROR(__xludf.DUMMYFUNCTION("""COMPUTED_VALUE"""),"HKD")</f>
        <v>HKD</v>
      </c>
      <c r="H307" s="181" t="str">
        <f>IFERROR(__xludf.DUMMYFUNCTION("""COMPUTED_VALUE"""),"")</f>
        <v/>
      </c>
      <c r="I307" s="174">
        <f>IFERROR(__xludf.DUMMYFUNCTION("""COMPUTED_VALUE"""),1.0)</f>
        <v>1</v>
      </c>
      <c r="J307" s="175">
        <f>IFERROR(__xludf.DUMMYFUNCTION("""COMPUTED_VALUE"""),1.0)</f>
        <v>1</v>
      </c>
      <c r="K307" s="35"/>
      <c r="L307" s="175">
        <f>IFERROR(__xludf.DUMMYFUNCTION("""COMPUTED_VALUE"""),1.0)</f>
        <v>1</v>
      </c>
      <c r="M307" s="182" t="str">
        <f>IFERROR(__xludf.DUMMYFUNCTION("""COMPUTED_VALUE"""),"")</f>
        <v/>
      </c>
      <c r="N307" s="35"/>
      <c r="O307" s="35"/>
      <c r="P307" s="176">
        <f>IFERROR(__xludf.DUMMYFUNCTION("""COMPUTED_VALUE"""),500000.0)</f>
        <v>500000</v>
      </c>
      <c r="Q307" s="177"/>
      <c r="R307" s="178">
        <f>IFERROR(__xludf.DUMMYFUNCTION("""COMPUTED_VALUE"""),1.0)</f>
        <v>1</v>
      </c>
      <c r="S307" s="176" t="str">
        <f>IFERROR(__xludf.DUMMYFUNCTION("""COMPUTED_VALUE"""),"")</f>
        <v/>
      </c>
      <c r="T307" s="95">
        <f>IFERROR(__xludf.DUMMYFUNCTION("""COMPUTED_VALUE"""),1.0)</f>
        <v>1</v>
      </c>
      <c r="U307" s="35">
        <f>IFERROR(__xludf.DUMMYFUNCTION("""COMPUTED_VALUE"""),1.0)</f>
        <v>1</v>
      </c>
      <c r="V307" s="170">
        <f>IFERROR(__xludf.DUMMYFUNCTION("""COMPUTED_VALUE"""),500000.0)</f>
        <v>500000</v>
      </c>
      <c r="W307" s="171" t="str">
        <f>IFERROR(__xludf.DUMMYFUNCTION("""COMPUTED_VALUE"""),"")</f>
        <v/>
      </c>
      <c r="X307" s="14" t="str">
        <f>IFERROR(__xludf.DUMMYFUNCTION("""COMPUTED_VALUE"""),"")</f>
        <v/>
      </c>
      <c r="Y307" s="14" t="str">
        <f>IFERROR(__xludf.DUMMYFUNCTION("""COMPUTED_VALUE"""),"")</f>
        <v/>
      </c>
      <c r="Z307" s="11" t="str">
        <f>IFERROR(__xludf.DUMMYFUNCTION("""COMPUTED_VALUE"""),"")</f>
        <v/>
      </c>
    </row>
    <row r="308">
      <c r="A308" s="35" t="str">
        <f>IFERROR(__xludf.DUMMYFUNCTION("""COMPUTED_VALUE"""),"")</f>
        <v/>
      </c>
      <c r="B308" s="35" t="str">
        <f>IFERROR(__xludf.DUMMYFUNCTION("""COMPUTED_VALUE"""),"38302")</f>
        <v>38302</v>
      </c>
      <c r="C308" s="172">
        <f>IFERROR(__xludf.DUMMYFUNCTION("""COMPUTED_VALUE"""),4.4654001111E10)</f>
        <v>44654001111</v>
      </c>
      <c r="D308" s="192" t="str">
        <f>IFERROR(__xludf.DUMMYFUNCTION("""COMPUTED_VALUE"""),"NEM")</f>
        <v>NEM</v>
      </c>
      <c r="E308" s="173">
        <f>IFERROR(__xludf.DUMMYFUNCTION("""COMPUTED_VALUE"""),44654.0)</f>
        <v>44654</v>
      </c>
      <c r="F308" s="35" t="str">
        <f>IFERROR(__xludf.DUMMYFUNCTION("""COMPUTED_VALUE"""),"Stock")</f>
        <v>Stock</v>
      </c>
      <c r="G308" s="35" t="str">
        <f>IFERROR(__xludf.DUMMYFUNCTION("""COMPUTED_VALUE"""),"USD")</f>
        <v>USD</v>
      </c>
      <c r="H308" s="181">
        <f>IFERROR(__xludf.DUMMYFUNCTION("""COMPUTED_VALUE"""),1000.0)</f>
        <v>1000</v>
      </c>
      <c r="I308" s="174">
        <f>IFERROR(__xludf.DUMMYFUNCTION("""COMPUTED_VALUE"""),7.83485)</f>
        <v>7.83485</v>
      </c>
      <c r="J308" s="175">
        <f>IFERROR(__xludf.DUMMYFUNCTION("""COMPUTED_VALUE"""),81.25)</f>
        <v>81.25</v>
      </c>
      <c r="K308" s="35"/>
      <c r="L308" s="175">
        <f>IFERROR(__xludf.DUMMYFUNCTION("""COMPUTED_VALUE"""),84.29)</f>
        <v>84.29</v>
      </c>
      <c r="M308" s="182" t="str">
        <f>IFERROR(__xludf.DUMMYFUNCTION("""COMPUTED_VALUE"""),"Equity Key Stats")</f>
        <v>Equity Key Stats</v>
      </c>
      <c r="N308" s="35"/>
      <c r="O308" s="35"/>
      <c r="P308" s="184">
        <f>IFERROR(__xludf.DUMMYFUNCTION("""COMPUTED_VALUE"""),-636581.5625)</f>
        <v>-636581.5625</v>
      </c>
      <c r="Q308" s="177"/>
      <c r="R308" s="178">
        <f>IFERROR(__xludf.DUMMYFUNCTION("""COMPUTED_VALUE"""),84.29)</f>
        <v>84.29</v>
      </c>
      <c r="S308" s="176">
        <f>IFERROR(__xludf.DUMMYFUNCTION("""COMPUTED_VALUE"""),660399.5065000001)</f>
        <v>660399.5065</v>
      </c>
      <c r="T308" s="95">
        <f>IFERROR(__xludf.DUMMYFUNCTION("""COMPUTED_VALUE"""),1.0)</f>
        <v>1</v>
      </c>
      <c r="U308" s="95">
        <f>IFERROR(__xludf.DUMMYFUNCTION("""COMPUTED_VALUE"""),1.0)</f>
        <v>1</v>
      </c>
      <c r="V308" s="185">
        <f>IFERROR(__xludf.DUMMYFUNCTION("""COMPUTED_VALUE"""),23817.944000000134)</f>
        <v>23817.944</v>
      </c>
      <c r="W308" s="171" t="str">
        <f>IFERROR(__xludf.DUMMYFUNCTION("""COMPUTED_VALUE"""),"")</f>
        <v/>
      </c>
      <c r="X308" s="14" t="str">
        <f>IFERROR(__xludf.DUMMYFUNCTION("""COMPUTED_VALUE"""),"")</f>
        <v/>
      </c>
      <c r="Y308" s="14" t="str">
        <f>IFERROR(__xludf.DUMMYFUNCTION("""COMPUTED_VALUE"""),"")</f>
        <v/>
      </c>
      <c r="Z308" s="11" t="str">
        <f>IFERROR(__xludf.DUMMYFUNCTION("""COMPUTED_VALUE"""),"")</f>
        <v/>
      </c>
    </row>
    <row r="309">
      <c r="A309" s="35" t="str">
        <f>IFERROR(__xludf.DUMMYFUNCTION("""COMPUTED_VALUE"""),"38302")</f>
        <v>38302</v>
      </c>
      <c r="B309" s="35" t="str">
        <f>IFERROR(__xludf.DUMMYFUNCTION("""COMPUTED_VALUE"""),"38302")</f>
        <v>38302</v>
      </c>
      <c r="C309" s="172">
        <f>IFERROR(__xludf.DUMMYFUNCTION("""COMPUTED_VALUE"""),4.4654001112E10)</f>
        <v>44654001112</v>
      </c>
      <c r="D309" s="192" t="str">
        <f>IFERROR(__xludf.DUMMYFUNCTION("""COMPUTED_VALUE"""),"AU")</f>
        <v>AU</v>
      </c>
      <c r="E309" s="173">
        <f>IFERROR(__xludf.DUMMYFUNCTION("""COMPUTED_VALUE"""),44654.0)</f>
        <v>44654</v>
      </c>
      <c r="F309" s="35" t="str">
        <f>IFERROR(__xludf.DUMMYFUNCTION("""COMPUTED_VALUE"""),"Stock")</f>
        <v>Stock</v>
      </c>
      <c r="G309" s="35" t="str">
        <f>IFERROR(__xludf.DUMMYFUNCTION("""COMPUTED_VALUE"""),"USD")</f>
        <v>USD</v>
      </c>
      <c r="H309" s="181" t="str">
        <f>IFERROR(__xludf.DUMMYFUNCTION("""COMPUTED_VALUE"""),"")</f>
        <v/>
      </c>
      <c r="I309" s="174">
        <f>IFERROR(__xludf.DUMMYFUNCTION("""COMPUTED_VALUE"""),7.83485)</f>
        <v>7.83485</v>
      </c>
      <c r="J309" s="175">
        <f>IFERROR(__xludf.DUMMYFUNCTION("""COMPUTED_VALUE"""),24.08)</f>
        <v>24.08</v>
      </c>
      <c r="K309" s="35"/>
      <c r="L309" s="175">
        <f>IFERROR(__xludf.DUMMYFUNCTION("""COMPUTED_VALUE"""),23.88)</f>
        <v>23.88</v>
      </c>
      <c r="M309" s="182" t="str">
        <f>IFERROR(__xludf.DUMMYFUNCTION("""COMPUTED_VALUE"""),"Equity Key Stats")</f>
        <v>Equity Key Stats</v>
      </c>
      <c r="N309" s="35"/>
      <c r="O309" s="35"/>
      <c r="P309" s="184">
        <f>IFERROR(__xludf.DUMMYFUNCTION("""COMPUTED_VALUE"""),0.0)</f>
        <v>0</v>
      </c>
      <c r="Q309" s="177"/>
      <c r="R309" s="178">
        <f>IFERROR(__xludf.DUMMYFUNCTION("""COMPUTED_VALUE"""),23.88)</f>
        <v>23.88</v>
      </c>
      <c r="S309" s="176">
        <f>IFERROR(__xludf.DUMMYFUNCTION("""COMPUTED_VALUE"""),0.0)</f>
        <v>0</v>
      </c>
      <c r="T309" s="95">
        <f>IFERROR(__xludf.DUMMYFUNCTION("""COMPUTED_VALUE"""),1.0)</f>
        <v>1</v>
      </c>
      <c r="U309" s="95">
        <f>IFERROR(__xludf.DUMMYFUNCTION("""COMPUTED_VALUE"""),1.0)</f>
        <v>1</v>
      </c>
      <c r="V309" s="185">
        <f>IFERROR(__xludf.DUMMYFUNCTION("""COMPUTED_VALUE"""),0.0)</f>
        <v>0</v>
      </c>
      <c r="W309" s="171">
        <f>IFERROR(__xludf.DUMMYFUNCTION("""COMPUTED_VALUE"""),523817.94400000013)</f>
        <v>523817.944</v>
      </c>
      <c r="X309" s="14">
        <f>IFERROR(__xludf.DUMMYFUNCTION("""COMPUTED_VALUE"""),-136581.5625)</f>
        <v>-136581.5625</v>
      </c>
      <c r="Y309" s="14">
        <f>IFERROR(__xludf.DUMMYFUNCTION("""COMPUTED_VALUE"""),136581.5625)</f>
        <v>136581.5625</v>
      </c>
      <c r="Z309" s="11">
        <f>IFERROR(__xludf.DUMMYFUNCTION("""COMPUTED_VALUE"""),0.04763588800000029)</f>
        <v>0.047635888</v>
      </c>
    </row>
    <row r="310">
      <c r="A310" s="35" t="str">
        <f>IFERROR(__xludf.DUMMYFUNCTION("""COMPUTED_VALUE"""),"")</f>
        <v/>
      </c>
      <c r="B310" s="35" t="str">
        <f>IFERROR(__xludf.DUMMYFUNCTION("""COMPUTED_VALUE"""),"38307")</f>
        <v>38307</v>
      </c>
      <c r="C310" s="172">
        <f>IFERROR(__xludf.DUMMYFUNCTION("""COMPUTED_VALUE"""),4.4597000122E10)</f>
        <v>44597000122</v>
      </c>
      <c r="D310" s="191" t="str">
        <f>IFERROR(__xludf.DUMMYFUNCTION("""COMPUTED_VALUE"""),"Cash")</f>
        <v>Cash</v>
      </c>
      <c r="E310" s="173">
        <f>IFERROR(__xludf.DUMMYFUNCTION("""COMPUTED_VALUE"""),44597.0)</f>
        <v>44597</v>
      </c>
      <c r="F310" s="35" t="str">
        <f>IFERROR(__xludf.DUMMYFUNCTION("""COMPUTED_VALUE"""),"Cash")</f>
        <v>Cash</v>
      </c>
      <c r="G310" s="35" t="str">
        <f>IFERROR(__xludf.DUMMYFUNCTION("""COMPUTED_VALUE"""),"HKD")</f>
        <v>HKD</v>
      </c>
      <c r="H310" s="181" t="str">
        <f>IFERROR(__xludf.DUMMYFUNCTION("""COMPUTED_VALUE"""),"")</f>
        <v/>
      </c>
      <c r="I310" s="174">
        <f>IFERROR(__xludf.DUMMYFUNCTION("""COMPUTED_VALUE"""),1.0)</f>
        <v>1</v>
      </c>
      <c r="J310" s="175">
        <f>IFERROR(__xludf.DUMMYFUNCTION("""COMPUTED_VALUE"""),1.0)</f>
        <v>1</v>
      </c>
      <c r="K310" s="35"/>
      <c r="L310" s="175">
        <f>IFERROR(__xludf.DUMMYFUNCTION("""COMPUTED_VALUE"""),1.0)</f>
        <v>1</v>
      </c>
      <c r="M310" s="182" t="str">
        <f>IFERROR(__xludf.DUMMYFUNCTION("""COMPUTED_VALUE"""),"")</f>
        <v/>
      </c>
      <c r="N310" s="35"/>
      <c r="O310" s="35"/>
      <c r="P310" s="184">
        <f>IFERROR(__xludf.DUMMYFUNCTION("""COMPUTED_VALUE"""),500000.0)</f>
        <v>500000</v>
      </c>
      <c r="Q310" s="177"/>
      <c r="R310" s="178">
        <f>IFERROR(__xludf.DUMMYFUNCTION("""COMPUTED_VALUE"""),1.0)</f>
        <v>1</v>
      </c>
      <c r="S310" s="176" t="str">
        <f>IFERROR(__xludf.DUMMYFUNCTION("""COMPUTED_VALUE"""),"")</f>
        <v/>
      </c>
      <c r="T310" s="95">
        <f>IFERROR(__xludf.DUMMYFUNCTION("""COMPUTED_VALUE"""),1.0)</f>
        <v>1</v>
      </c>
      <c r="U310" s="95">
        <f>IFERROR(__xludf.DUMMYFUNCTION("""COMPUTED_VALUE"""),1.0)</f>
        <v>1</v>
      </c>
      <c r="V310" s="185">
        <f>IFERROR(__xludf.DUMMYFUNCTION("""COMPUTED_VALUE"""),500000.0)</f>
        <v>500000</v>
      </c>
      <c r="W310" s="55" t="str">
        <f>IFERROR(__xludf.DUMMYFUNCTION("""COMPUTED_VALUE"""),"")</f>
        <v/>
      </c>
      <c r="X310" s="181" t="str">
        <f>IFERROR(__xludf.DUMMYFUNCTION("""COMPUTED_VALUE"""),"")</f>
        <v/>
      </c>
      <c r="Y310" s="181" t="str">
        <f>IFERROR(__xludf.DUMMYFUNCTION("""COMPUTED_VALUE"""),"")</f>
        <v/>
      </c>
      <c r="Z310" s="189" t="str">
        <f>IFERROR(__xludf.DUMMYFUNCTION("""COMPUTED_VALUE"""),"")</f>
        <v/>
      </c>
    </row>
    <row r="311">
      <c r="A311" s="35" t="str">
        <f>IFERROR(__xludf.DUMMYFUNCTION("""COMPUTED_VALUE"""),"")</f>
        <v/>
      </c>
      <c r="B311" s="35" t="str">
        <f>IFERROR(__xludf.DUMMYFUNCTION("""COMPUTED_VALUE"""),"38307")</f>
        <v>38307</v>
      </c>
      <c r="C311" s="172">
        <f>IFERROR(__xludf.DUMMYFUNCTION("""COMPUTED_VALUE"""),4.4634000561E10)</f>
        <v>44634000561</v>
      </c>
      <c r="D311" s="180" t="str">
        <f>IFERROR(__xludf.DUMMYFUNCTION("""COMPUTED_VALUE"""),"PFE")</f>
        <v>PFE</v>
      </c>
      <c r="E311" s="173">
        <f>IFERROR(__xludf.DUMMYFUNCTION("""COMPUTED_VALUE"""),44634.0)</f>
        <v>44634</v>
      </c>
      <c r="F311" s="35" t="str">
        <f>IFERROR(__xludf.DUMMYFUNCTION("""COMPUTED_VALUE"""),"Stock")</f>
        <v>Stock</v>
      </c>
      <c r="G311" s="35" t="str">
        <f>IFERROR(__xludf.DUMMYFUNCTION("""COMPUTED_VALUE"""),"USD")</f>
        <v>USD</v>
      </c>
      <c r="H311" s="14">
        <f>IFERROR(__xludf.DUMMYFUNCTION("""COMPUTED_VALUE"""),500.0)</f>
        <v>500</v>
      </c>
      <c r="I311" s="174">
        <f>IFERROR(__xludf.DUMMYFUNCTION("""COMPUTED_VALUE"""),7.82925)</f>
        <v>7.82925</v>
      </c>
      <c r="J311" s="175">
        <f>IFERROR(__xludf.DUMMYFUNCTION("""COMPUTED_VALUE"""),52.25)</f>
        <v>52.25</v>
      </c>
      <c r="K311" s="35"/>
      <c r="L311" s="175">
        <f>IFERROR(__xludf.DUMMYFUNCTION("""COMPUTED_VALUE"""),53.11)</f>
        <v>53.11</v>
      </c>
      <c r="M311" s="187" t="str">
        <f>IFERROR(__xludf.DUMMYFUNCTION("""COMPUTED_VALUE"""),"Equity Key Stats")</f>
        <v>Equity Key Stats</v>
      </c>
      <c r="N311" s="35"/>
      <c r="O311" s="35"/>
      <c r="P311" s="176">
        <f>IFERROR(__xludf.DUMMYFUNCTION("""COMPUTED_VALUE"""),-204539.15625)</f>
        <v>-204539.1563</v>
      </c>
      <c r="Q311" s="177"/>
      <c r="R311" s="178">
        <f>IFERROR(__xludf.DUMMYFUNCTION("""COMPUTED_VALUE"""),53.11)</f>
        <v>53.11</v>
      </c>
      <c r="S311" s="151">
        <f>IFERROR(__xludf.DUMMYFUNCTION("""COMPUTED_VALUE"""),207905.73374999998)</f>
        <v>207905.7338</v>
      </c>
      <c r="T311" s="95">
        <f>IFERROR(__xludf.DUMMYFUNCTION("""COMPUTED_VALUE"""),3.0)</f>
        <v>3</v>
      </c>
      <c r="U311" s="95" t="str">
        <f>IFERROR(__xludf.DUMMYFUNCTION("""COMPUTED_VALUE"""),"")</f>
        <v/>
      </c>
      <c r="V311" s="179" t="str">
        <f>IFERROR(__xludf.DUMMYFUNCTION("""COMPUTED_VALUE"""),"")</f>
        <v/>
      </c>
      <c r="W311" s="55" t="str">
        <f>IFERROR(__xludf.DUMMYFUNCTION("""COMPUTED_VALUE"""),"")</f>
        <v/>
      </c>
      <c r="X311" s="181" t="str">
        <f>IFERROR(__xludf.DUMMYFUNCTION("""COMPUTED_VALUE"""),"")</f>
        <v/>
      </c>
      <c r="Y311" s="181" t="str">
        <f>IFERROR(__xludf.DUMMYFUNCTION("""COMPUTED_VALUE"""),"")</f>
        <v/>
      </c>
      <c r="Z311" s="186" t="str">
        <f>IFERROR(__xludf.DUMMYFUNCTION("""COMPUTED_VALUE"""),"")</f>
        <v/>
      </c>
    </row>
    <row r="312">
      <c r="A312" s="35" t="str">
        <f>IFERROR(__xludf.DUMMYFUNCTION("""COMPUTED_VALUE"""),"")</f>
        <v/>
      </c>
      <c r="B312" s="35" t="str">
        <f>IFERROR(__xludf.DUMMYFUNCTION("""COMPUTED_VALUE"""),"38307")</f>
        <v>38307</v>
      </c>
      <c r="C312" s="172">
        <f>IFERROR(__xludf.DUMMYFUNCTION("""COMPUTED_VALUE"""),4.4634000574E10)</f>
        <v>44634000574</v>
      </c>
      <c r="D312" s="180" t="str">
        <f>IFERROR(__xludf.DUMMYFUNCTION("""COMPUTED_VALUE"""),"PFE")</f>
        <v>PFE</v>
      </c>
      <c r="E312" s="173">
        <f>IFERROR(__xludf.DUMMYFUNCTION("""COMPUTED_VALUE"""),44634.0)</f>
        <v>44634</v>
      </c>
      <c r="F312" s="35" t="str">
        <f>IFERROR(__xludf.DUMMYFUNCTION("""COMPUTED_VALUE"""),"Stock")</f>
        <v>Stock</v>
      </c>
      <c r="G312" s="35" t="str">
        <f>IFERROR(__xludf.DUMMYFUNCTION("""COMPUTED_VALUE"""),"USD")</f>
        <v>USD</v>
      </c>
      <c r="H312" s="14">
        <f>IFERROR(__xludf.DUMMYFUNCTION("""COMPUTED_VALUE"""),500.0)</f>
        <v>500</v>
      </c>
      <c r="I312" s="174">
        <f>IFERROR(__xludf.DUMMYFUNCTION("""COMPUTED_VALUE"""),7.82925)</f>
        <v>7.82925</v>
      </c>
      <c r="J312" s="175">
        <f>IFERROR(__xludf.DUMMYFUNCTION("""COMPUTED_VALUE"""),52.25)</f>
        <v>52.25</v>
      </c>
      <c r="K312" s="35"/>
      <c r="L312" s="175">
        <f>IFERROR(__xludf.DUMMYFUNCTION("""COMPUTED_VALUE"""),53.11)</f>
        <v>53.11</v>
      </c>
      <c r="M312" s="187" t="str">
        <f>IFERROR(__xludf.DUMMYFUNCTION("""COMPUTED_VALUE"""),"Equity Key Stats")</f>
        <v>Equity Key Stats</v>
      </c>
      <c r="N312" s="35"/>
      <c r="O312" s="35"/>
      <c r="P312" s="176">
        <f>IFERROR(__xludf.DUMMYFUNCTION("""COMPUTED_VALUE"""),-204539.15625)</f>
        <v>-204539.1563</v>
      </c>
      <c r="Q312" s="177"/>
      <c r="R312" s="178">
        <f>IFERROR(__xludf.DUMMYFUNCTION("""COMPUTED_VALUE"""),53.11)</f>
        <v>53.11</v>
      </c>
      <c r="S312" s="151">
        <f>IFERROR(__xludf.DUMMYFUNCTION("""COMPUTED_VALUE"""),207905.73374999998)</f>
        <v>207905.7338</v>
      </c>
      <c r="T312" s="95">
        <f>IFERROR(__xludf.DUMMYFUNCTION("""COMPUTED_VALUE"""),3.0)</f>
        <v>3</v>
      </c>
      <c r="U312" s="95" t="str">
        <f>IFERROR(__xludf.DUMMYFUNCTION("""COMPUTED_VALUE"""),"")</f>
        <v/>
      </c>
      <c r="V312" s="179" t="str">
        <f>IFERROR(__xludf.DUMMYFUNCTION("""COMPUTED_VALUE"""),"")</f>
        <v/>
      </c>
      <c r="W312" s="55" t="str">
        <f>IFERROR(__xludf.DUMMYFUNCTION("""COMPUTED_VALUE"""),"")</f>
        <v/>
      </c>
      <c r="X312" s="181" t="str">
        <f>IFERROR(__xludf.DUMMYFUNCTION("""COMPUTED_VALUE"""),"")</f>
        <v/>
      </c>
      <c r="Y312" s="181" t="str">
        <f>IFERROR(__xludf.DUMMYFUNCTION("""COMPUTED_VALUE"""),"")</f>
        <v/>
      </c>
      <c r="Z312" s="186" t="str">
        <f>IFERROR(__xludf.DUMMYFUNCTION("""COMPUTED_VALUE"""),"")</f>
        <v/>
      </c>
    </row>
    <row r="313">
      <c r="A313" s="35" t="str">
        <f>IFERROR(__xludf.DUMMYFUNCTION("""COMPUTED_VALUE"""),"")</f>
        <v/>
      </c>
      <c r="B313" s="35" t="str">
        <f>IFERROR(__xludf.DUMMYFUNCTION("""COMPUTED_VALUE"""),"38307")</f>
        <v>38307</v>
      </c>
      <c r="C313" s="172">
        <f>IFERROR(__xludf.DUMMYFUNCTION("""COMPUTED_VALUE"""),4.4634000576E10)</f>
        <v>44634000576</v>
      </c>
      <c r="D313" s="180" t="str">
        <f>IFERROR(__xludf.DUMMYFUNCTION("""COMPUTED_VALUE"""),"NVAX")</f>
        <v>NVAX</v>
      </c>
      <c r="E313" s="173">
        <f>IFERROR(__xludf.DUMMYFUNCTION("""COMPUTED_VALUE"""),44634.0)</f>
        <v>44634</v>
      </c>
      <c r="F313" s="35" t="str">
        <f>IFERROR(__xludf.DUMMYFUNCTION("""COMPUTED_VALUE"""),"Stock")</f>
        <v>Stock</v>
      </c>
      <c r="G313" s="35" t="str">
        <f>IFERROR(__xludf.DUMMYFUNCTION("""COMPUTED_VALUE"""),"USD")</f>
        <v>USD</v>
      </c>
      <c r="H313" s="14">
        <f>IFERROR(__xludf.DUMMYFUNCTION("""COMPUTED_VALUE"""),300.0)</f>
        <v>300</v>
      </c>
      <c r="I313" s="174">
        <f>IFERROR(__xludf.DUMMYFUNCTION("""COMPUTED_VALUE"""),7.82925)</f>
        <v>7.82925</v>
      </c>
      <c r="J313" s="175">
        <f>IFERROR(__xludf.DUMMYFUNCTION("""COMPUTED_VALUE"""),71.93)</f>
        <v>71.93</v>
      </c>
      <c r="K313" s="35"/>
      <c r="L313" s="175">
        <f>IFERROR(__xludf.DUMMYFUNCTION("""COMPUTED_VALUE"""),62.17)</f>
        <v>62.17</v>
      </c>
      <c r="M313" s="187" t="str">
        <f>IFERROR(__xludf.DUMMYFUNCTION("""COMPUTED_VALUE"""),"Equity Key Stats")</f>
        <v>Equity Key Stats</v>
      </c>
      <c r="N313" s="35"/>
      <c r="O313" s="35"/>
      <c r="P313" s="176">
        <f>IFERROR(__xludf.DUMMYFUNCTION("""COMPUTED_VALUE"""),-168947.38575000002)</f>
        <v>-168947.3858</v>
      </c>
      <c r="Q313" s="177"/>
      <c r="R313" s="178">
        <f>IFERROR(__xludf.DUMMYFUNCTION("""COMPUTED_VALUE"""),62.17)</f>
        <v>62.17</v>
      </c>
      <c r="S313" s="151">
        <f>IFERROR(__xludf.DUMMYFUNCTION("""COMPUTED_VALUE"""),146023.34175000002)</f>
        <v>146023.3418</v>
      </c>
      <c r="T313" s="95">
        <f>IFERROR(__xludf.DUMMYFUNCTION("""COMPUTED_VALUE"""),3.0)</f>
        <v>3</v>
      </c>
      <c r="U313" s="95" t="str">
        <f>IFERROR(__xludf.DUMMYFUNCTION("""COMPUTED_VALUE"""),"")</f>
        <v/>
      </c>
      <c r="V313" s="179" t="str">
        <f>IFERROR(__xludf.DUMMYFUNCTION("""COMPUTED_VALUE"""),"")</f>
        <v/>
      </c>
      <c r="W313" s="55" t="str">
        <f>IFERROR(__xludf.DUMMYFUNCTION("""COMPUTED_VALUE"""),"")</f>
        <v/>
      </c>
      <c r="X313" s="181" t="str">
        <f>IFERROR(__xludf.DUMMYFUNCTION("""COMPUTED_VALUE"""),"")</f>
        <v/>
      </c>
      <c r="Y313" s="181" t="str">
        <f>IFERROR(__xludf.DUMMYFUNCTION("""COMPUTED_VALUE"""),"")</f>
        <v/>
      </c>
      <c r="Z313" s="186" t="str">
        <f>IFERROR(__xludf.DUMMYFUNCTION("""COMPUTED_VALUE"""),"")</f>
        <v/>
      </c>
    </row>
    <row r="314">
      <c r="A314" s="35" t="str">
        <f>IFERROR(__xludf.DUMMYFUNCTION("""COMPUTED_VALUE"""),"")</f>
        <v/>
      </c>
      <c r="B314" s="35" t="str">
        <f>IFERROR(__xludf.DUMMYFUNCTION("""COMPUTED_VALUE"""),"38307")</f>
        <v>38307</v>
      </c>
      <c r="C314" s="172">
        <f>IFERROR(__xludf.DUMMYFUNCTION("""COMPUTED_VALUE"""),4.4635000593E10)</f>
        <v>44635000593</v>
      </c>
      <c r="D314" s="188" t="str">
        <f>IFERROR(__xludf.DUMMYFUNCTION("""COMPUTED_VALUE"""),"603939.SS")</f>
        <v>603939.SS</v>
      </c>
      <c r="E314" s="173">
        <f>IFERROR(__xludf.DUMMYFUNCTION("""COMPUTED_VALUE"""),44635.0)</f>
        <v>44635</v>
      </c>
      <c r="F314" s="35" t="str">
        <f>IFERROR(__xludf.DUMMYFUNCTION("""COMPUTED_VALUE"""),"Stock")</f>
        <v>Stock</v>
      </c>
      <c r="G314" s="35" t="str">
        <f>IFERROR(__xludf.DUMMYFUNCTION("""COMPUTED_VALUE"""),"CNY")</f>
        <v>CNY</v>
      </c>
      <c r="H314" s="14">
        <f>IFERROR(__xludf.DUMMYFUNCTION("""COMPUTED_VALUE"""),700.0)</f>
        <v>700</v>
      </c>
      <c r="I314" s="174">
        <f>IFERROR(__xludf.DUMMYFUNCTION("""COMPUTED_VALUE"""),1.228816)</f>
        <v>1.228816</v>
      </c>
      <c r="J314" s="175">
        <f>IFERROR(__xludf.DUMMYFUNCTION("""COMPUTED_VALUE"""),42.46)</f>
        <v>42.46</v>
      </c>
      <c r="K314" s="35"/>
      <c r="L314" s="175">
        <f>IFERROR(__xludf.DUMMYFUNCTION("""COMPUTED_VALUE"""),36.4)</f>
        <v>36.4</v>
      </c>
      <c r="M314" s="187" t="str">
        <f>IFERROR(__xludf.DUMMYFUNCTION("""COMPUTED_VALUE"""),"Equity Key Stats")</f>
        <v>Equity Key Stats</v>
      </c>
      <c r="N314" s="35"/>
      <c r="O314" s="35"/>
      <c r="P314" s="176">
        <f>IFERROR(__xludf.DUMMYFUNCTION("""COMPUTED_VALUE"""),-36522.869152)</f>
        <v>-36522.86915</v>
      </c>
      <c r="Q314" s="177"/>
      <c r="R314" s="178">
        <f>IFERROR(__xludf.DUMMYFUNCTION("""COMPUTED_VALUE"""),36.4)</f>
        <v>36.4</v>
      </c>
      <c r="S314" s="151">
        <f>IFERROR(__xludf.DUMMYFUNCTION("""COMPUTED_VALUE"""),31310.231679999994)</f>
        <v>31310.23168</v>
      </c>
      <c r="T314" s="95">
        <f>IFERROR(__xludf.DUMMYFUNCTION("""COMPUTED_VALUE"""),1.0)</f>
        <v>1</v>
      </c>
      <c r="U314" s="95">
        <f>IFERROR(__xludf.DUMMYFUNCTION("""COMPUTED_VALUE"""),1.0)</f>
        <v>1</v>
      </c>
      <c r="V314" s="179">
        <f>IFERROR(__xludf.DUMMYFUNCTION("""COMPUTED_VALUE"""),-5212.637472000006)</f>
        <v>-5212.637472</v>
      </c>
      <c r="W314" s="171" t="str">
        <f>IFERROR(__xludf.DUMMYFUNCTION("""COMPUTED_VALUE"""),"")</f>
        <v/>
      </c>
      <c r="X314" s="14" t="str">
        <f>IFERROR(__xludf.DUMMYFUNCTION("""COMPUTED_VALUE"""),"")</f>
        <v/>
      </c>
      <c r="Y314" s="14" t="str">
        <f>IFERROR(__xludf.DUMMYFUNCTION("""COMPUTED_VALUE"""),"")</f>
        <v/>
      </c>
      <c r="Z314" s="11" t="str">
        <f>IFERROR(__xludf.DUMMYFUNCTION("""COMPUTED_VALUE"""),"")</f>
        <v/>
      </c>
    </row>
    <row r="315">
      <c r="A315" s="35" t="str">
        <f>IFERROR(__xludf.DUMMYFUNCTION("""COMPUTED_VALUE"""),"")</f>
        <v/>
      </c>
      <c r="B315" s="35" t="str">
        <f>IFERROR(__xludf.DUMMYFUNCTION("""COMPUTED_VALUE"""),"38307")</f>
        <v>38307</v>
      </c>
      <c r="C315" s="172">
        <f>IFERROR(__xludf.DUMMYFUNCTION("""COMPUTED_VALUE"""),4.4635000594E10)</f>
        <v>44635000594</v>
      </c>
      <c r="D315" s="192" t="str">
        <f>IFERROR(__xludf.DUMMYFUNCTION("""COMPUTED_VALUE"""),"603392.SS")</f>
        <v>603392.SS</v>
      </c>
      <c r="E315" s="173">
        <f>IFERROR(__xludf.DUMMYFUNCTION("""COMPUTED_VALUE"""),44635.0)</f>
        <v>44635</v>
      </c>
      <c r="F315" s="35" t="str">
        <f>IFERROR(__xludf.DUMMYFUNCTION("""COMPUTED_VALUE"""),"Stock")</f>
        <v>Stock</v>
      </c>
      <c r="G315" s="35" t="str">
        <f>IFERROR(__xludf.DUMMYFUNCTION("""COMPUTED_VALUE"""),"CNY")</f>
        <v>CNY</v>
      </c>
      <c r="H315" s="181" t="str">
        <f>IFERROR(__xludf.DUMMYFUNCTION("""COMPUTED_VALUE"""),"")</f>
        <v/>
      </c>
      <c r="I315" s="174">
        <f>IFERROR(__xludf.DUMMYFUNCTION("""COMPUTED_VALUE"""),1.228816)</f>
        <v>1.228816</v>
      </c>
      <c r="J315" s="175">
        <f>IFERROR(__xludf.DUMMYFUNCTION("""COMPUTED_VALUE"""),246.0)</f>
        <v>246</v>
      </c>
      <c r="K315" s="35"/>
      <c r="L315" s="175">
        <f>IFERROR(__xludf.DUMMYFUNCTION("""COMPUTED_VALUE"""),284.49)</f>
        <v>284.49</v>
      </c>
      <c r="M315" s="182" t="str">
        <f>IFERROR(__xludf.DUMMYFUNCTION("""COMPUTED_VALUE"""),"Equity Key Stats")</f>
        <v>Equity Key Stats</v>
      </c>
      <c r="N315" s="35"/>
      <c r="O315" s="35"/>
      <c r="P315" s="184">
        <f>IFERROR(__xludf.DUMMYFUNCTION("""COMPUTED_VALUE"""),0.0)</f>
        <v>0</v>
      </c>
      <c r="Q315" s="177"/>
      <c r="R315" s="178">
        <f>IFERROR(__xludf.DUMMYFUNCTION("""COMPUTED_VALUE"""),284.49)</f>
        <v>284.49</v>
      </c>
      <c r="S315" s="176">
        <f>IFERROR(__xludf.DUMMYFUNCTION("""COMPUTED_VALUE"""),0.0)</f>
        <v>0</v>
      </c>
      <c r="T315" s="95">
        <f>IFERROR(__xludf.DUMMYFUNCTION("""COMPUTED_VALUE"""),4.0)</f>
        <v>4</v>
      </c>
      <c r="U315" s="95" t="str">
        <f>IFERROR(__xludf.DUMMYFUNCTION("""COMPUTED_VALUE"""),"")</f>
        <v/>
      </c>
      <c r="V315" s="179" t="str">
        <f>IFERROR(__xludf.DUMMYFUNCTION("""COMPUTED_VALUE"""),"")</f>
        <v/>
      </c>
      <c r="W315" s="171" t="str">
        <f>IFERROR(__xludf.DUMMYFUNCTION("""COMPUTED_VALUE"""),"")</f>
        <v/>
      </c>
      <c r="X315" s="14" t="str">
        <f>IFERROR(__xludf.DUMMYFUNCTION("""COMPUTED_VALUE"""),"")</f>
        <v/>
      </c>
      <c r="Y315" s="14" t="str">
        <f>IFERROR(__xludf.DUMMYFUNCTION("""COMPUTED_VALUE"""),"")</f>
        <v/>
      </c>
      <c r="Z315" s="11" t="str">
        <f>IFERROR(__xludf.DUMMYFUNCTION("""COMPUTED_VALUE"""),"")</f>
        <v/>
      </c>
    </row>
    <row r="316">
      <c r="A316" s="35" t="str">
        <f>IFERROR(__xludf.DUMMYFUNCTION("""COMPUTED_VALUE"""),"")</f>
        <v/>
      </c>
      <c r="B316" s="35" t="str">
        <f>IFERROR(__xludf.DUMMYFUNCTION("""COMPUTED_VALUE"""),"38307")</f>
        <v>38307</v>
      </c>
      <c r="C316" s="172">
        <f>IFERROR(__xludf.DUMMYFUNCTION("""COMPUTED_VALUE"""),4.4644000882E10)</f>
        <v>44644000882</v>
      </c>
      <c r="D316" s="192" t="str">
        <f>IFERROR(__xludf.DUMMYFUNCTION("""COMPUTED_VALUE"""),"FWONK")</f>
        <v>FWONK</v>
      </c>
      <c r="E316" s="173">
        <f>IFERROR(__xludf.DUMMYFUNCTION("""COMPUTED_VALUE"""),44644.0)</f>
        <v>44644</v>
      </c>
      <c r="F316" s="35" t="str">
        <f>IFERROR(__xludf.DUMMYFUNCTION("""COMPUTED_VALUE"""),"Stock")</f>
        <v>Stock</v>
      </c>
      <c r="G316" s="35" t="str">
        <f>IFERROR(__xludf.DUMMYFUNCTION("""COMPUTED_VALUE"""),"USD")</f>
        <v>USD</v>
      </c>
      <c r="H316" s="181">
        <f>IFERROR(__xludf.DUMMYFUNCTION("""COMPUTED_VALUE"""),100.0)</f>
        <v>100</v>
      </c>
      <c r="I316" s="174">
        <f>IFERROR(__xludf.DUMMYFUNCTION("""COMPUTED_VALUE"""),7.82365)</f>
        <v>7.82365</v>
      </c>
      <c r="J316" s="175">
        <f>IFERROR(__xludf.DUMMYFUNCTION("""COMPUTED_VALUE"""),65.97)</f>
        <v>65.97</v>
      </c>
      <c r="K316" s="35"/>
      <c r="L316" s="175">
        <f>IFERROR(__xludf.DUMMYFUNCTION("""COMPUTED_VALUE"""),68.89)</f>
        <v>68.89</v>
      </c>
      <c r="M316" s="182" t="str">
        <f>IFERROR(__xludf.DUMMYFUNCTION("""COMPUTED_VALUE"""),"Equity Key Stats")</f>
        <v>Equity Key Stats</v>
      </c>
      <c r="N316" s="35"/>
      <c r="O316" s="35"/>
      <c r="P316" s="184">
        <f>IFERROR(__xludf.DUMMYFUNCTION("""COMPUTED_VALUE"""),-51612.61905)</f>
        <v>-51612.61905</v>
      </c>
      <c r="Q316" s="177"/>
      <c r="R316" s="178">
        <f>IFERROR(__xludf.DUMMYFUNCTION("""COMPUTED_VALUE"""),68.89)</f>
        <v>68.89</v>
      </c>
      <c r="S316" s="176">
        <f>IFERROR(__xludf.DUMMYFUNCTION("""COMPUTED_VALUE"""),53897.12485)</f>
        <v>53897.12485</v>
      </c>
      <c r="T316" s="95">
        <f>IFERROR(__xludf.DUMMYFUNCTION("""COMPUTED_VALUE"""),3.0)</f>
        <v>3</v>
      </c>
      <c r="U316" s="95" t="str">
        <f>IFERROR(__xludf.DUMMYFUNCTION("""COMPUTED_VALUE"""),"")</f>
        <v/>
      </c>
      <c r="V316" s="179" t="str">
        <f>IFERROR(__xludf.DUMMYFUNCTION("""COMPUTED_VALUE"""),"")</f>
        <v/>
      </c>
      <c r="W316" s="55" t="str">
        <f>IFERROR(__xludf.DUMMYFUNCTION("""COMPUTED_VALUE"""),"")</f>
        <v/>
      </c>
      <c r="X316" s="181" t="str">
        <f>IFERROR(__xludf.DUMMYFUNCTION("""COMPUTED_VALUE"""),"")</f>
        <v/>
      </c>
      <c r="Y316" s="181" t="str">
        <f>IFERROR(__xludf.DUMMYFUNCTION("""COMPUTED_VALUE"""),"")</f>
        <v/>
      </c>
      <c r="Z316" s="186" t="str">
        <f>IFERROR(__xludf.DUMMYFUNCTION("""COMPUTED_VALUE"""),"")</f>
        <v/>
      </c>
    </row>
    <row r="317">
      <c r="A317" s="35" t="str">
        <f>IFERROR(__xludf.DUMMYFUNCTION("""COMPUTED_VALUE"""),"")</f>
        <v/>
      </c>
      <c r="B317" s="35" t="str">
        <f>IFERROR(__xludf.DUMMYFUNCTION("""COMPUTED_VALUE"""),"38307")</f>
        <v>38307</v>
      </c>
      <c r="C317" s="172">
        <f>IFERROR(__xludf.DUMMYFUNCTION("""COMPUTED_VALUE"""),4.4644000883E10)</f>
        <v>44644000883</v>
      </c>
      <c r="D317" s="180" t="str">
        <f>IFERROR(__xludf.DUMMYFUNCTION("""COMPUTED_VALUE"""),"NVAX")</f>
        <v>NVAX</v>
      </c>
      <c r="E317" s="173">
        <f>IFERROR(__xludf.DUMMYFUNCTION("""COMPUTED_VALUE"""),44644.0)</f>
        <v>44644</v>
      </c>
      <c r="F317" s="35" t="str">
        <f>IFERROR(__xludf.DUMMYFUNCTION("""COMPUTED_VALUE"""),"Stock")</f>
        <v>Stock</v>
      </c>
      <c r="G317" s="35" t="str">
        <f>IFERROR(__xludf.DUMMYFUNCTION("""COMPUTED_VALUE"""),"USD")</f>
        <v>USD</v>
      </c>
      <c r="H317" s="14">
        <f>IFERROR(__xludf.DUMMYFUNCTION("""COMPUTED_VALUE"""),-200.0)</f>
        <v>-200</v>
      </c>
      <c r="I317" s="174">
        <f>IFERROR(__xludf.DUMMYFUNCTION("""COMPUTED_VALUE"""),7.82365)</f>
        <v>7.82365</v>
      </c>
      <c r="J317" s="175">
        <f>IFERROR(__xludf.DUMMYFUNCTION("""COMPUTED_VALUE"""),81.45)</f>
        <v>81.45</v>
      </c>
      <c r="K317" s="35"/>
      <c r="L317" s="175">
        <f>IFERROR(__xludf.DUMMYFUNCTION("""COMPUTED_VALUE"""),62.17)</f>
        <v>62.17</v>
      </c>
      <c r="M317" s="187" t="str">
        <f>IFERROR(__xludf.DUMMYFUNCTION("""COMPUTED_VALUE"""),"Equity Key Stats")</f>
        <v>Equity Key Stats</v>
      </c>
      <c r="N317" s="35"/>
      <c r="O317" s="35"/>
      <c r="P317" s="176">
        <f>IFERROR(__xludf.DUMMYFUNCTION("""COMPUTED_VALUE"""),127447.25850000001)</f>
        <v>127447.2585</v>
      </c>
      <c r="Q317" s="177"/>
      <c r="R317" s="178">
        <f>IFERROR(__xludf.DUMMYFUNCTION("""COMPUTED_VALUE"""),62.17)</f>
        <v>62.17</v>
      </c>
      <c r="S317" s="151">
        <f>IFERROR(__xludf.DUMMYFUNCTION("""COMPUTED_VALUE"""),-97279.2641)</f>
        <v>-97279.2641</v>
      </c>
      <c r="T317" s="95">
        <f>IFERROR(__xludf.DUMMYFUNCTION("""COMPUTED_VALUE"""),3.0)</f>
        <v>3</v>
      </c>
      <c r="U317" s="95" t="str">
        <f>IFERROR(__xludf.DUMMYFUNCTION("""COMPUTED_VALUE"""),"")</f>
        <v/>
      </c>
      <c r="V317" s="179" t="str">
        <f>IFERROR(__xludf.DUMMYFUNCTION("""COMPUTED_VALUE"""),"")</f>
        <v/>
      </c>
      <c r="W317" s="171" t="str">
        <f>IFERROR(__xludf.DUMMYFUNCTION("""COMPUTED_VALUE"""),"")</f>
        <v/>
      </c>
      <c r="X317" s="14" t="str">
        <f>IFERROR(__xludf.DUMMYFUNCTION("""COMPUTED_VALUE"""),"")</f>
        <v/>
      </c>
      <c r="Y317" s="14" t="str">
        <f>IFERROR(__xludf.DUMMYFUNCTION("""COMPUTED_VALUE"""),"")</f>
        <v/>
      </c>
      <c r="Z317" s="11" t="str">
        <f>IFERROR(__xludf.DUMMYFUNCTION("""COMPUTED_VALUE"""),"")</f>
        <v/>
      </c>
    </row>
    <row r="318">
      <c r="A318" s="35" t="str">
        <f>IFERROR(__xludf.DUMMYFUNCTION("""COMPUTED_VALUE"""),"")</f>
        <v/>
      </c>
      <c r="B318" s="35" t="str">
        <f>IFERROR(__xludf.DUMMYFUNCTION("""COMPUTED_VALUE"""),"38307")</f>
        <v>38307</v>
      </c>
      <c r="C318" s="172">
        <f>IFERROR(__xludf.DUMMYFUNCTION("""COMPUTED_VALUE"""),4.4644000884E10)</f>
        <v>44644000884</v>
      </c>
      <c r="D318" s="180" t="str">
        <f>IFERROR(__xludf.DUMMYFUNCTION("""COMPUTED_VALUE"""),"FWONK")</f>
        <v>FWONK</v>
      </c>
      <c r="E318" s="173">
        <f>IFERROR(__xludf.DUMMYFUNCTION("""COMPUTED_VALUE"""),44644.0)</f>
        <v>44644</v>
      </c>
      <c r="F318" s="35" t="str">
        <f>IFERROR(__xludf.DUMMYFUNCTION("""COMPUTED_VALUE"""),"Stock")</f>
        <v>Stock</v>
      </c>
      <c r="G318" s="35" t="str">
        <f>IFERROR(__xludf.DUMMYFUNCTION("""COMPUTED_VALUE"""),"USD")</f>
        <v>USD</v>
      </c>
      <c r="H318" s="181">
        <f>IFERROR(__xludf.DUMMYFUNCTION("""COMPUTED_VALUE"""),200.0)</f>
        <v>200</v>
      </c>
      <c r="I318" s="174">
        <f>IFERROR(__xludf.DUMMYFUNCTION("""COMPUTED_VALUE"""),7.82365)</f>
        <v>7.82365</v>
      </c>
      <c r="J318" s="175">
        <f>IFERROR(__xludf.DUMMYFUNCTION("""COMPUTED_VALUE"""),65.97)</f>
        <v>65.97</v>
      </c>
      <c r="K318" s="35"/>
      <c r="L318" s="175">
        <f>IFERROR(__xludf.DUMMYFUNCTION("""COMPUTED_VALUE"""),68.89)</f>
        <v>68.89</v>
      </c>
      <c r="M318" s="182" t="str">
        <f>IFERROR(__xludf.DUMMYFUNCTION("""COMPUTED_VALUE"""),"Equity Key Stats")</f>
        <v>Equity Key Stats</v>
      </c>
      <c r="N318" s="35"/>
      <c r="O318" s="35"/>
      <c r="P318" s="184">
        <f>IFERROR(__xludf.DUMMYFUNCTION("""COMPUTED_VALUE"""),-103225.2381)</f>
        <v>-103225.2381</v>
      </c>
      <c r="Q318" s="177"/>
      <c r="R318" s="178">
        <f>IFERROR(__xludf.DUMMYFUNCTION("""COMPUTED_VALUE"""),68.89)</f>
        <v>68.89</v>
      </c>
      <c r="S318" s="176">
        <f>IFERROR(__xludf.DUMMYFUNCTION("""COMPUTED_VALUE"""),107794.2497)</f>
        <v>107794.2497</v>
      </c>
      <c r="T318" s="95">
        <f>IFERROR(__xludf.DUMMYFUNCTION("""COMPUTED_VALUE"""),3.0)</f>
        <v>3</v>
      </c>
      <c r="U318" s="35" t="str">
        <f>IFERROR(__xludf.DUMMYFUNCTION("""COMPUTED_VALUE"""),"")</f>
        <v/>
      </c>
      <c r="V318" s="170" t="str">
        <f>IFERROR(__xludf.DUMMYFUNCTION("""COMPUTED_VALUE"""),"")</f>
        <v/>
      </c>
      <c r="W318" s="171" t="str">
        <f>IFERROR(__xludf.DUMMYFUNCTION("""COMPUTED_VALUE"""),"")</f>
        <v/>
      </c>
      <c r="X318" s="14" t="str">
        <f>IFERROR(__xludf.DUMMYFUNCTION("""COMPUTED_VALUE"""),"")</f>
        <v/>
      </c>
      <c r="Y318" s="14" t="str">
        <f>IFERROR(__xludf.DUMMYFUNCTION("""COMPUTED_VALUE"""),"")</f>
        <v/>
      </c>
      <c r="Z318" s="11" t="str">
        <f>IFERROR(__xludf.DUMMYFUNCTION("""COMPUTED_VALUE"""),"")</f>
        <v/>
      </c>
    </row>
    <row r="319">
      <c r="A319" s="35" t="str">
        <f>IFERROR(__xludf.DUMMYFUNCTION("""COMPUTED_VALUE"""),"")</f>
        <v/>
      </c>
      <c r="B319" s="35" t="str">
        <f>IFERROR(__xludf.DUMMYFUNCTION("""COMPUTED_VALUE"""),"38307")</f>
        <v>38307</v>
      </c>
      <c r="C319" s="172">
        <f>IFERROR(__xludf.DUMMYFUNCTION("""COMPUTED_VALUE"""),4.4644000885E10)</f>
        <v>44644000885</v>
      </c>
      <c r="D319" s="192" t="str">
        <f>IFERROR(__xludf.DUMMYFUNCTION("""COMPUTED_VALUE"""),"AAPL")</f>
        <v>AAPL</v>
      </c>
      <c r="E319" s="173">
        <f>IFERROR(__xludf.DUMMYFUNCTION("""COMPUTED_VALUE"""),44644.0)</f>
        <v>44644</v>
      </c>
      <c r="F319" s="35" t="str">
        <f>IFERROR(__xludf.DUMMYFUNCTION("""COMPUTED_VALUE"""),"Stock")</f>
        <v>Stock</v>
      </c>
      <c r="G319" s="35" t="str">
        <f>IFERROR(__xludf.DUMMYFUNCTION("""COMPUTED_VALUE"""),"USD")</f>
        <v>USD</v>
      </c>
      <c r="H319" s="181" t="str">
        <f>IFERROR(__xludf.DUMMYFUNCTION("""COMPUTED_VALUE"""),"")</f>
        <v/>
      </c>
      <c r="I319" s="174">
        <f>IFERROR(__xludf.DUMMYFUNCTION("""COMPUTED_VALUE"""),7.82365)</f>
        <v>7.82365</v>
      </c>
      <c r="J319" s="175">
        <f>IFERROR(__xludf.DUMMYFUNCTION("""COMPUTED_VALUE"""),174.07)</f>
        <v>174.07</v>
      </c>
      <c r="K319" s="35"/>
      <c r="L319" s="175">
        <f>IFERROR(__xludf.DUMMYFUNCTION("""COMPUTED_VALUE"""),170.4)</f>
        <v>170.4</v>
      </c>
      <c r="M319" s="182" t="str">
        <f>IFERROR(__xludf.DUMMYFUNCTION("""COMPUTED_VALUE"""),"Equity Key Stats")</f>
        <v>Equity Key Stats</v>
      </c>
      <c r="N319" s="35"/>
      <c r="O319" s="35"/>
      <c r="P319" s="184">
        <f>IFERROR(__xludf.DUMMYFUNCTION("""COMPUTED_VALUE"""),0.0)</f>
        <v>0</v>
      </c>
      <c r="Q319" s="177"/>
      <c r="R319" s="178">
        <f>IFERROR(__xludf.DUMMYFUNCTION("""COMPUTED_VALUE"""),170.4)</f>
        <v>170.4</v>
      </c>
      <c r="S319" s="176">
        <f>IFERROR(__xludf.DUMMYFUNCTION("""COMPUTED_VALUE"""),0.0)</f>
        <v>0</v>
      </c>
      <c r="T319" s="95">
        <f>IFERROR(__xludf.DUMMYFUNCTION("""COMPUTED_VALUE"""),1.0)</f>
        <v>1</v>
      </c>
      <c r="U319" s="35">
        <f>IFERROR(__xludf.DUMMYFUNCTION("""COMPUTED_VALUE"""),1.0)</f>
        <v>1</v>
      </c>
      <c r="V319" s="170">
        <f>IFERROR(__xludf.DUMMYFUNCTION("""COMPUTED_VALUE"""),0.0)</f>
        <v>0</v>
      </c>
      <c r="W319" s="171" t="str">
        <f>IFERROR(__xludf.DUMMYFUNCTION("""COMPUTED_VALUE"""),"")</f>
        <v/>
      </c>
      <c r="X319" s="14" t="str">
        <f>IFERROR(__xludf.DUMMYFUNCTION("""COMPUTED_VALUE"""),"")</f>
        <v/>
      </c>
      <c r="Y319" s="14" t="str">
        <f>IFERROR(__xludf.DUMMYFUNCTION("""COMPUTED_VALUE"""),"")</f>
        <v/>
      </c>
      <c r="Z319" s="11" t="str">
        <f>IFERROR(__xludf.DUMMYFUNCTION("""COMPUTED_VALUE"""),"")</f>
        <v/>
      </c>
    </row>
    <row r="320">
      <c r="A320" s="35" t="str">
        <f>IFERROR(__xludf.DUMMYFUNCTION("""COMPUTED_VALUE"""),"")</f>
        <v/>
      </c>
      <c r="B320" s="35" t="str">
        <f>IFERROR(__xludf.DUMMYFUNCTION("""COMPUTED_VALUE"""),"38307")</f>
        <v>38307</v>
      </c>
      <c r="C320" s="172">
        <f>IFERROR(__xludf.DUMMYFUNCTION("""COMPUTED_VALUE"""),4.4644000887E10)</f>
        <v>44644000887</v>
      </c>
      <c r="D320" s="180" t="str">
        <f>IFERROR(__xludf.DUMMYFUNCTION("""COMPUTED_VALUE"""),"NVAX")</f>
        <v>NVAX</v>
      </c>
      <c r="E320" s="173">
        <f>IFERROR(__xludf.DUMMYFUNCTION("""COMPUTED_VALUE"""),44644.0)</f>
        <v>44644</v>
      </c>
      <c r="F320" s="35" t="str">
        <f>IFERROR(__xludf.DUMMYFUNCTION("""COMPUTED_VALUE"""),"Stock")</f>
        <v>Stock</v>
      </c>
      <c r="G320" s="35" t="str">
        <f>IFERROR(__xludf.DUMMYFUNCTION("""COMPUTED_VALUE"""),"USD")</f>
        <v>USD</v>
      </c>
      <c r="H320" s="181">
        <f>IFERROR(__xludf.DUMMYFUNCTION("""COMPUTED_VALUE"""),-100.0)</f>
        <v>-100</v>
      </c>
      <c r="I320" s="174">
        <f>IFERROR(__xludf.DUMMYFUNCTION("""COMPUTED_VALUE"""),7.82365)</f>
        <v>7.82365</v>
      </c>
      <c r="J320" s="175">
        <f>IFERROR(__xludf.DUMMYFUNCTION("""COMPUTED_VALUE"""),81.45)</f>
        <v>81.45</v>
      </c>
      <c r="K320" s="35"/>
      <c r="L320" s="175">
        <f>IFERROR(__xludf.DUMMYFUNCTION("""COMPUTED_VALUE"""),62.17)</f>
        <v>62.17</v>
      </c>
      <c r="M320" s="182" t="str">
        <f>IFERROR(__xludf.DUMMYFUNCTION("""COMPUTED_VALUE"""),"Equity Key Stats")</f>
        <v>Equity Key Stats</v>
      </c>
      <c r="N320" s="35"/>
      <c r="O320" s="35"/>
      <c r="P320" s="184">
        <f>IFERROR(__xludf.DUMMYFUNCTION("""COMPUTED_VALUE"""),63723.629250000005)</f>
        <v>63723.62925</v>
      </c>
      <c r="Q320" s="177"/>
      <c r="R320" s="178">
        <f>IFERROR(__xludf.DUMMYFUNCTION("""COMPUTED_VALUE"""),62.17)</f>
        <v>62.17</v>
      </c>
      <c r="S320" s="176">
        <f>IFERROR(__xludf.DUMMYFUNCTION("""COMPUTED_VALUE"""),-48639.63205)</f>
        <v>-48639.63205</v>
      </c>
      <c r="T320" s="95">
        <f>IFERROR(__xludf.DUMMYFUNCTION("""COMPUTED_VALUE"""),3.0)</f>
        <v>3</v>
      </c>
      <c r="U320" s="35">
        <f>IFERROR(__xludf.DUMMYFUNCTION("""COMPUTED_VALUE"""),1.0)</f>
        <v>1</v>
      </c>
      <c r="V320" s="170">
        <f>IFERROR(__xludf.DUMMYFUNCTION("""COMPUTED_VALUE"""),22327.94760000002)</f>
        <v>22327.9476</v>
      </c>
      <c r="W320" s="171" t="str">
        <f>IFERROR(__xludf.DUMMYFUNCTION("""COMPUTED_VALUE"""),"")</f>
        <v/>
      </c>
      <c r="X320" s="14" t="str">
        <f>IFERROR(__xludf.DUMMYFUNCTION("""COMPUTED_VALUE"""),"")</f>
        <v/>
      </c>
      <c r="Y320" s="14" t="str">
        <f>IFERROR(__xludf.DUMMYFUNCTION("""COMPUTED_VALUE"""),"")</f>
        <v/>
      </c>
      <c r="Z320" s="11" t="str">
        <f>IFERROR(__xludf.DUMMYFUNCTION("""COMPUTED_VALUE"""),"")</f>
        <v/>
      </c>
    </row>
    <row r="321">
      <c r="A321" s="35" t="str">
        <f>IFERROR(__xludf.DUMMYFUNCTION("""COMPUTED_VALUE"""),"")</f>
        <v/>
      </c>
      <c r="B321" s="35" t="str">
        <f>IFERROR(__xludf.DUMMYFUNCTION("""COMPUTED_VALUE"""),"38307")</f>
        <v>38307</v>
      </c>
      <c r="C321" s="172">
        <f>IFERROR(__xludf.DUMMYFUNCTION("""COMPUTED_VALUE"""),4.4645000889E10)</f>
        <v>44645000889</v>
      </c>
      <c r="D321" s="188" t="str">
        <f>IFERROR(__xludf.DUMMYFUNCTION("""COMPUTED_VALUE"""),"603392.SS")</f>
        <v>603392.SS</v>
      </c>
      <c r="E321" s="173">
        <f>IFERROR(__xludf.DUMMYFUNCTION("""COMPUTED_VALUE"""),44645.0)</f>
        <v>44645</v>
      </c>
      <c r="F321" s="35" t="str">
        <f>IFERROR(__xludf.DUMMYFUNCTION("""COMPUTED_VALUE"""),"Stock")</f>
        <v>Stock</v>
      </c>
      <c r="G321" s="35" t="str">
        <f>IFERROR(__xludf.DUMMYFUNCTION("""COMPUTED_VALUE"""),"CNY")</f>
        <v>CNY</v>
      </c>
      <c r="H321" s="181" t="str">
        <f>IFERROR(__xludf.DUMMYFUNCTION("""COMPUTED_VALUE"""),"")</f>
        <v/>
      </c>
      <c r="I321" s="174">
        <f>IFERROR(__xludf.DUMMYFUNCTION("""COMPUTED_VALUE"""),1.230306)</f>
        <v>1.230306</v>
      </c>
      <c r="J321" s="175">
        <f>IFERROR(__xludf.DUMMYFUNCTION("""COMPUTED_VALUE"""),270.99)</f>
        <v>270.99</v>
      </c>
      <c r="K321" s="35"/>
      <c r="L321" s="175">
        <f>IFERROR(__xludf.DUMMYFUNCTION("""COMPUTED_VALUE"""),284.49)</f>
        <v>284.49</v>
      </c>
      <c r="M321" s="182" t="str">
        <f>IFERROR(__xludf.DUMMYFUNCTION("""COMPUTED_VALUE"""),"Equity Key Stats")</f>
        <v>Equity Key Stats</v>
      </c>
      <c r="N321" s="35"/>
      <c r="O321" s="35"/>
      <c r="P321" s="184">
        <f>IFERROR(__xludf.DUMMYFUNCTION("""COMPUTED_VALUE"""),0.0)</f>
        <v>0</v>
      </c>
      <c r="Q321" s="177"/>
      <c r="R321" s="178">
        <f>IFERROR(__xludf.DUMMYFUNCTION("""COMPUTED_VALUE"""),284.49)</f>
        <v>284.49</v>
      </c>
      <c r="S321" s="176">
        <f>IFERROR(__xludf.DUMMYFUNCTION("""COMPUTED_VALUE"""),0.0)</f>
        <v>0</v>
      </c>
      <c r="T321" s="95">
        <f>IFERROR(__xludf.DUMMYFUNCTION("""COMPUTED_VALUE"""),4.0)</f>
        <v>4</v>
      </c>
      <c r="U321" s="35" t="str">
        <f>IFERROR(__xludf.DUMMYFUNCTION("""COMPUTED_VALUE"""),"")</f>
        <v/>
      </c>
      <c r="V321" s="170" t="str">
        <f>IFERROR(__xludf.DUMMYFUNCTION("""COMPUTED_VALUE"""),"")</f>
        <v/>
      </c>
      <c r="W321" s="171" t="str">
        <f>IFERROR(__xludf.DUMMYFUNCTION("""COMPUTED_VALUE"""),"")</f>
        <v/>
      </c>
      <c r="X321" s="14" t="str">
        <f>IFERROR(__xludf.DUMMYFUNCTION("""COMPUTED_VALUE"""),"")</f>
        <v/>
      </c>
      <c r="Y321" s="14" t="str">
        <f>IFERROR(__xludf.DUMMYFUNCTION("""COMPUTED_VALUE"""),"")</f>
        <v/>
      </c>
      <c r="Z321" s="11" t="str">
        <f>IFERROR(__xludf.DUMMYFUNCTION("""COMPUTED_VALUE"""),"")</f>
        <v/>
      </c>
    </row>
    <row r="322">
      <c r="A322" s="35" t="str">
        <f>IFERROR(__xludf.DUMMYFUNCTION("""COMPUTED_VALUE"""),"")</f>
        <v/>
      </c>
      <c r="B322" s="35" t="str">
        <f>IFERROR(__xludf.DUMMYFUNCTION("""COMPUTED_VALUE"""),"38307")</f>
        <v>38307</v>
      </c>
      <c r="C322" s="172">
        <f>IFERROR(__xludf.DUMMYFUNCTION("""COMPUTED_VALUE"""),4.4645000893E10)</f>
        <v>44645000893</v>
      </c>
      <c r="D322" s="188" t="str">
        <f>IFERROR(__xludf.DUMMYFUNCTION("""COMPUTED_VALUE"""),"600511.SS")</f>
        <v>600511.SS</v>
      </c>
      <c r="E322" s="173">
        <f>IFERROR(__xludf.DUMMYFUNCTION("""COMPUTED_VALUE"""),44645.0)</f>
        <v>44645</v>
      </c>
      <c r="F322" s="35" t="str">
        <f>IFERROR(__xludf.DUMMYFUNCTION("""COMPUTED_VALUE"""),"Stock")</f>
        <v>Stock</v>
      </c>
      <c r="G322" s="35" t="str">
        <f>IFERROR(__xludf.DUMMYFUNCTION("""COMPUTED_VALUE"""),"CNY")</f>
        <v>CNY</v>
      </c>
      <c r="H322" s="183">
        <f>IFERROR(__xludf.DUMMYFUNCTION("""COMPUTED_VALUE"""),600.0)</f>
        <v>600</v>
      </c>
      <c r="I322" s="174">
        <f>IFERROR(__xludf.DUMMYFUNCTION("""COMPUTED_VALUE"""),1.230306)</f>
        <v>1.230306</v>
      </c>
      <c r="J322" s="175">
        <f>IFERROR(__xludf.DUMMYFUNCTION("""COMPUTED_VALUE"""),32.66)</f>
        <v>32.66</v>
      </c>
      <c r="K322" s="35"/>
      <c r="L322" s="175">
        <f>IFERROR(__xludf.DUMMYFUNCTION("""COMPUTED_VALUE"""),27.74)</f>
        <v>27.74</v>
      </c>
      <c r="M322" s="182" t="str">
        <f>IFERROR(__xludf.DUMMYFUNCTION("""COMPUTED_VALUE"""),"Equity Key Stats")</f>
        <v>Equity Key Stats</v>
      </c>
      <c r="N322" s="35"/>
      <c r="O322" s="35"/>
      <c r="P322" s="176">
        <f>IFERROR(__xludf.DUMMYFUNCTION("""COMPUTED_VALUE"""),-24109.076375999997)</f>
        <v>-24109.07638</v>
      </c>
      <c r="Q322" s="177"/>
      <c r="R322" s="178">
        <f>IFERROR(__xludf.DUMMYFUNCTION("""COMPUTED_VALUE"""),27.74)</f>
        <v>27.74</v>
      </c>
      <c r="S322" s="184">
        <f>IFERROR(__xludf.DUMMYFUNCTION("""COMPUTED_VALUE"""),20477.213063999996)</f>
        <v>20477.21306</v>
      </c>
      <c r="T322" s="95">
        <f>IFERROR(__xludf.DUMMYFUNCTION("""COMPUTED_VALUE"""),2.0)</f>
        <v>2</v>
      </c>
      <c r="U322" s="35" t="str">
        <f>IFERROR(__xludf.DUMMYFUNCTION("""COMPUTED_VALUE"""),"")</f>
        <v/>
      </c>
      <c r="V322" s="170" t="str">
        <f>IFERROR(__xludf.DUMMYFUNCTION("""COMPUTED_VALUE"""),"")</f>
        <v/>
      </c>
      <c r="W322" s="171" t="str">
        <f>IFERROR(__xludf.DUMMYFUNCTION("""COMPUTED_VALUE"""),"")</f>
        <v/>
      </c>
      <c r="X322" s="14" t="str">
        <f>IFERROR(__xludf.DUMMYFUNCTION("""COMPUTED_VALUE"""),"")</f>
        <v/>
      </c>
      <c r="Y322" s="14" t="str">
        <f>IFERROR(__xludf.DUMMYFUNCTION("""COMPUTED_VALUE"""),"")</f>
        <v/>
      </c>
      <c r="Z322" s="11" t="str">
        <f>IFERROR(__xludf.DUMMYFUNCTION("""COMPUTED_VALUE"""),"")</f>
        <v/>
      </c>
    </row>
    <row r="323">
      <c r="A323" s="35" t="str">
        <f>IFERROR(__xludf.DUMMYFUNCTION("""COMPUTED_VALUE"""),"")</f>
        <v/>
      </c>
      <c r="B323" s="35" t="str">
        <f>IFERROR(__xludf.DUMMYFUNCTION("""COMPUTED_VALUE"""),"38307")</f>
        <v>38307</v>
      </c>
      <c r="C323" s="172">
        <f>IFERROR(__xludf.DUMMYFUNCTION("""COMPUTED_VALUE"""),4.4645000894E10)</f>
        <v>44645000894</v>
      </c>
      <c r="D323" s="192" t="str">
        <f>IFERROR(__xludf.DUMMYFUNCTION("""COMPUTED_VALUE"""),"002104.SZ")</f>
        <v>002104.SZ</v>
      </c>
      <c r="E323" s="173">
        <f>IFERROR(__xludf.DUMMYFUNCTION("""COMPUTED_VALUE"""),44645.0)</f>
        <v>44645</v>
      </c>
      <c r="F323" s="35" t="str">
        <f>IFERROR(__xludf.DUMMYFUNCTION("""COMPUTED_VALUE"""),"Stock")</f>
        <v>Stock</v>
      </c>
      <c r="G323" s="35" t="str">
        <f>IFERROR(__xludf.DUMMYFUNCTION("""COMPUTED_VALUE"""),"CNY")</f>
        <v>CNY</v>
      </c>
      <c r="H323" s="181">
        <f>IFERROR(__xludf.DUMMYFUNCTION("""COMPUTED_VALUE"""),2000.0)</f>
        <v>2000</v>
      </c>
      <c r="I323" s="174">
        <f>IFERROR(__xludf.DUMMYFUNCTION("""COMPUTED_VALUE"""),1.230306)</f>
        <v>1.230306</v>
      </c>
      <c r="J323" s="175">
        <f>IFERROR(__xludf.DUMMYFUNCTION("""COMPUTED_VALUE"""),11.39)</f>
        <v>11.39</v>
      </c>
      <c r="K323" s="35"/>
      <c r="L323" s="175">
        <f>IFERROR(__xludf.DUMMYFUNCTION("""COMPUTED_VALUE"""),10.14)</f>
        <v>10.14</v>
      </c>
      <c r="M323" s="182" t="str">
        <f>IFERROR(__xludf.DUMMYFUNCTION("""COMPUTED_VALUE"""),"Equity Key Stats")</f>
        <v>Equity Key Stats</v>
      </c>
      <c r="N323" s="35"/>
      <c r="O323" s="35"/>
      <c r="P323" s="184">
        <f>IFERROR(__xludf.DUMMYFUNCTION("""COMPUTED_VALUE"""),-28026.370679999996)</f>
        <v>-28026.37068</v>
      </c>
      <c r="Q323" s="177"/>
      <c r="R323" s="178">
        <f>IFERROR(__xludf.DUMMYFUNCTION("""COMPUTED_VALUE"""),10.14)</f>
        <v>10.14</v>
      </c>
      <c r="S323" s="176">
        <f>IFERROR(__xludf.DUMMYFUNCTION("""COMPUTED_VALUE"""),24950.605679999997)</f>
        <v>24950.60568</v>
      </c>
      <c r="T323" s="95">
        <f>IFERROR(__xludf.DUMMYFUNCTION("""COMPUTED_VALUE"""),2.0)</f>
        <v>2</v>
      </c>
      <c r="U323" s="35" t="str">
        <f>IFERROR(__xludf.DUMMYFUNCTION("""COMPUTED_VALUE"""),"")</f>
        <v/>
      </c>
      <c r="V323" s="170" t="str">
        <f>IFERROR(__xludf.DUMMYFUNCTION("""COMPUTED_VALUE"""),"")</f>
        <v/>
      </c>
      <c r="W323" s="171" t="str">
        <f>IFERROR(__xludf.DUMMYFUNCTION("""COMPUTED_VALUE"""),"")</f>
        <v/>
      </c>
      <c r="X323" s="14" t="str">
        <f>IFERROR(__xludf.DUMMYFUNCTION("""COMPUTED_VALUE"""),"")</f>
        <v/>
      </c>
      <c r="Y323" s="14" t="str">
        <f>IFERROR(__xludf.DUMMYFUNCTION("""COMPUTED_VALUE"""),"")</f>
        <v/>
      </c>
      <c r="Z323" s="11" t="str">
        <f>IFERROR(__xludf.DUMMYFUNCTION("""COMPUTED_VALUE"""),"")</f>
        <v/>
      </c>
    </row>
    <row r="324">
      <c r="A324" s="35" t="str">
        <f>IFERROR(__xludf.DUMMYFUNCTION("""COMPUTED_VALUE"""),"")</f>
        <v/>
      </c>
      <c r="B324" s="35" t="str">
        <f>IFERROR(__xludf.DUMMYFUNCTION("""COMPUTED_VALUE"""),"38307")</f>
        <v>38307</v>
      </c>
      <c r="C324" s="172">
        <f>IFERROR(__xludf.DUMMYFUNCTION("""COMPUTED_VALUE"""),4.4645000941E10)</f>
        <v>44645000941</v>
      </c>
      <c r="D324" s="192" t="str">
        <f>IFERROR(__xludf.DUMMYFUNCTION("""COMPUTED_VALUE"""),"FWONK")</f>
        <v>FWONK</v>
      </c>
      <c r="E324" s="173">
        <f>IFERROR(__xludf.DUMMYFUNCTION("""COMPUTED_VALUE"""),44645.0)</f>
        <v>44645</v>
      </c>
      <c r="F324" s="35" t="str">
        <f>IFERROR(__xludf.DUMMYFUNCTION("""COMPUTED_VALUE"""),"Stock")</f>
        <v>Stock</v>
      </c>
      <c r="G324" s="35" t="str">
        <f>IFERROR(__xludf.DUMMYFUNCTION("""COMPUTED_VALUE"""),"USD")</f>
        <v>USD</v>
      </c>
      <c r="H324" s="181">
        <f>IFERROR(__xludf.DUMMYFUNCTION("""COMPUTED_VALUE"""),-300.0)</f>
        <v>-300</v>
      </c>
      <c r="I324" s="174">
        <f>IFERROR(__xludf.DUMMYFUNCTION("""COMPUTED_VALUE"""),7.82975)</f>
        <v>7.82975</v>
      </c>
      <c r="J324" s="175">
        <f>IFERROR(__xludf.DUMMYFUNCTION("""COMPUTED_VALUE"""),66.55)</f>
        <v>66.55</v>
      </c>
      <c r="K324" s="35"/>
      <c r="L324" s="175">
        <f>IFERROR(__xludf.DUMMYFUNCTION("""COMPUTED_VALUE"""),68.89)</f>
        <v>68.89</v>
      </c>
      <c r="M324" s="182" t="str">
        <f>IFERROR(__xludf.DUMMYFUNCTION("""COMPUTED_VALUE"""),"Equity Key Stats")</f>
        <v>Equity Key Stats</v>
      </c>
      <c r="N324" s="35"/>
      <c r="O324" s="35"/>
      <c r="P324" s="176">
        <f>IFERROR(__xludf.DUMMYFUNCTION("""COMPUTED_VALUE"""),156320.95874999996)</f>
        <v>156320.9588</v>
      </c>
      <c r="Q324" s="177"/>
      <c r="R324" s="178">
        <f>IFERROR(__xludf.DUMMYFUNCTION("""COMPUTED_VALUE"""),68.89)</f>
        <v>68.89</v>
      </c>
      <c r="S324" s="176">
        <f>IFERROR(__xludf.DUMMYFUNCTION("""COMPUTED_VALUE"""),-161817.44324999998)</f>
        <v>-161817.4433</v>
      </c>
      <c r="T324" s="95">
        <f>IFERROR(__xludf.DUMMYFUNCTION("""COMPUTED_VALUE"""),3.0)</f>
        <v>3</v>
      </c>
      <c r="U324" s="95">
        <f>IFERROR(__xludf.DUMMYFUNCTION("""COMPUTED_VALUE"""),1.0)</f>
        <v>1</v>
      </c>
      <c r="V324" s="179">
        <f>IFERROR(__xludf.DUMMYFUNCTION("""COMPUTED_VALUE"""),1357.032899999991)</f>
        <v>1357.0329</v>
      </c>
      <c r="W324" s="171" t="str">
        <f>IFERROR(__xludf.DUMMYFUNCTION("""COMPUTED_VALUE"""),"")</f>
        <v/>
      </c>
      <c r="X324" s="14" t="str">
        <f>IFERROR(__xludf.DUMMYFUNCTION("""COMPUTED_VALUE"""),"")</f>
        <v/>
      </c>
      <c r="Y324" s="14" t="str">
        <f>IFERROR(__xludf.DUMMYFUNCTION("""COMPUTED_VALUE"""),"")</f>
        <v/>
      </c>
      <c r="Z324" s="11" t="str">
        <f>IFERROR(__xludf.DUMMYFUNCTION("""COMPUTED_VALUE"""),"")</f>
        <v/>
      </c>
    </row>
    <row r="325">
      <c r="A325" s="35" t="str">
        <f>IFERROR(__xludf.DUMMYFUNCTION("""COMPUTED_VALUE"""),"")</f>
        <v/>
      </c>
      <c r="B325" s="35" t="str">
        <f>IFERROR(__xludf.DUMMYFUNCTION("""COMPUTED_VALUE"""),"38307")</f>
        <v>38307</v>
      </c>
      <c r="C325" s="172">
        <f>IFERROR(__xludf.DUMMYFUNCTION("""COMPUTED_VALUE"""),4.4645000942E10)</f>
        <v>44645000942</v>
      </c>
      <c r="D325" s="180" t="str">
        <f>IFERROR(__xludf.DUMMYFUNCTION("""COMPUTED_VALUE"""),"PFE")</f>
        <v>PFE</v>
      </c>
      <c r="E325" s="173">
        <f>IFERROR(__xludf.DUMMYFUNCTION("""COMPUTED_VALUE"""),44645.0)</f>
        <v>44645</v>
      </c>
      <c r="F325" s="35" t="str">
        <f>IFERROR(__xludf.DUMMYFUNCTION("""COMPUTED_VALUE"""),"Stock")</f>
        <v>Stock</v>
      </c>
      <c r="G325" s="35" t="str">
        <f>IFERROR(__xludf.DUMMYFUNCTION("""COMPUTED_VALUE"""),"USD")</f>
        <v>USD</v>
      </c>
      <c r="H325" s="181">
        <f>IFERROR(__xludf.DUMMYFUNCTION("""COMPUTED_VALUE"""),-500.0)</f>
        <v>-500</v>
      </c>
      <c r="I325" s="174">
        <f>IFERROR(__xludf.DUMMYFUNCTION("""COMPUTED_VALUE"""),7.82975)</f>
        <v>7.82975</v>
      </c>
      <c r="J325" s="175">
        <f>IFERROR(__xludf.DUMMYFUNCTION("""COMPUTED_VALUE"""),52.78)</f>
        <v>52.78</v>
      </c>
      <c r="K325" s="35"/>
      <c r="L325" s="175">
        <f>IFERROR(__xludf.DUMMYFUNCTION("""COMPUTED_VALUE"""),53.11)</f>
        <v>53.11</v>
      </c>
      <c r="M325" s="182" t="str">
        <f>IFERROR(__xludf.DUMMYFUNCTION("""COMPUTED_VALUE"""),"Equity Key Stats")</f>
        <v>Equity Key Stats</v>
      </c>
      <c r="N325" s="35"/>
      <c r="O325" s="35"/>
      <c r="P325" s="184">
        <f>IFERROR(__xludf.DUMMYFUNCTION("""COMPUTED_VALUE"""),206627.1025)</f>
        <v>206627.1025</v>
      </c>
      <c r="Q325" s="177"/>
      <c r="R325" s="178">
        <f>IFERROR(__xludf.DUMMYFUNCTION("""COMPUTED_VALUE"""),53.11)</f>
        <v>53.11</v>
      </c>
      <c r="S325" s="176">
        <f>IFERROR(__xludf.DUMMYFUNCTION("""COMPUTED_VALUE"""),-207919.01125)</f>
        <v>-207919.0113</v>
      </c>
      <c r="T325" s="95">
        <f>IFERROR(__xludf.DUMMYFUNCTION("""COMPUTED_VALUE"""),3.0)</f>
        <v>3</v>
      </c>
      <c r="U325" s="35">
        <f>IFERROR(__xludf.DUMMYFUNCTION("""COMPUTED_VALUE"""),1.0)</f>
        <v>1</v>
      </c>
      <c r="V325" s="170">
        <f>IFERROR(__xludf.DUMMYFUNCTION("""COMPUTED_VALUE"""),5441.246249999967)</f>
        <v>5441.24625</v>
      </c>
      <c r="W325" s="171" t="str">
        <f>IFERROR(__xludf.DUMMYFUNCTION("""COMPUTED_VALUE"""),"")</f>
        <v/>
      </c>
      <c r="X325" s="14" t="str">
        <f>IFERROR(__xludf.DUMMYFUNCTION("""COMPUTED_VALUE"""),"")</f>
        <v/>
      </c>
      <c r="Y325" s="14" t="str">
        <f>IFERROR(__xludf.DUMMYFUNCTION("""COMPUTED_VALUE"""),"")</f>
        <v/>
      </c>
      <c r="Z325" s="11" t="str">
        <f>IFERROR(__xludf.DUMMYFUNCTION("""COMPUTED_VALUE"""),"")</f>
        <v/>
      </c>
    </row>
    <row r="326">
      <c r="A326" s="35" t="str">
        <f>IFERROR(__xludf.DUMMYFUNCTION("""COMPUTED_VALUE"""),"")</f>
        <v/>
      </c>
      <c r="B326" s="35" t="str">
        <f>IFERROR(__xludf.DUMMYFUNCTION("""COMPUTED_VALUE"""),"38307")</f>
        <v>38307</v>
      </c>
      <c r="C326" s="172">
        <f>IFERROR(__xludf.DUMMYFUNCTION("""COMPUTED_VALUE"""),4.4649000984E10)</f>
        <v>44649000984</v>
      </c>
      <c r="D326" s="188" t="str">
        <f>IFERROR(__xludf.DUMMYFUNCTION("""COMPUTED_VALUE"""),"603392.SS")</f>
        <v>603392.SS</v>
      </c>
      <c r="E326" s="173">
        <f>IFERROR(__xludf.DUMMYFUNCTION("""COMPUTED_VALUE"""),44649.0)</f>
        <v>44649</v>
      </c>
      <c r="F326" s="35" t="str">
        <f>IFERROR(__xludf.DUMMYFUNCTION("""COMPUTED_VALUE"""),"Stock")</f>
        <v>Stock</v>
      </c>
      <c r="G326" s="35" t="str">
        <f>IFERROR(__xludf.DUMMYFUNCTION("""COMPUTED_VALUE"""),"CNY")</f>
        <v>CNY</v>
      </c>
      <c r="H326" s="181">
        <f>IFERROR(__xludf.DUMMYFUNCTION("""COMPUTED_VALUE"""),400.0)</f>
        <v>400</v>
      </c>
      <c r="I326" s="174">
        <f>IFERROR(__xludf.DUMMYFUNCTION("""COMPUTED_VALUE"""),1.229779)</f>
        <v>1.229779</v>
      </c>
      <c r="J326" s="175">
        <f>IFERROR(__xludf.DUMMYFUNCTION("""COMPUTED_VALUE"""),274.66)</f>
        <v>274.66</v>
      </c>
      <c r="K326" s="35"/>
      <c r="L326" s="175">
        <f>IFERROR(__xludf.DUMMYFUNCTION("""COMPUTED_VALUE"""),284.49)</f>
        <v>284.49</v>
      </c>
      <c r="M326" s="182" t="str">
        <f>IFERROR(__xludf.DUMMYFUNCTION("""COMPUTED_VALUE"""),"Equity Key Stats")</f>
        <v>Equity Key Stats</v>
      </c>
      <c r="N326" s="35"/>
      <c r="O326" s="35"/>
      <c r="P326" s="176">
        <f>IFERROR(__xludf.DUMMYFUNCTION("""COMPUTED_VALUE"""),-135108.440056)</f>
        <v>-135108.4401</v>
      </c>
      <c r="Q326" s="177"/>
      <c r="R326" s="178">
        <f>IFERROR(__xludf.DUMMYFUNCTION("""COMPUTED_VALUE"""),284.49)</f>
        <v>284.49</v>
      </c>
      <c r="S326" s="176">
        <f>IFERROR(__xludf.DUMMYFUNCTION("""COMPUTED_VALUE"""),139943.93108399998)</f>
        <v>139943.9311</v>
      </c>
      <c r="T326" s="95">
        <f>IFERROR(__xludf.DUMMYFUNCTION("""COMPUTED_VALUE"""),4.0)</f>
        <v>4</v>
      </c>
      <c r="U326" s="35" t="str">
        <f>IFERROR(__xludf.DUMMYFUNCTION("""COMPUTED_VALUE"""),"")</f>
        <v/>
      </c>
      <c r="V326" s="170" t="str">
        <f>IFERROR(__xludf.DUMMYFUNCTION("""COMPUTED_VALUE"""),"")</f>
        <v/>
      </c>
      <c r="W326" s="171" t="str">
        <f>IFERROR(__xludf.DUMMYFUNCTION("""COMPUTED_VALUE"""),"")</f>
        <v/>
      </c>
      <c r="X326" s="14" t="str">
        <f>IFERROR(__xludf.DUMMYFUNCTION("""COMPUTED_VALUE"""),"")</f>
        <v/>
      </c>
      <c r="Y326" s="14" t="str">
        <f>IFERROR(__xludf.DUMMYFUNCTION("""COMPUTED_VALUE"""),"")</f>
        <v/>
      </c>
      <c r="Z326" s="11" t="str">
        <f>IFERROR(__xludf.DUMMYFUNCTION("""COMPUTED_VALUE"""),"")</f>
        <v/>
      </c>
    </row>
    <row r="327">
      <c r="A327" s="35" t="str">
        <f>IFERROR(__xludf.DUMMYFUNCTION("""COMPUTED_VALUE"""),"")</f>
        <v/>
      </c>
      <c r="B327" s="35" t="str">
        <f>IFERROR(__xludf.DUMMYFUNCTION("""COMPUTED_VALUE"""),"38307")</f>
        <v>38307</v>
      </c>
      <c r="C327" s="172">
        <f>IFERROR(__xludf.DUMMYFUNCTION("""COMPUTED_VALUE"""),4.4649001015E10)</f>
        <v>44649001015</v>
      </c>
      <c r="D327" s="180" t="str">
        <f>IFERROR(__xludf.DUMMYFUNCTION("""COMPUTED_VALUE"""),"BA")</f>
        <v>BA</v>
      </c>
      <c r="E327" s="173">
        <f>IFERROR(__xludf.DUMMYFUNCTION("""COMPUTED_VALUE"""),44649.0)</f>
        <v>44649</v>
      </c>
      <c r="F327" s="35" t="str">
        <f>IFERROR(__xludf.DUMMYFUNCTION("""COMPUTED_VALUE"""),"Stock")</f>
        <v>Stock</v>
      </c>
      <c r="G327" s="35" t="str">
        <f>IFERROR(__xludf.DUMMYFUNCTION("""COMPUTED_VALUE"""),"USD")</f>
        <v>USD</v>
      </c>
      <c r="H327" s="181">
        <f>IFERROR(__xludf.DUMMYFUNCTION("""COMPUTED_VALUE"""),100.0)</f>
        <v>100</v>
      </c>
      <c r="I327" s="174">
        <f>IFERROR(__xludf.DUMMYFUNCTION("""COMPUTED_VALUE"""),7.827315)</f>
        <v>7.827315</v>
      </c>
      <c r="J327" s="175">
        <f>IFERROR(__xludf.DUMMYFUNCTION("""COMPUTED_VALUE"""),193.8)</f>
        <v>193.8</v>
      </c>
      <c r="K327" s="35"/>
      <c r="L327" s="175">
        <f>IFERROR(__xludf.DUMMYFUNCTION("""COMPUTED_VALUE"""),182.96)</f>
        <v>182.96</v>
      </c>
      <c r="M327" s="182" t="str">
        <f>IFERROR(__xludf.DUMMYFUNCTION("""COMPUTED_VALUE"""),"Equity Key Stats")</f>
        <v>Equity Key Stats</v>
      </c>
      <c r="N327" s="35"/>
      <c r="O327" s="35"/>
      <c r="P327" s="176">
        <f>IFERROR(__xludf.DUMMYFUNCTION("""COMPUTED_VALUE"""),-151693.3647)</f>
        <v>-151693.3647</v>
      </c>
      <c r="Q327" s="177"/>
      <c r="R327" s="178">
        <f>IFERROR(__xludf.DUMMYFUNCTION("""COMPUTED_VALUE"""),182.96)</f>
        <v>182.96</v>
      </c>
      <c r="S327" s="176">
        <f>IFERROR(__xludf.DUMMYFUNCTION("""COMPUTED_VALUE"""),143208.55524000002)</f>
        <v>143208.5552</v>
      </c>
      <c r="T327" s="95">
        <f>IFERROR(__xludf.DUMMYFUNCTION("""COMPUTED_VALUE"""),2.0)</f>
        <v>2</v>
      </c>
      <c r="U327" s="35" t="str">
        <f>IFERROR(__xludf.DUMMYFUNCTION("""COMPUTED_VALUE"""),"")</f>
        <v/>
      </c>
      <c r="V327" s="170" t="str">
        <f>IFERROR(__xludf.DUMMYFUNCTION("""COMPUTED_VALUE"""),"")</f>
        <v/>
      </c>
      <c r="W327" s="171" t="str">
        <f>IFERROR(__xludf.DUMMYFUNCTION("""COMPUTED_VALUE"""),"")</f>
        <v/>
      </c>
      <c r="X327" s="14" t="str">
        <f>IFERROR(__xludf.DUMMYFUNCTION("""COMPUTED_VALUE"""),"")</f>
        <v/>
      </c>
      <c r="Y327" s="14" t="str">
        <f>IFERROR(__xludf.DUMMYFUNCTION("""COMPUTED_VALUE"""),"")</f>
        <v/>
      </c>
      <c r="Z327" s="11" t="str">
        <f>IFERROR(__xludf.DUMMYFUNCTION("""COMPUTED_VALUE"""),"")</f>
        <v/>
      </c>
    </row>
    <row r="328">
      <c r="A328" s="35" t="str">
        <f>IFERROR(__xludf.DUMMYFUNCTION("""COMPUTED_VALUE"""),"")</f>
        <v/>
      </c>
      <c r="B328" s="35" t="str">
        <f>IFERROR(__xludf.DUMMYFUNCTION("""COMPUTED_VALUE"""),"38307")</f>
        <v>38307</v>
      </c>
      <c r="C328" s="172">
        <f>IFERROR(__xludf.DUMMYFUNCTION("""COMPUTED_VALUE"""),4.4655001119E10)</f>
        <v>44655001119</v>
      </c>
      <c r="D328" s="188" t="str">
        <f>IFERROR(__xludf.DUMMYFUNCTION("""COMPUTED_VALUE"""),"603392.SS")</f>
        <v>603392.SS</v>
      </c>
      <c r="E328" s="173">
        <f>IFERROR(__xludf.DUMMYFUNCTION("""COMPUTED_VALUE"""),44655.0)</f>
        <v>44655</v>
      </c>
      <c r="F328" s="35" t="str">
        <f>IFERROR(__xludf.DUMMYFUNCTION("""COMPUTED_VALUE"""),"Stock")</f>
        <v>Stock</v>
      </c>
      <c r="G328" s="35" t="str">
        <f>IFERROR(__xludf.DUMMYFUNCTION("""COMPUTED_VALUE"""),"CNY")</f>
        <v>CNY</v>
      </c>
      <c r="H328" s="181">
        <f>IFERROR(__xludf.DUMMYFUNCTION("""COMPUTED_VALUE"""),-400.0)</f>
        <v>-400</v>
      </c>
      <c r="I328" s="174">
        <f>IFERROR(__xludf.DUMMYFUNCTION("""COMPUTED_VALUE"""),1.231315)</f>
        <v>1.231315</v>
      </c>
      <c r="J328" s="175">
        <f>IFERROR(__xludf.DUMMYFUNCTION("""COMPUTED_VALUE"""),277.02)</f>
        <v>277.02</v>
      </c>
      <c r="K328" s="35"/>
      <c r="L328" s="175">
        <f>IFERROR(__xludf.DUMMYFUNCTION("""COMPUTED_VALUE"""),284.49)</f>
        <v>284.49</v>
      </c>
      <c r="M328" s="182" t="str">
        <f>IFERROR(__xludf.DUMMYFUNCTION("""COMPUTED_VALUE"""),"Equity Key Stats")</f>
        <v>Equity Key Stats</v>
      </c>
      <c r="N328" s="35"/>
      <c r="O328" s="35"/>
      <c r="P328" s="184">
        <f>IFERROR(__xludf.DUMMYFUNCTION("""COMPUTED_VALUE"""),136439.55251999997)</f>
        <v>136439.5525</v>
      </c>
      <c r="Q328" s="177"/>
      <c r="R328" s="178">
        <f>IFERROR(__xludf.DUMMYFUNCTION("""COMPUTED_VALUE"""),284.49)</f>
        <v>284.49</v>
      </c>
      <c r="S328" s="176">
        <f>IFERROR(__xludf.DUMMYFUNCTION("""COMPUTED_VALUE"""),-140118.72173999998)</f>
        <v>-140118.7217</v>
      </c>
      <c r="T328" s="95">
        <f>IFERROR(__xludf.DUMMYFUNCTION("""COMPUTED_VALUE"""),4.0)</f>
        <v>4</v>
      </c>
      <c r="U328" s="35">
        <f>IFERROR(__xludf.DUMMYFUNCTION("""COMPUTED_VALUE"""),1.0)</f>
        <v>1</v>
      </c>
      <c r="V328" s="170">
        <f>IFERROR(__xludf.DUMMYFUNCTION("""COMPUTED_VALUE"""),1156.3218079999788)</f>
        <v>1156.321808</v>
      </c>
      <c r="W328" s="171" t="str">
        <f>IFERROR(__xludf.DUMMYFUNCTION("""COMPUTED_VALUE"""),"")</f>
        <v/>
      </c>
      <c r="X328" s="14" t="str">
        <f>IFERROR(__xludf.DUMMYFUNCTION("""COMPUTED_VALUE"""),"")</f>
        <v/>
      </c>
      <c r="Y328" s="14" t="str">
        <f>IFERROR(__xludf.DUMMYFUNCTION("""COMPUTED_VALUE"""),"")</f>
        <v/>
      </c>
      <c r="Z328" s="11" t="str">
        <f>IFERROR(__xludf.DUMMYFUNCTION("""COMPUTED_VALUE"""),"")</f>
        <v/>
      </c>
    </row>
    <row r="329">
      <c r="A329" s="35" t="str">
        <f>IFERROR(__xludf.DUMMYFUNCTION("""COMPUTED_VALUE"""),"")</f>
        <v/>
      </c>
      <c r="B329" s="35" t="str">
        <f>IFERROR(__xludf.DUMMYFUNCTION("""COMPUTED_VALUE"""),"38307")</f>
        <v>38307</v>
      </c>
      <c r="C329" s="172">
        <f>IFERROR(__xludf.DUMMYFUNCTION("""COMPUTED_VALUE"""),4.4655001121E10)</f>
        <v>44655001121</v>
      </c>
      <c r="D329" s="188" t="str">
        <f>IFERROR(__xludf.DUMMYFUNCTION("""COMPUTED_VALUE"""),"600511.SS")</f>
        <v>600511.SS</v>
      </c>
      <c r="E329" s="173">
        <f>IFERROR(__xludf.DUMMYFUNCTION("""COMPUTED_VALUE"""),44655.0)</f>
        <v>44655</v>
      </c>
      <c r="F329" s="35" t="str">
        <f>IFERROR(__xludf.DUMMYFUNCTION("""COMPUTED_VALUE"""),"Stock")</f>
        <v>Stock</v>
      </c>
      <c r="G329" s="35" t="str">
        <f>IFERROR(__xludf.DUMMYFUNCTION("""COMPUTED_VALUE"""),"CNY")</f>
        <v>CNY</v>
      </c>
      <c r="H329" s="181">
        <f>IFERROR(__xludf.DUMMYFUNCTION("""COMPUTED_VALUE"""),-600.0)</f>
        <v>-600</v>
      </c>
      <c r="I329" s="174">
        <f>IFERROR(__xludf.DUMMYFUNCTION("""COMPUTED_VALUE"""),1.231315)</f>
        <v>1.231315</v>
      </c>
      <c r="J329" s="175">
        <f>IFERROR(__xludf.DUMMYFUNCTION("""COMPUTED_VALUE"""),28.56)</f>
        <v>28.56</v>
      </c>
      <c r="K329" s="35"/>
      <c r="L329" s="175">
        <f>IFERROR(__xludf.DUMMYFUNCTION("""COMPUTED_VALUE"""),27.74)</f>
        <v>27.74</v>
      </c>
      <c r="M329" s="182" t="str">
        <f>IFERROR(__xludf.DUMMYFUNCTION("""COMPUTED_VALUE"""),"Equity Key Stats")</f>
        <v>Equity Key Stats</v>
      </c>
      <c r="N329" s="35"/>
      <c r="O329" s="35"/>
      <c r="P329" s="184">
        <f>IFERROR(__xludf.DUMMYFUNCTION("""COMPUTED_VALUE"""),21099.81384)</f>
        <v>21099.81384</v>
      </c>
      <c r="Q329" s="177"/>
      <c r="R329" s="178">
        <f>IFERROR(__xludf.DUMMYFUNCTION("""COMPUTED_VALUE"""),27.74)</f>
        <v>27.74</v>
      </c>
      <c r="S329" s="176">
        <f>IFERROR(__xludf.DUMMYFUNCTION("""COMPUTED_VALUE"""),-20494.006859999998)</f>
        <v>-20494.00686</v>
      </c>
      <c r="T329" s="95">
        <f>IFERROR(__xludf.DUMMYFUNCTION("""COMPUTED_VALUE"""),2.0)</f>
        <v>2</v>
      </c>
      <c r="U329" s="35">
        <f>IFERROR(__xludf.DUMMYFUNCTION("""COMPUTED_VALUE"""),1.0)</f>
        <v>1</v>
      </c>
      <c r="V329" s="170">
        <f>IFERROR(__xludf.DUMMYFUNCTION("""COMPUTED_VALUE"""),-3026.056332)</f>
        <v>-3026.056332</v>
      </c>
      <c r="W329" s="171" t="str">
        <f>IFERROR(__xludf.DUMMYFUNCTION("""COMPUTED_VALUE"""),"")</f>
        <v/>
      </c>
      <c r="X329" s="14" t="str">
        <f>IFERROR(__xludf.DUMMYFUNCTION("""COMPUTED_VALUE"""),"")</f>
        <v/>
      </c>
      <c r="Y329" s="14" t="str">
        <f>IFERROR(__xludf.DUMMYFUNCTION("""COMPUTED_VALUE"""),"")</f>
        <v/>
      </c>
      <c r="Z329" s="11" t="str">
        <f>IFERROR(__xludf.DUMMYFUNCTION("""COMPUTED_VALUE"""),"")</f>
        <v/>
      </c>
    </row>
    <row r="330">
      <c r="A330" s="35" t="str">
        <f>IFERROR(__xludf.DUMMYFUNCTION("""COMPUTED_VALUE"""),"")</f>
        <v/>
      </c>
      <c r="B330" s="35" t="str">
        <f>IFERROR(__xludf.DUMMYFUNCTION("""COMPUTED_VALUE"""),"38307")</f>
        <v>38307</v>
      </c>
      <c r="C330" s="172">
        <f>IFERROR(__xludf.DUMMYFUNCTION("""COMPUTED_VALUE"""),4.4657001175E10)</f>
        <v>44657001175</v>
      </c>
      <c r="D330" s="180" t="str">
        <f>IFERROR(__xludf.DUMMYFUNCTION("""COMPUTED_VALUE"""),"BA")</f>
        <v>BA</v>
      </c>
      <c r="E330" s="173">
        <f>IFERROR(__xludf.DUMMYFUNCTION("""COMPUTED_VALUE"""),44657.0)</f>
        <v>44657</v>
      </c>
      <c r="F330" s="35" t="str">
        <f>IFERROR(__xludf.DUMMYFUNCTION("""COMPUTED_VALUE"""),"Stock")</f>
        <v>Stock</v>
      </c>
      <c r="G330" s="35" t="str">
        <f>IFERROR(__xludf.DUMMYFUNCTION("""COMPUTED_VALUE"""),"USD")</f>
        <v>USD</v>
      </c>
      <c r="H330" s="181">
        <f>IFERROR(__xludf.DUMMYFUNCTION("""COMPUTED_VALUE"""),-100.0)</f>
        <v>-100</v>
      </c>
      <c r="I330" s="174">
        <f>IFERROR(__xludf.DUMMYFUNCTION("""COMPUTED_VALUE"""),7.837775)</f>
        <v>7.837775</v>
      </c>
      <c r="J330" s="175">
        <f>IFERROR(__xludf.DUMMYFUNCTION("""COMPUTED_VALUE"""),178.72)</f>
        <v>178.72</v>
      </c>
      <c r="K330" s="35"/>
      <c r="L330" s="175">
        <f>IFERROR(__xludf.DUMMYFUNCTION("""COMPUTED_VALUE"""),182.96)</f>
        <v>182.96</v>
      </c>
      <c r="M330" s="182" t="str">
        <f>IFERROR(__xludf.DUMMYFUNCTION("""COMPUTED_VALUE"""),"Equity Key Stats")</f>
        <v>Equity Key Stats</v>
      </c>
      <c r="N330" s="35"/>
      <c r="O330" s="35"/>
      <c r="P330" s="184">
        <f>IFERROR(__xludf.DUMMYFUNCTION("""COMPUTED_VALUE"""),140076.7148)</f>
        <v>140076.7148</v>
      </c>
      <c r="Q330" s="177"/>
      <c r="R330" s="178">
        <f>IFERROR(__xludf.DUMMYFUNCTION("""COMPUTED_VALUE"""),182.96)</f>
        <v>182.96</v>
      </c>
      <c r="S330" s="176">
        <f>IFERROR(__xludf.DUMMYFUNCTION("""COMPUTED_VALUE"""),-143399.9314)</f>
        <v>-143399.9314</v>
      </c>
      <c r="T330" s="95">
        <f>IFERROR(__xludf.DUMMYFUNCTION("""COMPUTED_VALUE"""),2.0)</f>
        <v>2</v>
      </c>
      <c r="U330" s="35">
        <f>IFERROR(__xludf.DUMMYFUNCTION("""COMPUTED_VALUE"""),1.0)</f>
        <v>1</v>
      </c>
      <c r="V330" s="170">
        <f>IFERROR(__xludf.DUMMYFUNCTION("""COMPUTED_VALUE"""),-11808.026060000004)</f>
        <v>-11808.02606</v>
      </c>
      <c r="W330" s="171" t="str">
        <f>IFERROR(__xludf.DUMMYFUNCTION("""COMPUTED_VALUE"""),"")</f>
        <v/>
      </c>
      <c r="X330" s="14" t="str">
        <f>IFERROR(__xludf.DUMMYFUNCTION("""COMPUTED_VALUE"""),"")</f>
        <v/>
      </c>
      <c r="Y330" s="14" t="str">
        <f>IFERROR(__xludf.DUMMYFUNCTION("""COMPUTED_VALUE"""),"")</f>
        <v/>
      </c>
      <c r="Z330" s="11" t="str">
        <f>IFERROR(__xludf.DUMMYFUNCTION("""COMPUTED_VALUE"""),"")</f>
        <v/>
      </c>
    </row>
    <row r="331">
      <c r="A331" s="35" t="str">
        <f>IFERROR(__xludf.DUMMYFUNCTION("""COMPUTED_VALUE"""),"")</f>
        <v/>
      </c>
      <c r="B331" s="35" t="str">
        <f>IFERROR(__xludf.DUMMYFUNCTION("""COMPUTED_VALUE"""),"38307")</f>
        <v>38307</v>
      </c>
      <c r="C331" s="172">
        <f>IFERROR(__xludf.DUMMYFUNCTION("""COMPUTED_VALUE"""),4.4658001212E10)</f>
        <v>44658001212</v>
      </c>
      <c r="D331" s="135" t="str">
        <f>IFERROR(__xludf.DUMMYFUNCTION("""COMPUTED_VALUE"""),"NZRO")</f>
        <v>NZRO</v>
      </c>
      <c r="E331" s="173">
        <f>IFERROR(__xludf.DUMMYFUNCTION("""COMPUTED_VALUE"""),44658.0)</f>
        <v>44658</v>
      </c>
      <c r="F331" s="35" t="str">
        <f>IFERROR(__xludf.DUMMYFUNCTION("""COMPUTED_VALUE"""),"Stock")</f>
        <v>Stock</v>
      </c>
      <c r="G331" s="35" t="str">
        <f>IFERROR(__xludf.DUMMYFUNCTION("""COMPUTED_VALUE"""),"USD")</f>
        <v>USD</v>
      </c>
      <c r="H331" s="183">
        <f>IFERROR(__xludf.DUMMYFUNCTION("""COMPUTED_VALUE"""),300.0)</f>
        <v>300</v>
      </c>
      <c r="I331" s="174">
        <f>IFERROR(__xludf.DUMMYFUNCTION("""COMPUTED_VALUE"""),7.836645)</f>
        <v>7.836645</v>
      </c>
      <c r="J331" s="175">
        <f>IFERROR(__xludf.DUMMYFUNCTION("""COMPUTED_VALUE"""),23.87)</f>
        <v>23.87</v>
      </c>
      <c r="K331" s="35"/>
      <c r="L331" s="175">
        <f>IFERROR(__xludf.DUMMYFUNCTION("""COMPUTED_VALUE"""),24.0)</f>
        <v>24</v>
      </c>
      <c r="M331" s="182" t="str">
        <f>IFERROR(__xludf.DUMMYFUNCTION("""COMPUTED_VALUE"""),"Equity Key Stats")</f>
        <v>Equity Key Stats</v>
      </c>
      <c r="N331" s="35"/>
      <c r="O331" s="35"/>
      <c r="P331" s="176">
        <f>IFERROR(__xludf.DUMMYFUNCTION("""COMPUTED_VALUE"""),-56118.214845)</f>
        <v>-56118.21485</v>
      </c>
      <c r="Q331" s="177"/>
      <c r="R331" s="178">
        <f>IFERROR(__xludf.DUMMYFUNCTION("""COMPUTED_VALUE"""),24.0)</f>
        <v>24</v>
      </c>
      <c r="S331" s="184">
        <f>IFERROR(__xludf.DUMMYFUNCTION("""COMPUTED_VALUE"""),56423.844)</f>
        <v>56423.844</v>
      </c>
      <c r="T331" s="95">
        <f>IFERROR(__xludf.DUMMYFUNCTION("""COMPUTED_VALUE"""),1.0)</f>
        <v>1</v>
      </c>
      <c r="U331" s="95">
        <f>IFERROR(__xludf.DUMMYFUNCTION("""COMPUTED_VALUE"""),1.0)</f>
        <v>1</v>
      </c>
      <c r="V331" s="185">
        <f>IFERROR(__xludf.DUMMYFUNCTION("""COMPUTED_VALUE"""),305.6291549999951)</f>
        <v>305.629155</v>
      </c>
      <c r="W331" s="171" t="str">
        <f>IFERROR(__xludf.DUMMYFUNCTION("""COMPUTED_VALUE"""),"")</f>
        <v/>
      </c>
      <c r="X331" s="14" t="str">
        <f>IFERROR(__xludf.DUMMYFUNCTION("""COMPUTED_VALUE"""),"")</f>
        <v/>
      </c>
      <c r="Y331" s="14" t="str">
        <f>IFERROR(__xludf.DUMMYFUNCTION("""COMPUTED_VALUE"""),"")</f>
        <v/>
      </c>
      <c r="Z331" s="11" t="str">
        <f>IFERROR(__xludf.DUMMYFUNCTION("""COMPUTED_VALUE"""),"")</f>
        <v/>
      </c>
    </row>
    <row r="332">
      <c r="A332" s="35" t="str">
        <f>IFERROR(__xludf.DUMMYFUNCTION("""COMPUTED_VALUE"""),"38307")</f>
        <v>38307</v>
      </c>
      <c r="B332" s="35" t="str">
        <f>IFERROR(__xludf.DUMMYFUNCTION("""COMPUTED_VALUE"""),"38307")</f>
        <v>38307</v>
      </c>
      <c r="C332" s="172">
        <f>IFERROR(__xludf.DUMMYFUNCTION("""COMPUTED_VALUE"""),4.4659001211E10)</f>
        <v>44659001211</v>
      </c>
      <c r="D332" s="190" t="str">
        <f>IFERROR(__xludf.DUMMYFUNCTION("""COMPUTED_VALUE"""),"002104.SZ")</f>
        <v>002104.SZ</v>
      </c>
      <c r="E332" s="173">
        <f>IFERROR(__xludf.DUMMYFUNCTION("""COMPUTED_VALUE"""),44659.0)</f>
        <v>44659</v>
      </c>
      <c r="F332" s="35" t="str">
        <f>IFERROR(__xludf.DUMMYFUNCTION("""COMPUTED_VALUE"""),"Stock")</f>
        <v>Stock</v>
      </c>
      <c r="G332" s="35" t="str">
        <f>IFERROR(__xludf.DUMMYFUNCTION("""COMPUTED_VALUE"""),"CNY")</f>
        <v>CNY</v>
      </c>
      <c r="H332" s="183">
        <f>IFERROR(__xludf.DUMMYFUNCTION("""COMPUTED_VALUE"""),1000.0)</f>
        <v>1000</v>
      </c>
      <c r="I332" s="174">
        <f>IFERROR(__xludf.DUMMYFUNCTION("""COMPUTED_VALUE"""),1.23182)</f>
        <v>1.23182</v>
      </c>
      <c r="J332" s="175">
        <f>IFERROR(__xludf.DUMMYFUNCTION("""COMPUTED_VALUE"""),11.89)</f>
        <v>11.89</v>
      </c>
      <c r="K332" s="35"/>
      <c r="L332" s="175">
        <f>IFERROR(__xludf.DUMMYFUNCTION("""COMPUTED_VALUE"""),10.14)</f>
        <v>10.14</v>
      </c>
      <c r="M332" s="182" t="str">
        <f>IFERROR(__xludf.DUMMYFUNCTION("""COMPUTED_VALUE"""),"Equity Key Stats")</f>
        <v>Equity Key Stats</v>
      </c>
      <c r="N332" s="35"/>
      <c r="O332" s="35"/>
      <c r="P332" s="176">
        <f>IFERROR(__xludf.DUMMYFUNCTION("""COMPUTED_VALUE"""),-14646.3398)</f>
        <v>-14646.3398</v>
      </c>
      <c r="Q332" s="177"/>
      <c r="R332" s="178">
        <f>IFERROR(__xludf.DUMMYFUNCTION("""COMPUTED_VALUE"""),10.14)</f>
        <v>10.14</v>
      </c>
      <c r="S332" s="184">
        <f>IFERROR(__xludf.DUMMYFUNCTION("""COMPUTED_VALUE"""),12490.6548)</f>
        <v>12490.6548</v>
      </c>
      <c r="T332" s="95">
        <f>IFERROR(__xludf.DUMMYFUNCTION("""COMPUTED_VALUE"""),2.0)</f>
        <v>2</v>
      </c>
      <c r="U332" s="95">
        <f>IFERROR(__xludf.DUMMYFUNCTION("""COMPUTED_VALUE"""),1.0)</f>
        <v>1</v>
      </c>
      <c r="V332" s="185">
        <f>IFERROR(__xludf.DUMMYFUNCTION("""COMPUTED_VALUE"""),-5231.449999999997)</f>
        <v>-5231.45</v>
      </c>
      <c r="W332" s="171">
        <f>IFERROR(__xludf.DUMMYFUNCTION("""COMPUTED_VALUE"""),505310.00784899987)</f>
        <v>505310.0078</v>
      </c>
      <c r="X332" s="14">
        <f>IFERROR(__xludf.DUMMYFUNCTION("""COMPUTED_VALUE"""),172646.79915099996)</f>
        <v>172646.7992</v>
      </c>
      <c r="Y332" s="14">
        <f>IFERROR(__xludf.DUMMYFUNCTION("""COMPUTED_VALUE"""),0.0)</f>
        <v>0</v>
      </c>
      <c r="Z332" s="11">
        <f>IFERROR(__xludf.DUMMYFUNCTION("""COMPUTED_VALUE"""),0.01062001569799964)</f>
        <v>0.0106200157</v>
      </c>
    </row>
    <row r="333">
      <c r="A333" s="35" t="str">
        <f>IFERROR(__xludf.DUMMYFUNCTION("""COMPUTED_VALUE"""),"")</f>
        <v/>
      </c>
      <c r="B333" s="35" t="str">
        <f>IFERROR(__xludf.DUMMYFUNCTION("""COMPUTED_VALUE"""),"38369")</f>
        <v>38369</v>
      </c>
      <c r="C333" s="172">
        <f>IFERROR(__xludf.DUMMYFUNCTION("""COMPUTED_VALUE"""),4.4597000088E10)</f>
        <v>44597000088</v>
      </c>
      <c r="D333" s="135" t="str">
        <f>IFERROR(__xludf.DUMMYFUNCTION("""COMPUTED_VALUE"""),"Cash")</f>
        <v>Cash</v>
      </c>
      <c r="E333" s="173">
        <f>IFERROR(__xludf.DUMMYFUNCTION("""COMPUTED_VALUE"""),44597.0)</f>
        <v>44597</v>
      </c>
      <c r="F333" s="35" t="str">
        <f>IFERROR(__xludf.DUMMYFUNCTION("""COMPUTED_VALUE"""),"Cash")</f>
        <v>Cash</v>
      </c>
      <c r="G333" s="35" t="str">
        <f>IFERROR(__xludf.DUMMYFUNCTION("""COMPUTED_VALUE"""),"HKD")</f>
        <v>HKD</v>
      </c>
      <c r="H333" s="183" t="str">
        <f>IFERROR(__xludf.DUMMYFUNCTION("""COMPUTED_VALUE"""),"")</f>
        <v/>
      </c>
      <c r="I333" s="174">
        <f>IFERROR(__xludf.DUMMYFUNCTION("""COMPUTED_VALUE"""),1.0)</f>
        <v>1</v>
      </c>
      <c r="J333" s="175">
        <f>IFERROR(__xludf.DUMMYFUNCTION("""COMPUTED_VALUE"""),1.0)</f>
        <v>1</v>
      </c>
      <c r="K333" s="35"/>
      <c r="L333" s="175">
        <f>IFERROR(__xludf.DUMMYFUNCTION("""COMPUTED_VALUE"""),1.0)</f>
        <v>1</v>
      </c>
      <c r="M333" s="182" t="str">
        <f>IFERROR(__xludf.DUMMYFUNCTION("""COMPUTED_VALUE"""),"")</f>
        <v/>
      </c>
      <c r="N333" s="35"/>
      <c r="O333" s="35"/>
      <c r="P333" s="176">
        <f>IFERROR(__xludf.DUMMYFUNCTION("""COMPUTED_VALUE"""),500000.0)</f>
        <v>500000</v>
      </c>
      <c r="Q333" s="177"/>
      <c r="R333" s="178">
        <f>IFERROR(__xludf.DUMMYFUNCTION("""COMPUTED_VALUE"""),1.0)</f>
        <v>1</v>
      </c>
      <c r="S333" s="184" t="str">
        <f>IFERROR(__xludf.DUMMYFUNCTION("""COMPUTED_VALUE"""),"")</f>
        <v/>
      </c>
      <c r="T333" s="95">
        <f>IFERROR(__xludf.DUMMYFUNCTION("""COMPUTED_VALUE"""),1.0)</f>
        <v>1</v>
      </c>
      <c r="U333" s="95">
        <f>IFERROR(__xludf.DUMMYFUNCTION("""COMPUTED_VALUE"""),1.0)</f>
        <v>1</v>
      </c>
      <c r="V333" s="185">
        <f>IFERROR(__xludf.DUMMYFUNCTION("""COMPUTED_VALUE"""),500000.0)</f>
        <v>500000</v>
      </c>
      <c r="W333" s="171" t="str">
        <f>IFERROR(__xludf.DUMMYFUNCTION("""COMPUTED_VALUE"""),"")</f>
        <v/>
      </c>
      <c r="X333" s="14" t="str">
        <f>IFERROR(__xludf.DUMMYFUNCTION("""COMPUTED_VALUE"""),"")</f>
        <v/>
      </c>
      <c r="Y333" s="14" t="str">
        <f>IFERROR(__xludf.DUMMYFUNCTION("""COMPUTED_VALUE"""),"")</f>
        <v/>
      </c>
      <c r="Z333" s="11" t="str">
        <f>IFERROR(__xludf.DUMMYFUNCTION("""COMPUTED_VALUE"""),"")</f>
        <v/>
      </c>
    </row>
    <row r="334">
      <c r="A334" s="35" t="str">
        <f>IFERROR(__xludf.DUMMYFUNCTION("""COMPUTED_VALUE"""),"38369")</f>
        <v>38369</v>
      </c>
      <c r="B334" s="35" t="str">
        <f>IFERROR(__xludf.DUMMYFUNCTION("""COMPUTED_VALUE"""),"38369")</f>
        <v>38369</v>
      </c>
      <c r="C334" s="172">
        <f>IFERROR(__xludf.DUMMYFUNCTION("""COMPUTED_VALUE"""),4.4659001289E10)</f>
        <v>44659001289</v>
      </c>
      <c r="D334" s="135" t="str">
        <f>IFERROR(__xludf.DUMMYFUNCTION("""COMPUTED_VALUE"""),"TSLA")</f>
        <v>TSLA</v>
      </c>
      <c r="E334" s="173">
        <f>IFERROR(__xludf.DUMMYFUNCTION("""COMPUTED_VALUE"""),44659.0)</f>
        <v>44659</v>
      </c>
      <c r="F334" s="35" t="str">
        <f>IFERROR(__xludf.DUMMYFUNCTION("""COMPUTED_VALUE"""),"Stock")</f>
        <v>Stock</v>
      </c>
      <c r="G334" s="35" t="str">
        <f>IFERROR(__xludf.DUMMYFUNCTION("""COMPUTED_VALUE"""),"USD")</f>
        <v>USD</v>
      </c>
      <c r="H334" s="183" t="str">
        <f>IFERROR(__xludf.DUMMYFUNCTION("""COMPUTED_VALUE"""),"")</f>
        <v/>
      </c>
      <c r="I334" s="174">
        <f>IFERROR(__xludf.DUMMYFUNCTION("""COMPUTED_VALUE"""),7.839265)</f>
        <v>7.839265</v>
      </c>
      <c r="J334" s="175">
        <f>IFERROR(__xludf.DUMMYFUNCTION("""COMPUTED_VALUE"""),1025.49)</f>
        <v>1025.49</v>
      </c>
      <c r="K334" s="35"/>
      <c r="L334" s="175">
        <f>IFERROR(__xludf.DUMMYFUNCTION("""COMPUTED_VALUE"""),1022.37)</f>
        <v>1022.37</v>
      </c>
      <c r="M334" s="182" t="str">
        <f>IFERROR(__xludf.DUMMYFUNCTION("""COMPUTED_VALUE"""),"Equity Key Stats")</f>
        <v>Equity Key Stats</v>
      </c>
      <c r="N334" s="35"/>
      <c r="O334" s="35"/>
      <c r="P334" s="176">
        <f>IFERROR(__xludf.DUMMYFUNCTION("""COMPUTED_VALUE"""),0.0)</f>
        <v>0</v>
      </c>
      <c r="Q334" s="177"/>
      <c r="R334" s="178">
        <f>IFERROR(__xludf.DUMMYFUNCTION("""COMPUTED_VALUE"""),1022.37)</f>
        <v>1022.37</v>
      </c>
      <c r="S334" s="184">
        <f>IFERROR(__xludf.DUMMYFUNCTION("""COMPUTED_VALUE"""),0.0)</f>
        <v>0</v>
      </c>
      <c r="T334" s="95">
        <f>IFERROR(__xludf.DUMMYFUNCTION("""COMPUTED_VALUE"""),1.0)</f>
        <v>1</v>
      </c>
      <c r="U334" s="95">
        <f>IFERROR(__xludf.DUMMYFUNCTION("""COMPUTED_VALUE"""),1.0)</f>
        <v>1</v>
      </c>
      <c r="V334" s="185">
        <f>IFERROR(__xludf.DUMMYFUNCTION("""COMPUTED_VALUE"""),0.0)</f>
        <v>0</v>
      </c>
      <c r="W334" s="171">
        <f>IFERROR(__xludf.DUMMYFUNCTION("""COMPUTED_VALUE"""),500000.0)</f>
        <v>500000</v>
      </c>
      <c r="X334" s="14">
        <f>IFERROR(__xludf.DUMMYFUNCTION("""COMPUTED_VALUE"""),500000.0)</f>
        <v>500000</v>
      </c>
      <c r="Y334" s="14">
        <f>IFERROR(__xludf.DUMMYFUNCTION("""COMPUTED_VALUE"""),0.0)</f>
        <v>0</v>
      </c>
      <c r="Z334" s="11">
        <f>IFERROR(__xludf.DUMMYFUNCTION("""COMPUTED_VALUE"""),0.0)</f>
        <v>0</v>
      </c>
    </row>
    <row r="335">
      <c r="A335" s="35" t="str">
        <f>IFERROR(__xludf.DUMMYFUNCTION("""COMPUTED_VALUE"""),"")</f>
        <v/>
      </c>
      <c r="B335" s="35" t="str">
        <f>IFERROR(__xludf.DUMMYFUNCTION("""COMPUTED_VALUE"""),"38381")</f>
        <v>38381</v>
      </c>
      <c r="C335" s="172">
        <f>IFERROR(__xludf.DUMMYFUNCTION("""COMPUTED_VALUE"""),4.4597000043E10)</f>
        <v>44597000043</v>
      </c>
      <c r="D335" s="135" t="str">
        <f>IFERROR(__xludf.DUMMYFUNCTION("""COMPUTED_VALUE"""),"Cash")</f>
        <v>Cash</v>
      </c>
      <c r="E335" s="173">
        <f>IFERROR(__xludf.DUMMYFUNCTION("""COMPUTED_VALUE"""),44597.0)</f>
        <v>44597</v>
      </c>
      <c r="F335" s="35" t="str">
        <f>IFERROR(__xludf.DUMMYFUNCTION("""COMPUTED_VALUE"""),"Cash")</f>
        <v>Cash</v>
      </c>
      <c r="G335" s="35" t="str">
        <f>IFERROR(__xludf.DUMMYFUNCTION("""COMPUTED_VALUE"""),"HKD")</f>
        <v>HKD</v>
      </c>
      <c r="H335" s="181" t="str">
        <f>IFERROR(__xludf.DUMMYFUNCTION("""COMPUTED_VALUE"""),"")</f>
        <v/>
      </c>
      <c r="I335" s="174">
        <f>IFERROR(__xludf.DUMMYFUNCTION("""COMPUTED_VALUE"""),1.0)</f>
        <v>1</v>
      </c>
      <c r="J335" s="175">
        <f>IFERROR(__xludf.DUMMYFUNCTION("""COMPUTED_VALUE"""),1.0)</f>
        <v>1</v>
      </c>
      <c r="K335" s="35"/>
      <c r="L335" s="175">
        <f>IFERROR(__xludf.DUMMYFUNCTION("""COMPUTED_VALUE"""),1.0)</f>
        <v>1</v>
      </c>
      <c r="M335" s="182" t="str">
        <f>IFERROR(__xludf.DUMMYFUNCTION("""COMPUTED_VALUE"""),"")</f>
        <v/>
      </c>
      <c r="N335" s="35"/>
      <c r="O335" s="35"/>
      <c r="P335" s="184">
        <f>IFERROR(__xludf.DUMMYFUNCTION("""COMPUTED_VALUE"""),500000.0)</f>
        <v>500000</v>
      </c>
      <c r="Q335" s="177"/>
      <c r="R335" s="178">
        <f>IFERROR(__xludf.DUMMYFUNCTION("""COMPUTED_VALUE"""),1.0)</f>
        <v>1</v>
      </c>
      <c r="S335" s="176" t="str">
        <f>IFERROR(__xludf.DUMMYFUNCTION("""COMPUTED_VALUE"""),"")</f>
        <v/>
      </c>
      <c r="T335" s="95">
        <f>IFERROR(__xludf.DUMMYFUNCTION("""COMPUTED_VALUE"""),1.0)</f>
        <v>1</v>
      </c>
      <c r="U335" s="95">
        <f>IFERROR(__xludf.DUMMYFUNCTION("""COMPUTED_VALUE"""),1.0)</f>
        <v>1</v>
      </c>
      <c r="V335" s="179">
        <f>IFERROR(__xludf.DUMMYFUNCTION("""COMPUTED_VALUE"""),500000.0)</f>
        <v>500000</v>
      </c>
      <c r="W335" s="171" t="str">
        <f>IFERROR(__xludf.DUMMYFUNCTION("""COMPUTED_VALUE"""),"")</f>
        <v/>
      </c>
      <c r="X335" s="14" t="str">
        <f>IFERROR(__xludf.DUMMYFUNCTION("""COMPUTED_VALUE"""),"")</f>
        <v/>
      </c>
      <c r="Y335" s="14" t="str">
        <f>IFERROR(__xludf.DUMMYFUNCTION("""COMPUTED_VALUE"""),"")</f>
        <v/>
      </c>
      <c r="Z335" s="11" t="str">
        <f>IFERROR(__xludf.DUMMYFUNCTION("""COMPUTED_VALUE"""),"")</f>
        <v/>
      </c>
    </row>
    <row r="336">
      <c r="A336" s="35" t="str">
        <f>IFERROR(__xludf.DUMMYFUNCTION("""COMPUTED_VALUE"""),"")</f>
        <v/>
      </c>
      <c r="B336" s="35" t="str">
        <f>IFERROR(__xludf.DUMMYFUNCTION("""COMPUTED_VALUE"""),"38381")</f>
        <v>38381</v>
      </c>
      <c r="C336" s="172">
        <f>IFERROR(__xludf.DUMMYFUNCTION("""COMPUTED_VALUE"""),4.4636000641E10)</f>
        <v>44636000641</v>
      </c>
      <c r="D336" s="180" t="str">
        <f>IFERROR(__xludf.DUMMYFUNCTION("""COMPUTED_VALUE"""),"BZ=F")</f>
        <v>BZ=F</v>
      </c>
      <c r="E336" s="173">
        <f>IFERROR(__xludf.DUMMYFUNCTION("""COMPUTED_VALUE"""),44636.0)</f>
        <v>44636</v>
      </c>
      <c r="F336" s="35" t="str">
        <f>IFERROR(__xludf.DUMMYFUNCTION("""COMPUTED_VALUE"""),"Stock")</f>
        <v>Stock</v>
      </c>
      <c r="G336" s="35" t="str">
        <f>IFERROR(__xludf.DUMMYFUNCTION("""COMPUTED_VALUE"""),"USD")</f>
        <v>USD</v>
      </c>
      <c r="H336" s="181">
        <f>IFERROR(__xludf.DUMMYFUNCTION("""COMPUTED_VALUE"""),200.0)</f>
        <v>200</v>
      </c>
      <c r="I336" s="174">
        <f>IFERROR(__xludf.DUMMYFUNCTION("""COMPUTED_VALUE"""),7.82055)</f>
        <v>7.82055</v>
      </c>
      <c r="J336" s="175">
        <f>IFERROR(__xludf.DUMMYFUNCTION("""COMPUTED_VALUE"""),98.51)</f>
        <v>98.51</v>
      </c>
      <c r="K336" s="35"/>
      <c r="L336" s="175">
        <f>IFERROR(__xludf.DUMMYFUNCTION("""COMPUTED_VALUE"""),108.88)</f>
        <v>108.88</v>
      </c>
      <c r="M336" s="182" t="str">
        <f>IFERROR(__xludf.DUMMYFUNCTION("""COMPUTED_VALUE"""),"Equity Key Stats")</f>
        <v>Equity Key Stats</v>
      </c>
      <c r="N336" s="35"/>
      <c r="O336" s="35"/>
      <c r="P336" s="176">
        <f>IFERROR(__xludf.DUMMYFUNCTION("""COMPUTED_VALUE"""),-154080.4761)</f>
        <v>-154080.4761</v>
      </c>
      <c r="Q336" s="177"/>
      <c r="R336" s="178">
        <f>IFERROR(__xludf.DUMMYFUNCTION("""COMPUTED_VALUE"""),108.88)</f>
        <v>108.88</v>
      </c>
      <c r="S336" s="176">
        <f>IFERROR(__xludf.DUMMYFUNCTION("""COMPUTED_VALUE"""),170300.29679999998)</f>
        <v>170300.2968</v>
      </c>
      <c r="T336" s="95">
        <f>IFERROR(__xludf.DUMMYFUNCTION("""COMPUTED_VALUE"""),3.0)</f>
        <v>3</v>
      </c>
      <c r="U336" s="95" t="str">
        <f>IFERROR(__xludf.DUMMYFUNCTION("""COMPUTED_VALUE"""),"")</f>
        <v/>
      </c>
      <c r="V336" s="179" t="str">
        <f>IFERROR(__xludf.DUMMYFUNCTION("""COMPUTED_VALUE"""),"")</f>
        <v/>
      </c>
      <c r="W336" s="171" t="str">
        <f>IFERROR(__xludf.DUMMYFUNCTION("""COMPUTED_VALUE"""),"")</f>
        <v/>
      </c>
      <c r="X336" s="14" t="str">
        <f>IFERROR(__xludf.DUMMYFUNCTION("""COMPUTED_VALUE"""),"")</f>
        <v/>
      </c>
      <c r="Y336" s="14" t="str">
        <f>IFERROR(__xludf.DUMMYFUNCTION("""COMPUTED_VALUE"""),"")</f>
        <v/>
      </c>
      <c r="Z336" s="11" t="str">
        <f>IFERROR(__xludf.DUMMYFUNCTION("""COMPUTED_VALUE"""),"")</f>
        <v/>
      </c>
    </row>
    <row r="337">
      <c r="A337" s="35" t="str">
        <f>IFERROR(__xludf.DUMMYFUNCTION("""COMPUTED_VALUE"""),"")</f>
        <v/>
      </c>
      <c r="B337" s="35" t="str">
        <f>IFERROR(__xludf.DUMMYFUNCTION("""COMPUTED_VALUE"""),"38381")</f>
        <v>38381</v>
      </c>
      <c r="C337" s="172">
        <f>IFERROR(__xludf.DUMMYFUNCTION("""COMPUTED_VALUE"""),4.4636000642E10)</f>
        <v>44636000642</v>
      </c>
      <c r="D337" s="192" t="str">
        <f>IFERROR(__xludf.DUMMYFUNCTION("""COMPUTED_VALUE"""),"AAPL")</f>
        <v>AAPL</v>
      </c>
      <c r="E337" s="173">
        <f>IFERROR(__xludf.DUMMYFUNCTION("""COMPUTED_VALUE"""),44636.0)</f>
        <v>44636</v>
      </c>
      <c r="F337" s="35" t="str">
        <f>IFERROR(__xludf.DUMMYFUNCTION("""COMPUTED_VALUE"""),"Stock")</f>
        <v>Stock</v>
      </c>
      <c r="G337" s="35" t="str">
        <f>IFERROR(__xludf.DUMMYFUNCTION("""COMPUTED_VALUE"""),"USD")</f>
        <v>USD</v>
      </c>
      <c r="H337" s="183">
        <f>IFERROR(__xludf.DUMMYFUNCTION("""COMPUTED_VALUE"""),300.0)</f>
        <v>300</v>
      </c>
      <c r="I337" s="174">
        <f>IFERROR(__xludf.DUMMYFUNCTION("""COMPUTED_VALUE"""),7.82055)</f>
        <v>7.82055</v>
      </c>
      <c r="J337" s="175">
        <f>IFERROR(__xludf.DUMMYFUNCTION("""COMPUTED_VALUE"""),159.59)</f>
        <v>159.59</v>
      </c>
      <c r="K337" s="35"/>
      <c r="L337" s="175">
        <f>IFERROR(__xludf.DUMMYFUNCTION("""COMPUTED_VALUE"""),170.4)</f>
        <v>170.4</v>
      </c>
      <c r="M337" s="182" t="str">
        <f>IFERROR(__xludf.DUMMYFUNCTION("""COMPUTED_VALUE"""),"Equity Key Stats")</f>
        <v>Equity Key Stats</v>
      </c>
      <c r="N337" s="35"/>
      <c r="O337" s="35"/>
      <c r="P337" s="176">
        <f>IFERROR(__xludf.DUMMYFUNCTION("""COMPUTED_VALUE"""),-374424.47235)</f>
        <v>-374424.4724</v>
      </c>
      <c r="Q337" s="177"/>
      <c r="R337" s="178">
        <f>IFERROR(__xludf.DUMMYFUNCTION("""COMPUTED_VALUE"""),170.4)</f>
        <v>170.4</v>
      </c>
      <c r="S337" s="184">
        <f>IFERROR(__xludf.DUMMYFUNCTION("""COMPUTED_VALUE"""),399786.516)</f>
        <v>399786.516</v>
      </c>
      <c r="T337" s="95">
        <f>IFERROR(__xludf.DUMMYFUNCTION("""COMPUTED_VALUE"""),1.0)</f>
        <v>1</v>
      </c>
      <c r="U337" s="95">
        <f>IFERROR(__xludf.DUMMYFUNCTION("""COMPUTED_VALUE"""),1.0)</f>
        <v>1</v>
      </c>
      <c r="V337" s="185">
        <f>IFERROR(__xludf.DUMMYFUNCTION("""COMPUTED_VALUE"""),25362.043650000007)</f>
        <v>25362.04365</v>
      </c>
      <c r="W337" s="55" t="str">
        <f>IFERROR(__xludf.DUMMYFUNCTION("""COMPUTED_VALUE"""),"")</f>
        <v/>
      </c>
      <c r="X337" s="181" t="str">
        <f>IFERROR(__xludf.DUMMYFUNCTION("""COMPUTED_VALUE"""),"")</f>
        <v/>
      </c>
      <c r="Y337" s="181" t="str">
        <f>IFERROR(__xludf.DUMMYFUNCTION("""COMPUTED_VALUE"""),"")</f>
        <v/>
      </c>
      <c r="Z337" s="186" t="str">
        <f>IFERROR(__xludf.DUMMYFUNCTION("""COMPUTED_VALUE"""),"")</f>
        <v/>
      </c>
    </row>
    <row r="338">
      <c r="A338" s="35" t="str">
        <f>IFERROR(__xludf.DUMMYFUNCTION("""COMPUTED_VALUE"""),"")</f>
        <v/>
      </c>
      <c r="B338" s="35" t="str">
        <f>IFERROR(__xludf.DUMMYFUNCTION("""COMPUTED_VALUE"""),"38381")</f>
        <v>38381</v>
      </c>
      <c r="C338" s="172">
        <f>IFERROR(__xludf.DUMMYFUNCTION("""COMPUTED_VALUE"""),4.4637000672E10)</f>
        <v>44637000672</v>
      </c>
      <c r="D338" s="188" t="str">
        <f>IFERROR(__xludf.DUMMYFUNCTION("""COMPUTED_VALUE"""),"3988.HK")</f>
        <v>3988.HK</v>
      </c>
      <c r="E338" s="173">
        <f>IFERROR(__xludf.DUMMYFUNCTION("""COMPUTED_VALUE"""),44637.0)</f>
        <v>44637</v>
      </c>
      <c r="F338" s="35" t="str">
        <f>IFERROR(__xludf.DUMMYFUNCTION("""COMPUTED_VALUE"""),"Stock")</f>
        <v>Stock</v>
      </c>
      <c r="G338" s="35" t="str">
        <f>IFERROR(__xludf.DUMMYFUNCTION("""COMPUTED_VALUE"""),"HKD")</f>
        <v>HKD</v>
      </c>
      <c r="H338" s="14">
        <f>IFERROR(__xludf.DUMMYFUNCTION("""COMPUTED_VALUE"""),300.0)</f>
        <v>300</v>
      </c>
      <c r="I338" s="174">
        <f>IFERROR(__xludf.DUMMYFUNCTION("""COMPUTED_VALUE"""),1.0)</f>
        <v>1</v>
      </c>
      <c r="J338" s="175">
        <f>IFERROR(__xludf.DUMMYFUNCTION("""COMPUTED_VALUE"""),2.98)</f>
        <v>2.98</v>
      </c>
      <c r="K338" s="35"/>
      <c r="L338" s="175">
        <f>IFERROR(__xludf.DUMMYFUNCTION("""COMPUTED_VALUE"""),3.13)</f>
        <v>3.13</v>
      </c>
      <c r="M338" s="187" t="str">
        <f>IFERROR(__xludf.DUMMYFUNCTION("""COMPUTED_VALUE"""),"Equity Key Stats")</f>
        <v>Equity Key Stats</v>
      </c>
      <c r="N338" s="35"/>
      <c r="O338" s="35"/>
      <c r="P338" s="176">
        <f>IFERROR(__xludf.DUMMYFUNCTION("""COMPUTED_VALUE"""),-894.0)</f>
        <v>-894</v>
      </c>
      <c r="Q338" s="177"/>
      <c r="R338" s="178">
        <f>IFERROR(__xludf.DUMMYFUNCTION("""COMPUTED_VALUE"""),3.13)</f>
        <v>3.13</v>
      </c>
      <c r="S338" s="151">
        <f>IFERROR(__xludf.DUMMYFUNCTION("""COMPUTED_VALUE"""),939.0)</f>
        <v>939</v>
      </c>
      <c r="T338" s="95">
        <f>IFERROR(__xludf.DUMMYFUNCTION("""COMPUTED_VALUE"""),1.0)</f>
        <v>1</v>
      </c>
      <c r="U338" s="95">
        <f>IFERROR(__xludf.DUMMYFUNCTION("""COMPUTED_VALUE"""),1.0)</f>
        <v>1</v>
      </c>
      <c r="V338" s="179">
        <f>IFERROR(__xludf.DUMMYFUNCTION("""COMPUTED_VALUE"""),45.0)</f>
        <v>45</v>
      </c>
      <c r="W338" s="171" t="str">
        <f>IFERROR(__xludf.DUMMYFUNCTION("""COMPUTED_VALUE"""),"")</f>
        <v/>
      </c>
      <c r="X338" s="14" t="str">
        <f>IFERROR(__xludf.DUMMYFUNCTION("""COMPUTED_VALUE"""),"")</f>
        <v/>
      </c>
      <c r="Y338" s="14" t="str">
        <f>IFERROR(__xludf.DUMMYFUNCTION("""COMPUTED_VALUE"""),"")</f>
        <v/>
      </c>
      <c r="Z338" s="11" t="str">
        <f>IFERROR(__xludf.DUMMYFUNCTION("""COMPUTED_VALUE"""),"")</f>
        <v/>
      </c>
    </row>
    <row r="339">
      <c r="A339" s="35" t="str">
        <f>IFERROR(__xludf.DUMMYFUNCTION("""COMPUTED_VALUE"""),"")</f>
        <v/>
      </c>
      <c r="B339" s="35" t="str">
        <f>IFERROR(__xludf.DUMMYFUNCTION("""COMPUTED_VALUE"""),"38381")</f>
        <v>38381</v>
      </c>
      <c r="C339" s="172">
        <f>IFERROR(__xludf.DUMMYFUNCTION("""COMPUTED_VALUE"""),4.4637000673E10)</f>
        <v>44637000673</v>
      </c>
      <c r="D339" s="192" t="str">
        <f>IFERROR(__xludf.DUMMYFUNCTION("""COMPUTED_VALUE"""),"JPM")</f>
        <v>JPM</v>
      </c>
      <c r="E339" s="173">
        <f>IFERROR(__xludf.DUMMYFUNCTION("""COMPUTED_VALUE"""),44637.0)</f>
        <v>44637</v>
      </c>
      <c r="F339" s="35" t="str">
        <f>IFERROR(__xludf.DUMMYFUNCTION("""COMPUTED_VALUE"""),"Stock")</f>
        <v>Stock</v>
      </c>
      <c r="G339" s="35" t="str">
        <f>IFERROR(__xludf.DUMMYFUNCTION("""COMPUTED_VALUE"""),"USD")</f>
        <v>USD</v>
      </c>
      <c r="H339" s="181" t="str">
        <f>IFERROR(__xludf.DUMMYFUNCTION("""COMPUTED_VALUE"""),"")</f>
        <v/>
      </c>
      <c r="I339" s="174">
        <f>IFERROR(__xludf.DUMMYFUNCTION("""COMPUTED_VALUE"""),7.81854)</f>
        <v>7.81854</v>
      </c>
      <c r="J339" s="175">
        <f>IFERROR(__xludf.DUMMYFUNCTION("""COMPUTED_VALUE"""),140.15)</f>
        <v>140.15</v>
      </c>
      <c r="K339" s="35"/>
      <c r="L339" s="175">
        <f>IFERROR(__xludf.DUMMYFUNCTION("""COMPUTED_VALUE"""),127.28)</f>
        <v>127.28</v>
      </c>
      <c r="M339" s="182" t="str">
        <f>IFERROR(__xludf.DUMMYFUNCTION("""COMPUTED_VALUE"""),"Equity Key Stats")</f>
        <v>Equity Key Stats</v>
      </c>
      <c r="N339" s="35"/>
      <c r="O339" s="35"/>
      <c r="P339" s="176">
        <f>IFERROR(__xludf.DUMMYFUNCTION("""COMPUTED_VALUE"""),0.0)</f>
        <v>0</v>
      </c>
      <c r="Q339" s="177"/>
      <c r="R339" s="178">
        <f>IFERROR(__xludf.DUMMYFUNCTION("""COMPUTED_VALUE"""),127.28)</f>
        <v>127.28</v>
      </c>
      <c r="S339" s="176">
        <f>IFERROR(__xludf.DUMMYFUNCTION("""COMPUTED_VALUE"""),0.0)</f>
        <v>0</v>
      </c>
      <c r="T339" s="95">
        <f>IFERROR(__xludf.DUMMYFUNCTION("""COMPUTED_VALUE"""),1.0)</f>
        <v>1</v>
      </c>
      <c r="U339" s="95">
        <f>IFERROR(__xludf.DUMMYFUNCTION("""COMPUTED_VALUE"""),1.0)</f>
        <v>1</v>
      </c>
      <c r="V339" s="179">
        <f>IFERROR(__xludf.DUMMYFUNCTION("""COMPUTED_VALUE"""),0.0)</f>
        <v>0</v>
      </c>
      <c r="W339" s="171" t="str">
        <f>IFERROR(__xludf.DUMMYFUNCTION("""COMPUTED_VALUE"""),"")</f>
        <v/>
      </c>
      <c r="X339" s="14" t="str">
        <f>IFERROR(__xludf.DUMMYFUNCTION("""COMPUTED_VALUE"""),"")</f>
        <v/>
      </c>
      <c r="Y339" s="14" t="str">
        <f>IFERROR(__xludf.DUMMYFUNCTION("""COMPUTED_VALUE"""),"")</f>
        <v/>
      </c>
      <c r="Z339" s="11" t="str">
        <f>IFERROR(__xludf.DUMMYFUNCTION("""COMPUTED_VALUE"""),"")</f>
        <v/>
      </c>
    </row>
    <row r="340">
      <c r="A340" s="35" t="str">
        <f>IFERROR(__xludf.DUMMYFUNCTION("""COMPUTED_VALUE"""),"")</f>
        <v/>
      </c>
      <c r="B340" s="35" t="str">
        <f>IFERROR(__xludf.DUMMYFUNCTION("""COMPUTED_VALUE"""),"38381")</f>
        <v>38381</v>
      </c>
      <c r="C340" s="172">
        <f>IFERROR(__xludf.DUMMYFUNCTION("""COMPUTED_VALUE"""),4.4645000912E10)</f>
        <v>44645000912</v>
      </c>
      <c r="D340" s="192" t="str">
        <f>IFERROR(__xludf.DUMMYFUNCTION("""COMPUTED_VALUE"""),"BZ=F")</f>
        <v>BZ=F</v>
      </c>
      <c r="E340" s="173">
        <f>IFERROR(__xludf.DUMMYFUNCTION("""COMPUTED_VALUE"""),44645.0)</f>
        <v>44645</v>
      </c>
      <c r="F340" s="35" t="str">
        <f>IFERROR(__xludf.DUMMYFUNCTION("""COMPUTED_VALUE"""),"Stock")</f>
        <v>Stock</v>
      </c>
      <c r="G340" s="35" t="str">
        <f>IFERROR(__xludf.DUMMYFUNCTION("""COMPUTED_VALUE"""),"USD")</f>
        <v>USD</v>
      </c>
      <c r="H340" s="181" t="str">
        <f>IFERROR(__xludf.DUMMYFUNCTION("""COMPUTED_VALUE"""),"")</f>
        <v/>
      </c>
      <c r="I340" s="174">
        <f>IFERROR(__xludf.DUMMYFUNCTION("""COMPUTED_VALUE"""),7.82975)</f>
        <v>7.82975</v>
      </c>
      <c r="J340" s="175">
        <f>IFERROR(__xludf.DUMMYFUNCTION("""COMPUTED_VALUE"""),119.28)</f>
        <v>119.28</v>
      </c>
      <c r="K340" s="35"/>
      <c r="L340" s="175">
        <f>IFERROR(__xludf.DUMMYFUNCTION("""COMPUTED_VALUE"""),108.88)</f>
        <v>108.88</v>
      </c>
      <c r="M340" s="182" t="str">
        <f>IFERROR(__xludf.DUMMYFUNCTION("""COMPUTED_VALUE"""),"Equity Key Stats")</f>
        <v>Equity Key Stats</v>
      </c>
      <c r="N340" s="35"/>
      <c r="O340" s="35"/>
      <c r="P340" s="184">
        <f>IFERROR(__xludf.DUMMYFUNCTION("""COMPUTED_VALUE"""),0.0)</f>
        <v>0</v>
      </c>
      <c r="Q340" s="177"/>
      <c r="R340" s="178">
        <f>IFERROR(__xludf.DUMMYFUNCTION("""COMPUTED_VALUE"""),108.88)</f>
        <v>108.88</v>
      </c>
      <c r="S340" s="176">
        <f>IFERROR(__xludf.DUMMYFUNCTION("""COMPUTED_VALUE"""),0.0)</f>
        <v>0</v>
      </c>
      <c r="T340" s="95">
        <f>IFERROR(__xludf.DUMMYFUNCTION("""COMPUTED_VALUE"""),3.0)</f>
        <v>3</v>
      </c>
      <c r="U340" s="95" t="str">
        <f>IFERROR(__xludf.DUMMYFUNCTION("""COMPUTED_VALUE"""),"")</f>
        <v/>
      </c>
      <c r="V340" s="185" t="str">
        <f>IFERROR(__xludf.DUMMYFUNCTION("""COMPUTED_VALUE"""),"")</f>
        <v/>
      </c>
      <c r="W340" s="171" t="str">
        <f>IFERROR(__xludf.DUMMYFUNCTION("""COMPUTED_VALUE"""),"")</f>
        <v/>
      </c>
      <c r="X340" s="14" t="str">
        <f>IFERROR(__xludf.DUMMYFUNCTION("""COMPUTED_VALUE"""),"")</f>
        <v/>
      </c>
      <c r="Y340" s="14" t="str">
        <f>IFERROR(__xludf.DUMMYFUNCTION("""COMPUTED_VALUE"""),"")</f>
        <v/>
      </c>
      <c r="Z340" s="11" t="str">
        <f>IFERROR(__xludf.DUMMYFUNCTION("""COMPUTED_VALUE"""),"")</f>
        <v/>
      </c>
    </row>
    <row r="341">
      <c r="A341" s="35" t="str">
        <f>IFERROR(__xludf.DUMMYFUNCTION("""COMPUTED_VALUE"""),"")</f>
        <v/>
      </c>
      <c r="B341" s="35" t="str">
        <f>IFERROR(__xludf.DUMMYFUNCTION("""COMPUTED_VALUE"""),"38381")</f>
        <v>38381</v>
      </c>
      <c r="C341" s="172">
        <f>IFERROR(__xludf.DUMMYFUNCTION("""COMPUTED_VALUE"""),4.4645000914E10)</f>
        <v>44645000914</v>
      </c>
      <c r="D341" s="192" t="str">
        <f>IFERROR(__xludf.DUMMYFUNCTION("""COMPUTED_VALUE"""),"1398.HK")</f>
        <v>1398.HK</v>
      </c>
      <c r="E341" s="173">
        <f>IFERROR(__xludf.DUMMYFUNCTION("""COMPUTED_VALUE"""),44645.0)</f>
        <v>44645</v>
      </c>
      <c r="F341" s="35" t="str">
        <f>IFERROR(__xludf.DUMMYFUNCTION("""COMPUTED_VALUE"""),"Stock")</f>
        <v>Stock</v>
      </c>
      <c r="G341" s="35" t="str">
        <f>IFERROR(__xludf.DUMMYFUNCTION("""COMPUTED_VALUE"""),"HKD")</f>
        <v>HKD</v>
      </c>
      <c r="H341" s="181">
        <f>IFERROR(__xludf.DUMMYFUNCTION("""COMPUTED_VALUE"""),300.0)</f>
        <v>300</v>
      </c>
      <c r="I341" s="174">
        <f>IFERROR(__xludf.DUMMYFUNCTION("""COMPUTED_VALUE"""),1.0)</f>
        <v>1</v>
      </c>
      <c r="J341" s="175">
        <f>IFERROR(__xludf.DUMMYFUNCTION("""COMPUTED_VALUE"""),4.69)</f>
        <v>4.69</v>
      </c>
      <c r="K341" s="35"/>
      <c r="L341" s="175">
        <f>IFERROR(__xludf.DUMMYFUNCTION("""COMPUTED_VALUE"""),4.75)</f>
        <v>4.75</v>
      </c>
      <c r="M341" s="182" t="str">
        <f>IFERROR(__xludf.DUMMYFUNCTION("""COMPUTED_VALUE"""),"Equity Key Stats")</f>
        <v>Equity Key Stats</v>
      </c>
      <c r="N341" s="35"/>
      <c r="O341" s="35"/>
      <c r="P341" s="176">
        <f>IFERROR(__xludf.DUMMYFUNCTION("""COMPUTED_VALUE"""),-1407.0000000000002)</f>
        <v>-1407</v>
      </c>
      <c r="Q341" s="177"/>
      <c r="R341" s="178">
        <f>IFERROR(__xludf.DUMMYFUNCTION("""COMPUTED_VALUE"""),4.75)</f>
        <v>4.75</v>
      </c>
      <c r="S341" s="176">
        <f>IFERROR(__xludf.DUMMYFUNCTION("""COMPUTED_VALUE"""),1425.0)</f>
        <v>1425</v>
      </c>
      <c r="T341" s="95">
        <f>IFERROR(__xludf.DUMMYFUNCTION("""COMPUTED_VALUE"""),1.0)</f>
        <v>1</v>
      </c>
      <c r="U341" s="95">
        <f>IFERROR(__xludf.DUMMYFUNCTION("""COMPUTED_VALUE"""),1.0)</f>
        <v>1</v>
      </c>
      <c r="V341" s="179">
        <f>IFERROR(__xludf.DUMMYFUNCTION("""COMPUTED_VALUE"""),17.999999999999773)</f>
        <v>18</v>
      </c>
      <c r="W341" s="171" t="str">
        <f>IFERROR(__xludf.DUMMYFUNCTION("""COMPUTED_VALUE"""),"")</f>
        <v/>
      </c>
      <c r="X341" s="14" t="str">
        <f>IFERROR(__xludf.DUMMYFUNCTION("""COMPUTED_VALUE"""),"")</f>
        <v/>
      </c>
      <c r="Y341" s="14" t="str">
        <f>IFERROR(__xludf.DUMMYFUNCTION("""COMPUTED_VALUE"""),"")</f>
        <v/>
      </c>
      <c r="Z341" s="11" t="str">
        <f>IFERROR(__xludf.DUMMYFUNCTION("""COMPUTED_VALUE"""),"")</f>
        <v/>
      </c>
    </row>
    <row r="342">
      <c r="A342" s="35" t="str">
        <f>IFERROR(__xludf.DUMMYFUNCTION("""COMPUTED_VALUE"""),"38381")</f>
        <v>38381</v>
      </c>
      <c r="B342" s="35" t="str">
        <f>IFERROR(__xludf.DUMMYFUNCTION("""COMPUTED_VALUE"""),"38381")</f>
        <v>38381</v>
      </c>
      <c r="C342" s="172">
        <f>IFERROR(__xludf.DUMMYFUNCTION("""COMPUTED_VALUE"""),4.4649000985E10)</f>
        <v>44649000985</v>
      </c>
      <c r="D342" s="192" t="str">
        <f>IFERROR(__xludf.DUMMYFUNCTION("""COMPUTED_VALUE"""),"BZ=F")</f>
        <v>BZ=F</v>
      </c>
      <c r="E342" s="173">
        <f>IFERROR(__xludf.DUMMYFUNCTION("""COMPUTED_VALUE"""),44649.0)</f>
        <v>44649</v>
      </c>
      <c r="F342" s="35" t="str">
        <f>IFERROR(__xludf.DUMMYFUNCTION("""COMPUTED_VALUE"""),"Stock")</f>
        <v>Stock</v>
      </c>
      <c r="G342" s="35" t="str">
        <f>IFERROR(__xludf.DUMMYFUNCTION("""COMPUTED_VALUE"""),"USD")</f>
        <v>USD</v>
      </c>
      <c r="H342" s="181">
        <f>IFERROR(__xludf.DUMMYFUNCTION("""COMPUTED_VALUE"""),-300.0)</f>
        <v>-300</v>
      </c>
      <c r="I342" s="174">
        <f>IFERROR(__xludf.DUMMYFUNCTION("""COMPUTED_VALUE"""),7.827315)</f>
        <v>7.827315</v>
      </c>
      <c r="J342" s="175">
        <f>IFERROR(__xludf.DUMMYFUNCTION("""COMPUTED_VALUE"""),111.45)</f>
        <v>111.45</v>
      </c>
      <c r="K342" s="35"/>
      <c r="L342" s="175">
        <f>IFERROR(__xludf.DUMMYFUNCTION("""COMPUTED_VALUE"""),108.88)</f>
        <v>108.88</v>
      </c>
      <c r="M342" s="182" t="str">
        <f>IFERROR(__xludf.DUMMYFUNCTION("""COMPUTED_VALUE"""),"Equity Key Stats")</f>
        <v>Equity Key Stats</v>
      </c>
      <c r="N342" s="35"/>
      <c r="O342" s="35"/>
      <c r="P342" s="184">
        <f>IFERROR(__xludf.DUMMYFUNCTION("""COMPUTED_VALUE"""),261706.27702500002)</f>
        <v>261706.277</v>
      </c>
      <c r="Q342" s="177"/>
      <c r="R342" s="178">
        <f>IFERROR(__xludf.DUMMYFUNCTION("""COMPUTED_VALUE"""),108.88)</f>
        <v>108.88</v>
      </c>
      <c r="S342" s="176">
        <f>IFERROR(__xludf.DUMMYFUNCTION("""COMPUTED_VALUE"""),-255671.41715999998)</f>
        <v>-255671.4172</v>
      </c>
      <c r="T342" s="95">
        <f>IFERROR(__xludf.DUMMYFUNCTION("""COMPUTED_VALUE"""),3.0)</f>
        <v>3</v>
      </c>
      <c r="U342" s="95">
        <f>IFERROR(__xludf.DUMMYFUNCTION("""COMPUTED_VALUE"""),1.0)</f>
        <v>1</v>
      </c>
      <c r="V342" s="185">
        <f>IFERROR(__xludf.DUMMYFUNCTION("""COMPUTED_VALUE"""),22254.680565000017)</f>
        <v>22254.68057</v>
      </c>
      <c r="W342" s="55">
        <f>IFERROR(__xludf.DUMMYFUNCTION("""COMPUTED_VALUE"""),547679.724215)</f>
        <v>547679.7242</v>
      </c>
      <c r="X342" s="181">
        <f>IFERROR(__xludf.DUMMYFUNCTION("""COMPUTED_VALUE"""),56429.477225000024)</f>
        <v>56429.47723</v>
      </c>
      <c r="Y342" s="181">
        <f>IFERROR(__xludf.DUMMYFUNCTION("""COMPUTED_VALUE"""),0.0)</f>
        <v>0</v>
      </c>
      <c r="Z342" s="189">
        <f>IFERROR(__xludf.DUMMYFUNCTION("""COMPUTED_VALUE"""),0.09535944843000022)</f>
        <v>0.09535944843</v>
      </c>
    </row>
    <row r="343">
      <c r="A343" s="35" t="str">
        <f>IFERROR(__xludf.DUMMYFUNCTION("""COMPUTED_VALUE"""),"")</f>
        <v/>
      </c>
      <c r="B343" s="35" t="str">
        <f>IFERROR(__xludf.DUMMYFUNCTION("""COMPUTED_VALUE"""),"38705")</f>
        <v>38705</v>
      </c>
      <c r="C343" s="172">
        <f>IFERROR(__xludf.DUMMYFUNCTION("""COMPUTED_VALUE"""),4.4597000012E10)</f>
        <v>44597000012</v>
      </c>
      <c r="D343" s="135" t="str">
        <f>IFERROR(__xludf.DUMMYFUNCTION("""COMPUTED_VALUE"""),"Cash")</f>
        <v>Cash</v>
      </c>
      <c r="E343" s="173">
        <f>IFERROR(__xludf.DUMMYFUNCTION("""COMPUTED_VALUE"""),44597.0)</f>
        <v>44597</v>
      </c>
      <c r="F343" s="35" t="str">
        <f>IFERROR(__xludf.DUMMYFUNCTION("""COMPUTED_VALUE"""),"Cash")</f>
        <v>Cash</v>
      </c>
      <c r="G343" s="35" t="str">
        <f>IFERROR(__xludf.DUMMYFUNCTION("""COMPUTED_VALUE"""),"HKD")</f>
        <v>HKD</v>
      </c>
      <c r="H343" s="14" t="str">
        <f>IFERROR(__xludf.DUMMYFUNCTION("""COMPUTED_VALUE"""),"")</f>
        <v/>
      </c>
      <c r="I343" s="174">
        <f>IFERROR(__xludf.DUMMYFUNCTION("""COMPUTED_VALUE"""),1.0)</f>
        <v>1</v>
      </c>
      <c r="J343" s="95">
        <f>IFERROR(__xludf.DUMMYFUNCTION("""COMPUTED_VALUE"""),1.0)</f>
        <v>1</v>
      </c>
      <c r="K343" s="35"/>
      <c r="L343" s="175">
        <f>IFERROR(__xludf.DUMMYFUNCTION("""COMPUTED_VALUE"""),1.0)</f>
        <v>1</v>
      </c>
      <c r="M343" s="3" t="str">
        <f>IFERROR(__xludf.DUMMYFUNCTION("""COMPUTED_VALUE"""),"")</f>
        <v/>
      </c>
      <c r="N343" s="35"/>
      <c r="O343" s="35"/>
      <c r="P343" s="176">
        <f>IFERROR(__xludf.DUMMYFUNCTION("""COMPUTED_VALUE"""),500000.0)</f>
        <v>500000</v>
      </c>
      <c r="Q343" s="177"/>
      <c r="R343" s="178">
        <f>IFERROR(__xludf.DUMMYFUNCTION("""COMPUTED_VALUE"""),1.0)</f>
        <v>1</v>
      </c>
      <c r="S343" s="151" t="str">
        <f>IFERROR(__xludf.DUMMYFUNCTION("""COMPUTED_VALUE"""),"")</f>
        <v/>
      </c>
      <c r="T343" s="95">
        <f>IFERROR(__xludf.DUMMYFUNCTION("""COMPUTED_VALUE"""),1.0)</f>
        <v>1</v>
      </c>
      <c r="U343" s="95">
        <f>IFERROR(__xludf.DUMMYFUNCTION("""COMPUTED_VALUE"""),1.0)</f>
        <v>1</v>
      </c>
      <c r="V343" s="179">
        <f>IFERROR(__xludf.DUMMYFUNCTION("""COMPUTED_VALUE"""),500000.0)</f>
        <v>500000</v>
      </c>
      <c r="W343" s="55" t="str">
        <f>IFERROR(__xludf.DUMMYFUNCTION("""COMPUTED_VALUE"""),"")</f>
        <v/>
      </c>
      <c r="X343" s="181" t="str">
        <f>IFERROR(__xludf.DUMMYFUNCTION("""COMPUTED_VALUE"""),"")</f>
        <v/>
      </c>
      <c r="Y343" s="181" t="str">
        <f>IFERROR(__xludf.DUMMYFUNCTION("""COMPUTED_VALUE"""),"")</f>
        <v/>
      </c>
      <c r="Z343" s="186" t="str">
        <f>IFERROR(__xludf.DUMMYFUNCTION("""COMPUTED_VALUE"""),"")</f>
        <v/>
      </c>
    </row>
    <row r="344">
      <c r="A344" s="35" t="str">
        <f>IFERROR(__xludf.DUMMYFUNCTION("""COMPUTED_VALUE"""),"")</f>
        <v/>
      </c>
      <c r="B344" s="35" t="str">
        <f>IFERROR(__xludf.DUMMYFUNCTION("""COMPUTED_VALUE"""),"38705")</f>
        <v>38705</v>
      </c>
      <c r="C344" s="172">
        <f>IFERROR(__xludf.DUMMYFUNCTION("""COMPUTED_VALUE"""),4.4641000717E10)</f>
        <v>44641000717</v>
      </c>
      <c r="D344" s="180" t="str">
        <f>IFERROR(__xludf.DUMMYFUNCTION("""COMPUTED_VALUE"""),"ANTM")</f>
        <v>ANTM</v>
      </c>
      <c r="E344" s="173">
        <f>IFERROR(__xludf.DUMMYFUNCTION("""COMPUTED_VALUE"""),44641.0)</f>
        <v>44641</v>
      </c>
      <c r="F344" s="35" t="str">
        <f>IFERROR(__xludf.DUMMYFUNCTION("""COMPUTED_VALUE"""),"Stock")</f>
        <v>Stock</v>
      </c>
      <c r="G344" s="35" t="str">
        <f>IFERROR(__xludf.DUMMYFUNCTION("""COMPUTED_VALUE"""),"USD")</f>
        <v>USD</v>
      </c>
      <c r="H344" s="14">
        <f>IFERROR(__xludf.DUMMYFUNCTION("""COMPUTED_VALUE"""),100.0)</f>
        <v>100</v>
      </c>
      <c r="I344" s="174">
        <f>IFERROR(__xludf.DUMMYFUNCTION("""COMPUTED_VALUE"""),7.82545)</f>
        <v>7.82545</v>
      </c>
      <c r="J344" s="175">
        <f>IFERROR(__xludf.DUMMYFUNCTION("""COMPUTED_VALUE"""),476.0)</f>
        <v>476</v>
      </c>
      <c r="K344" s="35"/>
      <c r="L344" s="175">
        <f>IFERROR(__xludf.DUMMYFUNCTION("""COMPUTED_VALUE"""),512.46)</f>
        <v>512.46</v>
      </c>
      <c r="M344" s="187" t="str">
        <f>IFERROR(__xludf.DUMMYFUNCTION("""COMPUTED_VALUE"""),"Equity Key Stats")</f>
        <v>Equity Key Stats</v>
      </c>
      <c r="N344" s="35"/>
      <c r="O344" s="35"/>
      <c r="P344" s="176">
        <f>IFERROR(__xludf.DUMMYFUNCTION("""COMPUTED_VALUE"""),-372491.42)</f>
        <v>-372491.42</v>
      </c>
      <c r="Q344" s="177"/>
      <c r="R344" s="178">
        <f>IFERROR(__xludf.DUMMYFUNCTION("""COMPUTED_VALUE"""),512.46)</f>
        <v>512.46</v>
      </c>
      <c r="S344" s="151">
        <f>IFERROR(__xludf.DUMMYFUNCTION("""COMPUTED_VALUE"""),401023.0107)</f>
        <v>401023.0107</v>
      </c>
      <c r="T344" s="95">
        <f>IFERROR(__xludf.DUMMYFUNCTION("""COMPUTED_VALUE"""),3.0)</f>
        <v>3</v>
      </c>
      <c r="U344" s="95" t="str">
        <f>IFERROR(__xludf.DUMMYFUNCTION("""COMPUTED_VALUE"""),"")</f>
        <v/>
      </c>
      <c r="V344" s="179" t="str">
        <f>IFERROR(__xludf.DUMMYFUNCTION("""COMPUTED_VALUE"""),"")</f>
        <v/>
      </c>
      <c r="W344" s="55" t="str">
        <f>IFERROR(__xludf.DUMMYFUNCTION("""COMPUTED_VALUE"""),"")</f>
        <v/>
      </c>
      <c r="X344" s="181" t="str">
        <f>IFERROR(__xludf.DUMMYFUNCTION("""COMPUTED_VALUE"""),"")</f>
        <v/>
      </c>
      <c r="Y344" s="181" t="str">
        <f>IFERROR(__xludf.DUMMYFUNCTION("""COMPUTED_VALUE"""),"")</f>
        <v/>
      </c>
      <c r="Z344" s="186" t="str">
        <f>IFERROR(__xludf.DUMMYFUNCTION("""COMPUTED_VALUE"""),"")</f>
        <v/>
      </c>
    </row>
    <row r="345">
      <c r="A345" s="35" t="str">
        <f>IFERROR(__xludf.DUMMYFUNCTION("""COMPUTED_VALUE"""),"")</f>
        <v/>
      </c>
      <c r="B345" s="35" t="str">
        <f>IFERROR(__xludf.DUMMYFUNCTION("""COMPUTED_VALUE"""),"38705")</f>
        <v>38705</v>
      </c>
      <c r="C345" s="172">
        <f>IFERROR(__xludf.DUMMYFUNCTION("""COMPUTED_VALUE"""),4.4641000718E10)</f>
        <v>44641000718</v>
      </c>
      <c r="D345" s="180" t="str">
        <f>IFERROR(__xludf.DUMMYFUNCTION("""COMPUTED_VALUE"""),"NKE")</f>
        <v>NKE</v>
      </c>
      <c r="E345" s="173">
        <f>IFERROR(__xludf.DUMMYFUNCTION("""COMPUTED_VALUE"""),44641.0)</f>
        <v>44641</v>
      </c>
      <c r="F345" s="35" t="str">
        <f>IFERROR(__xludf.DUMMYFUNCTION("""COMPUTED_VALUE"""),"Stock")</f>
        <v>Stock</v>
      </c>
      <c r="G345" s="35" t="str">
        <f>IFERROR(__xludf.DUMMYFUNCTION("""COMPUTED_VALUE"""),"USD")</f>
        <v>USD</v>
      </c>
      <c r="H345" s="14">
        <f>IFERROR(__xludf.DUMMYFUNCTION("""COMPUTED_VALUE"""),50.0)</f>
        <v>50</v>
      </c>
      <c r="I345" s="174">
        <f>IFERROR(__xludf.DUMMYFUNCTION("""COMPUTED_VALUE"""),7.82545)</f>
        <v>7.82545</v>
      </c>
      <c r="J345" s="175">
        <f>IFERROR(__xludf.DUMMYFUNCTION("""COMPUTED_VALUE"""),130.19)</f>
        <v>130.19</v>
      </c>
      <c r="K345" s="35"/>
      <c r="L345" s="175">
        <f>IFERROR(__xludf.DUMMYFUNCTION("""COMPUTED_VALUE"""),127.48)</f>
        <v>127.48</v>
      </c>
      <c r="M345" s="187" t="str">
        <f>IFERROR(__xludf.DUMMYFUNCTION("""COMPUTED_VALUE"""),"Equity Key Stats")</f>
        <v>Equity Key Stats</v>
      </c>
      <c r="N345" s="35"/>
      <c r="O345" s="35"/>
      <c r="P345" s="176">
        <f>IFERROR(__xludf.DUMMYFUNCTION("""COMPUTED_VALUE"""),-50939.766775)</f>
        <v>-50939.76678</v>
      </c>
      <c r="Q345" s="177"/>
      <c r="R345" s="178">
        <f>IFERROR(__xludf.DUMMYFUNCTION("""COMPUTED_VALUE"""),127.48)</f>
        <v>127.48</v>
      </c>
      <c r="S345" s="151">
        <f>IFERROR(__xludf.DUMMYFUNCTION("""COMPUTED_VALUE"""),49879.4183)</f>
        <v>49879.4183</v>
      </c>
      <c r="T345" s="95">
        <f>IFERROR(__xludf.DUMMYFUNCTION("""COMPUTED_VALUE"""),2.0)</f>
        <v>2</v>
      </c>
      <c r="U345" s="95" t="str">
        <f>IFERROR(__xludf.DUMMYFUNCTION("""COMPUTED_VALUE"""),"")</f>
        <v/>
      </c>
      <c r="V345" s="179" t="str">
        <f>IFERROR(__xludf.DUMMYFUNCTION("""COMPUTED_VALUE"""),"")</f>
        <v/>
      </c>
      <c r="W345" s="171" t="str">
        <f>IFERROR(__xludf.DUMMYFUNCTION("""COMPUTED_VALUE"""),"")</f>
        <v/>
      </c>
      <c r="X345" s="14" t="str">
        <f>IFERROR(__xludf.DUMMYFUNCTION("""COMPUTED_VALUE"""),"")</f>
        <v/>
      </c>
      <c r="Y345" s="14" t="str">
        <f>IFERROR(__xludf.DUMMYFUNCTION("""COMPUTED_VALUE"""),"")</f>
        <v/>
      </c>
      <c r="Z345" s="11" t="str">
        <f>IFERROR(__xludf.DUMMYFUNCTION("""COMPUTED_VALUE"""),"")</f>
        <v/>
      </c>
    </row>
    <row r="346">
      <c r="A346" s="35" t="str">
        <f>IFERROR(__xludf.DUMMYFUNCTION("""COMPUTED_VALUE"""),"")</f>
        <v/>
      </c>
      <c r="B346" s="35" t="str">
        <f>IFERROR(__xludf.DUMMYFUNCTION("""COMPUTED_VALUE"""),"38705")</f>
        <v>38705</v>
      </c>
      <c r="C346" s="172">
        <f>IFERROR(__xludf.DUMMYFUNCTION("""COMPUTED_VALUE"""),4.4642000795E10)</f>
        <v>44642000795</v>
      </c>
      <c r="D346" s="180" t="str">
        <f>IFERROR(__xludf.DUMMYFUNCTION("""COMPUTED_VALUE"""),"NKE")</f>
        <v>NKE</v>
      </c>
      <c r="E346" s="173">
        <f>IFERROR(__xludf.DUMMYFUNCTION("""COMPUTED_VALUE"""),44642.0)</f>
        <v>44642</v>
      </c>
      <c r="F346" s="35" t="str">
        <f>IFERROR(__xludf.DUMMYFUNCTION("""COMPUTED_VALUE"""),"Stock")</f>
        <v>Stock</v>
      </c>
      <c r="G346" s="35" t="str">
        <f>IFERROR(__xludf.DUMMYFUNCTION("""COMPUTED_VALUE"""),"USD")</f>
        <v>USD</v>
      </c>
      <c r="H346" s="181">
        <f>IFERROR(__xludf.DUMMYFUNCTION("""COMPUTED_VALUE"""),-50.0)</f>
        <v>-50</v>
      </c>
      <c r="I346" s="174">
        <f>IFERROR(__xludf.DUMMYFUNCTION("""COMPUTED_VALUE"""),7.82695)</f>
        <v>7.82695</v>
      </c>
      <c r="J346" s="175">
        <f>IFERROR(__xludf.DUMMYFUNCTION("""COMPUTED_VALUE"""),133.09)</f>
        <v>133.09</v>
      </c>
      <c r="K346" s="35"/>
      <c r="L346" s="175">
        <f>IFERROR(__xludf.DUMMYFUNCTION("""COMPUTED_VALUE"""),127.48)</f>
        <v>127.48</v>
      </c>
      <c r="M346" s="182" t="str">
        <f>IFERROR(__xludf.DUMMYFUNCTION("""COMPUTED_VALUE"""),"Equity Key Stats")</f>
        <v>Equity Key Stats</v>
      </c>
      <c r="N346" s="35"/>
      <c r="O346" s="35"/>
      <c r="P346" s="184">
        <f>IFERROR(__xludf.DUMMYFUNCTION("""COMPUTED_VALUE"""),52084.438775)</f>
        <v>52084.43878</v>
      </c>
      <c r="Q346" s="177"/>
      <c r="R346" s="178">
        <f>IFERROR(__xludf.DUMMYFUNCTION("""COMPUTED_VALUE"""),127.48)</f>
        <v>127.48</v>
      </c>
      <c r="S346" s="176">
        <f>IFERROR(__xludf.DUMMYFUNCTION("""COMPUTED_VALUE"""),-49888.979300000006)</f>
        <v>-49888.9793</v>
      </c>
      <c r="T346" s="95">
        <f>IFERROR(__xludf.DUMMYFUNCTION("""COMPUTED_VALUE"""),2.0)</f>
        <v>2</v>
      </c>
      <c r="U346" s="95">
        <f>IFERROR(__xludf.DUMMYFUNCTION("""COMPUTED_VALUE"""),1.0)</f>
        <v>1</v>
      </c>
      <c r="V346" s="179">
        <f>IFERROR(__xludf.DUMMYFUNCTION("""COMPUTED_VALUE"""),1135.1109999999971)</f>
        <v>1135.111</v>
      </c>
      <c r="W346" s="55" t="str">
        <f>IFERROR(__xludf.DUMMYFUNCTION("""COMPUTED_VALUE"""),"")</f>
        <v/>
      </c>
      <c r="X346" s="181" t="str">
        <f>IFERROR(__xludf.DUMMYFUNCTION("""COMPUTED_VALUE"""),"")</f>
        <v/>
      </c>
      <c r="Y346" s="181" t="str">
        <f>IFERROR(__xludf.DUMMYFUNCTION("""COMPUTED_VALUE"""),"")</f>
        <v/>
      </c>
      <c r="Z346" s="186" t="str">
        <f>IFERROR(__xludf.DUMMYFUNCTION("""COMPUTED_VALUE"""),"")</f>
        <v/>
      </c>
    </row>
    <row r="347">
      <c r="A347" s="35" t="str">
        <f>IFERROR(__xludf.DUMMYFUNCTION("""COMPUTED_VALUE"""),"")</f>
        <v/>
      </c>
      <c r="B347" s="35" t="str">
        <f>IFERROR(__xludf.DUMMYFUNCTION("""COMPUTED_VALUE"""),"38705")</f>
        <v>38705</v>
      </c>
      <c r="C347" s="172">
        <f>IFERROR(__xludf.DUMMYFUNCTION("""COMPUTED_VALUE"""),4.4643000827E10)</f>
        <v>44643000827</v>
      </c>
      <c r="D347" s="180" t="str">
        <f>IFERROR(__xludf.DUMMYFUNCTION("""COMPUTED_VALUE"""),"UNP")</f>
        <v>UNP</v>
      </c>
      <c r="E347" s="173">
        <f>IFERROR(__xludf.DUMMYFUNCTION("""COMPUTED_VALUE"""),44643.0)</f>
        <v>44643</v>
      </c>
      <c r="F347" s="35" t="str">
        <f>IFERROR(__xludf.DUMMYFUNCTION("""COMPUTED_VALUE"""),"Stock")</f>
        <v>Stock</v>
      </c>
      <c r="G347" s="35" t="str">
        <f>IFERROR(__xludf.DUMMYFUNCTION("""COMPUTED_VALUE"""),"USD")</f>
        <v>USD</v>
      </c>
      <c r="H347" s="14">
        <f>IFERROR(__xludf.DUMMYFUNCTION("""COMPUTED_VALUE"""),100.0)</f>
        <v>100</v>
      </c>
      <c r="I347" s="174">
        <f>IFERROR(__xludf.DUMMYFUNCTION("""COMPUTED_VALUE"""),7.823645)</f>
        <v>7.823645</v>
      </c>
      <c r="J347" s="175">
        <f>IFERROR(__xludf.DUMMYFUNCTION("""COMPUTED_VALUE"""),267.68)</f>
        <v>267.68</v>
      </c>
      <c r="K347" s="35"/>
      <c r="L347" s="175">
        <f>IFERROR(__xludf.DUMMYFUNCTION("""COMPUTED_VALUE"""),244.65)</f>
        <v>244.65</v>
      </c>
      <c r="M347" s="187" t="str">
        <f>IFERROR(__xludf.DUMMYFUNCTION("""COMPUTED_VALUE"""),"Equity Key Stats")</f>
        <v>Equity Key Stats</v>
      </c>
      <c r="N347" s="35"/>
      <c r="O347" s="35"/>
      <c r="P347" s="176">
        <f>IFERROR(__xludf.DUMMYFUNCTION("""COMPUTED_VALUE"""),-209423.32936)</f>
        <v>-209423.3294</v>
      </c>
      <c r="Q347" s="177"/>
      <c r="R347" s="178">
        <f>IFERROR(__xludf.DUMMYFUNCTION("""COMPUTED_VALUE"""),244.65)</f>
        <v>244.65</v>
      </c>
      <c r="S347" s="151">
        <f>IFERROR(__xludf.DUMMYFUNCTION("""COMPUTED_VALUE"""),191405.47492500002)</f>
        <v>191405.4749</v>
      </c>
      <c r="T347" s="95">
        <f>IFERROR(__xludf.DUMMYFUNCTION("""COMPUTED_VALUE"""),2.0)</f>
        <v>2</v>
      </c>
      <c r="U347" s="95" t="str">
        <f>IFERROR(__xludf.DUMMYFUNCTION("""COMPUTED_VALUE"""),"")</f>
        <v/>
      </c>
      <c r="V347" s="179" t="str">
        <f>IFERROR(__xludf.DUMMYFUNCTION("""COMPUTED_VALUE"""),"")</f>
        <v/>
      </c>
      <c r="W347" s="171" t="str">
        <f>IFERROR(__xludf.DUMMYFUNCTION("""COMPUTED_VALUE"""),"")</f>
        <v/>
      </c>
      <c r="X347" s="14" t="str">
        <f>IFERROR(__xludf.DUMMYFUNCTION("""COMPUTED_VALUE"""),"")</f>
        <v/>
      </c>
      <c r="Y347" s="14" t="str">
        <f>IFERROR(__xludf.DUMMYFUNCTION("""COMPUTED_VALUE"""),"")</f>
        <v/>
      </c>
      <c r="Z347" s="11" t="str">
        <f>IFERROR(__xludf.DUMMYFUNCTION("""COMPUTED_VALUE"""),"")</f>
        <v/>
      </c>
    </row>
    <row r="348">
      <c r="A348" s="35" t="str">
        <f>IFERROR(__xludf.DUMMYFUNCTION("""COMPUTED_VALUE"""),"")</f>
        <v/>
      </c>
      <c r="B348" s="35" t="str">
        <f>IFERROR(__xludf.DUMMYFUNCTION("""COMPUTED_VALUE"""),"38705")</f>
        <v>38705</v>
      </c>
      <c r="C348" s="172">
        <f>IFERROR(__xludf.DUMMYFUNCTION("""COMPUTED_VALUE"""),4.4643000828E10)</f>
        <v>44643000828</v>
      </c>
      <c r="D348" s="192" t="str">
        <f>IFERROR(__xludf.DUMMYFUNCTION("""COMPUTED_VALUE"""),"UNH")</f>
        <v>UNH</v>
      </c>
      <c r="E348" s="173">
        <f>IFERROR(__xludf.DUMMYFUNCTION("""COMPUTED_VALUE"""),44643.0)</f>
        <v>44643</v>
      </c>
      <c r="F348" s="35" t="str">
        <f>IFERROR(__xludf.DUMMYFUNCTION("""COMPUTED_VALUE"""),"Stock")</f>
        <v>Stock</v>
      </c>
      <c r="G348" s="35" t="str">
        <f>IFERROR(__xludf.DUMMYFUNCTION("""COMPUTED_VALUE"""),"USD")</f>
        <v>USD</v>
      </c>
      <c r="H348" s="181" t="str">
        <f>IFERROR(__xludf.DUMMYFUNCTION("""COMPUTED_VALUE"""),"")</f>
        <v/>
      </c>
      <c r="I348" s="174">
        <f>IFERROR(__xludf.DUMMYFUNCTION("""COMPUTED_VALUE"""),7.823645)</f>
        <v>7.823645</v>
      </c>
      <c r="J348" s="175">
        <f>IFERROR(__xludf.DUMMYFUNCTION("""COMPUTED_VALUE"""),503.23)</f>
        <v>503.23</v>
      </c>
      <c r="K348" s="35"/>
      <c r="L348" s="175">
        <f>IFERROR(__xludf.DUMMYFUNCTION("""COMPUTED_VALUE"""),537.95)</f>
        <v>537.95</v>
      </c>
      <c r="M348" s="182" t="str">
        <f>IFERROR(__xludf.DUMMYFUNCTION("""COMPUTED_VALUE"""),"Equity Key Stats")</f>
        <v>Equity Key Stats</v>
      </c>
      <c r="N348" s="35"/>
      <c r="O348" s="35"/>
      <c r="P348" s="184">
        <f>IFERROR(__xludf.DUMMYFUNCTION("""COMPUTED_VALUE"""),0.0)</f>
        <v>0</v>
      </c>
      <c r="Q348" s="177"/>
      <c r="R348" s="178">
        <f>IFERROR(__xludf.DUMMYFUNCTION("""COMPUTED_VALUE"""),537.95)</f>
        <v>537.95</v>
      </c>
      <c r="S348" s="176">
        <f>IFERROR(__xludf.DUMMYFUNCTION("""COMPUTED_VALUE"""),0.0)</f>
        <v>0</v>
      </c>
      <c r="T348" s="95">
        <f>IFERROR(__xludf.DUMMYFUNCTION("""COMPUTED_VALUE"""),3.0)</f>
        <v>3</v>
      </c>
      <c r="U348" s="35" t="str">
        <f>IFERROR(__xludf.DUMMYFUNCTION("""COMPUTED_VALUE"""),"")</f>
        <v/>
      </c>
      <c r="V348" s="170" t="str">
        <f>IFERROR(__xludf.DUMMYFUNCTION("""COMPUTED_VALUE"""),"")</f>
        <v/>
      </c>
      <c r="W348" s="171" t="str">
        <f>IFERROR(__xludf.DUMMYFUNCTION("""COMPUTED_VALUE"""),"")</f>
        <v/>
      </c>
      <c r="X348" s="14" t="str">
        <f>IFERROR(__xludf.DUMMYFUNCTION("""COMPUTED_VALUE"""),"")</f>
        <v/>
      </c>
      <c r="Y348" s="14" t="str">
        <f>IFERROR(__xludf.DUMMYFUNCTION("""COMPUTED_VALUE"""),"")</f>
        <v/>
      </c>
      <c r="Z348" s="11" t="str">
        <f>IFERROR(__xludf.DUMMYFUNCTION("""COMPUTED_VALUE"""),"")</f>
        <v/>
      </c>
    </row>
    <row r="349">
      <c r="A349" s="35" t="str">
        <f>IFERROR(__xludf.DUMMYFUNCTION("""COMPUTED_VALUE"""),"")</f>
        <v/>
      </c>
      <c r="B349" s="35" t="str">
        <f>IFERROR(__xludf.DUMMYFUNCTION("""COMPUTED_VALUE"""),"38705")</f>
        <v>38705</v>
      </c>
      <c r="C349" s="172">
        <f>IFERROR(__xludf.DUMMYFUNCTION("""COMPUTED_VALUE"""),4.4644000873E10)</f>
        <v>44644000873</v>
      </c>
      <c r="D349" s="192" t="str">
        <f>IFERROR(__xludf.DUMMYFUNCTION("""COMPUTED_VALUE"""),"UNP")</f>
        <v>UNP</v>
      </c>
      <c r="E349" s="173">
        <f>IFERROR(__xludf.DUMMYFUNCTION("""COMPUTED_VALUE"""),44644.0)</f>
        <v>44644</v>
      </c>
      <c r="F349" s="35" t="str">
        <f>IFERROR(__xludf.DUMMYFUNCTION("""COMPUTED_VALUE"""),"Stock")</f>
        <v>Stock</v>
      </c>
      <c r="G349" s="35" t="str">
        <f>IFERROR(__xludf.DUMMYFUNCTION("""COMPUTED_VALUE"""),"USD")</f>
        <v>USD</v>
      </c>
      <c r="H349" s="181">
        <f>IFERROR(__xludf.DUMMYFUNCTION("""COMPUTED_VALUE"""),20.0)</f>
        <v>20</v>
      </c>
      <c r="I349" s="174">
        <f>IFERROR(__xludf.DUMMYFUNCTION("""COMPUTED_VALUE"""),7.82365)</f>
        <v>7.82365</v>
      </c>
      <c r="J349" s="175">
        <f>IFERROR(__xludf.DUMMYFUNCTION("""COMPUTED_VALUE"""),270.21)</f>
        <v>270.21</v>
      </c>
      <c r="K349" s="35"/>
      <c r="L349" s="175">
        <f>IFERROR(__xludf.DUMMYFUNCTION("""COMPUTED_VALUE"""),244.65)</f>
        <v>244.65</v>
      </c>
      <c r="M349" s="182" t="str">
        <f>IFERROR(__xludf.DUMMYFUNCTION("""COMPUTED_VALUE"""),"Equity Key Stats")</f>
        <v>Equity Key Stats</v>
      </c>
      <c r="N349" s="35"/>
      <c r="O349" s="35"/>
      <c r="P349" s="184">
        <f>IFERROR(__xludf.DUMMYFUNCTION("""COMPUTED_VALUE"""),-42280.56932999999)</f>
        <v>-42280.56933</v>
      </c>
      <c r="Q349" s="177"/>
      <c r="R349" s="178">
        <f>IFERROR(__xludf.DUMMYFUNCTION("""COMPUTED_VALUE"""),244.65)</f>
        <v>244.65</v>
      </c>
      <c r="S349" s="176">
        <f>IFERROR(__xludf.DUMMYFUNCTION("""COMPUTED_VALUE"""),38281.11945)</f>
        <v>38281.11945</v>
      </c>
      <c r="T349" s="95">
        <f>IFERROR(__xludf.DUMMYFUNCTION("""COMPUTED_VALUE"""),2.0)</f>
        <v>2</v>
      </c>
      <c r="U349" s="95">
        <f>IFERROR(__xludf.DUMMYFUNCTION("""COMPUTED_VALUE"""),1.0)</f>
        <v>1</v>
      </c>
      <c r="V349" s="185">
        <f>IFERROR(__xludf.DUMMYFUNCTION("""COMPUTED_VALUE"""),-22017.304314999987)</f>
        <v>-22017.30432</v>
      </c>
      <c r="W349" s="171" t="str">
        <f>IFERROR(__xludf.DUMMYFUNCTION("""COMPUTED_VALUE"""),"")</f>
        <v/>
      </c>
      <c r="X349" s="14" t="str">
        <f>IFERROR(__xludf.DUMMYFUNCTION("""COMPUTED_VALUE"""),"")</f>
        <v/>
      </c>
      <c r="Y349" s="14" t="str">
        <f>IFERROR(__xludf.DUMMYFUNCTION("""COMPUTED_VALUE"""),"")</f>
        <v/>
      </c>
      <c r="Z349" s="11" t="str">
        <f>IFERROR(__xludf.DUMMYFUNCTION("""COMPUTED_VALUE"""),"")</f>
        <v/>
      </c>
    </row>
    <row r="350">
      <c r="A350" s="35" t="str">
        <f>IFERROR(__xludf.DUMMYFUNCTION("""COMPUTED_VALUE"""),"")</f>
        <v/>
      </c>
      <c r="B350" s="35" t="str">
        <f>IFERROR(__xludf.DUMMYFUNCTION("""COMPUTED_VALUE"""),"38705")</f>
        <v>38705</v>
      </c>
      <c r="C350" s="172">
        <f>IFERROR(__xludf.DUMMYFUNCTION("""COMPUTED_VALUE"""),4.4644000874E10)</f>
        <v>44644000874</v>
      </c>
      <c r="D350" s="192" t="str">
        <f>IFERROR(__xludf.DUMMYFUNCTION("""COMPUTED_VALUE"""),"UNH")</f>
        <v>UNH</v>
      </c>
      <c r="E350" s="173">
        <f>IFERROR(__xludf.DUMMYFUNCTION("""COMPUTED_VALUE"""),44644.0)</f>
        <v>44644</v>
      </c>
      <c r="F350" s="35" t="str">
        <f>IFERROR(__xludf.DUMMYFUNCTION("""COMPUTED_VALUE"""),"Stock")</f>
        <v>Stock</v>
      </c>
      <c r="G350" s="35" t="str">
        <f>IFERROR(__xludf.DUMMYFUNCTION("""COMPUTED_VALUE"""),"USD")</f>
        <v>USD</v>
      </c>
      <c r="H350" s="183">
        <f>IFERROR(__xludf.DUMMYFUNCTION("""COMPUTED_VALUE"""),10.0)</f>
        <v>10</v>
      </c>
      <c r="I350" s="174">
        <f>IFERROR(__xludf.DUMMYFUNCTION("""COMPUTED_VALUE"""),7.82365)</f>
        <v>7.82365</v>
      </c>
      <c r="J350" s="175">
        <f>IFERROR(__xludf.DUMMYFUNCTION("""COMPUTED_VALUE"""),513.46)</f>
        <v>513.46</v>
      </c>
      <c r="K350" s="35"/>
      <c r="L350" s="175">
        <f>IFERROR(__xludf.DUMMYFUNCTION("""COMPUTED_VALUE"""),537.95)</f>
        <v>537.95</v>
      </c>
      <c r="M350" s="182" t="str">
        <f>IFERROR(__xludf.DUMMYFUNCTION("""COMPUTED_VALUE"""),"Equity Key Stats")</f>
        <v>Equity Key Stats</v>
      </c>
      <c r="N350" s="35"/>
      <c r="O350" s="35"/>
      <c r="P350" s="176">
        <f>IFERROR(__xludf.DUMMYFUNCTION("""COMPUTED_VALUE"""),-40171.31329)</f>
        <v>-40171.31329</v>
      </c>
      <c r="Q350" s="177"/>
      <c r="R350" s="178">
        <f>IFERROR(__xludf.DUMMYFUNCTION("""COMPUTED_VALUE"""),537.95)</f>
        <v>537.95</v>
      </c>
      <c r="S350" s="184">
        <f>IFERROR(__xludf.DUMMYFUNCTION("""COMPUTED_VALUE"""),42087.325175)</f>
        <v>42087.32518</v>
      </c>
      <c r="T350" s="95">
        <f>IFERROR(__xludf.DUMMYFUNCTION("""COMPUTED_VALUE"""),3.0)</f>
        <v>3</v>
      </c>
      <c r="U350" s="95" t="str">
        <f>IFERROR(__xludf.DUMMYFUNCTION("""COMPUTED_VALUE"""),"")</f>
        <v/>
      </c>
      <c r="V350" s="185" t="str">
        <f>IFERROR(__xludf.DUMMYFUNCTION("""COMPUTED_VALUE"""),"")</f>
        <v/>
      </c>
      <c r="W350" s="55" t="str">
        <f>IFERROR(__xludf.DUMMYFUNCTION("""COMPUTED_VALUE"""),"")</f>
        <v/>
      </c>
      <c r="X350" s="181" t="str">
        <f>IFERROR(__xludf.DUMMYFUNCTION("""COMPUTED_VALUE"""),"")</f>
        <v/>
      </c>
      <c r="Y350" s="181" t="str">
        <f>IFERROR(__xludf.DUMMYFUNCTION("""COMPUTED_VALUE"""),"")</f>
        <v/>
      </c>
      <c r="Z350" s="189" t="str">
        <f>IFERROR(__xludf.DUMMYFUNCTION("""COMPUTED_VALUE"""),"")</f>
        <v/>
      </c>
    </row>
    <row r="351">
      <c r="A351" s="35" t="str">
        <f>IFERROR(__xludf.DUMMYFUNCTION("""COMPUTED_VALUE"""),"")</f>
        <v/>
      </c>
      <c r="B351" s="35" t="str">
        <f>IFERROR(__xludf.DUMMYFUNCTION("""COMPUTED_VALUE"""),"38705")</f>
        <v>38705</v>
      </c>
      <c r="C351" s="172">
        <f>IFERROR(__xludf.DUMMYFUNCTION("""COMPUTED_VALUE"""),4.4648000947E10)</f>
        <v>44648000947</v>
      </c>
      <c r="D351" s="180" t="str">
        <f>IFERROR(__xludf.DUMMYFUNCTION("""COMPUTED_VALUE"""),"ANTM")</f>
        <v>ANTM</v>
      </c>
      <c r="E351" s="173">
        <f>IFERROR(__xludf.DUMMYFUNCTION("""COMPUTED_VALUE"""),44648.0)</f>
        <v>44648</v>
      </c>
      <c r="F351" s="35" t="str">
        <f>IFERROR(__xludf.DUMMYFUNCTION("""COMPUTED_VALUE"""),"Stock")</f>
        <v>Stock</v>
      </c>
      <c r="G351" s="35" t="str">
        <f>IFERROR(__xludf.DUMMYFUNCTION("""COMPUTED_VALUE"""),"USD")</f>
        <v>USD</v>
      </c>
      <c r="H351" s="14">
        <f>IFERROR(__xludf.DUMMYFUNCTION("""COMPUTED_VALUE"""),-20.0)</f>
        <v>-20</v>
      </c>
      <c r="I351" s="174">
        <f>IFERROR(__xludf.DUMMYFUNCTION("""COMPUTED_VALUE"""),7.82905)</f>
        <v>7.82905</v>
      </c>
      <c r="J351" s="175">
        <f>IFERROR(__xludf.DUMMYFUNCTION("""COMPUTED_VALUE"""),484.79)</f>
        <v>484.79</v>
      </c>
      <c r="K351" s="35"/>
      <c r="L351" s="175">
        <f>IFERROR(__xludf.DUMMYFUNCTION("""COMPUTED_VALUE"""),512.46)</f>
        <v>512.46</v>
      </c>
      <c r="M351" s="187" t="str">
        <f>IFERROR(__xludf.DUMMYFUNCTION("""COMPUTED_VALUE"""),"Equity Key Stats")</f>
        <v>Equity Key Stats</v>
      </c>
      <c r="N351" s="35"/>
      <c r="O351" s="35"/>
      <c r="P351" s="176">
        <f>IFERROR(__xludf.DUMMYFUNCTION("""COMPUTED_VALUE"""),75908.90299)</f>
        <v>75908.90299</v>
      </c>
      <c r="Q351" s="177"/>
      <c r="R351" s="178">
        <f>IFERROR(__xludf.DUMMYFUNCTION("""COMPUTED_VALUE"""),512.46)</f>
        <v>512.46</v>
      </c>
      <c r="S351" s="151">
        <f>IFERROR(__xludf.DUMMYFUNCTION("""COMPUTED_VALUE"""),-80241.49926)</f>
        <v>-80241.49926</v>
      </c>
      <c r="T351" s="95">
        <f>IFERROR(__xludf.DUMMYFUNCTION("""COMPUTED_VALUE"""),3.0)</f>
        <v>3</v>
      </c>
      <c r="U351" s="95" t="str">
        <f>IFERROR(__xludf.DUMMYFUNCTION("""COMPUTED_VALUE"""),"")</f>
        <v/>
      </c>
      <c r="V351" s="179" t="str">
        <f>IFERROR(__xludf.DUMMYFUNCTION("""COMPUTED_VALUE"""),"")</f>
        <v/>
      </c>
      <c r="W351" s="55" t="str">
        <f>IFERROR(__xludf.DUMMYFUNCTION("""COMPUTED_VALUE"""),"")</f>
        <v/>
      </c>
      <c r="X351" s="181" t="str">
        <f>IFERROR(__xludf.DUMMYFUNCTION("""COMPUTED_VALUE"""),"")</f>
        <v/>
      </c>
      <c r="Y351" s="181" t="str">
        <f>IFERROR(__xludf.DUMMYFUNCTION("""COMPUTED_VALUE"""),"")</f>
        <v/>
      </c>
      <c r="Z351" s="186" t="str">
        <f>IFERROR(__xludf.DUMMYFUNCTION("""COMPUTED_VALUE"""),"")</f>
        <v/>
      </c>
    </row>
    <row r="352">
      <c r="A352" s="35" t="str">
        <f>IFERROR(__xludf.DUMMYFUNCTION("""COMPUTED_VALUE"""),"")</f>
        <v/>
      </c>
      <c r="B352" s="35" t="str">
        <f>IFERROR(__xludf.DUMMYFUNCTION("""COMPUTED_VALUE"""),"38705")</f>
        <v>38705</v>
      </c>
      <c r="C352" s="172">
        <f>IFERROR(__xludf.DUMMYFUNCTION("""COMPUTED_VALUE"""),4.4651001041E10)</f>
        <v>44651001041</v>
      </c>
      <c r="D352" s="180" t="str">
        <f>IFERROR(__xludf.DUMMYFUNCTION("""COMPUTED_VALUE"""),"ANTM")</f>
        <v>ANTM</v>
      </c>
      <c r="E352" s="173">
        <f>IFERROR(__xludf.DUMMYFUNCTION("""COMPUTED_VALUE"""),44651.0)</f>
        <v>44651</v>
      </c>
      <c r="F352" s="35" t="str">
        <f>IFERROR(__xludf.DUMMYFUNCTION("""COMPUTED_VALUE"""),"Stock")</f>
        <v>Stock</v>
      </c>
      <c r="G352" s="35" t="str">
        <f>IFERROR(__xludf.DUMMYFUNCTION("""COMPUTED_VALUE"""),"USD")</f>
        <v>USD</v>
      </c>
      <c r="H352" s="14">
        <f>IFERROR(__xludf.DUMMYFUNCTION("""COMPUTED_VALUE"""),-80.0)</f>
        <v>-80</v>
      </c>
      <c r="I352" s="174">
        <f>IFERROR(__xludf.DUMMYFUNCTION("""COMPUTED_VALUE"""),7.83335)</f>
        <v>7.83335</v>
      </c>
      <c r="J352" s="175">
        <f>IFERROR(__xludf.DUMMYFUNCTION("""COMPUTED_VALUE"""),491.22)</f>
        <v>491.22</v>
      </c>
      <c r="K352" s="35"/>
      <c r="L352" s="175">
        <f>IFERROR(__xludf.DUMMYFUNCTION("""COMPUTED_VALUE"""),512.46)</f>
        <v>512.46</v>
      </c>
      <c r="M352" s="187" t="str">
        <f>IFERROR(__xludf.DUMMYFUNCTION("""COMPUTED_VALUE"""),"Equity Key Stats")</f>
        <v>Equity Key Stats</v>
      </c>
      <c r="N352" s="35"/>
      <c r="O352" s="35"/>
      <c r="P352" s="176">
        <f>IFERROR(__xludf.DUMMYFUNCTION("""COMPUTED_VALUE"""),307831.85496)</f>
        <v>307831.855</v>
      </c>
      <c r="Q352" s="177"/>
      <c r="R352" s="178">
        <f>IFERROR(__xludf.DUMMYFUNCTION("""COMPUTED_VALUE"""),512.46)</f>
        <v>512.46</v>
      </c>
      <c r="S352" s="151">
        <f>IFERROR(__xludf.DUMMYFUNCTION("""COMPUTED_VALUE"""),-321142.28328000003)</f>
        <v>-321142.2833</v>
      </c>
      <c r="T352" s="95">
        <f>IFERROR(__xludf.DUMMYFUNCTION("""COMPUTED_VALUE"""),3.0)</f>
        <v>3</v>
      </c>
      <c r="U352" s="95">
        <f>IFERROR(__xludf.DUMMYFUNCTION("""COMPUTED_VALUE"""),1.0)</f>
        <v>1</v>
      </c>
      <c r="V352" s="179">
        <f>IFERROR(__xludf.DUMMYFUNCTION("""COMPUTED_VALUE"""),10888.566110000014)</f>
        <v>10888.56611</v>
      </c>
      <c r="W352" s="171" t="str">
        <f>IFERROR(__xludf.DUMMYFUNCTION("""COMPUTED_VALUE"""),"")</f>
        <v/>
      </c>
      <c r="X352" s="14" t="str">
        <f>IFERROR(__xludf.DUMMYFUNCTION("""COMPUTED_VALUE"""),"")</f>
        <v/>
      </c>
      <c r="Y352" s="14" t="str">
        <f>IFERROR(__xludf.DUMMYFUNCTION("""COMPUTED_VALUE"""),"")</f>
        <v/>
      </c>
      <c r="Z352" s="11" t="str">
        <f>IFERROR(__xludf.DUMMYFUNCTION("""COMPUTED_VALUE"""),"")</f>
        <v/>
      </c>
    </row>
    <row r="353">
      <c r="A353" s="35" t="str">
        <f>IFERROR(__xludf.DUMMYFUNCTION("""COMPUTED_VALUE"""),"")</f>
        <v/>
      </c>
      <c r="B353" s="35" t="str">
        <f>IFERROR(__xludf.DUMMYFUNCTION("""COMPUTED_VALUE"""),"38705")</f>
        <v>38705</v>
      </c>
      <c r="C353" s="172">
        <f>IFERROR(__xludf.DUMMYFUNCTION("""COMPUTED_VALUE"""),4.4657001178E10)</f>
        <v>44657001178</v>
      </c>
      <c r="D353" s="180" t="str">
        <f>IFERROR(__xludf.DUMMYFUNCTION("""COMPUTED_VALUE"""),"UNH")</f>
        <v>UNH</v>
      </c>
      <c r="E353" s="173">
        <f>IFERROR(__xludf.DUMMYFUNCTION("""COMPUTED_VALUE"""),44657.0)</f>
        <v>44657</v>
      </c>
      <c r="F353" s="35" t="str">
        <f>IFERROR(__xludf.DUMMYFUNCTION("""COMPUTED_VALUE"""),"Stock")</f>
        <v>Stock</v>
      </c>
      <c r="G353" s="35" t="str">
        <f>IFERROR(__xludf.DUMMYFUNCTION("""COMPUTED_VALUE"""),"USD")</f>
        <v>USD</v>
      </c>
      <c r="H353" s="181">
        <f>IFERROR(__xludf.DUMMYFUNCTION("""COMPUTED_VALUE"""),10.0)</f>
        <v>10</v>
      </c>
      <c r="I353" s="174">
        <f>IFERROR(__xludf.DUMMYFUNCTION("""COMPUTED_VALUE"""),7.837775)</f>
        <v>7.837775</v>
      </c>
      <c r="J353" s="175">
        <f>IFERROR(__xludf.DUMMYFUNCTION("""COMPUTED_VALUE"""),531.75)</f>
        <v>531.75</v>
      </c>
      <c r="K353" s="35"/>
      <c r="L353" s="175">
        <f>IFERROR(__xludf.DUMMYFUNCTION("""COMPUTED_VALUE"""),537.95)</f>
        <v>537.95</v>
      </c>
      <c r="M353" s="182" t="str">
        <f>IFERROR(__xludf.DUMMYFUNCTION("""COMPUTED_VALUE"""),"Equity Key Stats")</f>
        <v>Equity Key Stats</v>
      </c>
      <c r="N353" s="35"/>
      <c r="O353" s="35"/>
      <c r="P353" s="184">
        <f>IFERROR(__xludf.DUMMYFUNCTION("""COMPUTED_VALUE"""),-41677.36856249999)</f>
        <v>-41677.36856</v>
      </c>
      <c r="Q353" s="177"/>
      <c r="R353" s="178">
        <f>IFERROR(__xludf.DUMMYFUNCTION("""COMPUTED_VALUE"""),537.95)</f>
        <v>537.95</v>
      </c>
      <c r="S353" s="176">
        <f>IFERROR(__xludf.DUMMYFUNCTION("""COMPUTED_VALUE"""),42163.3106125)</f>
        <v>42163.31061</v>
      </c>
      <c r="T353" s="95">
        <f>IFERROR(__xludf.DUMMYFUNCTION("""COMPUTED_VALUE"""),3.0)</f>
        <v>3</v>
      </c>
      <c r="U353" s="35">
        <f>IFERROR(__xludf.DUMMYFUNCTION("""COMPUTED_VALUE"""),1.0)</f>
        <v>1</v>
      </c>
      <c r="V353" s="170">
        <f>IFERROR(__xludf.DUMMYFUNCTION("""COMPUTED_VALUE"""),2401.9539350000123)</f>
        <v>2401.953935</v>
      </c>
      <c r="W353" s="171" t="str">
        <f>IFERROR(__xludf.DUMMYFUNCTION("""COMPUTED_VALUE"""),"")</f>
        <v/>
      </c>
      <c r="X353" s="14" t="str">
        <f>IFERROR(__xludf.DUMMYFUNCTION("""COMPUTED_VALUE"""),"")</f>
        <v/>
      </c>
      <c r="Y353" s="14" t="str">
        <f>IFERROR(__xludf.DUMMYFUNCTION("""COMPUTED_VALUE"""),"")</f>
        <v/>
      </c>
      <c r="Z353" s="11" t="str">
        <f>IFERROR(__xludf.DUMMYFUNCTION("""COMPUTED_VALUE"""),"")</f>
        <v/>
      </c>
    </row>
    <row r="354">
      <c r="A354" s="35" t="str">
        <f>IFERROR(__xludf.DUMMYFUNCTION("""COMPUTED_VALUE"""),"")</f>
        <v/>
      </c>
      <c r="B354" s="35" t="str">
        <f>IFERROR(__xludf.DUMMYFUNCTION("""COMPUTED_VALUE"""),"38705")</f>
        <v>38705</v>
      </c>
      <c r="C354" s="172">
        <f>IFERROR(__xludf.DUMMYFUNCTION("""COMPUTED_VALUE"""),4.4657001179E10)</f>
        <v>44657001179</v>
      </c>
      <c r="D354" s="180" t="str">
        <f>IFERROR(__xludf.DUMMYFUNCTION("""COMPUTED_VALUE"""),"SHEL")</f>
        <v>SHEL</v>
      </c>
      <c r="E354" s="173">
        <f>IFERROR(__xludf.DUMMYFUNCTION("""COMPUTED_VALUE"""),44657.0)</f>
        <v>44657</v>
      </c>
      <c r="F354" s="35" t="str">
        <f>IFERROR(__xludf.DUMMYFUNCTION("""COMPUTED_VALUE"""),"Stock")</f>
        <v>Stock</v>
      </c>
      <c r="G354" s="35" t="str">
        <f>IFERROR(__xludf.DUMMYFUNCTION("""COMPUTED_VALUE"""),"USD")</f>
        <v>USD</v>
      </c>
      <c r="H354" s="181">
        <f>IFERROR(__xludf.DUMMYFUNCTION("""COMPUTED_VALUE"""),100.0)</f>
        <v>100</v>
      </c>
      <c r="I354" s="174">
        <f>IFERROR(__xludf.DUMMYFUNCTION("""COMPUTED_VALUE"""),7.837775)</f>
        <v>7.837775</v>
      </c>
      <c r="J354" s="175">
        <f>IFERROR(__xludf.DUMMYFUNCTION("""COMPUTED_VALUE"""),55.3)</f>
        <v>55.3</v>
      </c>
      <c r="K354" s="35"/>
      <c r="L354" s="175">
        <f>IFERROR(__xludf.DUMMYFUNCTION("""COMPUTED_VALUE"""),57.03)</f>
        <v>57.03</v>
      </c>
      <c r="M354" s="182" t="str">
        <f>IFERROR(__xludf.DUMMYFUNCTION("""COMPUTED_VALUE"""),"Equity Key Stats")</f>
        <v>Equity Key Stats</v>
      </c>
      <c r="N354" s="35"/>
      <c r="O354" s="35"/>
      <c r="P354" s="184">
        <f>IFERROR(__xludf.DUMMYFUNCTION("""COMPUTED_VALUE"""),-43342.895749999996)</f>
        <v>-43342.89575</v>
      </c>
      <c r="Q354" s="177"/>
      <c r="R354" s="178">
        <f>IFERROR(__xludf.DUMMYFUNCTION("""COMPUTED_VALUE"""),57.03)</f>
        <v>57.03</v>
      </c>
      <c r="S354" s="176">
        <f>IFERROR(__xludf.DUMMYFUNCTION("""COMPUTED_VALUE"""),44698.830825)</f>
        <v>44698.83083</v>
      </c>
      <c r="T354" s="95">
        <f>IFERROR(__xludf.DUMMYFUNCTION("""COMPUTED_VALUE"""),1.0)</f>
        <v>1</v>
      </c>
      <c r="U354" s="35">
        <f>IFERROR(__xludf.DUMMYFUNCTION("""COMPUTED_VALUE"""),1.0)</f>
        <v>1</v>
      </c>
      <c r="V354" s="170">
        <f>IFERROR(__xludf.DUMMYFUNCTION("""COMPUTED_VALUE"""),1355.9350750000012)</f>
        <v>1355.935075</v>
      </c>
      <c r="W354" s="171" t="str">
        <f>IFERROR(__xludf.DUMMYFUNCTION("""COMPUTED_VALUE"""),"")</f>
        <v/>
      </c>
      <c r="X354" s="14" t="str">
        <f>IFERROR(__xludf.DUMMYFUNCTION("""COMPUTED_VALUE"""),"")</f>
        <v/>
      </c>
      <c r="Y354" s="14" t="str">
        <f>IFERROR(__xludf.DUMMYFUNCTION("""COMPUTED_VALUE"""),"")</f>
        <v/>
      </c>
      <c r="Z354" s="11" t="str">
        <f>IFERROR(__xludf.DUMMYFUNCTION("""COMPUTED_VALUE"""),"")</f>
        <v/>
      </c>
    </row>
    <row r="355">
      <c r="A355" s="35" t="str">
        <f>IFERROR(__xludf.DUMMYFUNCTION("""COMPUTED_VALUE"""),"")</f>
        <v/>
      </c>
      <c r="B355" s="35" t="str">
        <f>IFERROR(__xludf.DUMMYFUNCTION("""COMPUTED_VALUE"""),"38705")</f>
        <v>38705</v>
      </c>
      <c r="C355" s="172">
        <f>IFERROR(__xludf.DUMMYFUNCTION("""COMPUTED_VALUE"""),4.4664001451E10)</f>
        <v>44664001451</v>
      </c>
      <c r="D355" s="135" t="str">
        <f>IFERROR(__xludf.DUMMYFUNCTION("""COMPUTED_VALUE"""),"HPK")</f>
        <v>HPK</v>
      </c>
      <c r="E355" s="173">
        <f>IFERROR(__xludf.DUMMYFUNCTION("""COMPUTED_VALUE"""),44664.0)</f>
        <v>44664</v>
      </c>
      <c r="F355" s="35" t="str">
        <f>IFERROR(__xludf.DUMMYFUNCTION("""COMPUTED_VALUE"""),"Stock")</f>
        <v>Stock</v>
      </c>
      <c r="G355" s="35" t="str">
        <f>IFERROR(__xludf.DUMMYFUNCTION("""COMPUTED_VALUE"""),"USD")</f>
        <v>USD</v>
      </c>
      <c r="H355" s="181">
        <f>IFERROR(__xludf.DUMMYFUNCTION("""COMPUTED_VALUE"""),300.0)</f>
        <v>300</v>
      </c>
      <c r="I355" s="174">
        <f>IFERROR(__xludf.DUMMYFUNCTION("""COMPUTED_VALUE"""),7.83915)</f>
        <v>7.83915</v>
      </c>
      <c r="J355" s="175">
        <f>IFERROR(__xludf.DUMMYFUNCTION("""COMPUTED_VALUE"""),28.83)</f>
        <v>28.83</v>
      </c>
      <c r="K355" s="35"/>
      <c r="L355" s="175">
        <f>IFERROR(__xludf.DUMMYFUNCTION("""COMPUTED_VALUE"""),28.83)</f>
        <v>28.83</v>
      </c>
      <c r="M355" s="182" t="str">
        <f>IFERROR(__xludf.DUMMYFUNCTION("""COMPUTED_VALUE"""),"Equity Key Stats")</f>
        <v>Equity Key Stats</v>
      </c>
      <c r="N355" s="35"/>
      <c r="O355" s="35"/>
      <c r="P355" s="184">
        <f>IFERROR(__xludf.DUMMYFUNCTION("""COMPUTED_VALUE"""),-67800.80834999999)</f>
        <v>-67800.80835</v>
      </c>
      <c r="Q355" s="177"/>
      <c r="R355" s="178">
        <f>IFERROR(__xludf.DUMMYFUNCTION("""COMPUTED_VALUE"""),28.83)</f>
        <v>28.83</v>
      </c>
      <c r="S355" s="176">
        <f>IFERROR(__xludf.DUMMYFUNCTION("""COMPUTED_VALUE"""),67800.80834999999)</f>
        <v>67800.80835</v>
      </c>
      <c r="T355" s="95">
        <f>IFERROR(__xludf.DUMMYFUNCTION("""COMPUTED_VALUE"""),1.0)</f>
        <v>1</v>
      </c>
      <c r="U355" s="95">
        <f>IFERROR(__xludf.DUMMYFUNCTION("""COMPUTED_VALUE"""),1.0)</f>
        <v>1</v>
      </c>
      <c r="V355" s="179">
        <f>IFERROR(__xludf.DUMMYFUNCTION("""COMPUTED_VALUE"""),0.0)</f>
        <v>0</v>
      </c>
      <c r="W355" s="171" t="str">
        <f>IFERROR(__xludf.DUMMYFUNCTION("""COMPUTED_VALUE"""),"")</f>
        <v/>
      </c>
      <c r="X355" s="14" t="str">
        <f>IFERROR(__xludf.DUMMYFUNCTION("""COMPUTED_VALUE"""),"")</f>
        <v/>
      </c>
      <c r="Y355" s="14" t="str">
        <f>IFERROR(__xludf.DUMMYFUNCTION("""COMPUTED_VALUE"""),"")</f>
        <v/>
      </c>
      <c r="Z355" s="11" t="str">
        <f>IFERROR(__xludf.DUMMYFUNCTION("""COMPUTED_VALUE"""),"")</f>
        <v/>
      </c>
    </row>
    <row r="356">
      <c r="A356" s="35" t="str">
        <f>IFERROR(__xludf.DUMMYFUNCTION("""COMPUTED_VALUE"""),"38705")</f>
        <v>38705</v>
      </c>
      <c r="B356" s="35" t="str">
        <f>IFERROR(__xludf.DUMMYFUNCTION("""COMPUTED_VALUE"""),"38705")</f>
        <v>38705</v>
      </c>
      <c r="C356" s="172">
        <f>IFERROR(__xludf.DUMMYFUNCTION("""COMPUTED_VALUE"""),4.4664001452E10)</f>
        <v>44664001452</v>
      </c>
      <c r="D356" s="135" t="str">
        <f>IFERROR(__xludf.DUMMYFUNCTION("""COMPUTED_VALUE"""),"AAPL")</f>
        <v>AAPL</v>
      </c>
      <c r="E356" s="173">
        <f>IFERROR(__xludf.DUMMYFUNCTION("""COMPUTED_VALUE"""),44664.0)</f>
        <v>44664</v>
      </c>
      <c r="F356" s="35" t="str">
        <f>IFERROR(__xludf.DUMMYFUNCTION("""COMPUTED_VALUE"""),"Stock")</f>
        <v>Stock</v>
      </c>
      <c r="G356" s="35" t="str">
        <f>IFERROR(__xludf.DUMMYFUNCTION("""COMPUTED_VALUE"""),"USD")</f>
        <v>USD</v>
      </c>
      <c r="H356" s="183">
        <f>IFERROR(__xludf.DUMMYFUNCTION("""COMPUTED_VALUE"""),100.0)</f>
        <v>100</v>
      </c>
      <c r="I356" s="174">
        <f>IFERROR(__xludf.DUMMYFUNCTION("""COMPUTED_VALUE"""),7.83915)</f>
        <v>7.83915</v>
      </c>
      <c r="J356" s="175">
        <f>IFERROR(__xludf.DUMMYFUNCTION("""COMPUTED_VALUE"""),170.4)</f>
        <v>170.4</v>
      </c>
      <c r="K356" s="35"/>
      <c r="L356" s="175">
        <f>IFERROR(__xludf.DUMMYFUNCTION("""COMPUTED_VALUE"""),170.4)</f>
        <v>170.4</v>
      </c>
      <c r="M356" s="182" t="str">
        <f>IFERROR(__xludf.DUMMYFUNCTION("""COMPUTED_VALUE"""),"Equity Key Stats")</f>
        <v>Equity Key Stats</v>
      </c>
      <c r="N356" s="35"/>
      <c r="O356" s="35"/>
      <c r="P356" s="176">
        <f>IFERROR(__xludf.DUMMYFUNCTION("""COMPUTED_VALUE"""),-133579.116)</f>
        <v>-133579.116</v>
      </c>
      <c r="Q356" s="177"/>
      <c r="R356" s="178">
        <f>IFERROR(__xludf.DUMMYFUNCTION("""COMPUTED_VALUE"""),170.4)</f>
        <v>170.4</v>
      </c>
      <c r="S356" s="184">
        <f>IFERROR(__xludf.DUMMYFUNCTION("""COMPUTED_VALUE"""),133579.116)</f>
        <v>133579.116</v>
      </c>
      <c r="T356" s="95">
        <f>IFERROR(__xludf.DUMMYFUNCTION("""COMPUTED_VALUE"""),1.0)</f>
        <v>1</v>
      </c>
      <c r="U356" s="95">
        <f>IFERROR(__xludf.DUMMYFUNCTION("""COMPUTED_VALUE"""),1.0)</f>
        <v>1</v>
      </c>
      <c r="V356" s="185">
        <f>IFERROR(__xludf.DUMMYFUNCTION("""COMPUTED_VALUE"""),0.0)</f>
        <v>0</v>
      </c>
      <c r="W356" s="171">
        <f>IFERROR(__xludf.DUMMYFUNCTION("""COMPUTED_VALUE"""),493764.26180499996)</f>
        <v>493764.2618</v>
      </c>
      <c r="X356" s="14">
        <f>IFERROR(__xludf.DUMMYFUNCTION("""COMPUTED_VALUE"""),-65881.3906924999)</f>
        <v>-65881.39069</v>
      </c>
      <c r="Y356" s="14">
        <f>IFERROR(__xludf.DUMMYFUNCTION("""COMPUTED_VALUE"""),65881.3906924999)</f>
        <v>65881.39069</v>
      </c>
      <c r="Z356" s="11">
        <f>IFERROR(__xludf.DUMMYFUNCTION("""COMPUTED_VALUE"""),-0.012471476390000125)</f>
        <v>-0.01247147639</v>
      </c>
    </row>
    <row r="357">
      <c r="A357" s="35" t="str">
        <f>IFERROR(__xludf.DUMMYFUNCTION("""COMPUTED_VALUE"""),"")</f>
        <v/>
      </c>
      <c r="B357" s="35" t="str">
        <f>IFERROR(__xludf.DUMMYFUNCTION("""COMPUTED_VALUE"""),"38758")</f>
        <v>38758</v>
      </c>
      <c r="C357" s="172">
        <f>IFERROR(__xludf.DUMMYFUNCTION("""COMPUTED_VALUE"""),4.459700008E10)</f>
        <v>44597000080</v>
      </c>
      <c r="D357" s="135" t="str">
        <f>IFERROR(__xludf.DUMMYFUNCTION("""COMPUTED_VALUE"""),"Cash")</f>
        <v>Cash</v>
      </c>
      <c r="E357" s="173">
        <f>IFERROR(__xludf.DUMMYFUNCTION("""COMPUTED_VALUE"""),44597.0)</f>
        <v>44597</v>
      </c>
      <c r="F357" s="35" t="str">
        <f>IFERROR(__xludf.DUMMYFUNCTION("""COMPUTED_VALUE"""),"Cash")</f>
        <v>Cash</v>
      </c>
      <c r="G357" s="35" t="str">
        <f>IFERROR(__xludf.DUMMYFUNCTION("""COMPUTED_VALUE"""),"HKD")</f>
        <v>HKD</v>
      </c>
      <c r="H357" s="183" t="str">
        <f>IFERROR(__xludf.DUMMYFUNCTION("""COMPUTED_VALUE"""),"")</f>
        <v/>
      </c>
      <c r="I357" s="174">
        <f>IFERROR(__xludf.DUMMYFUNCTION("""COMPUTED_VALUE"""),1.0)</f>
        <v>1</v>
      </c>
      <c r="J357" s="175">
        <f>IFERROR(__xludf.DUMMYFUNCTION("""COMPUTED_VALUE"""),1.0)</f>
        <v>1</v>
      </c>
      <c r="K357" s="35"/>
      <c r="L357" s="175">
        <f>IFERROR(__xludf.DUMMYFUNCTION("""COMPUTED_VALUE"""),1.0)</f>
        <v>1</v>
      </c>
      <c r="M357" s="182" t="str">
        <f>IFERROR(__xludf.DUMMYFUNCTION("""COMPUTED_VALUE"""),"")</f>
        <v/>
      </c>
      <c r="N357" s="35"/>
      <c r="O357" s="35"/>
      <c r="P357" s="176">
        <f>IFERROR(__xludf.DUMMYFUNCTION("""COMPUTED_VALUE"""),500000.0)</f>
        <v>500000</v>
      </c>
      <c r="Q357" s="177"/>
      <c r="R357" s="178">
        <f>IFERROR(__xludf.DUMMYFUNCTION("""COMPUTED_VALUE"""),1.0)</f>
        <v>1</v>
      </c>
      <c r="S357" s="184" t="str">
        <f>IFERROR(__xludf.DUMMYFUNCTION("""COMPUTED_VALUE"""),"")</f>
        <v/>
      </c>
      <c r="T357" s="95">
        <f>IFERROR(__xludf.DUMMYFUNCTION("""COMPUTED_VALUE"""),1.0)</f>
        <v>1</v>
      </c>
      <c r="U357" s="95">
        <f>IFERROR(__xludf.DUMMYFUNCTION("""COMPUTED_VALUE"""),1.0)</f>
        <v>1</v>
      </c>
      <c r="V357" s="185">
        <f>IFERROR(__xludf.DUMMYFUNCTION("""COMPUTED_VALUE"""),500000.0)</f>
        <v>500000</v>
      </c>
      <c r="W357" s="55" t="str">
        <f>IFERROR(__xludf.DUMMYFUNCTION("""COMPUTED_VALUE"""),"")</f>
        <v/>
      </c>
      <c r="X357" s="181" t="str">
        <f>IFERROR(__xludf.DUMMYFUNCTION("""COMPUTED_VALUE"""),"")</f>
        <v/>
      </c>
      <c r="Y357" s="181" t="str">
        <f>IFERROR(__xludf.DUMMYFUNCTION("""COMPUTED_VALUE"""),"")</f>
        <v/>
      </c>
      <c r="Z357" s="189" t="str">
        <f>IFERROR(__xludf.DUMMYFUNCTION("""COMPUTED_VALUE"""),"")</f>
        <v/>
      </c>
    </row>
    <row r="358">
      <c r="A358" s="35" t="str">
        <f>IFERROR(__xludf.DUMMYFUNCTION("""COMPUTED_VALUE"""),"")</f>
        <v/>
      </c>
      <c r="B358" s="35" t="str">
        <f>IFERROR(__xludf.DUMMYFUNCTION("""COMPUTED_VALUE"""),"38758")</f>
        <v>38758</v>
      </c>
      <c r="C358" s="172">
        <f>IFERROR(__xludf.DUMMYFUNCTION("""COMPUTED_VALUE"""),4.4642000761E10)</f>
        <v>44642000761</v>
      </c>
      <c r="D358" s="188" t="str">
        <f>IFERROR(__xludf.DUMMYFUNCTION("""COMPUTED_VALUE"""),"0700.HK")</f>
        <v>0700.HK</v>
      </c>
      <c r="E358" s="173">
        <f>IFERROR(__xludf.DUMMYFUNCTION("""COMPUTED_VALUE"""),44642.0)</f>
        <v>44642</v>
      </c>
      <c r="F358" s="35" t="str">
        <f>IFERROR(__xludf.DUMMYFUNCTION("""COMPUTED_VALUE"""),"Stock")</f>
        <v>Stock</v>
      </c>
      <c r="G358" s="35" t="str">
        <f>IFERROR(__xludf.DUMMYFUNCTION("""COMPUTED_VALUE"""),"HKD")</f>
        <v>HKD</v>
      </c>
      <c r="H358" s="14">
        <f>IFERROR(__xludf.DUMMYFUNCTION("""COMPUTED_VALUE"""),-20.0)</f>
        <v>-20</v>
      </c>
      <c r="I358" s="174">
        <f>IFERROR(__xludf.DUMMYFUNCTION("""COMPUTED_VALUE"""),1.0)</f>
        <v>1</v>
      </c>
      <c r="J358" s="175">
        <f>IFERROR(__xludf.DUMMYFUNCTION("""COMPUTED_VALUE"""),388.0)</f>
        <v>388</v>
      </c>
      <c r="K358" s="35"/>
      <c r="L358" s="175">
        <f>IFERROR(__xludf.DUMMYFUNCTION("""COMPUTED_VALUE"""),373.6)</f>
        <v>373.6</v>
      </c>
      <c r="M358" s="187" t="str">
        <f>IFERROR(__xludf.DUMMYFUNCTION("""COMPUTED_VALUE"""),"Equity Key Stats")</f>
        <v>Equity Key Stats</v>
      </c>
      <c r="N358" s="35"/>
      <c r="O358" s="35"/>
      <c r="P358" s="176">
        <f>IFERROR(__xludf.DUMMYFUNCTION("""COMPUTED_VALUE"""),7760.0)</f>
        <v>7760</v>
      </c>
      <c r="Q358" s="177"/>
      <c r="R358" s="178">
        <f>IFERROR(__xludf.DUMMYFUNCTION("""COMPUTED_VALUE"""),373.6)</f>
        <v>373.6</v>
      </c>
      <c r="S358" s="151">
        <f>IFERROR(__xludf.DUMMYFUNCTION("""COMPUTED_VALUE"""),-7472.0)</f>
        <v>-7472</v>
      </c>
      <c r="T358" s="95">
        <f>IFERROR(__xludf.DUMMYFUNCTION("""COMPUTED_VALUE"""),4.0)</f>
        <v>4</v>
      </c>
      <c r="U358" s="95" t="str">
        <f>IFERROR(__xludf.DUMMYFUNCTION("""COMPUTED_VALUE"""),"")</f>
        <v/>
      </c>
      <c r="V358" s="179" t="str">
        <f>IFERROR(__xludf.DUMMYFUNCTION("""COMPUTED_VALUE"""),"")</f>
        <v/>
      </c>
      <c r="W358" s="55" t="str">
        <f>IFERROR(__xludf.DUMMYFUNCTION("""COMPUTED_VALUE"""),"")</f>
        <v/>
      </c>
      <c r="X358" s="181" t="str">
        <f>IFERROR(__xludf.DUMMYFUNCTION("""COMPUTED_VALUE"""),"")</f>
        <v/>
      </c>
      <c r="Y358" s="181" t="str">
        <f>IFERROR(__xludf.DUMMYFUNCTION("""COMPUTED_VALUE"""),"")</f>
        <v/>
      </c>
      <c r="Z358" s="186" t="str">
        <f>IFERROR(__xludf.DUMMYFUNCTION("""COMPUTED_VALUE"""),"")</f>
        <v/>
      </c>
    </row>
    <row r="359">
      <c r="A359" s="35" t="str">
        <f>IFERROR(__xludf.DUMMYFUNCTION("""COMPUTED_VALUE"""),"")</f>
        <v/>
      </c>
      <c r="B359" s="35" t="str">
        <f>IFERROR(__xludf.DUMMYFUNCTION("""COMPUTED_VALUE"""),"38758")</f>
        <v>38758</v>
      </c>
      <c r="C359" s="172">
        <f>IFERROR(__xludf.DUMMYFUNCTION("""COMPUTED_VALUE"""),4.4642000763E10)</f>
        <v>44642000763</v>
      </c>
      <c r="D359" s="188" t="str">
        <f>IFERROR(__xludf.DUMMYFUNCTION("""COMPUTED_VALUE"""),"600519.SS")</f>
        <v>600519.SS</v>
      </c>
      <c r="E359" s="173">
        <f>IFERROR(__xludf.DUMMYFUNCTION("""COMPUTED_VALUE"""),44642.0)</f>
        <v>44642</v>
      </c>
      <c r="F359" s="35" t="str">
        <f>IFERROR(__xludf.DUMMYFUNCTION("""COMPUTED_VALUE"""),"Stock")</f>
        <v>Stock</v>
      </c>
      <c r="G359" s="35" t="str">
        <f>IFERROR(__xludf.DUMMYFUNCTION("""COMPUTED_VALUE"""),"CNY")</f>
        <v>CNY</v>
      </c>
      <c r="H359" s="14">
        <f>IFERROR(__xludf.DUMMYFUNCTION("""COMPUTED_VALUE"""),-15.0)</f>
        <v>-15</v>
      </c>
      <c r="I359" s="174">
        <f>IFERROR(__xludf.DUMMYFUNCTION("""COMPUTED_VALUE"""),1.229312)</f>
        <v>1.229312</v>
      </c>
      <c r="J359" s="175">
        <f>IFERROR(__xludf.DUMMYFUNCTION("""COMPUTED_VALUE"""),1695.0)</f>
        <v>1695</v>
      </c>
      <c r="K359" s="35"/>
      <c r="L359" s="175">
        <f>IFERROR(__xludf.DUMMYFUNCTION("""COMPUTED_VALUE"""),1769.0)</f>
        <v>1769</v>
      </c>
      <c r="M359" s="187" t="str">
        <f>IFERROR(__xludf.DUMMYFUNCTION("""COMPUTED_VALUE"""),"Equity Key Stats")</f>
        <v>Equity Key Stats</v>
      </c>
      <c r="N359" s="35"/>
      <c r="O359" s="35"/>
      <c r="P359" s="176">
        <f>IFERROR(__xludf.DUMMYFUNCTION("""COMPUTED_VALUE"""),31255.257599999997)</f>
        <v>31255.2576</v>
      </c>
      <c r="Q359" s="177"/>
      <c r="R359" s="178">
        <f>IFERROR(__xludf.DUMMYFUNCTION("""COMPUTED_VALUE"""),1769.0)</f>
        <v>1769</v>
      </c>
      <c r="S359" s="151">
        <f>IFERROR(__xludf.DUMMYFUNCTION("""COMPUTED_VALUE"""),-32619.79392)</f>
        <v>-32619.79392</v>
      </c>
      <c r="T359" s="95">
        <f>IFERROR(__xludf.DUMMYFUNCTION("""COMPUTED_VALUE"""),2.0)</f>
        <v>2</v>
      </c>
      <c r="U359" s="95" t="str">
        <f>IFERROR(__xludf.DUMMYFUNCTION("""COMPUTED_VALUE"""),"")</f>
        <v/>
      </c>
      <c r="V359" s="179" t="str">
        <f>IFERROR(__xludf.DUMMYFUNCTION("""COMPUTED_VALUE"""),"")</f>
        <v/>
      </c>
      <c r="W359" s="171" t="str">
        <f>IFERROR(__xludf.DUMMYFUNCTION("""COMPUTED_VALUE"""),"")</f>
        <v/>
      </c>
      <c r="X359" s="14" t="str">
        <f>IFERROR(__xludf.DUMMYFUNCTION("""COMPUTED_VALUE"""),"")</f>
        <v/>
      </c>
      <c r="Y359" s="14" t="str">
        <f>IFERROR(__xludf.DUMMYFUNCTION("""COMPUTED_VALUE"""),"")</f>
        <v/>
      </c>
      <c r="Z359" s="11" t="str">
        <f>IFERROR(__xludf.DUMMYFUNCTION("""COMPUTED_VALUE"""),"")</f>
        <v/>
      </c>
    </row>
    <row r="360">
      <c r="A360" s="35" t="str">
        <f>IFERROR(__xludf.DUMMYFUNCTION("""COMPUTED_VALUE"""),"")</f>
        <v/>
      </c>
      <c r="B360" s="35" t="str">
        <f>IFERROR(__xludf.DUMMYFUNCTION("""COMPUTED_VALUE"""),"38758")</f>
        <v>38758</v>
      </c>
      <c r="C360" s="172">
        <f>IFERROR(__xludf.DUMMYFUNCTION("""COMPUTED_VALUE"""),4.4643000787E10)</f>
        <v>44643000787</v>
      </c>
      <c r="D360" s="180" t="str">
        <f>IFERROR(__xludf.DUMMYFUNCTION("""COMPUTED_VALUE"""),"1M")</f>
        <v>1M</v>
      </c>
      <c r="E360" s="173">
        <f>IFERROR(__xludf.DUMMYFUNCTION("""COMPUTED_VALUE"""),44643.0)</f>
        <v>44643</v>
      </c>
      <c r="F360" s="35" t="str">
        <f>IFERROR(__xludf.DUMMYFUNCTION("""COMPUTED_VALUE"""),"Time Deposit")</f>
        <v>Time Deposit</v>
      </c>
      <c r="G360" s="35" t="str">
        <f>IFERROR(__xludf.DUMMYFUNCTION("""COMPUTED_VALUE"""),"HKD")</f>
        <v>HKD</v>
      </c>
      <c r="H360" s="181">
        <f>IFERROR(__xludf.DUMMYFUNCTION("""COMPUTED_VALUE"""),-20000.0)</f>
        <v>-20000</v>
      </c>
      <c r="I360" s="174">
        <f>IFERROR(__xludf.DUMMYFUNCTION("""COMPUTED_VALUE"""),1.0)</f>
        <v>1</v>
      </c>
      <c r="J360" s="175">
        <f>IFERROR(__xludf.DUMMYFUNCTION("""COMPUTED_VALUE"""),1.0)</f>
        <v>1</v>
      </c>
      <c r="K360" s="35"/>
      <c r="L360" s="175">
        <f>IFERROR(__xludf.DUMMYFUNCTION("""COMPUTED_VALUE"""),1.0)</f>
        <v>1</v>
      </c>
      <c r="M360" s="182" t="str">
        <f>IFERROR(__xludf.DUMMYFUNCTION("""COMPUTED_VALUE"""),"")</f>
        <v/>
      </c>
      <c r="N360" s="35"/>
      <c r="O360" s="35"/>
      <c r="P360" s="184">
        <f>IFERROR(__xludf.DUMMYFUNCTION("""COMPUTED_VALUE"""),20000.0)</f>
        <v>20000</v>
      </c>
      <c r="Q360" s="177"/>
      <c r="R360" s="178">
        <f>IFERROR(__xludf.DUMMYFUNCTION("""COMPUTED_VALUE"""),1.0)</f>
        <v>1</v>
      </c>
      <c r="S360" s="176">
        <f>IFERROR(__xludf.DUMMYFUNCTION("""COMPUTED_VALUE"""),-20000.0)</f>
        <v>-20000</v>
      </c>
      <c r="T360" s="95">
        <f>IFERROR(__xludf.DUMMYFUNCTION("""COMPUTED_VALUE"""),3.0)</f>
        <v>3</v>
      </c>
      <c r="U360" s="95" t="str">
        <f>IFERROR(__xludf.DUMMYFUNCTION("""COMPUTED_VALUE"""),"")</f>
        <v/>
      </c>
      <c r="V360" s="179" t="str">
        <f>IFERROR(__xludf.DUMMYFUNCTION("""COMPUTED_VALUE"""),"")</f>
        <v/>
      </c>
      <c r="W360" s="171" t="str">
        <f>IFERROR(__xludf.DUMMYFUNCTION("""COMPUTED_VALUE"""),"")</f>
        <v/>
      </c>
      <c r="X360" s="14" t="str">
        <f>IFERROR(__xludf.DUMMYFUNCTION("""COMPUTED_VALUE"""),"")</f>
        <v/>
      </c>
      <c r="Y360" s="14" t="str">
        <f>IFERROR(__xludf.DUMMYFUNCTION("""COMPUTED_VALUE"""),"")</f>
        <v/>
      </c>
      <c r="Z360" s="11" t="str">
        <f>IFERROR(__xludf.DUMMYFUNCTION("""COMPUTED_VALUE"""),"")</f>
        <v/>
      </c>
    </row>
    <row r="361">
      <c r="A361" s="35" t="str">
        <f>IFERROR(__xludf.DUMMYFUNCTION("""COMPUTED_VALUE"""),"")</f>
        <v/>
      </c>
      <c r="B361" s="35" t="str">
        <f>IFERROR(__xludf.DUMMYFUNCTION("""COMPUTED_VALUE"""),"38758")</f>
        <v>38758</v>
      </c>
      <c r="C361" s="172">
        <f>IFERROR(__xludf.DUMMYFUNCTION("""COMPUTED_VALUE"""),4.4644000824E10)</f>
        <v>44644000824</v>
      </c>
      <c r="D361" s="188" t="str">
        <f>IFERROR(__xludf.DUMMYFUNCTION("""COMPUTED_VALUE"""),"0700.HK")</f>
        <v>0700.HK</v>
      </c>
      <c r="E361" s="173">
        <f>IFERROR(__xludf.DUMMYFUNCTION("""COMPUTED_VALUE"""),44644.0)</f>
        <v>44644</v>
      </c>
      <c r="F361" s="35" t="str">
        <f>IFERROR(__xludf.DUMMYFUNCTION("""COMPUTED_VALUE"""),"Stock")</f>
        <v>Stock</v>
      </c>
      <c r="G361" s="35" t="str">
        <f>IFERROR(__xludf.DUMMYFUNCTION("""COMPUTED_VALUE"""),"HKD")</f>
        <v>HKD</v>
      </c>
      <c r="H361" s="181">
        <f>IFERROR(__xludf.DUMMYFUNCTION("""COMPUTED_VALUE"""),0.0)</f>
        <v>0</v>
      </c>
      <c r="I361" s="174">
        <f>IFERROR(__xludf.DUMMYFUNCTION("""COMPUTED_VALUE"""),1.0)</f>
        <v>1</v>
      </c>
      <c r="J361" s="175">
        <f>IFERROR(__xludf.DUMMYFUNCTION("""COMPUTED_VALUE"""),0.0)</f>
        <v>0</v>
      </c>
      <c r="K361" s="35"/>
      <c r="L361" s="175">
        <f>IFERROR(__xludf.DUMMYFUNCTION("""COMPUTED_VALUE"""),373.6)</f>
        <v>373.6</v>
      </c>
      <c r="M361" s="182" t="str">
        <f>IFERROR(__xludf.DUMMYFUNCTION("""COMPUTED_VALUE"""),"Equity Key Stats")</f>
        <v>Equity Key Stats</v>
      </c>
      <c r="N361" s="35"/>
      <c r="O361" s="35"/>
      <c r="P361" s="184">
        <f>IFERROR(__xludf.DUMMYFUNCTION("""COMPUTED_VALUE"""),0.0)</f>
        <v>0</v>
      </c>
      <c r="Q361" s="177"/>
      <c r="R361" s="178">
        <f>IFERROR(__xludf.DUMMYFUNCTION("""COMPUTED_VALUE"""),373.6)</f>
        <v>373.6</v>
      </c>
      <c r="S361" s="176">
        <f>IFERROR(__xludf.DUMMYFUNCTION("""COMPUTED_VALUE"""),0.0)</f>
        <v>0</v>
      </c>
      <c r="T361" s="95">
        <f>IFERROR(__xludf.DUMMYFUNCTION("""COMPUTED_VALUE"""),4.0)</f>
        <v>4</v>
      </c>
      <c r="U361" s="95" t="str">
        <f>IFERROR(__xludf.DUMMYFUNCTION("""COMPUTED_VALUE"""),"")</f>
        <v/>
      </c>
      <c r="V361" s="179" t="str">
        <f>IFERROR(__xludf.DUMMYFUNCTION("""COMPUTED_VALUE"""),"")</f>
        <v/>
      </c>
      <c r="W361" s="171" t="str">
        <f>IFERROR(__xludf.DUMMYFUNCTION("""COMPUTED_VALUE"""),"")</f>
        <v/>
      </c>
      <c r="X361" s="14" t="str">
        <f>IFERROR(__xludf.DUMMYFUNCTION("""COMPUTED_VALUE"""),"")</f>
        <v/>
      </c>
      <c r="Y361" s="14" t="str">
        <f>IFERROR(__xludf.DUMMYFUNCTION("""COMPUTED_VALUE"""),"")</f>
        <v/>
      </c>
      <c r="Z361" s="11" t="str">
        <f>IFERROR(__xludf.DUMMYFUNCTION("""COMPUTED_VALUE"""),"")</f>
        <v/>
      </c>
    </row>
    <row r="362">
      <c r="A362" s="35" t="str">
        <f>IFERROR(__xludf.DUMMYFUNCTION("""COMPUTED_VALUE"""),"")</f>
        <v/>
      </c>
      <c r="B362" s="35" t="str">
        <f>IFERROR(__xludf.DUMMYFUNCTION("""COMPUTED_VALUE"""),"38758")</f>
        <v>38758</v>
      </c>
      <c r="C362" s="172">
        <f>IFERROR(__xludf.DUMMYFUNCTION("""COMPUTED_VALUE"""),4.4645000898E10)</f>
        <v>44645000898</v>
      </c>
      <c r="D362" s="188" t="str">
        <f>IFERROR(__xludf.DUMMYFUNCTION("""COMPUTED_VALUE"""),"0700.HK")</f>
        <v>0700.HK</v>
      </c>
      <c r="E362" s="173">
        <f>IFERROR(__xludf.DUMMYFUNCTION("""COMPUTED_VALUE"""),44645.0)</f>
        <v>44645</v>
      </c>
      <c r="F362" s="35" t="str">
        <f>IFERROR(__xludf.DUMMYFUNCTION("""COMPUTED_VALUE"""),"Stock")</f>
        <v>Stock</v>
      </c>
      <c r="G362" s="35" t="str">
        <f>IFERROR(__xludf.DUMMYFUNCTION("""COMPUTED_VALUE"""),"HKD")</f>
        <v>HKD</v>
      </c>
      <c r="H362" s="14">
        <f>IFERROR(__xludf.DUMMYFUNCTION("""COMPUTED_VALUE"""),0.0)</f>
        <v>0</v>
      </c>
      <c r="I362" s="174">
        <f>IFERROR(__xludf.DUMMYFUNCTION("""COMPUTED_VALUE"""),1.0)</f>
        <v>1</v>
      </c>
      <c r="J362" s="175">
        <f>IFERROR(__xludf.DUMMYFUNCTION("""COMPUTED_VALUE"""),0.0)</f>
        <v>0</v>
      </c>
      <c r="K362" s="35"/>
      <c r="L362" s="175">
        <f>IFERROR(__xludf.DUMMYFUNCTION("""COMPUTED_VALUE"""),373.6)</f>
        <v>373.6</v>
      </c>
      <c r="M362" s="182" t="str">
        <f>IFERROR(__xludf.DUMMYFUNCTION("""COMPUTED_VALUE"""),"Equity Key Stats")</f>
        <v>Equity Key Stats</v>
      </c>
      <c r="N362" s="35"/>
      <c r="O362" s="35"/>
      <c r="P362" s="176">
        <f>IFERROR(__xludf.DUMMYFUNCTION("""COMPUTED_VALUE"""),0.0)</f>
        <v>0</v>
      </c>
      <c r="Q362" s="177"/>
      <c r="R362" s="178">
        <f>IFERROR(__xludf.DUMMYFUNCTION("""COMPUTED_VALUE"""),373.6)</f>
        <v>373.6</v>
      </c>
      <c r="S362" s="176">
        <f>IFERROR(__xludf.DUMMYFUNCTION("""COMPUTED_VALUE"""),0.0)</f>
        <v>0</v>
      </c>
      <c r="T362" s="95">
        <f>IFERROR(__xludf.DUMMYFUNCTION("""COMPUTED_VALUE"""),4.0)</f>
        <v>4</v>
      </c>
      <c r="U362" s="95" t="str">
        <f>IFERROR(__xludf.DUMMYFUNCTION("""COMPUTED_VALUE"""),"")</f>
        <v/>
      </c>
      <c r="V362" s="179" t="str">
        <f>IFERROR(__xludf.DUMMYFUNCTION("""COMPUTED_VALUE"""),"")</f>
        <v/>
      </c>
      <c r="W362" s="55" t="str">
        <f>IFERROR(__xludf.DUMMYFUNCTION("""COMPUTED_VALUE"""),"")</f>
        <v/>
      </c>
      <c r="X362" s="181" t="str">
        <f>IFERROR(__xludf.DUMMYFUNCTION("""COMPUTED_VALUE"""),"")</f>
        <v/>
      </c>
      <c r="Y362" s="181" t="str">
        <f>IFERROR(__xludf.DUMMYFUNCTION("""COMPUTED_VALUE"""),"")</f>
        <v/>
      </c>
      <c r="Z362" s="186" t="str">
        <f>IFERROR(__xludf.DUMMYFUNCTION("""COMPUTED_VALUE"""),"")</f>
        <v/>
      </c>
    </row>
    <row r="363">
      <c r="A363" s="35" t="str">
        <f>IFERROR(__xludf.DUMMYFUNCTION("""COMPUTED_VALUE"""),"")</f>
        <v/>
      </c>
      <c r="B363" s="35" t="str">
        <f>IFERROR(__xludf.DUMMYFUNCTION("""COMPUTED_VALUE"""),"38758")</f>
        <v>38758</v>
      </c>
      <c r="C363" s="172">
        <f>IFERROR(__xludf.DUMMYFUNCTION("""COMPUTED_VALUE"""),4.4645000899E10)</f>
        <v>44645000899</v>
      </c>
      <c r="D363" s="188" t="str">
        <f>IFERROR(__xludf.DUMMYFUNCTION("""COMPUTED_VALUE"""),"0700.HK")</f>
        <v>0700.HK</v>
      </c>
      <c r="E363" s="173">
        <f>IFERROR(__xludf.DUMMYFUNCTION("""COMPUTED_VALUE"""),44645.0)</f>
        <v>44645</v>
      </c>
      <c r="F363" s="35" t="str">
        <f>IFERROR(__xludf.DUMMYFUNCTION("""COMPUTED_VALUE"""),"Stock")</f>
        <v>Stock</v>
      </c>
      <c r="G363" s="35" t="str">
        <f>IFERROR(__xludf.DUMMYFUNCTION("""COMPUTED_VALUE"""),"HKD")</f>
        <v>HKD</v>
      </c>
      <c r="H363" s="14">
        <f>IFERROR(__xludf.DUMMYFUNCTION("""COMPUTED_VALUE"""),-50.0)</f>
        <v>-50</v>
      </c>
      <c r="I363" s="174">
        <f>IFERROR(__xludf.DUMMYFUNCTION("""COMPUTED_VALUE"""),1.0)</f>
        <v>1</v>
      </c>
      <c r="J363" s="175">
        <f>IFERROR(__xludf.DUMMYFUNCTION("""COMPUTED_VALUE"""),356.4)</f>
        <v>356.4</v>
      </c>
      <c r="K363" s="35"/>
      <c r="L363" s="175">
        <f>IFERROR(__xludf.DUMMYFUNCTION("""COMPUTED_VALUE"""),373.6)</f>
        <v>373.6</v>
      </c>
      <c r="M363" s="187" t="str">
        <f>IFERROR(__xludf.DUMMYFUNCTION("""COMPUTED_VALUE"""),"Equity Key Stats")</f>
        <v>Equity Key Stats</v>
      </c>
      <c r="N363" s="35"/>
      <c r="O363" s="35"/>
      <c r="P363" s="176">
        <f>IFERROR(__xludf.DUMMYFUNCTION("""COMPUTED_VALUE"""),17820.0)</f>
        <v>17820</v>
      </c>
      <c r="Q363" s="177"/>
      <c r="R363" s="178">
        <f>IFERROR(__xludf.DUMMYFUNCTION("""COMPUTED_VALUE"""),373.6)</f>
        <v>373.6</v>
      </c>
      <c r="S363" s="151">
        <f>IFERROR(__xludf.DUMMYFUNCTION("""COMPUTED_VALUE"""),-18680.0)</f>
        <v>-18680</v>
      </c>
      <c r="T363" s="95">
        <f>IFERROR(__xludf.DUMMYFUNCTION("""COMPUTED_VALUE"""),4.0)</f>
        <v>4</v>
      </c>
      <c r="U363" s="95">
        <f>IFERROR(__xludf.DUMMYFUNCTION("""COMPUTED_VALUE"""),1.0)</f>
        <v>1</v>
      </c>
      <c r="V363" s="179">
        <f>IFERROR(__xludf.DUMMYFUNCTION("""COMPUTED_VALUE"""),-572.0)</f>
        <v>-572</v>
      </c>
      <c r="W363" s="55" t="str">
        <f>IFERROR(__xludf.DUMMYFUNCTION("""COMPUTED_VALUE"""),"")</f>
        <v/>
      </c>
      <c r="X363" s="181" t="str">
        <f>IFERROR(__xludf.DUMMYFUNCTION("""COMPUTED_VALUE"""),"")</f>
        <v/>
      </c>
      <c r="Y363" s="181" t="str">
        <f>IFERROR(__xludf.DUMMYFUNCTION("""COMPUTED_VALUE"""),"")</f>
        <v/>
      </c>
      <c r="Z363" s="186" t="str">
        <f>IFERROR(__xludf.DUMMYFUNCTION("""COMPUTED_VALUE"""),"")</f>
        <v/>
      </c>
    </row>
    <row r="364">
      <c r="A364" s="35" t="str">
        <f>IFERROR(__xludf.DUMMYFUNCTION("""COMPUTED_VALUE"""),"")</f>
        <v/>
      </c>
      <c r="B364" s="35" t="str">
        <f>IFERROR(__xludf.DUMMYFUNCTION("""COMPUTED_VALUE"""),"38758")</f>
        <v>38758</v>
      </c>
      <c r="C364" s="172">
        <f>IFERROR(__xludf.DUMMYFUNCTION("""COMPUTED_VALUE"""),4.4648000953E10)</f>
        <v>44648000953</v>
      </c>
      <c r="D364" s="180" t="str">
        <f>IFERROR(__xludf.DUMMYFUNCTION("""COMPUTED_VALUE"""),"1M")</f>
        <v>1M</v>
      </c>
      <c r="E364" s="173">
        <f>IFERROR(__xludf.DUMMYFUNCTION("""COMPUTED_VALUE"""),44648.0)</f>
        <v>44648</v>
      </c>
      <c r="F364" s="35" t="str">
        <f>IFERROR(__xludf.DUMMYFUNCTION("""COMPUTED_VALUE"""),"Time Deposit")</f>
        <v>Time Deposit</v>
      </c>
      <c r="G364" s="35" t="str">
        <f>IFERROR(__xludf.DUMMYFUNCTION("""COMPUTED_VALUE"""),"HKD")</f>
        <v>HKD</v>
      </c>
      <c r="H364" s="14">
        <f>IFERROR(__xludf.DUMMYFUNCTION("""COMPUTED_VALUE"""),-15000.0)</f>
        <v>-15000</v>
      </c>
      <c r="I364" s="174">
        <f>IFERROR(__xludf.DUMMYFUNCTION("""COMPUTED_VALUE"""),1.0)</f>
        <v>1</v>
      </c>
      <c r="J364" s="95">
        <f>IFERROR(__xludf.DUMMYFUNCTION("""COMPUTED_VALUE"""),1.0)</f>
        <v>1</v>
      </c>
      <c r="K364" s="35"/>
      <c r="L364" s="175">
        <f>IFERROR(__xludf.DUMMYFUNCTION("""COMPUTED_VALUE"""),1.0)</f>
        <v>1</v>
      </c>
      <c r="M364" s="3" t="str">
        <f>IFERROR(__xludf.DUMMYFUNCTION("""COMPUTED_VALUE"""),"")</f>
        <v/>
      </c>
      <c r="N364" s="35"/>
      <c r="O364" s="35"/>
      <c r="P364" s="176">
        <f>IFERROR(__xludf.DUMMYFUNCTION("""COMPUTED_VALUE"""),15000.0)</f>
        <v>15000</v>
      </c>
      <c r="Q364" s="177"/>
      <c r="R364" s="178">
        <f>IFERROR(__xludf.DUMMYFUNCTION("""COMPUTED_VALUE"""),1.0)</f>
        <v>1</v>
      </c>
      <c r="S364" s="151">
        <f>IFERROR(__xludf.DUMMYFUNCTION("""COMPUTED_VALUE"""),-15000.0)</f>
        <v>-15000</v>
      </c>
      <c r="T364" s="95">
        <f>IFERROR(__xludf.DUMMYFUNCTION("""COMPUTED_VALUE"""),3.0)</f>
        <v>3</v>
      </c>
      <c r="U364" s="95" t="str">
        <f>IFERROR(__xludf.DUMMYFUNCTION("""COMPUTED_VALUE"""),"")</f>
        <v/>
      </c>
      <c r="V364" s="179" t="str">
        <f>IFERROR(__xludf.DUMMYFUNCTION("""COMPUTED_VALUE"""),"")</f>
        <v/>
      </c>
      <c r="W364" s="171" t="str">
        <f>IFERROR(__xludf.DUMMYFUNCTION("""COMPUTED_VALUE"""),"")</f>
        <v/>
      </c>
      <c r="X364" s="14" t="str">
        <f>IFERROR(__xludf.DUMMYFUNCTION("""COMPUTED_VALUE"""),"")</f>
        <v/>
      </c>
      <c r="Y364" s="14" t="str">
        <f>IFERROR(__xludf.DUMMYFUNCTION("""COMPUTED_VALUE"""),"")</f>
        <v/>
      </c>
      <c r="Z364" s="11" t="str">
        <f>IFERROR(__xludf.DUMMYFUNCTION("""COMPUTED_VALUE"""),"")</f>
        <v/>
      </c>
    </row>
    <row r="365">
      <c r="A365" s="35" t="str">
        <f>IFERROR(__xludf.DUMMYFUNCTION("""COMPUTED_VALUE"""),"")</f>
        <v/>
      </c>
      <c r="B365" s="35" t="str">
        <f>IFERROR(__xludf.DUMMYFUNCTION("""COMPUTED_VALUE"""),"38758")</f>
        <v>38758</v>
      </c>
      <c r="C365" s="172">
        <f>IFERROR(__xludf.DUMMYFUNCTION("""COMPUTED_VALUE"""),4.4649000979E10)</f>
        <v>44649000979</v>
      </c>
      <c r="D365" s="188" t="str">
        <f>IFERROR(__xludf.DUMMYFUNCTION("""COMPUTED_VALUE"""),"600519.SS")</f>
        <v>600519.SS</v>
      </c>
      <c r="E365" s="173">
        <f>IFERROR(__xludf.DUMMYFUNCTION("""COMPUTED_VALUE"""),44649.0)</f>
        <v>44649</v>
      </c>
      <c r="F365" s="35" t="str">
        <f>IFERROR(__xludf.DUMMYFUNCTION("""COMPUTED_VALUE"""),"Stock")</f>
        <v>Stock</v>
      </c>
      <c r="G365" s="35" t="str">
        <f>IFERROR(__xludf.DUMMYFUNCTION("""COMPUTED_VALUE"""),"CNY")</f>
        <v>CNY</v>
      </c>
      <c r="H365" s="181">
        <f>IFERROR(__xludf.DUMMYFUNCTION("""COMPUTED_VALUE"""),-25.0)</f>
        <v>-25</v>
      </c>
      <c r="I365" s="174">
        <f>IFERROR(__xludf.DUMMYFUNCTION("""COMPUTED_VALUE"""),1.229779)</f>
        <v>1.229779</v>
      </c>
      <c r="J365" s="175">
        <f>IFERROR(__xludf.DUMMYFUNCTION("""COMPUTED_VALUE"""),1660.8)</f>
        <v>1660.8</v>
      </c>
      <c r="K365" s="35"/>
      <c r="L365" s="175">
        <f>IFERROR(__xludf.DUMMYFUNCTION("""COMPUTED_VALUE"""),1769.0)</f>
        <v>1769</v>
      </c>
      <c r="M365" s="182" t="str">
        <f>IFERROR(__xludf.DUMMYFUNCTION("""COMPUTED_VALUE"""),"Equity Key Stats")</f>
        <v>Equity Key Stats</v>
      </c>
      <c r="N365" s="35"/>
      <c r="O365" s="35"/>
      <c r="P365" s="184">
        <f>IFERROR(__xludf.DUMMYFUNCTION("""COMPUTED_VALUE"""),51060.42408)</f>
        <v>51060.42408</v>
      </c>
      <c r="Q365" s="177"/>
      <c r="R365" s="178">
        <f>IFERROR(__xludf.DUMMYFUNCTION("""COMPUTED_VALUE"""),1769.0)</f>
        <v>1769</v>
      </c>
      <c r="S365" s="176">
        <f>IFERROR(__xludf.DUMMYFUNCTION("""COMPUTED_VALUE"""),-54386.97627499999)</f>
        <v>-54386.97628</v>
      </c>
      <c r="T365" s="95">
        <f>IFERROR(__xludf.DUMMYFUNCTION("""COMPUTED_VALUE"""),2.0)</f>
        <v>2</v>
      </c>
      <c r="U365" s="95">
        <f>IFERROR(__xludf.DUMMYFUNCTION("""COMPUTED_VALUE"""),1.0)</f>
        <v>1</v>
      </c>
      <c r="V365" s="185">
        <f>IFERROR(__xludf.DUMMYFUNCTION("""COMPUTED_VALUE"""),-4691.088514999996)</f>
        <v>-4691.088515</v>
      </c>
      <c r="W365" s="171" t="str">
        <f>IFERROR(__xludf.DUMMYFUNCTION("""COMPUTED_VALUE"""),"")</f>
        <v/>
      </c>
      <c r="X365" s="14" t="str">
        <f>IFERROR(__xludf.DUMMYFUNCTION("""COMPUTED_VALUE"""),"")</f>
        <v/>
      </c>
      <c r="Y365" s="14" t="str">
        <f>IFERROR(__xludf.DUMMYFUNCTION("""COMPUTED_VALUE"""),"")</f>
        <v/>
      </c>
      <c r="Z365" s="11" t="str">
        <f>IFERROR(__xludf.DUMMYFUNCTION("""COMPUTED_VALUE"""),"")</f>
        <v/>
      </c>
    </row>
    <row r="366">
      <c r="A366" s="35" t="str">
        <f>IFERROR(__xludf.DUMMYFUNCTION("""COMPUTED_VALUE"""),"")</f>
        <v/>
      </c>
      <c r="B366" s="35" t="str">
        <f>IFERROR(__xludf.DUMMYFUNCTION("""COMPUTED_VALUE"""),"38758")</f>
        <v>38758</v>
      </c>
      <c r="C366" s="172">
        <f>IFERROR(__xludf.DUMMYFUNCTION("""COMPUTED_VALUE"""),4.4653001103E10)</f>
        <v>44653001103</v>
      </c>
      <c r="D366" s="180" t="str">
        <f>IFERROR(__xludf.DUMMYFUNCTION("""COMPUTED_VALUE"""),"3M")</f>
        <v>3M</v>
      </c>
      <c r="E366" s="173">
        <f>IFERROR(__xludf.DUMMYFUNCTION("""COMPUTED_VALUE"""),44653.0)</f>
        <v>44653</v>
      </c>
      <c r="F366" s="35" t="str">
        <f>IFERROR(__xludf.DUMMYFUNCTION("""COMPUTED_VALUE"""),"Time Deposit")</f>
        <v>Time Deposit</v>
      </c>
      <c r="G366" s="35" t="str">
        <f>IFERROR(__xludf.DUMMYFUNCTION("""COMPUTED_VALUE"""),"HKD")</f>
        <v>HKD</v>
      </c>
      <c r="H366" s="181">
        <f>IFERROR(__xludf.DUMMYFUNCTION("""COMPUTED_VALUE"""),-20000.0)</f>
        <v>-20000</v>
      </c>
      <c r="I366" s="174">
        <f>IFERROR(__xludf.DUMMYFUNCTION("""COMPUTED_VALUE"""),1.0)</f>
        <v>1</v>
      </c>
      <c r="J366" s="175">
        <f>IFERROR(__xludf.DUMMYFUNCTION("""COMPUTED_VALUE"""),1.0)</f>
        <v>1</v>
      </c>
      <c r="K366" s="35"/>
      <c r="L366" s="175">
        <f>IFERROR(__xludf.DUMMYFUNCTION("""COMPUTED_VALUE"""),1.0)</f>
        <v>1</v>
      </c>
      <c r="M366" s="182" t="str">
        <f>IFERROR(__xludf.DUMMYFUNCTION("""COMPUTED_VALUE"""),"")</f>
        <v/>
      </c>
      <c r="N366" s="35"/>
      <c r="O366" s="35"/>
      <c r="P366" s="184">
        <f>IFERROR(__xludf.DUMMYFUNCTION("""COMPUTED_VALUE"""),20000.0)</f>
        <v>20000</v>
      </c>
      <c r="Q366" s="177"/>
      <c r="R366" s="178">
        <f>IFERROR(__xludf.DUMMYFUNCTION("""COMPUTED_VALUE"""),1.0)</f>
        <v>1</v>
      </c>
      <c r="S366" s="176">
        <f>IFERROR(__xludf.DUMMYFUNCTION("""COMPUTED_VALUE"""),-20000.0)</f>
        <v>-20000</v>
      </c>
      <c r="T366" s="95">
        <f>IFERROR(__xludf.DUMMYFUNCTION("""COMPUTED_VALUE"""),1.0)</f>
        <v>1</v>
      </c>
      <c r="U366" s="95">
        <f>IFERROR(__xludf.DUMMYFUNCTION("""COMPUTED_VALUE"""),1.0)</f>
        <v>1</v>
      </c>
      <c r="V366" s="185">
        <f>IFERROR(__xludf.DUMMYFUNCTION("""COMPUTED_VALUE"""),0.0)</f>
        <v>0</v>
      </c>
      <c r="W366" s="171" t="str">
        <f>IFERROR(__xludf.DUMMYFUNCTION("""COMPUTED_VALUE"""),"")</f>
        <v/>
      </c>
      <c r="X366" s="14" t="str">
        <f>IFERROR(__xludf.DUMMYFUNCTION("""COMPUTED_VALUE"""),"")</f>
        <v/>
      </c>
      <c r="Y366" s="14" t="str">
        <f>IFERROR(__xludf.DUMMYFUNCTION("""COMPUTED_VALUE"""),"")</f>
        <v/>
      </c>
      <c r="Z366" s="11" t="str">
        <f>IFERROR(__xludf.DUMMYFUNCTION("""COMPUTED_VALUE"""),"")</f>
        <v/>
      </c>
    </row>
    <row r="367">
      <c r="A367" s="35" t="str">
        <f>IFERROR(__xludf.DUMMYFUNCTION("""COMPUTED_VALUE"""),"38758")</f>
        <v>38758</v>
      </c>
      <c r="B367" s="35" t="str">
        <f>IFERROR(__xludf.DUMMYFUNCTION("""COMPUTED_VALUE"""),"38758")</f>
        <v>38758</v>
      </c>
      <c r="C367" s="172">
        <f>IFERROR(__xludf.DUMMYFUNCTION("""COMPUTED_VALUE"""),4.4664001447E10)</f>
        <v>44664001447</v>
      </c>
      <c r="D367" s="191" t="str">
        <f>IFERROR(__xludf.DUMMYFUNCTION("""COMPUTED_VALUE"""),"1M")</f>
        <v>1M</v>
      </c>
      <c r="E367" s="173">
        <f>IFERROR(__xludf.DUMMYFUNCTION("""COMPUTED_VALUE"""),44664.0)</f>
        <v>44664</v>
      </c>
      <c r="F367" s="35" t="str">
        <f>IFERROR(__xludf.DUMMYFUNCTION("""COMPUTED_VALUE"""),"Time Deposit")</f>
        <v>Time Deposit</v>
      </c>
      <c r="G367" s="35" t="str">
        <f>IFERROR(__xludf.DUMMYFUNCTION("""COMPUTED_VALUE"""),"HKD")</f>
        <v>HKD</v>
      </c>
      <c r="H367" s="181">
        <f>IFERROR(__xludf.DUMMYFUNCTION("""COMPUTED_VALUE"""),-20000.0)</f>
        <v>-20000</v>
      </c>
      <c r="I367" s="174">
        <f>IFERROR(__xludf.DUMMYFUNCTION("""COMPUTED_VALUE"""),1.0)</f>
        <v>1</v>
      </c>
      <c r="J367" s="175">
        <f>IFERROR(__xludf.DUMMYFUNCTION("""COMPUTED_VALUE"""),1.0)</f>
        <v>1</v>
      </c>
      <c r="K367" s="35"/>
      <c r="L367" s="175">
        <f>IFERROR(__xludf.DUMMYFUNCTION("""COMPUTED_VALUE"""),1.0)</f>
        <v>1</v>
      </c>
      <c r="M367" s="182" t="str">
        <f>IFERROR(__xludf.DUMMYFUNCTION("""COMPUTED_VALUE"""),"")</f>
        <v/>
      </c>
      <c r="N367" s="35"/>
      <c r="O367" s="35"/>
      <c r="P367" s="184">
        <f>IFERROR(__xludf.DUMMYFUNCTION("""COMPUTED_VALUE"""),20000.0)</f>
        <v>20000</v>
      </c>
      <c r="Q367" s="177"/>
      <c r="R367" s="178">
        <f>IFERROR(__xludf.DUMMYFUNCTION("""COMPUTED_VALUE"""),1.0)</f>
        <v>1</v>
      </c>
      <c r="S367" s="176">
        <f>IFERROR(__xludf.DUMMYFUNCTION("""COMPUTED_VALUE"""),-20000.0)</f>
        <v>-20000</v>
      </c>
      <c r="T367" s="95">
        <f>IFERROR(__xludf.DUMMYFUNCTION("""COMPUTED_VALUE"""),3.0)</f>
        <v>3</v>
      </c>
      <c r="U367" s="95">
        <f>IFERROR(__xludf.DUMMYFUNCTION("""COMPUTED_VALUE"""),1.0)</f>
        <v>1</v>
      </c>
      <c r="V367" s="185">
        <f>IFERROR(__xludf.DUMMYFUNCTION("""COMPUTED_VALUE"""),0.0)</f>
        <v>0</v>
      </c>
      <c r="W367" s="171">
        <f>IFERROR(__xludf.DUMMYFUNCTION("""COMPUTED_VALUE"""),494736.911485)</f>
        <v>494736.9115</v>
      </c>
      <c r="X367" s="14">
        <f>IFERROR(__xludf.DUMMYFUNCTION("""COMPUTED_VALUE"""),317104.31831999996)</f>
        <v>317104.3183</v>
      </c>
      <c r="Y367" s="14">
        <f>IFERROR(__xludf.DUMMYFUNCTION("""COMPUTED_VALUE"""),0.0)</f>
        <v>0</v>
      </c>
      <c r="Z367" s="11">
        <f>IFERROR(__xludf.DUMMYFUNCTION("""COMPUTED_VALUE"""),-0.010526177030000028)</f>
        <v>-0.01052617703</v>
      </c>
    </row>
    <row r="368">
      <c r="A368" s="35" t="str">
        <f>IFERROR(__xludf.DUMMYFUNCTION("""COMPUTED_VALUE"""),"")</f>
        <v/>
      </c>
      <c r="B368" s="35" t="str">
        <f>IFERROR(__xludf.DUMMYFUNCTION("""COMPUTED_VALUE"""),"39011")</f>
        <v>39011</v>
      </c>
      <c r="C368" s="172">
        <f>IFERROR(__xludf.DUMMYFUNCTION("""COMPUTED_VALUE"""),4.4597000072E10)</f>
        <v>44597000072</v>
      </c>
      <c r="D368" s="191" t="str">
        <f>IFERROR(__xludf.DUMMYFUNCTION("""COMPUTED_VALUE"""),"Cash")</f>
        <v>Cash</v>
      </c>
      <c r="E368" s="173">
        <f>IFERROR(__xludf.DUMMYFUNCTION("""COMPUTED_VALUE"""),44597.0)</f>
        <v>44597</v>
      </c>
      <c r="F368" s="35" t="str">
        <f>IFERROR(__xludf.DUMMYFUNCTION("""COMPUTED_VALUE"""),"Cash")</f>
        <v>Cash</v>
      </c>
      <c r="G368" s="35" t="str">
        <f>IFERROR(__xludf.DUMMYFUNCTION("""COMPUTED_VALUE"""),"HKD")</f>
        <v>HKD</v>
      </c>
      <c r="H368" s="181" t="str">
        <f>IFERROR(__xludf.DUMMYFUNCTION("""COMPUTED_VALUE"""),"")</f>
        <v/>
      </c>
      <c r="I368" s="174">
        <f>IFERROR(__xludf.DUMMYFUNCTION("""COMPUTED_VALUE"""),1.0)</f>
        <v>1</v>
      </c>
      <c r="J368" s="175">
        <f>IFERROR(__xludf.DUMMYFUNCTION("""COMPUTED_VALUE"""),1.0)</f>
        <v>1</v>
      </c>
      <c r="K368" s="35"/>
      <c r="L368" s="175">
        <f>IFERROR(__xludf.DUMMYFUNCTION("""COMPUTED_VALUE"""),1.0)</f>
        <v>1</v>
      </c>
      <c r="M368" s="182" t="str">
        <f>IFERROR(__xludf.DUMMYFUNCTION("""COMPUTED_VALUE"""),"")</f>
        <v/>
      </c>
      <c r="N368" s="35"/>
      <c r="O368" s="35"/>
      <c r="P368" s="184">
        <f>IFERROR(__xludf.DUMMYFUNCTION("""COMPUTED_VALUE"""),500000.0)</f>
        <v>500000</v>
      </c>
      <c r="Q368" s="177"/>
      <c r="R368" s="178">
        <f>IFERROR(__xludf.DUMMYFUNCTION("""COMPUTED_VALUE"""),1.0)</f>
        <v>1</v>
      </c>
      <c r="S368" s="176" t="str">
        <f>IFERROR(__xludf.DUMMYFUNCTION("""COMPUTED_VALUE"""),"")</f>
        <v/>
      </c>
      <c r="T368" s="95">
        <f>IFERROR(__xludf.DUMMYFUNCTION("""COMPUTED_VALUE"""),1.0)</f>
        <v>1</v>
      </c>
      <c r="U368" s="35">
        <f>IFERROR(__xludf.DUMMYFUNCTION("""COMPUTED_VALUE"""),1.0)</f>
        <v>1</v>
      </c>
      <c r="V368" s="170">
        <f>IFERROR(__xludf.DUMMYFUNCTION("""COMPUTED_VALUE"""),500000.0)</f>
        <v>500000</v>
      </c>
      <c r="W368" s="171" t="str">
        <f>IFERROR(__xludf.DUMMYFUNCTION("""COMPUTED_VALUE"""),"")</f>
        <v/>
      </c>
      <c r="X368" s="14" t="str">
        <f>IFERROR(__xludf.DUMMYFUNCTION("""COMPUTED_VALUE"""),"")</f>
        <v/>
      </c>
      <c r="Y368" s="14" t="str">
        <f>IFERROR(__xludf.DUMMYFUNCTION("""COMPUTED_VALUE"""),"")</f>
        <v/>
      </c>
      <c r="Z368" s="11" t="str">
        <f>IFERROR(__xludf.DUMMYFUNCTION("""COMPUTED_VALUE"""),"")</f>
        <v/>
      </c>
    </row>
    <row r="369">
      <c r="A369" s="35" t="str">
        <f>IFERROR(__xludf.DUMMYFUNCTION("""COMPUTED_VALUE"""),"")</f>
        <v/>
      </c>
      <c r="B369" s="35" t="str">
        <f>IFERROR(__xludf.DUMMYFUNCTION("""COMPUTED_VALUE"""),"39011")</f>
        <v>39011</v>
      </c>
      <c r="C369" s="172">
        <f>IFERROR(__xludf.DUMMYFUNCTION("""COMPUTED_VALUE"""),4.4660001312E10)</f>
        <v>44660001312</v>
      </c>
      <c r="D369" s="191" t="str">
        <f>IFERROR(__xludf.DUMMYFUNCTION("""COMPUTED_VALUE"""),"GM")</f>
        <v>GM</v>
      </c>
      <c r="E369" s="173">
        <f>IFERROR(__xludf.DUMMYFUNCTION("""COMPUTED_VALUE"""),44660.0)</f>
        <v>44660</v>
      </c>
      <c r="F369" s="35" t="str">
        <f>IFERROR(__xludf.DUMMYFUNCTION("""COMPUTED_VALUE"""),"Stock")</f>
        <v>Stock</v>
      </c>
      <c r="G369" s="35" t="str">
        <f>IFERROR(__xludf.DUMMYFUNCTION("""COMPUTED_VALUE"""),"USD")</f>
        <v>USD</v>
      </c>
      <c r="H369" s="181" t="str">
        <f>IFERROR(__xludf.DUMMYFUNCTION("""COMPUTED_VALUE"""),"")</f>
        <v/>
      </c>
      <c r="I369" s="174">
        <f>IFERROR(__xludf.DUMMYFUNCTION("""COMPUTED_VALUE"""),7.839265)</f>
        <v>7.839265</v>
      </c>
      <c r="J369" s="175">
        <f>IFERROR(__xludf.DUMMYFUNCTION("""COMPUTED_VALUE"""),40.33)</f>
        <v>40.33</v>
      </c>
      <c r="K369" s="35"/>
      <c r="L369" s="175">
        <f>IFERROR(__xludf.DUMMYFUNCTION("""COMPUTED_VALUE"""),40.22)</f>
        <v>40.22</v>
      </c>
      <c r="M369" s="182" t="str">
        <f>IFERROR(__xludf.DUMMYFUNCTION("""COMPUTED_VALUE"""),"Equity Key Stats")</f>
        <v>Equity Key Stats</v>
      </c>
      <c r="N369" s="35"/>
      <c r="O369" s="35"/>
      <c r="P369" s="184">
        <f>IFERROR(__xludf.DUMMYFUNCTION("""COMPUTED_VALUE"""),0.0)</f>
        <v>0</v>
      </c>
      <c r="Q369" s="177"/>
      <c r="R369" s="178">
        <f>IFERROR(__xludf.DUMMYFUNCTION("""COMPUTED_VALUE"""),40.22)</f>
        <v>40.22</v>
      </c>
      <c r="S369" s="176">
        <f>IFERROR(__xludf.DUMMYFUNCTION("""COMPUTED_VALUE"""),0.0)</f>
        <v>0</v>
      </c>
      <c r="T369" s="95">
        <f>IFERROR(__xludf.DUMMYFUNCTION("""COMPUTED_VALUE"""),1.0)</f>
        <v>1</v>
      </c>
      <c r="U369" s="35">
        <f>IFERROR(__xludf.DUMMYFUNCTION("""COMPUTED_VALUE"""),1.0)</f>
        <v>1</v>
      </c>
      <c r="V369" s="170">
        <f>IFERROR(__xludf.DUMMYFUNCTION("""COMPUTED_VALUE"""),0.0)</f>
        <v>0</v>
      </c>
      <c r="W369" s="171" t="str">
        <f>IFERROR(__xludf.DUMMYFUNCTION("""COMPUTED_VALUE"""),"")</f>
        <v/>
      </c>
      <c r="X369" s="14" t="str">
        <f>IFERROR(__xludf.DUMMYFUNCTION("""COMPUTED_VALUE"""),"")</f>
        <v/>
      </c>
      <c r="Y369" s="14" t="str">
        <f>IFERROR(__xludf.DUMMYFUNCTION("""COMPUTED_VALUE"""),"")</f>
        <v/>
      </c>
      <c r="Z369" s="11" t="str">
        <f>IFERROR(__xludf.DUMMYFUNCTION("""COMPUTED_VALUE"""),"")</f>
        <v/>
      </c>
    </row>
    <row r="370">
      <c r="A370" s="35" t="str">
        <f>IFERROR(__xludf.DUMMYFUNCTION("""COMPUTED_VALUE"""),"")</f>
        <v/>
      </c>
      <c r="B370" s="35" t="str">
        <f>IFERROR(__xludf.DUMMYFUNCTION("""COMPUTED_VALUE"""),"39011")</f>
        <v>39011</v>
      </c>
      <c r="C370" s="172">
        <f>IFERROR(__xludf.DUMMYFUNCTION("""COMPUTED_VALUE"""),4.4662001361E10)</f>
        <v>44662001361</v>
      </c>
      <c r="D370" s="191" t="str">
        <f>IFERROR(__xludf.DUMMYFUNCTION("""COMPUTED_VALUE"""),"YANG")</f>
        <v>YANG</v>
      </c>
      <c r="E370" s="173">
        <f>IFERROR(__xludf.DUMMYFUNCTION("""COMPUTED_VALUE"""),44662.0)</f>
        <v>44662</v>
      </c>
      <c r="F370" s="35" t="str">
        <f>IFERROR(__xludf.DUMMYFUNCTION("""COMPUTED_VALUE"""),"Stock")</f>
        <v>Stock</v>
      </c>
      <c r="G370" s="35" t="str">
        <f>IFERROR(__xludf.DUMMYFUNCTION("""COMPUTED_VALUE"""),"USD")</f>
        <v>USD</v>
      </c>
      <c r="H370" s="181">
        <f>IFERROR(__xludf.DUMMYFUNCTION("""COMPUTED_VALUE"""),2000.0)</f>
        <v>2000</v>
      </c>
      <c r="I370" s="174">
        <f>IFERROR(__xludf.DUMMYFUNCTION("""COMPUTED_VALUE"""),7.83795)</f>
        <v>7.83795</v>
      </c>
      <c r="J370" s="175">
        <f>IFERROR(__xludf.DUMMYFUNCTION("""COMPUTED_VALUE"""),16.57)</f>
        <v>16.57</v>
      </c>
      <c r="K370" s="35"/>
      <c r="L370" s="175">
        <f>IFERROR(__xludf.DUMMYFUNCTION("""COMPUTED_VALUE"""),15.81)</f>
        <v>15.81</v>
      </c>
      <c r="M370" s="182" t="str">
        <f>IFERROR(__xludf.DUMMYFUNCTION("""COMPUTED_VALUE"""),"Equity Key Stats")</f>
        <v>Equity Key Stats</v>
      </c>
      <c r="N370" s="35"/>
      <c r="O370" s="35"/>
      <c r="P370" s="184">
        <f>IFERROR(__xludf.DUMMYFUNCTION("""COMPUTED_VALUE"""),-259749.663)</f>
        <v>-259749.663</v>
      </c>
      <c r="Q370" s="177"/>
      <c r="R370" s="178">
        <f>IFERROR(__xludf.DUMMYFUNCTION("""COMPUTED_VALUE"""),15.81)</f>
        <v>15.81</v>
      </c>
      <c r="S370" s="176">
        <f>IFERROR(__xludf.DUMMYFUNCTION("""COMPUTED_VALUE"""),247835.979)</f>
        <v>247835.979</v>
      </c>
      <c r="T370" s="95">
        <f>IFERROR(__xludf.DUMMYFUNCTION("""COMPUTED_VALUE"""),2.0)</f>
        <v>2</v>
      </c>
      <c r="U370" s="35" t="str">
        <f>IFERROR(__xludf.DUMMYFUNCTION("""COMPUTED_VALUE"""),"")</f>
        <v/>
      </c>
      <c r="V370" s="170" t="str">
        <f>IFERROR(__xludf.DUMMYFUNCTION("""COMPUTED_VALUE"""),"")</f>
        <v/>
      </c>
      <c r="W370" s="171" t="str">
        <f>IFERROR(__xludf.DUMMYFUNCTION("""COMPUTED_VALUE"""),"")</f>
        <v/>
      </c>
      <c r="X370" s="14" t="str">
        <f>IFERROR(__xludf.DUMMYFUNCTION("""COMPUTED_VALUE"""),"")</f>
        <v/>
      </c>
      <c r="Y370" s="14" t="str">
        <f>IFERROR(__xludf.DUMMYFUNCTION("""COMPUTED_VALUE"""),"")</f>
        <v/>
      </c>
      <c r="Z370" s="11" t="str">
        <f>IFERROR(__xludf.DUMMYFUNCTION("""COMPUTED_VALUE"""),"")</f>
        <v/>
      </c>
    </row>
    <row r="371">
      <c r="A371" s="35" t="str">
        <f>IFERROR(__xludf.DUMMYFUNCTION("""COMPUTED_VALUE"""),"")</f>
        <v/>
      </c>
      <c r="B371" s="35" t="str">
        <f>IFERROR(__xludf.DUMMYFUNCTION("""COMPUTED_VALUE"""),"39011")</f>
        <v>39011</v>
      </c>
      <c r="C371" s="172">
        <f>IFERROR(__xludf.DUMMYFUNCTION("""COMPUTED_VALUE"""),4.4662001364E10)</f>
        <v>44662001364</v>
      </c>
      <c r="D371" s="191" t="str">
        <f>IFERROR(__xludf.DUMMYFUNCTION("""COMPUTED_VALUE"""),"YANG")</f>
        <v>YANG</v>
      </c>
      <c r="E371" s="173">
        <f>IFERROR(__xludf.DUMMYFUNCTION("""COMPUTED_VALUE"""),44662.0)</f>
        <v>44662</v>
      </c>
      <c r="F371" s="35" t="str">
        <f>IFERROR(__xludf.DUMMYFUNCTION("""COMPUTED_VALUE"""),"Stock")</f>
        <v>Stock</v>
      </c>
      <c r="G371" s="35" t="str">
        <f>IFERROR(__xludf.DUMMYFUNCTION("""COMPUTED_VALUE"""),"USD")</f>
        <v>USD</v>
      </c>
      <c r="H371" s="181">
        <f>IFERROR(__xludf.DUMMYFUNCTION("""COMPUTED_VALUE"""),0.0)</f>
        <v>0</v>
      </c>
      <c r="I371" s="174">
        <f>IFERROR(__xludf.DUMMYFUNCTION("""COMPUTED_VALUE"""),7.83795)</f>
        <v>7.83795</v>
      </c>
      <c r="J371" s="175">
        <f>IFERROR(__xludf.DUMMYFUNCTION("""COMPUTED_VALUE"""),0.0)</f>
        <v>0</v>
      </c>
      <c r="K371" s="35"/>
      <c r="L371" s="175">
        <f>IFERROR(__xludf.DUMMYFUNCTION("""COMPUTED_VALUE"""),15.81)</f>
        <v>15.81</v>
      </c>
      <c r="M371" s="182" t="str">
        <f>IFERROR(__xludf.DUMMYFUNCTION("""COMPUTED_VALUE"""),"Equity Key Stats")</f>
        <v>Equity Key Stats</v>
      </c>
      <c r="N371" s="35"/>
      <c r="O371" s="35"/>
      <c r="P371" s="184">
        <f>IFERROR(__xludf.DUMMYFUNCTION("""COMPUTED_VALUE"""),0.0)</f>
        <v>0</v>
      </c>
      <c r="Q371" s="177"/>
      <c r="R371" s="178">
        <f>IFERROR(__xludf.DUMMYFUNCTION("""COMPUTED_VALUE"""),15.81)</f>
        <v>15.81</v>
      </c>
      <c r="S371" s="176">
        <f>IFERROR(__xludf.DUMMYFUNCTION("""COMPUTED_VALUE"""),0.0)</f>
        <v>0</v>
      </c>
      <c r="T371" s="95">
        <f>IFERROR(__xludf.DUMMYFUNCTION("""COMPUTED_VALUE"""),2.0)</f>
        <v>2</v>
      </c>
      <c r="U371" s="35">
        <f>IFERROR(__xludf.DUMMYFUNCTION("""COMPUTED_VALUE"""),1.0)</f>
        <v>1</v>
      </c>
      <c r="V371" s="170">
        <f>IFERROR(__xludf.DUMMYFUNCTION("""COMPUTED_VALUE"""),-11913.684000000008)</f>
        <v>-11913.684</v>
      </c>
      <c r="W371" s="171" t="str">
        <f>IFERROR(__xludf.DUMMYFUNCTION("""COMPUTED_VALUE"""),"")</f>
        <v/>
      </c>
      <c r="X371" s="14" t="str">
        <f>IFERROR(__xludf.DUMMYFUNCTION("""COMPUTED_VALUE"""),"")</f>
        <v/>
      </c>
      <c r="Y371" s="14" t="str">
        <f>IFERROR(__xludf.DUMMYFUNCTION("""COMPUTED_VALUE"""),"")</f>
        <v/>
      </c>
      <c r="Z371" s="11" t="str">
        <f>IFERROR(__xludf.DUMMYFUNCTION("""COMPUTED_VALUE"""),"")</f>
        <v/>
      </c>
    </row>
    <row r="372">
      <c r="A372" s="35" t="str">
        <f>IFERROR(__xludf.DUMMYFUNCTION("""COMPUTED_VALUE"""),"")</f>
        <v/>
      </c>
      <c r="B372" s="35" t="str">
        <f>IFERROR(__xludf.DUMMYFUNCTION("""COMPUTED_VALUE"""),"39011")</f>
        <v>39011</v>
      </c>
      <c r="C372" s="172">
        <f>IFERROR(__xludf.DUMMYFUNCTION("""COMPUTED_VALUE"""),4.4662001365E10)</f>
        <v>44662001365</v>
      </c>
      <c r="D372" s="191" t="str">
        <f>IFERROR(__xludf.DUMMYFUNCTION("""COMPUTED_VALUE"""),"DUK")</f>
        <v>DUK</v>
      </c>
      <c r="E372" s="173">
        <f>IFERROR(__xludf.DUMMYFUNCTION("""COMPUTED_VALUE"""),44662.0)</f>
        <v>44662</v>
      </c>
      <c r="F372" s="35" t="str">
        <f>IFERROR(__xludf.DUMMYFUNCTION("""COMPUTED_VALUE"""),"Stock")</f>
        <v>Stock</v>
      </c>
      <c r="G372" s="35" t="str">
        <f>IFERROR(__xludf.DUMMYFUNCTION("""COMPUTED_VALUE"""),"USD")</f>
        <v>USD</v>
      </c>
      <c r="H372" s="181" t="str">
        <f>IFERROR(__xludf.DUMMYFUNCTION("""COMPUTED_VALUE"""),"")</f>
        <v/>
      </c>
      <c r="I372" s="174">
        <f>IFERROR(__xludf.DUMMYFUNCTION("""COMPUTED_VALUE"""),7.83795)</f>
        <v>7.83795</v>
      </c>
      <c r="J372" s="175">
        <f>IFERROR(__xludf.DUMMYFUNCTION("""COMPUTED_VALUE"""),114.23)</f>
        <v>114.23</v>
      </c>
      <c r="K372" s="35"/>
      <c r="L372" s="175">
        <f>IFERROR(__xludf.DUMMYFUNCTION("""COMPUTED_VALUE"""),115.13)</f>
        <v>115.13</v>
      </c>
      <c r="M372" s="182" t="str">
        <f>IFERROR(__xludf.DUMMYFUNCTION("""COMPUTED_VALUE"""),"Equity Key Stats")</f>
        <v>Equity Key Stats</v>
      </c>
      <c r="N372" s="35"/>
      <c r="O372" s="35"/>
      <c r="P372" s="184">
        <f>IFERROR(__xludf.DUMMYFUNCTION("""COMPUTED_VALUE"""),0.0)</f>
        <v>0</v>
      </c>
      <c r="Q372" s="177"/>
      <c r="R372" s="178">
        <f>IFERROR(__xludf.DUMMYFUNCTION("""COMPUTED_VALUE"""),115.13)</f>
        <v>115.13</v>
      </c>
      <c r="S372" s="176">
        <f>IFERROR(__xludf.DUMMYFUNCTION("""COMPUTED_VALUE"""),0.0)</f>
        <v>0</v>
      </c>
      <c r="T372" s="95">
        <f>IFERROR(__xludf.DUMMYFUNCTION("""COMPUTED_VALUE"""),1.0)</f>
        <v>1</v>
      </c>
      <c r="U372" s="35">
        <f>IFERROR(__xludf.DUMMYFUNCTION("""COMPUTED_VALUE"""),1.0)</f>
        <v>1</v>
      </c>
      <c r="V372" s="170">
        <f>IFERROR(__xludf.DUMMYFUNCTION("""COMPUTED_VALUE"""),0.0)</f>
        <v>0</v>
      </c>
      <c r="W372" s="171" t="str">
        <f>IFERROR(__xludf.DUMMYFUNCTION("""COMPUTED_VALUE"""),"")</f>
        <v/>
      </c>
      <c r="X372" s="14" t="str">
        <f>IFERROR(__xludf.DUMMYFUNCTION("""COMPUTED_VALUE"""),"")</f>
        <v/>
      </c>
      <c r="Y372" s="14" t="str">
        <f>IFERROR(__xludf.DUMMYFUNCTION("""COMPUTED_VALUE"""),"")</f>
        <v/>
      </c>
      <c r="Z372" s="11" t="str">
        <f>IFERROR(__xludf.DUMMYFUNCTION("""COMPUTED_VALUE"""),"")</f>
        <v/>
      </c>
    </row>
    <row r="373">
      <c r="A373" s="35" t="str">
        <f>IFERROR(__xludf.DUMMYFUNCTION("""COMPUTED_VALUE"""),"")</f>
        <v/>
      </c>
      <c r="B373" s="35" t="str">
        <f>IFERROR(__xludf.DUMMYFUNCTION("""COMPUTED_VALUE"""),"39011")</f>
        <v>39011</v>
      </c>
      <c r="C373" s="172">
        <f>IFERROR(__xludf.DUMMYFUNCTION("""COMPUTED_VALUE"""),4.4662001379E10)</f>
        <v>44662001379</v>
      </c>
      <c r="D373" s="191" t="str">
        <f>IFERROR(__xludf.DUMMYFUNCTION("""COMPUTED_VALUE"""),"XPEV")</f>
        <v>XPEV</v>
      </c>
      <c r="E373" s="173">
        <f>IFERROR(__xludf.DUMMYFUNCTION("""COMPUTED_VALUE"""),44662.0)</f>
        <v>44662</v>
      </c>
      <c r="F373" s="35" t="str">
        <f>IFERROR(__xludf.DUMMYFUNCTION("""COMPUTED_VALUE"""),"Stock")</f>
        <v>Stock</v>
      </c>
      <c r="G373" s="35" t="str">
        <f>IFERROR(__xludf.DUMMYFUNCTION("""COMPUTED_VALUE"""),"USD")</f>
        <v>USD</v>
      </c>
      <c r="H373" s="181">
        <f>IFERROR(__xludf.DUMMYFUNCTION("""COMPUTED_VALUE"""),0.0)</f>
        <v>0</v>
      </c>
      <c r="I373" s="174">
        <f>IFERROR(__xludf.DUMMYFUNCTION("""COMPUTED_VALUE"""),7.83795)</f>
        <v>7.83795</v>
      </c>
      <c r="J373" s="175">
        <f>IFERROR(__xludf.DUMMYFUNCTION("""COMPUTED_VALUE"""),0.0)</f>
        <v>0</v>
      </c>
      <c r="K373" s="35"/>
      <c r="L373" s="175">
        <f>IFERROR(__xludf.DUMMYFUNCTION("""COMPUTED_VALUE"""),27.65)</f>
        <v>27.65</v>
      </c>
      <c r="M373" s="182" t="str">
        <f>IFERROR(__xludf.DUMMYFUNCTION("""COMPUTED_VALUE"""),"Equity Key Stats")</f>
        <v>Equity Key Stats</v>
      </c>
      <c r="N373" s="35"/>
      <c r="O373" s="35"/>
      <c r="P373" s="184">
        <f>IFERROR(__xludf.DUMMYFUNCTION("""COMPUTED_VALUE"""),0.0)</f>
        <v>0</v>
      </c>
      <c r="Q373" s="177"/>
      <c r="R373" s="178">
        <f>IFERROR(__xludf.DUMMYFUNCTION("""COMPUTED_VALUE"""),27.65)</f>
        <v>27.65</v>
      </c>
      <c r="S373" s="176">
        <f>IFERROR(__xludf.DUMMYFUNCTION("""COMPUTED_VALUE"""),0.0)</f>
        <v>0</v>
      </c>
      <c r="T373" s="95">
        <f>IFERROR(__xludf.DUMMYFUNCTION("""COMPUTED_VALUE"""),1.0)</f>
        <v>1</v>
      </c>
      <c r="U373" s="35">
        <f>IFERROR(__xludf.DUMMYFUNCTION("""COMPUTED_VALUE"""),1.0)</f>
        <v>1</v>
      </c>
      <c r="V373" s="170">
        <f>IFERROR(__xludf.DUMMYFUNCTION("""COMPUTED_VALUE"""),0.0)</f>
        <v>0</v>
      </c>
      <c r="W373" s="171" t="str">
        <f>IFERROR(__xludf.DUMMYFUNCTION("""COMPUTED_VALUE"""),"")</f>
        <v/>
      </c>
      <c r="X373" s="14" t="str">
        <f>IFERROR(__xludf.DUMMYFUNCTION("""COMPUTED_VALUE"""),"")</f>
        <v/>
      </c>
      <c r="Y373" s="14" t="str">
        <f>IFERROR(__xludf.DUMMYFUNCTION("""COMPUTED_VALUE"""),"")</f>
        <v/>
      </c>
      <c r="Z373" s="11" t="str">
        <f>IFERROR(__xludf.DUMMYFUNCTION("""COMPUTED_VALUE"""),"")</f>
        <v/>
      </c>
    </row>
    <row r="374">
      <c r="A374" s="35" t="str">
        <f>IFERROR(__xludf.DUMMYFUNCTION("""COMPUTED_VALUE"""),"39011")</f>
        <v>39011</v>
      </c>
      <c r="B374" s="35" t="str">
        <f>IFERROR(__xludf.DUMMYFUNCTION("""COMPUTED_VALUE"""),"39011")</f>
        <v>39011</v>
      </c>
      <c r="C374" s="172">
        <f>IFERROR(__xludf.DUMMYFUNCTION("""COMPUTED_VALUE"""),4.466300138E10)</f>
        <v>44663001380</v>
      </c>
      <c r="D374" s="191" t="str">
        <f>IFERROR(__xludf.DUMMYFUNCTION("""COMPUTED_VALUE"""),"HK0000061041")</f>
        <v>HK0000061041</v>
      </c>
      <c r="E374" s="173">
        <f>IFERROR(__xludf.DUMMYFUNCTION("""COMPUTED_VALUE"""),44663.0)</f>
        <v>44663</v>
      </c>
      <c r="F374" s="35" t="str">
        <f>IFERROR(__xludf.DUMMYFUNCTION("""COMPUTED_VALUE"""),"Bond")</f>
        <v>Bond</v>
      </c>
      <c r="G374" s="35" t="str">
        <f>IFERROR(__xludf.DUMMYFUNCTION("""COMPUTED_VALUE"""),"HKD")</f>
        <v>HKD</v>
      </c>
      <c r="H374" s="181" t="str">
        <f>IFERROR(__xludf.DUMMYFUNCTION("""COMPUTED_VALUE"""),"")</f>
        <v/>
      </c>
      <c r="I374" s="174">
        <f>IFERROR(__xludf.DUMMYFUNCTION("""COMPUTED_VALUE"""),1.0)</f>
        <v>1</v>
      </c>
      <c r="J374" s="175">
        <f>IFERROR(__xludf.DUMMYFUNCTION("""COMPUTED_VALUE"""),101.976)</f>
        <v>101.976</v>
      </c>
      <c r="K374" s="35"/>
      <c r="L374" s="175">
        <f>IFERROR(__xludf.DUMMYFUNCTION("""COMPUTED_VALUE"""),102.305)</f>
        <v>102.305</v>
      </c>
      <c r="M374" s="182" t="str">
        <f>IFERROR(__xludf.DUMMYFUNCTION("""COMPUTED_VALUE"""),"Bond Fact Sheet")</f>
        <v>Bond Fact Sheet</v>
      </c>
      <c r="N374" s="35"/>
      <c r="O374" s="35"/>
      <c r="P374" s="184">
        <f>IFERROR(__xludf.DUMMYFUNCTION("""COMPUTED_VALUE"""),0.0)</f>
        <v>0</v>
      </c>
      <c r="Q374" s="177"/>
      <c r="R374" s="178">
        <f>IFERROR(__xludf.DUMMYFUNCTION("""COMPUTED_VALUE"""),102.177)</f>
        <v>102.177</v>
      </c>
      <c r="S374" s="176">
        <f>IFERROR(__xludf.DUMMYFUNCTION("""COMPUTED_VALUE"""),0.0)</f>
        <v>0</v>
      </c>
      <c r="T374" s="95">
        <f>IFERROR(__xludf.DUMMYFUNCTION("""COMPUTED_VALUE"""),1.0)</f>
        <v>1</v>
      </c>
      <c r="U374" s="35">
        <f>IFERROR(__xludf.DUMMYFUNCTION("""COMPUTED_VALUE"""),1.0)</f>
        <v>1</v>
      </c>
      <c r="V374" s="170">
        <f>IFERROR(__xludf.DUMMYFUNCTION("""COMPUTED_VALUE"""),0.0)</f>
        <v>0</v>
      </c>
      <c r="W374" s="171">
        <f>IFERROR(__xludf.DUMMYFUNCTION("""COMPUTED_VALUE"""),488086.316)</f>
        <v>488086.316</v>
      </c>
      <c r="X374" s="14">
        <f>IFERROR(__xludf.DUMMYFUNCTION("""COMPUTED_VALUE"""),240250.337)</f>
        <v>240250.337</v>
      </c>
      <c r="Y374" s="14">
        <f>IFERROR(__xludf.DUMMYFUNCTION("""COMPUTED_VALUE"""),0.0)</f>
        <v>0</v>
      </c>
      <c r="Z374" s="11">
        <f>IFERROR(__xludf.DUMMYFUNCTION("""COMPUTED_VALUE"""),-0.02382736800000007)</f>
        <v>-0.023827368</v>
      </c>
    </row>
    <row r="375">
      <c r="A375" s="35" t="str">
        <f>IFERROR(__xludf.DUMMYFUNCTION("""COMPUTED_VALUE"""),"")</f>
        <v/>
      </c>
      <c r="B375" s="35" t="str">
        <f>IFERROR(__xludf.DUMMYFUNCTION("""COMPUTED_VALUE"""),"39296")</f>
        <v>39296</v>
      </c>
      <c r="C375" s="172">
        <f>IFERROR(__xludf.DUMMYFUNCTION("""COMPUTED_VALUE"""),4.4597000117E10)</f>
        <v>44597000117</v>
      </c>
      <c r="D375" s="191" t="str">
        <f>IFERROR(__xludf.DUMMYFUNCTION("""COMPUTED_VALUE"""),"Cash")</f>
        <v>Cash</v>
      </c>
      <c r="E375" s="173">
        <f>IFERROR(__xludf.DUMMYFUNCTION("""COMPUTED_VALUE"""),44597.0)</f>
        <v>44597</v>
      </c>
      <c r="F375" s="35" t="str">
        <f>IFERROR(__xludf.DUMMYFUNCTION("""COMPUTED_VALUE"""),"Cash")</f>
        <v>Cash</v>
      </c>
      <c r="G375" s="35" t="str">
        <f>IFERROR(__xludf.DUMMYFUNCTION("""COMPUTED_VALUE"""),"HKD")</f>
        <v>HKD</v>
      </c>
      <c r="H375" s="183" t="str">
        <f>IFERROR(__xludf.DUMMYFUNCTION("""COMPUTED_VALUE"""),"")</f>
        <v/>
      </c>
      <c r="I375" s="174">
        <f>IFERROR(__xludf.DUMMYFUNCTION("""COMPUTED_VALUE"""),1.0)</f>
        <v>1</v>
      </c>
      <c r="J375" s="175">
        <f>IFERROR(__xludf.DUMMYFUNCTION("""COMPUTED_VALUE"""),1.0)</f>
        <v>1</v>
      </c>
      <c r="K375" s="35"/>
      <c r="L375" s="175">
        <f>IFERROR(__xludf.DUMMYFUNCTION("""COMPUTED_VALUE"""),1.0)</f>
        <v>1</v>
      </c>
      <c r="M375" s="182" t="str">
        <f>IFERROR(__xludf.DUMMYFUNCTION("""COMPUTED_VALUE"""),"")</f>
        <v/>
      </c>
      <c r="N375" s="35"/>
      <c r="O375" s="35"/>
      <c r="P375" s="176">
        <f>IFERROR(__xludf.DUMMYFUNCTION("""COMPUTED_VALUE"""),500000.0)</f>
        <v>500000</v>
      </c>
      <c r="Q375" s="177"/>
      <c r="R375" s="178">
        <f>IFERROR(__xludf.DUMMYFUNCTION("""COMPUTED_VALUE"""),1.0)</f>
        <v>1</v>
      </c>
      <c r="S375" s="184" t="str">
        <f>IFERROR(__xludf.DUMMYFUNCTION("""COMPUTED_VALUE"""),"")</f>
        <v/>
      </c>
      <c r="T375" s="95">
        <f>IFERROR(__xludf.DUMMYFUNCTION("""COMPUTED_VALUE"""),1.0)</f>
        <v>1</v>
      </c>
      <c r="U375" s="95">
        <f>IFERROR(__xludf.DUMMYFUNCTION("""COMPUTED_VALUE"""),1.0)</f>
        <v>1</v>
      </c>
      <c r="V375" s="185">
        <f>IFERROR(__xludf.DUMMYFUNCTION("""COMPUTED_VALUE"""),500000.0)</f>
        <v>500000</v>
      </c>
      <c r="W375" s="171" t="str">
        <f>IFERROR(__xludf.DUMMYFUNCTION("""COMPUTED_VALUE"""),"")</f>
        <v/>
      </c>
      <c r="X375" s="14" t="str">
        <f>IFERROR(__xludf.DUMMYFUNCTION("""COMPUTED_VALUE"""),"")</f>
        <v/>
      </c>
      <c r="Y375" s="14" t="str">
        <f>IFERROR(__xludf.DUMMYFUNCTION("""COMPUTED_VALUE"""),"")</f>
        <v/>
      </c>
      <c r="Z375" s="11" t="str">
        <f>IFERROR(__xludf.DUMMYFUNCTION("""COMPUTED_VALUE"""),"")</f>
        <v/>
      </c>
    </row>
    <row r="376">
      <c r="A376" s="35" t="str">
        <f>IFERROR(__xludf.DUMMYFUNCTION("""COMPUTED_VALUE"""),"")</f>
        <v/>
      </c>
      <c r="B376" s="35" t="str">
        <f>IFERROR(__xludf.DUMMYFUNCTION("""COMPUTED_VALUE"""),"39296")</f>
        <v>39296</v>
      </c>
      <c r="C376" s="172">
        <f>IFERROR(__xludf.DUMMYFUNCTION("""COMPUTED_VALUE"""),4.4600000129E10)</f>
        <v>44600000129</v>
      </c>
      <c r="D376" s="192" t="str">
        <f>IFERROR(__xludf.DUMMYFUNCTION("""COMPUTED_VALUE"""),"0700.HK")</f>
        <v>0700.HK</v>
      </c>
      <c r="E376" s="173">
        <f>IFERROR(__xludf.DUMMYFUNCTION("""COMPUTED_VALUE"""),44600.0)</f>
        <v>44600</v>
      </c>
      <c r="F376" s="35" t="str">
        <f>IFERROR(__xludf.DUMMYFUNCTION("""COMPUTED_VALUE"""),"Stock")</f>
        <v>Stock</v>
      </c>
      <c r="G376" s="35" t="str">
        <f>IFERROR(__xludf.DUMMYFUNCTION("""COMPUTED_VALUE"""),"HKD")</f>
        <v>HKD</v>
      </c>
      <c r="H376" s="183">
        <f>IFERROR(__xludf.DUMMYFUNCTION("""COMPUTED_VALUE"""),1000.0)</f>
        <v>1000</v>
      </c>
      <c r="I376" s="174">
        <f>IFERROR(__xludf.DUMMYFUNCTION("""COMPUTED_VALUE"""),1.0)</f>
        <v>1</v>
      </c>
      <c r="J376" s="175">
        <f>IFERROR(__xludf.DUMMYFUNCTION("""COMPUTED_VALUE"""),470.0)</f>
        <v>470</v>
      </c>
      <c r="K376" s="35"/>
      <c r="L376" s="175">
        <f>IFERROR(__xludf.DUMMYFUNCTION("""COMPUTED_VALUE"""),373.6)</f>
        <v>373.6</v>
      </c>
      <c r="M376" s="182" t="str">
        <f>IFERROR(__xludf.DUMMYFUNCTION("""COMPUTED_VALUE"""),"Equity Key Stats")</f>
        <v>Equity Key Stats</v>
      </c>
      <c r="N376" s="35"/>
      <c r="O376" s="35"/>
      <c r="P376" s="176">
        <f>IFERROR(__xludf.DUMMYFUNCTION("""COMPUTED_VALUE"""),-470000.0)</f>
        <v>-470000</v>
      </c>
      <c r="Q376" s="177"/>
      <c r="R376" s="178">
        <f>IFERROR(__xludf.DUMMYFUNCTION("""COMPUTED_VALUE"""),373.6)</f>
        <v>373.6</v>
      </c>
      <c r="S376" s="184">
        <f>IFERROR(__xludf.DUMMYFUNCTION("""COMPUTED_VALUE"""),373600.0)</f>
        <v>373600</v>
      </c>
      <c r="T376" s="95">
        <f>IFERROR(__xludf.DUMMYFUNCTION("""COMPUTED_VALUE"""),2.0)</f>
        <v>2</v>
      </c>
      <c r="U376" s="95" t="str">
        <f>IFERROR(__xludf.DUMMYFUNCTION("""COMPUTED_VALUE"""),"")</f>
        <v/>
      </c>
      <c r="V376" s="185" t="str">
        <f>IFERROR(__xludf.DUMMYFUNCTION("""COMPUTED_VALUE"""),"")</f>
        <v/>
      </c>
      <c r="W376" s="171" t="str">
        <f>IFERROR(__xludf.DUMMYFUNCTION("""COMPUTED_VALUE"""),"")</f>
        <v/>
      </c>
      <c r="X376" s="14" t="str">
        <f>IFERROR(__xludf.DUMMYFUNCTION("""COMPUTED_VALUE"""),"")</f>
        <v/>
      </c>
      <c r="Y376" s="14" t="str">
        <f>IFERROR(__xludf.DUMMYFUNCTION("""COMPUTED_VALUE"""),"")</f>
        <v/>
      </c>
      <c r="Z376" s="11" t="str">
        <f>IFERROR(__xludf.DUMMYFUNCTION("""COMPUTED_VALUE"""),"")</f>
        <v/>
      </c>
    </row>
    <row r="377">
      <c r="A377" s="35" t="str">
        <f>IFERROR(__xludf.DUMMYFUNCTION("""COMPUTED_VALUE"""),"")</f>
        <v/>
      </c>
      <c r="B377" s="35" t="str">
        <f>IFERROR(__xludf.DUMMYFUNCTION("""COMPUTED_VALUE"""),"39296")</f>
        <v>39296</v>
      </c>
      <c r="C377" s="172">
        <f>IFERROR(__xludf.DUMMYFUNCTION("""COMPUTED_VALUE"""),4.4648000926E10)</f>
        <v>44648000926</v>
      </c>
      <c r="D377" s="192" t="str">
        <f>IFERROR(__xludf.DUMMYFUNCTION("""COMPUTED_VALUE"""),"0700.HK")</f>
        <v>0700.HK</v>
      </c>
      <c r="E377" s="173">
        <f>IFERROR(__xludf.DUMMYFUNCTION("""COMPUTED_VALUE"""),44648.0)</f>
        <v>44648</v>
      </c>
      <c r="F377" s="35" t="str">
        <f>IFERROR(__xludf.DUMMYFUNCTION("""COMPUTED_VALUE"""),"Stock")</f>
        <v>Stock</v>
      </c>
      <c r="G377" s="35" t="str">
        <f>IFERROR(__xludf.DUMMYFUNCTION("""COMPUTED_VALUE"""),"HKD")</f>
        <v>HKD</v>
      </c>
      <c r="H377" s="183">
        <f>IFERROR(__xludf.DUMMYFUNCTION("""COMPUTED_VALUE"""),-50.0)</f>
        <v>-50</v>
      </c>
      <c r="I377" s="174">
        <f>IFERROR(__xludf.DUMMYFUNCTION("""COMPUTED_VALUE"""),1.0)</f>
        <v>1</v>
      </c>
      <c r="J377" s="175">
        <f>IFERROR(__xludf.DUMMYFUNCTION("""COMPUTED_VALUE"""),366.4)</f>
        <v>366.4</v>
      </c>
      <c r="K377" s="35"/>
      <c r="L377" s="175">
        <f>IFERROR(__xludf.DUMMYFUNCTION("""COMPUTED_VALUE"""),373.6)</f>
        <v>373.6</v>
      </c>
      <c r="M377" s="182" t="str">
        <f>IFERROR(__xludf.DUMMYFUNCTION("""COMPUTED_VALUE"""),"Equity Key Stats")</f>
        <v>Equity Key Stats</v>
      </c>
      <c r="N377" s="35"/>
      <c r="O377" s="35"/>
      <c r="P377" s="176">
        <f>IFERROR(__xludf.DUMMYFUNCTION("""COMPUTED_VALUE"""),18320.0)</f>
        <v>18320</v>
      </c>
      <c r="Q377" s="177"/>
      <c r="R377" s="178">
        <f>IFERROR(__xludf.DUMMYFUNCTION("""COMPUTED_VALUE"""),373.6)</f>
        <v>373.6</v>
      </c>
      <c r="S377" s="184">
        <f>IFERROR(__xludf.DUMMYFUNCTION("""COMPUTED_VALUE"""),-18680.0)</f>
        <v>-18680</v>
      </c>
      <c r="T377" s="95">
        <f>IFERROR(__xludf.DUMMYFUNCTION("""COMPUTED_VALUE"""),2.0)</f>
        <v>2</v>
      </c>
      <c r="U377" s="95">
        <f>IFERROR(__xludf.DUMMYFUNCTION("""COMPUTED_VALUE"""),1.0)</f>
        <v>1</v>
      </c>
      <c r="V377" s="185">
        <f>IFERROR(__xludf.DUMMYFUNCTION("""COMPUTED_VALUE"""),-96760.0)</f>
        <v>-96760</v>
      </c>
      <c r="W377" s="171" t="str">
        <f>IFERROR(__xludf.DUMMYFUNCTION("""COMPUTED_VALUE"""),"")</f>
        <v/>
      </c>
      <c r="X377" s="14" t="str">
        <f>IFERROR(__xludf.DUMMYFUNCTION("""COMPUTED_VALUE"""),"")</f>
        <v/>
      </c>
      <c r="Y377" s="14" t="str">
        <f>IFERROR(__xludf.DUMMYFUNCTION("""COMPUTED_VALUE"""),"")</f>
        <v/>
      </c>
      <c r="Z377" s="11" t="str">
        <f>IFERROR(__xludf.DUMMYFUNCTION("""COMPUTED_VALUE"""),"")</f>
        <v/>
      </c>
    </row>
    <row r="378">
      <c r="A378" s="35" t="str">
        <f>IFERROR(__xludf.DUMMYFUNCTION("""COMPUTED_VALUE"""),"39296")</f>
        <v>39296</v>
      </c>
      <c r="B378" s="35" t="str">
        <f>IFERROR(__xludf.DUMMYFUNCTION("""COMPUTED_VALUE"""),"39296")</f>
        <v>39296</v>
      </c>
      <c r="C378" s="172">
        <f>IFERROR(__xludf.DUMMYFUNCTION("""COMPUTED_VALUE"""),4.464900101E10)</f>
        <v>44649001010</v>
      </c>
      <c r="D378" s="192" t="str">
        <f>IFERROR(__xludf.DUMMYFUNCTION("""COMPUTED_VALUE"""),"TQQQ220408P00056000")</f>
        <v>TQQQ220408P00056000</v>
      </c>
      <c r="E378" s="173">
        <f>IFERROR(__xludf.DUMMYFUNCTION("""COMPUTED_VALUE"""),44649.0)</f>
        <v>44649</v>
      </c>
      <c r="F378" s="35" t="str">
        <f>IFERROR(__xludf.DUMMYFUNCTION("""COMPUTED_VALUE"""),"Option")</f>
        <v>Option</v>
      </c>
      <c r="G378" s="35" t="str">
        <f>IFERROR(__xludf.DUMMYFUNCTION("""COMPUTED_VALUE"""),"USD")</f>
        <v>USD</v>
      </c>
      <c r="H378" s="183" t="str">
        <f>IFERROR(__xludf.DUMMYFUNCTION("""COMPUTED_VALUE"""),"")</f>
        <v/>
      </c>
      <c r="I378" s="174">
        <f>IFERROR(__xludf.DUMMYFUNCTION("""COMPUTED_VALUE"""),7.827315)</f>
        <v>7.827315</v>
      </c>
      <c r="J378" s="175">
        <f>IFERROR(__xludf.DUMMYFUNCTION("""COMPUTED_VALUE"""),0.89)</f>
        <v>0.89</v>
      </c>
      <c r="K378" s="35"/>
      <c r="L378" s="175">
        <f>IFERROR(__xludf.DUMMYFUNCTION("""COMPUTED_VALUE"""),4.4)</f>
        <v>4.4</v>
      </c>
      <c r="M378" s="182" t="str">
        <f>IFERROR(__xludf.DUMMYFUNCTION("""COMPUTED_VALUE"""),"")</f>
        <v/>
      </c>
      <c r="N378" s="35"/>
      <c r="O378" s="35"/>
      <c r="P378" s="176">
        <f>IFERROR(__xludf.DUMMYFUNCTION("""COMPUTED_VALUE"""),0.0)</f>
        <v>0</v>
      </c>
      <c r="Q378" s="177"/>
      <c r="R378" s="178">
        <f>IFERROR(__xludf.DUMMYFUNCTION("""COMPUTED_VALUE"""),4.4)</f>
        <v>4.4</v>
      </c>
      <c r="S378" s="184">
        <f>IFERROR(__xludf.DUMMYFUNCTION("""COMPUTED_VALUE"""),0.0)</f>
        <v>0</v>
      </c>
      <c r="T378" s="95">
        <f>IFERROR(__xludf.DUMMYFUNCTION("""COMPUTED_VALUE"""),1.0)</f>
        <v>1</v>
      </c>
      <c r="U378" s="35">
        <f>IFERROR(__xludf.DUMMYFUNCTION("""COMPUTED_VALUE"""),1.0)</f>
        <v>1</v>
      </c>
      <c r="V378" s="170">
        <f>IFERROR(__xludf.DUMMYFUNCTION("""COMPUTED_VALUE"""),0.0)</f>
        <v>0</v>
      </c>
      <c r="W378" s="171">
        <f>IFERROR(__xludf.DUMMYFUNCTION("""COMPUTED_VALUE"""),403240.0)</f>
        <v>403240</v>
      </c>
      <c r="X378" s="14">
        <f>IFERROR(__xludf.DUMMYFUNCTION("""COMPUTED_VALUE"""),48320.0)</f>
        <v>48320</v>
      </c>
      <c r="Y378" s="14">
        <f>IFERROR(__xludf.DUMMYFUNCTION("""COMPUTED_VALUE"""),0.0)</f>
        <v>0</v>
      </c>
      <c r="Z378" s="11">
        <f>IFERROR(__xludf.DUMMYFUNCTION("""COMPUTED_VALUE"""),-0.19352000000000003)</f>
        <v>-0.19352</v>
      </c>
    </row>
    <row r="379">
      <c r="A379" s="35" t="str">
        <f>IFERROR(__xludf.DUMMYFUNCTION("""COMPUTED_VALUE"""),"")</f>
        <v/>
      </c>
      <c r="B379" s="35" t="str">
        <f>IFERROR(__xludf.DUMMYFUNCTION("""COMPUTED_VALUE"""),"39302")</f>
        <v>39302</v>
      </c>
      <c r="C379" s="172">
        <f>IFERROR(__xludf.DUMMYFUNCTION("""COMPUTED_VALUE"""),4.4597000069E10)</f>
        <v>44597000069</v>
      </c>
      <c r="D379" s="191" t="str">
        <f>IFERROR(__xludf.DUMMYFUNCTION("""COMPUTED_VALUE"""),"Cash")</f>
        <v>Cash</v>
      </c>
      <c r="E379" s="173">
        <f>IFERROR(__xludf.DUMMYFUNCTION("""COMPUTED_VALUE"""),44597.0)</f>
        <v>44597</v>
      </c>
      <c r="F379" s="35" t="str">
        <f>IFERROR(__xludf.DUMMYFUNCTION("""COMPUTED_VALUE"""),"Cash")</f>
        <v>Cash</v>
      </c>
      <c r="G379" s="35" t="str">
        <f>IFERROR(__xludf.DUMMYFUNCTION("""COMPUTED_VALUE"""),"HKD")</f>
        <v>HKD</v>
      </c>
      <c r="H379" s="181" t="str">
        <f>IFERROR(__xludf.DUMMYFUNCTION("""COMPUTED_VALUE"""),"")</f>
        <v/>
      </c>
      <c r="I379" s="174">
        <f>IFERROR(__xludf.DUMMYFUNCTION("""COMPUTED_VALUE"""),1.0)</f>
        <v>1</v>
      </c>
      <c r="J379" s="175">
        <f>IFERROR(__xludf.DUMMYFUNCTION("""COMPUTED_VALUE"""),1.0)</f>
        <v>1</v>
      </c>
      <c r="K379" s="35"/>
      <c r="L379" s="175">
        <f>IFERROR(__xludf.DUMMYFUNCTION("""COMPUTED_VALUE"""),1.0)</f>
        <v>1</v>
      </c>
      <c r="M379" s="182" t="str">
        <f>IFERROR(__xludf.DUMMYFUNCTION("""COMPUTED_VALUE"""),"")</f>
        <v/>
      </c>
      <c r="N379" s="35"/>
      <c r="O379" s="35"/>
      <c r="P379" s="184">
        <f>IFERROR(__xludf.DUMMYFUNCTION("""COMPUTED_VALUE"""),500000.0)</f>
        <v>500000</v>
      </c>
      <c r="Q379" s="177"/>
      <c r="R379" s="178">
        <f>IFERROR(__xludf.DUMMYFUNCTION("""COMPUTED_VALUE"""),1.0)</f>
        <v>1</v>
      </c>
      <c r="S379" s="176" t="str">
        <f>IFERROR(__xludf.DUMMYFUNCTION("""COMPUTED_VALUE"""),"")</f>
        <v/>
      </c>
      <c r="T379" s="95">
        <f>IFERROR(__xludf.DUMMYFUNCTION("""COMPUTED_VALUE"""),1.0)</f>
        <v>1</v>
      </c>
      <c r="U379" s="35">
        <f>IFERROR(__xludf.DUMMYFUNCTION("""COMPUTED_VALUE"""),1.0)</f>
        <v>1</v>
      </c>
      <c r="V379" s="170">
        <f>IFERROR(__xludf.DUMMYFUNCTION("""COMPUTED_VALUE"""),500000.0)</f>
        <v>500000</v>
      </c>
      <c r="W379" s="171" t="str">
        <f>IFERROR(__xludf.DUMMYFUNCTION("""COMPUTED_VALUE"""),"")</f>
        <v/>
      </c>
      <c r="X379" s="14" t="str">
        <f>IFERROR(__xludf.DUMMYFUNCTION("""COMPUTED_VALUE"""),"")</f>
        <v/>
      </c>
      <c r="Y379" s="14" t="str">
        <f>IFERROR(__xludf.DUMMYFUNCTION("""COMPUTED_VALUE"""),"")</f>
        <v/>
      </c>
      <c r="Z379" s="11" t="str">
        <f>IFERROR(__xludf.DUMMYFUNCTION("""COMPUTED_VALUE"""),"")</f>
        <v/>
      </c>
    </row>
    <row r="380">
      <c r="A380" s="35" t="str">
        <f>IFERROR(__xludf.DUMMYFUNCTION("""COMPUTED_VALUE"""),"")</f>
        <v/>
      </c>
      <c r="B380" s="35" t="str">
        <f>IFERROR(__xludf.DUMMYFUNCTION("""COMPUTED_VALUE"""),"39302")</f>
        <v>39302</v>
      </c>
      <c r="C380" s="172">
        <f>IFERROR(__xludf.DUMMYFUNCTION("""COMPUTED_VALUE"""),4.465100104E10)</f>
        <v>44651001040</v>
      </c>
      <c r="D380" s="192" t="str">
        <f>IFERROR(__xludf.DUMMYFUNCTION("""COMPUTED_VALUE"""),"002864.SZ")</f>
        <v>002864.SZ</v>
      </c>
      <c r="E380" s="173">
        <f>IFERROR(__xludf.DUMMYFUNCTION("""COMPUTED_VALUE"""),44651.0)</f>
        <v>44651</v>
      </c>
      <c r="F380" s="35" t="str">
        <f>IFERROR(__xludf.DUMMYFUNCTION("""COMPUTED_VALUE"""),"Stock")</f>
        <v>Stock</v>
      </c>
      <c r="G380" s="35" t="str">
        <f>IFERROR(__xludf.DUMMYFUNCTION("""COMPUTED_VALUE"""),"CNY")</f>
        <v>CNY</v>
      </c>
      <c r="H380" s="183">
        <f>IFERROR(__xludf.DUMMYFUNCTION("""COMPUTED_VALUE"""),100.0)</f>
        <v>100</v>
      </c>
      <c r="I380" s="174">
        <f>IFERROR(__xludf.DUMMYFUNCTION("""COMPUTED_VALUE"""),1.23559)</f>
        <v>1.23559</v>
      </c>
      <c r="J380" s="175">
        <f>IFERROR(__xludf.DUMMYFUNCTION("""COMPUTED_VALUE"""),62.04)</f>
        <v>62.04</v>
      </c>
      <c r="K380" s="35"/>
      <c r="L380" s="175">
        <f>IFERROR(__xludf.DUMMYFUNCTION("""COMPUTED_VALUE"""),45.95)</f>
        <v>45.95</v>
      </c>
      <c r="M380" s="182" t="str">
        <f>IFERROR(__xludf.DUMMYFUNCTION("""COMPUTED_VALUE"""),"Equity Key Stats")</f>
        <v>Equity Key Stats</v>
      </c>
      <c r="N380" s="35"/>
      <c r="O380" s="35"/>
      <c r="P380" s="176">
        <f>IFERROR(__xludf.DUMMYFUNCTION("""COMPUTED_VALUE"""),-7665.6003599999995)</f>
        <v>-7665.60036</v>
      </c>
      <c r="Q380" s="177"/>
      <c r="R380" s="178">
        <f>IFERROR(__xludf.DUMMYFUNCTION("""COMPUTED_VALUE"""),45.95)</f>
        <v>45.95</v>
      </c>
      <c r="S380" s="184">
        <f>IFERROR(__xludf.DUMMYFUNCTION("""COMPUTED_VALUE"""),5677.536050000001)</f>
        <v>5677.53605</v>
      </c>
      <c r="T380" s="95">
        <f>IFERROR(__xludf.DUMMYFUNCTION("""COMPUTED_VALUE"""),3.0)</f>
        <v>3</v>
      </c>
      <c r="U380" s="95" t="str">
        <f>IFERROR(__xludf.DUMMYFUNCTION("""COMPUTED_VALUE"""),"")</f>
        <v/>
      </c>
      <c r="V380" s="185" t="str">
        <f>IFERROR(__xludf.DUMMYFUNCTION("""COMPUTED_VALUE"""),"")</f>
        <v/>
      </c>
      <c r="W380" s="171" t="str">
        <f>IFERROR(__xludf.DUMMYFUNCTION("""COMPUTED_VALUE"""),"")</f>
        <v/>
      </c>
      <c r="X380" s="14" t="str">
        <f>IFERROR(__xludf.DUMMYFUNCTION("""COMPUTED_VALUE"""),"")</f>
        <v/>
      </c>
      <c r="Y380" s="14" t="str">
        <f>IFERROR(__xludf.DUMMYFUNCTION("""COMPUTED_VALUE"""),"")</f>
        <v/>
      </c>
      <c r="Z380" s="11" t="str">
        <f>IFERROR(__xludf.DUMMYFUNCTION("""COMPUTED_VALUE"""),"")</f>
        <v/>
      </c>
    </row>
    <row r="381">
      <c r="A381" s="35" t="str">
        <f>IFERROR(__xludf.DUMMYFUNCTION("""COMPUTED_VALUE"""),"")</f>
        <v/>
      </c>
      <c r="B381" s="35" t="str">
        <f>IFERROR(__xludf.DUMMYFUNCTION("""COMPUTED_VALUE"""),"39302")</f>
        <v>39302</v>
      </c>
      <c r="C381" s="172">
        <f>IFERROR(__xludf.DUMMYFUNCTION("""COMPUTED_VALUE"""),4.4651001042E10)</f>
        <v>44651001042</v>
      </c>
      <c r="D381" s="192" t="str">
        <f>IFERROR(__xludf.DUMMYFUNCTION("""COMPUTED_VALUE"""),"002657.SZ")</f>
        <v>002657.SZ</v>
      </c>
      <c r="E381" s="173">
        <f>IFERROR(__xludf.DUMMYFUNCTION("""COMPUTED_VALUE"""),44651.0)</f>
        <v>44651</v>
      </c>
      <c r="F381" s="35" t="str">
        <f>IFERROR(__xludf.DUMMYFUNCTION("""COMPUTED_VALUE"""),"Stock")</f>
        <v>Stock</v>
      </c>
      <c r="G381" s="35" t="str">
        <f>IFERROR(__xludf.DUMMYFUNCTION("""COMPUTED_VALUE"""),"CNY")</f>
        <v>CNY</v>
      </c>
      <c r="H381" s="183">
        <f>IFERROR(__xludf.DUMMYFUNCTION("""COMPUTED_VALUE"""),500.0)</f>
        <v>500</v>
      </c>
      <c r="I381" s="174">
        <f>IFERROR(__xludf.DUMMYFUNCTION("""COMPUTED_VALUE"""),1.23559)</f>
        <v>1.23559</v>
      </c>
      <c r="J381" s="175">
        <f>IFERROR(__xludf.DUMMYFUNCTION("""COMPUTED_VALUE"""),20.47)</f>
        <v>20.47</v>
      </c>
      <c r="K381" s="35"/>
      <c r="L381" s="175">
        <f>IFERROR(__xludf.DUMMYFUNCTION("""COMPUTED_VALUE"""),15.91)</f>
        <v>15.91</v>
      </c>
      <c r="M381" s="182" t="str">
        <f>IFERROR(__xludf.DUMMYFUNCTION("""COMPUTED_VALUE"""),"Equity Key Stats")</f>
        <v>Equity Key Stats</v>
      </c>
      <c r="N381" s="35"/>
      <c r="O381" s="35"/>
      <c r="P381" s="176">
        <f>IFERROR(__xludf.DUMMYFUNCTION("""COMPUTED_VALUE"""),-12646.263649999999)</f>
        <v>-12646.26365</v>
      </c>
      <c r="Q381" s="177"/>
      <c r="R381" s="178">
        <f>IFERROR(__xludf.DUMMYFUNCTION("""COMPUTED_VALUE"""),15.91)</f>
        <v>15.91</v>
      </c>
      <c r="S381" s="184">
        <f>IFERROR(__xludf.DUMMYFUNCTION("""COMPUTED_VALUE"""),9829.11845)</f>
        <v>9829.11845</v>
      </c>
      <c r="T381" s="95">
        <f>IFERROR(__xludf.DUMMYFUNCTION("""COMPUTED_VALUE"""),6.0)</f>
        <v>6</v>
      </c>
      <c r="U381" s="95" t="str">
        <f>IFERROR(__xludf.DUMMYFUNCTION("""COMPUTED_VALUE"""),"")</f>
        <v/>
      </c>
      <c r="V381" s="179" t="str">
        <f>IFERROR(__xludf.DUMMYFUNCTION("""COMPUTED_VALUE"""),"")</f>
        <v/>
      </c>
      <c r="W381" s="171" t="str">
        <f>IFERROR(__xludf.DUMMYFUNCTION("""COMPUTED_VALUE"""),"")</f>
        <v/>
      </c>
      <c r="X381" s="14" t="str">
        <f>IFERROR(__xludf.DUMMYFUNCTION("""COMPUTED_VALUE"""),"")</f>
        <v/>
      </c>
      <c r="Y381" s="14" t="str">
        <f>IFERROR(__xludf.DUMMYFUNCTION("""COMPUTED_VALUE"""),"")</f>
        <v/>
      </c>
      <c r="Z381" s="11" t="str">
        <f>IFERROR(__xludf.DUMMYFUNCTION("""COMPUTED_VALUE"""),"")</f>
        <v/>
      </c>
    </row>
    <row r="382">
      <c r="A382" s="35" t="str">
        <f>IFERROR(__xludf.DUMMYFUNCTION("""COMPUTED_VALUE"""),"")</f>
        <v/>
      </c>
      <c r="B382" s="35" t="str">
        <f>IFERROR(__xludf.DUMMYFUNCTION("""COMPUTED_VALUE"""),"39302")</f>
        <v>39302</v>
      </c>
      <c r="C382" s="172">
        <f>IFERROR(__xludf.DUMMYFUNCTION("""COMPUTED_VALUE"""),4.4651001051E10)</f>
        <v>44651001051</v>
      </c>
      <c r="D382" s="192" t="str">
        <f>IFERROR(__xludf.DUMMYFUNCTION("""COMPUTED_VALUE"""),"000788.SZ")</f>
        <v>000788.SZ</v>
      </c>
      <c r="E382" s="173">
        <f>IFERROR(__xludf.DUMMYFUNCTION("""COMPUTED_VALUE"""),44651.0)</f>
        <v>44651</v>
      </c>
      <c r="F382" s="35" t="str">
        <f>IFERROR(__xludf.DUMMYFUNCTION("""COMPUTED_VALUE"""),"Stock")</f>
        <v>Stock</v>
      </c>
      <c r="G382" s="35" t="str">
        <f>IFERROR(__xludf.DUMMYFUNCTION("""COMPUTED_VALUE"""),"CNY")</f>
        <v>CNY</v>
      </c>
      <c r="H382" s="183">
        <f>IFERROR(__xludf.DUMMYFUNCTION("""COMPUTED_VALUE"""),500.0)</f>
        <v>500</v>
      </c>
      <c r="I382" s="174">
        <f>IFERROR(__xludf.DUMMYFUNCTION("""COMPUTED_VALUE"""),1.23559)</f>
        <v>1.23559</v>
      </c>
      <c r="J382" s="175">
        <f>IFERROR(__xludf.DUMMYFUNCTION("""COMPUTED_VALUE"""),12.33)</f>
        <v>12.33</v>
      </c>
      <c r="K382" s="35"/>
      <c r="L382" s="175">
        <f>IFERROR(__xludf.DUMMYFUNCTION("""COMPUTED_VALUE"""),9.11)</f>
        <v>9.11</v>
      </c>
      <c r="M382" s="182" t="str">
        <f>IFERROR(__xludf.DUMMYFUNCTION("""COMPUTED_VALUE"""),"Equity Key Stats")</f>
        <v>Equity Key Stats</v>
      </c>
      <c r="N382" s="35"/>
      <c r="O382" s="35"/>
      <c r="P382" s="176">
        <f>IFERROR(__xludf.DUMMYFUNCTION("""COMPUTED_VALUE"""),-7617.41235)</f>
        <v>-7617.41235</v>
      </c>
      <c r="Q382" s="177"/>
      <c r="R382" s="178">
        <f>IFERROR(__xludf.DUMMYFUNCTION("""COMPUTED_VALUE"""),9.11)</f>
        <v>9.11</v>
      </c>
      <c r="S382" s="184">
        <f>IFERROR(__xludf.DUMMYFUNCTION("""COMPUTED_VALUE"""),5628.11245)</f>
        <v>5628.11245</v>
      </c>
      <c r="T382" s="95">
        <f>IFERROR(__xludf.DUMMYFUNCTION("""COMPUTED_VALUE"""),2.0)</f>
        <v>2</v>
      </c>
      <c r="U382" s="95" t="str">
        <f>IFERROR(__xludf.DUMMYFUNCTION("""COMPUTED_VALUE"""),"")</f>
        <v/>
      </c>
      <c r="V382" s="185" t="str">
        <f>IFERROR(__xludf.DUMMYFUNCTION("""COMPUTED_VALUE"""),"")</f>
        <v/>
      </c>
      <c r="W382" s="171" t="str">
        <f>IFERROR(__xludf.DUMMYFUNCTION("""COMPUTED_VALUE"""),"")</f>
        <v/>
      </c>
      <c r="X382" s="14" t="str">
        <f>IFERROR(__xludf.DUMMYFUNCTION("""COMPUTED_VALUE"""),"")</f>
        <v/>
      </c>
      <c r="Y382" s="14" t="str">
        <f>IFERROR(__xludf.DUMMYFUNCTION("""COMPUTED_VALUE"""),"")</f>
        <v/>
      </c>
      <c r="Z382" s="11" t="str">
        <f>IFERROR(__xludf.DUMMYFUNCTION("""COMPUTED_VALUE"""),"")</f>
        <v/>
      </c>
    </row>
    <row r="383">
      <c r="A383" s="35" t="str">
        <f>IFERROR(__xludf.DUMMYFUNCTION("""COMPUTED_VALUE"""),"")</f>
        <v/>
      </c>
      <c r="B383" s="35" t="str">
        <f>IFERROR(__xludf.DUMMYFUNCTION("""COMPUTED_VALUE"""),"39302")</f>
        <v>39302</v>
      </c>
      <c r="C383" s="172">
        <f>IFERROR(__xludf.DUMMYFUNCTION("""COMPUTED_VALUE"""),4.4652001071E10)</f>
        <v>44652001071</v>
      </c>
      <c r="D383" s="192" t="str">
        <f>IFERROR(__xludf.DUMMYFUNCTION("""COMPUTED_VALUE"""),"002657.SZ")</f>
        <v>002657.SZ</v>
      </c>
      <c r="E383" s="173">
        <f>IFERROR(__xludf.DUMMYFUNCTION("""COMPUTED_VALUE"""),44652.0)</f>
        <v>44652</v>
      </c>
      <c r="F383" s="35" t="str">
        <f>IFERROR(__xludf.DUMMYFUNCTION("""COMPUTED_VALUE"""),"Stock")</f>
        <v>Stock</v>
      </c>
      <c r="G383" s="35" t="str">
        <f>IFERROR(__xludf.DUMMYFUNCTION("""COMPUTED_VALUE"""),"CNY")</f>
        <v>CNY</v>
      </c>
      <c r="H383" s="181">
        <f>IFERROR(__xludf.DUMMYFUNCTION("""COMPUTED_VALUE"""),500.0)</f>
        <v>500</v>
      </c>
      <c r="I383" s="174">
        <f>IFERROR(__xludf.DUMMYFUNCTION("""COMPUTED_VALUE"""),1.231079)</f>
        <v>1.231079</v>
      </c>
      <c r="J383" s="175">
        <f>IFERROR(__xludf.DUMMYFUNCTION("""COMPUTED_VALUE"""),22.52)</f>
        <v>22.52</v>
      </c>
      <c r="K383" s="35"/>
      <c r="L383" s="175">
        <f>IFERROR(__xludf.DUMMYFUNCTION("""COMPUTED_VALUE"""),15.91)</f>
        <v>15.91</v>
      </c>
      <c r="M383" s="182" t="str">
        <f>IFERROR(__xludf.DUMMYFUNCTION("""COMPUTED_VALUE"""),"Equity Key Stats")</f>
        <v>Equity Key Stats</v>
      </c>
      <c r="N383" s="35"/>
      <c r="O383" s="35"/>
      <c r="P383" s="184">
        <f>IFERROR(__xludf.DUMMYFUNCTION("""COMPUTED_VALUE"""),-13861.94954)</f>
        <v>-13861.94954</v>
      </c>
      <c r="Q383" s="177"/>
      <c r="R383" s="178">
        <f>IFERROR(__xludf.DUMMYFUNCTION("""COMPUTED_VALUE"""),15.91)</f>
        <v>15.91</v>
      </c>
      <c r="S383" s="176">
        <f>IFERROR(__xludf.DUMMYFUNCTION("""COMPUTED_VALUE"""),9793.233445)</f>
        <v>9793.233445</v>
      </c>
      <c r="T383" s="95">
        <f>IFERROR(__xludf.DUMMYFUNCTION("""COMPUTED_VALUE"""),6.0)</f>
        <v>6</v>
      </c>
      <c r="U383" s="35" t="str">
        <f>IFERROR(__xludf.DUMMYFUNCTION("""COMPUTED_VALUE"""),"")</f>
        <v/>
      </c>
      <c r="V383" s="170" t="str">
        <f>IFERROR(__xludf.DUMMYFUNCTION("""COMPUTED_VALUE"""),"")</f>
        <v/>
      </c>
      <c r="W383" s="171" t="str">
        <f>IFERROR(__xludf.DUMMYFUNCTION("""COMPUTED_VALUE"""),"")</f>
        <v/>
      </c>
      <c r="X383" s="14" t="str">
        <f>IFERROR(__xludf.DUMMYFUNCTION("""COMPUTED_VALUE"""),"")</f>
        <v/>
      </c>
      <c r="Y383" s="14" t="str">
        <f>IFERROR(__xludf.DUMMYFUNCTION("""COMPUTED_VALUE"""),"")</f>
        <v/>
      </c>
      <c r="Z383" s="11" t="str">
        <f>IFERROR(__xludf.DUMMYFUNCTION("""COMPUTED_VALUE"""),"")</f>
        <v/>
      </c>
    </row>
    <row r="384">
      <c r="A384" s="35" t="str">
        <f>IFERROR(__xludf.DUMMYFUNCTION("""COMPUTED_VALUE"""),"")</f>
        <v/>
      </c>
      <c r="B384" s="35" t="str">
        <f>IFERROR(__xludf.DUMMYFUNCTION("""COMPUTED_VALUE"""),"39302")</f>
        <v>39302</v>
      </c>
      <c r="C384" s="172">
        <f>IFERROR(__xludf.DUMMYFUNCTION("""COMPUTED_VALUE"""),4.4652001072E10)</f>
        <v>44652001072</v>
      </c>
      <c r="D384" s="192" t="str">
        <f>IFERROR(__xludf.DUMMYFUNCTION("""COMPUTED_VALUE"""),"002864.SZ")</f>
        <v>002864.SZ</v>
      </c>
      <c r="E384" s="173">
        <f>IFERROR(__xludf.DUMMYFUNCTION("""COMPUTED_VALUE"""),44652.0)</f>
        <v>44652</v>
      </c>
      <c r="F384" s="35" t="str">
        <f>IFERROR(__xludf.DUMMYFUNCTION("""COMPUTED_VALUE"""),"Stock")</f>
        <v>Stock</v>
      </c>
      <c r="G384" s="35" t="str">
        <f>IFERROR(__xludf.DUMMYFUNCTION("""COMPUTED_VALUE"""),"CNY")</f>
        <v>CNY</v>
      </c>
      <c r="H384" s="183">
        <f>IFERROR(__xludf.DUMMYFUNCTION("""COMPUTED_VALUE"""),200.0)</f>
        <v>200</v>
      </c>
      <c r="I384" s="174">
        <f>IFERROR(__xludf.DUMMYFUNCTION("""COMPUTED_VALUE"""),1.231079)</f>
        <v>1.231079</v>
      </c>
      <c r="J384" s="175">
        <f>IFERROR(__xludf.DUMMYFUNCTION("""COMPUTED_VALUE"""),68.24)</f>
        <v>68.24</v>
      </c>
      <c r="K384" s="35"/>
      <c r="L384" s="175">
        <f>IFERROR(__xludf.DUMMYFUNCTION("""COMPUTED_VALUE"""),45.95)</f>
        <v>45.95</v>
      </c>
      <c r="M384" s="182" t="str">
        <f>IFERROR(__xludf.DUMMYFUNCTION("""COMPUTED_VALUE"""),"Equity Key Stats")</f>
        <v>Equity Key Stats</v>
      </c>
      <c r="N384" s="35"/>
      <c r="O384" s="35"/>
      <c r="P384" s="176">
        <f>IFERROR(__xludf.DUMMYFUNCTION("""COMPUTED_VALUE"""),-16801.766192)</f>
        <v>-16801.76619</v>
      </c>
      <c r="Q384" s="177"/>
      <c r="R384" s="178">
        <f>IFERROR(__xludf.DUMMYFUNCTION("""COMPUTED_VALUE"""),45.95)</f>
        <v>45.95</v>
      </c>
      <c r="S384" s="184">
        <f>IFERROR(__xludf.DUMMYFUNCTION("""COMPUTED_VALUE"""),11313.616010000002)</f>
        <v>11313.61601</v>
      </c>
      <c r="T384" s="95">
        <f>IFERROR(__xludf.DUMMYFUNCTION("""COMPUTED_VALUE"""),3.0)</f>
        <v>3</v>
      </c>
      <c r="U384" s="35" t="str">
        <f>IFERROR(__xludf.DUMMYFUNCTION("""COMPUTED_VALUE"""),"")</f>
        <v/>
      </c>
      <c r="V384" s="170" t="str">
        <f>IFERROR(__xludf.DUMMYFUNCTION("""COMPUTED_VALUE"""),"")</f>
        <v/>
      </c>
      <c r="W384" s="171" t="str">
        <f>IFERROR(__xludf.DUMMYFUNCTION("""COMPUTED_VALUE"""),"")</f>
        <v/>
      </c>
      <c r="X384" s="14" t="str">
        <f>IFERROR(__xludf.DUMMYFUNCTION("""COMPUTED_VALUE"""),"")</f>
        <v/>
      </c>
      <c r="Y384" s="14" t="str">
        <f>IFERROR(__xludf.DUMMYFUNCTION("""COMPUTED_VALUE"""),"")</f>
        <v/>
      </c>
      <c r="Z384" s="11" t="str">
        <f>IFERROR(__xludf.DUMMYFUNCTION("""COMPUTED_VALUE"""),"")</f>
        <v/>
      </c>
    </row>
    <row r="385">
      <c r="A385" s="35" t="str">
        <f>IFERROR(__xludf.DUMMYFUNCTION("""COMPUTED_VALUE"""),"")</f>
        <v/>
      </c>
      <c r="B385" s="35" t="str">
        <f>IFERROR(__xludf.DUMMYFUNCTION("""COMPUTED_VALUE"""),"39302")</f>
        <v>39302</v>
      </c>
      <c r="C385" s="172">
        <f>IFERROR(__xludf.DUMMYFUNCTION("""COMPUTED_VALUE"""),4.4652001073E10)</f>
        <v>44652001073</v>
      </c>
      <c r="D385" s="192" t="str">
        <f>IFERROR(__xludf.DUMMYFUNCTION("""COMPUTED_VALUE"""),"000788.SZ")</f>
        <v>000788.SZ</v>
      </c>
      <c r="E385" s="173">
        <f>IFERROR(__xludf.DUMMYFUNCTION("""COMPUTED_VALUE"""),44652.0)</f>
        <v>44652</v>
      </c>
      <c r="F385" s="35" t="str">
        <f>IFERROR(__xludf.DUMMYFUNCTION("""COMPUTED_VALUE"""),"Stock")</f>
        <v>Stock</v>
      </c>
      <c r="G385" s="35" t="str">
        <f>IFERROR(__xludf.DUMMYFUNCTION("""COMPUTED_VALUE"""),"CNY")</f>
        <v>CNY</v>
      </c>
      <c r="H385" s="181">
        <f>IFERROR(__xludf.DUMMYFUNCTION("""COMPUTED_VALUE"""),-500.0)</f>
        <v>-500</v>
      </c>
      <c r="I385" s="174">
        <f>IFERROR(__xludf.DUMMYFUNCTION("""COMPUTED_VALUE"""),1.231079)</f>
        <v>1.231079</v>
      </c>
      <c r="J385" s="175">
        <f>IFERROR(__xludf.DUMMYFUNCTION("""COMPUTED_VALUE"""),11.1)</f>
        <v>11.1</v>
      </c>
      <c r="K385" s="35"/>
      <c r="L385" s="175">
        <f>IFERROR(__xludf.DUMMYFUNCTION("""COMPUTED_VALUE"""),9.11)</f>
        <v>9.11</v>
      </c>
      <c r="M385" s="182" t="str">
        <f>IFERROR(__xludf.DUMMYFUNCTION("""COMPUTED_VALUE"""),"Equity Key Stats")</f>
        <v>Equity Key Stats</v>
      </c>
      <c r="N385" s="35"/>
      <c r="O385" s="35"/>
      <c r="P385" s="184">
        <f>IFERROR(__xludf.DUMMYFUNCTION("""COMPUTED_VALUE"""),6832.48845)</f>
        <v>6832.48845</v>
      </c>
      <c r="Q385" s="177"/>
      <c r="R385" s="178">
        <f>IFERROR(__xludf.DUMMYFUNCTION("""COMPUTED_VALUE"""),9.11)</f>
        <v>9.11</v>
      </c>
      <c r="S385" s="176">
        <f>IFERROR(__xludf.DUMMYFUNCTION("""COMPUTED_VALUE"""),-5607.564845)</f>
        <v>-5607.564845</v>
      </c>
      <c r="T385" s="95">
        <f>IFERROR(__xludf.DUMMYFUNCTION("""COMPUTED_VALUE"""),2.0)</f>
        <v>2</v>
      </c>
      <c r="U385" s="95">
        <f>IFERROR(__xludf.DUMMYFUNCTION("""COMPUTED_VALUE"""),1.0)</f>
        <v>1</v>
      </c>
      <c r="V385" s="185">
        <f>IFERROR(__xludf.DUMMYFUNCTION("""COMPUTED_VALUE"""),-764.376295)</f>
        <v>-764.376295</v>
      </c>
      <c r="W385" s="171" t="str">
        <f>IFERROR(__xludf.DUMMYFUNCTION("""COMPUTED_VALUE"""),"")</f>
        <v/>
      </c>
      <c r="X385" s="14" t="str">
        <f>IFERROR(__xludf.DUMMYFUNCTION("""COMPUTED_VALUE"""),"")</f>
        <v/>
      </c>
      <c r="Y385" s="14" t="str">
        <f>IFERROR(__xludf.DUMMYFUNCTION("""COMPUTED_VALUE"""),"")</f>
        <v/>
      </c>
      <c r="Z385" s="11" t="str">
        <f>IFERROR(__xludf.DUMMYFUNCTION("""COMPUTED_VALUE"""),"")</f>
        <v/>
      </c>
    </row>
    <row r="386">
      <c r="A386" s="35" t="str">
        <f>IFERROR(__xludf.DUMMYFUNCTION("""COMPUTED_VALUE"""),"")</f>
        <v/>
      </c>
      <c r="B386" s="35" t="str">
        <f>IFERROR(__xludf.DUMMYFUNCTION("""COMPUTED_VALUE"""),"39302")</f>
        <v>39302</v>
      </c>
      <c r="C386" s="172">
        <f>IFERROR(__xludf.DUMMYFUNCTION("""COMPUTED_VALUE"""),4.4652001074E10)</f>
        <v>44652001074</v>
      </c>
      <c r="D386" s="188" t="str">
        <f>IFERROR(__xludf.DUMMYFUNCTION("""COMPUTED_VALUE"""),"003040.SZ")</f>
        <v>003040.SZ</v>
      </c>
      <c r="E386" s="173">
        <f>IFERROR(__xludf.DUMMYFUNCTION("""COMPUTED_VALUE"""),44652.0)</f>
        <v>44652</v>
      </c>
      <c r="F386" s="35" t="str">
        <f>IFERROR(__xludf.DUMMYFUNCTION("""COMPUTED_VALUE"""),"Stock")</f>
        <v>Stock</v>
      </c>
      <c r="G386" s="35" t="str">
        <f>IFERROR(__xludf.DUMMYFUNCTION("""COMPUTED_VALUE"""),"CNY")</f>
        <v>CNY</v>
      </c>
      <c r="H386" s="181">
        <f>IFERROR(__xludf.DUMMYFUNCTION("""COMPUTED_VALUE"""),300.0)</f>
        <v>300</v>
      </c>
      <c r="I386" s="174">
        <f>IFERROR(__xludf.DUMMYFUNCTION("""COMPUTED_VALUE"""),1.231079)</f>
        <v>1.231079</v>
      </c>
      <c r="J386" s="175">
        <f>IFERROR(__xludf.DUMMYFUNCTION("""COMPUTED_VALUE"""),24.49)</f>
        <v>24.49</v>
      </c>
      <c r="K386" s="35"/>
      <c r="L386" s="175">
        <f>IFERROR(__xludf.DUMMYFUNCTION("""COMPUTED_VALUE"""),23.86)</f>
        <v>23.86</v>
      </c>
      <c r="M386" s="182" t="str">
        <f>IFERROR(__xludf.DUMMYFUNCTION("""COMPUTED_VALUE"""),"Equity Key Stats")</f>
        <v>Equity Key Stats</v>
      </c>
      <c r="N386" s="35"/>
      <c r="O386" s="35"/>
      <c r="P386" s="184">
        <f>IFERROR(__xludf.DUMMYFUNCTION("""COMPUTED_VALUE"""),-9044.737413)</f>
        <v>-9044.737413</v>
      </c>
      <c r="Q386" s="177"/>
      <c r="R386" s="178">
        <f>IFERROR(__xludf.DUMMYFUNCTION("""COMPUTED_VALUE"""),23.86)</f>
        <v>23.86</v>
      </c>
      <c r="S386" s="176">
        <f>IFERROR(__xludf.DUMMYFUNCTION("""COMPUTED_VALUE"""),8812.063482000001)</f>
        <v>8812.063482</v>
      </c>
      <c r="T386" s="95">
        <f>IFERROR(__xludf.DUMMYFUNCTION("""COMPUTED_VALUE"""),2.0)</f>
        <v>2</v>
      </c>
      <c r="U386" s="35" t="str">
        <f>IFERROR(__xludf.DUMMYFUNCTION("""COMPUTED_VALUE"""),"")</f>
        <v/>
      </c>
      <c r="V386" s="170" t="str">
        <f>IFERROR(__xludf.DUMMYFUNCTION("""COMPUTED_VALUE"""),"")</f>
        <v/>
      </c>
      <c r="W386" s="171" t="str">
        <f>IFERROR(__xludf.DUMMYFUNCTION("""COMPUTED_VALUE"""),"")</f>
        <v/>
      </c>
      <c r="X386" s="14" t="str">
        <f>IFERROR(__xludf.DUMMYFUNCTION("""COMPUTED_VALUE"""),"")</f>
        <v/>
      </c>
      <c r="Y386" s="14" t="str">
        <f>IFERROR(__xludf.DUMMYFUNCTION("""COMPUTED_VALUE"""),"")</f>
        <v/>
      </c>
      <c r="Z386" s="11" t="str">
        <f>IFERROR(__xludf.DUMMYFUNCTION("""COMPUTED_VALUE"""),"")</f>
        <v/>
      </c>
    </row>
    <row r="387">
      <c r="A387" s="35" t="str">
        <f>IFERROR(__xludf.DUMMYFUNCTION("""COMPUTED_VALUE"""),"")</f>
        <v/>
      </c>
      <c r="B387" s="35" t="str">
        <f>IFERROR(__xludf.DUMMYFUNCTION("""COMPUTED_VALUE"""),"39302")</f>
        <v>39302</v>
      </c>
      <c r="C387" s="172">
        <f>IFERROR(__xludf.DUMMYFUNCTION("""COMPUTED_VALUE"""),4.4652001082E10)</f>
        <v>44652001082</v>
      </c>
      <c r="D387" s="192" t="str">
        <f>IFERROR(__xludf.DUMMYFUNCTION("""COMPUTED_VALUE"""),"000950.SZ")</f>
        <v>000950.SZ</v>
      </c>
      <c r="E387" s="173">
        <f>IFERROR(__xludf.DUMMYFUNCTION("""COMPUTED_VALUE"""),44652.0)</f>
        <v>44652</v>
      </c>
      <c r="F387" s="35" t="str">
        <f>IFERROR(__xludf.DUMMYFUNCTION("""COMPUTED_VALUE"""),"Stock")</f>
        <v>Stock</v>
      </c>
      <c r="G387" s="35" t="str">
        <f>IFERROR(__xludf.DUMMYFUNCTION("""COMPUTED_VALUE"""),"CNY")</f>
        <v>CNY</v>
      </c>
      <c r="H387" s="181">
        <f>IFERROR(__xludf.DUMMYFUNCTION("""COMPUTED_VALUE"""),1000.0)</f>
        <v>1000</v>
      </c>
      <c r="I387" s="174">
        <f>IFERROR(__xludf.DUMMYFUNCTION("""COMPUTED_VALUE"""),1.231079)</f>
        <v>1.231079</v>
      </c>
      <c r="J387" s="175">
        <f>IFERROR(__xludf.DUMMYFUNCTION("""COMPUTED_VALUE"""),5.79)</f>
        <v>5.79</v>
      </c>
      <c r="K387" s="35"/>
      <c r="L387" s="175">
        <f>IFERROR(__xludf.DUMMYFUNCTION("""COMPUTED_VALUE"""),5.34)</f>
        <v>5.34</v>
      </c>
      <c r="M387" s="182" t="str">
        <f>IFERROR(__xludf.DUMMYFUNCTION("""COMPUTED_VALUE"""),"Equity Key Stats")</f>
        <v>Equity Key Stats</v>
      </c>
      <c r="N387" s="35"/>
      <c r="O387" s="35"/>
      <c r="P387" s="184">
        <f>IFERROR(__xludf.DUMMYFUNCTION("""COMPUTED_VALUE"""),-7127.94741)</f>
        <v>-7127.94741</v>
      </c>
      <c r="Q387" s="177"/>
      <c r="R387" s="178">
        <f>IFERROR(__xludf.DUMMYFUNCTION("""COMPUTED_VALUE"""),5.34)</f>
        <v>5.34</v>
      </c>
      <c r="S387" s="176">
        <f>IFERROR(__xludf.DUMMYFUNCTION("""COMPUTED_VALUE"""),6573.961859999999)</f>
        <v>6573.96186</v>
      </c>
      <c r="T387" s="95">
        <f>IFERROR(__xludf.DUMMYFUNCTION("""COMPUTED_VALUE"""),2.0)</f>
        <v>2</v>
      </c>
      <c r="U387" s="95" t="str">
        <f>IFERROR(__xludf.DUMMYFUNCTION("""COMPUTED_VALUE"""),"")</f>
        <v/>
      </c>
      <c r="V387" s="179" t="str">
        <f>IFERROR(__xludf.DUMMYFUNCTION("""COMPUTED_VALUE"""),"")</f>
        <v/>
      </c>
      <c r="W387" s="171" t="str">
        <f>IFERROR(__xludf.DUMMYFUNCTION("""COMPUTED_VALUE"""),"")</f>
        <v/>
      </c>
      <c r="X387" s="14" t="str">
        <f>IFERROR(__xludf.DUMMYFUNCTION("""COMPUTED_VALUE"""),"")</f>
        <v/>
      </c>
      <c r="Y387" s="14" t="str">
        <f>IFERROR(__xludf.DUMMYFUNCTION("""COMPUTED_VALUE"""),"")</f>
        <v/>
      </c>
      <c r="Z387" s="11" t="str">
        <f>IFERROR(__xludf.DUMMYFUNCTION("""COMPUTED_VALUE"""),"")</f>
        <v/>
      </c>
    </row>
    <row r="388">
      <c r="A388" s="35" t="str">
        <f>IFERROR(__xludf.DUMMYFUNCTION("""COMPUTED_VALUE"""),"")</f>
        <v/>
      </c>
      <c r="B388" s="35" t="str">
        <f>IFERROR(__xludf.DUMMYFUNCTION("""COMPUTED_VALUE"""),"39302")</f>
        <v>39302</v>
      </c>
      <c r="C388" s="172">
        <f>IFERROR(__xludf.DUMMYFUNCTION("""COMPUTED_VALUE"""),4.4653001101E10)</f>
        <v>44653001101</v>
      </c>
      <c r="D388" s="192" t="str">
        <f>IFERROR(__xludf.DUMMYFUNCTION("""COMPUTED_VALUE"""),"002307.SZ")</f>
        <v>002307.SZ</v>
      </c>
      <c r="E388" s="173">
        <f>IFERROR(__xludf.DUMMYFUNCTION("""COMPUTED_VALUE"""),44653.0)</f>
        <v>44653</v>
      </c>
      <c r="F388" s="35" t="str">
        <f>IFERROR(__xludf.DUMMYFUNCTION("""COMPUTED_VALUE"""),"Stock")</f>
        <v>Stock</v>
      </c>
      <c r="G388" s="35" t="str">
        <f>IFERROR(__xludf.DUMMYFUNCTION("""COMPUTED_VALUE"""),"CNY")</f>
        <v>CNY</v>
      </c>
      <c r="H388" s="181">
        <f>IFERROR(__xludf.DUMMYFUNCTION("""COMPUTED_VALUE"""),4000.0)</f>
        <v>4000</v>
      </c>
      <c r="I388" s="174">
        <f>IFERROR(__xludf.DUMMYFUNCTION("""COMPUTED_VALUE"""),1.230998)</f>
        <v>1.230998</v>
      </c>
      <c r="J388" s="175">
        <f>IFERROR(__xludf.DUMMYFUNCTION("""COMPUTED_VALUE"""),5.29)</f>
        <v>5.29</v>
      </c>
      <c r="K388" s="35"/>
      <c r="L388" s="175">
        <f>IFERROR(__xludf.DUMMYFUNCTION("""COMPUTED_VALUE"""),6.41)</f>
        <v>6.41</v>
      </c>
      <c r="M388" s="182" t="str">
        <f>IFERROR(__xludf.DUMMYFUNCTION("""COMPUTED_VALUE"""),"Equity Key Stats")</f>
        <v>Equity Key Stats</v>
      </c>
      <c r="N388" s="35"/>
      <c r="O388" s="35"/>
      <c r="P388" s="184">
        <f>IFERROR(__xludf.DUMMYFUNCTION("""COMPUTED_VALUE"""),-26047.917680000002)</f>
        <v>-26047.91768</v>
      </c>
      <c r="Q388" s="177"/>
      <c r="R388" s="178">
        <f>IFERROR(__xludf.DUMMYFUNCTION("""COMPUTED_VALUE"""),6.41)</f>
        <v>6.41</v>
      </c>
      <c r="S388" s="176">
        <f>IFERROR(__xludf.DUMMYFUNCTION("""COMPUTED_VALUE"""),31562.78872)</f>
        <v>31562.78872</v>
      </c>
      <c r="T388" s="95">
        <f>IFERROR(__xludf.DUMMYFUNCTION("""COMPUTED_VALUE"""),4.0)</f>
        <v>4</v>
      </c>
      <c r="U388" s="95" t="str">
        <f>IFERROR(__xludf.DUMMYFUNCTION("""COMPUTED_VALUE"""),"")</f>
        <v/>
      </c>
      <c r="V388" s="179" t="str">
        <f>IFERROR(__xludf.DUMMYFUNCTION("""COMPUTED_VALUE"""),"")</f>
        <v/>
      </c>
      <c r="W388" s="171" t="str">
        <f>IFERROR(__xludf.DUMMYFUNCTION("""COMPUTED_VALUE"""),"")</f>
        <v/>
      </c>
      <c r="X388" s="14" t="str">
        <f>IFERROR(__xludf.DUMMYFUNCTION("""COMPUTED_VALUE"""),"")</f>
        <v/>
      </c>
      <c r="Y388" s="14" t="str">
        <f>IFERROR(__xludf.DUMMYFUNCTION("""COMPUTED_VALUE"""),"")</f>
        <v/>
      </c>
      <c r="Z388" s="11" t="str">
        <f>IFERROR(__xludf.DUMMYFUNCTION("""COMPUTED_VALUE"""),"")</f>
        <v/>
      </c>
    </row>
    <row r="389">
      <c r="A389" s="35" t="str">
        <f>IFERROR(__xludf.DUMMYFUNCTION("""COMPUTED_VALUE"""),"")</f>
        <v/>
      </c>
      <c r="B389" s="35" t="str">
        <f>IFERROR(__xludf.DUMMYFUNCTION("""COMPUTED_VALUE"""),"39302")</f>
        <v>39302</v>
      </c>
      <c r="C389" s="172">
        <f>IFERROR(__xludf.DUMMYFUNCTION("""COMPUTED_VALUE"""),4.4657001153E10)</f>
        <v>44657001153</v>
      </c>
      <c r="D389" s="188" t="str">
        <f>IFERROR(__xludf.DUMMYFUNCTION("""COMPUTED_VALUE"""),"002657.SZ")</f>
        <v>002657.SZ</v>
      </c>
      <c r="E389" s="173">
        <f>IFERROR(__xludf.DUMMYFUNCTION("""COMPUTED_VALUE"""),44657.0)</f>
        <v>44657</v>
      </c>
      <c r="F389" s="35" t="str">
        <f>IFERROR(__xludf.DUMMYFUNCTION("""COMPUTED_VALUE"""),"Stock")</f>
        <v>Stock</v>
      </c>
      <c r="G389" s="35" t="str">
        <f>IFERROR(__xludf.DUMMYFUNCTION("""COMPUTED_VALUE"""),"CNY")</f>
        <v>CNY</v>
      </c>
      <c r="H389" s="183">
        <f>IFERROR(__xludf.DUMMYFUNCTION("""COMPUTED_VALUE"""),-1000.0)</f>
        <v>-1000</v>
      </c>
      <c r="I389" s="174">
        <f>IFERROR(__xludf.DUMMYFUNCTION("""COMPUTED_VALUE"""),1.232502)</f>
        <v>1.232502</v>
      </c>
      <c r="J389" s="175">
        <f>IFERROR(__xludf.DUMMYFUNCTION("""COMPUTED_VALUE"""),21.14)</f>
        <v>21.14</v>
      </c>
      <c r="K389" s="35"/>
      <c r="L389" s="175">
        <f>IFERROR(__xludf.DUMMYFUNCTION("""COMPUTED_VALUE"""),15.91)</f>
        <v>15.91</v>
      </c>
      <c r="M389" s="182" t="str">
        <f>IFERROR(__xludf.DUMMYFUNCTION("""COMPUTED_VALUE"""),"Equity Key Stats")</f>
        <v>Equity Key Stats</v>
      </c>
      <c r="N389" s="35"/>
      <c r="O389" s="35"/>
      <c r="P389" s="176">
        <f>IFERROR(__xludf.DUMMYFUNCTION("""COMPUTED_VALUE"""),26055.09228)</f>
        <v>26055.09228</v>
      </c>
      <c r="Q389" s="177"/>
      <c r="R389" s="178">
        <f>IFERROR(__xludf.DUMMYFUNCTION("""COMPUTED_VALUE"""),15.91)</f>
        <v>15.91</v>
      </c>
      <c r="S389" s="184">
        <f>IFERROR(__xludf.DUMMYFUNCTION("""COMPUTED_VALUE"""),-19609.10682)</f>
        <v>-19609.10682</v>
      </c>
      <c r="T389" s="95">
        <f>IFERROR(__xludf.DUMMYFUNCTION("""COMPUTED_VALUE"""),6.0)</f>
        <v>6</v>
      </c>
      <c r="U389" s="35" t="str">
        <f>IFERROR(__xludf.DUMMYFUNCTION("""COMPUTED_VALUE"""),"")</f>
        <v/>
      </c>
      <c r="V389" s="170" t="str">
        <f>IFERROR(__xludf.DUMMYFUNCTION("""COMPUTED_VALUE"""),"")</f>
        <v/>
      </c>
      <c r="W389" s="171" t="str">
        <f>IFERROR(__xludf.DUMMYFUNCTION("""COMPUTED_VALUE"""),"")</f>
        <v/>
      </c>
      <c r="X389" s="14" t="str">
        <f>IFERROR(__xludf.DUMMYFUNCTION("""COMPUTED_VALUE"""),"")</f>
        <v/>
      </c>
      <c r="Y389" s="14" t="str">
        <f>IFERROR(__xludf.DUMMYFUNCTION("""COMPUTED_VALUE"""),"")</f>
        <v/>
      </c>
      <c r="Z389" s="11" t="str">
        <f>IFERROR(__xludf.DUMMYFUNCTION("""COMPUTED_VALUE"""),"")</f>
        <v/>
      </c>
    </row>
    <row r="390">
      <c r="A390" s="35" t="str">
        <f>IFERROR(__xludf.DUMMYFUNCTION("""COMPUTED_VALUE"""),"")</f>
        <v/>
      </c>
      <c r="B390" s="35" t="str">
        <f>IFERROR(__xludf.DUMMYFUNCTION("""COMPUTED_VALUE"""),"39302")</f>
        <v>39302</v>
      </c>
      <c r="C390" s="172">
        <f>IFERROR(__xludf.DUMMYFUNCTION("""COMPUTED_VALUE"""),4.4657001154E10)</f>
        <v>44657001154</v>
      </c>
      <c r="D390" s="188" t="str">
        <f>IFERROR(__xludf.DUMMYFUNCTION("""COMPUTED_VALUE"""),"002657.SZ")</f>
        <v>002657.SZ</v>
      </c>
      <c r="E390" s="173">
        <f>IFERROR(__xludf.DUMMYFUNCTION("""COMPUTED_VALUE"""),44657.0)</f>
        <v>44657</v>
      </c>
      <c r="F390" s="35" t="str">
        <f>IFERROR(__xludf.DUMMYFUNCTION("""COMPUTED_VALUE"""),"Stock")</f>
        <v>Stock</v>
      </c>
      <c r="G390" s="35" t="str">
        <f>IFERROR(__xludf.DUMMYFUNCTION("""COMPUTED_VALUE"""),"CNY")</f>
        <v>CNY</v>
      </c>
      <c r="H390" s="181">
        <f>IFERROR(__xludf.DUMMYFUNCTION("""COMPUTED_VALUE"""),2000.0)</f>
        <v>2000</v>
      </c>
      <c r="I390" s="174">
        <f>IFERROR(__xludf.DUMMYFUNCTION("""COMPUTED_VALUE"""),1.232502)</f>
        <v>1.232502</v>
      </c>
      <c r="J390" s="175">
        <f>IFERROR(__xludf.DUMMYFUNCTION("""COMPUTED_VALUE"""),21.14)</f>
        <v>21.14</v>
      </c>
      <c r="K390" s="35"/>
      <c r="L390" s="175">
        <f>IFERROR(__xludf.DUMMYFUNCTION("""COMPUTED_VALUE"""),15.91)</f>
        <v>15.91</v>
      </c>
      <c r="M390" s="182" t="str">
        <f>IFERROR(__xludf.DUMMYFUNCTION("""COMPUTED_VALUE"""),"Equity Key Stats")</f>
        <v>Equity Key Stats</v>
      </c>
      <c r="N390" s="35"/>
      <c r="O390" s="35"/>
      <c r="P390" s="184">
        <f>IFERROR(__xludf.DUMMYFUNCTION("""COMPUTED_VALUE"""),-52110.18456)</f>
        <v>-52110.18456</v>
      </c>
      <c r="Q390" s="177"/>
      <c r="R390" s="178">
        <f>IFERROR(__xludf.DUMMYFUNCTION("""COMPUTED_VALUE"""),15.91)</f>
        <v>15.91</v>
      </c>
      <c r="S390" s="176">
        <f>IFERROR(__xludf.DUMMYFUNCTION("""COMPUTED_VALUE"""),39218.21364)</f>
        <v>39218.21364</v>
      </c>
      <c r="T390" s="95">
        <f>IFERROR(__xludf.DUMMYFUNCTION("""COMPUTED_VALUE"""),6.0)</f>
        <v>6</v>
      </c>
      <c r="U390" s="95" t="str">
        <f>IFERROR(__xludf.DUMMYFUNCTION("""COMPUTED_VALUE"""),"")</f>
        <v/>
      </c>
      <c r="V390" s="185" t="str">
        <f>IFERROR(__xludf.DUMMYFUNCTION("""COMPUTED_VALUE"""),"")</f>
        <v/>
      </c>
      <c r="W390" s="55" t="str">
        <f>IFERROR(__xludf.DUMMYFUNCTION("""COMPUTED_VALUE"""),"")</f>
        <v/>
      </c>
      <c r="X390" s="181" t="str">
        <f>IFERROR(__xludf.DUMMYFUNCTION("""COMPUTED_VALUE"""),"")</f>
        <v/>
      </c>
      <c r="Y390" s="181" t="str">
        <f>IFERROR(__xludf.DUMMYFUNCTION("""COMPUTED_VALUE"""),"")</f>
        <v/>
      </c>
      <c r="Z390" s="189" t="str">
        <f>IFERROR(__xludf.DUMMYFUNCTION("""COMPUTED_VALUE"""),"")</f>
        <v/>
      </c>
    </row>
    <row r="391">
      <c r="A391" s="35" t="str">
        <f>IFERROR(__xludf.DUMMYFUNCTION("""COMPUTED_VALUE"""),"")</f>
        <v/>
      </c>
      <c r="B391" s="35" t="str">
        <f>IFERROR(__xludf.DUMMYFUNCTION("""COMPUTED_VALUE"""),"39302")</f>
        <v>39302</v>
      </c>
      <c r="C391" s="172">
        <f>IFERROR(__xludf.DUMMYFUNCTION("""COMPUTED_VALUE"""),4.4657001155E10)</f>
        <v>44657001155</v>
      </c>
      <c r="D391" s="188" t="str">
        <f>IFERROR(__xludf.DUMMYFUNCTION("""COMPUTED_VALUE"""),"002657.SZ")</f>
        <v>002657.SZ</v>
      </c>
      <c r="E391" s="173">
        <f>IFERROR(__xludf.DUMMYFUNCTION("""COMPUTED_VALUE"""),44657.0)</f>
        <v>44657</v>
      </c>
      <c r="F391" s="35" t="str">
        <f>IFERROR(__xludf.DUMMYFUNCTION("""COMPUTED_VALUE"""),"Stock")</f>
        <v>Stock</v>
      </c>
      <c r="G391" s="35" t="str">
        <f>IFERROR(__xludf.DUMMYFUNCTION("""COMPUTED_VALUE"""),"CNY")</f>
        <v>CNY</v>
      </c>
      <c r="H391" s="14">
        <f>IFERROR(__xludf.DUMMYFUNCTION("""COMPUTED_VALUE"""),1000.0)</f>
        <v>1000</v>
      </c>
      <c r="I391" s="174">
        <f>IFERROR(__xludf.DUMMYFUNCTION("""COMPUTED_VALUE"""),1.232502)</f>
        <v>1.232502</v>
      </c>
      <c r="J391" s="175">
        <f>IFERROR(__xludf.DUMMYFUNCTION("""COMPUTED_VALUE"""),21.14)</f>
        <v>21.14</v>
      </c>
      <c r="K391" s="35"/>
      <c r="L391" s="175">
        <f>IFERROR(__xludf.DUMMYFUNCTION("""COMPUTED_VALUE"""),15.91)</f>
        <v>15.91</v>
      </c>
      <c r="M391" s="187" t="str">
        <f>IFERROR(__xludf.DUMMYFUNCTION("""COMPUTED_VALUE"""),"Equity Key Stats")</f>
        <v>Equity Key Stats</v>
      </c>
      <c r="N391" s="35"/>
      <c r="O391" s="35"/>
      <c r="P391" s="176">
        <f>IFERROR(__xludf.DUMMYFUNCTION("""COMPUTED_VALUE"""),-26055.09228)</f>
        <v>-26055.09228</v>
      </c>
      <c r="Q391" s="177"/>
      <c r="R391" s="178">
        <f>IFERROR(__xludf.DUMMYFUNCTION("""COMPUTED_VALUE"""),15.91)</f>
        <v>15.91</v>
      </c>
      <c r="S391" s="151">
        <f>IFERROR(__xludf.DUMMYFUNCTION("""COMPUTED_VALUE"""),19609.10682)</f>
        <v>19609.10682</v>
      </c>
      <c r="T391" s="95">
        <f>IFERROR(__xludf.DUMMYFUNCTION("""COMPUTED_VALUE"""),6.0)</f>
        <v>6</v>
      </c>
      <c r="U391" s="95" t="str">
        <f>IFERROR(__xludf.DUMMYFUNCTION("""COMPUTED_VALUE"""),"")</f>
        <v/>
      </c>
      <c r="V391" s="179" t="str">
        <f>IFERROR(__xludf.DUMMYFUNCTION("""COMPUTED_VALUE"""),"")</f>
        <v/>
      </c>
      <c r="W391" s="171" t="str">
        <f>IFERROR(__xludf.DUMMYFUNCTION("""COMPUTED_VALUE"""),"")</f>
        <v/>
      </c>
      <c r="X391" s="14" t="str">
        <f>IFERROR(__xludf.DUMMYFUNCTION("""COMPUTED_VALUE"""),"")</f>
        <v/>
      </c>
      <c r="Y391" s="14" t="str">
        <f>IFERROR(__xludf.DUMMYFUNCTION("""COMPUTED_VALUE"""),"")</f>
        <v/>
      </c>
      <c r="Z391" s="11" t="str">
        <f>IFERROR(__xludf.DUMMYFUNCTION("""COMPUTED_VALUE"""),"")</f>
        <v/>
      </c>
    </row>
    <row r="392">
      <c r="A392" s="35" t="str">
        <f>IFERROR(__xludf.DUMMYFUNCTION("""COMPUTED_VALUE"""),"")</f>
        <v/>
      </c>
      <c r="B392" s="35" t="str">
        <f>IFERROR(__xludf.DUMMYFUNCTION("""COMPUTED_VALUE"""),"39302")</f>
        <v>39302</v>
      </c>
      <c r="C392" s="172">
        <f>IFERROR(__xludf.DUMMYFUNCTION("""COMPUTED_VALUE"""),4.4658001193E10)</f>
        <v>44658001193</v>
      </c>
      <c r="D392" s="188" t="str">
        <f>IFERROR(__xludf.DUMMYFUNCTION("""COMPUTED_VALUE"""),"002864.SZ")</f>
        <v>002864.SZ</v>
      </c>
      <c r="E392" s="173">
        <f>IFERROR(__xludf.DUMMYFUNCTION("""COMPUTED_VALUE"""),44658.0)</f>
        <v>44658</v>
      </c>
      <c r="F392" s="35" t="str">
        <f>IFERROR(__xludf.DUMMYFUNCTION("""COMPUTED_VALUE"""),"Stock")</f>
        <v>Stock</v>
      </c>
      <c r="G392" s="35" t="str">
        <f>IFERROR(__xludf.DUMMYFUNCTION("""COMPUTED_VALUE"""),"CNY")</f>
        <v>CNY</v>
      </c>
      <c r="H392" s="14">
        <f>IFERROR(__xludf.DUMMYFUNCTION("""COMPUTED_VALUE"""),-300.0)</f>
        <v>-300</v>
      </c>
      <c r="I392" s="174">
        <f>IFERROR(__xludf.DUMMYFUNCTION("""COMPUTED_VALUE"""),1.232139)</f>
        <v>1.232139</v>
      </c>
      <c r="J392" s="175">
        <f>IFERROR(__xludf.DUMMYFUNCTION("""COMPUTED_VALUE"""),67.55)</f>
        <v>67.55</v>
      </c>
      <c r="K392" s="35"/>
      <c r="L392" s="175">
        <f>IFERROR(__xludf.DUMMYFUNCTION("""COMPUTED_VALUE"""),45.95)</f>
        <v>45.95</v>
      </c>
      <c r="M392" s="182" t="str">
        <f>IFERROR(__xludf.DUMMYFUNCTION("""COMPUTED_VALUE"""),"Equity Key Stats")</f>
        <v>Equity Key Stats</v>
      </c>
      <c r="N392" s="35"/>
      <c r="O392" s="35"/>
      <c r="P392" s="176">
        <f>IFERROR(__xludf.DUMMYFUNCTION("""COMPUTED_VALUE"""),24969.296835)</f>
        <v>24969.29684</v>
      </c>
      <c r="Q392" s="177"/>
      <c r="R392" s="178">
        <f>IFERROR(__xludf.DUMMYFUNCTION("""COMPUTED_VALUE"""),45.95)</f>
        <v>45.95</v>
      </c>
      <c r="S392" s="176">
        <f>IFERROR(__xludf.DUMMYFUNCTION("""COMPUTED_VALUE"""),-16985.036115000003)</f>
        <v>-16985.03612</v>
      </c>
      <c r="T392" s="95">
        <f>IFERROR(__xludf.DUMMYFUNCTION("""COMPUTED_VALUE"""),3.0)</f>
        <v>3</v>
      </c>
      <c r="U392" s="95">
        <f>IFERROR(__xludf.DUMMYFUNCTION("""COMPUTED_VALUE"""),1.0)</f>
        <v>1</v>
      </c>
      <c r="V392" s="179">
        <f>IFERROR(__xludf.DUMMYFUNCTION("""COMPUTED_VALUE"""),508.04622799999925)</f>
        <v>508.046228</v>
      </c>
      <c r="W392" s="171" t="str">
        <f>IFERROR(__xludf.DUMMYFUNCTION("""COMPUTED_VALUE"""),"")</f>
        <v/>
      </c>
      <c r="X392" s="14" t="str">
        <f>IFERROR(__xludf.DUMMYFUNCTION("""COMPUTED_VALUE"""),"")</f>
        <v/>
      </c>
      <c r="Y392" s="14" t="str">
        <f>IFERROR(__xludf.DUMMYFUNCTION("""COMPUTED_VALUE"""),"")</f>
        <v/>
      </c>
      <c r="Z392" s="11" t="str">
        <f>IFERROR(__xludf.DUMMYFUNCTION("""COMPUTED_VALUE"""),"")</f>
        <v/>
      </c>
    </row>
    <row r="393">
      <c r="A393" s="35" t="str">
        <f>IFERROR(__xludf.DUMMYFUNCTION("""COMPUTED_VALUE"""),"")</f>
        <v/>
      </c>
      <c r="B393" s="35" t="str">
        <f>IFERROR(__xludf.DUMMYFUNCTION("""COMPUTED_VALUE"""),"39302")</f>
        <v>39302</v>
      </c>
      <c r="C393" s="172">
        <f>IFERROR(__xludf.DUMMYFUNCTION("""COMPUTED_VALUE"""),4.4658001194E10)</f>
        <v>44658001194</v>
      </c>
      <c r="D393" s="188" t="str">
        <f>IFERROR(__xludf.DUMMYFUNCTION("""COMPUTED_VALUE"""),"002657.SZ")</f>
        <v>002657.SZ</v>
      </c>
      <c r="E393" s="173">
        <f>IFERROR(__xludf.DUMMYFUNCTION("""COMPUTED_VALUE"""),44658.0)</f>
        <v>44658</v>
      </c>
      <c r="F393" s="35" t="str">
        <f>IFERROR(__xludf.DUMMYFUNCTION("""COMPUTED_VALUE"""),"Stock")</f>
        <v>Stock</v>
      </c>
      <c r="G393" s="35" t="str">
        <f>IFERROR(__xludf.DUMMYFUNCTION("""COMPUTED_VALUE"""),"CNY")</f>
        <v>CNY</v>
      </c>
      <c r="H393" s="181">
        <f>IFERROR(__xludf.DUMMYFUNCTION("""COMPUTED_VALUE"""),-3000.0)</f>
        <v>-3000</v>
      </c>
      <c r="I393" s="174">
        <f>IFERROR(__xludf.DUMMYFUNCTION("""COMPUTED_VALUE"""),1.232139)</f>
        <v>1.232139</v>
      </c>
      <c r="J393" s="175">
        <f>IFERROR(__xludf.DUMMYFUNCTION("""COMPUTED_VALUE"""),19.03)</f>
        <v>19.03</v>
      </c>
      <c r="K393" s="35"/>
      <c r="L393" s="175">
        <f>IFERROR(__xludf.DUMMYFUNCTION("""COMPUTED_VALUE"""),15.91)</f>
        <v>15.91</v>
      </c>
      <c r="M393" s="182" t="str">
        <f>IFERROR(__xludf.DUMMYFUNCTION("""COMPUTED_VALUE"""),"Equity Key Stats")</f>
        <v>Equity Key Stats</v>
      </c>
      <c r="N393" s="35"/>
      <c r="O393" s="35"/>
      <c r="P393" s="184">
        <f>IFERROR(__xludf.DUMMYFUNCTION("""COMPUTED_VALUE"""),70342.81551000001)</f>
        <v>70342.81551</v>
      </c>
      <c r="Q393" s="177"/>
      <c r="R393" s="178">
        <f>IFERROR(__xludf.DUMMYFUNCTION("""COMPUTED_VALUE"""),15.91)</f>
        <v>15.91</v>
      </c>
      <c r="S393" s="176">
        <f>IFERROR(__xludf.DUMMYFUNCTION("""COMPUTED_VALUE"""),-58809.994470000005)</f>
        <v>-58809.99447</v>
      </c>
      <c r="T393" s="95">
        <f>IFERROR(__xludf.DUMMYFUNCTION("""COMPUTED_VALUE"""),6.0)</f>
        <v>6</v>
      </c>
      <c r="U393" s="95">
        <f>IFERROR(__xludf.DUMMYFUNCTION("""COMPUTED_VALUE"""),1.0)</f>
        <v>1</v>
      </c>
      <c r="V393" s="185">
        <f>IFERROR(__xludf.DUMMYFUNCTION("""COMPUTED_VALUE"""),-8245.011174999992)</f>
        <v>-8245.011175</v>
      </c>
      <c r="W393" s="171" t="str">
        <f>IFERROR(__xludf.DUMMYFUNCTION("""COMPUTED_VALUE"""),"")</f>
        <v/>
      </c>
      <c r="X393" s="14" t="str">
        <f>IFERROR(__xludf.DUMMYFUNCTION("""COMPUTED_VALUE"""),"")</f>
        <v/>
      </c>
      <c r="Y393" s="14" t="str">
        <f>IFERROR(__xludf.DUMMYFUNCTION("""COMPUTED_VALUE"""),"")</f>
        <v/>
      </c>
      <c r="Z393" s="11" t="str">
        <f>IFERROR(__xludf.DUMMYFUNCTION("""COMPUTED_VALUE"""),"")</f>
        <v/>
      </c>
    </row>
    <row r="394">
      <c r="A394" s="35" t="str">
        <f>IFERROR(__xludf.DUMMYFUNCTION("""COMPUTED_VALUE"""),"")</f>
        <v/>
      </c>
      <c r="B394" s="35" t="str">
        <f>IFERROR(__xludf.DUMMYFUNCTION("""COMPUTED_VALUE"""),"39302")</f>
        <v>39302</v>
      </c>
      <c r="C394" s="172">
        <f>IFERROR(__xludf.DUMMYFUNCTION("""COMPUTED_VALUE"""),4.4658001196E10)</f>
        <v>44658001196</v>
      </c>
      <c r="D394" s="188" t="str">
        <f>IFERROR(__xludf.DUMMYFUNCTION("""COMPUTED_VALUE"""),"600724.SS")</f>
        <v>600724.SS</v>
      </c>
      <c r="E394" s="173">
        <f>IFERROR(__xludf.DUMMYFUNCTION("""COMPUTED_VALUE"""),44658.0)</f>
        <v>44658</v>
      </c>
      <c r="F394" s="35" t="str">
        <f>IFERROR(__xludf.DUMMYFUNCTION("""COMPUTED_VALUE"""),"Stock")</f>
        <v>Stock</v>
      </c>
      <c r="G394" s="35" t="str">
        <f>IFERROR(__xludf.DUMMYFUNCTION("""COMPUTED_VALUE"""),"CNY")</f>
        <v>CNY</v>
      </c>
      <c r="H394" s="14">
        <f>IFERROR(__xludf.DUMMYFUNCTION("""COMPUTED_VALUE"""),20000.0)</f>
        <v>20000</v>
      </c>
      <c r="I394" s="174">
        <f>IFERROR(__xludf.DUMMYFUNCTION("""COMPUTED_VALUE"""),1.232139)</f>
        <v>1.232139</v>
      </c>
      <c r="J394" s="175">
        <f>IFERROR(__xludf.DUMMYFUNCTION("""COMPUTED_VALUE"""),5.25)</f>
        <v>5.25</v>
      </c>
      <c r="K394" s="35"/>
      <c r="L394" s="175">
        <f>IFERROR(__xludf.DUMMYFUNCTION("""COMPUTED_VALUE"""),5.84)</f>
        <v>5.84</v>
      </c>
      <c r="M394" s="182" t="str">
        <f>IFERROR(__xludf.DUMMYFUNCTION("""COMPUTED_VALUE"""),"Equity Key Stats")</f>
        <v>Equity Key Stats</v>
      </c>
      <c r="N394" s="35"/>
      <c r="O394" s="35"/>
      <c r="P394" s="176">
        <f>IFERROR(__xludf.DUMMYFUNCTION("""COMPUTED_VALUE"""),-129374.59500000002)</f>
        <v>-129374.595</v>
      </c>
      <c r="Q394" s="177"/>
      <c r="R394" s="178">
        <f>IFERROR(__xludf.DUMMYFUNCTION("""COMPUTED_VALUE"""),5.84)</f>
        <v>5.84</v>
      </c>
      <c r="S394" s="176">
        <f>IFERROR(__xludf.DUMMYFUNCTION("""COMPUTED_VALUE"""),143913.8352)</f>
        <v>143913.8352</v>
      </c>
      <c r="T394" s="95">
        <f>IFERROR(__xludf.DUMMYFUNCTION("""COMPUTED_VALUE"""),2.0)</f>
        <v>2</v>
      </c>
      <c r="U394" s="95" t="str">
        <f>IFERROR(__xludf.DUMMYFUNCTION("""COMPUTED_VALUE"""),"")</f>
        <v/>
      </c>
      <c r="V394" s="179" t="str">
        <f>IFERROR(__xludf.DUMMYFUNCTION("""COMPUTED_VALUE"""),"")</f>
        <v/>
      </c>
      <c r="W394" s="171" t="str">
        <f>IFERROR(__xludf.DUMMYFUNCTION("""COMPUTED_VALUE"""),"")</f>
        <v/>
      </c>
      <c r="X394" s="14" t="str">
        <f>IFERROR(__xludf.DUMMYFUNCTION("""COMPUTED_VALUE"""),"")</f>
        <v/>
      </c>
      <c r="Y394" s="14" t="str">
        <f>IFERROR(__xludf.DUMMYFUNCTION("""COMPUTED_VALUE"""),"")</f>
        <v/>
      </c>
      <c r="Z394" s="11" t="str">
        <f>IFERROR(__xludf.DUMMYFUNCTION("""COMPUTED_VALUE"""),"")</f>
        <v/>
      </c>
    </row>
    <row r="395">
      <c r="A395" s="35" t="str">
        <f>IFERROR(__xludf.DUMMYFUNCTION("""COMPUTED_VALUE"""),"")</f>
        <v/>
      </c>
      <c r="B395" s="35" t="str">
        <f>IFERROR(__xludf.DUMMYFUNCTION("""COMPUTED_VALUE"""),"39302")</f>
        <v>39302</v>
      </c>
      <c r="C395" s="172">
        <f>IFERROR(__xludf.DUMMYFUNCTION("""COMPUTED_VALUE"""),4.4658001197E10)</f>
        <v>44658001197</v>
      </c>
      <c r="D395" s="188" t="str">
        <f>IFERROR(__xludf.DUMMYFUNCTION("""COMPUTED_VALUE"""),"002307.SZ")</f>
        <v>002307.SZ</v>
      </c>
      <c r="E395" s="173">
        <f>IFERROR(__xludf.DUMMYFUNCTION("""COMPUTED_VALUE"""),44658.0)</f>
        <v>44658</v>
      </c>
      <c r="F395" s="35" t="str">
        <f>IFERROR(__xludf.DUMMYFUNCTION("""COMPUTED_VALUE"""),"Stock")</f>
        <v>Stock</v>
      </c>
      <c r="G395" s="35" t="str">
        <f>IFERROR(__xludf.DUMMYFUNCTION("""COMPUTED_VALUE"""),"CNY")</f>
        <v>CNY</v>
      </c>
      <c r="H395" s="14">
        <f>IFERROR(__xludf.DUMMYFUNCTION("""COMPUTED_VALUE"""),40000.0)</f>
        <v>40000</v>
      </c>
      <c r="I395" s="174">
        <f>IFERROR(__xludf.DUMMYFUNCTION("""COMPUTED_VALUE"""),1.232139)</f>
        <v>1.232139</v>
      </c>
      <c r="J395" s="175">
        <f>IFERROR(__xludf.DUMMYFUNCTION("""COMPUTED_VALUE"""),6.4)</f>
        <v>6.4</v>
      </c>
      <c r="K395" s="35"/>
      <c r="L395" s="175">
        <f>IFERROR(__xludf.DUMMYFUNCTION("""COMPUTED_VALUE"""),6.41)</f>
        <v>6.41</v>
      </c>
      <c r="M395" s="182" t="str">
        <f>IFERROR(__xludf.DUMMYFUNCTION("""COMPUTED_VALUE"""),"Equity Key Stats")</f>
        <v>Equity Key Stats</v>
      </c>
      <c r="N395" s="35"/>
      <c r="O395" s="35"/>
      <c r="P395" s="176">
        <f>IFERROR(__xludf.DUMMYFUNCTION("""COMPUTED_VALUE"""),-315427.58400000003)</f>
        <v>-315427.584</v>
      </c>
      <c r="Q395" s="177"/>
      <c r="R395" s="178">
        <f>IFERROR(__xludf.DUMMYFUNCTION("""COMPUTED_VALUE"""),6.41)</f>
        <v>6.41</v>
      </c>
      <c r="S395" s="176">
        <f>IFERROR(__xludf.DUMMYFUNCTION("""COMPUTED_VALUE"""),315920.43960000004)</f>
        <v>315920.4396</v>
      </c>
      <c r="T395" s="95">
        <f>IFERROR(__xludf.DUMMYFUNCTION("""COMPUTED_VALUE"""),4.0)</f>
        <v>4</v>
      </c>
      <c r="U395" s="95" t="str">
        <f>IFERROR(__xludf.DUMMYFUNCTION("""COMPUTED_VALUE"""),"")</f>
        <v/>
      </c>
      <c r="V395" s="179" t="str">
        <f>IFERROR(__xludf.DUMMYFUNCTION("""COMPUTED_VALUE"""),"")</f>
        <v/>
      </c>
      <c r="W395" s="171" t="str">
        <f>IFERROR(__xludf.DUMMYFUNCTION("""COMPUTED_VALUE"""),"")</f>
        <v/>
      </c>
      <c r="X395" s="14" t="str">
        <f>IFERROR(__xludf.DUMMYFUNCTION("""COMPUTED_VALUE"""),"")</f>
        <v/>
      </c>
      <c r="Y395" s="14" t="str">
        <f>IFERROR(__xludf.DUMMYFUNCTION("""COMPUTED_VALUE"""),"")</f>
        <v/>
      </c>
      <c r="Z395" s="11" t="str">
        <f>IFERROR(__xludf.DUMMYFUNCTION("""COMPUTED_VALUE"""),"")</f>
        <v/>
      </c>
    </row>
    <row r="396">
      <c r="A396" s="35" t="str">
        <f>IFERROR(__xludf.DUMMYFUNCTION("""COMPUTED_VALUE"""),"")</f>
        <v/>
      </c>
      <c r="B396" s="35" t="str">
        <f>IFERROR(__xludf.DUMMYFUNCTION("""COMPUTED_VALUE"""),"39302")</f>
        <v>39302</v>
      </c>
      <c r="C396" s="172">
        <f>IFERROR(__xludf.DUMMYFUNCTION("""COMPUTED_VALUE"""),4.4662001324E10)</f>
        <v>44662001324</v>
      </c>
      <c r="D396" s="190" t="str">
        <f>IFERROR(__xludf.DUMMYFUNCTION("""COMPUTED_VALUE"""),"002307.SZ")</f>
        <v>002307.SZ</v>
      </c>
      <c r="E396" s="173">
        <f>IFERROR(__xludf.DUMMYFUNCTION("""COMPUTED_VALUE"""),44662.0)</f>
        <v>44662</v>
      </c>
      <c r="F396" s="35" t="str">
        <f>IFERROR(__xludf.DUMMYFUNCTION("""COMPUTED_VALUE"""),"Stock")</f>
        <v>Stock</v>
      </c>
      <c r="G396" s="35" t="str">
        <f>IFERROR(__xludf.DUMMYFUNCTION("""COMPUTED_VALUE"""),"CNY")</f>
        <v>CNY</v>
      </c>
      <c r="H396" s="14">
        <f>IFERROR(__xludf.DUMMYFUNCTION("""COMPUTED_VALUE"""),-40000.0)</f>
        <v>-40000</v>
      </c>
      <c r="I396" s="174">
        <f>IFERROR(__xludf.DUMMYFUNCTION("""COMPUTED_VALUE"""),1.230624)</f>
        <v>1.230624</v>
      </c>
      <c r="J396" s="175">
        <f>IFERROR(__xludf.DUMMYFUNCTION("""COMPUTED_VALUE"""),7.74)</f>
        <v>7.74</v>
      </c>
      <c r="K396" s="35"/>
      <c r="L396" s="175">
        <f>IFERROR(__xludf.DUMMYFUNCTION("""COMPUTED_VALUE"""),6.41)</f>
        <v>6.41</v>
      </c>
      <c r="M396" s="182" t="str">
        <f>IFERROR(__xludf.DUMMYFUNCTION("""COMPUTED_VALUE"""),"Equity Key Stats")</f>
        <v>Equity Key Stats</v>
      </c>
      <c r="N396" s="35"/>
      <c r="O396" s="35"/>
      <c r="P396" s="176">
        <f>IFERROR(__xludf.DUMMYFUNCTION("""COMPUTED_VALUE"""),381001.1904)</f>
        <v>381001.1904</v>
      </c>
      <c r="Q396" s="177"/>
      <c r="R396" s="178">
        <f>IFERROR(__xludf.DUMMYFUNCTION("""COMPUTED_VALUE"""),6.41)</f>
        <v>6.41</v>
      </c>
      <c r="S396" s="176">
        <f>IFERROR(__xludf.DUMMYFUNCTION("""COMPUTED_VALUE"""),-315531.9936)</f>
        <v>-315531.9936</v>
      </c>
      <c r="T396" s="95">
        <f>IFERROR(__xludf.DUMMYFUNCTION("""COMPUTED_VALUE"""),4.0)</f>
        <v>4</v>
      </c>
      <c r="U396" s="95" t="str">
        <f>IFERROR(__xludf.DUMMYFUNCTION("""COMPUTED_VALUE"""),"")</f>
        <v/>
      </c>
      <c r="V396" s="179" t="str">
        <f>IFERROR(__xludf.DUMMYFUNCTION("""COMPUTED_VALUE"""),"")</f>
        <v/>
      </c>
      <c r="W396" s="55" t="str">
        <f>IFERROR(__xludf.DUMMYFUNCTION("""COMPUTED_VALUE"""),"")</f>
        <v/>
      </c>
      <c r="X396" s="181" t="str">
        <f>IFERROR(__xludf.DUMMYFUNCTION("""COMPUTED_VALUE"""),"")</f>
        <v/>
      </c>
      <c r="Y396" s="181" t="str">
        <f>IFERROR(__xludf.DUMMYFUNCTION("""COMPUTED_VALUE"""),"")</f>
        <v/>
      </c>
      <c r="Z396" s="189" t="str">
        <f>IFERROR(__xludf.DUMMYFUNCTION("""COMPUTED_VALUE"""),"")</f>
        <v/>
      </c>
    </row>
    <row r="397">
      <c r="A397" s="35" t="str">
        <f>IFERROR(__xludf.DUMMYFUNCTION("""COMPUTED_VALUE"""),"")</f>
        <v/>
      </c>
      <c r="B397" s="35" t="str">
        <f>IFERROR(__xludf.DUMMYFUNCTION("""COMPUTED_VALUE"""),"39302")</f>
        <v>39302</v>
      </c>
      <c r="C397" s="172">
        <f>IFERROR(__xludf.DUMMYFUNCTION("""COMPUTED_VALUE"""),4.4662001325E10)</f>
        <v>44662001325</v>
      </c>
      <c r="D397" s="190" t="str">
        <f>IFERROR(__xludf.DUMMYFUNCTION("""COMPUTED_VALUE"""),"600724.SS")</f>
        <v>600724.SS</v>
      </c>
      <c r="E397" s="173">
        <f>IFERROR(__xludf.DUMMYFUNCTION("""COMPUTED_VALUE"""),44662.0)</f>
        <v>44662</v>
      </c>
      <c r="F397" s="35" t="str">
        <f>IFERROR(__xludf.DUMMYFUNCTION("""COMPUTED_VALUE"""),"Stock")</f>
        <v>Stock</v>
      </c>
      <c r="G397" s="35" t="str">
        <f>IFERROR(__xludf.DUMMYFUNCTION("""COMPUTED_VALUE"""),"CNY")</f>
        <v>CNY</v>
      </c>
      <c r="H397" s="14">
        <f>IFERROR(__xludf.DUMMYFUNCTION("""COMPUTED_VALUE"""),-20000.0)</f>
        <v>-20000</v>
      </c>
      <c r="I397" s="174">
        <f>IFERROR(__xludf.DUMMYFUNCTION("""COMPUTED_VALUE"""),1.230624)</f>
        <v>1.230624</v>
      </c>
      <c r="J397" s="175">
        <f>IFERROR(__xludf.DUMMYFUNCTION("""COMPUTED_VALUE"""),6.36)</f>
        <v>6.36</v>
      </c>
      <c r="K397" s="35"/>
      <c r="L397" s="175">
        <f>IFERROR(__xludf.DUMMYFUNCTION("""COMPUTED_VALUE"""),5.84)</f>
        <v>5.84</v>
      </c>
      <c r="M397" s="187" t="str">
        <f>IFERROR(__xludf.DUMMYFUNCTION("""COMPUTED_VALUE"""),"Equity Key Stats")</f>
        <v>Equity Key Stats</v>
      </c>
      <c r="N397" s="35"/>
      <c r="O397" s="35"/>
      <c r="P397" s="176">
        <f>IFERROR(__xludf.DUMMYFUNCTION("""COMPUTED_VALUE"""),156535.3728)</f>
        <v>156535.3728</v>
      </c>
      <c r="Q397" s="177"/>
      <c r="R397" s="178">
        <f>IFERROR(__xludf.DUMMYFUNCTION("""COMPUTED_VALUE"""),5.84)</f>
        <v>5.84</v>
      </c>
      <c r="S397" s="151">
        <f>IFERROR(__xludf.DUMMYFUNCTION("""COMPUTED_VALUE"""),-143736.88319999998)</f>
        <v>-143736.8832</v>
      </c>
      <c r="T397" s="95">
        <f>IFERROR(__xludf.DUMMYFUNCTION("""COMPUTED_VALUE"""),2.0)</f>
        <v>2</v>
      </c>
      <c r="U397" s="95">
        <f>IFERROR(__xludf.DUMMYFUNCTION("""COMPUTED_VALUE"""),1.0)</f>
        <v>1</v>
      </c>
      <c r="V397" s="179">
        <f>IFERROR(__xludf.DUMMYFUNCTION("""COMPUTED_VALUE"""),27337.729800000016)</f>
        <v>27337.7298</v>
      </c>
      <c r="W397" s="171" t="str">
        <f>IFERROR(__xludf.DUMMYFUNCTION("""COMPUTED_VALUE"""),"")</f>
        <v/>
      </c>
      <c r="X397" s="14" t="str">
        <f>IFERROR(__xludf.DUMMYFUNCTION("""COMPUTED_VALUE"""),"")</f>
        <v/>
      </c>
      <c r="Y397" s="14" t="str">
        <f>IFERROR(__xludf.DUMMYFUNCTION("""COMPUTED_VALUE"""),"")</f>
        <v/>
      </c>
      <c r="Z397" s="11" t="str">
        <f>IFERROR(__xludf.DUMMYFUNCTION("""COMPUTED_VALUE"""),"")</f>
        <v/>
      </c>
    </row>
    <row r="398">
      <c r="A398" s="35" t="str">
        <f>IFERROR(__xludf.DUMMYFUNCTION("""COMPUTED_VALUE"""),"")</f>
        <v/>
      </c>
      <c r="B398" s="35" t="str">
        <f>IFERROR(__xludf.DUMMYFUNCTION("""COMPUTED_VALUE"""),"39302")</f>
        <v>39302</v>
      </c>
      <c r="C398" s="172">
        <f>IFERROR(__xludf.DUMMYFUNCTION("""COMPUTED_VALUE"""),4.4662001326E10)</f>
        <v>44662001326</v>
      </c>
      <c r="D398" s="190" t="str">
        <f>IFERROR(__xludf.DUMMYFUNCTION("""COMPUTED_VALUE"""),"002307.SZ")</f>
        <v>002307.SZ</v>
      </c>
      <c r="E398" s="173">
        <f>IFERROR(__xludf.DUMMYFUNCTION("""COMPUTED_VALUE"""),44662.0)</f>
        <v>44662</v>
      </c>
      <c r="F398" s="35" t="str">
        <f>IFERROR(__xludf.DUMMYFUNCTION("""COMPUTED_VALUE"""),"Stock")</f>
        <v>Stock</v>
      </c>
      <c r="G398" s="35" t="str">
        <f>IFERROR(__xludf.DUMMYFUNCTION("""COMPUTED_VALUE"""),"CNY")</f>
        <v>CNY</v>
      </c>
      <c r="H398" s="181">
        <f>IFERROR(__xludf.DUMMYFUNCTION("""COMPUTED_VALUE"""),-4000.0)</f>
        <v>-4000</v>
      </c>
      <c r="I398" s="174">
        <f>IFERROR(__xludf.DUMMYFUNCTION("""COMPUTED_VALUE"""),1.230624)</f>
        <v>1.230624</v>
      </c>
      <c r="J398" s="175">
        <f>IFERROR(__xludf.DUMMYFUNCTION("""COMPUTED_VALUE"""),7.74)</f>
        <v>7.74</v>
      </c>
      <c r="K398" s="35"/>
      <c r="L398" s="175">
        <f>IFERROR(__xludf.DUMMYFUNCTION("""COMPUTED_VALUE"""),6.41)</f>
        <v>6.41</v>
      </c>
      <c r="M398" s="182" t="str">
        <f>IFERROR(__xludf.DUMMYFUNCTION("""COMPUTED_VALUE"""),"Equity Key Stats")</f>
        <v>Equity Key Stats</v>
      </c>
      <c r="N398" s="35"/>
      <c r="O398" s="35"/>
      <c r="P398" s="184">
        <f>IFERROR(__xludf.DUMMYFUNCTION("""COMPUTED_VALUE"""),38100.119040000005)</f>
        <v>38100.11904</v>
      </c>
      <c r="Q398" s="177"/>
      <c r="R398" s="178">
        <f>IFERROR(__xludf.DUMMYFUNCTION("""COMPUTED_VALUE"""),6.41)</f>
        <v>6.41</v>
      </c>
      <c r="S398" s="176">
        <f>IFERROR(__xludf.DUMMYFUNCTION("""COMPUTED_VALUE"""),-31553.199360000002)</f>
        <v>-31553.19936</v>
      </c>
      <c r="T398" s="95">
        <f>IFERROR(__xludf.DUMMYFUNCTION("""COMPUTED_VALUE"""),4.0)</f>
        <v>4</v>
      </c>
      <c r="U398" s="35">
        <f>IFERROR(__xludf.DUMMYFUNCTION("""COMPUTED_VALUE"""),1.0)</f>
        <v>1</v>
      </c>
      <c r="V398" s="170">
        <f>IFERROR(__xludf.DUMMYFUNCTION("""COMPUTED_VALUE"""),78023.84312000005)</f>
        <v>78023.84312</v>
      </c>
      <c r="W398" s="171" t="str">
        <f>IFERROR(__xludf.DUMMYFUNCTION("""COMPUTED_VALUE"""),"")</f>
        <v/>
      </c>
      <c r="X398" s="14" t="str">
        <f>IFERROR(__xludf.DUMMYFUNCTION("""COMPUTED_VALUE"""),"")</f>
        <v/>
      </c>
      <c r="Y398" s="14" t="str">
        <f>IFERROR(__xludf.DUMMYFUNCTION("""COMPUTED_VALUE"""),"")</f>
        <v/>
      </c>
      <c r="Z398" s="11" t="str">
        <f>IFERROR(__xludf.DUMMYFUNCTION("""COMPUTED_VALUE"""),"")</f>
        <v/>
      </c>
    </row>
    <row r="399">
      <c r="A399" s="35" t="str">
        <f>IFERROR(__xludf.DUMMYFUNCTION("""COMPUTED_VALUE"""),"")</f>
        <v/>
      </c>
      <c r="B399" s="35" t="str">
        <f>IFERROR(__xludf.DUMMYFUNCTION("""COMPUTED_VALUE"""),"39302")</f>
        <v>39302</v>
      </c>
      <c r="C399" s="172">
        <f>IFERROR(__xludf.DUMMYFUNCTION("""COMPUTED_VALUE"""),4.4662001327E10)</f>
        <v>44662001327</v>
      </c>
      <c r="D399" s="191" t="str">
        <f>IFERROR(__xludf.DUMMYFUNCTION("""COMPUTED_VALUE"""),"003040.SZ")</f>
        <v>003040.SZ</v>
      </c>
      <c r="E399" s="173">
        <f>IFERROR(__xludf.DUMMYFUNCTION("""COMPUTED_VALUE"""),44662.0)</f>
        <v>44662</v>
      </c>
      <c r="F399" s="35" t="str">
        <f>IFERROR(__xludf.DUMMYFUNCTION("""COMPUTED_VALUE"""),"Stock")</f>
        <v>Stock</v>
      </c>
      <c r="G399" s="35" t="str">
        <f>IFERROR(__xludf.DUMMYFUNCTION("""COMPUTED_VALUE"""),"CNY")</f>
        <v>CNY</v>
      </c>
      <c r="H399" s="181">
        <f>IFERROR(__xludf.DUMMYFUNCTION("""COMPUTED_VALUE"""),-300.0)</f>
        <v>-300</v>
      </c>
      <c r="I399" s="174">
        <f>IFERROR(__xludf.DUMMYFUNCTION("""COMPUTED_VALUE"""),1.230624)</f>
        <v>1.230624</v>
      </c>
      <c r="J399" s="175">
        <f>IFERROR(__xludf.DUMMYFUNCTION("""COMPUTED_VALUE"""),24.01)</f>
        <v>24.01</v>
      </c>
      <c r="K399" s="35"/>
      <c r="L399" s="175">
        <f>IFERROR(__xludf.DUMMYFUNCTION("""COMPUTED_VALUE"""),23.86)</f>
        <v>23.86</v>
      </c>
      <c r="M399" s="182" t="str">
        <f>IFERROR(__xludf.DUMMYFUNCTION("""COMPUTED_VALUE"""),"Equity Key Stats")</f>
        <v>Equity Key Stats</v>
      </c>
      <c r="N399" s="35"/>
      <c r="O399" s="35"/>
      <c r="P399" s="184">
        <f>IFERROR(__xludf.DUMMYFUNCTION("""COMPUTED_VALUE"""),8864.184672)</f>
        <v>8864.184672</v>
      </c>
      <c r="Q399" s="177"/>
      <c r="R399" s="178">
        <f>IFERROR(__xludf.DUMMYFUNCTION("""COMPUTED_VALUE"""),23.86)</f>
        <v>23.86</v>
      </c>
      <c r="S399" s="176">
        <f>IFERROR(__xludf.DUMMYFUNCTION("""COMPUTED_VALUE"""),-8808.806591999999)</f>
        <v>-8808.806592</v>
      </c>
      <c r="T399" s="95">
        <f>IFERROR(__xludf.DUMMYFUNCTION("""COMPUTED_VALUE"""),2.0)</f>
        <v>2</v>
      </c>
      <c r="U399" s="35">
        <f>IFERROR(__xludf.DUMMYFUNCTION("""COMPUTED_VALUE"""),1.0)</f>
        <v>1</v>
      </c>
      <c r="V399" s="170">
        <f>IFERROR(__xludf.DUMMYFUNCTION("""COMPUTED_VALUE"""),-177.29585099999895)</f>
        <v>-177.295851</v>
      </c>
      <c r="W399" s="171" t="str">
        <f>IFERROR(__xludf.DUMMYFUNCTION("""COMPUTED_VALUE"""),"")</f>
        <v/>
      </c>
      <c r="X399" s="14" t="str">
        <f>IFERROR(__xludf.DUMMYFUNCTION("""COMPUTED_VALUE"""),"")</f>
        <v/>
      </c>
      <c r="Y399" s="14" t="str">
        <f>IFERROR(__xludf.DUMMYFUNCTION("""COMPUTED_VALUE"""),"")</f>
        <v/>
      </c>
      <c r="Z399" s="11" t="str">
        <f>IFERROR(__xludf.DUMMYFUNCTION("""COMPUTED_VALUE"""),"")</f>
        <v/>
      </c>
    </row>
    <row r="400">
      <c r="A400" s="35" t="str">
        <f>IFERROR(__xludf.DUMMYFUNCTION("""COMPUTED_VALUE"""),"39302")</f>
        <v>39302</v>
      </c>
      <c r="B400" s="35" t="str">
        <f>IFERROR(__xludf.DUMMYFUNCTION("""COMPUTED_VALUE"""),"39302")</f>
        <v>39302</v>
      </c>
      <c r="C400" s="172">
        <f>IFERROR(__xludf.DUMMYFUNCTION("""COMPUTED_VALUE"""),4.4662001328E10)</f>
        <v>44662001328</v>
      </c>
      <c r="D400" s="190" t="str">
        <f>IFERROR(__xludf.DUMMYFUNCTION("""COMPUTED_VALUE"""),"000950.SZ")</f>
        <v>000950.SZ</v>
      </c>
      <c r="E400" s="173">
        <f>IFERROR(__xludf.DUMMYFUNCTION("""COMPUTED_VALUE"""),44662.0)</f>
        <v>44662</v>
      </c>
      <c r="F400" s="35" t="str">
        <f>IFERROR(__xludf.DUMMYFUNCTION("""COMPUTED_VALUE"""),"Stock")</f>
        <v>Stock</v>
      </c>
      <c r="G400" s="35" t="str">
        <f>IFERROR(__xludf.DUMMYFUNCTION("""COMPUTED_VALUE"""),"CNY")</f>
        <v>CNY</v>
      </c>
      <c r="H400" s="181">
        <f>IFERROR(__xludf.DUMMYFUNCTION("""COMPUTED_VALUE"""),-1000.0)</f>
        <v>-1000</v>
      </c>
      <c r="I400" s="174">
        <f>IFERROR(__xludf.DUMMYFUNCTION("""COMPUTED_VALUE"""),1.230624)</f>
        <v>1.230624</v>
      </c>
      <c r="J400" s="175">
        <f>IFERROR(__xludf.DUMMYFUNCTION("""COMPUTED_VALUE"""),5.38)</f>
        <v>5.38</v>
      </c>
      <c r="K400" s="35"/>
      <c r="L400" s="175">
        <f>IFERROR(__xludf.DUMMYFUNCTION("""COMPUTED_VALUE"""),5.34)</f>
        <v>5.34</v>
      </c>
      <c r="M400" s="182" t="str">
        <f>IFERROR(__xludf.DUMMYFUNCTION("""COMPUTED_VALUE"""),"Equity Key Stats")</f>
        <v>Equity Key Stats</v>
      </c>
      <c r="N400" s="35"/>
      <c r="O400" s="35"/>
      <c r="P400" s="184">
        <f>IFERROR(__xludf.DUMMYFUNCTION("""COMPUTED_VALUE"""),6620.75712)</f>
        <v>6620.75712</v>
      </c>
      <c r="Q400" s="177"/>
      <c r="R400" s="178">
        <f>IFERROR(__xludf.DUMMYFUNCTION("""COMPUTED_VALUE"""),5.34)</f>
        <v>5.34</v>
      </c>
      <c r="S400" s="176">
        <f>IFERROR(__xludf.DUMMYFUNCTION("""COMPUTED_VALUE"""),-6571.53216)</f>
        <v>-6571.53216</v>
      </c>
      <c r="T400" s="95">
        <f>IFERROR(__xludf.DUMMYFUNCTION("""COMPUTED_VALUE"""),2.0)</f>
        <v>2</v>
      </c>
      <c r="U400" s="35">
        <f>IFERROR(__xludf.DUMMYFUNCTION("""COMPUTED_VALUE"""),1.0)</f>
        <v>1</v>
      </c>
      <c r="V400" s="170">
        <f>IFERROR(__xludf.DUMMYFUNCTION("""COMPUTED_VALUE"""),-504.76058999999987)</f>
        <v>-504.76059</v>
      </c>
      <c r="W400" s="171">
        <f>IFERROR(__xludf.DUMMYFUNCTION("""COMPUTED_VALUE"""),596178.1752370001)</f>
        <v>596178.1752</v>
      </c>
      <c r="X400" s="14">
        <f>IFERROR(__xludf.DUMMYFUNCTION("""COMPUTED_VALUE"""),595540.2666719998)</f>
        <v>595540.2667</v>
      </c>
      <c r="Y400" s="14">
        <f>IFERROR(__xludf.DUMMYFUNCTION("""COMPUTED_VALUE"""),0.0)</f>
        <v>0</v>
      </c>
      <c r="Z400" s="11">
        <f>IFERROR(__xludf.DUMMYFUNCTION("""COMPUTED_VALUE"""),0.19235635047400024)</f>
        <v>0.1923563505</v>
      </c>
    </row>
    <row r="401">
      <c r="A401" s="35" t="str">
        <f>IFERROR(__xludf.DUMMYFUNCTION("""COMPUTED_VALUE"""),"")</f>
        <v/>
      </c>
      <c r="B401" s="35" t="str">
        <f>IFERROR(__xludf.DUMMYFUNCTION("""COMPUTED_VALUE"""),"39441")</f>
        <v>39441</v>
      </c>
      <c r="C401" s="172">
        <f>IFERROR(__xludf.DUMMYFUNCTION("""COMPUTED_VALUE"""),4.4597000042E10)</f>
        <v>44597000042</v>
      </c>
      <c r="D401" s="135" t="str">
        <f>IFERROR(__xludf.DUMMYFUNCTION("""COMPUTED_VALUE"""),"Cash")</f>
        <v>Cash</v>
      </c>
      <c r="E401" s="173">
        <f>IFERROR(__xludf.DUMMYFUNCTION("""COMPUTED_VALUE"""),44597.0)</f>
        <v>44597</v>
      </c>
      <c r="F401" s="35" t="str">
        <f>IFERROR(__xludf.DUMMYFUNCTION("""COMPUTED_VALUE"""),"Cash")</f>
        <v>Cash</v>
      </c>
      <c r="G401" s="35" t="str">
        <f>IFERROR(__xludf.DUMMYFUNCTION("""COMPUTED_VALUE"""),"HKD")</f>
        <v>HKD</v>
      </c>
      <c r="H401" s="181" t="str">
        <f>IFERROR(__xludf.DUMMYFUNCTION("""COMPUTED_VALUE"""),"")</f>
        <v/>
      </c>
      <c r="I401" s="174">
        <f>IFERROR(__xludf.DUMMYFUNCTION("""COMPUTED_VALUE"""),1.0)</f>
        <v>1</v>
      </c>
      <c r="J401" s="175">
        <f>IFERROR(__xludf.DUMMYFUNCTION("""COMPUTED_VALUE"""),1.0)</f>
        <v>1</v>
      </c>
      <c r="K401" s="35"/>
      <c r="L401" s="175">
        <f>IFERROR(__xludf.DUMMYFUNCTION("""COMPUTED_VALUE"""),1.0)</f>
        <v>1</v>
      </c>
      <c r="M401" s="182" t="str">
        <f>IFERROR(__xludf.DUMMYFUNCTION("""COMPUTED_VALUE"""),"")</f>
        <v/>
      </c>
      <c r="N401" s="35"/>
      <c r="O401" s="35"/>
      <c r="P401" s="184">
        <f>IFERROR(__xludf.DUMMYFUNCTION("""COMPUTED_VALUE"""),500000.0)</f>
        <v>500000</v>
      </c>
      <c r="Q401" s="177"/>
      <c r="R401" s="178">
        <f>IFERROR(__xludf.DUMMYFUNCTION("""COMPUTED_VALUE"""),1.0)</f>
        <v>1</v>
      </c>
      <c r="S401" s="176" t="str">
        <f>IFERROR(__xludf.DUMMYFUNCTION("""COMPUTED_VALUE"""),"")</f>
        <v/>
      </c>
      <c r="T401" s="95">
        <f>IFERROR(__xludf.DUMMYFUNCTION("""COMPUTED_VALUE"""),1.0)</f>
        <v>1</v>
      </c>
      <c r="U401" s="35">
        <f>IFERROR(__xludf.DUMMYFUNCTION("""COMPUTED_VALUE"""),1.0)</f>
        <v>1</v>
      </c>
      <c r="V401" s="170">
        <f>IFERROR(__xludf.DUMMYFUNCTION("""COMPUTED_VALUE"""),500000.0)</f>
        <v>500000</v>
      </c>
      <c r="W401" s="171" t="str">
        <f>IFERROR(__xludf.DUMMYFUNCTION("""COMPUTED_VALUE"""),"")</f>
        <v/>
      </c>
      <c r="X401" s="14" t="str">
        <f>IFERROR(__xludf.DUMMYFUNCTION("""COMPUTED_VALUE"""),"")</f>
        <v/>
      </c>
      <c r="Y401" s="14" t="str">
        <f>IFERROR(__xludf.DUMMYFUNCTION("""COMPUTED_VALUE"""),"")</f>
        <v/>
      </c>
      <c r="Z401" s="11" t="str">
        <f>IFERROR(__xludf.DUMMYFUNCTION("""COMPUTED_VALUE"""),"")</f>
        <v/>
      </c>
    </row>
    <row r="402">
      <c r="A402" s="35" t="str">
        <f>IFERROR(__xludf.DUMMYFUNCTION("""COMPUTED_VALUE"""),"")</f>
        <v/>
      </c>
      <c r="B402" s="35" t="str">
        <f>IFERROR(__xludf.DUMMYFUNCTION("""COMPUTED_VALUE"""),"39441")</f>
        <v>39441</v>
      </c>
      <c r="C402" s="172">
        <f>IFERROR(__xludf.DUMMYFUNCTION("""COMPUTED_VALUE"""),4.4602000157E10)</f>
        <v>44602000157</v>
      </c>
      <c r="D402" s="180" t="str">
        <f>IFERROR(__xludf.DUMMYFUNCTION("""COMPUTED_VALUE"""),"AMZN")</f>
        <v>AMZN</v>
      </c>
      <c r="E402" s="173">
        <f>IFERROR(__xludf.DUMMYFUNCTION("""COMPUTED_VALUE"""),44602.0)</f>
        <v>44602</v>
      </c>
      <c r="F402" s="35" t="str">
        <f>IFERROR(__xludf.DUMMYFUNCTION("""COMPUTED_VALUE"""),"Stock")</f>
        <v>Stock</v>
      </c>
      <c r="G402" s="35" t="str">
        <f>IFERROR(__xludf.DUMMYFUNCTION("""COMPUTED_VALUE"""),"USD")</f>
        <v>USD</v>
      </c>
      <c r="H402" s="183">
        <f>IFERROR(__xludf.DUMMYFUNCTION("""COMPUTED_VALUE"""),6.0)</f>
        <v>6</v>
      </c>
      <c r="I402" s="174">
        <f>IFERROR(__xludf.DUMMYFUNCTION("""COMPUTED_VALUE"""),7.796775)</f>
        <v>7.796775</v>
      </c>
      <c r="J402" s="175">
        <f>IFERROR(__xludf.DUMMYFUNCTION("""COMPUTED_VALUE"""),3180.07)</f>
        <v>3180.07</v>
      </c>
      <c r="K402" s="35"/>
      <c r="L402" s="175">
        <f>IFERROR(__xludf.DUMMYFUNCTION("""COMPUTED_VALUE"""),3110.82)</f>
        <v>3110.82</v>
      </c>
      <c r="M402" s="182" t="str">
        <f>IFERROR(__xludf.DUMMYFUNCTION("""COMPUTED_VALUE"""),"Equity Key Stats")</f>
        <v>Equity Key Stats</v>
      </c>
      <c r="N402" s="35"/>
      <c r="O402" s="35"/>
      <c r="P402" s="176">
        <f>IFERROR(__xludf.DUMMYFUNCTION("""COMPUTED_VALUE"""),-148765.7416455)</f>
        <v>-148765.7416</v>
      </c>
      <c r="Q402" s="177"/>
      <c r="R402" s="178">
        <f>IFERROR(__xludf.DUMMYFUNCTION("""COMPUTED_VALUE"""),3110.82)</f>
        <v>3110.82</v>
      </c>
      <c r="S402" s="184">
        <f>IFERROR(__xludf.DUMMYFUNCTION("""COMPUTED_VALUE"""),145526.181633)</f>
        <v>145526.1816</v>
      </c>
      <c r="T402" s="95">
        <f>IFERROR(__xludf.DUMMYFUNCTION("""COMPUTED_VALUE"""),5.0)</f>
        <v>5</v>
      </c>
      <c r="U402" s="95" t="str">
        <f>IFERROR(__xludf.DUMMYFUNCTION("""COMPUTED_VALUE"""),"")</f>
        <v/>
      </c>
      <c r="V402" s="179" t="str">
        <f>IFERROR(__xludf.DUMMYFUNCTION("""COMPUTED_VALUE"""),"")</f>
        <v/>
      </c>
      <c r="W402" s="171" t="str">
        <f>IFERROR(__xludf.DUMMYFUNCTION("""COMPUTED_VALUE"""),"")</f>
        <v/>
      </c>
      <c r="X402" s="14" t="str">
        <f>IFERROR(__xludf.DUMMYFUNCTION("""COMPUTED_VALUE"""),"")</f>
        <v/>
      </c>
      <c r="Y402" s="14" t="str">
        <f>IFERROR(__xludf.DUMMYFUNCTION("""COMPUTED_VALUE"""),"")</f>
        <v/>
      </c>
      <c r="Z402" s="11" t="str">
        <f>IFERROR(__xludf.DUMMYFUNCTION("""COMPUTED_VALUE"""),"")</f>
        <v/>
      </c>
    </row>
    <row r="403">
      <c r="A403" s="35" t="str">
        <f>IFERROR(__xludf.DUMMYFUNCTION("""COMPUTED_VALUE"""),"")</f>
        <v/>
      </c>
      <c r="B403" s="35" t="str">
        <f>IFERROR(__xludf.DUMMYFUNCTION("""COMPUTED_VALUE"""),"39441")</f>
        <v>39441</v>
      </c>
      <c r="C403" s="172">
        <f>IFERROR(__xludf.DUMMYFUNCTION("""COMPUTED_VALUE"""),4.4602000158E10)</f>
        <v>44602000158</v>
      </c>
      <c r="D403" s="192" t="str">
        <f>IFERROR(__xludf.DUMMYFUNCTION("""COMPUTED_VALUE"""),"GOOG")</f>
        <v>GOOG</v>
      </c>
      <c r="E403" s="173">
        <f>IFERROR(__xludf.DUMMYFUNCTION("""COMPUTED_VALUE"""),44602.0)</f>
        <v>44602</v>
      </c>
      <c r="F403" s="35" t="str">
        <f>IFERROR(__xludf.DUMMYFUNCTION("""COMPUTED_VALUE"""),"Stock")</f>
        <v>Stock</v>
      </c>
      <c r="G403" s="35" t="str">
        <f>IFERROR(__xludf.DUMMYFUNCTION("""COMPUTED_VALUE"""),"USD")</f>
        <v>USD</v>
      </c>
      <c r="H403" s="181">
        <f>IFERROR(__xludf.DUMMYFUNCTION("""COMPUTED_VALUE"""),-5.0)</f>
        <v>-5</v>
      </c>
      <c r="I403" s="174">
        <f>IFERROR(__xludf.DUMMYFUNCTION("""COMPUTED_VALUE"""),7.796775)</f>
        <v>7.796775</v>
      </c>
      <c r="J403" s="175">
        <f>IFERROR(__xludf.DUMMYFUNCTION("""COMPUTED_VALUE"""),2772.05)</f>
        <v>2772.05</v>
      </c>
      <c r="K403" s="35"/>
      <c r="L403" s="175">
        <f>IFERROR(__xludf.DUMMYFUNCTION("""COMPUTED_VALUE"""),2605.72)</f>
        <v>2605.72</v>
      </c>
      <c r="M403" s="182" t="str">
        <f>IFERROR(__xludf.DUMMYFUNCTION("""COMPUTED_VALUE"""),"Equity Key Stats")</f>
        <v>Equity Key Stats</v>
      </c>
      <c r="N403" s="35"/>
      <c r="O403" s="35"/>
      <c r="P403" s="184">
        <f>IFERROR(__xludf.DUMMYFUNCTION("""COMPUTED_VALUE"""),108065.25069375)</f>
        <v>108065.2507</v>
      </c>
      <c r="Q403" s="177"/>
      <c r="R403" s="178">
        <f>IFERROR(__xludf.DUMMYFUNCTION("""COMPUTED_VALUE"""),2605.72)</f>
        <v>2605.72</v>
      </c>
      <c r="S403" s="176">
        <f>IFERROR(__xludf.DUMMYFUNCTION("""COMPUTED_VALUE"""),-101581.06276499998)</f>
        <v>-101581.0628</v>
      </c>
      <c r="T403" s="95">
        <f>IFERROR(__xludf.DUMMYFUNCTION("""COMPUTED_VALUE"""),2.0)</f>
        <v>2</v>
      </c>
      <c r="U403" s="35" t="str">
        <f>IFERROR(__xludf.DUMMYFUNCTION("""COMPUTED_VALUE"""),"")</f>
        <v/>
      </c>
      <c r="V403" s="170" t="str">
        <f>IFERROR(__xludf.DUMMYFUNCTION("""COMPUTED_VALUE"""),"")</f>
        <v/>
      </c>
      <c r="W403" s="171" t="str">
        <f>IFERROR(__xludf.DUMMYFUNCTION("""COMPUTED_VALUE"""),"")</f>
        <v/>
      </c>
      <c r="X403" s="14" t="str">
        <f>IFERROR(__xludf.DUMMYFUNCTION("""COMPUTED_VALUE"""),"")</f>
        <v/>
      </c>
      <c r="Y403" s="14" t="str">
        <f>IFERROR(__xludf.DUMMYFUNCTION("""COMPUTED_VALUE"""),"")</f>
        <v/>
      </c>
      <c r="Z403" s="11" t="str">
        <f>IFERROR(__xludf.DUMMYFUNCTION("""COMPUTED_VALUE"""),"")</f>
        <v/>
      </c>
    </row>
    <row r="404">
      <c r="A404" s="35" t="str">
        <f>IFERROR(__xludf.DUMMYFUNCTION("""COMPUTED_VALUE"""),"")</f>
        <v/>
      </c>
      <c r="B404" s="35" t="str">
        <f>IFERROR(__xludf.DUMMYFUNCTION("""COMPUTED_VALUE"""),"39441")</f>
        <v>39441</v>
      </c>
      <c r="C404" s="172">
        <f>IFERROR(__xludf.DUMMYFUNCTION("""COMPUTED_VALUE"""),4.460300016E10)</f>
        <v>44603000160</v>
      </c>
      <c r="D404" s="192" t="str">
        <f>IFERROR(__xludf.DUMMYFUNCTION("""COMPUTED_VALUE"""),"3m")</f>
        <v>3m</v>
      </c>
      <c r="E404" s="173">
        <f>IFERROR(__xludf.DUMMYFUNCTION("""COMPUTED_VALUE"""),44603.0)</f>
        <v>44603</v>
      </c>
      <c r="F404" s="35" t="str">
        <f>IFERROR(__xludf.DUMMYFUNCTION("""COMPUTED_VALUE"""),"Time Deposit")</f>
        <v>Time Deposit</v>
      </c>
      <c r="G404" s="35" t="str">
        <f>IFERROR(__xludf.DUMMYFUNCTION("""COMPUTED_VALUE"""),"HKD")</f>
        <v>HKD</v>
      </c>
      <c r="H404" s="181">
        <f>IFERROR(__xludf.DUMMYFUNCTION("""COMPUTED_VALUE"""),100000.0)</f>
        <v>100000</v>
      </c>
      <c r="I404" s="174">
        <f>IFERROR(__xludf.DUMMYFUNCTION("""COMPUTED_VALUE"""),1.0)</f>
        <v>1</v>
      </c>
      <c r="J404" s="175">
        <f>IFERROR(__xludf.DUMMYFUNCTION("""COMPUTED_VALUE"""),1.0)</f>
        <v>1</v>
      </c>
      <c r="K404" s="35"/>
      <c r="L404" s="175">
        <f>IFERROR(__xludf.DUMMYFUNCTION("""COMPUTED_VALUE"""),1.0)</f>
        <v>1</v>
      </c>
      <c r="M404" s="182" t="str">
        <f>IFERROR(__xludf.DUMMYFUNCTION("""COMPUTED_VALUE"""),"")</f>
        <v/>
      </c>
      <c r="N404" s="35"/>
      <c r="O404" s="35"/>
      <c r="P404" s="176">
        <f>IFERROR(__xludf.DUMMYFUNCTION("""COMPUTED_VALUE"""),-100000.0)</f>
        <v>-100000</v>
      </c>
      <c r="Q404" s="177"/>
      <c r="R404" s="178">
        <f>IFERROR(__xludf.DUMMYFUNCTION("""COMPUTED_VALUE"""),1.0)</f>
        <v>1</v>
      </c>
      <c r="S404" s="176">
        <f>IFERROR(__xludf.DUMMYFUNCTION("""COMPUTED_VALUE"""),100000.0)</f>
        <v>100000</v>
      </c>
      <c r="T404" s="95">
        <f>IFERROR(__xludf.DUMMYFUNCTION("""COMPUTED_VALUE"""),1.0)</f>
        <v>1</v>
      </c>
      <c r="U404" s="95">
        <f>IFERROR(__xludf.DUMMYFUNCTION("""COMPUTED_VALUE"""),1.0)</f>
        <v>1</v>
      </c>
      <c r="V404" s="179">
        <f>IFERROR(__xludf.DUMMYFUNCTION("""COMPUTED_VALUE"""),0.0)</f>
        <v>0</v>
      </c>
      <c r="W404" s="171" t="str">
        <f>IFERROR(__xludf.DUMMYFUNCTION("""COMPUTED_VALUE"""),"")</f>
        <v/>
      </c>
      <c r="X404" s="14" t="str">
        <f>IFERROR(__xludf.DUMMYFUNCTION("""COMPUTED_VALUE"""),"")</f>
        <v/>
      </c>
      <c r="Y404" s="14" t="str">
        <f>IFERROR(__xludf.DUMMYFUNCTION("""COMPUTED_VALUE"""),"")</f>
        <v/>
      </c>
      <c r="Z404" s="11" t="str">
        <f>IFERROR(__xludf.DUMMYFUNCTION("""COMPUTED_VALUE"""),"")</f>
        <v/>
      </c>
    </row>
    <row r="405">
      <c r="A405" s="35" t="str">
        <f>IFERROR(__xludf.DUMMYFUNCTION("""COMPUTED_VALUE"""),"")</f>
        <v/>
      </c>
      <c r="B405" s="35" t="str">
        <f>IFERROR(__xludf.DUMMYFUNCTION("""COMPUTED_VALUE"""),"39441")</f>
        <v>39441</v>
      </c>
      <c r="C405" s="172">
        <f>IFERROR(__xludf.DUMMYFUNCTION("""COMPUTED_VALUE"""),4.4631000534E10)</f>
        <v>44631000534</v>
      </c>
      <c r="D405" s="180" t="str">
        <f>IFERROR(__xludf.DUMMYFUNCTION("""COMPUTED_VALUE"""),"GOOG")</f>
        <v>GOOG</v>
      </c>
      <c r="E405" s="173">
        <f>IFERROR(__xludf.DUMMYFUNCTION("""COMPUTED_VALUE"""),44631.0)</f>
        <v>44631</v>
      </c>
      <c r="F405" s="35" t="str">
        <f>IFERROR(__xludf.DUMMYFUNCTION("""COMPUTED_VALUE"""),"Stock")</f>
        <v>Stock</v>
      </c>
      <c r="G405" s="35" t="str">
        <f>IFERROR(__xludf.DUMMYFUNCTION("""COMPUTED_VALUE"""),"USD")</f>
        <v>USD</v>
      </c>
      <c r="H405" s="181">
        <f>IFERROR(__xludf.DUMMYFUNCTION("""COMPUTED_VALUE"""),5.0)</f>
        <v>5</v>
      </c>
      <c r="I405" s="174">
        <f>IFERROR(__xludf.DUMMYFUNCTION("""COMPUTED_VALUE"""),7.8295)</f>
        <v>7.8295</v>
      </c>
      <c r="J405" s="175">
        <f>IFERROR(__xludf.DUMMYFUNCTION("""COMPUTED_VALUE"""),2609.51)</f>
        <v>2609.51</v>
      </c>
      <c r="K405" s="35"/>
      <c r="L405" s="175">
        <f>IFERROR(__xludf.DUMMYFUNCTION("""COMPUTED_VALUE"""),2605.72)</f>
        <v>2605.72</v>
      </c>
      <c r="M405" s="182" t="str">
        <f>IFERROR(__xludf.DUMMYFUNCTION("""COMPUTED_VALUE"""),"Equity Key Stats")</f>
        <v>Equity Key Stats</v>
      </c>
      <c r="N405" s="35"/>
      <c r="O405" s="35"/>
      <c r="P405" s="176">
        <f>IFERROR(__xludf.DUMMYFUNCTION("""COMPUTED_VALUE"""),-102155.792725)</f>
        <v>-102155.7927</v>
      </c>
      <c r="Q405" s="177"/>
      <c r="R405" s="178">
        <f>IFERROR(__xludf.DUMMYFUNCTION("""COMPUTED_VALUE"""),2605.72)</f>
        <v>2605.72</v>
      </c>
      <c r="S405" s="176">
        <f>IFERROR(__xludf.DUMMYFUNCTION("""COMPUTED_VALUE"""),102007.4237)</f>
        <v>102007.4237</v>
      </c>
      <c r="T405" s="95">
        <f>IFERROR(__xludf.DUMMYFUNCTION("""COMPUTED_VALUE"""),2.0)</f>
        <v>2</v>
      </c>
      <c r="U405" s="95">
        <f>IFERROR(__xludf.DUMMYFUNCTION("""COMPUTED_VALUE"""),1.0)</f>
        <v>1</v>
      </c>
      <c r="V405" s="185">
        <f>IFERROR(__xludf.DUMMYFUNCTION("""COMPUTED_VALUE"""),6335.818903750012)</f>
        <v>6335.818904</v>
      </c>
      <c r="W405" s="171" t="str">
        <f>IFERROR(__xludf.DUMMYFUNCTION("""COMPUTED_VALUE"""),"")</f>
        <v/>
      </c>
      <c r="X405" s="14" t="str">
        <f>IFERROR(__xludf.DUMMYFUNCTION("""COMPUTED_VALUE"""),"")</f>
        <v/>
      </c>
      <c r="Y405" s="14" t="str">
        <f>IFERROR(__xludf.DUMMYFUNCTION("""COMPUTED_VALUE"""),"")</f>
        <v/>
      </c>
      <c r="Z405" s="11" t="str">
        <f>IFERROR(__xludf.DUMMYFUNCTION("""COMPUTED_VALUE"""),"")</f>
        <v/>
      </c>
    </row>
    <row r="406">
      <c r="A406" s="35" t="str">
        <f>IFERROR(__xludf.DUMMYFUNCTION("""COMPUTED_VALUE"""),"")</f>
        <v/>
      </c>
      <c r="B406" s="35" t="str">
        <f>IFERROR(__xludf.DUMMYFUNCTION("""COMPUTED_VALUE"""),"39441")</f>
        <v>39441</v>
      </c>
      <c r="C406" s="172">
        <f>IFERROR(__xludf.DUMMYFUNCTION("""COMPUTED_VALUE"""),4.4631000535E10)</f>
        <v>44631000535</v>
      </c>
      <c r="D406" s="180" t="str">
        <f>IFERROR(__xludf.DUMMYFUNCTION("""COMPUTED_VALUE"""),"BABA")</f>
        <v>BABA</v>
      </c>
      <c r="E406" s="173">
        <f>IFERROR(__xludf.DUMMYFUNCTION("""COMPUTED_VALUE"""),44631.0)</f>
        <v>44631</v>
      </c>
      <c r="F406" s="35" t="str">
        <f>IFERROR(__xludf.DUMMYFUNCTION("""COMPUTED_VALUE"""),"Stock")</f>
        <v>Stock</v>
      </c>
      <c r="G406" s="35" t="str">
        <f>IFERROR(__xludf.DUMMYFUNCTION("""COMPUTED_VALUE"""),"USD")</f>
        <v>USD</v>
      </c>
      <c r="H406" s="183">
        <f>IFERROR(__xludf.DUMMYFUNCTION("""COMPUTED_VALUE"""),100.0)</f>
        <v>100</v>
      </c>
      <c r="I406" s="174">
        <f>IFERROR(__xludf.DUMMYFUNCTION("""COMPUTED_VALUE"""),7.8295)</f>
        <v>7.8295</v>
      </c>
      <c r="J406" s="175">
        <f>IFERROR(__xludf.DUMMYFUNCTION("""COMPUTED_VALUE"""),86.71)</f>
        <v>86.71</v>
      </c>
      <c r="K406" s="35"/>
      <c r="L406" s="175">
        <f>IFERROR(__xludf.DUMMYFUNCTION("""COMPUTED_VALUE"""),100.09)</f>
        <v>100.09</v>
      </c>
      <c r="M406" s="182" t="str">
        <f>IFERROR(__xludf.DUMMYFUNCTION("""COMPUTED_VALUE"""),"Equity Key Stats")</f>
        <v>Equity Key Stats</v>
      </c>
      <c r="N406" s="35"/>
      <c r="O406" s="35"/>
      <c r="P406" s="176">
        <f>IFERROR(__xludf.DUMMYFUNCTION("""COMPUTED_VALUE"""),-67889.59449999999)</f>
        <v>-67889.5945</v>
      </c>
      <c r="Q406" s="177"/>
      <c r="R406" s="178">
        <f>IFERROR(__xludf.DUMMYFUNCTION("""COMPUTED_VALUE"""),100.09)</f>
        <v>100.09</v>
      </c>
      <c r="S406" s="184">
        <f>IFERROR(__xludf.DUMMYFUNCTION("""COMPUTED_VALUE"""),78365.4655)</f>
        <v>78365.4655</v>
      </c>
      <c r="T406" s="95">
        <f>IFERROR(__xludf.DUMMYFUNCTION("""COMPUTED_VALUE"""),8.0)</f>
        <v>8</v>
      </c>
      <c r="U406" s="35" t="str">
        <f>IFERROR(__xludf.DUMMYFUNCTION("""COMPUTED_VALUE"""),"")</f>
        <v/>
      </c>
      <c r="V406" s="170" t="str">
        <f>IFERROR(__xludf.DUMMYFUNCTION("""COMPUTED_VALUE"""),"")</f>
        <v/>
      </c>
      <c r="W406" s="171" t="str">
        <f>IFERROR(__xludf.DUMMYFUNCTION("""COMPUTED_VALUE"""),"")</f>
        <v/>
      </c>
      <c r="X406" s="14" t="str">
        <f>IFERROR(__xludf.DUMMYFUNCTION("""COMPUTED_VALUE"""),"")</f>
        <v/>
      </c>
      <c r="Y406" s="14" t="str">
        <f>IFERROR(__xludf.DUMMYFUNCTION("""COMPUTED_VALUE"""),"")</f>
        <v/>
      </c>
      <c r="Z406" s="11" t="str">
        <f>IFERROR(__xludf.DUMMYFUNCTION("""COMPUTED_VALUE"""),"")</f>
        <v/>
      </c>
    </row>
    <row r="407">
      <c r="A407" s="35" t="str">
        <f>IFERROR(__xludf.DUMMYFUNCTION("""COMPUTED_VALUE"""),"")</f>
        <v/>
      </c>
      <c r="B407" s="35" t="str">
        <f>IFERROR(__xludf.DUMMYFUNCTION("""COMPUTED_VALUE"""),"39441")</f>
        <v>39441</v>
      </c>
      <c r="C407" s="172">
        <f>IFERROR(__xludf.DUMMYFUNCTION("""COMPUTED_VALUE"""),4.4631000536E10)</f>
        <v>44631000536</v>
      </c>
      <c r="D407" s="180" t="str">
        <f>IFERROR(__xludf.DUMMYFUNCTION("""COMPUTED_VALUE"""),"CL=F")</f>
        <v>CL=F</v>
      </c>
      <c r="E407" s="173">
        <f>IFERROR(__xludf.DUMMYFUNCTION("""COMPUTED_VALUE"""),44631.0)</f>
        <v>44631</v>
      </c>
      <c r="F407" s="35" t="str">
        <f>IFERROR(__xludf.DUMMYFUNCTION("""COMPUTED_VALUE"""),"Stock")</f>
        <v>Stock</v>
      </c>
      <c r="G407" s="35" t="str">
        <f>IFERROR(__xludf.DUMMYFUNCTION("""COMPUTED_VALUE"""),"USD")</f>
        <v>USD</v>
      </c>
      <c r="H407" s="181">
        <f>IFERROR(__xludf.DUMMYFUNCTION("""COMPUTED_VALUE"""),-20.0)</f>
        <v>-20</v>
      </c>
      <c r="I407" s="174">
        <f>IFERROR(__xludf.DUMMYFUNCTION("""COMPUTED_VALUE"""),7.8295)</f>
        <v>7.8295</v>
      </c>
      <c r="J407" s="175">
        <f>IFERROR(__xludf.DUMMYFUNCTION("""COMPUTED_VALUE"""),109.09)</f>
        <v>109.09</v>
      </c>
      <c r="K407" s="35"/>
      <c r="L407" s="175">
        <f>IFERROR(__xludf.DUMMYFUNCTION("""COMPUTED_VALUE"""),104.31)</f>
        <v>104.31</v>
      </c>
      <c r="M407" s="182" t="str">
        <f>IFERROR(__xludf.DUMMYFUNCTION("""COMPUTED_VALUE"""),"Equity Key Stats")</f>
        <v>Equity Key Stats</v>
      </c>
      <c r="N407" s="35"/>
      <c r="O407" s="35"/>
      <c r="P407" s="184">
        <f>IFERROR(__xludf.DUMMYFUNCTION("""COMPUTED_VALUE"""),17082.4031)</f>
        <v>17082.4031</v>
      </c>
      <c r="Q407" s="177"/>
      <c r="R407" s="178">
        <f>IFERROR(__xludf.DUMMYFUNCTION("""COMPUTED_VALUE"""),104.31)</f>
        <v>104.31</v>
      </c>
      <c r="S407" s="176">
        <f>IFERROR(__xludf.DUMMYFUNCTION("""COMPUTED_VALUE"""),-16333.902900000001)</f>
        <v>-16333.9029</v>
      </c>
      <c r="T407" s="95">
        <f>IFERROR(__xludf.DUMMYFUNCTION("""COMPUTED_VALUE"""),2.0)</f>
        <v>2</v>
      </c>
      <c r="U407" s="95" t="str">
        <f>IFERROR(__xludf.DUMMYFUNCTION("""COMPUTED_VALUE"""),"")</f>
        <v/>
      </c>
      <c r="V407" s="185" t="str">
        <f>IFERROR(__xludf.DUMMYFUNCTION("""COMPUTED_VALUE"""),"")</f>
        <v/>
      </c>
      <c r="W407" s="171" t="str">
        <f>IFERROR(__xludf.DUMMYFUNCTION("""COMPUTED_VALUE"""),"")</f>
        <v/>
      </c>
      <c r="X407" s="14" t="str">
        <f>IFERROR(__xludf.DUMMYFUNCTION("""COMPUTED_VALUE"""),"")</f>
        <v/>
      </c>
      <c r="Y407" s="14" t="str">
        <f>IFERROR(__xludf.DUMMYFUNCTION("""COMPUTED_VALUE"""),"")</f>
        <v/>
      </c>
      <c r="Z407" s="11" t="str">
        <f>IFERROR(__xludf.DUMMYFUNCTION("""COMPUTED_VALUE"""),"")</f>
        <v/>
      </c>
    </row>
    <row r="408">
      <c r="A408" s="35" t="str">
        <f>IFERROR(__xludf.DUMMYFUNCTION("""COMPUTED_VALUE"""),"")</f>
        <v/>
      </c>
      <c r="B408" s="35" t="str">
        <f>IFERROR(__xludf.DUMMYFUNCTION("""COMPUTED_VALUE"""),"39441")</f>
        <v>39441</v>
      </c>
      <c r="C408" s="172">
        <f>IFERROR(__xludf.DUMMYFUNCTION("""COMPUTED_VALUE"""),4.4634000567E10)</f>
        <v>44634000567</v>
      </c>
      <c r="D408" s="180" t="str">
        <f>IFERROR(__xludf.DUMMYFUNCTION("""COMPUTED_VALUE"""),"AMZN")</f>
        <v>AMZN</v>
      </c>
      <c r="E408" s="173">
        <f>IFERROR(__xludf.DUMMYFUNCTION("""COMPUTED_VALUE"""),44634.0)</f>
        <v>44634</v>
      </c>
      <c r="F408" s="35" t="str">
        <f>IFERROR(__xludf.DUMMYFUNCTION("""COMPUTED_VALUE"""),"Stock")</f>
        <v>Stock</v>
      </c>
      <c r="G408" s="35" t="str">
        <f>IFERROR(__xludf.DUMMYFUNCTION("""COMPUTED_VALUE"""),"USD")</f>
        <v>USD</v>
      </c>
      <c r="H408" s="181">
        <f>IFERROR(__xludf.DUMMYFUNCTION("""COMPUTED_VALUE"""),5.0)</f>
        <v>5</v>
      </c>
      <c r="I408" s="174">
        <f>IFERROR(__xludf.DUMMYFUNCTION("""COMPUTED_VALUE"""),7.82925)</f>
        <v>7.82925</v>
      </c>
      <c r="J408" s="175">
        <f>IFERROR(__xludf.DUMMYFUNCTION("""COMPUTED_VALUE"""),2837.06)</f>
        <v>2837.06</v>
      </c>
      <c r="K408" s="35"/>
      <c r="L408" s="175">
        <f>IFERROR(__xludf.DUMMYFUNCTION("""COMPUTED_VALUE"""),3110.82)</f>
        <v>3110.82</v>
      </c>
      <c r="M408" s="182" t="str">
        <f>IFERROR(__xludf.DUMMYFUNCTION("""COMPUTED_VALUE"""),"Equity Key Stats")</f>
        <v>Equity Key Stats</v>
      </c>
      <c r="N408" s="35"/>
      <c r="O408" s="35"/>
      <c r="P408" s="184">
        <f>IFERROR(__xludf.DUMMYFUNCTION("""COMPUTED_VALUE"""),-111060.26002500001)</f>
        <v>-111060.26</v>
      </c>
      <c r="Q408" s="177"/>
      <c r="R408" s="178">
        <f>IFERROR(__xludf.DUMMYFUNCTION("""COMPUTED_VALUE"""),3110.82)</f>
        <v>3110.82</v>
      </c>
      <c r="S408" s="176">
        <f>IFERROR(__xludf.DUMMYFUNCTION("""COMPUTED_VALUE"""),121776.93742500001)</f>
        <v>121776.9374</v>
      </c>
      <c r="T408" s="95">
        <f>IFERROR(__xludf.DUMMYFUNCTION("""COMPUTED_VALUE"""),5.0)</f>
        <v>5</v>
      </c>
      <c r="U408" s="35" t="str">
        <f>IFERROR(__xludf.DUMMYFUNCTION("""COMPUTED_VALUE"""),"")</f>
        <v/>
      </c>
      <c r="V408" s="170" t="str">
        <f>IFERROR(__xludf.DUMMYFUNCTION("""COMPUTED_VALUE"""),"")</f>
        <v/>
      </c>
      <c r="W408" s="171" t="str">
        <f>IFERROR(__xludf.DUMMYFUNCTION("""COMPUTED_VALUE"""),"")</f>
        <v/>
      </c>
      <c r="X408" s="14" t="str">
        <f>IFERROR(__xludf.DUMMYFUNCTION("""COMPUTED_VALUE"""),"")</f>
        <v/>
      </c>
      <c r="Y408" s="14" t="str">
        <f>IFERROR(__xludf.DUMMYFUNCTION("""COMPUTED_VALUE"""),"")</f>
        <v/>
      </c>
      <c r="Z408" s="11" t="str">
        <f>IFERROR(__xludf.DUMMYFUNCTION("""COMPUTED_VALUE"""),"")</f>
        <v/>
      </c>
    </row>
    <row r="409">
      <c r="A409" s="35" t="str">
        <f>IFERROR(__xludf.DUMMYFUNCTION("""COMPUTED_VALUE"""),"")</f>
        <v/>
      </c>
      <c r="B409" s="35" t="str">
        <f>IFERROR(__xludf.DUMMYFUNCTION("""COMPUTED_VALUE"""),"39441")</f>
        <v>39441</v>
      </c>
      <c r="C409" s="172">
        <f>IFERROR(__xludf.DUMMYFUNCTION("""COMPUTED_VALUE"""),4.4634000568E10)</f>
        <v>44634000568</v>
      </c>
      <c r="D409" s="180" t="str">
        <f>IFERROR(__xludf.DUMMYFUNCTION("""COMPUTED_VALUE"""),"BABA")</f>
        <v>BABA</v>
      </c>
      <c r="E409" s="173">
        <f>IFERROR(__xludf.DUMMYFUNCTION("""COMPUTED_VALUE"""),44634.0)</f>
        <v>44634</v>
      </c>
      <c r="F409" s="35" t="str">
        <f>IFERROR(__xludf.DUMMYFUNCTION("""COMPUTED_VALUE"""),"Stock")</f>
        <v>Stock</v>
      </c>
      <c r="G409" s="35" t="str">
        <f>IFERROR(__xludf.DUMMYFUNCTION("""COMPUTED_VALUE"""),"USD")</f>
        <v>USD</v>
      </c>
      <c r="H409" s="181">
        <f>IFERROR(__xludf.DUMMYFUNCTION("""COMPUTED_VALUE"""),20.0)</f>
        <v>20</v>
      </c>
      <c r="I409" s="174">
        <f>IFERROR(__xludf.DUMMYFUNCTION("""COMPUTED_VALUE"""),7.82925)</f>
        <v>7.82925</v>
      </c>
      <c r="J409" s="175">
        <f>IFERROR(__xludf.DUMMYFUNCTION("""COMPUTED_VALUE"""),77.76)</f>
        <v>77.76</v>
      </c>
      <c r="K409" s="35"/>
      <c r="L409" s="175">
        <f>IFERROR(__xludf.DUMMYFUNCTION("""COMPUTED_VALUE"""),100.09)</f>
        <v>100.09</v>
      </c>
      <c r="M409" s="182" t="str">
        <f>IFERROR(__xludf.DUMMYFUNCTION("""COMPUTED_VALUE"""),"Equity Key Stats")</f>
        <v>Equity Key Stats</v>
      </c>
      <c r="N409" s="35"/>
      <c r="O409" s="35"/>
      <c r="P409" s="184">
        <f>IFERROR(__xludf.DUMMYFUNCTION("""COMPUTED_VALUE"""),-12176.049600000002)</f>
        <v>-12176.0496</v>
      </c>
      <c r="Q409" s="177"/>
      <c r="R409" s="178">
        <f>IFERROR(__xludf.DUMMYFUNCTION("""COMPUTED_VALUE"""),100.09)</f>
        <v>100.09</v>
      </c>
      <c r="S409" s="176">
        <f>IFERROR(__xludf.DUMMYFUNCTION("""COMPUTED_VALUE"""),15672.59265)</f>
        <v>15672.59265</v>
      </c>
      <c r="T409" s="95">
        <f>IFERROR(__xludf.DUMMYFUNCTION("""COMPUTED_VALUE"""),8.0)</f>
        <v>8</v>
      </c>
      <c r="U409" s="95" t="str">
        <f>IFERROR(__xludf.DUMMYFUNCTION("""COMPUTED_VALUE"""),"")</f>
        <v/>
      </c>
      <c r="V409" s="185" t="str">
        <f>IFERROR(__xludf.DUMMYFUNCTION("""COMPUTED_VALUE"""),"")</f>
        <v/>
      </c>
      <c r="W409" s="171" t="str">
        <f>IFERROR(__xludf.DUMMYFUNCTION("""COMPUTED_VALUE"""),"")</f>
        <v/>
      </c>
      <c r="X409" s="14" t="str">
        <f>IFERROR(__xludf.DUMMYFUNCTION("""COMPUTED_VALUE"""),"")</f>
        <v/>
      </c>
      <c r="Y409" s="14" t="str">
        <f>IFERROR(__xludf.DUMMYFUNCTION("""COMPUTED_VALUE"""),"")</f>
        <v/>
      </c>
      <c r="Z409" s="11" t="str">
        <f>IFERROR(__xludf.DUMMYFUNCTION("""COMPUTED_VALUE"""),"")</f>
        <v/>
      </c>
    </row>
    <row r="410">
      <c r="A410" s="35" t="str">
        <f>IFERROR(__xludf.DUMMYFUNCTION("""COMPUTED_VALUE"""),"")</f>
        <v/>
      </c>
      <c r="B410" s="35" t="str">
        <f>IFERROR(__xludf.DUMMYFUNCTION("""COMPUTED_VALUE"""),"39441")</f>
        <v>39441</v>
      </c>
      <c r="C410" s="172">
        <f>IFERROR(__xludf.DUMMYFUNCTION("""COMPUTED_VALUE"""),4.4635000569E10)</f>
        <v>44635000569</v>
      </c>
      <c r="D410" s="188" t="str">
        <f>IFERROR(__xludf.DUMMYFUNCTION("""COMPUTED_VALUE"""),"0070.HK")</f>
        <v>0070.HK</v>
      </c>
      <c r="E410" s="173">
        <f>IFERROR(__xludf.DUMMYFUNCTION("""COMPUTED_VALUE"""),44635.0)</f>
        <v>44635</v>
      </c>
      <c r="F410" s="35" t="str">
        <f>IFERROR(__xludf.DUMMYFUNCTION("""COMPUTED_VALUE"""),"Stock")</f>
        <v>Stock</v>
      </c>
      <c r="G410" s="35" t="str">
        <f>IFERROR(__xludf.DUMMYFUNCTION("""COMPUTED_VALUE"""),"HKD")</f>
        <v>HKD</v>
      </c>
      <c r="H410" s="183">
        <f>IFERROR(__xludf.DUMMYFUNCTION("""COMPUTED_VALUE"""),-100.0)</f>
        <v>-100</v>
      </c>
      <c r="I410" s="174">
        <f>IFERROR(__xludf.DUMMYFUNCTION("""COMPUTED_VALUE"""),1.0)</f>
        <v>1</v>
      </c>
      <c r="J410" s="175">
        <f>IFERROR(__xludf.DUMMYFUNCTION("""COMPUTED_VALUE"""),0.058)</f>
        <v>0.058</v>
      </c>
      <c r="K410" s="35"/>
      <c r="L410" s="175">
        <f>IFERROR(__xludf.DUMMYFUNCTION("""COMPUTED_VALUE"""),0.07)</f>
        <v>0.07</v>
      </c>
      <c r="M410" s="182" t="str">
        <f>IFERROR(__xludf.DUMMYFUNCTION("""COMPUTED_VALUE"""),"Equity Key Stats")</f>
        <v>Equity Key Stats</v>
      </c>
      <c r="N410" s="35"/>
      <c r="O410" s="35"/>
      <c r="P410" s="176">
        <f>IFERROR(__xludf.DUMMYFUNCTION("""COMPUTED_VALUE"""),5.800000000000001)</f>
        <v>5.8</v>
      </c>
      <c r="Q410" s="177"/>
      <c r="R410" s="178">
        <f>IFERROR(__xludf.DUMMYFUNCTION("""COMPUTED_VALUE"""),0.07)</f>
        <v>0.07</v>
      </c>
      <c r="S410" s="184">
        <f>IFERROR(__xludf.DUMMYFUNCTION("""COMPUTED_VALUE"""),-7.000000000000001)</f>
        <v>-7</v>
      </c>
      <c r="T410" s="95">
        <f>IFERROR(__xludf.DUMMYFUNCTION("""COMPUTED_VALUE"""),1.0)</f>
        <v>1</v>
      </c>
      <c r="U410" s="95">
        <f>IFERROR(__xludf.DUMMYFUNCTION("""COMPUTED_VALUE"""),1.0)</f>
        <v>1</v>
      </c>
      <c r="V410" s="185">
        <f>IFERROR(__xludf.DUMMYFUNCTION("""COMPUTED_VALUE"""),-1.2000000000000002)</f>
        <v>-1.2</v>
      </c>
      <c r="W410" s="171" t="str">
        <f>IFERROR(__xludf.DUMMYFUNCTION("""COMPUTED_VALUE"""),"")</f>
        <v/>
      </c>
      <c r="X410" s="14" t="str">
        <f>IFERROR(__xludf.DUMMYFUNCTION("""COMPUTED_VALUE"""),"")</f>
        <v/>
      </c>
      <c r="Y410" s="14" t="str">
        <f>IFERROR(__xludf.DUMMYFUNCTION("""COMPUTED_VALUE"""),"")</f>
        <v/>
      </c>
      <c r="Z410" s="11" t="str">
        <f>IFERROR(__xludf.DUMMYFUNCTION("""COMPUTED_VALUE"""),"")</f>
        <v/>
      </c>
    </row>
    <row r="411">
      <c r="A411" s="35" t="str">
        <f>IFERROR(__xludf.DUMMYFUNCTION("""COMPUTED_VALUE"""),"")</f>
        <v/>
      </c>
      <c r="B411" s="35" t="str">
        <f>IFERROR(__xludf.DUMMYFUNCTION("""COMPUTED_VALUE"""),"39441")</f>
        <v>39441</v>
      </c>
      <c r="C411" s="172">
        <f>IFERROR(__xludf.DUMMYFUNCTION("""COMPUTED_VALUE"""),4.463500061E10)</f>
        <v>44635000610</v>
      </c>
      <c r="D411" s="180" t="str">
        <f>IFERROR(__xludf.DUMMYFUNCTION("""COMPUTED_VALUE"""),"BABA")</f>
        <v>BABA</v>
      </c>
      <c r="E411" s="173">
        <f>IFERROR(__xludf.DUMMYFUNCTION("""COMPUTED_VALUE"""),44635.0)</f>
        <v>44635</v>
      </c>
      <c r="F411" s="35" t="str">
        <f>IFERROR(__xludf.DUMMYFUNCTION("""COMPUTED_VALUE"""),"Stock")</f>
        <v>Stock</v>
      </c>
      <c r="G411" s="35" t="str">
        <f>IFERROR(__xludf.DUMMYFUNCTION("""COMPUTED_VALUE"""),"USD")</f>
        <v>USD</v>
      </c>
      <c r="H411" s="181">
        <f>IFERROR(__xludf.DUMMYFUNCTION("""COMPUTED_VALUE"""),-200.0)</f>
        <v>-200</v>
      </c>
      <c r="I411" s="174">
        <f>IFERROR(__xludf.DUMMYFUNCTION("""COMPUTED_VALUE"""),7.82695)</f>
        <v>7.82695</v>
      </c>
      <c r="J411" s="175">
        <f>IFERROR(__xludf.DUMMYFUNCTION("""COMPUTED_VALUE"""),76.76)</f>
        <v>76.76</v>
      </c>
      <c r="K411" s="35"/>
      <c r="L411" s="175">
        <f>IFERROR(__xludf.DUMMYFUNCTION("""COMPUTED_VALUE"""),100.09)</f>
        <v>100.09</v>
      </c>
      <c r="M411" s="182" t="str">
        <f>IFERROR(__xludf.DUMMYFUNCTION("""COMPUTED_VALUE"""),"Equity Key Stats")</f>
        <v>Equity Key Stats</v>
      </c>
      <c r="N411" s="35"/>
      <c r="O411" s="35"/>
      <c r="P411" s="176">
        <f>IFERROR(__xludf.DUMMYFUNCTION("""COMPUTED_VALUE"""),120159.33640000001)</f>
        <v>120159.3364</v>
      </c>
      <c r="Q411" s="177"/>
      <c r="R411" s="178">
        <f>IFERROR(__xludf.DUMMYFUNCTION("""COMPUTED_VALUE"""),100.09)</f>
        <v>100.09</v>
      </c>
      <c r="S411" s="176">
        <f>IFERROR(__xludf.DUMMYFUNCTION("""COMPUTED_VALUE"""),-156679.8851)</f>
        <v>-156679.8851</v>
      </c>
      <c r="T411" s="95">
        <f>IFERROR(__xludf.DUMMYFUNCTION("""COMPUTED_VALUE"""),8.0)</f>
        <v>8</v>
      </c>
      <c r="U411" s="35" t="str">
        <f>IFERROR(__xludf.DUMMYFUNCTION("""COMPUTED_VALUE"""),"")</f>
        <v/>
      </c>
      <c r="V411" s="170" t="str">
        <f>IFERROR(__xludf.DUMMYFUNCTION("""COMPUTED_VALUE"""),"")</f>
        <v/>
      </c>
      <c r="W411" s="171" t="str">
        <f>IFERROR(__xludf.DUMMYFUNCTION("""COMPUTED_VALUE"""),"")</f>
        <v/>
      </c>
      <c r="X411" s="14" t="str">
        <f>IFERROR(__xludf.DUMMYFUNCTION("""COMPUTED_VALUE"""),"")</f>
        <v/>
      </c>
      <c r="Y411" s="14" t="str">
        <f>IFERROR(__xludf.DUMMYFUNCTION("""COMPUTED_VALUE"""),"")</f>
        <v/>
      </c>
      <c r="Z411" s="11" t="str">
        <f>IFERROR(__xludf.DUMMYFUNCTION("""COMPUTED_VALUE"""),"")</f>
        <v/>
      </c>
    </row>
    <row r="412">
      <c r="A412" s="35" t="str">
        <f>IFERROR(__xludf.DUMMYFUNCTION("""COMPUTED_VALUE"""),"")</f>
        <v/>
      </c>
      <c r="B412" s="35" t="str">
        <f>IFERROR(__xludf.DUMMYFUNCTION("""COMPUTED_VALUE"""),"39441")</f>
        <v>39441</v>
      </c>
      <c r="C412" s="172">
        <f>IFERROR(__xludf.DUMMYFUNCTION("""COMPUTED_VALUE"""),4.4636000617E10)</f>
        <v>44636000617</v>
      </c>
      <c r="D412" s="192" t="str">
        <f>IFERROR(__xludf.DUMMYFUNCTION("""COMPUTED_VALUE"""),"0700.HK")</f>
        <v>0700.HK</v>
      </c>
      <c r="E412" s="173">
        <f>IFERROR(__xludf.DUMMYFUNCTION("""COMPUTED_VALUE"""),44636.0)</f>
        <v>44636</v>
      </c>
      <c r="F412" s="35" t="str">
        <f>IFERROR(__xludf.DUMMYFUNCTION("""COMPUTED_VALUE"""),"Stock")</f>
        <v>Stock</v>
      </c>
      <c r="G412" s="35" t="str">
        <f>IFERROR(__xludf.DUMMYFUNCTION("""COMPUTED_VALUE"""),"HKD")</f>
        <v>HKD</v>
      </c>
      <c r="H412" s="181">
        <f>IFERROR(__xludf.DUMMYFUNCTION("""COMPUTED_VALUE"""),10.0)</f>
        <v>10</v>
      </c>
      <c r="I412" s="174">
        <f>IFERROR(__xludf.DUMMYFUNCTION("""COMPUTED_VALUE"""),1.0)</f>
        <v>1</v>
      </c>
      <c r="J412" s="175">
        <f>IFERROR(__xludf.DUMMYFUNCTION("""COMPUTED_VALUE"""),298.0)</f>
        <v>298</v>
      </c>
      <c r="K412" s="35"/>
      <c r="L412" s="175">
        <f>IFERROR(__xludf.DUMMYFUNCTION("""COMPUTED_VALUE"""),373.6)</f>
        <v>373.6</v>
      </c>
      <c r="M412" s="182" t="str">
        <f>IFERROR(__xludf.DUMMYFUNCTION("""COMPUTED_VALUE"""),"Equity Key Stats")</f>
        <v>Equity Key Stats</v>
      </c>
      <c r="N412" s="35"/>
      <c r="O412" s="35"/>
      <c r="P412" s="176">
        <f>IFERROR(__xludf.DUMMYFUNCTION("""COMPUTED_VALUE"""),-2980.0)</f>
        <v>-2980</v>
      </c>
      <c r="Q412" s="177"/>
      <c r="R412" s="178">
        <f>IFERROR(__xludf.DUMMYFUNCTION("""COMPUTED_VALUE"""),373.6)</f>
        <v>373.6</v>
      </c>
      <c r="S412" s="176">
        <f>IFERROR(__xludf.DUMMYFUNCTION("""COMPUTED_VALUE"""),3736.0)</f>
        <v>3736</v>
      </c>
      <c r="T412" s="95">
        <f>IFERROR(__xludf.DUMMYFUNCTION("""COMPUTED_VALUE"""),4.0)</f>
        <v>4</v>
      </c>
      <c r="U412" s="95" t="str">
        <f>IFERROR(__xludf.DUMMYFUNCTION("""COMPUTED_VALUE"""),"")</f>
        <v/>
      </c>
      <c r="V412" s="185" t="str">
        <f>IFERROR(__xludf.DUMMYFUNCTION("""COMPUTED_VALUE"""),"")</f>
        <v/>
      </c>
      <c r="W412" s="171" t="str">
        <f>IFERROR(__xludf.DUMMYFUNCTION("""COMPUTED_VALUE"""),"")</f>
        <v/>
      </c>
      <c r="X412" s="14" t="str">
        <f>IFERROR(__xludf.DUMMYFUNCTION("""COMPUTED_VALUE"""),"")</f>
        <v/>
      </c>
      <c r="Y412" s="14" t="str">
        <f>IFERROR(__xludf.DUMMYFUNCTION("""COMPUTED_VALUE"""),"")</f>
        <v/>
      </c>
      <c r="Z412" s="11" t="str">
        <f>IFERROR(__xludf.DUMMYFUNCTION("""COMPUTED_VALUE"""),"")</f>
        <v/>
      </c>
    </row>
    <row r="413">
      <c r="A413" s="35" t="str">
        <f>IFERROR(__xludf.DUMMYFUNCTION("""COMPUTED_VALUE"""),"")</f>
        <v/>
      </c>
      <c r="B413" s="35" t="str">
        <f>IFERROR(__xludf.DUMMYFUNCTION("""COMPUTED_VALUE"""),"39441")</f>
        <v>39441</v>
      </c>
      <c r="C413" s="172">
        <f>IFERROR(__xludf.DUMMYFUNCTION("""COMPUTED_VALUE"""),4.4636000636E10)</f>
        <v>44636000636</v>
      </c>
      <c r="D413" s="180" t="str">
        <f>IFERROR(__xludf.DUMMYFUNCTION("""COMPUTED_VALUE"""),"BABA")</f>
        <v>BABA</v>
      </c>
      <c r="E413" s="173">
        <f>IFERROR(__xludf.DUMMYFUNCTION("""COMPUTED_VALUE"""),44636.0)</f>
        <v>44636</v>
      </c>
      <c r="F413" s="35" t="str">
        <f>IFERROR(__xludf.DUMMYFUNCTION("""COMPUTED_VALUE"""),"Stock")</f>
        <v>Stock</v>
      </c>
      <c r="G413" s="35" t="str">
        <f>IFERROR(__xludf.DUMMYFUNCTION("""COMPUTED_VALUE"""),"USD")</f>
        <v>USD</v>
      </c>
      <c r="H413" s="181">
        <f>IFERROR(__xludf.DUMMYFUNCTION("""COMPUTED_VALUE"""),-200.0)</f>
        <v>-200</v>
      </c>
      <c r="I413" s="174">
        <f>IFERROR(__xludf.DUMMYFUNCTION("""COMPUTED_VALUE"""),7.82055)</f>
        <v>7.82055</v>
      </c>
      <c r="J413" s="175">
        <f>IFERROR(__xludf.DUMMYFUNCTION("""COMPUTED_VALUE"""),104.98)</f>
        <v>104.98</v>
      </c>
      <c r="K413" s="35"/>
      <c r="L413" s="175">
        <f>IFERROR(__xludf.DUMMYFUNCTION("""COMPUTED_VALUE"""),100.09)</f>
        <v>100.09</v>
      </c>
      <c r="M413" s="182" t="str">
        <f>IFERROR(__xludf.DUMMYFUNCTION("""COMPUTED_VALUE"""),"Equity Key Stats")</f>
        <v>Equity Key Stats</v>
      </c>
      <c r="N413" s="35"/>
      <c r="O413" s="35"/>
      <c r="P413" s="176">
        <f>IFERROR(__xludf.DUMMYFUNCTION("""COMPUTED_VALUE"""),164200.2678)</f>
        <v>164200.2678</v>
      </c>
      <c r="Q413" s="177"/>
      <c r="R413" s="178">
        <f>IFERROR(__xludf.DUMMYFUNCTION("""COMPUTED_VALUE"""),100.09)</f>
        <v>100.09</v>
      </c>
      <c r="S413" s="176">
        <f>IFERROR(__xludf.DUMMYFUNCTION("""COMPUTED_VALUE"""),-156551.76989999998)</f>
        <v>-156551.7699</v>
      </c>
      <c r="T413" s="95">
        <f>IFERROR(__xludf.DUMMYFUNCTION("""COMPUTED_VALUE"""),8.0)</f>
        <v>8</v>
      </c>
      <c r="U413" s="95" t="str">
        <f>IFERROR(__xludf.DUMMYFUNCTION("""COMPUTED_VALUE"""),"")</f>
        <v/>
      </c>
      <c r="V413" s="179" t="str">
        <f>IFERROR(__xludf.DUMMYFUNCTION("""COMPUTED_VALUE"""),"")</f>
        <v/>
      </c>
      <c r="W413" s="55" t="str">
        <f>IFERROR(__xludf.DUMMYFUNCTION("""COMPUTED_VALUE"""),"")</f>
        <v/>
      </c>
      <c r="X413" s="181" t="str">
        <f>IFERROR(__xludf.DUMMYFUNCTION("""COMPUTED_VALUE"""),"")</f>
        <v/>
      </c>
      <c r="Y413" s="181" t="str">
        <f>IFERROR(__xludf.DUMMYFUNCTION("""COMPUTED_VALUE"""),"")</f>
        <v/>
      </c>
      <c r="Z413" s="189" t="str">
        <f>IFERROR(__xludf.DUMMYFUNCTION("""COMPUTED_VALUE"""),"")</f>
        <v/>
      </c>
    </row>
    <row r="414">
      <c r="A414" s="35" t="str">
        <f>IFERROR(__xludf.DUMMYFUNCTION("""COMPUTED_VALUE"""),"")</f>
        <v/>
      </c>
      <c r="B414" s="35" t="str">
        <f>IFERROR(__xludf.DUMMYFUNCTION("""COMPUTED_VALUE"""),"39441")</f>
        <v>39441</v>
      </c>
      <c r="C414" s="172">
        <f>IFERROR(__xludf.DUMMYFUNCTION("""COMPUTED_VALUE"""),4.4636000637E10)</f>
        <v>44636000637</v>
      </c>
      <c r="D414" s="188" t="str">
        <f>IFERROR(__xludf.DUMMYFUNCTION("""COMPUTED_VALUE"""),"0700.HK")</f>
        <v>0700.HK</v>
      </c>
      <c r="E414" s="173">
        <f>IFERROR(__xludf.DUMMYFUNCTION("""COMPUTED_VALUE"""),44636.0)</f>
        <v>44636</v>
      </c>
      <c r="F414" s="35" t="str">
        <f>IFERROR(__xludf.DUMMYFUNCTION("""COMPUTED_VALUE"""),"Stock")</f>
        <v>Stock</v>
      </c>
      <c r="G414" s="35" t="str">
        <f>IFERROR(__xludf.DUMMYFUNCTION("""COMPUTED_VALUE"""),"HKD")</f>
        <v>HKD</v>
      </c>
      <c r="H414" s="14">
        <f>IFERROR(__xludf.DUMMYFUNCTION("""COMPUTED_VALUE"""),-20.0)</f>
        <v>-20</v>
      </c>
      <c r="I414" s="174">
        <f>IFERROR(__xludf.DUMMYFUNCTION("""COMPUTED_VALUE"""),1.0)</f>
        <v>1</v>
      </c>
      <c r="J414" s="175">
        <f>IFERROR(__xludf.DUMMYFUNCTION("""COMPUTED_VALUE"""),367.0)</f>
        <v>367</v>
      </c>
      <c r="K414" s="35"/>
      <c r="L414" s="175">
        <f>IFERROR(__xludf.DUMMYFUNCTION("""COMPUTED_VALUE"""),373.6)</f>
        <v>373.6</v>
      </c>
      <c r="M414" s="187" t="str">
        <f>IFERROR(__xludf.DUMMYFUNCTION("""COMPUTED_VALUE"""),"Equity Key Stats")</f>
        <v>Equity Key Stats</v>
      </c>
      <c r="N414" s="35"/>
      <c r="O414" s="35"/>
      <c r="P414" s="176">
        <f>IFERROR(__xludf.DUMMYFUNCTION("""COMPUTED_VALUE"""),7340.0)</f>
        <v>7340</v>
      </c>
      <c r="Q414" s="177"/>
      <c r="R414" s="178">
        <f>IFERROR(__xludf.DUMMYFUNCTION("""COMPUTED_VALUE"""),373.6)</f>
        <v>373.6</v>
      </c>
      <c r="S414" s="151">
        <f>IFERROR(__xludf.DUMMYFUNCTION("""COMPUTED_VALUE"""),-7472.0)</f>
        <v>-7472</v>
      </c>
      <c r="T414" s="95">
        <f>IFERROR(__xludf.DUMMYFUNCTION("""COMPUTED_VALUE"""),4.0)</f>
        <v>4</v>
      </c>
      <c r="U414" s="95" t="str">
        <f>IFERROR(__xludf.DUMMYFUNCTION("""COMPUTED_VALUE"""),"")</f>
        <v/>
      </c>
      <c r="V414" s="179" t="str">
        <f>IFERROR(__xludf.DUMMYFUNCTION("""COMPUTED_VALUE"""),"")</f>
        <v/>
      </c>
      <c r="W414" s="55" t="str">
        <f>IFERROR(__xludf.DUMMYFUNCTION("""COMPUTED_VALUE"""),"")</f>
        <v/>
      </c>
      <c r="X414" s="181" t="str">
        <f>IFERROR(__xludf.DUMMYFUNCTION("""COMPUTED_VALUE"""),"")</f>
        <v/>
      </c>
      <c r="Y414" s="181" t="str">
        <f>IFERROR(__xludf.DUMMYFUNCTION("""COMPUTED_VALUE"""),"")</f>
        <v/>
      </c>
      <c r="Z414" s="186" t="str">
        <f>IFERROR(__xludf.DUMMYFUNCTION("""COMPUTED_VALUE"""),"")</f>
        <v/>
      </c>
    </row>
    <row r="415">
      <c r="A415" s="35" t="str">
        <f>IFERROR(__xludf.DUMMYFUNCTION("""COMPUTED_VALUE"""),"")</f>
        <v/>
      </c>
      <c r="B415" s="35" t="str">
        <f>IFERROR(__xludf.DUMMYFUNCTION("""COMPUTED_VALUE"""),"39441")</f>
        <v>39441</v>
      </c>
      <c r="C415" s="172">
        <f>IFERROR(__xludf.DUMMYFUNCTION("""COMPUTED_VALUE"""),4.4637000674E10)</f>
        <v>44637000674</v>
      </c>
      <c r="D415" s="180" t="str">
        <f>IFERROR(__xludf.DUMMYFUNCTION("""COMPUTED_VALUE"""),"BABA")</f>
        <v>BABA</v>
      </c>
      <c r="E415" s="173">
        <f>IFERROR(__xludf.DUMMYFUNCTION("""COMPUTED_VALUE"""),44637.0)</f>
        <v>44637</v>
      </c>
      <c r="F415" s="35" t="str">
        <f>IFERROR(__xludf.DUMMYFUNCTION("""COMPUTED_VALUE"""),"Stock")</f>
        <v>Stock</v>
      </c>
      <c r="G415" s="35" t="str">
        <f>IFERROR(__xludf.DUMMYFUNCTION("""COMPUTED_VALUE"""),"USD")</f>
        <v>USD</v>
      </c>
      <c r="H415" s="14">
        <f>IFERROR(__xludf.DUMMYFUNCTION("""COMPUTED_VALUE"""),0.0)</f>
        <v>0</v>
      </c>
      <c r="I415" s="174">
        <f>IFERROR(__xludf.DUMMYFUNCTION("""COMPUTED_VALUE"""),7.81854)</f>
        <v>7.81854</v>
      </c>
      <c r="J415" s="175">
        <f>IFERROR(__xludf.DUMMYFUNCTION("""COMPUTED_VALUE"""),0.0)</f>
        <v>0</v>
      </c>
      <c r="K415" s="35"/>
      <c r="L415" s="175">
        <f>IFERROR(__xludf.DUMMYFUNCTION("""COMPUTED_VALUE"""),100.09)</f>
        <v>100.09</v>
      </c>
      <c r="M415" s="187" t="str">
        <f>IFERROR(__xludf.DUMMYFUNCTION("""COMPUTED_VALUE"""),"Equity Key Stats")</f>
        <v>Equity Key Stats</v>
      </c>
      <c r="N415" s="35"/>
      <c r="O415" s="35"/>
      <c r="P415" s="176">
        <f>IFERROR(__xludf.DUMMYFUNCTION("""COMPUTED_VALUE"""),0.0)</f>
        <v>0</v>
      </c>
      <c r="Q415" s="177"/>
      <c r="R415" s="178">
        <f>IFERROR(__xludf.DUMMYFUNCTION("""COMPUTED_VALUE"""),100.09)</f>
        <v>100.09</v>
      </c>
      <c r="S415" s="151">
        <f>IFERROR(__xludf.DUMMYFUNCTION("""COMPUTED_VALUE"""),0.0)</f>
        <v>0</v>
      </c>
      <c r="T415" s="95">
        <f>IFERROR(__xludf.DUMMYFUNCTION("""COMPUTED_VALUE"""),8.0)</f>
        <v>8</v>
      </c>
      <c r="U415" s="95" t="str">
        <f>IFERROR(__xludf.DUMMYFUNCTION("""COMPUTED_VALUE"""),"")</f>
        <v/>
      </c>
      <c r="V415" s="179" t="str">
        <f>IFERROR(__xludf.DUMMYFUNCTION("""COMPUTED_VALUE"""),"")</f>
        <v/>
      </c>
      <c r="W415" s="55" t="str">
        <f>IFERROR(__xludf.DUMMYFUNCTION("""COMPUTED_VALUE"""),"")</f>
        <v/>
      </c>
      <c r="X415" s="181" t="str">
        <f>IFERROR(__xludf.DUMMYFUNCTION("""COMPUTED_VALUE"""),"")</f>
        <v/>
      </c>
      <c r="Y415" s="181" t="str">
        <f>IFERROR(__xludf.DUMMYFUNCTION("""COMPUTED_VALUE"""),"")</f>
        <v/>
      </c>
      <c r="Z415" s="186" t="str">
        <f>IFERROR(__xludf.DUMMYFUNCTION("""COMPUTED_VALUE"""),"")</f>
        <v/>
      </c>
    </row>
    <row r="416">
      <c r="A416" s="35" t="str">
        <f>IFERROR(__xludf.DUMMYFUNCTION("""COMPUTED_VALUE"""),"")</f>
        <v/>
      </c>
      <c r="B416" s="35" t="str">
        <f>IFERROR(__xludf.DUMMYFUNCTION("""COMPUTED_VALUE"""),"39441")</f>
        <v>39441</v>
      </c>
      <c r="C416" s="172">
        <f>IFERROR(__xludf.DUMMYFUNCTION("""COMPUTED_VALUE"""),4.4638000699E10)</f>
        <v>44638000699</v>
      </c>
      <c r="D416" s="180" t="str">
        <f>IFERROR(__xludf.DUMMYFUNCTION("""COMPUTED_VALUE"""),"AMZN")</f>
        <v>AMZN</v>
      </c>
      <c r="E416" s="173">
        <f>IFERROR(__xludf.DUMMYFUNCTION("""COMPUTED_VALUE"""),44638.0)</f>
        <v>44638</v>
      </c>
      <c r="F416" s="35" t="str">
        <f>IFERROR(__xludf.DUMMYFUNCTION("""COMPUTED_VALUE"""),"Stock")</f>
        <v>Stock</v>
      </c>
      <c r="G416" s="35" t="str">
        <f>IFERROR(__xludf.DUMMYFUNCTION("""COMPUTED_VALUE"""),"USD")</f>
        <v>USD</v>
      </c>
      <c r="H416" s="14">
        <f>IFERROR(__xludf.DUMMYFUNCTION("""COMPUTED_VALUE"""),-11.0)</f>
        <v>-11</v>
      </c>
      <c r="I416" s="174">
        <f>IFERROR(__xludf.DUMMYFUNCTION("""COMPUTED_VALUE"""),7.82495)</f>
        <v>7.82495</v>
      </c>
      <c r="J416" s="175">
        <f>IFERROR(__xludf.DUMMYFUNCTION("""COMPUTED_VALUE"""),3225.01)</f>
        <v>3225.01</v>
      </c>
      <c r="K416" s="35"/>
      <c r="L416" s="175">
        <f>IFERROR(__xludf.DUMMYFUNCTION("""COMPUTED_VALUE"""),3110.82)</f>
        <v>3110.82</v>
      </c>
      <c r="M416" s="187" t="str">
        <f>IFERROR(__xludf.DUMMYFUNCTION("""COMPUTED_VALUE"""),"Equity Key Stats")</f>
        <v>Equity Key Stats</v>
      </c>
      <c r="N416" s="35"/>
      <c r="O416" s="35"/>
      <c r="P416" s="176">
        <f>IFERROR(__xludf.DUMMYFUNCTION("""COMPUTED_VALUE"""),277590.9619945)</f>
        <v>277590.962</v>
      </c>
      <c r="Q416" s="177"/>
      <c r="R416" s="178">
        <f>IFERROR(__xludf.DUMMYFUNCTION("""COMPUTED_VALUE"""),3110.82)</f>
        <v>3110.82</v>
      </c>
      <c r="S416" s="151">
        <f>IFERROR(__xludf.DUMMYFUNCTION("""COMPUTED_VALUE"""),-267762.120549)</f>
        <v>-267762.1205</v>
      </c>
      <c r="T416" s="95">
        <f>IFERROR(__xludf.DUMMYFUNCTION("""COMPUTED_VALUE"""),5.0)</f>
        <v>5</v>
      </c>
      <c r="U416" s="95" t="str">
        <f>IFERROR(__xludf.DUMMYFUNCTION("""COMPUTED_VALUE"""),"")</f>
        <v/>
      </c>
      <c r="V416" s="179" t="str">
        <f>IFERROR(__xludf.DUMMYFUNCTION("""COMPUTED_VALUE"""),"")</f>
        <v/>
      </c>
      <c r="W416" s="171" t="str">
        <f>IFERROR(__xludf.DUMMYFUNCTION("""COMPUTED_VALUE"""),"")</f>
        <v/>
      </c>
      <c r="X416" s="14" t="str">
        <f>IFERROR(__xludf.DUMMYFUNCTION("""COMPUTED_VALUE"""),"")</f>
        <v/>
      </c>
      <c r="Y416" s="14" t="str">
        <f>IFERROR(__xludf.DUMMYFUNCTION("""COMPUTED_VALUE"""),"")</f>
        <v/>
      </c>
      <c r="Z416" s="11" t="str">
        <f>IFERROR(__xludf.DUMMYFUNCTION("""COMPUTED_VALUE"""),"")</f>
        <v/>
      </c>
    </row>
    <row r="417">
      <c r="A417" s="35" t="str">
        <f>IFERROR(__xludf.DUMMYFUNCTION("""COMPUTED_VALUE"""),"")</f>
        <v/>
      </c>
      <c r="B417" s="35" t="str">
        <f>IFERROR(__xludf.DUMMYFUNCTION("""COMPUTED_VALUE"""),"39441")</f>
        <v>39441</v>
      </c>
      <c r="C417" s="172">
        <f>IFERROR(__xludf.DUMMYFUNCTION("""COMPUTED_VALUE"""),4.4638000704E10)</f>
        <v>44638000704</v>
      </c>
      <c r="D417" s="180" t="str">
        <f>IFERROR(__xludf.DUMMYFUNCTION("""COMPUTED_VALUE"""),"GC=F")</f>
        <v>GC=F</v>
      </c>
      <c r="E417" s="173">
        <f>IFERROR(__xludf.DUMMYFUNCTION("""COMPUTED_VALUE"""),44638.0)</f>
        <v>44638</v>
      </c>
      <c r="F417" s="35" t="str">
        <f>IFERROR(__xludf.DUMMYFUNCTION("""COMPUTED_VALUE"""),"Stock")</f>
        <v>Stock</v>
      </c>
      <c r="G417" s="35" t="str">
        <f>IFERROR(__xludf.DUMMYFUNCTION("""COMPUTED_VALUE"""),"USD")</f>
        <v>USD</v>
      </c>
      <c r="H417" s="181">
        <f>IFERROR(__xludf.DUMMYFUNCTION("""COMPUTED_VALUE"""),0.0)</f>
        <v>0</v>
      </c>
      <c r="I417" s="174">
        <f>IFERROR(__xludf.DUMMYFUNCTION("""COMPUTED_VALUE"""),7.82495)</f>
        <v>7.82495</v>
      </c>
      <c r="J417" s="175">
        <f>IFERROR(__xludf.DUMMYFUNCTION("""COMPUTED_VALUE"""),0.0)</f>
        <v>0</v>
      </c>
      <c r="K417" s="35"/>
      <c r="L417" s="175">
        <f>IFERROR(__xludf.DUMMYFUNCTION("""COMPUTED_VALUE"""),1980.7)</f>
        <v>1980.7</v>
      </c>
      <c r="M417" s="182" t="str">
        <f>IFERROR(__xludf.DUMMYFUNCTION("""COMPUTED_VALUE"""),"Equity Key Stats")</f>
        <v>Equity Key Stats</v>
      </c>
      <c r="N417" s="35"/>
      <c r="O417" s="35"/>
      <c r="P417" s="176">
        <f>IFERROR(__xludf.DUMMYFUNCTION("""COMPUTED_VALUE"""),0.0)</f>
        <v>0</v>
      </c>
      <c r="Q417" s="177"/>
      <c r="R417" s="178">
        <f>IFERROR(__xludf.DUMMYFUNCTION("""COMPUTED_VALUE"""),1980.7)</f>
        <v>1980.7</v>
      </c>
      <c r="S417" s="176">
        <f>IFERROR(__xludf.DUMMYFUNCTION("""COMPUTED_VALUE"""),0.0)</f>
        <v>0</v>
      </c>
      <c r="T417" s="95">
        <f>IFERROR(__xludf.DUMMYFUNCTION("""COMPUTED_VALUE"""),1.0)</f>
        <v>1</v>
      </c>
      <c r="U417" s="35">
        <f>IFERROR(__xludf.DUMMYFUNCTION("""COMPUTED_VALUE"""),1.0)</f>
        <v>1</v>
      </c>
      <c r="V417" s="170">
        <f>IFERROR(__xludf.DUMMYFUNCTION("""COMPUTED_VALUE"""),0.0)</f>
        <v>0</v>
      </c>
      <c r="W417" s="171" t="str">
        <f>IFERROR(__xludf.DUMMYFUNCTION("""COMPUTED_VALUE"""),"")</f>
        <v/>
      </c>
      <c r="X417" s="14" t="str">
        <f>IFERROR(__xludf.DUMMYFUNCTION("""COMPUTED_VALUE"""),"")</f>
        <v/>
      </c>
      <c r="Y417" s="14" t="str">
        <f>IFERROR(__xludf.DUMMYFUNCTION("""COMPUTED_VALUE"""),"")</f>
        <v/>
      </c>
      <c r="Z417" s="11" t="str">
        <f>IFERROR(__xludf.DUMMYFUNCTION("""COMPUTED_VALUE"""),"")</f>
        <v/>
      </c>
    </row>
    <row r="418">
      <c r="A418" s="35" t="str">
        <f>IFERROR(__xludf.DUMMYFUNCTION("""COMPUTED_VALUE"""),"")</f>
        <v/>
      </c>
      <c r="B418" s="35" t="str">
        <f>IFERROR(__xludf.DUMMYFUNCTION("""COMPUTED_VALUE"""),"39441")</f>
        <v>39441</v>
      </c>
      <c r="C418" s="172">
        <f>IFERROR(__xludf.DUMMYFUNCTION("""COMPUTED_VALUE"""),4.4641000702E10)</f>
        <v>44641000702</v>
      </c>
      <c r="D418" s="192" t="str">
        <f>IFERROR(__xludf.DUMMYFUNCTION("""COMPUTED_VALUE"""),"0700.HK")</f>
        <v>0700.HK</v>
      </c>
      <c r="E418" s="173">
        <f>IFERROR(__xludf.DUMMYFUNCTION("""COMPUTED_VALUE"""),44641.0)</f>
        <v>44641</v>
      </c>
      <c r="F418" s="35" t="str">
        <f>IFERROR(__xludf.DUMMYFUNCTION("""COMPUTED_VALUE"""),"Stock")</f>
        <v>Stock</v>
      </c>
      <c r="G418" s="35" t="str">
        <f>IFERROR(__xludf.DUMMYFUNCTION("""COMPUTED_VALUE"""),"HKD")</f>
        <v>HKD</v>
      </c>
      <c r="H418" s="181">
        <f>IFERROR(__xludf.DUMMYFUNCTION("""COMPUTED_VALUE"""),10.0)</f>
        <v>10</v>
      </c>
      <c r="I418" s="174">
        <f>IFERROR(__xludf.DUMMYFUNCTION("""COMPUTED_VALUE"""),1.0)</f>
        <v>1</v>
      </c>
      <c r="J418" s="175">
        <f>IFERROR(__xludf.DUMMYFUNCTION("""COMPUTED_VALUE"""),372.4)</f>
        <v>372.4</v>
      </c>
      <c r="K418" s="35"/>
      <c r="L418" s="175">
        <f>IFERROR(__xludf.DUMMYFUNCTION("""COMPUTED_VALUE"""),373.6)</f>
        <v>373.6</v>
      </c>
      <c r="M418" s="182" t="str">
        <f>IFERROR(__xludf.DUMMYFUNCTION("""COMPUTED_VALUE"""),"Equity Key Stats")</f>
        <v>Equity Key Stats</v>
      </c>
      <c r="N418" s="35"/>
      <c r="O418" s="35"/>
      <c r="P418" s="184">
        <f>IFERROR(__xludf.DUMMYFUNCTION("""COMPUTED_VALUE"""),-3724.0)</f>
        <v>-3724</v>
      </c>
      <c r="Q418" s="177"/>
      <c r="R418" s="178">
        <f>IFERROR(__xludf.DUMMYFUNCTION("""COMPUTED_VALUE"""),373.6)</f>
        <v>373.6</v>
      </c>
      <c r="S418" s="176">
        <f>IFERROR(__xludf.DUMMYFUNCTION("""COMPUTED_VALUE"""),3736.0)</f>
        <v>3736</v>
      </c>
      <c r="T418" s="95">
        <f>IFERROR(__xludf.DUMMYFUNCTION("""COMPUTED_VALUE"""),4.0)</f>
        <v>4</v>
      </c>
      <c r="U418" s="35" t="str">
        <f>IFERROR(__xludf.DUMMYFUNCTION("""COMPUTED_VALUE"""),"")</f>
        <v/>
      </c>
      <c r="V418" s="170" t="str">
        <f>IFERROR(__xludf.DUMMYFUNCTION("""COMPUTED_VALUE"""),"")</f>
        <v/>
      </c>
      <c r="W418" s="171" t="str">
        <f>IFERROR(__xludf.DUMMYFUNCTION("""COMPUTED_VALUE"""),"")</f>
        <v/>
      </c>
      <c r="X418" s="14" t="str">
        <f>IFERROR(__xludf.DUMMYFUNCTION("""COMPUTED_VALUE"""),"")</f>
        <v/>
      </c>
      <c r="Y418" s="14" t="str">
        <f>IFERROR(__xludf.DUMMYFUNCTION("""COMPUTED_VALUE"""),"")</f>
        <v/>
      </c>
      <c r="Z418" s="11" t="str">
        <f>IFERROR(__xludf.DUMMYFUNCTION("""COMPUTED_VALUE"""),"")</f>
        <v/>
      </c>
    </row>
    <row r="419">
      <c r="A419" s="35" t="str">
        <f>IFERROR(__xludf.DUMMYFUNCTION("""COMPUTED_VALUE"""),"")</f>
        <v/>
      </c>
      <c r="B419" s="35" t="str">
        <f>IFERROR(__xludf.DUMMYFUNCTION("""COMPUTED_VALUE"""),"39441")</f>
        <v>39441</v>
      </c>
      <c r="C419" s="172">
        <f>IFERROR(__xludf.DUMMYFUNCTION("""COMPUTED_VALUE"""),4.4641000767E10)</f>
        <v>44641000767</v>
      </c>
      <c r="D419" s="192" t="str">
        <f>IFERROR(__xludf.DUMMYFUNCTION("""COMPUTED_VALUE"""),"AMZN")</f>
        <v>AMZN</v>
      </c>
      <c r="E419" s="173">
        <f>IFERROR(__xludf.DUMMYFUNCTION("""COMPUTED_VALUE"""),44641.0)</f>
        <v>44641</v>
      </c>
      <c r="F419" s="35" t="str">
        <f>IFERROR(__xludf.DUMMYFUNCTION("""COMPUTED_VALUE"""),"Stock")</f>
        <v>Stock</v>
      </c>
      <c r="G419" s="35" t="str">
        <f>IFERROR(__xludf.DUMMYFUNCTION("""COMPUTED_VALUE"""),"USD")</f>
        <v>USD</v>
      </c>
      <c r="H419" s="181" t="str">
        <f>IFERROR(__xludf.DUMMYFUNCTION("""COMPUTED_VALUE"""),"")</f>
        <v/>
      </c>
      <c r="I419" s="174">
        <f>IFERROR(__xludf.DUMMYFUNCTION("""COMPUTED_VALUE"""),7.82545)</f>
        <v>7.82545</v>
      </c>
      <c r="J419" s="175">
        <f>IFERROR(__xludf.DUMMYFUNCTION("""COMPUTED_VALUE"""),3229.83)</f>
        <v>3229.83</v>
      </c>
      <c r="K419" s="35"/>
      <c r="L419" s="175">
        <f>IFERROR(__xludf.DUMMYFUNCTION("""COMPUTED_VALUE"""),3110.82)</f>
        <v>3110.82</v>
      </c>
      <c r="M419" s="182" t="str">
        <f>IFERROR(__xludf.DUMMYFUNCTION("""COMPUTED_VALUE"""),"Equity Key Stats")</f>
        <v>Equity Key Stats</v>
      </c>
      <c r="N419" s="35"/>
      <c r="O419" s="35"/>
      <c r="P419" s="184">
        <f>IFERROR(__xludf.DUMMYFUNCTION("""COMPUTED_VALUE"""),0.0)</f>
        <v>0</v>
      </c>
      <c r="Q419" s="177"/>
      <c r="R419" s="178">
        <f>IFERROR(__xludf.DUMMYFUNCTION("""COMPUTED_VALUE"""),3110.82)</f>
        <v>3110.82</v>
      </c>
      <c r="S419" s="176">
        <f>IFERROR(__xludf.DUMMYFUNCTION("""COMPUTED_VALUE"""),0.0)</f>
        <v>0</v>
      </c>
      <c r="T419" s="95">
        <f>IFERROR(__xludf.DUMMYFUNCTION("""COMPUTED_VALUE"""),5.0)</f>
        <v>5</v>
      </c>
      <c r="U419" s="95" t="str">
        <f>IFERROR(__xludf.DUMMYFUNCTION("""COMPUTED_VALUE"""),"")</f>
        <v/>
      </c>
      <c r="V419" s="185" t="str">
        <f>IFERROR(__xludf.DUMMYFUNCTION("""COMPUTED_VALUE"""),"")</f>
        <v/>
      </c>
      <c r="W419" s="171" t="str">
        <f>IFERROR(__xludf.DUMMYFUNCTION("""COMPUTED_VALUE"""),"")</f>
        <v/>
      </c>
      <c r="X419" s="14" t="str">
        <f>IFERROR(__xludf.DUMMYFUNCTION("""COMPUTED_VALUE"""),"")</f>
        <v/>
      </c>
      <c r="Y419" s="14" t="str">
        <f>IFERROR(__xludf.DUMMYFUNCTION("""COMPUTED_VALUE"""),"")</f>
        <v/>
      </c>
      <c r="Z419" s="11" t="str">
        <f>IFERROR(__xludf.DUMMYFUNCTION("""COMPUTED_VALUE"""),"")</f>
        <v/>
      </c>
    </row>
    <row r="420">
      <c r="A420" s="35" t="str">
        <f>IFERROR(__xludf.DUMMYFUNCTION("""COMPUTED_VALUE"""),"")</f>
        <v/>
      </c>
      <c r="B420" s="35" t="str">
        <f>IFERROR(__xludf.DUMMYFUNCTION("""COMPUTED_VALUE"""),"39441")</f>
        <v>39441</v>
      </c>
      <c r="C420" s="172">
        <f>IFERROR(__xludf.DUMMYFUNCTION("""COMPUTED_VALUE"""),4.4641000768E10)</f>
        <v>44641000768</v>
      </c>
      <c r="D420" s="180" t="str">
        <f>IFERROR(__xludf.DUMMYFUNCTION("""COMPUTED_VALUE"""),"AAPL")</f>
        <v>AAPL</v>
      </c>
      <c r="E420" s="173">
        <f>IFERROR(__xludf.DUMMYFUNCTION("""COMPUTED_VALUE"""),44641.0)</f>
        <v>44641</v>
      </c>
      <c r="F420" s="35" t="str">
        <f>IFERROR(__xludf.DUMMYFUNCTION("""COMPUTED_VALUE"""),"Stock")</f>
        <v>Stock</v>
      </c>
      <c r="G420" s="35" t="str">
        <f>IFERROR(__xludf.DUMMYFUNCTION("""COMPUTED_VALUE"""),"USD")</f>
        <v>USD</v>
      </c>
      <c r="H420" s="181">
        <f>IFERROR(__xludf.DUMMYFUNCTION("""COMPUTED_VALUE"""),100.0)</f>
        <v>100</v>
      </c>
      <c r="I420" s="174">
        <f>IFERROR(__xludf.DUMMYFUNCTION("""COMPUTED_VALUE"""),7.82545)</f>
        <v>7.82545</v>
      </c>
      <c r="J420" s="175">
        <f>IFERROR(__xludf.DUMMYFUNCTION("""COMPUTED_VALUE"""),165.38)</f>
        <v>165.38</v>
      </c>
      <c r="K420" s="35"/>
      <c r="L420" s="175">
        <f>IFERROR(__xludf.DUMMYFUNCTION("""COMPUTED_VALUE"""),170.4)</f>
        <v>170.4</v>
      </c>
      <c r="M420" s="182" t="str">
        <f>IFERROR(__xludf.DUMMYFUNCTION("""COMPUTED_VALUE"""),"Equity Key Stats")</f>
        <v>Equity Key Stats</v>
      </c>
      <c r="N420" s="35"/>
      <c r="O420" s="35"/>
      <c r="P420" s="184">
        <f>IFERROR(__xludf.DUMMYFUNCTION("""COMPUTED_VALUE"""),-129417.29209999999)</f>
        <v>-129417.2921</v>
      </c>
      <c r="Q420" s="177"/>
      <c r="R420" s="178">
        <f>IFERROR(__xludf.DUMMYFUNCTION("""COMPUTED_VALUE"""),170.4)</f>
        <v>170.4</v>
      </c>
      <c r="S420" s="176">
        <f>IFERROR(__xludf.DUMMYFUNCTION("""COMPUTED_VALUE"""),133345.668)</f>
        <v>133345.668</v>
      </c>
      <c r="T420" s="95">
        <f>IFERROR(__xludf.DUMMYFUNCTION("""COMPUTED_VALUE"""),2.0)</f>
        <v>2</v>
      </c>
      <c r="U420" s="95" t="str">
        <f>IFERROR(__xludf.DUMMYFUNCTION("""COMPUTED_VALUE"""),"")</f>
        <v/>
      </c>
      <c r="V420" s="185" t="str">
        <f>IFERROR(__xludf.DUMMYFUNCTION("""COMPUTED_VALUE"""),"")</f>
        <v/>
      </c>
      <c r="W420" s="171" t="str">
        <f>IFERROR(__xludf.DUMMYFUNCTION("""COMPUTED_VALUE"""),"")</f>
        <v/>
      </c>
      <c r="X420" s="14" t="str">
        <f>IFERROR(__xludf.DUMMYFUNCTION("""COMPUTED_VALUE"""),"")</f>
        <v/>
      </c>
      <c r="Y420" s="14" t="str">
        <f>IFERROR(__xludf.DUMMYFUNCTION("""COMPUTED_VALUE"""),"")</f>
        <v/>
      </c>
      <c r="Z420" s="11" t="str">
        <f>IFERROR(__xludf.DUMMYFUNCTION("""COMPUTED_VALUE"""),"")</f>
        <v/>
      </c>
    </row>
    <row r="421">
      <c r="A421" s="35" t="str">
        <f>IFERROR(__xludf.DUMMYFUNCTION("""COMPUTED_VALUE"""),"")</f>
        <v/>
      </c>
      <c r="B421" s="35" t="str">
        <f>IFERROR(__xludf.DUMMYFUNCTION("""COMPUTED_VALUE"""),"39441")</f>
        <v>39441</v>
      </c>
      <c r="C421" s="172">
        <f>IFERROR(__xludf.DUMMYFUNCTION("""COMPUTED_VALUE"""),4.4641000769E10)</f>
        <v>44641000769</v>
      </c>
      <c r="D421" s="192" t="str">
        <f>IFERROR(__xludf.DUMMYFUNCTION("""COMPUTED_VALUE"""),"BABA")</f>
        <v>BABA</v>
      </c>
      <c r="E421" s="173">
        <f>IFERROR(__xludf.DUMMYFUNCTION("""COMPUTED_VALUE"""),44641.0)</f>
        <v>44641</v>
      </c>
      <c r="F421" s="35" t="str">
        <f>IFERROR(__xludf.DUMMYFUNCTION("""COMPUTED_VALUE"""),"Stock")</f>
        <v>Stock</v>
      </c>
      <c r="G421" s="35" t="str">
        <f>IFERROR(__xludf.DUMMYFUNCTION("""COMPUTED_VALUE"""),"USD")</f>
        <v>USD</v>
      </c>
      <c r="H421" s="181" t="str">
        <f>IFERROR(__xludf.DUMMYFUNCTION("""COMPUTED_VALUE"""),"")</f>
        <v/>
      </c>
      <c r="I421" s="174">
        <f>IFERROR(__xludf.DUMMYFUNCTION("""COMPUTED_VALUE"""),7.82545)</f>
        <v>7.82545</v>
      </c>
      <c r="J421" s="175">
        <f>IFERROR(__xludf.DUMMYFUNCTION("""COMPUTED_VALUE"""),103.59)</f>
        <v>103.59</v>
      </c>
      <c r="K421" s="35"/>
      <c r="L421" s="175">
        <f>IFERROR(__xludf.DUMMYFUNCTION("""COMPUTED_VALUE"""),100.09)</f>
        <v>100.09</v>
      </c>
      <c r="M421" s="182" t="str">
        <f>IFERROR(__xludf.DUMMYFUNCTION("""COMPUTED_VALUE"""),"Equity Key Stats")</f>
        <v>Equity Key Stats</v>
      </c>
      <c r="N421" s="35"/>
      <c r="O421" s="35"/>
      <c r="P421" s="184">
        <f>IFERROR(__xludf.DUMMYFUNCTION("""COMPUTED_VALUE"""),0.0)</f>
        <v>0</v>
      </c>
      <c r="Q421" s="177"/>
      <c r="R421" s="178">
        <f>IFERROR(__xludf.DUMMYFUNCTION("""COMPUTED_VALUE"""),100.09)</f>
        <v>100.09</v>
      </c>
      <c r="S421" s="176">
        <f>IFERROR(__xludf.DUMMYFUNCTION("""COMPUTED_VALUE"""),0.0)</f>
        <v>0</v>
      </c>
      <c r="T421" s="95">
        <f>IFERROR(__xludf.DUMMYFUNCTION("""COMPUTED_VALUE"""),8.0)</f>
        <v>8</v>
      </c>
      <c r="U421" s="35" t="str">
        <f>IFERROR(__xludf.DUMMYFUNCTION("""COMPUTED_VALUE"""),"")</f>
        <v/>
      </c>
      <c r="V421" s="170" t="str">
        <f>IFERROR(__xludf.DUMMYFUNCTION("""COMPUTED_VALUE"""),"")</f>
        <v/>
      </c>
      <c r="W421" s="171" t="str">
        <f>IFERROR(__xludf.DUMMYFUNCTION("""COMPUTED_VALUE"""),"")</f>
        <v/>
      </c>
      <c r="X421" s="14" t="str">
        <f>IFERROR(__xludf.DUMMYFUNCTION("""COMPUTED_VALUE"""),"")</f>
        <v/>
      </c>
      <c r="Y421" s="14" t="str">
        <f>IFERROR(__xludf.DUMMYFUNCTION("""COMPUTED_VALUE"""),"")</f>
        <v/>
      </c>
      <c r="Z421" s="11" t="str">
        <f>IFERROR(__xludf.DUMMYFUNCTION("""COMPUTED_VALUE"""),"")</f>
        <v/>
      </c>
    </row>
    <row r="422">
      <c r="A422" s="35" t="str">
        <f>IFERROR(__xludf.DUMMYFUNCTION("""COMPUTED_VALUE"""),"")</f>
        <v/>
      </c>
      <c r="B422" s="35" t="str">
        <f>IFERROR(__xludf.DUMMYFUNCTION("""COMPUTED_VALUE"""),"39441")</f>
        <v>39441</v>
      </c>
      <c r="C422" s="172">
        <f>IFERROR(__xludf.DUMMYFUNCTION("""COMPUTED_VALUE"""),4.4642000766E10)</f>
        <v>44642000766</v>
      </c>
      <c r="D422" s="192" t="str">
        <f>IFERROR(__xludf.DUMMYFUNCTION("""COMPUTED_VALUE"""),"0700.HK")</f>
        <v>0700.HK</v>
      </c>
      <c r="E422" s="173">
        <f>IFERROR(__xludf.DUMMYFUNCTION("""COMPUTED_VALUE"""),44642.0)</f>
        <v>44642</v>
      </c>
      <c r="F422" s="35" t="str">
        <f>IFERROR(__xludf.DUMMYFUNCTION("""COMPUTED_VALUE"""),"Stock")</f>
        <v>Stock</v>
      </c>
      <c r="G422" s="35" t="str">
        <f>IFERROR(__xludf.DUMMYFUNCTION("""COMPUTED_VALUE"""),"HKD")</f>
        <v>HKD</v>
      </c>
      <c r="H422" s="181">
        <f>IFERROR(__xludf.DUMMYFUNCTION("""COMPUTED_VALUE"""),0.0)</f>
        <v>0</v>
      </c>
      <c r="I422" s="174">
        <f>IFERROR(__xludf.DUMMYFUNCTION("""COMPUTED_VALUE"""),1.0)</f>
        <v>1</v>
      </c>
      <c r="J422" s="175">
        <f>IFERROR(__xludf.DUMMYFUNCTION("""COMPUTED_VALUE"""),0.0)</f>
        <v>0</v>
      </c>
      <c r="K422" s="35"/>
      <c r="L422" s="175">
        <f>IFERROR(__xludf.DUMMYFUNCTION("""COMPUTED_VALUE"""),373.6)</f>
        <v>373.6</v>
      </c>
      <c r="M422" s="182" t="str">
        <f>IFERROR(__xludf.DUMMYFUNCTION("""COMPUTED_VALUE"""),"Equity Key Stats")</f>
        <v>Equity Key Stats</v>
      </c>
      <c r="N422" s="35"/>
      <c r="O422" s="35"/>
      <c r="P422" s="184">
        <f>IFERROR(__xludf.DUMMYFUNCTION("""COMPUTED_VALUE"""),0.0)</f>
        <v>0</v>
      </c>
      <c r="Q422" s="177"/>
      <c r="R422" s="178">
        <f>IFERROR(__xludf.DUMMYFUNCTION("""COMPUTED_VALUE"""),373.6)</f>
        <v>373.6</v>
      </c>
      <c r="S422" s="176">
        <f>IFERROR(__xludf.DUMMYFUNCTION("""COMPUTED_VALUE"""),0.0)</f>
        <v>0</v>
      </c>
      <c r="T422" s="95">
        <f>IFERROR(__xludf.DUMMYFUNCTION("""COMPUTED_VALUE"""),4.0)</f>
        <v>4</v>
      </c>
      <c r="U422" s="95">
        <f>IFERROR(__xludf.DUMMYFUNCTION("""COMPUTED_VALUE"""),1.0)</f>
        <v>1</v>
      </c>
      <c r="V422" s="185">
        <f>IFERROR(__xludf.DUMMYFUNCTION("""COMPUTED_VALUE"""),636.0)</f>
        <v>636</v>
      </c>
      <c r="W422" s="55" t="str">
        <f>IFERROR(__xludf.DUMMYFUNCTION("""COMPUTED_VALUE"""),"")</f>
        <v/>
      </c>
      <c r="X422" s="181" t="str">
        <f>IFERROR(__xludf.DUMMYFUNCTION("""COMPUTED_VALUE"""),"")</f>
        <v/>
      </c>
      <c r="Y422" s="181" t="str">
        <f>IFERROR(__xludf.DUMMYFUNCTION("""COMPUTED_VALUE"""),"")</f>
        <v/>
      </c>
      <c r="Z422" s="189" t="str">
        <f>IFERROR(__xludf.DUMMYFUNCTION("""COMPUTED_VALUE"""),"")</f>
        <v/>
      </c>
    </row>
    <row r="423">
      <c r="A423" s="35" t="str">
        <f>IFERROR(__xludf.DUMMYFUNCTION("""COMPUTED_VALUE"""),"")</f>
        <v/>
      </c>
      <c r="B423" s="35" t="str">
        <f>IFERROR(__xludf.DUMMYFUNCTION("""COMPUTED_VALUE"""),"39441")</f>
        <v>39441</v>
      </c>
      <c r="C423" s="172">
        <f>IFERROR(__xludf.DUMMYFUNCTION("""COMPUTED_VALUE"""),4.464300082E10)</f>
        <v>44643000820</v>
      </c>
      <c r="D423" s="180" t="str">
        <f>IFERROR(__xludf.DUMMYFUNCTION("""COMPUTED_VALUE"""),"AMZN")</f>
        <v>AMZN</v>
      </c>
      <c r="E423" s="173">
        <f>IFERROR(__xludf.DUMMYFUNCTION("""COMPUTED_VALUE"""),44643.0)</f>
        <v>44643</v>
      </c>
      <c r="F423" s="35" t="str">
        <f>IFERROR(__xludf.DUMMYFUNCTION("""COMPUTED_VALUE"""),"Stock")</f>
        <v>Stock</v>
      </c>
      <c r="G423" s="35" t="str">
        <f>IFERROR(__xludf.DUMMYFUNCTION("""COMPUTED_VALUE"""),"USD")</f>
        <v>USD</v>
      </c>
      <c r="H423" s="14">
        <f>IFERROR(__xludf.DUMMYFUNCTION("""COMPUTED_VALUE"""),0.0)</f>
        <v>0</v>
      </c>
      <c r="I423" s="174">
        <f>IFERROR(__xludf.DUMMYFUNCTION("""COMPUTED_VALUE"""),7.823645)</f>
        <v>7.823645</v>
      </c>
      <c r="J423" s="175">
        <f>IFERROR(__xludf.DUMMYFUNCTION("""COMPUTED_VALUE"""),0.0)</f>
        <v>0</v>
      </c>
      <c r="K423" s="35"/>
      <c r="L423" s="175">
        <f>IFERROR(__xludf.DUMMYFUNCTION("""COMPUTED_VALUE"""),3110.82)</f>
        <v>3110.82</v>
      </c>
      <c r="M423" s="187" t="str">
        <f>IFERROR(__xludf.DUMMYFUNCTION("""COMPUTED_VALUE"""),"Equity Key Stats")</f>
        <v>Equity Key Stats</v>
      </c>
      <c r="N423" s="35"/>
      <c r="O423" s="35"/>
      <c r="P423" s="176">
        <f>IFERROR(__xludf.DUMMYFUNCTION("""COMPUTED_VALUE"""),0.0)</f>
        <v>0</v>
      </c>
      <c r="Q423" s="177"/>
      <c r="R423" s="178">
        <f>IFERROR(__xludf.DUMMYFUNCTION("""COMPUTED_VALUE"""),3110.82)</f>
        <v>3110.82</v>
      </c>
      <c r="S423" s="151">
        <f>IFERROR(__xludf.DUMMYFUNCTION("""COMPUTED_VALUE"""),0.0)</f>
        <v>0</v>
      </c>
      <c r="T423" s="95">
        <f>IFERROR(__xludf.DUMMYFUNCTION("""COMPUTED_VALUE"""),5.0)</f>
        <v>5</v>
      </c>
      <c r="U423" s="95">
        <f>IFERROR(__xludf.DUMMYFUNCTION("""COMPUTED_VALUE"""),1.0)</f>
        <v>1</v>
      </c>
      <c r="V423" s="179">
        <f>IFERROR(__xludf.DUMMYFUNCTION("""COMPUTED_VALUE"""),17305.95883300004)</f>
        <v>17305.95883</v>
      </c>
      <c r="W423" s="55" t="str">
        <f>IFERROR(__xludf.DUMMYFUNCTION("""COMPUTED_VALUE"""),"")</f>
        <v/>
      </c>
      <c r="X423" s="181" t="str">
        <f>IFERROR(__xludf.DUMMYFUNCTION("""COMPUTED_VALUE"""),"")</f>
        <v/>
      </c>
      <c r="Y423" s="181" t="str">
        <f>IFERROR(__xludf.DUMMYFUNCTION("""COMPUTED_VALUE"""),"")</f>
        <v/>
      </c>
      <c r="Z423" s="186" t="str">
        <f>IFERROR(__xludf.DUMMYFUNCTION("""COMPUTED_VALUE"""),"")</f>
        <v/>
      </c>
    </row>
    <row r="424">
      <c r="A424" s="35" t="str">
        <f>IFERROR(__xludf.DUMMYFUNCTION("""COMPUTED_VALUE"""),"")</f>
        <v/>
      </c>
      <c r="B424" s="35" t="str">
        <f>IFERROR(__xludf.DUMMYFUNCTION("""COMPUTED_VALUE"""),"39441")</f>
        <v>39441</v>
      </c>
      <c r="C424" s="172">
        <f>IFERROR(__xludf.DUMMYFUNCTION("""COMPUTED_VALUE"""),4.4644000869E10)</f>
        <v>44644000869</v>
      </c>
      <c r="D424" s="180" t="str">
        <f>IFERROR(__xludf.DUMMYFUNCTION("""COMPUTED_VALUE"""),"AAPL")</f>
        <v>AAPL</v>
      </c>
      <c r="E424" s="173">
        <f>IFERROR(__xludf.DUMMYFUNCTION("""COMPUTED_VALUE"""),44644.0)</f>
        <v>44644</v>
      </c>
      <c r="F424" s="35" t="str">
        <f>IFERROR(__xludf.DUMMYFUNCTION("""COMPUTED_VALUE"""),"Stock")</f>
        <v>Stock</v>
      </c>
      <c r="G424" s="35" t="str">
        <f>IFERROR(__xludf.DUMMYFUNCTION("""COMPUTED_VALUE"""),"USD")</f>
        <v>USD</v>
      </c>
      <c r="H424" s="14">
        <f>IFERROR(__xludf.DUMMYFUNCTION("""COMPUTED_VALUE"""),-100.0)</f>
        <v>-100</v>
      </c>
      <c r="I424" s="174">
        <f>IFERROR(__xludf.DUMMYFUNCTION("""COMPUTED_VALUE"""),7.82365)</f>
        <v>7.82365</v>
      </c>
      <c r="J424" s="175">
        <f>IFERROR(__xludf.DUMMYFUNCTION("""COMPUTED_VALUE"""),174.07)</f>
        <v>174.07</v>
      </c>
      <c r="K424" s="35"/>
      <c r="L424" s="175">
        <f>IFERROR(__xludf.DUMMYFUNCTION("""COMPUTED_VALUE"""),170.4)</f>
        <v>170.4</v>
      </c>
      <c r="M424" s="187" t="str">
        <f>IFERROR(__xludf.DUMMYFUNCTION("""COMPUTED_VALUE"""),"Equity Key Stats")</f>
        <v>Equity Key Stats</v>
      </c>
      <c r="N424" s="35"/>
      <c r="O424" s="35"/>
      <c r="P424" s="176">
        <f>IFERROR(__xludf.DUMMYFUNCTION("""COMPUTED_VALUE"""),136186.27555)</f>
        <v>136186.2756</v>
      </c>
      <c r="Q424" s="177"/>
      <c r="R424" s="178">
        <f>IFERROR(__xludf.DUMMYFUNCTION("""COMPUTED_VALUE"""),170.4)</f>
        <v>170.4</v>
      </c>
      <c r="S424" s="151">
        <f>IFERROR(__xludf.DUMMYFUNCTION("""COMPUTED_VALUE"""),-133314.996)</f>
        <v>-133314.996</v>
      </c>
      <c r="T424" s="95">
        <f>IFERROR(__xludf.DUMMYFUNCTION("""COMPUTED_VALUE"""),2.0)</f>
        <v>2</v>
      </c>
      <c r="U424" s="95">
        <f>IFERROR(__xludf.DUMMYFUNCTION("""COMPUTED_VALUE"""),1.0)</f>
        <v>1</v>
      </c>
      <c r="V424" s="179">
        <f>IFERROR(__xludf.DUMMYFUNCTION("""COMPUTED_VALUE"""),6799.655449999991)</f>
        <v>6799.65545</v>
      </c>
      <c r="W424" s="55" t="str">
        <f>IFERROR(__xludf.DUMMYFUNCTION("""COMPUTED_VALUE"""),"")</f>
        <v/>
      </c>
      <c r="X424" s="181" t="str">
        <f>IFERROR(__xludf.DUMMYFUNCTION("""COMPUTED_VALUE"""),"")</f>
        <v/>
      </c>
      <c r="Y424" s="181" t="str">
        <f>IFERROR(__xludf.DUMMYFUNCTION("""COMPUTED_VALUE"""),"")</f>
        <v/>
      </c>
      <c r="Z424" s="186" t="str">
        <f>IFERROR(__xludf.DUMMYFUNCTION("""COMPUTED_VALUE"""),"")</f>
        <v/>
      </c>
    </row>
    <row r="425">
      <c r="A425" s="35" t="str">
        <f>IFERROR(__xludf.DUMMYFUNCTION("""COMPUTED_VALUE"""),"")</f>
        <v/>
      </c>
      <c r="B425" s="35" t="str">
        <f>IFERROR(__xludf.DUMMYFUNCTION("""COMPUTED_VALUE"""),"39441")</f>
        <v>39441</v>
      </c>
      <c r="C425" s="172">
        <f>IFERROR(__xludf.DUMMYFUNCTION("""COMPUTED_VALUE"""),4.4644000872E10)</f>
        <v>44644000872</v>
      </c>
      <c r="D425" s="180" t="str">
        <f>IFERROR(__xludf.DUMMYFUNCTION("""COMPUTED_VALUE"""),"BABA")</f>
        <v>BABA</v>
      </c>
      <c r="E425" s="173">
        <f>IFERROR(__xludf.DUMMYFUNCTION("""COMPUTED_VALUE"""),44644.0)</f>
        <v>44644</v>
      </c>
      <c r="F425" s="35" t="str">
        <f>IFERROR(__xludf.DUMMYFUNCTION("""COMPUTED_VALUE"""),"Stock")</f>
        <v>Stock</v>
      </c>
      <c r="G425" s="35" t="str">
        <f>IFERROR(__xludf.DUMMYFUNCTION("""COMPUTED_VALUE"""),"USD")</f>
        <v>USD</v>
      </c>
      <c r="H425" s="14">
        <f>IFERROR(__xludf.DUMMYFUNCTION("""COMPUTED_VALUE"""),0.0)</f>
        <v>0</v>
      </c>
      <c r="I425" s="174">
        <f>IFERROR(__xludf.DUMMYFUNCTION("""COMPUTED_VALUE"""),7.82365)</f>
        <v>7.82365</v>
      </c>
      <c r="J425" s="175">
        <f>IFERROR(__xludf.DUMMYFUNCTION("""COMPUTED_VALUE"""),0.0)</f>
        <v>0</v>
      </c>
      <c r="K425" s="35"/>
      <c r="L425" s="175">
        <f>IFERROR(__xludf.DUMMYFUNCTION("""COMPUTED_VALUE"""),100.09)</f>
        <v>100.09</v>
      </c>
      <c r="M425" s="187" t="str">
        <f>IFERROR(__xludf.DUMMYFUNCTION("""COMPUTED_VALUE"""),"Equity Key Stats")</f>
        <v>Equity Key Stats</v>
      </c>
      <c r="N425" s="35"/>
      <c r="O425" s="35"/>
      <c r="P425" s="176">
        <f>IFERROR(__xludf.DUMMYFUNCTION("""COMPUTED_VALUE"""),0.0)</f>
        <v>0</v>
      </c>
      <c r="Q425" s="177"/>
      <c r="R425" s="178">
        <f>IFERROR(__xludf.DUMMYFUNCTION("""COMPUTED_VALUE"""),100.09)</f>
        <v>100.09</v>
      </c>
      <c r="S425" s="151">
        <f>IFERROR(__xludf.DUMMYFUNCTION("""COMPUTED_VALUE"""),0.0)</f>
        <v>0</v>
      </c>
      <c r="T425" s="95">
        <f>IFERROR(__xludf.DUMMYFUNCTION("""COMPUTED_VALUE"""),8.0)</f>
        <v>8</v>
      </c>
      <c r="U425" s="95" t="str">
        <f>IFERROR(__xludf.DUMMYFUNCTION("""COMPUTED_VALUE"""),"")</f>
        <v/>
      </c>
      <c r="V425" s="179" t="str">
        <f>IFERROR(__xludf.DUMMYFUNCTION("""COMPUTED_VALUE"""),"")</f>
        <v/>
      </c>
      <c r="W425" s="55" t="str">
        <f>IFERROR(__xludf.DUMMYFUNCTION("""COMPUTED_VALUE"""),"")</f>
        <v/>
      </c>
      <c r="X425" s="181" t="str">
        <f>IFERROR(__xludf.DUMMYFUNCTION("""COMPUTED_VALUE"""),"")</f>
        <v/>
      </c>
      <c r="Y425" s="181" t="str">
        <f>IFERROR(__xludf.DUMMYFUNCTION("""COMPUTED_VALUE"""),"")</f>
        <v/>
      </c>
      <c r="Z425" s="186" t="str">
        <f>IFERROR(__xludf.DUMMYFUNCTION("""COMPUTED_VALUE"""),"")</f>
        <v/>
      </c>
    </row>
    <row r="426">
      <c r="A426" s="35" t="str">
        <f>IFERROR(__xludf.DUMMYFUNCTION("""COMPUTED_VALUE"""),"")</f>
        <v/>
      </c>
      <c r="B426" s="35" t="str">
        <f>IFERROR(__xludf.DUMMYFUNCTION("""COMPUTED_VALUE"""),"39441")</f>
        <v>39441</v>
      </c>
      <c r="C426" s="172">
        <f>IFERROR(__xludf.DUMMYFUNCTION("""COMPUTED_VALUE"""),4.4660001299E10)</f>
        <v>44660001299</v>
      </c>
      <c r="D426" s="135" t="str">
        <f>IFERROR(__xludf.DUMMYFUNCTION("""COMPUTED_VALUE"""),"CL=F")</f>
        <v>CL=F</v>
      </c>
      <c r="E426" s="173">
        <f>IFERROR(__xludf.DUMMYFUNCTION("""COMPUTED_VALUE"""),44660.0)</f>
        <v>44660</v>
      </c>
      <c r="F426" s="35" t="str">
        <f>IFERROR(__xludf.DUMMYFUNCTION("""COMPUTED_VALUE"""),"Stock")</f>
        <v>Stock</v>
      </c>
      <c r="G426" s="35" t="str">
        <f>IFERROR(__xludf.DUMMYFUNCTION("""COMPUTED_VALUE"""),"USD")</f>
        <v>USD</v>
      </c>
      <c r="H426" s="14">
        <f>IFERROR(__xludf.DUMMYFUNCTION("""COMPUTED_VALUE"""),20.0)</f>
        <v>20</v>
      </c>
      <c r="I426" s="174">
        <f>IFERROR(__xludf.DUMMYFUNCTION("""COMPUTED_VALUE"""),7.839265)</f>
        <v>7.839265</v>
      </c>
      <c r="J426" s="175">
        <f>IFERROR(__xludf.DUMMYFUNCTION("""COMPUTED_VALUE"""),94.77)</f>
        <v>94.77</v>
      </c>
      <c r="K426" s="35"/>
      <c r="L426" s="175">
        <f>IFERROR(__xludf.DUMMYFUNCTION("""COMPUTED_VALUE"""),104.31)</f>
        <v>104.31</v>
      </c>
      <c r="M426" s="187" t="str">
        <f>IFERROR(__xludf.DUMMYFUNCTION("""COMPUTED_VALUE"""),"Equity Key Stats")</f>
        <v>Equity Key Stats</v>
      </c>
      <c r="N426" s="35"/>
      <c r="O426" s="35"/>
      <c r="P426" s="176">
        <f>IFERROR(__xludf.DUMMYFUNCTION("""COMPUTED_VALUE"""),-14858.542881)</f>
        <v>-14858.54288</v>
      </c>
      <c r="Q426" s="177"/>
      <c r="R426" s="178">
        <f>IFERROR(__xludf.DUMMYFUNCTION("""COMPUTED_VALUE"""),104.31)</f>
        <v>104.31</v>
      </c>
      <c r="S426" s="151">
        <f>IFERROR(__xludf.DUMMYFUNCTION("""COMPUTED_VALUE"""),16354.274643)</f>
        <v>16354.27464</v>
      </c>
      <c r="T426" s="95">
        <f>IFERROR(__xludf.DUMMYFUNCTION("""COMPUTED_VALUE"""),2.0)</f>
        <v>2</v>
      </c>
      <c r="U426" s="95">
        <f>IFERROR(__xludf.DUMMYFUNCTION("""COMPUTED_VALUE"""),1.0)</f>
        <v>1</v>
      </c>
      <c r="V426" s="179">
        <f>IFERROR(__xludf.DUMMYFUNCTION("""COMPUTED_VALUE"""),2244.231962)</f>
        <v>2244.231962</v>
      </c>
      <c r="W426" s="171" t="str">
        <f>IFERROR(__xludf.DUMMYFUNCTION("""COMPUTED_VALUE"""),"")</f>
        <v/>
      </c>
      <c r="X426" s="14" t="str">
        <f>IFERROR(__xludf.DUMMYFUNCTION("""COMPUTED_VALUE"""),"")</f>
        <v/>
      </c>
      <c r="Y426" s="14" t="str">
        <f>IFERROR(__xludf.DUMMYFUNCTION("""COMPUTED_VALUE"""),"")</f>
        <v/>
      </c>
      <c r="Z426" s="11" t="str">
        <f>IFERROR(__xludf.DUMMYFUNCTION("""COMPUTED_VALUE"""),"")</f>
        <v/>
      </c>
    </row>
    <row r="427">
      <c r="A427" s="35" t="str">
        <f>IFERROR(__xludf.DUMMYFUNCTION("""COMPUTED_VALUE"""),"39441")</f>
        <v>39441</v>
      </c>
      <c r="B427" s="35" t="str">
        <f>IFERROR(__xludf.DUMMYFUNCTION("""COMPUTED_VALUE"""),"39441")</f>
        <v>39441</v>
      </c>
      <c r="C427" s="172">
        <f>IFERROR(__xludf.DUMMYFUNCTION("""COMPUTED_VALUE"""),4.4663001408E10)</f>
        <v>44663001408</v>
      </c>
      <c r="D427" s="191" t="str">
        <f>IFERROR(__xludf.DUMMYFUNCTION("""COMPUTED_VALUE"""),"BABA")</f>
        <v>BABA</v>
      </c>
      <c r="E427" s="173">
        <f>IFERROR(__xludf.DUMMYFUNCTION("""COMPUTED_VALUE"""),44663.0)</f>
        <v>44663</v>
      </c>
      <c r="F427" s="35" t="str">
        <f>IFERROR(__xludf.DUMMYFUNCTION("""COMPUTED_VALUE"""),"Stock")</f>
        <v>Stock</v>
      </c>
      <c r="G427" s="35" t="str">
        <f>IFERROR(__xludf.DUMMYFUNCTION("""COMPUTED_VALUE"""),"USD")</f>
        <v>USD</v>
      </c>
      <c r="H427" s="181">
        <f>IFERROR(__xludf.DUMMYFUNCTION("""COMPUTED_VALUE"""),280.0)</f>
        <v>280</v>
      </c>
      <c r="I427" s="174">
        <f>IFERROR(__xludf.DUMMYFUNCTION("""COMPUTED_VALUE"""),7.83775)</f>
        <v>7.83775</v>
      </c>
      <c r="J427" s="175">
        <f>IFERROR(__xludf.DUMMYFUNCTION("""COMPUTED_VALUE"""),99.75)</f>
        <v>99.75</v>
      </c>
      <c r="K427" s="35"/>
      <c r="L427" s="175">
        <f>IFERROR(__xludf.DUMMYFUNCTION("""COMPUTED_VALUE"""),100.09)</f>
        <v>100.09</v>
      </c>
      <c r="M427" s="182" t="str">
        <f>IFERROR(__xludf.DUMMYFUNCTION("""COMPUTED_VALUE"""),"Equity Key Stats")</f>
        <v>Equity Key Stats</v>
      </c>
      <c r="N427" s="35"/>
      <c r="O427" s="35"/>
      <c r="P427" s="184">
        <f>IFERROR(__xludf.DUMMYFUNCTION("""COMPUTED_VALUE"""),-218908.35749999998)</f>
        <v>-218908.3575</v>
      </c>
      <c r="Q427" s="177"/>
      <c r="R427" s="178">
        <f>IFERROR(__xludf.DUMMYFUNCTION("""COMPUTED_VALUE"""),100.09)</f>
        <v>100.09</v>
      </c>
      <c r="S427" s="176">
        <f>IFERROR(__xludf.DUMMYFUNCTION("""COMPUTED_VALUE"""),219654.51129999998)</f>
        <v>219654.5113</v>
      </c>
      <c r="T427" s="95">
        <f>IFERROR(__xludf.DUMMYFUNCTION("""COMPUTED_VALUE"""),8.0)</f>
        <v>8</v>
      </c>
      <c r="U427" s="95">
        <f>IFERROR(__xludf.DUMMYFUNCTION("""COMPUTED_VALUE"""),1.0)</f>
        <v>1</v>
      </c>
      <c r="V427" s="179">
        <f>IFERROR(__xludf.DUMMYFUNCTION("""COMPUTED_VALUE"""),-14153.482949999947)</f>
        <v>-14153.48295</v>
      </c>
      <c r="W427" s="55">
        <f>IFERROR(__xludf.DUMMYFUNCTION("""COMPUTED_VALUE"""),519166.98219875013)</f>
        <v>519166.9822</v>
      </c>
      <c r="X427" s="181">
        <f>IFERROR(__xludf.DUMMYFUNCTION("""COMPUTED_VALUE"""),415813.13846625003)</f>
        <v>415813.1385</v>
      </c>
      <c r="Y427" s="181">
        <f>IFERROR(__xludf.DUMMYFUNCTION("""COMPUTED_VALUE"""),0.0)</f>
        <v>0</v>
      </c>
      <c r="Z427" s="186">
        <f>IFERROR(__xludf.DUMMYFUNCTION("""COMPUTED_VALUE"""),0.03833396439750025)</f>
        <v>0.0383339644</v>
      </c>
    </row>
    <row r="428">
      <c r="A428" s="35" t="str">
        <f>IFERROR(__xludf.DUMMYFUNCTION("""COMPUTED_VALUE"""),"")</f>
        <v/>
      </c>
      <c r="B428" s="35" t="str">
        <f>IFERROR(__xludf.DUMMYFUNCTION("""COMPUTED_VALUE"""),"39494")</f>
        <v>39494</v>
      </c>
      <c r="C428" s="172">
        <f>IFERROR(__xludf.DUMMYFUNCTION("""COMPUTED_VALUE"""),4.459700004E10)</f>
        <v>44597000040</v>
      </c>
      <c r="D428" s="135" t="str">
        <f>IFERROR(__xludf.DUMMYFUNCTION("""COMPUTED_VALUE"""),"Cash")</f>
        <v>Cash</v>
      </c>
      <c r="E428" s="173">
        <f>IFERROR(__xludf.DUMMYFUNCTION("""COMPUTED_VALUE"""),44597.0)</f>
        <v>44597</v>
      </c>
      <c r="F428" s="35" t="str">
        <f>IFERROR(__xludf.DUMMYFUNCTION("""COMPUTED_VALUE"""),"Cash")</f>
        <v>Cash</v>
      </c>
      <c r="G428" s="35" t="str">
        <f>IFERROR(__xludf.DUMMYFUNCTION("""COMPUTED_VALUE"""),"HKD")</f>
        <v>HKD</v>
      </c>
      <c r="H428" s="14" t="str">
        <f>IFERROR(__xludf.DUMMYFUNCTION("""COMPUTED_VALUE"""),"")</f>
        <v/>
      </c>
      <c r="I428" s="174">
        <f>IFERROR(__xludf.DUMMYFUNCTION("""COMPUTED_VALUE"""),1.0)</f>
        <v>1</v>
      </c>
      <c r="J428" s="95">
        <f>IFERROR(__xludf.DUMMYFUNCTION("""COMPUTED_VALUE"""),1.0)</f>
        <v>1</v>
      </c>
      <c r="K428" s="35"/>
      <c r="L428" s="175">
        <f>IFERROR(__xludf.DUMMYFUNCTION("""COMPUTED_VALUE"""),1.0)</f>
        <v>1</v>
      </c>
      <c r="M428" s="3" t="str">
        <f>IFERROR(__xludf.DUMMYFUNCTION("""COMPUTED_VALUE"""),"")</f>
        <v/>
      </c>
      <c r="N428" s="35"/>
      <c r="O428" s="35"/>
      <c r="P428" s="176">
        <f>IFERROR(__xludf.DUMMYFUNCTION("""COMPUTED_VALUE"""),500000.0)</f>
        <v>500000</v>
      </c>
      <c r="Q428" s="177"/>
      <c r="R428" s="178">
        <f>IFERROR(__xludf.DUMMYFUNCTION("""COMPUTED_VALUE"""),1.0)</f>
        <v>1</v>
      </c>
      <c r="S428" s="151" t="str">
        <f>IFERROR(__xludf.DUMMYFUNCTION("""COMPUTED_VALUE"""),"")</f>
        <v/>
      </c>
      <c r="T428" s="95">
        <f>IFERROR(__xludf.DUMMYFUNCTION("""COMPUTED_VALUE"""),1.0)</f>
        <v>1</v>
      </c>
      <c r="U428" s="95">
        <f>IFERROR(__xludf.DUMMYFUNCTION("""COMPUTED_VALUE"""),1.0)</f>
        <v>1</v>
      </c>
      <c r="V428" s="179">
        <f>IFERROR(__xludf.DUMMYFUNCTION("""COMPUTED_VALUE"""),500000.0)</f>
        <v>500000</v>
      </c>
      <c r="W428" s="55" t="str">
        <f>IFERROR(__xludf.DUMMYFUNCTION("""COMPUTED_VALUE"""),"")</f>
        <v/>
      </c>
      <c r="X428" s="181" t="str">
        <f>IFERROR(__xludf.DUMMYFUNCTION("""COMPUTED_VALUE"""),"")</f>
        <v/>
      </c>
      <c r="Y428" s="181" t="str">
        <f>IFERROR(__xludf.DUMMYFUNCTION("""COMPUTED_VALUE"""),"")</f>
        <v/>
      </c>
      <c r="Z428" s="186" t="str">
        <f>IFERROR(__xludf.DUMMYFUNCTION("""COMPUTED_VALUE"""),"")</f>
        <v/>
      </c>
    </row>
    <row r="429">
      <c r="A429" s="35" t="str">
        <f>IFERROR(__xludf.DUMMYFUNCTION("""COMPUTED_VALUE"""),"")</f>
        <v/>
      </c>
      <c r="B429" s="35" t="str">
        <f>IFERROR(__xludf.DUMMYFUNCTION("""COMPUTED_VALUE"""),"39494")</f>
        <v>39494</v>
      </c>
      <c r="C429" s="172">
        <f>IFERROR(__xludf.DUMMYFUNCTION("""COMPUTED_VALUE"""),4.4606000183E10)</f>
        <v>44606000183</v>
      </c>
      <c r="D429" s="180" t="str">
        <f>IFERROR(__xludf.DUMMYFUNCTION("""COMPUTED_VALUE"""),"MSFT")</f>
        <v>MSFT</v>
      </c>
      <c r="E429" s="173">
        <f>IFERROR(__xludf.DUMMYFUNCTION("""COMPUTED_VALUE"""),44606.0)</f>
        <v>44606</v>
      </c>
      <c r="F429" s="35" t="str">
        <f>IFERROR(__xludf.DUMMYFUNCTION("""COMPUTED_VALUE"""),"Stock")</f>
        <v>Stock</v>
      </c>
      <c r="G429" s="35" t="str">
        <f>IFERROR(__xludf.DUMMYFUNCTION("""COMPUTED_VALUE"""),"USD")</f>
        <v>USD</v>
      </c>
      <c r="H429" s="14">
        <f>IFERROR(__xludf.DUMMYFUNCTION("""COMPUTED_VALUE"""),3.0)</f>
        <v>3</v>
      </c>
      <c r="I429" s="174">
        <f>IFERROR(__xludf.DUMMYFUNCTION("""COMPUTED_VALUE"""),7.802945)</f>
        <v>7.802945</v>
      </c>
      <c r="J429" s="175">
        <f>IFERROR(__xludf.DUMMYFUNCTION("""COMPUTED_VALUE"""),295.0)</f>
        <v>295</v>
      </c>
      <c r="K429" s="35"/>
      <c r="L429" s="175">
        <f>IFERROR(__xludf.DUMMYFUNCTION("""COMPUTED_VALUE"""),287.62)</f>
        <v>287.62</v>
      </c>
      <c r="M429" s="187" t="str">
        <f>IFERROR(__xludf.DUMMYFUNCTION("""COMPUTED_VALUE"""),"Equity Key Stats")</f>
        <v>Equity Key Stats</v>
      </c>
      <c r="N429" s="35"/>
      <c r="O429" s="35"/>
      <c r="P429" s="176">
        <f>IFERROR(__xludf.DUMMYFUNCTION("""COMPUTED_VALUE"""),-6905.606325)</f>
        <v>-6905.606325</v>
      </c>
      <c r="Q429" s="177"/>
      <c r="R429" s="178">
        <f>IFERROR(__xludf.DUMMYFUNCTION("""COMPUTED_VALUE"""),287.62)</f>
        <v>287.62</v>
      </c>
      <c r="S429" s="151">
        <f>IFERROR(__xludf.DUMMYFUNCTION("""COMPUTED_VALUE"""),6732.8491227)</f>
        <v>6732.849123</v>
      </c>
      <c r="T429" s="95">
        <f>IFERROR(__xludf.DUMMYFUNCTION("""COMPUTED_VALUE"""),1.0)</f>
        <v>1</v>
      </c>
      <c r="U429" s="95">
        <f>IFERROR(__xludf.DUMMYFUNCTION("""COMPUTED_VALUE"""),1.0)</f>
        <v>1</v>
      </c>
      <c r="V429" s="179">
        <f>IFERROR(__xludf.DUMMYFUNCTION("""COMPUTED_VALUE"""),-172.75720229999934)</f>
        <v>-172.7572023</v>
      </c>
      <c r="W429" s="171" t="str">
        <f>IFERROR(__xludf.DUMMYFUNCTION("""COMPUTED_VALUE"""),"")</f>
        <v/>
      </c>
      <c r="X429" s="14" t="str">
        <f>IFERROR(__xludf.DUMMYFUNCTION("""COMPUTED_VALUE"""),"")</f>
        <v/>
      </c>
      <c r="Y429" s="14" t="str">
        <f>IFERROR(__xludf.DUMMYFUNCTION("""COMPUTED_VALUE"""),"")</f>
        <v/>
      </c>
      <c r="Z429" s="11" t="str">
        <f>IFERROR(__xludf.DUMMYFUNCTION("""COMPUTED_VALUE"""),"")</f>
        <v/>
      </c>
    </row>
    <row r="430">
      <c r="A430" s="35" t="str">
        <f>IFERROR(__xludf.DUMMYFUNCTION("""COMPUTED_VALUE"""),"")</f>
        <v/>
      </c>
      <c r="B430" s="35" t="str">
        <f>IFERROR(__xludf.DUMMYFUNCTION("""COMPUTED_VALUE"""),"39494")</f>
        <v>39494</v>
      </c>
      <c r="C430" s="172">
        <f>IFERROR(__xludf.DUMMYFUNCTION("""COMPUTED_VALUE"""),4.4606000184E10)</f>
        <v>44606000184</v>
      </c>
      <c r="D430" s="192" t="str">
        <f>IFERROR(__xludf.DUMMYFUNCTION("""COMPUTED_VALUE"""),"UBI.PA")</f>
        <v>UBI.PA</v>
      </c>
      <c r="E430" s="173">
        <f>IFERROR(__xludf.DUMMYFUNCTION("""COMPUTED_VALUE"""),44606.0)</f>
        <v>44606</v>
      </c>
      <c r="F430" s="35" t="str">
        <f>IFERROR(__xludf.DUMMYFUNCTION("""COMPUTED_VALUE"""),"Stock")</f>
        <v>Stock</v>
      </c>
      <c r="G430" s="35" t="str">
        <f>IFERROR(__xludf.DUMMYFUNCTION("""COMPUTED_VALUE"""),"EUR")</f>
        <v>EUR</v>
      </c>
      <c r="H430" s="181">
        <f>IFERROR(__xludf.DUMMYFUNCTION("""COMPUTED_VALUE"""),5.0)</f>
        <v>5</v>
      </c>
      <c r="I430" s="174">
        <f>IFERROR(__xludf.DUMMYFUNCTION("""COMPUTED_VALUE"""),8.82244)</f>
        <v>8.82244</v>
      </c>
      <c r="J430" s="175">
        <f>IFERROR(__xludf.DUMMYFUNCTION("""COMPUTED_VALUE"""),50.44)</f>
        <v>50.44</v>
      </c>
      <c r="K430" s="35"/>
      <c r="L430" s="175">
        <f>IFERROR(__xludf.DUMMYFUNCTION("""COMPUTED_VALUE"""),37.77)</f>
        <v>37.77</v>
      </c>
      <c r="M430" s="182" t="str">
        <f>IFERROR(__xludf.DUMMYFUNCTION("""COMPUTED_VALUE"""),"Equity Key Stats")</f>
        <v>Equity Key Stats</v>
      </c>
      <c r="N430" s="35"/>
      <c r="O430" s="35"/>
      <c r="P430" s="184">
        <f>IFERROR(__xludf.DUMMYFUNCTION("""COMPUTED_VALUE"""),-2225.0193679999998)</f>
        <v>-2225.019368</v>
      </c>
      <c r="Q430" s="177"/>
      <c r="R430" s="178">
        <f>IFERROR(__xludf.DUMMYFUNCTION("""COMPUTED_VALUE"""),37.77)</f>
        <v>37.77</v>
      </c>
      <c r="S430" s="176">
        <f>IFERROR(__xludf.DUMMYFUNCTION("""COMPUTED_VALUE"""),1666.1177940000002)</f>
        <v>1666.117794</v>
      </c>
      <c r="T430" s="95">
        <f>IFERROR(__xludf.DUMMYFUNCTION("""COMPUTED_VALUE"""),1.0)</f>
        <v>1</v>
      </c>
      <c r="U430" s="35">
        <f>IFERROR(__xludf.DUMMYFUNCTION("""COMPUTED_VALUE"""),1.0)</f>
        <v>1</v>
      </c>
      <c r="V430" s="170">
        <f>IFERROR(__xludf.DUMMYFUNCTION("""COMPUTED_VALUE"""),-558.9015739999995)</f>
        <v>-558.901574</v>
      </c>
      <c r="W430" s="171" t="str">
        <f>IFERROR(__xludf.DUMMYFUNCTION("""COMPUTED_VALUE"""),"")</f>
        <v/>
      </c>
      <c r="X430" s="14" t="str">
        <f>IFERROR(__xludf.DUMMYFUNCTION("""COMPUTED_VALUE"""),"")</f>
        <v/>
      </c>
      <c r="Y430" s="14" t="str">
        <f>IFERROR(__xludf.DUMMYFUNCTION("""COMPUTED_VALUE"""),"")</f>
        <v/>
      </c>
      <c r="Z430" s="11" t="str">
        <f>IFERROR(__xludf.DUMMYFUNCTION("""COMPUTED_VALUE"""),"")</f>
        <v/>
      </c>
    </row>
    <row r="431">
      <c r="A431" s="35" t="str">
        <f>IFERROR(__xludf.DUMMYFUNCTION("""COMPUTED_VALUE"""),"")</f>
        <v/>
      </c>
      <c r="B431" s="35" t="str">
        <f>IFERROR(__xludf.DUMMYFUNCTION("""COMPUTED_VALUE"""),"39494")</f>
        <v>39494</v>
      </c>
      <c r="C431" s="172">
        <f>IFERROR(__xludf.DUMMYFUNCTION("""COMPUTED_VALUE"""),4.4608000221E10)</f>
        <v>44608000221</v>
      </c>
      <c r="D431" s="192" t="str">
        <f>IFERROR(__xludf.DUMMYFUNCTION("""COMPUTED_VALUE"""),"NVDA")</f>
        <v>NVDA</v>
      </c>
      <c r="E431" s="173">
        <f>IFERROR(__xludf.DUMMYFUNCTION("""COMPUTED_VALUE"""),44608.0)</f>
        <v>44608</v>
      </c>
      <c r="F431" s="35" t="str">
        <f>IFERROR(__xludf.DUMMYFUNCTION("""COMPUTED_VALUE"""),"Stock")</f>
        <v>Stock</v>
      </c>
      <c r="G431" s="35" t="str">
        <f>IFERROR(__xludf.DUMMYFUNCTION("""COMPUTED_VALUE"""),"USD")</f>
        <v>USD</v>
      </c>
      <c r="H431" s="181">
        <f>IFERROR(__xludf.DUMMYFUNCTION("""COMPUTED_VALUE"""),100.0)</f>
        <v>100</v>
      </c>
      <c r="I431" s="174">
        <f>IFERROR(__xludf.DUMMYFUNCTION("""COMPUTED_VALUE"""),7.8005)</f>
        <v>7.8005</v>
      </c>
      <c r="J431" s="175">
        <f>IFERROR(__xludf.DUMMYFUNCTION("""COMPUTED_VALUE"""),265.11)</f>
        <v>265.11</v>
      </c>
      <c r="K431" s="35"/>
      <c r="L431" s="175">
        <f>IFERROR(__xludf.DUMMYFUNCTION("""COMPUTED_VALUE"""),222.03)</f>
        <v>222.03</v>
      </c>
      <c r="M431" s="182" t="str">
        <f>IFERROR(__xludf.DUMMYFUNCTION("""COMPUTED_VALUE"""),"Equity Key Stats")</f>
        <v>Equity Key Stats</v>
      </c>
      <c r="N431" s="35"/>
      <c r="O431" s="35"/>
      <c r="P431" s="184">
        <f>IFERROR(__xludf.DUMMYFUNCTION("""COMPUTED_VALUE"""),-206799.05550000002)</f>
        <v>-206799.0555</v>
      </c>
      <c r="Q431" s="177"/>
      <c r="R431" s="178">
        <f>IFERROR(__xludf.DUMMYFUNCTION("""COMPUTED_VALUE"""),222.03)</f>
        <v>222.03</v>
      </c>
      <c r="S431" s="176">
        <f>IFERROR(__xludf.DUMMYFUNCTION("""COMPUTED_VALUE"""),173194.5015)</f>
        <v>173194.5015</v>
      </c>
      <c r="T431" s="95">
        <f>IFERROR(__xludf.DUMMYFUNCTION("""COMPUTED_VALUE"""),1.0)</f>
        <v>1</v>
      </c>
      <c r="U431" s="35">
        <f>IFERROR(__xludf.DUMMYFUNCTION("""COMPUTED_VALUE"""),1.0)</f>
        <v>1</v>
      </c>
      <c r="V431" s="170">
        <f>IFERROR(__xludf.DUMMYFUNCTION("""COMPUTED_VALUE"""),-33604.554000000004)</f>
        <v>-33604.554</v>
      </c>
      <c r="W431" s="171" t="str">
        <f>IFERROR(__xludf.DUMMYFUNCTION("""COMPUTED_VALUE"""),"")</f>
        <v/>
      </c>
      <c r="X431" s="14" t="str">
        <f>IFERROR(__xludf.DUMMYFUNCTION("""COMPUTED_VALUE"""),"")</f>
        <v/>
      </c>
      <c r="Y431" s="14" t="str">
        <f>IFERROR(__xludf.DUMMYFUNCTION("""COMPUTED_VALUE"""),"")</f>
        <v/>
      </c>
      <c r="Z431" s="11" t="str">
        <f>IFERROR(__xludf.DUMMYFUNCTION("""COMPUTED_VALUE"""),"")</f>
        <v/>
      </c>
    </row>
    <row r="432">
      <c r="A432" s="35" t="str">
        <f>IFERROR(__xludf.DUMMYFUNCTION("""COMPUTED_VALUE"""),"")</f>
        <v/>
      </c>
      <c r="B432" s="35" t="str">
        <f>IFERROR(__xludf.DUMMYFUNCTION("""COMPUTED_VALUE"""),"39494")</f>
        <v>39494</v>
      </c>
      <c r="C432" s="172">
        <f>IFERROR(__xludf.DUMMYFUNCTION("""COMPUTED_VALUE"""),4.4608000222E10)</f>
        <v>44608000222</v>
      </c>
      <c r="D432" s="192" t="str">
        <f>IFERROR(__xludf.DUMMYFUNCTION("""COMPUTED_VALUE"""),"SONY")</f>
        <v>SONY</v>
      </c>
      <c r="E432" s="173">
        <f>IFERROR(__xludf.DUMMYFUNCTION("""COMPUTED_VALUE"""),44608.0)</f>
        <v>44608</v>
      </c>
      <c r="F432" s="35" t="str">
        <f>IFERROR(__xludf.DUMMYFUNCTION("""COMPUTED_VALUE"""),"Stock")</f>
        <v>Stock</v>
      </c>
      <c r="G432" s="35" t="str">
        <f>IFERROR(__xludf.DUMMYFUNCTION("""COMPUTED_VALUE"""),"USD")</f>
        <v>USD</v>
      </c>
      <c r="H432" s="181">
        <f>IFERROR(__xludf.DUMMYFUNCTION("""COMPUTED_VALUE"""),100.0)</f>
        <v>100</v>
      </c>
      <c r="I432" s="174">
        <f>IFERROR(__xludf.DUMMYFUNCTION("""COMPUTED_VALUE"""),7.8005)</f>
        <v>7.8005</v>
      </c>
      <c r="J432" s="175">
        <f>IFERROR(__xludf.DUMMYFUNCTION("""COMPUTED_VALUE"""),106.52)</f>
        <v>106.52</v>
      </c>
      <c r="K432" s="35"/>
      <c r="L432" s="175">
        <f>IFERROR(__xludf.DUMMYFUNCTION("""COMPUTED_VALUE"""),91.79)</f>
        <v>91.79</v>
      </c>
      <c r="M432" s="182" t="str">
        <f>IFERROR(__xludf.DUMMYFUNCTION("""COMPUTED_VALUE"""),"Equity Key Stats")</f>
        <v>Equity Key Stats</v>
      </c>
      <c r="N432" s="35"/>
      <c r="O432" s="35"/>
      <c r="P432" s="184">
        <f>IFERROR(__xludf.DUMMYFUNCTION("""COMPUTED_VALUE"""),-83090.926)</f>
        <v>-83090.926</v>
      </c>
      <c r="Q432" s="177"/>
      <c r="R432" s="178">
        <f>IFERROR(__xludf.DUMMYFUNCTION("""COMPUTED_VALUE"""),91.79)</f>
        <v>91.79</v>
      </c>
      <c r="S432" s="176">
        <f>IFERROR(__xludf.DUMMYFUNCTION("""COMPUTED_VALUE"""),71600.78950000001)</f>
        <v>71600.7895</v>
      </c>
      <c r="T432" s="95">
        <f>IFERROR(__xludf.DUMMYFUNCTION("""COMPUTED_VALUE"""),1.0)</f>
        <v>1</v>
      </c>
      <c r="U432" s="95">
        <f>IFERROR(__xludf.DUMMYFUNCTION("""COMPUTED_VALUE"""),1.0)</f>
        <v>1</v>
      </c>
      <c r="V432" s="185">
        <f>IFERROR(__xludf.DUMMYFUNCTION("""COMPUTED_VALUE"""),-11490.136499999993)</f>
        <v>-11490.1365</v>
      </c>
      <c r="W432" s="171" t="str">
        <f>IFERROR(__xludf.DUMMYFUNCTION("""COMPUTED_VALUE"""),"")</f>
        <v/>
      </c>
      <c r="X432" s="14" t="str">
        <f>IFERROR(__xludf.DUMMYFUNCTION("""COMPUTED_VALUE"""),"")</f>
        <v/>
      </c>
      <c r="Y432" s="14" t="str">
        <f>IFERROR(__xludf.DUMMYFUNCTION("""COMPUTED_VALUE"""),"")</f>
        <v/>
      </c>
      <c r="Z432" s="11" t="str">
        <f>IFERROR(__xludf.DUMMYFUNCTION("""COMPUTED_VALUE"""),"")</f>
        <v/>
      </c>
    </row>
    <row r="433">
      <c r="A433" s="35" t="str">
        <f>IFERROR(__xludf.DUMMYFUNCTION("""COMPUTED_VALUE"""),"39494")</f>
        <v>39494</v>
      </c>
      <c r="B433" s="35" t="str">
        <f>IFERROR(__xludf.DUMMYFUNCTION("""COMPUTED_VALUE"""),"39494")</f>
        <v>39494</v>
      </c>
      <c r="C433" s="172">
        <f>IFERROR(__xludf.DUMMYFUNCTION("""COMPUTED_VALUE"""),4.4608000223E10)</f>
        <v>44608000223</v>
      </c>
      <c r="D433" s="192" t="str">
        <f>IFERROR(__xludf.DUMMYFUNCTION("""COMPUTED_VALUE"""),"NTDOY")</f>
        <v>NTDOY</v>
      </c>
      <c r="E433" s="173">
        <f>IFERROR(__xludf.DUMMYFUNCTION("""COMPUTED_VALUE"""),44608.0)</f>
        <v>44608</v>
      </c>
      <c r="F433" s="35" t="str">
        <f>IFERROR(__xludf.DUMMYFUNCTION("""COMPUTED_VALUE"""),"Stock")</f>
        <v>Stock</v>
      </c>
      <c r="G433" s="35" t="str">
        <f>IFERROR(__xludf.DUMMYFUNCTION("""COMPUTED_VALUE"""),"USD")</f>
        <v>USD</v>
      </c>
      <c r="H433" s="181">
        <f>IFERROR(__xludf.DUMMYFUNCTION("""COMPUTED_VALUE"""),100.0)</f>
        <v>100</v>
      </c>
      <c r="I433" s="174">
        <f>IFERROR(__xludf.DUMMYFUNCTION("""COMPUTED_VALUE"""),7.8005)</f>
        <v>7.8005</v>
      </c>
      <c r="J433" s="175">
        <f>IFERROR(__xludf.DUMMYFUNCTION("""COMPUTED_VALUE"""),63.55)</f>
        <v>63.55</v>
      </c>
      <c r="K433" s="35"/>
      <c r="L433" s="175">
        <f>IFERROR(__xludf.DUMMYFUNCTION("""COMPUTED_VALUE"""),64.46)</f>
        <v>64.46</v>
      </c>
      <c r="M433" s="182" t="str">
        <f>IFERROR(__xludf.DUMMYFUNCTION("""COMPUTED_VALUE"""),"Equity Key Stats")</f>
        <v>Equity Key Stats</v>
      </c>
      <c r="N433" s="35"/>
      <c r="O433" s="35"/>
      <c r="P433" s="184">
        <f>IFERROR(__xludf.DUMMYFUNCTION("""COMPUTED_VALUE"""),-49572.177500000005)</f>
        <v>-49572.1775</v>
      </c>
      <c r="Q433" s="177"/>
      <c r="R433" s="178">
        <f>IFERROR(__xludf.DUMMYFUNCTION("""COMPUTED_VALUE"""),64.46)</f>
        <v>64.46</v>
      </c>
      <c r="S433" s="176">
        <f>IFERROR(__xludf.DUMMYFUNCTION("""COMPUTED_VALUE"""),50282.023)</f>
        <v>50282.023</v>
      </c>
      <c r="T433" s="95">
        <f>IFERROR(__xludf.DUMMYFUNCTION("""COMPUTED_VALUE"""),1.0)</f>
        <v>1</v>
      </c>
      <c r="U433" s="95">
        <f>IFERROR(__xludf.DUMMYFUNCTION("""COMPUTED_VALUE"""),1.0)</f>
        <v>1</v>
      </c>
      <c r="V433" s="185">
        <f>IFERROR(__xludf.DUMMYFUNCTION("""COMPUTED_VALUE"""),709.8454999999958)</f>
        <v>709.8455</v>
      </c>
      <c r="W433" s="55">
        <f>IFERROR(__xludf.DUMMYFUNCTION("""COMPUTED_VALUE"""),454883.49622369994)</f>
        <v>454883.4962</v>
      </c>
      <c r="X433" s="181">
        <f>IFERROR(__xludf.DUMMYFUNCTION("""COMPUTED_VALUE"""),151407.21530699998)</f>
        <v>151407.2153</v>
      </c>
      <c r="Y433" s="181">
        <f>IFERROR(__xludf.DUMMYFUNCTION("""COMPUTED_VALUE"""),0.0)</f>
        <v>0</v>
      </c>
      <c r="Z433" s="189">
        <f>IFERROR(__xludf.DUMMYFUNCTION("""COMPUTED_VALUE"""),-0.09023300755260011)</f>
        <v>-0.09023300755</v>
      </c>
    </row>
    <row r="434">
      <c r="A434" s="35" t="str">
        <f>IFERROR(__xludf.DUMMYFUNCTION("""COMPUTED_VALUE"""),"")</f>
        <v/>
      </c>
      <c r="B434" s="35" t="str">
        <f>IFERROR(__xludf.DUMMYFUNCTION("""COMPUTED_VALUE"""),"39563")</f>
        <v>39563</v>
      </c>
      <c r="C434" s="172">
        <f>IFERROR(__xludf.DUMMYFUNCTION("""COMPUTED_VALUE"""),4.4597000021E10)</f>
        <v>44597000021</v>
      </c>
      <c r="D434" s="135" t="str">
        <f>IFERROR(__xludf.DUMMYFUNCTION("""COMPUTED_VALUE"""),"Cash")</f>
        <v>Cash</v>
      </c>
      <c r="E434" s="173">
        <f>IFERROR(__xludf.DUMMYFUNCTION("""COMPUTED_VALUE"""),44597.0)</f>
        <v>44597</v>
      </c>
      <c r="F434" s="35" t="str">
        <f>IFERROR(__xludf.DUMMYFUNCTION("""COMPUTED_VALUE"""),"Cash")</f>
        <v>Cash</v>
      </c>
      <c r="G434" s="35" t="str">
        <f>IFERROR(__xludf.DUMMYFUNCTION("""COMPUTED_VALUE"""),"HKD")</f>
        <v>HKD</v>
      </c>
      <c r="H434" s="14" t="str">
        <f>IFERROR(__xludf.DUMMYFUNCTION("""COMPUTED_VALUE"""),"")</f>
        <v/>
      </c>
      <c r="I434" s="174">
        <f>IFERROR(__xludf.DUMMYFUNCTION("""COMPUTED_VALUE"""),1.0)</f>
        <v>1</v>
      </c>
      <c r="J434" s="95">
        <f>IFERROR(__xludf.DUMMYFUNCTION("""COMPUTED_VALUE"""),1.0)</f>
        <v>1</v>
      </c>
      <c r="K434" s="35"/>
      <c r="L434" s="175">
        <f>IFERROR(__xludf.DUMMYFUNCTION("""COMPUTED_VALUE"""),1.0)</f>
        <v>1</v>
      </c>
      <c r="M434" s="3" t="str">
        <f>IFERROR(__xludf.DUMMYFUNCTION("""COMPUTED_VALUE"""),"")</f>
        <v/>
      </c>
      <c r="N434" s="35"/>
      <c r="O434" s="35"/>
      <c r="P434" s="176">
        <f>IFERROR(__xludf.DUMMYFUNCTION("""COMPUTED_VALUE"""),500000.0)</f>
        <v>500000</v>
      </c>
      <c r="Q434" s="177"/>
      <c r="R434" s="178">
        <f>IFERROR(__xludf.DUMMYFUNCTION("""COMPUTED_VALUE"""),1.0)</f>
        <v>1</v>
      </c>
      <c r="S434" s="151" t="str">
        <f>IFERROR(__xludf.DUMMYFUNCTION("""COMPUTED_VALUE"""),"")</f>
        <v/>
      </c>
      <c r="T434" s="95">
        <f>IFERROR(__xludf.DUMMYFUNCTION("""COMPUTED_VALUE"""),1.0)</f>
        <v>1</v>
      </c>
      <c r="U434" s="95">
        <f>IFERROR(__xludf.DUMMYFUNCTION("""COMPUTED_VALUE"""),1.0)</f>
        <v>1</v>
      </c>
      <c r="V434" s="179">
        <f>IFERROR(__xludf.DUMMYFUNCTION("""COMPUTED_VALUE"""),500000.0)</f>
        <v>500000</v>
      </c>
      <c r="W434" s="171" t="str">
        <f>IFERROR(__xludf.DUMMYFUNCTION("""COMPUTED_VALUE"""),"")</f>
        <v/>
      </c>
      <c r="X434" s="14" t="str">
        <f>IFERROR(__xludf.DUMMYFUNCTION("""COMPUTED_VALUE"""),"")</f>
        <v/>
      </c>
      <c r="Y434" s="14" t="str">
        <f>IFERROR(__xludf.DUMMYFUNCTION("""COMPUTED_VALUE"""),"")</f>
        <v/>
      </c>
      <c r="Z434" s="11" t="str">
        <f>IFERROR(__xludf.DUMMYFUNCTION("""COMPUTED_VALUE"""),"")</f>
        <v/>
      </c>
    </row>
    <row r="435">
      <c r="A435" s="35" t="str">
        <f>IFERROR(__xludf.DUMMYFUNCTION("""COMPUTED_VALUE"""),"")</f>
        <v/>
      </c>
      <c r="B435" s="35" t="str">
        <f>IFERROR(__xludf.DUMMYFUNCTION("""COMPUTED_VALUE"""),"39563")</f>
        <v>39563</v>
      </c>
      <c r="C435" s="172">
        <f>IFERROR(__xludf.DUMMYFUNCTION("""COMPUTED_VALUE"""),4.4657001145E10)</f>
        <v>44657001145</v>
      </c>
      <c r="D435" s="192" t="str">
        <f>IFERROR(__xludf.DUMMYFUNCTION("""COMPUTED_VALUE"""),"2196.HK")</f>
        <v>2196.HK</v>
      </c>
      <c r="E435" s="173">
        <f>IFERROR(__xludf.DUMMYFUNCTION("""COMPUTED_VALUE"""),44657.0)</f>
        <v>44657</v>
      </c>
      <c r="F435" s="35" t="str">
        <f>IFERROR(__xludf.DUMMYFUNCTION("""COMPUTED_VALUE"""),"Stock")</f>
        <v>Stock</v>
      </c>
      <c r="G435" s="35" t="str">
        <f>IFERROR(__xludf.DUMMYFUNCTION("""COMPUTED_VALUE"""),"HKD")</f>
        <v>HKD</v>
      </c>
      <c r="H435" s="181">
        <f>IFERROR(__xludf.DUMMYFUNCTION("""COMPUTED_VALUE"""),1000.0)</f>
        <v>1000</v>
      </c>
      <c r="I435" s="174">
        <f>IFERROR(__xludf.DUMMYFUNCTION("""COMPUTED_VALUE"""),1.0)</f>
        <v>1</v>
      </c>
      <c r="J435" s="175">
        <f>IFERROR(__xludf.DUMMYFUNCTION("""COMPUTED_VALUE"""),40.5)</f>
        <v>40.5</v>
      </c>
      <c r="K435" s="35"/>
      <c r="L435" s="175">
        <f>IFERROR(__xludf.DUMMYFUNCTION("""COMPUTED_VALUE"""),32.95)</f>
        <v>32.95</v>
      </c>
      <c r="M435" s="182" t="str">
        <f>IFERROR(__xludf.DUMMYFUNCTION("""COMPUTED_VALUE"""),"Equity Key Stats")</f>
        <v>Equity Key Stats</v>
      </c>
      <c r="N435" s="35"/>
      <c r="O435" s="35"/>
      <c r="P435" s="184">
        <f>IFERROR(__xludf.DUMMYFUNCTION("""COMPUTED_VALUE"""),-40500.0)</f>
        <v>-40500</v>
      </c>
      <c r="Q435" s="177"/>
      <c r="R435" s="178">
        <f>IFERROR(__xludf.DUMMYFUNCTION("""COMPUTED_VALUE"""),32.95)</f>
        <v>32.95</v>
      </c>
      <c r="S435" s="176">
        <f>IFERROR(__xludf.DUMMYFUNCTION("""COMPUTED_VALUE"""),32950.0)</f>
        <v>32950</v>
      </c>
      <c r="T435" s="95">
        <f>IFERROR(__xludf.DUMMYFUNCTION("""COMPUTED_VALUE"""),3.0)</f>
        <v>3</v>
      </c>
      <c r="U435" s="95" t="str">
        <f>IFERROR(__xludf.DUMMYFUNCTION("""COMPUTED_VALUE"""),"")</f>
        <v/>
      </c>
      <c r="V435" s="179" t="str">
        <f>IFERROR(__xludf.DUMMYFUNCTION("""COMPUTED_VALUE"""),"")</f>
        <v/>
      </c>
      <c r="W435" s="171" t="str">
        <f>IFERROR(__xludf.DUMMYFUNCTION("""COMPUTED_VALUE"""),"")</f>
        <v/>
      </c>
      <c r="X435" s="14" t="str">
        <f>IFERROR(__xludf.DUMMYFUNCTION("""COMPUTED_VALUE"""),"")</f>
        <v/>
      </c>
      <c r="Y435" s="14" t="str">
        <f>IFERROR(__xludf.DUMMYFUNCTION("""COMPUTED_VALUE"""),"")</f>
        <v/>
      </c>
      <c r="Z435" s="11" t="str">
        <f>IFERROR(__xludf.DUMMYFUNCTION("""COMPUTED_VALUE"""),"")</f>
        <v/>
      </c>
    </row>
    <row r="436">
      <c r="A436" s="35" t="str">
        <f>IFERROR(__xludf.DUMMYFUNCTION("""COMPUTED_VALUE"""),"")</f>
        <v/>
      </c>
      <c r="B436" s="35" t="str">
        <f>IFERROR(__xludf.DUMMYFUNCTION("""COMPUTED_VALUE"""),"39563")</f>
        <v>39563</v>
      </c>
      <c r="C436" s="172">
        <f>IFERROR(__xludf.DUMMYFUNCTION("""COMPUTED_VALUE"""),4.4657001146E10)</f>
        <v>44657001146</v>
      </c>
      <c r="D436" s="192" t="str">
        <f>IFERROR(__xludf.DUMMYFUNCTION("""COMPUTED_VALUE"""),"9868.HK")</f>
        <v>9868.HK</v>
      </c>
      <c r="E436" s="173">
        <f>IFERROR(__xludf.DUMMYFUNCTION("""COMPUTED_VALUE"""),44657.0)</f>
        <v>44657</v>
      </c>
      <c r="F436" s="35" t="str">
        <f>IFERROR(__xludf.DUMMYFUNCTION("""COMPUTED_VALUE"""),"Stock")</f>
        <v>Stock</v>
      </c>
      <c r="G436" s="35" t="str">
        <f>IFERROR(__xludf.DUMMYFUNCTION("""COMPUTED_VALUE"""),"HKD")</f>
        <v>HKD</v>
      </c>
      <c r="H436" s="181">
        <f>IFERROR(__xludf.DUMMYFUNCTION("""COMPUTED_VALUE"""),500.0)</f>
        <v>500</v>
      </c>
      <c r="I436" s="174">
        <f>IFERROR(__xludf.DUMMYFUNCTION("""COMPUTED_VALUE"""),1.0)</f>
        <v>1</v>
      </c>
      <c r="J436" s="175">
        <f>IFERROR(__xludf.DUMMYFUNCTION("""COMPUTED_VALUE"""),115.8)</f>
        <v>115.8</v>
      </c>
      <c r="K436" s="35"/>
      <c r="L436" s="175">
        <f>IFERROR(__xludf.DUMMYFUNCTION("""COMPUTED_VALUE"""),103.3)</f>
        <v>103.3</v>
      </c>
      <c r="M436" s="182" t="str">
        <f>IFERROR(__xludf.DUMMYFUNCTION("""COMPUTED_VALUE"""),"Equity Key Stats")</f>
        <v>Equity Key Stats</v>
      </c>
      <c r="N436" s="35"/>
      <c r="O436" s="35"/>
      <c r="P436" s="184">
        <f>IFERROR(__xludf.DUMMYFUNCTION("""COMPUTED_VALUE"""),-57900.0)</f>
        <v>-57900</v>
      </c>
      <c r="Q436" s="177"/>
      <c r="R436" s="178">
        <f>IFERROR(__xludf.DUMMYFUNCTION("""COMPUTED_VALUE"""),103.3)</f>
        <v>103.3</v>
      </c>
      <c r="S436" s="176">
        <f>IFERROR(__xludf.DUMMYFUNCTION("""COMPUTED_VALUE"""),51650.0)</f>
        <v>51650</v>
      </c>
      <c r="T436" s="95">
        <f>IFERROR(__xludf.DUMMYFUNCTION("""COMPUTED_VALUE"""),2.0)</f>
        <v>2</v>
      </c>
      <c r="U436" s="95" t="str">
        <f>IFERROR(__xludf.DUMMYFUNCTION("""COMPUTED_VALUE"""),"")</f>
        <v/>
      </c>
      <c r="V436" s="179" t="str">
        <f>IFERROR(__xludf.DUMMYFUNCTION("""COMPUTED_VALUE"""),"")</f>
        <v/>
      </c>
      <c r="W436" s="171" t="str">
        <f>IFERROR(__xludf.DUMMYFUNCTION("""COMPUTED_VALUE"""),"")</f>
        <v/>
      </c>
      <c r="X436" s="14" t="str">
        <f>IFERROR(__xludf.DUMMYFUNCTION("""COMPUTED_VALUE"""),"")</f>
        <v/>
      </c>
      <c r="Y436" s="14" t="str">
        <f>IFERROR(__xludf.DUMMYFUNCTION("""COMPUTED_VALUE"""),"")</f>
        <v/>
      </c>
      <c r="Z436" s="11" t="str">
        <f>IFERROR(__xludf.DUMMYFUNCTION("""COMPUTED_VALUE"""),"")</f>
        <v/>
      </c>
    </row>
    <row r="437">
      <c r="A437" s="35" t="str">
        <f>IFERROR(__xludf.DUMMYFUNCTION("""COMPUTED_VALUE"""),"")</f>
        <v/>
      </c>
      <c r="B437" s="35" t="str">
        <f>IFERROR(__xludf.DUMMYFUNCTION("""COMPUTED_VALUE"""),"39563")</f>
        <v>39563</v>
      </c>
      <c r="C437" s="172">
        <f>IFERROR(__xludf.DUMMYFUNCTION("""COMPUTED_VALUE"""),4.4657001176E10)</f>
        <v>44657001176</v>
      </c>
      <c r="D437" s="192" t="str">
        <f>IFERROR(__xludf.DUMMYFUNCTION("""COMPUTED_VALUE"""),"TSLA")</f>
        <v>TSLA</v>
      </c>
      <c r="E437" s="173">
        <f>IFERROR(__xludf.DUMMYFUNCTION("""COMPUTED_VALUE"""),44657.0)</f>
        <v>44657</v>
      </c>
      <c r="F437" s="35" t="str">
        <f>IFERROR(__xludf.DUMMYFUNCTION("""COMPUTED_VALUE"""),"Stock")</f>
        <v>Stock</v>
      </c>
      <c r="G437" s="35" t="str">
        <f>IFERROR(__xludf.DUMMYFUNCTION("""COMPUTED_VALUE"""),"USD")</f>
        <v>USD</v>
      </c>
      <c r="H437" s="181" t="str">
        <f>IFERROR(__xludf.DUMMYFUNCTION("""COMPUTED_VALUE"""),"")</f>
        <v/>
      </c>
      <c r="I437" s="174">
        <f>IFERROR(__xludf.DUMMYFUNCTION("""COMPUTED_VALUE"""),7.837775)</f>
        <v>7.837775</v>
      </c>
      <c r="J437" s="175">
        <f>IFERROR(__xludf.DUMMYFUNCTION("""COMPUTED_VALUE"""),1045.76)</f>
        <v>1045.76</v>
      </c>
      <c r="K437" s="35"/>
      <c r="L437" s="175">
        <f>IFERROR(__xludf.DUMMYFUNCTION("""COMPUTED_VALUE"""),1022.37)</f>
        <v>1022.37</v>
      </c>
      <c r="M437" s="182" t="str">
        <f>IFERROR(__xludf.DUMMYFUNCTION("""COMPUTED_VALUE"""),"Equity Key Stats")</f>
        <v>Equity Key Stats</v>
      </c>
      <c r="N437" s="35"/>
      <c r="O437" s="35"/>
      <c r="P437" s="184">
        <f>IFERROR(__xludf.DUMMYFUNCTION("""COMPUTED_VALUE"""),0.0)</f>
        <v>0</v>
      </c>
      <c r="Q437" s="177"/>
      <c r="R437" s="178">
        <f>IFERROR(__xludf.DUMMYFUNCTION("""COMPUTED_VALUE"""),1022.37)</f>
        <v>1022.37</v>
      </c>
      <c r="S437" s="176">
        <f>IFERROR(__xludf.DUMMYFUNCTION("""COMPUTED_VALUE"""),0.0)</f>
        <v>0</v>
      </c>
      <c r="T437" s="95">
        <f>IFERROR(__xludf.DUMMYFUNCTION("""COMPUTED_VALUE"""),1.0)</f>
        <v>1</v>
      </c>
      <c r="U437" s="95">
        <f>IFERROR(__xludf.DUMMYFUNCTION("""COMPUTED_VALUE"""),1.0)</f>
        <v>1</v>
      </c>
      <c r="V437" s="179">
        <f>IFERROR(__xludf.DUMMYFUNCTION("""COMPUTED_VALUE"""),0.0)</f>
        <v>0</v>
      </c>
      <c r="W437" s="171" t="str">
        <f>IFERROR(__xludf.DUMMYFUNCTION("""COMPUTED_VALUE"""),"")</f>
        <v/>
      </c>
      <c r="X437" s="14" t="str">
        <f>IFERROR(__xludf.DUMMYFUNCTION("""COMPUTED_VALUE"""),"")</f>
        <v/>
      </c>
      <c r="Y437" s="14" t="str">
        <f>IFERROR(__xludf.DUMMYFUNCTION("""COMPUTED_VALUE"""),"")</f>
        <v/>
      </c>
      <c r="Z437" s="11" t="str">
        <f>IFERROR(__xludf.DUMMYFUNCTION("""COMPUTED_VALUE"""),"")</f>
        <v/>
      </c>
    </row>
    <row r="438">
      <c r="A438" s="35" t="str">
        <f>IFERROR(__xludf.DUMMYFUNCTION("""COMPUTED_VALUE"""),"")</f>
        <v/>
      </c>
      <c r="B438" s="35" t="str">
        <f>IFERROR(__xludf.DUMMYFUNCTION("""COMPUTED_VALUE"""),"39563")</f>
        <v>39563</v>
      </c>
      <c r="C438" s="172">
        <f>IFERROR(__xludf.DUMMYFUNCTION("""COMPUTED_VALUE"""),4.4658001204E10)</f>
        <v>44658001204</v>
      </c>
      <c r="D438" s="191" t="str">
        <f>IFERROR(__xludf.DUMMYFUNCTION("""COMPUTED_VALUE"""),"2196.HK")</f>
        <v>2196.HK</v>
      </c>
      <c r="E438" s="173">
        <f>IFERROR(__xludf.DUMMYFUNCTION("""COMPUTED_VALUE"""),44658.0)</f>
        <v>44658</v>
      </c>
      <c r="F438" s="35" t="str">
        <f>IFERROR(__xludf.DUMMYFUNCTION("""COMPUTED_VALUE"""),"Stock")</f>
        <v>Stock</v>
      </c>
      <c r="G438" s="35" t="str">
        <f>IFERROR(__xludf.DUMMYFUNCTION("""COMPUTED_VALUE"""),"HKD")</f>
        <v>HKD</v>
      </c>
      <c r="H438" s="181">
        <f>IFERROR(__xludf.DUMMYFUNCTION("""COMPUTED_VALUE"""),1000.0)</f>
        <v>1000</v>
      </c>
      <c r="I438" s="174">
        <f>IFERROR(__xludf.DUMMYFUNCTION("""COMPUTED_VALUE"""),1.0)</f>
        <v>1</v>
      </c>
      <c r="J438" s="175">
        <f>IFERROR(__xludf.DUMMYFUNCTION("""COMPUTED_VALUE"""),38.05)</f>
        <v>38.05</v>
      </c>
      <c r="K438" s="35"/>
      <c r="L438" s="175">
        <f>IFERROR(__xludf.DUMMYFUNCTION("""COMPUTED_VALUE"""),32.95)</f>
        <v>32.95</v>
      </c>
      <c r="M438" s="182" t="str">
        <f>IFERROR(__xludf.DUMMYFUNCTION("""COMPUTED_VALUE"""),"Equity Key Stats")</f>
        <v>Equity Key Stats</v>
      </c>
      <c r="N438" s="35"/>
      <c r="O438" s="35"/>
      <c r="P438" s="184">
        <f>IFERROR(__xludf.DUMMYFUNCTION("""COMPUTED_VALUE"""),-38050.0)</f>
        <v>-38050</v>
      </c>
      <c r="Q438" s="177"/>
      <c r="R438" s="178">
        <f>IFERROR(__xludf.DUMMYFUNCTION("""COMPUTED_VALUE"""),32.95)</f>
        <v>32.95</v>
      </c>
      <c r="S438" s="176">
        <f>IFERROR(__xludf.DUMMYFUNCTION("""COMPUTED_VALUE"""),32950.0)</f>
        <v>32950</v>
      </c>
      <c r="T438" s="95">
        <f>IFERROR(__xludf.DUMMYFUNCTION("""COMPUTED_VALUE"""),3.0)</f>
        <v>3</v>
      </c>
      <c r="U438" s="95" t="str">
        <f>IFERROR(__xludf.DUMMYFUNCTION("""COMPUTED_VALUE"""),"")</f>
        <v/>
      </c>
      <c r="V438" s="179" t="str">
        <f>IFERROR(__xludf.DUMMYFUNCTION("""COMPUTED_VALUE"""),"")</f>
        <v/>
      </c>
      <c r="W438" s="55" t="str">
        <f>IFERROR(__xludf.DUMMYFUNCTION("""COMPUTED_VALUE"""),"")</f>
        <v/>
      </c>
      <c r="X438" s="181" t="str">
        <f>IFERROR(__xludf.DUMMYFUNCTION("""COMPUTED_VALUE"""),"")</f>
        <v/>
      </c>
      <c r="Y438" s="181" t="str">
        <f>IFERROR(__xludf.DUMMYFUNCTION("""COMPUTED_VALUE"""),"")</f>
        <v/>
      </c>
      <c r="Z438" s="186" t="str">
        <f>IFERROR(__xludf.DUMMYFUNCTION("""COMPUTED_VALUE"""),"")</f>
        <v/>
      </c>
    </row>
    <row r="439">
      <c r="A439" s="35" t="str">
        <f>IFERROR(__xludf.DUMMYFUNCTION("""COMPUTED_VALUE"""),"")</f>
        <v/>
      </c>
      <c r="B439" s="35" t="str">
        <f>IFERROR(__xludf.DUMMYFUNCTION("""COMPUTED_VALUE"""),"39563")</f>
        <v>39563</v>
      </c>
      <c r="C439" s="172">
        <f>IFERROR(__xludf.DUMMYFUNCTION("""COMPUTED_VALUE"""),4.4659001262E10)</f>
        <v>44659001262</v>
      </c>
      <c r="D439" s="190" t="str">
        <f>IFERROR(__xludf.DUMMYFUNCTION("""COMPUTED_VALUE"""),"2196.HK")</f>
        <v>2196.HK</v>
      </c>
      <c r="E439" s="173">
        <f>IFERROR(__xludf.DUMMYFUNCTION("""COMPUTED_VALUE"""),44659.0)</f>
        <v>44659</v>
      </c>
      <c r="F439" s="35" t="str">
        <f>IFERROR(__xludf.DUMMYFUNCTION("""COMPUTED_VALUE"""),"Stock")</f>
        <v>Stock</v>
      </c>
      <c r="G439" s="35" t="str">
        <f>IFERROR(__xludf.DUMMYFUNCTION("""COMPUTED_VALUE"""),"HKD")</f>
        <v>HKD</v>
      </c>
      <c r="H439" s="14">
        <f>IFERROR(__xludf.DUMMYFUNCTION("""COMPUTED_VALUE"""),-2000.0)</f>
        <v>-2000</v>
      </c>
      <c r="I439" s="174">
        <f>IFERROR(__xludf.DUMMYFUNCTION("""COMPUTED_VALUE"""),1.0)</f>
        <v>1</v>
      </c>
      <c r="J439" s="175">
        <f>IFERROR(__xludf.DUMMYFUNCTION("""COMPUTED_VALUE"""),36.5)</f>
        <v>36.5</v>
      </c>
      <c r="K439" s="35"/>
      <c r="L439" s="175">
        <f>IFERROR(__xludf.DUMMYFUNCTION("""COMPUTED_VALUE"""),32.95)</f>
        <v>32.95</v>
      </c>
      <c r="M439" s="187" t="str">
        <f>IFERROR(__xludf.DUMMYFUNCTION("""COMPUTED_VALUE"""),"Equity Key Stats")</f>
        <v>Equity Key Stats</v>
      </c>
      <c r="N439" s="35"/>
      <c r="O439" s="35"/>
      <c r="P439" s="176">
        <f>IFERROR(__xludf.DUMMYFUNCTION("""COMPUTED_VALUE"""),73000.0)</f>
        <v>73000</v>
      </c>
      <c r="Q439" s="177"/>
      <c r="R439" s="178">
        <f>IFERROR(__xludf.DUMMYFUNCTION("""COMPUTED_VALUE"""),32.95)</f>
        <v>32.95</v>
      </c>
      <c r="S439" s="151">
        <f>IFERROR(__xludf.DUMMYFUNCTION("""COMPUTED_VALUE"""),-65900.0)</f>
        <v>-65900</v>
      </c>
      <c r="T439" s="95">
        <f>IFERROR(__xludf.DUMMYFUNCTION("""COMPUTED_VALUE"""),3.0)</f>
        <v>3</v>
      </c>
      <c r="U439" s="95">
        <f>IFERROR(__xludf.DUMMYFUNCTION("""COMPUTED_VALUE"""),1.0)</f>
        <v>1</v>
      </c>
      <c r="V439" s="179">
        <f>IFERROR(__xludf.DUMMYFUNCTION("""COMPUTED_VALUE"""),-5550.0)</f>
        <v>-5550</v>
      </c>
      <c r="W439" s="171" t="str">
        <f>IFERROR(__xludf.DUMMYFUNCTION("""COMPUTED_VALUE"""),"")</f>
        <v/>
      </c>
      <c r="X439" s="14" t="str">
        <f>IFERROR(__xludf.DUMMYFUNCTION("""COMPUTED_VALUE"""),"")</f>
        <v/>
      </c>
      <c r="Y439" s="14" t="str">
        <f>IFERROR(__xludf.DUMMYFUNCTION("""COMPUTED_VALUE"""),"")</f>
        <v/>
      </c>
      <c r="Z439" s="11" t="str">
        <f>IFERROR(__xludf.DUMMYFUNCTION("""COMPUTED_VALUE"""),"")</f>
        <v/>
      </c>
    </row>
    <row r="440">
      <c r="A440" s="35" t="str">
        <f>IFERROR(__xludf.DUMMYFUNCTION("""COMPUTED_VALUE"""),"39563")</f>
        <v>39563</v>
      </c>
      <c r="B440" s="35" t="str">
        <f>IFERROR(__xludf.DUMMYFUNCTION("""COMPUTED_VALUE"""),"39563")</f>
        <v>39563</v>
      </c>
      <c r="C440" s="172">
        <f>IFERROR(__xludf.DUMMYFUNCTION("""COMPUTED_VALUE"""),4.4659001265E10)</f>
        <v>44659001265</v>
      </c>
      <c r="D440" s="190" t="str">
        <f>IFERROR(__xludf.DUMMYFUNCTION("""COMPUTED_VALUE"""),"9868.HK")</f>
        <v>9868.HK</v>
      </c>
      <c r="E440" s="173">
        <f>IFERROR(__xludf.DUMMYFUNCTION("""COMPUTED_VALUE"""),44659.0)</f>
        <v>44659</v>
      </c>
      <c r="F440" s="35" t="str">
        <f>IFERROR(__xludf.DUMMYFUNCTION("""COMPUTED_VALUE"""),"Stock")</f>
        <v>Stock</v>
      </c>
      <c r="G440" s="35" t="str">
        <f>IFERROR(__xludf.DUMMYFUNCTION("""COMPUTED_VALUE"""),"HKD")</f>
        <v>HKD</v>
      </c>
      <c r="H440" s="181">
        <f>IFERROR(__xludf.DUMMYFUNCTION("""COMPUTED_VALUE"""),-500.0)</f>
        <v>-500</v>
      </c>
      <c r="I440" s="174">
        <f>IFERROR(__xludf.DUMMYFUNCTION("""COMPUTED_VALUE"""),1.0)</f>
        <v>1</v>
      </c>
      <c r="J440" s="175">
        <f>IFERROR(__xludf.DUMMYFUNCTION("""COMPUTED_VALUE"""),111.2)</f>
        <v>111.2</v>
      </c>
      <c r="K440" s="35"/>
      <c r="L440" s="175">
        <f>IFERROR(__xludf.DUMMYFUNCTION("""COMPUTED_VALUE"""),103.3)</f>
        <v>103.3</v>
      </c>
      <c r="M440" s="182" t="str">
        <f>IFERROR(__xludf.DUMMYFUNCTION("""COMPUTED_VALUE"""),"Equity Key Stats")</f>
        <v>Equity Key Stats</v>
      </c>
      <c r="N440" s="35"/>
      <c r="O440" s="35"/>
      <c r="P440" s="176">
        <f>IFERROR(__xludf.DUMMYFUNCTION("""COMPUTED_VALUE"""),55600.0)</f>
        <v>55600</v>
      </c>
      <c r="Q440" s="177"/>
      <c r="R440" s="178">
        <f>IFERROR(__xludf.DUMMYFUNCTION("""COMPUTED_VALUE"""),103.3)</f>
        <v>103.3</v>
      </c>
      <c r="S440" s="176">
        <f>IFERROR(__xludf.DUMMYFUNCTION("""COMPUTED_VALUE"""),-51650.0)</f>
        <v>-51650</v>
      </c>
      <c r="T440" s="95">
        <f>IFERROR(__xludf.DUMMYFUNCTION("""COMPUTED_VALUE"""),2.0)</f>
        <v>2</v>
      </c>
      <c r="U440" s="35">
        <f>IFERROR(__xludf.DUMMYFUNCTION("""COMPUTED_VALUE"""),1.0)</f>
        <v>1</v>
      </c>
      <c r="V440" s="170">
        <f>IFERROR(__xludf.DUMMYFUNCTION("""COMPUTED_VALUE"""),-2300.0)</f>
        <v>-2300</v>
      </c>
      <c r="W440" s="171">
        <f>IFERROR(__xludf.DUMMYFUNCTION("""COMPUTED_VALUE"""),492150.0)</f>
        <v>492150</v>
      </c>
      <c r="X440" s="14">
        <f>IFERROR(__xludf.DUMMYFUNCTION("""COMPUTED_VALUE"""),492150.0)</f>
        <v>492150</v>
      </c>
      <c r="Y440" s="14">
        <f>IFERROR(__xludf.DUMMYFUNCTION("""COMPUTED_VALUE"""),0.0)</f>
        <v>0</v>
      </c>
      <c r="Z440" s="11">
        <f>IFERROR(__xludf.DUMMYFUNCTION("""COMPUTED_VALUE"""),-0.015700000000000047)</f>
        <v>-0.0157</v>
      </c>
    </row>
    <row r="441">
      <c r="A441" s="35" t="str">
        <f>IFERROR(__xludf.DUMMYFUNCTION("""COMPUTED_VALUE"""),"")</f>
        <v/>
      </c>
      <c r="B441" s="35" t="str">
        <f>IFERROR(__xludf.DUMMYFUNCTION("""COMPUTED_VALUE"""),"39608")</f>
        <v>39608</v>
      </c>
      <c r="C441" s="172">
        <f>IFERROR(__xludf.DUMMYFUNCTION("""COMPUTED_VALUE"""),4.459700005E10)</f>
        <v>44597000050</v>
      </c>
      <c r="D441" s="191" t="str">
        <f>IFERROR(__xludf.DUMMYFUNCTION("""COMPUTED_VALUE"""),"Cash")</f>
        <v>Cash</v>
      </c>
      <c r="E441" s="173">
        <f>IFERROR(__xludf.DUMMYFUNCTION("""COMPUTED_VALUE"""),44597.0)</f>
        <v>44597</v>
      </c>
      <c r="F441" s="35" t="str">
        <f>IFERROR(__xludf.DUMMYFUNCTION("""COMPUTED_VALUE"""),"Cash")</f>
        <v>Cash</v>
      </c>
      <c r="G441" s="35" t="str">
        <f>IFERROR(__xludf.DUMMYFUNCTION("""COMPUTED_VALUE"""),"HKD")</f>
        <v>HKD</v>
      </c>
      <c r="H441" s="181" t="str">
        <f>IFERROR(__xludf.DUMMYFUNCTION("""COMPUTED_VALUE"""),"")</f>
        <v/>
      </c>
      <c r="I441" s="174">
        <f>IFERROR(__xludf.DUMMYFUNCTION("""COMPUTED_VALUE"""),1.0)</f>
        <v>1</v>
      </c>
      <c r="J441" s="175">
        <f>IFERROR(__xludf.DUMMYFUNCTION("""COMPUTED_VALUE"""),1.0)</f>
        <v>1</v>
      </c>
      <c r="K441" s="35"/>
      <c r="L441" s="175">
        <f>IFERROR(__xludf.DUMMYFUNCTION("""COMPUTED_VALUE"""),1.0)</f>
        <v>1</v>
      </c>
      <c r="M441" s="182" t="str">
        <f>IFERROR(__xludf.DUMMYFUNCTION("""COMPUTED_VALUE"""),"")</f>
        <v/>
      </c>
      <c r="N441" s="35"/>
      <c r="O441" s="35"/>
      <c r="P441" s="184">
        <f>IFERROR(__xludf.DUMMYFUNCTION("""COMPUTED_VALUE"""),500000.0)</f>
        <v>500000</v>
      </c>
      <c r="Q441" s="177"/>
      <c r="R441" s="178">
        <f>IFERROR(__xludf.DUMMYFUNCTION("""COMPUTED_VALUE"""),1.0)</f>
        <v>1</v>
      </c>
      <c r="S441" s="176" t="str">
        <f>IFERROR(__xludf.DUMMYFUNCTION("""COMPUTED_VALUE"""),"")</f>
        <v/>
      </c>
      <c r="T441" s="95">
        <f>IFERROR(__xludf.DUMMYFUNCTION("""COMPUTED_VALUE"""),1.0)</f>
        <v>1</v>
      </c>
      <c r="U441" s="35">
        <f>IFERROR(__xludf.DUMMYFUNCTION("""COMPUTED_VALUE"""),1.0)</f>
        <v>1</v>
      </c>
      <c r="V441" s="170">
        <f>IFERROR(__xludf.DUMMYFUNCTION("""COMPUTED_VALUE"""),500000.0)</f>
        <v>500000</v>
      </c>
      <c r="W441" s="171" t="str">
        <f>IFERROR(__xludf.DUMMYFUNCTION("""COMPUTED_VALUE"""),"")</f>
        <v/>
      </c>
      <c r="X441" s="14" t="str">
        <f>IFERROR(__xludf.DUMMYFUNCTION("""COMPUTED_VALUE"""),"")</f>
        <v/>
      </c>
      <c r="Y441" s="14" t="str">
        <f>IFERROR(__xludf.DUMMYFUNCTION("""COMPUTED_VALUE"""),"")</f>
        <v/>
      </c>
      <c r="Z441" s="11" t="str">
        <f>IFERROR(__xludf.DUMMYFUNCTION("""COMPUTED_VALUE"""),"")</f>
        <v/>
      </c>
    </row>
    <row r="442">
      <c r="A442" s="35" t="str">
        <f>IFERROR(__xludf.DUMMYFUNCTION("""COMPUTED_VALUE"""),"")</f>
        <v/>
      </c>
      <c r="B442" s="35" t="str">
        <f>IFERROR(__xludf.DUMMYFUNCTION("""COMPUTED_VALUE"""),"39608")</f>
        <v>39608</v>
      </c>
      <c r="C442" s="172">
        <f>IFERROR(__xludf.DUMMYFUNCTION("""COMPUTED_VALUE"""),4.4608000227E10)</f>
        <v>44608000227</v>
      </c>
      <c r="D442" s="192" t="str">
        <f>IFERROR(__xludf.DUMMYFUNCTION("""COMPUTED_VALUE"""),"TSLA")</f>
        <v>TSLA</v>
      </c>
      <c r="E442" s="173">
        <f>IFERROR(__xludf.DUMMYFUNCTION("""COMPUTED_VALUE"""),44608.0)</f>
        <v>44608</v>
      </c>
      <c r="F442" s="35" t="str">
        <f>IFERROR(__xludf.DUMMYFUNCTION("""COMPUTED_VALUE"""),"Stock")</f>
        <v>Stock</v>
      </c>
      <c r="G442" s="35" t="str">
        <f>IFERROR(__xludf.DUMMYFUNCTION("""COMPUTED_VALUE"""),"USD")</f>
        <v>USD</v>
      </c>
      <c r="H442" s="181">
        <f>IFERROR(__xludf.DUMMYFUNCTION("""COMPUTED_VALUE"""),0.0)</f>
        <v>0</v>
      </c>
      <c r="I442" s="174">
        <f>IFERROR(__xludf.DUMMYFUNCTION("""COMPUTED_VALUE"""),7.8005)</f>
        <v>7.8005</v>
      </c>
      <c r="J442" s="175">
        <f>IFERROR(__xludf.DUMMYFUNCTION("""COMPUTED_VALUE"""),0.0)</f>
        <v>0</v>
      </c>
      <c r="K442" s="35"/>
      <c r="L442" s="175">
        <f>IFERROR(__xludf.DUMMYFUNCTION("""COMPUTED_VALUE"""),1022.37)</f>
        <v>1022.37</v>
      </c>
      <c r="M442" s="182" t="str">
        <f>IFERROR(__xludf.DUMMYFUNCTION("""COMPUTED_VALUE"""),"Equity Key Stats")</f>
        <v>Equity Key Stats</v>
      </c>
      <c r="N442" s="35"/>
      <c r="O442" s="35"/>
      <c r="P442" s="184">
        <f>IFERROR(__xludf.DUMMYFUNCTION("""COMPUTED_VALUE"""),0.0)</f>
        <v>0</v>
      </c>
      <c r="Q442" s="177"/>
      <c r="R442" s="178">
        <f>IFERROR(__xludf.DUMMYFUNCTION("""COMPUTED_VALUE"""),1022.37)</f>
        <v>1022.37</v>
      </c>
      <c r="S442" s="176">
        <f>IFERROR(__xludf.DUMMYFUNCTION("""COMPUTED_VALUE"""),0.0)</f>
        <v>0</v>
      </c>
      <c r="T442" s="95">
        <f>IFERROR(__xludf.DUMMYFUNCTION("""COMPUTED_VALUE"""),4.0)</f>
        <v>4</v>
      </c>
      <c r="U442" s="35" t="str">
        <f>IFERROR(__xludf.DUMMYFUNCTION("""COMPUTED_VALUE"""),"")</f>
        <v/>
      </c>
      <c r="V442" s="170" t="str">
        <f>IFERROR(__xludf.DUMMYFUNCTION("""COMPUTED_VALUE"""),"")</f>
        <v/>
      </c>
      <c r="W442" s="171" t="str">
        <f>IFERROR(__xludf.DUMMYFUNCTION("""COMPUTED_VALUE"""),"")</f>
        <v/>
      </c>
      <c r="X442" s="14" t="str">
        <f>IFERROR(__xludf.DUMMYFUNCTION("""COMPUTED_VALUE"""),"")</f>
        <v/>
      </c>
      <c r="Y442" s="14" t="str">
        <f>IFERROR(__xludf.DUMMYFUNCTION("""COMPUTED_VALUE"""),"")</f>
        <v/>
      </c>
      <c r="Z442" s="11" t="str">
        <f>IFERROR(__xludf.DUMMYFUNCTION("""COMPUTED_VALUE"""),"")</f>
        <v/>
      </c>
    </row>
    <row r="443">
      <c r="A443" s="35" t="str">
        <f>IFERROR(__xludf.DUMMYFUNCTION("""COMPUTED_VALUE"""),"")</f>
        <v/>
      </c>
      <c r="B443" s="35" t="str">
        <f>IFERROR(__xludf.DUMMYFUNCTION("""COMPUTED_VALUE"""),"39608")</f>
        <v>39608</v>
      </c>
      <c r="C443" s="172">
        <f>IFERROR(__xludf.DUMMYFUNCTION("""COMPUTED_VALUE"""),4.4609000241E10)</f>
        <v>44609000241</v>
      </c>
      <c r="D443" s="180" t="str">
        <f>IFERROR(__xludf.DUMMYFUNCTION("""COMPUTED_VALUE"""),"TSLA")</f>
        <v>TSLA</v>
      </c>
      <c r="E443" s="173">
        <f>IFERROR(__xludf.DUMMYFUNCTION("""COMPUTED_VALUE"""),44609.0)</f>
        <v>44609</v>
      </c>
      <c r="F443" s="35" t="str">
        <f>IFERROR(__xludf.DUMMYFUNCTION("""COMPUTED_VALUE"""),"Stock")</f>
        <v>Stock</v>
      </c>
      <c r="G443" s="35" t="str">
        <f>IFERROR(__xludf.DUMMYFUNCTION("""COMPUTED_VALUE"""),"USD")</f>
        <v>USD</v>
      </c>
      <c r="H443" s="181">
        <f>IFERROR(__xludf.DUMMYFUNCTION("""COMPUTED_VALUE"""),18.0)</f>
        <v>18</v>
      </c>
      <c r="I443" s="174">
        <f>IFERROR(__xludf.DUMMYFUNCTION("""COMPUTED_VALUE"""),7.799115)</f>
        <v>7.799115</v>
      </c>
      <c r="J443" s="175">
        <f>IFERROR(__xludf.DUMMYFUNCTION("""COMPUTED_VALUE"""),876.35)</f>
        <v>876.35</v>
      </c>
      <c r="K443" s="35"/>
      <c r="L443" s="175">
        <f>IFERROR(__xludf.DUMMYFUNCTION("""COMPUTED_VALUE"""),1022.37)</f>
        <v>1022.37</v>
      </c>
      <c r="M443" s="182" t="str">
        <f>IFERROR(__xludf.DUMMYFUNCTION("""COMPUTED_VALUE"""),"Equity Key Stats")</f>
        <v>Equity Key Stats</v>
      </c>
      <c r="N443" s="35"/>
      <c r="O443" s="35"/>
      <c r="P443" s="176">
        <f>IFERROR(__xludf.DUMMYFUNCTION("""COMPUTED_VALUE"""),-123025.57974449999)</f>
        <v>-123025.5797</v>
      </c>
      <c r="Q443" s="177"/>
      <c r="R443" s="178">
        <f>IFERROR(__xludf.DUMMYFUNCTION("""COMPUTED_VALUE"""),1022.37)</f>
        <v>1022.37</v>
      </c>
      <c r="S443" s="176">
        <f>IFERROR(__xludf.DUMMYFUNCTION("""COMPUTED_VALUE"""),143524.46164589998)</f>
        <v>143524.4616</v>
      </c>
      <c r="T443" s="95">
        <f>IFERROR(__xludf.DUMMYFUNCTION("""COMPUTED_VALUE"""),4.0)</f>
        <v>4</v>
      </c>
      <c r="U443" s="95" t="str">
        <f>IFERROR(__xludf.DUMMYFUNCTION("""COMPUTED_VALUE"""),"")</f>
        <v/>
      </c>
      <c r="V443" s="179" t="str">
        <f>IFERROR(__xludf.DUMMYFUNCTION("""COMPUTED_VALUE"""),"")</f>
        <v/>
      </c>
      <c r="W443" s="171" t="str">
        <f>IFERROR(__xludf.DUMMYFUNCTION("""COMPUTED_VALUE"""),"")</f>
        <v/>
      </c>
      <c r="X443" s="14" t="str">
        <f>IFERROR(__xludf.DUMMYFUNCTION("""COMPUTED_VALUE"""),"")</f>
        <v/>
      </c>
      <c r="Y443" s="14" t="str">
        <f>IFERROR(__xludf.DUMMYFUNCTION("""COMPUTED_VALUE"""),"")</f>
        <v/>
      </c>
      <c r="Z443" s="11" t="str">
        <f>IFERROR(__xludf.DUMMYFUNCTION("""COMPUTED_VALUE"""),"")</f>
        <v/>
      </c>
    </row>
    <row r="444">
      <c r="A444" s="35" t="str">
        <f>IFERROR(__xludf.DUMMYFUNCTION("""COMPUTED_VALUE"""),"")</f>
        <v/>
      </c>
      <c r="B444" s="35" t="str">
        <f>IFERROR(__xludf.DUMMYFUNCTION("""COMPUTED_VALUE"""),"39608")</f>
        <v>39608</v>
      </c>
      <c r="C444" s="172">
        <f>IFERROR(__xludf.DUMMYFUNCTION("""COMPUTED_VALUE"""),4.4610000271E10)</f>
        <v>44610000271</v>
      </c>
      <c r="D444" s="192" t="str">
        <f>IFERROR(__xludf.DUMMYFUNCTION("""COMPUTED_VALUE"""),"ANPDY")</f>
        <v>ANPDY</v>
      </c>
      <c r="E444" s="173">
        <f>IFERROR(__xludf.DUMMYFUNCTION("""COMPUTED_VALUE"""),44610.0)</f>
        <v>44610</v>
      </c>
      <c r="F444" s="35" t="str">
        <f>IFERROR(__xludf.DUMMYFUNCTION("""COMPUTED_VALUE"""),"Stock")</f>
        <v>Stock</v>
      </c>
      <c r="G444" s="35" t="str">
        <f>IFERROR(__xludf.DUMMYFUNCTION("""COMPUTED_VALUE"""),"USD")</f>
        <v>USD</v>
      </c>
      <c r="H444" s="183">
        <f>IFERROR(__xludf.DUMMYFUNCTION("""COMPUTED_VALUE"""),30.0)</f>
        <v>30</v>
      </c>
      <c r="I444" s="174">
        <f>IFERROR(__xludf.DUMMYFUNCTION("""COMPUTED_VALUE"""),7.80051)</f>
        <v>7.80051</v>
      </c>
      <c r="J444" s="175">
        <f>IFERROR(__xludf.DUMMYFUNCTION("""COMPUTED_VALUE"""),397.5)</f>
        <v>397.5</v>
      </c>
      <c r="K444" s="35"/>
      <c r="L444" s="175">
        <f>IFERROR(__xludf.DUMMYFUNCTION("""COMPUTED_VALUE"""),288.61)</f>
        <v>288.61</v>
      </c>
      <c r="M444" s="182" t="str">
        <f>IFERROR(__xludf.DUMMYFUNCTION("""COMPUTED_VALUE"""),"Equity Key Stats")</f>
        <v>Equity Key Stats</v>
      </c>
      <c r="N444" s="35"/>
      <c r="O444" s="35"/>
      <c r="P444" s="176">
        <f>IFERROR(__xludf.DUMMYFUNCTION("""COMPUTED_VALUE"""),-93021.08175)</f>
        <v>-93021.08175</v>
      </c>
      <c r="Q444" s="177"/>
      <c r="R444" s="178">
        <f>IFERROR(__xludf.DUMMYFUNCTION("""COMPUTED_VALUE"""),288.61)</f>
        <v>288.61</v>
      </c>
      <c r="S444" s="184">
        <f>IFERROR(__xludf.DUMMYFUNCTION("""COMPUTED_VALUE"""),67539.155733)</f>
        <v>67539.15573</v>
      </c>
      <c r="T444" s="95">
        <f>IFERROR(__xludf.DUMMYFUNCTION("""COMPUTED_VALUE"""),2.0)</f>
        <v>2</v>
      </c>
      <c r="U444" s="95" t="str">
        <f>IFERROR(__xludf.DUMMYFUNCTION("""COMPUTED_VALUE"""),"")</f>
        <v/>
      </c>
      <c r="V444" s="185" t="str">
        <f>IFERROR(__xludf.DUMMYFUNCTION("""COMPUTED_VALUE"""),"")</f>
        <v/>
      </c>
      <c r="W444" s="171" t="str">
        <f>IFERROR(__xludf.DUMMYFUNCTION("""COMPUTED_VALUE"""),"")</f>
        <v/>
      </c>
      <c r="X444" s="14" t="str">
        <f>IFERROR(__xludf.DUMMYFUNCTION("""COMPUTED_VALUE"""),"")</f>
        <v/>
      </c>
      <c r="Y444" s="14" t="str">
        <f>IFERROR(__xludf.DUMMYFUNCTION("""COMPUTED_VALUE"""),"")</f>
        <v/>
      </c>
      <c r="Z444" s="11" t="str">
        <f>IFERROR(__xludf.DUMMYFUNCTION("""COMPUTED_VALUE"""),"")</f>
        <v/>
      </c>
    </row>
    <row r="445">
      <c r="A445" s="35" t="str">
        <f>IFERROR(__xludf.DUMMYFUNCTION("""COMPUTED_VALUE"""),"")</f>
        <v/>
      </c>
      <c r="B445" s="35" t="str">
        <f>IFERROR(__xludf.DUMMYFUNCTION("""COMPUTED_VALUE"""),"39608")</f>
        <v>39608</v>
      </c>
      <c r="C445" s="172">
        <f>IFERROR(__xludf.DUMMYFUNCTION("""COMPUTED_VALUE"""),4.4616000336E10)</f>
        <v>44616000336</v>
      </c>
      <c r="D445" s="192" t="str">
        <f>IFERROR(__xludf.DUMMYFUNCTION("""COMPUTED_VALUE"""),"GOLD")</f>
        <v>GOLD</v>
      </c>
      <c r="E445" s="173">
        <f>IFERROR(__xludf.DUMMYFUNCTION("""COMPUTED_VALUE"""),44616.0)</f>
        <v>44616</v>
      </c>
      <c r="F445" s="35" t="str">
        <f>IFERROR(__xludf.DUMMYFUNCTION("""COMPUTED_VALUE"""),"Stock")</f>
        <v>Stock</v>
      </c>
      <c r="G445" s="35" t="str">
        <f>IFERROR(__xludf.DUMMYFUNCTION("""COMPUTED_VALUE"""),"USD")</f>
        <v>USD</v>
      </c>
      <c r="H445" s="183">
        <f>IFERROR(__xludf.DUMMYFUNCTION("""COMPUTED_VALUE"""),888.0)</f>
        <v>888</v>
      </c>
      <c r="I445" s="174">
        <f>IFERROR(__xludf.DUMMYFUNCTION("""COMPUTED_VALUE"""),7.80775)</f>
        <v>7.80775</v>
      </c>
      <c r="J445" s="175">
        <f>IFERROR(__xludf.DUMMYFUNCTION("""COMPUTED_VALUE"""),22.54)</f>
        <v>22.54</v>
      </c>
      <c r="K445" s="35"/>
      <c r="L445" s="175">
        <f>IFERROR(__xludf.DUMMYFUNCTION("""COMPUTED_VALUE"""),25.62)</f>
        <v>25.62</v>
      </c>
      <c r="M445" s="182" t="str">
        <f>IFERROR(__xludf.DUMMYFUNCTION("""COMPUTED_VALUE"""),"Equity Key Stats")</f>
        <v>Equity Key Stats</v>
      </c>
      <c r="N445" s="35"/>
      <c r="O445" s="35"/>
      <c r="P445" s="176">
        <f>IFERROR(__xludf.DUMMYFUNCTION("""COMPUTED_VALUE"""),-156276.17627999999)</f>
        <v>-156276.1763</v>
      </c>
      <c r="Q445" s="177"/>
      <c r="R445" s="178">
        <f>IFERROR(__xludf.DUMMYFUNCTION("""COMPUTED_VALUE"""),25.62)</f>
        <v>25.62</v>
      </c>
      <c r="S445" s="184">
        <f>IFERROR(__xludf.DUMMYFUNCTION("""COMPUTED_VALUE"""),177630.68484)</f>
        <v>177630.6848</v>
      </c>
      <c r="T445" s="95">
        <f>IFERROR(__xludf.DUMMYFUNCTION("""COMPUTED_VALUE"""),3.0)</f>
        <v>3</v>
      </c>
      <c r="U445" s="95" t="str">
        <f>IFERROR(__xludf.DUMMYFUNCTION("""COMPUTED_VALUE"""),"")</f>
        <v/>
      </c>
      <c r="V445" s="185" t="str">
        <f>IFERROR(__xludf.DUMMYFUNCTION("""COMPUTED_VALUE"""),"")</f>
        <v/>
      </c>
      <c r="W445" s="55" t="str">
        <f>IFERROR(__xludf.DUMMYFUNCTION("""COMPUTED_VALUE"""),"")</f>
        <v/>
      </c>
      <c r="X445" s="181" t="str">
        <f>IFERROR(__xludf.DUMMYFUNCTION("""COMPUTED_VALUE"""),"")</f>
        <v/>
      </c>
      <c r="Y445" s="181" t="str">
        <f>IFERROR(__xludf.DUMMYFUNCTION("""COMPUTED_VALUE"""),"")</f>
        <v/>
      </c>
      <c r="Z445" s="189" t="str">
        <f>IFERROR(__xludf.DUMMYFUNCTION("""COMPUTED_VALUE"""),"")</f>
        <v/>
      </c>
    </row>
    <row r="446">
      <c r="A446" s="35" t="str">
        <f>IFERROR(__xludf.DUMMYFUNCTION("""COMPUTED_VALUE"""),"")</f>
        <v/>
      </c>
      <c r="B446" s="35" t="str">
        <f>IFERROR(__xludf.DUMMYFUNCTION("""COMPUTED_VALUE"""),"39608")</f>
        <v>39608</v>
      </c>
      <c r="C446" s="172">
        <f>IFERROR(__xludf.DUMMYFUNCTION("""COMPUTED_VALUE"""),4.4623000418E10)</f>
        <v>44623000418</v>
      </c>
      <c r="D446" s="180" t="str">
        <f>IFERROR(__xludf.DUMMYFUNCTION("""COMPUTED_VALUE"""),"GOLD")</f>
        <v>GOLD</v>
      </c>
      <c r="E446" s="173">
        <f>IFERROR(__xludf.DUMMYFUNCTION("""COMPUTED_VALUE"""),44623.0)</f>
        <v>44623</v>
      </c>
      <c r="F446" s="35" t="str">
        <f>IFERROR(__xludf.DUMMYFUNCTION("""COMPUTED_VALUE"""),"Stock")</f>
        <v>Stock</v>
      </c>
      <c r="G446" s="35" t="str">
        <f>IFERROR(__xludf.DUMMYFUNCTION("""COMPUTED_VALUE"""),"USD")</f>
        <v>USD</v>
      </c>
      <c r="H446" s="14">
        <f>IFERROR(__xludf.DUMMYFUNCTION("""COMPUTED_VALUE"""),-388.0)</f>
        <v>-388</v>
      </c>
      <c r="I446" s="174">
        <f>IFERROR(__xludf.DUMMYFUNCTION("""COMPUTED_VALUE"""),7.81585)</f>
        <v>7.81585</v>
      </c>
      <c r="J446" s="175">
        <f>IFERROR(__xludf.DUMMYFUNCTION("""COMPUTED_VALUE"""),23.57)</f>
        <v>23.57</v>
      </c>
      <c r="K446" s="35"/>
      <c r="L446" s="175">
        <f>IFERROR(__xludf.DUMMYFUNCTION("""COMPUTED_VALUE"""),25.62)</f>
        <v>25.62</v>
      </c>
      <c r="M446" s="187" t="str">
        <f>IFERROR(__xludf.DUMMYFUNCTION("""COMPUTED_VALUE"""),"Equity Key Stats")</f>
        <v>Equity Key Stats</v>
      </c>
      <c r="N446" s="35"/>
      <c r="O446" s="35"/>
      <c r="P446" s="176">
        <f>IFERROR(__xludf.DUMMYFUNCTION("""COMPUTED_VALUE"""),71477.19878600001)</f>
        <v>71477.19879</v>
      </c>
      <c r="Q446" s="177"/>
      <c r="R446" s="178">
        <f>IFERROR(__xludf.DUMMYFUNCTION("""COMPUTED_VALUE"""),25.62)</f>
        <v>25.62</v>
      </c>
      <c r="S446" s="151">
        <f>IFERROR(__xludf.DUMMYFUNCTION("""COMPUTED_VALUE"""),-77693.92587600001)</f>
        <v>-77693.92588</v>
      </c>
      <c r="T446" s="95">
        <f>IFERROR(__xludf.DUMMYFUNCTION("""COMPUTED_VALUE"""),3.0)</f>
        <v>3</v>
      </c>
      <c r="U446" s="95" t="str">
        <f>IFERROR(__xludf.DUMMYFUNCTION("""COMPUTED_VALUE"""),"")</f>
        <v/>
      </c>
      <c r="V446" s="179" t="str">
        <f>IFERROR(__xludf.DUMMYFUNCTION("""COMPUTED_VALUE"""),"")</f>
        <v/>
      </c>
      <c r="W446" s="171" t="str">
        <f>IFERROR(__xludf.DUMMYFUNCTION("""COMPUTED_VALUE"""),"")</f>
        <v/>
      </c>
      <c r="X446" s="14" t="str">
        <f>IFERROR(__xludf.DUMMYFUNCTION("""COMPUTED_VALUE"""),"")</f>
        <v/>
      </c>
      <c r="Y446" s="14" t="str">
        <f>IFERROR(__xludf.DUMMYFUNCTION("""COMPUTED_VALUE"""),"")</f>
        <v/>
      </c>
      <c r="Z446" s="11" t="str">
        <f>IFERROR(__xludf.DUMMYFUNCTION("""COMPUTED_VALUE"""),"")</f>
        <v/>
      </c>
    </row>
    <row r="447">
      <c r="A447" s="35" t="str">
        <f>IFERROR(__xludf.DUMMYFUNCTION("""COMPUTED_VALUE"""),"")</f>
        <v/>
      </c>
      <c r="B447" s="35" t="str">
        <f>IFERROR(__xludf.DUMMYFUNCTION("""COMPUTED_VALUE"""),"39608")</f>
        <v>39608</v>
      </c>
      <c r="C447" s="172">
        <f>IFERROR(__xludf.DUMMYFUNCTION("""COMPUTED_VALUE"""),4.4624000439E10)</f>
        <v>44624000439</v>
      </c>
      <c r="D447" s="192" t="str">
        <f>IFERROR(__xludf.DUMMYFUNCTION("""COMPUTED_VALUE"""),"TSLA")</f>
        <v>TSLA</v>
      </c>
      <c r="E447" s="173">
        <f>IFERROR(__xludf.DUMMYFUNCTION("""COMPUTED_VALUE"""),44624.0)</f>
        <v>44624</v>
      </c>
      <c r="F447" s="35" t="str">
        <f>IFERROR(__xludf.DUMMYFUNCTION("""COMPUTED_VALUE"""),"Stock")</f>
        <v>Stock</v>
      </c>
      <c r="G447" s="35" t="str">
        <f>IFERROR(__xludf.DUMMYFUNCTION("""COMPUTED_VALUE"""),"USD")</f>
        <v>USD</v>
      </c>
      <c r="H447" s="181">
        <f>IFERROR(__xludf.DUMMYFUNCTION("""COMPUTED_VALUE"""),18.0)</f>
        <v>18</v>
      </c>
      <c r="I447" s="174">
        <f>IFERROR(__xludf.DUMMYFUNCTION("""COMPUTED_VALUE"""),7.81428)</f>
        <v>7.81428</v>
      </c>
      <c r="J447" s="175">
        <f>IFERROR(__xludf.DUMMYFUNCTION("""COMPUTED_VALUE"""),838.29)</f>
        <v>838.29</v>
      </c>
      <c r="K447" s="35"/>
      <c r="L447" s="175">
        <f>IFERROR(__xludf.DUMMYFUNCTION("""COMPUTED_VALUE"""),1022.37)</f>
        <v>1022.37</v>
      </c>
      <c r="M447" s="182" t="str">
        <f>IFERROR(__xludf.DUMMYFUNCTION("""COMPUTED_VALUE"""),"Equity Key Stats")</f>
        <v>Equity Key Stats</v>
      </c>
      <c r="N447" s="35"/>
      <c r="O447" s="35"/>
      <c r="P447" s="184">
        <f>IFERROR(__xludf.DUMMYFUNCTION("""COMPUTED_VALUE"""),-117911.39006159999)</f>
        <v>-117911.3901</v>
      </c>
      <c r="Q447" s="177"/>
      <c r="R447" s="178">
        <f>IFERROR(__xludf.DUMMYFUNCTION("""COMPUTED_VALUE"""),1022.37)</f>
        <v>1022.37</v>
      </c>
      <c r="S447" s="176">
        <f>IFERROR(__xludf.DUMMYFUNCTION("""COMPUTED_VALUE"""),143803.5379848)</f>
        <v>143803.538</v>
      </c>
      <c r="T447" s="95">
        <f>IFERROR(__xludf.DUMMYFUNCTION("""COMPUTED_VALUE"""),4.0)</f>
        <v>4</v>
      </c>
      <c r="U447" s="35" t="str">
        <f>IFERROR(__xludf.DUMMYFUNCTION("""COMPUTED_VALUE"""),"")</f>
        <v/>
      </c>
      <c r="V447" s="170" t="str">
        <f>IFERROR(__xludf.DUMMYFUNCTION("""COMPUTED_VALUE"""),"")</f>
        <v/>
      </c>
      <c r="W447" s="171" t="str">
        <f>IFERROR(__xludf.DUMMYFUNCTION("""COMPUTED_VALUE"""),"")</f>
        <v/>
      </c>
      <c r="X447" s="14" t="str">
        <f>IFERROR(__xludf.DUMMYFUNCTION("""COMPUTED_VALUE"""),"")</f>
        <v/>
      </c>
      <c r="Y447" s="14" t="str">
        <f>IFERROR(__xludf.DUMMYFUNCTION("""COMPUTED_VALUE"""),"")</f>
        <v/>
      </c>
      <c r="Z447" s="11" t="str">
        <f>IFERROR(__xludf.DUMMYFUNCTION("""COMPUTED_VALUE"""),"")</f>
        <v/>
      </c>
    </row>
    <row r="448">
      <c r="A448" s="35" t="str">
        <f>IFERROR(__xludf.DUMMYFUNCTION("""COMPUTED_VALUE"""),"")</f>
        <v/>
      </c>
      <c r="B448" s="35" t="str">
        <f>IFERROR(__xludf.DUMMYFUNCTION("""COMPUTED_VALUE"""),"39608")</f>
        <v>39608</v>
      </c>
      <c r="C448" s="172">
        <f>IFERROR(__xludf.DUMMYFUNCTION("""COMPUTED_VALUE"""),4.4629000498E10)</f>
        <v>44629000498</v>
      </c>
      <c r="D448" s="192" t="str">
        <f>IFERROR(__xludf.DUMMYFUNCTION("""COMPUTED_VALUE"""),"ANPDY")</f>
        <v>ANPDY</v>
      </c>
      <c r="E448" s="173">
        <f>IFERROR(__xludf.DUMMYFUNCTION("""COMPUTED_VALUE"""),44629.0)</f>
        <v>44629</v>
      </c>
      <c r="F448" s="35" t="str">
        <f>IFERROR(__xludf.DUMMYFUNCTION("""COMPUTED_VALUE"""),"Stock")</f>
        <v>Stock</v>
      </c>
      <c r="G448" s="35" t="str">
        <f>IFERROR(__xludf.DUMMYFUNCTION("""COMPUTED_VALUE"""),"USD")</f>
        <v>USD</v>
      </c>
      <c r="H448" s="181">
        <f>IFERROR(__xludf.DUMMYFUNCTION("""COMPUTED_VALUE"""),-30.0)</f>
        <v>-30</v>
      </c>
      <c r="I448" s="174">
        <f>IFERROR(__xludf.DUMMYFUNCTION("""COMPUTED_VALUE"""),7.81935)</f>
        <v>7.81935</v>
      </c>
      <c r="J448" s="175">
        <f>IFERROR(__xludf.DUMMYFUNCTION("""COMPUTED_VALUE"""),314.05)</f>
        <v>314.05</v>
      </c>
      <c r="K448" s="35"/>
      <c r="L448" s="175">
        <f>IFERROR(__xludf.DUMMYFUNCTION("""COMPUTED_VALUE"""),288.61)</f>
        <v>288.61</v>
      </c>
      <c r="M448" s="182" t="str">
        <f>IFERROR(__xludf.DUMMYFUNCTION("""COMPUTED_VALUE"""),"Equity Key Stats")</f>
        <v>Equity Key Stats</v>
      </c>
      <c r="N448" s="35"/>
      <c r="O448" s="35"/>
      <c r="P448" s="184">
        <f>IFERROR(__xludf.DUMMYFUNCTION("""COMPUTED_VALUE"""),73670.00602500001)</f>
        <v>73670.00603</v>
      </c>
      <c r="Q448" s="177"/>
      <c r="R448" s="178">
        <f>IFERROR(__xludf.DUMMYFUNCTION("""COMPUTED_VALUE"""),288.61)</f>
        <v>288.61</v>
      </c>
      <c r="S448" s="176">
        <f>IFERROR(__xludf.DUMMYFUNCTION("""COMPUTED_VALUE"""),-67702.278105)</f>
        <v>-67702.27811</v>
      </c>
      <c r="T448" s="95">
        <f>IFERROR(__xludf.DUMMYFUNCTION("""COMPUTED_VALUE"""),2.0)</f>
        <v>2</v>
      </c>
      <c r="U448" s="95">
        <f>IFERROR(__xludf.DUMMYFUNCTION("""COMPUTED_VALUE"""),1.0)</f>
        <v>1</v>
      </c>
      <c r="V448" s="185">
        <f>IFERROR(__xludf.DUMMYFUNCTION("""COMPUTED_VALUE"""),-19514.198096999986)</f>
        <v>-19514.1981</v>
      </c>
      <c r="W448" s="171" t="str">
        <f>IFERROR(__xludf.DUMMYFUNCTION("""COMPUTED_VALUE"""),"")</f>
        <v/>
      </c>
      <c r="X448" s="14" t="str">
        <f>IFERROR(__xludf.DUMMYFUNCTION("""COMPUTED_VALUE"""),"")</f>
        <v/>
      </c>
      <c r="Y448" s="14" t="str">
        <f>IFERROR(__xludf.DUMMYFUNCTION("""COMPUTED_VALUE"""),"")</f>
        <v/>
      </c>
      <c r="Z448" s="11" t="str">
        <f>IFERROR(__xludf.DUMMYFUNCTION("""COMPUTED_VALUE"""),"")</f>
        <v/>
      </c>
    </row>
    <row r="449">
      <c r="A449" s="35" t="str">
        <f>IFERROR(__xludf.DUMMYFUNCTION("""COMPUTED_VALUE"""),"")</f>
        <v/>
      </c>
      <c r="B449" s="35" t="str">
        <f>IFERROR(__xludf.DUMMYFUNCTION("""COMPUTED_VALUE"""),"39608")</f>
        <v>39608</v>
      </c>
      <c r="C449" s="172">
        <f>IFERROR(__xludf.DUMMYFUNCTION("""COMPUTED_VALUE"""),4.4641000771E10)</f>
        <v>44641000771</v>
      </c>
      <c r="D449" s="192" t="str">
        <f>IFERROR(__xludf.DUMMYFUNCTION("""COMPUTED_VALUE"""),"TSLA")</f>
        <v>TSLA</v>
      </c>
      <c r="E449" s="173">
        <f>IFERROR(__xludf.DUMMYFUNCTION("""COMPUTED_VALUE"""),44641.0)</f>
        <v>44641</v>
      </c>
      <c r="F449" s="35" t="str">
        <f>IFERROR(__xludf.DUMMYFUNCTION("""COMPUTED_VALUE"""),"Stock")</f>
        <v>Stock</v>
      </c>
      <c r="G449" s="35" t="str">
        <f>IFERROR(__xludf.DUMMYFUNCTION("""COMPUTED_VALUE"""),"USD")</f>
        <v>USD</v>
      </c>
      <c r="H449" s="181">
        <f>IFERROR(__xludf.DUMMYFUNCTION("""COMPUTED_VALUE"""),-36.0)</f>
        <v>-36</v>
      </c>
      <c r="I449" s="174">
        <f>IFERROR(__xludf.DUMMYFUNCTION("""COMPUTED_VALUE"""),7.82545)</f>
        <v>7.82545</v>
      </c>
      <c r="J449" s="175">
        <f>IFERROR(__xludf.DUMMYFUNCTION("""COMPUTED_VALUE"""),921.16)</f>
        <v>921.16</v>
      </c>
      <c r="K449" s="35"/>
      <c r="L449" s="175">
        <f>IFERROR(__xludf.DUMMYFUNCTION("""COMPUTED_VALUE"""),1022.37)</f>
        <v>1022.37</v>
      </c>
      <c r="M449" s="182" t="str">
        <f>IFERROR(__xludf.DUMMYFUNCTION("""COMPUTED_VALUE"""),"Equity Key Stats")</f>
        <v>Equity Key Stats</v>
      </c>
      <c r="N449" s="35"/>
      <c r="O449" s="35"/>
      <c r="P449" s="176">
        <f>IFERROR(__xludf.DUMMYFUNCTION("""COMPUTED_VALUE"""),259505.694792)</f>
        <v>259505.6948</v>
      </c>
      <c r="Q449" s="177"/>
      <c r="R449" s="178">
        <f>IFERROR(__xludf.DUMMYFUNCTION("""COMPUTED_VALUE"""),1022.37)</f>
        <v>1022.37</v>
      </c>
      <c r="S449" s="176">
        <f>IFERROR(__xludf.DUMMYFUNCTION("""COMPUTED_VALUE"""),-288018.191394)</f>
        <v>-288018.1914</v>
      </c>
      <c r="T449" s="95">
        <f>IFERROR(__xludf.DUMMYFUNCTION("""COMPUTED_VALUE"""),4.0)</f>
        <v>4</v>
      </c>
      <c r="U449" s="35">
        <f>IFERROR(__xludf.DUMMYFUNCTION("""COMPUTED_VALUE"""),1.0)</f>
        <v>1</v>
      </c>
      <c r="V449" s="170">
        <f>IFERROR(__xludf.DUMMYFUNCTION("""COMPUTED_VALUE"""),17878.533222599974)</f>
        <v>17878.53322</v>
      </c>
      <c r="W449" s="171" t="str">
        <f>IFERROR(__xludf.DUMMYFUNCTION("""COMPUTED_VALUE"""),"")</f>
        <v/>
      </c>
      <c r="X449" s="14" t="str">
        <f>IFERROR(__xludf.DUMMYFUNCTION("""COMPUTED_VALUE"""),"")</f>
        <v/>
      </c>
      <c r="Y449" s="14" t="str">
        <f>IFERROR(__xludf.DUMMYFUNCTION("""COMPUTED_VALUE"""),"")</f>
        <v/>
      </c>
      <c r="Z449" s="11" t="str">
        <f>IFERROR(__xludf.DUMMYFUNCTION("""COMPUTED_VALUE"""),"")</f>
        <v/>
      </c>
    </row>
    <row r="450">
      <c r="A450" s="35" t="str">
        <f>IFERROR(__xludf.DUMMYFUNCTION("""COMPUTED_VALUE"""),"")</f>
        <v/>
      </c>
      <c r="B450" s="35" t="str">
        <f>IFERROR(__xludf.DUMMYFUNCTION("""COMPUTED_VALUE"""),"39608")</f>
        <v>39608</v>
      </c>
      <c r="C450" s="172">
        <f>IFERROR(__xludf.DUMMYFUNCTION("""COMPUTED_VALUE"""),4.4645000937E10)</f>
        <v>44645000937</v>
      </c>
      <c r="D450" s="192" t="str">
        <f>IFERROR(__xludf.DUMMYFUNCTION("""COMPUTED_VALUE"""),"GOLD")</f>
        <v>GOLD</v>
      </c>
      <c r="E450" s="173">
        <f>IFERROR(__xludf.DUMMYFUNCTION("""COMPUTED_VALUE"""),44645.0)</f>
        <v>44645</v>
      </c>
      <c r="F450" s="35" t="str">
        <f>IFERROR(__xludf.DUMMYFUNCTION("""COMPUTED_VALUE"""),"Stock")</f>
        <v>Stock</v>
      </c>
      <c r="G450" s="35" t="str">
        <f>IFERROR(__xludf.DUMMYFUNCTION("""COMPUTED_VALUE"""),"USD")</f>
        <v>USD</v>
      </c>
      <c r="H450" s="181">
        <f>IFERROR(__xludf.DUMMYFUNCTION("""COMPUTED_VALUE"""),-500.0)</f>
        <v>-500</v>
      </c>
      <c r="I450" s="174">
        <f>IFERROR(__xludf.DUMMYFUNCTION("""COMPUTED_VALUE"""),7.82975)</f>
        <v>7.82975</v>
      </c>
      <c r="J450" s="175">
        <f>IFERROR(__xludf.DUMMYFUNCTION("""COMPUTED_VALUE"""),24.54)</f>
        <v>24.54</v>
      </c>
      <c r="K450" s="35"/>
      <c r="L450" s="175">
        <f>IFERROR(__xludf.DUMMYFUNCTION("""COMPUTED_VALUE"""),25.62)</f>
        <v>25.62</v>
      </c>
      <c r="M450" s="182" t="str">
        <f>IFERROR(__xludf.DUMMYFUNCTION("""COMPUTED_VALUE"""),"Equity Key Stats")</f>
        <v>Equity Key Stats</v>
      </c>
      <c r="N450" s="35"/>
      <c r="O450" s="35"/>
      <c r="P450" s="176">
        <f>IFERROR(__xludf.DUMMYFUNCTION("""COMPUTED_VALUE"""),96071.0325)</f>
        <v>96071.0325</v>
      </c>
      <c r="Q450" s="177"/>
      <c r="R450" s="178">
        <f>IFERROR(__xludf.DUMMYFUNCTION("""COMPUTED_VALUE"""),25.62)</f>
        <v>25.62</v>
      </c>
      <c r="S450" s="176">
        <f>IFERROR(__xludf.DUMMYFUNCTION("""COMPUTED_VALUE"""),-100299.0975)</f>
        <v>-100299.0975</v>
      </c>
      <c r="T450" s="95">
        <f>IFERROR(__xludf.DUMMYFUNCTION("""COMPUTED_VALUE"""),3.0)</f>
        <v>3</v>
      </c>
      <c r="U450" s="35">
        <f>IFERROR(__xludf.DUMMYFUNCTION("""COMPUTED_VALUE"""),1.0)</f>
        <v>1</v>
      </c>
      <c r="V450" s="170">
        <f>IFERROR(__xludf.DUMMYFUNCTION("""COMPUTED_VALUE"""),10909.716470000014)</f>
        <v>10909.71647</v>
      </c>
      <c r="W450" s="171" t="str">
        <f>IFERROR(__xludf.DUMMYFUNCTION("""COMPUTED_VALUE"""),"")</f>
        <v/>
      </c>
      <c r="X450" s="14" t="str">
        <f>IFERROR(__xludf.DUMMYFUNCTION("""COMPUTED_VALUE"""),"")</f>
        <v/>
      </c>
      <c r="Y450" s="14" t="str">
        <f>IFERROR(__xludf.DUMMYFUNCTION("""COMPUTED_VALUE"""),"")</f>
        <v/>
      </c>
      <c r="Z450" s="11" t="str">
        <f>IFERROR(__xludf.DUMMYFUNCTION("""COMPUTED_VALUE"""),"")</f>
        <v/>
      </c>
    </row>
    <row r="451">
      <c r="A451" s="35" t="str">
        <f>IFERROR(__xludf.DUMMYFUNCTION("""COMPUTED_VALUE"""),"")</f>
        <v/>
      </c>
      <c r="B451" s="35" t="str">
        <f>IFERROR(__xludf.DUMMYFUNCTION("""COMPUTED_VALUE"""),"39608")</f>
        <v>39608</v>
      </c>
      <c r="C451" s="172">
        <f>IFERROR(__xludf.DUMMYFUNCTION("""COMPUTED_VALUE"""),4.4651001052E10)</f>
        <v>44651001052</v>
      </c>
      <c r="D451" s="192" t="str">
        <f>IFERROR(__xludf.DUMMYFUNCTION("""COMPUTED_VALUE"""),"BG")</f>
        <v>BG</v>
      </c>
      <c r="E451" s="173">
        <f>IFERROR(__xludf.DUMMYFUNCTION("""COMPUTED_VALUE"""),44651.0)</f>
        <v>44651</v>
      </c>
      <c r="F451" s="35" t="str">
        <f>IFERROR(__xludf.DUMMYFUNCTION("""COMPUTED_VALUE"""),"Stock")</f>
        <v>Stock</v>
      </c>
      <c r="G451" s="35" t="str">
        <f>IFERROR(__xludf.DUMMYFUNCTION("""COMPUTED_VALUE"""),"USD")</f>
        <v>USD</v>
      </c>
      <c r="H451" s="181">
        <f>IFERROR(__xludf.DUMMYFUNCTION("""COMPUTED_VALUE"""),500.0)</f>
        <v>500</v>
      </c>
      <c r="I451" s="174">
        <f>IFERROR(__xludf.DUMMYFUNCTION("""COMPUTED_VALUE"""),7.83335)</f>
        <v>7.83335</v>
      </c>
      <c r="J451" s="175">
        <f>IFERROR(__xludf.DUMMYFUNCTION("""COMPUTED_VALUE"""),110.81)</f>
        <v>110.81</v>
      </c>
      <c r="K451" s="35"/>
      <c r="L451" s="175">
        <f>IFERROR(__xludf.DUMMYFUNCTION("""COMPUTED_VALUE"""),120.97)</f>
        <v>120.97</v>
      </c>
      <c r="M451" s="182" t="str">
        <f>IFERROR(__xludf.DUMMYFUNCTION("""COMPUTED_VALUE"""),"Equity Key Stats")</f>
        <v>Equity Key Stats</v>
      </c>
      <c r="N451" s="35"/>
      <c r="O451" s="35"/>
      <c r="P451" s="184">
        <f>IFERROR(__xludf.DUMMYFUNCTION("""COMPUTED_VALUE"""),-434006.75675)</f>
        <v>-434006.7568</v>
      </c>
      <c r="Q451" s="177"/>
      <c r="R451" s="178">
        <f>IFERROR(__xludf.DUMMYFUNCTION("""COMPUTED_VALUE"""),120.97)</f>
        <v>120.97</v>
      </c>
      <c r="S451" s="176">
        <f>IFERROR(__xludf.DUMMYFUNCTION("""COMPUTED_VALUE"""),473800.17475)</f>
        <v>473800.1748</v>
      </c>
      <c r="T451" s="95">
        <f>IFERROR(__xludf.DUMMYFUNCTION("""COMPUTED_VALUE"""),4.0)</f>
        <v>4</v>
      </c>
      <c r="U451" s="35" t="str">
        <f>IFERROR(__xludf.DUMMYFUNCTION("""COMPUTED_VALUE"""),"")</f>
        <v/>
      </c>
      <c r="V451" s="170" t="str">
        <f>IFERROR(__xludf.DUMMYFUNCTION("""COMPUTED_VALUE"""),"")</f>
        <v/>
      </c>
      <c r="W451" s="171" t="str">
        <f>IFERROR(__xludf.DUMMYFUNCTION("""COMPUTED_VALUE"""),"")</f>
        <v/>
      </c>
      <c r="X451" s="14" t="str">
        <f>IFERROR(__xludf.DUMMYFUNCTION("""COMPUTED_VALUE"""),"")</f>
        <v/>
      </c>
      <c r="Y451" s="14" t="str">
        <f>IFERROR(__xludf.DUMMYFUNCTION("""COMPUTED_VALUE"""),"")</f>
        <v/>
      </c>
      <c r="Z451" s="11" t="str">
        <f>IFERROR(__xludf.DUMMYFUNCTION("""COMPUTED_VALUE"""),"")</f>
        <v/>
      </c>
    </row>
    <row r="452">
      <c r="A452" s="35" t="str">
        <f>IFERROR(__xludf.DUMMYFUNCTION("""COMPUTED_VALUE"""),"")</f>
        <v/>
      </c>
      <c r="B452" s="35" t="str">
        <f>IFERROR(__xludf.DUMMYFUNCTION("""COMPUTED_VALUE"""),"39608")</f>
        <v>39608</v>
      </c>
      <c r="C452" s="172">
        <f>IFERROR(__xludf.DUMMYFUNCTION("""COMPUTED_VALUE"""),4.4655001128E10)</f>
        <v>44655001128</v>
      </c>
      <c r="D452" s="192" t="str">
        <f>IFERROR(__xludf.DUMMYFUNCTION("""COMPUTED_VALUE"""),"BG")</f>
        <v>BG</v>
      </c>
      <c r="E452" s="173">
        <f>IFERROR(__xludf.DUMMYFUNCTION("""COMPUTED_VALUE"""),44655.0)</f>
        <v>44655</v>
      </c>
      <c r="F452" s="35" t="str">
        <f>IFERROR(__xludf.DUMMYFUNCTION("""COMPUTED_VALUE"""),"Stock")</f>
        <v>Stock</v>
      </c>
      <c r="G452" s="35" t="str">
        <f>IFERROR(__xludf.DUMMYFUNCTION("""COMPUTED_VALUE"""),"USD")</f>
        <v>USD</v>
      </c>
      <c r="H452" s="181">
        <f>IFERROR(__xludf.DUMMYFUNCTION("""COMPUTED_VALUE"""),0.0)</f>
        <v>0</v>
      </c>
      <c r="I452" s="174">
        <f>IFERROR(__xludf.DUMMYFUNCTION("""COMPUTED_VALUE"""),7.834585)</f>
        <v>7.834585</v>
      </c>
      <c r="J452" s="175">
        <f>IFERROR(__xludf.DUMMYFUNCTION("""COMPUTED_VALUE"""),0.0)</f>
        <v>0</v>
      </c>
      <c r="K452" s="35"/>
      <c r="L452" s="175">
        <f>IFERROR(__xludf.DUMMYFUNCTION("""COMPUTED_VALUE"""),120.97)</f>
        <v>120.97</v>
      </c>
      <c r="M452" s="182" t="str">
        <f>IFERROR(__xludf.DUMMYFUNCTION("""COMPUTED_VALUE"""),"Equity Key Stats")</f>
        <v>Equity Key Stats</v>
      </c>
      <c r="N452" s="35"/>
      <c r="O452" s="35"/>
      <c r="P452" s="184">
        <f>IFERROR(__xludf.DUMMYFUNCTION("""COMPUTED_VALUE"""),0.0)</f>
        <v>0</v>
      </c>
      <c r="Q452" s="177"/>
      <c r="R452" s="178">
        <f>IFERROR(__xludf.DUMMYFUNCTION("""COMPUTED_VALUE"""),120.97)</f>
        <v>120.97</v>
      </c>
      <c r="S452" s="176">
        <f>IFERROR(__xludf.DUMMYFUNCTION("""COMPUTED_VALUE"""),0.0)</f>
        <v>0</v>
      </c>
      <c r="T452" s="95">
        <f>IFERROR(__xludf.DUMMYFUNCTION("""COMPUTED_VALUE"""),4.0)</f>
        <v>4</v>
      </c>
      <c r="U452" s="35" t="str">
        <f>IFERROR(__xludf.DUMMYFUNCTION("""COMPUTED_VALUE"""),"")</f>
        <v/>
      </c>
      <c r="V452" s="170" t="str">
        <f>IFERROR(__xludf.DUMMYFUNCTION("""COMPUTED_VALUE"""),"")</f>
        <v/>
      </c>
      <c r="W452" s="171" t="str">
        <f>IFERROR(__xludf.DUMMYFUNCTION("""COMPUTED_VALUE"""),"")</f>
        <v/>
      </c>
      <c r="X452" s="14" t="str">
        <f>IFERROR(__xludf.DUMMYFUNCTION("""COMPUTED_VALUE"""),"")</f>
        <v/>
      </c>
      <c r="Y452" s="14" t="str">
        <f>IFERROR(__xludf.DUMMYFUNCTION("""COMPUTED_VALUE"""),"")</f>
        <v/>
      </c>
      <c r="Z452" s="11" t="str">
        <f>IFERROR(__xludf.DUMMYFUNCTION("""COMPUTED_VALUE"""),"")</f>
        <v/>
      </c>
    </row>
    <row r="453">
      <c r="A453" s="35" t="str">
        <f>IFERROR(__xludf.DUMMYFUNCTION("""COMPUTED_VALUE"""),"")</f>
        <v/>
      </c>
      <c r="B453" s="35" t="str">
        <f>IFERROR(__xludf.DUMMYFUNCTION("""COMPUTED_VALUE"""),"39608")</f>
        <v>39608</v>
      </c>
      <c r="C453" s="172">
        <f>IFERROR(__xludf.DUMMYFUNCTION("""COMPUTED_VALUE"""),4.4657001183E10)</f>
        <v>44657001183</v>
      </c>
      <c r="D453" s="192" t="str">
        <f>IFERROR(__xludf.DUMMYFUNCTION("""COMPUTED_VALUE"""),"BG")</f>
        <v>BG</v>
      </c>
      <c r="E453" s="173">
        <f>IFERROR(__xludf.DUMMYFUNCTION("""COMPUTED_VALUE"""),44657.0)</f>
        <v>44657</v>
      </c>
      <c r="F453" s="35" t="str">
        <f>IFERROR(__xludf.DUMMYFUNCTION("""COMPUTED_VALUE"""),"Stock")</f>
        <v>Stock</v>
      </c>
      <c r="G453" s="35" t="str">
        <f>IFERROR(__xludf.DUMMYFUNCTION("""COMPUTED_VALUE"""),"USD")</f>
        <v>USD</v>
      </c>
      <c r="H453" s="181">
        <f>IFERROR(__xludf.DUMMYFUNCTION("""COMPUTED_VALUE"""),0.0)</f>
        <v>0</v>
      </c>
      <c r="I453" s="174">
        <f>IFERROR(__xludf.DUMMYFUNCTION("""COMPUTED_VALUE"""),7.837775)</f>
        <v>7.837775</v>
      </c>
      <c r="J453" s="175">
        <f>IFERROR(__xludf.DUMMYFUNCTION("""COMPUTED_VALUE"""),0.0)</f>
        <v>0</v>
      </c>
      <c r="K453" s="35"/>
      <c r="L453" s="175">
        <f>IFERROR(__xludf.DUMMYFUNCTION("""COMPUTED_VALUE"""),120.97)</f>
        <v>120.97</v>
      </c>
      <c r="M453" s="182" t="str">
        <f>IFERROR(__xludf.DUMMYFUNCTION("""COMPUTED_VALUE"""),"Equity Key Stats")</f>
        <v>Equity Key Stats</v>
      </c>
      <c r="N453" s="35"/>
      <c r="O453" s="35"/>
      <c r="P453" s="184">
        <f>IFERROR(__xludf.DUMMYFUNCTION("""COMPUTED_VALUE"""),0.0)</f>
        <v>0</v>
      </c>
      <c r="Q453" s="177"/>
      <c r="R453" s="178">
        <f>IFERROR(__xludf.DUMMYFUNCTION("""COMPUTED_VALUE"""),120.97)</f>
        <v>120.97</v>
      </c>
      <c r="S453" s="176">
        <f>IFERROR(__xludf.DUMMYFUNCTION("""COMPUTED_VALUE"""),0.0)</f>
        <v>0</v>
      </c>
      <c r="T453" s="95">
        <f>IFERROR(__xludf.DUMMYFUNCTION("""COMPUTED_VALUE"""),4.0)</f>
        <v>4</v>
      </c>
      <c r="U453" s="95" t="str">
        <f>IFERROR(__xludf.DUMMYFUNCTION("""COMPUTED_VALUE"""),"")</f>
        <v/>
      </c>
      <c r="V453" s="185" t="str">
        <f>IFERROR(__xludf.DUMMYFUNCTION("""COMPUTED_VALUE"""),"")</f>
        <v/>
      </c>
      <c r="W453" s="171" t="str">
        <f>IFERROR(__xludf.DUMMYFUNCTION("""COMPUTED_VALUE"""),"")</f>
        <v/>
      </c>
      <c r="X453" s="14" t="str">
        <f>IFERROR(__xludf.DUMMYFUNCTION("""COMPUTED_VALUE"""),"")</f>
        <v/>
      </c>
      <c r="Y453" s="14" t="str">
        <f>IFERROR(__xludf.DUMMYFUNCTION("""COMPUTED_VALUE"""),"")</f>
        <v/>
      </c>
      <c r="Z453" s="11" t="str">
        <f>IFERROR(__xludf.DUMMYFUNCTION("""COMPUTED_VALUE"""),"")</f>
        <v/>
      </c>
    </row>
    <row r="454">
      <c r="A454" s="35" t="str">
        <f>IFERROR(__xludf.DUMMYFUNCTION("""COMPUTED_VALUE"""),"39608")</f>
        <v>39608</v>
      </c>
      <c r="B454" s="35" t="str">
        <f>IFERROR(__xludf.DUMMYFUNCTION("""COMPUTED_VALUE"""),"39608")</f>
        <v>39608</v>
      </c>
      <c r="C454" s="172">
        <f>IFERROR(__xludf.DUMMYFUNCTION("""COMPUTED_VALUE"""),4.4659001288E10)</f>
        <v>44659001288</v>
      </c>
      <c r="D454" s="191" t="str">
        <f>IFERROR(__xludf.DUMMYFUNCTION("""COMPUTED_VALUE"""),"BG")</f>
        <v>BG</v>
      </c>
      <c r="E454" s="173">
        <f>IFERROR(__xludf.DUMMYFUNCTION("""COMPUTED_VALUE"""),44659.0)</f>
        <v>44659</v>
      </c>
      <c r="F454" s="35" t="str">
        <f>IFERROR(__xludf.DUMMYFUNCTION("""COMPUTED_VALUE"""),"Stock")</f>
        <v>Stock</v>
      </c>
      <c r="G454" s="35" t="str">
        <f>IFERROR(__xludf.DUMMYFUNCTION("""COMPUTED_VALUE"""),"USD")</f>
        <v>USD</v>
      </c>
      <c r="H454" s="181">
        <f>IFERROR(__xludf.DUMMYFUNCTION("""COMPUTED_VALUE"""),-300.0)</f>
        <v>-300</v>
      </c>
      <c r="I454" s="174">
        <f>IFERROR(__xludf.DUMMYFUNCTION("""COMPUTED_VALUE"""),7.839265)</f>
        <v>7.839265</v>
      </c>
      <c r="J454" s="175">
        <f>IFERROR(__xludf.DUMMYFUNCTION("""COMPUTED_VALUE"""),118.25)</f>
        <v>118.25</v>
      </c>
      <c r="K454" s="35"/>
      <c r="L454" s="175">
        <f>IFERROR(__xludf.DUMMYFUNCTION("""COMPUTED_VALUE"""),120.97)</f>
        <v>120.97</v>
      </c>
      <c r="M454" s="182" t="str">
        <f>IFERROR(__xludf.DUMMYFUNCTION("""COMPUTED_VALUE"""),"Equity Key Stats")</f>
        <v>Equity Key Stats</v>
      </c>
      <c r="N454" s="35"/>
      <c r="O454" s="35"/>
      <c r="P454" s="184">
        <f>IFERROR(__xludf.DUMMYFUNCTION("""COMPUTED_VALUE"""),278097.925875)</f>
        <v>278097.9259</v>
      </c>
      <c r="Q454" s="177"/>
      <c r="R454" s="178">
        <f>IFERROR(__xludf.DUMMYFUNCTION("""COMPUTED_VALUE"""),120.97)</f>
        <v>120.97</v>
      </c>
      <c r="S454" s="176">
        <f>IFERROR(__xludf.DUMMYFUNCTION("""COMPUTED_VALUE"""),-284494.766115)</f>
        <v>-284494.7661</v>
      </c>
      <c r="T454" s="95">
        <f>IFERROR(__xludf.DUMMYFUNCTION("""COMPUTED_VALUE"""),4.0)</f>
        <v>4</v>
      </c>
      <c r="U454" s="95">
        <f>IFERROR(__xludf.DUMMYFUNCTION("""COMPUTED_VALUE"""),1.0)</f>
        <v>1</v>
      </c>
      <c r="V454" s="185">
        <f>IFERROR(__xludf.DUMMYFUNCTION("""COMPUTED_VALUE"""),33396.577760000015)</f>
        <v>33396.57776</v>
      </c>
      <c r="W454" s="171">
        <f>IFERROR(__xludf.DUMMYFUNCTION("""COMPUTED_VALUE"""),542670.6293556)</f>
        <v>542670.6294</v>
      </c>
      <c r="X454" s="14">
        <f>IFERROR(__xludf.DUMMYFUNCTION("""COMPUTED_VALUE"""),354580.8733919)</f>
        <v>354580.8734</v>
      </c>
      <c r="Y454" s="14">
        <f>IFERROR(__xludf.DUMMYFUNCTION("""COMPUTED_VALUE"""),0.0)</f>
        <v>0</v>
      </c>
      <c r="Z454" s="11">
        <f>IFERROR(__xludf.DUMMYFUNCTION("""COMPUTED_VALUE"""),0.08534125871119991)</f>
        <v>0.08534125871</v>
      </c>
    </row>
    <row r="455">
      <c r="A455" s="35" t="str">
        <f>IFERROR(__xludf.DUMMYFUNCTION("""COMPUTED_VALUE"""),"")</f>
        <v/>
      </c>
      <c r="B455" s="35" t="str">
        <f>IFERROR(__xludf.DUMMYFUNCTION("""COMPUTED_VALUE"""),"39670")</f>
        <v>39670</v>
      </c>
      <c r="C455" s="172">
        <f>IFERROR(__xludf.DUMMYFUNCTION("""COMPUTED_VALUE"""),4.4597000104E10)</f>
        <v>44597000104</v>
      </c>
      <c r="D455" s="191" t="str">
        <f>IFERROR(__xludf.DUMMYFUNCTION("""COMPUTED_VALUE"""),"Cash")</f>
        <v>Cash</v>
      </c>
      <c r="E455" s="173">
        <f>IFERROR(__xludf.DUMMYFUNCTION("""COMPUTED_VALUE"""),44597.0)</f>
        <v>44597</v>
      </c>
      <c r="F455" s="35" t="str">
        <f>IFERROR(__xludf.DUMMYFUNCTION("""COMPUTED_VALUE"""),"Cash")</f>
        <v>Cash</v>
      </c>
      <c r="G455" s="35" t="str">
        <f>IFERROR(__xludf.DUMMYFUNCTION("""COMPUTED_VALUE"""),"HKD")</f>
        <v>HKD</v>
      </c>
      <c r="H455" s="181" t="str">
        <f>IFERROR(__xludf.DUMMYFUNCTION("""COMPUTED_VALUE"""),"")</f>
        <v/>
      </c>
      <c r="I455" s="174">
        <f>IFERROR(__xludf.DUMMYFUNCTION("""COMPUTED_VALUE"""),1.0)</f>
        <v>1</v>
      </c>
      <c r="J455" s="175">
        <f>IFERROR(__xludf.DUMMYFUNCTION("""COMPUTED_VALUE"""),1.0)</f>
        <v>1</v>
      </c>
      <c r="K455" s="35"/>
      <c r="L455" s="175">
        <f>IFERROR(__xludf.DUMMYFUNCTION("""COMPUTED_VALUE"""),1.0)</f>
        <v>1</v>
      </c>
      <c r="M455" s="182" t="str">
        <f>IFERROR(__xludf.DUMMYFUNCTION("""COMPUTED_VALUE"""),"")</f>
        <v/>
      </c>
      <c r="N455" s="35"/>
      <c r="O455" s="35"/>
      <c r="P455" s="184">
        <f>IFERROR(__xludf.DUMMYFUNCTION("""COMPUTED_VALUE"""),500000.0)</f>
        <v>500000</v>
      </c>
      <c r="Q455" s="177"/>
      <c r="R455" s="178">
        <f>IFERROR(__xludf.DUMMYFUNCTION("""COMPUTED_VALUE"""),1.0)</f>
        <v>1</v>
      </c>
      <c r="S455" s="176" t="str">
        <f>IFERROR(__xludf.DUMMYFUNCTION("""COMPUTED_VALUE"""),"")</f>
        <v/>
      </c>
      <c r="T455" s="95">
        <f>IFERROR(__xludf.DUMMYFUNCTION("""COMPUTED_VALUE"""),1.0)</f>
        <v>1</v>
      </c>
      <c r="U455" s="95">
        <f>IFERROR(__xludf.DUMMYFUNCTION("""COMPUTED_VALUE"""),1.0)</f>
        <v>1</v>
      </c>
      <c r="V455" s="179">
        <f>IFERROR(__xludf.DUMMYFUNCTION("""COMPUTED_VALUE"""),500000.0)</f>
        <v>500000</v>
      </c>
      <c r="W455" s="171" t="str">
        <f>IFERROR(__xludf.DUMMYFUNCTION("""COMPUTED_VALUE"""),"")</f>
        <v/>
      </c>
      <c r="X455" s="14" t="str">
        <f>IFERROR(__xludf.DUMMYFUNCTION("""COMPUTED_VALUE"""),"")</f>
        <v/>
      </c>
      <c r="Y455" s="14" t="str">
        <f>IFERROR(__xludf.DUMMYFUNCTION("""COMPUTED_VALUE"""),"")</f>
        <v/>
      </c>
      <c r="Z455" s="11" t="str">
        <f>IFERROR(__xludf.DUMMYFUNCTION("""COMPUTED_VALUE"""),"")</f>
        <v/>
      </c>
    </row>
    <row r="456">
      <c r="A456" s="35" t="str">
        <f>IFERROR(__xludf.DUMMYFUNCTION("""COMPUTED_VALUE"""),"")</f>
        <v/>
      </c>
      <c r="B456" s="35" t="str">
        <f>IFERROR(__xludf.DUMMYFUNCTION("""COMPUTED_VALUE"""),"39670")</f>
        <v>39670</v>
      </c>
      <c r="C456" s="172">
        <f>IFERROR(__xludf.DUMMYFUNCTION("""COMPUTED_VALUE"""),4.4659001278E10)</f>
        <v>44659001278</v>
      </c>
      <c r="D456" s="191" t="str">
        <f>IFERROR(__xludf.DUMMYFUNCTION("""COMPUTED_VALUE"""),"TSLA")</f>
        <v>TSLA</v>
      </c>
      <c r="E456" s="173">
        <f>IFERROR(__xludf.DUMMYFUNCTION("""COMPUTED_VALUE"""),44659.0)</f>
        <v>44659</v>
      </c>
      <c r="F456" s="35" t="str">
        <f>IFERROR(__xludf.DUMMYFUNCTION("""COMPUTED_VALUE"""),"Stock")</f>
        <v>Stock</v>
      </c>
      <c r="G456" s="35" t="str">
        <f>IFERROR(__xludf.DUMMYFUNCTION("""COMPUTED_VALUE"""),"USD")</f>
        <v>USD</v>
      </c>
      <c r="H456" s="181">
        <f>IFERROR(__xludf.DUMMYFUNCTION("""COMPUTED_VALUE"""),50.0)</f>
        <v>50</v>
      </c>
      <c r="I456" s="174">
        <f>IFERROR(__xludf.DUMMYFUNCTION("""COMPUTED_VALUE"""),7.839265)</f>
        <v>7.839265</v>
      </c>
      <c r="J456" s="175">
        <f>IFERROR(__xludf.DUMMYFUNCTION("""COMPUTED_VALUE"""),1025.49)</f>
        <v>1025.49</v>
      </c>
      <c r="K456" s="35"/>
      <c r="L456" s="175">
        <f>IFERROR(__xludf.DUMMYFUNCTION("""COMPUTED_VALUE"""),1022.37)</f>
        <v>1022.37</v>
      </c>
      <c r="M456" s="182" t="str">
        <f>IFERROR(__xludf.DUMMYFUNCTION("""COMPUTED_VALUE"""),"Equity Key Stats")</f>
        <v>Equity Key Stats</v>
      </c>
      <c r="N456" s="35"/>
      <c r="O456" s="35"/>
      <c r="P456" s="184">
        <f>IFERROR(__xludf.DUMMYFUNCTION("""COMPUTED_VALUE"""),-401954.3932425)</f>
        <v>-401954.3932</v>
      </c>
      <c r="Q456" s="177"/>
      <c r="R456" s="178">
        <f>IFERROR(__xludf.DUMMYFUNCTION("""COMPUTED_VALUE"""),1022.37)</f>
        <v>1022.37</v>
      </c>
      <c r="S456" s="176">
        <f>IFERROR(__xludf.DUMMYFUNCTION("""COMPUTED_VALUE"""),400731.4679025)</f>
        <v>400731.4679</v>
      </c>
      <c r="T456" s="95">
        <f>IFERROR(__xludf.DUMMYFUNCTION("""COMPUTED_VALUE"""),1.0)</f>
        <v>1</v>
      </c>
      <c r="U456" s="95">
        <f>IFERROR(__xludf.DUMMYFUNCTION("""COMPUTED_VALUE"""),1.0)</f>
        <v>1</v>
      </c>
      <c r="V456" s="179">
        <f>IFERROR(__xludf.DUMMYFUNCTION("""COMPUTED_VALUE"""),-1222.9253400000161)</f>
        <v>-1222.92534</v>
      </c>
      <c r="W456" s="55" t="str">
        <f>IFERROR(__xludf.DUMMYFUNCTION("""COMPUTED_VALUE"""),"")</f>
        <v/>
      </c>
      <c r="X456" s="181" t="str">
        <f>IFERROR(__xludf.DUMMYFUNCTION("""COMPUTED_VALUE"""),"")</f>
        <v/>
      </c>
      <c r="Y456" s="181" t="str">
        <f>IFERROR(__xludf.DUMMYFUNCTION("""COMPUTED_VALUE"""),"")</f>
        <v/>
      </c>
      <c r="Z456" s="186" t="str">
        <f>IFERROR(__xludf.DUMMYFUNCTION("""COMPUTED_VALUE"""),"")</f>
        <v/>
      </c>
    </row>
    <row r="457">
      <c r="A457" s="35" t="str">
        <f>IFERROR(__xludf.DUMMYFUNCTION("""COMPUTED_VALUE"""),"")</f>
        <v/>
      </c>
      <c r="B457" s="35" t="str">
        <f>IFERROR(__xludf.DUMMYFUNCTION("""COMPUTED_VALUE"""),"39670")</f>
        <v>39670</v>
      </c>
      <c r="C457" s="172">
        <f>IFERROR(__xludf.DUMMYFUNCTION("""COMPUTED_VALUE"""),4.4659001279E10)</f>
        <v>44659001279</v>
      </c>
      <c r="D457" s="135" t="str">
        <f>IFERROR(__xludf.DUMMYFUNCTION("""COMPUTED_VALUE"""),"AAPL")</f>
        <v>AAPL</v>
      </c>
      <c r="E457" s="173">
        <f>IFERROR(__xludf.DUMMYFUNCTION("""COMPUTED_VALUE"""),44659.0)</f>
        <v>44659</v>
      </c>
      <c r="F457" s="35" t="str">
        <f>IFERROR(__xludf.DUMMYFUNCTION("""COMPUTED_VALUE"""),"Stock")</f>
        <v>Stock</v>
      </c>
      <c r="G457" s="35" t="str">
        <f>IFERROR(__xludf.DUMMYFUNCTION("""COMPUTED_VALUE"""),"USD")</f>
        <v>USD</v>
      </c>
      <c r="H457" s="14">
        <f>IFERROR(__xludf.DUMMYFUNCTION("""COMPUTED_VALUE"""),0.0)</f>
        <v>0</v>
      </c>
      <c r="I457" s="174">
        <f>IFERROR(__xludf.DUMMYFUNCTION("""COMPUTED_VALUE"""),7.839265)</f>
        <v>7.839265</v>
      </c>
      <c r="J457" s="175">
        <f>IFERROR(__xludf.DUMMYFUNCTION("""COMPUTED_VALUE"""),0.0)</f>
        <v>0</v>
      </c>
      <c r="K457" s="35"/>
      <c r="L457" s="175">
        <f>IFERROR(__xludf.DUMMYFUNCTION("""COMPUTED_VALUE"""),170.4)</f>
        <v>170.4</v>
      </c>
      <c r="M457" s="187" t="str">
        <f>IFERROR(__xludf.DUMMYFUNCTION("""COMPUTED_VALUE"""),"Equity Key Stats")</f>
        <v>Equity Key Stats</v>
      </c>
      <c r="N457" s="35"/>
      <c r="O457" s="35"/>
      <c r="P457" s="176">
        <f>IFERROR(__xludf.DUMMYFUNCTION("""COMPUTED_VALUE"""),0.0)</f>
        <v>0</v>
      </c>
      <c r="Q457" s="177"/>
      <c r="R457" s="178">
        <f>IFERROR(__xludf.DUMMYFUNCTION("""COMPUTED_VALUE"""),170.4)</f>
        <v>170.4</v>
      </c>
      <c r="S457" s="151">
        <f>IFERROR(__xludf.DUMMYFUNCTION("""COMPUTED_VALUE"""),0.0)</f>
        <v>0</v>
      </c>
      <c r="T457" s="95">
        <f>IFERROR(__xludf.DUMMYFUNCTION("""COMPUTED_VALUE"""),2.0)</f>
        <v>2</v>
      </c>
      <c r="U457" s="95" t="str">
        <f>IFERROR(__xludf.DUMMYFUNCTION("""COMPUTED_VALUE"""),"")</f>
        <v/>
      </c>
      <c r="V457" s="179" t="str">
        <f>IFERROR(__xludf.DUMMYFUNCTION("""COMPUTED_VALUE"""),"")</f>
        <v/>
      </c>
      <c r="W457" s="55" t="str">
        <f>IFERROR(__xludf.DUMMYFUNCTION("""COMPUTED_VALUE"""),"")</f>
        <v/>
      </c>
      <c r="X457" s="181" t="str">
        <f>IFERROR(__xludf.DUMMYFUNCTION("""COMPUTED_VALUE"""),"")</f>
        <v/>
      </c>
      <c r="Y457" s="181" t="str">
        <f>IFERROR(__xludf.DUMMYFUNCTION("""COMPUTED_VALUE"""),"")</f>
        <v/>
      </c>
      <c r="Z457" s="186" t="str">
        <f>IFERROR(__xludf.DUMMYFUNCTION("""COMPUTED_VALUE"""),"")</f>
        <v/>
      </c>
    </row>
    <row r="458">
      <c r="A458" s="35" t="str">
        <f>IFERROR(__xludf.DUMMYFUNCTION("""COMPUTED_VALUE"""),"")</f>
        <v/>
      </c>
      <c r="B458" s="35" t="str">
        <f>IFERROR(__xludf.DUMMYFUNCTION("""COMPUTED_VALUE"""),"39670")</f>
        <v>39670</v>
      </c>
      <c r="C458" s="172">
        <f>IFERROR(__xludf.DUMMYFUNCTION("""COMPUTED_VALUE"""),4.4664001448E10)</f>
        <v>44664001448</v>
      </c>
      <c r="D458" s="190" t="str">
        <f>IFERROR(__xludf.DUMMYFUNCTION("""COMPUTED_VALUE"""),"9988.HK")</f>
        <v>9988.HK</v>
      </c>
      <c r="E458" s="173">
        <f>IFERROR(__xludf.DUMMYFUNCTION("""COMPUTED_VALUE"""),44664.0)</f>
        <v>44664</v>
      </c>
      <c r="F458" s="35" t="str">
        <f>IFERROR(__xludf.DUMMYFUNCTION("""COMPUTED_VALUE"""),"Stock")</f>
        <v>Stock</v>
      </c>
      <c r="G458" s="35" t="str">
        <f>IFERROR(__xludf.DUMMYFUNCTION("""COMPUTED_VALUE"""),"HKD")</f>
        <v>HKD</v>
      </c>
      <c r="H458" s="14">
        <f>IFERROR(__xludf.DUMMYFUNCTION("""COMPUTED_VALUE"""),0.0)</f>
        <v>0</v>
      </c>
      <c r="I458" s="174">
        <f>IFERROR(__xludf.DUMMYFUNCTION("""COMPUTED_VALUE"""),1.0)</f>
        <v>1</v>
      </c>
      <c r="J458" s="175">
        <f>IFERROR(__xludf.DUMMYFUNCTION("""COMPUTED_VALUE"""),0.0)</f>
        <v>0</v>
      </c>
      <c r="K458" s="35"/>
      <c r="L458" s="175">
        <f>IFERROR(__xludf.DUMMYFUNCTION("""COMPUTED_VALUE"""),98.5)</f>
        <v>98.5</v>
      </c>
      <c r="M458" s="187" t="str">
        <f>IFERROR(__xludf.DUMMYFUNCTION("""COMPUTED_VALUE"""),"Equity Key Stats")</f>
        <v>Equity Key Stats</v>
      </c>
      <c r="N458" s="35"/>
      <c r="O458" s="35"/>
      <c r="P458" s="176">
        <f>IFERROR(__xludf.DUMMYFUNCTION("""COMPUTED_VALUE"""),0.0)</f>
        <v>0</v>
      </c>
      <c r="Q458" s="177"/>
      <c r="R458" s="178">
        <f>IFERROR(__xludf.DUMMYFUNCTION("""COMPUTED_VALUE"""),98.5)</f>
        <v>98.5</v>
      </c>
      <c r="S458" s="151">
        <f>IFERROR(__xludf.DUMMYFUNCTION("""COMPUTED_VALUE"""),0.0)</f>
        <v>0</v>
      </c>
      <c r="T458" s="95">
        <f>IFERROR(__xludf.DUMMYFUNCTION("""COMPUTED_VALUE"""),1.0)</f>
        <v>1</v>
      </c>
      <c r="U458" s="95">
        <f>IFERROR(__xludf.DUMMYFUNCTION("""COMPUTED_VALUE"""),1.0)</f>
        <v>1</v>
      </c>
      <c r="V458" s="179">
        <f>IFERROR(__xludf.DUMMYFUNCTION("""COMPUTED_VALUE"""),0.0)</f>
        <v>0</v>
      </c>
      <c r="W458" s="171" t="str">
        <f>IFERROR(__xludf.DUMMYFUNCTION("""COMPUTED_VALUE"""),"")</f>
        <v/>
      </c>
      <c r="X458" s="14" t="str">
        <f>IFERROR(__xludf.DUMMYFUNCTION("""COMPUTED_VALUE"""),"")</f>
        <v/>
      </c>
      <c r="Y458" s="14" t="str">
        <f>IFERROR(__xludf.DUMMYFUNCTION("""COMPUTED_VALUE"""),"")</f>
        <v/>
      </c>
      <c r="Z458" s="11" t="str">
        <f>IFERROR(__xludf.DUMMYFUNCTION("""COMPUTED_VALUE"""),"")</f>
        <v/>
      </c>
    </row>
    <row r="459">
      <c r="A459" s="35" t="str">
        <f>IFERROR(__xludf.DUMMYFUNCTION("""COMPUTED_VALUE"""),"")</f>
        <v/>
      </c>
      <c r="B459" s="35" t="str">
        <f>IFERROR(__xludf.DUMMYFUNCTION("""COMPUTED_VALUE"""),"39670")</f>
        <v>39670</v>
      </c>
      <c r="C459" s="172">
        <f>IFERROR(__xludf.DUMMYFUNCTION("""COMPUTED_VALUE"""),4.4664001449E10)</f>
        <v>44664001449</v>
      </c>
      <c r="D459" s="190" t="str">
        <f>IFERROR(__xludf.DUMMYFUNCTION("""COMPUTED_VALUE"""),"9626.HK")</f>
        <v>9626.HK</v>
      </c>
      <c r="E459" s="173">
        <f>IFERROR(__xludf.DUMMYFUNCTION("""COMPUTED_VALUE"""),44664.0)</f>
        <v>44664</v>
      </c>
      <c r="F459" s="35" t="str">
        <f>IFERROR(__xludf.DUMMYFUNCTION("""COMPUTED_VALUE"""),"Stock")</f>
        <v>Stock</v>
      </c>
      <c r="G459" s="35" t="str">
        <f>IFERROR(__xludf.DUMMYFUNCTION("""COMPUTED_VALUE"""),"HKD")</f>
        <v>HKD</v>
      </c>
      <c r="H459" s="181">
        <f>IFERROR(__xludf.DUMMYFUNCTION("""COMPUTED_VALUE"""),0.0)</f>
        <v>0</v>
      </c>
      <c r="I459" s="174">
        <f>IFERROR(__xludf.DUMMYFUNCTION("""COMPUTED_VALUE"""),1.0)</f>
        <v>1</v>
      </c>
      <c r="J459" s="175">
        <f>IFERROR(__xludf.DUMMYFUNCTION("""COMPUTED_VALUE"""),0.0)</f>
        <v>0</v>
      </c>
      <c r="K459" s="35"/>
      <c r="L459" s="175">
        <f>IFERROR(__xludf.DUMMYFUNCTION("""COMPUTED_VALUE"""),202.6)</f>
        <v>202.6</v>
      </c>
      <c r="M459" s="182" t="str">
        <f>IFERROR(__xludf.DUMMYFUNCTION("""COMPUTED_VALUE"""),"Equity Key Stats")</f>
        <v>Equity Key Stats</v>
      </c>
      <c r="N459" s="35"/>
      <c r="O459" s="35"/>
      <c r="P459" s="184">
        <f>IFERROR(__xludf.DUMMYFUNCTION("""COMPUTED_VALUE"""),0.0)</f>
        <v>0</v>
      </c>
      <c r="Q459" s="177"/>
      <c r="R459" s="178">
        <f>IFERROR(__xludf.DUMMYFUNCTION("""COMPUTED_VALUE"""),202.6)</f>
        <v>202.6</v>
      </c>
      <c r="S459" s="176">
        <f>IFERROR(__xludf.DUMMYFUNCTION("""COMPUTED_VALUE"""),0.0)</f>
        <v>0</v>
      </c>
      <c r="T459" s="95">
        <f>IFERROR(__xludf.DUMMYFUNCTION("""COMPUTED_VALUE"""),1.0)</f>
        <v>1</v>
      </c>
      <c r="U459" s="95">
        <f>IFERROR(__xludf.DUMMYFUNCTION("""COMPUTED_VALUE"""),1.0)</f>
        <v>1</v>
      </c>
      <c r="V459" s="179">
        <f>IFERROR(__xludf.DUMMYFUNCTION("""COMPUTED_VALUE"""),0.0)</f>
        <v>0</v>
      </c>
      <c r="W459" s="171" t="str">
        <f>IFERROR(__xludf.DUMMYFUNCTION("""COMPUTED_VALUE"""),"")</f>
        <v/>
      </c>
      <c r="X459" s="14" t="str">
        <f>IFERROR(__xludf.DUMMYFUNCTION("""COMPUTED_VALUE"""),"")</f>
        <v/>
      </c>
      <c r="Y459" s="14" t="str">
        <f>IFERROR(__xludf.DUMMYFUNCTION("""COMPUTED_VALUE"""),"")</f>
        <v/>
      </c>
      <c r="Z459" s="11" t="str">
        <f>IFERROR(__xludf.DUMMYFUNCTION("""COMPUTED_VALUE"""),"")</f>
        <v/>
      </c>
    </row>
    <row r="460">
      <c r="A460" s="35" t="str">
        <f>IFERROR(__xludf.DUMMYFUNCTION("""COMPUTED_VALUE"""),"")</f>
        <v/>
      </c>
      <c r="B460" s="35" t="str">
        <f>IFERROR(__xludf.DUMMYFUNCTION("""COMPUTED_VALUE"""),"39670")</f>
        <v>39670</v>
      </c>
      <c r="C460" s="172">
        <f>IFERROR(__xludf.DUMMYFUNCTION("""COMPUTED_VALUE"""),4.4664001491E10)</f>
        <v>44664001491</v>
      </c>
      <c r="D460" s="135" t="str">
        <f>IFERROR(__xludf.DUMMYFUNCTION("""COMPUTED_VALUE"""),"AAPL")</f>
        <v>AAPL</v>
      </c>
      <c r="E460" s="173">
        <f>IFERROR(__xludf.DUMMYFUNCTION("""COMPUTED_VALUE"""),44664.0)</f>
        <v>44664</v>
      </c>
      <c r="F460" s="35" t="str">
        <f>IFERROR(__xludf.DUMMYFUNCTION("""COMPUTED_VALUE"""),"Stock")</f>
        <v>Stock</v>
      </c>
      <c r="G460" s="35" t="str">
        <f>IFERROR(__xludf.DUMMYFUNCTION("""COMPUTED_VALUE"""),"USD")</f>
        <v>USD</v>
      </c>
      <c r="H460" s="14">
        <f>IFERROR(__xludf.DUMMYFUNCTION("""COMPUTED_VALUE"""),0.0)</f>
        <v>0</v>
      </c>
      <c r="I460" s="174">
        <f>IFERROR(__xludf.DUMMYFUNCTION("""COMPUTED_VALUE"""),7.83915)</f>
        <v>7.83915</v>
      </c>
      <c r="J460" s="175">
        <f>IFERROR(__xludf.DUMMYFUNCTION("""COMPUTED_VALUE"""),0.0)</f>
        <v>0</v>
      </c>
      <c r="K460" s="35"/>
      <c r="L460" s="175">
        <f>IFERROR(__xludf.DUMMYFUNCTION("""COMPUTED_VALUE"""),170.4)</f>
        <v>170.4</v>
      </c>
      <c r="M460" s="187" t="str">
        <f>IFERROR(__xludf.DUMMYFUNCTION("""COMPUTED_VALUE"""),"Equity Key Stats")</f>
        <v>Equity Key Stats</v>
      </c>
      <c r="N460" s="35"/>
      <c r="O460" s="35"/>
      <c r="P460" s="176">
        <f>IFERROR(__xludf.DUMMYFUNCTION("""COMPUTED_VALUE"""),0.0)</f>
        <v>0</v>
      </c>
      <c r="Q460" s="177"/>
      <c r="R460" s="178">
        <f>IFERROR(__xludf.DUMMYFUNCTION("""COMPUTED_VALUE"""),170.4)</f>
        <v>170.4</v>
      </c>
      <c r="S460" s="176">
        <f>IFERROR(__xludf.DUMMYFUNCTION("""COMPUTED_VALUE"""),0.0)</f>
        <v>0</v>
      </c>
      <c r="T460" s="95">
        <f>IFERROR(__xludf.DUMMYFUNCTION("""COMPUTED_VALUE"""),2.0)</f>
        <v>2</v>
      </c>
      <c r="U460" s="95">
        <f>IFERROR(__xludf.DUMMYFUNCTION("""COMPUTED_VALUE"""),1.0)</f>
        <v>1</v>
      </c>
      <c r="V460" s="179">
        <f>IFERROR(__xludf.DUMMYFUNCTION("""COMPUTED_VALUE"""),0.0)</f>
        <v>0</v>
      </c>
      <c r="W460" s="55" t="str">
        <f>IFERROR(__xludf.DUMMYFUNCTION("""COMPUTED_VALUE"""),"")</f>
        <v/>
      </c>
      <c r="X460" s="181" t="str">
        <f>IFERROR(__xludf.DUMMYFUNCTION("""COMPUTED_VALUE"""),"")</f>
        <v/>
      </c>
      <c r="Y460" s="181" t="str">
        <f>IFERROR(__xludf.DUMMYFUNCTION("""COMPUTED_VALUE"""),"")</f>
        <v/>
      </c>
      <c r="Z460" s="186" t="str">
        <f>IFERROR(__xludf.DUMMYFUNCTION("""COMPUTED_VALUE"""),"")</f>
        <v/>
      </c>
    </row>
    <row r="461">
      <c r="A461" s="35" t="str">
        <f>IFERROR(__xludf.DUMMYFUNCTION("""COMPUTED_VALUE"""),"")</f>
        <v/>
      </c>
      <c r="B461" s="35" t="str">
        <f>IFERROR(__xludf.DUMMYFUNCTION("""COMPUTED_VALUE"""),"39670")</f>
        <v>39670</v>
      </c>
      <c r="C461" s="172">
        <f>IFERROR(__xludf.DUMMYFUNCTION("""COMPUTED_VALUE"""),4.4664001492E10)</f>
        <v>44664001492</v>
      </c>
      <c r="D461" s="135" t="str">
        <f>IFERROR(__xludf.DUMMYFUNCTION("""COMPUTED_VALUE"""),"BILI")</f>
        <v>BILI</v>
      </c>
      <c r="E461" s="173">
        <f>IFERROR(__xludf.DUMMYFUNCTION("""COMPUTED_VALUE"""),44664.0)</f>
        <v>44664</v>
      </c>
      <c r="F461" s="35" t="str">
        <f>IFERROR(__xludf.DUMMYFUNCTION("""COMPUTED_VALUE"""),"Stock")</f>
        <v>Stock</v>
      </c>
      <c r="G461" s="35" t="str">
        <f>IFERROR(__xludf.DUMMYFUNCTION("""COMPUTED_VALUE"""),"USD")</f>
        <v>USD</v>
      </c>
      <c r="H461" s="14">
        <f>IFERROR(__xludf.DUMMYFUNCTION("""COMPUTED_VALUE"""),20.0)</f>
        <v>20</v>
      </c>
      <c r="I461" s="174">
        <f>IFERROR(__xludf.DUMMYFUNCTION("""COMPUTED_VALUE"""),7.83915)</f>
        <v>7.83915</v>
      </c>
      <c r="J461" s="175">
        <f>IFERROR(__xludf.DUMMYFUNCTION("""COMPUTED_VALUE"""),26.24)</f>
        <v>26.24</v>
      </c>
      <c r="K461" s="35"/>
      <c r="L461" s="175">
        <f>IFERROR(__xludf.DUMMYFUNCTION("""COMPUTED_VALUE"""),26.24)</f>
        <v>26.24</v>
      </c>
      <c r="M461" s="187" t="str">
        <f>IFERROR(__xludf.DUMMYFUNCTION("""COMPUTED_VALUE"""),"Equity Key Stats")</f>
        <v>Equity Key Stats</v>
      </c>
      <c r="N461" s="35"/>
      <c r="O461" s="35"/>
      <c r="P461" s="176">
        <f>IFERROR(__xludf.DUMMYFUNCTION("""COMPUTED_VALUE"""),-4113.98592)</f>
        <v>-4113.98592</v>
      </c>
      <c r="Q461" s="177"/>
      <c r="R461" s="178">
        <f>IFERROR(__xludf.DUMMYFUNCTION("""COMPUTED_VALUE"""),26.24)</f>
        <v>26.24</v>
      </c>
      <c r="S461" s="151">
        <f>IFERROR(__xludf.DUMMYFUNCTION("""COMPUTED_VALUE"""),4113.98592)</f>
        <v>4113.98592</v>
      </c>
      <c r="T461" s="95">
        <f>IFERROR(__xludf.DUMMYFUNCTION("""COMPUTED_VALUE"""),1.0)</f>
        <v>1</v>
      </c>
      <c r="U461" s="95">
        <f>IFERROR(__xludf.DUMMYFUNCTION("""COMPUTED_VALUE"""),1.0)</f>
        <v>1</v>
      </c>
      <c r="V461" s="179">
        <f>IFERROR(__xludf.DUMMYFUNCTION("""COMPUTED_VALUE"""),0.0)</f>
        <v>0</v>
      </c>
      <c r="W461" s="55" t="str">
        <f>IFERROR(__xludf.DUMMYFUNCTION("""COMPUTED_VALUE"""),"")</f>
        <v/>
      </c>
      <c r="X461" s="181" t="str">
        <f>IFERROR(__xludf.DUMMYFUNCTION("""COMPUTED_VALUE"""),"")</f>
        <v/>
      </c>
      <c r="Y461" s="181" t="str">
        <f>IFERROR(__xludf.DUMMYFUNCTION("""COMPUTED_VALUE"""),"")</f>
        <v/>
      </c>
      <c r="Z461" s="186" t="str">
        <f>IFERROR(__xludf.DUMMYFUNCTION("""COMPUTED_VALUE"""),"")</f>
        <v/>
      </c>
    </row>
    <row r="462">
      <c r="A462" s="35" t="str">
        <f>IFERROR(__xludf.DUMMYFUNCTION("""COMPUTED_VALUE"""),"39670")</f>
        <v>39670</v>
      </c>
      <c r="B462" s="35" t="str">
        <f>IFERROR(__xludf.DUMMYFUNCTION("""COMPUTED_VALUE"""),"39670")</f>
        <v>39670</v>
      </c>
      <c r="C462" s="172">
        <f>IFERROR(__xludf.DUMMYFUNCTION("""COMPUTED_VALUE"""),4.4664001493E10)</f>
        <v>44664001493</v>
      </c>
      <c r="D462" s="135" t="str">
        <f>IFERROR(__xludf.DUMMYFUNCTION("""COMPUTED_VALUE"""),"BABA")</f>
        <v>BABA</v>
      </c>
      <c r="E462" s="173">
        <f>IFERROR(__xludf.DUMMYFUNCTION("""COMPUTED_VALUE"""),44664.0)</f>
        <v>44664</v>
      </c>
      <c r="F462" s="35" t="str">
        <f>IFERROR(__xludf.DUMMYFUNCTION("""COMPUTED_VALUE"""),"Stock")</f>
        <v>Stock</v>
      </c>
      <c r="G462" s="35" t="str">
        <f>IFERROR(__xludf.DUMMYFUNCTION("""COMPUTED_VALUE"""),"USD")</f>
        <v>USD</v>
      </c>
      <c r="H462" s="14">
        <f>IFERROR(__xludf.DUMMYFUNCTION("""COMPUTED_VALUE"""),30.0)</f>
        <v>30</v>
      </c>
      <c r="I462" s="174">
        <f>IFERROR(__xludf.DUMMYFUNCTION("""COMPUTED_VALUE"""),7.83915)</f>
        <v>7.83915</v>
      </c>
      <c r="J462" s="175">
        <f>IFERROR(__xludf.DUMMYFUNCTION("""COMPUTED_VALUE"""),100.09)</f>
        <v>100.09</v>
      </c>
      <c r="K462" s="35"/>
      <c r="L462" s="175">
        <f>IFERROR(__xludf.DUMMYFUNCTION("""COMPUTED_VALUE"""),100.09)</f>
        <v>100.09</v>
      </c>
      <c r="M462" s="187" t="str">
        <f>IFERROR(__xludf.DUMMYFUNCTION("""COMPUTED_VALUE"""),"Equity Key Stats")</f>
        <v>Equity Key Stats</v>
      </c>
      <c r="N462" s="35"/>
      <c r="O462" s="35"/>
      <c r="P462" s="176">
        <f>IFERROR(__xludf.DUMMYFUNCTION("""COMPUTED_VALUE"""),-23538.615705)</f>
        <v>-23538.61571</v>
      </c>
      <c r="Q462" s="177"/>
      <c r="R462" s="178">
        <f>IFERROR(__xludf.DUMMYFUNCTION("""COMPUTED_VALUE"""),100.09)</f>
        <v>100.09</v>
      </c>
      <c r="S462" s="151">
        <f>IFERROR(__xludf.DUMMYFUNCTION("""COMPUTED_VALUE"""),23538.615705)</f>
        <v>23538.61571</v>
      </c>
      <c r="T462" s="95">
        <f>IFERROR(__xludf.DUMMYFUNCTION("""COMPUTED_VALUE"""),1.0)</f>
        <v>1</v>
      </c>
      <c r="U462" s="95">
        <f>IFERROR(__xludf.DUMMYFUNCTION("""COMPUTED_VALUE"""),1.0)</f>
        <v>1</v>
      </c>
      <c r="V462" s="179">
        <f>IFERROR(__xludf.DUMMYFUNCTION("""COMPUTED_VALUE"""),0.0)</f>
        <v>0</v>
      </c>
      <c r="W462" s="55">
        <f>IFERROR(__xludf.DUMMYFUNCTION("""COMPUTED_VALUE"""),498777.07466)</f>
        <v>498777.0747</v>
      </c>
      <c r="X462" s="181">
        <f>IFERROR(__xludf.DUMMYFUNCTION("""COMPUTED_VALUE"""),70393.00513249997)</f>
        <v>70393.00513</v>
      </c>
      <c r="Y462" s="181">
        <f>IFERROR(__xludf.DUMMYFUNCTION("""COMPUTED_VALUE"""),0.0)</f>
        <v>0</v>
      </c>
      <c r="Z462" s="186">
        <f>IFERROR(__xludf.DUMMYFUNCTION("""COMPUTED_VALUE"""),-0.002445850680000028)</f>
        <v>-0.00244585068</v>
      </c>
    </row>
    <row r="463">
      <c r="A463" s="35" t="str">
        <f>IFERROR(__xludf.DUMMYFUNCTION("""COMPUTED_VALUE"""),"")</f>
        <v/>
      </c>
      <c r="B463" s="35" t="str">
        <f>IFERROR(__xludf.DUMMYFUNCTION("""COMPUTED_VALUE"""),"39704")</f>
        <v>39704</v>
      </c>
      <c r="C463" s="172">
        <f>IFERROR(__xludf.DUMMYFUNCTION("""COMPUTED_VALUE"""),4.4597000124E10)</f>
        <v>44597000124</v>
      </c>
      <c r="D463" s="135" t="str">
        <f>IFERROR(__xludf.DUMMYFUNCTION("""COMPUTED_VALUE"""),"Cash")</f>
        <v>Cash</v>
      </c>
      <c r="E463" s="173">
        <f>IFERROR(__xludf.DUMMYFUNCTION("""COMPUTED_VALUE"""),44597.0)</f>
        <v>44597</v>
      </c>
      <c r="F463" s="35" t="str">
        <f>IFERROR(__xludf.DUMMYFUNCTION("""COMPUTED_VALUE"""),"Cash")</f>
        <v>Cash</v>
      </c>
      <c r="G463" s="35" t="str">
        <f>IFERROR(__xludf.DUMMYFUNCTION("""COMPUTED_VALUE"""),"HKD")</f>
        <v>HKD</v>
      </c>
      <c r="H463" s="14" t="str">
        <f>IFERROR(__xludf.DUMMYFUNCTION("""COMPUTED_VALUE"""),"")</f>
        <v/>
      </c>
      <c r="I463" s="174">
        <f>IFERROR(__xludf.DUMMYFUNCTION("""COMPUTED_VALUE"""),1.0)</f>
        <v>1</v>
      </c>
      <c r="J463" s="95">
        <f>IFERROR(__xludf.DUMMYFUNCTION("""COMPUTED_VALUE"""),1.0)</f>
        <v>1</v>
      </c>
      <c r="K463" s="35"/>
      <c r="L463" s="175">
        <f>IFERROR(__xludf.DUMMYFUNCTION("""COMPUTED_VALUE"""),1.0)</f>
        <v>1</v>
      </c>
      <c r="M463" s="3" t="str">
        <f>IFERROR(__xludf.DUMMYFUNCTION("""COMPUTED_VALUE"""),"")</f>
        <v/>
      </c>
      <c r="N463" s="35"/>
      <c r="O463" s="35"/>
      <c r="P463" s="176">
        <f>IFERROR(__xludf.DUMMYFUNCTION("""COMPUTED_VALUE"""),500000.0)</f>
        <v>500000</v>
      </c>
      <c r="Q463" s="177"/>
      <c r="R463" s="178">
        <f>IFERROR(__xludf.DUMMYFUNCTION("""COMPUTED_VALUE"""),1.0)</f>
        <v>1</v>
      </c>
      <c r="S463" s="151" t="str">
        <f>IFERROR(__xludf.DUMMYFUNCTION("""COMPUTED_VALUE"""),"")</f>
        <v/>
      </c>
      <c r="T463" s="95">
        <f>IFERROR(__xludf.DUMMYFUNCTION("""COMPUTED_VALUE"""),1.0)</f>
        <v>1</v>
      </c>
      <c r="U463" s="95">
        <f>IFERROR(__xludf.DUMMYFUNCTION("""COMPUTED_VALUE"""),1.0)</f>
        <v>1</v>
      </c>
      <c r="V463" s="179">
        <f>IFERROR(__xludf.DUMMYFUNCTION("""COMPUTED_VALUE"""),500000.0)</f>
        <v>500000</v>
      </c>
      <c r="W463" s="55" t="str">
        <f>IFERROR(__xludf.DUMMYFUNCTION("""COMPUTED_VALUE"""),"")</f>
        <v/>
      </c>
      <c r="X463" s="181" t="str">
        <f>IFERROR(__xludf.DUMMYFUNCTION("""COMPUTED_VALUE"""),"")</f>
        <v/>
      </c>
      <c r="Y463" s="181" t="str">
        <f>IFERROR(__xludf.DUMMYFUNCTION("""COMPUTED_VALUE"""),"")</f>
        <v/>
      </c>
      <c r="Z463" s="186" t="str">
        <f>IFERROR(__xludf.DUMMYFUNCTION("""COMPUTED_VALUE"""),"")</f>
        <v/>
      </c>
    </row>
    <row r="464">
      <c r="A464" s="35" t="str">
        <f>IFERROR(__xludf.DUMMYFUNCTION("""COMPUTED_VALUE"""),"")</f>
        <v/>
      </c>
      <c r="B464" s="35" t="str">
        <f>IFERROR(__xludf.DUMMYFUNCTION("""COMPUTED_VALUE"""),"39704")</f>
        <v>39704</v>
      </c>
      <c r="C464" s="172">
        <f>IFERROR(__xludf.DUMMYFUNCTION("""COMPUTED_VALUE"""),4.4636000638E10)</f>
        <v>44636000638</v>
      </c>
      <c r="D464" s="180" t="str">
        <f>IFERROR(__xludf.DUMMYFUNCTION("""COMPUTED_VALUE"""),"AEP")</f>
        <v>AEP</v>
      </c>
      <c r="E464" s="173">
        <f>IFERROR(__xludf.DUMMYFUNCTION("""COMPUTED_VALUE"""),44636.0)</f>
        <v>44636</v>
      </c>
      <c r="F464" s="35" t="str">
        <f>IFERROR(__xludf.DUMMYFUNCTION("""COMPUTED_VALUE"""),"Stock")</f>
        <v>Stock</v>
      </c>
      <c r="G464" s="35" t="str">
        <f>IFERROR(__xludf.DUMMYFUNCTION("""COMPUTED_VALUE"""),"USD")</f>
        <v>USD</v>
      </c>
      <c r="H464" s="14">
        <f>IFERROR(__xludf.DUMMYFUNCTION("""COMPUTED_VALUE"""),100.0)</f>
        <v>100</v>
      </c>
      <c r="I464" s="174">
        <f>IFERROR(__xludf.DUMMYFUNCTION("""COMPUTED_VALUE"""),7.82055)</f>
        <v>7.82055</v>
      </c>
      <c r="J464" s="175">
        <f>IFERROR(__xludf.DUMMYFUNCTION("""COMPUTED_VALUE"""),95.07)</f>
        <v>95.07</v>
      </c>
      <c r="K464" s="35"/>
      <c r="L464" s="175">
        <f>IFERROR(__xludf.DUMMYFUNCTION("""COMPUTED_VALUE"""),102.25)</f>
        <v>102.25</v>
      </c>
      <c r="M464" s="187" t="str">
        <f>IFERROR(__xludf.DUMMYFUNCTION("""COMPUTED_VALUE"""),"Equity Key Stats")</f>
        <v>Equity Key Stats</v>
      </c>
      <c r="N464" s="35"/>
      <c r="O464" s="35"/>
      <c r="P464" s="176">
        <f>IFERROR(__xludf.DUMMYFUNCTION("""COMPUTED_VALUE"""),-74349.96884999999)</f>
        <v>-74349.96885</v>
      </c>
      <c r="Q464" s="177"/>
      <c r="R464" s="178">
        <f>IFERROR(__xludf.DUMMYFUNCTION("""COMPUTED_VALUE"""),102.25)</f>
        <v>102.25</v>
      </c>
      <c r="S464" s="151">
        <f>IFERROR(__xludf.DUMMYFUNCTION("""COMPUTED_VALUE"""),79965.12375)</f>
        <v>79965.12375</v>
      </c>
      <c r="T464" s="95">
        <f>IFERROR(__xludf.DUMMYFUNCTION("""COMPUTED_VALUE"""),2.0)</f>
        <v>2</v>
      </c>
      <c r="U464" s="95" t="str">
        <f>IFERROR(__xludf.DUMMYFUNCTION("""COMPUTED_VALUE"""),"")</f>
        <v/>
      </c>
      <c r="V464" s="179" t="str">
        <f>IFERROR(__xludf.DUMMYFUNCTION("""COMPUTED_VALUE"""),"")</f>
        <v/>
      </c>
      <c r="W464" s="55" t="str">
        <f>IFERROR(__xludf.DUMMYFUNCTION("""COMPUTED_VALUE"""),"")</f>
        <v/>
      </c>
      <c r="X464" s="181" t="str">
        <f>IFERROR(__xludf.DUMMYFUNCTION("""COMPUTED_VALUE"""),"")</f>
        <v/>
      </c>
      <c r="Y464" s="181" t="str">
        <f>IFERROR(__xludf.DUMMYFUNCTION("""COMPUTED_VALUE"""),"")</f>
        <v/>
      </c>
      <c r="Z464" s="186" t="str">
        <f>IFERROR(__xludf.DUMMYFUNCTION("""COMPUTED_VALUE"""),"")</f>
        <v/>
      </c>
    </row>
    <row r="465">
      <c r="A465" s="35" t="str">
        <f>IFERROR(__xludf.DUMMYFUNCTION("""COMPUTED_VALUE"""),"")</f>
        <v/>
      </c>
      <c r="B465" s="35" t="str">
        <f>IFERROR(__xludf.DUMMYFUNCTION("""COMPUTED_VALUE"""),"39704")</f>
        <v>39704</v>
      </c>
      <c r="C465" s="172">
        <f>IFERROR(__xludf.DUMMYFUNCTION("""COMPUTED_VALUE"""),4.4655001126E10)</f>
        <v>44655001126</v>
      </c>
      <c r="D465" s="188" t="str">
        <f>IFERROR(__xludf.DUMMYFUNCTION("""COMPUTED_VALUE"""),"9939.HK")</f>
        <v>9939.HK</v>
      </c>
      <c r="E465" s="173">
        <f>IFERROR(__xludf.DUMMYFUNCTION("""COMPUTED_VALUE"""),44655.0)</f>
        <v>44655</v>
      </c>
      <c r="F465" s="35" t="str">
        <f>IFERROR(__xludf.DUMMYFUNCTION("""COMPUTED_VALUE"""),"Stock")</f>
        <v>Stock</v>
      </c>
      <c r="G465" s="35" t="str">
        <f>IFERROR(__xludf.DUMMYFUNCTION("""COMPUTED_VALUE"""),"HKD")</f>
        <v>HKD</v>
      </c>
      <c r="H465" s="14">
        <f>IFERROR(__xludf.DUMMYFUNCTION("""COMPUTED_VALUE"""),5000.0)</f>
        <v>5000</v>
      </c>
      <c r="I465" s="174">
        <f>IFERROR(__xludf.DUMMYFUNCTION("""COMPUTED_VALUE"""),1.0)</f>
        <v>1</v>
      </c>
      <c r="J465" s="175">
        <f>IFERROR(__xludf.DUMMYFUNCTION("""COMPUTED_VALUE"""),13.98)</f>
        <v>13.98</v>
      </c>
      <c r="K465" s="35"/>
      <c r="L465" s="175">
        <f>IFERROR(__xludf.DUMMYFUNCTION("""COMPUTED_VALUE"""),28.15)</f>
        <v>28.15</v>
      </c>
      <c r="M465" s="187" t="str">
        <f>IFERROR(__xludf.DUMMYFUNCTION("""COMPUTED_VALUE"""),"Equity Key Stats")</f>
        <v>Equity Key Stats</v>
      </c>
      <c r="N465" s="35"/>
      <c r="O465" s="35"/>
      <c r="P465" s="176">
        <f>IFERROR(__xludf.DUMMYFUNCTION("""COMPUTED_VALUE"""),-69900.0)</f>
        <v>-69900</v>
      </c>
      <c r="Q465" s="177"/>
      <c r="R465" s="178">
        <f>IFERROR(__xludf.DUMMYFUNCTION("""COMPUTED_VALUE"""),28.15)</f>
        <v>28.15</v>
      </c>
      <c r="S465" s="151">
        <f>IFERROR(__xludf.DUMMYFUNCTION("""COMPUTED_VALUE"""),140750.0)</f>
        <v>140750</v>
      </c>
      <c r="T465" s="95">
        <f>IFERROR(__xludf.DUMMYFUNCTION("""COMPUTED_VALUE"""),4.0)</f>
        <v>4</v>
      </c>
      <c r="U465" s="95" t="str">
        <f>IFERROR(__xludf.DUMMYFUNCTION("""COMPUTED_VALUE"""),"")</f>
        <v/>
      </c>
      <c r="V465" s="179" t="str">
        <f>IFERROR(__xludf.DUMMYFUNCTION("""COMPUTED_VALUE"""),"")</f>
        <v/>
      </c>
      <c r="W465" s="171" t="str">
        <f>IFERROR(__xludf.DUMMYFUNCTION("""COMPUTED_VALUE"""),"")</f>
        <v/>
      </c>
      <c r="X465" s="14" t="str">
        <f>IFERROR(__xludf.DUMMYFUNCTION("""COMPUTED_VALUE"""),"")</f>
        <v/>
      </c>
      <c r="Y465" s="14" t="str">
        <f>IFERROR(__xludf.DUMMYFUNCTION("""COMPUTED_VALUE"""),"")</f>
        <v/>
      </c>
      <c r="Z465" s="11" t="str">
        <f>IFERROR(__xludf.DUMMYFUNCTION("""COMPUTED_VALUE"""),"")</f>
        <v/>
      </c>
    </row>
    <row r="466">
      <c r="A466" s="35" t="str">
        <f>IFERROR(__xludf.DUMMYFUNCTION("""COMPUTED_VALUE"""),"")</f>
        <v/>
      </c>
      <c r="B466" s="35" t="str">
        <f>IFERROR(__xludf.DUMMYFUNCTION("""COMPUTED_VALUE"""),"39704")</f>
        <v>39704</v>
      </c>
      <c r="C466" s="172">
        <f>IFERROR(__xludf.DUMMYFUNCTION("""COMPUTED_VALUE"""),4.465600115E10)</f>
        <v>44656001150</v>
      </c>
      <c r="D466" s="192" t="str">
        <f>IFERROR(__xludf.DUMMYFUNCTION("""COMPUTED_VALUE"""),"TSLA")</f>
        <v>TSLA</v>
      </c>
      <c r="E466" s="173">
        <f>IFERROR(__xludf.DUMMYFUNCTION("""COMPUTED_VALUE"""),44656.0)</f>
        <v>44656</v>
      </c>
      <c r="F466" s="35" t="str">
        <f>IFERROR(__xludf.DUMMYFUNCTION("""COMPUTED_VALUE"""),"Stock")</f>
        <v>Stock</v>
      </c>
      <c r="G466" s="35" t="str">
        <f>IFERROR(__xludf.DUMMYFUNCTION("""COMPUTED_VALUE"""),"USD")</f>
        <v>USD</v>
      </c>
      <c r="H466" s="181">
        <f>IFERROR(__xludf.DUMMYFUNCTION("""COMPUTED_VALUE"""),-10.0)</f>
        <v>-10</v>
      </c>
      <c r="I466" s="174">
        <f>IFERROR(__xludf.DUMMYFUNCTION("""COMPUTED_VALUE"""),7.83386)</f>
        <v>7.83386</v>
      </c>
      <c r="J466" s="175">
        <f>IFERROR(__xludf.DUMMYFUNCTION("""COMPUTED_VALUE"""),1091.26)</f>
        <v>1091.26</v>
      </c>
      <c r="K466" s="35"/>
      <c r="L466" s="175">
        <f>IFERROR(__xludf.DUMMYFUNCTION("""COMPUTED_VALUE"""),1022.37)</f>
        <v>1022.37</v>
      </c>
      <c r="M466" s="182" t="str">
        <f>IFERROR(__xludf.DUMMYFUNCTION("""COMPUTED_VALUE"""),"Equity Key Stats")</f>
        <v>Equity Key Stats</v>
      </c>
      <c r="N466" s="35"/>
      <c r="O466" s="35"/>
      <c r="P466" s="176">
        <f>IFERROR(__xludf.DUMMYFUNCTION("""COMPUTED_VALUE"""),85487.780636)</f>
        <v>85487.78064</v>
      </c>
      <c r="Q466" s="177"/>
      <c r="R466" s="178">
        <f>IFERROR(__xludf.DUMMYFUNCTION("""COMPUTED_VALUE"""),1022.37)</f>
        <v>1022.37</v>
      </c>
      <c r="S466" s="176">
        <f>IFERROR(__xludf.DUMMYFUNCTION("""COMPUTED_VALUE"""),-80091.034482)</f>
        <v>-80091.03448</v>
      </c>
      <c r="T466" s="95">
        <f>IFERROR(__xludf.DUMMYFUNCTION("""COMPUTED_VALUE"""),2.0)</f>
        <v>2</v>
      </c>
      <c r="U466" s="35" t="str">
        <f>IFERROR(__xludf.DUMMYFUNCTION("""COMPUTED_VALUE"""),"")</f>
        <v/>
      </c>
      <c r="V466" s="170" t="str">
        <f>IFERROR(__xludf.DUMMYFUNCTION("""COMPUTED_VALUE"""),"")</f>
        <v/>
      </c>
      <c r="W466" s="171" t="str">
        <f>IFERROR(__xludf.DUMMYFUNCTION("""COMPUTED_VALUE"""),"")</f>
        <v/>
      </c>
      <c r="X466" s="14" t="str">
        <f>IFERROR(__xludf.DUMMYFUNCTION("""COMPUTED_VALUE"""),"")</f>
        <v/>
      </c>
      <c r="Y466" s="14" t="str">
        <f>IFERROR(__xludf.DUMMYFUNCTION("""COMPUTED_VALUE"""),"")</f>
        <v/>
      </c>
      <c r="Z466" s="11" t="str">
        <f>IFERROR(__xludf.DUMMYFUNCTION("""COMPUTED_VALUE"""),"")</f>
        <v/>
      </c>
    </row>
    <row r="467">
      <c r="A467" s="35" t="str">
        <f>IFERROR(__xludf.DUMMYFUNCTION("""COMPUTED_VALUE"""),"")</f>
        <v/>
      </c>
      <c r="B467" s="35" t="str">
        <f>IFERROR(__xludf.DUMMYFUNCTION("""COMPUTED_VALUE"""),"39704")</f>
        <v>39704</v>
      </c>
      <c r="C467" s="172">
        <f>IFERROR(__xludf.DUMMYFUNCTION("""COMPUTED_VALUE"""),4.4657001184E10)</f>
        <v>44657001184</v>
      </c>
      <c r="D467" s="192" t="str">
        <f>IFERROR(__xludf.DUMMYFUNCTION("""COMPUTED_VALUE"""),"TSLA")</f>
        <v>TSLA</v>
      </c>
      <c r="E467" s="173">
        <f>IFERROR(__xludf.DUMMYFUNCTION("""COMPUTED_VALUE"""),44657.0)</f>
        <v>44657</v>
      </c>
      <c r="F467" s="35" t="str">
        <f>IFERROR(__xludf.DUMMYFUNCTION("""COMPUTED_VALUE"""),"Stock")</f>
        <v>Stock</v>
      </c>
      <c r="G467" s="35" t="str">
        <f>IFERROR(__xludf.DUMMYFUNCTION("""COMPUTED_VALUE"""),"USD")</f>
        <v>USD</v>
      </c>
      <c r="H467" s="181">
        <f>IFERROR(__xludf.DUMMYFUNCTION("""COMPUTED_VALUE"""),10.0)</f>
        <v>10</v>
      </c>
      <c r="I467" s="174">
        <f>IFERROR(__xludf.DUMMYFUNCTION("""COMPUTED_VALUE"""),7.837775)</f>
        <v>7.837775</v>
      </c>
      <c r="J467" s="175">
        <f>IFERROR(__xludf.DUMMYFUNCTION("""COMPUTED_VALUE"""),1045.76)</f>
        <v>1045.76</v>
      </c>
      <c r="K467" s="35"/>
      <c r="L467" s="175">
        <f>IFERROR(__xludf.DUMMYFUNCTION("""COMPUTED_VALUE"""),1022.37)</f>
        <v>1022.37</v>
      </c>
      <c r="M467" s="182" t="str">
        <f>IFERROR(__xludf.DUMMYFUNCTION("""COMPUTED_VALUE"""),"Equity Key Stats")</f>
        <v>Equity Key Stats</v>
      </c>
      <c r="N467" s="35"/>
      <c r="O467" s="35"/>
      <c r="P467" s="184">
        <f>IFERROR(__xludf.DUMMYFUNCTION("""COMPUTED_VALUE"""),-81964.31584)</f>
        <v>-81964.31584</v>
      </c>
      <c r="Q467" s="177"/>
      <c r="R467" s="178">
        <f>IFERROR(__xludf.DUMMYFUNCTION("""COMPUTED_VALUE"""),1022.37)</f>
        <v>1022.37</v>
      </c>
      <c r="S467" s="176">
        <f>IFERROR(__xludf.DUMMYFUNCTION("""COMPUTED_VALUE"""),80131.0602675)</f>
        <v>80131.06027</v>
      </c>
      <c r="T467" s="95">
        <f>IFERROR(__xludf.DUMMYFUNCTION("""COMPUTED_VALUE"""),2.0)</f>
        <v>2</v>
      </c>
      <c r="U467" s="35">
        <f>IFERROR(__xludf.DUMMYFUNCTION("""COMPUTED_VALUE"""),1.0)</f>
        <v>1</v>
      </c>
      <c r="V467" s="170">
        <f>IFERROR(__xludf.DUMMYFUNCTION("""COMPUTED_VALUE"""),3563.4905814999947)</f>
        <v>3563.490582</v>
      </c>
      <c r="W467" s="171" t="str">
        <f>IFERROR(__xludf.DUMMYFUNCTION("""COMPUTED_VALUE"""),"")</f>
        <v/>
      </c>
      <c r="X467" s="14" t="str">
        <f>IFERROR(__xludf.DUMMYFUNCTION("""COMPUTED_VALUE"""),"")</f>
        <v/>
      </c>
      <c r="Y467" s="14" t="str">
        <f>IFERROR(__xludf.DUMMYFUNCTION("""COMPUTED_VALUE"""),"")</f>
        <v/>
      </c>
      <c r="Z467" s="11" t="str">
        <f>IFERROR(__xludf.DUMMYFUNCTION("""COMPUTED_VALUE"""),"")</f>
        <v/>
      </c>
    </row>
    <row r="468">
      <c r="A468" s="35" t="str">
        <f>IFERROR(__xludf.DUMMYFUNCTION("""COMPUTED_VALUE"""),"")</f>
        <v/>
      </c>
      <c r="B468" s="35" t="str">
        <f>IFERROR(__xludf.DUMMYFUNCTION("""COMPUTED_VALUE"""),"39704")</f>
        <v>39704</v>
      </c>
      <c r="C468" s="172">
        <f>IFERROR(__xludf.DUMMYFUNCTION("""COMPUTED_VALUE"""),4.4658001208E10)</f>
        <v>44658001208</v>
      </c>
      <c r="D468" s="191" t="str">
        <f>IFERROR(__xludf.DUMMYFUNCTION("""COMPUTED_VALUE"""),"9939.HK")</f>
        <v>9939.HK</v>
      </c>
      <c r="E468" s="173">
        <f>IFERROR(__xludf.DUMMYFUNCTION("""COMPUTED_VALUE"""),44658.0)</f>
        <v>44658</v>
      </c>
      <c r="F468" s="35" t="str">
        <f>IFERROR(__xludf.DUMMYFUNCTION("""COMPUTED_VALUE"""),"Stock")</f>
        <v>Stock</v>
      </c>
      <c r="G468" s="35" t="str">
        <f>IFERROR(__xludf.DUMMYFUNCTION("""COMPUTED_VALUE"""),"HKD")</f>
        <v>HKD</v>
      </c>
      <c r="H468" s="181">
        <f>IFERROR(__xludf.DUMMYFUNCTION("""COMPUTED_VALUE"""),-5000.0)</f>
        <v>-5000</v>
      </c>
      <c r="I468" s="174">
        <f>IFERROR(__xludf.DUMMYFUNCTION("""COMPUTED_VALUE"""),1.0)</f>
        <v>1</v>
      </c>
      <c r="J468" s="175">
        <f>IFERROR(__xludf.DUMMYFUNCTION("""COMPUTED_VALUE"""),21.7)</f>
        <v>21.7</v>
      </c>
      <c r="K468" s="35"/>
      <c r="L468" s="175">
        <f>IFERROR(__xludf.DUMMYFUNCTION("""COMPUTED_VALUE"""),28.15)</f>
        <v>28.15</v>
      </c>
      <c r="M468" s="182" t="str">
        <f>IFERROR(__xludf.DUMMYFUNCTION("""COMPUTED_VALUE"""),"Equity Key Stats")</f>
        <v>Equity Key Stats</v>
      </c>
      <c r="N468" s="35"/>
      <c r="O468" s="35"/>
      <c r="P468" s="184">
        <f>IFERROR(__xludf.DUMMYFUNCTION("""COMPUTED_VALUE"""),108500.0)</f>
        <v>108500</v>
      </c>
      <c r="Q468" s="177"/>
      <c r="R468" s="178">
        <f>IFERROR(__xludf.DUMMYFUNCTION("""COMPUTED_VALUE"""),28.15)</f>
        <v>28.15</v>
      </c>
      <c r="S468" s="176">
        <f>IFERROR(__xludf.DUMMYFUNCTION("""COMPUTED_VALUE"""),-140750.0)</f>
        <v>-140750</v>
      </c>
      <c r="T468" s="95">
        <f>IFERROR(__xludf.DUMMYFUNCTION("""COMPUTED_VALUE"""),4.0)</f>
        <v>4</v>
      </c>
      <c r="U468" s="35" t="str">
        <f>IFERROR(__xludf.DUMMYFUNCTION("""COMPUTED_VALUE"""),"")</f>
        <v/>
      </c>
      <c r="V468" s="170" t="str">
        <f>IFERROR(__xludf.DUMMYFUNCTION("""COMPUTED_VALUE"""),"")</f>
        <v/>
      </c>
      <c r="W468" s="171" t="str">
        <f>IFERROR(__xludf.DUMMYFUNCTION("""COMPUTED_VALUE"""),"")</f>
        <v/>
      </c>
      <c r="X468" s="14" t="str">
        <f>IFERROR(__xludf.DUMMYFUNCTION("""COMPUTED_VALUE"""),"")</f>
        <v/>
      </c>
      <c r="Y468" s="14" t="str">
        <f>IFERROR(__xludf.DUMMYFUNCTION("""COMPUTED_VALUE"""),"")</f>
        <v/>
      </c>
      <c r="Z468" s="11" t="str">
        <f>IFERROR(__xludf.DUMMYFUNCTION("""COMPUTED_VALUE"""),"")</f>
        <v/>
      </c>
    </row>
    <row r="469">
      <c r="A469" s="35" t="str">
        <f>IFERROR(__xludf.DUMMYFUNCTION("""COMPUTED_VALUE"""),"")</f>
        <v/>
      </c>
      <c r="B469" s="35" t="str">
        <f>IFERROR(__xludf.DUMMYFUNCTION("""COMPUTED_VALUE"""),"39704")</f>
        <v>39704</v>
      </c>
      <c r="C469" s="172">
        <f>IFERROR(__xludf.DUMMYFUNCTION("""COMPUTED_VALUE"""),4.4659001264E10)</f>
        <v>44659001264</v>
      </c>
      <c r="D469" s="191" t="str">
        <f>IFERROR(__xludf.DUMMYFUNCTION("""COMPUTED_VALUE"""),"9939.HK")</f>
        <v>9939.HK</v>
      </c>
      <c r="E469" s="173">
        <f>IFERROR(__xludf.DUMMYFUNCTION("""COMPUTED_VALUE"""),44659.0)</f>
        <v>44659</v>
      </c>
      <c r="F469" s="35" t="str">
        <f>IFERROR(__xludf.DUMMYFUNCTION("""COMPUTED_VALUE"""),"Stock")</f>
        <v>Stock</v>
      </c>
      <c r="G469" s="35" t="str">
        <f>IFERROR(__xludf.DUMMYFUNCTION("""COMPUTED_VALUE"""),"HKD")</f>
        <v>HKD</v>
      </c>
      <c r="H469" s="183">
        <f>IFERROR(__xludf.DUMMYFUNCTION("""COMPUTED_VALUE"""),5000.0)</f>
        <v>5000</v>
      </c>
      <c r="I469" s="174">
        <f>IFERROR(__xludf.DUMMYFUNCTION("""COMPUTED_VALUE"""),1.0)</f>
        <v>1</v>
      </c>
      <c r="J469" s="175">
        <f>IFERROR(__xludf.DUMMYFUNCTION("""COMPUTED_VALUE"""),25.65)</f>
        <v>25.65</v>
      </c>
      <c r="K469" s="35"/>
      <c r="L469" s="175">
        <f>IFERROR(__xludf.DUMMYFUNCTION("""COMPUTED_VALUE"""),28.15)</f>
        <v>28.15</v>
      </c>
      <c r="M469" s="182" t="str">
        <f>IFERROR(__xludf.DUMMYFUNCTION("""COMPUTED_VALUE"""),"Equity Key Stats")</f>
        <v>Equity Key Stats</v>
      </c>
      <c r="N469" s="35"/>
      <c r="O469" s="35"/>
      <c r="P469" s="176">
        <f>IFERROR(__xludf.DUMMYFUNCTION("""COMPUTED_VALUE"""),-128250.0)</f>
        <v>-128250</v>
      </c>
      <c r="Q469" s="177"/>
      <c r="R469" s="178">
        <f>IFERROR(__xludf.DUMMYFUNCTION("""COMPUTED_VALUE"""),28.15)</f>
        <v>28.15</v>
      </c>
      <c r="S469" s="184">
        <f>IFERROR(__xludf.DUMMYFUNCTION("""COMPUTED_VALUE"""),140750.0)</f>
        <v>140750</v>
      </c>
      <c r="T469" s="95">
        <f>IFERROR(__xludf.DUMMYFUNCTION("""COMPUTED_VALUE"""),4.0)</f>
        <v>4</v>
      </c>
      <c r="U469" s="35" t="str">
        <f>IFERROR(__xludf.DUMMYFUNCTION("""COMPUTED_VALUE"""),"")</f>
        <v/>
      </c>
      <c r="V469" s="170" t="str">
        <f>IFERROR(__xludf.DUMMYFUNCTION("""COMPUTED_VALUE"""),"")</f>
        <v/>
      </c>
      <c r="W469" s="171" t="str">
        <f>IFERROR(__xludf.DUMMYFUNCTION("""COMPUTED_VALUE"""),"")</f>
        <v/>
      </c>
      <c r="X469" s="14" t="str">
        <f>IFERROR(__xludf.DUMMYFUNCTION("""COMPUTED_VALUE"""),"")</f>
        <v/>
      </c>
      <c r="Y469" s="14" t="str">
        <f>IFERROR(__xludf.DUMMYFUNCTION("""COMPUTED_VALUE"""),"")</f>
        <v/>
      </c>
      <c r="Z469" s="11" t="str">
        <f>IFERROR(__xludf.DUMMYFUNCTION("""COMPUTED_VALUE"""),"")</f>
        <v/>
      </c>
    </row>
    <row r="470">
      <c r="A470" s="35" t="str">
        <f>IFERROR(__xludf.DUMMYFUNCTION("""COMPUTED_VALUE"""),"")</f>
        <v/>
      </c>
      <c r="B470" s="35" t="str">
        <f>IFERROR(__xludf.DUMMYFUNCTION("""COMPUTED_VALUE"""),"39704")</f>
        <v>39704</v>
      </c>
      <c r="C470" s="172">
        <f>IFERROR(__xludf.DUMMYFUNCTION("""COMPUTED_VALUE"""),4.4662001351E10)</f>
        <v>44662001351</v>
      </c>
      <c r="D470" s="191" t="str">
        <f>IFERROR(__xludf.DUMMYFUNCTION("""COMPUTED_VALUE"""),"9939.HK")</f>
        <v>9939.HK</v>
      </c>
      <c r="E470" s="173">
        <f>IFERROR(__xludf.DUMMYFUNCTION("""COMPUTED_VALUE"""),44662.0)</f>
        <v>44662</v>
      </c>
      <c r="F470" s="35" t="str">
        <f>IFERROR(__xludf.DUMMYFUNCTION("""COMPUTED_VALUE"""),"Stock")</f>
        <v>Stock</v>
      </c>
      <c r="G470" s="35" t="str">
        <f>IFERROR(__xludf.DUMMYFUNCTION("""COMPUTED_VALUE"""),"HKD")</f>
        <v>HKD</v>
      </c>
      <c r="H470" s="181">
        <f>IFERROR(__xludf.DUMMYFUNCTION("""COMPUTED_VALUE"""),-5000.0)</f>
        <v>-5000</v>
      </c>
      <c r="I470" s="174">
        <f>IFERROR(__xludf.DUMMYFUNCTION("""COMPUTED_VALUE"""),1.0)</f>
        <v>1</v>
      </c>
      <c r="J470" s="175">
        <f>IFERROR(__xludf.DUMMYFUNCTION("""COMPUTED_VALUE"""),27.3)</f>
        <v>27.3</v>
      </c>
      <c r="K470" s="35"/>
      <c r="L470" s="175">
        <f>IFERROR(__xludf.DUMMYFUNCTION("""COMPUTED_VALUE"""),28.15)</f>
        <v>28.15</v>
      </c>
      <c r="M470" s="182" t="str">
        <f>IFERROR(__xludf.DUMMYFUNCTION("""COMPUTED_VALUE"""),"Equity Key Stats")</f>
        <v>Equity Key Stats</v>
      </c>
      <c r="N470" s="35"/>
      <c r="O470" s="35"/>
      <c r="P470" s="176">
        <f>IFERROR(__xludf.DUMMYFUNCTION("""COMPUTED_VALUE"""),136500.0)</f>
        <v>136500</v>
      </c>
      <c r="Q470" s="177"/>
      <c r="R470" s="178">
        <f>IFERROR(__xludf.DUMMYFUNCTION("""COMPUTED_VALUE"""),28.15)</f>
        <v>28.15</v>
      </c>
      <c r="S470" s="176">
        <f>IFERROR(__xludf.DUMMYFUNCTION("""COMPUTED_VALUE"""),-140750.0)</f>
        <v>-140750</v>
      </c>
      <c r="T470" s="95">
        <f>IFERROR(__xludf.DUMMYFUNCTION("""COMPUTED_VALUE"""),4.0)</f>
        <v>4</v>
      </c>
      <c r="U470" s="95">
        <f>IFERROR(__xludf.DUMMYFUNCTION("""COMPUTED_VALUE"""),1.0)</f>
        <v>1</v>
      </c>
      <c r="V470" s="179">
        <f>IFERROR(__xludf.DUMMYFUNCTION("""COMPUTED_VALUE"""),46850.0)</f>
        <v>46850</v>
      </c>
      <c r="W470" s="171" t="str">
        <f>IFERROR(__xludf.DUMMYFUNCTION("""COMPUTED_VALUE"""),"")</f>
        <v/>
      </c>
      <c r="X470" s="14" t="str">
        <f>IFERROR(__xludf.DUMMYFUNCTION("""COMPUTED_VALUE"""),"")</f>
        <v/>
      </c>
      <c r="Y470" s="14" t="str">
        <f>IFERROR(__xludf.DUMMYFUNCTION("""COMPUTED_VALUE"""),"")</f>
        <v/>
      </c>
      <c r="Z470" s="11" t="str">
        <f>IFERROR(__xludf.DUMMYFUNCTION("""COMPUTED_VALUE"""),"")</f>
        <v/>
      </c>
    </row>
    <row r="471">
      <c r="A471" s="35" t="str">
        <f>IFERROR(__xludf.DUMMYFUNCTION("""COMPUTED_VALUE"""),"")</f>
        <v/>
      </c>
      <c r="B471" s="35" t="str">
        <f>IFERROR(__xludf.DUMMYFUNCTION("""COMPUTED_VALUE"""),"39704")</f>
        <v>39704</v>
      </c>
      <c r="C471" s="172">
        <f>IFERROR(__xludf.DUMMYFUNCTION("""COMPUTED_VALUE"""),4.4662001392E10)</f>
        <v>44662001392</v>
      </c>
      <c r="D471" s="135" t="str">
        <f>IFERROR(__xludf.DUMMYFUNCTION("""COMPUTED_VALUE"""),"TWTR")</f>
        <v>TWTR</v>
      </c>
      <c r="E471" s="173">
        <f>IFERROR(__xludf.DUMMYFUNCTION("""COMPUTED_VALUE"""),44662.0)</f>
        <v>44662</v>
      </c>
      <c r="F471" s="35" t="str">
        <f>IFERROR(__xludf.DUMMYFUNCTION("""COMPUTED_VALUE"""),"Stock")</f>
        <v>Stock</v>
      </c>
      <c r="G471" s="35" t="str">
        <f>IFERROR(__xludf.DUMMYFUNCTION("""COMPUTED_VALUE"""),"USD")</f>
        <v>USD</v>
      </c>
      <c r="H471" s="181">
        <f>IFERROR(__xludf.DUMMYFUNCTION("""COMPUTED_VALUE"""),-400.0)</f>
        <v>-400</v>
      </c>
      <c r="I471" s="174">
        <f>IFERROR(__xludf.DUMMYFUNCTION("""COMPUTED_VALUE"""),7.83795)</f>
        <v>7.83795</v>
      </c>
      <c r="J471" s="175">
        <f>IFERROR(__xludf.DUMMYFUNCTION("""COMPUTED_VALUE"""),47.01)</f>
        <v>47.01</v>
      </c>
      <c r="K471" s="35"/>
      <c r="L471" s="175">
        <f>IFERROR(__xludf.DUMMYFUNCTION("""COMPUTED_VALUE"""),45.85)</f>
        <v>45.85</v>
      </c>
      <c r="M471" s="182" t="str">
        <f>IFERROR(__xludf.DUMMYFUNCTION("""COMPUTED_VALUE"""),"Equity Key Stats")</f>
        <v>Equity Key Stats</v>
      </c>
      <c r="N471" s="35"/>
      <c r="O471" s="35"/>
      <c r="P471" s="184">
        <f>IFERROR(__xludf.DUMMYFUNCTION("""COMPUTED_VALUE"""),147384.8118)</f>
        <v>147384.8118</v>
      </c>
      <c r="Q471" s="177"/>
      <c r="R471" s="178">
        <f>IFERROR(__xludf.DUMMYFUNCTION("""COMPUTED_VALUE"""),45.85)</f>
        <v>45.85</v>
      </c>
      <c r="S471" s="176">
        <f>IFERROR(__xludf.DUMMYFUNCTION("""COMPUTED_VALUE"""),-143748.00300000003)</f>
        <v>-143748.003</v>
      </c>
      <c r="T471" s="95">
        <f>IFERROR(__xludf.DUMMYFUNCTION("""COMPUTED_VALUE"""),2.0)</f>
        <v>2</v>
      </c>
      <c r="U471" s="35" t="str">
        <f>IFERROR(__xludf.DUMMYFUNCTION("""COMPUTED_VALUE"""),"")</f>
        <v/>
      </c>
      <c r="V471" s="170" t="str">
        <f>IFERROR(__xludf.DUMMYFUNCTION("""COMPUTED_VALUE"""),"")</f>
        <v/>
      </c>
      <c r="W471" s="171" t="str">
        <f>IFERROR(__xludf.DUMMYFUNCTION("""COMPUTED_VALUE"""),"")</f>
        <v/>
      </c>
      <c r="X471" s="14" t="str">
        <f>IFERROR(__xludf.DUMMYFUNCTION("""COMPUTED_VALUE"""),"")</f>
        <v/>
      </c>
      <c r="Y471" s="14" t="str">
        <f>IFERROR(__xludf.DUMMYFUNCTION("""COMPUTED_VALUE"""),"")</f>
        <v/>
      </c>
      <c r="Z471" s="11" t="str">
        <f>IFERROR(__xludf.DUMMYFUNCTION("""COMPUTED_VALUE"""),"")</f>
        <v/>
      </c>
    </row>
    <row r="472">
      <c r="A472" s="35" t="str">
        <f>IFERROR(__xludf.DUMMYFUNCTION("""COMPUTED_VALUE"""),"")</f>
        <v/>
      </c>
      <c r="B472" s="35" t="str">
        <f>IFERROR(__xludf.DUMMYFUNCTION("""COMPUTED_VALUE"""),"39704")</f>
        <v>39704</v>
      </c>
      <c r="C472" s="172">
        <f>IFERROR(__xludf.DUMMYFUNCTION("""COMPUTED_VALUE"""),4.466300144E10)</f>
        <v>44663001440</v>
      </c>
      <c r="D472" s="191" t="str">
        <f>IFERROR(__xludf.DUMMYFUNCTION("""COMPUTED_VALUE"""),"TWTR")</f>
        <v>TWTR</v>
      </c>
      <c r="E472" s="173">
        <f>IFERROR(__xludf.DUMMYFUNCTION("""COMPUTED_VALUE"""),44663.0)</f>
        <v>44663</v>
      </c>
      <c r="F472" s="35" t="str">
        <f>IFERROR(__xludf.DUMMYFUNCTION("""COMPUTED_VALUE"""),"Stock")</f>
        <v>Stock</v>
      </c>
      <c r="G472" s="35" t="str">
        <f>IFERROR(__xludf.DUMMYFUNCTION("""COMPUTED_VALUE"""),"USD")</f>
        <v>USD</v>
      </c>
      <c r="H472" s="183">
        <f>IFERROR(__xludf.DUMMYFUNCTION("""COMPUTED_VALUE"""),400.0)</f>
        <v>400</v>
      </c>
      <c r="I472" s="174">
        <f>IFERROR(__xludf.DUMMYFUNCTION("""COMPUTED_VALUE"""),7.83775)</f>
        <v>7.83775</v>
      </c>
      <c r="J472" s="175">
        <f>IFERROR(__xludf.DUMMYFUNCTION("""COMPUTED_VALUE"""),44.48)</f>
        <v>44.48</v>
      </c>
      <c r="K472" s="35"/>
      <c r="L472" s="175">
        <f>IFERROR(__xludf.DUMMYFUNCTION("""COMPUTED_VALUE"""),45.85)</f>
        <v>45.85</v>
      </c>
      <c r="M472" s="182" t="str">
        <f>IFERROR(__xludf.DUMMYFUNCTION("""COMPUTED_VALUE"""),"Equity Key Stats")</f>
        <v>Equity Key Stats</v>
      </c>
      <c r="N472" s="35"/>
      <c r="O472" s="35"/>
      <c r="P472" s="176">
        <f>IFERROR(__xludf.DUMMYFUNCTION("""COMPUTED_VALUE"""),-139449.248)</f>
        <v>-139449.248</v>
      </c>
      <c r="Q472" s="177"/>
      <c r="R472" s="178">
        <f>IFERROR(__xludf.DUMMYFUNCTION("""COMPUTED_VALUE"""),45.85)</f>
        <v>45.85</v>
      </c>
      <c r="S472" s="184">
        <f>IFERROR(__xludf.DUMMYFUNCTION("""COMPUTED_VALUE"""),143744.335)</f>
        <v>143744.335</v>
      </c>
      <c r="T472" s="95">
        <f>IFERROR(__xludf.DUMMYFUNCTION("""COMPUTED_VALUE"""),2.0)</f>
        <v>2</v>
      </c>
      <c r="U472" s="35">
        <f>IFERROR(__xludf.DUMMYFUNCTION("""COMPUTED_VALUE"""),1.0)</f>
        <v>1</v>
      </c>
      <c r="V472" s="170">
        <f>IFERROR(__xludf.DUMMYFUNCTION("""COMPUTED_VALUE"""),7931.895799999969)</f>
        <v>7931.8958</v>
      </c>
      <c r="W472" s="171" t="str">
        <f>IFERROR(__xludf.DUMMYFUNCTION("""COMPUTED_VALUE"""),"")</f>
        <v/>
      </c>
      <c r="X472" s="14" t="str">
        <f>IFERROR(__xludf.DUMMYFUNCTION("""COMPUTED_VALUE"""),"")</f>
        <v/>
      </c>
      <c r="Y472" s="14" t="str">
        <f>IFERROR(__xludf.DUMMYFUNCTION("""COMPUTED_VALUE"""),"")</f>
        <v/>
      </c>
      <c r="Z472" s="11" t="str">
        <f>IFERROR(__xludf.DUMMYFUNCTION("""COMPUTED_VALUE"""),"")</f>
        <v/>
      </c>
    </row>
    <row r="473">
      <c r="A473" s="35" t="str">
        <f>IFERROR(__xludf.DUMMYFUNCTION("""COMPUTED_VALUE"""),"39704")</f>
        <v>39704</v>
      </c>
      <c r="B473" s="35" t="str">
        <f>IFERROR(__xludf.DUMMYFUNCTION("""COMPUTED_VALUE"""),"39704")</f>
        <v>39704</v>
      </c>
      <c r="C473" s="172">
        <f>IFERROR(__xludf.DUMMYFUNCTION("""COMPUTED_VALUE"""),4.4664001488E10)</f>
        <v>44664001488</v>
      </c>
      <c r="D473" s="191" t="str">
        <f>IFERROR(__xludf.DUMMYFUNCTION("""COMPUTED_VALUE"""),"AEP")</f>
        <v>AEP</v>
      </c>
      <c r="E473" s="173">
        <f>IFERROR(__xludf.DUMMYFUNCTION("""COMPUTED_VALUE"""),44664.0)</f>
        <v>44664</v>
      </c>
      <c r="F473" s="35" t="str">
        <f>IFERROR(__xludf.DUMMYFUNCTION("""COMPUTED_VALUE"""),"Stock")</f>
        <v>Stock</v>
      </c>
      <c r="G473" s="35" t="str">
        <f>IFERROR(__xludf.DUMMYFUNCTION("""COMPUTED_VALUE"""),"USD")</f>
        <v>USD</v>
      </c>
      <c r="H473" s="181">
        <f>IFERROR(__xludf.DUMMYFUNCTION("""COMPUTED_VALUE"""),-100.0)</f>
        <v>-100</v>
      </c>
      <c r="I473" s="174">
        <f>IFERROR(__xludf.DUMMYFUNCTION("""COMPUTED_VALUE"""),7.83915)</f>
        <v>7.83915</v>
      </c>
      <c r="J473" s="175">
        <f>IFERROR(__xludf.DUMMYFUNCTION("""COMPUTED_VALUE"""),102.25)</f>
        <v>102.25</v>
      </c>
      <c r="K473" s="35"/>
      <c r="L473" s="175">
        <f>IFERROR(__xludf.DUMMYFUNCTION("""COMPUTED_VALUE"""),102.25)</f>
        <v>102.25</v>
      </c>
      <c r="M473" s="182" t="str">
        <f>IFERROR(__xludf.DUMMYFUNCTION("""COMPUTED_VALUE"""),"Equity Key Stats")</f>
        <v>Equity Key Stats</v>
      </c>
      <c r="N473" s="35"/>
      <c r="O473" s="35"/>
      <c r="P473" s="184">
        <f>IFERROR(__xludf.DUMMYFUNCTION("""COMPUTED_VALUE"""),80155.30875)</f>
        <v>80155.30875</v>
      </c>
      <c r="Q473" s="177"/>
      <c r="R473" s="178">
        <f>IFERROR(__xludf.DUMMYFUNCTION("""COMPUTED_VALUE"""),102.25)</f>
        <v>102.25</v>
      </c>
      <c r="S473" s="176">
        <f>IFERROR(__xludf.DUMMYFUNCTION("""COMPUTED_VALUE"""),-80155.30875)</f>
        <v>-80155.30875</v>
      </c>
      <c r="T473" s="95">
        <f>IFERROR(__xludf.DUMMYFUNCTION("""COMPUTED_VALUE"""),2.0)</f>
        <v>2</v>
      </c>
      <c r="U473" s="35">
        <f>IFERROR(__xludf.DUMMYFUNCTION("""COMPUTED_VALUE"""),1.0)</f>
        <v>1</v>
      </c>
      <c r="V473" s="170">
        <f>IFERROR(__xludf.DUMMYFUNCTION("""COMPUTED_VALUE"""),5615.154900000009)</f>
        <v>5615.1549</v>
      </c>
      <c r="W473" s="171">
        <f>IFERROR(__xludf.DUMMYFUNCTION("""COMPUTED_VALUE"""),563960.5412814999)</f>
        <v>563960.5413</v>
      </c>
      <c r="X473" s="14">
        <f>IFERROR(__xludf.DUMMYFUNCTION("""COMPUTED_VALUE"""),541196.311304)</f>
        <v>541196.3113</v>
      </c>
      <c r="Y473" s="14">
        <f>IFERROR(__xludf.DUMMYFUNCTION("""COMPUTED_VALUE"""),0.0)</f>
        <v>0</v>
      </c>
      <c r="Z473" s="11">
        <f>IFERROR(__xludf.DUMMYFUNCTION("""COMPUTED_VALUE"""),0.12792108256299972)</f>
        <v>0.1279210826</v>
      </c>
    </row>
    <row r="474">
      <c r="A474" s="35" t="str">
        <f>IFERROR(__xludf.DUMMYFUNCTION("""COMPUTED_VALUE"""),"")</f>
        <v/>
      </c>
      <c r="B474" s="35" t="str">
        <f>IFERROR(__xludf.DUMMYFUNCTION("""COMPUTED_VALUE"""),"39776")</f>
        <v>39776</v>
      </c>
      <c r="C474" s="172">
        <f>IFERROR(__xludf.DUMMYFUNCTION("""COMPUTED_VALUE"""),4.4597000078E10)</f>
        <v>44597000078</v>
      </c>
      <c r="D474" s="191" t="str">
        <f>IFERROR(__xludf.DUMMYFUNCTION("""COMPUTED_VALUE"""),"Cash")</f>
        <v>Cash</v>
      </c>
      <c r="E474" s="173">
        <f>IFERROR(__xludf.DUMMYFUNCTION("""COMPUTED_VALUE"""),44597.0)</f>
        <v>44597</v>
      </c>
      <c r="F474" s="35" t="str">
        <f>IFERROR(__xludf.DUMMYFUNCTION("""COMPUTED_VALUE"""),"Cash")</f>
        <v>Cash</v>
      </c>
      <c r="G474" s="35" t="str">
        <f>IFERROR(__xludf.DUMMYFUNCTION("""COMPUTED_VALUE"""),"HKD")</f>
        <v>HKD</v>
      </c>
      <c r="H474" s="181" t="str">
        <f>IFERROR(__xludf.DUMMYFUNCTION("""COMPUTED_VALUE"""),"")</f>
        <v/>
      </c>
      <c r="I474" s="174">
        <f>IFERROR(__xludf.DUMMYFUNCTION("""COMPUTED_VALUE"""),1.0)</f>
        <v>1</v>
      </c>
      <c r="J474" s="175">
        <f>IFERROR(__xludf.DUMMYFUNCTION("""COMPUTED_VALUE"""),1.0)</f>
        <v>1</v>
      </c>
      <c r="K474" s="35"/>
      <c r="L474" s="175">
        <f>IFERROR(__xludf.DUMMYFUNCTION("""COMPUTED_VALUE"""),1.0)</f>
        <v>1</v>
      </c>
      <c r="M474" s="182" t="str">
        <f>IFERROR(__xludf.DUMMYFUNCTION("""COMPUTED_VALUE"""),"")</f>
        <v/>
      </c>
      <c r="N474" s="35"/>
      <c r="O474" s="35"/>
      <c r="P474" s="184">
        <f>IFERROR(__xludf.DUMMYFUNCTION("""COMPUTED_VALUE"""),500000.0)</f>
        <v>500000</v>
      </c>
      <c r="Q474" s="177"/>
      <c r="R474" s="178">
        <f>IFERROR(__xludf.DUMMYFUNCTION("""COMPUTED_VALUE"""),1.0)</f>
        <v>1</v>
      </c>
      <c r="S474" s="176" t="str">
        <f>IFERROR(__xludf.DUMMYFUNCTION("""COMPUTED_VALUE"""),"")</f>
        <v/>
      </c>
      <c r="T474" s="95">
        <f>IFERROR(__xludf.DUMMYFUNCTION("""COMPUTED_VALUE"""),1.0)</f>
        <v>1</v>
      </c>
      <c r="U474" s="35">
        <f>IFERROR(__xludf.DUMMYFUNCTION("""COMPUTED_VALUE"""),1.0)</f>
        <v>1</v>
      </c>
      <c r="V474" s="170">
        <f>IFERROR(__xludf.DUMMYFUNCTION("""COMPUTED_VALUE"""),500000.0)</f>
        <v>500000</v>
      </c>
      <c r="W474" s="171" t="str">
        <f>IFERROR(__xludf.DUMMYFUNCTION("""COMPUTED_VALUE"""),"")</f>
        <v/>
      </c>
      <c r="X474" s="14" t="str">
        <f>IFERROR(__xludf.DUMMYFUNCTION("""COMPUTED_VALUE"""),"")</f>
        <v/>
      </c>
      <c r="Y474" s="14" t="str">
        <f>IFERROR(__xludf.DUMMYFUNCTION("""COMPUTED_VALUE"""),"")</f>
        <v/>
      </c>
      <c r="Z474" s="11" t="str">
        <f>IFERROR(__xludf.DUMMYFUNCTION("""COMPUTED_VALUE"""),"")</f>
        <v/>
      </c>
    </row>
    <row r="475">
      <c r="A475" s="35" t="str">
        <f>IFERROR(__xludf.DUMMYFUNCTION("""COMPUTED_VALUE"""),"")</f>
        <v/>
      </c>
      <c r="B475" s="35" t="str">
        <f>IFERROR(__xludf.DUMMYFUNCTION("""COMPUTED_VALUE"""),"39776")</f>
        <v>39776</v>
      </c>
      <c r="C475" s="172">
        <f>IFERROR(__xludf.DUMMYFUNCTION("""COMPUTED_VALUE"""),4.4623000412E10)</f>
        <v>44623000412</v>
      </c>
      <c r="D475" s="188" t="str">
        <f>IFERROR(__xludf.DUMMYFUNCTION("""COMPUTED_VALUE"""),"3800.hk")</f>
        <v>3800.hk</v>
      </c>
      <c r="E475" s="173">
        <f>IFERROR(__xludf.DUMMYFUNCTION("""COMPUTED_VALUE"""),44623.0)</f>
        <v>44623</v>
      </c>
      <c r="F475" s="35" t="str">
        <f>IFERROR(__xludf.DUMMYFUNCTION("""COMPUTED_VALUE"""),"Stock")</f>
        <v>Stock</v>
      </c>
      <c r="G475" s="35" t="str">
        <f>IFERROR(__xludf.DUMMYFUNCTION("""COMPUTED_VALUE"""),"HKD")</f>
        <v>HKD</v>
      </c>
      <c r="H475" s="181">
        <f>IFERROR(__xludf.DUMMYFUNCTION("""COMPUTED_VALUE"""),0.0)</f>
        <v>0</v>
      </c>
      <c r="I475" s="174">
        <f>IFERROR(__xludf.DUMMYFUNCTION("""COMPUTED_VALUE"""),1.0)</f>
        <v>1</v>
      </c>
      <c r="J475" s="175">
        <f>IFERROR(__xludf.DUMMYFUNCTION("""COMPUTED_VALUE"""),0.0)</f>
        <v>0</v>
      </c>
      <c r="K475" s="35"/>
      <c r="L475" s="175">
        <f>IFERROR(__xludf.DUMMYFUNCTION("""COMPUTED_VALUE"""),2.51)</f>
        <v>2.51</v>
      </c>
      <c r="M475" s="182" t="str">
        <f>IFERROR(__xludf.DUMMYFUNCTION("""COMPUTED_VALUE"""),"Equity Key Stats")</f>
        <v>Equity Key Stats</v>
      </c>
      <c r="N475" s="35"/>
      <c r="O475" s="35"/>
      <c r="P475" s="184">
        <f>IFERROR(__xludf.DUMMYFUNCTION("""COMPUTED_VALUE"""),0.0)</f>
        <v>0</v>
      </c>
      <c r="Q475" s="177"/>
      <c r="R475" s="178">
        <f>IFERROR(__xludf.DUMMYFUNCTION("""COMPUTED_VALUE"""),2.51)</f>
        <v>2.51</v>
      </c>
      <c r="S475" s="176">
        <f>IFERROR(__xludf.DUMMYFUNCTION("""COMPUTED_VALUE"""),0.0)</f>
        <v>0</v>
      </c>
      <c r="T475" s="95">
        <f>IFERROR(__xludf.DUMMYFUNCTION("""COMPUTED_VALUE"""),7.0)</f>
        <v>7</v>
      </c>
      <c r="U475" s="35" t="str">
        <f>IFERROR(__xludf.DUMMYFUNCTION("""COMPUTED_VALUE"""),"")</f>
        <v/>
      </c>
      <c r="V475" s="170" t="str">
        <f>IFERROR(__xludf.DUMMYFUNCTION("""COMPUTED_VALUE"""),"")</f>
        <v/>
      </c>
      <c r="W475" s="171" t="str">
        <f>IFERROR(__xludf.DUMMYFUNCTION("""COMPUTED_VALUE"""),"")</f>
        <v/>
      </c>
      <c r="X475" s="14" t="str">
        <f>IFERROR(__xludf.DUMMYFUNCTION("""COMPUTED_VALUE"""),"")</f>
        <v/>
      </c>
      <c r="Y475" s="14" t="str">
        <f>IFERROR(__xludf.DUMMYFUNCTION("""COMPUTED_VALUE"""),"")</f>
        <v/>
      </c>
      <c r="Z475" s="11" t="str">
        <f>IFERROR(__xludf.DUMMYFUNCTION("""COMPUTED_VALUE"""),"")</f>
        <v/>
      </c>
    </row>
    <row r="476">
      <c r="A476" s="35" t="str">
        <f>IFERROR(__xludf.DUMMYFUNCTION("""COMPUTED_VALUE"""),"")</f>
        <v/>
      </c>
      <c r="B476" s="35" t="str">
        <f>IFERROR(__xludf.DUMMYFUNCTION("""COMPUTED_VALUE"""),"39776")</f>
        <v>39776</v>
      </c>
      <c r="C476" s="172">
        <f>IFERROR(__xludf.DUMMYFUNCTION("""COMPUTED_VALUE"""),4.4623000413E10)</f>
        <v>44623000413</v>
      </c>
      <c r="D476" s="188" t="str">
        <f>IFERROR(__xludf.DUMMYFUNCTION("""COMPUTED_VALUE"""),"1208.HK")</f>
        <v>1208.HK</v>
      </c>
      <c r="E476" s="173">
        <f>IFERROR(__xludf.DUMMYFUNCTION("""COMPUTED_VALUE"""),44623.0)</f>
        <v>44623</v>
      </c>
      <c r="F476" s="35" t="str">
        <f>IFERROR(__xludf.DUMMYFUNCTION("""COMPUTED_VALUE"""),"Stock")</f>
        <v>Stock</v>
      </c>
      <c r="G476" s="35" t="str">
        <f>IFERROR(__xludf.DUMMYFUNCTION("""COMPUTED_VALUE"""),"HKD")</f>
        <v>HKD</v>
      </c>
      <c r="H476" s="183">
        <f>IFERROR(__xludf.DUMMYFUNCTION("""COMPUTED_VALUE"""),0.0)</f>
        <v>0</v>
      </c>
      <c r="I476" s="174">
        <f>IFERROR(__xludf.DUMMYFUNCTION("""COMPUTED_VALUE"""),1.0)</f>
        <v>1</v>
      </c>
      <c r="J476" s="175">
        <f>IFERROR(__xludf.DUMMYFUNCTION("""COMPUTED_VALUE"""),0.0)</f>
        <v>0</v>
      </c>
      <c r="K476" s="35"/>
      <c r="L476" s="175">
        <f>IFERROR(__xludf.DUMMYFUNCTION("""COMPUTED_VALUE"""),3.75)</f>
        <v>3.75</v>
      </c>
      <c r="M476" s="182" t="str">
        <f>IFERROR(__xludf.DUMMYFUNCTION("""COMPUTED_VALUE"""),"Equity Key Stats")</f>
        <v>Equity Key Stats</v>
      </c>
      <c r="N476" s="35"/>
      <c r="O476" s="35"/>
      <c r="P476" s="176">
        <f>IFERROR(__xludf.DUMMYFUNCTION("""COMPUTED_VALUE"""),0.0)</f>
        <v>0</v>
      </c>
      <c r="Q476" s="177"/>
      <c r="R476" s="178">
        <f>IFERROR(__xludf.DUMMYFUNCTION("""COMPUTED_VALUE"""),3.75)</f>
        <v>3.75</v>
      </c>
      <c r="S476" s="184">
        <f>IFERROR(__xludf.DUMMYFUNCTION("""COMPUTED_VALUE"""),0.0)</f>
        <v>0</v>
      </c>
      <c r="T476" s="95">
        <f>IFERROR(__xludf.DUMMYFUNCTION("""COMPUTED_VALUE"""),1.0)</f>
        <v>1</v>
      </c>
      <c r="U476" s="35">
        <f>IFERROR(__xludf.DUMMYFUNCTION("""COMPUTED_VALUE"""),1.0)</f>
        <v>1</v>
      </c>
      <c r="V476" s="170">
        <f>IFERROR(__xludf.DUMMYFUNCTION("""COMPUTED_VALUE"""),0.0)</f>
        <v>0</v>
      </c>
      <c r="W476" s="171" t="str">
        <f>IFERROR(__xludf.DUMMYFUNCTION("""COMPUTED_VALUE"""),"")</f>
        <v/>
      </c>
      <c r="X476" s="14" t="str">
        <f>IFERROR(__xludf.DUMMYFUNCTION("""COMPUTED_VALUE"""),"")</f>
        <v/>
      </c>
      <c r="Y476" s="14" t="str">
        <f>IFERROR(__xludf.DUMMYFUNCTION("""COMPUTED_VALUE"""),"")</f>
        <v/>
      </c>
      <c r="Z476" s="11" t="str">
        <f>IFERROR(__xludf.DUMMYFUNCTION("""COMPUTED_VALUE"""),"")</f>
        <v/>
      </c>
    </row>
    <row r="477">
      <c r="A477" s="35" t="str">
        <f>IFERROR(__xludf.DUMMYFUNCTION("""COMPUTED_VALUE"""),"")</f>
        <v/>
      </c>
      <c r="B477" s="35" t="str">
        <f>IFERROR(__xludf.DUMMYFUNCTION("""COMPUTED_VALUE"""),"39776")</f>
        <v>39776</v>
      </c>
      <c r="C477" s="172">
        <f>IFERROR(__xludf.DUMMYFUNCTION("""COMPUTED_VALUE"""),4.4623000415E10)</f>
        <v>44623000415</v>
      </c>
      <c r="D477" s="188" t="str">
        <f>IFERROR(__xludf.DUMMYFUNCTION("""COMPUTED_VALUE"""),"3800.HK")</f>
        <v>3800.HK</v>
      </c>
      <c r="E477" s="173">
        <f>IFERROR(__xludf.DUMMYFUNCTION("""COMPUTED_VALUE"""),44623.0)</f>
        <v>44623</v>
      </c>
      <c r="F477" s="35" t="str">
        <f>IFERROR(__xludf.DUMMYFUNCTION("""COMPUTED_VALUE"""),"Stock")</f>
        <v>Stock</v>
      </c>
      <c r="G477" s="35" t="str">
        <f>IFERROR(__xludf.DUMMYFUNCTION("""COMPUTED_VALUE"""),"HKD")</f>
        <v>HKD</v>
      </c>
      <c r="H477" s="181">
        <f>IFERROR(__xludf.DUMMYFUNCTION("""COMPUTED_VALUE"""),0.0)</f>
        <v>0</v>
      </c>
      <c r="I477" s="174">
        <f>IFERROR(__xludf.DUMMYFUNCTION("""COMPUTED_VALUE"""),1.0)</f>
        <v>1</v>
      </c>
      <c r="J477" s="175">
        <f>IFERROR(__xludf.DUMMYFUNCTION("""COMPUTED_VALUE"""),0.0)</f>
        <v>0</v>
      </c>
      <c r="K477" s="35"/>
      <c r="L477" s="175">
        <f>IFERROR(__xludf.DUMMYFUNCTION("""COMPUTED_VALUE"""),2.51)</f>
        <v>2.51</v>
      </c>
      <c r="M477" s="182" t="str">
        <f>IFERROR(__xludf.DUMMYFUNCTION("""COMPUTED_VALUE"""),"Equity Key Stats")</f>
        <v>Equity Key Stats</v>
      </c>
      <c r="N477" s="35"/>
      <c r="O477" s="35"/>
      <c r="P477" s="184">
        <f>IFERROR(__xludf.DUMMYFUNCTION("""COMPUTED_VALUE"""),0.0)</f>
        <v>0</v>
      </c>
      <c r="Q477" s="177"/>
      <c r="R477" s="178">
        <f>IFERROR(__xludf.DUMMYFUNCTION("""COMPUTED_VALUE"""),2.51)</f>
        <v>2.51</v>
      </c>
      <c r="S477" s="176">
        <f>IFERROR(__xludf.DUMMYFUNCTION("""COMPUTED_VALUE"""),0.0)</f>
        <v>0</v>
      </c>
      <c r="T477" s="95">
        <f>IFERROR(__xludf.DUMMYFUNCTION("""COMPUTED_VALUE"""),7.0)</f>
        <v>7</v>
      </c>
      <c r="U477" s="35" t="str">
        <f>IFERROR(__xludf.DUMMYFUNCTION("""COMPUTED_VALUE"""),"")</f>
        <v/>
      </c>
      <c r="V477" s="170" t="str">
        <f>IFERROR(__xludf.DUMMYFUNCTION("""COMPUTED_VALUE"""),"")</f>
        <v/>
      </c>
      <c r="W477" s="171" t="str">
        <f>IFERROR(__xludf.DUMMYFUNCTION("""COMPUTED_VALUE"""),"")</f>
        <v/>
      </c>
      <c r="X477" s="14" t="str">
        <f>IFERROR(__xludf.DUMMYFUNCTION("""COMPUTED_VALUE"""),"")</f>
        <v/>
      </c>
      <c r="Y477" s="14" t="str">
        <f>IFERROR(__xludf.DUMMYFUNCTION("""COMPUTED_VALUE"""),"")</f>
        <v/>
      </c>
      <c r="Z477" s="11" t="str">
        <f>IFERROR(__xludf.DUMMYFUNCTION("""COMPUTED_VALUE"""),"")</f>
        <v/>
      </c>
    </row>
    <row r="478">
      <c r="A478" s="35" t="str">
        <f>IFERROR(__xludf.DUMMYFUNCTION("""COMPUTED_VALUE"""),"")</f>
        <v/>
      </c>
      <c r="B478" s="35" t="str">
        <f>IFERROR(__xludf.DUMMYFUNCTION("""COMPUTED_VALUE"""),"39776")</f>
        <v>39776</v>
      </c>
      <c r="C478" s="172">
        <f>IFERROR(__xludf.DUMMYFUNCTION("""COMPUTED_VALUE"""),4.4623000417E10)</f>
        <v>44623000417</v>
      </c>
      <c r="D478" s="192" t="str">
        <f>IFERROR(__xludf.DUMMYFUNCTION("""COMPUTED_VALUE"""),"3800.HK")</f>
        <v>3800.HK</v>
      </c>
      <c r="E478" s="173">
        <f>IFERROR(__xludf.DUMMYFUNCTION("""COMPUTED_VALUE"""),44623.0)</f>
        <v>44623</v>
      </c>
      <c r="F478" s="35" t="str">
        <f>IFERROR(__xludf.DUMMYFUNCTION("""COMPUTED_VALUE"""),"Stock")</f>
        <v>Stock</v>
      </c>
      <c r="G478" s="35" t="str">
        <f>IFERROR(__xludf.DUMMYFUNCTION("""COMPUTED_VALUE"""),"HKD")</f>
        <v>HKD</v>
      </c>
      <c r="H478" s="181">
        <f>IFERROR(__xludf.DUMMYFUNCTION("""COMPUTED_VALUE"""),5000.0)</f>
        <v>5000</v>
      </c>
      <c r="I478" s="174">
        <f>IFERROR(__xludf.DUMMYFUNCTION("""COMPUTED_VALUE"""),1.0)</f>
        <v>1</v>
      </c>
      <c r="J478" s="175">
        <f>IFERROR(__xludf.DUMMYFUNCTION("""COMPUTED_VALUE"""),2.97)</f>
        <v>2.97</v>
      </c>
      <c r="K478" s="35"/>
      <c r="L478" s="175">
        <f>IFERROR(__xludf.DUMMYFUNCTION("""COMPUTED_VALUE"""),2.51)</f>
        <v>2.51</v>
      </c>
      <c r="M478" s="182" t="str">
        <f>IFERROR(__xludf.DUMMYFUNCTION("""COMPUTED_VALUE"""),"Equity Key Stats")</f>
        <v>Equity Key Stats</v>
      </c>
      <c r="N478" s="35"/>
      <c r="O478" s="35"/>
      <c r="P478" s="184">
        <f>IFERROR(__xludf.DUMMYFUNCTION("""COMPUTED_VALUE"""),-14850.000000000002)</f>
        <v>-14850</v>
      </c>
      <c r="Q478" s="177"/>
      <c r="R478" s="178">
        <f>IFERROR(__xludf.DUMMYFUNCTION("""COMPUTED_VALUE"""),2.51)</f>
        <v>2.51</v>
      </c>
      <c r="S478" s="176">
        <f>IFERROR(__xludf.DUMMYFUNCTION("""COMPUTED_VALUE"""),12549.999999999998)</f>
        <v>12550</v>
      </c>
      <c r="T478" s="95">
        <f>IFERROR(__xludf.DUMMYFUNCTION("""COMPUTED_VALUE"""),7.0)</f>
        <v>7</v>
      </c>
      <c r="U478" s="35" t="str">
        <f>IFERROR(__xludf.DUMMYFUNCTION("""COMPUTED_VALUE"""),"")</f>
        <v/>
      </c>
      <c r="V478" s="170" t="str">
        <f>IFERROR(__xludf.DUMMYFUNCTION("""COMPUTED_VALUE"""),"")</f>
        <v/>
      </c>
      <c r="W478" s="171" t="str">
        <f>IFERROR(__xludf.DUMMYFUNCTION("""COMPUTED_VALUE"""),"")</f>
        <v/>
      </c>
      <c r="X478" s="14" t="str">
        <f>IFERROR(__xludf.DUMMYFUNCTION("""COMPUTED_VALUE"""),"")</f>
        <v/>
      </c>
      <c r="Y478" s="14" t="str">
        <f>IFERROR(__xludf.DUMMYFUNCTION("""COMPUTED_VALUE"""),"")</f>
        <v/>
      </c>
      <c r="Z478" s="11" t="str">
        <f>IFERROR(__xludf.DUMMYFUNCTION("""COMPUTED_VALUE"""),"")</f>
        <v/>
      </c>
    </row>
    <row r="479">
      <c r="A479" s="35" t="str">
        <f>IFERROR(__xludf.DUMMYFUNCTION("""COMPUTED_VALUE"""),"")</f>
        <v/>
      </c>
      <c r="B479" s="35" t="str">
        <f>IFERROR(__xludf.DUMMYFUNCTION("""COMPUTED_VALUE"""),"39776")</f>
        <v>39776</v>
      </c>
      <c r="C479" s="172">
        <f>IFERROR(__xludf.DUMMYFUNCTION("""COMPUTED_VALUE"""),4.4638000694E10)</f>
        <v>44638000694</v>
      </c>
      <c r="D479" s="188" t="str">
        <f>IFERROR(__xludf.DUMMYFUNCTION("""COMPUTED_VALUE"""),"3800.HK")</f>
        <v>3800.HK</v>
      </c>
      <c r="E479" s="173">
        <f>IFERROR(__xludf.DUMMYFUNCTION("""COMPUTED_VALUE"""),44638.0)</f>
        <v>44638</v>
      </c>
      <c r="F479" s="35" t="str">
        <f>IFERROR(__xludf.DUMMYFUNCTION("""COMPUTED_VALUE"""),"Stock")</f>
        <v>Stock</v>
      </c>
      <c r="G479" s="35" t="str">
        <f>IFERROR(__xludf.DUMMYFUNCTION("""COMPUTED_VALUE"""),"HKD")</f>
        <v>HKD</v>
      </c>
      <c r="H479" s="183">
        <f>IFERROR(__xludf.DUMMYFUNCTION("""COMPUTED_VALUE"""),0.0)</f>
        <v>0</v>
      </c>
      <c r="I479" s="174">
        <f>IFERROR(__xludf.DUMMYFUNCTION("""COMPUTED_VALUE"""),1.0)</f>
        <v>1</v>
      </c>
      <c r="J479" s="175">
        <f>IFERROR(__xludf.DUMMYFUNCTION("""COMPUTED_VALUE"""),0.0)</f>
        <v>0</v>
      </c>
      <c r="K479" s="35"/>
      <c r="L479" s="175">
        <f>IFERROR(__xludf.DUMMYFUNCTION("""COMPUTED_VALUE"""),2.51)</f>
        <v>2.51</v>
      </c>
      <c r="M479" s="182" t="str">
        <f>IFERROR(__xludf.DUMMYFUNCTION("""COMPUTED_VALUE"""),"Equity Key Stats")</f>
        <v>Equity Key Stats</v>
      </c>
      <c r="N479" s="35"/>
      <c r="O479" s="35"/>
      <c r="P479" s="176">
        <f>IFERROR(__xludf.DUMMYFUNCTION("""COMPUTED_VALUE"""),0.0)</f>
        <v>0</v>
      </c>
      <c r="Q479" s="177"/>
      <c r="R479" s="178">
        <f>IFERROR(__xludf.DUMMYFUNCTION("""COMPUTED_VALUE"""),2.51)</f>
        <v>2.51</v>
      </c>
      <c r="S479" s="184">
        <f>IFERROR(__xludf.DUMMYFUNCTION("""COMPUTED_VALUE"""),0.0)</f>
        <v>0</v>
      </c>
      <c r="T479" s="95">
        <f>IFERROR(__xludf.DUMMYFUNCTION("""COMPUTED_VALUE"""),7.0)</f>
        <v>7</v>
      </c>
      <c r="U479" s="95" t="str">
        <f>IFERROR(__xludf.DUMMYFUNCTION("""COMPUTED_VALUE"""),"")</f>
        <v/>
      </c>
      <c r="V479" s="179" t="str">
        <f>IFERROR(__xludf.DUMMYFUNCTION("""COMPUTED_VALUE"""),"")</f>
        <v/>
      </c>
      <c r="W479" s="171" t="str">
        <f>IFERROR(__xludf.DUMMYFUNCTION("""COMPUTED_VALUE"""),"")</f>
        <v/>
      </c>
      <c r="X479" s="14" t="str">
        <f>IFERROR(__xludf.DUMMYFUNCTION("""COMPUTED_VALUE"""),"")</f>
        <v/>
      </c>
      <c r="Y479" s="14" t="str">
        <f>IFERROR(__xludf.DUMMYFUNCTION("""COMPUTED_VALUE"""),"")</f>
        <v/>
      </c>
      <c r="Z479" s="11" t="str">
        <f>IFERROR(__xludf.DUMMYFUNCTION("""COMPUTED_VALUE"""),"")</f>
        <v/>
      </c>
    </row>
    <row r="480">
      <c r="A480" s="35" t="str">
        <f>IFERROR(__xludf.DUMMYFUNCTION("""COMPUTED_VALUE"""),"")</f>
        <v/>
      </c>
      <c r="B480" s="35" t="str">
        <f>IFERROR(__xludf.DUMMYFUNCTION("""COMPUTED_VALUE"""),"39776")</f>
        <v>39776</v>
      </c>
      <c r="C480" s="172">
        <f>IFERROR(__xludf.DUMMYFUNCTION("""COMPUTED_VALUE"""),4.4643000816E10)</f>
        <v>44643000816</v>
      </c>
      <c r="D480" s="188" t="str">
        <f>IFERROR(__xludf.DUMMYFUNCTION("""COMPUTED_VALUE"""),"3315.HK")</f>
        <v>3315.HK</v>
      </c>
      <c r="E480" s="173">
        <f>IFERROR(__xludf.DUMMYFUNCTION("""COMPUTED_VALUE"""),44643.0)</f>
        <v>44643</v>
      </c>
      <c r="F480" s="35" t="str">
        <f>IFERROR(__xludf.DUMMYFUNCTION("""COMPUTED_VALUE"""),"Stock")</f>
        <v>Stock</v>
      </c>
      <c r="G480" s="35" t="str">
        <f>IFERROR(__xludf.DUMMYFUNCTION("""COMPUTED_VALUE"""),"HKD")</f>
        <v>HKD</v>
      </c>
      <c r="H480" s="181">
        <f>IFERROR(__xludf.DUMMYFUNCTION("""COMPUTED_VALUE"""),0.0)</f>
        <v>0</v>
      </c>
      <c r="I480" s="174">
        <f>IFERROR(__xludf.DUMMYFUNCTION("""COMPUTED_VALUE"""),1.0)</f>
        <v>1</v>
      </c>
      <c r="J480" s="175">
        <f>IFERROR(__xludf.DUMMYFUNCTION("""COMPUTED_VALUE"""),0.0)</f>
        <v>0</v>
      </c>
      <c r="K480" s="35"/>
      <c r="L480" s="175">
        <f>IFERROR(__xludf.DUMMYFUNCTION("""COMPUTED_VALUE"""),2.08)</f>
        <v>2.08</v>
      </c>
      <c r="M480" s="182" t="str">
        <f>IFERROR(__xludf.DUMMYFUNCTION("""COMPUTED_VALUE"""),"Equity Key Stats")</f>
        <v>Equity Key Stats</v>
      </c>
      <c r="N480" s="35"/>
      <c r="O480" s="35"/>
      <c r="P480" s="184">
        <f>IFERROR(__xludf.DUMMYFUNCTION("""COMPUTED_VALUE"""),0.0)</f>
        <v>0</v>
      </c>
      <c r="Q480" s="177"/>
      <c r="R480" s="178">
        <f>IFERROR(__xludf.DUMMYFUNCTION("""COMPUTED_VALUE"""),2.08)</f>
        <v>2.08</v>
      </c>
      <c r="S480" s="176">
        <f>IFERROR(__xludf.DUMMYFUNCTION("""COMPUTED_VALUE"""),0.0)</f>
        <v>0</v>
      </c>
      <c r="T480" s="95">
        <f>IFERROR(__xludf.DUMMYFUNCTION("""COMPUTED_VALUE"""),1.0)</f>
        <v>1</v>
      </c>
      <c r="U480" s="35">
        <f>IFERROR(__xludf.DUMMYFUNCTION("""COMPUTED_VALUE"""),1.0)</f>
        <v>1</v>
      </c>
      <c r="V480" s="170">
        <f>IFERROR(__xludf.DUMMYFUNCTION("""COMPUTED_VALUE"""),0.0)</f>
        <v>0</v>
      </c>
      <c r="W480" s="171" t="str">
        <f>IFERROR(__xludf.DUMMYFUNCTION("""COMPUTED_VALUE"""),"")</f>
        <v/>
      </c>
      <c r="X480" s="14" t="str">
        <f>IFERROR(__xludf.DUMMYFUNCTION("""COMPUTED_VALUE"""),"")</f>
        <v/>
      </c>
      <c r="Y480" s="14" t="str">
        <f>IFERROR(__xludf.DUMMYFUNCTION("""COMPUTED_VALUE"""),"")</f>
        <v/>
      </c>
      <c r="Z480" s="11" t="str">
        <f>IFERROR(__xludf.DUMMYFUNCTION("""COMPUTED_VALUE"""),"")</f>
        <v/>
      </c>
    </row>
    <row r="481">
      <c r="A481" s="35" t="str">
        <f>IFERROR(__xludf.DUMMYFUNCTION("""COMPUTED_VALUE"""),"")</f>
        <v/>
      </c>
      <c r="B481" s="35" t="str">
        <f>IFERROR(__xludf.DUMMYFUNCTION("""COMPUTED_VALUE"""),"39776")</f>
        <v>39776</v>
      </c>
      <c r="C481" s="172">
        <f>IFERROR(__xludf.DUMMYFUNCTION("""COMPUTED_VALUE"""),4.4645000903E10)</f>
        <v>44645000903</v>
      </c>
      <c r="D481" s="188" t="str">
        <f>IFERROR(__xludf.DUMMYFUNCTION("""COMPUTED_VALUE"""),"0700.HK")</f>
        <v>0700.HK</v>
      </c>
      <c r="E481" s="173">
        <f>IFERROR(__xludf.DUMMYFUNCTION("""COMPUTED_VALUE"""),44645.0)</f>
        <v>44645</v>
      </c>
      <c r="F481" s="35" t="str">
        <f>IFERROR(__xludf.DUMMYFUNCTION("""COMPUTED_VALUE"""),"Stock")</f>
        <v>Stock</v>
      </c>
      <c r="G481" s="35" t="str">
        <f>IFERROR(__xludf.DUMMYFUNCTION("""COMPUTED_VALUE"""),"HKD")</f>
        <v>HKD</v>
      </c>
      <c r="H481" s="181">
        <f>IFERROR(__xludf.DUMMYFUNCTION("""COMPUTED_VALUE"""),0.0)</f>
        <v>0</v>
      </c>
      <c r="I481" s="174">
        <f>IFERROR(__xludf.DUMMYFUNCTION("""COMPUTED_VALUE"""),1.0)</f>
        <v>1</v>
      </c>
      <c r="J481" s="175">
        <f>IFERROR(__xludf.DUMMYFUNCTION("""COMPUTED_VALUE"""),0.0)</f>
        <v>0</v>
      </c>
      <c r="K481" s="35"/>
      <c r="L481" s="175">
        <f>IFERROR(__xludf.DUMMYFUNCTION("""COMPUTED_VALUE"""),373.6)</f>
        <v>373.6</v>
      </c>
      <c r="M481" s="182" t="str">
        <f>IFERROR(__xludf.DUMMYFUNCTION("""COMPUTED_VALUE"""),"Equity Key Stats")</f>
        <v>Equity Key Stats</v>
      </c>
      <c r="N481" s="35"/>
      <c r="O481" s="35"/>
      <c r="P481" s="184">
        <f>IFERROR(__xludf.DUMMYFUNCTION("""COMPUTED_VALUE"""),0.0)</f>
        <v>0</v>
      </c>
      <c r="Q481" s="177"/>
      <c r="R481" s="178">
        <f>IFERROR(__xludf.DUMMYFUNCTION("""COMPUTED_VALUE"""),373.6)</f>
        <v>373.6</v>
      </c>
      <c r="S481" s="176">
        <f>IFERROR(__xludf.DUMMYFUNCTION("""COMPUTED_VALUE"""),0.0)</f>
        <v>0</v>
      </c>
      <c r="T481" s="95">
        <f>IFERROR(__xludf.DUMMYFUNCTION("""COMPUTED_VALUE"""),1.0)</f>
        <v>1</v>
      </c>
      <c r="U481" s="35">
        <f>IFERROR(__xludf.DUMMYFUNCTION("""COMPUTED_VALUE"""),1.0)</f>
        <v>1</v>
      </c>
      <c r="V481" s="170">
        <f>IFERROR(__xludf.DUMMYFUNCTION("""COMPUTED_VALUE"""),0.0)</f>
        <v>0</v>
      </c>
      <c r="W481" s="171" t="str">
        <f>IFERROR(__xludf.DUMMYFUNCTION("""COMPUTED_VALUE"""),"")</f>
        <v/>
      </c>
      <c r="X481" s="14" t="str">
        <f>IFERROR(__xludf.DUMMYFUNCTION("""COMPUTED_VALUE"""),"")</f>
        <v/>
      </c>
      <c r="Y481" s="14" t="str">
        <f>IFERROR(__xludf.DUMMYFUNCTION("""COMPUTED_VALUE"""),"")</f>
        <v/>
      </c>
      <c r="Z481" s="11" t="str">
        <f>IFERROR(__xludf.DUMMYFUNCTION("""COMPUTED_VALUE"""),"")</f>
        <v/>
      </c>
    </row>
    <row r="482">
      <c r="A482" s="35" t="str">
        <f>IFERROR(__xludf.DUMMYFUNCTION("""COMPUTED_VALUE"""),"")</f>
        <v/>
      </c>
      <c r="B482" s="35" t="str">
        <f>IFERROR(__xludf.DUMMYFUNCTION("""COMPUTED_VALUE"""),"39776")</f>
        <v>39776</v>
      </c>
      <c r="C482" s="172">
        <f>IFERROR(__xludf.DUMMYFUNCTION("""COMPUTED_VALUE"""),4.4645000904E10)</f>
        <v>44645000904</v>
      </c>
      <c r="D482" s="188" t="str">
        <f>IFERROR(__xludf.DUMMYFUNCTION("""COMPUTED_VALUE"""),"0288.HK")</f>
        <v>0288.HK</v>
      </c>
      <c r="E482" s="173">
        <f>IFERROR(__xludf.DUMMYFUNCTION("""COMPUTED_VALUE"""),44645.0)</f>
        <v>44645</v>
      </c>
      <c r="F482" s="35" t="str">
        <f>IFERROR(__xludf.DUMMYFUNCTION("""COMPUTED_VALUE"""),"Stock")</f>
        <v>Stock</v>
      </c>
      <c r="G482" s="35" t="str">
        <f>IFERROR(__xludf.DUMMYFUNCTION("""COMPUTED_VALUE"""),"HKD")</f>
        <v>HKD</v>
      </c>
      <c r="H482" s="181">
        <f>IFERROR(__xludf.DUMMYFUNCTION("""COMPUTED_VALUE"""),10000.0)</f>
        <v>10000</v>
      </c>
      <c r="I482" s="174">
        <f>IFERROR(__xludf.DUMMYFUNCTION("""COMPUTED_VALUE"""),1.0)</f>
        <v>1</v>
      </c>
      <c r="J482" s="175">
        <f>IFERROR(__xludf.DUMMYFUNCTION("""COMPUTED_VALUE"""),4.69)</f>
        <v>4.69</v>
      </c>
      <c r="K482" s="35"/>
      <c r="L482" s="175">
        <f>IFERROR(__xludf.DUMMYFUNCTION("""COMPUTED_VALUE"""),5.05)</f>
        <v>5.05</v>
      </c>
      <c r="M482" s="182" t="str">
        <f>IFERROR(__xludf.DUMMYFUNCTION("""COMPUTED_VALUE"""),"Equity Key Stats")</f>
        <v>Equity Key Stats</v>
      </c>
      <c r="N482" s="35"/>
      <c r="O482" s="35"/>
      <c r="P482" s="184">
        <f>IFERROR(__xludf.DUMMYFUNCTION("""COMPUTED_VALUE"""),-46900.00000000001)</f>
        <v>-46900</v>
      </c>
      <c r="Q482" s="177"/>
      <c r="R482" s="178">
        <f>IFERROR(__xludf.DUMMYFUNCTION("""COMPUTED_VALUE"""),5.05)</f>
        <v>5.05</v>
      </c>
      <c r="S482" s="176">
        <f>IFERROR(__xludf.DUMMYFUNCTION("""COMPUTED_VALUE"""),50500.0)</f>
        <v>50500</v>
      </c>
      <c r="T482" s="95">
        <f>IFERROR(__xludf.DUMMYFUNCTION("""COMPUTED_VALUE"""),1.0)</f>
        <v>1</v>
      </c>
      <c r="U482" s="35">
        <f>IFERROR(__xludf.DUMMYFUNCTION("""COMPUTED_VALUE"""),1.0)</f>
        <v>1</v>
      </c>
      <c r="V482" s="170">
        <f>IFERROR(__xludf.DUMMYFUNCTION("""COMPUTED_VALUE"""),3599.9999999999927)</f>
        <v>3600</v>
      </c>
      <c r="W482" s="171" t="str">
        <f>IFERROR(__xludf.DUMMYFUNCTION("""COMPUTED_VALUE"""),"")</f>
        <v/>
      </c>
      <c r="X482" s="14" t="str">
        <f>IFERROR(__xludf.DUMMYFUNCTION("""COMPUTED_VALUE"""),"")</f>
        <v/>
      </c>
      <c r="Y482" s="14" t="str">
        <f>IFERROR(__xludf.DUMMYFUNCTION("""COMPUTED_VALUE"""),"")</f>
        <v/>
      </c>
      <c r="Z482" s="11" t="str">
        <f>IFERROR(__xludf.DUMMYFUNCTION("""COMPUTED_VALUE"""),"")</f>
        <v/>
      </c>
    </row>
    <row r="483">
      <c r="A483" s="35" t="str">
        <f>IFERROR(__xludf.DUMMYFUNCTION("""COMPUTED_VALUE"""),"")</f>
        <v/>
      </c>
      <c r="B483" s="35" t="str">
        <f>IFERROR(__xludf.DUMMYFUNCTION("""COMPUTED_VALUE"""),"39776")</f>
        <v>39776</v>
      </c>
      <c r="C483" s="172">
        <f>IFERROR(__xludf.DUMMYFUNCTION("""COMPUTED_VALUE"""),4.4657001174E10)</f>
        <v>44657001174</v>
      </c>
      <c r="D483" s="188" t="str">
        <f>IFERROR(__xludf.DUMMYFUNCTION("""COMPUTED_VALUE"""),"2319.HK")</f>
        <v>2319.HK</v>
      </c>
      <c r="E483" s="173">
        <f>IFERROR(__xludf.DUMMYFUNCTION("""COMPUTED_VALUE"""),44657.0)</f>
        <v>44657</v>
      </c>
      <c r="F483" s="35" t="str">
        <f>IFERROR(__xludf.DUMMYFUNCTION("""COMPUTED_VALUE"""),"Stock")</f>
        <v>Stock</v>
      </c>
      <c r="G483" s="35" t="str">
        <f>IFERROR(__xludf.DUMMYFUNCTION("""COMPUTED_VALUE"""),"HKD")</f>
        <v>HKD</v>
      </c>
      <c r="H483" s="181">
        <f>IFERROR(__xludf.DUMMYFUNCTION("""COMPUTED_VALUE"""),1000.0)</f>
        <v>1000</v>
      </c>
      <c r="I483" s="174">
        <f>IFERROR(__xludf.DUMMYFUNCTION("""COMPUTED_VALUE"""),1.0)</f>
        <v>1</v>
      </c>
      <c r="J483" s="175">
        <f>IFERROR(__xludf.DUMMYFUNCTION("""COMPUTED_VALUE"""),42.55)</f>
        <v>42.55</v>
      </c>
      <c r="K483" s="35"/>
      <c r="L483" s="175">
        <f>IFERROR(__xludf.DUMMYFUNCTION("""COMPUTED_VALUE"""),42.6)</f>
        <v>42.6</v>
      </c>
      <c r="M483" s="187" t="str">
        <f>IFERROR(__xludf.DUMMYFUNCTION("""COMPUTED_VALUE"""),"Equity Key Stats")</f>
        <v>Equity Key Stats</v>
      </c>
      <c r="N483" s="35"/>
      <c r="O483" s="35"/>
      <c r="P483" s="184">
        <f>IFERROR(__xludf.DUMMYFUNCTION("""COMPUTED_VALUE"""),-42550.0)</f>
        <v>-42550</v>
      </c>
      <c r="Q483" s="177"/>
      <c r="R483" s="178">
        <f>IFERROR(__xludf.DUMMYFUNCTION("""COMPUTED_VALUE"""),42.6)</f>
        <v>42.6</v>
      </c>
      <c r="S483" s="176">
        <f>IFERROR(__xludf.DUMMYFUNCTION("""COMPUTED_VALUE"""),42600.0)</f>
        <v>42600</v>
      </c>
      <c r="T483" s="95">
        <f>IFERROR(__xludf.DUMMYFUNCTION("""COMPUTED_VALUE"""),2.0)</f>
        <v>2</v>
      </c>
      <c r="U483" s="35" t="str">
        <f>IFERROR(__xludf.DUMMYFUNCTION("""COMPUTED_VALUE"""),"")</f>
        <v/>
      </c>
      <c r="V483" s="170" t="str">
        <f>IFERROR(__xludf.DUMMYFUNCTION("""COMPUTED_VALUE"""),"")</f>
        <v/>
      </c>
      <c r="W483" s="171" t="str">
        <f>IFERROR(__xludf.DUMMYFUNCTION("""COMPUTED_VALUE"""),"")</f>
        <v/>
      </c>
      <c r="X483" s="14" t="str">
        <f>IFERROR(__xludf.DUMMYFUNCTION("""COMPUTED_VALUE"""),"")</f>
        <v/>
      </c>
      <c r="Y483" s="14" t="str">
        <f>IFERROR(__xludf.DUMMYFUNCTION("""COMPUTED_VALUE"""),"")</f>
        <v/>
      </c>
      <c r="Z483" s="11" t="str">
        <f>IFERROR(__xludf.DUMMYFUNCTION("""COMPUTED_VALUE"""),"")</f>
        <v/>
      </c>
    </row>
    <row r="484">
      <c r="A484" s="35" t="str">
        <f>IFERROR(__xludf.DUMMYFUNCTION("""COMPUTED_VALUE"""),"")</f>
        <v/>
      </c>
      <c r="B484" s="35" t="str">
        <f>IFERROR(__xludf.DUMMYFUNCTION("""COMPUTED_VALUE"""),"39776")</f>
        <v>39776</v>
      </c>
      <c r="C484" s="172">
        <f>IFERROR(__xludf.DUMMYFUNCTION("""COMPUTED_VALUE"""),4.4659001256E10)</f>
        <v>44659001256</v>
      </c>
      <c r="D484" s="190" t="str">
        <f>IFERROR(__xludf.DUMMYFUNCTION("""COMPUTED_VALUE"""),"3800.HK")</f>
        <v>3800.HK</v>
      </c>
      <c r="E484" s="173">
        <f>IFERROR(__xludf.DUMMYFUNCTION("""COMPUTED_VALUE"""),44659.0)</f>
        <v>44659</v>
      </c>
      <c r="F484" s="35" t="str">
        <f>IFERROR(__xludf.DUMMYFUNCTION("""COMPUTED_VALUE"""),"Stock")</f>
        <v>Stock</v>
      </c>
      <c r="G484" s="35" t="str">
        <f>IFERROR(__xludf.DUMMYFUNCTION("""COMPUTED_VALUE"""),"HKD")</f>
        <v>HKD</v>
      </c>
      <c r="H484" s="181">
        <f>IFERROR(__xludf.DUMMYFUNCTION("""COMPUTED_VALUE"""),0.0)</f>
        <v>0</v>
      </c>
      <c r="I484" s="174">
        <f>IFERROR(__xludf.DUMMYFUNCTION("""COMPUTED_VALUE"""),1.0)</f>
        <v>1</v>
      </c>
      <c r="J484" s="175">
        <f>IFERROR(__xludf.DUMMYFUNCTION("""COMPUTED_VALUE"""),0.0)</f>
        <v>0</v>
      </c>
      <c r="K484" s="35"/>
      <c r="L484" s="175">
        <f>IFERROR(__xludf.DUMMYFUNCTION("""COMPUTED_VALUE"""),2.51)</f>
        <v>2.51</v>
      </c>
      <c r="M484" s="182" t="str">
        <f>IFERROR(__xludf.DUMMYFUNCTION("""COMPUTED_VALUE"""),"Equity Key Stats")</f>
        <v>Equity Key Stats</v>
      </c>
      <c r="N484" s="35"/>
      <c r="O484" s="35"/>
      <c r="P484" s="184">
        <f>IFERROR(__xludf.DUMMYFUNCTION("""COMPUTED_VALUE"""),0.0)</f>
        <v>0</v>
      </c>
      <c r="Q484" s="177"/>
      <c r="R484" s="178">
        <f>IFERROR(__xludf.DUMMYFUNCTION("""COMPUTED_VALUE"""),2.51)</f>
        <v>2.51</v>
      </c>
      <c r="S484" s="176">
        <f>IFERROR(__xludf.DUMMYFUNCTION("""COMPUTED_VALUE"""),0.0)</f>
        <v>0</v>
      </c>
      <c r="T484" s="95">
        <f>IFERROR(__xludf.DUMMYFUNCTION("""COMPUTED_VALUE"""),7.0)</f>
        <v>7</v>
      </c>
      <c r="U484" s="35" t="str">
        <f>IFERROR(__xludf.DUMMYFUNCTION("""COMPUTED_VALUE"""),"")</f>
        <v/>
      </c>
      <c r="V484" s="170" t="str">
        <f>IFERROR(__xludf.DUMMYFUNCTION("""COMPUTED_VALUE"""),"")</f>
        <v/>
      </c>
      <c r="W484" s="171" t="str">
        <f>IFERROR(__xludf.DUMMYFUNCTION("""COMPUTED_VALUE"""),"")</f>
        <v/>
      </c>
      <c r="X484" s="14" t="str">
        <f>IFERROR(__xludf.DUMMYFUNCTION("""COMPUTED_VALUE"""),"")</f>
        <v/>
      </c>
      <c r="Y484" s="14" t="str">
        <f>IFERROR(__xludf.DUMMYFUNCTION("""COMPUTED_VALUE"""),"")</f>
        <v/>
      </c>
      <c r="Z484" s="11" t="str">
        <f>IFERROR(__xludf.DUMMYFUNCTION("""COMPUTED_VALUE"""),"")</f>
        <v/>
      </c>
    </row>
    <row r="485">
      <c r="A485" s="35" t="str">
        <f>IFERROR(__xludf.DUMMYFUNCTION("""COMPUTED_VALUE"""),"")</f>
        <v/>
      </c>
      <c r="B485" s="35" t="str">
        <f>IFERROR(__xludf.DUMMYFUNCTION("""COMPUTED_VALUE"""),"39776")</f>
        <v>39776</v>
      </c>
      <c r="C485" s="172">
        <f>IFERROR(__xludf.DUMMYFUNCTION("""COMPUTED_VALUE"""),4.4659001257E10)</f>
        <v>44659001257</v>
      </c>
      <c r="D485" s="190" t="str">
        <f>IFERROR(__xludf.DUMMYFUNCTION("""COMPUTED_VALUE"""),"9858.HK")</f>
        <v>9858.HK</v>
      </c>
      <c r="E485" s="173">
        <f>IFERROR(__xludf.DUMMYFUNCTION("""COMPUTED_VALUE"""),44659.0)</f>
        <v>44659</v>
      </c>
      <c r="F485" s="35" t="str">
        <f>IFERROR(__xludf.DUMMYFUNCTION("""COMPUTED_VALUE"""),"Stock")</f>
        <v>Stock</v>
      </c>
      <c r="G485" s="35" t="str">
        <f>IFERROR(__xludf.DUMMYFUNCTION("""COMPUTED_VALUE"""),"HKD")</f>
        <v>HKD</v>
      </c>
      <c r="H485" s="183">
        <f>IFERROR(__xludf.DUMMYFUNCTION("""COMPUTED_VALUE"""),0.0)</f>
        <v>0</v>
      </c>
      <c r="I485" s="174">
        <f>IFERROR(__xludf.DUMMYFUNCTION("""COMPUTED_VALUE"""),1.0)</f>
        <v>1</v>
      </c>
      <c r="J485" s="175">
        <f>IFERROR(__xludf.DUMMYFUNCTION("""COMPUTED_VALUE"""),0.0)</f>
        <v>0</v>
      </c>
      <c r="K485" s="35"/>
      <c r="L485" s="175">
        <f>IFERROR(__xludf.DUMMYFUNCTION("""COMPUTED_VALUE"""),3.42)</f>
        <v>3.42</v>
      </c>
      <c r="M485" s="187" t="str">
        <f>IFERROR(__xludf.DUMMYFUNCTION("""COMPUTED_VALUE"""),"Equity Key Stats")</f>
        <v>Equity Key Stats</v>
      </c>
      <c r="N485" s="35"/>
      <c r="O485" s="35"/>
      <c r="P485" s="176">
        <f>IFERROR(__xludf.DUMMYFUNCTION("""COMPUTED_VALUE"""),0.0)</f>
        <v>0</v>
      </c>
      <c r="Q485" s="177"/>
      <c r="R485" s="178">
        <f>IFERROR(__xludf.DUMMYFUNCTION("""COMPUTED_VALUE"""),3.42)</f>
        <v>3.42</v>
      </c>
      <c r="S485" s="176">
        <f>IFERROR(__xludf.DUMMYFUNCTION("""COMPUTED_VALUE"""),0.0)</f>
        <v>0</v>
      </c>
      <c r="T485" s="95">
        <f>IFERROR(__xludf.DUMMYFUNCTION("""COMPUTED_VALUE"""),2.0)</f>
        <v>2</v>
      </c>
      <c r="U485" s="95" t="str">
        <f>IFERROR(__xludf.DUMMYFUNCTION("""COMPUTED_VALUE"""),"")</f>
        <v/>
      </c>
      <c r="V485" s="185" t="str">
        <f>IFERROR(__xludf.DUMMYFUNCTION("""COMPUTED_VALUE"""),"")</f>
        <v/>
      </c>
      <c r="W485" s="171" t="str">
        <f>IFERROR(__xludf.DUMMYFUNCTION("""COMPUTED_VALUE"""),"")</f>
        <v/>
      </c>
      <c r="X485" s="14" t="str">
        <f>IFERROR(__xludf.DUMMYFUNCTION("""COMPUTED_VALUE"""),"")</f>
        <v/>
      </c>
      <c r="Y485" s="14" t="str">
        <f>IFERROR(__xludf.DUMMYFUNCTION("""COMPUTED_VALUE"""),"")</f>
        <v/>
      </c>
      <c r="Z485" s="11" t="str">
        <f>IFERROR(__xludf.DUMMYFUNCTION("""COMPUTED_VALUE"""),"")</f>
        <v/>
      </c>
    </row>
    <row r="486">
      <c r="A486" s="35" t="str">
        <f>IFERROR(__xludf.DUMMYFUNCTION("""COMPUTED_VALUE"""),"")</f>
        <v/>
      </c>
      <c r="B486" s="35" t="str">
        <f>IFERROR(__xludf.DUMMYFUNCTION("""COMPUTED_VALUE"""),"39776")</f>
        <v>39776</v>
      </c>
      <c r="C486" s="172">
        <f>IFERROR(__xludf.DUMMYFUNCTION("""COMPUTED_VALUE"""),4.465900126E10)</f>
        <v>44659001260</v>
      </c>
      <c r="D486" s="190" t="str">
        <f>IFERROR(__xludf.DUMMYFUNCTION("""COMPUTED_VALUE"""),"3800.HK")</f>
        <v>3800.HK</v>
      </c>
      <c r="E486" s="173">
        <f>IFERROR(__xludf.DUMMYFUNCTION("""COMPUTED_VALUE"""),44659.0)</f>
        <v>44659</v>
      </c>
      <c r="F486" s="35" t="str">
        <f>IFERROR(__xludf.DUMMYFUNCTION("""COMPUTED_VALUE"""),"Stock")</f>
        <v>Stock</v>
      </c>
      <c r="G486" s="35" t="str">
        <f>IFERROR(__xludf.DUMMYFUNCTION("""COMPUTED_VALUE"""),"HKD")</f>
        <v>HKD</v>
      </c>
      <c r="H486" s="181">
        <f>IFERROR(__xludf.DUMMYFUNCTION("""COMPUTED_VALUE"""),10000.0)</f>
        <v>10000</v>
      </c>
      <c r="I486" s="174">
        <f>IFERROR(__xludf.DUMMYFUNCTION("""COMPUTED_VALUE"""),1.0)</f>
        <v>1</v>
      </c>
      <c r="J486" s="175">
        <f>IFERROR(__xludf.DUMMYFUNCTION("""COMPUTED_VALUE"""),2.51)</f>
        <v>2.51</v>
      </c>
      <c r="K486" s="35"/>
      <c r="L486" s="175">
        <f>IFERROR(__xludf.DUMMYFUNCTION("""COMPUTED_VALUE"""),2.51)</f>
        <v>2.51</v>
      </c>
      <c r="M486" s="187" t="str">
        <f>IFERROR(__xludf.DUMMYFUNCTION("""COMPUTED_VALUE"""),"Equity Key Stats")</f>
        <v>Equity Key Stats</v>
      </c>
      <c r="N486" s="35"/>
      <c r="O486" s="35"/>
      <c r="P486" s="184">
        <f>IFERROR(__xludf.DUMMYFUNCTION("""COMPUTED_VALUE"""),-25099.999999999996)</f>
        <v>-25100</v>
      </c>
      <c r="Q486" s="177"/>
      <c r="R486" s="178">
        <f>IFERROR(__xludf.DUMMYFUNCTION("""COMPUTED_VALUE"""),2.51)</f>
        <v>2.51</v>
      </c>
      <c r="S486" s="176">
        <f>IFERROR(__xludf.DUMMYFUNCTION("""COMPUTED_VALUE"""),25099.999999999996)</f>
        <v>25100</v>
      </c>
      <c r="T486" s="95">
        <f>IFERROR(__xludf.DUMMYFUNCTION("""COMPUTED_VALUE"""),7.0)</f>
        <v>7</v>
      </c>
      <c r="U486" s="35" t="str">
        <f>IFERROR(__xludf.DUMMYFUNCTION("""COMPUTED_VALUE"""),"")</f>
        <v/>
      </c>
      <c r="V486" s="170" t="str">
        <f>IFERROR(__xludf.DUMMYFUNCTION("""COMPUTED_VALUE"""),"")</f>
        <v/>
      </c>
      <c r="W486" s="171" t="str">
        <f>IFERROR(__xludf.DUMMYFUNCTION("""COMPUTED_VALUE"""),"")</f>
        <v/>
      </c>
      <c r="X486" s="14" t="str">
        <f>IFERROR(__xludf.DUMMYFUNCTION("""COMPUTED_VALUE"""),"")</f>
        <v/>
      </c>
      <c r="Y486" s="14" t="str">
        <f>IFERROR(__xludf.DUMMYFUNCTION("""COMPUTED_VALUE"""),"")</f>
        <v/>
      </c>
      <c r="Z486" s="11" t="str">
        <f>IFERROR(__xludf.DUMMYFUNCTION("""COMPUTED_VALUE"""),"")</f>
        <v/>
      </c>
    </row>
    <row r="487">
      <c r="A487" s="35" t="str">
        <f>IFERROR(__xludf.DUMMYFUNCTION("""COMPUTED_VALUE"""),"")</f>
        <v/>
      </c>
      <c r="B487" s="35" t="str">
        <f>IFERROR(__xludf.DUMMYFUNCTION("""COMPUTED_VALUE"""),"39776")</f>
        <v>39776</v>
      </c>
      <c r="C487" s="172">
        <f>IFERROR(__xludf.DUMMYFUNCTION("""COMPUTED_VALUE"""),4.4659001261E10)</f>
        <v>44659001261</v>
      </c>
      <c r="D487" s="191" t="str">
        <f>IFERROR(__xludf.DUMMYFUNCTION("""COMPUTED_VALUE"""),"9858.HK")</f>
        <v>9858.HK</v>
      </c>
      <c r="E487" s="173">
        <f>IFERROR(__xludf.DUMMYFUNCTION("""COMPUTED_VALUE"""),44659.0)</f>
        <v>44659</v>
      </c>
      <c r="F487" s="35" t="str">
        <f>IFERROR(__xludf.DUMMYFUNCTION("""COMPUTED_VALUE"""),"Stock")</f>
        <v>Stock</v>
      </c>
      <c r="G487" s="35" t="str">
        <f>IFERROR(__xludf.DUMMYFUNCTION("""COMPUTED_VALUE"""),"HKD")</f>
        <v>HKD</v>
      </c>
      <c r="H487" s="183">
        <f>IFERROR(__xludf.DUMMYFUNCTION("""COMPUTED_VALUE"""),0.0)</f>
        <v>0</v>
      </c>
      <c r="I487" s="174">
        <f>IFERROR(__xludf.DUMMYFUNCTION("""COMPUTED_VALUE"""),1.0)</f>
        <v>1</v>
      </c>
      <c r="J487" s="175">
        <f>IFERROR(__xludf.DUMMYFUNCTION("""COMPUTED_VALUE"""),0.0)</f>
        <v>0</v>
      </c>
      <c r="K487" s="35"/>
      <c r="L487" s="175">
        <f>IFERROR(__xludf.DUMMYFUNCTION("""COMPUTED_VALUE"""),3.42)</f>
        <v>3.42</v>
      </c>
      <c r="M487" s="182" t="str">
        <f>IFERROR(__xludf.DUMMYFUNCTION("""COMPUTED_VALUE"""),"Equity Key Stats")</f>
        <v>Equity Key Stats</v>
      </c>
      <c r="N487" s="35"/>
      <c r="O487" s="35"/>
      <c r="P487" s="176">
        <f>IFERROR(__xludf.DUMMYFUNCTION("""COMPUTED_VALUE"""),0.0)</f>
        <v>0</v>
      </c>
      <c r="Q487" s="177"/>
      <c r="R487" s="178">
        <f>IFERROR(__xludf.DUMMYFUNCTION("""COMPUTED_VALUE"""),3.42)</f>
        <v>3.42</v>
      </c>
      <c r="S487" s="184">
        <f>IFERROR(__xludf.DUMMYFUNCTION("""COMPUTED_VALUE"""),0.0)</f>
        <v>0</v>
      </c>
      <c r="T487" s="95">
        <f>IFERROR(__xludf.DUMMYFUNCTION("""COMPUTED_VALUE"""),2.0)</f>
        <v>2</v>
      </c>
      <c r="U487" s="95">
        <f>IFERROR(__xludf.DUMMYFUNCTION("""COMPUTED_VALUE"""),1.0)</f>
        <v>1</v>
      </c>
      <c r="V487" s="179">
        <f>IFERROR(__xludf.DUMMYFUNCTION("""COMPUTED_VALUE"""),0.0)</f>
        <v>0</v>
      </c>
      <c r="W487" s="171" t="str">
        <f>IFERROR(__xludf.DUMMYFUNCTION("""COMPUTED_VALUE"""),"")</f>
        <v/>
      </c>
      <c r="X487" s="14" t="str">
        <f>IFERROR(__xludf.DUMMYFUNCTION("""COMPUTED_VALUE"""),"")</f>
        <v/>
      </c>
      <c r="Y487" s="14" t="str">
        <f>IFERROR(__xludf.DUMMYFUNCTION("""COMPUTED_VALUE"""),"")</f>
        <v/>
      </c>
      <c r="Z487" s="11" t="str">
        <f>IFERROR(__xludf.DUMMYFUNCTION("""COMPUTED_VALUE"""),"")</f>
        <v/>
      </c>
    </row>
    <row r="488">
      <c r="A488" s="35" t="str">
        <f>IFERROR(__xludf.DUMMYFUNCTION("""COMPUTED_VALUE"""),"")</f>
        <v/>
      </c>
      <c r="B488" s="35" t="str">
        <f>IFERROR(__xludf.DUMMYFUNCTION("""COMPUTED_VALUE"""),"39776")</f>
        <v>39776</v>
      </c>
      <c r="C488" s="172">
        <f>IFERROR(__xludf.DUMMYFUNCTION("""COMPUTED_VALUE"""),4.466200133E10)</f>
        <v>44662001330</v>
      </c>
      <c r="D488" s="191" t="str">
        <f>IFERROR(__xludf.DUMMYFUNCTION("""COMPUTED_VALUE"""),"3800.HK")</f>
        <v>3800.HK</v>
      </c>
      <c r="E488" s="173">
        <f>IFERROR(__xludf.DUMMYFUNCTION("""COMPUTED_VALUE"""),44662.0)</f>
        <v>44662</v>
      </c>
      <c r="F488" s="35" t="str">
        <f>IFERROR(__xludf.DUMMYFUNCTION("""COMPUTED_VALUE"""),"Stock")</f>
        <v>Stock</v>
      </c>
      <c r="G488" s="35" t="str">
        <f>IFERROR(__xludf.DUMMYFUNCTION("""COMPUTED_VALUE"""),"HKD")</f>
        <v>HKD</v>
      </c>
      <c r="H488" s="181">
        <f>IFERROR(__xludf.DUMMYFUNCTION("""COMPUTED_VALUE"""),0.0)</f>
        <v>0</v>
      </c>
      <c r="I488" s="174">
        <f>IFERROR(__xludf.DUMMYFUNCTION("""COMPUTED_VALUE"""),1.0)</f>
        <v>1</v>
      </c>
      <c r="J488" s="175">
        <f>IFERROR(__xludf.DUMMYFUNCTION("""COMPUTED_VALUE"""),0.0)</f>
        <v>0</v>
      </c>
      <c r="K488" s="35"/>
      <c r="L488" s="175">
        <f>IFERROR(__xludf.DUMMYFUNCTION("""COMPUTED_VALUE"""),2.51)</f>
        <v>2.51</v>
      </c>
      <c r="M488" s="182" t="str">
        <f>IFERROR(__xludf.DUMMYFUNCTION("""COMPUTED_VALUE"""),"Equity Key Stats")</f>
        <v>Equity Key Stats</v>
      </c>
      <c r="N488" s="35"/>
      <c r="O488" s="35"/>
      <c r="P488" s="184">
        <f>IFERROR(__xludf.DUMMYFUNCTION("""COMPUTED_VALUE"""),0.0)</f>
        <v>0</v>
      </c>
      <c r="Q488" s="177"/>
      <c r="R488" s="178">
        <f>IFERROR(__xludf.DUMMYFUNCTION("""COMPUTED_VALUE"""),2.51)</f>
        <v>2.51</v>
      </c>
      <c r="S488" s="176">
        <f>IFERROR(__xludf.DUMMYFUNCTION("""COMPUTED_VALUE"""),0.0)</f>
        <v>0</v>
      </c>
      <c r="T488" s="95">
        <f>IFERROR(__xludf.DUMMYFUNCTION("""COMPUTED_VALUE"""),7.0)</f>
        <v>7</v>
      </c>
      <c r="U488" s="95">
        <f>IFERROR(__xludf.DUMMYFUNCTION("""COMPUTED_VALUE"""),1.0)</f>
        <v>1</v>
      </c>
      <c r="V488" s="185">
        <f>IFERROR(__xludf.DUMMYFUNCTION("""COMPUTED_VALUE"""),-2300.0000000000073)</f>
        <v>-2300</v>
      </c>
      <c r="W488" s="171" t="str">
        <f>IFERROR(__xludf.DUMMYFUNCTION("""COMPUTED_VALUE"""),"")</f>
        <v/>
      </c>
      <c r="X488" s="14" t="str">
        <f>IFERROR(__xludf.DUMMYFUNCTION("""COMPUTED_VALUE"""),"")</f>
        <v/>
      </c>
      <c r="Y488" s="14" t="str">
        <f>IFERROR(__xludf.DUMMYFUNCTION("""COMPUTED_VALUE"""),"")</f>
        <v/>
      </c>
      <c r="Z488" s="11" t="str">
        <f>IFERROR(__xludf.DUMMYFUNCTION("""COMPUTED_VALUE"""),"")</f>
        <v/>
      </c>
    </row>
    <row r="489">
      <c r="A489" s="35" t="str">
        <f>IFERROR(__xludf.DUMMYFUNCTION("""COMPUTED_VALUE"""),"")</f>
        <v/>
      </c>
      <c r="B489" s="35" t="str">
        <f>IFERROR(__xludf.DUMMYFUNCTION("""COMPUTED_VALUE"""),"39776")</f>
        <v>39776</v>
      </c>
      <c r="C489" s="172">
        <f>IFERROR(__xludf.DUMMYFUNCTION("""COMPUTED_VALUE"""),4.4662001339E10)</f>
        <v>44662001339</v>
      </c>
      <c r="D489" s="190" t="str">
        <f>IFERROR(__xludf.DUMMYFUNCTION("""COMPUTED_VALUE"""),"2319.HK")</f>
        <v>2319.HK</v>
      </c>
      <c r="E489" s="173">
        <f>IFERROR(__xludf.DUMMYFUNCTION("""COMPUTED_VALUE"""),44662.0)</f>
        <v>44662</v>
      </c>
      <c r="F489" s="35" t="str">
        <f>IFERROR(__xludf.DUMMYFUNCTION("""COMPUTED_VALUE"""),"Stock")</f>
        <v>Stock</v>
      </c>
      <c r="G489" s="35" t="str">
        <f>IFERROR(__xludf.DUMMYFUNCTION("""COMPUTED_VALUE"""),"HKD")</f>
        <v>HKD</v>
      </c>
      <c r="H489" s="181">
        <f>IFERROR(__xludf.DUMMYFUNCTION("""COMPUTED_VALUE"""),0.0)</f>
        <v>0</v>
      </c>
      <c r="I489" s="174">
        <f>IFERROR(__xludf.DUMMYFUNCTION("""COMPUTED_VALUE"""),1.0)</f>
        <v>1</v>
      </c>
      <c r="J489" s="175">
        <f>IFERROR(__xludf.DUMMYFUNCTION("""COMPUTED_VALUE"""),0.0)</f>
        <v>0</v>
      </c>
      <c r="K489" s="35"/>
      <c r="L489" s="175">
        <f>IFERROR(__xludf.DUMMYFUNCTION("""COMPUTED_VALUE"""),42.6)</f>
        <v>42.6</v>
      </c>
      <c r="M489" s="187" t="str">
        <f>IFERROR(__xludf.DUMMYFUNCTION("""COMPUTED_VALUE"""),"Equity Key Stats")</f>
        <v>Equity Key Stats</v>
      </c>
      <c r="N489" s="35"/>
      <c r="O489" s="35"/>
      <c r="P489" s="184">
        <f>IFERROR(__xludf.DUMMYFUNCTION("""COMPUTED_VALUE"""),0.0)</f>
        <v>0</v>
      </c>
      <c r="Q489" s="177"/>
      <c r="R489" s="178">
        <f>IFERROR(__xludf.DUMMYFUNCTION("""COMPUTED_VALUE"""),42.6)</f>
        <v>42.6</v>
      </c>
      <c r="S489" s="176">
        <f>IFERROR(__xludf.DUMMYFUNCTION("""COMPUTED_VALUE"""),0.0)</f>
        <v>0</v>
      </c>
      <c r="T489" s="95">
        <f>IFERROR(__xludf.DUMMYFUNCTION("""COMPUTED_VALUE"""),2.0)</f>
        <v>2</v>
      </c>
      <c r="U489" s="35">
        <f>IFERROR(__xludf.DUMMYFUNCTION("""COMPUTED_VALUE"""),1.0)</f>
        <v>1</v>
      </c>
      <c r="V489" s="170">
        <f>IFERROR(__xludf.DUMMYFUNCTION("""COMPUTED_VALUE"""),50.0)</f>
        <v>50</v>
      </c>
      <c r="W489" s="171" t="str">
        <f>IFERROR(__xludf.DUMMYFUNCTION("""COMPUTED_VALUE"""),"")</f>
        <v/>
      </c>
      <c r="X489" s="14" t="str">
        <f>IFERROR(__xludf.DUMMYFUNCTION("""COMPUTED_VALUE"""),"")</f>
        <v/>
      </c>
      <c r="Y489" s="14" t="str">
        <f>IFERROR(__xludf.DUMMYFUNCTION("""COMPUTED_VALUE"""),"")</f>
        <v/>
      </c>
      <c r="Z489" s="11" t="str">
        <f>IFERROR(__xludf.DUMMYFUNCTION("""COMPUTED_VALUE"""),"")</f>
        <v/>
      </c>
    </row>
    <row r="490">
      <c r="A490" s="35" t="str">
        <f>IFERROR(__xludf.DUMMYFUNCTION("""COMPUTED_VALUE"""),"39776")</f>
        <v>39776</v>
      </c>
      <c r="B490" s="35" t="str">
        <f>IFERROR(__xludf.DUMMYFUNCTION("""COMPUTED_VALUE"""),"39776")</f>
        <v>39776</v>
      </c>
      <c r="C490" s="172">
        <f>IFERROR(__xludf.DUMMYFUNCTION("""COMPUTED_VALUE"""),4.4662001342E10)</f>
        <v>44662001342</v>
      </c>
      <c r="D490" s="190" t="str">
        <f>IFERROR(__xludf.DUMMYFUNCTION("""COMPUTED_VALUE"""),"0570.HK")</f>
        <v>0570.HK</v>
      </c>
      <c r="E490" s="173">
        <f>IFERROR(__xludf.DUMMYFUNCTION("""COMPUTED_VALUE"""),44662.0)</f>
        <v>44662</v>
      </c>
      <c r="F490" s="35" t="str">
        <f>IFERROR(__xludf.DUMMYFUNCTION("""COMPUTED_VALUE"""),"Stock")</f>
        <v>Stock</v>
      </c>
      <c r="G490" s="35" t="str">
        <f>IFERROR(__xludf.DUMMYFUNCTION("""COMPUTED_VALUE"""),"HKD")</f>
        <v>HKD</v>
      </c>
      <c r="H490" s="181">
        <f>IFERROR(__xludf.DUMMYFUNCTION("""COMPUTED_VALUE"""),0.0)</f>
        <v>0</v>
      </c>
      <c r="I490" s="174">
        <f>IFERROR(__xludf.DUMMYFUNCTION("""COMPUTED_VALUE"""),1.0)</f>
        <v>1</v>
      </c>
      <c r="J490" s="175">
        <f>IFERROR(__xludf.DUMMYFUNCTION("""COMPUTED_VALUE"""),0.0)</f>
        <v>0</v>
      </c>
      <c r="K490" s="35"/>
      <c r="L490" s="175">
        <f>IFERROR(__xludf.DUMMYFUNCTION("""COMPUTED_VALUE"""),3.89)</f>
        <v>3.89</v>
      </c>
      <c r="M490" s="182" t="str">
        <f>IFERROR(__xludf.DUMMYFUNCTION("""COMPUTED_VALUE"""),"Equity Key Stats")</f>
        <v>Equity Key Stats</v>
      </c>
      <c r="N490" s="35"/>
      <c r="O490" s="35"/>
      <c r="P490" s="184">
        <f>IFERROR(__xludf.DUMMYFUNCTION("""COMPUTED_VALUE"""),0.0)</f>
        <v>0</v>
      </c>
      <c r="Q490" s="177"/>
      <c r="R490" s="178">
        <f>IFERROR(__xludf.DUMMYFUNCTION("""COMPUTED_VALUE"""),3.89)</f>
        <v>3.89</v>
      </c>
      <c r="S490" s="176">
        <f>IFERROR(__xludf.DUMMYFUNCTION("""COMPUTED_VALUE"""),0.0)</f>
        <v>0</v>
      </c>
      <c r="T490" s="95">
        <f>IFERROR(__xludf.DUMMYFUNCTION("""COMPUTED_VALUE"""),1.0)</f>
        <v>1</v>
      </c>
      <c r="U490" s="35">
        <f>IFERROR(__xludf.DUMMYFUNCTION("""COMPUTED_VALUE"""),1.0)</f>
        <v>1</v>
      </c>
      <c r="V490" s="170">
        <f>IFERROR(__xludf.DUMMYFUNCTION("""COMPUTED_VALUE"""),0.0)</f>
        <v>0</v>
      </c>
      <c r="W490" s="171">
        <f>IFERROR(__xludf.DUMMYFUNCTION("""COMPUTED_VALUE"""),501350.0)</f>
        <v>501350</v>
      </c>
      <c r="X490" s="14">
        <f>IFERROR(__xludf.DUMMYFUNCTION("""COMPUTED_VALUE"""),370600.0)</f>
        <v>370600</v>
      </c>
      <c r="Y490" s="14">
        <f>IFERROR(__xludf.DUMMYFUNCTION("""COMPUTED_VALUE"""),0.0)</f>
        <v>0</v>
      </c>
      <c r="Z490" s="11">
        <f>IFERROR(__xludf.DUMMYFUNCTION("""COMPUTED_VALUE"""),0.0026999999999999247)</f>
        <v>0.0027</v>
      </c>
    </row>
    <row r="491">
      <c r="A491" s="35" t="str">
        <f>IFERROR(__xludf.DUMMYFUNCTION("""COMPUTED_VALUE"""),"")</f>
        <v/>
      </c>
      <c r="B491" s="35" t="str">
        <f>IFERROR(__xludf.DUMMYFUNCTION("""COMPUTED_VALUE"""),"39815")</f>
        <v>39815</v>
      </c>
      <c r="C491" s="172">
        <f>IFERROR(__xludf.DUMMYFUNCTION("""COMPUTED_VALUE"""),4.4597000029E10)</f>
        <v>44597000029</v>
      </c>
      <c r="D491" s="135" t="str">
        <f>IFERROR(__xludf.DUMMYFUNCTION("""COMPUTED_VALUE"""),"Cash")</f>
        <v>Cash</v>
      </c>
      <c r="E491" s="173">
        <f>IFERROR(__xludf.DUMMYFUNCTION("""COMPUTED_VALUE"""),44597.0)</f>
        <v>44597</v>
      </c>
      <c r="F491" s="35" t="str">
        <f>IFERROR(__xludf.DUMMYFUNCTION("""COMPUTED_VALUE"""),"Cash")</f>
        <v>Cash</v>
      </c>
      <c r="G491" s="35" t="str">
        <f>IFERROR(__xludf.DUMMYFUNCTION("""COMPUTED_VALUE"""),"HKD")</f>
        <v>HKD</v>
      </c>
      <c r="H491" s="181" t="str">
        <f>IFERROR(__xludf.DUMMYFUNCTION("""COMPUTED_VALUE"""),"")</f>
        <v/>
      </c>
      <c r="I491" s="174">
        <f>IFERROR(__xludf.DUMMYFUNCTION("""COMPUTED_VALUE"""),1.0)</f>
        <v>1</v>
      </c>
      <c r="J491" s="175">
        <f>IFERROR(__xludf.DUMMYFUNCTION("""COMPUTED_VALUE"""),1.0)</f>
        <v>1</v>
      </c>
      <c r="K491" s="35"/>
      <c r="L491" s="175">
        <f>IFERROR(__xludf.DUMMYFUNCTION("""COMPUTED_VALUE"""),1.0)</f>
        <v>1</v>
      </c>
      <c r="M491" s="182" t="str">
        <f>IFERROR(__xludf.DUMMYFUNCTION("""COMPUTED_VALUE"""),"")</f>
        <v/>
      </c>
      <c r="N491" s="35"/>
      <c r="O491" s="35"/>
      <c r="P491" s="184">
        <f>IFERROR(__xludf.DUMMYFUNCTION("""COMPUTED_VALUE"""),500000.0)</f>
        <v>500000</v>
      </c>
      <c r="Q491" s="177"/>
      <c r="R491" s="178">
        <f>IFERROR(__xludf.DUMMYFUNCTION("""COMPUTED_VALUE"""),1.0)</f>
        <v>1</v>
      </c>
      <c r="S491" s="176" t="str">
        <f>IFERROR(__xludf.DUMMYFUNCTION("""COMPUTED_VALUE"""),"")</f>
        <v/>
      </c>
      <c r="T491" s="95">
        <f>IFERROR(__xludf.DUMMYFUNCTION("""COMPUTED_VALUE"""),1.0)</f>
        <v>1</v>
      </c>
      <c r="U491" s="35">
        <f>IFERROR(__xludf.DUMMYFUNCTION("""COMPUTED_VALUE"""),1.0)</f>
        <v>1</v>
      </c>
      <c r="V491" s="170">
        <f>IFERROR(__xludf.DUMMYFUNCTION("""COMPUTED_VALUE"""),500000.0)</f>
        <v>500000</v>
      </c>
      <c r="W491" s="171" t="str">
        <f>IFERROR(__xludf.DUMMYFUNCTION("""COMPUTED_VALUE"""),"")</f>
        <v/>
      </c>
      <c r="X491" s="14" t="str">
        <f>IFERROR(__xludf.DUMMYFUNCTION("""COMPUTED_VALUE"""),"")</f>
        <v/>
      </c>
      <c r="Y491" s="14" t="str">
        <f>IFERROR(__xludf.DUMMYFUNCTION("""COMPUTED_VALUE"""),"")</f>
        <v/>
      </c>
      <c r="Z491" s="11" t="str">
        <f>IFERROR(__xludf.DUMMYFUNCTION("""COMPUTED_VALUE"""),"")</f>
        <v/>
      </c>
    </row>
    <row r="492">
      <c r="A492" s="35" t="str">
        <f>IFERROR(__xludf.DUMMYFUNCTION("""COMPUTED_VALUE"""),"")</f>
        <v/>
      </c>
      <c r="B492" s="35" t="str">
        <f>IFERROR(__xludf.DUMMYFUNCTION("""COMPUTED_VALUE"""),"39815")</f>
        <v>39815</v>
      </c>
      <c r="C492" s="172">
        <f>IFERROR(__xludf.DUMMYFUNCTION("""COMPUTED_VALUE"""),4.465800122E10)</f>
        <v>44658001220</v>
      </c>
      <c r="D492" s="135" t="str">
        <f>IFERROR(__xludf.DUMMYFUNCTION("""COMPUTED_VALUE"""),"A")</f>
        <v>A</v>
      </c>
      <c r="E492" s="173">
        <f>IFERROR(__xludf.DUMMYFUNCTION("""COMPUTED_VALUE"""),44658.0)</f>
        <v>44658</v>
      </c>
      <c r="F492" s="35" t="str">
        <f>IFERROR(__xludf.DUMMYFUNCTION("""COMPUTED_VALUE"""),"Stock")</f>
        <v>Stock</v>
      </c>
      <c r="G492" s="35" t="str">
        <f>IFERROR(__xludf.DUMMYFUNCTION("""COMPUTED_VALUE"""),"USD")</f>
        <v>USD</v>
      </c>
      <c r="H492" s="181">
        <f>IFERROR(__xludf.DUMMYFUNCTION("""COMPUTED_VALUE"""),0.0)</f>
        <v>0</v>
      </c>
      <c r="I492" s="174">
        <f>IFERROR(__xludf.DUMMYFUNCTION("""COMPUTED_VALUE"""),7.836645)</f>
        <v>7.836645</v>
      </c>
      <c r="J492" s="175">
        <f>IFERROR(__xludf.DUMMYFUNCTION("""COMPUTED_VALUE"""),0.0)</f>
        <v>0</v>
      </c>
      <c r="K492" s="35"/>
      <c r="L492" s="175">
        <f>IFERROR(__xludf.DUMMYFUNCTION("""COMPUTED_VALUE"""),128.31)</f>
        <v>128.31</v>
      </c>
      <c r="M492" s="182" t="str">
        <f>IFERROR(__xludf.DUMMYFUNCTION("""COMPUTED_VALUE"""),"Equity Key Stats")</f>
        <v>Equity Key Stats</v>
      </c>
      <c r="N492" s="35"/>
      <c r="O492" s="35"/>
      <c r="P492" s="184">
        <f>IFERROR(__xludf.DUMMYFUNCTION("""COMPUTED_VALUE"""),0.0)</f>
        <v>0</v>
      </c>
      <c r="Q492" s="177"/>
      <c r="R492" s="178">
        <f>IFERROR(__xludf.DUMMYFUNCTION("""COMPUTED_VALUE"""),128.31)</f>
        <v>128.31</v>
      </c>
      <c r="S492" s="176">
        <f>IFERROR(__xludf.DUMMYFUNCTION("""COMPUTED_VALUE"""),0.0)</f>
        <v>0</v>
      </c>
      <c r="T492" s="95">
        <f>IFERROR(__xludf.DUMMYFUNCTION("""COMPUTED_VALUE"""),2.0)</f>
        <v>2</v>
      </c>
      <c r="U492" s="35" t="str">
        <f>IFERROR(__xludf.DUMMYFUNCTION("""COMPUTED_VALUE"""),"")</f>
        <v/>
      </c>
      <c r="V492" s="170" t="str">
        <f>IFERROR(__xludf.DUMMYFUNCTION("""COMPUTED_VALUE"""),"")</f>
        <v/>
      </c>
      <c r="W492" s="171" t="str">
        <f>IFERROR(__xludf.DUMMYFUNCTION("""COMPUTED_VALUE"""),"")</f>
        <v/>
      </c>
      <c r="X492" s="14" t="str">
        <f>IFERROR(__xludf.DUMMYFUNCTION("""COMPUTED_VALUE"""),"")</f>
        <v/>
      </c>
      <c r="Y492" s="14" t="str">
        <f>IFERROR(__xludf.DUMMYFUNCTION("""COMPUTED_VALUE"""),"")</f>
        <v/>
      </c>
      <c r="Z492" s="11" t="str">
        <f>IFERROR(__xludf.DUMMYFUNCTION("""COMPUTED_VALUE"""),"")</f>
        <v/>
      </c>
    </row>
    <row r="493">
      <c r="A493" s="35" t="str">
        <f>IFERROR(__xludf.DUMMYFUNCTION("""COMPUTED_VALUE"""),"")</f>
        <v/>
      </c>
      <c r="B493" s="35" t="str">
        <f>IFERROR(__xludf.DUMMYFUNCTION("""COMPUTED_VALUE"""),"39815")</f>
        <v>39815</v>
      </c>
      <c r="C493" s="172">
        <f>IFERROR(__xludf.DUMMYFUNCTION("""COMPUTED_VALUE"""),4.4658001221E10)</f>
        <v>44658001221</v>
      </c>
      <c r="D493" s="135" t="str">
        <f>IFERROR(__xludf.DUMMYFUNCTION("""COMPUTED_VALUE"""),"A")</f>
        <v>A</v>
      </c>
      <c r="E493" s="173">
        <f>IFERROR(__xludf.DUMMYFUNCTION("""COMPUTED_VALUE"""),44658.0)</f>
        <v>44658</v>
      </c>
      <c r="F493" s="35" t="str">
        <f>IFERROR(__xludf.DUMMYFUNCTION("""COMPUTED_VALUE"""),"Stock")</f>
        <v>Stock</v>
      </c>
      <c r="G493" s="35" t="str">
        <f>IFERROR(__xludf.DUMMYFUNCTION("""COMPUTED_VALUE"""),"USD")</f>
        <v>USD</v>
      </c>
      <c r="H493" s="183">
        <f>IFERROR(__xludf.DUMMYFUNCTION("""COMPUTED_VALUE"""),0.0)</f>
        <v>0</v>
      </c>
      <c r="I493" s="174">
        <f>IFERROR(__xludf.DUMMYFUNCTION("""COMPUTED_VALUE"""),7.836645)</f>
        <v>7.836645</v>
      </c>
      <c r="J493" s="175">
        <f>IFERROR(__xludf.DUMMYFUNCTION("""COMPUTED_VALUE"""),0.0)</f>
        <v>0</v>
      </c>
      <c r="K493" s="35"/>
      <c r="L493" s="175">
        <f>IFERROR(__xludf.DUMMYFUNCTION("""COMPUTED_VALUE"""),128.31)</f>
        <v>128.31</v>
      </c>
      <c r="M493" s="182" t="str">
        <f>IFERROR(__xludf.DUMMYFUNCTION("""COMPUTED_VALUE"""),"Equity Key Stats")</f>
        <v>Equity Key Stats</v>
      </c>
      <c r="N493" s="35"/>
      <c r="O493" s="35"/>
      <c r="P493" s="176">
        <f>IFERROR(__xludf.DUMMYFUNCTION("""COMPUTED_VALUE"""),0.0)</f>
        <v>0</v>
      </c>
      <c r="Q493" s="177"/>
      <c r="R493" s="178">
        <f>IFERROR(__xludf.DUMMYFUNCTION("""COMPUTED_VALUE"""),128.31)</f>
        <v>128.31</v>
      </c>
      <c r="S493" s="184">
        <f>IFERROR(__xludf.DUMMYFUNCTION("""COMPUTED_VALUE"""),0.0)</f>
        <v>0</v>
      </c>
      <c r="T493" s="95">
        <f>IFERROR(__xludf.DUMMYFUNCTION("""COMPUTED_VALUE"""),2.0)</f>
        <v>2</v>
      </c>
      <c r="U493" s="35">
        <f>IFERROR(__xludf.DUMMYFUNCTION("""COMPUTED_VALUE"""),1.0)</f>
        <v>1</v>
      </c>
      <c r="V493" s="170">
        <f>IFERROR(__xludf.DUMMYFUNCTION("""COMPUTED_VALUE"""),0.0)</f>
        <v>0</v>
      </c>
      <c r="W493" s="171" t="str">
        <f>IFERROR(__xludf.DUMMYFUNCTION("""COMPUTED_VALUE"""),"")</f>
        <v/>
      </c>
      <c r="X493" s="14" t="str">
        <f>IFERROR(__xludf.DUMMYFUNCTION("""COMPUTED_VALUE"""),"")</f>
        <v/>
      </c>
      <c r="Y493" s="14" t="str">
        <f>IFERROR(__xludf.DUMMYFUNCTION("""COMPUTED_VALUE"""),"")</f>
        <v/>
      </c>
      <c r="Z493" s="11" t="str">
        <f>IFERROR(__xludf.DUMMYFUNCTION("""COMPUTED_VALUE"""),"")</f>
        <v/>
      </c>
    </row>
    <row r="494">
      <c r="A494" s="35" t="str">
        <f>IFERROR(__xludf.DUMMYFUNCTION("""COMPUTED_VALUE"""),"")</f>
        <v/>
      </c>
      <c r="B494" s="35" t="str">
        <f>IFERROR(__xludf.DUMMYFUNCTION("""COMPUTED_VALUE"""),"39815")</f>
        <v>39815</v>
      </c>
      <c r="C494" s="172">
        <f>IFERROR(__xludf.DUMMYFUNCTION("""COMPUTED_VALUE"""),4.4658001226E10)</f>
        <v>44658001226</v>
      </c>
      <c r="D494" s="135" t="str">
        <f>IFERROR(__xludf.DUMMYFUNCTION("""COMPUTED_VALUE"""),"MNTS")</f>
        <v>MNTS</v>
      </c>
      <c r="E494" s="173">
        <f>IFERROR(__xludf.DUMMYFUNCTION("""COMPUTED_VALUE"""),44658.0)</f>
        <v>44658</v>
      </c>
      <c r="F494" s="35" t="str">
        <f>IFERROR(__xludf.DUMMYFUNCTION("""COMPUTED_VALUE"""),"Stock")</f>
        <v>Stock</v>
      </c>
      <c r="G494" s="35" t="str">
        <f>IFERROR(__xludf.DUMMYFUNCTION("""COMPUTED_VALUE"""),"USD")</f>
        <v>USD</v>
      </c>
      <c r="H494" s="181">
        <f>IFERROR(__xludf.DUMMYFUNCTION("""COMPUTED_VALUE"""),100.0)</f>
        <v>100</v>
      </c>
      <c r="I494" s="174">
        <f>IFERROR(__xludf.DUMMYFUNCTION("""COMPUTED_VALUE"""),7.836645)</f>
        <v>7.836645</v>
      </c>
      <c r="J494" s="175">
        <f>IFERROR(__xludf.DUMMYFUNCTION("""COMPUTED_VALUE"""),4.39)</f>
        <v>4.39</v>
      </c>
      <c r="K494" s="35"/>
      <c r="L494" s="175">
        <f>IFERROR(__xludf.DUMMYFUNCTION("""COMPUTED_VALUE"""),3.77)</f>
        <v>3.77</v>
      </c>
      <c r="M494" s="182" t="str">
        <f>IFERROR(__xludf.DUMMYFUNCTION("""COMPUTED_VALUE"""),"Equity Key Stats")</f>
        <v>Equity Key Stats</v>
      </c>
      <c r="N494" s="35"/>
      <c r="O494" s="35"/>
      <c r="P494" s="184">
        <f>IFERROR(__xludf.DUMMYFUNCTION("""COMPUTED_VALUE"""),-3440.2871549999995)</f>
        <v>-3440.287155</v>
      </c>
      <c r="Q494" s="177"/>
      <c r="R494" s="178">
        <f>IFERROR(__xludf.DUMMYFUNCTION("""COMPUTED_VALUE"""),3.77)</f>
        <v>3.77</v>
      </c>
      <c r="S494" s="176">
        <f>IFERROR(__xludf.DUMMYFUNCTION("""COMPUTED_VALUE"""),2954.415165)</f>
        <v>2954.415165</v>
      </c>
      <c r="T494" s="95">
        <f>IFERROR(__xludf.DUMMYFUNCTION("""COMPUTED_VALUE"""),1.0)</f>
        <v>1</v>
      </c>
      <c r="U494" s="35">
        <f>IFERROR(__xludf.DUMMYFUNCTION("""COMPUTED_VALUE"""),1.0)</f>
        <v>1</v>
      </c>
      <c r="V494" s="170">
        <f>IFERROR(__xludf.DUMMYFUNCTION("""COMPUTED_VALUE"""),-485.87198999999964)</f>
        <v>-485.87199</v>
      </c>
      <c r="W494" s="171" t="str">
        <f>IFERROR(__xludf.DUMMYFUNCTION("""COMPUTED_VALUE"""),"")</f>
        <v/>
      </c>
      <c r="X494" s="14" t="str">
        <f>IFERROR(__xludf.DUMMYFUNCTION("""COMPUTED_VALUE"""),"")</f>
        <v/>
      </c>
      <c r="Y494" s="14" t="str">
        <f>IFERROR(__xludf.DUMMYFUNCTION("""COMPUTED_VALUE"""),"")</f>
        <v/>
      </c>
      <c r="Z494" s="11" t="str">
        <f>IFERROR(__xludf.DUMMYFUNCTION("""COMPUTED_VALUE"""),"")</f>
        <v/>
      </c>
    </row>
    <row r="495">
      <c r="A495" s="35" t="str">
        <f>IFERROR(__xludf.DUMMYFUNCTION("""COMPUTED_VALUE"""),"")</f>
        <v/>
      </c>
      <c r="B495" s="35" t="str">
        <f>IFERROR(__xludf.DUMMYFUNCTION("""COMPUTED_VALUE"""),"39815")</f>
        <v>39815</v>
      </c>
      <c r="C495" s="172">
        <f>IFERROR(__xludf.DUMMYFUNCTION("""COMPUTED_VALUE"""),4.4658001227E10)</f>
        <v>44658001227</v>
      </c>
      <c r="D495" s="135" t="str">
        <f>IFERROR(__xludf.DUMMYFUNCTION("""COMPUTED_VALUE"""),"COST")</f>
        <v>COST</v>
      </c>
      <c r="E495" s="173">
        <f>IFERROR(__xludf.DUMMYFUNCTION("""COMPUTED_VALUE"""),44658.0)</f>
        <v>44658</v>
      </c>
      <c r="F495" s="35" t="str">
        <f>IFERROR(__xludf.DUMMYFUNCTION("""COMPUTED_VALUE"""),"Stock")</f>
        <v>Stock</v>
      </c>
      <c r="G495" s="35" t="str">
        <f>IFERROR(__xludf.DUMMYFUNCTION("""COMPUTED_VALUE"""),"USD")</f>
        <v>USD</v>
      </c>
      <c r="H495" s="181">
        <f>IFERROR(__xludf.DUMMYFUNCTION("""COMPUTED_VALUE"""),0.0)</f>
        <v>0</v>
      </c>
      <c r="I495" s="174">
        <f>IFERROR(__xludf.DUMMYFUNCTION("""COMPUTED_VALUE"""),7.836645)</f>
        <v>7.836645</v>
      </c>
      <c r="J495" s="175">
        <f>IFERROR(__xludf.DUMMYFUNCTION("""COMPUTED_VALUE"""),0.0)</f>
        <v>0</v>
      </c>
      <c r="K495" s="35"/>
      <c r="L495" s="175">
        <f>IFERROR(__xludf.DUMMYFUNCTION("""COMPUTED_VALUE"""),591.09)</f>
        <v>591.09</v>
      </c>
      <c r="M495" s="187" t="str">
        <f>IFERROR(__xludf.DUMMYFUNCTION("""COMPUTED_VALUE"""),"Equity Key Stats")</f>
        <v>Equity Key Stats</v>
      </c>
      <c r="N495" s="35"/>
      <c r="O495" s="35"/>
      <c r="P495" s="184">
        <f>IFERROR(__xludf.DUMMYFUNCTION("""COMPUTED_VALUE"""),0.0)</f>
        <v>0</v>
      </c>
      <c r="Q495" s="177"/>
      <c r="R495" s="178">
        <f>IFERROR(__xludf.DUMMYFUNCTION("""COMPUTED_VALUE"""),591.09)</f>
        <v>591.09</v>
      </c>
      <c r="S495" s="176">
        <f>IFERROR(__xludf.DUMMYFUNCTION("""COMPUTED_VALUE"""),0.0)</f>
        <v>0</v>
      </c>
      <c r="T495" s="95">
        <f>IFERROR(__xludf.DUMMYFUNCTION("""COMPUTED_VALUE"""),1.0)</f>
        <v>1</v>
      </c>
      <c r="U495" s="35">
        <f>IFERROR(__xludf.DUMMYFUNCTION("""COMPUTED_VALUE"""),1.0)</f>
        <v>1</v>
      </c>
      <c r="V495" s="170">
        <f>IFERROR(__xludf.DUMMYFUNCTION("""COMPUTED_VALUE"""),0.0)</f>
        <v>0</v>
      </c>
      <c r="W495" s="171" t="str">
        <f>IFERROR(__xludf.DUMMYFUNCTION("""COMPUTED_VALUE"""),"")</f>
        <v/>
      </c>
      <c r="X495" s="14" t="str">
        <f>IFERROR(__xludf.DUMMYFUNCTION("""COMPUTED_VALUE"""),"")</f>
        <v/>
      </c>
      <c r="Y495" s="14" t="str">
        <f>IFERROR(__xludf.DUMMYFUNCTION("""COMPUTED_VALUE"""),"")</f>
        <v/>
      </c>
      <c r="Z495" s="11" t="str">
        <f>IFERROR(__xludf.DUMMYFUNCTION("""COMPUTED_VALUE"""),"")</f>
        <v/>
      </c>
    </row>
    <row r="496">
      <c r="A496" s="35" t="str">
        <f>IFERROR(__xludf.DUMMYFUNCTION("""COMPUTED_VALUE"""),"")</f>
        <v/>
      </c>
      <c r="B496" s="35" t="str">
        <f>IFERROR(__xludf.DUMMYFUNCTION("""COMPUTED_VALUE"""),"39815")</f>
        <v>39815</v>
      </c>
      <c r="C496" s="172">
        <f>IFERROR(__xludf.DUMMYFUNCTION("""COMPUTED_VALUE"""),4.4658001229E10)</f>
        <v>44658001229</v>
      </c>
      <c r="D496" s="135" t="str">
        <f>IFERROR(__xludf.DUMMYFUNCTION("""COMPUTED_VALUE"""),"HPQ")</f>
        <v>HPQ</v>
      </c>
      <c r="E496" s="173">
        <f>IFERROR(__xludf.DUMMYFUNCTION("""COMPUTED_VALUE"""),44658.0)</f>
        <v>44658</v>
      </c>
      <c r="F496" s="35" t="str">
        <f>IFERROR(__xludf.DUMMYFUNCTION("""COMPUTED_VALUE"""),"Stock")</f>
        <v>Stock</v>
      </c>
      <c r="G496" s="35" t="str">
        <f>IFERROR(__xludf.DUMMYFUNCTION("""COMPUTED_VALUE"""),"USD")</f>
        <v>USD</v>
      </c>
      <c r="H496" s="183">
        <f>IFERROR(__xludf.DUMMYFUNCTION("""COMPUTED_VALUE"""),100.0)</f>
        <v>100</v>
      </c>
      <c r="I496" s="174">
        <f>IFERROR(__xludf.DUMMYFUNCTION("""COMPUTED_VALUE"""),7.836645)</f>
        <v>7.836645</v>
      </c>
      <c r="J496" s="175">
        <f>IFERROR(__xludf.DUMMYFUNCTION("""COMPUTED_VALUE"""),40.06)</f>
        <v>40.06</v>
      </c>
      <c r="K496" s="35"/>
      <c r="L496" s="175">
        <f>IFERROR(__xludf.DUMMYFUNCTION("""COMPUTED_VALUE"""),37.95)</f>
        <v>37.95</v>
      </c>
      <c r="M496" s="187" t="str">
        <f>IFERROR(__xludf.DUMMYFUNCTION("""COMPUTED_VALUE"""),"Equity Key Stats")</f>
        <v>Equity Key Stats</v>
      </c>
      <c r="N496" s="35"/>
      <c r="O496" s="35"/>
      <c r="P496" s="176">
        <f>IFERROR(__xludf.DUMMYFUNCTION("""COMPUTED_VALUE"""),-31393.599870000002)</f>
        <v>-31393.59987</v>
      </c>
      <c r="Q496" s="177"/>
      <c r="R496" s="178">
        <f>IFERROR(__xludf.DUMMYFUNCTION("""COMPUTED_VALUE"""),37.95)</f>
        <v>37.95</v>
      </c>
      <c r="S496" s="184">
        <f>IFERROR(__xludf.DUMMYFUNCTION("""COMPUTED_VALUE"""),29740.067775)</f>
        <v>29740.06778</v>
      </c>
      <c r="T496" s="95">
        <f>IFERROR(__xludf.DUMMYFUNCTION("""COMPUTED_VALUE"""),1.0)</f>
        <v>1</v>
      </c>
      <c r="U496" s="35">
        <f>IFERROR(__xludf.DUMMYFUNCTION("""COMPUTED_VALUE"""),1.0)</f>
        <v>1</v>
      </c>
      <c r="V496" s="170">
        <f>IFERROR(__xludf.DUMMYFUNCTION("""COMPUTED_VALUE"""),-1653.5320950000023)</f>
        <v>-1653.532095</v>
      </c>
      <c r="W496" s="171" t="str">
        <f>IFERROR(__xludf.DUMMYFUNCTION("""COMPUTED_VALUE"""),"")</f>
        <v/>
      </c>
      <c r="X496" s="14" t="str">
        <f>IFERROR(__xludf.DUMMYFUNCTION("""COMPUTED_VALUE"""),"")</f>
        <v/>
      </c>
      <c r="Y496" s="14" t="str">
        <f>IFERROR(__xludf.DUMMYFUNCTION("""COMPUTED_VALUE"""),"")</f>
        <v/>
      </c>
      <c r="Z496" s="11" t="str">
        <f>IFERROR(__xludf.DUMMYFUNCTION("""COMPUTED_VALUE"""),"")</f>
        <v/>
      </c>
    </row>
    <row r="497">
      <c r="A497" s="35" t="str">
        <f>IFERROR(__xludf.DUMMYFUNCTION("""COMPUTED_VALUE"""),"39815")</f>
        <v>39815</v>
      </c>
      <c r="B497" s="35" t="str">
        <f>IFERROR(__xludf.DUMMYFUNCTION("""COMPUTED_VALUE"""),"39815")</f>
        <v>39815</v>
      </c>
      <c r="C497" s="172">
        <f>IFERROR(__xludf.DUMMYFUNCTION("""COMPUTED_VALUE"""),4.465900123E10)</f>
        <v>44659001230</v>
      </c>
      <c r="D497" s="190" t="str">
        <f>IFERROR(__xludf.DUMMYFUNCTION("""COMPUTED_VALUE"""),"600519.SS")</f>
        <v>600519.SS</v>
      </c>
      <c r="E497" s="173">
        <f>IFERROR(__xludf.DUMMYFUNCTION("""COMPUTED_VALUE"""),44659.0)</f>
        <v>44659</v>
      </c>
      <c r="F497" s="35" t="str">
        <f>IFERROR(__xludf.DUMMYFUNCTION("""COMPUTED_VALUE"""),"Stock")</f>
        <v>Stock</v>
      </c>
      <c r="G497" s="35" t="str">
        <f>IFERROR(__xludf.DUMMYFUNCTION("""COMPUTED_VALUE"""),"CNY")</f>
        <v>CNY</v>
      </c>
      <c r="H497" s="183">
        <f>IFERROR(__xludf.DUMMYFUNCTION("""COMPUTED_VALUE"""),0.0)</f>
        <v>0</v>
      </c>
      <c r="I497" s="174">
        <f>IFERROR(__xludf.DUMMYFUNCTION("""COMPUTED_VALUE"""),1.23182)</f>
        <v>1.23182</v>
      </c>
      <c r="J497" s="175">
        <f>IFERROR(__xludf.DUMMYFUNCTION("""COMPUTED_VALUE"""),0.0)</f>
        <v>0</v>
      </c>
      <c r="K497" s="35"/>
      <c r="L497" s="175">
        <f>IFERROR(__xludf.DUMMYFUNCTION("""COMPUTED_VALUE"""),1769.0)</f>
        <v>1769</v>
      </c>
      <c r="M497" s="187" t="str">
        <f>IFERROR(__xludf.DUMMYFUNCTION("""COMPUTED_VALUE"""),"Equity Key Stats")</f>
        <v>Equity Key Stats</v>
      </c>
      <c r="N497" s="35"/>
      <c r="O497" s="35"/>
      <c r="P497" s="176">
        <f>IFERROR(__xludf.DUMMYFUNCTION("""COMPUTED_VALUE"""),0.0)</f>
        <v>0</v>
      </c>
      <c r="Q497" s="177"/>
      <c r="R497" s="178">
        <f>IFERROR(__xludf.DUMMYFUNCTION("""COMPUTED_VALUE"""),1769.0)</f>
        <v>1769</v>
      </c>
      <c r="S497" s="184">
        <f>IFERROR(__xludf.DUMMYFUNCTION("""COMPUTED_VALUE"""),0.0)</f>
        <v>0</v>
      </c>
      <c r="T497" s="95">
        <f>IFERROR(__xludf.DUMMYFUNCTION("""COMPUTED_VALUE"""),1.0)</f>
        <v>1</v>
      </c>
      <c r="U497" s="35">
        <f>IFERROR(__xludf.DUMMYFUNCTION("""COMPUTED_VALUE"""),1.0)</f>
        <v>1</v>
      </c>
      <c r="V497" s="170">
        <f>IFERROR(__xludf.DUMMYFUNCTION("""COMPUTED_VALUE"""),0.0)</f>
        <v>0</v>
      </c>
      <c r="W497" s="171">
        <f>IFERROR(__xludf.DUMMYFUNCTION("""COMPUTED_VALUE"""),497860.59591499995)</f>
        <v>497860.5959</v>
      </c>
      <c r="X497" s="14">
        <f>IFERROR(__xludf.DUMMYFUNCTION("""COMPUTED_VALUE"""),465166.112975)</f>
        <v>465166.113</v>
      </c>
      <c r="Y497" s="14">
        <f>IFERROR(__xludf.DUMMYFUNCTION("""COMPUTED_VALUE"""),0.0)</f>
        <v>0</v>
      </c>
      <c r="Z497" s="11">
        <f>IFERROR(__xludf.DUMMYFUNCTION("""COMPUTED_VALUE"""),-0.004278808170000037)</f>
        <v>-0.00427880817</v>
      </c>
    </row>
    <row r="498">
      <c r="A498" s="35" t="str">
        <f>IFERROR(__xludf.DUMMYFUNCTION("""COMPUTED_VALUE"""),"")</f>
        <v/>
      </c>
      <c r="B498" s="35" t="str">
        <f>IFERROR(__xludf.DUMMYFUNCTION("""COMPUTED_VALUE"""),"39857")</f>
        <v>39857</v>
      </c>
      <c r="C498" s="172">
        <f>IFERROR(__xludf.DUMMYFUNCTION("""COMPUTED_VALUE"""),4.4597000093E10)</f>
        <v>44597000093</v>
      </c>
      <c r="D498" s="135" t="str">
        <f>IFERROR(__xludf.DUMMYFUNCTION("""COMPUTED_VALUE"""),"Cash")</f>
        <v>Cash</v>
      </c>
      <c r="E498" s="173">
        <f>IFERROR(__xludf.DUMMYFUNCTION("""COMPUTED_VALUE"""),44597.0)</f>
        <v>44597</v>
      </c>
      <c r="F498" s="35" t="str">
        <f>IFERROR(__xludf.DUMMYFUNCTION("""COMPUTED_VALUE"""),"Cash")</f>
        <v>Cash</v>
      </c>
      <c r="G498" s="35" t="str">
        <f>IFERROR(__xludf.DUMMYFUNCTION("""COMPUTED_VALUE"""),"HKD")</f>
        <v>HKD</v>
      </c>
      <c r="H498" s="183" t="str">
        <f>IFERROR(__xludf.DUMMYFUNCTION("""COMPUTED_VALUE"""),"")</f>
        <v/>
      </c>
      <c r="I498" s="174">
        <f>IFERROR(__xludf.DUMMYFUNCTION("""COMPUTED_VALUE"""),1.0)</f>
        <v>1</v>
      </c>
      <c r="J498" s="175">
        <f>IFERROR(__xludf.DUMMYFUNCTION("""COMPUTED_VALUE"""),1.0)</f>
        <v>1</v>
      </c>
      <c r="K498" s="35"/>
      <c r="L498" s="175">
        <f>IFERROR(__xludf.DUMMYFUNCTION("""COMPUTED_VALUE"""),1.0)</f>
        <v>1</v>
      </c>
      <c r="M498" s="182" t="str">
        <f>IFERROR(__xludf.DUMMYFUNCTION("""COMPUTED_VALUE"""),"")</f>
        <v/>
      </c>
      <c r="N498" s="35"/>
      <c r="O498" s="35"/>
      <c r="P498" s="176">
        <f>IFERROR(__xludf.DUMMYFUNCTION("""COMPUTED_VALUE"""),500000.0)</f>
        <v>500000</v>
      </c>
      <c r="Q498" s="177"/>
      <c r="R498" s="178">
        <f>IFERROR(__xludf.DUMMYFUNCTION("""COMPUTED_VALUE"""),1.0)</f>
        <v>1</v>
      </c>
      <c r="S498" s="184" t="str">
        <f>IFERROR(__xludf.DUMMYFUNCTION("""COMPUTED_VALUE"""),"")</f>
        <v/>
      </c>
      <c r="T498" s="95">
        <f>IFERROR(__xludf.DUMMYFUNCTION("""COMPUTED_VALUE"""),1.0)</f>
        <v>1</v>
      </c>
      <c r="U498" s="95">
        <f>IFERROR(__xludf.DUMMYFUNCTION("""COMPUTED_VALUE"""),1.0)</f>
        <v>1</v>
      </c>
      <c r="V498" s="179">
        <f>IFERROR(__xludf.DUMMYFUNCTION("""COMPUTED_VALUE"""),500000.0)</f>
        <v>500000</v>
      </c>
      <c r="W498" s="171" t="str">
        <f>IFERROR(__xludf.DUMMYFUNCTION("""COMPUTED_VALUE"""),"")</f>
        <v/>
      </c>
      <c r="X498" s="14" t="str">
        <f>IFERROR(__xludf.DUMMYFUNCTION("""COMPUTED_VALUE"""),"")</f>
        <v/>
      </c>
      <c r="Y498" s="14" t="str">
        <f>IFERROR(__xludf.DUMMYFUNCTION("""COMPUTED_VALUE"""),"")</f>
        <v/>
      </c>
      <c r="Z498" s="11" t="str">
        <f>IFERROR(__xludf.DUMMYFUNCTION("""COMPUTED_VALUE"""),"")</f>
        <v/>
      </c>
    </row>
    <row r="499">
      <c r="A499" s="35" t="str">
        <f>IFERROR(__xludf.DUMMYFUNCTION("""COMPUTED_VALUE"""),"")</f>
        <v/>
      </c>
      <c r="B499" s="35" t="str">
        <f>IFERROR(__xludf.DUMMYFUNCTION("""COMPUTED_VALUE"""),"39857")</f>
        <v>39857</v>
      </c>
      <c r="C499" s="172">
        <f>IFERROR(__xludf.DUMMYFUNCTION("""COMPUTED_VALUE"""),4.46070002E10)</f>
        <v>44607000200</v>
      </c>
      <c r="D499" s="180" t="str">
        <f>IFERROR(__xludf.DUMMYFUNCTION("""COMPUTED_VALUE"""),"TSLA")</f>
        <v>TSLA</v>
      </c>
      <c r="E499" s="173">
        <f>IFERROR(__xludf.DUMMYFUNCTION("""COMPUTED_VALUE"""),44607.0)</f>
        <v>44607</v>
      </c>
      <c r="F499" s="35" t="str">
        <f>IFERROR(__xludf.DUMMYFUNCTION("""COMPUTED_VALUE"""),"Stock")</f>
        <v>Stock</v>
      </c>
      <c r="G499" s="35" t="str">
        <f>IFERROR(__xludf.DUMMYFUNCTION("""COMPUTED_VALUE"""),"USD")</f>
        <v>USD</v>
      </c>
      <c r="H499" s="183">
        <f>IFERROR(__xludf.DUMMYFUNCTION("""COMPUTED_VALUE"""),-2.0)</f>
        <v>-2</v>
      </c>
      <c r="I499" s="174">
        <f>IFERROR(__xludf.DUMMYFUNCTION("""COMPUTED_VALUE"""),7.801355)</f>
        <v>7.801355</v>
      </c>
      <c r="J499" s="175">
        <f>IFERROR(__xludf.DUMMYFUNCTION("""COMPUTED_VALUE"""),922.43)</f>
        <v>922.43</v>
      </c>
      <c r="K499" s="35"/>
      <c r="L499" s="175">
        <f>IFERROR(__xludf.DUMMYFUNCTION("""COMPUTED_VALUE"""),1022.37)</f>
        <v>1022.37</v>
      </c>
      <c r="M499" s="182" t="str">
        <f>IFERROR(__xludf.DUMMYFUNCTION("""COMPUTED_VALUE"""),"Equity Key Stats")</f>
        <v>Equity Key Stats</v>
      </c>
      <c r="N499" s="35"/>
      <c r="O499" s="35"/>
      <c r="P499" s="176">
        <f>IFERROR(__xludf.DUMMYFUNCTION("""COMPUTED_VALUE"""),14392.4077853)</f>
        <v>14392.40779</v>
      </c>
      <c r="Q499" s="177"/>
      <c r="R499" s="178">
        <f>IFERROR(__xludf.DUMMYFUNCTION("""COMPUTED_VALUE"""),1022.37)</f>
        <v>1022.37</v>
      </c>
      <c r="S499" s="184">
        <f>IFERROR(__xludf.DUMMYFUNCTION("""COMPUTED_VALUE"""),-15951.7426227)</f>
        <v>-15951.74262</v>
      </c>
      <c r="T499" s="95">
        <f>IFERROR(__xludf.DUMMYFUNCTION("""COMPUTED_VALUE"""),6.0)</f>
        <v>6</v>
      </c>
      <c r="U499" s="95" t="str">
        <f>IFERROR(__xludf.DUMMYFUNCTION("""COMPUTED_VALUE"""),"")</f>
        <v/>
      </c>
      <c r="V499" s="185" t="str">
        <f>IFERROR(__xludf.DUMMYFUNCTION("""COMPUTED_VALUE"""),"")</f>
        <v/>
      </c>
      <c r="W499" s="171" t="str">
        <f>IFERROR(__xludf.DUMMYFUNCTION("""COMPUTED_VALUE"""),"")</f>
        <v/>
      </c>
      <c r="X499" s="14" t="str">
        <f>IFERROR(__xludf.DUMMYFUNCTION("""COMPUTED_VALUE"""),"")</f>
        <v/>
      </c>
      <c r="Y499" s="14" t="str">
        <f>IFERROR(__xludf.DUMMYFUNCTION("""COMPUTED_VALUE"""),"")</f>
        <v/>
      </c>
      <c r="Z499" s="11" t="str">
        <f>IFERROR(__xludf.DUMMYFUNCTION("""COMPUTED_VALUE"""),"")</f>
        <v/>
      </c>
    </row>
    <row r="500">
      <c r="A500" s="35" t="str">
        <f>IFERROR(__xludf.DUMMYFUNCTION("""COMPUTED_VALUE"""),"")</f>
        <v/>
      </c>
      <c r="B500" s="35" t="str">
        <f>IFERROR(__xludf.DUMMYFUNCTION("""COMPUTED_VALUE"""),"39857")</f>
        <v>39857</v>
      </c>
      <c r="C500" s="172">
        <f>IFERROR(__xludf.DUMMYFUNCTION("""COMPUTED_VALUE"""),4.4608000224E10)</f>
        <v>44608000224</v>
      </c>
      <c r="D500" s="180" t="str">
        <f>IFERROR(__xludf.DUMMYFUNCTION("""COMPUTED_VALUE"""),"DIS")</f>
        <v>DIS</v>
      </c>
      <c r="E500" s="173">
        <f>IFERROR(__xludf.DUMMYFUNCTION("""COMPUTED_VALUE"""),44608.0)</f>
        <v>44608</v>
      </c>
      <c r="F500" s="35" t="str">
        <f>IFERROR(__xludf.DUMMYFUNCTION("""COMPUTED_VALUE"""),"Stock")</f>
        <v>Stock</v>
      </c>
      <c r="G500" s="35" t="str">
        <f>IFERROR(__xludf.DUMMYFUNCTION("""COMPUTED_VALUE"""),"USD")</f>
        <v>USD</v>
      </c>
      <c r="H500" s="183">
        <f>IFERROR(__xludf.DUMMYFUNCTION("""COMPUTED_VALUE"""),200.0)</f>
        <v>200</v>
      </c>
      <c r="I500" s="174">
        <f>IFERROR(__xludf.DUMMYFUNCTION("""COMPUTED_VALUE"""),7.8005)</f>
        <v>7.8005</v>
      </c>
      <c r="J500" s="175">
        <f>IFERROR(__xludf.DUMMYFUNCTION("""COMPUTED_VALUE"""),156.35)</f>
        <v>156.35</v>
      </c>
      <c r="K500" s="35"/>
      <c r="L500" s="175">
        <f>IFERROR(__xludf.DUMMYFUNCTION("""COMPUTED_VALUE"""),132.38)</f>
        <v>132.38</v>
      </c>
      <c r="M500" s="187" t="str">
        <f>IFERROR(__xludf.DUMMYFUNCTION("""COMPUTED_VALUE"""),"Equity Key Stats")</f>
        <v>Equity Key Stats</v>
      </c>
      <c r="N500" s="35"/>
      <c r="O500" s="35"/>
      <c r="P500" s="176">
        <f>IFERROR(__xludf.DUMMYFUNCTION("""COMPUTED_VALUE"""),-243921.635)</f>
        <v>-243921.635</v>
      </c>
      <c r="Q500" s="177"/>
      <c r="R500" s="178">
        <f>IFERROR(__xludf.DUMMYFUNCTION("""COMPUTED_VALUE"""),132.38)</f>
        <v>132.38</v>
      </c>
      <c r="S500" s="184">
        <f>IFERROR(__xludf.DUMMYFUNCTION("""COMPUTED_VALUE"""),206526.038)</f>
        <v>206526.038</v>
      </c>
      <c r="T500" s="95">
        <f>IFERROR(__xludf.DUMMYFUNCTION("""COMPUTED_VALUE"""),3.0)</f>
        <v>3</v>
      </c>
      <c r="U500" s="95" t="str">
        <f>IFERROR(__xludf.DUMMYFUNCTION("""COMPUTED_VALUE"""),"")</f>
        <v/>
      </c>
      <c r="V500" s="179" t="str">
        <f>IFERROR(__xludf.DUMMYFUNCTION("""COMPUTED_VALUE"""),"")</f>
        <v/>
      </c>
      <c r="W500" s="171" t="str">
        <f>IFERROR(__xludf.DUMMYFUNCTION("""COMPUTED_VALUE"""),"")</f>
        <v/>
      </c>
      <c r="X500" s="14" t="str">
        <f>IFERROR(__xludf.DUMMYFUNCTION("""COMPUTED_VALUE"""),"")</f>
        <v/>
      </c>
      <c r="Y500" s="14" t="str">
        <f>IFERROR(__xludf.DUMMYFUNCTION("""COMPUTED_VALUE"""),"")</f>
        <v/>
      </c>
      <c r="Z500" s="11" t="str">
        <f>IFERROR(__xludf.DUMMYFUNCTION("""COMPUTED_VALUE"""),"")</f>
        <v/>
      </c>
    </row>
    <row r="501">
      <c r="A501" s="35" t="str">
        <f>IFERROR(__xludf.DUMMYFUNCTION("""COMPUTED_VALUE"""),"")</f>
        <v/>
      </c>
      <c r="B501" s="35" t="str">
        <f>IFERROR(__xludf.DUMMYFUNCTION("""COMPUTED_VALUE"""),"39857")</f>
        <v>39857</v>
      </c>
      <c r="C501" s="172">
        <f>IFERROR(__xludf.DUMMYFUNCTION("""COMPUTED_VALUE"""),4.4609000235E10)</f>
        <v>44609000235</v>
      </c>
      <c r="D501" s="180" t="str">
        <f>IFERROR(__xludf.DUMMYFUNCTION("""COMPUTED_VALUE"""),"DIS")</f>
        <v>DIS</v>
      </c>
      <c r="E501" s="173">
        <f>IFERROR(__xludf.DUMMYFUNCTION("""COMPUTED_VALUE"""),44609.0)</f>
        <v>44609</v>
      </c>
      <c r="F501" s="35" t="str">
        <f>IFERROR(__xludf.DUMMYFUNCTION("""COMPUTED_VALUE"""),"Stock")</f>
        <v>Stock</v>
      </c>
      <c r="G501" s="35" t="str">
        <f>IFERROR(__xludf.DUMMYFUNCTION("""COMPUTED_VALUE"""),"USD")</f>
        <v>USD</v>
      </c>
      <c r="H501" s="181">
        <f>IFERROR(__xludf.DUMMYFUNCTION("""COMPUTED_VALUE"""),300.0)</f>
        <v>300</v>
      </c>
      <c r="I501" s="174">
        <f>IFERROR(__xludf.DUMMYFUNCTION("""COMPUTED_VALUE"""),7.799115)</f>
        <v>7.799115</v>
      </c>
      <c r="J501" s="175">
        <f>IFERROR(__xludf.DUMMYFUNCTION("""COMPUTED_VALUE"""),152.95)</f>
        <v>152.95</v>
      </c>
      <c r="K501" s="35"/>
      <c r="L501" s="175">
        <f>IFERROR(__xludf.DUMMYFUNCTION("""COMPUTED_VALUE"""),132.38)</f>
        <v>132.38</v>
      </c>
      <c r="M501" s="182" t="str">
        <f>IFERROR(__xludf.DUMMYFUNCTION("""COMPUTED_VALUE"""),"Equity Key Stats")</f>
        <v>Equity Key Stats</v>
      </c>
      <c r="N501" s="35"/>
      <c r="O501" s="35"/>
      <c r="P501" s="184">
        <f>IFERROR(__xludf.DUMMYFUNCTION("""COMPUTED_VALUE"""),-357862.39177499997)</f>
        <v>-357862.3918</v>
      </c>
      <c r="Q501" s="177"/>
      <c r="R501" s="178">
        <f>IFERROR(__xludf.DUMMYFUNCTION("""COMPUTED_VALUE"""),132.38)</f>
        <v>132.38</v>
      </c>
      <c r="S501" s="176">
        <f>IFERROR(__xludf.DUMMYFUNCTION("""COMPUTED_VALUE"""),309734.05311)</f>
        <v>309734.0531</v>
      </c>
      <c r="T501" s="95">
        <f>IFERROR(__xludf.DUMMYFUNCTION("""COMPUTED_VALUE"""),3.0)</f>
        <v>3</v>
      </c>
      <c r="U501" s="35" t="str">
        <f>IFERROR(__xludf.DUMMYFUNCTION("""COMPUTED_VALUE"""),"")</f>
        <v/>
      </c>
      <c r="V501" s="170" t="str">
        <f>IFERROR(__xludf.DUMMYFUNCTION("""COMPUTED_VALUE"""),"")</f>
        <v/>
      </c>
      <c r="W501" s="171" t="str">
        <f>IFERROR(__xludf.DUMMYFUNCTION("""COMPUTED_VALUE"""),"")</f>
        <v/>
      </c>
      <c r="X501" s="14" t="str">
        <f>IFERROR(__xludf.DUMMYFUNCTION("""COMPUTED_VALUE"""),"")</f>
        <v/>
      </c>
      <c r="Y501" s="14" t="str">
        <f>IFERROR(__xludf.DUMMYFUNCTION("""COMPUTED_VALUE"""),"")</f>
        <v/>
      </c>
      <c r="Z501" s="11" t="str">
        <f>IFERROR(__xludf.DUMMYFUNCTION("""COMPUTED_VALUE"""),"")</f>
        <v/>
      </c>
    </row>
    <row r="502">
      <c r="A502" s="35" t="str">
        <f>IFERROR(__xludf.DUMMYFUNCTION("""COMPUTED_VALUE"""),"")</f>
        <v/>
      </c>
      <c r="B502" s="35" t="str">
        <f>IFERROR(__xludf.DUMMYFUNCTION("""COMPUTED_VALUE"""),"39857")</f>
        <v>39857</v>
      </c>
      <c r="C502" s="172">
        <f>IFERROR(__xludf.DUMMYFUNCTION("""COMPUTED_VALUE"""),4.4610000247E10)</f>
        <v>44610000247</v>
      </c>
      <c r="D502" s="192" t="str">
        <f>IFERROR(__xludf.DUMMYFUNCTION("""COMPUTED_VALUE"""),"TSLA")</f>
        <v>TSLA</v>
      </c>
      <c r="E502" s="173">
        <f>IFERROR(__xludf.DUMMYFUNCTION("""COMPUTED_VALUE"""),44610.0)</f>
        <v>44610</v>
      </c>
      <c r="F502" s="35" t="str">
        <f>IFERROR(__xludf.DUMMYFUNCTION("""COMPUTED_VALUE"""),"Stock")</f>
        <v>Stock</v>
      </c>
      <c r="G502" s="35" t="str">
        <f>IFERROR(__xludf.DUMMYFUNCTION("""COMPUTED_VALUE"""),"USD")</f>
        <v>USD</v>
      </c>
      <c r="H502" s="181">
        <f>IFERROR(__xludf.DUMMYFUNCTION("""COMPUTED_VALUE"""),2.0)</f>
        <v>2</v>
      </c>
      <c r="I502" s="174">
        <f>IFERROR(__xludf.DUMMYFUNCTION("""COMPUTED_VALUE"""),7.80051)</f>
        <v>7.80051</v>
      </c>
      <c r="J502" s="175">
        <f>IFERROR(__xludf.DUMMYFUNCTION("""COMPUTED_VALUE"""),856.98)</f>
        <v>856.98</v>
      </c>
      <c r="K502" s="35"/>
      <c r="L502" s="175">
        <f>IFERROR(__xludf.DUMMYFUNCTION("""COMPUTED_VALUE"""),1022.37)</f>
        <v>1022.37</v>
      </c>
      <c r="M502" s="182" t="str">
        <f>IFERROR(__xludf.DUMMYFUNCTION("""COMPUTED_VALUE"""),"Equity Key Stats")</f>
        <v>Equity Key Stats</v>
      </c>
      <c r="N502" s="35"/>
      <c r="O502" s="35"/>
      <c r="P502" s="184">
        <f>IFERROR(__xludf.DUMMYFUNCTION("""COMPUTED_VALUE"""),-13369.7621196)</f>
        <v>-13369.76212</v>
      </c>
      <c r="Q502" s="177"/>
      <c r="R502" s="178">
        <f>IFERROR(__xludf.DUMMYFUNCTION("""COMPUTED_VALUE"""),1022.37)</f>
        <v>1022.37</v>
      </c>
      <c r="S502" s="176">
        <f>IFERROR(__xludf.DUMMYFUNCTION("""COMPUTED_VALUE"""),15950.0148174)</f>
        <v>15950.01482</v>
      </c>
      <c r="T502" s="95">
        <f>IFERROR(__xludf.DUMMYFUNCTION("""COMPUTED_VALUE"""),6.0)</f>
        <v>6</v>
      </c>
      <c r="U502" s="35" t="str">
        <f>IFERROR(__xludf.DUMMYFUNCTION("""COMPUTED_VALUE"""),"")</f>
        <v/>
      </c>
      <c r="V502" s="170" t="str">
        <f>IFERROR(__xludf.DUMMYFUNCTION("""COMPUTED_VALUE"""),"")</f>
        <v/>
      </c>
      <c r="W502" s="171" t="str">
        <f>IFERROR(__xludf.DUMMYFUNCTION("""COMPUTED_VALUE"""),"")</f>
        <v/>
      </c>
      <c r="X502" s="14" t="str">
        <f>IFERROR(__xludf.DUMMYFUNCTION("""COMPUTED_VALUE"""),"")</f>
        <v/>
      </c>
      <c r="Y502" s="14" t="str">
        <f>IFERROR(__xludf.DUMMYFUNCTION("""COMPUTED_VALUE"""),"")</f>
        <v/>
      </c>
      <c r="Z502" s="11" t="str">
        <f>IFERROR(__xludf.DUMMYFUNCTION("""COMPUTED_VALUE"""),"")</f>
        <v/>
      </c>
    </row>
    <row r="503">
      <c r="A503" s="35" t="str">
        <f>IFERROR(__xludf.DUMMYFUNCTION("""COMPUTED_VALUE"""),"")</f>
        <v/>
      </c>
      <c r="B503" s="35" t="str">
        <f>IFERROR(__xludf.DUMMYFUNCTION("""COMPUTED_VALUE"""),"39857")</f>
        <v>39857</v>
      </c>
      <c r="C503" s="172">
        <f>IFERROR(__xludf.DUMMYFUNCTION("""COMPUTED_VALUE"""),4.4610000276E10)</f>
        <v>44610000276</v>
      </c>
      <c r="D503" s="180" t="str">
        <f>IFERROR(__xludf.DUMMYFUNCTION("""COMPUTED_VALUE"""),"RIVN")</f>
        <v>RIVN</v>
      </c>
      <c r="E503" s="173">
        <f>IFERROR(__xludf.DUMMYFUNCTION("""COMPUTED_VALUE"""),44610.0)</f>
        <v>44610</v>
      </c>
      <c r="F503" s="35" t="str">
        <f>IFERROR(__xludf.DUMMYFUNCTION("""COMPUTED_VALUE"""),"Stock")</f>
        <v>Stock</v>
      </c>
      <c r="G503" s="35" t="str">
        <f>IFERROR(__xludf.DUMMYFUNCTION("""COMPUTED_VALUE"""),"USD")</f>
        <v>USD</v>
      </c>
      <c r="H503" s="183">
        <f>IFERROR(__xludf.DUMMYFUNCTION("""COMPUTED_VALUE"""),0.0)</f>
        <v>0</v>
      </c>
      <c r="I503" s="174">
        <f>IFERROR(__xludf.DUMMYFUNCTION("""COMPUTED_VALUE"""),7.80051)</f>
        <v>7.80051</v>
      </c>
      <c r="J503" s="175">
        <f>IFERROR(__xludf.DUMMYFUNCTION("""COMPUTED_VALUE"""),0.0)</f>
        <v>0</v>
      </c>
      <c r="K503" s="35"/>
      <c r="L503" s="175">
        <f>IFERROR(__xludf.DUMMYFUNCTION("""COMPUTED_VALUE"""),41.15)</f>
        <v>41.15</v>
      </c>
      <c r="M503" s="187" t="str">
        <f>IFERROR(__xludf.DUMMYFUNCTION("""COMPUTED_VALUE"""),"Equity Key Stats")</f>
        <v>Equity Key Stats</v>
      </c>
      <c r="N503" s="35"/>
      <c r="O503" s="35"/>
      <c r="P503" s="176">
        <f>IFERROR(__xludf.DUMMYFUNCTION("""COMPUTED_VALUE"""),0.0)</f>
        <v>0</v>
      </c>
      <c r="Q503" s="177"/>
      <c r="R503" s="178">
        <f>IFERROR(__xludf.DUMMYFUNCTION("""COMPUTED_VALUE"""),41.15)</f>
        <v>41.15</v>
      </c>
      <c r="S503" s="184">
        <f>IFERROR(__xludf.DUMMYFUNCTION("""COMPUTED_VALUE"""),0.0)</f>
        <v>0</v>
      </c>
      <c r="T503" s="95">
        <f>IFERROR(__xludf.DUMMYFUNCTION("""COMPUTED_VALUE"""),2.0)</f>
        <v>2</v>
      </c>
      <c r="U503" s="95" t="str">
        <f>IFERROR(__xludf.DUMMYFUNCTION("""COMPUTED_VALUE"""),"")</f>
        <v/>
      </c>
      <c r="V503" s="179" t="str">
        <f>IFERROR(__xludf.DUMMYFUNCTION("""COMPUTED_VALUE"""),"")</f>
        <v/>
      </c>
      <c r="W503" s="171" t="str">
        <f>IFERROR(__xludf.DUMMYFUNCTION("""COMPUTED_VALUE"""),"")</f>
        <v/>
      </c>
      <c r="X503" s="14" t="str">
        <f>IFERROR(__xludf.DUMMYFUNCTION("""COMPUTED_VALUE"""),"")</f>
        <v/>
      </c>
      <c r="Y503" s="14" t="str">
        <f>IFERROR(__xludf.DUMMYFUNCTION("""COMPUTED_VALUE"""),"")</f>
        <v/>
      </c>
      <c r="Z503" s="11" t="str">
        <f>IFERROR(__xludf.DUMMYFUNCTION("""COMPUTED_VALUE"""),"")</f>
        <v/>
      </c>
    </row>
    <row r="504">
      <c r="A504" s="35" t="str">
        <f>IFERROR(__xludf.DUMMYFUNCTION("""COMPUTED_VALUE"""),"")</f>
        <v/>
      </c>
      <c r="B504" s="35" t="str">
        <f>IFERROR(__xludf.DUMMYFUNCTION("""COMPUTED_VALUE"""),"39857")</f>
        <v>39857</v>
      </c>
      <c r="C504" s="172">
        <f>IFERROR(__xludf.DUMMYFUNCTION("""COMPUTED_VALUE"""),4.4610000277E10)</f>
        <v>44610000277</v>
      </c>
      <c r="D504" s="180" t="str">
        <f>IFERROR(__xludf.DUMMYFUNCTION("""COMPUTED_VALUE"""),"RIVN")</f>
        <v>RIVN</v>
      </c>
      <c r="E504" s="173">
        <f>IFERROR(__xludf.DUMMYFUNCTION("""COMPUTED_VALUE"""),44610.0)</f>
        <v>44610</v>
      </c>
      <c r="F504" s="35" t="str">
        <f>IFERROR(__xludf.DUMMYFUNCTION("""COMPUTED_VALUE"""),"Stock")</f>
        <v>Stock</v>
      </c>
      <c r="G504" s="35" t="str">
        <f>IFERROR(__xludf.DUMMYFUNCTION("""COMPUTED_VALUE"""),"USD")</f>
        <v>USD</v>
      </c>
      <c r="H504" s="183">
        <f>IFERROR(__xludf.DUMMYFUNCTION("""COMPUTED_VALUE"""),0.0)</f>
        <v>0</v>
      </c>
      <c r="I504" s="174">
        <f>IFERROR(__xludf.DUMMYFUNCTION("""COMPUTED_VALUE"""),7.80051)</f>
        <v>7.80051</v>
      </c>
      <c r="J504" s="175">
        <f>IFERROR(__xludf.DUMMYFUNCTION("""COMPUTED_VALUE"""),0.0)</f>
        <v>0</v>
      </c>
      <c r="K504" s="35"/>
      <c r="L504" s="175">
        <f>IFERROR(__xludf.DUMMYFUNCTION("""COMPUTED_VALUE"""),41.15)</f>
        <v>41.15</v>
      </c>
      <c r="M504" s="182" t="str">
        <f>IFERROR(__xludf.DUMMYFUNCTION("""COMPUTED_VALUE"""),"Equity Key Stats")</f>
        <v>Equity Key Stats</v>
      </c>
      <c r="N504" s="35"/>
      <c r="O504" s="35"/>
      <c r="P504" s="176">
        <f>IFERROR(__xludf.DUMMYFUNCTION("""COMPUTED_VALUE"""),0.0)</f>
        <v>0</v>
      </c>
      <c r="Q504" s="177"/>
      <c r="R504" s="178">
        <f>IFERROR(__xludf.DUMMYFUNCTION("""COMPUTED_VALUE"""),41.15)</f>
        <v>41.15</v>
      </c>
      <c r="S504" s="184">
        <f>IFERROR(__xludf.DUMMYFUNCTION("""COMPUTED_VALUE"""),0.0)</f>
        <v>0</v>
      </c>
      <c r="T504" s="95">
        <f>IFERROR(__xludf.DUMMYFUNCTION("""COMPUTED_VALUE"""),2.0)</f>
        <v>2</v>
      </c>
      <c r="U504" s="95">
        <f>IFERROR(__xludf.DUMMYFUNCTION("""COMPUTED_VALUE"""),1.0)</f>
        <v>1</v>
      </c>
      <c r="V504" s="179">
        <f>IFERROR(__xludf.DUMMYFUNCTION("""COMPUTED_VALUE"""),0.0)</f>
        <v>0</v>
      </c>
      <c r="W504" s="171" t="str">
        <f>IFERROR(__xludf.DUMMYFUNCTION("""COMPUTED_VALUE"""),"")</f>
        <v/>
      </c>
      <c r="X504" s="14" t="str">
        <f>IFERROR(__xludf.DUMMYFUNCTION("""COMPUTED_VALUE"""),"")</f>
        <v/>
      </c>
      <c r="Y504" s="14" t="str">
        <f>IFERROR(__xludf.DUMMYFUNCTION("""COMPUTED_VALUE"""),"")</f>
        <v/>
      </c>
      <c r="Z504" s="11" t="str">
        <f>IFERROR(__xludf.DUMMYFUNCTION("""COMPUTED_VALUE"""),"")</f>
        <v/>
      </c>
    </row>
    <row r="505">
      <c r="A505" s="35" t="str">
        <f>IFERROR(__xludf.DUMMYFUNCTION("""COMPUTED_VALUE"""),"")</f>
        <v/>
      </c>
      <c r="B505" s="35" t="str">
        <f>IFERROR(__xludf.DUMMYFUNCTION("""COMPUTED_VALUE"""),"39857")</f>
        <v>39857</v>
      </c>
      <c r="C505" s="172">
        <f>IFERROR(__xludf.DUMMYFUNCTION("""COMPUTED_VALUE"""),4.4615000312E10)</f>
        <v>44615000312</v>
      </c>
      <c r="D505" s="180" t="str">
        <f>IFERROR(__xludf.DUMMYFUNCTION("""COMPUTED_VALUE"""),"TSLA")</f>
        <v>TSLA</v>
      </c>
      <c r="E505" s="173">
        <f>IFERROR(__xludf.DUMMYFUNCTION("""COMPUTED_VALUE"""),44615.0)</f>
        <v>44615</v>
      </c>
      <c r="F505" s="35" t="str">
        <f>IFERROR(__xludf.DUMMYFUNCTION("""COMPUTED_VALUE"""),"Stock")</f>
        <v>Stock</v>
      </c>
      <c r="G505" s="35" t="str">
        <f>IFERROR(__xludf.DUMMYFUNCTION("""COMPUTED_VALUE"""),"USD")</f>
        <v>USD</v>
      </c>
      <c r="H505" s="181" t="str">
        <f>IFERROR(__xludf.DUMMYFUNCTION("""COMPUTED_VALUE"""),"")</f>
        <v/>
      </c>
      <c r="I505" s="174">
        <f>IFERROR(__xludf.DUMMYFUNCTION("""COMPUTED_VALUE"""),7.80545)</f>
        <v>7.80545</v>
      </c>
      <c r="J505" s="175">
        <f>IFERROR(__xludf.DUMMYFUNCTION("""COMPUTED_VALUE"""),764.04)</f>
        <v>764.04</v>
      </c>
      <c r="K505" s="35"/>
      <c r="L505" s="175">
        <f>IFERROR(__xludf.DUMMYFUNCTION("""COMPUTED_VALUE"""),1022.37)</f>
        <v>1022.37</v>
      </c>
      <c r="M505" s="187" t="str">
        <f>IFERROR(__xludf.DUMMYFUNCTION("""COMPUTED_VALUE"""),"Equity Key Stats")</f>
        <v>Equity Key Stats</v>
      </c>
      <c r="N505" s="35"/>
      <c r="O505" s="35"/>
      <c r="P505" s="184">
        <f>IFERROR(__xludf.DUMMYFUNCTION("""COMPUTED_VALUE"""),0.0)</f>
        <v>0</v>
      </c>
      <c r="Q505" s="177"/>
      <c r="R505" s="178">
        <f>IFERROR(__xludf.DUMMYFUNCTION("""COMPUTED_VALUE"""),1022.37)</f>
        <v>1022.37</v>
      </c>
      <c r="S505" s="176">
        <f>IFERROR(__xludf.DUMMYFUNCTION("""COMPUTED_VALUE"""),0.0)</f>
        <v>0</v>
      </c>
      <c r="T505" s="95">
        <f>IFERROR(__xludf.DUMMYFUNCTION("""COMPUTED_VALUE"""),6.0)</f>
        <v>6</v>
      </c>
      <c r="U505" s="35" t="str">
        <f>IFERROR(__xludf.DUMMYFUNCTION("""COMPUTED_VALUE"""),"")</f>
        <v/>
      </c>
      <c r="V505" s="170" t="str">
        <f>IFERROR(__xludf.DUMMYFUNCTION("""COMPUTED_VALUE"""),"")</f>
        <v/>
      </c>
      <c r="W505" s="171" t="str">
        <f>IFERROR(__xludf.DUMMYFUNCTION("""COMPUTED_VALUE"""),"")</f>
        <v/>
      </c>
      <c r="X505" s="14" t="str">
        <f>IFERROR(__xludf.DUMMYFUNCTION("""COMPUTED_VALUE"""),"")</f>
        <v/>
      </c>
      <c r="Y505" s="14" t="str">
        <f>IFERROR(__xludf.DUMMYFUNCTION("""COMPUTED_VALUE"""),"")</f>
        <v/>
      </c>
      <c r="Z505" s="11" t="str">
        <f>IFERROR(__xludf.DUMMYFUNCTION("""COMPUTED_VALUE"""),"")</f>
        <v/>
      </c>
    </row>
    <row r="506">
      <c r="A506" s="35" t="str">
        <f>IFERROR(__xludf.DUMMYFUNCTION("""COMPUTED_VALUE"""),"")</f>
        <v/>
      </c>
      <c r="B506" s="35" t="str">
        <f>IFERROR(__xludf.DUMMYFUNCTION("""COMPUTED_VALUE"""),"39857")</f>
        <v>39857</v>
      </c>
      <c r="C506" s="172">
        <f>IFERROR(__xludf.DUMMYFUNCTION("""COMPUTED_VALUE"""),4.461700036E10)</f>
        <v>44617000360</v>
      </c>
      <c r="D506" s="180" t="str">
        <f>IFERROR(__xludf.DUMMYFUNCTION("""COMPUTED_VALUE"""),"DIS")</f>
        <v>DIS</v>
      </c>
      <c r="E506" s="173">
        <f>IFERROR(__xludf.DUMMYFUNCTION("""COMPUTED_VALUE"""),44617.0)</f>
        <v>44617</v>
      </c>
      <c r="F506" s="35" t="str">
        <f>IFERROR(__xludf.DUMMYFUNCTION("""COMPUTED_VALUE"""),"Stock")</f>
        <v>Stock</v>
      </c>
      <c r="G506" s="35" t="str">
        <f>IFERROR(__xludf.DUMMYFUNCTION("""COMPUTED_VALUE"""),"USD")</f>
        <v>USD</v>
      </c>
      <c r="H506" s="181">
        <f>IFERROR(__xludf.DUMMYFUNCTION("""COMPUTED_VALUE"""),-500.0)</f>
        <v>-500</v>
      </c>
      <c r="I506" s="174">
        <f>IFERROR(__xludf.DUMMYFUNCTION("""COMPUTED_VALUE"""),7.808395)</f>
        <v>7.808395</v>
      </c>
      <c r="J506" s="175">
        <f>IFERROR(__xludf.DUMMYFUNCTION("""COMPUTED_VALUE"""),149.53)</f>
        <v>149.53</v>
      </c>
      <c r="K506" s="35"/>
      <c r="L506" s="175">
        <f>IFERROR(__xludf.DUMMYFUNCTION("""COMPUTED_VALUE"""),132.38)</f>
        <v>132.38</v>
      </c>
      <c r="M506" s="187" t="str">
        <f>IFERROR(__xludf.DUMMYFUNCTION("""COMPUTED_VALUE"""),"Equity Key Stats")</f>
        <v>Equity Key Stats</v>
      </c>
      <c r="N506" s="35"/>
      <c r="O506" s="35"/>
      <c r="P506" s="184">
        <f>IFERROR(__xludf.DUMMYFUNCTION("""COMPUTED_VALUE"""),583794.6521749999)</f>
        <v>583794.6522</v>
      </c>
      <c r="Q506" s="177"/>
      <c r="R506" s="178">
        <f>IFERROR(__xludf.DUMMYFUNCTION("""COMPUTED_VALUE"""),132.38)</f>
        <v>132.38</v>
      </c>
      <c r="S506" s="176">
        <f>IFERROR(__xludf.DUMMYFUNCTION("""COMPUTED_VALUE"""),-516837.66504999995)</f>
        <v>-516837.6651</v>
      </c>
      <c r="T506" s="95">
        <f>IFERROR(__xludf.DUMMYFUNCTION("""COMPUTED_VALUE"""),3.0)</f>
        <v>3</v>
      </c>
      <c r="U506" s="35">
        <f>IFERROR(__xludf.DUMMYFUNCTION("""COMPUTED_VALUE"""),1.0)</f>
        <v>1</v>
      </c>
      <c r="V506" s="170">
        <f>IFERROR(__xludf.DUMMYFUNCTION("""COMPUTED_VALUE"""),-18566.948539999954)</f>
        <v>-18566.94854</v>
      </c>
      <c r="W506" s="171" t="str">
        <f>IFERROR(__xludf.DUMMYFUNCTION("""COMPUTED_VALUE"""),"")</f>
        <v/>
      </c>
      <c r="X506" s="14" t="str">
        <f>IFERROR(__xludf.DUMMYFUNCTION("""COMPUTED_VALUE"""),"")</f>
        <v/>
      </c>
      <c r="Y506" s="14" t="str">
        <f>IFERROR(__xludf.DUMMYFUNCTION("""COMPUTED_VALUE"""),"")</f>
        <v/>
      </c>
      <c r="Z506" s="11" t="str">
        <f>IFERROR(__xludf.DUMMYFUNCTION("""COMPUTED_VALUE"""),"")</f>
        <v/>
      </c>
    </row>
    <row r="507">
      <c r="A507" s="35" t="str">
        <f>IFERROR(__xludf.DUMMYFUNCTION("""COMPUTED_VALUE"""),"")</f>
        <v/>
      </c>
      <c r="B507" s="35" t="str">
        <f>IFERROR(__xludf.DUMMYFUNCTION("""COMPUTED_VALUE"""),"39857")</f>
        <v>39857</v>
      </c>
      <c r="C507" s="172">
        <f>IFERROR(__xludf.DUMMYFUNCTION("""COMPUTED_VALUE"""),4.4617000362E10)</f>
        <v>44617000362</v>
      </c>
      <c r="D507" s="180" t="str">
        <f>IFERROR(__xludf.DUMMYFUNCTION("""COMPUTED_VALUE"""),"TSLA")</f>
        <v>TSLA</v>
      </c>
      <c r="E507" s="173">
        <f>IFERROR(__xludf.DUMMYFUNCTION("""COMPUTED_VALUE"""),44617.0)</f>
        <v>44617</v>
      </c>
      <c r="F507" s="35" t="str">
        <f>IFERROR(__xludf.DUMMYFUNCTION("""COMPUTED_VALUE"""),"Stock")</f>
        <v>Stock</v>
      </c>
      <c r="G507" s="35" t="str">
        <f>IFERROR(__xludf.DUMMYFUNCTION("""COMPUTED_VALUE"""),"USD")</f>
        <v>USD</v>
      </c>
      <c r="H507" s="181">
        <f>IFERROR(__xludf.DUMMYFUNCTION("""COMPUTED_VALUE"""),-50.0)</f>
        <v>-50</v>
      </c>
      <c r="I507" s="174">
        <f>IFERROR(__xludf.DUMMYFUNCTION("""COMPUTED_VALUE"""),7.808395)</f>
        <v>7.808395</v>
      </c>
      <c r="J507" s="175">
        <f>IFERROR(__xludf.DUMMYFUNCTION("""COMPUTED_VALUE"""),809.87)</f>
        <v>809.87</v>
      </c>
      <c r="K507" s="35"/>
      <c r="L507" s="175">
        <f>IFERROR(__xludf.DUMMYFUNCTION("""COMPUTED_VALUE"""),1022.37)</f>
        <v>1022.37</v>
      </c>
      <c r="M507" s="187" t="str">
        <f>IFERROR(__xludf.DUMMYFUNCTION("""COMPUTED_VALUE"""),"Equity Key Stats")</f>
        <v>Equity Key Stats</v>
      </c>
      <c r="N507" s="35"/>
      <c r="O507" s="35"/>
      <c r="P507" s="184">
        <f>IFERROR(__xludf.DUMMYFUNCTION("""COMPUTED_VALUE"""),316189.2429325)</f>
        <v>316189.2429</v>
      </c>
      <c r="Q507" s="177"/>
      <c r="R507" s="178">
        <f>IFERROR(__xludf.DUMMYFUNCTION("""COMPUTED_VALUE"""),1022.37)</f>
        <v>1022.37</v>
      </c>
      <c r="S507" s="176">
        <f>IFERROR(__xludf.DUMMYFUNCTION("""COMPUTED_VALUE"""),-399153.43980750005)</f>
        <v>-399153.4398</v>
      </c>
      <c r="T507" s="95">
        <f>IFERROR(__xludf.DUMMYFUNCTION("""COMPUTED_VALUE"""),6.0)</f>
        <v>6</v>
      </c>
      <c r="U507" s="35" t="str">
        <f>IFERROR(__xludf.DUMMYFUNCTION("""COMPUTED_VALUE"""),"")</f>
        <v/>
      </c>
      <c r="V507" s="170" t="str">
        <f>IFERROR(__xludf.DUMMYFUNCTION("""COMPUTED_VALUE"""),"")</f>
        <v/>
      </c>
      <c r="W507" s="171" t="str">
        <f>IFERROR(__xludf.DUMMYFUNCTION("""COMPUTED_VALUE"""),"")</f>
        <v/>
      </c>
      <c r="X507" s="14" t="str">
        <f>IFERROR(__xludf.DUMMYFUNCTION("""COMPUTED_VALUE"""),"")</f>
        <v/>
      </c>
      <c r="Y507" s="14" t="str">
        <f>IFERROR(__xludf.DUMMYFUNCTION("""COMPUTED_VALUE"""),"")</f>
        <v/>
      </c>
      <c r="Z507" s="11" t="str">
        <f>IFERROR(__xludf.DUMMYFUNCTION("""COMPUTED_VALUE"""),"")</f>
        <v/>
      </c>
    </row>
    <row r="508">
      <c r="A508" s="35" t="str">
        <f>IFERROR(__xludf.DUMMYFUNCTION("""COMPUTED_VALUE"""),"")</f>
        <v/>
      </c>
      <c r="B508" s="35" t="str">
        <f>IFERROR(__xludf.DUMMYFUNCTION("""COMPUTED_VALUE"""),"39857")</f>
        <v>39857</v>
      </c>
      <c r="C508" s="172">
        <f>IFERROR(__xludf.DUMMYFUNCTION("""COMPUTED_VALUE"""),4.4620000388E10)</f>
        <v>44620000388</v>
      </c>
      <c r="D508" s="180" t="str">
        <f>IFERROR(__xludf.DUMMYFUNCTION("""COMPUTED_VALUE"""),"TSLA")</f>
        <v>TSLA</v>
      </c>
      <c r="E508" s="173">
        <f>IFERROR(__xludf.DUMMYFUNCTION("""COMPUTED_VALUE"""),44620.0)</f>
        <v>44620</v>
      </c>
      <c r="F508" s="35" t="str">
        <f>IFERROR(__xludf.DUMMYFUNCTION("""COMPUTED_VALUE"""),"Stock")</f>
        <v>Stock</v>
      </c>
      <c r="G508" s="35" t="str">
        <f>IFERROR(__xludf.DUMMYFUNCTION("""COMPUTED_VALUE"""),"USD")</f>
        <v>USD</v>
      </c>
      <c r="H508" s="183">
        <f>IFERROR(__xludf.DUMMYFUNCTION("""COMPUTED_VALUE"""),60.0)</f>
        <v>60</v>
      </c>
      <c r="I508" s="174">
        <f>IFERROR(__xludf.DUMMYFUNCTION("""COMPUTED_VALUE"""),7.81345)</f>
        <v>7.81345</v>
      </c>
      <c r="J508" s="175">
        <f>IFERROR(__xludf.DUMMYFUNCTION("""COMPUTED_VALUE"""),870.43)</f>
        <v>870.43</v>
      </c>
      <c r="K508" s="35"/>
      <c r="L508" s="175">
        <f>IFERROR(__xludf.DUMMYFUNCTION("""COMPUTED_VALUE"""),1022.37)</f>
        <v>1022.37</v>
      </c>
      <c r="M508" s="182" t="str">
        <f>IFERROR(__xludf.DUMMYFUNCTION("""COMPUTED_VALUE"""),"Equity Key Stats")</f>
        <v>Equity Key Stats</v>
      </c>
      <c r="N508" s="35"/>
      <c r="O508" s="35"/>
      <c r="P508" s="176">
        <f>IFERROR(__xludf.DUMMYFUNCTION("""COMPUTED_VALUE"""),-408063.6770099999)</f>
        <v>-408063.677</v>
      </c>
      <c r="Q508" s="177"/>
      <c r="R508" s="178">
        <f>IFERROR(__xludf.DUMMYFUNCTION("""COMPUTED_VALUE"""),1022.37)</f>
        <v>1022.37</v>
      </c>
      <c r="S508" s="184">
        <f>IFERROR(__xludf.DUMMYFUNCTION("""COMPUTED_VALUE"""),479294.21258999995)</f>
        <v>479294.2126</v>
      </c>
      <c r="T508" s="95">
        <f>IFERROR(__xludf.DUMMYFUNCTION("""COMPUTED_VALUE"""),6.0)</f>
        <v>6</v>
      </c>
      <c r="U508" s="35" t="str">
        <f>IFERROR(__xludf.DUMMYFUNCTION("""COMPUTED_VALUE"""),"")</f>
        <v/>
      </c>
      <c r="V508" s="170" t="str">
        <f>IFERROR(__xludf.DUMMYFUNCTION("""COMPUTED_VALUE"""),"")</f>
        <v/>
      </c>
      <c r="W508" s="171" t="str">
        <f>IFERROR(__xludf.DUMMYFUNCTION("""COMPUTED_VALUE"""),"")</f>
        <v/>
      </c>
      <c r="X508" s="14" t="str">
        <f>IFERROR(__xludf.DUMMYFUNCTION("""COMPUTED_VALUE"""),"")</f>
        <v/>
      </c>
      <c r="Y508" s="14" t="str">
        <f>IFERROR(__xludf.DUMMYFUNCTION("""COMPUTED_VALUE"""),"")</f>
        <v/>
      </c>
      <c r="Z508" s="11" t="str">
        <f>IFERROR(__xludf.DUMMYFUNCTION("""COMPUTED_VALUE"""),"")</f>
        <v/>
      </c>
    </row>
    <row r="509">
      <c r="A509" s="35" t="str">
        <f>IFERROR(__xludf.DUMMYFUNCTION("""COMPUTED_VALUE"""),"")</f>
        <v/>
      </c>
      <c r="B509" s="35" t="str">
        <f>IFERROR(__xludf.DUMMYFUNCTION("""COMPUTED_VALUE"""),"39857")</f>
        <v>39857</v>
      </c>
      <c r="C509" s="172">
        <f>IFERROR(__xludf.DUMMYFUNCTION("""COMPUTED_VALUE"""),4.4643000815E10)</f>
        <v>44643000815</v>
      </c>
      <c r="D509" s="188" t="str">
        <f>IFERROR(__xludf.DUMMYFUNCTION("""COMPUTED_VALUE"""),"9988.HK")</f>
        <v>9988.HK</v>
      </c>
      <c r="E509" s="173">
        <f>IFERROR(__xludf.DUMMYFUNCTION("""COMPUTED_VALUE"""),44643.0)</f>
        <v>44643</v>
      </c>
      <c r="F509" s="35" t="str">
        <f>IFERROR(__xludf.DUMMYFUNCTION("""COMPUTED_VALUE"""),"Stock")</f>
        <v>Stock</v>
      </c>
      <c r="G509" s="35" t="str">
        <f>IFERROR(__xludf.DUMMYFUNCTION("""COMPUTED_VALUE"""),"HKD")</f>
        <v>HKD</v>
      </c>
      <c r="H509" s="183">
        <f>IFERROR(__xludf.DUMMYFUNCTION("""COMPUTED_VALUE"""),800.0)</f>
        <v>800</v>
      </c>
      <c r="I509" s="174">
        <f>IFERROR(__xludf.DUMMYFUNCTION("""COMPUTED_VALUE"""),1.0)</f>
        <v>1</v>
      </c>
      <c r="J509" s="175">
        <f>IFERROR(__xludf.DUMMYFUNCTION("""COMPUTED_VALUE"""),117.6)</f>
        <v>117.6</v>
      </c>
      <c r="K509" s="35"/>
      <c r="L509" s="175">
        <f>IFERROR(__xludf.DUMMYFUNCTION("""COMPUTED_VALUE"""),98.5)</f>
        <v>98.5</v>
      </c>
      <c r="M509" s="187" t="str">
        <f>IFERROR(__xludf.DUMMYFUNCTION("""COMPUTED_VALUE"""),"Equity Key Stats")</f>
        <v>Equity Key Stats</v>
      </c>
      <c r="N509" s="35"/>
      <c r="O509" s="35"/>
      <c r="P509" s="176">
        <f>IFERROR(__xludf.DUMMYFUNCTION("""COMPUTED_VALUE"""),-94080.0)</f>
        <v>-94080</v>
      </c>
      <c r="Q509" s="177"/>
      <c r="R509" s="178">
        <f>IFERROR(__xludf.DUMMYFUNCTION("""COMPUTED_VALUE"""),98.5)</f>
        <v>98.5</v>
      </c>
      <c r="S509" s="176">
        <f>IFERROR(__xludf.DUMMYFUNCTION("""COMPUTED_VALUE"""),78800.0)</f>
        <v>78800</v>
      </c>
      <c r="T509" s="95">
        <f>IFERROR(__xludf.DUMMYFUNCTION("""COMPUTED_VALUE"""),2.0)</f>
        <v>2</v>
      </c>
      <c r="U509" s="95" t="str">
        <f>IFERROR(__xludf.DUMMYFUNCTION("""COMPUTED_VALUE"""),"")</f>
        <v/>
      </c>
      <c r="V509" s="185" t="str">
        <f>IFERROR(__xludf.DUMMYFUNCTION("""COMPUTED_VALUE"""),"")</f>
        <v/>
      </c>
      <c r="W509" s="171" t="str">
        <f>IFERROR(__xludf.DUMMYFUNCTION("""COMPUTED_VALUE"""),"")</f>
        <v/>
      </c>
      <c r="X509" s="14" t="str">
        <f>IFERROR(__xludf.DUMMYFUNCTION("""COMPUTED_VALUE"""),"")</f>
        <v/>
      </c>
      <c r="Y509" s="14" t="str">
        <f>IFERROR(__xludf.DUMMYFUNCTION("""COMPUTED_VALUE"""),"")</f>
        <v/>
      </c>
      <c r="Z509" s="11" t="str">
        <f>IFERROR(__xludf.DUMMYFUNCTION("""COMPUTED_VALUE"""),"")</f>
        <v/>
      </c>
    </row>
    <row r="510">
      <c r="A510" s="35" t="str">
        <f>IFERROR(__xludf.DUMMYFUNCTION("""COMPUTED_VALUE"""),"")</f>
        <v/>
      </c>
      <c r="B510" s="35" t="str">
        <f>IFERROR(__xludf.DUMMYFUNCTION("""COMPUTED_VALUE"""),"39857")</f>
        <v>39857</v>
      </c>
      <c r="C510" s="172">
        <f>IFERROR(__xludf.DUMMYFUNCTION("""COMPUTED_VALUE"""),4.4650001039E10)</f>
        <v>44650001039</v>
      </c>
      <c r="D510" s="180" t="str">
        <f>IFERROR(__xludf.DUMMYFUNCTION("""COMPUTED_VALUE"""),"TSLA")</f>
        <v>TSLA</v>
      </c>
      <c r="E510" s="173">
        <f>IFERROR(__xludf.DUMMYFUNCTION("""COMPUTED_VALUE"""),44650.0)</f>
        <v>44650</v>
      </c>
      <c r="F510" s="35" t="str">
        <f>IFERROR(__xludf.DUMMYFUNCTION("""COMPUTED_VALUE"""),"Stock")</f>
        <v>Stock</v>
      </c>
      <c r="G510" s="35" t="str">
        <f>IFERROR(__xludf.DUMMYFUNCTION("""COMPUTED_VALUE"""),"USD")</f>
        <v>USD</v>
      </c>
      <c r="H510" s="181">
        <f>IFERROR(__xludf.DUMMYFUNCTION("""COMPUTED_VALUE"""),-10.0)</f>
        <v>-10</v>
      </c>
      <c r="I510" s="174">
        <f>IFERROR(__xludf.DUMMYFUNCTION("""COMPUTED_VALUE"""),7.82725)</f>
        <v>7.82725</v>
      </c>
      <c r="J510" s="175">
        <f>IFERROR(__xludf.DUMMYFUNCTION("""COMPUTED_VALUE"""),1093.99)</f>
        <v>1093.99</v>
      </c>
      <c r="K510" s="35"/>
      <c r="L510" s="175">
        <f>IFERROR(__xludf.DUMMYFUNCTION("""COMPUTED_VALUE"""),1022.37)</f>
        <v>1022.37</v>
      </c>
      <c r="M510" s="187" t="str">
        <f>IFERROR(__xludf.DUMMYFUNCTION("""COMPUTED_VALUE"""),"Equity Key Stats")</f>
        <v>Equity Key Stats</v>
      </c>
      <c r="N510" s="35"/>
      <c r="O510" s="35"/>
      <c r="P510" s="184">
        <f>IFERROR(__xludf.DUMMYFUNCTION("""COMPUTED_VALUE"""),85629.33227500001)</f>
        <v>85629.33228</v>
      </c>
      <c r="Q510" s="177"/>
      <c r="R510" s="178">
        <f>IFERROR(__xludf.DUMMYFUNCTION("""COMPUTED_VALUE"""),1022.37)</f>
        <v>1022.37</v>
      </c>
      <c r="S510" s="176">
        <f>IFERROR(__xludf.DUMMYFUNCTION("""COMPUTED_VALUE"""),-80023.45582500001)</f>
        <v>-80023.45583</v>
      </c>
      <c r="T510" s="95">
        <f>IFERROR(__xludf.DUMMYFUNCTION("""COMPUTED_VALUE"""),6.0)</f>
        <v>6</v>
      </c>
      <c r="U510" s="35">
        <f>IFERROR(__xludf.DUMMYFUNCTION("""COMPUTED_VALUE"""),1.0)</f>
        <v>1</v>
      </c>
      <c r="V510" s="170">
        <f>IFERROR(__xludf.DUMMYFUNCTION("""COMPUTED_VALUE"""),-5106.866984599954)</f>
        <v>-5106.866985</v>
      </c>
      <c r="W510" s="171" t="str">
        <f>IFERROR(__xludf.DUMMYFUNCTION("""COMPUTED_VALUE"""),"")</f>
        <v/>
      </c>
      <c r="X510" s="14" t="str">
        <f>IFERROR(__xludf.DUMMYFUNCTION("""COMPUTED_VALUE"""),"")</f>
        <v/>
      </c>
      <c r="Y510" s="14" t="str">
        <f>IFERROR(__xludf.DUMMYFUNCTION("""COMPUTED_VALUE"""),"")</f>
        <v/>
      </c>
      <c r="Z510" s="11" t="str">
        <f>IFERROR(__xludf.DUMMYFUNCTION("""COMPUTED_VALUE"""),"")</f>
        <v/>
      </c>
    </row>
    <row r="511">
      <c r="A511" s="35" t="str">
        <f>IFERROR(__xludf.DUMMYFUNCTION("""COMPUTED_VALUE"""),"")</f>
        <v/>
      </c>
      <c r="B511" s="35" t="str">
        <f>IFERROR(__xludf.DUMMYFUNCTION("""COMPUTED_VALUE"""),"39857")</f>
        <v>39857</v>
      </c>
      <c r="C511" s="172">
        <f>IFERROR(__xludf.DUMMYFUNCTION("""COMPUTED_VALUE"""),4.4651001059E10)</f>
        <v>44651001059</v>
      </c>
      <c r="D511" s="188" t="str">
        <f>IFERROR(__xludf.DUMMYFUNCTION("""COMPUTED_VALUE"""),"9988.HK")</f>
        <v>9988.HK</v>
      </c>
      <c r="E511" s="173">
        <f>IFERROR(__xludf.DUMMYFUNCTION("""COMPUTED_VALUE"""),44651.0)</f>
        <v>44651</v>
      </c>
      <c r="F511" s="35" t="str">
        <f>IFERROR(__xludf.DUMMYFUNCTION("""COMPUTED_VALUE"""),"Stock")</f>
        <v>Stock</v>
      </c>
      <c r="G511" s="35" t="str">
        <f>IFERROR(__xludf.DUMMYFUNCTION("""COMPUTED_VALUE"""),"HKD")</f>
        <v>HKD</v>
      </c>
      <c r="H511" s="181">
        <f>IFERROR(__xludf.DUMMYFUNCTION("""COMPUTED_VALUE"""),-800.0)</f>
        <v>-800</v>
      </c>
      <c r="I511" s="174">
        <f>IFERROR(__xludf.DUMMYFUNCTION("""COMPUTED_VALUE"""),1.0)</f>
        <v>1</v>
      </c>
      <c r="J511" s="175">
        <f>IFERROR(__xludf.DUMMYFUNCTION("""COMPUTED_VALUE"""),112.1)</f>
        <v>112.1</v>
      </c>
      <c r="K511" s="35"/>
      <c r="L511" s="175">
        <f>IFERROR(__xludf.DUMMYFUNCTION("""COMPUTED_VALUE"""),98.5)</f>
        <v>98.5</v>
      </c>
      <c r="M511" s="187" t="str">
        <f>IFERROR(__xludf.DUMMYFUNCTION("""COMPUTED_VALUE"""),"Equity Key Stats")</f>
        <v>Equity Key Stats</v>
      </c>
      <c r="N511" s="35"/>
      <c r="O511" s="35"/>
      <c r="P511" s="184">
        <f>IFERROR(__xludf.DUMMYFUNCTION("""COMPUTED_VALUE"""),89680.0)</f>
        <v>89680</v>
      </c>
      <c r="Q511" s="177"/>
      <c r="R511" s="178">
        <f>IFERROR(__xludf.DUMMYFUNCTION("""COMPUTED_VALUE"""),98.5)</f>
        <v>98.5</v>
      </c>
      <c r="S511" s="176">
        <f>IFERROR(__xludf.DUMMYFUNCTION("""COMPUTED_VALUE"""),-78800.0)</f>
        <v>-78800</v>
      </c>
      <c r="T511" s="95">
        <f>IFERROR(__xludf.DUMMYFUNCTION("""COMPUTED_VALUE"""),2.0)</f>
        <v>2</v>
      </c>
      <c r="U511" s="35">
        <f>IFERROR(__xludf.DUMMYFUNCTION("""COMPUTED_VALUE"""),1.0)</f>
        <v>1</v>
      </c>
      <c r="V511" s="170">
        <f>IFERROR(__xludf.DUMMYFUNCTION("""COMPUTED_VALUE"""),-4400.0)</f>
        <v>-4400</v>
      </c>
      <c r="W511" s="171" t="str">
        <f>IFERROR(__xludf.DUMMYFUNCTION("""COMPUTED_VALUE"""),"")</f>
        <v/>
      </c>
      <c r="X511" s="14" t="str">
        <f>IFERROR(__xludf.DUMMYFUNCTION("""COMPUTED_VALUE"""),"")</f>
        <v/>
      </c>
      <c r="Y511" s="14" t="str">
        <f>IFERROR(__xludf.DUMMYFUNCTION("""COMPUTED_VALUE"""),"")</f>
        <v/>
      </c>
      <c r="Z511" s="11" t="str">
        <f>IFERROR(__xludf.DUMMYFUNCTION("""COMPUTED_VALUE"""),"")</f>
        <v/>
      </c>
    </row>
    <row r="512">
      <c r="A512" s="35" t="str">
        <f>IFERROR(__xludf.DUMMYFUNCTION("""COMPUTED_VALUE"""),"")</f>
        <v/>
      </c>
      <c r="B512" s="35" t="str">
        <f>IFERROR(__xludf.DUMMYFUNCTION("""COMPUTED_VALUE"""),"39857")</f>
        <v>39857</v>
      </c>
      <c r="C512" s="172">
        <f>IFERROR(__xludf.DUMMYFUNCTION("""COMPUTED_VALUE"""),4.4655001124E10)</f>
        <v>44655001124</v>
      </c>
      <c r="D512" s="188" t="str">
        <f>IFERROR(__xludf.DUMMYFUNCTION("""COMPUTED_VALUE"""),"9939.HK")</f>
        <v>9939.HK</v>
      </c>
      <c r="E512" s="173">
        <f>IFERROR(__xludf.DUMMYFUNCTION("""COMPUTED_VALUE"""),44655.0)</f>
        <v>44655</v>
      </c>
      <c r="F512" s="35" t="str">
        <f>IFERROR(__xludf.DUMMYFUNCTION("""COMPUTED_VALUE"""),"Stock")</f>
        <v>Stock</v>
      </c>
      <c r="G512" s="35" t="str">
        <f>IFERROR(__xludf.DUMMYFUNCTION("""COMPUTED_VALUE"""),"HKD")</f>
        <v>HKD</v>
      </c>
      <c r="H512" s="183">
        <f>IFERROR(__xludf.DUMMYFUNCTION("""COMPUTED_VALUE"""),20000.0)</f>
        <v>20000</v>
      </c>
      <c r="I512" s="174">
        <f>IFERROR(__xludf.DUMMYFUNCTION("""COMPUTED_VALUE"""),1.0)</f>
        <v>1</v>
      </c>
      <c r="J512" s="175">
        <f>IFERROR(__xludf.DUMMYFUNCTION("""COMPUTED_VALUE"""),13.98)</f>
        <v>13.98</v>
      </c>
      <c r="K512" s="35"/>
      <c r="L512" s="175">
        <f>IFERROR(__xludf.DUMMYFUNCTION("""COMPUTED_VALUE"""),28.15)</f>
        <v>28.15</v>
      </c>
      <c r="M512" s="187" t="str">
        <f>IFERROR(__xludf.DUMMYFUNCTION("""COMPUTED_VALUE"""),"Equity Key Stats")</f>
        <v>Equity Key Stats</v>
      </c>
      <c r="N512" s="35"/>
      <c r="O512" s="35"/>
      <c r="P512" s="176">
        <f>IFERROR(__xludf.DUMMYFUNCTION("""COMPUTED_VALUE"""),-279600.0)</f>
        <v>-279600</v>
      </c>
      <c r="Q512" s="177"/>
      <c r="R512" s="178">
        <f>IFERROR(__xludf.DUMMYFUNCTION("""COMPUTED_VALUE"""),28.15)</f>
        <v>28.15</v>
      </c>
      <c r="S512" s="184">
        <f>IFERROR(__xludf.DUMMYFUNCTION("""COMPUTED_VALUE"""),563000.0)</f>
        <v>563000</v>
      </c>
      <c r="T512" s="95">
        <f>IFERROR(__xludf.DUMMYFUNCTION("""COMPUTED_VALUE"""),4.0)</f>
        <v>4</v>
      </c>
      <c r="U512" s="95" t="str">
        <f>IFERROR(__xludf.DUMMYFUNCTION("""COMPUTED_VALUE"""),"")</f>
        <v/>
      </c>
      <c r="V512" s="179" t="str">
        <f>IFERROR(__xludf.DUMMYFUNCTION("""COMPUTED_VALUE"""),"")</f>
        <v/>
      </c>
      <c r="W512" s="171" t="str">
        <f>IFERROR(__xludf.DUMMYFUNCTION("""COMPUTED_VALUE"""),"")</f>
        <v/>
      </c>
      <c r="X512" s="14" t="str">
        <f>IFERROR(__xludf.DUMMYFUNCTION("""COMPUTED_VALUE"""),"")</f>
        <v/>
      </c>
      <c r="Y512" s="14" t="str">
        <f>IFERROR(__xludf.DUMMYFUNCTION("""COMPUTED_VALUE"""),"")</f>
        <v/>
      </c>
      <c r="Z512" s="11" t="str">
        <f>IFERROR(__xludf.DUMMYFUNCTION("""COMPUTED_VALUE"""),"")</f>
        <v/>
      </c>
    </row>
    <row r="513">
      <c r="A513" s="35" t="str">
        <f>IFERROR(__xludf.DUMMYFUNCTION("""COMPUTED_VALUE"""),"")</f>
        <v/>
      </c>
      <c r="B513" s="35" t="str">
        <f>IFERROR(__xludf.DUMMYFUNCTION("""COMPUTED_VALUE"""),"39857")</f>
        <v>39857</v>
      </c>
      <c r="C513" s="172">
        <f>IFERROR(__xludf.DUMMYFUNCTION("""COMPUTED_VALUE"""),4.4658001206E10)</f>
        <v>44658001206</v>
      </c>
      <c r="D513" s="190" t="str">
        <f>IFERROR(__xludf.DUMMYFUNCTION("""COMPUTED_VALUE"""),"9939.HK")</f>
        <v>9939.HK</v>
      </c>
      <c r="E513" s="173">
        <f>IFERROR(__xludf.DUMMYFUNCTION("""COMPUTED_VALUE"""),44658.0)</f>
        <v>44658</v>
      </c>
      <c r="F513" s="35" t="str">
        <f>IFERROR(__xludf.DUMMYFUNCTION("""COMPUTED_VALUE"""),"Stock")</f>
        <v>Stock</v>
      </c>
      <c r="G513" s="35" t="str">
        <f>IFERROR(__xludf.DUMMYFUNCTION("""COMPUTED_VALUE"""),"HKD")</f>
        <v>HKD</v>
      </c>
      <c r="H513" s="183">
        <f>IFERROR(__xludf.DUMMYFUNCTION("""COMPUTED_VALUE"""),-20000.0)</f>
        <v>-20000</v>
      </c>
      <c r="I513" s="174">
        <f>IFERROR(__xludf.DUMMYFUNCTION("""COMPUTED_VALUE"""),1.0)</f>
        <v>1</v>
      </c>
      <c r="J513" s="175">
        <f>IFERROR(__xludf.DUMMYFUNCTION("""COMPUTED_VALUE"""),21.7)</f>
        <v>21.7</v>
      </c>
      <c r="K513" s="35"/>
      <c r="L513" s="175">
        <f>IFERROR(__xludf.DUMMYFUNCTION("""COMPUTED_VALUE"""),28.15)</f>
        <v>28.15</v>
      </c>
      <c r="M513" s="187" t="str">
        <f>IFERROR(__xludf.DUMMYFUNCTION("""COMPUTED_VALUE"""),"Equity Key Stats")</f>
        <v>Equity Key Stats</v>
      </c>
      <c r="N513" s="35"/>
      <c r="O513" s="35"/>
      <c r="P513" s="176">
        <f>IFERROR(__xludf.DUMMYFUNCTION("""COMPUTED_VALUE"""),434000.0)</f>
        <v>434000</v>
      </c>
      <c r="Q513" s="177"/>
      <c r="R513" s="178">
        <f>IFERROR(__xludf.DUMMYFUNCTION("""COMPUTED_VALUE"""),28.15)</f>
        <v>28.15</v>
      </c>
      <c r="S513" s="184">
        <f>IFERROR(__xludf.DUMMYFUNCTION("""COMPUTED_VALUE"""),-563000.0)</f>
        <v>-563000</v>
      </c>
      <c r="T513" s="95">
        <f>IFERROR(__xludf.DUMMYFUNCTION("""COMPUTED_VALUE"""),4.0)</f>
        <v>4</v>
      </c>
      <c r="U513" s="95" t="str">
        <f>IFERROR(__xludf.DUMMYFUNCTION("""COMPUTED_VALUE"""),"")</f>
        <v/>
      </c>
      <c r="V513" s="185" t="str">
        <f>IFERROR(__xludf.DUMMYFUNCTION("""COMPUTED_VALUE"""),"")</f>
        <v/>
      </c>
      <c r="W513" s="171" t="str">
        <f>IFERROR(__xludf.DUMMYFUNCTION("""COMPUTED_VALUE"""),"")</f>
        <v/>
      </c>
      <c r="X513" s="14" t="str">
        <f>IFERROR(__xludf.DUMMYFUNCTION("""COMPUTED_VALUE"""),"")</f>
        <v/>
      </c>
      <c r="Y513" s="14" t="str">
        <f>IFERROR(__xludf.DUMMYFUNCTION("""COMPUTED_VALUE"""),"")</f>
        <v/>
      </c>
      <c r="Z513" s="11" t="str">
        <f>IFERROR(__xludf.DUMMYFUNCTION("""COMPUTED_VALUE"""),"")</f>
        <v/>
      </c>
    </row>
    <row r="514">
      <c r="A514" s="35" t="str">
        <f>IFERROR(__xludf.DUMMYFUNCTION("""COMPUTED_VALUE"""),"")</f>
        <v/>
      </c>
      <c r="B514" s="35" t="str">
        <f>IFERROR(__xludf.DUMMYFUNCTION("""COMPUTED_VALUE"""),"39857")</f>
        <v>39857</v>
      </c>
      <c r="C514" s="172">
        <f>IFERROR(__xludf.DUMMYFUNCTION("""COMPUTED_VALUE"""),4.4659001263E10)</f>
        <v>44659001263</v>
      </c>
      <c r="D514" s="190" t="str">
        <f>IFERROR(__xludf.DUMMYFUNCTION("""COMPUTED_VALUE"""),"9939.HK")</f>
        <v>9939.HK</v>
      </c>
      <c r="E514" s="173">
        <f>IFERROR(__xludf.DUMMYFUNCTION("""COMPUTED_VALUE"""),44659.0)</f>
        <v>44659</v>
      </c>
      <c r="F514" s="35" t="str">
        <f>IFERROR(__xludf.DUMMYFUNCTION("""COMPUTED_VALUE"""),"Stock")</f>
        <v>Stock</v>
      </c>
      <c r="G514" s="35" t="str">
        <f>IFERROR(__xludf.DUMMYFUNCTION("""COMPUTED_VALUE"""),"HKD")</f>
        <v>HKD</v>
      </c>
      <c r="H514" s="183">
        <f>IFERROR(__xludf.DUMMYFUNCTION("""COMPUTED_VALUE"""),5000.0)</f>
        <v>5000</v>
      </c>
      <c r="I514" s="174">
        <f>IFERROR(__xludf.DUMMYFUNCTION("""COMPUTED_VALUE"""),1.0)</f>
        <v>1</v>
      </c>
      <c r="J514" s="175">
        <f>IFERROR(__xludf.DUMMYFUNCTION("""COMPUTED_VALUE"""),25.65)</f>
        <v>25.65</v>
      </c>
      <c r="K514" s="35"/>
      <c r="L514" s="175">
        <f>IFERROR(__xludf.DUMMYFUNCTION("""COMPUTED_VALUE"""),28.15)</f>
        <v>28.15</v>
      </c>
      <c r="M514" s="187" t="str">
        <f>IFERROR(__xludf.DUMMYFUNCTION("""COMPUTED_VALUE"""),"Equity Key Stats")</f>
        <v>Equity Key Stats</v>
      </c>
      <c r="N514" s="35"/>
      <c r="O514" s="35"/>
      <c r="P514" s="176">
        <f>IFERROR(__xludf.DUMMYFUNCTION("""COMPUTED_VALUE"""),-128250.0)</f>
        <v>-128250</v>
      </c>
      <c r="Q514" s="177"/>
      <c r="R514" s="178">
        <f>IFERROR(__xludf.DUMMYFUNCTION("""COMPUTED_VALUE"""),28.15)</f>
        <v>28.15</v>
      </c>
      <c r="S514" s="184">
        <f>IFERROR(__xludf.DUMMYFUNCTION("""COMPUTED_VALUE"""),140750.0)</f>
        <v>140750</v>
      </c>
      <c r="T514" s="95">
        <f>IFERROR(__xludf.DUMMYFUNCTION("""COMPUTED_VALUE"""),4.0)</f>
        <v>4</v>
      </c>
      <c r="U514" s="95" t="str">
        <f>IFERROR(__xludf.DUMMYFUNCTION("""COMPUTED_VALUE"""),"")</f>
        <v/>
      </c>
      <c r="V514" s="185" t="str">
        <f>IFERROR(__xludf.DUMMYFUNCTION("""COMPUTED_VALUE"""),"")</f>
        <v/>
      </c>
      <c r="W514" s="171" t="str">
        <f>IFERROR(__xludf.DUMMYFUNCTION("""COMPUTED_VALUE"""),"")</f>
        <v/>
      </c>
      <c r="X514" s="14" t="str">
        <f>IFERROR(__xludf.DUMMYFUNCTION("""COMPUTED_VALUE"""),"")</f>
        <v/>
      </c>
      <c r="Y514" s="14" t="str">
        <f>IFERROR(__xludf.DUMMYFUNCTION("""COMPUTED_VALUE"""),"")</f>
        <v/>
      </c>
      <c r="Z514" s="11" t="str">
        <f>IFERROR(__xludf.DUMMYFUNCTION("""COMPUTED_VALUE"""),"")</f>
        <v/>
      </c>
    </row>
    <row r="515">
      <c r="A515" s="35" t="str">
        <f>IFERROR(__xludf.DUMMYFUNCTION("""COMPUTED_VALUE"""),"")</f>
        <v/>
      </c>
      <c r="B515" s="35" t="str">
        <f>IFERROR(__xludf.DUMMYFUNCTION("""COMPUTED_VALUE"""),"39857")</f>
        <v>39857</v>
      </c>
      <c r="C515" s="172">
        <f>IFERROR(__xludf.DUMMYFUNCTION("""COMPUTED_VALUE"""),4.466200135E10)</f>
        <v>44662001350</v>
      </c>
      <c r="D515" s="190" t="str">
        <f>IFERROR(__xludf.DUMMYFUNCTION("""COMPUTED_VALUE"""),"9939.HK")</f>
        <v>9939.HK</v>
      </c>
      <c r="E515" s="173">
        <f>IFERROR(__xludf.DUMMYFUNCTION("""COMPUTED_VALUE"""),44662.0)</f>
        <v>44662</v>
      </c>
      <c r="F515" s="35" t="str">
        <f>IFERROR(__xludf.DUMMYFUNCTION("""COMPUTED_VALUE"""),"Stock")</f>
        <v>Stock</v>
      </c>
      <c r="G515" s="35" t="str">
        <f>IFERROR(__xludf.DUMMYFUNCTION("""COMPUTED_VALUE"""),"HKD")</f>
        <v>HKD</v>
      </c>
      <c r="H515" s="183">
        <f>IFERROR(__xludf.DUMMYFUNCTION("""COMPUTED_VALUE"""),-5000.0)</f>
        <v>-5000</v>
      </c>
      <c r="I515" s="174">
        <f>IFERROR(__xludf.DUMMYFUNCTION("""COMPUTED_VALUE"""),1.0)</f>
        <v>1</v>
      </c>
      <c r="J515" s="175">
        <f>IFERROR(__xludf.DUMMYFUNCTION("""COMPUTED_VALUE"""),27.3)</f>
        <v>27.3</v>
      </c>
      <c r="K515" s="35"/>
      <c r="L515" s="175">
        <f>IFERROR(__xludf.DUMMYFUNCTION("""COMPUTED_VALUE"""),28.15)</f>
        <v>28.15</v>
      </c>
      <c r="M515" s="182" t="str">
        <f>IFERROR(__xludf.DUMMYFUNCTION("""COMPUTED_VALUE"""),"Equity Key Stats")</f>
        <v>Equity Key Stats</v>
      </c>
      <c r="N515" s="35"/>
      <c r="O515" s="35"/>
      <c r="P515" s="176">
        <f>IFERROR(__xludf.DUMMYFUNCTION("""COMPUTED_VALUE"""),136500.0)</f>
        <v>136500</v>
      </c>
      <c r="Q515" s="177"/>
      <c r="R515" s="178">
        <f>IFERROR(__xludf.DUMMYFUNCTION("""COMPUTED_VALUE"""),28.15)</f>
        <v>28.15</v>
      </c>
      <c r="S515" s="184">
        <f>IFERROR(__xludf.DUMMYFUNCTION("""COMPUTED_VALUE"""),-140750.0)</f>
        <v>-140750</v>
      </c>
      <c r="T515" s="95">
        <f>IFERROR(__xludf.DUMMYFUNCTION("""COMPUTED_VALUE"""),4.0)</f>
        <v>4</v>
      </c>
      <c r="U515" s="95">
        <f>IFERROR(__xludf.DUMMYFUNCTION("""COMPUTED_VALUE"""),1.0)</f>
        <v>1</v>
      </c>
      <c r="V515" s="185">
        <f>IFERROR(__xludf.DUMMYFUNCTION("""COMPUTED_VALUE"""),162650.0)</f>
        <v>162650</v>
      </c>
      <c r="W515" s="171" t="str">
        <f>IFERROR(__xludf.DUMMYFUNCTION("""COMPUTED_VALUE"""),"")</f>
        <v/>
      </c>
      <c r="X515" s="14" t="str">
        <f>IFERROR(__xludf.DUMMYFUNCTION("""COMPUTED_VALUE"""),"")</f>
        <v/>
      </c>
      <c r="Y515" s="14" t="str">
        <f>IFERROR(__xludf.DUMMYFUNCTION("""COMPUTED_VALUE"""),"")</f>
        <v/>
      </c>
      <c r="Z515" s="11" t="str">
        <f>IFERROR(__xludf.DUMMYFUNCTION("""COMPUTED_VALUE"""),"")</f>
        <v/>
      </c>
    </row>
    <row r="516">
      <c r="A516" s="35" t="str">
        <f>IFERROR(__xludf.DUMMYFUNCTION("""COMPUTED_VALUE"""),"")</f>
        <v/>
      </c>
      <c r="B516" s="35" t="str">
        <f>IFERROR(__xludf.DUMMYFUNCTION("""COMPUTED_VALUE"""),"39857")</f>
        <v>39857</v>
      </c>
      <c r="C516" s="172">
        <f>IFERROR(__xludf.DUMMYFUNCTION("""COMPUTED_VALUE"""),4.466200139E10)</f>
        <v>44662001390</v>
      </c>
      <c r="D516" s="135" t="str">
        <f>IFERROR(__xludf.DUMMYFUNCTION("""COMPUTED_VALUE"""),"TWTR")</f>
        <v>TWTR</v>
      </c>
      <c r="E516" s="173">
        <f>IFERROR(__xludf.DUMMYFUNCTION("""COMPUTED_VALUE"""),44662.0)</f>
        <v>44662</v>
      </c>
      <c r="F516" s="35" t="str">
        <f>IFERROR(__xludf.DUMMYFUNCTION("""COMPUTED_VALUE"""),"Stock")</f>
        <v>Stock</v>
      </c>
      <c r="G516" s="35" t="str">
        <f>IFERROR(__xludf.DUMMYFUNCTION("""COMPUTED_VALUE"""),"USD")</f>
        <v>USD</v>
      </c>
      <c r="H516" s="181">
        <f>IFERROR(__xludf.DUMMYFUNCTION("""COMPUTED_VALUE"""),-400.0)</f>
        <v>-400</v>
      </c>
      <c r="I516" s="174">
        <f>IFERROR(__xludf.DUMMYFUNCTION("""COMPUTED_VALUE"""),7.83795)</f>
        <v>7.83795</v>
      </c>
      <c r="J516" s="175">
        <f>IFERROR(__xludf.DUMMYFUNCTION("""COMPUTED_VALUE"""),47.01)</f>
        <v>47.01</v>
      </c>
      <c r="K516" s="35"/>
      <c r="L516" s="175">
        <f>IFERROR(__xludf.DUMMYFUNCTION("""COMPUTED_VALUE"""),45.85)</f>
        <v>45.85</v>
      </c>
      <c r="M516" s="187" t="str">
        <f>IFERROR(__xludf.DUMMYFUNCTION("""COMPUTED_VALUE"""),"Equity Key Stats")</f>
        <v>Equity Key Stats</v>
      </c>
      <c r="N516" s="35"/>
      <c r="O516" s="35"/>
      <c r="P516" s="184">
        <f>IFERROR(__xludf.DUMMYFUNCTION("""COMPUTED_VALUE"""),147384.8118)</f>
        <v>147384.8118</v>
      </c>
      <c r="Q516" s="177"/>
      <c r="R516" s="178">
        <f>IFERROR(__xludf.DUMMYFUNCTION("""COMPUTED_VALUE"""),45.85)</f>
        <v>45.85</v>
      </c>
      <c r="S516" s="176">
        <f>IFERROR(__xludf.DUMMYFUNCTION("""COMPUTED_VALUE"""),-143748.00300000003)</f>
        <v>-143748.003</v>
      </c>
      <c r="T516" s="95">
        <f>IFERROR(__xludf.DUMMYFUNCTION("""COMPUTED_VALUE"""),2.0)</f>
        <v>2</v>
      </c>
      <c r="U516" s="35" t="str">
        <f>IFERROR(__xludf.DUMMYFUNCTION("""COMPUTED_VALUE"""),"")</f>
        <v/>
      </c>
      <c r="V516" s="170" t="str">
        <f>IFERROR(__xludf.DUMMYFUNCTION("""COMPUTED_VALUE"""),"")</f>
        <v/>
      </c>
      <c r="W516" s="171" t="str">
        <f>IFERROR(__xludf.DUMMYFUNCTION("""COMPUTED_VALUE"""),"")</f>
        <v/>
      </c>
      <c r="X516" s="14" t="str">
        <f>IFERROR(__xludf.DUMMYFUNCTION("""COMPUTED_VALUE"""),"")</f>
        <v/>
      </c>
      <c r="Y516" s="14" t="str">
        <f>IFERROR(__xludf.DUMMYFUNCTION("""COMPUTED_VALUE"""),"")</f>
        <v/>
      </c>
      <c r="Z516" s="11" t="str">
        <f>IFERROR(__xludf.DUMMYFUNCTION("""COMPUTED_VALUE"""),"")</f>
        <v/>
      </c>
    </row>
    <row r="517">
      <c r="A517" s="35" t="str">
        <f>IFERROR(__xludf.DUMMYFUNCTION("""COMPUTED_VALUE"""),"39857")</f>
        <v>39857</v>
      </c>
      <c r="B517" s="35" t="str">
        <f>IFERROR(__xludf.DUMMYFUNCTION("""COMPUTED_VALUE"""),"39857")</f>
        <v>39857</v>
      </c>
      <c r="C517" s="172">
        <f>IFERROR(__xludf.DUMMYFUNCTION("""COMPUTED_VALUE"""),4.4663001439E10)</f>
        <v>44663001439</v>
      </c>
      <c r="D517" s="191" t="str">
        <f>IFERROR(__xludf.DUMMYFUNCTION("""COMPUTED_VALUE"""),"TWTR")</f>
        <v>TWTR</v>
      </c>
      <c r="E517" s="173">
        <f>IFERROR(__xludf.DUMMYFUNCTION("""COMPUTED_VALUE"""),44663.0)</f>
        <v>44663</v>
      </c>
      <c r="F517" s="35" t="str">
        <f>IFERROR(__xludf.DUMMYFUNCTION("""COMPUTED_VALUE"""),"Stock")</f>
        <v>Stock</v>
      </c>
      <c r="G517" s="35" t="str">
        <f>IFERROR(__xludf.DUMMYFUNCTION("""COMPUTED_VALUE"""),"USD")</f>
        <v>USD</v>
      </c>
      <c r="H517" s="183">
        <f>IFERROR(__xludf.DUMMYFUNCTION("""COMPUTED_VALUE"""),400.0)</f>
        <v>400</v>
      </c>
      <c r="I517" s="174">
        <f>IFERROR(__xludf.DUMMYFUNCTION("""COMPUTED_VALUE"""),7.83775)</f>
        <v>7.83775</v>
      </c>
      <c r="J517" s="175">
        <f>IFERROR(__xludf.DUMMYFUNCTION("""COMPUTED_VALUE"""),44.48)</f>
        <v>44.48</v>
      </c>
      <c r="K517" s="35"/>
      <c r="L517" s="175">
        <f>IFERROR(__xludf.DUMMYFUNCTION("""COMPUTED_VALUE"""),45.85)</f>
        <v>45.85</v>
      </c>
      <c r="M517" s="182" t="str">
        <f>IFERROR(__xludf.DUMMYFUNCTION("""COMPUTED_VALUE"""),"Equity Key Stats")</f>
        <v>Equity Key Stats</v>
      </c>
      <c r="N517" s="35"/>
      <c r="O517" s="35"/>
      <c r="P517" s="176">
        <f>IFERROR(__xludf.DUMMYFUNCTION("""COMPUTED_VALUE"""),-139449.248)</f>
        <v>-139449.248</v>
      </c>
      <c r="Q517" s="177"/>
      <c r="R517" s="178">
        <f>IFERROR(__xludf.DUMMYFUNCTION("""COMPUTED_VALUE"""),45.85)</f>
        <v>45.85</v>
      </c>
      <c r="S517" s="184">
        <f>IFERROR(__xludf.DUMMYFUNCTION("""COMPUTED_VALUE"""),143744.335)</f>
        <v>143744.335</v>
      </c>
      <c r="T517" s="95">
        <f>IFERROR(__xludf.DUMMYFUNCTION("""COMPUTED_VALUE"""),2.0)</f>
        <v>2</v>
      </c>
      <c r="U517" s="95">
        <f>IFERROR(__xludf.DUMMYFUNCTION("""COMPUTED_VALUE"""),1.0)</f>
        <v>1</v>
      </c>
      <c r="V517" s="185">
        <f>IFERROR(__xludf.DUMMYFUNCTION("""COMPUTED_VALUE"""),7931.895799999969)</f>
        <v>7931.8958</v>
      </c>
      <c r="W517" s="171">
        <f>IFERROR(__xludf.DUMMYFUNCTION("""COMPUTED_VALUE"""),642508.0802754)</f>
        <v>642508.0803</v>
      </c>
      <c r="X517" s="14">
        <f>IFERROR(__xludf.DUMMYFUNCTION("""COMPUTED_VALUE"""),672784.9566167999)</f>
        <v>672784.9566</v>
      </c>
      <c r="Y517" s="14">
        <f>IFERROR(__xludf.DUMMYFUNCTION("""COMPUTED_VALUE"""),0.0)</f>
        <v>0</v>
      </c>
      <c r="Z517" s="11">
        <f>IFERROR(__xludf.DUMMYFUNCTION("""COMPUTED_VALUE"""),0.2850161605507999)</f>
        <v>0.2850161606</v>
      </c>
    </row>
    <row r="518">
      <c r="A518" s="35" t="str">
        <f>IFERROR(__xludf.DUMMYFUNCTION("""COMPUTED_VALUE"""),"")</f>
        <v/>
      </c>
      <c r="B518" s="35" t="str">
        <f>IFERROR(__xludf.DUMMYFUNCTION("""COMPUTED_VALUE"""),"40105")</f>
        <v>40105</v>
      </c>
      <c r="C518" s="172">
        <f>IFERROR(__xludf.DUMMYFUNCTION("""COMPUTED_VALUE"""),4.4597000098E10)</f>
        <v>44597000098</v>
      </c>
      <c r="D518" s="135" t="str">
        <f>IFERROR(__xludf.DUMMYFUNCTION("""COMPUTED_VALUE"""),"Cash")</f>
        <v>Cash</v>
      </c>
      <c r="E518" s="173">
        <f>IFERROR(__xludf.DUMMYFUNCTION("""COMPUTED_VALUE"""),44597.0)</f>
        <v>44597</v>
      </c>
      <c r="F518" s="35" t="str">
        <f>IFERROR(__xludf.DUMMYFUNCTION("""COMPUTED_VALUE"""),"Cash")</f>
        <v>Cash</v>
      </c>
      <c r="G518" s="35" t="str">
        <f>IFERROR(__xludf.DUMMYFUNCTION("""COMPUTED_VALUE"""),"HKD")</f>
        <v>HKD</v>
      </c>
      <c r="H518" s="183" t="str">
        <f>IFERROR(__xludf.DUMMYFUNCTION("""COMPUTED_VALUE"""),"")</f>
        <v/>
      </c>
      <c r="I518" s="174">
        <f>IFERROR(__xludf.DUMMYFUNCTION("""COMPUTED_VALUE"""),1.0)</f>
        <v>1</v>
      </c>
      <c r="J518" s="175">
        <f>IFERROR(__xludf.DUMMYFUNCTION("""COMPUTED_VALUE"""),1.0)</f>
        <v>1</v>
      </c>
      <c r="K518" s="35"/>
      <c r="L518" s="175">
        <f>IFERROR(__xludf.DUMMYFUNCTION("""COMPUTED_VALUE"""),1.0)</f>
        <v>1</v>
      </c>
      <c r="M518" s="3" t="str">
        <f>IFERROR(__xludf.DUMMYFUNCTION("""COMPUTED_VALUE"""),"")</f>
        <v/>
      </c>
      <c r="N518" s="35"/>
      <c r="O518" s="35"/>
      <c r="P518" s="176">
        <f>IFERROR(__xludf.DUMMYFUNCTION("""COMPUTED_VALUE"""),500000.0)</f>
        <v>500000</v>
      </c>
      <c r="Q518" s="177"/>
      <c r="R518" s="178">
        <f>IFERROR(__xludf.DUMMYFUNCTION("""COMPUTED_VALUE"""),1.0)</f>
        <v>1</v>
      </c>
      <c r="S518" s="184" t="str">
        <f>IFERROR(__xludf.DUMMYFUNCTION("""COMPUTED_VALUE"""),"")</f>
        <v/>
      </c>
      <c r="T518" s="95">
        <f>IFERROR(__xludf.DUMMYFUNCTION("""COMPUTED_VALUE"""),1.0)</f>
        <v>1</v>
      </c>
      <c r="U518" s="95">
        <f>IFERROR(__xludf.DUMMYFUNCTION("""COMPUTED_VALUE"""),1.0)</f>
        <v>1</v>
      </c>
      <c r="V518" s="179">
        <f>IFERROR(__xludf.DUMMYFUNCTION("""COMPUTED_VALUE"""),500000.0)</f>
        <v>500000</v>
      </c>
      <c r="W518" s="171" t="str">
        <f>IFERROR(__xludf.DUMMYFUNCTION("""COMPUTED_VALUE"""),"")</f>
        <v/>
      </c>
      <c r="X518" s="14" t="str">
        <f>IFERROR(__xludf.DUMMYFUNCTION("""COMPUTED_VALUE"""),"")</f>
        <v/>
      </c>
      <c r="Y518" s="14" t="str">
        <f>IFERROR(__xludf.DUMMYFUNCTION("""COMPUTED_VALUE"""),"")</f>
        <v/>
      </c>
      <c r="Z518" s="11" t="str">
        <f>IFERROR(__xludf.DUMMYFUNCTION("""COMPUTED_VALUE"""),"")</f>
        <v/>
      </c>
    </row>
    <row r="519">
      <c r="A519" s="35" t="str">
        <f>IFERROR(__xludf.DUMMYFUNCTION("""COMPUTED_VALUE"""),"")</f>
        <v/>
      </c>
      <c r="B519" s="35" t="str">
        <f>IFERROR(__xludf.DUMMYFUNCTION("""COMPUTED_VALUE"""),"40105")</f>
        <v>40105</v>
      </c>
      <c r="C519" s="172">
        <f>IFERROR(__xludf.DUMMYFUNCTION("""COMPUTED_VALUE"""),4.4605000176E10)</f>
        <v>44605000176</v>
      </c>
      <c r="D519" s="180" t="str">
        <f>IFERROR(__xludf.DUMMYFUNCTION("""COMPUTED_VALUE"""),"3m")</f>
        <v>3m</v>
      </c>
      <c r="E519" s="173">
        <f>IFERROR(__xludf.DUMMYFUNCTION("""COMPUTED_VALUE"""),44605.0)</f>
        <v>44605</v>
      </c>
      <c r="F519" s="35" t="str">
        <f>IFERROR(__xludf.DUMMYFUNCTION("""COMPUTED_VALUE"""),"Time Deposit")</f>
        <v>Time Deposit</v>
      </c>
      <c r="G519" s="35" t="str">
        <f>IFERROR(__xludf.DUMMYFUNCTION("""COMPUTED_VALUE"""),"HKD")</f>
        <v>HKD</v>
      </c>
      <c r="H519" s="181">
        <f>IFERROR(__xludf.DUMMYFUNCTION("""COMPUTED_VALUE"""),100000.0)</f>
        <v>100000</v>
      </c>
      <c r="I519" s="174">
        <f>IFERROR(__xludf.DUMMYFUNCTION("""COMPUTED_VALUE"""),1.0)</f>
        <v>1</v>
      </c>
      <c r="J519" s="175">
        <f>IFERROR(__xludf.DUMMYFUNCTION("""COMPUTED_VALUE"""),1.0)</f>
        <v>1</v>
      </c>
      <c r="K519" s="35"/>
      <c r="L519" s="175">
        <f>IFERROR(__xludf.DUMMYFUNCTION("""COMPUTED_VALUE"""),1.0)</f>
        <v>1</v>
      </c>
      <c r="M519" s="3" t="str">
        <f>IFERROR(__xludf.DUMMYFUNCTION("""COMPUTED_VALUE"""),"")</f>
        <v/>
      </c>
      <c r="N519" s="35"/>
      <c r="O519" s="35"/>
      <c r="P519" s="184">
        <f>IFERROR(__xludf.DUMMYFUNCTION("""COMPUTED_VALUE"""),-100000.0)</f>
        <v>-100000</v>
      </c>
      <c r="Q519" s="177"/>
      <c r="R519" s="178">
        <f>IFERROR(__xludf.DUMMYFUNCTION("""COMPUTED_VALUE"""),1.0)</f>
        <v>1</v>
      </c>
      <c r="S519" s="176">
        <f>IFERROR(__xludf.DUMMYFUNCTION("""COMPUTED_VALUE"""),100000.0)</f>
        <v>100000</v>
      </c>
      <c r="T519" s="95">
        <f>IFERROR(__xludf.DUMMYFUNCTION("""COMPUTED_VALUE"""),1.0)</f>
        <v>1</v>
      </c>
      <c r="U519" s="35">
        <f>IFERROR(__xludf.DUMMYFUNCTION("""COMPUTED_VALUE"""),1.0)</f>
        <v>1</v>
      </c>
      <c r="V519" s="170">
        <f>IFERROR(__xludf.DUMMYFUNCTION("""COMPUTED_VALUE"""),0.0)</f>
        <v>0</v>
      </c>
      <c r="W519" s="171" t="str">
        <f>IFERROR(__xludf.DUMMYFUNCTION("""COMPUTED_VALUE"""),"")</f>
        <v/>
      </c>
      <c r="X519" s="14" t="str">
        <f>IFERROR(__xludf.DUMMYFUNCTION("""COMPUTED_VALUE"""),"")</f>
        <v/>
      </c>
      <c r="Y519" s="14" t="str">
        <f>IFERROR(__xludf.DUMMYFUNCTION("""COMPUTED_VALUE"""),"")</f>
        <v/>
      </c>
      <c r="Z519" s="11" t="str">
        <f>IFERROR(__xludf.DUMMYFUNCTION("""COMPUTED_VALUE"""),"")</f>
        <v/>
      </c>
    </row>
    <row r="520">
      <c r="A520" s="35" t="str">
        <f>IFERROR(__xludf.DUMMYFUNCTION("""COMPUTED_VALUE"""),"")</f>
        <v/>
      </c>
      <c r="B520" s="35" t="str">
        <f>IFERROR(__xludf.DUMMYFUNCTION("""COMPUTED_VALUE"""),"40105")</f>
        <v>40105</v>
      </c>
      <c r="C520" s="172">
        <f>IFERROR(__xludf.DUMMYFUNCTION("""COMPUTED_VALUE"""),4.4608000225E10)</f>
        <v>44608000225</v>
      </c>
      <c r="D520" s="192" t="str">
        <f>IFERROR(__xludf.DUMMYFUNCTION("""COMPUTED_VALUE"""),"DIS")</f>
        <v>DIS</v>
      </c>
      <c r="E520" s="173">
        <f>IFERROR(__xludf.DUMMYFUNCTION("""COMPUTED_VALUE"""),44608.0)</f>
        <v>44608</v>
      </c>
      <c r="F520" s="35" t="str">
        <f>IFERROR(__xludf.DUMMYFUNCTION("""COMPUTED_VALUE"""),"Stock")</f>
        <v>Stock</v>
      </c>
      <c r="G520" s="35" t="str">
        <f>IFERROR(__xludf.DUMMYFUNCTION("""COMPUTED_VALUE"""),"USD")</f>
        <v>USD</v>
      </c>
      <c r="H520" s="181">
        <f>IFERROR(__xludf.DUMMYFUNCTION("""COMPUTED_VALUE"""),0.0)</f>
        <v>0</v>
      </c>
      <c r="I520" s="174">
        <f>IFERROR(__xludf.DUMMYFUNCTION("""COMPUTED_VALUE"""),7.8005)</f>
        <v>7.8005</v>
      </c>
      <c r="J520" s="175">
        <f>IFERROR(__xludf.DUMMYFUNCTION("""COMPUTED_VALUE"""),0.0)</f>
        <v>0</v>
      </c>
      <c r="K520" s="35"/>
      <c r="L520" s="175">
        <f>IFERROR(__xludf.DUMMYFUNCTION("""COMPUTED_VALUE"""),132.38)</f>
        <v>132.38</v>
      </c>
      <c r="M520" s="182" t="str">
        <f>IFERROR(__xludf.DUMMYFUNCTION("""COMPUTED_VALUE"""),"Equity Key Stats")</f>
        <v>Equity Key Stats</v>
      </c>
      <c r="N520" s="35"/>
      <c r="O520" s="35"/>
      <c r="P520" s="184">
        <f>IFERROR(__xludf.DUMMYFUNCTION("""COMPUTED_VALUE"""),0.0)</f>
        <v>0</v>
      </c>
      <c r="Q520" s="177"/>
      <c r="R520" s="178">
        <f>IFERROR(__xludf.DUMMYFUNCTION("""COMPUTED_VALUE"""),132.38)</f>
        <v>132.38</v>
      </c>
      <c r="S520" s="176">
        <f>IFERROR(__xludf.DUMMYFUNCTION("""COMPUTED_VALUE"""),0.0)</f>
        <v>0</v>
      </c>
      <c r="T520" s="95">
        <f>IFERROR(__xludf.DUMMYFUNCTION("""COMPUTED_VALUE"""),6.0)</f>
        <v>6</v>
      </c>
      <c r="U520" s="95" t="str">
        <f>IFERROR(__xludf.DUMMYFUNCTION("""COMPUTED_VALUE"""),"")</f>
        <v/>
      </c>
      <c r="V520" s="179" t="str">
        <f>IFERROR(__xludf.DUMMYFUNCTION("""COMPUTED_VALUE"""),"")</f>
        <v/>
      </c>
      <c r="W520" s="171" t="str">
        <f>IFERROR(__xludf.DUMMYFUNCTION("""COMPUTED_VALUE"""),"")</f>
        <v/>
      </c>
      <c r="X520" s="14" t="str">
        <f>IFERROR(__xludf.DUMMYFUNCTION("""COMPUTED_VALUE"""),"")</f>
        <v/>
      </c>
      <c r="Y520" s="14" t="str">
        <f>IFERROR(__xludf.DUMMYFUNCTION("""COMPUTED_VALUE"""),"")</f>
        <v/>
      </c>
      <c r="Z520" s="11" t="str">
        <f>IFERROR(__xludf.DUMMYFUNCTION("""COMPUTED_VALUE"""),"")</f>
        <v/>
      </c>
    </row>
    <row r="521">
      <c r="A521" s="35" t="str">
        <f>IFERROR(__xludf.DUMMYFUNCTION("""COMPUTED_VALUE"""),"")</f>
        <v/>
      </c>
      <c r="B521" s="35" t="str">
        <f>IFERROR(__xludf.DUMMYFUNCTION("""COMPUTED_VALUE"""),"40105")</f>
        <v>40105</v>
      </c>
      <c r="C521" s="172">
        <f>IFERROR(__xludf.DUMMYFUNCTION("""COMPUTED_VALUE"""),4.4608000226E10)</f>
        <v>44608000226</v>
      </c>
      <c r="D521" s="192" t="str">
        <f>IFERROR(__xludf.DUMMYFUNCTION("""COMPUTED_VALUE"""),"DIS")</f>
        <v>DIS</v>
      </c>
      <c r="E521" s="173">
        <f>IFERROR(__xludf.DUMMYFUNCTION("""COMPUTED_VALUE"""),44608.0)</f>
        <v>44608</v>
      </c>
      <c r="F521" s="35" t="str">
        <f>IFERROR(__xludf.DUMMYFUNCTION("""COMPUTED_VALUE"""),"Stock")</f>
        <v>Stock</v>
      </c>
      <c r="G521" s="35" t="str">
        <f>IFERROR(__xludf.DUMMYFUNCTION("""COMPUTED_VALUE"""),"USD")</f>
        <v>USD</v>
      </c>
      <c r="H521" s="181">
        <f>IFERROR(__xludf.DUMMYFUNCTION("""COMPUTED_VALUE"""),0.0)</f>
        <v>0</v>
      </c>
      <c r="I521" s="174">
        <f>IFERROR(__xludf.DUMMYFUNCTION("""COMPUTED_VALUE"""),7.8005)</f>
        <v>7.8005</v>
      </c>
      <c r="J521" s="175">
        <f>IFERROR(__xludf.DUMMYFUNCTION("""COMPUTED_VALUE"""),0.0)</f>
        <v>0</v>
      </c>
      <c r="K521" s="35"/>
      <c r="L521" s="175">
        <f>IFERROR(__xludf.DUMMYFUNCTION("""COMPUTED_VALUE"""),132.38)</f>
        <v>132.38</v>
      </c>
      <c r="M521" s="182" t="str">
        <f>IFERROR(__xludf.DUMMYFUNCTION("""COMPUTED_VALUE"""),"Equity Key Stats")</f>
        <v>Equity Key Stats</v>
      </c>
      <c r="N521" s="35"/>
      <c r="O521" s="35"/>
      <c r="P521" s="184">
        <f>IFERROR(__xludf.DUMMYFUNCTION("""COMPUTED_VALUE"""),0.0)</f>
        <v>0</v>
      </c>
      <c r="Q521" s="177"/>
      <c r="R521" s="178">
        <f>IFERROR(__xludf.DUMMYFUNCTION("""COMPUTED_VALUE"""),132.38)</f>
        <v>132.38</v>
      </c>
      <c r="S521" s="176">
        <f>IFERROR(__xludf.DUMMYFUNCTION("""COMPUTED_VALUE"""),0.0)</f>
        <v>0</v>
      </c>
      <c r="T521" s="95">
        <f>IFERROR(__xludf.DUMMYFUNCTION("""COMPUTED_VALUE"""),6.0)</f>
        <v>6</v>
      </c>
      <c r="U521" s="95" t="str">
        <f>IFERROR(__xludf.DUMMYFUNCTION("""COMPUTED_VALUE"""),"")</f>
        <v/>
      </c>
      <c r="V521" s="179" t="str">
        <f>IFERROR(__xludf.DUMMYFUNCTION("""COMPUTED_VALUE"""),"")</f>
        <v/>
      </c>
      <c r="W521" s="171" t="str">
        <f>IFERROR(__xludf.DUMMYFUNCTION("""COMPUTED_VALUE"""),"")</f>
        <v/>
      </c>
      <c r="X521" s="14" t="str">
        <f>IFERROR(__xludf.DUMMYFUNCTION("""COMPUTED_VALUE"""),"")</f>
        <v/>
      </c>
      <c r="Y521" s="14" t="str">
        <f>IFERROR(__xludf.DUMMYFUNCTION("""COMPUTED_VALUE"""),"")</f>
        <v/>
      </c>
      <c r="Z521" s="11" t="str">
        <f>IFERROR(__xludf.DUMMYFUNCTION("""COMPUTED_VALUE"""),"")</f>
        <v/>
      </c>
    </row>
    <row r="522">
      <c r="A522" s="35" t="str">
        <f>IFERROR(__xludf.DUMMYFUNCTION("""COMPUTED_VALUE"""),"")</f>
        <v/>
      </c>
      <c r="B522" s="35" t="str">
        <f>IFERROR(__xludf.DUMMYFUNCTION("""COMPUTED_VALUE"""),"40105")</f>
        <v>40105</v>
      </c>
      <c r="C522" s="172">
        <f>IFERROR(__xludf.DUMMYFUNCTION("""COMPUTED_VALUE"""),4.4609000237E10)</f>
        <v>44609000237</v>
      </c>
      <c r="D522" s="180" t="str">
        <f>IFERROR(__xludf.DUMMYFUNCTION("""COMPUTED_VALUE"""),"DIS")</f>
        <v>DIS</v>
      </c>
      <c r="E522" s="173">
        <f>IFERROR(__xludf.DUMMYFUNCTION("""COMPUTED_VALUE"""),44609.0)</f>
        <v>44609</v>
      </c>
      <c r="F522" s="35" t="str">
        <f>IFERROR(__xludf.DUMMYFUNCTION("""COMPUTED_VALUE"""),"Stock")</f>
        <v>Stock</v>
      </c>
      <c r="G522" s="35" t="str">
        <f>IFERROR(__xludf.DUMMYFUNCTION("""COMPUTED_VALUE"""),"USD")</f>
        <v>USD</v>
      </c>
      <c r="H522" s="181">
        <f>IFERROR(__xludf.DUMMYFUNCTION("""COMPUTED_VALUE"""),300.0)</f>
        <v>300</v>
      </c>
      <c r="I522" s="174">
        <f>IFERROR(__xludf.DUMMYFUNCTION("""COMPUTED_VALUE"""),7.799115)</f>
        <v>7.799115</v>
      </c>
      <c r="J522" s="175">
        <f>IFERROR(__xludf.DUMMYFUNCTION("""COMPUTED_VALUE"""),152.95)</f>
        <v>152.95</v>
      </c>
      <c r="K522" s="35"/>
      <c r="L522" s="175">
        <f>IFERROR(__xludf.DUMMYFUNCTION("""COMPUTED_VALUE"""),132.38)</f>
        <v>132.38</v>
      </c>
      <c r="M522" s="182" t="str">
        <f>IFERROR(__xludf.DUMMYFUNCTION("""COMPUTED_VALUE"""),"Equity Key Stats")</f>
        <v>Equity Key Stats</v>
      </c>
      <c r="N522" s="35"/>
      <c r="O522" s="35"/>
      <c r="P522" s="184">
        <f>IFERROR(__xludf.DUMMYFUNCTION("""COMPUTED_VALUE"""),-357862.39177499997)</f>
        <v>-357862.3918</v>
      </c>
      <c r="Q522" s="177"/>
      <c r="R522" s="178">
        <f>IFERROR(__xludf.DUMMYFUNCTION("""COMPUTED_VALUE"""),132.38)</f>
        <v>132.38</v>
      </c>
      <c r="S522" s="176">
        <f>IFERROR(__xludf.DUMMYFUNCTION("""COMPUTED_VALUE"""),309734.05311)</f>
        <v>309734.0531</v>
      </c>
      <c r="T522" s="95">
        <f>IFERROR(__xludf.DUMMYFUNCTION("""COMPUTED_VALUE"""),6.0)</f>
        <v>6</v>
      </c>
      <c r="U522" s="95" t="str">
        <f>IFERROR(__xludf.DUMMYFUNCTION("""COMPUTED_VALUE"""),"")</f>
        <v/>
      </c>
      <c r="V522" s="185" t="str">
        <f>IFERROR(__xludf.DUMMYFUNCTION("""COMPUTED_VALUE"""),"")</f>
        <v/>
      </c>
      <c r="W522" s="171" t="str">
        <f>IFERROR(__xludf.DUMMYFUNCTION("""COMPUTED_VALUE"""),"")</f>
        <v/>
      </c>
      <c r="X522" s="14" t="str">
        <f>IFERROR(__xludf.DUMMYFUNCTION("""COMPUTED_VALUE"""),"")</f>
        <v/>
      </c>
      <c r="Y522" s="14" t="str">
        <f>IFERROR(__xludf.DUMMYFUNCTION("""COMPUTED_VALUE"""),"")</f>
        <v/>
      </c>
      <c r="Z522" s="11" t="str">
        <f>IFERROR(__xludf.DUMMYFUNCTION("""COMPUTED_VALUE"""),"")</f>
        <v/>
      </c>
    </row>
    <row r="523">
      <c r="A523" s="35" t="str">
        <f>IFERROR(__xludf.DUMMYFUNCTION("""COMPUTED_VALUE"""),"")</f>
        <v/>
      </c>
      <c r="B523" s="35" t="str">
        <f>IFERROR(__xludf.DUMMYFUNCTION("""COMPUTED_VALUE"""),"40105")</f>
        <v>40105</v>
      </c>
      <c r="C523" s="172">
        <f>IFERROR(__xludf.DUMMYFUNCTION("""COMPUTED_VALUE"""),4.4641000764E10)</f>
        <v>44641000764</v>
      </c>
      <c r="D523" s="180" t="str">
        <f>IFERROR(__xludf.DUMMYFUNCTION("""COMPUTED_VALUE"""),"US88032XAE40")</f>
        <v>US88032XAE40</v>
      </c>
      <c r="E523" s="173">
        <f>IFERROR(__xludf.DUMMYFUNCTION("""COMPUTED_VALUE"""),44641.0)</f>
        <v>44641</v>
      </c>
      <c r="F523" s="35" t="str">
        <f>IFERROR(__xludf.DUMMYFUNCTION("""COMPUTED_VALUE"""),"Bond")</f>
        <v>Bond</v>
      </c>
      <c r="G523" s="35" t="str">
        <f>IFERROR(__xludf.DUMMYFUNCTION("""COMPUTED_VALUE"""),"USD")</f>
        <v>USD</v>
      </c>
      <c r="H523" s="183" t="str">
        <f>IFERROR(__xludf.DUMMYFUNCTION("""COMPUTED_VALUE"""),"")</f>
        <v/>
      </c>
      <c r="I523" s="174">
        <f>IFERROR(__xludf.DUMMYFUNCTION("""COMPUTED_VALUE"""),7.82545)</f>
        <v>7.82545</v>
      </c>
      <c r="J523" s="175">
        <f>IFERROR(__xludf.DUMMYFUNCTION("""COMPUTED_VALUE"""),100.294)</f>
        <v>100.294</v>
      </c>
      <c r="K523" s="35"/>
      <c r="L523" s="175">
        <f>IFERROR(__xludf.DUMMYFUNCTION("""COMPUTED_VALUE"""),100.083)</f>
        <v>100.083</v>
      </c>
      <c r="M523" s="187" t="str">
        <f>IFERROR(__xludf.DUMMYFUNCTION("""COMPUTED_VALUE"""),"Bond Fact Sheet")</f>
        <v>Bond Fact Sheet</v>
      </c>
      <c r="N523" s="35"/>
      <c r="O523" s="35"/>
      <c r="P523" s="176">
        <f>IFERROR(__xludf.DUMMYFUNCTION("""COMPUTED_VALUE"""),0.0)</f>
        <v>0</v>
      </c>
      <c r="Q523" s="177"/>
      <c r="R523" s="178">
        <f>IFERROR(__xludf.DUMMYFUNCTION("""COMPUTED_VALUE"""),100.0235)</f>
        <v>100.0235</v>
      </c>
      <c r="S523" s="184">
        <f>IFERROR(__xludf.DUMMYFUNCTION("""COMPUTED_VALUE"""),0.0)</f>
        <v>0</v>
      </c>
      <c r="T523" s="95">
        <f>IFERROR(__xludf.DUMMYFUNCTION("""COMPUTED_VALUE"""),1.0)</f>
        <v>1</v>
      </c>
      <c r="U523" s="95">
        <f>IFERROR(__xludf.DUMMYFUNCTION("""COMPUTED_VALUE"""),1.0)</f>
        <v>1</v>
      </c>
      <c r="V523" s="179">
        <f>IFERROR(__xludf.DUMMYFUNCTION("""COMPUTED_VALUE"""),0.0)</f>
        <v>0</v>
      </c>
      <c r="W523" s="171" t="str">
        <f>IFERROR(__xludf.DUMMYFUNCTION("""COMPUTED_VALUE"""),"")</f>
        <v/>
      </c>
      <c r="X523" s="14" t="str">
        <f>IFERROR(__xludf.DUMMYFUNCTION("""COMPUTED_VALUE"""),"")</f>
        <v/>
      </c>
      <c r="Y523" s="14" t="str">
        <f>IFERROR(__xludf.DUMMYFUNCTION("""COMPUTED_VALUE"""),"")</f>
        <v/>
      </c>
      <c r="Z523" s="11" t="str">
        <f>IFERROR(__xludf.DUMMYFUNCTION("""COMPUTED_VALUE"""),"")</f>
        <v/>
      </c>
    </row>
    <row r="524">
      <c r="A524" s="35" t="str">
        <f>IFERROR(__xludf.DUMMYFUNCTION("""COMPUTED_VALUE"""),"")</f>
        <v/>
      </c>
      <c r="B524" s="35" t="str">
        <f>IFERROR(__xludf.DUMMYFUNCTION("""COMPUTED_VALUE"""),"40105")</f>
        <v>40105</v>
      </c>
      <c r="C524" s="172">
        <f>IFERROR(__xludf.DUMMYFUNCTION("""COMPUTED_VALUE"""),4.464800095E10)</f>
        <v>44648000950</v>
      </c>
      <c r="D524" s="180" t="str">
        <f>IFERROR(__xludf.DUMMYFUNCTION("""COMPUTED_VALUE"""),"DIS")</f>
        <v>DIS</v>
      </c>
      <c r="E524" s="173">
        <f>IFERROR(__xludf.DUMMYFUNCTION("""COMPUTED_VALUE"""),44648.0)</f>
        <v>44648</v>
      </c>
      <c r="F524" s="35" t="str">
        <f>IFERROR(__xludf.DUMMYFUNCTION("""COMPUTED_VALUE"""),"Stock")</f>
        <v>Stock</v>
      </c>
      <c r="G524" s="35" t="str">
        <f>IFERROR(__xludf.DUMMYFUNCTION("""COMPUTED_VALUE"""),"USD")</f>
        <v>USD</v>
      </c>
      <c r="H524" s="181">
        <f>IFERROR(__xludf.DUMMYFUNCTION("""COMPUTED_VALUE"""),-150.0)</f>
        <v>-150</v>
      </c>
      <c r="I524" s="174">
        <f>IFERROR(__xludf.DUMMYFUNCTION("""COMPUTED_VALUE"""),7.82905)</f>
        <v>7.82905</v>
      </c>
      <c r="J524" s="175">
        <f>IFERROR(__xludf.DUMMYFUNCTION("""COMPUTED_VALUE"""),138.71)</f>
        <v>138.71</v>
      </c>
      <c r="K524" s="35"/>
      <c r="L524" s="175">
        <f>IFERROR(__xludf.DUMMYFUNCTION("""COMPUTED_VALUE"""),132.38)</f>
        <v>132.38</v>
      </c>
      <c r="M524" s="187" t="str">
        <f>IFERROR(__xludf.DUMMYFUNCTION("""COMPUTED_VALUE"""),"Equity Key Stats")</f>
        <v>Equity Key Stats</v>
      </c>
      <c r="N524" s="35"/>
      <c r="O524" s="35"/>
      <c r="P524" s="184">
        <f>IFERROR(__xludf.DUMMYFUNCTION("""COMPUTED_VALUE"""),162895.128825)</f>
        <v>162895.1288</v>
      </c>
      <c r="Q524" s="177"/>
      <c r="R524" s="178">
        <f>IFERROR(__xludf.DUMMYFUNCTION("""COMPUTED_VALUE"""),132.38)</f>
        <v>132.38</v>
      </c>
      <c r="S524" s="176">
        <f>IFERROR(__xludf.DUMMYFUNCTION("""COMPUTED_VALUE"""),-155461.44584999996)</f>
        <v>-155461.4459</v>
      </c>
      <c r="T524" s="95">
        <f>IFERROR(__xludf.DUMMYFUNCTION("""COMPUTED_VALUE"""),6.0)</f>
        <v>6</v>
      </c>
      <c r="U524" s="35" t="str">
        <f>IFERROR(__xludf.DUMMYFUNCTION("""COMPUTED_VALUE"""),"")</f>
        <v/>
      </c>
      <c r="V524" s="170" t="str">
        <f>IFERROR(__xludf.DUMMYFUNCTION("""COMPUTED_VALUE"""),"")</f>
        <v/>
      </c>
      <c r="W524" s="171" t="str">
        <f>IFERROR(__xludf.DUMMYFUNCTION("""COMPUTED_VALUE"""),"")</f>
        <v/>
      </c>
      <c r="X524" s="14" t="str">
        <f>IFERROR(__xludf.DUMMYFUNCTION("""COMPUTED_VALUE"""),"")</f>
        <v/>
      </c>
      <c r="Y524" s="14" t="str">
        <f>IFERROR(__xludf.DUMMYFUNCTION("""COMPUTED_VALUE"""),"")</f>
        <v/>
      </c>
      <c r="Z524" s="11" t="str">
        <f>IFERROR(__xludf.DUMMYFUNCTION("""COMPUTED_VALUE"""),"")</f>
        <v/>
      </c>
    </row>
    <row r="525">
      <c r="A525" s="35" t="str">
        <f>IFERROR(__xludf.DUMMYFUNCTION("""COMPUTED_VALUE"""),"")</f>
        <v/>
      </c>
      <c r="B525" s="35" t="str">
        <f>IFERROR(__xludf.DUMMYFUNCTION("""COMPUTED_VALUE"""),"40105")</f>
        <v>40105</v>
      </c>
      <c r="C525" s="172">
        <f>IFERROR(__xludf.DUMMYFUNCTION("""COMPUTED_VALUE"""),4.4660001273E10)</f>
        <v>44660001273</v>
      </c>
      <c r="D525" s="190" t="str">
        <f>IFERROR(__xludf.DUMMYFUNCTION("""COMPUTED_VALUE"""),"9939.HK")</f>
        <v>9939.HK</v>
      </c>
      <c r="E525" s="173">
        <f>IFERROR(__xludf.DUMMYFUNCTION("""COMPUTED_VALUE"""),44660.0)</f>
        <v>44660</v>
      </c>
      <c r="F525" s="35" t="str">
        <f>IFERROR(__xludf.DUMMYFUNCTION("""COMPUTED_VALUE"""),"Stock")</f>
        <v>Stock</v>
      </c>
      <c r="G525" s="35" t="str">
        <f>IFERROR(__xludf.DUMMYFUNCTION("""COMPUTED_VALUE"""),"HKD")</f>
        <v>HKD</v>
      </c>
      <c r="H525" s="181">
        <f>IFERROR(__xludf.DUMMYFUNCTION("""COMPUTED_VALUE"""),5000.0)</f>
        <v>5000</v>
      </c>
      <c r="I525" s="174">
        <f>IFERROR(__xludf.DUMMYFUNCTION("""COMPUTED_VALUE"""),1.0)</f>
        <v>1</v>
      </c>
      <c r="J525" s="175">
        <f>IFERROR(__xludf.DUMMYFUNCTION("""COMPUTED_VALUE"""),27.3)</f>
        <v>27.3</v>
      </c>
      <c r="K525" s="35"/>
      <c r="L525" s="175">
        <f>IFERROR(__xludf.DUMMYFUNCTION("""COMPUTED_VALUE"""),28.15)</f>
        <v>28.15</v>
      </c>
      <c r="M525" s="182" t="str">
        <f>IFERROR(__xludf.DUMMYFUNCTION("""COMPUTED_VALUE"""),"Equity Key Stats")</f>
        <v>Equity Key Stats</v>
      </c>
      <c r="N525" s="35"/>
      <c r="O525" s="35"/>
      <c r="P525" s="184">
        <f>IFERROR(__xludf.DUMMYFUNCTION("""COMPUTED_VALUE"""),-136500.0)</f>
        <v>-136500</v>
      </c>
      <c r="Q525" s="177"/>
      <c r="R525" s="178">
        <f>IFERROR(__xludf.DUMMYFUNCTION("""COMPUTED_VALUE"""),28.15)</f>
        <v>28.15</v>
      </c>
      <c r="S525" s="176">
        <f>IFERROR(__xludf.DUMMYFUNCTION("""COMPUTED_VALUE"""),140750.0)</f>
        <v>140750</v>
      </c>
      <c r="T525" s="95">
        <f>IFERROR(__xludf.DUMMYFUNCTION("""COMPUTED_VALUE"""),1.0)</f>
        <v>1</v>
      </c>
      <c r="U525" s="95">
        <f>IFERROR(__xludf.DUMMYFUNCTION("""COMPUTED_VALUE"""),1.0)</f>
        <v>1</v>
      </c>
      <c r="V525" s="185">
        <f>IFERROR(__xludf.DUMMYFUNCTION("""COMPUTED_VALUE"""),4250.0)</f>
        <v>4250</v>
      </c>
      <c r="W525" s="171" t="str">
        <f>IFERROR(__xludf.DUMMYFUNCTION("""COMPUTED_VALUE"""),"")</f>
        <v/>
      </c>
      <c r="X525" s="14" t="str">
        <f>IFERROR(__xludf.DUMMYFUNCTION("""COMPUTED_VALUE"""),"")</f>
        <v/>
      </c>
      <c r="Y525" s="14" t="str">
        <f>IFERROR(__xludf.DUMMYFUNCTION("""COMPUTED_VALUE"""),"")</f>
        <v/>
      </c>
      <c r="Z525" s="11" t="str">
        <f>IFERROR(__xludf.DUMMYFUNCTION("""COMPUTED_VALUE"""),"")</f>
        <v/>
      </c>
    </row>
    <row r="526">
      <c r="A526" s="35" t="str">
        <f>IFERROR(__xludf.DUMMYFUNCTION("""COMPUTED_VALUE"""),"")</f>
        <v/>
      </c>
      <c r="B526" s="35" t="str">
        <f>IFERROR(__xludf.DUMMYFUNCTION("""COMPUTED_VALUE"""),"40105")</f>
        <v>40105</v>
      </c>
      <c r="C526" s="172">
        <f>IFERROR(__xludf.DUMMYFUNCTION("""COMPUTED_VALUE"""),4.4662001341E10)</f>
        <v>44662001341</v>
      </c>
      <c r="D526" s="135" t="str">
        <f>IFERROR(__xludf.DUMMYFUNCTION("""COMPUTED_VALUE"""),"DIS")</f>
        <v>DIS</v>
      </c>
      <c r="E526" s="173">
        <f>IFERROR(__xludf.DUMMYFUNCTION("""COMPUTED_VALUE"""),44662.0)</f>
        <v>44662</v>
      </c>
      <c r="F526" s="35" t="str">
        <f>IFERROR(__xludf.DUMMYFUNCTION("""COMPUTED_VALUE"""),"Stock")</f>
        <v>Stock</v>
      </c>
      <c r="G526" s="35" t="str">
        <f>IFERROR(__xludf.DUMMYFUNCTION("""COMPUTED_VALUE"""),"USD")</f>
        <v>USD</v>
      </c>
      <c r="H526" s="181">
        <f>IFERROR(__xludf.DUMMYFUNCTION("""COMPUTED_VALUE"""),-150.0)</f>
        <v>-150</v>
      </c>
      <c r="I526" s="174">
        <f>IFERROR(__xludf.DUMMYFUNCTION("""COMPUTED_VALUE"""),7.83795)</f>
        <v>7.83795</v>
      </c>
      <c r="J526" s="175">
        <f>IFERROR(__xludf.DUMMYFUNCTION("""COMPUTED_VALUE"""),130.65)</f>
        <v>130.65</v>
      </c>
      <c r="K526" s="35"/>
      <c r="L526" s="175">
        <f>IFERROR(__xludf.DUMMYFUNCTION("""COMPUTED_VALUE"""),132.38)</f>
        <v>132.38</v>
      </c>
      <c r="M526" s="187" t="str">
        <f>IFERROR(__xludf.DUMMYFUNCTION("""COMPUTED_VALUE"""),"Equity Key Stats")</f>
        <v>Equity Key Stats</v>
      </c>
      <c r="N526" s="35"/>
      <c r="O526" s="35"/>
      <c r="P526" s="184">
        <f>IFERROR(__xludf.DUMMYFUNCTION("""COMPUTED_VALUE"""),153604.22512500003)</f>
        <v>153604.2251</v>
      </c>
      <c r="Q526" s="177"/>
      <c r="R526" s="178">
        <f>IFERROR(__xludf.DUMMYFUNCTION("""COMPUTED_VALUE"""),132.38)</f>
        <v>132.38</v>
      </c>
      <c r="S526" s="176">
        <f>IFERROR(__xludf.DUMMYFUNCTION("""COMPUTED_VALUE"""),-155638.17315000002)</f>
        <v>-155638.1732</v>
      </c>
      <c r="T526" s="95">
        <f>IFERROR(__xludf.DUMMYFUNCTION("""COMPUTED_VALUE"""),6.0)</f>
        <v>6</v>
      </c>
      <c r="U526" s="95" t="str">
        <f>IFERROR(__xludf.DUMMYFUNCTION("""COMPUTED_VALUE"""),"")</f>
        <v/>
      </c>
      <c r="V526" s="179" t="str">
        <f>IFERROR(__xludf.DUMMYFUNCTION("""COMPUTED_VALUE"""),"")</f>
        <v/>
      </c>
      <c r="W526" s="171" t="str">
        <f>IFERROR(__xludf.DUMMYFUNCTION("""COMPUTED_VALUE"""),"")</f>
        <v/>
      </c>
      <c r="X526" s="14" t="str">
        <f>IFERROR(__xludf.DUMMYFUNCTION("""COMPUTED_VALUE"""),"")</f>
        <v/>
      </c>
      <c r="Y526" s="14" t="str">
        <f>IFERROR(__xludf.DUMMYFUNCTION("""COMPUTED_VALUE"""),"")</f>
        <v/>
      </c>
      <c r="Z526" s="11" t="str">
        <f>IFERROR(__xludf.DUMMYFUNCTION("""COMPUTED_VALUE"""),"")</f>
        <v/>
      </c>
    </row>
    <row r="527">
      <c r="A527" s="35" t="str">
        <f>IFERROR(__xludf.DUMMYFUNCTION("""COMPUTED_VALUE"""),"")</f>
        <v/>
      </c>
      <c r="B527" s="35" t="str">
        <f>IFERROR(__xludf.DUMMYFUNCTION("""COMPUTED_VALUE"""),"40105")</f>
        <v>40105</v>
      </c>
      <c r="C527" s="172">
        <f>IFERROR(__xludf.DUMMYFUNCTION("""COMPUTED_VALUE"""),4.4662001348E10)</f>
        <v>44662001348</v>
      </c>
      <c r="D527" s="191" t="str">
        <f>IFERROR(__xludf.DUMMYFUNCTION("""COMPUTED_VALUE"""),"9866.HK")</f>
        <v>9866.HK</v>
      </c>
      <c r="E527" s="173">
        <f>IFERROR(__xludf.DUMMYFUNCTION("""COMPUTED_VALUE"""),44662.0)</f>
        <v>44662</v>
      </c>
      <c r="F527" s="35" t="str">
        <f>IFERROR(__xludf.DUMMYFUNCTION("""COMPUTED_VALUE"""),"Stock")</f>
        <v>Stock</v>
      </c>
      <c r="G527" s="35" t="str">
        <f>IFERROR(__xludf.DUMMYFUNCTION("""COMPUTED_VALUE"""),"HKD")</f>
        <v>HKD</v>
      </c>
      <c r="H527" s="181">
        <f>IFERROR(__xludf.DUMMYFUNCTION("""COMPUTED_VALUE"""),-400.0)</f>
        <v>-400</v>
      </c>
      <c r="I527" s="174">
        <f>IFERROR(__xludf.DUMMYFUNCTION("""COMPUTED_VALUE"""),1.0)</f>
        <v>1</v>
      </c>
      <c r="J527" s="175">
        <f>IFERROR(__xludf.DUMMYFUNCTION("""COMPUTED_VALUE"""),144.8)</f>
        <v>144.8</v>
      </c>
      <c r="K527" s="35"/>
      <c r="L527" s="175">
        <f>IFERROR(__xludf.DUMMYFUNCTION("""COMPUTED_VALUE"""),154.2)</f>
        <v>154.2</v>
      </c>
      <c r="M527" s="182" t="str">
        <f>IFERROR(__xludf.DUMMYFUNCTION("""COMPUTED_VALUE"""),"Equity Key Stats")</f>
        <v>Equity Key Stats</v>
      </c>
      <c r="N527" s="35"/>
      <c r="O527" s="35"/>
      <c r="P527" s="184">
        <f>IFERROR(__xludf.DUMMYFUNCTION("""COMPUTED_VALUE"""),57920.00000000001)</f>
        <v>57920</v>
      </c>
      <c r="Q527" s="177"/>
      <c r="R527" s="178">
        <f>IFERROR(__xludf.DUMMYFUNCTION("""COMPUTED_VALUE"""),154.2)</f>
        <v>154.2</v>
      </c>
      <c r="S527" s="176">
        <f>IFERROR(__xludf.DUMMYFUNCTION("""COMPUTED_VALUE"""),-61679.99999999999)</f>
        <v>-61680</v>
      </c>
      <c r="T527" s="95">
        <f>IFERROR(__xludf.DUMMYFUNCTION("""COMPUTED_VALUE"""),1.0)</f>
        <v>1</v>
      </c>
      <c r="U527" s="95">
        <f>IFERROR(__xludf.DUMMYFUNCTION("""COMPUTED_VALUE"""),1.0)</f>
        <v>1</v>
      </c>
      <c r="V527" s="179">
        <f>IFERROR(__xludf.DUMMYFUNCTION("""COMPUTED_VALUE"""),-3759.9999999999854)</f>
        <v>-3760</v>
      </c>
      <c r="W527" s="171" t="str">
        <f>IFERROR(__xludf.DUMMYFUNCTION("""COMPUTED_VALUE"""),"")</f>
        <v/>
      </c>
      <c r="X527" s="14" t="str">
        <f>IFERROR(__xludf.DUMMYFUNCTION("""COMPUTED_VALUE"""),"")</f>
        <v/>
      </c>
      <c r="Y527" s="14" t="str">
        <f>IFERROR(__xludf.DUMMYFUNCTION("""COMPUTED_VALUE"""),"")</f>
        <v/>
      </c>
      <c r="Z527" s="11" t="str">
        <f>IFERROR(__xludf.DUMMYFUNCTION("""COMPUTED_VALUE"""),"")</f>
        <v/>
      </c>
    </row>
    <row r="528">
      <c r="A528" s="35" t="str">
        <f>IFERROR(__xludf.DUMMYFUNCTION("""COMPUTED_VALUE"""),"")</f>
        <v/>
      </c>
      <c r="B528" s="35" t="str">
        <f>IFERROR(__xludf.DUMMYFUNCTION("""COMPUTED_VALUE"""),"40105")</f>
        <v>40105</v>
      </c>
      <c r="C528" s="172">
        <f>IFERROR(__xludf.DUMMYFUNCTION("""COMPUTED_VALUE"""),4.4662001386E10)</f>
        <v>44662001386</v>
      </c>
      <c r="D528" s="135" t="str">
        <f>IFERROR(__xludf.DUMMYFUNCTION("""COMPUTED_VALUE"""),"TWTR")</f>
        <v>TWTR</v>
      </c>
      <c r="E528" s="173">
        <f>IFERROR(__xludf.DUMMYFUNCTION("""COMPUTED_VALUE"""),44662.0)</f>
        <v>44662</v>
      </c>
      <c r="F528" s="35" t="str">
        <f>IFERROR(__xludf.DUMMYFUNCTION("""COMPUTED_VALUE"""),"Stock")</f>
        <v>Stock</v>
      </c>
      <c r="G528" s="35" t="str">
        <f>IFERROR(__xludf.DUMMYFUNCTION("""COMPUTED_VALUE"""),"USD")</f>
        <v>USD</v>
      </c>
      <c r="H528" s="183">
        <f>IFERROR(__xludf.DUMMYFUNCTION("""COMPUTED_VALUE"""),300.0)</f>
        <v>300</v>
      </c>
      <c r="I528" s="174">
        <f>IFERROR(__xludf.DUMMYFUNCTION("""COMPUTED_VALUE"""),7.83795)</f>
        <v>7.83795</v>
      </c>
      <c r="J528" s="175">
        <f>IFERROR(__xludf.DUMMYFUNCTION("""COMPUTED_VALUE"""),47.01)</f>
        <v>47.01</v>
      </c>
      <c r="K528" s="35"/>
      <c r="L528" s="175">
        <f>IFERROR(__xludf.DUMMYFUNCTION("""COMPUTED_VALUE"""),45.85)</f>
        <v>45.85</v>
      </c>
      <c r="M528" s="187" t="str">
        <f>IFERROR(__xludf.DUMMYFUNCTION("""COMPUTED_VALUE"""),"Equity Key Stats")</f>
        <v>Equity Key Stats</v>
      </c>
      <c r="N528" s="35"/>
      <c r="O528" s="35"/>
      <c r="P528" s="176">
        <f>IFERROR(__xludf.DUMMYFUNCTION("""COMPUTED_VALUE"""),-110538.60885)</f>
        <v>-110538.6089</v>
      </c>
      <c r="Q528" s="177"/>
      <c r="R528" s="178">
        <f>IFERROR(__xludf.DUMMYFUNCTION("""COMPUTED_VALUE"""),45.85)</f>
        <v>45.85</v>
      </c>
      <c r="S528" s="184">
        <f>IFERROR(__xludf.DUMMYFUNCTION("""COMPUTED_VALUE"""),107811.00225000002)</f>
        <v>107811.0023</v>
      </c>
      <c r="T528" s="95">
        <f>IFERROR(__xludf.DUMMYFUNCTION("""COMPUTED_VALUE"""),3.0)</f>
        <v>3</v>
      </c>
      <c r="U528" s="95" t="str">
        <f>IFERROR(__xludf.DUMMYFUNCTION("""COMPUTED_VALUE"""),"")</f>
        <v/>
      </c>
      <c r="V528" s="179" t="str">
        <f>IFERROR(__xludf.DUMMYFUNCTION("""COMPUTED_VALUE"""),"")</f>
        <v/>
      </c>
      <c r="W528" s="55" t="str">
        <f>IFERROR(__xludf.DUMMYFUNCTION("""COMPUTED_VALUE"""),"")</f>
        <v/>
      </c>
      <c r="X528" s="181" t="str">
        <f>IFERROR(__xludf.DUMMYFUNCTION("""COMPUTED_VALUE"""),"")</f>
        <v/>
      </c>
      <c r="Y528" s="181" t="str">
        <f>IFERROR(__xludf.DUMMYFUNCTION("""COMPUTED_VALUE"""),"")</f>
        <v/>
      </c>
      <c r="Z528" s="186" t="str">
        <f>IFERROR(__xludf.DUMMYFUNCTION("""COMPUTED_VALUE"""),"")</f>
        <v/>
      </c>
    </row>
    <row r="529">
      <c r="A529" s="35" t="str">
        <f>IFERROR(__xludf.DUMMYFUNCTION("""COMPUTED_VALUE"""),"")</f>
        <v/>
      </c>
      <c r="B529" s="35" t="str">
        <f>IFERROR(__xludf.DUMMYFUNCTION("""COMPUTED_VALUE"""),"40105")</f>
        <v>40105</v>
      </c>
      <c r="C529" s="172">
        <f>IFERROR(__xludf.DUMMYFUNCTION("""COMPUTED_VALUE"""),4.4662001387E10)</f>
        <v>44662001387</v>
      </c>
      <c r="D529" s="135" t="str">
        <f>IFERROR(__xludf.DUMMYFUNCTION("""COMPUTED_VALUE"""),"DIS")</f>
        <v>DIS</v>
      </c>
      <c r="E529" s="173">
        <f>IFERROR(__xludf.DUMMYFUNCTION("""COMPUTED_VALUE"""),44662.0)</f>
        <v>44662</v>
      </c>
      <c r="F529" s="35" t="str">
        <f>IFERROR(__xludf.DUMMYFUNCTION("""COMPUTED_VALUE"""),"Stock")</f>
        <v>Stock</v>
      </c>
      <c r="G529" s="35" t="str">
        <f>IFERROR(__xludf.DUMMYFUNCTION("""COMPUTED_VALUE"""),"USD")</f>
        <v>USD</v>
      </c>
      <c r="H529" s="14">
        <f>IFERROR(__xludf.DUMMYFUNCTION("""COMPUTED_VALUE"""),-150.0)</f>
        <v>-150</v>
      </c>
      <c r="I529" s="174">
        <f>IFERROR(__xludf.DUMMYFUNCTION("""COMPUTED_VALUE"""),7.83795)</f>
        <v>7.83795</v>
      </c>
      <c r="J529" s="175">
        <f>IFERROR(__xludf.DUMMYFUNCTION("""COMPUTED_VALUE"""),130.65)</f>
        <v>130.65</v>
      </c>
      <c r="K529" s="35"/>
      <c r="L529" s="175">
        <f>IFERROR(__xludf.DUMMYFUNCTION("""COMPUTED_VALUE"""),132.38)</f>
        <v>132.38</v>
      </c>
      <c r="M529" s="187" t="str">
        <f>IFERROR(__xludf.DUMMYFUNCTION("""COMPUTED_VALUE"""),"Equity Key Stats")</f>
        <v>Equity Key Stats</v>
      </c>
      <c r="N529" s="35"/>
      <c r="O529" s="35"/>
      <c r="P529" s="176">
        <f>IFERROR(__xludf.DUMMYFUNCTION("""COMPUTED_VALUE"""),153604.22512500003)</f>
        <v>153604.2251</v>
      </c>
      <c r="Q529" s="177"/>
      <c r="R529" s="178">
        <f>IFERROR(__xludf.DUMMYFUNCTION("""COMPUTED_VALUE"""),132.38)</f>
        <v>132.38</v>
      </c>
      <c r="S529" s="151">
        <f>IFERROR(__xludf.DUMMYFUNCTION("""COMPUTED_VALUE"""),-155638.17315000002)</f>
        <v>-155638.1732</v>
      </c>
      <c r="T529" s="95">
        <f>IFERROR(__xludf.DUMMYFUNCTION("""COMPUTED_VALUE"""),6.0)</f>
        <v>6</v>
      </c>
      <c r="U529" s="95">
        <f>IFERROR(__xludf.DUMMYFUNCTION("""COMPUTED_VALUE"""),1.0)</f>
        <v>1</v>
      </c>
      <c r="V529" s="179">
        <f>IFERROR(__xludf.DUMMYFUNCTION("""COMPUTED_VALUE"""),-44762.55173999994)</f>
        <v>-44762.55174</v>
      </c>
      <c r="W529" s="55" t="str">
        <f>IFERROR(__xludf.DUMMYFUNCTION("""COMPUTED_VALUE"""),"")</f>
        <v/>
      </c>
      <c r="X529" s="181" t="str">
        <f>IFERROR(__xludf.DUMMYFUNCTION("""COMPUTED_VALUE"""),"")</f>
        <v/>
      </c>
      <c r="Y529" s="181" t="str">
        <f>IFERROR(__xludf.DUMMYFUNCTION("""COMPUTED_VALUE"""),"")</f>
        <v/>
      </c>
      <c r="Z529" s="186" t="str">
        <f>IFERROR(__xludf.DUMMYFUNCTION("""COMPUTED_VALUE"""),"")</f>
        <v/>
      </c>
    </row>
    <row r="530">
      <c r="A530" s="35" t="str">
        <f>IFERROR(__xludf.DUMMYFUNCTION("""COMPUTED_VALUE"""),"")</f>
        <v/>
      </c>
      <c r="B530" s="35" t="str">
        <f>IFERROR(__xludf.DUMMYFUNCTION("""COMPUTED_VALUE"""),"40105")</f>
        <v>40105</v>
      </c>
      <c r="C530" s="172">
        <f>IFERROR(__xludf.DUMMYFUNCTION("""COMPUTED_VALUE"""),4.4662001388E10)</f>
        <v>44662001388</v>
      </c>
      <c r="D530" s="135" t="str">
        <f>IFERROR(__xludf.DUMMYFUNCTION("""COMPUTED_VALUE"""),"TSLA")</f>
        <v>TSLA</v>
      </c>
      <c r="E530" s="173">
        <f>IFERROR(__xludf.DUMMYFUNCTION("""COMPUTED_VALUE"""),44662.0)</f>
        <v>44662</v>
      </c>
      <c r="F530" s="35" t="str">
        <f>IFERROR(__xludf.DUMMYFUNCTION("""COMPUTED_VALUE"""),"Stock")</f>
        <v>Stock</v>
      </c>
      <c r="G530" s="35" t="str">
        <f>IFERROR(__xludf.DUMMYFUNCTION("""COMPUTED_VALUE"""),"USD")</f>
        <v>USD</v>
      </c>
      <c r="H530" s="14" t="str">
        <f>IFERROR(__xludf.DUMMYFUNCTION("""COMPUTED_VALUE"""),"")</f>
        <v/>
      </c>
      <c r="I530" s="174">
        <f>IFERROR(__xludf.DUMMYFUNCTION("""COMPUTED_VALUE"""),7.83795)</f>
        <v>7.83795</v>
      </c>
      <c r="J530" s="175">
        <f>IFERROR(__xludf.DUMMYFUNCTION("""COMPUTED_VALUE"""),975.93)</f>
        <v>975.93</v>
      </c>
      <c r="K530" s="35"/>
      <c r="L530" s="175">
        <f>IFERROR(__xludf.DUMMYFUNCTION("""COMPUTED_VALUE"""),1022.37)</f>
        <v>1022.37</v>
      </c>
      <c r="M530" s="187" t="str">
        <f>IFERROR(__xludf.DUMMYFUNCTION("""COMPUTED_VALUE"""),"Equity Key Stats")</f>
        <v>Equity Key Stats</v>
      </c>
      <c r="N530" s="35"/>
      <c r="O530" s="35"/>
      <c r="P530" s="176">
        <f>IFERROR(__xludf.DUMMYFUNCTION("""COMPUTED_VALUE"""),0.0)</f>
        <v>0</v>
      </c>
      <c r="Q530" s="177"/>
      <c r="R530" s="178">
        <f>IFERROR(__xludf.DUMMYFUNCTION("""COMPUTED_VALUE"""),1022.37)</f>
        <v>1022.37</v>
      </c>
      <c r="S530" s="151">
        <f>IFERROR(__xludf.DUMMYFUNCTION("""COMPUTED_VALUE"""),0.0)</f>
        <v>0</v>
      </c>
      <c r="T530" s="95">
        <f>IFERROR(__xludf.DUMMYFUNCTION("""COMPUTED_VALUE"""),1.0)</f>
        <v>1</v>
      </c>
      <c r="U530" s="95">
        <f>IFERROR(__xludf.DUMMYFUNCTION("""COMPUTED_VALUE"""),1.0)</f>
        <v>1</v>
      </c>
      <c r="V530" s="179">
        <f>IFERROR(__xludf.DUMMYFUNCTION("""COMPUTED_VALUE"""),0.0)</f>
        <v>0</v>
      </c>
      <c r="W530" s="55" t="str">
        <f>IFERROR(__xludf.DUMMYFUNCTION("""COMPUTED_VALUE"""),"")</f>
        <v/>
      </c>
      <c r="X530" s="181" t="str">
        <f>IFERROR(__xludf.DUMMYFUNCTION("""COMPUTED_VALUE"""),"")</f>
        <v/>
      </c>
      <c r="Y530" s="181" t="str">
        <f>IFERROR(__xludf.DUMMYFUNCTION("""COMPUTED_VALUE"""),"")</f>
        <v/>
      </c>
      <c r="Z530" s="186" t="str">
        <f>IFERROR(__xludf.DUMMYFUNCTION("""COMPUTED_VALUE"""),"")</f>
        <v/>
      </c>
    </row>
    <row r="531">
      <c r="A531" s="35" t="str">
        <f>IFERROR(__xludf.DUMMYFUNCTION("""COMPUTED_VALUE"""),"")</f>
        <v/>
      </c>
      <c r="B531" s="35" t="str">
        <f>IFERROR(__xludf.DUMMYFUNCTION("""COMPUTED_VALUE"""),"40105")</f>
        <v>40105</v>
      </c>
      <c r="C531" s="172">
        <f>IFERROR(__xludf.DUMMYFUNCTION("""COMPUTED_VALUE"""),4.4662001389E10)</f>
        <v>44662001389</v>
      </c>
      <c r="D531" s="135" t="str">
        <f>IFERROR(__xludf.DUMMYFUNCTION("""COMPUTED_VALUE"""),"TWTR")</f>
        <v>TWTR</v>
      </c>
      <c r="E531" s="173">
        <f>IFERROR(__xludf.DUMMYFUNCTION("""COMPUTED_VALUE"""),44662.0)</f>
        <v>44662</v>
      </c>
      <c r="F531" s="35" t="str">
        <f>IFERROR(__xludf.DUMMYFUNCTION("""COMPUTED_VALUE"""),"Stock")</f>
        <v>Stock</v>
      </c>
      <c r="G531" s="35" t="str">
        <f>IFERROR(__xludf.DUMMYFUNCTION("""COMPUTED_VALUE"""),"USD")</f>
        <v>USD</v>
      </c>
      <c r="H531" s="14">
        <f>IFERROR(__xludf.DUMMYFUNCTION("""COMPUTED_VALUE"""),-600.0)</f>
        <v>-600</v>
      </c>
      <c r="I531" s="174">
        <f>IFERROR(__xludf.DUMMYFUNCTION("""COMPUTED_VALUE"""),7.83795)</f>
        <v>7.83795</v>
      </c>
      <c r="J531" s="175">
        <f>IFERROR(__xludf.DUMMYFUNCTION("""COMPUTED_VALUE"""),47.01)</f>
        <v>47.01</v>
      </c>
      <c r="K531" s="35"/>
      <c r="L531" s="175">
        <f>IFERROR(__xludf.DUMMYFUNCTION("""COMPUTED_VALUE"""),45.85)</f>
        <v>45.85</v>
      </c>
      <c r="M531" s="187" t="str">
        <f>IFERROR(__xludf.DUMMYFUNCTION("""COMPUTED_VALUE"""),"Equity Key Stats")</f>
        <v>Equity Key Stats</v>
      </c>
      <c r="N531" s="35"/>
      <c r="O531" s="35"/>
      <c r="P531" s="176">
        <f>IFERROR(__xludf.DUMMYFUNCTION("""COMPUTED_VALUE"""),221077.2177)</f>
        <v>221077.2177</v>
      </c>
      <c r="Q531" s="177"/>
      <c r="R531" s="178">
        <f>IFERROR(__xludf.DUMMYFUNCTION("""COMPUTED_VALUE"""),45.85)</f>
        <v>45.85</v>
      </c>
      <c r="S531" s="151">
        <f>IFERROR(__xludf.DUMMYFUNCTION("""COMPUTED_VALUE"""),-215622.00450000004)</f>
        <v>-215622.0045</v>
      </c>
      <c r="T531" s="95">
        <f>IFERROR(__xludf.DUMMYFUNCTION("""COMPUTED_VALUE"""),3.0)</f>
        <v>3</v>
      </c>
      <c r="U531" s="95" t="str">
        <f>IFERROR(__xludf.DUMMYFUNCTION("""COMPUTED_VALUE"""),"")</f>
        <v/>
      </c>
      <c r="V531" s="179" t="str">
        <f>IFERROR(__xludf.DUMMYFUNCTION("""COMPUTED_VALUE"""),"")</f>
        <v/>
      </c>
      <c r="W531" s="171" t="str">
        <f>IFERROR(__xludf.DUMMYFUNCTION("""COMPUTED_VALUE"""),"")</f>
        <v/>
      </c>
      <c r="X531" s="14" t="str">
        <f>IFERROR(__xludf.DUMMYFUNCTION("""COMPUTED_VALUE"""),"")</f>
        <v/>
      </c>
      <c r="Y531" s="14" t="str">
        <f>IFERROR(__xludf.DUMMYFUNCTION("""COMPUTED_VALUE"""),"")</f>
        <v/>
      </c>
      <c r="Z531" s="11" t="str">
        <f>IFERROR(__xludf.DUMMYFUNCTION("""COMPUTED_VALUE"""),"")</f>
        <v/>
      </c>
    </row>
    <row r="532">
      <c r="A532" s="35" t="str">
        <f>IFERROR(__xludf.DUMMYFUNCTION("""COMPUTED_VALUE"""),"40105")</f>
        <v>40105</v>
      </c>
      <c r="B532" s="35" t="str">
        <f>IFERROR(__xludf.DUMMYFUNCTION("""COMPUTED_VALUE"""),"40105")</f>
        <v>40105</v>
      </c>
      <c r="C532" s="172">
        <f>IFERROR(__xludf.DUMMYFUNCTION("""COMPUTED_VALUE"""),4.4663001441E10)</f>
        <v>44663001441</v>
      </c>
      <c r="D532" s="191" t="str">
        <f>IFERROR(__xludf.DUMMYFUNCTION("""COMPUTED_VALUE"""),"TWTR")</f>
        <v>TWTR</v>
      </c>
      <c r="E532" s="173">
        <f>IFERROR(__xludf.DUMMYFUNCTION("""COMPUTED_VALUE"""),44663.0)</f>
        <v>44663</v>
      </c>
      <c r="F532" s="35" t="str">
        <f>IFERROR(__xludf.DUMMYFUNCTION("""COMPUTED_VALUE"""),"Stock")</f>
        <v>Stock</v>
      </c>
      <c r="G532" s="35" t="str">
        <f>IFERROR(__xludf.DUMMYFUNCTION("""COMPUTED_VALUE"""),"USD")</f>
        <v>USD</v>
      </c>
      <c r="H532" s="181">
        <f>IFERROR(__xludf.DUMMYFUNCTION("""COMPUTED_VALUE"""),300.0)</f>
        <v>300</v>
      </c>
      <c r="I532" s="174">
        <f>IFERROR(__xludf.DUMMYFUNCTION("""COMPUTED_VALUE"""),7.83775)</f>
        <v>7.83775</v>
      </c>
      <c r="J532" s="175">
        <f>IFERROR(__xludf.DUMMYFUNCTION("""COMPUTED_VALUE"""),44.48)</f>
        <v>44.48</v>
      </c>
      <c r="K532" s="35"/>
      <c r="L532" s="175">
        <f>IFERROR(__xludf.DUMMYFUNCTION("""COMPUTED_VALUE"""),45.85)</f>
        <v>45.85</v>
      </c>
      <c r="M532" s="182" t="str">
        <f>IFERROR(__xludf.DUMMYFUNCTION("""COMPUTED_VALUE"""),"Equity Key Stats")</f>
        <v>Equity Key Stats</v>
      </c>
      <c r="N532" s="35"/>
      <c r="O532" s="35"/>
      <c r="P532" s="184">
        <f>IFERROR(__xludf.DUMMYFUNCTION("""COMPUTED_VALUE"""),-104586.93599999999)</f>
        <v>-104586.936</v>
      </c>
      <c r="Q532" s="177"/>
      <c r="R532" s="178">
        <f>IFERROR(__xludf.DUMMYFUNCTION("""COMPUTED_VALUE"""),45.85)</f>
        <v>45.85</v>
      </c>
      <c r="S532" s="176">
        <f>IFERROR(__xludf.DUMMYFUNCTION("""COMPUTED_VALUE"""),107808.25125)</f>
        <v>107808.2513</v>
      </c>
      <c r="T532" s="95">
        <f>IFERROR(__xludf.DUMMYFUNCTION("""COMPUTED_VALUE"""),3.0)</f>
        <v>3</v>
      </c>
      <c r="U532" s="95">
        <f>IFERROR(__xludf.DUMMYFUNCTION("""COMPUTED_VALUE"""),1.0)</f>
        <v>1</v>
      </c>
      <c r="V532" s="179">
        <f>IFERROR(__xludf.DUMMYFUNCTION("""COMPUTED_VALUE"""),5948.921849999999)</f>
        <v>5948.92185</v>
      </c>
      <c r="W532" s="171">
        <f>IFERROR(__xludf.DUMMYFUNCTION("""COMPUTED_VALUE"""),461676.3701100001)</f>
        <v>461676.3701</v>
      </c>
      <c r="X532" s="14">
        <f>IFERROR(__xludf.DUMMYFUNCTION("""COMPUTED_VALUE"""),4661.064200000008)</f>
        <v>4661.0642</v>
      </c>
      <c r="Y532" s="14">
        <f>IFERROR(__xludf.DUMMYFUNCTION("""COMPUTED_VALUE"""),0.0)</f>
        <v>0</v>
      </c>
      <c r="Z532" s="11">
        <f>IFERROR(__xludf.DUMMYFUNCTION("""COMPUTED_VALUE"""),-0.07664725977999987)</f>
        <v>-0.07664725978</v>
      </c>
    </row>
    <row r="533">
      <c r="A533" s="35" t="str">
        <f>IFERROR(__xludf.DUMMYFUNCTION("""COMPUTED_VALUE"""),"")</f>
        <v/>
      </c>
      <c r="B533" s="35" t="str">
        <f>IFERROR(__xludf.DUMMYFUNCTION("""COMPUTED_VALUE"""),"40158")</f>
        <v>40158</v>
      </c>
      <c r="C533" s="172">
        <f>IFERROR(__xludf.DUMMYFUNCTION("""COMPUTED_VALUE"""),4.4597000052E10)</f>
        <v>44597000052</v>
      </c>
      <c r="D533" s="191" t="str">
        <f>IFERROR(__xludf.DUMMYFUNCTION("""COMPUTED_VALUE"""),"Cash")</f>
        <v>Cash</v>
      </c>
      <c r="E533" s="173">
        <f>IFERROR(__xludf.DUMMYFUNCTION("""COMPUTED_VALUE"""),44597.0)</f>
        <v>44597</v>
      </c>
      <c r="F533" s="35" t="str">
        <f>IFERROR(__xludf.DUMMYFUNCTION("""COMPUTED_VALUE"""),"Cash")</f>
        <v>Cash</v>
      </c>
      <c r="G533" s="35" t="str">
        <f>IFERROR(__xludf.DUMMYFUNCTION("""COMPUTED_VALUE"""),"HKD")</f>
        <v>HKD</v>
      </c>
      <c r="H533" s="181" t="str">
        <f>IFERROR(__xludf.DUMMYFUNCTION("""COMPUTED_VALUE"""),"")</f>
        <v/>
      </c>
      <c r="I533" s="174">
        <f>IFERROR(__xludf.DUMMYFUNCTION("""COMPUTED_VALUE"""),1.0)</f>
        <v>1</v>
      </c>
      <c r="J533" s="175">
        <f>IFERROR(__xludf.DUMMYFUNCTION("""COMPUTED_VALUE"""),1.0)</f>
        <v>1</v>
      </c>
      <c r="K533" s="35"/>
      <c r="L533" s="175">
        <f>IFERROR(__xludf.DUMMYFUNCTION("""COMPUTED_VALUE"""),1.0)</f>
        <v>1</v>
      </c>
      <c r="M533" s="182" t="str">
        <f>IFERROR(__xludf.DUMMYFUNCTION("""COMPUTED_VALUE"""),"")</f>
        <v/>
      </c>
      <c r="N533" s="35"/>
      <c r="O533" s="35"/>
      <c r="P533" s="184">
        <f>IFERROR(__xludf.DUMMYFUNCTION("""COMPUTED_VALUE"""),500000.0)</f>
        <v>500000</v>
      </c>
      <c r="Q533" s="177"/>
      <c r="R533" s="178">
        <f>IFERROR(__xludf.DUMMYFUNCTION("""COMPUTED_VALUE"""),1.0)</f>
        <v>1</v>
      </c>
      <c r="S533" s="176" t="str">
        <f>IFERROR(__xludf.DUMMYFUNCTION("""COMPUTED_VALUE"""),"")</f>
        <v/>
      </c>
      <c r="T533" s="95">
        <f>IFERROR(__xludf.DUMMYFUNCTION("""COMPUTED_VALUE"""),1.0)</f>
        <v>1</v>
      </c>
      <c r="U533" s="95">
        <f>IFERROR(__xludf.DUMMYFUNCTION("""COMPUTED_VALUE"""),1.0)</f>
        <v>1</v>
      </c>
      <c r="V533" s="179">
        <f>IFERROR(__xludf.DUMMYFUNCTION("""COMPUTED_VALUE"""),500000.0)</f>
        <v>500000</v>
      </c>
      <c r="W533" s="171" t="str">
        <f>IFERROR(__xludf.DUMMYFUNCTION("""COMPUTED_VALUE"""),"")</f>
        <v/>
      </c>
      <c r="X533" s="14" t="str">
        <f>IFERROR(__xludf.DUMMYFUNCTION("""COMPUTED_VALUE"""),"")</f>
        <v/>
      </c>
      <c r="Y533" s="14" t="str">
        <f>IFERROR(__xludf.DUMMYFUNCTION("""COMPUTED_VALUE"""),"")</f>
        <v/>
      </c>
      <c r="Z533" s="11" t="str">
        <f>IFERROR(__xludf.DUMMYFUNCTION("""COMPUTED_VALUE"""),"")</f>
        <v/>
      </c>
    </row>
    <row r="534">
      <c r="A534" s="35" t="str">
        <f>IFERROR(__xludf.DUMMYFUNCTION("""COMPUTED_VALUE"""),"")</f>
        <v/>
      </c>
      <c r="B534" s="35" t="str">
        <f>IFERROR(__xludf.DUMMYFUNCTION("""COMPUTED_VALUE"""),"40158")</f>
        <v>40158</v>
      </c>
      <c r="C534" s="172">
        <f>IFERROR(__xludf.DUMMYFUNCTION("""COMPUTED_VALUE"""),4.4607000194E10)</f>
        <v>44607000194</v>
      </c>
      <c r="D534" s="192" t="str">
        <f>IFERROR(__xludf.DUMMYFUNCTION("""COMPUTED_VALUE"""),"2020.HK")</f>
        <v>2020.HK</v>
      </c>
      <c r="E534" s="173">
        <f>IFERROR(__xludf.DUMMYFUNCTION("""COMPUTED_VALUE"""),44607.0)</f>
        <v>44607</v>
      </c>
      <c r="F534" s="35" t="str">
        <f>IFERROR(__xludf.DUMMYFUNCTION("""COMPUTED_VALUE"""),"Stock")</f>
        <v>Stock</v>
      </c>
      <c r="G534" s="35" t="str">
        <f>IFERROR(__xludf.DUMMYFUNCTION("""COMPUTED_VALUE"""),"HKD")</f>
        <v>HKD</v>
      </c>
      <c r="H534" s="181">
        <f>IFERROR(__xludf.DUMMYFUNCTION("""COMPUTED_VALUE"""),700.0)</f>
        <v>700</v>
      </c>
      <c r="I534" s="174">
        <f>IFERROR(__xludf.DUMMYFUNCTION("""COMPUTED_VALUE"""),1.0)</f>
        <v>1</v>
      </c>
      <c r="J534" s="175">
        <f>IFERROR(__xludf.DUMMYFUNCTION("""COMPUTED_VALUE"""),127.2)</f>
        <v>127.2</v>
      </c>
      <c r="K534" s="35"/>
      <c r="L534" s="175">
        <f>IFERROR(__xludf.DUMMYFUNCTION("""COMPUTED_VALUE"""),89.3)</f>
        <v>89.3</v>
      </c>
      <c r="M534" s="182" t="str">
        <f>IFERROR(__xludf.DUMMYFUNCTION("""COMPUTED_VALUE"""),"Equity Key Stats")</f>
        <v>Equity Key Stats</v>
      </c>
      <c r="N534" s="35"/>
      <c r="O534" s="35"/>
      <c r="P534" s="184">
        <f>IFERROR(__xludf.DUMMYFUNCTION("""COMPUTED_VALUE"""),-89040.0)</f>
        <v>-89040</v>
      </c>
      <c r="Q534" s="177"/>
      <c r="R534" s="178">
        <f>IFERROR(__xludf.DUMMYFUNCTION("""COMPUTED_VALUE"""),89.3)</f>
        <v>89.3</v>
      </c>
      <c r="S534" s="176">
        <f>IFERROR(__xludf.DUMMYFUNCTION("""COMPUTED_VALUE"""),62510.0)</f>
        <v>62510</v>
      </c>
      <c r="T534" s="95">
        <f>IFERROR(__xludf.DUMMYFUNCTION("""COMPUTED_VALUE"""),2.0)</f>
        <v>2</v>
      </c>
      <c r="U534" s="95" t="str">
        <f>IFERROR(__xludf.DUMMYFUNCTION("""COMPUTED_VALUE"""),"")</f>
        <v/>
      </c>
      <c r="V534" s="179" t="str">
        <f>IFERROR(__xludf.DUMMYFUNCTION("""COMPUTED_VALUE"""),"")</f>
        <v/>
      </c>
      <c r="W534" s="171" t="str">
        <f>IFERROR(__xludf.DUMMYFUNCTION("""COMPUTED_VALUE"""),"")</f>
        <v/>
      </c>
      <c r="X534" s="14" t="str">
        <f>IFERROR(__xludf.DUMMYFUNCTION("""COMPUTED_VALUE"""),"")</f>
        <v/>
      </c>
      <c r="Y534" s="14" t="str">
        <f>IFERROR(__xludf.DUMMYFUNCTION("""COMPUTED_VALUE"""),"")</f>
        <v/>
      </c>
      <c r="Z534" s="11" t="str">
        <f>IFERROR(__xludf.DUMMYFUNCTION("""COMPUTED_VALUE"""),"")</f>
        <v/>
      </c>
    </row>
    <row r="535">
      <c r="A535" s="35" t="str">
        <f>IFERROR(__xludf.DUMMYFUNCTION("""COMPUTED_VALUE"""),"")</f>
        <v/>
      </c>
      <c r="B535" s="35" t="str">
        <f>IFERROR(__xludf.DUMMYFUNCTION("""COMPUTED_VALUE"""),"40158")</f>
        <v>40158</v>
      </c>
      <c r="C535" s="172">
        <f>IFERROR(__xludf.DUMMYFUNCTION("""COMPUTED_VALUE"""),4.460800022E10)</f>
        <v>44608000220</v>
      </c>
      <c r="D535" s="192" t="str">
        <f>IFERROR(__xludf.DUMMYFUNCTION("""COMPUTED_VALUE"""),"2020.HK")</f>
        <v>2020.HK</v>
      </c>
      <c r="E535" s="173">
        <f>IFERROR(__xludf.DUMMYFUNCTION("""COMPUTED_VALUE"""),44608.0)</f>
        <v>44608</v>
      </c>
      <c r="F535" s="35" t="str">
        <f>IFERROR(__xludf.DUMMYFUNCTION("""COMPUTED_VALUE"""),"Stock")</f>
        <v>Stock</v>
      </c>
      <c r="G535" s="35" t="str">
        <f>IFERROR(__xludf.DUMMYFUNCTION("""COMPUTED_VALUE"""),"HKD")</f>
        <v>HKD</v>
      </c>
      <c r="H535" s="181">
        <f>IFERROR(__xludf.DUMMYFUNCTION("""COMPUTED_VALUE"""),7.0)</f>
        <v>7</v>
      </c>
      <c r="I535" s="174">
        <f>IFERROR(__xludf.DUMMYFUNCTION("""COMPUTED_VALUE"""),1.0)</f>
        <v>1</v>
      </c>
      <c r="J535" s="175">
        <f>IFERROR(__xludf.DUMMYFUNCTION("""COMPUTED_VALUE"""),129.8)</f>
        <v>129.8</v>
      </c>
      <c r="K535" s="35"/>
      <c r="L535" s="175">
        <f>IFERROR(__xludf.DUMMYFUNCTION("""COMPUTED_VALUE"""),89.3)</f>
        <v>89.3</v>
      </c>
      <c r="M535" s="182" t="str">
        <f>IFERROR(__xludf.DUMMYFUNCTION("""COMPUTED_VALUE"""),"Equity Key Stats")</f>
        <v>Equity Key Stats</v>
      </c>
      <c r="N535" s="35"/>
      <c r="O535" s="35"/>
      <c r="P535" s="184">
        <f>IFERROR(__xludf.DUMMYFUNCTION("""COMPUTED_VALUE"""),-908.6000000000001)</f>
        <v>-908.6</v>
      </c>
      <c r="Q535" s="177"/>
      <c r="R535" s="178">
        <f>IFERROR(__xludf.DUMMYFUNCTION("""COMPUTED_VALUE"""),89.3)</f>
        <v>89.3</v>
      </c>
      <c r="S535" s="176">
        <f>IFERROR(__xludf.DUMMYFUNCTION("""COMPUTED_VALUE"""),625.1)</f>
        <v>625.1</v>
      </c>
      <c r="T535" s="95">
        <f>IFERROR(__xludf.DUMMYFUNCTION("""COMPUTED_VALUE"""),2.0)</f>
        <v>2</v>
      </c>
      <c r="U535" s="95">
        <f>IFERROR(__xludf.DUMMYFUNCTION("""COMPUTED_VALUE"""),1.0)</f>
        <v>1</v>
      </c>
      <c r="V535" s="179">
        <f>IFERROR(__xludf.DUMMYFUNCTION("""COMPUTED_VALUE"""),-26813.500000000007)</f>
        <v>-26813.5</v>
      </c>
      <c r="W535" s="171" t="str">
        <f>IFERROR(__xludf.DUMMYFUNCTION("""COMPUTED_VALUE"""),"")</f>
        <v/>
      </c>
      <c r="X535" s="14" t="str">
        <f>IFERROR(__xludf.DUMMYFUNCTION("""COMPUTED_VALUE"""),"")</f>
        <v/>
      </c>
      <c r="Y535" s="14" t="str">
        <f>IFERROR(__xludf.DUMMYFUNCTION("""COMPUTED_VALUE"""),"")</f>
        <v/>
      </c>
      <c r="Z535" s="11" t="str">
        <f>IFERROR(__xludf.DUMMYFUNCTION("""COMPUTED_VALUE"""),"")</f>
        <v/>
      </c>
    </row>
    <row r="536">
      <c r="A536" s="35" t="str">
        <f>IFERROR(__xludf.DUMMYFUNCTION("""COMPUTED_VALUE"""),"")</f>
        <v/>
      </c>
      <c r="B536" s="35" t="str">
        <f>IFERROR(__xludf.DUMMYFUNCTION("""COMPUTED_VALUE"""),"40158")</f>
        <v>40158</v>
      </c>
      <c r="C536" s="172">
        <f>IFERROR(__xludf.DUMMYFUNCTION("""COMPUTED_VALUE"""),4.4609000246E10)</f>
        <v>44609000246</v>
      </c>
      <c r="D536" s="192" t="str">
        <f>IFERROR(__xludf.DUMMYFUNCTION("""COMPUTED_VALUE"""),"TSLA")</f>
        <v>TSLA</v>
      </c>
      <c r="E536" s="173">
        <f>IFERROR(__xludf.DUMMYFUNCTION("""COMPUTED_VALUE"""),44609.0)</f>
        <v>44609</v>
      </c>
      <c r="F536" s="35" t="str">
        <f>IFERROR(__xludf.DUMMYFUNCTION("""COMPUTED_VALUE"""),"Stock")</f>
        <v>Stock</v>
      </c>
      <c r="G536" s="35" t="str">
        <f>IFERROR(__xludf.DUMMYFUNCTION("""COMPUTED_VALUE"""),"USD")</f>
        <v>USD</v>
      </c>
      <c r="H536" s="181">
        <f>IFERROR(__xludf.DUMMYFUNCTION("""COMPUTED_VALUE"""),6.0)</f>
        <v>6</v>
      </c>
      <c r="I536" s="174">
        <f>IFERROR(__xludf.DUMMYFUNCTION("""COMPUTED_VALUE"""),7.799115)</f>
        <v>7.799115</v>
      </c>
      <c r="J536" s="175">
        <f>IFERROR(__xludf.DUMMYFUNCTION("""COMPUTED_VALUE"""),876.35)</f>
        <v>876.35</v>
      </c>
      <c r="K536" s="35"/>
      <c r="L536" s="175">
        <f>IFERROR(__xludf.DUMMYFUNCTION("""COMPUTED_VALUE"""),1022.37)</f>
        <v>1022.37</v>
      </c>
      <c r="M536" s="182" t="str">
        <f>IFERROR(__xludf.DUMMYFUNCTION("""COMPUTED_VALUE"""),"Equity Key Stats")</f>
        <v>Equity Key Stats</v>
      </c>
      <c r="N536" s="35"/>
      <c r="O536" s="35"/>
      <c r="P536" s="184">
        <f>IFERROR(__xludf.DUMMYFUNCTION("""COMPUTED_VALUE"""),-41008.526581499995)</f>
        <v>-41008.52658</v>
      </c>
      <c r="Q536" s="177"/>
      <c r="R536" s="178">
        <f>IFERROR(__xludf.DUMMYFUNCTION("""COMPUTED_VALUE"""),1022.37)</f>
        <v>1022.37</v>
      </c>
      <c r="S536" s="176">
        <f>IFERROR(__xludf.DUMMYFUNCTION("""COMPUTED_VALUE"""),47841.487215299996)</f>
        <v>47841.48722</v>
      </c>
      <c r="T536" s="95">
        <f>IFERROR(__xludf.DUMMYFUNCTION("""COMPUTED_VALUE"""),1.0)</f>
        <v>1</v>
      </c>
      <c r="U536" s="95">
        <f>IFERROR(__xludf.DUMMYFUNCTION("""COMPUTED_VALUE"""),1.0)</f>
        <v>1</v>
      </c>
      <c r="V536" s="179">
        <f>IFERROR(__xludf.DUMMYFUNCTION("""COMPUTED_VALUE"""),6832.960633800001)</f>
        <v>6832.960634</v>
      </c>
      <c r="W536" s="55" t="str">
        <f>IFERROR(__xludf.DUMMYFUNCTION("""COMPUTED_VALUE"""),"")</f>
        <v/>
      </c>
      <c r="X536" s="181" t="str">
        <f>IFERROR(__xludf.DUMMYFUNCTION("""COMPUTED_VALUE"""),"")</f>
        <v/>
      </c>
      <c r="Y536" s="181" t="str">
        <f>IFERROR(__xludf.DUMMYFUNCTION("""COMPUTED_VALUE"""),"")</f>
        <v/>
      </c>
      <c r="Z536" s="186" t="str">
        <f>IFERROR(__xludf.DUMMYFUNCTION("""COMPUTED_VALUE"""),"")</f>
        <v/>
      </c>
    </row>
    <row r="537">
      <c r="A537" s="35" t="str">
        <f>IFERROR(__xludf.DUMMYFUNCTION("""COMPUTED_VALUE"""),"40158")</f>
        <v>40158</v>
      </c>
      <c r="B537" s="35" t="str">
        <f>IFERROR(__xludf.DUMMYFUNCTION("""COMPUTED_VALUE"""),"40158")</f>
        <v>40158</v>
      </c>
      <c r="C537" s="172">
        <f>IFERROR(__xludf.DUMMYFUNCTION("""COMPUTED_VALUE"""),4.4643000812E10)</f>
        <v>44643000812</v>
      </c>
      <c r="D537" s="188" t="str">
        <f>IFERROR(__xludf.DUMMYFUNCTION("""COMPUTED_VALUE"""),"6049.HK")</f>
        <v>6049.HK</v>
      </c>
      <c r="E537" s="173">
        <f>IFERROR(__xludf.DUMMYFUNCTION("""COMPUTED_VALUE"""),44643.0)</f>
        <v>44643</v>
      </c>
      <c r="F537" s="35" t="str">
        <f>IFERROR(__xludf.DUMMYFUNCTION("""COMPUTED_VALUE"""),"Stock")</f>
        <v>Stock</v>
      </c>
      <c r="G537" s="35" t="str">
        <f>IFERROR(__xludf.DUMMYFUNCTION("""COMPUTED_VALUE"""),"HKD")</f>
        <v>HKD</v>
      </c>
      <c r="H537" s="14">
        <f>IFERROR(__xludf.DUMMYFUNCTION("""COMPUTED_VALUE"""),400.0)</f>
        <v>400</v>
      </c>
      <c r="I537" s="174">
        <f>IFERROR(__xludf.DUMMYFUNCTION("""COMPUTED_VALUE"""),1.0)</f>
        <v>1</v>
      </c>
      <c r="J537" s="175">
        <f>IFERROR(__xludf.DUMMYFUNCTION("""COMPUTED_VALUE"""),57.0)</f>
        <v>57</v>
      </c>
      <c r="K537" s="35"/>
      <c r="L537" s="175">
        <f>IFERROR(__xludf.DUMMYFUNCTION("""COMPUTED_VALUE"""),52.7)</f>
        <v>52.7</v>
      </c>
      <c r="M537" s="187" t="str">
        <f>IFERROR(__xludf.DUMMYFUNCTION("""COMPUTED_VALUE"""),"Equity Key Stats")</f>
        <v>Equity Key Stats</v>
      </c>
      <c r="N537" s="35"/>
      <c r="O537" s="35"/>
      <c r="P537" s="176">
        <f>IFERROR(__xludf.DUMMYFUNCTION("""COMPUTED_VALUE"""),-22800.0)</f>
        <v>-22800</v>
      </c>
      <c r="Q537" s="177"/>
      <c r="R537" s="178">
        <f>IFERROR(__xludf.DUMMYFUNCTION("""COMPUTED_VALUE"""),52.7)</f>
        <v>52.7</v>
      </c>
      <c r="S537" s="151">
        <f>IFERROR(__xludf.DUMMYFUNCTION("""COMPUTED_VALUE"""),21080.0)</f>
        <v>21080</v>
      </c>
      <c r="T537" s="95">
        <f>IFERROR(__xludf.DUMMYFUNCTION("""COMPUTED_VALUE"""),1.0)</f>
        <v>1</v>
      </c>
      <c r="U537" s="95">
        <f>IFERROR(__xludf.DUMMYFUNCTION("""COMPUTED_VALUE"""),1.0)</f>
        <v>1</v>
      </c>
      <c r="V537" s="179">
        <f>IFERROR(__xludf.DUMMYFUNCTION("""COMPUTED_VALUE"""),-1720.0)</f>
        <v>-1720</v>
      </c>
      <c r="W537" s="55">
        <f>IFERROR(__xludf.DUMMYFUNCTION("""COMPUTED_VALUE"""),478299.4606338)</f>
        <v>478299.4606</v>
      </c>
      <c r="X537" s="181">
        <f>IFERROR(__xludf.DUMMYFUNCTION("""COMPUTED_VALUE"""),346242.8734185)</f>
        <v>346242.8734</v>
      </c>
      <c r="Y537" s="181">
        <f>IFERROR(__xludf.DUMMYFUNCTION("""COMPUTED_VALUE"""),0.0)</f>
        <v>0</v>
      </c>
      <c r="Z537" s="186">
        <f>IFERROR(__xludf.DUMMYFUNCTION("""COMPUTED_VALUE"""),-0.043401078732399956)</f>
        <v>-0.04340107873</v>
      </c>
    </row>
    <row r="538">
      <c r="A538" s="35" t="str">
        <f>IFERROR(__xludf.DUMMYFUNCTION("""COMPUTED_VALUE"""),"")</f>
        <v/>
      </c>
      <c r="B538" s="35" t="str">
        <f>IFERROR(__xludf.DUMMYFUNCTION("""COMPUTED_VALUE"""),"40318")</f>
        <v>40318</v>
      </c>
      <c r="C538" s="172">
        <f>IFERROR(__xludf.DUMMYFUNCTION("""COMPUTED_VALUE"""),4.4597000109E10)</f>
        <v>44597000109</v>
      </c>
      <c r="D538" s="135" t="str">
        <f>IFERROR(__xludf.DUMMYFUNCTION("""COMPUTED_VALUE"""),"Cash")</f>
        <v>Cash</v>
      </c>
      <c r="E538" s="173">
        <f>IFERROR(__xludf.DUMMYFUNCTION("""COMPUTED_VALUE"""),44597.0)</f>
        <v>44597</v>
      </c>
      <c r="F538" s="35" t="str">
        <f>IFERROR(__xludf.DUMMYFUNCTION("""COMPUTED_VALUE"""),"Cash")</f>
        <v>Cash</v>
      </c>
      <c r="G538" s="35" t="str">
        <f>IFERROR(__xludf.DUMMYFUNCTION("""COMPUTED_VALUE"""),"HKD")</f>
        <v>HKD</v>
      </c>
      <c r="H538" s="14" t="str">
        <f>IFERROR(__xludf.DUMMYFUNCTION("""COMPUTED_VALUE"""),"")</f>
        <v/>
      </c>
      <c r="I538" s="174">
        <f>IFERROR(__xludf.DUMMYFUNCTION("""COMPUTED_VALUE"""),1.0)</f>
        <v>1</v>
      </c>
      <c r="J538" s="95">
        <f>IFERROR(__xludf.DUMMYFUNCTION("""COMPUTED_VALUE"""),1.0)</f>
        <v>1</v>
      </c>
      <c r="K538" s="35"/>
      <c r="L538" s="175">
        <f>IFERROR(__xludf.DUMMYFUNCTION("""COMPUTED_VALUE"""),1.0)</f>
        <v>1</v>
      </c>
      <c r="M538" s="3" t="str">
        <f>IFERROR(__xludf.DUMMYFUNCTION("""COMPUTED_VALUE"""),"")</f>
        <v/>
      </c>
      <c r="N538" s="35"/>
      <c r="O538" s="35"/>
      <c r="P538" s="176">
        <f>IFERROR(__xludf.DUMMYFUNCTION("""COMPUTED_VALUE"""),500000.0)</f>
        <v>500000</v>
      </c>
      <c r="Q538" s="177"/>
      <c r="R538" s="178">
        <f>IFERROR(__xludf.DUMMYFUNCTION("""COMPUTED_VALUE"""),1.0)</f>
        <v>1</v>
      </c>
      <c r="S538" s="151" t="str">
        <f>IFERROR(__xludf.DUMMYFUNCTION("""COMPUTED_VALUE"""),"")</f>
        <v/>
      </c>
      <c r="T538" s="95">
        <f>IFERROR(__xludf.DUMMYFUNCTION("""COMPUTED_VALUE"""),1.0)</f>
        <v>1</v>
      </c>
      <c r="U538" s="95">
        <f>IFERROR(__xludf.DUMMYFUNCTION("""COMPUTED_VALUE"""),1.0)</f>
        <v>1</v>
      </c>
      <c r="V538" s="179">
        <f>IFERROR(__xludf.DUMMYFUNCTION("""COMPUTED_VALUE"""),500000.0)</f>
        <v>500000</v>
      </c>
      <c r="W538" s="171" t="str">
        <f>IFERROR(__xludf.DUMMYFUNCTION("""COMPUTED_VALUE"""),"")</f>
        <v/>
      </c>
      <c r="X538" s="14" t="str">
        <f>IFERROR(__xludf.DUMMYFUNCTION("""COMPUTED_VALUE"""),"")</f>
        <v/>
      </c>
      <c r="Y538" s="14" t="str">
        <f>IFERROR(__xludf.DUMMYFUNCTION("""COMPUTED_VALUE"""),"")</f>
        <v/>
      </c>
      <c r="Z538" s="11" t="str">
        <f>IFERROR(__xludf.DUMMYFUNCTION("""COMPUTED_VALUE"""),"")</f>
        <v/>
      </c>
    </row>
    <row r="539">
      <c r="A539" s="35" t="str">
        <f>IFERROR(__xludf.DUMMYFUNCTION("""COMPUTED_VALUE"""),"")</f>
        <v/>
      </c>
      <c r="B539" s="35" t="str">
        <f>IFERROR(__xludf.DUMMYFUNCTION("""COMPUTED_VALUE"""),"40318")</f>
        <v>40318</v>
      </c>
      <c r="C539" s="172">
        <f>IFERROR(__xludf.DUMMYFUNCTION("""COMPUTED_VALUE"""),4.4629000501E10)</f>
        <v>44629000501</v>
      </c>
      <c r="D539" s="180" t="str">
        <f>IFERROR(__xludf.DUMMYFUNCTION("""COMPUTED_VALUE"""),"AAPL")</f>
        <v>AAPL</v>
      </c>
      <c r="E539" s="173">
        <f>IFERROR(__xludf.DUMMYFUNCTION("""COMPUTED_VALUE"""),44629.0)</f>
        <v>44629</v>
      </c>
      <c r="F539" s="35" t="str">
        <f>IFERROR(__xludf.DUMMYFUNCTION("""COMPUTED_VALUE"""),"Stock")</f>
        <v>Stock</v>
      </c>
      <c r="G539" s="35" t="str">
        <f>IFERROR(__xludf.DUMMYFUNCTION("""COMPUTED_VALUE"""),"USD")</f>
        <v>USD</v>
      </c>
      <c r="H539" s="181">
        <f>IFERROR(__xludf.DUMMYFUNCTION("""COMPUTED_VALUE"""),80.0)</f>
        <v>80</v>
      </c>
      <c r="I539" s="174">
        <f>IFERROR(__xludf.DUMMYFUNCTION("""COMPUTED_VALUE"""),7.81935)</f>
        <v>7.81935</v>
      </c>
      <c r="J539" s="175">
        <f>IFERROR(__xludf.DUMMYFUNCTION("""COMPUTED_VALUE"""),162.95)</f>
        <v>162.95</v>
      </c>
      <c r="K539" s="35"/>
      <c r="L539" s="175">
        <f>IFERROR(__xludf.DUMMYFUNCTION("""COMPUTED_VALUE"""),170.4)</f>
        <v>170.4</v>
      </c>
      <c r="M539" s="182" t="str">
        <f>IFERROR(__xludf.DUMMYFUNCTION("""COMPUTED_VALUE"""),"Equity Key Stats")</f>
        <v>Equity Key Stats</v>
      </c>
      <c r="N539" s="35"/>
      <c r="O539" s="35"/>
      <c r="P539" s="184">
        <f>IFERROR(__xludf.DUMMYFUNCTION("""COMPUTED_VALUE"""),-101933.04659999999)</f>
        <v>-101933.0466</v>
      </c>
      <c r="Q539" s="177"/>
      <c r="R539" s="178">
        <f>IFERROR(__xludf.DUMMYFUNCTION("""COMPUTED_VALUE"""),170.4)</f>
        <v>170.4</v>
      </c>
      <c r="S539" s="176">
        <f>IFERROR(__xludf.DUMMYFUNCTION("""COMPUTED_VALUE"""),106593.37920000001)</f>
        <v>106593.3792</v>
      </c>
      <c r="T539" s="95">
        <f>IFERROR(__xludf.DUMMYFUNCTION("""COMPUTED_VALUE"""),2.0)</f>
        <v>2</v>
      </c>
      <c r="U539" s="95" t="str">
        <f>IFERROR(__xludf.DUMMYFUNCTION("""COMPUTED_VALUE"""),"")</f>
        <v/>
      </c>
      <c r="V539" s="179" t="str">
        <f>IFERROR(__xludf.DUMMYFUNCTION("""COMPUTED_VALUE"""),"")</f>
        <v/>
      </c>
      <c r="W539" s="171" t="str">
        <f>IFERROR(__xludf.DUMMYFUNCTION("""COMPUTED_VALUE"""),"")</f>
        <v/>
      </c>
      <c r="X539" s="14" t="str">
        <f>IFERROR(__xludf.DUMMYFUNCTION("""COMPUTED_VALUE"""),"")</f>
        <v/>
      </c>
      <c r="Y539" s="14" t="str">
        <f>IFERROR(__xludf.DUMMYFUNCTION("""COMPUTED_VALUE"""),"")</f>
        <v/>
      </c>
      <c r="Z539" s="11" t="str">
        <f>IFERROR(__xludf.DUMMYFUNCTION("""COMPUTED_VALUE"""),"")</f>
        <v/>
      </c>
    </row>
    <row r="540">
      <c r="A540" s="35" t="str">
        <f>IFERROR(__xludf.DUMMYFUNCTION("""COMPUTED_VALUE"""),"")</f>
        <v/>
      </c>
      <c r="B540" s="35" t="str">
        <f>IFERROR(__xludf.DUMMYFUNCTION("""COMPUTED_VALUE"""),"40318")</f>
        <v>40318</v>
      </c>
      <c r="C540" s="172">
        <f>IFERROR(__xludf.DUMMYFUNCTION("""COMPUTED_VALUE"""),4.4629000502E10)</f>
        <v>44629000502</v>
      </c>
      <c r="D540" s="192" t="str">
        <f>IFERROR(__xludf.DUMMYFUNCTION("""COMPUTED_VALUE"""),"LMT")</f>
        <v>LMT</v>
      </c>
      <c r="E540" s="173">
        <f>IFERROR(__xludf.DUMMYFUNCTION("""COMPUTED_VALUE"""),44629.0)</f>
        <v>44629</v>
      </c>
      <c r="F540" s="35" t="str">
        <f>IFERROR(__xludf.DUMMYFUNCTION("""COMPUTED_VALUE"""),"Stock")</f>
        <v>Stock</v>
      </c>
      <c r="G540" s="35" t="str">
        <f>IFERROR(__xludf.DUMMYFUNCTION("""COMPUTED_VALUE"""),"USD")</f>
        <v>USD</v>
      </c>
      <c r="H540" s="181">
        <f>IFERROR(__xludf.DUMMYFUNCTION("""COMPUTED_VALUE"""),20.0)</f>
        <v>20</v>
      </c>
      <c r="I540" s="174">
        <f>IFERROR(__xludf.DUMMYFUNCTION("""COMPUTED_VALUE"""),7.81935)</f>
        <v>7.81935</v>
      </c>
      <c r="J540" s="175">
        <f>IFERROR(__xludf.DUMMYFUNCTION("""COMPUTED_VALUE"""),448.72)</f>
        <v>448.72</v>
      </c>
      <c r="K540" s="35"/>
      <c r="L540" s="175">
        <f>IFERROR(__xludf.DUMMYFUNCTION("""COMPUTED_VALUE"""),469.2)</f>
        <v>469.2</v>
      </c>
      <c r="M540" s="182" t="str">
        <f>IFERROR(__xludf.DUMMYFUNCTION("""COMPUTED_VALUE"""),"Equity Key Stats")</f>
        <v>Equity Key Stats</v>
      </c>
      <c r="N540" s="35"/>
      <c r="O540" s="35"/>
      <c r="P540" s="184">
        <f>IFERROR(__xludf.DUMMYFUNCTION("""COMPUTED_VALUE"""),-70173.97464)</f>
        <v>-70173.97464</v>
      </c>
      <c r="Q540" s="177"/>
      <c r="R540" s="178">
        <f>IFERROR(__xludf.DUMMYFUNCTION("""COMPUTED_VALUE"""),469.2)</f>
        <v>469.2</v>
      </c>
      <c r="S540" s="176">
        <f>IFERROR(__xludf.DUMMYFUNCTION("""COMPUTED_VALUE"""),73376.7804)</f>
        <v>73376.7804</v>
      </c>
      <c r="T540" s="95">
        <f>IFERROR(__xludf.DUMMYFUNCTION("""COMPUTED_VALUE"""),1.0)</f>
        <v>1</v>
      </c>
      <c r="U540" s="95">
        <f>IFERROR(__xludf.DUMMYFUNCTION("""COMPUTED_VALUE"""),1.0)</f>
        <v>1</v>
      </c>
      <c r="V540" s="185">
        <f>IFERROR(__xludf.DUMMYFUNCTION("""COMPUTED_VALUE"""),3202.805760000003)</f>
        <v>3202.80576</v>
      </c>
      <c r="W540" s="171" t="str">
        <f>IFERROR(__xludf.DUMMYFUNCTION("""COMPUTED_VALUE"""),"")</f>
        <v/>
      </c>
      <c r="X540" s="14" t="str">
        <f>IFERROR(__xludf.DUMMYFUNCTION("""COMPUTED_VALUE"""),"")</f>
        <v/>
      </c>
      <c r="Y540" s="14" t="str">
        <f>IFERROR(__xludf.DUMMYFUNCTION("""COMPUTED_VALUE"""),"")</f>
        <v/>
      </c>
      <c r="Z540" s="11" t="str">
        <f>IFERROR(__xludf.DUMMYFUNCTION("""COMPUTED_VALUE"""),"")</f>
        <v/>
      </c>
    </row>
    <row r="541">
      <c r="A541" s="35" t="str">
        <f>IFERROR(__xludf.DUMMYFUNCTION("""COMPUTED_VALUE"""),"")</f>
        <v/>
      </c>
      <c r="B541" s="35" t="str">
        <f>IFERROR(__xludf.DUMMYFUNCTION("""COMPUTED_VALUE"""),"40318")</f>
        <v>40318</v>
      </c>
      <c r="C541" s="172">
        <f>IFERROR(__xludf.DUMMYFUNCTION("""COMPUTED_VALUE"""),4.4629000503E10)</f>
        <v>44629000503</v>
      </c>
      <c r="D541" s="192" t="str">
        <f>IFERROR(__xludf.DUMMYFUNCTION("""COMPUTED_VALUE"""),"ABNB")</f>
        <v>ABNB</v>
      </c>
      <c r="E541" s="173">
        <f>IFERROR(__xludf.DUMMYFUNCTION("""COMPUTED_VALUE"""),44629.0)</f>
        <v>44629</v>
      </c>
      <c r="F541" s="35" t="str">
        <f>IFERROR(__xludf.DUMMYFUNCTION("""COMPUTED_VALUE"""),"Stock")</f>
        <v>Stock</v>
      </c>
      <c r="G541" s="35" t="str">
        <f>IFERROR(__xludf.DUMMYFUNCTION("""COMPUTED_VALUE"""),"USD")</f>
        <v>USD</v>
      </c>
      <c r="H541" s="181">
        <f>IFERROR(__xludf.DUMMYFUNCTION("""COMPUTED_VALUE"""),60.0)</f>
        <v>60</v>
      </c>
      <c r="I541" s="174">
        <f>IFERROR(__xludf.DUMMYFUNCTION("""COMPUTED_VALUE"""),7.81935)</f>
        <v>7.81935</v>
      </c>
      <c r="J541" s="175">
        <f>IFERROR(__xludf.DUMMYFUNCTION("""COMPUTED_VALUE"""),148.31)</f>
        <v>148.31</v>
      </c>
      <c r="K541" s="35"/>
      <c r="L541" s="175">
        <f>IFERROR(__xludf.DUMMYFUNCTION("""COMPUTED_VALUE"""),171.85)</f>
        <v>171.85</v>
      </c>
      <c r="M541" s="182" t="str">
        <f>IFERROR(__xludf.DUMMYFUNCTION("""COMPUTED_VALUE"""),"Equity Key Stats")</f>
        <v>Equity Key Stats</v>
      </c>
      <c r="N541" s="35"/>
      <c r="O541" s="35"/>
      <c r="P541" s="184">
        <f>IFERROR(__xludf.DUMMYFUNCTION("""COMPUTED_VALUE"""),-69581.26791)</f>
        <v>-69581.26791</v>
      </c>
      <c r="Q541" s="177"/>
      <c r="R541" s="178">
        <f>IFERROR(__xludf.DUMMYFUNCTION("""COMPUTED_VALUE"""),171.85)</f>
        <v>171.85</v>
      </c>
      <c r="S541" s="176">
        <f>IFERROR(__xludf.DUMMYFUNCTION("""COMPUTED_VALUE"""),80625.31784999999)</f>
        <v>80625.31785</v>
      </c>
      <c r="T541" s="95">
        <f>IFERROR(__xludf.DUMMYFUNCTION("""COMPUTED_VALUE"""),3.0)</f>
        <v>3</v>
      </c>
      <c r="U541" s="95" t="str">
        <f>IFERROR(__xludf.DUMMYFUNCTION("""COMPUTED_VALUE"""),"")</f>
        <v/>
      </c>
      <c r="V541" s="185" t="str">
        <f>IFERROR(__xludf.DUMMYFUNCTION("""COMPUTED_VALUE"""),"")</f>
        <v/>
      </c>
      <c r="W541" s="171" t="str">
        <f>IFERROR(__xludf.DUMMYFUNCTION("""COMPUTED_VALUE"""),"")</f>
        <v/>
      </c>
      <c r="X541" s="14" t="str">
        <f>IFERROR(__xludf.DUMMYFUNCTION("""COMPUTED_VALUE"""),"")</f>
        <v/>
      </c>
      <c r="Y541" s="14" t="str">
        <f>IFERROR(__xludf.DUMMYFUNCTION("""COMPUTED_VALUE"""),"")</f>
        <v/>
      </c>
      <c r="Z541" s="11" t="str">
        <f>IFERROR(__xludf.DUMMYFUNCTION("""COMPUTED_VALUE"""),"")</f>
        <v/>
      </c>
    </row>
    <row r="542">
      <c r="A542" s="35" t="str">
        <f>IFERROR(__xludf.DUMMYFUNCTION("""COMPUTED_VALUE"""),"")</f>
        <v/>
      </c>
      <c r="B542" s="35" t="str">
        <f>IFERROR(__xludf.DUMMYFUNCTION("""COMPUTED_VALUE"""),"40318")</f>
        <v>40318</v>
      </c>
      <c r="C542" s="172">
        <f>IFERROR(__xludf.DUMMYFUNCTION("""COMPUTED_VALUE"""),4.4637000664E10)</f>
        <v>44637000664</v>
      </c>
      <c r="D542" s="192" t="str">
        <f>IFERROR(__xludf.DUMMYFUNCTION("""COMPUTED_VALUE"""),"AAPL")</f>
        <v>AAPL</v>
      </c>
      <c r="E542" s="173">
        <f>IFERROR(__xludf.DUMMYFUNCTION("""COMPUTED_VALUE"""),44637.0)</f>
        <v>44637</v>
      </c>
      <c r="F542" s="35" t="str">
        <f>IFERROR(__xludf.DUMMYFUNCTION("""COMPUTED_VALUE"""),"Stock")</f>
        <v>Stock</v>
      </c>
      <c r="G542" s="35" t="str">
        <f>IFERROR(__xludf.DUMMYFUNCTION("""COMPUTED_VALUE"""),"USD")</f>
        <v>USD</v>
      </c>
      <c r="H542" s="181">
        <f>IFERROR(__xludf.DUMMYFUNCTION("""COMPUTED_VALUE"""),-80.0)</f>
        <v>-80</v>
      </c>
      <c r="I542" s="174">
        <f>IFERROR(__xludf.DUMMYFUNCTION("""COMPUTED_VALUE"""),7.81854)</f>
        <v>7.81854</v>
      </c>
      <c r="J542" s="175">
        <f>IFERROR(__xludf.DUMMYFUNCTION("""COMPUTED_VALUE"""),160.62)</f>
        <v>160.62</v>
      </c>
      <c r="K542" s="35"/>
      <c r="L542" s="175">
        <f>IFERROR(__xludf.DUMMYFUNCTION("""COMPUTED_VALUE"""),170.4)</f>
        <v>170.4</v>
      </c>
      <c r="M542" s="182" t="str">
        <f>IFERROR(__xludf.DUMMYFUNCTION("""COMPUTED_VALUE"""),"Equity Key Stats")</f>
        <v>Equity Key Stats</v>
      </c>
      <c r="N542" s="35"/>
      <c r="O542" s="35"/>
      <c r="P542" s="184">
        <f>IFERROR(__xludf.DUMMYFUNCTION("""COMPUTED_VALUE"""),100465.111584)</f>
        <v>100465.1116</v>
      </c>
      <c r="Q542" s="177"/>
      <c r="R542" s="178">
        <f>IFERROR(__xludf.DUMMYFUNCTION("""COMPUTED_VALUE"""),170.4)</f>
        <v>170.4</v>
      </c>
      <c r="S542" s="176">
        <f>IFERROR(__xludf.DUMMYFUNCTION("""COMPUTED_VALUE"""),-106582.33728)</f>
        <v>-106582.3373</v>
      </c>
      <c r="T542" s="95">
        <f>IFERROR(__xludf.DUMMYFUNCTION("""COMPUTED_VALUE"""),2.0)</f>
        <v>2</v>
      </c>
      <c r="U542" s="95">
        <f>IFERROR(__xludf.DUMMYFUNCTION("""COMPUTED_VALUE"""),1.0)</f>
        <v>1</v>
      </c>
      <c r="V542" s="185">
        <f>IFERROR(__xludf.DUMMYFUNCTION("""COMPUTED_VALUE"""),-1456.8930959999852)</f>
        <v>-1456.893096</v>
      </c>
      <c r="W542" s="171" t="str">
        <f>IFERROR(__xludf.DUMMYFUNCTION("""COMPUTED_VALUE"""),"")</f>
        <v/>
      </c>
      <c r="X542" s="14" t="str">
        <f>IFERROR(__xludf.DUMMYFUNCTION("""COMPUTED_VALUE"""),"")</f>
        <v/>
      </c>
      <c r="Y542" s="14" t="str">
        <f>IFERROR(__xludf.DUMMYFUNCTION("""COMPUTED_VALUE"""),"")</f>
        <v/>
      </c>
      <c r="Z542" s="11" t="str">
        <f>IFERROR(__xludf.DUMMYFUNCTION("""COMPUTED_VALUE"""),"")</f>
        <v/>
      </c>
    </row>
    <row r="543">
      <c r="A543" s="35" t="str">
        <f>IFERROR(__xludf.DUMMYFUNCTION("""COMPUTED_VALUE"""),"")</f>
        <v/>
      </c>
      <c r="B543" s="35" t="str">
        <f>IFERROR(__xludf.DUMMYFUNCTION("""COMPUTED_VALUE"""),"40318")</f>
        <v>40318</v>
      </c>
      <c r="C543" s="172">
        <f>IFERROR(__xludf.DUMMYFUNCTION("""COMPUTED_VALUE"""),4.4641000765E10)</f>
        <v>44641000765</v>
      </c>
      <c r="D543" s="180" t="str">
        <f>IFERROR(__xludf.DUMMYFUNCTION("""COMPUTED_VALUE"""),"BA")</f>
        <v>BA</v>
      </c>
      <c r="E543" s="173">
        <f>IFERROR(__xludf.DUMMYFUNCTION("""COMPUTED_VALUE"""),44641.0)</f>
        <v>44641</v>
      </c>
      <c r="F543" s="35" t="str">
        <f>IFERROR(__xludf.DUMMYFUNCTION("""COMPUTED_VALUE"""),"Stock")</f>
        <v>Stock</v>
      </c>
      <c r="G543" s="35" t="str">
        <f>IFERROR(__xludf.DUMMYFUNCTION("""COMPUTED_VALUE"""),"USD")</f>
        <v>USD</v>
      </c>
      <c r="H543" s="181">
        <f>IFERROR(__xludf.DUMMYFUNCTION("""COMPUTED_VALUE"""),0.0)</f>
        <v>0</v>
      </c>
      <c r="I543" s="174">
        <f>IFERROR(__xludf.DUMMYFUNCTION("""COMPUTED_VALUE"""),7.82545)</f>
        <v>7.82545</v>
      </c>
      <c r="J543" s="175">
        <f>IFERROR(__xludf.DUMMYFUNCTION("""COMPUTED_VALUE"""),0.0)</f>
        <v>0</v>
      </c>
      <c r="K543" s="35"/>
      <c r="L543" s="175">
        <f>IFERROR(__xludf.DUMMYFUNCTION("""COMPUTED_VALUE"""),182.96)</f>
        <v>182.96</v>
      </c>
      <c r="M543" s="182" t="str">
        <f>IFERROR(__xludf.DUMMYFUNCTION("""COMPUTED_VALUE"""),"Equity Key Stats")</f>
        <v>Equity Key Stats</v>
      </c>
      <c r="N543" s="35"/>
      <c r="O543" s="35"/>
      <c r="P543" s="184">
        <f>IFERROR(__xludf.DUMMYFUNCTION("""COMPUTED_VALUE"""),0.0)</f>
        <v>0</v>
      </c>
      <c r="Q543" s="177"/>
      <c r="R543" s="178">
        <f>IFERROR(__xludf.DUMMYFUNCTION("""COMPUTED_VALUE"""),182.96)</f>
        <v>182.96</v>
      </c>
      <c r="S543" s="176">
        <f>IFERROR(__xludf.DUMMYFUNCTION("""COMPUTED_VALUE"""),0.0)</f>
        <v>0</v>
      </c>
      <c r="T543" s="95">
        <f>IFERROR(__xludf.DUMMYFUNCTION("""COMPUTED_VALUE"""),1.0)</f>
        <v>1</v>
      </c>
      <c r="U543" s="95">
        <f>IFERROR(__xludf.DUMMYFUNCTION("""COMPUTED_VALUE"""),1.0)</f>
        <v>1</v>
      </c>
      <c r="V543" s="179">
        <f>IFERROR(__xludf.DUMMYFUNCTION("""COMPUTED_VALUE"""),0.0)</f>
        <v>0</v>
      </c>
      <c r="W543" s="171" t="str">
        <f>IFERROR(__xludf.DUMMYFUNCTION("""COMPUTED_VALUE"""),"")</f>
        <v/>
      </c>
      <c r="X543" s="14" t="str">
        <f>IFERROR(__xludf.DUMMYFUNCTION("""COMPUTED_VALUE"""),"")</f>
        <v/>
      </c>
      <c r="Y543" s="14" t="str">
        <f>IFERROR(__xludf.DUMMYFUNCTION("""COMPUTED_VALUE"""),"")</f>
        <v/>
      </c>
      <c r="Z543" s="11" t="str">
        <f>IFERROR(__xludf.DUMMYFUNCTION("""COMPUTED_VALUE"""),"")</f>
        <v/>
      </c>
    </row>
    <row r="544">
      <c r="A544" s="35" t="str">
        <f>IFERROR(__xludf.DUMMYFUNCTION("""COMPUTED_VALUE"""),"")</f>
        <v/>
      </c>
      <c r="B544" s="35" t="str">
        <f>IFERROR(__xludf.DUMMYFUNCTION("""COMPUTED_VALUE"""),"40318")</f>
        <v>40318</v>
      </c>
      <c r="C544" s="172">
        <f>IFERROR(__xludf.DUMMYFUNCTION("""COMPUTED_VALUE"""),4.4658001237E10)</f>
        <v>44658001237</v>
      </c>
      <c r="D544" s="135" t="str">
        <f>IFERROR(__xludf.DUMMYFUNCTION("""COMPUTED_VALUE"""),"ABNB")</f>
        <v>ABNB</v>
      </c>
      <c r="E544" s="173">
        <f>IFERROR(__xludf.DUMMYFUNCTION("""COMPUTED_VALUE"""),44658.0)</f>
        <v>44658</v>
      </c>
      <c r="F544" s="35" t="str">
        <f>IFERROR(__xludf.DUMMYFUNCTION("""COMPUTED_VALUE"""),"Stock")</f>
        <v>Stock</v>
      </c>
      <c r="G544" s="35" t="str">
        <f>IFERROR(__xludf.DUMMYFUNCTION("""COMPUTED_VALUE"""),"USD")</f>
        <v>USD</v>
      </c>
      <c r="H544" s="181">
        <f>IFERROR(__xludf.DUMMYFUNCTION("""COMPUTED_VALUE"""),0.0)</f>
        <v>0</v>
      </c>
      <c r="I544" s="174">
        <f>IFERROR(__xludf.DUMMYFUNCTION("""COMPUTED_VALUE"""),7.836645)</f>
        <v>7.836645</v>
      </c>
      <c r="J544" s="175">
        <f>IFERROR(__xludf.DUMMYFUNCTION("""COMPUTED_VALUE"""),0.0)</f>
        <v>0</v>
      </c>
      <c r="K544" s="35"/>
      <c r="L544" s="175">
        <f>IFERROR(__xludf.DUMMYFUNCTION("""COMPUTED_VALUE"""),171.85)</f>
        <v>171.85</v>
      </c>
      <c r="M544" s="182" t="str">
        <f>IFERROR(__xludf.DUMMYFUNCTION("""COMPUTED_VALUE"""),"Equity Key Stats")</f>
        <v>Equity Key Stats</v>
      </c>
      <c r="N544" s="35"/>
      <c r="O544" s="35"/>
      <c r="P544" s="184">
        <f>IFERROR(__xludf.DUMMYFUNCTION("""COMPUTED_VALUE"""),0.0)</f>
        <v>0</v>
      </c>
      <c r="Q544" s="177"/>
      <c r="R544" s="178">
        <f>IFERROR(__xludf.DUMMYFUNCTION("""COMPUTED_VALUE"""),171.85)</f>
        <v>171.85</v>
      </c>
      <c r="S544" s="176">
        <f>IFERROR(__xludf.DUMMYFUNCTION("""COMPUTED_VALUE"""),0.0)</f>
        <v>0</v>
      </c>
      <c r="T544" s="95">
        <f>IFERROR(__xludf.DUMMYFUNCTION("""COMPUTED_VALUE"""),3.0)</f>
        <v>3</v>
      </c>
      <c r="U544" s="95" t="str">
        <f>IFERROR(__xludf.DUMMYFUNCTION("""COMPUTED_VALUE"""),"")</f>
        <v/>
      </c>
      <c r="V544" s="185" t="str">
        <f>IFERROR(__xludf.DUMMYFUNCTION("""COMPUTED_VALUE"""),"")</f>
        <v/>
      </c>
      <c r="W544" s="171" t="str">
        <f>IFERROR(__xludf.DUMMYFUNCTION("""COMPUTED_VALUE"""),"")</f>
        <v/>
      </c>
      <c r="X544" s="14" t="str">
        <f>IFERROR(__xludf.DUMMYFUNCTION("""COMPUTED_VALUE"""),"")</f>
        <v/>
      </c>
      <c r="Y544" s="14" t="str">
        <f>IFERROR(__xludf.DUMMYFUNCTION("""COMPUTED_VALUE"""),"")</f>
        <v/>
      </c>
      <c r="Z544" s="11" t="str">
        <f>IFERROR(__xludf.DUMMYFUNCTION("""COMPUTED_VALUE"""),"")</f>
        <v/>
      </c>
    </row>
    <row r="545">
      <c r="A545" s="35" t="str">
        <f>IFERROR(__xludf.DUMMYFUNCTION("""COMPUTED_VALUE"""),"")</f>
        <v/>
      </c>
      <c r="B545" s="35" t="str">
        <f>IFERROR(__xludf.DUMMYFUNCTION("""COMPUTED_VALUE"""),"40318")</f>
        <v>40318</v>
      </c>
      <c r="C545" s="172">
        <f>IFERROR(__xludf.DUMMYFUNCTION("""COMPUTED_VALUE"""),4.4658001238E10)</f>
        <v>44658001238</v>
      </c>
      <c r="D545" s="135" t="str">
        <f>IFERROR(__xludf.DUMMYFUNCTION("""COMPUTED_VALUE"""),"ABNB")</f>
        <v>ABNB</v>
      </c>
      <c r="E545" s="173">
        <f>IFERROR(__xludf.DUMMYFUNCTION("""COMPUTED_VALUE"""),44658.0)</f>
        <v>44658</v>
      </c>
      <c r="F545" s="35" t="str">
        <f>IFERROR(__xludf.DUMMYFUNCTION("""COMPUTED_VALUE"""),"Stock")</f>
        <v>Stock</v>
      </c>
      <c r="G545" s="35" t="str">
        <f>IFERROR(__xludf.DUMMYFUNCTION("""COMPUTED_VALUE"""),"USD")</f>
        <v>USD</v>
      </c>
      <c r="H545" s="181">
        <f>IFERROR(__xludf.DUMMYFUNCTION("""COMPUTED_VALUE"""),-60.0)</f>
        <v>-60</v>
      </c>
      <c r="I545" s="174">
        <f>IFERROR(__xludf.DUMMYFUNCTION("""COMPUTED_VALUE"""),7.836645)</f>
        <v>7.836645</v>
      </c>
      <c r="J545" s="175">
        <f>IFERROR(__xludf.DUMMYFUNCTION("""COMPUTED_VALUE"""),165.91)</f>
        <v>165.91</v>
      </c>
      <c r="K545" s="35"/>
      <c r="L545" s="175">
        <f>IFERROR(__xludf.DUMMYFUNCTION("""COMPUTED_VALUE"""),171.85)</f>
        <v>171.85</v>
      </c>
      <c r="M545" s="182" t="str">
        <f>IFERROR(__xludf.DUMMYFUNCTION("""COMPUTED_VALUE"""),"Equity Key Stats")</f>
        <v>Equity Key Stats</v>
      </c>
      <c r="N545" s="35"/>
      <c r="O545" s="35"/>
      <c r="P545" s="184">
        <f>IFERROR(__xludf.DUMMYFUNCTION("""COMPUTED_VALUE"""),78010.666317)</f>
        <v>78010.66632</v>
      </c>
      <c r="Q545" s="177"/>
      <c r="R545" s="178">
        <f>IFERROR(__xludf.DUMMYFUNCTION("""COMPUTED_VALUE"""),171.85)</f>
        <v>171.85</v>
      </c>
      <c r="S545" s="176">
        <f>IFERROR(__xludf.DUMMYFUNCTION("""COMPUTED_VALUE"""),-80803.646595)</f>
        <v>-80803.6466</v>
      </c>
      <c r="T545" s="95">
        <f>IFERROR(__xludf.DUMMYFUNCTION("""COMPUTED_VALUE"""),3.0)</f>
        <v>3</v>
      </c>
      <c r="U545" s="95">
        <f>IFERROR(__xludf.DUMMYFUNCTION("""COMPUTED_VALUE"""),1.0)</f>
        <v>1</v>
      </c>
      <c r="V545" s="185">
        <f>IFERROR(__xludf.DUMMYFUNCTION("""COMPUTED_VALUE"""),8251.069661999994)</f>
        <v>8251.069662</v>
      </c>
      <c r="W545" s="171" t="str">
        <f>IFERROR(__xludf.DUMMYFUNCTION("""COMPUTED_VALUE"""),"")</f>
        <v/>
      </c>
      <c r="X545" s="14" t="str">
        <f>IFERROR(__xludf.DUMMYFUNCTION("""COMPUTED_VALUE"""),"")</f>
        <v/>
      </c>
      <c r="Y545" s="14" t="str">
        <f>IFERROR(__xludf.DUMMYFUNCTION("""COMPUTED_VALUE"""),"")</f>
        <v/>
      </c>
      <c r="Z545" s="11" t="str">
        <f>IFERROR(__xludf.DUMMYFUNCTION("""COMPUTED_VALUE"""),"")</f>
        <v/>
      </c>
    </row>
    <row r="546">
      <c r="A546" s="35" t="str">
        <f>IFERROR(__xludf.DUMMYFUNCTION("""COMPUTED_VALUE"""),"")</f>
        <v/>
      </c>
      <c r="B546" s="35" t="str">
        <f>IFERROR(__xludf.DUMMYFUNCTION("""COMPUTED_VALUE"""),"40318")</f>
        <v>40318</v>
      </c>
      <c r="C546" s="172">
        <f>IFERROR(__xludf.DUMMYFUNCTION("""COMPUTED_VALUE"""),4.4662001345E10)</f>
        <v>44662001345</v>
      </c>
      <c r="D546" s="190" t="str">
        <f>IFERROR(__xludf.DUMMYFUNCTION("""COMPUTED_VALUE"""),"605089.SS")</f>
        <v>605089.SS</v>
      </c>
      <c r="E546" s="173">
        <f>IFERROR(__xludf.DUMMYFUNCTION("""COMPUTED_VALUE"""),44662.0)</f>
        <v>44662</v>
      </c>
      <c r="F546" s="35" t="str">
        <f>IFERROR(__xludf.DUMMYFUNCTION("""COMPUTED_VALUE"""),"Stock")</f>
        <v>Stock</v>
      </c>
      <c r="G546" s="35" t="str">
        <f>IFERROR(__xludf.DUMMYFUNCTION("""COMPUTED_VALUE"""),"CNY")</f>
        <v>CNY</v>
      </c>
      <c r="H546" s="181">
        <f>IFERROR(__xludf.DUMMYFUNCTION("""COMPUTED_VALUE"""),5500.0)</f>
        <v>5500</v>
      </c>
      <c r="I546" s="174">
        <f>IFERROR(__xludf.DUMMYFUNCTION("""COMPUTED_VALUE"""),1.230624)</f>
        <v>1.230624</v>
      </c>
      <c r="J546" s="175">
        <f>IFERROR(__xludf.DUMMYFUNCTION("""COMPUTED_VALUE"""),61.66)</f>
        <v>61.66</v>
      </c>
      <c r="K546" s="35"/>
      <c r="L546" s="175">
        <f>IFERROR(__xludf.DUMMYFUNCTION("""COMPUTED_VALUE"""),63.85)</f>
        <v>63.85</v>
      </c>
      <c r="M546" s="182" t="str">
        <f>IFERROR(__xludf.DUMMYFUNCTION("""COMPUTED_VALUE"""),"Equity Key Stats")</f>
        <v>Equity Key Stats</v>
      </c>
      <c r="N546" s="35"/>
      <c r="O546" s="35"/>
      <c r="P546" s="184">
        <f>IFERROR(__xludf.DUMMYFUNCTION("""COMPUTED_VALUE"""),-417341.51712)</f>
        <v>-417341.5171</v>
      </c>
      <c r="Q546" s="177"/>
      <c r="R546" s="178">
        <f>IFERROR(__xludf.DUMMYFUNCTION("""COMPUTED_VALUE"""),63.85)</f>
        <v>63.85</v>
      </c>
      <c r="S546" s="176">
        <f>IFERROR(__xludf.DUMMYFUNCTION("""COMPUTED_VALUE"""),432164.3832)</f>
        <v>432164.3832</v>
      </c>
      <c r="T546" s="95">
        <f>IFERROR(__xludf.DUMMYFUNCTION("""COMPUTED_VALUE"""),2.0)</f>
        <v>2</v>
      </c>
      <c r="U546" s="95" t="str">
        <f>IFERROR(__xludf.DUMMYFUNCTION("""COMPUTED_VALUE"""),"")</f>
        <v/>
      </c>
      <c r="V546" s="179" t="str">
        <f>IFERROR(__xludf.DUMMYFUNCTION("""COMPUTED_VALUE"""),"")</f>
        <v/>
      </c>
      <c r="W546" s="171" t="str">
        <f>IFERROR(__xludf.DUMMYFUNCTION("""COMPUTED_VALUE"""),"")</f>
        <v/>
      </c>
      <c r="X546" s="14" t="str">
        <f>IFERROR(__xludf.DUMMYFUNCTION("""COMPUTED_VALUE"""),"")</f>
        <v/>
      </c>
      <c r="Y546" s="14" t="str">
        <f>IFERROR(__xludf.DUMMYFUNCTION("""COMPUTED_VALUE"""),"")</f>
        <v/>
      </c>
      <c r="Z546" s="11" t="str">
        <f>IFERROR(__xludf.DUMMYFUNCTION("""COMPUTED_VALUE"""),"")</f>
        <v/>
      </c>
    </row>
    <row r="547">
      <c r="A547" s="35" t="str">
        <f>IFERROR(__xludf.DUMMYFUNCTION("""COMPUTED_VALUE"""),"40318")</f>
        <v>40318</v>
      </c>
      <c r="B547" s="35" t="str">
        <f>IFERROR(__xludf.DUMMYFUNCTION("""COMPUTED_VALUE"""),"40318")</f>
        <v>40318</v>
      </c>
      <c r="C547" s="172">
        <f>IFERROR(__xludf.DUMMYFUNCTION("""COMPUTED_VALUE"""),4.466300141E10)</f>
        <v>44663001410</v>
      </c>
      <c r="D547" s="190" t="str">
        <f>IFERROR(__xludf.DUMMYFUNCTION("""COMPUTED_VALUE"""),"605089.SS")</f>
        <v>605089.SS</v>
      </c>
      <c r="E547" s="173">
        <f>IFERROR(__xludf.DUMMYFUNCTION("""COMPUTED_VALUE"""),44663.0)</f>
        <v>44663</v>
      </c>
      <c r="F547" s="35" t="str">
        <f>IFERROR(__xludf.DUMMYFUNCTION("""COMPUTED_VALUE"""),"Stock")</f>
        <v>Stock</v>
      </c>
      <c r="G547" s="35" t="str">
        <f>IFERROR(__xludf.DUMMYFUNCTION("""COMPUTED_VALUE"""),"CNY")</f>
        <v>CNY</v>
      </c>
      <c r="H547" s="181">
        <f>IFERROR(__xludf.DUMMYFUNCTION("""COMPUTED_VALUE"""),-5500.0)</f>
        <v>-5500</v>
      </c>
      <c r="I547" s="174">
        <f>IFERROR(__xludf.DUMMYFUNCTION("""COMPUTED_VALUE"""),1.231267)</f>
        <v>1.231267</v>
      </c>
      <c r="J547" s="175">
        <f>IFERROR(__xludf.DUMMYFUNCTION("""COMPUTED_VALUE"""),63.3)</f>
        <v>63.3</v>
      </c>
      <c r="K547" s="35"/>
      <c r="L547" s="175">
        <f>IFERROR(__xludf.DUMMYFUNCTION("""COMPUTED_VALUE"""),63.85)</f>
        <v>63.85</v>
      </c>
      <c r="M547" s="182" t="str">
        <f>IFERROR(__xludf.DUMMYFUNCTION("""COMPUTED_VALUE"""),"Equity Key Stats")</f>
        <v>Equity Key Stats</v>
      </c>
      <c r="N547" s="35"/>
      <c r="O547" s="35"/>
      <c r="P547" s="184">
        <f>IFERROR(__xludf.DUMMYFUNCTION("""COMPUTED_VALUE"""),428665.60604999994)</f>
        <v>428665.6061</v>
      </c>
      <c r="Q547" s="177"/>
      <c r="R547" s="178">
        <f>IFERROR(__xludf.DUMMYFUNCTION("""COMPUTED_VALUE"""),63.85)</f>
        <v>63.85</v>
      </c>
      <c r="S547" s="176">
        <f>IFERROR(__xludf.DUMMYFUNCTION("""COMPUTED_VALUE"""),-432390.18872499996)</f>
        <v>-432390.1887</v>
      </c>
      <c r="T547" s="95">
        <f>IFERROR(__xludf.DUMMYFUNCTION("""COMPUTED_VALUE"""),2.0)</f>
        <v>2</v>
      </c>
      <c r="U547" s="95">
        <f>IFERROR(__xludf.DUMMYFUNCTION("""COMPUTED_VALUE"""),1.0)</f>
        <v>1</v>
      </c>
      <c r="V547" s="185">
        <f>IFERROR(__xludf.DUMMYFUNCTION("""COMPUTED_VALUE"""),11098.283404999995)</f>
        <v>11098.28341</v>
      </c>
      <c r="W547" s="171">
        <f>IFERROR(__xludf.DUMMYFUNCTION("""COMPUTED_VALUE"""),521095.26573100005)</f>
        <v>521095.2657</v>
      </c>
      <c r="X547" s="14">
        <f>IFERROR(__xludf.DUMMYFUNCTION("""COMPUTED_VALUE"""),448111.57768099994)</f>
        <v>448111.5777</v>
      </c>
      <c r="Y547" s="14">
        <f>IFERROR(__xludf.DUMMYFUNCTION("""COMPUTED_VALUE"""),0.0)</f>
        <v>0</v>
      </c>
      <c r="Z547" s="11">
        <f>IFERROR(__xludf.DUMMYFUNCTION("""COMPUTED_VALUE"""),0.042190531462000136)</f>
        <v>0.04219053146</v>
      </c>
    </row>
    <row r="548">
      <c r="A548" s="35" t="str">
        <f>IFERROR(__xludf.DUMMYFUNCTION("""COMPUTED_VALUE"""),"")</f>
        <v/>
      </c>
      <c r="B548" s="35" t="str">
        <f>IFERROR(__xludf.DUMMYFUNCTION("""COMPUTED_VALUE"""),"40433")</f>
        <v>40433</v>
      </c>
      <c r="C548" s="172">
        <f>IFERROR(__xludf.DUMMYFUNCTION("""COMPUTED_VALUE"""),4.4597000077E10)</f>
        <v>44597000077</v>
      </c>
      <c r="D548" s="135" t="str">
        <f>IFERROR(__xludf.DUMMYFUNCTION("""COMPUTED_VALUE"""),"Cash")</f>
        <v>Cash</v>
      </c>
      <c r="E548" s="173">
        <f>IFERROR(__xludf.DUMMYFUNCTION("""COMPUTED_VALUE"""),44597.0)</f>
        <v>44597</v>
      </c>
      <c r="F548" s="35" t="str">
        <f>IFERROR(__xludf.DUMMYFUNCTION("""COMPUTED_VALUE"""),"Cash")</f>
        <v>Cash</v>
      </c>
      <c r="G548" s="35" t="str">
        <f>IFERROR(__xludf.DUMMYFUNCTION("""COMPUTED_VALUE"""),"HKD")</f>
        <v>HKD</v>
      </c>
      <c r="H548" s="181" t="str">
        <f>IFERROR(__xludf.DUMMYFUNCTION("""COMPUTED_VALUE"""),"")</f>
        <v/>
      </c>
      <c r="I548" s="174">
        <f>IFERROR(__xludf.DUMMYFUNCTION("""COMPUTED_VALUE"""),1.0)</f>
        <v>1</v>
      </c>
      <c r="J548" s="175">
        <f>IFERROR(__xludf.DUMMYFUNCTION("""COMPUTED_VALUE"""),1.0)</f>
        <v>1</v>
      </c>
      <c r="K548" s="35"/>
      <c r="L548" s="175">
        <f>IFERROR(__xludf.DUMMYFUNCTION("""COMPUTED_VALUE"""),1.0)</f>
        <v>1</v>
      </c>
      <c r="M548" s="182" t="str">
        <f>IFERROR(__xludf.DUMMYFUNCTION("""COMPUTED_VALUE"""),"")</f>
        <v/>
      </c>
      <c r="N548" s="35"/>
      <c r="O548" s="35"/>
      <c r="P548" s="184">
        <f>IFERROR(__xludf.DUMMYFUNCTION("""COMPUTED_VALUE"""),500000.0)</f>
        <v>500000</v>
      </c>
      <c r="Q548" s="177"/>
      <c r="R548" s="178">
        <f>IFERROR(__xludf.DUMMYFUNCTION("""COMPUTED_VALUE"""),1.0)</f>
        <v>1</v>
      </c>
      <c r="S548" s="176" t="str">
        <f>IFERROR(__xludf.DUMMYFUNCTION("""COMPUTED_VALUE"""),"")</f>
        <v/>
      </c>
      <c r="T548" s="95">
        <f>IFERROR(__xludf.DUMMYFUNCTION("""COMPUTED_VALUE"""),1.0)</f>
        <v>1</v>
      </c>
      <c r="U548" s="95">
        <f>IFERROR(__xludf.DUMMYFUNCTION("""COMPUTED_VALUE"""),1.0)</f>
        <v>1</v>
      </c>
      <c r="V548" s="179">
        <f>IFERROR(__xludf.DUMMYFUNCTION("""COMPUTED_VALUE"""),500000.0)</f>
        <v>500000</v>
      </c>
      <c r="W548" s="171" t="str">
        <f>IFERROR(__xludf.DUMMYFUNCTION("""COMPUTED_VALUE"""),"")</f>
        <v/>
      </c>
      <c r="X548" s="14" t="str">
        <f>IFERROR(__xludf.DUMMYFUNCTION("""COMPUTED_VALUE"""),"")</f>
        <v/>
      </c>
      <c r="Y548" s="14" t="str">
        <f>IFERROR(__xludf.DUMMYFUNCTION("""COMPUTED_VALUE"""),"")</f>
        <v/>
      </c>
      <c r="Z548" s="11" t="str">
        <f>IFERROR(__xludf.DUMMYFUNCTION("""COMPUTED_VALUE"""),"")</f>
        <v/>
      </c>
    </row>
    <row r="549">
      <c r="A549" s="35" t="str">
        <f>IFERROR(__xludf.DUMMYFUNCTION("""COMPUTED_VALUE"""),"")</f>
        <v/>
      </c>
      <c r="B549" s="35" t="str">
        <f>IFERROR(__xludf.DUMMYFUNCTION("""COMPUTED_VALUE"""),"40433")</f>
        <v>40433</v>
      </c>
      <c r="C549" s="172">
        <f>IFERROR(__xludf.DUMMYFUNCTION("""COMPUTED_VALUE"""),4.4607000203E10)</f>
        <v>44607000203</v>
      </c>
      <c r="D549" s="180" t="str">
        <f>IFERROR(__xludf.DUMMYFUNCTION("""COMPUTED_VALUE"""),"TSLA")</f>
        <v>TSLA</v>
      </c>
      <c r="E549" s="173">
        <f>IFERROR(__xludf.DUMMYFUNCTION("""COMPUTED_VALUE"""),44607.0)</f>
        <v>44607</v>
      </c>
      <c r="F549" s="35" t="str">
        <f>IFERROR(__xludf.DUMMYFUNCTION("""COMPUTED_VALUE"""),"Stock")</f>
        <v>Stock</v>
      </c>
      <c r="G549" s="35" t="str">
        <f>IFERROR(__xludf.DUMMYFUNCTION("""COMPUTED_VALUE"""),"USD")</f>
        <v>USD</v>
      </c>
      <c r="H549" s="181">
        <f>IFERROR(__xludf.DUMMYFUNCTION("""COMPUTED_VALUE"""),0.0)</f>
        <v>0</v>
      </c>
      <c r="I549" s="174">
        <f>IFERROR(__xludf.DUMMYFUNCTION("""COMPUTED_VALUE"""),7.801355)</f>
        <v>7.801355</v>
      </c>
      <c r="J549" s="175">
        <f>IFERROR(__xludf.DUMMYFUNCTION("""COMPUTED_VALUE"""),0.0)</f>
        <v>0</v>
      </c>
      <c r="K549" s="35"/>
      <c r="L549" s="175">
        <f>IFERROR(__xludf.DUMMYFUNCTION("""COMPUTED_VALUE"""),1022.37)</f>
        <v>1022.37</v>
      </c>
      <c r="M549" s="182" t="str">
        <f>IFERROR(__xludf.DUMMYFUNCTION("""COMPUTED_VALUE"""),"Equity Key Stats")</f>
        <v>Equity Key Stats</v>
      </c>
      <c r="N549" s="35"/>
      <c r="O549" s="35"/>
      <c r="P549" s="184">
        <f>IFERROR(__xludf.DUMMYFUNCTION("""COMPUTED_VALUE"""),0.0)</f>
        <v>0</v>
      </c>
      <c r="Q549" s="177"/>
      <c r="R549" s="178">
        <f>IFERROR(__xludf.DUMMYFUNCTION("""COMPUTED_VALUE"""),1022.37)</f>
        <v>1022.37</v>
      </c>
      <c r="S549" s="176">
        <f>IFERROR(__xludf.DUMMYFUNCTION("""COMPUTED_VALUE"""),0.0)</f>
        <v>0</v>
      </c>
      <c r="T549" s="95">
        <f>IFERROR(__xludf.DUMMYFUNCTION("""COMPUTED_VALUE"""),2.0)</f>
        <v>2</v>
      </c>
      <c r="U549" s="95" t="str">
        <f>IFERROR(__xludf.DUMMYFUNCTION("""COMPUTED_VALUE"""),"")</f>
        <v/>
      </c>
      <c r="V549" s="179" t="str">
        <f>IFERROR(__xludf.DUMMYFUNCTION("""COMPUTED_VALUE"""),"")</f>
        <v/>
      </c>
      <c r="W549" s="55" t="str">
        <f>IFERROR(__xludf.DUMMYFUNCTION("""COMPUTED_VALUE"""),"")</f>
        <v/>
      </c>
      <c r="X549" s="181" t="str">
        <f>IFERROR(__xludf.DUMMYFUNCTION("""COMPUTED_VALUE"""),"")</f>
        <v/>
      </c>
      <c r="Y549" s="181" t="str">
        <f>IFERROR(__xludf.DUMMYFUNCTION("""COMPUTED_VALUE"""),"")</f>
        <v/>
      </c>
      <c r="Z549" s="186" t="str">
        <f>IFERROR(__xludf.DUMMYFUNCTION("""COMPUTED_VALUE"""),"")</f>
        <v/>
      </c>
    </row>
    <row r="550">
      <c r="A550" s="35" t="str">
        <f>IFERROR(__xludf.DUMMYFUNCTION("""COMPUTED_VALUE"""),"")</f>
        <v/>
      </c>
      <c r="B550" s="35" t="str">
        <f>IFERROR(__xludf.DUMMYFUNCTION("""COMPUTED_VALUE"""),"40433")</f>
        <v>40433</v>
      </c>
      <c r="C550" s="172">
        <f>IFERROR(__xludf.DUMMYFUNCTION("""COMPUTED_VALUE"""),4.4608000215E10)</f>
        <v>44608000215</v>
      </c>
      <c r="D550" s="180" t="str">
        <f>IFERROR(__xludf.DUMMYFUNCTION("""COMPUTED_VALUE"""),"TSLA")</f>
        <v>TSLA</v>
      </c>
      <c r="E550" s="173">
        <f>IFERROR(__xludf.DUMMYFUNCTION("""COMPUTED_VALUE"""),44608.0)</f>
        <v>44608</v>
      </c>
      <c r="F550" s="35" t="str">
        <f>IFERROR(__xludf.DUMMYFUNCTION("""COMPUTED_VALUE"""),"Stock")</f>
        <v>Stock</v>
      </c>
      <c r="G550" s="35" t="str">
        <f>IFERROR(__xludf.DUMMYFUNCTION("""COMPUTED_VALUE"""),"USD")</f>
        <v>USD</v>
      </c>
      <c r="H550" s="14" t="str">
        <f>IFERROR(__xludf.DUMMYFUNCTION("""COMPUTED_VALUE"""),"")</f>
        <v/>
      </c>
      <c r="I550" s="174">
        <f>IFERROR(__xludf.DUMMYFUNCTION("""COMPUTED_VALUE"""),7.8005)</f>
        <v>7.8005</v>
      </c>
      <c r="J550" s="175">
        <f>IFERROR(__xludf.DUMMYFUNCTION("""COMPUTED_VALUE"""),923.39)</f>
        <v>923.39</v>
      </c>
      <c r="K550" s="35"/>
      <c r="L550" s="175">
        <f>IFERROR(__xludf.DUMMYFUNCTION("""COMPUTED_VALUE"""),1022.37)</f>
        <v>1022.37</v>
      </c>
      <c r="M550" s="187" t="str">
        <f>IFERROR(__xludf.DUMMYFUNCTION("""COMPUTED_VALUE"""),"Equity Key Stats")</f>
        <v>Equity Key Stats</v>
      </c>
      <c r="N550" s="35"/>
      <c r="O550" s="35"/>
      <c r="P550" s="176">
        <f>IFERROR(__xludf.DUMMYFUNCTION("""COMPUTED_VALUE"""),0.0)</f>
        <v>0</v>
      </c>
      <c r="Q550" s="177"/>
      <c r="R550" s="178">
        <f>IFERROR(__xludf.DUMMYFUNCTION("""COMPUTED_VALUE"""),1022.37)</f>
        <v>1022.37</v>
      </c>
      <c r="S550" s="151">
        <f>IFERROR(__xludf.DUMMYFUNCTION("""COMPUTED_VALUE"""),0.0)</f>
        <v>0</v>
      </c>
      <c r="T550" s="95">
        <f>IFERROR(__xludf.DUMMYFUNCTION("""COMPUTED_VALUE"""),2.0)</f>
        <v>2</v>
      </c>
      <c r="U550" s="95">
        <f>IFERROR(__xludf.DUMMYFUNCTION("""COMPUTED_VALUE"""),1.0)</f>
        <v>1</v>
      </c>
      <c r="V550" s="179">
        <f>IFERROR(__xludf.DUMMYFUNCTION("""COMPUTED_VALUE"""),0.0)</f>
        <v>0</v>
      </c>
      <c r="W550" s="171" t="str">
        <f>IFERROR(__xludf.DUMMYFUNCTION("""COMPUTED_VALUE"""),"")</f>
        <v/>
      </c>
      <c r="X550" s="14" t="str">
        <f>IFERROR(__xludf.DUMMYFUNCTION("""COMPUTED_VALUE"""),"")</f>
        <v/>
      </c>
      <c r="Y550" s="14" t="str">
        <f>IFERROR(__xludf.DUMMYFUNCTION("""COMPUTED_VALUE"""),"")</f>
        <v/>
      </c>
      <c r="Z550" s="11" t="str">
        <f>IFERROR(__xludf.DUMMYFUNCTION("""COMPUTED_VALUE"""),"")</f>
        <v/>
      </c>
    </row>
    <row r="551">
      <c r="A551" s="35" t="str">
        <f>IFERROR(__xludf.DUMMYFUNCTION("""COMPUTED_VALUE"""),"")</f>
        <v/>
      </c>
      <c r="B551" s="35" t="str">
        <f>IFERROR(__xludf.DUMMYFUNCTION("""COMPUTED_VALUE"""),"40433")</f>
        <v>40433</v>
      </c>
      <c r="C551" s="172">
        <f>IFERROR(__xludf.DUMMYFUNCTION("""COMPUTED_VALUE"""),4.4610000274E10)</f>
        <v>44610000274</v>
      </c>
      <c r="D551" s="180" t="str">
        <f>IFERROR(__xludf.DUMMYFUNCTION("""COMPUTED_VALUE"""),"LVMHF")</f>
        <v>LVMHF</v>
      </c>
      <c r="E551" s="173">
        <f>IFERROR(__xludf.DUMMYFUNCTION("""COMPUTED_VALUE"""),44610.0)</f>
        <v>44610</v>
      </c>
      <c r="F551" s="35" t="str">
        <f>IFERROR(__xludf.DUMMYFUNCTION("""COMPUTED_VALUE"""),"Stock")</f>
        <v>Stock</v>
      </c>
      <c r="G551" s="35" t="str">
        <f>IFERROR(__xludf.DUMMYFUNCTION("""COMPUTED_VALUE"""),"USD")</f>
        <v>USD</v>
      </c>
      <c r="H551" s="181">
        <f>IFERROR(__xludf.DUMMYFUNCTION("""COMPUTED_VALUE"""),4.0)</f>
        <v>4</v>
      </c>
      <c r="I551" s="174">
        <f>IFERROR(__xludf.DUMMYFUNCTION("""COMPUTED_VALUE"""),7.80051)</f>
        <v>7.80051</v>
      </c>
      <c r="J551" s="175">
        <f>IFERROR(__xludf.DUMMYFUNCTION("""COMPUTED_VALUE"""),780.0)</f>
        <v>780</v>
      </c>
      <c r="K551" s="35"/>
      <c r="L551" s="175">
        <f>IFERROR(__xludf.DUMMYFUNCTION("""COMPUTED_VALUE"""),693.54)</f>
        <v>693.54</v>
      </c>
      <c r="M551" s="182" t="str">
        <f>IFERROR(__xludf.DUMMYFUNCTION("""COMPUTED_VALUE"""),"Equity Key Stats")</f>
        <v>Equity Key Stats</v>
      </c>
      <c r="N551" s="35"/>
      <c r="O551" s="35"/>
      <c r="P551" s="184">
        <f>IFERROR(__xludf.DUMMYFUNCTION("""COMPUTED_VALUE"""),-24337.5912)</f>
        <v>-24337.5912</v>
      </c>
      <c r="Q551" s="177"/>
      <c r="R551" s="178">
        <f>IFERROR(__xludf.DUMMYFUNCTION("""COMPUTED_VALUE"""),693.54)</f>
        <v>693.54</v>
      </c>
      <c r="S551" s="176">
        <f>IFERROR(__xludf.DUMMYFUNCTION("""COMPUTED_VALUE"""),21639.8628216)</f>
        <v>21639.86282</v>
      </c>
      <c r="T551" s="95">
        <f>IFERROR(__xludf.DUMMYFUNCTION("""COMPUTED_VALUE"""),1.0)</f>
        <v>1</v>
      </c>
      <c r="U551" s="95">
        <f>IFERROR(__xludf.DUMMYFUNCTION("""COMPUTED_VALUE"""),1.0)</f>
        <v>1</v>
      </c>
      <c r="V551" s="179">
        <f>IFERROR(__xludf.DUMMYFUNCTION("""COMPUTED_VALUE"""),-2697.728378399999)</f>
        <v>-2697.728378</v>
      </c>
      <c r="W551" s="55" t="str">
        <f>IFERROR(__xludf.DUMMYFUNCTION("""COMPUTED_VALUE"""),"")</f>
        <v/>
      </c>
      <c r="X551" s="181" t="str">
        <f>IFERROR(__xludf.DUMMYFUNCTION("""COMPUTED_VALUE"""),"")</f>
        <v/>
      </c>
      <c r="Y551" s="181" t="str">
        <f>IFERROR(__xludf.DUMMYFUNCTION("""COMPUTED_VALUE"""),"")</f>
        <v/>
      </c>
      <c r="Z551" s="186" t="str">
        <f>IFERROR(__xludf.DUMMYFUNCTION("""COMPUTED_VALUE"""),"")</f>
        <v/>
      </c>
    </row>
    <row r="552">
      <c r="A552" s="35" t="str">
        <f>IFERROR(__xludf.DUMMYFUNCTION("""COMPUTED_VALUE"""),"")</f>
        <v/>
      </c>
      <c r="B552" s="35" t="str">
        <f>IFERROR(__xludf.DUMMYFUNCTION("""COMPUTED_VALUE"""),"40433")</f>
        <v>40433</v>
      </c>
      <c r="C552" s="172">
        <f>IFERROR(__xludf.DUMMYFUNCTION("""COMPUTED_VALUE"""),4.4610000275E10)</f>
        <v>44610000275</v>
      </c>
      <c r="D552" s="180" t="str">
        <f>IFERROR(__xludf.DUMMYFUNCTION("""COMPUTED_VALUE"""),"DIS")</f>
        <v>DIS</v>
      </c>
      <c r="E552" s="173">
        <f>IFERROR(__xludf.DUMMYFUNCTION("""COMPUTED_VALUE"""),44610.0)</f>
        <v>44610</v>
      </c>
      <c r="F552" s="35" t="str">
        <f>IFERROR(__xludf.DUMMYFUNCTION("""COMPUTED_VALUE"""),"Stock")</f>
        <v>Stock</v>
      </c>
      <c r="G552" s="35" t="str">
        <f>IFERROR(__xludf.DUMMYFUNCTION("""COMPUTED_VALUE"""),"USD")</f>
        <v>USD</v>
      </c>
      <c r="H552" s="14">
        <f>IFERROR(__xludf.DUMMYFUNCTION("""COMPUTED_VALUE"""),6.0)</f>
        <v>6</v>
      </c>
      <c r="I552" s="174">
        <f>IFERROR(__xludf.DUMMYFUNCTION("""COMPUTED_VALUE"""),7.80051)</f>
        <v>7.80051</v>
      </c>
      <c r="J552" s="175">
        <f>IFERROR(__xludf.DUMMYFUNCTION("""COMPUTED_VALUE"""),151.36)</f>
        <v>151.36</v>
      </c>
      <c r="K552" s="35"/>
      <c r="L552" s="175">
        <f>IFERROR(__xludf.DUMMYFUNCTION("""COMPUTED_VALUE"""),132.38)</f>
        <v>132.38</v>
      </c>
      <c r="M552" s="187" t="str">
        <f>IFERROR(__xludf.DUMMYFUNCTION("""COMPUTED_VALUE"""),"Equity Key Stats")</f>
        <v>Equity Key Stats</v>
      </c>
      <c r="N552" s="35"/>
      <c r="O552" s="35"/>
      <c r="P552" s="176">
        <f>IFERROR(__xludf.DUMMYFUNCTION("""COMPUTED_VALUE"""),-7084.111161600001)</f>
        <v>-7084.111162</v>
      </c>
      <c r="Q552" s="177"/>
      <c r="R552" s="178">
        <f>IFERROR(__xludf.DUMMYFUNCTION("""COMPUTED_VALUE"""),132.38)</f>
        <v>132.38</v>
      </c>
      <c r="S552" s="151">
        <f>IFERROR(__xludf.DUMMYFUNCTION("""COMPUTED_VALUE"""),6195.7890828)</f>
        <v>6195.789083</v>
      </c>
      <c r="T552" s="95">
        <f>IFERROR(__xludf.DUMMYFUNCTION("""COMPUTED_VALUE"""),1.0)</f>
        <v>1</v>
      </c>
      <c r="U552" s="95">
        <f>IFERROR(__xludf.DUMMYFUNCTION("""COMPUTED_VALUE"""),1.0)</f>
        <v>1</v>
      </c>
      <c r="V552" s="179">
        <f>IFERROR(__xludf.DUMMYFUNCTION("""COMPUTED_VALUE"""),-888.3220788000008)</f>
        <v>-888.3220788</v>
      </c>
      <c r="W552" s="171" t="str">
        <f>IFERROR(__xludf.DUMMYFUNCTION("""COMPUTED_VALUE"""),"")</f>
        <v/>
      </c>
      <c r="X552" s="14" t="str">
        <f>IFERROR(__xludf.DUMMYFUNCTION("""COMPUTED_VALUE"""),"")</f>
        <v/>
      </c>
      <c r="Y552" s="14" t="str">
        <f>IFERROR(__xludf.DUMMYFUNCTION("""COMPUTED_VALUE"""),"")</f>
        <v/>
      </c>
      <c r="Z552" s="11" t="str">
        <f>IFERROR(__xludf.DUMMYFUNCTION("""COMPUTED_VALUE"""),"")</f>
        <v/>
      </c>
    </row>
    <row r="553">
      <c r="A553" s="35" t="str">
        <f>IFERROR(__xludf.DUMMYFUNCTION("""COMPUTED_VALUE"""),"")</f>
        <v/>
      </c>
      <c r="B553" s="35" t="str">
        <f>IFERROR(__xludf.DUMMYFUNCTION("""COMPUTED_VALUE"""),"40433")</f>
        <v>40433</v>
      </c>
      <c r="C553" s="172">
        <f>IFERROR(__xludf.DUMMYFUNCTION("""COMPUTED_VALUE"""),4.4641000721E10)</f>
        <v>44641000721</v>
      </c>
      <c r="D553" s="188" t="str">
        <f>IFERROR(__xludf.DUMMYFUNCTION("""COMPUTED_VALUE"""),"2222.SR")</f>
        <v>2222.SR</v>
      </c>
      <c r="E553" s="173">
        <f>IFERROR(__xludf.DUMMYFUNCTION("""COMPUTED_VALUE"""),44641.0)</f>
        <v>44641</v>
      </c>
      <c r="F553" s="35" t="str">
        <f>IFERROR(__xludf.DUMMYFUNCTION("""COMPUTED_VALUE"""),"Stock")</f>
        <v>Stock</v>
      </c>
      <c r="G553" s="35" t="str">
        <f>IFERROR(__xludf.DUMMYFUNCTION("""COMPUTED_VALUE"""),"SAR")</f>
        <v>SAR</v>
      </c>
      <c r="H553" s="181">
        <f>IFERROR(__xludf.DUMMYFUNCTION("""COMPUTED_VALUE"""),20.0)</f>
        <v>20</v>
      </c>
      <c r="I553" s="174">
        <f>IFERROR(__xludf.DUMMYFUNCTION("""COMPUTED_VALUE"""),2.0859489)</f>
        <v>2.0859489</v>
      </c>
      <c r="J553" s="175">
        <f>IFERROR(__xludf.DUMMYFUNCTION("""COMPUTED_VALUE"""),42.95)</f>
        <v>42.95</v>
      </c>
      <c r="K553" s="35"/>
      <c r="L553" s="175">
        <f>IFERROR(__xludf.DUMMYFUNCTION("""COMPUTED_VALUE"""),42.65)</f>
        <v>42.65</v>
      </c>
      <c r="M553" s="187" t="str">
        <f>IFERROR(__xludf.DUMMYFUNCTION("""COMPUTED_VALUE"""),"Equity Key Stats")</f>
        <v>Equity Key Stats</v>
      </c>
      <c r="N553" s="35"/>
      <c r="O553" s="35"/>
      <c r="P553" s="184">
        <f>IFERROR(__xludf.DUMMYFUNCTION("""COMPUTED_VALUE"""),-1791.8301051)</f>
        <v>-1791.830105</v>
      </c>
      <c r="Q553" s="177"/>
      <c r="R553" s="178">
        <f>IFERROR(__xludf.DUMMYFUNCTION("""COMPUTED_VALUE"""),42.65)</f>
        <v>42.65</v>
      </c>
      <c r="S553" s="176">
        <f>IFERROR(__xludf.DUMMYFUNCTION("""COMPUTED_VALUE"""),1779.3144117)</f>
        <v>1779.314412</v>
      </c>
      <c r="T553" s="95">
        <f>IFERROR(__xludf.DUMMYFUNCTION("""COMPUTED_VALUE"""),2.0)</f>
        <v>2</v>
      </c>
      <c r="U553" s="95" t="str">
        <f>IFERROR(__xludf.DUMMYFUNCTION("""COMPUTED_VALUE"""),"")</f>
        <v/>
      </c>
      <c r="V553" s="179" t="str">
        <f>IFERROR(__xludf.DUMMYFUNCTION("""COMPUTED_VALUE"""),"")</f>
        <v/>
      </c>
      <c r="W553" s="171" t="str">
        <f>IFERROR(__xludf.DUMMYFUNCTION("""COMPUTED_VALUE"""),"")</f>
        <v/>
      </c>
      <c r="X553" s="14" t="str">
        <f>IFERROR(__xludf.DUMMYFUNCTION("""COMPUTED_VALUE"""),"")</f>
        <v/>
      </c>
      <c r="Y553" s="14" t="str">
        <f>IFERROR(__xludf.DUMMYFUNCTION("""COMPUTED_VALUE"""),"")</f>
        <v/>
      </c>
      <c r="Z553" s="11" t="str">
        <f>IFERROR(__xludf.DUMMYFUNCTION("""COMPUTED_VALUE"""),"")</f>
        <v/>
      </c>
    </row>
    <row r="554">
      <c r="A554" s="35" t="str">
        <f>IFERROR(__xludf.DUMMYFUNCTION("""COMPUTED_VALUE"""),"")</f>
        <v/>
      </c>
      <c r="B554" s="35" t="str">
        <f>IFERROR(__xludf.DUMMYFUNCTION("""COMPUTED_VALUE"""),"40433")</f>
        <v>40433</v>
      </c>
      <c r="C554" s="172">
        <f>IFERROR(__xludf.DUMMYFUNCTION("""COMPUTED_VALUE"""),4.4641000758E10)</f>
        <v>44641000758</v>
      </c>
      <c r="D554" s="188" t="str">
        <f>IFERROR(__xludf.DUMMYFUNCTION("""COMPUTED_VALUE"""),"2222.SR")</f>
        <v>2222.SR</v>
      </c>
      <c r="E554" s="173">
        <f>IFERROR(__xludf.DUMMYFUNCTION("""COMPUTED_VALUE"""),44641.0)</f>
        <v>44641</v>
      </c>
      <c r="F554" s="35" t="str">
        <f>IFERROR(__xludf.DUMMYFUNCTION("""COMPUTED_VALUE"""),"Stock")</f>
        <v>Stock</v>
      </c>
      <c r="G554" s="35" t="str">
        <f>IFERROR(__xludf.DUMMYFUNCTION("""COMPUTED_VALUE"""),"SAR")</f>
        <v>SAR</v>
      </c>
      <c r="H554" s="183">
        <f>IFERROR(__xludf.DUMMYFUNCTION("""COMPUTED_VALUE"""),10.0)</f>
        <v>10</v>
      </c>
      <c r="I554" s="174">
        <f>IFERROR(__xludf.DUMMYFUNCTION("""COMPUTED_VALUE"""),2.0859489)</f>
        <v>2.0859489</v>
      </c>
      <c r="J554" s="175">
        <f>IFERROR(__xludf.DUMMYFUNCTION("""COMPUTED_VALUE"""),42.95)</f>
        <v>42.95</v>
      </c>
      <c r="K554" s="35"/>
      <c r="L554" s="175">
        <f>IFERROR(__xludf.DUMMYFUNCTION("""COMPUTED_VALUE"""),42.65)</f>
        <v>42.65</v>
      </c>
      <c r="M554" s="187" t="str">
        <f>IFERROR(__xludf.DUMMYFUNCTION("""COMPUTED_VALUE"""),"Equity Key Stats")</f>
        <v>Equity Key Stats</v>
      </c>
      <c r="N554" s="35"/>
      <c r="O554" s="35"/>
      <c r="P554" s="176">
        <f>IFERROR(__xludf.DUMMYFUNCTION("""COMPUTED_VALUE"""),-895.91505255)</f>
        <v>-895.9150526</v>
      </c>
      <c r="Q554" s="177"/>
      <c r="R554" s="178">
        <f>IFERROR(__xludf.DUMMYFUNCTION("""COMPUTED_VALUE"""),42.65)</f>
        <v>42.65</v>
      </c>
      <c r="S554" s="176">
        <f>IFERROR(__xludf.DUMMYFUNCTION("""COMPUTED_VALUE"""),889.65720585)</f>
        <v>889.6572059</v>
      </c>
      <c r="T554" s="95">
        <f>IFERROR(__xludf.DUMMYFUNCTION("""COMPUTED_VALUE"""),2.0)</f>
        <v>2</v>
      </c>
      <c r="U554" s="35">
        <f>IFERROR(__xludf.DUMMYFUNCTION("""COMPUTED_VALUE"""),1.0)</f>
        <v>1</v>
      </c>
      <c r="V554" s="170">
        <f>IFERROR(__xludf.DUMMYFUNCTION("""COMPUTED_VALUE"""),-18.773540100000446)</f>
        <v>-18.7735401</v>
      </c>
      <c r="W554" s="171" t="str">
        <f>IFERROR(__xludf.DUMMYFUNCTION("""COMPUTED_VALUE"""),"")</f>
        <v/>
      </c>
      <c r="X554" s="14" t="str">
        <f>IFERROR(__xludf.DUMMYFUNCTION("""COMPUTED_VALUE"""),"")</f>
        <v/>
      </c>
      <c r="Y554" s="14" t="str">
        <f>IFERROR(__xludf.DUMMYFUNCTION("""COMPUTED_VALUE"""),"")</f>
        <v/>
      </c>
      <c r="Z554" s="11" t="str">
        <f>IFERROR(__xludf.DUMMYFUNCTION("""COMPUTED_VALUE"""),"")</f>
        <v/>
      </c>
    </row>
    <row r="555">
      <c r="A555" s="35" t="str">
        <f>IFERROR(__xludf.DUMMYFUNCTION("""COMPUTED_VALUE"""),"40433")</f>
        <v>40433</v>
      </c>
      <c r="B555" s="35" t="str">
        <f>IFERROR(__xludf.DUMMYFUNCTION("""COMPUTED_VALUE"""),"40433")</f>
        <v>40433</v>
      </c>
      <c r="C555" s="172">
        <f>IFERROR(__xludf.DUMMYFUNCTION("""COMPUTED_VALUE"""),4.4641000759E10)</f>
        <v>44641000759</v>
      </c>
      <c r="D555" s="180" t="str">
        <f>IFERROR(__xludf.DUMMYFUNCTION("""COMPUTED_VALUE"""),"GOLD")</f>
        <v>GOLD</v>
      </c>
      <c r="E555" s="173">
        <f>IFERROR(__xludf.DUMMYFUNCTION("""COMPUTED_VALUE"""),44641.0)</f>
        <v>44641</v>
      </c>
      <c r="F555" s="35" t="str">
        <f>IFERROR(__xludf.DUMMYFUNCTION("""COMPUTED_VALUE"""),"Stock")</f>
        <v>Stock</v>
      </c>
      <c r="G555" s="35" t="str">
        <f>IFERROR(__xludf.DUMMYFUNCTION("""COMPUTED_VALUE"""),"USD")</f>
        <v>USD</v>
      </c>
      <c r="H555" s="181">
        <f>IFERROR(__xludf.DUMMYFUNCTION("""COMPUTED_VALUE"""),5.0)</f>
        <v>5</v>
      </c>
      <c r="I555" s="174">
        <f>IFERROR(__xludf.DUMMYFUNCTION("""COMPUTED_VALUE"""),7.82545)</f>
        <v>7.82545</v>
      </c>
      <c r="J555" s="175">
        <f>IFERROR(__xludf.DUMMYFUNCTION("""COMPUTED_VALUE"""),24.3)</f>
        <v>24.3</v>
      </c>
      <c r="K555" s="35"/>
      <c r="L555" s="175">
        <f>IFERROR(__xludf.DUMMYFUNCTION("""COMPUTED_VALUE"""),25.62)</f>
        <v>25.62</v>
      </c>
      <c r="M555" s="187" t="str">
        <f>IFERROR(__xludf.DUMMYFUNCTION("""COMPUTED_VALUE"""),"Equity Key Stats")</f>
        <v>Equity Key Stats</v>
      </c>
      <c r="N555" s="35"/>
      <c r="O555" s="35"/>
      <c r="P555" s="184">
        <f>IFERROR(__xludf.DUMMYFUNCTION("""COMPUTED_VALUE"""),-950.7921750000002)</f>
        <v>-950.792175</v>
      </c>
      <c r="Q555" s="177"/>
      <c r="R555" s="178">
        <f>IFERROR(__xludf.DUMMYFUNCTION("""COMPUTED_VALUE"""),25.62)</f>
        <v>25.62</v>
      </c>
      <c r="S555" s="176">
        <f>IFERROR(__xludf.DUMMYFUNCTION("""COMPUTED_VALUE"""),1002.4401450000001)</f>
        <v>1002.440145</v>
      </c>
      <c r="T555" s="95">
        <f>IFERROR(__xludf.DUMMYFUNCTION("""COMPUTED_VALUE"""),1.0)</f>
        <v>1</v>
      </c>
      <c r="U555" s="35">
        <f>IFERROR(__xludf.DUMMYFUNCTION("""COMPUTED_VALUE"""),1.0)</f>
        <v>1</v>
      </c>
      <c r="V555" s="170">
        <f>IFERROR(__xludf.DUMMYFUNCTION("""COMPUTED_VALUE"""),51.64796999999999)</f>
        <v>51.64797</v>
      </c>
      <c r="W555" s="171">
        <f>IFERROR(__xludf.DUMMYFUNCTION("""COMPUTED_VALUE"""),496446.8239727)</f>
        <v>496446.824</v>
      </c>
      <c r="X555" s="14">
        <f>IFERROR(__xludf.DUMMYFUNCTION("""COMPUTED_VALUE"""),464939.76030575)</f>
        <v>464939.7603</v>
      </c>
      <c r="Y555" s="14">
        <f>IFERROR(__xludf.DUMMYFUNCTION("""COMPUTED_VALUE"""),0.0)</f>
        <v>0</v>
      </c>
      <c r="Z555" s="11">
        <f>IFERROR(__xludf.DUMMYFUNCTION("""COMPUTED_VALUE"""),-0.007106352054599974)</f>
        <v>-0.007106352055</v>
      </c>
    </row>
    <row r="556">
      <c r="A556" s="35" t="str">
        <f>IFERROR(__xludf.DUMMYFUNCTION("""COMPUTED_VALUE"""),"")</f>
        <v/>
      </c>
      <c r="B556" s="35" t="str">
        <f>IFERROR(__xludf.DUMMYFUNCTION("""COMPUTED_VALUE"""),"40658")</f>
        <v>40658</v>
      </c>
      <c r="C556" s="172">
        <f>IFERROR(__xludf.DUMMYFUNCTION("""COMPUTED_VALUE"""),4.4597000095E10)</f>
        <v>44597000095</v>
      </c>
      <c r="D556" s="135" t="str">
        <f>IFERROR(__xludf.DUMMYFUNCTION("""COMPUTED_VALUE"""),"Cash")</f>
        <v>Cash</v>
      </c>
      <c r="E556" s="173">
        <f>IFERROR(__xludf.DUMMYFUNCTION("""COMPUTED_VALUE"""),44597.0)</f>
        <v>44597</v>
      </c>
      <c r="F556" s="35" t="str">
        <f>IFERROR(__xludf.DUMMYFUNCTION("""COMPUTED_VALUE"""),"Cash")</f>
        <v>Cash</v>
      </c>
      <c r="G556" s="35" t="str">
        <f>IFERROR(__xludf.DUMMYFUNCTION("""COMPUTED_VALUE"""),"HKD")</f>
        <v>HKD</v>
      </c>
      <c r="H556" s="181" t="str">
        <f>IFERROR(__xludf.DUMMYFUNCTION("""COMPUTED_VALUE"""),"")</f>
        <v/>
      </c>
      <c r="I556" s="174">
        <f>IFERROR(__xludf.DUMMYFUNCTION("""COMPUTED_VALUE"""),1.0)</f>
        <v>1</v>
      </c>
      <c r="J556" s="175">
        <f>IFERROR(__xludf.DUMMYFUNCTION("""COMPUTED_VALUE"""),1.0)</f>
        <v>1</v>
      </c>
      <c r="K556" s="35"/>
      <c r="L556" s="175">
        <f>IFERROR(__xludf.DUMMYFUNCTION("""COMPUTED_VALUE"""),1.0)</f>
        <v>1</v>
      </c>
      <c r="M556" s="3" t="str">
        <f>IFERROR(__xludf.DUMMYFUNCTION("""COMPUTED_VALUE"""),"")</f>
        <v/>
      </c>
      <c r="N556" s="35"/>
      <c r="O556" s="35"/>
      <c r="P556" s="176">
        <f>IFERROR(__xludf.DUMMYFUNCTION("""COMPUTED_VALUE"""),500000.0)</f>
        <v>500000</v>
      </c>
      <c r="Q556" s="177"/>
      <c r="R556" s="178">
        <f>IFERROR(__xludf.DUMMYFUNCTION("""COMPUTED_VALUE"""),1.0)</f>
        <v>1</v>
      </c>
      <c r="S556" s="176" t="str">
        <f>IFERROR(__xludf.DUMMYFUNCTION("""COMPUTED_VALUE"""),"")</f>
        <v/>
      </c>
      <c r="T556" s="95">
        <f>IFERROR(__xludf.DUMMYFUNCTION("""COMPUTED_VALUE"""),1.0)</f>
        <v>1</v>
      </c>
      <c r="U556" s="95">
        <f>IFERROR(__xludf.DUMMYFUNCTION("""COMPUTED_VALUE"""),1.0)</f>
        <v>1</v>
      </c>
      <c r="V556" s="179">
        <f>IFERROR(__xludf.DUMMYFUNCTION("""COMPUTED_VALUE"""),500000.0)</f>
        <v>500000</v>
      </c>
      <c r="W556" s="171" t="str">
        <f>IFERROR(__xludf.DUMMYFUNCTION("""COMPUTED_VALUE"""),"")</f>
        <v/>
      </c>
      <c r="X556" s="14" t="str">
        <f>IFERROR(__xludf.DUMMYFUNCTION("""COMPUTED_VALUE"""),"")</f>
        <v/>
      </c>
      <c r="Y556" s="14" t="str">
        <f>IFERROR(__xludf.DUMMYFUNCTION("""COMPUTED_VALUE"""),"")</f>
        <v/>
      </c>
      <c r="Z556" s="11" t="str">
        <f>IFERROR(__xludf.DUMMYFUNCTION("""COMPUTED_VALUE"""),"")</f>
        <v/>
      </c>
    </row>
    <row r="557">
      <c r="A557" s="35" t="str">
        <f>IFERROR(__xludf.DUMMYFUNCTION("""COMPUTED_VALUE"""),"")</f>
        <v/>
      </c>
      <c r="B557" s="35" t="str">
        <f>IFERROR(__xludf.DUMMYFUNCTION("""COMPUTED_VALUE"""),"40658")</f>
        <v>40658</v>
      </c>
      <c r="C557" s="172">
        <f>IFERROR(__xludf.DUMMYFUNCTION("""COMPUTED_VALUE"""),4.4663001404E10)</f>
        <v>44663001404</v>
      </c>
      <c r="D557" s="135" t="str">
        <f>IFERROR(__xludf.DUMMYFUNCTION("""COMPUTED_VALUE"""),"AAPL")</f>
        <v>AAPL</v>
      </c>
      <c r="E557" s="173">
        <f>IFERROR(__xludf.DUMMYFUNCTION("""COMPUTED_VALUE"""),44663.0)</f>
        <v>44663</v>
      </c>
      <c r="F557" s="35" t="str">
        <f>IFERROR(__xludf.DUMMYFUNCTION("""COMPUTED_VALUE"""),"Stock")</f>
        <v>Stock</v>
      </c>
      <c r="G557" s="35" t="str">
        <f>IFERROR(__xludf.DUMMYFUNCTION("""COMPUTED_VALUE"""),"USD")</f>
        <v>USD</v>
      </c>
      <c r="H557" s="183" t="str">
        <f>IFERROR(__xludf.DUMMYFUNCTION("""COMPUTED_VALUE"""),"")</f>
        <v/>
      </c>
      <c r="I557" s="174">
        <f>IFERROR(__xludf.DUMMYFUNCTION("""COMPUTED_VALUE"""),7.83775)</f>
        <v>7.83775</v>
      </c>
      <c r="J557" s="175">
        <f>IFERROR(__xludf.DUMMYFUNCTION("""COMPUTED_VALUE"""),167.66)</f>
        <v>167.66</v>
      </c>
      <c r="K557" s="35"/>
      <c r="L557" s="175">
        <f>IFERROR(__xludf.DUMMYFUNCTION("""COMPUTED_VALUE"""),170.4)</f>
        <v>170.4</v>
      </c>
      <c r="M557" s="187" t="str">
        <f>IFERROR(__xludf.DUMMYFUNCTION("""COMPUTED_VALUE"""),"Equity Key Stats")</f>
        <v>Equity Key Stats</v>
      </c>
      <c r="N557" s="35"/>
      <c r="O557" s="35"/>
      <c r="P557" s="176">
        <f>IFERROR(__xludf.DUMMYFUNCTION("""COMPUTED_VALUE"""),0.0)</f>
        <v>0</v>
      </c>
      <c r="Q557" s="177"/>
      <c r="R557" s="178">
        <f>IFERROR(__xludf.DUMMYFUNCTION("""COMPUTED_VALUE"""),170.4)</f>
        <v>170.4</v>
      </c>
      <c r="S557" s="176">
        <f>IFERROR(__xludf.DUMMYFUNCTION("""COMPUTED_VALUE"""),0.0)</f>
        <v>0</v>
      </c>
      <c r="T557" s="95">
        <f>IFERROR(__xludf.DUMMYFUNCTION("""COMPUTED_VALUE"""),2.0)</f>
        <v>2</v>
      </c>
      <c r="U557" s="95" t="str">
        <f>IFERROR(__xludf.DUMMYFUNCTION("""COMPUTED_VALUE"""),"")</f>
        <v/>
      </c>
      <c r="V557" s="185" t="str">
        <f>IFERROR(__xludf.DUMMYFUNCTION("""COMPUTED_VALUE"""),"")</f>
        <v/>
      </c>
      <c r="W557" s="55" t="str">
        <f>IFERROR(__xludf.DUMMYFUNCTION("""COMPUTED_VALUE"""),"")</f>
        <v/>
      </c>
      <c r="X557" s="181" t="str">
        <f>IFERROR(__xludf.DUMMYFUNCTION("""COMPUTED_VALUE"""),"")</f>
        <v/>
      </c>
      <c r="Y557" s="181" t="str">
        <f>IFERROR(__xludf.DUMMYFUNCTION("""COMPUTED_VALUE"""),"")</f>
        <v/>
      </c>
      <c r="Z557" s="186" t="str">
        <f>IFERROR(__xludf.DUMMYFUNCTION("""COMPUTED_VALUE"""),"")</f>
        <v/>
      </c>
    </row>
    <row r="558">
      <c r="A558" s="5" t="str">
        <f>IFERROR(__xludf.DUMMYFUNCTION("""COMPUTED_VALUE"""),"")</f>
        <v/>
      </c>
      <c r="B558" s="5" t="str">
        <f>IFERROR(__xludf.DUMMYFUNCTION("""COMPUTED_VALUE"""),"40658")</f>
        <v>40658</v>
      </c>
      <c r="C558" s="9">
        <f>IFERROR(__xludf.DUMMYFUNCTION("""COMPUTED_VALUE"""),4.4664001456E10)</f>
        <v>44664001456</v>
      </c>
      <c r="D558" s="91" t="str">
        <f>IFERROR(__xludf.DUMMYFUNCTION("""COMPUTED_VALUE"""),"300750.SZ")</f>
        <v>300750.SZ</v>
      </c>
      <c r="E558" s="193">
        <f>IFERROR(__xludf.DUMMYFUNCTION("""COMPUTED_VALUE"""),44664.0)</f>
        <v>44664</v>
      </c>
      <c r="F558" s="5" t="str">
        <f>IFERROR(__xludf.DUMMYFUNCTION("""COMPUTED_VALUE"""),"Stock")</f>
        <v>Stock</v>
      </c>
      <c r="G558" s="5" t="str">
        <f>IFERROR(__xludf.DUMMYFUNCTION("""COMPUTED_VALUE"""),"CNY")</f>
        <v>CNY</v>
      </c>
      <c r="H558" s="22" t="str">
        <f>IFERROR(__xludf.DUMMYFUNCTION("""COMPUTED_VALUE"""),"")</f>
        <v/>
      </c>
      <c r="I558" s="194">
        <f>IFERROR(__xludf.DUMMYFUNCTION("""COMPUTED_VALUE"""),1.231169)</f>
        <v>1.231169</v>
      </c>
      <c r="J558" s="23">
        <f>IFERROR(__xludf.DUMMYFUNCTION("""COMPUTED_VALUE"""),466.0)</f>
        <v>466</v>
      </c>
      <c r="K558" s="5"/>
      <c r="L558" s="23">
        <f>IFERROR(__xludf.DUMMYFUNCTION("""COMPUTED_VALUE"""),466.0)</f>
        <v>466</v>
      </c>
      <c r="M558" s="195" t="str">
        <f>IFERROR(__xludf.DUMMYFUNCTION("""COMPUTED_VALUE"""),"Equity Key Stats")</f>
        <v>Equity Key Stats</v>
      </c>
      <c r="N558" s="5"/>
      <c r="O558" s="5"/>
      <c r="P558" s="142">
        <f>IFERROR(__xludf.DUMMYFUNCTION("""COMPUTED_VALUE"""),0.0)</f>
        <v>0</v>
      </c>
      <c r="Q558" s="5"/>
      <c r="R558" s="71">
        <f>IFERROR(__xludf.DUMMYFUNCTION("""COMPUTED_VALUE"""),466.0)</f>
        <v>466</v>
      </c>
      <c r="S558" s="142">
        <f>IFERROR(__xludf.DUMMYFUNCTION("""COMPUTED_VALUE"""),0.0)</f>
        <v>0</v>
      </c>
      <c r="T558" s="5">
        <f>IFERROR(__xludf.DUMMYFUNCTION("""COMPUTED_VALUE"""),1.0)</f>
        <v>1</v>
      </c>
      <c r="U558" s="5">
        <f>IFERROR(__xludf.DUMMYFUNCTION("""COMPUTED_VALUE"""),1.0)</f>
        <v>1</v>
      </c>
      <c r="V558" s="185">
        <f>IFERROR(__xludf.DUMMYFUNCTION("""COMPUTED_VALUE"""),0.0)</f>
        <v>0</v>
      </c>
      <c r="W558" s="55" t="str">
        <f>IFERROR(__xludf.DUMMYFUNCTION("""COMPUTED_VALUE"""),"")</f>
        <v/>
      </c>
      <c r="X558" s="22" t="str">
        <f>IFERROR(__xludf.DUMMYFUNCTION("""COMPUTED_VALUE"""),"")</f>
        <v/>
      </c>
      <c r="Y558" s="22" t="str">
        <f>IFERROR(__xludf.DUMMYFUNCTION("""COMPUTED_VALUE"""),"")</f>
        <v/>
      </c>
      <c r="Z558" s="24" t="str">
        <f>IFERROR(__xludf.DUMMYFUNCTION("""COMPUTED_VALUE"""),"")</f>
        <v/>
      </c>
    </row>
    <row r="559">
      <c r="A559" s="5" t="str">
        <f>IFERROR(__xludf.DUMMYFUNCTION("""COMPUTED_VALUE"""),"40658")</f>
        <v>40658</v>
      </c>
      <c r="B559" s="5" t="str">
        <f>IFERROR(__xludf.DUMMYFUNCTION("""COMPUTED_VALUE"""),"40658")</f>
        <v>40658</v>
      </c>
      <c r="C559" s="9">
        <f>IFERROR(__xludf.DUMMYFUNCTION("""COMPUTED_VALUE"""),4.4664001457E10)</f>
        <v>44664001457</v>
      </c>
      <c r="D559" s="85" t="str">
        <f>IFERROR(__xludf.DUMMYFUNCTION("""COMPUTED_VALUE"""),"AAPL")</f>
        <v>AAPL</v>
      </c>
      <c r="E559" s="193">
        <f>IFERROR(__xludf.DUMMYFUNCTION("""COMPUTED_VALUE"""),44664.0)</f>
        <v>44664</v>
      </c>
      <c r="F559" s="5" t="str">
        <f>IFERROR(__xludf.DUMMYFUNCTION("""COMPUTED_VALUE"""),"Stock")</f>
        <v>Stock</v>
      </c>
      <c r="G559" s="5" t="str">
        <f>IFERROR(__xludf.DUMMYFUNCTION("""COMPUTED_VALUE"""),"USD")</f>
        <v>USD</v>
      </c>
      <c r="H559" s="22" t="str">
        <f>IFERROR(__xludf.DUMMYFUNCTION("""COMPUTED_VALUE"""),"")</f>
        <v/>
      </c>
      <c r="I559" s="194">
        <f>IFERROR(__xludf.DUMMYFUNCTION("""COMPUTED_VALUE"""),7.83915)</f>
        <v>7.83915</v>
      </c>
      <c r="J559" s="23">
        <f>IFERROR(__xludf.DUMMYFUNCTION("""COMPUTED_VALUE"""),170.4)</f>
        <v>170.4</v>
      </c>
      <c r="K559" s="5"/>
      <c r="L559" s="23">
        <f>IFERROR(__xludf.DUMMYFUNCTION("""COMPUTED_VALUE"""),170.4)</f>
        <v>170.4</v>
      </c>
      <c r="M559" s="195" t="str">
        <f>IFERROR(__xludf.DUMMYFUNCTION("""COMPUTED_VALUE"""),"Equity Key Stats")</f>
        <v>Equity Key Stats</v>
      </c>
      <c r="N559" s="5"/>
      <c r="O559" s="5"/>
      <c r="P559" s="142">
        <f>IFERROR(__xludf.DUMMYFUNCTION("""COMPUTED_VALUE"""),0.0)</f>
        <v>0</v>
      </c>
      <c r="Q559" s="5"/>
      <c r="R559" s="71">
        <f>IFERROR(__xludf.DUMMYFUNCTION("""COMPUTED_VALUE"""),170.4)</f>
        <v>170.4</v>
      </c>
      <c r="S559" s="142">
        <f>IFERROR(__xludf.DUMMYFUNCTION("""COMPUTED_VALUE"""),0.0)</f>
        <v>0</v>
      </c>
      <c r="T559" s="5">
        <f>IFERROR(__xludf.DUMMYFUNCTION("""COMPUTED_VALUE"""),2.0)</f>
        <v>2</v>
      </c>
      <c r="U559" s="5">
        <f>IFERROR(__xludf.DUMMYFUNCTION("""COMPUTED_VALUE"""),1.0)</f>
        <v>1</v>
      </c>
      <c r="V559" s="185">
        <f>IFERROR(__xludf.DUMMYFUNCTION("""COMPUTED_VALUE"""),0.0)</f>
        <v>0</v>
      </c>
      <c r="W559" s="55">
        <f>IFERROR(__xludf.DUMMYFUNCTION("""COMPUTED_VALUE"""),500000.0)</f>
        <v>500000</v>
      </c>
      <c r="X559" s="22">
        <f>IFERROR(__xludf.DUMMYFUNCTION("""COMPUTED_VALUE"""),500000.0)</f>
        <v>500000</v>
      </c>
      <c r="Y559" s="22">
        <f>IFERROR(__xludf.DUMMYFUNCTION("""COMPUTED_VALUE"""),0.0)</f>
        <v>0</v>
      </c>
      <c r="Z559" s="24">
        <f>IFERROR(__xludf.DUMMYFUNCTION("""COMPUTED_VALUE"""),0.0)</f>
        <v>0</v>
      </c>
    </row>
    <row r="560">
      <c r="A560" s="5" t="str">
        <f>IFERROR(__xludf.DUMMYFUNCTION("""COMPUTED_VALUE"""),"")</f>
        <v/>
      </c>
      <c r="B560" s="5" t="str">
        <f>IFERROR(__xludf.DUMMYFUNCTION("""COMPUTED_VALUE"""),"40776")</f>
        <v>40776</v>
      </c>
      <c r="C560" s="9">
        <f>IFERROR(__xludf.DUMMYFUNCTION("""COMPUTED_VALUE"""),4.4597000034E10)</f>
        <v>44597000034</v>
      </c>
      <c r="D560" s="85" t="str">
        <f>IFERROR(__xludf.DUMMYFUNCTION("""COMPUTED_VALUE"""),"Cash")</f>
        <v>Cash</v>
      </c>
      <c r="E560" s="193">
        <f>IFERROR(__xludf.DUMMYFUNCTION("""COMPUTED_VALUE"""),44597.0)</f>
        <v>44597</v>
      </c>
      <c r="F560" s="5" t="str">
        <f>IFERROR(__xludf.DUMMYFUNCTION("""COMPUTED_VALUE"""),"Cash")</f>
        <v>Cash</v>
      </c>
      <c r="G560" s="5" t="str">
        <f>IFERROR(__xludf.DUMMYFUNCTION("""COMPUTED_VALUE"""),"HKD")</f>
        <v>HKD</v>
      </c>
      <c r="H560" s="22" t="str">
        <f>IFERROR(__xludf.DUMMYFUNCTION("""COMPUTED_VALUE"""),"")</f>
        <v/>
      </c>
      <c r="I560" s="194">
        <f>IFERROR(__xludf.DUMMYFUNCTION("""COMPUTED_VALUE"""),1.0)</f>
        <v>1</v>
      </c>
      <c r="J560" s="5">
        <f>IFERROR(__xludf.DUMMYFUNCTION("""COMPUTED_VALUE"""),1.0)</f>
        <v>1</v>
      </c>
      <c r="K560" s="5"/>
      <c r="L560" s="23">
        <f>IFERROR(__xludf.DUMMYFUNCTION("""COMPUTED_VALUE"""),1.0)</f>
        <v>1</v>
      </c>
      <c r="M560" s="25" t="str">
        <f>IFERROR(__xludf.DUMMYFUNCTION("""COMPUTED_VALUE"""),"")</f>
        <v/>
      </c>
      <c r="N560" s="5"/>
      <c r="O560" s="5"/>
      <c r="P560" s="142">
        <f>IFERROR(__xludf.DUMMYFUNCTION("""COMPUTED_VALUE"""),500000.0)</f>
        <v>500000</v>
      </c>
      <c r="Q560" s="5"/>
      <c r="R560" s="71">
        <f>IFERROR(__xludf.DUMMYFUNCTION("""COMPUTED_VALUE"""),1.0)</f>
        <v>1</v>
      </c>
      <c r="S560" s="142" t="str">
        <f>IFERROR(__xludf.DUMMYFUNCTION("""COMPUTED_VALUE"""),"")</f>
        <v/>
      </c>
      <c r="T560" s="5">
        <f>IFERROR(__xludf.DUMMYFUNCTION("""COMPUTED_VALUE"""),1.0)</f>
        <v>1</v>
      </c>
      <c r="U560" s="5">
        <f>IFERROR(__xludf.DUMMYFUNCTION("""COMPUTED_VALUE"""),1.0)</f>
        <v>1</v>
      </c>
      <c r="V560" s="185">
        <f>IFERROR(__xludf.DUMMYFUNCTION("""COMPUTED_VALUE"""),500000.0)</f>
        <v>500000</v>
      </c>
      <c r="W560" s="55" t="str">
        <f>IFERROR(__xludf.DUMMYFUNCTION("""COMPUTED_VALUE"""),"")</f>
        <v/>
      </c>
      <c r="X560" s="22" t="str">
        <f>IFERROR(__xludf.DUMMYFUNCTION("""COMPUTED_VALUE"""),"")</f>
        <v/>
      </c>
      <c r="Y560" s="22" t="str">
        <f>IFERROR(__xludf.DUMMYFUNCTION("""COMPUTED_VALUE"""),"")</f>
        <v/>
      </c>
      <c r="Z560" s="24" t="str">
        <f>IFERROR(__xludf.DUMMYFUNCTION("""COMPUTED_VALUE"""),"")</f>
        <v/>
      </c>
    </row>
    <row r="561">
      <c r="A561" s="5" t="str">
        <f>IFERROR(__xludf.DUMMYFUNCTION("""COMPUTED_VALUE"""),"")</f>
        <v/>
      </c>
      <c r="B561" s="5" t="str">
        <f>IFERROR(__xludf.DUMMYFUNCTION("""COMPUTED_VALUE"""),"40776")</f>
        <v>40776</v>
      </c>
      <c r="C561" s="9">
        <f>IFERROR(__xludf.DUMMYFUNCTION("""COMPUTED_VALUE"""),4.4659001274E10)</f>
        <v>44659001274</v>
      </c>
      <c r="D561" s="85" t="str">
        <f>IFERROR(__xludf.DUMMYFUNCTION("""COMPUTED_VALUE"""),"AAPL")</f>
        <v>AAPL</v>
      </c>
      <c r="E561" s="193">
        <f>IFERROR(__xludf.DUMMYFUNCTION("""COMPUTED_VALUE"""),44659.0)</f>
        <v>44659</v>
      </c>
      <c r="F561" s="5" t="str">
        <f>IFERROR(__xludf.DUMMYFUNCTION("""COMPUTED_VALUE"""),"Stock")</f>
        <v>Stock</v>
      </c>
      <c r="G561" s="5" t="str">
        <f>IFERROR(__xludf.DUMMYFUNCTION("""COMPUTED_VALUE"""),"USD")</f>
        <v>USD</v>
      </c>
      <c r="H561" s="22">
        <f>IFERROR(__xludf.DUMMYFUNCTION("""COMPUTED_VALUE"""),0.0)</f>
        <v>0</v>
      </c>
      <c r="I561" s="194">
        <f>IFERROR(__xludf.DUMMYFUNCTION("""COMPUTED_VALUE"""),7.839265)</f>
        <v>7.839265</v>
      </c>
      <c r="J561" s="23">
        <f>IFERROR(__xludf.DUMMYFUNCTION("""COMPUTED_VALUE"""),0.0)</f>
        <v>0</v>
      </c>
      <c r="K561" s="5"/>
      <c r="L561" s="23">
        <f>IFERROR(__xludf.DUMMYFUNCTION("""COMPUTED_VALUE"""),170.4)</f>
        <v>170.4</v>
      </c>
      <c r="M561" s="195" t="str">
        <f>IFERROR(__xludf.DUMMYFUNCTION("""COMPUTED_VALUE"""),"Equity Key Stats")</f>
        <v>Equity Key Stats</v>
      </c>
      <c r="N561" s="5"/>
      <c r="O561" s="5"/>
      <c r="P561" s="142">
        <f>IFERROR(__xludf.DUMMYFUNCTION("""COMPUTED_VALUE"""),0.0)</f>
        <v>0</v>
      </c>
      <c r="Q561" s="5"/>
      <c r="R561" s="71">
        <f>IFERROR(__xludf.DUMMYFUNCTION("""COMPUTED_VALUE"""),170.4)</f>
        <v>170.4</v>
      </c>
      <c r="S561" s="142">
        <f>IFERROR(__xludf.DUMMYFUNCTION("""COMPUTED_VALUE"""),0.0)</f>
        <v>0</v>
      </c>
      <c r="T561" s="5">
        <f>IFERROR(__xludf.DUMMYFUNCTION("""COMPUTED_VALUE"""),2.0)</f>
        <v>2</v>
      </c>
      <c r="U561" s="5" t="str">
        <f>IFERROR(__xludf.DUMMYFUNCTION("""COMPUTED_VALUE"""),"")</f>
        <v/>
      </c>
      <c r="V561" s="185" t="str">
        <f>IFERROR(__xludf.DUMMYFUNCTION("""COMPUTED_VALUE"""),"")</f>
        <v/>
      </c>
      <c r="W561" s="55" t="str">
        <f>IFERROR(__xludf.DUMMYFUNCTION("""COMPUTED_VALUE"""),"")</f>
        <v/>
      </c>
      <c r="X561" s="22" t="str">
        <f>IFERROR(__xludf.DUMMYFUNCTION("""COMPUTED_VALUE"""),"")</f>
        <v/>
      </c>
      <c r="Y561" s="22" t="str">
        <f>IFERROR(__xludf.DUMMYFUNCTION("""COMPUTED_VALUE"""),"")</f>
        <v/>
      </c>
      <c r="Z561" s="24" t="str">
        <f>IFERROR(__xludf.DUMMYFUNCTION("""COMPUTED_VALUE"""),"")</f>
        <v/>
      </c>
    </row>
    <row r="562">
      <c r="A562" s="5" t="str">
        <f>IFERROR(__xludf.DUMMYFUNCTION("""COMPUTED_VALUE"""),"")</f>
        <v/>
      </c>
      <c r="B562" s="5" t="str">
        <f>IFERROR(__xludf.DUMMYFUNCTION("""COMPUTED_VALUE"""),"40776")</f>
        <v>40776</v>
      </c>
      <c r="C562" s="9">
        <f>IFERROR(__xludf.DUMMYFUNCTION("""COMPUTED_VALUE"""),4.4659001275E10)</f>
        <v>44659001275</v>
      </c>
      <c r="D562" s="85" t="str">
        <f>IFERROR(__xludf.DUMMYFUNCTION("""COMPUTED_VALUE"""),"TSLA")</f>
        <v>TSLA</v>
      </c>
      <c r="E562" s="193">
        <f>IFERROR(__xludf.DUMMYFUNCTION("""COMPUTED_VALUE"""),44659.0)</f>
        <v>44659</v>
      </c>
      <c r="F562" s="5" t="str">
        <f>IFERROR(__xludf.DUMMYFUNCTION("""COMPUTED_VALUE"""),"Stock")</f>
        <v>Stock</v>
      </c>
      <c r="G562" s="5" t="str">
        <f>IFERROR(__xludf.DUMMYFUNCTION("""COMPUTED_VALUE"""),"USD")</f>
        <v>USD</v>
      </c>
      <c r="H562" s="22" t="str">
        <f>IFERROR(__xludf.DUMMYFUNCTION("""COMPUTED_VALUE"""),"")</f>
        <v/>
      </c>
      <c r="I562" s="194">
        <f>IFERROR(__xludf.DUMMYFUNCTION("""COMPUTED_VALUE"""),7.839265)</f>
        <v>7.839265</v>
      </c>
      <c r="J562" s="23">
        <f>IFERROR(__xludf.DUMMYFUNCTION("""COMPUTED_VALUE"""),1025.49)</f>
        <v>1025.49</v>
      </c>
      <c r="K562" s="5"/>
      <c r="L562" s="23">
        <f>IFERROR(__xludf.DUMMYFUNCTION("""COMPUTED_VALUE"""),1022.37)</f>
        <v>1022.37</v>
      </c>
      <c r="M562" s="195" t="str">
        <f>IFERROR(__xludf.DUMMYFUNCTION("""COMPUTED_VALUE"""),"Equity Key Stats")</f>
        <v>Equity Key Stats</v>
      </c>
      <c r="N562" s="5"/>
      <c r="O562" s="5"/>
      <c r="P562" s="142">
        <f>IFERROR(__xludf.DUMMYFUNCTION("""COMPUTED_VALUE"""),0.0)</f>
        <v>0</v>
      </c>
      <c r="Q562" s="5"/>
      <c r="R562" s="71">
        <f>IFERROR(__xludf.DUMMYFUNCTION("""COMPUTED_VALUE"""),1022.37)</f>
        <v>1022.37</v>
      </c>
      <c r="S562" s="142">
        <f>IFERROR(__xludf.DUMMYFUNCTION("""COMPUTED_VALUE"""),0.0)</f>
        <v>0</v>
      </c>
      <c r="T562" s="5">
        <f>IFERROR(__xludf.DUMMYFUNCTION("""COMPUTED_VALUE"""),4.0)</f>
        <v>4</v>
      </c>
      <c r="U562" s="5" t="str">
        <f>IFERROR(__xludf.DUMMYFUNCTION("""COMPUTED_VALUE"""),"")</f>
        <v/>
      </c>
      <c r="V562" s="185" t="str">
        <f>IFERROR(__xludf.DUMMYFUNCTION("""COMPUTED_VALUE"""),"")</f>
        <v/>
      </c>
      <c r="W562" s="55" t="str">
        <f>IFERROR(__xludf.DUMMYFUNCTION("""COMPUTED_VALUE"""),"")</f>
        <v/>
      </c>
      <c r="X562" s="22" t="str">
        <f>IFERROR(__xludf.DUMMYFUNCTION("""COMPUTED_VALUE"""),"")</f>
        <v/>
      </c>
      <c r="Y562" s="22" t="str">
        <f>IFERROR(__xludf.DUMMYFUNCTION("""COMPUTED_VALUE"""),"")</f>
        <v/>
      </c>
      <c r="Z562" s="24" t="str">
        <f>IFERROR(__xludf.DUMMYFUNCTION("""COMPUTED_VALUE"""),"")</f>
        <v/>
      </c>
    </row>
    <row r="563">
      <c r="A563" s="5" t="str">
        <f>IFERROR(__xludf.DUMMYFUNCTION("""COMPUTED_VALUE"""),"")</f>
        <v/>
      </c>
      <c r="B563" s="5" t="str">
        <f>IFERROR(__xludf.DUMMYFUNCTION("""COMPUTED_VALUE"""),"40776")</f>
        <v>40776</v>
      </c>
      <c r="C563" s="9">
        <f>IFERROR(__xludf.DUMMYFUNCTION("""COMPUTED_VALUE"""),4.465900128E10)</f>
        <v>44659001280</v>
      </c>
      <c r="D563" s="85" t="str">
        <f>IFERROR(__xludf.DUMMYFUNCTION("""COMPUTED_VALUE"""),"TSLA")</f>
        <v>TSLA</v>
      </c>
      <c r="E563" s="193">
        <f>IFERROR(__xludf.DUMMYFUNCTION("""COMPUTED_VALUE"""),44659.0)</f>
        <v>44659</v>
      </c>
      <c r="F563" s="5" t="str">
        <f>IFERROR(__xludf.DUMMYFUNCTION("""COMPUTED_VALUE"""),"Stock")</f>
        <v>Stock</v>
      </c>
      <c r="G563" s="5" t="str">
        <f>IFERROR(__xludf.DUMMYFUNCTION("""COMPUTED_VALUE"""),"USD")</f>
        <v>USD</v>
      </c>
      <c r="H563" s="22">
        <f>IFERROR(__xludf.DUMMYFUNCTION("""COMPUTED_VALUE"""),50.0)</f>
        <v>50</v>
      </c>
      <c r="I563" s="194">
        <f>IFERROR(__xludf.DUMMYFUNCTION("""COMPUTED_VALUE"""),7.839265)</f>
        <v>7.839265</v>
      </c>
      <c r="J563" s="23">
        <f>IFERROR(__xludf.DUMMYFUNCTION("""COMPUTED_VALUE"""),1025.49)</f>
        <v>1025.49</v>
      </c>
      <c r="K563" s="5"/>
      <c r="L563" s="23">
        <f>IFERROR(__xludf.DUMMYFUNCTION("""COMPUTED_VALUE"""),1022.37)</f>
        <v>1022.37</v>
      </c>
      <c r="M563" s="195" t="str">
        <f>IFERROR(__xludf.DUMMYFUNCTION("""COMPUTED_VALUE"""),"Equity Key Stats")</f>
        <v>Equity Key Stats</v>
      </c>
      <c r="N563" s="5"/>
      <c r="O563" s="5"/>
      <c r="P563" s="142">
        <f>IFERROR(__xludf.DUMMYFUNCTION("""COMPUTED_VALUE"""),-401954.3932425)</f>
        <v>-401954.3932</v>
      </c>
      <c r="Q563" s="5"/>
      <c r="R563" s="71">
        <f>IFERROR(__xludf.DUMMYFUNCTION("""COMPUTED_VALUE"""),1022.37)</f>
        <v>1022.37</v>
      </c>
      <c r="S563" s="142">
        <f>IFERROR(__xludf.DUMMYFUNCTION("""COMPUTED_VALUE"""),400731.4679025)</f>
        <v>400731.4679</v>
      </c>
      <c r="T563" s="5">
        <f>IFERROR(__xludf.DUMMYFUNCTION("""COMPUTED_VALUE"""),4.0)</f>
        <v>4</v>
      </c>
      <c r="U563" s="5" t="str">
        <f>IFERROR(__xludf.DUMMYFUNCTION("""COMPUTED_VALUE"""),"")</f>
        <v/>
      </c>
      <c r="V563" s="185" t="str">
        <f>IFERROR(__xludf.DUMMYFUNCTION("""COMPUTED_VALUE"""),"")</f>
        <v/>
      </c>
      <c r="W563" s="55" t="str">
        <f>IFERROR(__xludf.DUMMYFUNCTION("""COMPUTED_VALUE"""),"")</f>
        <v/>
      </c>
      <c r="X563" s="22" t="str">
        <f>IFERROR(__xludf.DUMMYFUNCTION("""COMPUTED_VALUE"""),"")</f>
        <v/>
      </c>
      <c r="Y563" s="22" t="str">
        <f>IFERROR(__xludf.DUMMYFUNCTION("""COMPUTED_VALUE"""),"")</f>
        <v/>
      </c>
      <c r="Z563" s="24" t="str">
        <f>IFERROR(__xludf.DUMMYFUNCTION("""COMPUTED_VALUE"""),"")</f>
        <v/>
      </c>
    </row>
    <row r="564">
      <c r="A564" s="5" t="str">
        <f>IFERROR(__xludf.DUMMYFUNCTION("""COMPUTED_VALUE"""),"")</f>
        <v/>
      </c>
      <c r="B564" s="5" t="str">
        <f>IFERROR(__xludf.DUMMYFUNCTION("""COMPUTED_VALUE"""),"40776")</f>
        <v>40776</v>
      </c>
      <c r="C564" s="9">
        <f>IFERROR(__xludf.DUMMYFUNCTION("""COMPUTED_VALUE"""),4.4659001281E10)</f>
        <v>44659001281</v>
      </c>
      <c r="D564" s="85" t="str">
        <f>IFERROR(__xludf.DUMMYFUNCTION("""COMPUTED_VALUE"""),"AAPL")</f>
        <v>AAPL</v>
      </c>
      <c r="E564" s="193">
        <f>IFERROR(__xludf.DUMMYFUNCTION("""COMPUTED_VALUE"""),44659.0)</f>
        <v>44659</v>
      </c>
      <c r="F564" s="5" t="str">
        <f>IFERROR(__xludf.DUMMYFUNCTION("""COMPUTED_VALUE"""),"Stock")</f>
        <v>Stock</v>
      </c>
      <c r="G564" s="5" t="str">
        <f>IFERROR(__xludf.DUMMYFUNCTION("""COMPUTED_VALUE"""),"USD")</f>
        <v>USD</v>
      </c>
      <c r="H564" s="22">
        <f>IFERROR(__xludf.DUMMYFUNCTION("""COMPUTED_VALUE"""),0.0)</f>
        <v>0</v>
      </c>
      <c r="I564" s="194">
        <f>IFERROR(__xludf.DUMMYFUNCTION("""COMPUTED_VALUE"""),7.839265)</f>
        <v>7.839265</v>
      </c>
      <c r="J564" s="23">
        <f>IFERROR(__xludf.DUMMYFUNCTION("""COMPUTED_VALUE"""),0.0)</f>
        <v>0</v>
      </c>
      <c r="K564" s="5"/>
      <c r="L564" s="23">
        <f>IFERROR(__xludf.DUMMYFUNCTION("""COMPUTED_VALUE"""),170.4)</f>
        <v>170.4</v>
      </c>
      <c r="M564" s="195" t="str">
        <f>IFERROR(__xludf.DUMMYFUNCTION("""COMPUTED_VALUE"""),"Equity Key Stats")</f>
        <v>Equity Key Stats</v>
      </c>
      <c r="N564" s="5"/>
      <c r="O564" s="5"/>
      <c r="P564" s="142">
        <f>IFERROR(__xludf.DUMMYFUNCTION("""COMPUTED_VALUE"""),0.0)</f>
        <v>0</v>
      </c>
      <c r="Q564" s="5"/>
      <c r="R564" s="71">
        <f>IFERROR(__xludf.DUMMYFUNCTION("""COMPUTED_VALUE"""),170.4)</f>
        <v>170.4</v>
      </c>
      <c r="S564" s="142">
        <f>IFERROR(__xludf.DUMMYFUNCTION("""COMPUTED_VALUE"""),0.0)</f>
        <v>0</v>
      </c>
      <c r="T564" s="5">
        <f>IFERROR(__xludf.DUMMYFUNCTION("""COMPUTED_VALUE"""),2.0)</f>
        <v>2</v>
      </c>
      <c r="U564" s="5">
        <f>IFERROR(__xludf.DUMMYFUNCTION("""COMPUTED_VALUE"""),1.0)</f>
        <v>1</v>
      </c>
      <c r="V564" s="185">
        <f>IFERROR(__xludf.DUMMYFUNCTION("""COMPUTED_VALUE"""),0.0)</f>
        <v>0</v>
      </c>
      <c r="W564" s="55" t="str">
        <f>IFERROR(__xludf.DUMMYFUNCTION("""COMPUTED_VALUE"""),"")</f>
        <v/>
      </c>
      <c r="X564" s="22" t="str">
        <f>IFERROR(__xludf.DUMMYFUNCTION("""COMPUTED_VALUE"""),"")</f>
        <v/>
      </c>
      <c r="Y564" s="22" t="str">
        <f>IFERROR(__xludf.DUMMYFUNCTION("""COMPUTED_VALUE"""),"")</f>
        <v/>
      </c>
      <c r="Z564" s="24" t="str">
        <f>IFERROR(__xludf.DUMMYFUNCTION("""COMPUTED_VALUE"""),"")</f>
        <v/>
      </c>
    </row>
    <row r="565">
      <c r="A565" s="5" t="str">
        <f>IFERROR(__xludf.DUMMYFUNCTION("""COMPUTED_VALUE"""),"")</f>
        <v/>
      </c>
      <c r="B565" s="5" t="str">
        <f>IFERROR(__xludf.DUMMYFUNCTION("""COMPUTED_VALUE"""),"40776")</f>
        <v>40776</v>
      </c>
      <c r="C565" s="9">
        <f>IFERROR(__xludf.DUMMYFUNCTION("""COMPUTED_VALUE"""),4.4662001377E10)</f>
        <v>44662001377</v>
      </c>
      <c r="D565" s="85" t="str">
        <f>IFERROR(__xludf.DUMMYFUNCTION("""COMPUTED_VALUE"""),"SOFI")</f>
        <v>SOFI</v>
      </c>
      <c r="E565" s="193">
        <f>IFERROR(__xludf.DUMMYFUNCTION("""COMPUTED_VALUE"""),44662.0)</f>
        <v>44662</v>
      </c>
      <c r="F565" s="5" t="str">
        <f>IFERROR(__xludf.DUMMYFUNCTION("""COMPUTED_VALUE"""),"Stock")</f>
        <v>Stock</v>
      </c>
      <c r="G565" s="5" t="str">
        <f>IFERROR(__xludf.DUMMYFUNCTION("""COMPUTED_VALUE"""),"USD")</f>
        <v>USD</v>
      </c>
      <c r="H565" s="22">
        <f>IFERROR(__xludf.DUMMYFUNCTION("""COMPUTED_VALUE"""),0.0)</f>
        <v>0</v>
      </c>
      <c r="I565" s="194">
        <f>IFERROR(__xludf.DUMMYFUNCTION("""COMPUTED_VALUE"""),7.83795)</f>
        <v>7.83795</v>
      </c>
      <c r="J565" s="23">
        <f>IFERROR(__xludf.DUMMYFUNCTION("""COMPUTED_VALUE"""),0.0)</f>
        <v>0</v>
      </c>
      <c r="K565" s="5"/>
      <c r="L565" s="23">
        <f>IFERROR(__xludf.DUMMYFUNCTION("""COMPUTED_VALUE"""),7.61)</f>
        <v>7.61</v>
      </c>
      <c r="M565" s="195" t="str">
        <f>IFERROR(__xludf.DUMMYFUNCTION("""COMPUTED_VALUE"""),"Equity Key Stats")</f>
        <v>Equity Key Stats</v>
      </c>
      <c r="N565" s="5"/>
      <c r="O565" s="5"/>
      <c r="P565" s="142">
        <f>IFERROR(__xludf.DUMMYFUNCTION("""COMPUTED_VALUE"""),0.0)</f>
        <v>0</v>
      </c>
      <c r="Q565" s="5"/>
      <c r="R565" s="71">
        <f>IFERROR(__xludf.DUMMYFUNCTION("""COMPUTED_VALUE"""),7.61)</f>
        <v>7.61</v>
      </c>
      <c r="S565" s="142">
        <f>IFERROR(__xludf.DUMMYFUNCTION("""COMPUTED_VALUE"""),0.0)</f>
        <v>0</v>
      </c>
      <c r="T565" s="5">
        <f>IFERROR(__xludf.DUMMYFUNCTION("""COMPUTED_VALUE"""),1.0)</f>
        <v>1</v>
      </c>
      <c r="U565" s="5">
        <f>IFERROR(__xludf.DUMMYFUNCTION("""COMPUTED_VALUE"""),1.0)</f>
        <v>1</v>
      </c>
      <c r="V565" s="185">
        <f>IFERROR(__xludf.DUMMYFUNCTION("""COMPUTED_VALUE"""),0.0)</f>
        <v>0</v>
      </c>
      <c r="W565" s="55" t="str">
        <f>IFERROR(__xludf.DUMMYFUNCTION("""COMPUTED_VALUE"""),"")</f>
        <v/>
      </c>
      <c r="X565" s="22" t="str">
        <f>IFERROR(__xludf.DUMMYFUNCTION("""COMPUTED_VALUE"""),"")</f>
        <v/>
      </c>
      <c r="Y565" s="22" t="str">
        <f>IFERROR(__xludf.DUMMYFUNCTION("""COMPUTED_VALUE"""),"")</f>
        <v/>
      </c>
      <c r="Z565" s="24" t="str">
        <f>IFERROR(__xludf.DUMMYFUNCTION("""COMPUTED_VALUE"""),"")</f>
        <v/>
      </c>
    </row>
    <row r="566">
      <c r="A566" s="5" t="str">
        <f>IFERROR(__xludf.DUMMYFUNCTION("""COMPUTED_VALUE"""),"")</f>
        <v/>
      </c>
      <c r="B566" s="5" t="str">
        <f>IFERROR(__xludf.DUMMYFUNCTION("""COMPUTED_VALUE"""),"40776")</f>
        <v>40776</v>
      </c>
      <c r="C566" s="9">
        <f>IFERROR(__xludf.DUMMYFUNCTION("""COMPUTED_VALUE"""),4.4662001378E10)</f>
        <v>44662001378</v>
      </c>
      <c r="D566" s="85" t="str">
        <f>IFERROR(__xludf.DUMMYFUNCTION("""COMPUTED_VALUE"""),"TSLA")</f>
        <v>TSLA</v>
      </c>
      <c r="E566" s="193">
        <f>IFERROR(__xludf.DUMMYFUNCTION("""COMPUTED_VALUE"""),44662.0)</f>
        <v>44662</v>
      </c>
      <c r="F566" s="5" t="str">
        <f>IFERROR(__xludf.DUMMYFUNCTION("""COMPUTED_VALUE"""),"Stock")</f>
        <v>Stock</v>
      </c>
      <c r="G566" s="5" t="str">
        <f>IFERROR(__xludf.DUMMYFUNCTION("""COMPUTED_VALUE"""),"USD")</f>
        <v>USD</v>
      </c>
      <c r="H566" s="22">
        <f>IFERROR(__xludf.DUMMYFUNCTION("""COMPUTED_VALUE"""),20.0)</f>
        <v>20</v>
      </c>
      <c r="I566" s="194">
        <f>IFERROR(__xludf.DUMMYFUNCTION("""COMPUTED_VALUE"""),7.83795)</f>
        <v>7.83795</v>
      </c>
      <c r="J566" s="23">
        <f>IFERROR(__xludf.DUMMYFUNCTION("""COMPUTED_VALUE"""),975.93)</f>
        <v>975.93</v>
      </c>
      <c r="K566" s="5"/>
      <c r="L566" s="23">
        <f>IFERROR(__xludf.DUMMYFUNCTION("""COMPUTED_VALUE"""),1022.37)</f>
        <v>1022.37</v>
      </c>
      <c r="M566" s="195" t="str">
        <f>IFERROR(__xludf.DUMMYFUNCTION("""COMPUTED_VALUE"""),"Equity Key Stats")</f>
        <v>Equity Key Stats</v>
      </c>
      <c r="N566" s="5"/>
      <c r="O566" s="5"/>
      <c r="P566" s="142">
        <f>IFERROR(__xludf.DUMMYFUNCTION("""COMPUTED_VALUE"""),-152985.81087000002)</f>
        <v>-152985.8109</v>
      </c>
      <c r="Q566" s="5"/>
      <c r="R566" s="71">
        <f>IFERROR(__xludf.DUMMYFUNCTION("""COMPUTED_VALUE"""),1022.37)</f>
        <v>1022.37</v>
      </c>
      <c r="S566" s="142">
        <f>IFERROR(__xludf.DUMMYFUNCTION("""COMPUTED_VALUE"""),160265.69883)</f>
        <v>160265.6988</v>
      </c>
      <c r="T566" s="5">
        <f>IFERROR(__xludf.DUMMYFUNCTION("""COMPUTED_VALUE"""),4.0)</f>
        <v>4</v>
      </c>
      <c r="U566" s="5" t="str">
        <f>IFERROR(__xludf.DUMMYFUNCTION("""COMPUTED_VALUE"""),"")</f>
        <v/>
      </c>
      <c r="V566" s="185" t="str">
        <f>IFERROR(__xludf.DUMMYFUNCTION("""COMPUTED_VALUE"""),"")</f>
        <v/>
      </c>
      <c r="W566" s="55" t="str">
        <f>IFERROR(__xludf.DUMMYFUNCTION("""COMPUTED_VALUE"""),"")</f>
        <v/>
      </c>
      <c r="X566" s="22" t="str">
        <f>IFERROR(__xludf.DUMMYFUNCTION("""COMPUTED_VALUE"""),"")</f>
        <v/>
      </c>
      <c r="Y566" s="22" t="str">
        <f>IFERROR(__xludf.DUMMYFUNCTION("""COMPUTED_VALUE"""),"")</f>
        <v/>
      </c>
      <c r="Z566" s="24" t="str">
        <f>IFERROR(__xludf.DUMMYFUNCTION("""COMPUTED_VALUE"""),"")</f>
        <v/>
      </c>
    </row>
    <row r="567">
      <c r="A567" s="5" t="str">
        <f>IFERROR(__xludf.DUMMYFUNCTION("""COMPUTED_VALUE"""),"")</f>
        <v/>
      </c>
      <c r="B567" s="5" t="str">
        <f>IFERROR(__xludf.DUMMYFUNCTION("""COMPUTED_VALUE"""),"40776")</f>
        <v>40776</v>
      </c>
      <c r="C567" s="9">
        <f>IFERROR(__xludf.DUMMYFUNCTION("""COMPUTED_VALUE"""),4.4663001416E10)</f>
        <v>44663001416</v>
      </c>
      <c r="D567" s="91" t="str">
        <f>IFERROR(__xludf.DUMMYFUNCTION("""COMPUTED_VALUE"""),"9988.hk")</f>
        <v>9988.hk</v>
      </c>
      <c r="E567" s="193">
        <f>IFERROR(__xludf.DUMMYFUNCTION("""COMPUTED_VALUE"""),44663.0)</f>
        <v>44663</v>
      </c>
      <c r="F567" s="5" t="str">
        <f>IFERROR(__xludf.DUMMYFUNCTION("""COMPUTED_VALUE"""),"Stock")</f>
        <v>Stock</v>
      </c>
      <c r="G567" s="5" t="str">
        <f>IFERROR(__xludf.DUMMYFUNCTION("""COMPUTED_VALUE"""),"HKD")</f>
        <v>HKD</v>
      </c>
      <c r="H567" s="22">
        <f>IFERROR(__xludf.DUMMYFUNCTION("""COMPUTED_VALUE"""),0.0)</f>
        <v>0</v>
      </c>
      <c r="I567" s="194">
        <f>IFERROR(__xludf.DUMMYFUNCTION("""COMPUTED_VALUE"""),1.0)</f>
        <v>1</v>
      </c>
      <c r="J567" s="23">
        <f>IFERROR(__xludf.DUMMYFUNCTION("""COMPUTED_VALUE"""),0.0)</f>
        <v>0</v>
      </c>
      <c r="K567" s="5"/>
      <c r="L567" s="23">
        <f>IFERROR(__xludf.DUMMYFUNCTION("""COMPUTED_VALUE"""),98.5)</f>
        <v>98.5</v>
      </c>
      <c r="M567" s="195" t="str">
        <f>IFERROR(__xludf.DUMMYFUNCTION("""COMPUTED_VALUE"""),"Equity Key Stats")</f>
        <v>Equity Key Stats</v>
      </c>
      <c r="N567" s="5"/>
      <c r="O567" s="5"/>
      <c r="P567" s="142">
        <f>IFERROR(__xludf.DUMMYFUNCTION("""COMPUTED_VALUE"""),0.0)</f>
        <v>0</v>
      </c>
      <c r="Q567" s="5"/>
      <c r="R567" s="71">
        <f>IFERROR(__xludf.DUMMYFUNCTION("""COMPUTED_VALUE"""),98.5)</f>
        <v>98.5</v>
      </c>
      <c r="S567" s="142">
        <f>IFERROR(__xludf.DUMMYFUNCTION("""COMPUTED_VALUE"""),0.0)</f>
        <v>0</v>
      </c>
      <c r="T567" s="5">
        <f>IFERROR(__xludf.DUMMYFUNCTION("""COMPUTED_VALUE"""),1.0)</f>
        <v>1</v>
      </c>
      <c r="U567" s="5">
        <f>IFERROR(__xludf.DUMMYFUNCTION("""COMPUTED_VALUE"""),1.0)</f>
        <v>1</v>
      </c>
      <c r="V567" s="185">
        <f>IFERROR(__xludf.DUMMYFUNCTION("""COMPUTED_VALUE"""),0.0)</f>
        <v>0</v>
      </c>
      <c r="W567" s="55" t="str">
        <f>IFERROR(__xludf.DUMMYFUNCTION("""COMPUTED_VALUE"""),"")</f>
        <v/>
      </c>
      <c r="X567" s="22" t="str">
        <f>IFERROR(__xludf.DUMMYFUNCTION("""COMPUTED_VALUE"""),"")</f>
        <v/>
      </c>
      <c r="Y567" s="22" t="str">
        <f>IFERROR(__xludf.DUMMYFUNCTION("""COMPUTED_VALUE"""),"")</f>
        <v/>
      </c>
      <c r="Z567" s="24" t="str">
        <f>IFERROR(__xludf.DUMMYFUNCTION("""COMPUTED_VALUE"""),"")</f>
        <v/>
      </c>
    </row>
    <row r="568">
      <c r="A568" s="5" t="str">
        <f>IFERROR(__xludf.DUMMYFUNCTION("""COMPUTED_VALUE"""),"")</f>
        <v/>
      </c>
      <c r="B568" s="5" t="str">
        <f>IFERROR(__xludf.DUMMYFUNCTION("""COMPUTED_VALUE"""),"40776")</f>
        <v>40776</v>
      </c>
      <c r="C568" s="9">
        <f>IFERROR(__xludf.DUMMYFUNCTION("""COMPUTED_VALUE"""),4.4663001418E10)</f>
        <v>44663001418</v>
      </c>
      <c r="D568" s="91" t="str">
        <f>IFERROR(__xludf.DUMMYFUNCTION("""COMPUTED_VALUE"""),"9626.hk")</f>
        <v>9626.hk</v>
      </c>
      <c r="E568" s="193">
        <f>IFERROR(__xludf.DUMMYFUNCTION("""COMPUTED_VALUE"""),44663.0)</f>
        <v>44663</v>
      </c>
      <c r="F568" s="5" t="str">
        <f>IFERROR(__xludf.DUMMYFUNCTION("""COMPUTED_VALUE"""),"Stock")</f>
        <v>Stock</v>
      </c>
      <c r="G568" s="5" t="str">
        <f>IFERROR(__xludf.DUMMYFUNCTION("""COMPUTED_VALUE"""),"HKD")</f>
        <v>HKD</v>
      </c>
      <c r="H568" s="22">
        <f>IFERROR(__xludf.DUMMYFUNCTION("""COMPUTED_VALUE"""),0.0)</f>
        <v>0</v>
      </c>
      <c r="I568" s="194">
        <f>IFERROR(__xludf.DUMMYFUNCTION("""COMPUTED_VALUE"""),1.0)</f>
        <v>1</v>
      </c>
      <c r="J568" s="23">
        <f>IFERROR(__xludf.DUMMYFUNCTION("""COMPUTED_VALUE"""),0.0)</f>
        <v>0</v>
      </c>
      <c r="K568" s="5"/>
      <c r="L568" s="23">
        <f>IFERROR(__xludf.DUMMYFUNCTION("""COMPUTED_VALUE"""),202.6)</f>
        <v>202.6</v>
      </c>
      <c r="M568" s="195" t="str">
        <f>IFERROR(__xludf.DUMMYFUNCTION("""COMPUTED_VALUE"""),"Equity Key Stats")</f>
        <v>Equity Key Stats</v>
      </c>
      <c r="N568" s="5"/>
      <c r="O568" s="5"/>
      <c r="P568" s="142">
        <f>IFERROR(__xludf.DUMMYFUNCTION("""COMPUTED_VALUE"""),0.0)</f>
        <v>0</v>
      </c>
      <c r="Q568" s="5"/>
      <c r="R568" s="71">
        <f>IFERROR(__xludf.DUMMYFUNCTION("""COMPUTED_VALUE"""),202.6)</f>
        <v>202.6</v>
      </c>
      <c r="S568" s="142">
        <f>IFERROR(__xludf.DUMMYFUNCTION("""COMPUTED_VALUE"""),0.0)</f>
        <v>0</v>
      </c>
      <c r="T568" s="5">
        <f>IFERROR(__xludf.DUMMYFUNCTION("""COMPUTED_VALUE"""),1.0)</f>
        <v>1</v>
      </c>
      <c r="U568" s="5">
        <f>IFERROR(__xludf.DUMMYFUNCTION("""COMPUTED_VALUE"""),1.0)</f>
        <v>1</v>
      </c>
      <c r="V568" s="185">
        <f>IFERROR(__xludf.DUMMYFUNCTION("""COMPUTED_VALUE"""),0.0)</f>
        <v>0</v>
      </c>
      <c r="W568" s="55" t="str">
        <f>IFERROR(__xludf.DUMMYFUNCTION("""COMPUTED_VALUE"""),"")</f>
        <v/>
      </c>
      <c r="X568" s="22" t="str">
        <f>IFERROR(__xludf.DUMMYFUNCTION("""COMPUTED_VALUE"""),"")</f>
        <v/>
      </c>
      <c r="Y568" s="22" t="str">
        <f>IFERROR(__xludf.DUMMYFUNCTION("""COMPUTED_VALUE"""),"")</f>
        <v/>
      </c>
      <c r="Z568" s="24" t="str">
        <f>IFERROR(__xludf.DUMMYFUNCTION("""COMPUTED_VALUE"""),"")</f>
        <v/>
      </c>
    </row>
    <row r="569">
      <c r="A569" s="5" t="str">
        <f>IFERROR(__xludf.DUMMYFUNCTION("""COMPUTED_VALUE"""),"40776")</f>
        <v>40776</v>
      </c>
      <c r="B569" s="5" t="str">
        <f>IFERROR(__xludf.DUMMYFUNCTION("""COMPUTED_VALUE"""),"40776")</f>
        <v>40776</v>
      </c>
      <c r="C569" s="9">
        <f>IFERROR(__xludf.DUMMYFUNCTION("""COMPUTED_VALUE"""),4.4663001428E10)</f>
        <v>44663001428</v>
      </c>
      <c r="D569" s="85" t="str">
        <f>IFERROR(__xludf.DUMMYFUNCTION("""COMPUTED_VALUE"""),"TSLA")</f>
        <v>TSLA</v>
      </c>
      <c r="E569" s="193">
        <f>IFERROR(__xludf.DUMMYFUNCTION("""COMPUTED_VALUE"""),44663.0)</f>
        <v>44663</v>
      </c>
      <c r="F569" s="5" t="str">
        <f>IFERROR(__xludf.DUMMYFUNCTION("""COMPUTED_VALUE"""),"Stock")</f>
        <v>Stock</v>
      </c>
      <c r="G569" s="5" t="str">
        <f>IFERROR(__xludf.DUMMYFUNCTION("""COMPUTED_VALUE"""),"USD")</f>
        <v>USD</v>
      </c>
      <c r="H569" s="22">
        <f>IFERROR(__xludf.DUMMYFUNCTION("""COMPUTED_VALUE"""),-20.0)</f>
        <v>-20</v>
      </c>
      <c r="I569" s="194">
        <f>IFERROR(__xludf.DUMMYFUNCTION("""COMPUTED_VALUE"""),7.83775)</f>
        <v>7.83775</v>
      </c>
      <c r="J569" s="23">
        <f>IFERROR(__xludf.DUMMYFUNCTION("""COMPUTED_VALUE"""),986.95)</f>
        <v>986.95</v>
      </c>
      <c r="K569" s="5"/>
      <c r="L569" s="23">
        <f>IFERROR(__xludf.DUMMYFUNCTION("""COMPUTED_VALUE"""),1022.37)</f>
        <v>1022.37</v>
      </c>
      <c r="M569" s="195" t="str">
        <f>IFERROR(__xludf.DUMMYFUNCTION("""COMPUTED_VALUE"""),"Equity Key Stats")</f>
        <v>Equity Key Stats</v>
      </c>
      <c r="N569" s="5"/>
      <c r="O569" s="5"/>
      <c r="P569" s="142">
        <f>IFERROR(__xludf.DUMMYFUNCTION("""COMPUTED_VALUE"""),154709.34725)</f>
        <v>154709.3473</v>
      </c>
      <c r="Q569" s="5"/>
      <c r="R569" s="71">
        <f>IFERROR(__xludf.DUMMYFUNCTION("""COMPUTED_VALUE"""),1022.37)</f>
        <v>1022.37</v>
      </c>
      <c r="S569" s="142">
        <f>IFERROR(__xludf.DUMMYFUNCTION("""COMPUTED_VALUE"""),-160261.60934999998)</f>
        <v>-160261.6094</v>
      </c>
      <c r="T569" s="5">
        <f>IFERROR(__xludf.DUMMYFUNCTION("""COMPUTED_VALUE"""),4.0)</f>
        <v>4</v>
      </c>
      <c r="U569" s="5">
        <f>IFERROR(__xludf.DUMMYFUNCTION("""COMPUTED_VALUE"""),1.0)</f>
        <v>1</v>
      </c>
      <c r="V569" s="185">
        <f>IFERROR(__xludf.DUMMYFUNCTION("""COMPUTED_VALUE"""),504.70052000001306)</f>
        <v>504.70052</v>
      </c>
      <c r="W569" s="55">
        <f>IFERROR(__xludf.DUMMYFUNCTION("""COMPUTED_VALUE"""),500504.70052)</f>
        <v>500504.7005</v>
      </c>
      <c r="X569" s="22">
        <f>IFERROR(__xludf.DUMMYFUNCTION("""COMPUTED_VALUE"""),99769.14313749998)</f>
        <v>99769.14314</v>
      </c>
      <c r="Y569" s="22">
        <f>IFERROR(__xludf.DUMMYFUNCTION("""COMPUTED_VALUE"""),0.0)</f>
        <v>0</v>
      </c>
      <c r="Z569" s="24">
        <f>IFERROR(__xludf.DUMMYFUNCTION("""COMPUTED_VALUE"""),0.0010094010400001352)</f>
        <v>0.00100940104</v>
      </c>
    </row>
    <row r="570">
      <c r="A570" s="5" t="str">
        <f>IFERROR(__xludf.DUMMYFUNCTION("""COMPUTED_VALUE"""),"")</f>
        <v/>
      </c>
      <c r="B570" s="5" t="str">
        <f>IFERROR(__xludf.DUMMYFUNCTION("""COMPUTED_VALUE"""),"45962")</f>
        <v>45962</v>
      </c>
      <c r="C570" s="9">
        <f>IFERROR(__xludf.DUMMYFUNCTION("""COMPUTED_VALUE"""),4.4597000083E10)</f>
        <v>44597000083</v>
      </c>
      <c r="D570" s="85" t="str">
        <f>IFERROR(__xludf.DUMMYFUNCTION("""COMPUTED_VALUE"""),"Cash")</f>
        <v>Cash</v>
      </c>
      <c r="E570" s="193">
        <f>IFERROR(__xludf.DUMMYFUNCTION("""COMPUTED_VALUE"""),44597.0)</f>
        <v>44597</v>
      </c>
      <c r="F570" s="5" t="str">
        <f>IFERROR(__xludf.DUMMYFUNCTION("""COMPUTED_VALUE"""),"Cash")</f>
        <v>Cash</v>
      </c>
      <c r="G570" s="5" t="str">
        <f>IFERROR(__xludf.DUMMYFUNCTION("""COMPUTED_VALUE"""),"HKD")</f>
        <v>HKD</v>
      </c>
      <c r="H570" s="22" t="str">
        <f>IFERROR(__xludf.DUMMYFUNCTION("""COMPUTED_VALUE"""),"")</f>
        <v/>
      </c>
      <c r="I570" s="194">
        <f>IFERROR(__xludf.DUMMYFUNCTION("""COMPUTED_VALUE"""),1.0)</f>
        <v>1</v>
      </c>
      <c r="J570" s="5">
        <f>IFERROR(__xludf.DUMMYFUNCTION("""COMPUTED_VALUE"""),1.0)</f>
        <v>1</v>
      </c>
      <c r="K570" s="5"/>
      <c r="L570" s="23">
        <f>IFERROR(__xludf.DUMMYFUNCTION("""COMPUTED_VALUE"""),1.0)</f>
        <v>1</v>
      </c>
      <c r="M570" s="25" t="str">
        <f>IFERROR(__xludf.DUMMYFUNCTION("""COMPUTED_VALUE"""),"")</f>
        <v/>
      </c>
      <c r="N570" s="5"/>
      <c r="O570" s="5"/>
      <c r="P570" s="142">
        <f>IFERROR(__xludf.DUMMYFUNCTION("""COMPUTED_VALUE"""),500000.0)</f>
        <v>500000</v>
      </c>
      <c r="Q570" s="5"/>
      <c r="R570" s="71">
        <f>IFERROR(__xludf.DUMMYFUNCTION("""COMPUTED_VALUE"""),1.0)</f>
        <v>1</v>
      </c>
      <c r="S570" s="142" t="str">
        <f>IFERROR(__xludf.DUMMYFUNCTION("""COMPUTED_VALUE"""),"")</f>
        <v/>
      </c>
      <c r="T570" s="5">
        <f>IFERROR(__xludf.DUMMYFUNCTION("""COMPUTED_VALUE"""),1.0)</f>
        <v>1</v>
      </c>
      <c r="U570" s="5">
        <f>IFERROR(__xludf.DUMMYFUNCTION("""COMPUTED_VALUE"""),1.0)</f>
        <v>1</v>
      </c>
      <c r="V570" s="185">
        <f>IFERROR(__xludf.DUMMYFUNCTION("""COMPUTED_VALUE"""),500000.0)</f>
        <v>500000</v>
      </c>
      <c r="W570" s="55" t="str">
        <f>IFERROR(__xludf.DUMMYFUNCTION("""COMPUTED_VALUE"""),"")</f>
        <v/>
      </c>
      <c r="X570" s="22" t="str">
        <f>IFERROR(__xludf.DUMMYFUNCTION("""COMPUTED_VALUE"""),"")</f>
        <v/>
      </c>
      <c r="Y570" s="22" t="str">
        <f>IFERROR(__xludf.DUMMYFUNCTION("""COMPUTED_VALUE"""),"")</f>
        <v/>
      </c>
      <c r="Z570" s="24" t="str">
        <f>IFERROR(__xludf.DUMMYFUNCTION("""COMPUTED_VALUE"""),"")</f>
        <v/>
      </c>
    </row>
    <row r="571">
      <c r="A571" s="5" t="str">
        <f>IFERROR(__xludf.DUMMYFUNCTION("""COMPUTED_VALUE"""),"")</f>
        <v/>
      </c>
      <c r="B571" s="5" t="str">
        <f>IFERROR(__xludf.DUMMYFUNCTION("""COMPUTED_VALUE"""),"45962")</f>
        <v>45962</v>
      </c>
      <c r="C571" s="9">
        <f>IFERROR(__xludf.DUMMYFUNCTION("""COMPUTED_VALUE"""),4.4621000381E10)</f>
        <v>44621000381</v>
      </c>
      <c r="D571" s="90" t="str">
        <f>IFERROR(__xludf.DUMMYFUNCTION("""COMPUTED_VALUE"""),"0700.HK")</f>
        <v>0700.HK</v>
      </c>
      <c r="E571" s="193">
        <f>IFERROR(__xludf.DUMMYFUNCTION("""COMPUTED_VALUE"""),44621.0)</f>
        <v>44621</v>
      </c>
      <c r="F571" s="5" t="str">
        <f>IFERROR(__xludf.DUMMYFUNCTION("""COMPUTED_VALUE"""),"Stock")</f>
        <v>Stock</v>
      </c>
      <c r="G571" s="5" t="str">
        <f>IFERROR(__xludf.DUMMYFUNCTION("""COMPUTED_VALUE"""),"HKD")</f>
        <v>HKD</v>
      </c>
      <c r="H571" s="22">
        <f>IFERROR(__xludf.DUMMYFUNCTION("""COMPUTED_VALUE"""),1000.0)</f>
        <v>1000</v>
      </c>
      <c r="I571" s="194">
        <f>IFERROR(__xludf.DUMMYFUNCTION("""COMPUTED_VALUE"""),1.0)</f>
        <v>1</v>
      </c>
      <c r="J571" s="23">
        <f>IFERROR(__xludf.DUMMYFUNCTION("""COMPUTED_VALUE"""),421.2)</f>
        <v>421.2</v>
      </c>
      <c r="K571" s="5"/>
      <c r="L571" s="23">
        <f>IFERROR(__xludf.DUMMYFUNCTION("""COMPUTED_VALUE"""),373.6)</f>
        <v>373.6</v>
      </c>
      <c r="M571" s="195" t="str">
        <f>IFERROR(__xludf.DUMMYFUNCTION("""COMPUTED_VALUE"""),"Equity Key Stats")</f>
        <v>Equity Key Stats</v>
      </c>
      <c r="N571" s="5"/>
      <c r="O571" s="5"/>
      <c r="P571" s="142">
        <f>IFERROR(__xludf.DUMMYFUNCTION("""COMPUTED_VALUE"""),-421200.0)</f>
        <v>-421200</v>
      </c>
      <c r="Q571" s="5"/>
      <c r="R571" s="71">
        <f>IFERROR(__xludf.DUMMYFUNCTION("""COMPUTED_VALUE"""),373.6)</f>
        <v>373.6</v>
      </c>
      <c r="S571" s="142">
        <f>IFERROR(__xludf.DUMMYFUNCTION("""COMPUTED_VALUE"""),373600.0)</f>
        <v>373600</v>
      </c>
      <c r="T571" s="5">
        <f>IFERROR(__xludf.DUMMYFUNCTION("""COMPUTED_VALUE"""),2.0)</f>
        <v>2</v>
      </c>
      <c r="U571" s="5" t="str">
        <f>IFERROR(__xludf.DUMMYFUNCTION("""COMPUTED_VALUE"""),"")</f>
        <v/>
      </c>
      <c r="V571" s="185" t="str">
        <f>IFERROR(__xludf.DUMMYFUNCTION("""COMPUTED_VALUE"""),"")</f>
        <v/>
      </c>
      <c r="W571" s="55" t="str">
        <f>IFERROR(__xludf.DUMMYFUNCTION("""COMPUTED_VALUE"""),"")</f>
        <v/>
      </c>
      <c r="X571" s="22" t="str">
        <f>IFERROR(__xludf.DUMMYFUNCTION("""COMPUTED_VALUE"""),"")</f>
        <v/>
      </c>
      <c r="Y571" s="22" t="str">
        <f>IFERROR(__xludf.DUMMYFUNCTION("""COMPUTED_VALUE"""),"")</f>
        <v/>
      </c>
      <c r="Z571" s="24" t="str">
        <f>IFERROR(__xludf.DUMMYFUNCTION("""COMPUTED_VALUE"""),"")</f>
        <v/>
      </c>
    </row>
    <row r="572">
      <c r="A572" s="5" t="str">
        <f>IFERROR(__xludf.DUMMYFUNCTION("""COMPUTED_VALUE"""),"45962")</f>
        <v>45962</v>
      </c>
      <c r="B572" s="5" t="str">
        <f>IFERROR(__xludf.DUMMYFUNCTION("""COMPUTED_VALUE"""),"45962")</f>
        <v>45962</v>
      </c>
      <c r="C572" s="9">
        <f>IFERROR(__xludf.DUMMYFUNCTION("""COMPUTED_VALUE"""),4.463600064E10)</f>
        <v>44636000640</v>
      </c>
      <c r="D572" s="90" t="str">
        <f>IFERROR(__xludf.DUMMYFUNCTION("""COMPUTED_VALUE"""),"0700.hk")</f>
        <v>0700.hk</v>
      </c>
      <c r="E572" s="193">
        <f>IFERROR(__xludf.DUMMYFUNCTION("""COMPUTED_VALUE"""),44636.0)</f>
        <v>44636</v>
      </c>
      <c r="F572" s="5" t="str">
        <f>IFERROR(__xludf.DUMMYFUNCTION("""COMPUTED_VALUE"""),"Stock")</f>
        <v>Stock</v>
      </c>
      <c r="G572" s="5" t="str">
        <f>IFERROR(__xludf.DUMMYFUNCTION("""COMPUTED_VALUE"""),"HKD")</f>
        <v>HKD</v>
      </c>
      <c r="H572" s="22">
        <f>IFERROR(__xludf.DUMMYFUNCTION("""COMPUTED_VALUE"""),200.0)</f>
        <v>200</v>
      </c>
      <c r="I572" s="194">
        <f>IFERROR(__xludf.DUMMYFUNCTION("""COMPUTED_VALUE"""),1.0)</f>
        <v>1</v>
      </c>
      <c r="J572" s="23">
        <f>IFERROR(__xludf.DUMMYFUNCTION("""COMPUTED_VALUE"""),367.0)</f>
        <v>367</v>
      </c>
      <c r="K572" s="5"/>
      <c r="L572" s="23">
        <f>IFERROR(__xludf.DUMMYFUNCTION("""COMPUTED_VALUE"""),373.6)</f>
        <v>373.6</v>
      </c>
      <c r="M572" s="195" t="str">
        <f>IFERROR(__xludf.DUMMYFUNCTION("""COMPUTED_VALUE"""),"Equity Key Stats")</f>
        <v>Equity Key Stats</v>
      </c>
      <c r="N572" s="5"/>
      <c r="O572" s="5"/>
      <c r="P572" s="142">
        <f>IFERROR(__xludf.DUMMYFUNCTION("""COMPUTED_VALUE"""),-73400.0)</f>
        <v>-73400</v>
      </c>
      <c r="Q572" s="5"/>
      <c r="R572" s="71">
        <f>IFERROR(__xludf.DUMMYFUNCTION("""COMPUTED_VALUE"""),373.6)</f>
        <v>373.6</v>
      </c>
      <c r="S572" s="142">
        <f>IFERROR(__xludf.DUMMYFUNCTION("""COMPUTED_VALUE"""),74720.0)</f>
        <v>74720</v>
      </c>
      <c r="T572" s="5">
        <f>IFERROR(__xludf.DUMMYFUNCTION("""COMPUTED_VALUE"""),2.0)</f>
        <v>2</v>
      </c>
      <c r="U572" s="5">
        <f>IFERROR(__xludf.DUMMYFUNCTION("""COMPUTED_VALUE"""),1.0)</f>
        <v>1</v>
      </c>
      <c r="V572" s="185">
        <f>IFERROR(__xludf.DUMMYFUNCTION("""COMPUTED_VALUE"""),-46280.0)</f>
        <v>-46280</v>
      </c>
      <c r="W572" s="55">
        <f>IFERROR(__xludf.DUMMYFUNCTION("""COMPUTED_VALUE"""),453720.0)</f>
        <v>453720</v>
      </c>
      <c r="X572" s="22">
        <f>IFERROR(__xludf.DUMMYFUNCTION("""COMPUTED_VALUE"""),5400.0)</f>
        <v>5400</v>
      </c>
      <c r="Y572" s="22">
        <f>IFERROR(__xludf.DUMMYFUNCTION("""COMPUTED_VALUE"""),0.0)</f>
        <v>0</v>
      </c>
      <c r="Z572" s="24">
        <f>IFERROR(__xludf.DUMMYFUNCTION("""COMPUTED_VALUE"""),-0.09255999999999998)</f>
        <v>-0.09256</v>
      </c>
    </row>
    <row r="573">
      <c r="A573" s="5" t="str">
        <f>IFERROR(__xludf.DUMMYFUNCTION("""COMPUTED_VALUE"""),"")</f>
        <v/>
      </c>
      <c r="B573" s="5" t="str">
        <f>IFERROR(__xludf.DUMMYFUNCTION("""COMPUTED_VALUE"""),"45969")</f>
        <v>45969</v>
      </c>
      <c r="C573" s="9">
        <f>IFERROR(__xludf.DUMMYFUNCTION("""COMPUTED_VALUE"""),4.4597000055E10)</f>
        <v>44597000055</v>
      </c>
      <c r="D573" s="85" t="str">
        <f>IFERROR(__xludf.DUMMYFUNCTION("""COMPUTED_VALUE"""),"Cash")</f>
        <v>Cash</v>
      </c>
      <c r="E573" s="193">
        <f>IFERROR(__xludf.DUMMYFUNCTION("""COMPUTED_VALUE"""),44597.0)</f>
        <v>44597</v>
      </c>
      <c r="F573" s="5" t="str">
        <f>IFERROR(__xludf.DUMMYFUNCTION("""COMPUTED_VALUE"""),"Cash")</f>
        <v>Cash</v>
      </c>
      <c r="G573" s="5" t="str">
        <f>IFERROR(__xludf.DUMMYFUNCTION("""COMPUTED_VALUE"""),"HKD")</f>
        <v>HKD</v>
      </c>
      <c r="H573" s="22" t="str">
        <f>IFERROR(__xludf.DUMMYFUNCTION("""COMPUTED_VALUE"""),"")</f>
        <v/>
      </c>
      <c r="I573" s="194">
        <f>IFERROR(__xludf.DUMMYFUNCTION("""COMPUTED_VALUE"""),1.0)</f>
        <v>1</v>
      </c>
      <c r="J573" s="5">
        <f>IFERROR(__xludf.DUMMYFUNCTION("""COMPUTED_VALUE"""),1.0)</f>
        <v>1</v>
      </c>
      <c r="K573" s="5"/>
      <c r="L573" s="23">
        <f>IFERROR(__xludf.DUMMYFUNCTION("""COMPUTED_VALUE"""),1.0)</f>
        <v>1</v>
      </c>
      <c r="M573" s="25" t="str">
        <f>IFERROR(__xludf.DUMMYFUNCTION("""COMPUTED_VALUE"""),"")</f>
        <v/>
      </c>
      <c r="N573" s="5"/>
      <c r="O573" s="5"/>
      <c r="P573" s="142">
        <f>IFERROR(__xludf.DUMMYFUNCTION("""COMPUTED_VALUE"""),500000.0)</f>
        <v>500000</v>
      </c>
      <c r="Q573" s="5"/>
      <c r="R573" s="71">
        <f>IFERROR(__xludf.DUMMYFUNCTION("""COMPUTED_VALUE"""),1.0)</f>
        <v>1</v>
      </c>
      <c r="S573" s="142" t="str">
        <f>IFERROR(__xludf.DUMMYFUNCTION("""COMPUTED_VALUE"""),"")</f>
        <v/>
      </c>
      <c r="T573" s="5">
        <f>IFERROR(__xludf.DUMMYFUNCTION("""COMPUTED_VALUE"""),1.0)</f>
        <v>1</v>
      </c>
      <c r="U573" s="5">
        <f>IFERROR(__xludf.DUMMYFUNCTION("""COMPUTED_VALUE"""),1.0)</f>
        <v>1</v>
      </c>
      <c r="V573" s="185">
        <f>IFERROR(__xludf.DUMMYFUNCTION("""COMPUTED_VALUE"""),500000.0)</f>
        <v>500000</v>
      </c>
      <c r="W573" s="55" t="str">
        <f>IFERROR(__xludf.DUMMYFUNCTION("""COMPUTED_VALUE"""),"")</f>
        <v/>
      </c>
      <c r="X573" s="22" t="str">
        <f>IFERROR(__xludf.DUMMYFUNCTION("""COMPUTED_VALUE"""),"")</f>
        <v/>
      </c>
      <c r="Y573" s="22" t="str">
        <f>IFERROR(__xludf.DUMMYFUNCTION("""COMPUTED_VALUE"""),"")</f>
        <v/>
      </c>
      <c r="Z573" s="24" t="str">
        <f>IFERROR(__xludf.DUMMYFUNCTION("""COMPUTED_VALUE"""),"")</f>
        <v/>
      </c>
    </row>
    <row r="574">
      <c r="A574" s="5" t="str">
        <f>IFERROR(__xludf.DUMMYFUNCTION("""COMPUTED_VALUE"""),"")</f>
        <v/>
      </c>
      <c r="B574" s="5" t="str">
        <f>IFERROR(__xludf.DUMMYFUNCTION("""COMPUTED_VALUE"""),"45969")</f>
        <v>45969</v>
      </c>
      <c r="C574" s="9">
        <f>IFERROR(__xludf.DUMMYFUNCTION("""COMPUTED_VALUE"""),4.4600000134E10)</f>
        <v>44600000134</v>
      </c>
      <c r="D574" s="87" t="str">
        <f>IFERROR(__xludf.DUMMYFUNCTION("""COMPUTED_VALUE"""),"BILI220318P00040000")</f>
        <v>BILI220318P00040000</v>
      </c>
      <c r="E574" s="193">
        <f>IFERROR(__xludf.DUMMYFUNCTION("""COMPUTED_VALUE"""),44600.0)</f>
        <v>44600</v>
      </c>
      <c r="F574" s="5" t="str">
        <f>IFERROR(__xludf.DUMMYFUNCTION("""COMPUTED_VALUE"""),"Option")</f>
        <v>Option</v>
      </c>
      <c r="G574" s="5" t="str">
        <f>IFERROR(__xludf.DUMMYFUNCTION("""COMPUTED_VALUE"""),"USD")</f>
        <v>USD</v>
      </c>
      <c r="H574" s="22">
        <f>IFERROR(__xludf.DUMMYFUNCTION("""COMPUTED_VALUE"""),7.0)</f>
        <v>7</v>
      </c>
      <c r="I574" s="194">
        <f>IFERROR(__xludf.DUMMYFUNCTION("""COMPUTED_VALUE"""),7.793545)</f>
        <v>7.793545</v>
      </c>
      <c r="J574" s="23">
        <f>IFERROR(__xludf.DUMMYFUNCTION("""COMPUTED_VALUE"""),8.5)</f>
        <v>8.5</v>
      </c>
      <c r="K574" s="5"/>
      <c r="L574" s="23">
        <f>IFERROR(__xludf.DUMMYFUNCTION("""COMPUTED_VALUE"""),0.0)</f>
        <v>0</v>
      </c>
      <c r="M574" s="25" t="str">
        <f>IFERROR(__xludf.DUMMYFUNCTION("""COMPUTED_VALUE"""),"")</f>
        <v/>
      </c>
      <c r="N574" s="5"/>
      <c r="O574" s="5"/>
      <c r="P574" s="142">
        <f>IFERROR(__xludf.DUMMYFUNCTION("""COMPUTED_VALUE"""),-46371.592749999996)</f>
        <v>-46371.59275</v>
      </c>
      <c r="Q574" s="5"/>
      <c r="R574" s="71">
        <f>IFERROR(__xludf.DUMMYFUNCTION("""COMPUTED_VALUE"""),0.0)</f>
        <v>0</v>
      </c>
      <c r="S574" s="142">
        <f>IFERROR(__xludf.DUMMYFUNCTION("""COMPUTED_VALUE"""),0.0)</f>
        <v>0</v>
      </c>
      <c r="T574" s="5">
        <f>IFERROR(__xludf.DUMMYFUNCTION("""COMPUTED_VALUE"""),2.0)</f>
        <v>2</v>
      </c>
      <c r="U574" s="5" t="str">
        <f>IFERROR(__xludf.DUMMYFUNCTION("""COMPUTED_VALUE"""),"")</f>
        <v/>
      </c>
      <c r="V574" s="185" t="str">
        <f>IFERROR(__xludf.DUMMYFUNCTION("""COMPUTED_VALUE"""),"")</f>
        <v/>
      </c>
      <c r="W574" s="55" t="str">
        <f>IFERROR(__xludf.DUMMYFUNCTION("""COMPUTED_VALUE"""),"")</f>
        <v/>
      </c>
      <c r="X574" s="22" t="str">
        <f>IFERROR(__xludf.DUMMYFUNCTION("""COMPUTED_VALUE"""),"")</f>
        <v/>
      </c>
      <c r="Y574" s="22" t="str">
        <f>IFERROR(__xludf.DUMMYFUNCTION("""COMPUTED_VALUE"""),"")</f>
        <v/>
      </c>
      <c r="Z574" s="24" t="str">
        <f>IFERROR(__xludf.DUMMYFUNCTION("""COMPUTED_VALUE"""),"")</f>
        <v/>
      </c>
    </row>
    <row r="575">
      <c r="A575" s="5" t="str">
        <f>IFERROR(__xludf.DUMMYFUNCTION("""COMPUTED_VALUE"""),"")</f>
        <v/>
      </c>
      <c r="B575" s="5" t="str">
        <f>IFERROR(__xludf.DUMMYFUNCTION("""COMPUTED_VALUE"""),"45969")</f>
        <v>45969</v>
      </c>
      <c r="C575" s="9">
        <f>IFERROR(__xludf.DUMMYFUNCTION("""COMPUTED_VALUE"""),4.4600000135E10)</f>
        <v>44600000135</v>
      </c>
      <c r="D575" s="87" t="str">
        <f>IFERROR(__xludf.DUMMYFUNCTION("""COMPUTED_VALUE"""),"FB220325P00210000")</f>
        <v>FB220325P00210000</v>
      </c>
      <c r="E575" s="193">
        <f>IFERROR(__xludf.DUMMYFUNCTION("""COMPUTED_VALUE"""),44600.0)</f>
        <v>44600</v>
      </c>
      <c r="F575" s="5" t="str">
        <f>IFERROR(__xludf.DUMMYFUNCTION("""COMPUTED_VALUE"""),"Option")</f>
        <v>Option</v>
      </c>
      <c r="G575" s="5" t="str">
        <f>IFERROR(__xludf.DUMMYFUNCTION("""COMPUTED_VALUE"""),"USD")</f>
        <v>USD</v>
      </c>
      <c r="H575" s="22">
        <f>IFERROR(__xludf.DUMMYFUNCTION("""COMPUTED_VALUE"""),16.0)</f>
        <v>16</v>
      </c>
      <c r="I575" s="194">
        <f>IFERROR(__xludf.DUMMYFUNCTION("""COMPUTED_VALUE"""),7.793545)</f>
        <v>7.793545</v>
      </c>
      <c r="J575" s="23">
        <f>IFERROR(__xludf.DUMMYFUNCTION("""COMPUTED_VALUE"""),8.95)</f>
        <v>8.95</v>
      </c>
      <c r="K575" s="5"/>
      <c r="L575" s="23">
        <f>IFERROR(__xludf.DUMMYFUNCTION("""COMPUTED_VALUE"""),0.0)</f>
        <v>0</v>
      </c>
      <c r="M575" s="25" t="str">
        <f>IFERROR(__xludf.DUMMYFUNCTION("""COMPUTED_VALUE"""),"")</f>
        <v/>
      </c>
      <c r="N575" s="5"/>
      <c r="O575" s="5"/>
      <c r="P575" s="142">
        <f>IFERROR(__xludf.DUMMYFUNCTION("""COMPUTED_VALUE"""),-111603.56439999999)</f>
        <v>-111603.5644</v>
      </c>
      <c r="Q575" s="5"/>
      <c r="R575" s="71">
        <f>IFERROR(__xludf.DUMMYFUNCTION("""COMPUTED_VALUE"""),0.0)</f>
        <v>0</v>
      </c>
      <c r="S575" s="142">
        <f>IFERROR(__xludf.DUMMYFUNCTION("""COMPUTED_VALUE"""),0.0)</f>
        <v>0</v>
      </c>
      <c r="T575" s="5">
        <f>IFERROR(__xludf.DUMMYFUNCTION("""COMPUTED_VALUE"""),2.0)</f>
        <v>2</v>
      </c>
      <c r="U575" s="5" t="str">
        <f>IFERROR(__xludf.DUMMYFUNCTION("""COMPUTED_VALUE"""),"")</f>
        <v/>
      </c>
      <c r="V575" s="185" t="str">
        <f>IFERROR(__xludf.DUMMYFUNCTION("""COMPUTED_VALUE"""),"")</f>
        <v/>
      </c>
      <c r="W575" s="55" t="str">
        <f>IFERROR(__xludf.DUMMYFUNCTION("""COMPUTED_VALUE"""),"")</f>
        <v/>
      </c>
      <c r="X575" s="22" t="str">
        <f>IFERROR(__xludf.DUMMYFUNCTION("""COMPUTED_VALUE"""),"")</f>
        <v/>
      </c>
      <c r="Y575" s="22" t="str">
        <f>IFERROR(__xludf.DUMMYFUNCTION("""COMPUTED_VALUE"""),"")</f>
        <v/>
      </c>
      <c r="Z575" s="24" t="str">
        <f>IFERROR(__xludf.DUMMYFUNCTION("""COMPUTED_VALUE"""),"")</f>
        <v/>
      </c>
    </row>
    <row r="576">
      <c r="A576" s="5" t="str">
        <f>IFERROR(__xludf.DUMMYFUNCTION("""COMPUTED_VALUE"""),"")</f>
        <v/>
      </c>
      <c r="B576" s="5" t="str">
        <f>IFERROR(__xludf.DUMMYFUNCTION("""COMPUTED_VALUE"""),"45969")</f>
        <v>45969</v>
      </c>
      <c r="C576" s="9">
        <f>IFERROR(__xludf.DUMMYFUNCTION("""COMPUTED_VALUE"""),4.4600000136E10)</f>
        <v>44600000136</v>
      </c>
      <c r="D576" s="87" t="str">
        <f>IFERROR(__xludf.DUMMYFUNCTION("""COMPUTED_VALUE"""),"BAC220325C00045000")</f>
        <v>BAC220325C00045000</v>
      </c>
      <c r="E576" s="193">
        <f>IFERROR(__xludf.DUMMYFUNCTION("""COMPUTED_VALUE"""),44600.0)</f>
        <v>44600</v>
      </c>
      <c r="F576" s="5" t="str">
        <f>IFERROR(__xludf.DUMMYFUNCTION("""COMPUTED_VALUE"""),"Option")</f>
        <v>Option</v>
      </c>
      <c r="G576" s="5" t="str">
        <f>IFERROR(__xludf.DUMMYFUNCTION("""COMPUTED_VALUE"""),"USD")</f>
        <v>USD</v>
      </c>
      <c r="H576" s="22">
        <f>IFERROR(__xludf.DUMMYFUNCTION("""COMPUTED_VALUE"""),30.0)</f>
        <v>30</v>
      </c>
      <c r="I576" s="194">
        <f>IFERROR(__xludf.DUMMYFUNCTION("""COMPUTED_VALUE"""),7.793545)</f>
        <v>7.793545</v>
      </c>
      <c r="J576" s="23">
        <f>IFERROR(__xludf.DUMMYFUNCTION("""COMPUTED_VALUE"""),5.0)</f>
        <v>5</v>
      </c>
      <c r="K576" s="5"/>
      <c r="L576" s="23">
        <f>IFERROR(__xludf.DUMMYFUNCTION("""COMPUTED_VALUE"""),0.0)</f>
        <v>0</v>
      </c>
      <c r="M576" s="25" t="str">
        <f>IFERROR(__xludf.DUMMYFUNCTION("""COMPUTED_VALUE"""),"")</f>
        <v/>
      </c>
      <c r="N576" s="5"/>
      <c r="O576" s="5"/>
      <c r="P576" s="142">
        <f>IFERROR(__xludf.DUMMYFUNCTION("""COMPUTED_VALUE"""),-116903.17500000002)</f>
        <v>-116903.175</v>
      </c>
      <c r="Q576" s="5"/>
      <c r="R576" s="71">
        <f>IFERROR(__xludf.DUMMYFUNCTION("""COMPUTED_VALUE"""),0.0)</f>
        <v>0</v>
      </c>
      <c r="S576" s="142">
        <f>IFERROR(__xludf.DUMMYFUNCTION("""COMPUTED_VALUE"""),0.0)</f>
        <v>0</v>
      </c>
      <c r="T576" s="5">
        <f>IFERROR(__xludf.DUMMYFUNCTION("""COMPUTED_VALUE"""),1.0)</f>
        <v>1</v>
      </c>
      <c r="U576" s="5">
        <f>IFERROR(__xludf.DUMMYFUNCTION("""COMPUTED_VALUE"""),1.0)</f>
        <v>1</v>
      </c>
      <c r="V576" s="185">
        <f>IFERROR(__xludf.DUMMYFUNCTION("""COMPUTED_VALUE"""),-116903.17500000002)</f>
        <v>-116903.175</v>
      </c>
      <c r="W576" s="55" t="str">
        <f>IFERROR(__xludf.DUMMYFUNCTION("""COMPUTED_VALUE"""),"")</f>
        <v/>
      </c>
      <c r="X576" s="22" t="str">
        <f>IFERROR(__xludf.DUMMYFUNCTION("""COMPUTED_VALUE"""),"")</f>
        <v/>
      </c>
      <c r="Y576" s="22" t="str">
        <f>IFERROR(__xludf.DUMMYFUNCTION("""COMPUTED_VALUE"""),"")</f>
        <v/>
      </c>
      <c r="Z576" s="24" t="str">
        <f>IFERROR(__xludf.DUMMYFUNCTION("""COMPUTED_VALUE"""),"")</f>
        <v/>
      </c>
    </row>
    <row r="577">
      <c r="A577" s="5" t="str">
        <f>IFERROR(__xludf.DUMMYFUNCTION("""COMPUTED_VALUE"""),"")</f>
        <v/>
      </c>
      <c r="B577" s="5" t="str">
        <f>IFERROR(__xludf.DUMMYFUNCTION("""COMPUTED_VALUE"""),"45969")</f>
        <v>45969</v>
      </c>
      <c r="C577" s="9">
        <f>IFERROR(__xludf.DUMMYFUNCTION("""COMPUTED_VALUE"""),4.4628000485E10)</f>
        <v>44628000485</v>
      </c>
      <c r="D577" s="87" t="str">
        <f>IFERROR(__xludf.DUMMYFUNCTION("""COMPUTED_VALUE"""),"BILI220318P00040000")</f>
        <v>BILI220318P00040000</v>
      </c>
      <c r="E577" s="193">
        <f>IFERROR(__xludf.DUMMYFUNCTION("""COMPUTED_VALUE"""),44628.0)</f>
        <v>44628</v>
      </c>
      <c r="F577" s="5" t="str">
        <f>IFERROR(__xludf.DUMMYFUNCTION("""COMPUTED_VALUE"""),"Option")</f>
        <v>Option</v>
      </c>
      <c r="G577" s="5" t="str">
        <f>IFERROR(__xludf.DUMMYFUNCTION("""COMPUTED_VALUE"""),"USD")</f>
        <v>USD</v>
      </c>
      <c r="H577" s="22">
        <f>IFERROR(__xludf.DUMMYFUNCTION("""COMPUTED_VALUE"""),-7.0)</f>
        <v>-7</v>
      </c>
      <c r="I577" s="194">
        <f>IFERROR(__xludf.DUMMYFUNCTION("""COMPUTED_VALUE"""),7.818975)</f>
        <v>7.818975</v>
      </c>
      <c r="J577" s="23">
        <f>IFERROR(__xludf.DUMMYFUNCTION("""COMPUTED_VALUE"""),18.15)</f>
        <v>18.15</v>
      </c>
      <c r="K577" s="5"/>
      <c r="L577" s="23">
        <f>IFERROR(__xludf.DUMMYFUNCTION("""COMPUTED_VALUE"""),0.0)</f>
        <v>0</v>
      </c>
      <c r="M577" s="25" t="str">
        <f>IFERROR(__xludf.DUMMYFUNCTION("""COMPUTED_VALUE"""),"")</f>
        <v/>
      </c>
      <c r="N577" s="5"/>
      <c r="O577" s="5"/>
      <c r="P577" s="142">
        <f>IFERROR(__xludf.DUMMYFUNCTION("""COMPUTED_VALUE"""),99340.077375)</f>
        <v>99340.07738</v>
      </c>
      <c r="Q577" s="5"/>
      <c r="R577" s="71">
        <f>IFERROR(__xludf.DUMMYFUNCTION("""COMPUTED_VALUE"""),0.0)</f>
        <v>0</v>
      </c>
      <c r="S577" s="142">
        <f>IFERROR(__xludf.DUMMYFUNCTION("""COMPUTED_VALUE"""),0.0)</f>
        <v>0</v>
      </c>
      <c r="T577" s="5">
        <f>IFERROR(__xludf.DUMMYFUNCTION("""COMPUTED_VALUE"""),2.0)</f>
        <v>2</v>
      </c>
      <c r="U577" s="5">
        <f>IFERROR(__xludf.DUMMYFUNCTION("""COMPUTED_VALUE"""),1.0)</f>
        <v>1</v>
      </c>
      <c r="V577" s="185">
        <f>IFERROR(__xludf.DUMMYFUNCTION("""COMPUTED_VALUE"""),52968.484625)</f>
        <v>52968.48463</v>
      </c>
      <c r="W577" s="55" t="str">
        <f>IFERROR(__xludf.DUMMYFUNCTION("""COMPUTED_VALUE"""),"")</f>
        <v/>
      </c>
      <c r="X577" s="22" t="str">
        <f>IFERROR(__xludf.DUMMYFUNCTION("""COMPUTED_VALUE"""),"")</f>
        <v/>
      </c>
      <c r="Y577" s="22" t="str">
        <f>IFERROR(__xludf.DUMMYFUNCTION("""COMPUTED_VALUE"""),"")</f>
        <v/>
      </c>
      <c r="Z577" s="24" t="str">
        <f>IFERROR(__xludf.DUMMYFUNCTION("""COMPUTED_VALUE"""),"")</f>
        <v/>
      </c>
    </row>
    <row r="578">
      <c r="A578" s="5" t="str">
        <f>IFERROR(__xludf.DUMMYFUNCTION("""COMPUTED_VALUE"""),"")</f>
        <v/>
      </c>
      <c r="B578" s="5" t="str">
        <f>IFERROR(__xludf.DUMMYFUNCTION("""COMPUTED_VALUE"""),"45969")</f>
        <v>45969</v>
      </c>
      <c r="C578" s="9">
        <f>IFERROR(__xludf.DUMMYFUNCTION("""COMPUTED_VALUE"""),4.4628000486E10)</f>
        <v>44628000486</v>
      </c>
      <c r="D578" s="87" t="str">
        <f>IFERROR(__xludf.DUMMYFUNCTION("""COMPUTED_VALUE"""),"FB220325P00210000")</f>
        <v>FB220325P00210000</v>
      </c>
      <c r="E578" s="193">
        <f>IFERROR(__xludf.DUMMYFUNCTION("""COMPUTED_VALUE"""),44628.0)</f>
        <v>44628</v>
      </c>
      <c r="F578" s="5" t="str">
        <f>IFERROR(__xludf.DUMMYFUNCTION("""COMPUTED_VALUE"""),"Option")</f>
        <v>Option</v>
      </c>
      <c r="G578" s="5" t="str">
        <f>IFERROR(__xludf.DUMMYFUNCTION("""COMPUTED_VALUE"""),"USD")</f>
        <v>USD</v>
      </c>
      <c r="H578" s="22">
        <f>IFERROR(__xludf.DUMMYFUNCTION("""COMPUTED_VALUE"""),-16.0)</f>
        <v>-16</v>
      </c>
      <c r="I578" s="194">
        <f>IFERROR(__xludf.DUMMYFUNCTION("""COMPUTED_VALUE"""),7.818975)</f>
        <v>7.818975</v>
      </c>
      <c r="J578" s="23">
        <f>IFERROR(__xludf.DUMMYFUNCTION("""COMPUTED_VALUE"""),19.36)</f>
        <v>19.36</v>
      </c>
      <c r="K578" s="5"/>
      <c r="L578" s="23">
        <f>IFERROR(__xludf.DUMMYFUNCTION("""COMPUTED_VALUE"""),0.0)</f>
        <v>0</v>
      </c>
      <c r="M578" s="25" t="str">
        <f>IFERROR(__xludf.DUMMYFUNCTION("""COMPUTED_VALUE"""),"")</f>
        <v/>
      </c>
      <c r="N578" s="5"/>
      <c r="O578" s="5"/>
      <c r="P578" s="142">
        <f>IFERROR(__xludf.DUMMYFUNCTION("""COMPUTED_VALUE"""),242200.56959999996)</f>
        <v>242200.5696</v>
      </c>
      <c r="Q578" s="5"/>
      <c r="R578" s="71">
        <f>IFERROR(__xludf.DUMMYFUNCTION("""COMPUTED_VALUE"""),0.0)</f>
        <v>0</v>
      </c>
      <c r="S578" s="142">
        <f>IFERROR(__xludf.DUMMYFUNCTION("""COMPUTED_VALUE"""),0.0)</f>
        <v>0</v>
      </c>
      <c r="T578" s="5">
        <f>IFERROR(__xludf.DUMMYFUNCTION("""COMPUTED_VALUE"""),2.0)</f>
        <v>2</v>
      </c>
      <c r="U578" s="5">
        <f>IFERROR(__xludf.DUMMYFUNCTION("""COMPUTED_VALUE"""),1.0)</f>
        <v>1</v>
      </c>
      <c r="V578" s="185">
        <f>IFERROR(__xludf.DUMMYFUNCTION("""COMPUTED_VALUE"""),130597.00519999997)</f>
        <v>130597.0052</v>
      </c>
      <c r="W578" s="55" t="str">
        <f>IFERROR(__xludf.DUMMYFUNCTION("""COMPUTED_VALUE"""),"")</f>
        <v/>
      </c>
      <c r="X578" s="22" t="str">
        <f>IFERROR(__xludf.DUMMYFUNCTION("""COMPUTED_VALUE"""),"")</f>
        <v/>
      </c>
      <c r="Y578" s="22" t="str">
        <f>IFERROR(__xludf.DUMMYFUNCTION("""COMPUTED_VALUE"""),"")</f>
        <v/>
      </c>
      <c r="Z578" s="24" t="str">
        <f>IFERROR(__xludf.DUMMYFUNCTION("""COMPUTED_VALUE"""),"")</f>
        <v/>
      </c>
    </row>
    <row r="579">
      <c r="A579" s="5" t="str">
        <f>IFERROR(__xludf.DUMMYFUNCTION("""COMPUTED_VALUE"""),"")</f>
        <v/>
      </c>
      <c r="B579" s="5" t="str">
        <f>IFERROR(__xludf.DUMMYFUNCTION("""COMPUTED_VALUE"""),"45969")</f>
        <v>45969</v>
      </c>
      <c r="C579" s="9">
        <f>IFERROR(__xludf.DUMMYFUNCTION("""COMPUTED_VALUE"""),4.4631000538E10)</f>
        <v>44631000538</v>
      </c>
      <c r="D579" s="87" t="str">
        <f>IFERROR(__xludf.DUMMYFUNCTION("""COMPUTED_VALUE"""),"BILI220401P00020000")</f>
        <v>BILI220401P00020000</v>
      </c>
      <c r="E579" s="193">
        <f>IFERROR(__xludf.DUMMYFUNCTION("""COMPUTED_VALUE"""),44631.0)</f>
        <v>44631</v>
      </c>
      <c r="F579" s="5" t="str">
        <f>IFERROR(__xludf.DUMMYFUNCTION("""COMPUTED_VALUE"""),"Option")</f>
        <v>Option</v>
      </c>
      <c r="G579" s="5" t="str">
        <f>IFERROR(__xludf.DUMMYFUNCTION("""COMPUTED_VALUE"""),"USD")</f>
        <v>USD</v>
      </c>
      <c r="H579" s="22">
        <f>IFERROR(__xludf.DUMMYFUNCTION("""COMPUTED_VALUE"""),30.0)</f>
        <v>30</v>
      </c>
      <c r="I579" s="194">
        <f>IFERROR(__xludf.DUMMYFUNCTION("""COMPUTED_VALUE"""),7.8295)</f>
        <v>7.8295</v>
      </c>
      <c r="J579" s="23">
        <f>IFERROR(__xludf.DUMMYFUNCTION("""COMPUTED_VALUE"""),2.82)</f>
        <v>2.82</v>
      </c>
      <c r="K579" s="5"/>
      <c r="L579" s="23">
        <f>IFERROR(__xludf.DUMMYFUNCTION("""COMPUTED_VALUE"""),0.0)</f>
        <v>0</v>
      </c>
      <c r="M579" s="25" t="str">
        <f>IFERROR(__xludf.DUMMYFUNCTION("""COMPUTED_VALUE"""),"")</f>
        <v/>
      </c>
      <c r="N579" s="5"/>
      <c r="O579" s="5"/>
      <c r="P579" s="142">
        <f>IFERROR(__xludf.DUMMYFUNCTION("""COMPUTED_VALUE"""),-66237.57)</f>
        <v>-66237.57</v>
      </c>
      <c r="Q579" s="5"/>
      <c r="R579" s="71">
        <f>IFERROR(__xludf.DUMMYFUNCTION("""COMPUTED_VALUE"""),0.0)</f>
        <v>0</v>
      </c>
      <c r="S579" s="142">
        <f>IFERROR(__xludf.DUMMYFUNCTION("""COMPUTED_VALUE"""),0.0)</f>
        <v>0</v>
      </c>
      <c r="T579" s="5">
        <f>IFERROR(__xludf.DUMMYFUNCTION("""COMPUTED_VALUE"""),1.0)</f>
        <v>1</v>
      </c>
      <c r="U579" s="5">
        <f>IFERROR(__xludf.DUMMYFUNCTION("""COMPUTED_VALUE"""),1.0)</f>
        <v>1</v>
      </c>
      <c r="V579" s="185">
        <f>IFERROR(__xludf.DUMMYFUNCTION("""COMPUTED_VALUE"""),-66237.57)</f>
        <v>-66237.57</v>
      </c>
      <c r="W579" s="55" t="str">
        <f>IFERROR(__xludf.DUMMYFUNCTION("""COMPUTED_VALUE"""),"")</f>
        <v/>
      </c>
      <c r="X579" s="22" t="str">
        <f>IFERROR(__xludf.DUMMYFUNCTION("""COMPUTED_VALUE"""),"")</f>
        <v/>
      </c>
      <c r="Y579" s="22" t="str">
        <f>IFERROR(__xludf.DUMMYFUNCTION("""COMPUTED_VALUE"""),"")</f>
        <v/>
      </c>
      <c r="Z579" s="24" t="str">
        <f>IFERROR(__xludf.DUMMYFUNCTION("""COMPUTED_VALUE"""),"")</f>
        <v/>
      </c>
    </row>
    <row r="580">
      <c r="A580" s="5" t="str">
        <f>IFERROR(__xludf.DUMMYFUNCTION("""COMPUTED_VALUE"""),"")</f>
        <v/>
      </c>
      <c r="B580" s="5" t="str">
        <f>IFERROR(__xludf.DUMMYFUNCTION("""COMPUTED_VALUE"""),"45969")</f>
        <v>45969</v>
      </c>
      <c r="C580" s="9">
        <f>IFERROR(__xludf.DUMMYFUNCTION("""COMPUTED_VALUE"""),4.4650001033E10)</f>
        <v>44650001033</v>
      </c>
      <c r="D580" s="87" t="str">
        <f>IFERROR(__xludf.DUMMYFUNCTION("""COMPUTED_VALUE"""),"TQQQ220414P00064000")</f>
        <v>TQQQ220414P00064000</v>
      </c>
      <c r="E580" s="193">
        <f>IFERROR(__xludf.DUMMYFUNCTION("""COMPUTED_VALUE"""),44650.0)</f>
        <v>44650</v>
      </c>
      <c r="F580" s="5" t="str">
        <f>IFERROR(__xludf.DUMMYFUNCTION("""COMPUTED_VALUE"""),"Option")</f>
        <v>Option</v>
      </c>
      <c r="G580" s="5" t="str">
        <f>IFERROR(__xludf.DUMMYFUNCTION("""COMPUTED_VALUE"""),"USD")</f>
        <v>USD</v>
      </c>
      <c r="H580" s="22">
        <f>IFERROR(__xludf.DUMMYFUNCTION("""COMPUTED_VALUE"""),70.0)</f>
        <v>70</v>
      </c>
      <c r="I580" s="194">
        <f>IFERROR(__xludf.DUMMYFUNCTION("""COMPUTED_VALUE"""),7.82725)</f>
        <v>7.82725</v>
      </c>
      <c r="J580" s="23">
        <f>IFERROR(__xludf.DUMMYFUNCTION("""COMPUTED_VALUE"""),5.25)</f>
        <v>5.25</v>
      </c>
      <c r="K580" s="5"/>
      <c r="L580" s="23">
        <f>IFERROR(__xludf.DUMMYFUNCTION("""COMPUTED_VALUE"""),13.62)</f>
        <v>13.62</v>
      </c>
      <c r="M580" s="25" t="str">
        <f>IFERROR(__xludf.DUMMYFUNCTION("""COMPUTED_VALUE"""),"")</f>
        <v/>
      </c>
      <c r="N580" s="5"/>
      <c r="O580" s="5"/>
      <c r="P580" s="142">
        <f>IFERROR(__xludf.DUMMYFUNCTION("""COMPUTED_VALUE"""),-287651.4375)</f>
        <v>-287651.4375</v>
      </c>
      <c r="Q580" s="5"/>
      <c r="R580" s="71">
        <f>IFERROR(__xludf.DUMMYFUNCTION("""COMPUTED_VALUE"""),13.62)</f>
        <v>13.62</v>
      </c>
      <c r="S580" s="142">
        <f>IFERROR(__xludf.DUMMYFUNCTION("""COMPUTED_VALUE"""),746250.015)</f>
        <v>746250.015</v>
      </c>
      <c r="T580" s="5">
        <f>IFERROR(__xludf.DUMMYFUNCTION("""COMPUTED_VALUE"""),2.0)</f>
        <v>2</v>
      </c>
      <c r="U580" s="5" t="str">
        <f>IFERROR(__xludf.DUMMYFUNCTION("""COMPUTED_VALUE"""),"")</f>
        <v/>
      </c>
      <c r="V580" s="185" t="str">
        <f>IFERROR(__xludf.DUMMYFUNCTION("""COMPUTED_VALUE"""),"")</f>
        <v/>
      </c>
      <c r="W580" s="55" t="str">
        <f>IFERROR(__xludf.DUMMYFUNCTION("""COMPUTED_VALUE"""),"")</f>
        <v/>
      </c>
      <c r="X580" s="22" t="str">
        <f>IFERROR(__xludf.DUMMYFUNCTION("""COMPUTED_VALUE"""),"")</f>
        <v/>
      </c>
      <c r="Y580" s="22" t="str">
        <f>IFERROR(__xludf.DUMMYFUNCTION("""COMPUTED_VALUE"""),"")</f>
        <v/>
      </c>
      <c r="Z580" s="24" t="str">
        <f>IFERROR(__xludf.DUMMYFUNCTION("""COMPUTED_VALUE"""),"")</f>
        <v/>
      </c>
    </row>
    <row r="581">
      <c r="A581" s="5" t="str">
        <f>IFERROR(__xludf.DUMMYFUNCTION("""COMPUTED_VALUE"""),"45969")</f>
        <v>45969</v>
      </c>
      <c r="B581" s="5" t="str">
        <f>IFERROR(__xludf.DUMMYFUNCTION("""COMPUTED_VALUE"""),"45969")</f>
        <v>45969</v>
      </c>
      <c r="C581" s="9">
        <f>IFERROR(__xludf.DUMMYFUNCTION("""COMPUTED_VALUE"""),4.4658001215E10)</f>
        <v>44658001215</v>
      </c>
      <c r="D581" s="85" t="str">
        <f>IFERROR(__xludf.DUMMYFUNCTION("""COMPUTED_VALUE"""),"TQQQ220414P00064000")</f>
        <v>TQQQ220414P00064000</v>
      </c>
      <c r="E581" s="193">
        <f>IFERROR(__xludf.DUMMYFUNCTION("""COMPUTED_VALUE"""),44658.0)</f>
        <v>44658</v>
      </c>
      <c r="F581" s="5" t="str">
        <f>IFERROR(__xludf.DUMMYFUNCTION("""COMPUTED_VALUE"""),"Option")</f>
        <v>Option</v>
      </c>
      <c r="G581" s="5" t="str">
        <f>IFERROR(__xludf.DUMMYFUNCTION("""COMPUTED_VALUE"""),"USD")</f>
        <v>USD</v>
      </c>
      <c r="H581" s="22">
        <f>IFERROR(__xludf.DUMMYFUNCTION("""COMPUTED_VALUE"""),-70.0)</f>
        <v>-70</v>
      </c>
      <c r="I581" s="194">
        <f>IFERROR(__xludf.DUMMYFUNCTION("""COMPUTED_VALUE"""),7.836645)</f>
        <v>7.836645</v>
      </c>
      <c r="J581" s="23">
        <f>IFERROR(__xludf.DUMMYFUNCTION("""COMPUTED_VALUE"""),11.08)</f>
        <v>11.08</v>
      </c>
      <c r="K581" s="5"/>
      <c r="L581" s="23">
        <f>IFERROR(__xludf.DUMMYFUNCTION("""COMPUTED_VALUE"""),13.62)</f>
        <v>13.62</v>
      </c>
      <c r="M581" s="25" t="str">
        <f>IFERROR(__xludf.DUMMYFUNCTION("""COMPUTED_VALUE"""),"")</f>
        <v/>
      </c>
      <c r="N581" s="5"/>
      <c r="O581" s="5"/>
      <c r="P581" s="142">
        <f>IFERROR(__xludf.DUMMYFUNCTION("""COMPUTED_VALUE"""),607810.1862)</f>
        <v>607810.1862</v>
      </c>
      <c r="Q581" s="5"/>
      <c r="R581" s="71">
        <f>IFERROR(__xludf.DUMMYFUNCTION("""COMPUTED_VALUE"""),13.62)</f>
        <v>13.62</v>
      </c>
      <c r="S581" s="142">
        <f>IFERROR(__xludf.DUMMYFUNCTION("""COMPUTED_VALUE"""),-747145.7343)</f>
        <v>-747145.7343</v>
      </c>
      <c r="T581" s="5">
        <f>IFERROR(__xludf.DUMMYFUNCTION("""COMPUTED_VALUE"""),2.0)</f>
        <v>2</v>
      </c>
      <c r="U581" s="5">
        <f>IFERROR(__xludf.DUMMYFUNCTION("""COMPUTED_VALUE"""),1.0)</f>
        <v>1</v>
      </c>
      <c r="V581" s="185">
        <f>IFERROR(__xludf.DUMMYFUNCTION("""COMPUTED_VALUE"""),319263.0294)</f>
        <v>319263.0294</v>
      </c>
      <c r="W581" s="55">
        <f>IFERROR(__xludf.DUMMYFUNCTION("""COMPUTED_VALUE"""),819687.7742249998)</f>
        <v>819687.7742</v>
      </c>
      <c r="X581" s="22">
        <f>IFERROR(__xludf.DUMMYFUNCTION("""COMPUTED_VALUE"""),978558.650675)</f>
        <v>978558.6507</v>
      </c>
      <c r="Y581" s="22">
        <f>IFERROR(__xludf.DUMMYFUNCTION("""COMPUTED_VALUE"""),0.0)</f>
        <v>0</v>
      </c>
      <c r="Z581" s="24">
        <f>IFERROR(__xludf.DUMMYFUNCTION("""COMPUTED_VALUE"""),0.6393755484499997)</f>
        <v>0.6393755485</v>
      </c>
    </row>
    <row r="582">
      <c r="A582" s="5" t="str">
        <f>IFERROR(__xludf.DUMMYFUNCTION("""COMPUTED_VALUE"""),"46104")</f>
        <v>46104</v>
      </c>
      <c r="B582" s="5" t="str">
        <f>IFERROR(__xludf.DUMMYFUNCTION("""COMPUTED_VALUE"""),"46104")</f>
        <v>46104</v>
      </c>
      <c r="C582" s="9">
        <f>IFERROR(__xludf.DUMMYFUNCTION("""COMPUTED_VALUE"""),4.4597000047E10)</f>
        <v>44597000047</v>
      </c>
      <c r="D582" s="85" t="str">
        <f>IFERROR(__xludf.DUMMYFUNCTION("""COMPUTED_VALUE"""),"Cash")</f>
        <v>Cash</v>
      </c>
      <c r="E582" s="193">
        <f>IFERROR(__xludf.DUMMYFUNCTION("""COMPUTED_VALUE"""),44597.0)</f>
        <v>44597</v>
      </c>
      <c r="F582" s="5" t="str">
        <f>IFERROR(__xludf.DUMMYFUNCTION("""COMPUTED_VALUE"""),"Cash")</f>
        <v>Cash</v>
      </c>
      <c r="G582" s="5" t="str">
        <f>IFERROR(__xludf.DUMMYFUNCTION("""COMPUTED_VALUE"""),"HKD")</f>
        <v>HKD</v>
      </c>
      <c r="H582" s="22" t="str">
        <f>IFERROR(__xludf.DUMMYFUNCTION("""COMPUTED_VALUE"""),"")</f>
        <v/>
      </c>
      <c r="I582" s="194">
        <f>IFERROR(__xludf.DUMMYFUNCTION("""COMPUTED_VALUE"""),1.0)</f>
        <v>1</v>
      </c>
      <c r="J582" s="5">
        <f>IFERROR(__xludf.DUMMYFUNCTION("""COMPUTED_VALUE"""),1.0)</f>
        <v>1</v>
      </c>
      <c r="K582" s="5"/>
      <c r="L582" s="23">
        <f>IFERROR(__xludf.DUMMYFUNCTION("""COMPUTED_VALUE"""),1.0)</f>
        <v>1</v>
      </c>
      <c r="M582" s="25" t="str">
        <f>IFERROR(__xludf.DUMMYFUNCTION("""COMPUTED_VALUE"""),"")</f>
        <v/>
      </c>
      <c r="N582" s="5"/>
      <c r="O582" s="5"/>
      <c r="P582" s="142">
        <f>IFERROR(__xludf.DUMMYFUNCTION("""COMPUTED_VALUE"""),500000.0)</f>
        <v>500000</v>
      </c>
      <c r="Q582" s="5"/>
      <c r="R582" s="71">
        <f>IFERROR(__xludf.DUMMYFUNCTION("""COMPUTED_VALUE"""),1.0)</f>
        <v>1</v>
      </c>
      <c r="S582" s="142" t="str">
        <f>IFERROR(__xludf.DUMMYFUNCTION("""COMPUTED_VALUE"""),"")</f>
        <v/>
      </c>
      <c r="T582" s="5">
        <f>IFERROR(__xludf.DUMMYFUNCTION("""COMPUTED_VALUE"""),1.0)</f>
        <v>1</v>
      </c>
      <c r="U582" s="5">
        <f>IFERROR(__xludf.DUMMYFUNCTION("""COMPUTED_VALUE"""),1.0)</f>
        <v>1</v>
      </c>
      <c r="V582" s="185">
        <f>IFERROR(__xludf.DUMMYFUNCTION("""COMPUTED_VALUE"""),500000.0)</f>
        <v>500000</v>
      </c>
      <c r="W582" s="55">
        <f>IFERROR(__xludf.DUMMYFUNCTION("""COMPUTED_VALUE"""),500000.0)</f>
        <v>500000</v>
      </c>
      <c r="X582" s="22">
        <f>IFERROR(__xludf.DUMMYFUNCTION("""COMPUTED_VALUE"""),500000.0)</f>
        <v>500000</v>
      </c>
      <c r="Y582" s="22">
        <f>IFERROR(__xludf.DUMMYFUNCTION("""COMPUTED_VALUE"""),0.0)</f>
        <v>0</v>
      </c>
      <c r="Z582" s="24">
        <f>IFERROR(__xludf.DUMMYFUNCTION("""COMPUTED_VALUE"""),0.0)</f>
        <v>0</v>
      </c>
    </row>
    <row r="583">
      <c r="A583" s="5" t="str">
        <f>IFERROR(__xludf.DUMMYFUNCTION("""COMPUTED_VALUE"""),"")</f>
        <v/>
      </c>
      <c r="B583" s="5" t="str">
        <f>IFERROR(__xludf.DUMMYFUNCTION("""COMPUTED_VALUE"""),"46220")</f>
        <v>46220</v>
      </c>
      <c r="C583" s="9">
        <f>IFERROR(__xludf.DUMMYFUNCTION("""COMPUTED_VALUE"""),4.4597000074E10)</f>
        <v>44597000074</v>
      </c>
      <c r="D583" s="85" t="str">
        <f>IFERROR(__xludf.DUMMYFUNCTION("""COMPUTED_VALUE"""),"Cash")</f>
        <v>Cash</v>
      </c>
      <c r="E583" s="193">
        <f>IFERROR(__xludf.DUMMYFUNCTION("""COMPUTED_VALUE"""),44597.0)</f>
        <v>44597</v>
      </c>
      <c r="F583" s="5" t="str">
        <f>IFERROR(__xludf.DUMMYFUNCTION("""COMPUTED_VALUE"""),"Cash")</f>
        <v>Cash</v>
      </c>
      <c r="G583" s="5" t="str">
        <f>IFERROR(__xludf.DUMMYFUNCTION("""COMPUTED_VALUE"""),"HKD")</f>
        <v>HKD</v>
      </c>
      <c r="H583" s="22" t="str">
        <f>IFERROR(__xludf.DUMMYFUNCTION("""COMPUTED_VALUE"""),"")</f>
        <v/>
      </c>
      <c r="I583" s="194">
        <f>IFERROR(__xludf.DUMMYFUNCTION("""COMPUTED_VALUE"""),1.0)</f>
        <v>1</v>
      </c>
      <c r="J583" s="5">
        <f>IFERROR(__xludf.DUMMYFUNCTION("""COMPUTED_VALUE"""),1.0)</f>
        <v>1</v>
      </c>
      <c r="K583" s="5"/>
      <c r="L583" s="23">
        <f>IFERROR(__xludf.DUMMYFUNCTION("""COMPUTED_VALUE"""),1.0)</f>
        <v>1</v>
      </c>
      <c r="M583" s="25" t="str">
        <f>IFERROR(__xludf.DUMMYFUNCTION("""COMPUTED_VALUE"""),"")</f>
        <v/>
      </c>
      <c r="N583" s="5"/>
      <c r="O583" s="5"/>
      <c r="P583" s="142">
        <f>IFERROR(__xludf.DUMMYFUNCTION("""COMPUTED_VALUE"""),500000.0)</f>
        <v>500000</v>
      </c>
      <c r="Q583" s="5"/>
      <c r="R583" s="71">
        <f>IFERROR(__xludf.DUMMYFUNCTION("""COMPUTED_VALUE"""),1.0)</f>
        <v>1</v>
      </c>
      <c r="S583" s="142" t="str">
        <f>IFERROR(__xludf.DUMMYFUNCTION("""COMPUTED_VALUE"""),"")</f>
        <v/>
      </c>
      <c r="T583" s="5">
        <f>IFERROR(__xludf.DUMMYFUNCTION("""COMPUTED_VALUE"""),1.0)</f>
        <v>1</v>
      </c>
      <c r="U583" s="5">
        <f>IFERROR(__xludf.DUMMYFUNCTION("""COMPUTED_VALUE"""),1.0)</f>
        <v>1</v>
      </c>
      <c r="V583" s="185">
        <f>IFERROR(__xludf.DUMMYFUNCTION("""COMPUTED_VALUE"""),500000.0)</f>
        <v>500000</v>
      </c>
      <c r="W583" s="55" t="str">
        <f>IFERROR(__xludf.DUMMYFUNCTION("""COMPUTED_VALUE"""),"")</f>
        <v/>
      </c>
      <c r="X583" s="22" t="str">
        <f>IFERROR(__xludf.DUMMYFUNCTION("""COMPUTED_VALUE"""),"")</f>
        <v/>
      </c>
      <c r="Y583" s="22" t="str">
        <f>IFERROR(__xludf.DUMMYFUNCTION("""COMPUTED_VALUE"""),"")</f>
        <v/>
      </c>
      <c r="Z583" s="24" t="str">
        <f>IFERROR(__xludf.DUMMYFUNCTION("""COMPUTED_VALUE"""),"")</f>
        <v/>
      </c>
    </row>
    <row r="584">
      <c r="A584" s="5" t="str">
        <f>IFERROR(__xludf.DUMMYFUNCTION("""COMPUTED_VALUE"""),"")</f>
        <v/>
      </c>
      <c r="B584" s="5" t="str">
        <f>IFERROR(__xludf.DUMMYFUNCTION("""COMPUTED_VALUE"""),"46220")</f>
        <v>46220</v>
      </c>
      <c r="C584" s="9">
        <f>IFERROR(__xludf.DUMMYFUNCTION("""COMPUTED_VALUE"""),4.4599000126E10)</f>
        <v>44599000126</v>
      </c>
      <c r="D584" s="87" t="str">
        <f>IFERROR(__xludf.DUMMYFUNCTION("""COMPUTED_VALUE"""),"FB")</f>
        <v>FB</v>
      </c>
      <c r="E584" s="193">
        <f>IFERROR(__xludf.DUMMYFUNCTION("""COMPUTED_VALUE"""),44599.0)</f>
        <v>44599</v>
      </c>
      <c r="F584" s="5" t="str">
        <f>IFERROR(__xludf.DUMMYFUNCTION("""COMPUTED_VALUE"""),"Stock")</f>
        <v>Stock</v>
      </c>
      <c r="G584" s="5" t="str">
        <f>IFERROR(__xludf.DUMMYFUNCTION("""COMPUTED_VALUE"""),"USD")</f>
        <v>USD</v>
      </c>
      <c r="H584" s="22">
        <f>IFERROR(__xludf.DUMMYFUNCTION("""COMPUTED_VALUE"""),25.0)</f>
        <v>25</v>
      </c>
      <c r="I584" s="194">
        <f>IFERROR(__xludf.DUMMYFUNCTION("""COMPUTED_VALUE"""),7.79205)</f>
        <v>7.79205</v>
      </c>
      <c r="J584" s="23">
        <f>IFERROR(__xludf.DUMMYFUNCTION("""COMPUTED_VALUE"""),224.91)</f>
        <v>224.91</v>
      </c>
      <c r="K584" s="5"/>
      <c r="L584" s="23">
        <f>IFERROR(__xludf.DUMMYFUNCTION("""COMPUTED_VALUE"""),214.99)</f>
        <v>214.99</v>
      </c>
      <c r="M584" s="195" t="str">
        <f>IFERROR(__xludf.DUMMYFUNCTION("""COMPUTED_VALUE"""),"Equity Key Stats")</f>
        <v>Equity Key Stats</v>
      </c>
      <c r="N584" s="5"/>
      <c r="O584" s="5"/>
      <c r="P584" s="142">
        <f>IFERROR(__xludf.DUMMYFUNCTION("""COMPUTED_VALUE"""),-43812.749137499995)</f>
        <v>-43812.74914</v>
      </c>
      <c r="Q584" s="5"/>
      <c r="R584" s="71">
        <f>IFERROR(__xludf.DUMMYFUNCTION("""COMPUTED_VALUE"""),214.99)</f>
        <v>214.99</v>
      </c>
      <c r="S584" s="142">
        <f>IFERROR(__xludf.DUMMYFUNCTION("""COMPUTED_VALUE"""),41880.3207375)</f>
        <v>41880.32074</v>
      </c>
      <c r="T584" s="5">
        <f>IFERROR(__xludf.DUMMYFUNCTION("""COMPUTED_VALUE"""),2.0)</f>
        <v>2</v>
      </c>
      <c r="U584" s="5" t="str">
        <f>IFERROR(__xludf.DUMMYFUNCTION("""COMPUTED_VALUE"""),"")</f>
        <v/>
      </c>
      <c r="V584" s="22" t="str">
        <f>IFERROR(__xludf.DUMMYFUNCTION("""COMPUTED_VALUE"""),"")</f>
        <v/>
      </c>
      <c r="W584" s="9" t="str">
        <f>IFERROR(__xludf.DUMMYFUNCTION("""COMPUTED_VALUE"""),"")</f>
        <v/>
      </c>
      <c r="X584" s="22" t="str">
        <f>IFERROR(__xludf.DUMMYFUNCTION("""COMPUTED_VALUE"""),"")</f>
        <v/>
      </c>
      <c r="Y584" s="22" t="str">
        <f>IFERROR(__xludf.DUMMYFUNCTION("""COMPUTED_VALUE"""),"")</f>
        <v/>
      </c>
      <c r="Z584" s="24" t="str">
        <f>IFERROR(__xludf.DUMMYFUNCTION("""COMPUTED_VALUE"""),"")</f>
        <v/>
      </c>
    </row>
    <row r="585">
      <c r="A585" s="5" t="str">
        <f>IFERROR(__xludf.DUMMYFUNCTION("""COMPUTED_VALUE"""),"")</f>
        <v/>
      </c>
      <c r="B585" s="5" t="str">
        <f>IFERROR(__xludf.DUMMYFUNCTION("""COMPUTED_VALUE"""),"46220")</f>
        <v>46220</v>
      </c>
      <c r="C585" s="9">
        <f>IFERROR(__xludf.DUMMYFUNCTION("""COMPUTED_VALUE"""),4.4600000131E10)</f>
        <v>44600000131</v>
      </c>
      <c r="D585" s="90" t="str">
        <f>IFERROR(__xludf.DUMMYFUNCTION("""COMPUTED_VALUE"""),"0883.HK")</f>
        <v>0883.HK</v>
      </c>
      <c r="E585" s="193">
        <f>IFERROR(__xludf.DUMMYFUNCTION("""COMPUTED_VALUE"""),44600.0)</f>
        <v>44600</v>
      </c>
      <c r="F585" s="5" t="str">
        <f>IFERROR(__xludf.DUMMYFUNCTION("""COMPUTED_VALUE"""),"Stock")</f>
        <v>Stock</v>
      </c>
      <c r="G585" s="5" t="str">
        <f>IFERROR(__xludf.DUMMYFUNCTION("""COMPUTED_VALUE"""),"HKD")</f>
        <v>HKD</v>
      </c>
      <c r="H585" s="22">
        <f>IFERROR(__xludf.DUMMYFUNCTION("""COMPUTED_VALUE"""),20.0)</f>
        <v>20</v>
      </c>
      <c r="I585" s="194">
        <f>IFERROR(__xludf.DUMMYFUNCTION("""COMPUTED_VALUE"""),1.0)</f>
        <v>1</v>
      </c>
      <c r="J585" s="23">
        <f>IFERROR(__xludf.DUMMYFUNCTION("""COMPUTED_VALUE"""),9.79)</f>
        <v>9.79</v>
      </c>
      <c r="K585" s="5"/>
      <c r="L585" s="23">
        <f>IFERROR(__xludf.DUMMYFUNCTION("""COMPUTED_VALUE"""),11.46)</f>
        <v>11.46</v>
      </c>
      <c r="M585" s="195" t="str">
        <f>IFERROR(__xludf.DUMMYFUNCTION("""COMPUTED_VALUE"""),"Equity Key Stats")</f>
        <v>Equity Key Stats</v>
      </c>
      <c r="N585" s="5"/>
      <c r="O585" s="5"/>
      <c r="P585" s="142">
        <f>IFERROR(__xludf.DUMMYFUNCTION("""COMPUTED_VALUE"""),-195.79999999999998)</f>
        <v>-195.8</v>
      </c>
      <c r="Q585" s="5"/>
      <c r="R585" s="71">
        <f>IFERROR(__xludf.DUMMYFUNCTION("""COMPUTED_VALUE"""),11.46)</f>
        <v>11.46</v>
      </c>
      <c r="S585" s="142">
        <f>IFERROR(__xludf.DUMMYFUNCTION("""COMPUTED_VALUE"""),229.20000000000002)</f>
        <v>229.2</v>
      </c>
      <c r="T585" s="5">
        <f>IFERROR(__xludf.DUMMYFUNCTION("""COMPUTED_VALUE"""),2.0)</f>
        <v>2</v>
      </c>
      <c r="U585" s="5" t="str">
        <f>IFERROR(__xludf.DUMMYFUNCTION("""COMPUTED_VALUE"""),"")</f>
        <v/>
      </c>
      <c r="V585" s="22" t="str">
        <f>IFERROR(__xludf.DUMMYFUNCTION("""COMPUTED_VALUE"""),"")</f>
        <v/>
      </c>
      <c r="W585" s="9" t="str">
        <f>IFERROR(__xludf.DUMMYFUNCTION("""COMPUTED_VALUE"""),"")</f>
        <v/>
      </c>
      <c r="X585" s="22" t="str">
        <f>IFERROR(__xludf.DUMMYFUNCTION("""COMPUTED_VALUE"""),"")</f>
        <v/>
      </c>
      <c r="Y585" s="22" t="str">
        <f>IFERROR(__xludf.DUMMYFUNCTION("""COMPUTED_VALUE"""),"")</f>
        <v/>
      </c>
      <c r="Z585" s="24" t="str">
        <f>IFERROR(__xludf.DUMMYFUNCTION("""COMPUTED_VALUE"""),"")</f>
        <v/>
      </c>
    </row>
    <row r="586">
      <c r="A586" s="5" t="str">
        <f>IFERROR(__xludf.DUMMYFUNCTION("""COMPUTED_VALUE"""),"")</f>
        <v/>
      </c>
      <c r="B586" s="5" t="str">
        <f>IFERROR(__xludf.DUMMYFUNCTION("""COMPUTED_VALUE"""),"46220")</f>
        <v>46220</v>
      </c>
      <c r="C586" s="9">
        <f>IFERROR(__xludf.DUMMYFUNCTION("""COMPUTED_VALUE"""),4.4600000132E10)</f>
        <v>44600000132</v>
      </c>
      <c r="D586" s="87" t="str">
        <f>IFERROR(__xludf.DUMMYFUNCTION("""COMPUTED_VALUE"""),"FB")</f>
        <v>FB</v>
      </c>
      <c r="E586" s="193">
        <f>IFERROR(__xludf.DUMMYFUNCTION("""COMPUTED_VALUE"""),44600.0)</f>
        <v>44600</v>
      </c>
      <c r="F586" s="5" t="str">
        <f>IFERROR(__xludf.DUMMYFUNCTION("""COMPUTED_VALUE"""),"Stock")</f>
        <v>Stock</v>
      </c>
      <c r="G586" s="5" t="str">
        <f>IFERROR(__xludf.DUMMYFUNCTION("""COMPUTED_VALUE"""),"USD")</f>
        <v>USD</v>
      </c>
      <c r="H586" s="22">
        <f>IFERROR(__xludf.DUMMYFUNCTION("""COMPUTED_VALUE"""),20.0)</f>
        <v>20</v>
      </c>
      <c r="I586" s="194">
        <f>IFERROR(__xludf.DUMMYFUNCTION("""COMPUTED_VALUE"""),7.793545)</f>
        <v>7.793545</v>
      </c>
      <c r="J586" s="23">
        <f>IFERROR(__xludf.DUMMYFUNCTION("""COMPUTED_VALUE"""),220.18)</f>
        <v>220.18</v>
      </c>
      <c r="K586" s="5"/>
      <c r="L586" s="23">
        <f>IFERROR(__xludf.DUMMYFUNCTION("""COMPUTED_VALUE"""),214.99)</f>
        <v>214.99</v>
      </c>
      <c r="M586" s="195" t="str">
        <f>IFERROR(__xludf.DUMMYFUNCTION("""COMPUTED_VALUE"""),"Equity Key Stats")</f>
        <v>Equity Key Stats</v>
      </c>
      <c r="N586" s="5"/>
      <c r="O586" s="5"/>
      <c r="P586" s="142">
        <f>IFERROR(__xludf.DUMMYFUNCTION("""COMPUTED_VALUE"""),-34319.654762000006)</f>
        <v>-34319.65476</v>
      </c>
      <c r="Q586" s="5"/>
      <c r="R586" s="71">
        <f>IFERROR(__xludf.DUMMYFUNCTION("""COMPUTED_VALUE"""),214.99)</f>
        <v>214.99</v>
      </c>
      <c r="S586" s="142">
        <f>IFERROR(__xludf.DUMMYFUNCTION("""COMPUTED_VALUE"""),33510.684791)</f>
        <v>33510.68479</v>
      </c>
      <c r="T586" s="5">
        <f>IFERROR(__xludf.DUMMYFUNCTION("""COMPUTED_VALUE"""),2.0)</f>
        <v>2</v>
      </c>
      <c r="U586" s="5">
        <f>IFERROR(__xludf.DUMMYFUNCTION("""COMPUTED_VALUE"""),1.0)</f>
        <v>1</v>
      </c>
      <c r="V586" s="22">
        <f>IFERROR(__xludf.DUMMYFUNCTION("""COMPUTED_VALUE"""),-2741.398371000003)</f>
        <v>-2741.398371</v>
      </c>
      <c r="W586" s="9" t="str">
        <f>IFERROR(__xludf.DUMMYFUNCTION("""COMPUTED_VALUE"""),"")</f>
        <v/>
      </c>
      <c r="X586" s="22" t="str">
        <f>IFERROR(__xludf.DUMMYFUNCTION("""COMPUTED_VALUE"""),"")</f>
        <v/>
      </c>
      <c r="Y586" s="22" t="str">
        <f>IFERROR(__xludf.DUMMYFUNCTION("""COMPUTED_VALUE"""),"")</f>
        <v/>
      </c>
      <c r="Z586" s="24" t="str">
        <f>IFERROR(__xludf.DUMMYFUNCTION("""COMPUTED_VALUE"""),"")</f>
        <v/>
      </c>
    </row>
    <row r="587">
      <c r="A587" s="5" t="str">
        <f>IFERROR(__xludf.DUMMYFUNCTION("""COMPUTED_VALUE"""),"")</f>
        <v/>
      </c>
      <c r="B587" s="5" t="str">
        <f>IFERROR(__xludf.DUMMYFUNCTION("""COMPUTED_VALUE"""),"46220")</f>
        <v>46220</v>
      </c>
      <c r="C587" s="9">
        <f>IFERROR(__xludf.DUMMYFUNCTION("""COMPUTED_VALUE"""),4.460100014E10)</f>
        <v>44601000140</v>
      </c>
      <c r="D587" s="87" t="str">
        <f>IFERROR(__xludf.DUMMYFUNCTION("""COMPUTED_VALUE"""),"BTC-USD")</f>
        <v>BTC-USD</v>
      </c>
      <c r="E587" s="193">
        <f>IFERROR(__xludf.DUMMYFUNCTION("""COMPUTED_VALUE"""),44601.0)</f>
        <v>44601</v>
      </c>
      <c r="F587" s="5" t="str">
        <f>IFERROR(__xludf.DUMMYFUNCTION("""COMPUTED_VALUE"""),"Stock")</f>
        <v>Stock</v>
      </c>
      <c r="G587" s="5" t="str">
        <f>IFERROR(__xludf.DUMMYFUNCTION("""COMPUTED_VALUE"""),"USD")</f>
        <v>USD</v>
      </c>
      <c r="H587" s="22" t="str">
        <f>IFERROR(__xludf.DUMMYFUNCTION("""COMPUTED_VALUE"""),"")</f>
        <v/>
      </c>
      <c r="I587" s="194">
        <f>IFERROR(__xludf.DUMMYFUNCTION("""COMPUTED_VALUE"""),7.79135)</f>
        <v>7.79135</v>
      </c>
      <c r="J587" s="23">
        <f>IFERROR(__xludf.DUMMYFUNCTION("""COMPUTED_VALUE"""),44162.117)</f>
        <v>44162.117</v>
      </c>
      <c r="K587" s="5"/>
      <c r="L587" s="23">
        <f>IFERROR(__xludf.DUMMYFUNCTION("""COMPUTED_VALUE"""),41054.41)</f>
        <v>41054.41</v>
      </c>
      <c r="M587" s="195" t="str">
        <f>IFERROR(__xludf.DUMMYFUNCTION("""COMPUTED_VALUE"""),"Equity Key Stats")</f>
        <v>Equity Key Stats</v>
      </c>
      <c r="N587" s="5"/>
      <c r="O587" s="5"/>
      <c r="P587" s="142">
        <f>IFERROR(__xludf.DUMMYFUNCTION("""COMPUTED_VALUE"""),0.0)</f>
        <v>0</v>
      </c>
      <c r="Q587" s="5"/>
      <c r="R587" s="71">
        <f>IFERROR(__xludf.DUMMYFUNCTION("""COMPUTED_VALUE"""),41054.41)</f>
        <v>41054.41</v>
      </c>
      <c r="S587" s="142">
        <f>IFERROR(__xludf.DUMMYFUNCTION("""COMPUTED_VALUE"""),0.0)</f>
        <v>0</v>
      </c>
      <c r="T587" s="5">
        <f>IFERROR(__xludf.DUMMYFUNCTION("""COMPUTED_VALUE"""),3.0)</f>
        <v>3</v>
      </c>
      <c r="U587" s="5" t="str">
        <f>IFERROR(__xludf.DUMMYFUNCTION("""COMPUTED_VALUE"""),"")</f>
        <v/>
      </c>
      <c r="V587" s="22" t="str">
        <f>IFERROR(__xludf.DUMMYFUNCTION("""COMPUTED_VALUE"""),"")</f>
        <v/>
      </c>
      <c r="W587" s="9" t="str">
        <f>IFERROR(__xludf.DUMMYFUNCTION("""COMPUTED_VALUE"""),"")</f>
        <v/>
      </c>
      <c r="X587" s="22" t="str">
        <f>IFERROR(__xludf.DUMMYFUNCTION("""COMPUTED_VALUE"""),"")</f>
        <v/>
      </c>
      <c r="Y587" s="22" t="str">
        <f>IFERROR(__xludf.DUMMYFUNCTION("""COMPUTED_VALUE"""),"")</f>
        <v/>
      </c>
      <c r="Z587" s="24" t="str">
        <f>IFERROR(__xludf.DUMMYFUNCTION("""COMPUTED_VALUE"""),"")</f>
        <v/>
      </c>
    </row>
    <row r="588">
      <c r="A588" s="5" t="str">
        <f>IFERROR(__xludf.DUMMYFUNCTION("""COMPUTED_VALUE"""),"")</f>
        <v/>
      </c>
      <c r="B588" s="5" t="str">
        <f>IFERROR(__xludf.DUMMYFUNCTION("""COMPUTED_VALUE"""),"46220")</f>
        <v>46220</v>
      </c>
      <c r="C588" s="9">
        <f>IFERROR(__xludf.DUMMYFUNCTION("""COMPUTED_VALUE"""),4.4601000141E10)</f>
        <v>44601000141</v>
      </c>
      <c r="D588" s="87" t="str">
        <f>IFERROR(__xludf.DUMMYFUNCTION("""COMPUTED_VALUE"""),"NFLX")</f>
        <v>NFLX</v>
      </c>
      <c r="E588" s="193">
        <f>IFERROR(__xludf.DUMMYFUNCTION("""COMPUTED_VALUE"""),44601.0)</f>
        <v>44601</v>
      </c>
      <c r="F588" s="5" t="str">
        <f>IFERROR(__xludf.DUMMYFUNCTION("""COMPUTED_VALUE"""),"Stock")</f>
        <v>Stock</v>
      </c>
      <c r="G588" s="5" t="str">
        <f>IFERROR(__xludf.DUMMYFUNCTION("""COMPUTED_VALUE"""),"USD")</f>
        <v>USD</v>
      </c>
      <c r="H588" s="22">
        <f>IFERROR(__xludf.DUMMYFUNCTION("""COMPUTED_VALUE"""),15.0)</f>
        <v>15</v>
      </c>
      <c r="I588" s="194">
        <f>IFERROR(__xludf.DUMMYFUNCTION("""COMPUTED_VALUE"""),7.79135)</f>
        <v>7.79135</v>
      </c>
      <c r="J588" s="23">
        <f>IFERROR(__xludf.DUMMYFUNCTION("""COMPUTED_VALUE"""),412.89)</f>
        <v>412.89</v>
      </c>
      <c r="K588" s="5"/>
      <c r="L588" s="23">
        <f>IFERROR(__xludf.DUMMYFUNCTION("""COMPUTED_VALUE"""),350.43)</f>
        <v>350.43</v>
      </c>
      <c r="M588" s="195" t="str">
        <f>IFERROR(__xludf.DUMMYFUNCTION("""COMPUTED_VALUE"""),"Equity Key Stats")</f>
        <v>Equity Key Stats</v>
      </c>
      <c r="N588" s="5"/>
      <c r="O588" s="5"/>
      <c r="P588" s="142">
        <f>IFERROR(__xludf.DUMMYFUNCTION("""COMPUTED_VALUE"""),-48254.55752250001)</f>
        <v>-48254.55752</v>
      </c>
      <c r="Q588" s="5"/>
      <c r="R588" s="71">
        <f>IFERROR(__xludf.DUMMYFUNCTION("""COMPUTED_VALUE"""),350.43)</f>
        <v>350.43</v>
      </c>
      <c r="S588" s="142">
        <f>IFERROR(__xludf.DUMMYFUNCTION("""COMPUTED_VALUE"""),40954.8417075)</f>
        <v>40954.84171</v>
      </c>
      <c r="T588" s="5">
        <f>IFERROR(__xludf.DUMMYFUNCTION("""COMPUTED_VALUE"""),2.0)</f>
        <v>2</v>
      </c>
      <c r="U588" s="5" t="str">
        <f>IFERROR(__xludf.DUMMYFUNCTION("""COMPUTED_VALUE"""),"")</f>
        <v/>
      </c>
      <c r="V588" s="22" t="str">
        <f>IFERROR(__xludf.DUMMYFUNCTION("""COMPUTED_VALUE"""),"")</f>
        <v/>
      </c>
      <c r="W588" s="9" t="str">
        <f>IFERROR(__xludf.DUMMYFUNCTION("""COMPUTED_VALUE"""),"")</f>
        <v/>
      </c>
      <c r="X588" s="22" t="str">
        <f>IFERROR(__xludf.DUMMYFUNCTION("""COMPUTED_VALUE"""),"")</f>
        <v/>
      </c>
      <c r="Y588" s="22" t="str">
        <f>IFERROR(__xludf.DUMMYFUNCTION("""COMPUTED_VALUE"""),"")</f>
        <v/>
      </c>
      <c r="Z588" s="24" t="str">
        <f>IFERROR(__xludf.DUMMYFUNCTION("""COMPUTED_VALUE"""),"")</f>
        <v/>
      </c>
    </row>
    <row r="589">
      <c r="A589" s="5" t="str">
        <f>IFERROR(__xludf.DUMMYFUNCTION("""COMPUTED_VALUE"""),"")</f>
        <v/>
      </c>
      <c r="B589" s="5" t="str">
        <f>IFERROR(__xludf.DUMMYFUNCTION("""COMPUTED_VALUE"""),"46220")</f>
        <v>46220</v>
      </c>
      <c r="C589" s="9">
        <f>IFERROR(__xludf.DUMMYFUNCTION("""COMPUTED_VALUE"""),4.4602000156E10)</f>
        <v>44602000156</v>
      </c>
      <c r="D589" s="87" t="str">
        <f>IFERROR(__xludf.DUMMYFUNCTION("""COMPUTED_VALUE"""),"MCD")</f>
        <v>MCD</v>
      </c>
      <c r="E589" s="193">
        <f>IFERROR(__xludf.DUMMYFUNCTION("""COMPUTED_VALUE"""),44602.0)</f>
        <v>44602</v>
      </c>
      <c r="F589" s="5" t="str">
        <f>IFERROR(__xludf.DUMMYFUNCTION("""COMPUTED_VALUE"""),"Stock")</f>
        <v>Stock</v>
      </c>
      <c r="G589" s="5" t="str">
        <f>IFERROR(__xludf.DUMMYFUNCTION("""COMPUTED_VALUE"""),"USD")</f>
        <v>USD</v>
      </c>
      <c r="H589" s="22">
        <f>IFERROR(__xludf.DUMMYFUNCTION("""COMPUTED_VALUE"""),10.0)</f>
        <v>10</v>
      </c>
      <c r="I589" s="194">
        <f>IFERROR(__xludf.DUMMYFUNCTION("""COMPUTED_VALUE"""),7.796775)</f>
        <v>7.796775</v>
      </c>
      <c r="J589" s="23">
        <f>IFERROR(__xludf.DUMMYFUNCTION("""COMPUTED_VALUE"""),256.87)</f>
        <v>256.87</v>
      </c>
      <c r="K589" s="5"/>
      <c r="L589" s="23">
        <f>IFERROR(__xludf.DUMMYFUNCTION("""COMPUTED_VALUE"""),251.45)</f>
        <v>251.45</v>
      </c>
      <c r="M589" s="195" t="str">
        <f>IFERROR(__xludf.DUMMYFUNCTION("""COMPUTED_VALUE"""),"Equity Key Stats")</f>
        <v>Equity Key Stats</v>
      </c>
      <c r="N589" s="5"/>
      <c r="O589" s="5"/>
      <c r="P589" s="142">
        <f>IFERROR(__xludf.DUMMYFUNCTION("""COMPUTED_VALUE"""),-20027.5759425)</f>
        <v>-20027.57594</v>
      </c>
      <c r="Q589" s="5"/>
      <c r="R589" s="71">
        <f>IFERROR(__xludf.DUMMYFUNCTION("""COMPUTED_VALUE"""),251.45)</f>
        <v>251.45</v>
      </c>
      <c r="S589" s="142">
        <f>IFERROR(__xludf.DUMMYFUNCTION("""COMPUTED_VALUE"""),19604.990737499997)</f>
        <v>19604.99074</v>
      </c>
      <c r="T589" s="5">
        <f>IFERROR(__xludf.DUMMYFUNCTION("""COMPUTED_VALUE"""),1.0)</f>
        <v>1</v>
      </c>
      <c r="U589" s="5">
        <f>IFERROR(__xludf.DUMMYFUNCTION("""COMPUTED_VALUE"""),1.0)</f>
        <v>1</v>
      </c>
      <c r="V589" s="22">
        <f>IFERROR(__xludf.DUMMYFUNCTION("""COMPUTED_VALUE"""),-422.58520500000304)</f>
        <v>-422.585205</v>
      </c>
      <c r="W589" s="9" t="str">
        <f>IFERROR(__xludf.DUMMYFUNCTION("""COMPUTED_VALUE"""),"")</f>
        <v/>
      </c>
      <c r="X589" s="22" t="str">
        <f>IFERROR(__xludf.DUMMYFUNCTION("""COMPUTED_VALUE"""),"")</f>
        <v/>
      </c>
      <c r="Y589" s="22" t="str">
        <f>IFERROR(__xludf.DUMMYFUNCTION("""COMPUTED_VALUE"""),"")</f>
        <v/>
      </c>
      <c r="Z589" s="24" t="str">
        <f>IFERROR(__xludf.DUMMYFUNCTION("""COMPUTED_VALUE"""),"")</f>
        <v/>
      </c>
    </row>
    <row r="590">
      <c r="A590" s="5" t="str">
        <f>IFERROR(__xludf.DUMMYFUNCTION("""COMPUTED_VALUE"""),"")</f>
        <v/>
      </c>
      <c r="B590" s="5" t="str">
        <f>IFERROR(__xludf.DUMMYFUNCTION("""COMPUTED_VALUE"""),"46220")</f>
        <v>46220</v>
      </c>
      <c r="C590" s="9">
        <f>IFERROR(__xludf.DUMMYFUNCTION("""COMPUTED_VALUE"""),4.4603000171E10)</f>
        <v>44603000171</v>
      </c>
      <c r="D590" s="87" t="str">
        <f>IFERROR(__xludf.DUMMYFUNCTION("""COMPUTED_VALUE"""),"TSLA")</f>
        <v>TSLA</v>
      </c>
      <c r="E590" s="193">
        <f>IFERROR(__xludf.DUMMYFUNCTION("""COMPUTED_VALUE"""),44603.0)</f>
        <v>44603</v>
      </c>
      <c r="F590" s="5" t="str">
        <f>IFERROR(__xludf.DUMMYFUNCTION("""COMPUTED_VALUE"""),"Stock")</f>
        <v>Stock</v>
      </c>
      <c r="G590" s="5" t="str">
        <f>IFERROR(__xludf.DUMMYFUNCTION("""COMPUTED_VALUE"""),"USD")</f>
        <v>USD</v>
      </c>
      <c r="H590" s="22">
        <f>IFERROR(__xludf.DUMMYFUNCTION("""COMPUTED_VALUE"""),15.0)</f>
        <v>15</v>
      </c>
      <c r="I590" s="194">
        <f>IFERROR(__xludf.DUMMYFUNCTION("""COMPUTED_VALUE"""),7.800485)</f>
        <v>7.800485</v>
      </c>
      <c r="J590" s="23">
        <f>IFERROR(__xludf.DUMMYFUNCTION("""COMPUTED_VALUE"""),860.0)</f>
        <v>860</v>
      </c>
      <c r="K590" s="5"/>
      <c r="L590" s="23">
        <f>IFERROR(__xludf.DUMMYFUNCTION("""COMPUTED_VALUE"""),1022.37)</f>
        <v>1022.37</v>
      </c>
      <c r="M590" s="195" t="str">
        <f>IFERROR(__xludf.DUMMYFUNCTION("""COMPUTED_VALUE"""),"Equity Key Stats")</f>
        <v>Equity Key Stats</v>
      </c>
      <c r="N590" s="5"/>
      <c r="O590" s="5"/>
      <c r="P590" s="142">
        <f>IFERROR(__xludf.DUMMYFUNCTION("""COMPUTED_VALUE"""),-100626.2565)</f>
        <v>-100626.2565</v>
      </c>
      <c r="Q590" s="5"/>
      <c r="R590" s="71">
        <f>IFERROR(__xludf.DUMMYFUNCTION("""COMPUTED_VALUE"""),1022.37)</f>
        <v>1022.37</v>
      </c>
      <c r="S590" s="142">
        <f>IFERROR(__xludf.DUMMYFUNCTION("""COMPUTED_VALUE"""),119624.72774175)</f>
        <v>119624.7277</v>
      </c>
      <c r="T590" s="5">
        <f>IFERROR(__xludf.DUMMYFUNCTION("""COMPUTED_VALUE"""),2.0)</f>
        <v>2</v>
      </c>
      <c r="U590" s="5" t="str">
        <f>IFERROR(__xludf.DUMMYFUNCTION("""COMPUTED_VALUE"""),"")</f>
        <v/>
      </c>
      <c r="V590" s="22" t="str">
        <f>IFERROR(__xludf.DUMMYFUNCTION("""COMPUTED_VALUE"""),"")</f>
        <v/>
      </c>
      <c r="W590" s="9" t="str">
        <f>IFERROR(__xludf.DUMMYFUNCTION("""COMPUTED_VALUE"""),"")</f>
        <v/>
      </c>
      <c r="X590" s="22" t="str">
        <f>IFERROR(__xludf.DUMMYFUNCTION("""COMPUTED_VALUE"""),"")</f>
        <v/>
      </c>
      <c r="Y590" s="22" t="str">
        <f>IFERROR(__xludf.DUMMYFUNCTION("""COMPUTED_VALUE"""),"")</f>
        <v/>
      </c>
      <c r="Z590" s="24" t="str">
        <f>IFERROR(__xludf.DUMMYFUNCTION("""COMPUTED_VALUE"""),"")</f>
        <v/>
      </c>
    </row>
    <row r="591">
      <c r="A591" s="5" t="str">
        <f>IFERROR(__xludf.DUMMYFUNCTION("""COMPUTED_VALUE"""),"")</f>
        <v/>
      </c>
      <c r="B591" s="5" t="str">
        <f>IFERROR(__xludf.DUMMYFUNCTION("""COMPUTED_VALUE"""),"46220")</f>
        <v>46220</v>
      </c>
      <c r="C591" s="9">
        <f>IFERROR(__xludf.DUMMYFUNCTION("""COMPUTED_VALUE"""),4.4608000217E10)</f>
        <v>44608000217</v>
      </c>
      <c r="D591" s="87" t="str">
        <f>IFERROR(__xludf.DUMMYFUNCTION("""COMPUTED_VALUE"""),"BTC-USD")</f>
        <v>BTC-USD</v>
      </c>
      <c r="E591" s="193">
        <f>IFERROR(__xludf.DUMMYFUNCTION("""COMPUTED_VALUE"""),44608.0)</f>
        <v>44608</v>
      </c>
      <c r="F591" s="5" t="str">
        <f>IFERROR(__xludf.DUMMYFUNCTION("""COMPUTED_VALUE"""),"Stock")</f>
        <v>Stock</v>
      </c>
      <c r="G591" s="5" t="str">
        <f>IFERROR(__xludf.DUMMYFUNCTION("""COMPUTED_VALUE"""),"USD")</f>
        <v>USD</v>
      </c>
      <c r="H591" s="22" t="str">
        <f>IFERROR(__xludf.DUMMYFUNCTION("""COMPUTED_VALUE"""),"")</f>
        <v/>
      </c>
      <c r="I591" s="194">
        <f>IFERROR(__xludf.DUMMYFUNCTION("""COMPUTED_VALUE"""),7.8005)</f>
        <v>7.8005</v>
      </c>
      <c r="J591" s="23">
        <f>IFERROR(__xludf.DUMMYFUNCTION("""COMPUTED_VALUE"""),43926.6)</f>
        <v>43926.6</v>
      </c>
      <c r="K591" s="5"/>
      <c r="L591" s="23">
        <f>IFERROR(__xludf.DUMMYFUNCTION("""COMPUTED_VALUE"""),41054.41)</f>
        <v>41054.41</v>
      </c>
      <c r="M591" s="195" t="str">
        <f>IFERROR(__xludf.DUMMYFUNCTION("""COMPUTED_VALUE"""),"Equity Key Stats")</f>
        <v>Equity Key Stats</v>
      </c>
      <c r="N591" s="5"/>
      <c r="O591" s="5"/>
      <c r="P591" s="142">
        <f>IFERROR(__xludf.DUMMYFUNCTION("""COMPUTED_VALUE"""),0.0)</f>
        <v>0</v>
      </c>
      <c r="Q591" s="5"/>
      <c r="R591" s="71">
        <f>IFERROR(__xludf.DUMMYFUNCTION("""COMPUTED_VALUE"""),41054.41)</f>
        <v>41054.41</v>
      </c>
      <c r="S591" s="142">
        <f>IFERROR(__xludf.DUMMYFUNCTION("""COMPUTED_VALUE"""),0.0)</f>
        <v>0</v>
      </c>
      <c r="T591" s="5">
        <f>IFERROR(__xludf.DUMMYFUNCTION("""COMPUTED_VALUE"""),3.0)</f>
        <v>3</v>
      </c>
      <c r="U591" s="5" t="str">
        <f>IFERROR(__xludf.DUMMYFUNCTION("""COMPUTED_VALUE"""),"")</f>
        <v/>
      </c>
      <c r="V591" s="22" t="str">
        <f>IFERROR(__xludf.DUMMYFUNCTION("""COMPUTED_VALUE"""),"")</f>
        <v/>
      </c>
      <c r="W591" s="9" t="str">
        <f>IFERROR(__xludf.DUMMYFUNCTION("""COMPUTED_VALUE"""),"")</f>
        <v/>
      </c>
      <c r="X591" s="22" t="str">
        <f>IFERROR(__xludf.DUMMYFUNCTION("""COMPUTED_VALUE"""),"")</f>
        <v/>
      </c>
      <c r="Y591" s="22" t="str">
        <f>IFERROR(__xludf.DUMMYFUNCTION("""COMPUTED_VALUE"""),"")</f>
        <v/>
      </c>
      <c r="Z591" s="24" t="str">
        <f>IFERROR(__xludf.DUMMYFUNCTION("""COMPUTED_VALUE"""),"")</f>
        <v/>
      </c>
    </row>
    <row r="592">
      <c r="A592" s="5" t="str">
        <f>IFERROR(__xludf.DUMMYFUNCTION("""COMPUTED_VALUE"""),"")</f>
        <v/>
      </c>
      <c r="B592" s="5" t="str">
        <f>IFERROR(__xludf.DUMMYFUNCTION("""COMPUTED_VALUE"""),"46220")</f>
        <v>46220</v>
      </c>
      <c r="C592" s="9">
        <f>IFERROR(__xludf.DUMMYFUNCTION("""COMPUTED_VALUE"""),4.4608000218E10)</f>
        <v>44608000218</v>
      </c>
      <c r="D592" s="90" t="str">
        <f>IFERROR(__xludf.DUMMYFUNCTION("""COMPUTED_VALUE"""),"0883.hk")</f>
        <v>0883.hk</v>
      </c>
      <c r="E592" s="193">
        <f>IFERROR(__xludf.DUMMYFUNCTION("""COMPUTED_VALUE"""),44608.0)</f>
        <v>44608</v>
      </c>
      <c r="F592" s="5" t="str">
        <f>IFERROR(__xludf.DUMMYFUNCTION("""COMPUTED_VALUE"""),"Stock")</f>
        <v>Stock</v>
      </c>
      <c r="G592" s="5" t="str">
        <f>IFERROR(__xludf.DUMMYFUNCTION("""COMPUTED_VALUE"""),"HKD")</f>
        <v>HKD</v>
      </c>
      <c r="H592" s="22">
        <f>IFERROR(__xludf.DUMMYFUNCTION("""COMPUTED_VALUE"""),-20.0)</f>
        <v>-20</v>
      </c>
      <c r="I592" s="194">
        <f>IFERROR(__xludf.DUMMYFUNCTION("""COMPUTED_VALUE"""),1.0)</f>
        <v>1</v>
      </c>
      <c r="J592" s="23">
        <f>IFERROR(__xludf.DUMMYFUNCTION("""COMPUTED_VALUE"""),9.82)</f>
        <v>9.82</v>
      </c>
      <c r="K592" s="5"/>
      <c r="L592" s="23">
        <f>IFERROR(__xludf.DUMMYFUNCTION("""COMPUTED_VALUE"""),11.46)</f>
        <v>11.46</v>
      </c>
      <c r="M592" s="195" t="str">
        <f>IFERROR(__xludf.DUMMYFUNCTION("""COMPUTED_VALUE"""),"Equity Key Stats")</f>
        <v>Equity Key Stats</v>
      </c>
      <c r="N592" s="5"/>
      <c r="O592" s="5"/>
      <c r="P592" s="142">
        <f>IFERROR(__xludf.DUMMYFUNCTION("""COMPUTED_VALUE"""),196.4)</f>
        <v>196.4</v>
      </c>
      <c r="Q592" s="5"/>
      <c r="R592" s="71">
        <f>IFERROR(__xludf.DUMMYFUNCTION("""COMPUTED_VALUE"""),11.46)</f>
        <v>11.46</v>
      </c>
      <c r="S592" s="142">
        <f>IFERROR(__xludf.DUMMYFUNCTION("""COMPUTED_VALUE"""),-229.20000000000002)</f>
        <v>-229.2</v>
      </c>
      <c r="T592" s="5">
        <f>IFERROR(__xludf.DUMMYFUNCTION("""COMPUTED_VALUE"""),2.0)</f>
        <v>2</v>
      </c>
      <c r="U592" s="5">
        <f>IFERROR(__xludf.DUMMYFUNCTION("""COMPUTED_VALUE"""),1.0)</f>
        <v>1</v>
      </c>
      <c r="V592" s="22">
        <f>IFERROR(__xludf.DUMMYFUNCTION("""COMPUTED_VALUE"""),0.6000000000000227)</f>
        <v>0.6</v>
      </c>
      <c r="W592" s="9" t="str">
        <f>IFERROR(__xludf.DUMMYFUNCTION("""COMPUTED_VALUE"""),"")</f>
        <v/>
      </c>
      <c r="X592" s="22" t="str">
        <f>IFERROR(__xludf.DUMMYFUNCTION("""COMPUTED_VALUE"""),"")</f>
        <v/>
      </c>
      <c r="Y592" s="22" t="str">
        <f>IFERROR(__xludf.DUMMYFUNCTION("""COMPUTED_VALUE"""),"")</f>
        <v/>
      </c>
      <c r="Z592" s="24" t="str">
        <f>IFERROR(__xludf.DUMMYFUNCTION("""COMPUTED_VALUE"""),"")</f>
        <v/>
      </c>
    </row>
    <row r="593">
      <c r="A593" s="5" t="str">
        <f>IFERROR(__xludf.DUMMYFUNCTION("""COMPUTED_VALUE"""),"")</f>
        <v/>
      </c>
      <c r="B593" s="5" t="str">
        <f>IFERROR(__xludf.DUMMYFUNCTION("""COMPUTED_VALUE"""),"46220")</f>
        <v>46220</v>
      </c>
      <c r="C593" s="9">
        <f>IFERROR(__xludf.DUMMYFUNCTION("""COMPUTED_VALUE"""),4.4608000219E10)</f>
        <v>44608000219</v>
      </c>
      <c r="D593" s="87" t="str">
        <f>IFERROR(__xludf.DUMMYFUNCTION("""COMPUTED_VALUE"""),"GOOG")</f>
        <v>GOOG</v>
      </c>
      <c r="E593" s="193">
        <f>IFERROR(__xludf.DUMMYFUNCTION("""COMPUTED_VALUE"""),44608.0)</f>
        <v>44608</v>
      </c>
      <c r="F593" s="5" t="str">
        <f>IFERROR(__xludf.DUMMYFUNCTION("""COMPUTED_VALUE"""),"Stock")</f>
        <v>Stock</v>
      </c>
      <c r="G593" s="5" t="str">
        <f>IFERROR(__xludf.DUMMYFUNCTION("""COMPUTED_VALUE"""),"USD")</f>
        <v>USD</v>
      </c>
      <c r="H593" s="22">
        <f>IFERROR(__xludf.DUMMYFUNCTION("""COMPUTED_VALUE"""),20.0)</f>
        <v>20</v>
      </c>
      <c r="I593" s="194">
        <f>IFERROR(__xludf.DUMMYFUNCTION("""COMPUTED_VALUE"""),7.8005)</f>
        <v>7.8005</v>
      </c>
      <c r="J593" s="23">
        <f>IFERROR(__xludf.DUMMYFUNCTION("""COMPUTED_VALUE"""),2749.75)</f>
        <v>2749.75</v>
      </c>
      <c r="K593" s="5"/>
      <c r="L593" s="23">
        <f>IFERROR(__xludf.DUMMYFUNCTION("""COMPUTED_VALUE"""),2605.72)</f>
        <v>2605.72</v>
      </c>
      <c r="M593" s="195" t="str">
        <f>IFERROR(__xludf.DUMMYFUNCTION("""COMPUTED_VALUE"""),"Equity Key Stats")</f>
        <v>Equity Key Stats</v>
      </c>
      <c r="N593" s="5"/>
      <c r="O593" s="5"/>
      <c r="P593" s="142">
        <f>IFERROR(__xludf.DUMMYFUNCTION("""COMPUTED_VALUE"""),-428988.49750000006)</f>
        <v>-428988.4975</v>
      </c>
      <c r="Q593" s="5"/>
      <c r="R593" s="71">
        <f>IFERROR(__xludf.DUMMYFUNCTION("""COMPUTED_VALUE"""),2605.72)</f>
        <v>2605.72</v>
      </c>
      <c r="S593" s="142">
        <f>IFERROR(__xludf.DUMMYFUNCTION("""COMPUTED_VALUE"""),406518.37720000005)</f>
        <v>406518.3772</v>
      </c>
      <c r="T593" s="5">
        <f>IFERROR(__xludf.DUMMYFUNCTION("""COMPUTED_VALUE"""),1.0)</f>
        <v>1</v>
      </c>
      <c r="U593" s="5">
        <f>IFERROR(__xludf.DUMMYFUNCTION("""COMPUTED_VALUE"""),1.0)</f>
        <v>1</v>
      </c>
      <c r="V593" s="22">
        <f>IFERROR(__xludf.DUMMYFUNCTION("""COMPUTED_VALUE"""),-22470.12030000001)</f>
        <v>-22470.1203</v>
      </c>
      <c r="W593" s="9" t="str">
        <f>IFERROR(__xludf.DUMMYFUNCTION("""COMPUTED_VALUE"""),"")</f>
        <v/>
      </c>
      <c r="X593" s="22" t="str">
        <f>IFERROR(__xludf.DUMMYFUNCTION("""COMPUTED_VALUE"""),"")</f>
        <v/>
      </c>
      <c r="Y593" s="22" t="str">
        <f>IFERROR(__xludf.DUMMYFUNCTION("""COMPUTED_VALUE"""),"")</f>
        <v/>
      </c>
      <c r="Z593" s="24" t="str">
        <f>IFERROR(__xludf.DUMMYFUNCTION("""COMPUTED_VALUE"""),"")</f>
        <v/>
      </c>
    </row>
    <row r="594">
      <c r="A594" s="5" t="str">
        <f>IFERROR(__xludf.DUMMYFUNCTION("""COMPUTED_VALUE"""),"")</f>
        <v/>
      </c>
      <c r="B594" s="5" t="str">
        <f>IFERROR(__xludf.DUMMYFUNCTION("""COMPUTED_VALUE"""),"46220")</f>
        <v>46220</v>
      </c>
      <c r="C594" s="9">
        <f>IFERROR(__xludf.DUMMYFUNCTION("""COMPUTED_VALUE"""),4.4609000243E10)</f>
        <v>44609000243</v>
      </c>
      <c r="D594" s="87" t="str">
        <f>IFERROR(__xludf.DUMMYFUNCTION("""COMPUTED_VALUE"""),"RBLX")</f>
        <v>RBLX</v>
      </c>
      <c r="E594" s="193">
        <f>IFERROR(__xludf.DUMMYFUNCTION("""COMPUTED_VALUE"""),44609.0)</f>
        <v>44609</v>
      </c>
      <c r="F594" s="5" t="str">
        <f>IFERROR(__xludf.DUMMYFUNCTION("""COMPUTED_VALUE"""),"Stock")</f>
        <v>Stock</v>
      </c>
      <c r="G594" s="5" t="str">
        <f>IFERROR(__xludf.DUMMYFUNCTION("""COMPUTED_VALUE"""),"USD")</f>
        <v>USD</v>
      </c>
      <c r="H594" s="22">
        <f>IFERROR(__xludf.DUMMYFUNCTION("""COMPUTED_VALUE"""),50.0)</f>
        <v>50</v>
      </c>
      <c r="I594" s="194">
        <f>IFERROR(__xludf.DUMMYFUNCTION("""COMPUTED_VALUE"""),7.799115)</f>
        <v>7.799115</v>
      </c>
      <c r="J594" s="23">
        <f>IFERROR(__xludf.DUMMYFUNCTION("""COMPUTED_VALUE"""),54.49)</f>
        <v>54.49</v>
      </c>
      <c r="K594" s="5"/>
      <c r="L594" s="23">
        <f>IFERROR(__xludf.DUMMYFUNCTION("""COMPUTED_VALUE"""),45.01)</f>
        <v>45.01</v>
      </c>
      <c r="M594" s="195" t="str">
        <f>IFERROR(__xludf.DUMMYFUNCTION("""COMPUTED_VALUE"""),"Equity Key Stats")</f>
        <v>Equity Key Stats</v>
      </c>
      <c r="N594" s="5"/>
      <c r="O594" s="5"/>
      <c r="P594" s="142">
        <f>IFERROR(__xludf.DUMMYFUNCTION("""COMPUTED_VALUE"""),-21248.6888175)</f>
        <v>-21248.68882</v>
      </c>
      <c r="Q594" s="5"/>
      <c r="R594" s="71">
        <f>IFERROR(__xludf.DUMMYFUNCTION("""COMPUTED_VALUE"""),45.01)</f>
        <v>45.01</v>
      </c>
      <c r="S594" s="142">
        <f>IFERROR(__xludf.DUMMYFUNCTION("""COMPUTED_VALUE"""),17551.908307499998)</f>
        <v>17551.90831</v>
      </c>
      <c r="T594" s="5">
        <f>IFERROR(__xludf.DUMMYFUNCTION("""COMPUTED_VALUE"""),1.0)</f>
        <v>1</v>
      </c>
      <c r="U594" s="5">
        <f>IFERROR(__xludf.DUMMYFUNCTION("""COMPUTED_VALUE"""),1.0)</f>
        <v>1</v>
      </c>
      <c r="V594" s="22">
        <f>IFERROR(__xludf.DUMMYFUNCTION("""COMPUTED_VALUE"""),-3696.7805100000005)</f>
        <v>-3696.78051</v>
      </c>
      <c r="W594" s="9" t="str">
        <f>IFERROR(__xludf.DUMMYFUNCTION("""COMPUTED_VALUE"""),"")</f>
        <v/>
      </c>
      <c r="X594" s="22" t="str">
        <f>IFERROR(__xludf.DUMMYFUNCTION("""COMPUTED_VALUE"""),"")</f>
        <v/>
      </c>
      <c r="Y594" s="22" t="str">
        <f>IFERROR(__xludf.DUMMYFUNCTION("""COMPUTED_VALUE"""),"")</f>
        <v/>
      </c>
      <c r="Z594" s="24" t="str">
        <f>IFERROR(__xludf.DUMMYFUNCTION("""COMPUTED_VALUE"""),"")</f>
        <v/>
      </c>
    </row>
    <row r="595">
      <c r="A595" s="5" t="str">
        <f>IFERROR(__xludf.DUMMYFUNCTION("""COMPUTED_VALUE"""),"")</f>
        <v/>
      </c>
      <c r="B595" s="5" t="str">
        <f>IFERROR(__xludf.DUMMYFUNCTION("""COMPUTED_VALUE"""),"46220")</f>
        <v>46220</v>
      </c>
      <c r="C595" s="9">
        <f>IFERROR(__xludf.DUMMYFUNCTION("""COMPUTED_VALUE"""),4.4610000266E10)</f>
        <v>44610000266</v>
      </c>
      <c r="D595" s="87" t="str">
        <f>IFERROR(__xludf.DUMMYFUNCTION("""COMPUTED_VALUE"""),"BTC-USD")</f>
        <v>BTC-USD</v>
      </c>
      <c r="E595" s="193">
        <f>IFERROR(__xludf.DUMMYFUNCTION("""COMPUTED_VALUE"""),44610.0)</f>
        <v>44610</v>
      </c>
      <c r="F595" s="5" t="str">
        <f>IFERROR(__xludf.DUMMYFUNCTION("""COMPUTED_VALUE"""),"Stock")</f>
        <v>Stock</v>
      </c>
      <c r="G595" s="5" t="str">
        <f>IFERROR(__xludf.DUMMYFUNCTION("""COMPUTED_VALUE"""),"USD")</f>
        <v>USD</v>
      </c>
      <c r="H595" s="22" t="str">
        <f>IFERROR(__xludf.DUMMYFUNCTION("""COMPUTED_VALUE"""),"")</f>
        <v/>
      </c>
      <c r="I595" s="194">
        <f>IFERROR(__xludf.DUMMYFUNCTION("""COMPUTED_VALUE"""),7.80051)</f>
        <v>7.80051</v>
      </c>
      <c r="J595" s="23">
        <f>IFERROR(__xludf.DUMMYFUNCTION("""COMPUTED_VALUE"""),40132.258)</f>
        <v>40132.258</v>
      </c>
      <c r="K595" s="5"/>
      <c r="L595" s="23">
        <f>IFERROR(__xludf.DUMMYFUNCTION("""COMPUTED_VALUE"""),41054.41)</f>
        <v>41054.41</v>
      </c>
      <c r="M595" s="195" t="str">
        <f>IFERROR(__xludf.DUMMYFUNCTION("""COMPUTED_VALUE"""),"Equity Key Stats")</f>
        <v>Equity Key Stats</v>
      </c>
      <c r="N595" s="5"/>
      <c r="O595" s="5"/>
      <c r="P595" s="142">
        <f>IFERROR(__xludf.DUMMYFUNCTION("""COMPUTED_VALUE"""),0.0)</f>
        <v>0</v>
      </c>
      <c r="Q595" s="5"/>
      <c r="R595" s="71">
        <f>IFERROR(__xludf.DUMMYFUNCTION("""COMPUTED_VALUE"""),41054.41)</f>
        <v>41054.41</v>
      </c>
      <c r="S595" s="142">
        <f>IFERROR(__xludf.DUMMYFUNCTION("""COMPUTED_VALUE"""),0.0)</f>
        <v>0</v>
      </c>
      <c r="T595" s="5">
        <f>IFERROR(__xludf.DUMMYFUNCTION("""COMPUTED_VALUE"""),3.0)</f>
        <v>3</v>
      </c>
      <c r="U595" s="5">
        <f>IFERROR(__xludf.DUMMYFUNCTION("""COMPUTED_VALUE"""),1.0)</f>
        <v>1</v>
      </c>
      <c r="V595" s="22">
        <f>IFERROR(__xludf.DUMMYFUNCTION("""COMPUTED_VALUE"""),0.0)</f>
        <v>0</v>
      </c>
      <c r="W595" s="9" t="str">
        <f>IFERROR(__xludf.DUMMYFUNCTION("""COMPUTED_VALUE"""),"")</f>
        <v/>
      </c>
      <c r="X595" s="22" t="str">
        <f>IFERROR(__xludf.DUMMYFUNCTION("""COMPUTED_VALUE"""),"")</f>
        <v/>
      </c>
      <c r="Y595" s="22" t="str">
        <f>IFERROR(__xludf.DUMMYFUNCTION("""COMPUTED_VALUE"""),"")</f>
        <v/>
      </c>
      <c r="Z595" s="24" t="str">
        <f>IFERROR(__xludf.DUMMYFUNCTION("""COMPUTED_VALUE"""),"")</f>
        <v/>
      </c>
    </row>
    <row r="596">
      <c r="A596" s="5" t="str">
        <f>IFERROR(__xludf.DUMMYFUNCTION("""COMPUTED_VALUE"""),"")</f>
        <v/>
      </c>
      <c r="B596" s="5" t="str">
        <f>IFERROR(__xludf.DUMMYFUNCTION("""COMPUTED_VALUE"""),"46220")</f>
        <v>46220</v>
      </c>
      <c r="C596" s="9">
        <f>IFERROR(__xludf.DUMMYFUNCTION("""COMPUTED_VALUE"""),4.4613000268E10)</f>
        <v>44613000268</v>
      </c>
      <c r="D596" s="90" t="str">
        <f>IFERROR(__xludf.DUMMYFUNCTION("""COMPUTED_VALUE"""),"6969.HK")</f>
        <v>6969.HK</v>
      </c>
      <c r="E596" s="193">
        <f>IFERROR(__xludf.DUMMYFUNCTION("""COMPUTED_VALUE"""),44613.0)</f>
        <v>44613</v>
      </c>
      <c r="F596" s="5" t="str">
        <f>IFERROR(__xludf.DUMMYFUNCTION("""COMPUTED_VALUE"""),"Stock")</f>
        <v>Stock</v>
      </c>
      <c r="G596" s="5" t="str">
        <f>IFERROR(__xludf.DUMMYFUNCTION("""COMPUTED_VALUE"""),"HKD")</f>
        <v>HKD</v>
      </c>
      <c r="H596" s="22" t="str">
        <f>IFERROR(__xludf.DUMMYFUNCTION("""COMPUTED_VALUE"""),"")</f>
        <v/>
      </c>
      <c r="I596" s="194">
        <f>IFERROR(__xludf.DUMMYFUNCTION("""COMPUTED_VALUE"""),1.0)</f>
        <v>1</v>
      </c>
      <c r="J596" s="23">
        <f>IFERROR(__xludf.DUMMYFUNCTION("""COMPUTED_VALUE"""),35.5)</f>
        <v>35.5</v>
      </c>
      <c r="K596" s="5"/>
      <c r="L596" s="23">
        <f>IFERROR(__xludf.DUMMYFUNCTION("""COMPUTED_VALUE"""),16.64)</f>
        <v>16.64</v>
      </c>
      <c r="M596" s="195" t="str">
        <f>IFERROR(__xludf.DUMMYFUNCTION("""COMPUTED_VALUE"""),"Equity Key Stats")</f>
        <v>Equity Key Stats</v>
      </c>
      <c r="N596" s="5"/>
      <c r="O596" s="5"/>
      <c r="P596" s="142">
        <f>IFERROR(__xludf.DUMMYFUNCTION("""COMPUTED_VALUE"""),0.0)</f>
        <v>0</v>
      </c>
      <c r="Q596" s="5"/>
      <c r="R596" s="71">
        <f>IFERROR(__xludf.DUMMYFUNCTION("""COMPUTED_VALUE"""),16.64)</f>
        <v>16.64</v>
      </c>
      <c r="S596" s="142">
        <f>IFERROR(__xludf.DUMMYFUNCTION("""COMPUTED_VALUE"""),0.0)</f>
        <v>0</v>
      </c>
      <c r="T596" s="5">
        <f>IFERROR(__xludf.DUMMYFUNCTION("""COMPUTED_VALUE"""),1.0)</f>
        <v>1</v>
      </c>
      <c r="U596" s="5">
        <f>IFERROR(__xludf.DUMMYFUNCTION("""COMPUTED_VALUE"""),1.0)</f>
        <v>1</v>
      </c>
      <c r="V596" s="22">
        <f>IFERROR(__xludf.DUMMYFUNCTION("""COMPUTED_VALUE"""),0.0)</f>
        <v>0</v>
      </c>
      <c r="W596" s="9" t="str">
        <f>IFERROR(__xludf.DUMMYFUNCTION("""COMPUTED_VALUE"""),"")</f>
        <v/>
      </c>
      <c r="X596" s="22" t="str">
        <f>IFERROR(__xludf.DUMMYFUNCTION("""COMPUTED_VALUE"""),"")</f>
        <v/>
      </c>
      <c r="Y596" s="22" t="str">
        <f>IFERROR(__xludf.DUMMYFUNCTION("""COMPUTED_VALUE"""),"")</f>
        <v/>
      </c>
      <c r="Z596" s="24" t="str">
        <f>IFERROR(__xludf.DUMMYFUNCTION("""COMPUTED_VALUE"""),"")</f>
        <v/>
      </c>
    </row>
    <row r="597">
      <c r="A597" s="5" t="str">
        <f>IFERROR(__xludf.DUMMYFUNCTION("""COMPUTED_VALUE"""),"")</f>
        <v/>
      </c>
      <c r="B597" s="5" t="str">
        <f>IFERROR(__xludf.DUMMYFUNCTION("""COMPUTED_VALUE"""),"46220")</f>
        <v>46220</v>
      </c>
      <c r="C597" s="9">
        <f>IFERROR(__xludf.DUMMYFUNCTION("""COMPUTED_VALUE"""),4.4615000303E10)</f>
        <v>44615000303</v>
      </c>
      <c r="D597" s="87" t="str">
        <f>IFERROR(__xludf.DUMMYFUNCTION("""COMPUTED_VALUE"""),"TSLA")</f>
        <v>TSLA</v>
      </c>
      <c r="E597" s="193">
        <f>IFERROR(__xludf.DUMMYFUNCTION("""COMPUTED_VALUE"""),44615.0)</f>
        <v>44615</v>
      </c>
      <c r="F597" s="5" t="str">
        <f>IFERROR(__xludf.DUMMYFUNCTION("""COMPUTED_VALUE"""),"Stock")</f>
        <v>Stock</v>
      </c>
      <c r="G597" s="5" t="str">
        <f>IFERROR(__xludf.DUMMYFUNCTION("""COMPUTED_VALUE"""),"USD")</f>
        <v>USD</v>
      </c>
      <c r="H597" s="22" t="str">
        <f>IFERROR(__xludf.DUMMYFUNCTION("""COMPUTED_VALUE"""),"")</f>
        <v/>
      </c>
      <c r="I597" s="194">
        <f>IFERROR(__xludf.DUMMYFUNCTION("""COMPUTED_VALUE"""),7.80545)</f>
        <v>7.80545</v>
      </c>
      <c r="J597" s="23">
        <f>IFERROR(__xludf.DUMMYFUNCTION("""COMPUTED_VALUE"""),764.04)</f>
        <v>764.04</v>
      </c>
      <c r="K597" s="5"/>
      <c r="L597" s="23">
        <f>IFERROR(__xludf.DUMMYFUNCTION("""COMPUTED_VALUE"""),1022.37)</f>
        <v>1022.37</v>
      </c>
      <c r="M597" s="195" t="str">
        <f>IFERROR(__xludf.DUMMYFUNCTION("""COMPUTED_VALUE"""),"Equity Key Stats")</f>
        <v>Equity Key Stats</v>
      </c>
      <c r="N597" s="5"/>
      <c r="O597" s="5"/>
      <c r="P597" s="142">
        <f>IFERROR(__xludf.DUMMYFUNCTION("""COMPUTED_VALUE"""),0.0)</f>
        <v>0</v>
      </c>
      <c r="Q597" s="5"/>
      <c r="R597" s="71">
        <f>IFERROR(__xludf.DUMMYFUNCTION("""COMPUTED_VALUE"""),1022.37)</f>
        <v>1022.37</v>
      </c>
      <c r="S597" s="142">
        <f>IFERROR(__xludf.DUMMYFUNCTION("""COMPUTED_VALUE"""),0.0)</f>
        <v>0</v>
      </c>
      <c r="T597" s="5">
        <f>IFERROR(__xludf.DUMMYFUNCTION("""COMPUTED_VALUE"""),2.0)</f>
        <v>2</v>
      </c>
      <c r="U597" s="5">
        <f>IFERROR(__xludf.DUMMYFUNCTION("""COMPUTED_VALUE"""),1.0)</f>
        <v>1</v>
      </c>
      <c r="V597" s="22">
        <f>IFERROR(__xludf.DUMMYFUNCTION("""COMPUTED_VALUE"""),18998.471241749998)</f>
        <v>18998.47124</v>
      </c>
      <c r="W597" s="9" t="str">
        <f>IFERROR(__xludf.DUMMYFUNCTION("""COMPUTED_VALUE"""),"")</f>
        <v/>
      </c>
      <c r="X597" s="22" t="str">
        <f>IFERROR(__xludf.DUMMYFUNCTION("""COMPUTED_VALUE"""),"")</f>
        <v/>
      </c>
      <c r="Y597" s="22" t="str">
        <f>IFERROR(__xludf.DUMMYFUNCTION("""COMPUTED_VALUE"""),"")</f>
        <v/>
      </c>
      <c r="Z597" s="24" t="str">
        <f>IFERROR(__xludf.DUMMYFUNCTION("""COMPUTED_VALUE"""),"")</f>
        <v/>
      </c>
    </row>
    <row r="598">
      <c r="A598" s="5" t="str">
        <f>IFERROR(__xludf.DUMMYFUNCTION("""COMPUTED_VALUE"""),"")</f>
        <v/>
      </c>
      <c r="B598" s="5" t="str">
        <f>IFERROR(__xludf.DUMMYFUNCTION("""COMPUTED_VALUE"""),"46220")</f>
        <v>46220</v>
      </c>
      <c r="C598" s="9">
        <f>IFERROR(__xludf.DUMMYFUNCTION("""COMPUTED_VALUE"""),4.4615000304E10)</f>
        <v>44615000304</v>
      </c>
      <c r="D598" s="87" t="str">
        <f>IFERROR(__xludf.DUMMYFUNCTION("""COMPUTED_VALUE"""),"YINN")</f>
        <v>YINN</v>
      </c>
      <c r="E598" s="193">
        <f>IFERROR(__xludf.DUMMYFUNCTION("""COMPUTED_VALUE"""),44615.0)</f>
        <v>44615</v>
      </c>
      <c r="F598" s="5" t="str">
        <f>IFERROR(__xludf.DUMMYFUNCTION("""COMPUTED_VALUE"""),"Stock")</f>
        <v>Stock</v>
      </c>
      <c r="G598" s="5" t="str">
        <f>IFERROR(__xludf.DUMMYFUNCTION("""COMPUTED_VALUE"""),"USD")</f>
        <v>USD</v>
      </c>
      <c r="H598" s="22">
        <f>IFERROR(__xludf.DUMMYFUNCTION("""COMPUTED_VALUE"""),50.0)</f>
        <v>50</v>
      </c>
      <c r="I598" s="194">
        <f>IFERROR(__xludf.DUMMYFUNCTION("""COMPUTED_VALUE"""),7.80545)</f>
        <v>7.80545</v>
      </c>
      <c r="J598" s="23">
        <f>IFERROR(__xludf.DUMMYFUNCTION("""COMPUTED_VALUE"""),7.24)</f>
        <v>7.24</v>
      </c>
      <c r="K598" s="5"/>
      <c r="L598" s="23">
        <f>IFERROR(__xludf.DUMMYFUNCTION("""COMPUTED_VALUE"""),4.54)</f>
        <v>4.54</v>
      </c>
      <c r="M598" s="195" t="str">
        <f>IFERROR(__xludf.DUMMYFUNCTION("""COMPUTED_VALUE"""),"Equity Key Stats")</f>
        <v>Equity Key Stats</v>
      </c>
      <c r="N598" s="5"/>
      <c r="O598" s="5"/>
      <c r="P598" s="142">
        <f>IFERROR(__xludf.DUMMYFUNCTION("""COMPUTED_VALUE"""),-2825.5729000000006)</f>
        <v>-2825.5729</v>
      </c>
      <c r="Q598" s="5"/>
      <c r="R598" s="71">
        <f>IFERROR(__xludf.DUMMYFUNCTION("""COMPUTED_VALUE"""),4.54)</f>
        <v>4.54</v>
      </c>
      <c r="S598" s="142">
        <f>IFERROR(__xludf.DUMMYFUNCTION("""COMPUTED_VALUE"""),1771.8371500000003)</f>
        <v>1771.83715</v>
      </c>
      <c r="T598" s="5">
        <f>IFERROR(__xludf.DUMMYFUNCTION("""COMPUTED_VALUE"""),1.0)</f>
        <v>1</v>
      </c>
      <c r="U598" s="5">
        <f>IFERROR(__xludf.DUMMYFUNCTION("""COMPUTED_VALUE"""),1.0)</f>
        <v>1</v>
      </c>
      <c r="V598" s="22">
        <f>IFERROR(__xludf.DUMMYFUNCTION("""COMPUTED_VALUE"""),-1053.7357500000003)</f>
        <v>-1053.73575</v>
      </c>
      <c r="W598" s="9" t="str">
        <f>IFERROR(__xludf.DUMMYFUNCTION("""COMPUTED_VALUE"""),"")</f>
        <v/>
      </c>
      <c r="X598" s="22" t="str">
        <f>IFERROR(__xludf.DUMMYFUNCTION("""COMPUTED_VALUE"""),"")</f>
        <v/>
      </c>
      <c r="Y598" s="22" t="str">
        <f>IFERROR(__xludf.DUMMYFUNCTION("""COMPUTED_VALUE"""),"")</f>
        <v/>
      </c>
      <c r="Z598" s="24" t="str">
        <f>IFERROR(__xludf.DUMMYFUNCTION("""COMPUTED_VALUE"""),"")</f>
        <v/>
      </c>
    </row>
    <row r="599">
      <c r="A599" s="5" t="str">
        <f>IFERROR(__xludf.DUMMYFUNCTION("""COMPUTED_VALUE"""),"")</f>
        <v/>
      </c>
      <c r="B599" s="5" t="str">
        <f>IFERROR(__xludf.DUMMYFUNCTION("""COMPUTED_VALUE"""),"46220")</f>
        <v>46220</v>
      </c>
      <c r="C599" s="9">
        <f>IFERROR(__xludf.DUMMYFUNCTION("""COMPUTED_VALUE"""),4.4616000326E10)</f>
        <v>44616000326</v>
      </c>
      <c r="D599" s="87" t="str">
        <f>IFERROR(__xludf.DUMMYFUNCTION("""COMPUTED_VALUE"""),"AMZN")</f>
        <v>AMZN</v>
      </c>
      <c r="E599" s="193">
        <f>IFERROR(__xludf.DUMMYFUNCTION("""COMPUTED_VALUE"""),44616.0)</f>
        <v>44616</v>
      </c>
      <c r="F599" s="5" t="str">
        <f>IFERROR(__xludf.DUMMYFUNCTION("""COMPUTED_VALUE"""),"Stock")</f>
        <v>Stock</v>
      </c>
      <c r="G599" s="5" t="str">
        <f>IFERROR(__xludf.DUMMYFUNCTION("""COMPUTED_VALUE"""),"USD")</f>
        <v>USD</v>
      </c>
      <c r="H599" s="22" t="str">
        <f>IFERROR(__xludf.DUMMYFUNCTION("""COMPUTED_VALUE"""),"")</f>
        <v/>
      </c>
      <c r="I599" s="194">
        <f>IFERROR(__xludf.DUMMYFUNCTION("""COMPUTED_VALUE"""),7.80775)</f>
        <v>7.80775</v>
      </c>
      <c r="J599" s="23">
        <f>IFERROR(__xludf.DUMMYFUNCTION("""COMPUTED_VALUE"""),3027.16)</f>
        <v>3027.16</v>
      </c>
      <c r="K599" s="5"/>
      <c r="L599" s="23">
        <f>IFERROR(__xludf.DUMMYFUNCTION("""COMPUTED_VALUE"""),3110.82)</f>
        <v>3110.82</v>
      </c>
      <c r="M599" s="195" t="str">
        <f>IFERROR(__xludf.DUMMYFUNCTION("""COMPUTED_VALUE"""),"Equity Key Stats")</f>
        <v>Equity Key Stats</v>
      </c>
      <c r="N599" s="5"/>
      <c r="O599" s="5"/>
      <c r="P599" s="142">
        <f>IFERROR(__xludf.DUMMYFUNCTION("""COMPUTED_VALUE"""),0.0)</f>
        <v>0</v>
      </c>
      <c r="Q599" s="5"/>
      <c r="R599" s="71">
        <f>IFERROR(__xludf.DUMMYFUNCTION("""COMPUTED_VALUE"""),3110.82)</f>
        <v>3110.82</v>
      </c>
      <c r="S599" s="142">
        <f>IFERROR(__xludf.DUMMYFUNCTION("""COMPUTED_VALUE"""),0.0)</f>
        <v>0</v>
      </c>
      <c r="T599" s="5">
        <f>IFERROR(__xludf.DUMMYFUNCTION("""COMPUTED_VALUE"""),1.0)</f>
        <v>1</v>
      </c>
      <c r="U599" s="5">
        <f>IFERROR(__xludf.DUMMYFUNCTION("""COMPUTED_VALUE"""),1.0)</f>
        <v>1</v>
      </c>
      <c r="V599" s="22">
        <f>IFERROR(__xludf.DUMMYFUNCTION("""COMPUTED_VALUE"""),0.0)</f>
        <v>0</v>
      </c>
      <c r="W599" s="9" t="str">
        <f>IFERROR(__xludf.DUMMYFUNCTION("""COMPUTED_VALUE"""),"")</f>
        <v/>
      </c>
      <c r="X599" s="22" t="str">
        <f>IFERROR(__xludf.DUMMYFUNCTION("""COMPUTED_VALUE"""),"")</f>
        <v/>
      </c>
      <c r="Y599" s="22" t="str">
        <f>IFERROR(__xludf.DUMMYFUNCTION("""COMPUTED_VALUE"""),"")</f>
        <v/>
      </c>
      <c r="Z599" s="24" t="str">
        <f>IFERROR(__xludf.DUMMYFUNCTION("""COMPUTED_VALUE"""),"")</f>
        <v/>
      </c>
    </row>
    <row r="600">
      <c r="A600" s="5" t="str">
        <f>IFERROR(__xludf.DUMMYFUNCTION("""COMPUTED_VALUE"""),"")</f>
        <v/>
      </c>
      <c r="B600" s="5" t="str">
        <f>IFERROR(__xludf.DUMMYFUNCTION("""COMPUTED_VALUE"""),"46220")</f>
        <v>46220</v>
      </c>
      <c r="C600" s="9">
        <f>IFERROR(__xludf.DUMMYFUNCTION("""COMPUTED_VALUE"""),4.4617000361E10)</f>
        <v>44617000361</v>
      </c>
      <c r="D600" s="87" t="str">
        <f>IFERROR(__xludf.DUMMYFUNCTION("""COMPUTED_VALUE"""),"NFLX")</f>
        <v>NFLX</v>
      </c>
      <c r="E600" s="193">
        <f>IFERROR(__xludf.DUMMYFUNCTION("""COMPUTED_VALUE"""),44617.0)</f>
        <v>44617</v>
      </c>
      <c r="F600" s="5" t="str">
        <f>IFERROR(__xludf.DUMMYFUNCTION("""COMPUTED_VALUE"""),"Stock")</f>
        <v>Stock</v>
      </c>
      <c r="G600" s="5" t="str">
        <f>IFERROR(__xludf.DUMMYFUNCTION("""COMPUTED_VALUE"""),"USD")</f>
        <v>USD</v>
      </c>
      <c r="H600" s="22" t="str">
        <f>IFERROR(__xludf.DUMMYFUNCTION("""COMPUTED_VALUE"""),"")</f>
        <v/>
      </c>
      <c r="I600" s="194">
        <f>IFERROR(__xludf.DUMMYFUNCTION("""COMPUTED_VALUE"""),7.808395)</f>
        <v>7.808395</v>
      </c>
      <c r="J600" s="23">
        <f>IFERROR(__xludf.DUMMYFUNCTION("""COMPUTED_VALUE"""),390.8)</f>
        <v>390.8</v>
      </c>
      <c r="K600" s="5"/>
      <c r="L600" s="23">
        <f>IFERROR(__xludf.DUMMYFUNCTION("""COMPUTED_VALUE"""),350.43)</f>
        <v>350.43</v>
      </c>
      <c r="M600" s="195" t="str">
        <f>IFERROR(__xludf.DUMMYFUNCTION("""COMPUTED_VALUE"""),"Equity Key Stats")</f>
        <v>Equity Key Stats</v>
      </c>
      <c r="N600" s="5"/>
      <c r="O600" s="5"/>
      <c r="P600" s="142">
        <f>IFERROR(__xludf.DUMMYFUNCTION("""COMPUTED_VALUE"""),0.0)</f>
        <v>0</v>
      </c>
      <c r="Q600" s="5"/>
      <c r="R600" s="71">
        <f>IFERROR(__xludf.DUMMYFUNCTION("""COMPUTED_VALUE"""),350.43)</f>
        <v>350.43</v>
      </c>
      <c r="S600" s="142">
        <f>IFERROR(__xludf.DUMMYFUNCTION("""COMPUTED_VALUE"""),0.0)</f>
        <v>0</v>
      </c>
      <c r="T600" s="5">
        <f>IFERROR(__xludf.DUMMYFUNCTION("""COMPUTED_VALUE"""),2.0)</f>
        <v>2</v>
      </c>
      <c r="U600" s="5">
        <f>IFERROR(__xludf.DUMMYFUNCTION("""COMPUTED_VALUE"""),1.0)</f>
        <v>1</v>
      </c>
      <c r="V600" s="22">
        <f>IFERROR(__xludf.DUMMYFUNCTION("""COMPUTED_VALUE"""),-7299.715815000003)</f>
        <v>-7299.715815</v>
      </c>
      <c r="W600" s="9" t="str">
        <f>IFERROR(__xludf.DUMMYFUNCTION("""COMPUTED_VALUE"""),"")</f>
        <v/>
      </c>
      <c r="X600" s="22" t="str">
        <f>IFERROR(__xludf.DUMMYFUNCTION("""COMPUTED_VALUE"""),"")</f>
        <v/>
      </c>
      <c r="Y600" s="22" t="str">
        <f>IFERROR(__xludf.DUMMYFUNCTION("""COMPUTED_VALUE"""),"")</f>
        <v/>
      </c>
      <c r="Z600" s="24" t="str">
        <f>IFERROR(__xludf.DUMMYFUNCTION("""COMPUTED_VALUE"""),"")</f>
        <v/>
      </c>
    </row>
    <row r="601">
      <c r="A601" s="5" t="str">
        <f>IFERROR(__xludf.DUMMYFUNCTION("""COMPUTED_VALUE"""),"")</f>
        <v/>
      </c>
      <c r="B601" s="5" t="str">
        <f>IFERROR(__xludf.DUMMYFUNCTION("""COMPUTED_VALUE"""),"46220")</f>
        <v>46220</v>
      </c>
      <c r="C601" s="9">
        <f>IFERROR(__xludf.DUMMYFUNCTION("""COMPUTED_VALUE"""),4.4624000429E10)</f>
        <v>44624000429</v>
      </c>
      <c r="D601" s="90" t="str">
        <f>IFERROR(__xludf.DUMMYFUNCTION("""COMPUTED_VALUE"""),"9988.HK")</f>
        <v>9988.HK</v>
      </c>
      <c r="E601" s="193">
        <f>IFERROR(__xludf.DUMMYFUNCTION("""COMPUTED_VALUE"""),44624.0)</f>
        <v>44624</v>
      </c>
      <c r="F601" s="5" t="str">
        <f>IFERROR(__xludf.DUMMYFUNCTION("""COMPUTED_VALUE"""),"Stock")</f>
        <v>Stock</v>
      </c>
      <c r="G601" s="5" t="str">
        <f>IFERROR(__xludf.DUMMYFUNCTION("""COMPUTED_VALUE"""),"HKD")</f>
        <v>HKD</v>
      </c>
      <c r="H601" s="22" t="str">
        <f>IFERROR(__xludf.DUMMYFUNCTION("""COMPUTED_VALUE"""),"")</f>
        <v/>
      </c>
      <c r="I601" s="194">
        <f>IFERROR(__xludf.DUMMYFUNCTION("""COMPUTED_VALUE"""),1.0)</f>
        <v>1</v>
      </c>
      <c r="J601" s="23">
        <f>IFERROR(__xludf.DUMMYFUNCTION("""COMPUTED_VALUE"""),99.0)</f>
        <v>99</v>
      </c>
      <c r="K601" s="5"/>
      <c r="L601" s="23">
        <f>IFERROR(__xludf.DUMMYFUNCTION("""COMPUTED_VALUE"""),98.5)</f>
        <v>98.5</v>
      </c>
      <c r="M601" s="195" t="str">
        <f>IFERROR(__xludf.DUMMYFUNCTION("""COMPUTED_VALUE"""),"Equity Key Stats")</f>
        <v>Equity Key Stats</v>
      </c>
      <c r="N601" s="5"/>
      <c r="O601" s="5"/>
      <c r="P601" s="142">
        <f>IFERROR(__xludf.DUMMYFUNCTION("""COMPUTED_VALUE"""),0.0)</f>
        <v>0</v>
      </c>
      <c r="Q601" s="5"/>
      <c r="R601" s="71">
        <f>IFERROR(__xludf.DUMMYFUNCTION("""COMPUTED_VALUE"""),98.5)</f>
        <v>98.5</v>
      </c>
      <c r="S601" s="142">
        <f>IFERROR(__xludf.DUMMYFUNCTION("""COMPUTED_VALUE"""),0.0)</f>
        <v>0</v>
      </c>
      <c r="T601" s="5">
        <f>IFERROR(__xludf.DUMMYFUNCTION("""COMPUTED_VALUE"""),2.0)</f>
        <v>2</v>
      </c>
      <c r="U601" s="5" t="str">
        <f>IFERROR(__xludf.DUMMYFUNCTION("""COMPUTED_VALUE"""),"")</f>
        <v/>
      </c>
      <c r="V601" s="22" t="str">
        <f>IFERROR(__xludf.DUMMYFUNCTION("""COMPUTED_VALUE"""),"")</f>
        <v/>
      </c>
      <c r="W601" s="9" t="str">
        <f>IFERROR(__xludf.DUMMYFUNCTION("""COMPUTED_VALUE"""),"")</f>
        <v/>
      </c>
      <c r="X601" s="22" t="str">
        <f>IFERROR(__xludf.DUMMYFUNCTION("""COMPUTED_VALUE"""),"")</f>
        <v/>
      </c>
      <c r="Y601" s="22" t="str">
        <f>IFERROR(__xludf.DUMMYFUNCTION("""COMPUTED_VALUE"""),"")</f>
        <v/>
      </c>
      <c r="Z601" s="24" t="str">
        <f>IFERROR(__xludf.DUMMYFUNCTION("""COMPUTED_VALUE"""),"")</f>
        <v/>
      </c>
    </row>
    <row r="602">
      <c r="A602" s="5" t="str">
        <f>IFERROR(__xludf.DUMMYFUNCTION("""COMPUTED_VALUE"""),"")</f>
        <v/>
      </c>
      <c r="B602" s="5" t="str">
        <f>IFERROR(__xludf.DUMMYFUNCTION("""COMPUTED_VALUE"""),"46220")</f>
        <v>46220</v>
      </c>
      <c r="C602" s="9">
        <f>IFERROR(__xludf.DUMMYFUNCTION("""COMPUTED_VALUE"""),4.4634000553E10)</f>
        <v>44634000553</v>
      </c>
      <c r="D602" s="87" t="str">
        <f>IFERROR(__xludf.DUMMYFUNCTION("""COMPUTED_VALUE"""),"GC=F")</f>
        <v>GC=F</v>
      </c>
      <c r="E602" s="193">
        <f>IFERROR(__xludf.DUMMYFUNCTION("""COMPUTED_VALUE"""),44634.0)</f>
        <v>44634</v>
      </c>
      <c r="F602" s="5" t="str">
        <f>IFERROR(__xludf.DUMMYFUNCTION("""COMPUTED_VALUE"""),"Stock")</f>
        <v>Stock</v>
      </c>
      <c r="G602" s="5" t="str">
        <f>IFERROR(__xludf.DUMMYFUNCTION("""COMPUTED_VALUE"""),"USD")</f>
        <v>USD</v>
      </c>
      <c r="H602" s="22" t="str">
        <f>IFERROR(__xludf.DUMMYFUNCTION("""COMPUTED_VALUE"""),"")</f>
        <v/>
      </c>
      <c r="I602" s="194">
        <f>IFERROR(__xludf.DUMMYFUNCTION("""COMPUTED_VALUE"""),7.82925)</f>
        <v>7.82925</v>
      </c>
      <c r="J602" s="23">
        <f>IFERROR(__xludf.DUMMYFUNCTION("""COMPUTED_VALUE"""),1954.6)</f>
        <v>1954.6</v>
      </c>
      <c r="K602" s="5"/>
      <c r="L602" s="23">
        <f>IFERROR(__xludf.DUMMYFUNCTION("""COMPUTED_VALUE"""),1980.7)</f>
        <v>1980.7</v>
      </c>
      <c r="M602" s="195" t="str">
        <f>IFERROR(__xludf.DUMMYFUNCTION("""COMPUTED_VALUE"""),"Equity Key Stats")</f>
        <v>Equity Key Stats</v>
      </c>
      <c r="N602" s="5"/>
      <c r="O602" s="5"/>
      <c r="P602" s="142">
        <f>IFERROR(__xludf.DUMMYFUNCTION("""COMPUTED_VALUE"""),0.0)</f>
        <v>0</v>
      </c>
      <c r="Q602" s="5"/>
      <c r="R602" s="71">
        <f>IFERROR(__xludf.DUMMYFUNCTION("""COMPUTED_VALUE"""),1980.7)</f>
        <v>1980.7</v>
      </c>
      <c r="S602" s="142">
        <f>IFERROR(__xludf.DUMMYFUNCTION("""COMPUTED_VALUE"""),0.0)</f>
        <v>0</v>
      </c>
      <c r="T602" s="5">
        <f>IFERROR(__xludf.DUMMYFUNCTION("""COMPUTED_VALUE"""),1.0)</f>
        <v>1</v>
      </c>
      <c r="U602" s="5">
        <f>IFERROR(__xludf.DUMMYFUNCTION("""COMPUTED_VALUE"""),1.0)</f>
        <v>1</v>
      </c>
      <c r="V602" s="22">
        <f>IFERROR(__xludf.DUMMYFUNCTION("""COMPUTED_VALUE"""),0.0)</f>
        <v>0</v>
      </c>
      <c r="W602" s="9" t="str">
        <f>IFERROR(__xludf.DUMMYFUNCTION("""COMPUTED_VALUE"""),"")</f>
        <v/>
      </c>
      <c r="X602" s="22" t="str">
        <f>IFERROR(__xludf.DUMMYFUNCTION("""COMPUTED_VALUE"""),"")</f>
        <v/>
      </c>
      <c r="Y602" s="22" t="str">
        <f>IFERROR(__xludf.DUMMYFUNCTION("""COMPUTED_VALUE"""),"")</f>
        <v/>
      </c>
      <c r="Z602" s="24" t="str">
        <f>IFERROR(__xludf.DUMMYFUNCTION("""COMPUTED_VALUE"""),"")</f>
        <v/>
      </c>
    </row>
    <row r="603">
      <c r="A603" s="5" t="str">
        <f>IFERROR(__xludf.DUMMYFUNCTION("""COMPUTED_VALUE"""),"46220")</f>
        <v>46220</v>
      </c>
      <c r="B603" s="5" t="str">
        <f>IFERROR(__xludf.DUMMYFUNCTION("""COMPUTED_VALUE"""),"46220")</f>
        <v>46220</v>
      </c>
      <c r="C603" s="9">
        <f>IFERROR(__xludf.DUMMYFUNCTION("""COMPUTED_VALUE"""),4.4644000834E10)</f>
        <v>44644000834</v>
      </c>
      <c r="D603" s="90" t="str">
        <f>IFERROR(__xludf.DUMMYFUNCTION("""COMPUTED_VALUE"""),"9988.HK")</f>
        <v>9988.HK</v>
      </c>
      <c r="E603" s="193">
        <f>IFERROR(__xludf.DUMMYFUNCTION("""COMPUTED_VALUE"""),44644.0)</f>
        <v>44644</v>
      </c>
      <c r="F603" s="5" t="str">
        <f>IFERROR(__xludf.DUMMYFUNCTION("""COMPUTED_VALUE"""),"Stock")</f>
        <v>Stock</v>
      </c>
      <c r="G603" s="5" t="str">
        <f>IFERROR(__xludf.DUMMYFUNCTION("""COMPUTED_VALUE"""),"HKD")</f>
        <v>HKD</v>
      </c>
      <c r="H603" s="22">
        <f>IFERROR(__xludf.DUMMYFUNCTION("""COMPUTED_VALUE"""),-1.0)</f>
        <v>-1</v>
      </c>
      <c r="I603" s="194">
        <f>IFERROR(__xludf.DUMMYFUNCTION("""COMPUTED_VALUE"""),1.0)</f>
        <v>1</v>
      </c>
      <c r="J603" s="23">
        <f>IFERROR(__xludf.DUMMYFUNCTION("""COMPUTED_VALUE"""),113.8)</f>
        <v>113.8</v>
      </c>
      <c r="K603" s="5"/>
      <c r="L603" s="23">
        <f>IFERROR(__xludf.DUMMYFUNCTION("""COMPUTED_VALUE"""),98.5)</f>
        <v>98.5</v>
      </c>
      <c r="M603" s="195" t="str">
        <f>IFERROR(__xludf.DUMMYFUNCTION("""COMPUTED_VALUE"""),"Equity Key Stats")</f>
        <v>Equity Key Stats</v>
      </c>
      <c r="N603" s="5"/>
      <c r="O603" s="5"/>
      <c r="P603" s="142">
        <f>IFERROR(__xludf.DUMMYFUNCTION("""COMPUTED_VALUE"""),113.8)</f>
        <v>113.8</v>
      </c>
      <c r="Q603" s="5"/>
      <c r="R603" s="71">
        <f>IFERROR(__xludf.DUMMYFUNCTION("""COMPUTED_VALUE"""),98.5)</f>
        <v>98.5</v>
      </c>
      <c r="S603" s="142">
        <f>IFERROR(__xludf.DUMMYFUNCTION("""COMPUTED_VALUE"""),-98.5)</f>
        <v>-98.5</v>
      </c>
      <c r="T603" s="5">
        <f>IFERROR(__xludf.DUMMYFUNCTION("""COMPUTED_VALUE"""),2.0)</f>
        <v>2</v>
      </c>
      <c r="U603" s="5">
        <f>IFERROR(__xludf.DUMMYFUNCTION("""COMPUTED_VALUE"""),1.0)</f>
        <v>1</v>
      </c>
      <c r="V603" s="22">
        <f>IFERROR(__xludf.DUMMYFUNCTION("""COMPUTED_VALUE"""),15.299999999999997)</f>
        <v>15.3</v>
      </c>
      <c r="W603" s="9">
        <f>IFERROR(__xludf.DUMMYFUNCTION("""COMPUTED_VALUE"""),481330.0352907499)</f>
        <v>481330.0353</v>
      </c>
      <c r="X603" s="22">
        <f>IFERROR(__xludf.DUMMYFUNCTION("""COMPUTED_VALUE"""),-200216.75308200004)</f>
        <v>-200216.7531</v>
      </c>
      <c r="Y603" s="22">
        <f>IFERROR(__xludf.DUMMYFUNCTION("""COMPUTED_VALUE"""),200216.75308200004)</f>
        <v>200216.7531</v>
      </c>
      <c r="Z603" s="24">
        <f>IFERROR(__xludf.DUMMYFUNCTION("""COMPUTED_VALUE"""),-0.03733992941850017)</f>
        <v>-0.03733992942</v>
      </c>
    </row>
    <row r="604">
      <c r="A604" s="5" t="str">
        <f>IFERROR(__xludf.DUMMYFUNCTION("""COMPUTED_VALUE"""),"")</f>
        <v/>
      </c>
      <c r="B604" s="5" t="str">
        <f>IFERROR(__xludf.DUMMYFUNCTION("""COMPUTED_VALUE"""),"46225")</f>
        <v>46225</v>
      </c>
      <c r="C604" s="9">
        <f>IFERROR(__xludf.DUMMYFUNCTION("""COMPUTED_VALUE"""),4.4597000061E10)</f>
        <v>44597000061</v>
      </c>
      <c r="D604" s="85" t="str">
        <f>IFERROR(__xludf.DUMMYFUNCTION("""COMPUTED_VALUE"""),"Cash")</f>
        <v>Cash</v>
      </c>
      <c r="E604" s="193">
        <f>IFERROR(__xludf.DUMMYFUNCTION("""COMPUTED_VALUE"""),44597.0)</f>
        <v>44597</v>
      </c>
      <c r="F604" s="5" t="str">
        <f>IFERROR(__xludf.DUMMYFUNCTION("""COMPUTED_VALUE"""),"Cash")</f>
        <v>Cash</v>
      </c>
      <c r="G604" s="5" t="str">
        <f>IFERROR(__xludf.DUMMYFUNCTION("""COMPUTED_VALUE"""),"HKD")</f>
        <v>HKD</v>
      </c>
      <c r="H604" s="22" t="str">
        <f>IFERROR(__xludf.DUMMYFUNCTION("""COMPUTED_VALUE"""),"")</f>
        <v/>
      </c>
      <c r="I604" s="194">
        <f>IFERROR(__xludf.DUMMYFUNCTION("""COMPUTED_VALUE"""),1.0)</f>
        <v>1</v>
      </c>
      <c r="J604" s="5">
        <f>IFERROR(__xludf.DUMMYFUNCTION("""COMPUTED_VALUE"""),1.0)</f>
        <v>1</v>
      </c>
      <c r="K604" s="5"/>
      <c r="L604" s="23">
        <f>IFERROR(__xludf.DUMMYFUNCTION("""COMPUTED_VALUE"""),1.0)</f>
        <v>1</v>
      </c>
      <c r="M604" s="25" t="str">
        <f>IFERROR(__xludf.DUMMYFUNCTION("""COMPUTED_VALUE"""),"")</f>
        <v/>
      </c>
      <c r="N604" s="5"/>
      <c r="O604" s="5"/>
      <c r="P604" s="142">
        <f>IFERROR(__xludf.DUMMYFUNCTION("""COMPUTED_VALUE"""),500000.0)</f>
        <v>500000</v>
      </c>
      <c r="Q604" s="5"/>
      <c r="R604" s="71">
        <f>IFERROR(__xludf.DUMMYFUNCTION("""COMPUTED_VALUE"""),1.0)</f>
        <v>1</v>
      </c>
      <c r="S604" s="142" t="str">
        <f>IFERROR(__xludf.DUMMYFUNCTION("""COMPUTED_VALUE"""),"")</f>
        <v/>
      </c>
      <c r="T604" s="5">
        <f>IFERROR(__xludf.DUMMYFUNCTION("""COMPUTED_VALUE"""),1.0)</f>
        <v>1</v>
      </c>
      <c r="U604" s="5">
        <f>IFERROR(__xludf.DUMMYFUNCTION("""COMPUTED_VALUE"""),1.0)</f>
        <v>1</v>
      </c>
      <c r="V604" s="22">
        <f>IFERROR(__xludf.DUMMYFUNCTION("""COMPUTED_VALUE"""),500000.0)</f>
        <v>500000</v>
      </c>
      <c r="W604" s="9" t="str">
        <f>IFERROR(__xludf.DUMMYFUNCTION("""COMPUTED_VALUE"""),"")</f>
        <v/>
      </c>
      <c r="X604" s="22" t="str">
        <f>IFERROR(__xludf.DUMMYFUNCTION("""COMPUTED_VALUE"""),"")</f>
        <v/>
      </c>
      <c r="Y604" s="22" t="str">
        <f>IFERROR(__xludf.DUMMYFUNCTION("""COMPUTED_VALUE"""),"")</f>
        <v/>
      </c>
      <c r="Z604" s="24" t="str">
        <f>IFERROR(__xludf.DUMMYFUNCTION("""COMPUTED_VALUE"""),"")</f>
        <v/>
      </c>
    </row>
    <row r="605">
      <c r="A605" s="5" t="str">
        <f>IFERROR(__xludf.DUMMYFUNCTION("""COMPUTED_VALUE"""),"")</f>
        <v/>
      </c>
      <c r="B605" s="5" t="str">
        <f>IFERROR(__xludf.DUMMYFUNCTION("""COMPUTED_VALUE"""),"46225")</f>
        <v>46225</v>
      </c>
      <c r="C605" s="9">
        <f>IFERROR(__xludf.DUMMYFUNCTION("""COMPUTED_VALUE"""),4.4658001216E10)</f>
        <v>44658001216</v>
      </c>
      <c r="D605" s="85" t="str">
        <f>IFERROR(__xludf.DUMMYFUNCTION("""COMPUTED_VALUE"""),"BABA")</f>
        <v>BABA</v>
      </c>
      <c r="E605" s="193">
        <f>IFERROR(__xludf.DUMMYFUNCTION("""COMPUTED_VALUE"""),44658.0)</f>
        <v>44658</v>
      </c>
      <c r="F605" s="5" t="str">
        <f>IFERROR(__xludf.DUMMYFUNCTION("""COMPUTED_VALUE"""),"Stock")</f>
        <v>Stock</v>
      </c>
      <c r="G605" s="5" t="str">
        <f>IFERROR(__xludf.DUMMYFUNCTION("""COMPUTED_VALUE"""),"USD")</f>
        <v>USD</v>
      </c>
      <c r="H605" s="22">
        <f>IFERROR(__xludf.DUMMYFUNCTION("""COMPUTED_VALUE"""),912.0)</f>
        <v>912</v>
      </c>
      <c r="I605" s="194">
        <f>IFERROR(__xludf.DUMMYFUNCTION("""COMPUTED_VALUE"""),7.836645)</f>
        <v>7.836645</v>
      </c>
      <c r="J605" s="23">
        <f>IFERROR(__xludf.DUMMYFUNCTION("""COMPUTED_VALUE"""),104.3)</f>
        <v>104.3</v>
      </c>
      <c r="K605" s="5"/>
      <c r="L605" s="23">
        <f>IFERROR(__xludf.DUMMYFUNCTION("""COMPUTED_VALUE"""),100.09)</f>
        <v>100.09</v>
      </c>
      <c r="M605" s="195" t="str">
        <f>IFERROR(__xludf.DUMMYFUNCTION("""COMPUTED_VALUE"""),"Equity Key Stats")</f>
        <v>Equity Key Stats</v>
      </c>
      <c r="N605" s="5"/>
      <c r="O605" s="5"/>
      <c r="P605" s="142">
        <f>IFERROR(__xludf.DUMMYFUNCTION("""COMPUTED_VALUE"""),-745434.2110319999)</f>
        <v>-745434.211</v>
      </c>
      <c r="Q605" s="5"/>
      <c r="R605" s="71">
        <f>IFERROR(__xludf.DUMMYFUNCTION("""COMPUTED_VALUE"""),100.09)</f>
        <v>100.09</v>
      </c>
      <c r="S605" s="142">
        <f>IFERROR(__xludf.DUMMYFUNCTION("""COMPUTED_VALUE"""),715345.2558216)</f>
        <v>715345.2558</v>
      </c>
      <c r="T605" s="5">
        <f>IFERROR(__xludf.DUMMYFUNCTION("""COMPUTED_VALUE"""),2.0)</f>
        <v>2</v>
      </c>
      <c r="U605" s="5" t="str">
        <f>IFERROR(__xludf.DUMMYFUNCTION("""COMPUTED_VALUE"""),"")</f>
        <v/>
      </c>
      <c r="V605" s="22" t="str">
        <f>IFERROR(__xludf.DUMMYFUNCTION("""COMPUTED_VALUE"""),"")</f>
        <v/>
      </c>
      <c r="W605" s="9" t="str">
        <f>IFERROR(__xludf.DUMMYFUNCTION("""COMPUTED_VALUE"""),"")</f>
        <v/>
      </c>
      <c r="X605" s="22" t="str">
        <f>IFERROR(__xludf.DUMMYFUNCTION("""COMPUTED_VALUE"""),"")</f>
        <v/>
      </c>
      <c r="Y605" s="22" t="str">
        <f>IFERROR(__xludf.DUMMYFUNCTION("""COMPUTED_VALUE"""),"")</f>
        <v/>
      </c>
      <c r="Z605" s="24" t="str">
        <f>IFERROR(__xludf.DUMMYFUNCTION("""COMPUTED_VALUE"""),"")</f>
        <v/>
      </c>
    </row>
    <row r="606">
      <c r="A606" s="5" t="str">
        <f>IFERROR(__xludf.DUMMYFUNCTION("""COMPUTED_VALUE"""),"")</f>
        <v/>
      </c>
      <c r="B606" s="5" t="str">
        <f>IFERROR(__xludf.DUMMYFUNCTION("""COMPUTED_VALUE"""),"46225")</f>
        <v>46225</v>
      </c>
      <c r="C606" s="9">
        <f>IFERROR(__xludf.DUMMYFUNCTION("""COMPUTED_VALUE"""),4.4658001231E10)</f>
        <v>44658001231</v>
      </c>
      <c r="D606" s="85" t="str">
        <f>IFERROR(__xludf.DUMMYFUNCTION("""COMPUTED_VALUE"""),"SNOW")</f>
        <v>SNOW</v>
      </c>
      <c r="E606" s="193">
        <f>IFERROR(__xludf.DUMMYFUNCTION("""COMPUTED_VALUE"""),44658.0)</f>
        <v>44658</v>
      </c>
      <c r="F606" s="5" t="str">
        <f>IFERROR(__xludf.DUMMYFUNCTION("""COMPUTED_VALUE"""),"Stock")</f>
        <v>Stock</v>
      </c>
      <c r="G606" s="5" t="str">
        <f>IFERROR(__xludf.DUMMYFUNCTION("""COMPUTED_VALUE"""),"USD")</f>
        <v>USD</v>
      </c>
      <c r="H606" s="22" t="str">
        <f>IFERROR(__xludf.DUMMYFUNCTION("""COMPUTED_VALUE"""),"")</f>
        <v/>
      </c>
      <c r="I606" s="194">
        <f>IFERROR(__xludf.DUMMYFUNCTION("""COMPUTED_VALUE"""),7.836645)</f>
        <v>7.836645</v>
      </c>
      <c r="J606" s="23">
        <f>IFERROR(__xludf.DUMMYFUNCTION("""COMPUTED_VALUE"""),213.88)</f>
        <v>213.88</v>
      </c>
      <c r="K606" s="5"/>
      <c r="L606" s="23">
        <f>IFERROR(__xludf.DUMMYFUNCTION("""COMPUTED_VALUE"""),214.38)</f>
        <v>214.38</v>
      </c>
      <c r="M606" s="195" t="str">
        <f>IFERROR(__xludf.DUMMYFUNCTION("""COMPUTED_VALUE"""),"Equity Key Stats")</f>
        <v>Equity Key Stats</v>
      </c>
      <c r="N606" s="5"/>
      <c r="O606" s="5"/>
      <c r="P606" s="142">
        <f>IFERROR(__xludf.DUMMYFUNCTION("""COMPUTED_VALUE"""),0.0)</f>
        <v>0</v>
      </c>
      <c r="Q606" s="5"/>
      <c r="R606" s="71">
        <f>IFERROR(__xludf.DUMMYFUNCTION("""COMPUTED_VALUE"""),214.38)</f>
        <v>214.38</v>
      </c>
      <c r="S606" s="142">
        <f>IFERROR(__xludf.DUMMYFUNCTION("""COMPUTED_VALUE"""),0.0)</f>
        <v>0</v>
      </c>
      <c r="T606" s="5">
        <f>IFERROR(__xludf.DUMMYFUNCTION("""COMPUTED_VALUE"""),3.0)</f>
        <v>3</v>
      </c>
      <c r="U606" s="5" t="str">
        <f>IFERROR(__xludf.DUMMYFUNCTION("""COMPUTED_VALUE"""),"")</f>
        <v/>
      </c>
      <c r="V606" s="22" t="str">
        <f>IFERROR(__xludf.DUMMYFUNCTION("""COMPUTED_VALUE"""),"")</f>
        <v/>
      </c>
      <c r="W606" s="9" t="str">
        <f>IFERROR(__xludf.DUMMYFUNCTION("""COMPUTED_VALUE"""),"")</f>
        <v/>
      </c>
      <c r="X606" s="22" t="str">
        <f>IFERROR(__xludf.DUMMYFUNCTION("""COMPUTED_VALUE"""),"")</f>
        <v/>
      </c>
      <c r="Y606" s="22" t="str">
        <f>IFERROR(__xludf.DUMMYFUNCTION("""COMPUTED_VALUE"""),"")</f>
        <v/>
      </c>
      <c r="Z606" s="24" t="str">
        <f>IFERROR(__xludf.DUMMYFUNCTION("""COMPUTED_VALUE"""),"")</f>
        <v/>
      </c>
    </row>
    <row r="607">
      <c r="A607" s="5" t="str">
        <f>IFERROR(__xludf.DUMMYFUNCTION("""COMPUTED_VALUE"""),"")</f>
        <v/>
      </c>
      <c r="B607" s="5" t="str">
        <f>IFERROR(__xludf.DUMMYFUNCTION("""COMPUTED_VALUE"""),"46225")</f>
        <v>46225</v>
      </c>
      <c r="C607" s="9">
        <f>IFERROR(__xludf.DUMMYFUNCTION("""COMPUTED_VALUE"""),4.4658001232E10)</f>
        <v>44658001232</v>
      </c>
      <c r="D607" s="85" t="str">
        <f>IFERROR(__xludf.DUMMYFUNCTION("""COMPUTED_VALUE"""),"SNOW")</f>
        <v>SNOW</v>
      </c>
      <c r="E607" s="193">
        <f>IFERROR(__xludf.DUMMYFUNCTION("""COMPUTED_VALUE"""),44658.0)</f>
        <v>44658</v>
      </c>
      <c r="F607" s="5" t="str">
        <f>IFERROR(__xludf.DUMMYFUNCTION("""COMPUTED_VALUE"""),"Stock")</f>
        <v>Stock</v>
      </c>
      <c r="G607" s="5" t="str">
        <f>IFERROR(__xludf.DUMMYFUNCTION("""COMPUTED_VALUE"""),"USD")</f>
        <v>USD</v>
      </c>
      <c r="H607" s="22" t="str">
        <f>IFERROR(__xludf.DUMMYFUNCTION("""COMPUTED_VALUE"""),"")</f>
        <v/>
      </c>
      <c r="I607" s="194">
        <f>IFERROR(__xludf.DUMMYFUNCTION("""COMPUTED_VALUE"""),7.836645)</f>
        <v>7.836645</v>
      </c>
      <c r="J607" s="23">
        <f>IFERROR(__xludf.DUMMYFUNCTION("""COMPUTED_VALUE"""),213.88)</f>
        <v>213.88</v>
      </c>
      <c r="K607" s="5"/>
      <c r="L607" s="23">
        <f>IFERROR(__xludf.DUMMYFUNCTION("""COMPUTED_VALUE"""),214.38)</f>
        <v>214.38</v>
      </c>
      <c r="M607" s="195" t="str">
        <f>IFERROR(__xludf.DUMMYFUNCTION("""COMPUTED_VALUE"""),"Equity Key Stats")</f>
        <v>Equity Key Stats</v>
      </c>
      <c r="N607" s="5"/>
      <c r="O607" s="5"/>
      <c r="P607" s="142">
        <f>IFERROR(__xludf.DUMMYFUNCTION("""COMPUTED_VALUE"""),0.0)</f>
        <v>0</v>
      </c>
      <c r="Q607" s="5"/>
      <c r="R607" s="71">
        <f>IFERROR(__xludf.DUMMYFUNCTION("""COMPUTED_VALUE"""),214.38)</f>
        <v>214.38</v>
      </c>
      <c r="S607" s="142">
        <f>IFERROR(__xludf.DUMMYFUNCTION("""COMPUTED_VALUE"""),0.0)</f>
        <v>0</v>
      </c>
      <c r="T607" s="5">
        <f>IFERROR(__xludf.DUMMYFUNCTION("""COMPUTED_VALUE"""),3.0)</f>
        <v>3</v>
      </c>
      <c r="U607" s="5" t="str">
        <f>IFERROR(__xludf.DUMMYFUNCTION("""COMPUTED_VALUE"""),"")</f>
        <v/>
      </c>
      <c r="V607" s="22" t="str">
        <f>IFERROR(__xludf.DUMMYFUNCTION("""COMPUTED_VALUE"""),"")</f>
        <v/>
      </c>
      <c r="W607" s="9" t="str">
        <f>IFERROR(__xludf.DUMMYFUNCTION("""COMPUTED_VALUE"""),"")</f>
        <v/>
      </c>
      <c r="X607" s="22" t="str">
        <f>IFERROR(__xludf.DUMMYFUNCTION("""COMPUTED_VALUE"""),"")</f>
        <v/>
      </c>
      <c r="Y607" s="22" t="str">
        <f>IFERROR(__xludf.DUMMYFUNCTION("""COMPUTED_VALUE"""),"")</f>
        <v/>
      </c>
      <c r="Z607" s="24" t="str">
        <f>IFERROR(__xludf.DUMMYFUNCTION("""COMPUTED_VALUE"""),"")</f>
        <v/>
      </c>
    </row>
    <row r="608">
      <c r="A608" s="5" t="str">
        <f>IFERROR(__xludf.DUMMYFUNCTION("""COMPUTED_VALUE"""),"")</f>
        <v/>
      </c>
      <c r="B608" s="5" t="str">
        <f>IFERROR(__xludf.DUMMYFUNCTION("""COMPUTED_VALUE"""),"46225")</f>
        <v>46225</v>
      </c>
      <c r="C608" s="9">
        <f>IFERROR(__xludf.DUMMYFUNCTION("""COMPUTED_VALUE"""),4.4658001233E10)</f>
        <v>44658001233</v>
      </c>
      <c r="D608" s="85" t="str">
        <f>IFERROR(__xludf.DUMMYFUNCTION("""COMPUTED_VALUE"""),"SOL-USD")</f>
        <v>SOL-USD</v>
      </c>
      <c r="E608" s="193">
        <f>IFERROR(__xludf.DUMMYFUNCTION("""COMPUTED_VALUE"""),44658.0)</f>
        <v>44658</v>
      </c>
      <c r="F608" s="5" t="str">
        <f>IFERROR(__xludf.DUMMYFUNCTION("""COMPUTED_VALUE"""),"Stock")</f>
        <v>Stock</v>
      </c>
      <c r="G608" s="5" t="str">
        <f>IFERROR(__xludf.DUMMYFUNCTION("""COMPUTED_VALUE"""),"USD")</f>
        <v>USD</v>
      </c>
      <c r="H608" s="22" t="str">
        <f>IFERROR(__xludf.DUMMYFUNCTION("""COMPUTED_VALUE"""),"")</f>
        <v/>
      </c>
      <c r="I608" s="194">
        <f>IFERROR(__xludf.DUMMYFUNCTION("""COMPUTED_VALUE"""),7.836645)</f>
        <v>7.836645</v>
      </c>
      <c r="J608" s="23">
        <f>IFERROR(__xludf.DUMMYFUNCTION("""COMPUTED_VALUE"""),118.8)</f>
        <v>118.8</v>
      </c>
      <c r="K608" s="5"/>
      <c r="L608" s="23">
        <f>IFERROR(__xludf.DUMMYFUNCTION("""COMPUTED_VALUE"""),104.02)</f>
        <v>104.02</v>
      </c>
      <c r="M608" s="195" t="str">
        <f>IFERROR(__xludf.DUMMYFUNCTION("""COMPUTED_VALUE"""),"Equity Key Stats")</f>
        <v>Equity Key Stats</v>
      </c>
      <c r="N608" s="5"/>
      <c r="O608" s="5"/>
      <c r="P608" s="142">
        <f>IFERROR(__xludf.DUMMYFUNCTION("""COMPUTED_VALUE"""),0.0)</f>
        <v>0</v>
      </c>
      <c r="Q608" s="5"/>
      <c r="R608" s="71">
        <f>IFERROR(__xludf.DUMMYFUNCTION("""COMPUTED_VALUE"""),104.02)</f>
        <v>104.02</v>
      </c>
      <c r="S608" s="142">
        <f>IFERROR(__xludf.DUMMYFUNCTION("""COMPUTED_VALUE"""),0.0)</f>
        <v>0</v>
      </c>
      <c r="T608" s="5">
        <f>IFERROR(__xludf.DUMMYFUNCTION("""COMPUTED_VALUE"""),2.0)</f>
        <v>2</v>
      </c>
      <c r="U608" s="5" t="str">
        <f>IFERROR(__xludf.DUMMYFUNCTION("""COMPUTED_VALUE"""),"")</f>
        <v/>
      </c>
      <c r="V608" s="22" t="str">
        <f>IFERROR(__xludf.DUMMYFUNCTION("""COMPUTED_VALUE"""),"")</f>
        <v/>
      </c>
      <c r="W608" s="9" t="str">
        <f>IFERROR(__xludf.DUMMYFUNCTION("""COMPUTED_VALUE"""),"")</f>
        <v/>
      </c>
      <c r="X608" s="22" t="str">
        <f>IFERROR(__xludf.DUMMYFUNCTION("""COMPUTED_VALUE"""),"")</f>
        <v/>
      </c>
      <c r="Y608" s="22" t="str">
        <f>IFERROR(__xludf.DUMMYFUNCTION("""COMPUTED_VALUE"""),"")</f>
        <v/>
      </c>
      <c r="Z608" s="24" t="str">
        <f>IFERROR(__xludf.DUMMYFUNCTION("""COMPUTED_VALUE"""),"")</f>
        <v/>
      </c>
    </row>
    <row r="609">
      <c r="A609" s="5" t="str">
        <f>IFERROR(__xludf.DUMMYFUNCTION("""COMPUTED_VALUE"""),"")</f>
        <v/>
      </c>
      <c r="B609" s="5" t="str">
        <f>IFERROR(__xludf.DUMMYFUNCTION("""COMPUTED_VALUE"""),"46225")</f>
        <v>46225</v>
      </c>
      <c r="C609" s="9">
        <f>IFERROR(__xludf.DUMMYFUNCTION("""COMPUTED_VALUE"""),4.4658001234E10)</f>
        <v>44658001234</v>
      </c>
      <c r="D609" s="85" t="str">
        <f>IFERROR(__xludf.DUMMYFUNCTION("""COMPUTED_VALUE"""),"TSLA")</f>
        <v>TSLA</v>
      </c>
      <c r="E609" s="193">
        <f>IFERROR(__xludf.DUMMYFUNCTION("""COMPUTED_VALUE"""),44658.0)</f>
        <v>44658</v>
      </c>
      <c r="F609" s="5" t="str">
        <f>IFERROR(__xludf.DUMMYFUNCTION("""COMPUTED_VALUE"""),"Stock")</f>
        <v>Stock</v>
      </c>
      <c r="G609" s="5" t="str">
        <f>IFERROR(__xludf.DUMMYFUNCTION("""COMPUTED_VALUE"""),"USD")</f>
        <v>USD</v>
      </c>
      <c r="H609" s="22" t="str">
        <f>IFERROR(__xludf.DUMMYFUNCTION("""COMPUTED_VALUE"""),"")</f>
        <v/>
      </c>
      <c r="I609" s="194">
        <f>IFERROR(__xludf.DUMMYFUNCTION("""COMPUTED_VALUE"""),7.836645)</f>
        <v>7.836645</v>
      </c>
      <c r="J609" s="23">
        <f>IFERROR(__xludf.DUMMYFUNCTION("""COMPUTED_VALUE"""),1057.26)</f>
        <v>1057.26</v>
      </c>
      <c r="K609" s="5"/>
      <c r="L609" s="23">
        <f>IFERROR(__xludf.DUMMYFUNCTION("""COMPUTED_VALUE"""),1022.37)</f>
        <v>1022.37</v>
      </c>
      <c r="M609" s="195" t="str">
        <f>IFERROR(__xludf.DUMMYFUNCTION("""COMPUTED_VALUE"""),"Equity Key Stats")</f>
        <v>Equity Key Stats</v>
      </c>
      <c r="N609" s="5"/>
      <c r="O609" s="5"/>
      <c r="P609" s="142">
        <f>IFERROR(__xludf.DUMMYFUNCTION("""COMPUTED_VALUE"""),0.0)</f>
        <v>0</v>
      </c>
      <c r="Q609" s="5"/>
      <c r="R609" s="71">
        <f>IFERROR(__xludf.DUMMYFUNCTION("""COMPUTED_VALUE"""),1022.37)</f>
        <v>1022.37</v>
      </c>
      <c r="S609" s="142">
        <f>IFERROR(__xludf.DUMMYFUNCTION("""COMPUTED_VALUE"""),0.0)</f>
        <v>0</v>
      </c>
      <c r="T609" s="5">
        <f>IFERROR(__xludf.DUMMYFUNCTION("""COMPUTED_VALUE"""),2.0)</f>
        <v>2</v>
      </c>
      <c r="U609" s="5" t="str">
        <f>IFERROR(__xludf.DUMMYFUNCTION("""COMPUTED_VALUE"""),"")</f>
        <v/>
      </c>
      <c r="V609" s="22" t="str">
        <f>IFERROR(__xludf.DUMMYFUNCTION("""COMPUTED_VALUE"""),"")</f>
        <v/>
      </c>
      <c r="W609" s="9" t="str">
        <f>IFERROR(__xludf.DUMMYFUNCTION("""COMPUTED_VALUE"""),"")</f>
        <v/>
      </c>
      <c r="X609" s="22" t="str">
        <f>IFERROR(__xludf.DUMMYFUNCTION("""COMPUTED_VALUE"""),"")</f>
        <v/>
      </c>
      <c r="Y609" s="22" t="str">
        <f>IFERROR(__xludf.DUMMYFUNCTION("""COMPUTED_VALUE"""),"")</f>
        <v/>
      </c>
      <c r="Z609" s="24" t="str">
        <f>IFERROR(__xludf.DUMMYFUNCTION("""COMPUTED_VALUE"""),"")</f>
        <v/>
      </c>
    </row>
    <row r="610">
      <c r="A610" s="5" t="str">
        <f>IFERROR(__xludf.DUMMYFUNCTION("""COMPUTED_VALUE"""),"")</f>
        <v/>
      </c>
      <c r="B610" s="5" t="str">
        <f>IFERROR(__xludf.DUMMYFUNCTION("""COMPUTED_VALUE"""),"46225")</f>
        <v>46225</v>
      </c>
      <c r="C610" s="9">
        <f>IFERROR(__xludf.DUMMYFUNCTION("""COMPUTED_VALUE"""),4.4659001251E10)</f>
        <v>44659001251</v>
      </c>
      <c r="D610" s="85" t="str">
        <f>IFERROR(__xludf.DUMMYFUNCTION("""COMPUTED_VALUE"""),"BABA")</f>
        <v>BABA</v>
      </c>
      <c r="E610" s="193">
        <f>IFERROR(__xludf.DUMMYFUNCTION("""COMPUTED_VALUE"""),44659.0)</f>
        <v>44659</v>
      </c>
      <c r="F610" s="5" t="str">
        <f>IFERROR(__xludf.DUMMYFUNCTION("""COMPUTED_VALUE"""),"Stock")</f>
        <v>Stock</v>
      </c>
      <c r="G610" s="5" t="str">
        <f>IFERROR(__xludf.DUMMYFUNCTION("""COMPUTED_VALUE"""),"USD")</f>
        <v>USD</v>
      </c>
      <c r="H610" s="22">
        <f>IFERROR(__xludf.DUMMYFUNCTION("""COMPUTED_VALUE"""),-822.0)</f>
        <v>-822</v>
      </c>
      <c r="I610" s="194">
        <f>IFERROR(__xludf.DUMMYFUNCTION("""COMPUTED_VALUE"""),7.839265)</f>
        <v>7.839265</v>
      </c>
      <c r="J610" s="23">
        <f>IFERROR(__xludf.DUMMYFUNCTION("""COMPUTED_VALUE"""),103.53)</f>
        <v>103.53</v>
      </c>
      <c r="K610" s="5"/>
      <c r="L610" s="23">
        <f>IFERROR(__xludf.DUMMYFUNCTION("""COMPUTED_VALUE"""),100.09)</f>
        <v>100.09</v>
      </c>
      <c r="M610" s="195" t="str">
        <f>IFERROR(__xludf.DUMMYFUNCTION("""COMPUTED_VALUE"""),"Equity Key Stats")</f>
        <v>Equity Key Stats</v>
      </c>
      <c r="N610" s="5"/>
      <c r="O610" s="5"/>
      <c r="P610" s="142">
        <f>IFERROR(__xludf.DUMMYFUNCTION("""COMPUTED_VALUE"""),667134.4646799)</f>
        <v>667134.4647</v>
      </c>
      <c r="Q610" s="5"/>
      <c r="R610" s="71">
        <f>IFERROR(__xludf.DUMMYFUNCTION("""COMPUTED_VALUE"""),100.09)</f>
        <v>100.09</v>
      </c>
      <c r="S610" s="142">
        <f>IFERROR(__xludf.DUMMYFUNCTION("""COMPUTED_VALUE"""),-644967.5318247001)</f>
        <v>-644967.5318</v>
      </c>
      <c r="T610" s="5">
        <f>IFERROR(__xludf.DUMMYFUNCTION("""COMPUTED_VALUE"""),2.0)</f>
        <v>2</v>
      </c>
      <c r="U610" s="5">
        <f>IFERROR(__xludf.DUMMYFUNCTION("""COMPUTED_VALUE"""),1.0)</f>
        <v>1</v>
      </c>
      <c r="V610" s="22">
        <f>IFERROR(__xludf.DUMMYFUNCTION("""COMPUTED_VALUE"""),-7922.022355200024)</f>
        <v>-7922.022355</v>
      </c>
      <c r="W610" s="9" t="str">
        <f>IFERROR(__xludf.DUMMYFUNCTION("""COMPUTED_VALUE"""),"")</f>
        <v/>
      </c>
      <c r="X610" s="22" t="str">
        <f>IFERROR(__xludf.DUMMYFUNCTION("""COMPUTED_VALUE"""),"")</f>
        <v/>
      </c>
      <c r="Y610" s="22" t="str">
        <f>IFERROR(__xludf.DUMMYFUNCTION("""COMPUTED_VALUE"""),"")</f>
        <v/>
      </c>
      <c r="Z610" s="24" t="str">
        <f>IFERROR(__xludf.DUMMYFUNCTION("""COMPUTED_VALUE"""),"")</f>
        <v/>
      </c>
    </row>
    <row r="611">
      <c r="A611" s="5" t="str">
        <f>IFERROR(__xludf.DUMMYFUNCTION("""COMPUTED_VALUE"""),"")</f>
        <v/>
      </c>
      <c r="B611" s="5" t="str">
        <f>IFERROR(__xludf.DUMMYFUNCTION("""COMPUTED_VALUE"""),"46225")</f>
        <v>46225</v>
      </c>
      <c r="C611" s="9">
        <f>IFERROR(__xludf.DUMMYFUNCTION("""COMPUTED_VALUE"""),4.4659001252E10)</f>
        <v>44659001252</v>
      </c>
      <c r="D611" s="85" t="str">
        <f>IFERROR(__xludf.DUMMYFUNCTION("""COMPUTED_VALUE"""),"SNOW")</f>
        <v>SNOW</v>
      </c>
      <c r="E611" s="193">
        <f>IFERROR(__xludf.DUMMYFUNCTION("""COMPUTED_VALUE"""),44659.0)</f>
        <v>44659</v>
      </c>
      <c r="F611" s="5" t="str">
        <f>IFERROR(__xludf.DUMMYFUNCTION("""COMPUTED_VALUE"""),"Stock")</f>
        <v>Stock</v>
      </c>
      <c r="G611" s="5" t="str">
        <f>IFERROR(__xludf.DUMMYFUNCTION("""COMPUTED_VALUE"""),"USD")</f>
        <v>USD</v>
      </c>
      <c r="H611" s="22">
        <f>IFERROR(__xludf.DUMMYFUNCTION("""COMPUTED_VALUE"""),45.0)</f>
        <v>45</v>
      </c>
      <c r="I611" s="194">
        <f>IFERROR(__xludf.DUMMYFUNCTION("""COMPUTED_VALUE"""),7.839265)</f>
        <v>7.839265</v>
      </c>
      <c r="J611" s="23">
        <f>IFERROR(__xludf.DUMMYFUNCTION("""COMPUTED_VALUE"""),208.34)</f>
        <v>208.34</v>
      </c>
      <c r="K611" s="5"/>
      <c r="L611" s="23">
        <f>IFERROR(__xludf.DUMMYFUNCTION("""COMPUTED_VALUE"""),214.38)</f>
        <v>214.38</v>
      </c>
      <c r="M611" s="195" t="str">
        <f>IFERROR(__xludf.DUMMYFUNCTION("""COMPUTED_VALUE"""),"Equity Key Stats")</f>
        <v>Equity Key Stats</v>
      </c>
      <c r="N611" s="5"/>
      <c r="O611" s="5"/>
      <c r="P611" s="142">
        <f>IFERROR(__xludf.DUMMYFUNCTION("""COMPUTED_VALUE"""),-73495.46115450001)</f>
        <v>-73495.46115</v>
      </c>
      <c r="Q611" s="5"/>
      <c r="R611" s="71">
        <f>IFERROR(__xludf.DUMMYFUNCTION("""COMPUTED_VALUE"""),214.38)</f>
        <v>214.38</v>
      </c>
      <c r="S611" s="142">
        <f>IFERROR(__xludf.DUMMYFUNCTION("""COMPUTED_VALUE"""),75626.1733815)</f>
        <v>75626.17338</v>
      </c>
      <c r="T611" s="5">
        <f>IFERROR(__xludf.DUMMYFUNCTION("""COMPUTED_VALUE"""),3.0)</f>
        <v>3</v>
      </c>
      <c r="U611" s="5">
        <f>IFERROR(__xludf.DUMMYFUNCTION("""COMPUTED_VALUE"""),1.0)</f>
        <v>1</v>
      </c>
      <c r="V611" s="22">
        <f>IFERROR(__xludf.DUMMYFUNCTION("""COMPUTED_VALUE"""),2130.7122269999963)</f>
        <v>2130.712227</v>
      </c>
      <c r="W611" s="9" t="str">
        <f>IFERROR(__xludf.DUMMYFUNCTION("""COMPUTED_VALUE"""),"")</f>
        <v/>
      </c>
      <c r="X611" s="22" t="str">
        <f>IFERROR(__xludf.DUMMYFUNCTION("""COMPUTED_VALUE"""),"")</f>
        <v/>
      </c>
      <c r="Y611" s="22" t="str">
        <f>IFERROR(__xludf.DUMMYFUNCTION("""COMPUTED_VALUE"""),"")</f>
        <v/>
      </c>
      <c r="Z611" s="24" t="str">
        <f>IFERROR(__xludf.DUMMYFUNCTION("""COMPUTED_VALUE"""),"")</f>
        <v/>
      </c>
    </row>
    <row r="612">
      <c r="A612" s="5" t="str">
        <f>IFERROR(__xludf.DUMMYFUNCTION("""COMPUTED_VALUE"""),"")</f>
        <v/>
      </c>
      <c r="B612" s="5" t="str">
        <f>IFERROR(__xludf.DUMMYFUNCTION("""COMPUTED_VALUE"""),"46225")</f>
        <v>46225</v>
      </c>
      <c r="C612" s="9">
        <f>IFERROR(__xludf.DUMMYFUNCTION("""COMPUTED_VALUE"""),4.4659001253E10)</f>
        <v>44659001253</v>
      </c>
      <c r="D612" s="85" t="str">
        <f>IFERROR(__xludf.DUMMYFUNCTION("""COMPUTED_VALUE"""),"SOL-USD")</f>
        <v>SOL-USD</v>
      </c>
      <c r="E612" s="193">
        <f>IFERROR(__xludf.DUMMYFUNCTION("""COMPUTED_VALUE"""),44659.0)</f>
        <v>44659</v>
      </c>
      <c r="F612" s="5" t="str">
        <f>IFERROR(__xludf.DUMMYFUNCTION("""COMPUTED_VALUE"""),"Stock")</f>
        <v>Stock</v>
      </c>
      <c r="G612" s="5" t="str">
        <f>IFERROR(__xludf.DUMMYFUNCTION("""COMPUTED_VALUE"""),"USD")</f>
        <v>USD</v>
      </c>
      <c r="H612" s="22">
        <f>IFERROR(__xludf.DUMMYFUNCTION("""COMPUTED_VALUE"""),84.0)</f>
        <v>84</v>
      </c>
      <c r="I612" s="194">
        <f>IFERROR(__xludf.DUMMYFUNCTION("""COMPUTED_VALUE"""),7.839265)</f>
        <v>7.839265</v>
      </c>
      <c r="J612" s="23">
        <f>IFERROR(__xludf.DUMMYFUNCTION("""COMPUTED_VALUE"""),113.1)</f>
        <v>113.1</v>
      </c>
      <c r="K612" s="5"/>
      <c r="L612" s="23">
        <f>IFERROR(__xludf.DUMMYFUNCTION("""COMPUTED_VALUE"""),104.02)</f>
        <v>104.02</v>
      </c>
      <c r="M612" s="195" t="str">
        <f>IFERROR(__xludf.DUMMYFUNCTION("""COMPUTED_VALUE"""),"Equity Key Stats")</f>
        <v>Equity Key Stats</v>
      </c>
      <c r="N612" s="5"/>
      <c r="O612" s="5"/>
      <c r="P612" s="142">
        <f>IFERROR(__xludf.DUMMYFUNCTION("""COMPUTED_VALUE"""),-74476.15320599999)</f>
        <v>-74476.15321</v>
      </c>
      <c r="Q612" s="5"/>
      <c r="R612" s="71">
        <f>IFERROR(__xludf.DUMMYFUNCTION("""COMPUTED_VALUE"""),104.02)</f>
        <v>104.02</v>
      </c>
      <c r="S612" s="142">
        <f>IFERROR(__xludf.DUMMYFUNCTION("""COMPUTED_VALUE"""),68496.9890052)</f>
        <v>68496.98901</v>
      </c>
      <c r="T612" s="5">
        <f>IFERROR(__xludf.DUMMYFUNCTION("""COMPUTED_VALUE"""),2.0)</f>
        <v>2</v>
      </c>
      <c r="U612" s="5">
        <f>IFERROR(__xludf.DUMMYFUNCTION("""COMPUTED_VALUE"""),1.0)</f>
        <v>1</v>
      </c>
      <c r="V612" s="22">
        <f>IFERROR(__xludf.DUMMYFUNCTION("""COMPUTED_VALUE"""),-5979.164200799991)</f>
        <v>-5979.164201</v>
      </c>
      <c r="W612" s="9" t="str">
        <f>IFERROR(__xludf.DUMMYFUNCTION("""COMPUTED_VALUE"""),"")</f>
        <v/>
      </c>
      <c r="X612" s="22" t="str">
        <f>IFERROR(__xludf.DUMMYFUNCTION("""COMPUTED_VALUE"""),"")</f>
        <v/>
      </c>
      <c r="Y612" s="22" t="str">
        <f>IFERROR(__xludf.DUMMYFUNCTION("""COMPUTED_VALUE"""),"")</f>
        <v/>
      </c>
      <c r="Z612" s="24" t="str">
        <f>IFERROR(__xludf.DUMMYFUNCTION("""COMPUTED_VALUE"""),"")</f>
        <v/>
      </c>
    </row>
    <row r="613">
      <c r="A613" s="5" t="str">
        <f>IFERROR(__xludf.DUMMYFUNCTION("""COMPUTED_VALUE"""),"")</f>
        <v/>
      </c>
      <c r="B613" s="5" t="str">
        <f>IFERROR(__xludf.DUMMYFUNCTION("""COMPUTED_VALUE"""),"46225")</f>
        <v>46225</v>
      </c>
      <c r="C613" s="9">
        <f>IFERROR(__xludf.DUMMYFUNCTION("""COMPUTED_VALUE"""),4.4659001254E10)</f>
        <v>44659001254</v>
      </c>
      <c r="D613" s="85" t="str">
        <f>IFERROR(__xludf.DUMMYFUNCTION("""COMPUTED_VALUE"""),"TSLA")</f>
        <v>TSLA</v>
      </c>
      <c r="E613" s="193">
        <f>IFERROR(__xludf.DUMMYFUNCTION("""COMPUTED_VALUE"""),44659.0)</f>
        <v>44659</v>
      </c>
      <c r="F613" s="5" t="str">
        <f>IFERROR(__xludf.DUMMYFUNCTION("""COMPUTED_VALUE"""),"Stock")</f>
        <v>Stock</v>
      </c>
      <c r="G613" s="5" t="str">
        <f>IFERROR(__xludf.DUMMYFUNCTION("""COMPUTED_VALUE"""),"USD")</f>
        <v>USD</v>
      </c>
      <c r="H613" s="22">
        <f>IFERROR(__xludf.DUMMYFUNCTION("""COMPUTED_VALUE"""),18.0)</f>
        <v>18</v>
      </c>
      <c r="I613" s="194">
        <f>IFERROR(__xludf.DUMMYFUNCTION("""COMPUTED_VALUE"""),7.839265)</f>
        <v>7.839265</v>
      </c>
      <c r="J613" s="23">
        <f>IFERROR(__xludf.DUMMYFUNCTION("""COMPUTED_VALUE"""),1025.49)</f>
        <v>1025.49</v>
      </c>
      <c r="K613" s="5"/>
      <c r="L613" s="23">
        <f>IFERROR(__xludf.DUMMYFUNCTION("""COMPUTED_VALUE"""),1022.37)</f>
        <v>1022.37</v>
      </c>
      <c r="M613" s="195" t="str">
        <f>IFERROR(__xludf.DUMMYFUNCTION("""COMPUTED_VALUE"""),"Equity Key Stats")</f>
        <v>Equity Key Stats</v>
      </c>
      <c r="N613" s="5"/>
      <c r="O613" s="5"/>
      <c r="P613" s="142">
        <f>IFERROR(__xludf.DUMMYFUNCTION("""COMPUTED_VALUE"""),-144703.58156730002)</f>
        <v>-144703.5816</v>
      </c>
      <c r="Q613" s="5"/>
      <c r="R613" s="71">
        <f>IFERROR(__xludf.DUMMYFUNCTION("""COMPUTED_VALUE"""),1022.37)</f>
        <v>1022.37</v>
      </c>
      <c r="S613" s="142">
        <f>IFERROR(__xludf.DUMMYFUNCTION("""COMPUTED_VALUE"""),144263.32844490002)</f>
        <v>144263.3284</v>
      </c>
      <c r="T613" s="5">
        <f>IFERROR(__xludf.DUMMYFUNCTION("""COMPUTED_VALUE"""),2.0)</f>
        <v>2</v>
      </c>
      <c r="U613" s="5">
        <f>IFERROR(__xludf.DUMMYFUNCTION("""COMPUTED_VALUE"""),1.0)</f>
        <v>1</v>
      </c>
      <c r="V613" s="22">
        <f>IFERROR(__xludf.DUMMYFUNCTION("""COMPUTED_VALUE"""),-440.25312239999766)</f>
        <v>-440.2531224</v>
      </c>
      <c r="W613" s="9" t="str">
        <f>IFERROR(__xludf.DUMMYFUNCTION("""COMPUTED_VALUE"""),"")</f>
        <v/>
      </c>
      <c r="X613" s="22" t="str">
        <f>IFERROR(__xludf.DUMMYFUNCTION("""COMPUTED_VALUE"""),"")</f>
        <v/>
      </c>
      <c r="Y613" s="22" t="str">
        <f>IFERROR(__xludf.DUMMYFUNCTION("""COMPUTED_VALUE"""),"")</f>
        <v/>
      </c>
      <c r="Z613" s="24" t="str">
        <f>IFERROR(__xludf.DUMMYFUNCTION("""COMPUTED_VALUE"""),"")</f>
        <v/>
      </c>
    </row>
    <row r="614">
      <c r="A614" s="5" t="str">
        <f>IFERROR(__xludf.DUMMYFUNCTION("""COMPUTED_VALUE"""),"46225")</f>
        <v>46225</v>
      </c>
      <c r="B614" s="5" t="str">
        <f>IFERROR(__xludf.DUMMYFUNCTION("""COMPUTED_VALUE"""),"46225")</f>
        <v>46225</v>
      </c>
      <c r="C614" s="9">
        <f>IFERROR(__xludf.DUMMYFUNCTION("""COMPUTED_VALUE"""),4.4659001255E10)</f>
        <v>44659001255</v>
      </c>
      <c r="D614" s="85" t="str">
        <f>IFERROR(__xludf.DUMMYFUNCTION("""COMPUTED_VALUE"""),"NVDA")</f>
        <v>NVDA</v>
      </c>
      <c r="E614" s="193">
        <f>IFERROR(__xludf.DUMMYFUNCTION("""COMPUTED_VALUE"""),44659.0)</f>
        <v>44659</v>
      </c>
      <c r="F614" s="5" t="str">
        <f>IFERROR(__xludf.DUMMYFUNCTION("""COMPUTED_VALUE"""),"Stock")</f>
        <v>Stock</v>
      </c>
      <c r="G614" s="5" t="str">
        <f>IFERROR(__xludf.DUMMYFUNCTION("""COMPUTED_VALUE"""),"USD")</f>
        <v>USD</v>
      </c>
      <c r="H614" s="22">
        <f>IFERROR(__xludf.DUMMYFUNCTION("""COMPUTED_VALUE"""),39.0)</f>
        <v>39</v>
      </c>
      <c r="I614" s="194">
        <f>IFERROR(__xludf.DUMMYFUNCTION("""COMPUTED_VALUE"""),7.839265)</f>
        <v>7.839265</v>
      </c>
      <c r="J614" s="23">
        <f>IFERROR(__xludf.DUMMYFUNCTION("""COMPUTED_VALUE"""),231.19)</f>
        <v>231.19</v>
      </c>
      <c r="K614" s="5"/>
      <c r="L614" s="23">
        <f>IFERROR(__xludf.DUMMYFUNCTION("""COMPUTED_VALUE"""),222.03)</f>
        <v>222.03</v>
      </c>
      <c r="M614" s="195" t="str">
        <f>IFERROR(__xludf.DUMMYFUNCTION("""COMPUTED_VALUE"""),"Equity Key Stats")</f>
        <v>Equity Key Stats</v>
      </c>
      <c r="N614" s="5"/>
      <c r="O614" s="5"/>
      <c r="P614" s="142">
        <f>IFERROR(__xludf.DUMMYFUNCTION("""COMPUTED_VALUE"""),-70682.02733865)</f>
        <v>-70682.02734</v>
      </c>
      <c r="Q614" s="5"/>
      <c r="R614" s="71">
        <f>IFERROR(__xludf.DUMMYFUNCTION("""COMPUTED_VALUE"""),222.03)</f>
        <v>222.03</v>
      </c>
      <c r="S614" s="142">
        <f>IFERROR(__xludf.DUMMYFUNCTION("""COMPUTED_VALUE"""),67881.52831005)</f>
        <v>67881.52831</v>
      </c>
      <c r="T614" s="5">
        <f>IFERROR(__xludf.DUMMYFUNCTION("""COMPUTED_VALUE"""),1.0)</f>
        <v>1</v>
      </c>
      <c r="U614" s="5">
        <f>IFERROR(__xludf.DUMMYFUNCTION("""COMPUTED_VALUE"""),1.0)</f>
        <v>1</v>
      </c>
      <c r="V614" s="22">
        <f>IFERROR(__xludf.DUMMYFUNCTION("""COMPUTED_VALUE"""),-2800.49902860001)</f>
        <v>-2800.499029</v>
      </c>
      <c r="W614" s="9">
        <f>IFERROR(__xludf.DUMMYFUNCTION("""COMPUTED_VALUE"""),484988.77352)</f>
        <v>484988.7735</v>
      </c>
      <c r="X614" s="22">
        <f>IFERROR(__xludf.DUMMYFUNCTION("""COMPUTED_VALUE"""),58343.03038145018)</f>
        <v>58343.03038</v>
      </c>
      <c r="Y614" s="22">
        <f>IFERROR(__xludf.DUMMYFUNCTION("""COMPUTED_VALUE"""),0.0)</f>
        <v>0</v>
      </c>
      <c r="Z614" s="24">
        <f>IFERROR(__xludf.DUMMYFUNCTION("""COMPUTED_VALUE"""),-0.030022452960000057)</f>
        <v>-0.03002245296</v>
      </c>
    </row>
    <row r="615">
      <c r="A615" s="5" t="str">
        <f>IFERROR(__xludf.DUMMYFUNCTION("""COMPUTED_VALUE"""),"")</f>
        <v/>
      </c>
      <c r="B615" s="5" t="str">
        <f>IFERROR(__xludf.DUMMYFUNCTION("""COMPUTED_VALUE"""),"46276")</f>
        <v>46276</v>
      </c>
      <c r="C615" s="9">
        <f>IFERROR(__xludf.DUMMYFUNCTION("""COMPUTED_VALUE"""),4.4597000019E10)</f>
        <v>44597000019</v>
      </c>
      <c r="D615" s="85" t="str">
        <f>IFERROR(__xludf.DUMMYFUNCTION("""COMPUTED_VALUE"""),"Cash")</f>
        <v>Cash</v>
      </c>
      <c r="E615" s="193">
        <f>IFERROR(__xludf.DUMMYFUNCTION("""COMPUTED_VALUE"""),44597.0)</f>
        <v>44597</v>
      </c>
      <c r="F615" s="5" t="str">
        <f>IFERROR(__xludf.DUMMYFUNCTION("""COMPUTED_VALUE"""),"Cash")</f>
        <v>Cash</v>
      </c>
      <c r="G615" s="5" t="str">
        <f>IFERROR(__xludf.DUMMYFUNCTION("""COMPUTED_VALUE"""),"HKD")</f>
        <v>HKD</v>
      </c>
      <c r="H615" s="22" t="str">
        <f>IFERROR(__xludf.DUMMYFUNCTION("""COMPUTED_VALUE"""),"")</f>
        <v/>
      </c>
      <c r="I615" s="194">
        <f>IFERROR(__xludf.DUMMYFUNCTION("""COMPUTED_VALUE"""),1.0)</f>
        <v>1</v>
      </c>
      <c r="J615" s="5">
        <f>IFERROR(__xludf.DUMMYFUNCTION("""COMPUTED_VALUE"""),1.0)</f>
        <v>1</v>
      </c>
      <c r="K615" s="5"/>
      <c r="L615" s="23">
        <f>IFERROR(__xludf.DUMMYFUNCTION("""COMPUTED_VALUE"""),1.0)</f>
        <v>1</v>
      </c>
      <c r="M615" s="25" t="str">
        <f>IFERROR(__xludf.DUMMYFUNCTION("""COMPUTED_VALUE"""),"")</f>
        <v/>
      </c>
      <c r="N615" s="5"/>
      <c r="O615" s="5"/>
      <c r="P615" s="142">
        <f>IFERROR(__xludf.DUMMYFUNCTION("""COMPUTED_VALUE"""),500000.0)</f>
        <v>500000</v>
      </c>
      <c r="Q615" s="5"/>
      <c r="R615" s="71">
        <f>IFERROR(__xludf.DUMMYFUNCTION("""COMPUTED_VALUE"""),1.0)</f>
        <v>1</v>
      </c>
      <c r="S615" s="142" t="str">
        <f>IFERROR(__xludf.DUMMYFUNCTION("""COMPUTED_VALUE"""),"")</f>
        <v/>
      </c>
      <c r="T615" s="5">
        <f>IFERROR(__xludf.DUMMYFUNCTION("""COMPUTED_VALUE"""),1.0)</f>
        <v>1</v>
      </c>
      <c r="U615" s="5">
        <f>IFERROR(__xludf.DUMMYFUNCTION("""COMPUTED_VALUE"""),1.0)</f>
        <v>1</v>
      </c>
      <c r="V615" s="22">
        <f>IFERROR(__xludf.DUMMYFUNCTION("""COMPUTED_VALUE"""),500000.0)</f>
        <v>500000</v>
      </c>
      <c r="W615" s="9" t="str">
        <f>IFERROR(__xludf.DUMMYFUNCTION("""COMPUTED_VALUE"""),"")</f>
        <v/>
      </c>
      <c r="X615" s="22" t="str">
        <f>IFERROR(__xludf.DUMMYFUNCTION("""COMPUTED_VALUE"""),"")</f>
        <v/>
      </c>
      <c r="Y615" s="22" t="str">
        <f>IFERROR(__xludf.DUMMYFUNCTION("""COMPUTED_VALUE"""),"")</f>
        <v/>
      </c>
      <c r="Z615" s="24" t="str">
        <f>IFERROR(__xludf.DUMMYFUNCTION("""COMPUTED_VALUE"""),"")</f>
        <v/>
      </c>
    </row>
    <row r="616">
      <c r="A616" s="5" t="str">
        <f>IFERROR(__xludf.DUMMYFUNCTION("""COMPUTED_VALUE"""),"")</f>
        <v/>
      </c>
      <c r="B616" s="5" t="str">
        <f>IFERROR(__xludf.DUMMYFUNCTION("""COMPUTED_VALUE"""),"46276")</f>
        <v>46276</v>
      </c>
      <c r="C616" s="9">
        <f>IFERROR(__xludf.DUMMYFUNCTION("""COMPUTED_VALUE"""),4.4607000198E10)</f>
        <v>44607000198</v>
      </c>
      <c r="D616" s="87" t="str">
        <f>IFERROR(__xludf.DUMMYFUNCTION("""COMPUTED_VALUE"""),"BAC")</f>
        <v>BAC</v>
      </c>
      <c r="E616" s="193">
        <f>IFERROR(__xludf.DUMMYFUNCTION("""COMPUTED_VALUE"""),44607.0)</f>
        <v>44607</v>
      </c>
      <c r="F616" s="5" t="str">
        <f>IFERROR(__xludf.DUMMYFUNCTION("""COMPUTED_VALUE"""),"Stock")</f>
        <v>Stock</v>
      </c>
      <c r="G616" s="5" t="str">
        <f>IFERROR(__xludf.DUMMYFUNCTION("""COMPUTED_VALUE"""),"USD")</f>
        <v>USD</v>
      </c>
      <c r="H616" s="22">
        <f>IFERROR(__xludf.DUMMYFUNCTION("""COMPUTED_VALUE"""),400.0)</f>
        <v>400</v>
      </c>
      <c r="I616" s="194">
        <f>IFERROR(__xludf.DUMMYFUNCTION("""COMPUTED_VALUE"""),7.801355)</f>
        <v>7.801355</v>
      </c>
      <c r="J616" s="23">
        <f>IFERROR(__xludf.DUMMYFUNCTION("""COMPUTED_VALUE"""),47.79)</f>
        <v>47.79</v>
      </c>
      <c r="K616" s="5"/>
      <c r="L616" s="23">
        <f>IFERROR(__xludf.DUMMYFUNCTION("""COMPUTED_VALUE"""),38.85)</f>
        <v>38.85</v>
      </c>
      <c r="M616" s="195" t="str">
        <f>IFERROR(__xludf.DUMMYFUNCTION("""COMPUTED_VALUE"""),"Equity Key Stats")</f>
        <v>Equity Key Stats</v>
      </c>
      <c r="N616" s="5"/>
      <c r="O616" s="5"/>
      <c r="P616" s="142">
        <f>IFERROR(__xludf.DUMMYFUNCTION("""COMPUTED_VALUE"""),-149130.70218)</f>
        <v>-149130.7022</v>
      </c>
      <c r="Q616" s="5"/>
      <c r="R616" s="71">
        <f>IFERROR(__xludf.DUMMYFUNCTION("""COMPUTED_VALUE"""),38.85)</f>
        <v>38.85</v>
      </c>
      <c r="S616" s="142">
        <f>IFERROR(__xludf.DUMMYFUNCTION("""COMPUTED_VALUE"""),121233.0567)</f>
        <v>121233.0567</v>
      </c>
      <c r="T616" s="5">
        <f>IFERROR(__xludf.DUMMYFUNCTION("""COMPUTED_VALUE"""),1.0)</f>
        <v>1</v>
      </c>
      <c r="U616" s="5">
        <f>IFERROR(__xludf.DUMMYFUNCTION("""COMPUTED_VALUE"""),1.0)</f>
        <v>1</v>
      </c>
      <c r="V616" s="22">
        <f>IFERROR(__xludf.DUMMYFUNCTION("""COMPUTED_VALUE"""),-27897.645479999992)</f>
        <v>-27897.64548</v>
      </c>
      <c r="W616" s="9" t="str">
        <f>IFERROR(__xludf.DUMMYFUNCTION("""COMPUTED_VALUE"""),"")</f>
        <v/>
      </c>
      <c r="X616" s="22" t="str">
        <f>IFERROR(__xludf.DUMMYFUNCTION("""COMPUTED_VALUE"""),"")</f>
        <v/>
      </c>
      <c r="Y616" s="22" t="str">
        <f>IFERROR(__xludf.DUMMYFUNCTION("""COMPUTED_VALUE"""),"")</f>
        <v/>
      </c>
      <c r="Z616" s="24" t="str">
        <f>IFERROR(__xludf.DUMMYFUNCTION("""COMPUTED_VALUE"""),"")</f>
        <v/>
      </c>
    </row>
    <row r="617">
      <c r="A617" s="5" t="str">
        <f>IFERROR(__xludf.DUMMYFUNCTION("""COMPUTED_VALUE"""),"")</f>
        <v/>
      </c>
      <c r="B617" s="5" t="str">
        <f>IFERROR(__xludf.DUMMYFUNCTION("""COMPUTED_VALUE"""),"46276")</f>
        <v>46276</v>
      </c>
      <c r="C617" s="9">
        <f>IFERROR(__xludf.DUMMYFUNCTION("""COMPUTED_VALUE"""),4.4607000199E10)</f>
        <v>44607000199</v>
      </c>
      <c r="D617" s="87" t="str">
        <f>IFERROR(__xludf.DUMMYFUNCTION("""COMPUTED_VALUE"""),"BRK-B")</f>
        <v>BRK-B</v>
      </c>
      <c r="E617" s="193">
        <f>IFERROR(__xludf.DUMMYFUNCTION("""COMPUTED_VALUE"""),44607.0)</f>
        <v>44607</v>
      </c>
      <c r="F617" s="5" t="str">
        <f>IFERROR(__xludf.DUMMYFUNCTION("""COMPUTED_VALUE"""),"Stock")</f>
        <v>Stock</v>
      </c>
      <c r="G617" s="5" t="str">
        <f>IFERROR(__xludf.DUMMYFUNCTION("""COMPUTED_VALUE"""),"USD")</f>
        <v>USD</v>
      </c>
      <c r="H617" s="22">
        <f>IFERROR(__xludf.DUMMYFUNCTION("""COMPUTED_VALUE"""),65.0)</f>
        <v>65</v>
      </c>
      <c r="I617" s="194">
        <f>IFERROR(__xludf.DUMMYFUNCTION("""COMPUTED_VALUE"""),7.801355)</f>
        <v>7.801355</v>
      </c>
      <c r="J617" s="23">
        <f>IFERROR(__xludf.DUMMYFUNCTION("""COMPUTED_VALUE"""),316.2)</f>
        <v>316.2</v>
      </c>
      <c r="K617" s="5"/>
      <c r="L617" s="23">
        <f>IFERROR(__xludf.DUMMYFUNCTION("""COMPUTED_VALUE"""),346.07)</f>
        <v>346.07</v>
      </c>
      <c r="M617" s="195" t="str">
        <f>IFERROR(__xludf.DUMMYFUNCTION("""COMPUTED_VALUE"""),"Equity Key Stats")</f>
        <v>Equity Key Stats</v>
      </c>
      <c r="N617" s="5"/>
      <c r="O617" s="5"/>
      <c r="P617" s="142">
        <f>IFERROR(__xludf.DUMMYFUNCTION("""COMPUTED_VALUE"""),-160341.249315)</f>
        <v>-160341.2493</v>
      </c>
      <c r="Q617" s="5"/>
      <c r="R617" s="71">
        <f>IFERROR(__xludf.DUMMYFUNCTION("""COMPUTED_VALUE"""),346.07)</f>
        <v>346.07</v>
      </c>
      <c r="S617" s="142">
        <f>IFERROR(__xludf.DUMMYFUNCTION("""COMPUTED_VALUE"""),175487.97011525)</f>
        <v>175487.9701</v>
      </c>
      <c r="T617" s="5">
        <f>IFERROR(__xludf.DUMMYFUNCTION("""COMPUTED_VALUE"""),2.0)</f>
        <v>2</v>
      </c>
      <c r="U617" s="5" t="str">
        <f>IFERROR(__xludf.DUMMYFUNCTION("""COMPUTED_VALUE"""),"")</f>
        <v/>
      </c>
      <c r="V617" s="22" t="str">
        <f>IFERROR(__xludf.DUMMYFUNCTION("""COMPUTED_VALUE"""),"")</f>
        <v/>
      </c>
      <c r="W617" s="9" t="str">
        <f>IFERROR(__xludf.DUMMYFUNCTION("""COMPUTED_VALUE"""),"")</f>
        <v/>
      </c>
      <c r="X617" s="22" t="str">
        <f>IFERROR(__xludf.DUMMYFUNCTION("""COMPUTED_VALUE"""),"")</f>
        <v/>
      </c>
      <c r="Y617" s="22" t="str">
        <f>IFERROR(__xludf.DUMMYFUNCTION("""COMPUTED_VALUE"""),"")</f>
        <v/>
      </c>
      <c r="Z617" s="24" t="str">
        <f>IFERROR(__xludf.DUMMYFUNCTION("""COMPUTED_VALUE"""),"")</f>
        <v/>
      </c>
    </row>
    <row r="618">
      <c r="A618" s="5" t="str">
        <f>IFERROR(__xludf.DUMMYFUNCTION("""COMPUTED_VALUE"""),"46276")</f>
        <v>46276</v>
      </c>
      <c r="B618" s="5" t="str">
        <f>IFERROR(__xludf.DUMMYFUNCTION("""COMPUTED_VALUE"""),"46276")</f>
        <v>46276</v>
      </c>
      <c r="C618" s="9">
        <f>IFERROR(__xludf.DUMMYFUNCTION("""COMPUTED_VALUE"""),4.461000027E10)</f>
        <v>44610000270</v>
      </c>
      <c r="D618" s="87" t="str">
        <f>IFERROR(__xludf.DUMMYFUNCTION("""COMPUTED_VALUE"""),"BRK-B")</f>
        <v>BRK-B</v>
      </c>
      <c r="E618" s="193">
        <f>IFERROR(__xludf.DUMMYFUNCTION("""COMPUTED_VALUE"""),44610.0)</f>
        <v>44610</v>
      </c>
      <c r="F618" s="5" t="str">
        <f>IFERROR(__xludf.DUMMYFUNCTION("""COMPUTED_VALUE"""),"Stock")</f>
        <v>Stock</v>
      </c>
      <c r="G618" s="5" t="str">
        <f>IFERROR(__xludf.DUMMYFUNCTION("""COMPUTED_VALUE"""),"USD")</f>
        <v>USD</v>
      </c>
      <c r="H618" s="22">
        <f>IFERROR(__xludf.DUMMYFUNCTION("""COMPUTED_VALUE"""),10.0)</f>
        <v>10</v>
      </c>
      <c r="I618" s="194">
        <f>IFERROR(__xludf.DUMMYFUNCTION("""COMPUTED_VALUE"""),7.80051)</f>
        <v>7.80051</v>
      </c>
      <c r="J618" s="23">
        <f>IFERROR(__xludf.DUMMYFUNCTION("""COMPUTED_VALUE"""),314.8)</f>
        <v>314.8</v>
      </c>
      <c r="K618" s="5"/>
      <c r="L618" s="23">
        <f>IFERROR(__xludf.DUMMYFUNCTION("""COMPUTED_VALUE"""),346.07)</f>
        <v>346.07</v>
      </c>
      <c r="M618" s="195" t="str">
        <f>IFERROR(__xludf.DUMMYFUNCTION("""COMPUTED_VALUE"""),"Equity Key Stats")</f>
        <v>Equity Key Stats</v>
      </c>
      <c r="N618" s="5"/>
      <c r="O618" s="5"/>
      <c r="P618" s="142">
        <f>IFERROR(__xludf.DUMMYFUNCTION("""COMPUTED_VALUE"""),-24556.00548)</f>
        <v>-24556.00548</v>
      </c>
      <c r="Q618" s="5"/>
      <c r="R618" s="71">
        <f>IFERROR(__xludf.DUMMYFUNCTION("""COMPUTED_VALUE"""),346.07)</f>
        <v>346.07</v>
      </c>
      <c r="S618" s="142">
        <f>IFERROR(__xludf.DUMMYFUNCTION("""COMPUTED_VALUE"""),26995.224957)</f>
        <v>26995.22496</v>
      </c>
      <c r="T618" s="5">
        <f>IFERROR(__xludf.DUMMYFUNCTION("""COMPUTED_VALUE"""),2.0)</f>
        <v>2</v>
      </c>
      <c r="U618" s="5">
        <f>IFERROR(__xludf.DUMMYFUNCTION("""COMPUTED_VALUE"""),1.0)</f>
        <v>1</v>
      </c>
      <c r="V618" s="22">
        <f>IFERROR(__xludf.DUMMYFUNCTION("""COMPUTED_VALUE"""),17585.940277250018)</f>
        <v>17585.94028</v>
      </c>
      <c r="W618" s="9">
        <f>IFERROR(__xludf.DUMMYFUNCTION("""COMPUTED_VALUE"""),489688.29479725)</f>
        <v>489688.2948</v>
      </c>
      <c r="X618" s="22">
        <f>IFERROR(__xludf.DUMMYFUNCTION("""COMPUTED_VALUE"""),165972.043025)</f>
        <v>165972.043</v>
      </c>
      <c r="Y618" s="22">
        <f>IFERROR(__xludf.DUMMYFUNCTION("""COMPUTED_VALUE"""),0.0)</f>
        <v>0</v>
      </c>
      <c r="Z618" s="24">
        <f>IFERROR(__xludf.DUMMYFUNCTION("""COMPUTED_VALUE"""),-0.020623410405499976)</f>
        <v>-0.02062341041</v>
      </c>
    </row>
    <row r="619">
      <c r="A619" s="5" t="str">
        <f>IFERROR(__xludf.DUMMYFUNCTION("""COMPUTED_VALUE"""),"")</f>
        <v/>
      </c>
      <c r="B619" s="5" t="str">
        <f>IFERROR(__xludf.DUMMYFUNCTION("""COMPUTED_VALUE"""),"46322")</f>
        <v>46322</v>
      </c>
      <c r="C619" s="9">
        <f>IFERROR(__xludf.DUMMYFUNCTION("""COMPUTED_VALUE"""),4.4597000106E10)</f>
        <v>44597000106</v>
      </c>
      <c r="D619" s="85" t="str">
        <f>IFERROR(__xludf.DUMMYFUNCTION("""COMPUTED_VALUE"""),"Cash")</f>
        <v>Cash</v>
      </c>
      <c r="E619" s="193">
        <f>IFERROR(__xludf.DUMMYFUNCTION("""COMPUTED_VALUE"""),44597.0)</f>
        <v>44597</v>
      </c>
      <c r="F619" s="5" t="str">
        <f>IFERROR(__xludf.DUMMYFUNCTION("""COMPUTED_VALUE"""),"Cash")</f>
        <v>Cash</v>
      </c>
      <c r="G619" s="5" t="str">
        <f>IFERROR(__xludf.DUMMYFUNCTION("""COMPUTED_VALUE"""),"HKD")</f>
        <v>HKD</v>
      </c>
      <c r="H619" s="22" t="str">
        <f>IFERROR(__xludf.DUMMYFUNCTION("""COMPUTED_VALUE"""),"")</f>
        <v/>
      </c>
      <c r="I619" s="194">
        <f>IFERROR(__xludf.DUMMYFUNCTION("""COMPUTED_VALUE"""),1.0)</f>
        <v>1</v>
      </c>
      <c r="J619" s="5">
        <f>IFERROR(__xludf.DUMMYFUNCTION("""COMPUTED_VALUE"""),1.0)</f>
        <v>1</v>
      </c>
      <c r="K619" s="5"/>
      <c r="L619" s="23">
        <f>IFERROR(__xludf.DUMMYFUNCTION("""COMPUTED_VALUE"""),1.0)</f>
        <v>1</v>
      </c>
      <c r="M619" s="25" t="str">
        <f>IFERROR(__xludf.DUMMYFUNCTION("""COMPUTED_VALUE"""),"")</f>
        <v/>
      </c>
      <c r="N619" s="5"/>
      <c r="O619" s="5"/>
      <c r="P619" s="142">
        <f>IFERROR(__xludf.DUMMYFUNCTION("""COMPUTED_VALUE"""),500000.0)</f>
        <v>500000</v>
      </c>
      <c r="Q619" s="5"/>
      <c r="R619" s="71">
        <f>IFERROR(__xludf.DUMMYFUNCTION("""COMPUTED_VALUE"""),1.0)</f>
        <v>1</v>
      </c>
      <c r="S619" s="142" t="str">
        <f>IFERROR(__xludf.DUMMYFUNCTION("""COMPUTED_VALUE"""),"")</f>
        <v/>
      </c>
      <c r="T619" s="5">
        <f>IFERROR(__xludf.DUMMYFUNCTION("""COMPUTED_VALUE"""),1.0)</f>
        <v>1</v>
      </c>
      <c r="U619" s="5">
        <f>IFERROR(__xludf.DUMMYFUNCTION("""COMPUTED_VALUE"""),1.0)</f>
        <v>1</v>
      </c>
      <c r="V619" s="22">
        <f>IFERROR(__xludf.DUMMYFUNCTION("""COMPUTED_VALUE"""),500000.0)</f>
        <v>500000</v>
      </c>
      <c r="W619" s="9" t="str">
        <f>IFERROR(__xludf.DUMMYFUNCTION("""COMPUTED_VALUE"""),"")</f>
        <v/>
      </c>
      <c r="X619" s="22" t="str">
        <f>IFERROR(__xludf.DUMMYFUNCTION("""COMPUTED_VALUE"""),"")</f>
        <v/>
      </c>
      <c r="Y619" s="22" t="str">
        <f>IFERROR(__xludf.DUMMYFUNCTION("""COMPUTED_VALUE"""),"")</f>
        <v/>
      </c>
      <c r="Z619" s="24" t="str">
        <f>IFERROR(__xludf.DUMMYFUNCTION("""COMPUTED_VALUE"""),"")</f>
        <v/>
      </c>
    </row>
    <row r="620">
      <c r="A620" s="5" t="str">
        <f>IFERROR(__xludf.DUMMYFUNCTION("""COMPUTED_VALUE"""),"")</f>
        <v/>
      </c>
      <c r="B620" s="5" t="str">
        <f>IFERROR(__xludf.DUMMYFUNCTION("""COMPUTED_VALUE"""),"46322")</f>
        <v>46322</v>
      </c>
      <c r="C620" s="9">
        <f>IFERROR(__xludf.DUMMYFUNCTION("""COMPUTED_VALUE"""),4.4616000313E10)</f>
        <v>44616000313</v>
      </c>
      <c r="D620" s="90" t="str">
        <f>IFERROR(__xludf.DUMMYFUNCTION("""COMPUTED_VALUE"""),"3047.HK")</f>
        <v>3047.HK</v>
      </c>
      <c r="E620" s="193">
        <f>IFERROR(__xludf.DUMMYFUNCTION("""COMPUTED_VALUE"""),44616.0)</f>
        <v>44616</v>
      </c>
      <c r="F620" s="5" t="str">
        <f>IFERROR(__xludf.DUMMYFUNCTION("""COMPUTED_VALUE"""),"Stock")</f>
        <v>Stock</v>
      </c>
      <c r="G620" s="5" t="str">
        <f>IFERROR(__xludf.DUMMYFUNCTION("""COMPUTED_VALUE"""),"HKD")</f>
        <v>HKD</v>
      </c>
      <c r="H620" s="22">
        <f>IFERROR(__xludf.DUMMYFUNCTION("""COMPUTED_VALUE"""),5.0)</f>
        <v>5</v>
      </c>
      <c r="I620" s="194">
        <f>IFERROR(__xludf.DUMMYFUNCTION("""COMPUTED_VALUE"""),1.0)</f>
        <v>1</v>
      </c>
      <c r="J620" s="23">
        <f>IFERROR(__xludf.DUMMYFUNCTION("""COMPUTED_VALUE"""),13.0)</f>
        <v>13</v>
      </c>
      <c r="K620" s="5"/>
      <c r="L620" s="23">
        <f>IFERROR(__xludf.DUMMYFUNCTION("""COMPUTED_VALUE"""),16.66)</f>
        <v>16.66</v>
      </c>
      <c r="M620" s="195" t="str">
        <f>IFERROR(__xludf.DUMMYFUNCTION("""COMPUTED_VALUE"""),"Equity Key Stats")</f>
        <v>Equity Key Stats</v>
      </c>
      <c r="N620" s="5"/>
      <c r="O620" s="5"/>
      <c r="P620" s="142">
        <f>IFERROR(__xludf.DUMMYFUNCTION("""COMPUTED_VALUE"""),-65.0)</f>
        <v>-65</v>
      </c>
      <c r="Q620" s="5"/>
      <c r="R620" s="71">
        <f>IFERROR(__xludf.DUMMYFUNCTION("""COMPUTED_VALUE"""),16.66)</f>
        <v>16.66</v>
      </c>
      <c r="S620" s="142">
        <f>IFERROR(__xludf.DUMMYFUNCTION("""COMPUTED_VALUE"""),83.3)</f>
        <v>83.3</v>
      </c>
      <c r="T620" s="5">
        <f>IFERROR(__xludf.DUMMYFUNCTION("""COMPUTED_VALUE"""),3.0)</f>
        <v>3</v>
      </c>
      <c r="U620" s="5" t="str">
        <f>IFERROR(__xludf.DUMMYFUNCTION("""COMPUTED_VALUE"""),"")</f>
        <v/>
      </c>
      <c r="V620" s="22" t="str">
        <f>IFERROR(__xludf.DUMMYFUNCTION("""COMPUTED_VALUE"""),"")</f>
        <v/>
      </c>
      <c r="W620" s="9" t="str">
        <f>IFERROR(__xludf.DUMMYFUNCTION("""COMPUTED_VALUE"""),"")</f>
        <v/>
      </c>
      <c r="X620" s="22" t="str">
        <f>IFERROR(__xludf.DUMMYFUNCTION("""COMPUTED_VALUE"""),"")</f>
        <v/>
      </c>
      <c r="Y620" s="22" t="str">
        <f>IFERROR(__xludf.DUMMYFUNCTION("""COMPUTED_VALUE"""),"")</f>
        <v/>
      </c>
      <c r="Z620" s="24" t="str">
        <f>IFERROR(__xludf.DUMMYFUNCTION("""COMPUTED_VALUE"""),"")</f>
        <v/>
      </c>
    </row>
    <row r="621">
      <c r="A621" s="5" t="str">
        <f>IFERROR(__xludf.DUMMYFUNCTION("""COMPUTED_VALUE"""),"")</f>
        <v/>
      </c>
      <c r="B621" s="5" t="str">
        <f>IFERROR(__xludf.DUMMYFUNCTION("""COMPUTED_VALUE"""),"46322")</f>
        <v>46322</v>
      </c>
      <c r="C621" s="9">
        <f>IFERROR(__xludf.DUMMYFUNCTION("""COMPUTED_VALUE"""),4.4616000314E10)</f>
        <v>44616000314</v>
      </c>
      <c r="D621" s="90" t="str">
        <f>IFERROR(__xludf.DUMMYFUNCTION("""COMPUTED_VALUE"""),"9988.HK")</f>
        <v>9988.HK</v>
      </c>
      <c r="E621" s="193">
        <f>IFERROR(__xludf.DUMMYFUNCTION("""COMPUTED_VALUE"""),44616.0)</f>
        <v>44616</v>
      </c>
      <c r="F621" s="5" t="str">
        <f>IFERROR(__xludf.DUMMYFUNCTION("""COMPUTED_VALUE"""),"Stock")</f>
        <v>Stock</v>
      </c>
      <c r="G621" s="5" t="str">
        <f>IFERROR(__xludf.DUMMYFUNCTION("""COMPUTED_VALUE"""),"HKD")</f>
        <v>HKD</v>
      </c>
      <c r="H621" s="22">
        <f>IFERROR(__xludf.DUMMYFUNCTION("""COMPUTED_VALUE"""),2.0)</f>
        <v>2</v>
      </c>
      <c r="I621" s="194">
        <f>IFERROR(__xludf.DUMMYFUNCTION("""COMPUTED_VALUE"""),1.0)</f>
        <v>1</v>
      </c>
      <c r="J621" s="23">
        <f>IFERROR(__xludf.DUMMYFUNCTION("""COMPUTED_VALUE"""),104.9)</f>
        <v>104.9</v>
      </c>
      <c r="K621" s="5"/>
      <c r="L621" s="23">
        <f>IFERROR(__xludf.DUMMYFUNCTION("""COMPUTED_VALUE"""),98.5)</f>
        <v>98.5</v>
      </c>
      <c r="M621" s="195" t="str">
        <f>IFERROR(__xludf.DUMMYFUNCTION("""COMPUTED_VALUE"""),"Equity Key Stats")</f>
        <v>Equity Key Stats</v>
      </c>
      <c r="N621" s="5"/>
      <c r="O621" s="5"/>
      <c r="P621" s="142">
        <f>IFERROR(__xludf.DUMMYFUNCTION("""COMPUTED_VALUE"""),-209.8)</f>
        <v>-209.8</v>
      </c>
      <c r="Q621" s="5"/>
      <c r="R621" s="71">
        <f>IFERROR(__xludf.DUMMYFUNCTION("""COMPUTED_VALUE"""),98.5)</f>
        <v>98.5</v>
      </c>
      <c r="S621" s="142">
        <f>IFERROR(__xludf.DUMMYFUNCTION("""COMPUTED_VALUE"""),197.0)</f>
        <v>197</v>
      </c>
      <c r="T621" s="5">
        <f>IFERROR(__xludf.DUMMYFUNCTION("""COMPUTED_VALUE"""),4.0)</f>
        <v>4</v>
      </c>
      <c r="U621" s="5" t="str">
        <f>IFERROR(__xludf.DUMMYFUNCTION("""COMPUTED_VALUE"""),"")</f>
        <v/>
      </c>
      <c r="V621" s="22" t="str">
        <f>IFERROR(__xludf.DUMMYFUNCTION("""COMPUTED_VALUE"""),"")</f>
        <v/>
      </c>
      <c r="W621" s="9" t="str">
        <f>IFERROR(__xludf.DUMMYFUNCTION("""COMPUTED_VALUE"""),"")</f>
        <v/>
      </c>
      <c r="X621" s="22" t="str">
        <f>IFERROR(__xludf.DUMMYFUNCTION("""COMPUTED_VALUE"""),"")</f>
        <v/>
      </c>
      <c r="Y621" s="22" t="str">
        <f>IFERROR(__xludf.DUMMYFUNCTION("""COMPUTED_VALUE"""),"")</f>
        <v/>
      </c>
      <c r="Z621" s="24" t="str">
        <f>IFERROR(__xludf.DUMMYFUNCTION("""COMPUTED_VALUE"""),"")</f>
        <v/>
      </c>
    </row>
    <row r="622">
      <c r="A622" s="5" t="str">
        <f>IFERROR(__xludf.DUMMYFUNCTION("""COMPUTED_VALUE"""),"")</f>
        <v/>
      </c>
      <c r="B622" s="5" t="str">
        <f>IFERROR(__xludf.DUMMYFUNCTION("""COMPUTED_VALUE"""),"46322")</f>
        <v>46322</v>
      </c>
      <c r="C622" s="9">
        <f>IFERROR(__xludf.DUMMYFUNCTION("""COMPUTED_VALUE"""),4.4616000315E10)</f>
        <v>44616000315</v>
      </c>
      <c r="D622" s="90" t="str">
        <f>IFERROR(__xludf.DUMMYFUNCTION("""COMPUTED_VALUE"""),"0941.HK")</f>
        <v>0941.HK</v>
      </c>
      <c r="E622" s="193">
        <f>IFERROR(__xludf.DUMMYFUNCTION("""COMPUTED_VALUE"""),44616.0)</f>
        <v>44616</v>
      </c>
      <c r="F622" s="5" t="str">
        <f>IFERROR(__xludf.DUMMYFUNCTION("""COMPUTED_VALUE"""),"Stock")</f>
        <v>Stock</v>
      </c>
      <c r="G622" s="5" t="str">
        <f>IFERROR(__xludf.DUMMYFUNCTION("""COMPUTED_VALUE"""),"HKD")</f>
        <v>HKD</v>
      </c>
      <c r="H622" s="22">
        <f>IFERROR(__xludf.DUMMYFUNCTION("""COMPUTED_VALUE"""),2.0)</f>
        <v>2</v>
      </c>
      <c r="I622" s="194">
        <f>IFERROR(__xludf.DUMMYFUNCTION("""COMPUTED_VALUE"""),1.0)</f>
        <v>1</v>
      </c>
      <c r="J622" s="23">
        <f>IFERROR(__xludf.DUMMYFUNCTION("""COMPUTED_VALUE"""),54.0)</f>
        <v>54</v>
      </c>
      <c r="K622" s="5"/>
      <c r="L622" s="23">
        <f>IFERROR(__xludf.DUMMYFUNCTION("""COMPUTED_VALUE"""),55.5)</f>
        <v>55.5</v>
      </c>
      <c r="M622" s="195" t="str">
        <f>IFERROR(__xludf.DUMMYFUNCTION("""COMPUTED_VALUE"""),"Equity Key Stats")</f>
        <v>Equity Key Stats</v>
      </c>
      <c r="N622" s="5"/>
      <c r="O622" s="5"/>
      <c r="P622" s="142">
        <f>IFERROR(__xludf.DUMMYFUNCTION("""COMPUTED_VALUE"""),-108.0)</f>
        <v>-108</v>
      </c>
      <c r="Q622" s="5"/>
      <c r="R622" s="71">
        <f>IFERROR(__xludf.DUMMYFUNCTION("""COMPUTED_VALUE"""),55.5)</f>
        <v>55.5</v>
      </c>
      <c r="S622" s="142">
        <f>IFERROR(__xludf.DUMMYFUNCTION("""COMPUTED_VALUE"""),111.0)</f>
        <v>111</v>
      </c>
      <c r="T622" s="5">
        <f>IFERROR(__xludf.DUMMYFUNCTION("""COMPUTED_VALUE"""),1.0)</f>
        <v>1</v>
      </c>
      <c r="U622" s="5">
        <f>IFERROR(__xludf.DUMMYFUNCTION("""COMPUTED_VALUE"""),1.0)</f>
        <v>1</v>
      </c>
      <c r="V622" s="22">
        <f>IFERROR(__xludf.DUMMYFUNCTION("""COMPUTED_VALUE"""),3.0)</f>
        <v>3</v>
      </c>
      <c r="W622" s="9" t="str">
        <f>IFERROR(__xludf.DUMMYFUNCTION("""COMPUTED_VALUE"""),"")</f>
        <v/>
      </c>
      <c r="X622" s="22" t="str">
        <f>IFERROR(__xludf.DUMMYFUNCTION("""COMPUTED_VALUE"""),"")</f>
        <v/>
      </c>
      <c r="Y622" s="22" t="str">
        <f>IFERROR(__xludf.DUMMYFUNCTION("""COMPUTED_VALUE"""),"")</f>
        <v/>
      </c>
      <c r="Z622" s="24" t="str">
        <f>IFERROR(__xludf.DUMMYFUNCTION("""COMPUTED_VALUE"""),"")</f>
        <v/>
      </c>
    </row>
    <row r="623">
      <c r="A623" s="5" t="str">
        <f>IFERROR(__xludf.DUMMYFUNCTION("""COMPUTED_VALUE"""),"")</f>
        <v/>
      </c>
      <c r="B623" s="5" t="str">
        <f>IFERROR(__xludf.DUMMYFUNCTION("""COMPUTED_VALUE"""),"46322")</f>
        <v>46322</v>
      </c>
      <c r="C623" s="9">
        <f>IFERROR(__xludf.DUMMYFUNCTION("""COMPUTED_VALUE"""),4.4617000338E10)</f>
        <v>44617000338</v>
      </c>
      <c r="D623" s="87" t="str">
        <f>IFERROR(__xludf.DUMMYFUNCTION("""COMPUTED_VALUE"""),"SARK")</f>
        <v>SARK</v>
      </c>
      <c r="E623" s="193">
        <f>IFERROR(__xludf.DUMMYFUNCTION("""COMPUTED_VALUE"""),44617.0)</f>
        <v>44617</v>
      </c>
      <c r="F623" s="5" t="str">
        <f>IFERROR(__xludf.DUMMYFUNCTION("""COMPUTED_VALUE"""),"Stock")</f>
        <v>Stock</v>
      </c>
      <c r="G623" s="5" t="str">
        <f>IFERROR(__xludf.DUMMYFUNCTION("""COMPUTED_VALUE"""),"USD")</f>
        <v>USD</v>
      </c>
      <c r="H623" s="22">
        <f>IFERROR(__xludf.DUMMYFUNCTION("""COMPUTED_VALUE"""),200.0)</f>
        <v>200</v>
      </c>
      <c r="I623" s="194">
        <f>IFERROR(__xludf.DUMMYFUNCTION("""COMPUTED_VALUE"""),7.808395)</f>
        <v>7.808395</v>
      </c>
      <c r="J623" s="23">
        <f>IFERROR(__xludf.DUMMYFUNCTION("""COMPUTED_VALUE"""),48.0)</f>
        <v>48</v>
      </c>
      <c r="K623" s="5"/>
      <c r="L623" s="23">
        <f>IFERROR(__xludf.DUMMYFUNCTION("""COMPUTED_VALUE"""),49.14)</f>
        <v>49.14</v>
      </c>
      <c r="M623" s="195" t="str">
        <f>IFERROR(__xludf.DUMMYFUNCTION("""COMPUTED_VALUE"""),"Equity Key Stats")</f>
        <v>Equity Key Stats</v>
      </c>
      <c r="N623" s="5"/>
      <c r="O623" s="5"/>
      <c r="P623" s="142">
        <f>IFERROR(__xludf.DUMMYFUNCTION("""COMPUTED_VALUE"""),-74960.592)</f>
        <v>-74960.592</v>
      </c>
      <c r="Q623" s="5"/>
      <c r="R623" s="71">
        <f>IFERROR(__xludf.DUMMYFUNCTION("""COMPUTED_VALUE"""),49.14)</f>
        <v>49.14</v>
      </c>
      <c r="S623" s="142">
        <f>IFERROR(__xludf.DUMMYFUNCTION("""COMPUTED_VALUE"""),76740.90606000001)</f>
        <v>76740.90606</v>
      </c>
      <c r="T623" s="5">
        <f>IFERROR(__xludf.DUMMYFUNCTION("""COMPUTED_VALUE"""),8.0)</f>
        <v>8</v>
      </c>
      <c r="U623" s="5" t="str">
        <f>IFERROR(__xludf.DUMMYFUNCTION("""COMPUTED_VALUE"""),"")</f>
        <v/>
      </c>
      <c r="V623" s="22" t="str">
        <f>IFERROR(__xludf.DUMMYFUNCTION("""COMPUTED_VALUE"""),"")</f>
        <v/>
      </c>
      <c r="W623" s="9" t="str">
        <f>IFERROR(__xludf.DUMMYFUNCTION("""COMPUTED_VALUE"""),"")</f>
        <v/>
      </c>
      <c r="X623" s="22" t="str">
        <f>IFERROR(__xludf.DUMMYFUNCTION("""COMPUTED_VALUE"""),"")</f>
        <v/>
      </c>
      <c r="Y623" s="22" t="str">
        <f>IFERROR(__xludf.DUMMYFUNCTION("""COMPUTED_VALUE"""),"")</f>
        <v/>
      </c>
      <c r="Z623" s="24" t="str">
        <f>IFERROR(__xludf.DUMMYFUNCTION("""COMPUTED_VALUE"""),"")</f>
        <v/>
      </c>
    </row>
    <row r="624">
      <c r="A624" s="5" t="str">
        <f>IFERROR(__xludf.DUMMYFUNCTION("""COMPUTED_VALUE"""),"")</f>
        <v/>
      </c>
      <c r="B624" s="5" t="str">
        <f>IFERROR(__xludf.DUMMYFUNCTION("""COMPUTED_VALUE"""),"46322")</f>
        <v>46322</v>
      </c>
      <c r="C624" s="9">
        <f>IFERROR(__xludf.DUMMYFUNCTION("""COMPUTED_VALUE"""),4.4619000371E10)</f>
        <v>44619000371</v>
      </c>
      <c r="D624" s="87" t="str">
        <f>IFERROR(__xludf.DUMMYFUNCTION("""COMPUTED_VALUE"""),"ARKK")</f>
        <v>ARKK</v>
      </c>
      <c r="E624" s="193">
        <f>IFERROR(__xludf.DUMMYFUNCTION("""COMPUTED_VALUE"""),44619.0)</f>
        <v>44619</v>
      </c>
      <c r="F624" s="5" t="str">
        <f>IFERROR(__xludf.DUMMYFUNCTION("""COMPUTED_VALUE"""),"Stock")</f>
        <v>Stock</v>
      </c>
      <c r="G624" s="5" t="str">
        <f>IFERROR(__xludf.DUMMYFUNCTION("""COMPUTED_VALUE"""),"USD")</f>
        <v>USD</v>
      </c>
      <c r="H624" s="22">
        <f>IFERROR(__xludf.DUMMYFUNCTION("""COMPUTED_VALUE"""),200.0)</f>
        <v>200</v>
      </c>
      <c r="I624" s="194">
        <f>IFERROR(__xludf.DUMMYFUNCTION("""COMPUTED_VALUE"""),7.8082)</f>
        <v>7.8082</v>
      </c>
      <c r="J624" s="23">
        <f>IFERROR(__xludf.DUMMYFUNCTION("""COMPUTED_VALUE"""),70.47)</f>
        <v>70.47</v>
      </c>
      <c r="K624" s="5"/>
      <c r="L624" s="23">
        <f>IFERROR(__xludf.DUMMYFUNCTION("""COMPUTED_VALUE"""),61.71)</f>
        <v>61.71</v>
      </c>
      <c r="M624" s="195" t="str">
        <f>IFERROR(__xludf.DUMMYFUNCTION("""COMPUTED_VALUE"""),"Equity Key Stats")</f>
        <v>Equity Key Stats</v>
      </c>
      <c r="N624" s="5"/>
      <c r="O624" s="5"/>
      <c r="P624" s="142">
        <f>IFERROR(__xludf.DUMMYFUNCTION("""COMPUTED_VALUE"""),-110048.7708)</f>
        <v>-110048.7708</v>
      </c>
      <c r="Q624" s="5"/>
      <c r="R624" s="71">
        <f>IFERROR(__xludf.DUMMYFUNCTION("""COMPUTED_VALUE"""),61.71)</f>
        <v>61.71</v>
      </c>
      <c r="S624" s="142">
        <f>IFERROR(__xludf.DUMMYFUNCTION("""COMPUTED_VALUE"""),96368.80440000001)</f>
        <v>96368.8044</v>
      </c>
      <c r="T624" s="5">
        <f>IFERROR(__xludf.DUMMYFUNCTION("""COMPUTED_VALUE"""),2.0)</f>
        <v>2</v>
      </c>
      <c r="U624" s="5" t="str">
        <f>IFERROR(__xludf.DUMMYFUNCTION("""COMPUTED_VALUE"""),"")</f>
        <v/>
      </c>
      <c r="V624" s="22" t="str">
        <f>IFERROR(__xludf.DUMMYFUNCTION("""COMPUTED_VALUE"""),"")</f>
        <v/>
      </c>
      <c r="W624" s="9" t="str">
        <f>IFERROR(__xludf.DUMMYFUNCTION("""COMPUTED_VALUE"""),"")</f>
        <v/>
      </c>
      <c r="X624" s="22" t="str">
        <f>IFERROR(__xludf.DUMMYFUNCTION("""COMPUTED_VALUE"""),"")</f>
        <v/>
      </c>
      <c r="Y624" s="22" t="str">
        <f>IFERROR(__xludf.DUMMYFUNCTION("""COMPUTED_VALUE"""),"")</f>
        <v/>
      </c>
      <c r="Z624" s="24" t="str">
        <f>IFERROR(__xludf.DUMMYFUNCTION("""COMPUTED_VALUE"""),"")</f>
        <v/>
      </c>
    </row>
    <row r="625">
      <c r="A625" s="5" t="str">
        <f>IFERROR(__xludf.DUMMYFUNCTION("""COMPUTED_VALUE"""),"")</f>
        <v/>
      </c>
      <c r="B625" s="5" t="str">
        <f>IFERROR(__xludf.DUMMYFUNCTION("""COMPUTED_VALUE"""),"46322")</f>
        <v>46322</v>
      </c>
      <c r="C625" s="9">
        <f>IFERROR(__xludf.DUMMYFUNCTION("""COMPUTED_VALUE"""),4.4622000406E10)</f>
        <v>44622000406</v>
      </c>
      <c r="D625" s="87" t="str">
        <f>IFERROR(__xludf.DUMMYFUNCTION("""COMPUTED_VALUE"""),"ARKK")</f>
        <v>ARKK</v>
      </c>
      <c r="E625" s="193">
        <f>IFERROR(__xludf.DUMMYFUNCTION("""COMPUTED_VALUE"""),44622.0)</f>
        <v>44622</v>
      </c>
      <c r="F625" s="5" t="str">
        <f>IFERROR(__xludf.DUMMYFUNCTION("""COMPUTED_VALUE"""),"Stock")</f>
        <v>Stock</v>
      </c>
      <c r="G625" s="5" t="str">
        <f>IFERROR(__xludf.DUMMYFUNCTION("""COMPUTED_VALUE"""),"USD")</f>
        <v>USD</v>
      </c>
      <c r="H625" s="22">
        <f>IFERROR(__xludf.DUMMYFUNCTION("""COMPUTED_VALUE"""),-200.0)</f>
        <v>-200</v>
      </c>
      <c r="I625" s="194">
        <f>IFERROR(__xludf.DUMMYFUNCTION("""COMPUTED_VALUE"""),7.81395)</f>
        <v>7.81395</v>
      </c>
      <c r="J625" s="23">
        <f>IFERROR(__xludf.DUMMYFUNCTION("""COMPUTED_VALUE"""),67.56)</f>
        <v>67.56</v>
      </c>
      <c r="K625" s="5"/>
      <c r="L625" s="23">
        <f>IFERROR(__xludf.DUMMYFUNCTION("""COMPUTED_VALUE"""),61.71)</f>
        <v>61.71</v>
      </c>
      <c r="M625" s="195" t="str">
        <f>IFERROR(__xludf.DUMMYFUNCTION("""COMPUTED_VALUE"""),"Equity Key Stats")</f>
        <v>Equity Key Stats</v>
      </c>
      <c r="N625" s="5"/>
      <c r="O625" s="5"/>
      <c r="P625" s="142">
        <f>IFERROR(__xludf.DUMMYFUNCTION("""COMPUTED_VALUE"""),105582.0924)</f>
        <v>105582.0924</v>
      </c>
      <c r="Q625" s="5"/>
      <c r="R625" s="71">
        <f>IFERROR(__xludf.DUMMYFUNCTION("""COMPUTED_VALUE"""),61.71)</f>
        <v>61.71</v>
      </c>
      <c r="S625" s="142">
        <f>IFERROR(__xludf.DUMMYFUNCTION("""COMPUTED_VALUE"""),-96439.7709)</f>
        <v>-96439.7709</v>
      </c>
      <c r="T625" s="5">
        <f>IFERROR(__xludf.DUMMYFUNCTION("""COMPUTED_VALUE"""),2.0)</f>
        <v>2</v>
      </c>
      <c r="U625" s="5">
        <f>IFERROR(__xludf.DUMMYFUNCTION("""COMPUTED_VALUE"""),1.0)</f>
        <v>1</v>
      </c>
      <c r="V625" s="22">
        <f>IFERROR(__xludf.DUMMYFUNCTION("""COMPUTED_VALUE"""),-4537.644899999999)</f>
        <v>-4537.6449</v>
      </c>
      <c r="W625" s="9" t="str">
        <f>IFERROR(__xludf.DUMMYFUNCTION("""COMPUTED_VALUE"""),"")</f>
        <v/>
      </c>
      <c r="X625" s="22" t="str">
        <f>IFERROR(__xludf.DUMMYFUNCTION("""COMPUTED_VALUE"""),"")</f>
        <v/>
      </c>
      <c r="Y625" s="22" t="str">
        <f>IFERROR(__xludf.DUMMYFUNCTION("""COMPUTED_VALUE"""),"")</f>
        <v/>
      </c>
      <c r="Z625" s="24" t="str">
        <f>IFERROR(__xludf.DUMMYFUNCTION("""COMPUTED_VALUE"""),"")</f>
        <v/>
      </c>
    </row>
    <row r="626">
      <c r="A626" s="5" t="str">
        <f>IFERROR(__xludf.DUMMYFUNCTION("""COMPUTED_VALUE"""),"")</f>
        <v/>
      </c>
      <c r="B626" s="5" t="str">
        <f>IFERROR(__xludf.DUMMYFUNCTION("""COMPUTED_VALUE"""),"46322")</f>
        <v>46322</v>
      </c>
      <c r="C626" s="9">
        <f>IFERROR(__xludf.DUMMYFUNCTION("""COMPUTED_VALUE"""),4.462700047E10)</f>
        <v>44627000470</v>
      </c>
      <c r="D626" s="87" t="str">
        <f>IFERROR(__xludf.DUMMYFUNCTION("""COMPUTED_VALUE"""),"SARK")</f>
        <v>SARK</v>
      </c>
      <c r="E626" s="193">
        <f>IFERROR(__xludf.DUMMYFUNCTION("""COMPUTED_VALUE"""),44627.0)</f>
        <v>44627</v>
      </c>
      <c r="F626" s="5" t="str">
        <f>IFERROR(__xludf.DUMMYFUNCTION("""COMPUTED_VALUE"""),"Stock")</f>
        <v>Stock</v>
      </c>
      <c r="G626" s="5" t="str">
        <f>IFERROR(__xludf.DUMMYFUNCTION("""COMPUTED_VALUE"""),"USD")</f>
        <v>USD</v>
      </c>
      <c r="H626" s="22">
        <f>IFERROR(__xludf.DUMMYFUNCTION("""COMPUTED_VALUE"""),300.0)</f>
        <v>300</v>
      </c>
      <c r="I626" s="194">
        <f>IFERROR(__xludf.DUMMYFUNCTION("""COMPUTED_VALUE"""),7.81855)</f>
        <v>7.81855</v>
      </c>
      <c r="J626" s="23">
        <f>IFERROR(__xludf.DUMMYFUNCTION("""COMPUTED_VALUE"""),55.25)</f>
        <v>55.25</v>
      </c>
      <c r="K626" s="5"/>
      <c r="L626" s="23">
        <f>IFERROR(__xludf.DUMMYFUNCTION("""COMPUTED_VALUE"""),49.14)</f>
        <v>49.14</v>
      </c>
      <c r="M626" s="195" t="str">
        <f>IFERROR(__xludf.DUMMYFUNCTION("""COMPUTED_VALUE"""),"Equity Key Stats")</f>
        <v>Equity Key Stats</v>
      </c>
      <c r="N626" s="5"/>
      <c r="O626" s="5"/>
      <c r="P626" s="142">
        <f>IFERROR(__xludf.DUMMYFUNCTION("""COMPUTED_VALUE"""),-129592.46625)</f>
        <v>-129592.4663</v>
      </c>
      <c r="Q626" s="5"/>
      <c r="R626" s="71">
        <f>IFERROR(__xludf.DUMMYFUNCTION("""COMPUTED_VALUE"""),49.14)</f>
        <v>49.14</v>
      </c>
      <c r="S626" s="142">
        <f>IFERROR(__xludf.DUMMYFUNCTION("""COMPUTED_VALUE"""),115261.0641)</f>
        <v>115261.0641</v>
      </c>
      <c r="T626" s="5">
        <f>IFERROR(__xludf.DUMMYFUNCTION("""COMPUTED_VALUE"""),8.0)</f>
        <v>8</v>
      </c>
      <c r="U626" s="5" t="str">
        <f>IFERROR(__xludf.DUMMYFUNCTION("""COMPUTED_VALUE"""),"")</f>
        <v/>
      </c>
      <c r="V626" s="22" t="str">
        <f>IFERROR(__xludf.DUMMYFUNCTION("""COMPUTED_VALUE"""),"")</f>
        <v/>
      </c>
      <c r="W626" s="9" t="str">
        <f>IFERROR(__xludf.DUMMYFUNCTION("""COMPUTED_VALUE"""),"")</f>
        <v/>
      </c>
      <c r="X626" s="22" t="str">
        <f>IFERROR(__xludf.DUMMYFUNCTION("""COMPUTED_VALUE"""),"")</f>
        <v/>
      </c>
      <c r="Y626" s="22" t="str">
        <f>IFERROR(__xludf.DUMMYFUNCTION("""COMPUTED_VALUE"""),"")</f>
        <v/>
      </c>
      <c r="Z626" s="24" t="str">
        <f>IFERROR(__xludf.DUMMYFUNCTION("""COMPUTED_VALUE"""),"")</f>
        <v/>
      </c>
    </row>
    <row r="627">
      <c r="A627" s="5" t="str">
        <f>IFERROR(__xludf.DUMMYFUNCTION("""COMPUTED_VALUE"""),"")</f>
        <v/>
      </c>
      <c r="B627" s="5" t="str">
        <f>IFERROR(__xludf.DUMMYFUNCTION("""COMPUTED_VALUE"""),"46322")</f>
        <v>46322</v>
      </c>
      <c r="C627" s="9">
        <f>IFERROR(__xludf.DUMMYFUNCTION("""COMPUTED_VALUE"""),4.4628000466E10)</f>
        <v>44628000466</v>
      </c>
      <c r="D627" s="90" t="str">
        <f>IFERROR(__xludf.DUMMYFUNCTION("""COMPUTED_VALUE"""),"3047.HK")</f>
        <v>3047.HK</v>
      </c>
      <c r="E627" s="193">
        <f>IFERROR(__xludf.DUMMYFUNCTION("""COMPUTED_VALUE"""),44628.0)</f>
        <v>44628</v>
      </c>
      <c r="F627" s="5" t="str">
        <f>IFERROR(__xludf.DUMMYFUNCTION("""COMPUTED_VALUE"""),"Stock")</f>
        <v>Stock</v>
      </c>
      <c r="G627" s="5" t="str">
        <f>IFERROR(__xludf.DUMMYFUNCTION("""COMPUTED_VALUE"""),"HKD")</f>
        <v>HKD</v>
      </c>
      <c r="H627" s="22">
        <f>IFERROR(__xludf.DUMMYFUNCTION("""COMPUTED_VALUE"""),5.0)</f>
        <v>5</v>
      </c>
      <c r="I627" s="194">
        <f>IFERROR(__xludf.DUMMYFUNCTION("""COMPUTED_VALUE"""),1.0)</f>
        <v>1</v>
      </c>
      <c r="J627" s="23">
        <f>IFERROR(__xludf.DUMMYFUNCTION("""COMPUTED_VALUE"""),15.6)</f>
        <v>15.6</v>
      </c>
      <c r="K627" s="5"/>
      <c r="L627" s="23">
        <f>IFERROR(__xludf.DUMMYFUNCTION("""COMPUTED_VALUE"""),16.66)</f>
        <v>16.66</v>
      </c>
      <c r="M627" s="195" t="str">
        <f>IFERROR(__xludf.DUMMYFUNCTION("""COMPUTED_VALUE"""),"Equity Key Stats")</f>
        <v>Equity Key Stats</v>
      </c>
      <c r="N627" s="5"/>
      <c r="O627" s="5"/>
      <c r="P627" s="142">
        <f>IFERROR(__xludf.DUMMYFUNCTION("""COMPUTED_VALUE"""),-78.0)</f>
        <v>-78</v>
      </c>
      <c r="Q627" s="5"/>
      <c r="R627" s="71">
        <f>IFERROR(__xludf.DUMMYFUNCTION("""COMPUTED_VALUE"""),16.66)</f>
        <v>16.66</v>
      </c>
      <c r="S627" s="142">
        <f>IFERROR(__xludf.DUMMYFUNCTION("""COMPUTED_VALUE"""),83.3)</f>
        <v>83.3</v>
      </c>
      <c r="T627" s="5">
        <f>IFERROR(__xludf.DUMMYFUNCTION("""COMPUTED_VALUE"""),3.0)</f>
        <v>3</v>
      </c>
      <c r="U627" s="5" t="str">
        <f>IFERROR(__xludf.DUMMYFUNCTION("""COMPUTED_VALUE"""),"")</f>
        <v/>
      </c>
      <c r="V627" s="22" t="str">
        <f>IFERROR(__xludf.DUMMYFUNCTION("""COMPUTED_VALUE"""),"")</f>
        <v/>
      </c>
      <c r="W627" s="9" t="str">
        <f>IFERROR(__xludf.DUMMYFUNCTION("""COMPUTED_VALUE"""),"")</f>
        <v/>
      </c>
      <c r="X627" s="22" t="str">
        <f>IFERROR(__xludf.DUMMYFUNCTION("""COMPUTED_VALUE"""),"")</f>
        <v/>
      </c>
      <c r="Y627" s="22" t="str">
        <f>IFERROR(__xludf.DUMMYFUNCTION("""COMPUTED_VALUE"""),"")</f>
        <v/>
      </c>
      <c r="Z627" s="24" t="str">
        <f>IFERROR(__xludf.DUMMYFUNCTION("""COMPUTED_VALUE"""),"")</f>
        <v/>
      </c>
    </row>
    <row r="628">
      <c r="A628" s="5" t="str">
        <f>IFERROR(__xludf.DUMMYFUNCTION("""COMPUTED_VALUE"""),"")</f>
        <v/>
      </c>
      <c r="B628" s="5" t="str">
        <f>IFERROR(__xludf.DUMMYFUNCTION("""COMPUTED_VALUE"""),"46322")</f>
        <v>46322</v>
      </c>
      <c r="C628" s="9">
        <f>IFERROR(__xludf.DUMMYFUNCTION("""COMPUTED_VALUE"""),4.4628000467E10)</f>
        <v>44628000467</v>
      </c>
      <c r="D628" s="90" t="str">
        <f>IFERROR(__xludf.DUMMYFUNCTION("""COMPUTED_VALUE"""),"9988.HK")</f>
        <v>9988.HK</v>
      </c>
      <c r="E628" s="193">
        <f>IFERROR(__xludf.DUMMYFUNCTION("""COMPUTED_VALUE"""),44628.0)</f>
        <v>44628</v>
      </c>
      <c r="F628" s="5" t="str">
        <f>IFERROR(__xludf.DUMMYFUNCTION("""COMPUTED_VALUE"""),"Stock")</f>
        <v>Stock</v>
      </c>
      <c r="G628" s="5" t="str">
        <f>IFERROR(__xludf.DUMMYFUNCTION("""COMPUTED_VALUE"""),"HKD")</f>
        <v>HKD</v>
      </c>
      <c r="H628" s="22" t="str">
        <f>IFERROR(__xludf.DUMMYFUNCTION("""COMPUTED_VALUE"""),"")</f>
        <v/>
      </c>
      <c r="I628" s="194">
        <f>IFERROR(__xludf.DUMMYFUNCTION("""COMPUTED_VALUE"""),1.0)</f>
        <v>1</v>
      </c>
      <c r="J628" s="23">
        <f>IFERROR(__xludf.DUMMYFUNCTION("""COMPUTED_VALUE"""),96.0)</f>
        <v>96</v>
      </c>
      <c r="K628" s="5"/>
      <c r="L628" s="23">
        <f>IFERROR(__xludf.DUMMYFUNCTION("""COMPUTED_VALUE"""),98.5)</f>
        <v>98.5</v>
      </c>
      <c r="M628" s="195" t="str">
        <f>IFERROR(__xludf.DUMMYFUNCTION("""COMPUTED_VALUE"""),"Equity Key Stats")</f>
        <v>Equity Key Stats</v>
      </c>
      <c r="N628" s="5"/>
      <c r="O628" s="5"/>
      <c r="P628" s="142">
        <f>IFERROR(__xludf.DUMMYFUNCTION("""COMPUTED_VALUE"""),0.0)</f>
        <v>0</v>
      </c>
      <c r="Q628" s="5"/>
      <c r="R628" s="71">
        <f>IFERROR(__xludf.DUMMYFUNCTION("""COMPUTED_VALUE"""),98.5)</f>
        <v>98.5</v>
      </c>
      <c r="S628" s="142">
        <f>IFERROR(__xludf.DUMMYFUNCTION("""COMPUTED_VALUE"""),0.0)</f>
        <v>0</v>
      </c>
      <c r="T628" s="5">
        <f>IFERROR(__xludf.DUMMYFUNCTION("""COMPUTED_VALUE"""),4.0)</f>
        <v>4</v>
      </c>
      <c r="U628" s="5" t="str">
        <f>IFERROR(__xludf.DUMMYFUNCTION("""COMPUTED_VALUE"""),"")</f>
        <v/>
      </c>
      <c r="V628" s="22" t="str">
        <f>IFERROR(__xludf.DUMMYFUNCTION("""COMPUTED_VALUE"""),"")</f>
        <v/>
      </c>
      <c r="W628" s="9" t="str">
        <f>IFERROR(__xludf.DUMMYFUNCTION("""COMPUTED_VALUE"""),"")</f>
        <v/>
      </c>
      <c r="X628" s="22" t="str">
        <f>IFERROR(__xludf.DUMMYFUNCTION("""COMPUTED_VALUE"""),"")</f>
        <v/>
      </c>
      <c r="Y628" s="22" t="str">
        <f>IFERROR(__xludf.DUMMYFUNCTION("""COMPUTED_VALUE"""),"")</f>
        <v/>
      </c>
      <c r="Z628" s="24" t="str">
        <f>IFERROR(__xludf.DUMMYFUNCTION("""COMPUTED_VALUE"""),"")</f>
        <v/>
      </c>
    </row>
    <row r="629">
      <c r="A629" s="5" t="str">
        <f>IFERROR(__xludf.DUMMYFUNCTION("""COMPUTED_VALUE"""),"")</f>
        <v/>
      </c>
      <c r="B629" s="5" t="str">
        <f>IFERROR(__xludf.DUMMYFUNCTION("""COMPUTED_VALUE"""),"46322")</f>
        <v>46322</v>
      </c>
      <c r="C629" s="9">
        <f>IFERROR(__xludf.DUMMYFUNCTION("""COMPUTED_VALUE"""),4.4628000491E10)</f>
        <v>44628000491</v>
      </c>
      <c r="D629" s="87" t="str">
        <f>IFERROR(__xludf.DUMMYFUNCTION("""COMPUTED_VALUE"""),"NET")</f>
        <v>NET</v>
      </c>
      <c r="E629" s="193">
        <f>IFERROR(__xludf.DUMMYFUNCTION("""COMPUTED_VALUE"""),44628.0)</f>
        <v>44628</v>
      </c>
      <c r="F629" s="5" t="str">
        <f>IFERROR(__xludf.DUMMYFUNCTION("""COMPUTED_VALUE"""),"Stock")</f>
        <v>Stock</v>
      </c>
      <c r="G629" s="5" t="str">
        <f>IFERROR(__xludf.DUMMYFUNCTION("""COMPUTED_VALUE"""),"USD")</f>
        <v>USD</v>
      </c>
      <c r="H629" s="22">
        <f>IFERROR(__xludf.DUMMYFUNCTION("""COMPUTED_VALUE"""),0.0)</f>
        <v>0</v>
      </c>
      <c r="I629" s="194">
        <f>IFERROR(__xludf.DUMMYFUNCTION("""COMPUTED_VALUE"""),7.818975)</f>
        <v>7.818975</v>
      </c>
      <c r="J629" s="5" t="str">
        <f>IFERROR(__xludf.DUMMYFUNCTION("""COMPUTED_VALUE"""),"")</f>
        <v/>
      </c>
      <c r="K629" s="5"/>
      <c r="L629" s="23">
        <f>IFERROR(__xludf.DUMMYFUNCTION("""COMPUTED_VALUE"""),121.55)</f>
        <v>121.55</v>
      </c>
      <c r="M629" s="195" t="str">
        <f>IFERROR(__xludf.DUMMYFUNCTION("""COMPUTED_VALUE"""),"Equity Key Stats")</f>
        <v>Equity Key Stats</v>
      </c>
      <c r="N629" s="5"/>
      <c r="O629" s="5"/>
      <c r="P629" s="142">
        <f>IFERROR(__xludf.DUMMYFUNCTION("""COMPUTED_VALUE"""),0.0)</f>
        <v>0</v>
      </c>
      <c r="Q629" s="5"/>
      <c r="R629" s="71">
        <f>IFERROR(__xludf.DUMMYFUNCTION("""COMPUTED_VALUE"""),121.55)</f>
        <v>121.55</v>
      </c>
      <c r="S629" s="142">
        <f>IFERROR(__xludf.DUMMYFUNCTION("""COMPUTED_VALUE"""),0.0)</f>
        <v>0</v>
      </c>
      <c r="T629" s="5">
        <f>IFERROR(__xludf.DUMMYFUNCTION("""COMPUTED_VALUE"""),1.0)</f>
        <v>1</v>
      </c>
      <c r="U629" s="5">
        <f>IFERROR(__xludf.DUMMYFUNCTION("""COMPUTED_VALUE"""),1.0)</f>
        <v>1</v>
      </c>
      <c r="V629" s="22">
        <f>IFERROR(__xludf.DUMMYFUNCTION("""COMPUTED_VALUE"""),0.0)</f>
        <v>0</v>
      </c>
      <c r="W629" s="9" t="str">
        <f>IFERROR(__xludf.DUMMYFUNCTION("""COMPUTED_VALUE"""),"")</f>
        <v/>
      </c>
      <c r="X629" s="22" t="str">
        <f>IFERROR(__xludf.DUMMYFUNCTION("""COMPUTED_VALUE"""),"")</f>
        <v/>
      </c>
      <c r="Y629" s="22" t="str">
        <f>IFERROR(__xludf.DUMMYFUNCTION("""COMPUTED_VALUE"""),"")</f>
        <v/>
      </c>
      <c r="Z629" s="24" t="str">
        <f>IFERROR(__xludf.DUMMYFUNCTION("""COMPUTED_VALUE"""),"")</f>
        <v/>
      </c>
    </row>
    <row r="630">
      <c r="A630" s="5" t="str">
        <f>IFERROR(__xludf.DUMMYFUNCTION("""COMPUTED_VALUE"""),"")</f>
        <v/>
      </c>
      <c r="B630" s="5" t="str">
        <f>IFERROR(__xludf.DUMMYFUNCTION("""COMPUTED_VALUE"""),"46322")</f>
        <v>46322</v>
      </c>
      <c r="C630" s="9">
        <f>IFERROR(__xludf.DUMMYFUNCTION("""COMPUTED_VALUE"""),4.4628000492E10)</f>
        <v>44628000492</v>
      </c>
      <c r="D630" s="90" t="str">
        <f>IFERROR(__xludf.DUMMYFUNCTION("""COMPUTED_VALUE"""),"9988.HK")</f>
        <v>9988.HK</v>
      </c>
      <c r="E630" s="193">
        <f>IFERROR(__xludf.DUMMYFUNCTION("""COMPUTED_VALUE"""),44628.0)</f>
        <v>44628</v>
      </c>
      <c r="F630" s="5" t="str">
        <f>IFERROR(__xludf.DUMMYFUNCTION("""COMPUTED_VALUE"""),"Stock")</f>
        <v>Stock</v>
      </c>
      <c r="G630" s="5" t="str">
        <f>IFERROR(__xludf.DUMMYFUNCTION("""COMPUTED_VALUE"""),"HKD")</f>
        <v>HKD</v>
      </c>
      <c r="H630" s="22">
        <f>IFERROR(__xludf.DUMMYFUNCTION("""COMPUTED_VALUE"""),300.0)</f>
        <v>300</v>
      </c>
      <c r="I630" s="194">
        <f>IFERROR(__xludf.DUMMYFUNCTION("""COMPUTED_VALUE"""),1.0)</f>
        <v>1</v>
      </c>
      <c r="J630" s="23">
        <f>IFERROR(__xludf.DUMMYFUNCTION("""COMPUTED_VALUE"""),92.15)</f>
        <v>92.15</v>
      </c>
      <c r="K630" s="5"/>
      <c r="L630" s="23">
        <f>IFERROR(__xludf.DUMMYFUNCTION("""COMPUTED_VALUE"""),98.5)</f>
        <v>98.5</v>
      </c>
      <c r="M630" s="195" t="str">
        <f>IFERROR(__xludf.DUMMYFUNCTION("""COMPUTED_VALUE"""),"Equity Key Stats")</f>
        <v>Equity Key Stats</v>
      </c>
      <c r="N630" s="5"/>
      <c r="O630" s="5"/>
      <c r="P630" s="142">
        <f>IFERROR(__xludf.DUMMYFUNCTION("""COMPUTED_VALUE"""),-27645.0)</f>
        <v>-27645</v>
      </c>
      <c r="Q630" s="5"/>
      <c r="R630" s="71">
        <f>IFERROR(__xludf.DUMMYFUNCTION("""COMPUTED_VALUE"""),98.5)</f>
        <v>98.5</v>
      </c>
      <c r="S630" s="142">
        <f>IFERROR(__xludf.DUMMYFUNCTION("""COMPUTED_VALUE"""),29550.0)</f>
        <v>29550</v>
      </c>
      <c r="T630" s="5">
        <f>IFERROR(__xludf.DUMMYFUNCTION("""COMPUTED_VALUE"""),4.0)</f>
        <v>4</v>
      </c>
      <c r="U630" s="5" t="str">
        <f>IFERROR(__xludf.DUMMYFUNCTION("""COMPUTED_VALUE"""),"")</f>
        <v/>
      </c>
      <c r="V630" s="22" t="str">
        <f>IFERROR(__xludf.DUMMYFUNCTION("""COMPUTED_VALUE"""),"")</f>
        <v/>
      </c>
      <c r="W630" s="9" t="str">
        <f>IFERROR(__xludf.DUMMYFUNCTION("""COMPUTED_VALUE"""),"")</f>
        <v/>
      </c>
      <c r="X630" s="22" t="str">
        <f>IFERROR(__xludf.DUMMYFUNCTION("""COMPUTED_VALUE"""),"")</f>
        <v/>
      </c>
      <c r="Y630" s="22" t="str">
        <f>IFERROR(__xludf.DUMMYFUNCTION("""COMPUTED_VALUE"""),"")</f>
        <v/>
      </c>
      <c r="Z630" s="24" t="str">
        <f>IFERROR(__xludf.DUMMYFUNCTION("""COMPUTED_VALUE"""),"")</f>
        <v/>
      </c>
    </row>
    <row r="631">
      <c r="A631" s="5" t="str">
        <f>IFERROR(__xludf.DUMMYFUNCTION("""COMPUTED_VALUE"""),"")</f>
        <v/>
      </c>
      <c r="B631" s="5" t="str">
        <f>IFERROR(__xludf.DUMMYFUNCTION("""COMPUTED_VALUE"""),"46322")</f>
        <v>46322</v>
      </c>
      <c r="C631" s="9">
        <f>IFERROR(__xludf.DUMMYFUNCTION("""COMPUTED_VALUE"""),4.4634000577E10)</f>
        <v>44634000577</v>
      </c>
      <c r="D631" s="87" t="str">
        <f>IFERROR(__xludf.DUMMYFUNCTION("""COMPUTED_VALUE"""),"SARK")</f>
        <v>SARK</v>
      </c>
      <c r="E631" s="193">
        <f>IFERROR(__xludf.DUMMYFUNCTION("""COMPUTED_VALUE"""),44634.0)</f>
        <v>44634</v>
      </c>
      <c r="F631" s="5" t="str">
        <f>IFERROR(__xludf.DUMMYFUNCTION("""COMPUTED_VALUE"""),"Stock")</f>
        <v>Stock</v>
      </c>
      <c r="G631" s="5" t="str">
        <f>IFERROR(__xludf.DUMMYFUNCTION("""COMPUTED_VALUE"""),"USD")</f>
        <v>USD</v>
      </c>
      <c r="H631" s="22">
        <f>IFERROR(__xludf.DUMMYFUNCTION("""COMPUTED_VALUE"""),1000.0)</f>
        <v>1000</v>
      </c>
      <c r="I631" s="194">
        <f>IFERROR(__xludf.DUMMYFUNCTION("""COMPUTED_VALUE"""),7.82925)</f>
        <v>7.82925</v>
      </c>
      <c r="J631" s="23">
        <f>IFERROR(__xludf.DUMMYFUNCTION("""COMPUTED_VALUE"""),60.61)</f>
        <v>60.61</v>
      </c>
      <c r="K631" s="5"/>
      <c r="L631" s="23">
        <f>IFERROR(__xludf.DUMMYFUNCTION("""COMPUTED_VALUE"""),49.14)</f>
        <v>49.14</v>
      </c>
      <c r="M631" s="195" t="str">
        <f>IFERROR(__xludf.DUMMYFUNCTION("""COMPUTED_VALUE"""),"Equity Key Stats")</f>
        <v>Equity Key Stats</v>
      </c>
      <c r="N631" s="5"/>
      <c r="O631" s="5"/>
      <c r="P631" s="142">
        <f>IFERROR(__xludf.DUMMYFUNCTION("""COMPUTED_VALUE"""),-474530.84249999997)</f>
        <v>-474530.8425</v>
      </c>
      <c r="Q631" s="5"/>
      <c r="R631" s="71">
        <f>IFERROR(__xludf.DUMMYFUNCTION("""COMPUTED_VALUE"""),49.14)</f>
        <v>49.14</v>
      </c>
      <c r="S631" s="142">
        <f>IFERROR(__xludf.DUMMYFUNCTION("""COMPUTED_VALUE"""),384729.34500000003)</f>
        <v>384729.345</v>
      </c>
      <c r="T631" s="5">
        <f>IFERROR(__xludf.DUMMYFUNCTION("""COMPUTED_VALUE"""),8.0)</f>
        <v>8</v>
      </c>
      <c r="U631" s="5" t="str">
        <f>IFERROR(__xludf.DUMMYFUNCTION("""COMPUTED_VALUE"""),"")</f>
        <v/>
      </c>
      <c r="V631" s="22" t="str">
        <f>IFERROR(__xludf.DUMMYFUNCTION("""COMPUTED_VALUE"""),"")</f>
        <v/>
      </c>
      <c r="W631" s="9" t="str">
        <f>IFERROR(__xludf.DUMMYFUNCTION("""COMPUTED_VALUE"""),"")</f>
        <v/>
      </c>
      <c r="X631" s="22" t="str">
        <f>IFERROR(__xludf.DUMMYFUNCTION("""COMPUTED_VALUE"""),"")</f>
        <v/>
      </c>
      <c r="Y631" s="22" t="str">
        <f>IFERROR(__xludf.DUMMYFUNCTION("""COMPUTED_VALUE"""),"")</f>
        <v/>
      </c>
      <c r="Z631" s="24" t="str">
        <f>IFERROR(__xludf.DUMMYFUNCTION("""COMPUTED_VALUE"""),"")</f>
        <v/>
      </c>
    </row>
    <row r="632">
      <c r="A632" s="5" t="str">
        <f>IFERROR(__xludf.DUMMYFUNCTION("""COMPUTED_VALUE"""),"")</f>
        <v/>
      </c>
      <c r="B632" s="5" t="str">
        <f>IFERROR(__xludf.DUMMYFUNCTION("""COMPUTED_VALUE"""),"46322")</f>
        <v>46322</v>
      </c>
      <c r="C632" s="9">
        <f>IFERROR(__xludf.DUMMYFUNCTION("""COMPUTED_VALUE"""),4.463400059E10)</f>
        <v>44634000590</v>
      </c>
      <c r="D632" s="87" t="str">
        <f>IFERROR(__xludf.DUMMYFUNCTION("""COMPUTED_VALUE"""),"SARK")</f>
        <v>SARK</v>
      </c>
      <c r="E632" s="193">
        <f>IFERROR(__xludf.DUMMYFUNCTION("""COMPUTED_VALUE"""),44634.0)</f>
        <v>44634</v>
      </c>
      <c r="F632" s="5" t="str">
        <f>IFERROR(__xludf.DUMMYFUNCTION("""COMPUTED_VALUE"""),"Stock")</f>
        <v>Stock</v>
      </c>
      <c r="G632" s="5" t="str">
        <f>IFERROR(__xludf.DUMMYFUNCTION("""COMPUTED_VALUE"""),"USD")</f>
        <v>USD</v>
      </c>
      <c r="H632" s="22">
        <f>IFERROR(__xludf.DUMMYFUNCTION("""COMPUTED_VALUE"""),-800.0)</f>
        <v>-800</v>
      </c>
      <c r="I632" s="194">
        <f>IFERROR(__xludf.DUMMYFUNCTION("""COMPUTED_VALUE"""),7.82925)</f>
        <v>7.82925</v>
      </c>
      <c r="J632" s="23">
        <f>IFERROR(__xludf.DUMMYFUNCTION("""COMPUTED_VALUE"""),60.61)</f>
        <v>60.61</v>
      </c>
      <c r="K632" s="5"/>
      <c r="L632" s="23">
        <f>IFERROR(__xludf.DUMMYFUNCTION("""COMPUTED_VALUE"""),49.14)</f>
        <v>49.14</v>
      </c>
      <c r="M632" s="195" t="str">
        <f>IFERROR(__xludf.DUMMYFUNCTION("""COMPUTED_VALUE"""),"Equity Key Stats")</f>
        <v>Equity Key Stats</v>
      </c>
      <c r="N632" s="5"/>
      <c r="O632" s="5"/>
      <c r="P632" s="142">
        <f>IFERROR(__xludf.DUMMYFUNCTION("""COMPUTED_VALUE"""),379624.674)</f>
        <v>379624.674</v>
      </c>
      <c r="Q632" s="5"/>
      <c r="R632" s="71">
        <f>IFERROR(__xludf.DUMMYFUNCTION("""COMPUTED_VALUE"""),49.14)</f>
        <v>49.14</v>
      </c>
      <c r="S632" s="142">
        <f>IFERROR(__xludf.DUMMYFUNCTION("""COMPUTED_VALUE"""),-307783.47599999997)</f>
        <v>-307783.476</v>
      </c>
      <c r="T632" s="5">
        <f>IFERROR(__xludf.DUMMYFUNCTION("""COMPUTED_VALUE"""),8.0)</f>
        <v>8</v>
      </c>
      <c r="U632" s="5" t="str">
        <f>IFERROR(__xludf.DUMMYFUNCTION("""COMPUTED_VALUE"""),"")</f>
        <v/>
      </c>
      <c r="V632" s="22" t="str">
        <f>IFERROR(__xludf.DUMMYFUNCTION("""COMPUTED_VALUE"""),"")</f>
        <v/>
      </c>
      <c r="W632" s="9" t="str">
        <f>IFERROR(__xludf.DUMMYFUNCTION("""COMPUTED_VALUE"""),"")</f>
        <v/>
      </c>
      <c r="X632" s="22" t="str">
        <f>IFERROR(__xludf.DUMMYFUNCTION("""COMPUTED_VALUE"""),"")</f>
        <v/>
      </c>
      <c r="Y632" s="22" t="str">
        <f>IFERROR(__xludf.DUMMYFUNCTION("""COMPUTED_VALUE"""),"")</f>
        <v/>
      </c>
      <c r="Z632" s="24" t="str">
        <f>IFERROR(__xludf.DUMMYFUNCTION("""COMPUTED_VALUE"""),"")</f>
        <v/>
      </c>
    </row>
    <row r="633">
      <c r="A633" s="5" t="str">
        <f>IFERROR(__xludf.DUMMYFUNCTION("""COMPUTED_VALUE"""),"")</f>
        <v/>
      </c>
      <c r="B633" s="5" t="str">
        <f>IFERROR(__xludf.DUMMYFUNCTION("""COMPUTED_VALUE"""),"46322")</f>
        <v>46322</v>
      </c>
      <c r="C633" s="9">
        <f>IFERROR(__xludf.DUMMYFUNCTION("""COMPUTED_VALUE"""),4.4638000712E10)</f>
        <v>44638000712</v>
      </c>
      <c r="D633" s="87" t="str">
        <f>IFERROR(__xludf.DUMMYFUNCTION("""COMPUTED_VALUE"""),"SARK")</f>
        <v>SARK</v>
      </c>
      <c r="E633" s="193">
        <f>IFERROR(__xludf.DUMMYFUNCTION("""COMPUTED_VALUE"""),44638.0)</f>
        <v>44638</v>
      </c>
      <c r="F633" s="5" t="str">
        <f>IFERROR(__xludf.DUMMYFUNCTION("""COMPUTED_VALUE"""),"Stock")</f>
        <v>Stock</v>
      </c>
      <c r="G633" s="5" t="str">
        <f>IFERROR(__xludf.DUMMYFUNCTION("""COMPUTED_VALUE"""),"USD")</f>
        <v>USD</v>
      </c>
      <c r="H633" s="22">
        <f>IFERROR(__xludf.DUMMYFUNCTION("""COMPUTED_VALUE"""),800.0)</f>
        <v>800</v>
      </c>
      <c r="I633" s="194">
        <f>IFERROR(__xludf.DUMMYFUNCTION("""COMPUTED_VALUE"""),7.82495)</f>
        <v>7.82495</v>
      </c>
      <c r="J633" s="23">
        <f>IFERROR(__xludf.DUMMYFUNCTION("""COMPUTED_VALUE"""),47.37)</f>
        <v>47.37</v>
      </c>
      <c r="K633" s="5"/>
      <c r="L633" s="23">
        <f>IFERROR(__xludf.DUMMYFUNCTION("""COMPUTED_VALUE"""),49.14)</f>
        <v>49.14</v>
      </c>
      <c r="M633" s="195" t="str">
        <f>IFERROR(__xludf.DUMMYFUNCTION("""COMPUTED_VALUE"""),"Equity Key Stats")</f>
        <v>Equity Key Stats</v>
      </c>
      <c r="N633" s="5"/>
      <c r="O633" s="5"/>
      <c r="P633" s="142">
        <f>IFERROR(__xludf.DUMMYFUNCTION("""COMPUTED_VALUE"""),-296534.3052)</f>
        <v>-296534.3052</v>
      </c>
      <c r="Q633" s="5"/>
      <c r="R633" s="71">
        <f>IFERROR(__xludf.DUMMYFUNCTION("""COMPUTED_VALUE"""),49.14)</f>
        <v>49.14</v>
      </c>
      <c r="S633" s="142">
        <f>IFERROR(__xludf.DUMMYFUNCTION("""COMPUTED_VALUE"""),307614.4344)</f>
        <v>307614.4344</v>
      </c>
      <c r="T633" s="5">
        <f>IFERROR(__xludf.DUMMYFUNCTION("""COMPUTED_VALUE"""),8.0)</f>
        <v>8</v>
      </c>
      <c r="U633" s="5" t="str">
        <f>IFERROR(__xludf.DUMMYFUNCTION("""COMPUTED_VALUE"""),"")</f>
        <v/>
      </c>
      <c r="V633" s="22" t="str">
        <f>IFERROR(__xludf.DUMMYFUNCTION("""COMPUTED_VALUE"""),"")</f>
        <v/>
      </c>
      <c r="W633" s="9" t="str">
        <f>IFERROR(__xludf.DUMMYFUNCTION("""COMPUTED_VALUE"""),"")</f>
        <v/>
      </c>
      <c r="X633" s="22" t="str">
        <f>IFERROR(__xludf.DUMMYFUNCTION("""COMPUTED_VALUE"""),"")</f>
        <v/>
      </c>
      <c r="Y633" s="22" t="str">
        <f>IFERROR(__xludf.DUMMYFUNCTION("""COMPUTED_VALUE"""),"")</f>
        <v/>
      </c>
      <c r="Z633" s="24" t="str">
        <f>IFERROR(__xludf.DUMMYFUNCTION("""COMPUTED_VALUE"""),"")</f>
        <v/>
      </c>
    </row>
    <row r="634">
      <c r="A634" s="5" t="str">
        <f>IFERROR(__xludf.DUMMYFUNCTION("""COMPUTED_VALUE"""),"")</f>
        <v/>
      </c>
      <c r="B634" s="5" t="str">
        <f>IFERROR(__xludf.DUMMYFUNCTION("""COMPUTED_VALUE"""),"46322")</f>
        <v>46322</v>
      </c>
      <c r="C634" s="9">
        <f>IFERROR(__xludf.DUMMYFUNCTION("""COMPUTED_VALUE"""),4.4643000789E10)</f>
        <v>44643000789</v>
      </c>
      <c r="D634" s="90" t="str">
        <f>IFERROR(__xludf.DUMMYFUNCTION("""COMPUTED_VALUE"""),"9988.HK")</f>
        <v>9988.HK</v>
      </c>
      <c r="E634" s="193">
        <f>IFERROR(__xludf.DUMMYFUNCTION("""COMPUTED_VALUE"""),44643.0)</f>
        <v>44643</v>
      </c>
      <c r="F634" s="5" t="str">
        <f>IFERROR(__xludf.DUMMYFUNCTION("""COMPUTED_VALUE"""),"Stock")</f>
        <v>Stock</v>
      </c>
      <c r="G634" s="5" t="str">
        <f>IFERROR(__xludf.DUMMYFUNCTION("""COMPUTED_VALUE"""),"HKD")</f>
        <v>HKD</v>
      </c>
      <c r="H634" s="22">
        <f>IFERROR(__xludf.DUMMYFUNCTION("""COMPUTED_VALUE"""),-200.0)</f>
        <v>-200</v>
      </c>
      <c r="I634" s="194">
        <f>IFERROR(__xludf.DUMMYFUNCTION("""COMPUTED_VALUE"""),1.0)</f>
        <v>1</v>
      </c>
      <c r="J634" s="23">
        <f>IFERROR(__xludf.DUMMYFUNCTION("""COMPUTED_VALUE"""),117.6)</f>
        <v>117.6</v>
      </c>
      <c r="K634" s="5"/>
      <c r="L634" s="23">
        <f>IFERROR(__xludf.DUMMYFUNCTION("""COMPUTED_VALUE"""),98.5)</f>
        <v>98.5</v>
      </c>
      <c r="M634" s="195" t="str">
        <f>IFERROR(__xludf.DUMMYFUNCTION("""COMPUTED_VALUE"""),"Equity Key Stats")</f>
        <v>Equity Key Stats</v>
      </c>
      <c r="N634" s="5"/>
      <c r="O634" s="5"/>
      <c r="P634" s="142">
        <f>IFERROR(__xludf.DUMMYFUNCTION("""COMPUTED_VALUE"""),23520.0)</f>
        <v>23520</v>
      </c>
      <c r="Q634" s="5"/>
      <c r="R634" s="71">
        <f>IFERROR(__xludf.DUMMYFUNCTION("""COMPUTED_VALUE"""),98.5)</f>
        <v>98.5</v>
      </c>
      <c r="S634" s="142">
        <f>IFERROR(__xludf.DUMMYFUNCTION("""COMPUTED_VALUE"""),-19700.0)</f>
        <v>-19700</v>
      </c>
      <c r="T634" s="5">
        <f>IFERROR(__xludf.DUMMYFUNCTION("""COMPUTED_VALUE"""),4.0)</f>
        <v>4</v>
      </c>
      <c r="U634" s="5">
        <f>IFERROR(__xludf.DUMMYFUNCTION("""COMPUTED_VALUE"""),1.0)</f>
        <v>1</v>
      </c>
      <c r="V634" s="22">
        <f>IFERROR(__xludf.DUMMYFUNCTION("""COMPUTED_VALUE"""),5712.200000000001)</f>
        <v>5712.2</v>
      </c>
      <c r="W634" s="9" t="str">
        <f>IFERROR(__xludf.DUMMYFUNCTION("""COMPUTED_VALUE"""),"")</f>
        <v/>
      </c>
      <c r="X634" s="22" t="str">
        <f>IFERROR(__xludf.DUMMYFUNCTION("""COMPUTED_VALUE"""),"")</f>
        <v/>
      </c>
      <c r="Y634" s="22" t="str">
        <f>IFERROR(__xludf.DUMMYFUNCTION("""COMPUTED_VALUE"""),"")</f>
        <v/>
      </c>
      <c r="Z634" s="24" t="str">
        <f>IFERROR(__xludf.DUMMYFUNCTION("""COMPUTED_VALUE"""),"")</f>
        <v/>
      </c>
    </row>
    <row r="635">
      <c r="A635" s="5" t="str">
        <f>IFERROR(__xludf.DUMMYFUNCTION("""COMPUTED_VALUE"""),"")</f>
        <v/>
      </c>
      <c r="B635" s="5" t="str">
        <f>IFERROR(__xludf.DUMMYFUNCTION("""COMPUTED_VALUE"""),"46322")</f>
        <v>46322</v>
      </c>
      <c r="C635" s="9">
        <f>IFERROR(__xludf.DUMMYFUNCTION("""COMPUTED_VALUE"""),4.464300079E10)</f>
        <v>44643000790</v>
      </c>
      <c r="D635" s="90" t="str">
        <f>IFERROR(__xludf.DUMMYFUNCTION("""COMPUTED_VALUE"""),"3047.HK")</f>
        <v>3047.HK</v>
      </c>
      <c r="E635" s="193">
        <f>IFERROR(__xludf.DUMMYFUNCTION("""COMPUTED_VALUE"""),44643.0)</f>
        <v>44643</v>
      </c>
      <c r="F635" s="5" t="str">
        <f>IFERROR(__xludf.DUMMYFUNCTION("""COMPUTED_VALUE"""),"Stock")</f>
        <v>Stock</v>
      </c>
      <c r="G635" s="5" t="str">
        <f>IFERROR(__xludf.DUMMYFUNCTION("""COMPUTED_VALUE"""),"HKD")</f>
        <v>HKD</v>
      </c>
      <c r="H635" s="22">
        <f>IFERROR(__xludf.DUMMYFUNCTION("""COMPUTED_VALUE"""),-5.0)</f>
        <v>-5</v>
      </c>
      <c r="I635" s="194">
        <f>IFERROR(__xludf.DUMMYFUNCTION("""COMPUTED_VALUE"""),1.0)</f>
        <v>1</v>
      </c>
      <c r="J635" s="23">
        <f>IFERROR(__xludf.DUMMYFUNCTION("""COMPUTED_VALUE"""),14.9)</f>
        <v>14.9</v>
      </c>
      <c r="K635" s="5"/>
      <c r="L635" s="23">
        <f>IFERROR(__xludf.DUMMYFUNCTION("""COMPUTED_VALUE"""),16.66)</f>
        <v>16.66</v>
      </c>
      <c r="M635" s="195" t="str">
        <f>IFERROR(__xludf.DUMMYFUNCTION("""COMPUTED_VALUE"""),"Equity Key Stats")</f>
        <v>Equity Key Stats</v>
      </c>
      <c r="N635" s="5"/>
      <c r="O635" s="5"/>
      <c r="P635" s="142">
        <f>IFERROR(__xludf.DUMMYFUNCTION("""COMPUTED_VALUE"""),74.5)</f>
        <v>74.5</v>
      </c>
      <c r="Q635" s="5"/>
      <c r="R635" s="71">
        <f>IFERROR(__xludf.DUMMYFUNCTION("""COMPUTED_VALUE"""),16.66)</f>
        <v>16.66</v>
      </c>
      <c r="S635" s="142">
        <f>IFERROR(__xludf.DUMMYFUNCTION("""COMPUTED_VALUE"""),-83.3)</f>
        <v>-83.3</v>
      </c>
      <c r="T635" s="5">
        <f>IFERROR(__xludf.DUMMYFUNCTION("""COMPUTED_VALUE"""),3.0)</f>
        <v>3</v>
      </c>
      <c r="U635" s="5">
        <f>IFERROR(__xludf.DUMMYFUNCTION("""COMPUTED_VALUE"""),1.0)</f>
        <v>1</v>
      </c>
      <c r="V635" s="22">
        <f>IFERROR(__xludf.DUMMYFUNCTION("""COMPUTED_VALUE"""),14.799999999999997)</f>
        <v>14.8</v>
      </c>
      <c r="W635" s="9" t="str">
        <f>IFERROR(__xludf.DUMMYFUNCTION("""COMPUTED_VALUE"""),"")</f>
        <v/>
      </c>
      <c r="X635" s="22" t="str">
        <f>IFERROR(__xludf.DUMMYFUNCTION("""COMPUTED_VALUE"""),"")</f>
        <v/>
      </c>
      <c r="Y635" s="22" t="str">
        <f>IFERROR(__xludf.DUMMYFUNCTION("""COMPUTED_VALUE"""),"")</f>
        <v/>
      </c>
      <c r="Z635" s="24" t="str">
        <f>IFERROR(__xludf.DUMMYFUNCTION("""COMPUTED_VALUE"""),"")</f>
        <v/>
      </c>
    </row>
    <row r="636">
      <c r="A636" s="5" t="str">
        <f>IFERROR(__xludf.DUMMYFUNCTION("""COMPUTED_VALUE"""),"")</f>
        <v/>
      </c>
      <c r="B636" s="5" t="str">
        <f>IFERROR(__xludf.DUMMYFUNCTION("""COMPUTED_VALUE"""),"46322")</f>
        <v>46322</v>
      </c>
      <c r="C636" s="9">
        <f>IFERROR(__xludf.DUMMYFUNCTION("""COMPUTED_VALUE"""),4.4661001314E10)</f>
        <v>44661001314</v>
      </c>
      <c r="D636" s="85" t="str">
        <f>IFERROR(__xludf.DUMMYFUNCTION("""COMPUTED_VALUE"""),"SARK")</f>
        <v>SARK</v>
      </c>
      <c r="E636" s="193">
        <f>IFERROR(__xludf.DUMMYFUNCTION("""COMPUTED_VALUE"""),44661.0)</f>
        <v>44661</v>
      </c>
      <c r="F636" s="5" t="str">
        <f>IFERROR(__xludf.DUMMYFUNCTION("""COMPUTED_VALUE"""),"Stock")</f>
        <v>Stock</v>
      </c>
      <c r="G636" s="5" t="str">
        <f>IFERROR(__xludf.DUMMYFUNCTION("""COMPUTED_VALUE"""),"USD")</f>
        <v>USD</v>
      </c>
      <c r="H636" s="22" t="str">
        <f>IFERROR(__xludf.DUMMYFUNCTION("""COMPUTED_VALUE"""),"")</f>
        <v/>
      </c>
      <c r="I636" s="194">
        <f>IFERROR(__xludf.DUMMYFUNCTION("""COMPUTED_VALUE"""),7.838985)</f>
        <v>7.838985</v>
      </c>
      <c r="J636" s="23">
        <f>IFERROR(__xludf.DUMMYFUNCTION("""COMPUTED_VALUE"""),50.6)</f>
        <v>50.6</v>
      </c>
      <c r="K636" s="5"/>
      <c r="L636" s="23">
        <f>IFERROR(__xludf.DUMMYFUNCTION("""COMPUTED_VALUE"""),49.14)</f>
        <v>49.14</v>
      </c>
      <c r="M636" s="195" t="str">
        <f>IFERROR(__xludf.DUMMYFUNCTION("""COMPUTED_VALUE"""),"Equity Key Stats")</f>
        <v>Equity Key Stats</v>
      </c>
      <c r="N636" s="5"/>
      <c r="O636" s="5"/>
      <c r="P636" s="142">
        <f>IFERROR(__xludf.DUMMYFUNCTION("""COMPUTED_VALUE"""),0.0)</f>
        <v>0</v>
      </c>
      <c r="Q636" s="5"/>
      <c r="R636" s="71">
        <f>IFERROR(__xludf.DUMMYFUNCTION("""COMPUTED_VALUE"""),49.14)</f>
        <v>49.14</v>
      </c>
      <c r="S636" s="142">
        <f>IFERROR(__xludf.DUMMYFUNCTION("""COMPUTED_VALUE"""),0.0)</f>
        <v>0</v>
      </c>
      <c r="T636" s="5">
        <f>IFERROR(__xludf.DUMMYFUNCTION("""COMPUTED_VALUE"""),8.0)</f>
        <v>8</v>
      </c>
      <c r="U636" s="5" t="str">
        <f>IFERROR(__xludf.DUMMYFUNCTION("""COMPUTED_VALUE"""),"")</f>
        <v/>
      </c>
      <c r="V636" s="22" t="str">
        <f>IFERROR(__xludf.DUMMYFUNCTION("""COMPUTED_VALUE"""),"")</f>
        <v/>
      </c>
      <c r="W636" s="9" t="str">
        <f>IFERROR(__xludf.DUMMYFUNCTION("""COMPUTED_VALUE"""),"")</f>
        <v/>
      </c>
      <c r="X636" s="22" t="str">
        <f>IFERROR(__xludf.DUMMYFUNCTION("""COMPUTED_VALUE"""),"")</f>
        <v/>
      </c>
      <c r="Y636" s="22" t="str">
        <f>IFERROR(__xludf.DUMMYFUNCTION("""COMPUTED_VALUE"""),"")</f>
        <v/>
      </c>
      <c r="Z636" s="24" t="str">
        <f>IFERROR(__xludf.DUMMYFUNCTION("""COMPUTED_VALUE"""),"")</f>
        <v/>
      </c>
    </row>
    <row r="637">
      <c r="A637" s="5" t="str">
        <f>IFERROR(__xludf.DUMMYFUNCTION("""COMPUTED_VALUE"""),"")</f>
        <v/>
      </c>
      <c r="B637" s="5" t="str">
        <f>IFERROR(__xludf.DUMMYFUNCTION("""COMPUTED_VALUE"""),"46322")</f>
        <v>46322</v>
      </c>
      <c r="C637" s="9">
        <f>IFERROR(__xludf.DUMMYFUNCTION("""COMPUTED_VALUE"""),4.4662001371E10)</f>
        <v>44662001371</v>
      </c>
      <c r="D637" s="85" t="str">
        <f>IFERROR(__xludf.DUMMYFUNCTION("""COMPUTED_VALUE"""),"SARK")</f>
        <v>SARK</v>
      </c>
      <c r="E637" s="193">
        <f>IFERROR(__xludf.DUMMYFUNCTION("""COMPUTED_VALUE"""),44662.0)</f>
        <v>44662</v>
      </c>
      <c r="F637" s="5" t="str">
        <f>IFERROR(__xludf.DUMMYFUNCTION("""COMPUTED_VALUE"""),"Stock")</f>
        <v>Stock</v>
      </c>
      <c r="G637" s="5" t="str">
        <f>IFERROR(__xludf.DUMMYFUNCTION("""COMPUTED_VALUE"""),"USD")</f>
        <v>USD</v>
      </c>
      <c r="H637" s="22" t="str">
        <f>IFERROR(__xludf.DUMMYFUNCTION("""COMPUTED_VALUE"""),"")</f>
        <v/>
      </c>
      <c r="I637" s="194">
        <f>IFERROR(__xludf.DUMMYFUNCTION("""COMPUTED_VALUE"""),7.83795)</f>
        <v>7.83795</v>
      </c>
      <c r="J637" s="23">
        <f>IFERROR(__xludf.DUMMYFUNCTION("""COMPUTED_VALUE"""),50.6)</f>
        <v>50.6</v>
      </c>
      <c r="K637" s="5"/>
      <c r="L637" s="23">
        <f>IFERROR(__xludf.DUMMYFUNCTION("""COMPUTED_VALUE"""),49.14)</f>
        <v>49.14</v>
      </c>
      <c r="M637" s="195" t="str">
        <f>IFERROR(__xludf.DUMMYFUNCTION("""COMPUTED_VALUE"""),"Equity Key Stats")</f>
        <v>Equity Key Stats</v>
      </c>
      <c r="N637" s="5"/>
      <c r="O637" s="5"/>
      <c r="P637" s="142">
        <f>IFERROR(__xludf.DUMMYFUNCTION("""COMPUTED_VALUE"""),0.0)</f>
        <v>0</v>
      </c>
      <c r="Q637" s="5"/>
      <c r="R637" s="71">
        <f>IFERROR(__xludf.DUMMYFUNCTION("""COMPUTED_VALUE"""),49.14)</f>
        <v>49.14</v>
      </c>
      <c r="S637" s="142">
        <f>IFERROR(__xludf.DUMMYFUNCTION("""COMPUTED_VALUE"""),0.0)</f>
        <v>0</v>
      </c>
      <c r="T637" s="5">
        <f>IFERROR(__xludf.DUMMYFUNCTION("""COMPUTED_VALUE"""),8.0)</f>
        <v>8</v>
      </c>
      <c r="U637" s="5" t="str">
        <f>IFERROR(__xludf.DUMMYFUNCTION("""COMPUTED_VALUE"""),"")</f>
        <v/>
      </c>
      <c r="V637" s="22" t="str">
        <f>IFERROR(__xludf.DUMMYFUNCTION("""COMPUTED_VALUE"""),"")</f>
        <v/>
      </c>
      <c r="W637" s="9" t="str">
        <f>IFERROR(__xludf.DUMMYFUNCTION("""COMPUTED_VALUE"""),"")</f>
        <v/>
      </c>
      <c r="X637" s="22" t="str">
        <f>IFERROR(__xludf.DUMMYFUNCTION("""COMPUTED_VALUE"""),"")</f>
        <v/>
      </c>
      <c r="Y637" s="22" t="str">
        <f>IFERROR(__xludf.DUMMYFUNCTION("""COMPUTED_VALUE"""),"")</f>
        <v/>
      </c>
      <c r="Z637" s="24" t="str">
        <f>IFERROR(__xludf.DUMMYFUNCTION("""COMPUTED_VALUE"""),"")</f>
        <v/>
      </c>
    </row>
    <row r="638">
      <c r="A638" s="5" t="str">
        <f>IFERROR(__xludf.DUMMYFUNCTION("""COMPUTED_VALUE"""),"46322")</f>
        <v>46322</v>
      </c>
      <c r="B638" s="5" t="str">
        <f>IFERROR(__xludf.DUMMYFUNCTION("""COMPUTED_VALUE"""),"46322")</f>
        <v>46322</v>
      </c>
      <c r="C638" s="9">
        <f>IFERROR(__xludf.DUMMYFUNCTION("""COMPUTED_VALUE"""),4.4663001432E10)</f>
        <v>44663001432</v>
      </c>
      <c r="D638" s="85" t="str">
        <f>IFERROR(__xludf.DUMMYFUNCTION("""COMPUTED_VALUE"""),"SARK")</f>
        <v>SARK</v>
      </c>
      <c r="E638" s="193">
        <f>IFERROR(__xludf.DUMMYFUNCTION("""COMPUTED_VALUE"""),44663.0)</f>
        <v>44663</v>
      </c>
      <c r="F638" s="5" t="str">
        <f>IFERROR(__xludf.DUMMYFUNCTION("""COMPUTED_VALUE"""),"Stock")</f>
        <v>Stock</v>
      </c>
      <c r="G638" s="5" t="str">
        <f>IFERROR(__xludf.DUMMYFUNCTION("""COMPUTED_VALUE"""),"USD")</f>
        <v>USD</v>
      </c>
      <c r="H638" s="22" t="str">
        <f>IFERROR(__xludf.DUMMYFUNCTION("""COMPUTED_VALUE"""),"")</f>
        <v/>
      </c>
      <c r="I638" s="194">
        <f>IFERROR(__xludf.DUMMYFUNCTION("""COMPUTED_VALUE"""),7.83775)</f>
        <v>7.83775</v>
      </c>
      <c r="J638" s="23">
        <f>IFERROR(__xludf.DUMMYFUNCTION("""COMPUTED_VALUE"""),50.67)</f>
        <v>50.67</v>
      </c>
      <c r="K638" s="5"/>
      <c r="L638" s="23">
        <f>IFERROR(__xludf.DUMMYFUNCTION("""COMPUTED_VALUE"""),49.14)</f>
        <v>49.14</v>
      </c>
      <c r="M638" s="195" t="str">
        <f>IFERROR(__xludf.DUMMYFUNCTION("""COMPUTED_VALUE"""),"Equity Key Stats")</f>
        <v>Equity Key Stats</v>
      </c>
      <c r="N638" s="5"/>
      <c r="O638" s="5"/>
      <c r="P638" s="142">
        <f>IFERROR(__xludf.DUMMYFUNCTION("""COMPUTED_VALUE"""),0.0)</f>
        <v>0</v>
      </c>
      <c r="Q638" s="5"/>
      <c r="R638" s="71">
        <f>IFERROR(__xludf.DUMMYFUNCTION("""COMPUTED_VALUE"""),49.14)</f>
        <v>49.14</v>
      </c>
      <c r="S638" s="142">
        <f>IFERROR(__xludf.DUMMYFUNCTION("""COMPUTED_VALUE"""),0.0)</f>
        <v>0</v>
      </c>
      <c r="T638" s="5">
        <f>IFERROR(__xludf.DUMMYFUNCTION("""COMPUTED_VALUE"""),8.0)</f>
        <v>8</v>
      </c>
      <c r="U638" s="5">
        <f>IFERROR(__xludf.DUMMYFUNCTION("""COMPUTED_VALUE"""),1.0)</f>
        <v>1</v>
      </c>
      <c r="V638" s="22">
        <f>IFERROR(__xludf.DUMMYFUNCTION("""COMPUTED_VALUE"""),-19431.258389999857)</f>
        <v>-19431.25839</v>
      </c>
      <c r="W638" s="9">
        <f>IFERROR(__xludf.DUMMYFUNCTION("""COMPUTED_VALUE"""),481761.0967100001)</f>
        <v>481761.0967</v>
      </c>
      <c r="X638" s="22">
        <f>IFERROR(__xludf.DUMMYFUNCTION("""COMPUTED_VALUE"""),-104971.51035)</f>
        <v>-104971.5104</v>
      </c>
      <c r="Y638" s="22">
        <f>IFERROR(__xludf.DUMMYFUNCTION("""COMPUTED_VALUE"""),104971.51035)</f>
        <v>104971.5104</v>
      </c>
      <c r="Z638" s="24">
        <f>IFERROR(__xludf.DUMMYFUNCTION("""COMPUTED_VALUE"""),-0.03647780657999977)</f>
        <v>-0.03647780658</v>
      </c>
    </row>
    <row r="639">
      <c r="A639" s="5" t="str">
        <f>IFERROR(__xludf.DUMMYFUNCTION("""COMPUTED_VALUE"""),"46446")</f>
        <v>46446</v>
      </c>
      <c r="B639" s="5" t="str">
        <f>IFERROR(__xludf.DUMMYFUNCTION("""COMPUTED_VALUE"""),"46446")</f>
        <v>46446</v>
      </c>
      <c r="C639" s="9">
        <f>IFERROR(__xludf.DUMMYFUNCTION("""COMPUTED_VALUE"""),4.4597000059E10)</f>
        <v>44597000059</v>
      </c>
      <c r="D639" s="85" t="str">
        <f>IFERROR(__xludf.DUMMYFUNCTION("""COMPUTED_VALUE"""),"Cash")</f>
        <v>Cash</v>
      </c>
      <c r="E639" s="193">
        <f>IFERROR(__xludf.DUMMYFUNCTION("""COMPUTED_VALUE"""),44597.0)</f>
        <v>44597</v>
      </c>
      <c r="F639" s="5" t="str">
        <f>IFERROR(__xludf.DUMMYFUNCTION("""COMPUTED_VALUE"""),"Cash")</f>
        <v>Cash</v>
      </c>
      <c r="G639" s="5" t="str">
        <f>IFERROR(__xludf.DUMMYFUNCTION("""COMPUTED_VALUE"""),"HKD")</f>
        <v>HKD</v>
      </c>
      <c r="H639" s="22" t="str">
        <f>IFERROR(__xludf.DUMMYFUNCTION("""COMPUTED_VALUE"""),"")</f>
        <v/>
      </c>
      <c r="I639" s="194">
        <f>IFERROR(__xludf.DUMMYFUNCTION("""COMPUTED_VALUE"""),1.0)</f>
        <v>1</v>
      </c>
      <c r="J639" s="5">
        <f>IFERROR(__xludf.DUMMYFUNCTION("""COMPUTED_VALUE"""),1.0)</f>
        <v>1</v>
      </c>
      <c r="K639" s="5"/>
      <c r="L639" s="23">
        <f>IFERROR(__xludf.DUMMYFUNCTION("""COMPUTED_VALUE"""),1.0)</f>
        <v>1</v>
      </c>
      <c r="M639" s="25" t="str">
        <f>IFERROR(__xludf.DUMMYFUNCTION("""COMPUTED_VALUE"""),"")</f>
        <v/>
      </c>
      <c r="N639" s="5"/>
      <c r="O639" s="5"/>
      <c r="P639" s="142">
        <f>IFERROR(__xludf.DUMMYFUNCTION("""COMPUTED_VALUE"""),500000.0)</f>
        <v>500000</v>
      </c>
      <c r="Q639" s="5"/>
      <c r="R639" s="71">
        <f>IFERROR(__xludf.DUMMYFUNCTION("""COMPUTED_VALUE"""),1.0)</f>
        <v>1</v>
      </c>
      <c r="S639" s="142" t="str">
        <f>IFERROR(__xludf.DUMMYFUNCTION("""COMPUTED_VALUE"""),"")</f>
        <v/>
      </c>
      <c r="T639" s="5">
        <f>IFERROR(__xludf.DUMMYFUNCTION("""COMPUTED_VALUE"""),1.0)</f>
        <v>1</v>
      </c>
      <c r="U639" s="5">
        <f>IFERROR(__xludf.DUMMYFUNCTION("""COMPUTED_VALUE"""),1.0)</f>
        <v>1</v>
      </c>
      <c r="V639" s="22">
        <f>IFERROR(__xludf.DUMMYFUNCTION("""COMPUTED_VALUE"""),500000.0)</f>
        <v>500000</v>
      </c>
      <c r="W639" s="9">
        <f>IFERROR(__xludf.DUMMYFUNCTION("""COMPUTED_VALUE"""),500000.0)</f>
        <v>500000</v>
      </c>
      <c r="X639" s="22">
        <f>IFERROR(__xludf.DUMMYFUNCTION("""COMPUTED_VALUE"""),500000.0)</f>
        <v>500000</v>
      </c>
      <c r="Y639" s="22">
        <f>IFERROR(__xludf.DUMMYFUNCTION("""COMPUTED_VALUE"""),0.0)</f>
        <v>0</v>
      </c>
      <c r="Z639" s="24">
        <f>IFERROR(__xludf.DUMMYFUNCTION("""COMPUTED_VALUE"""),0.0)</f>
        <v>0</v>
      </c>
    </row>
    <row r="640">
      <c r="A640" s="5" t="str">
        <f>IFERROR(__xludf.DUMMYFUNCTION("""COMPUTED_VALUE"""),"")</f>
        <v/>
      </c>
      <c r="B640" s="5" t="str">
        <f>IFERROR(__xludf.DUMMYFUNCTION("""COMPUTED_VALUE"""),"46600")</f>
        <v>46600</v>
      </c>
      <c r="C640" s="9">
        <f>IFERROR(__xludf.DUMMYFUNCTION("""COMPUTED_VALUE"""),4.4597000099E10)</f>
        <v>44597000099</v>
      </c>
      <c r="D640" s="85" t="str">
        <f>IFERROR(__xludf.DUMMYFUNCTION("""COMPUTED_VALUE"""),"Cash")</f>
        <v>Cash</v>
      </c>
      <c r="E640" s="193">
        <f>IFERROR(__xludf.DUMMYFUNCTION("""COMPUTED_VALUE"""),44597.0)</f>
        <v>44597</v>
      </c>
      <c r="F640" s="5" t="str">
        <f>IFERROR(__xludf.DUMMYFUNCTION("""COMPUTED_VALUE"""),"Cash")</f>
        <v>Cash</v>
      </c>
      <c r="G640" s="5" t="str">
        <f>IFERROR(__xludf.DUMMYFUNCTION("""COMPUTED_VALUE"""),"HKD")</f>
        <v>HKD</v>
      </c>
      <c r="H640" s="22" t="str">
        <f>IFERROR(__xludf.DUMMYFUNCTION("""COMPUTED_VALUE"""),"")</f>
        <v/>
      </c>
      <c r="I640" s="194">
        <f>IFERROR(__xludf.DUMMYFUNCTION("""COMPUTED_VALUE"""),1.0)</f>
        <v>1</v>
      </c>
      <c r="J640" s="5">
        <f>IFERROR(__xludf.DUMMYFUNCTION("""COMPUTED_VALUE"""),1.0)</f>
        <v>1</v>
      </c>
      <c r="K640" s="5"/>
      <c r="L640" s="23">
        <f>IFERROR(__xludf.DUMMYFUNCTION("""COMPUTED_VALUE"""),1.0)</f>
        <v>1</v>
      </c>
      <c r="M640" s="25" t="str">
        <f>IFERROR(__xludf.DUMMYFUNCTION("""COMPUTED_VALUE"""),"")</f>
        <v/>
      </c>
      <c r="N640" s="5"/>
      <c r="O640" s="5"/>
      <c r="P640" s="142">
        <f>IFERROR(__xludf.DUMMYFUNCTION("""COMPUTED_VALUE"""),500000.0)</f>
        <v>500000</v>
      </c>
      <c r="Q640" s="5"/>
      <c r="R640" s="71">
        <f>IFERROR(__xludf.DUMMYFUNCTION("""COMPUTED_VALUE"""),1.0)</f>
        <v>1</v>
      </c>
      <c r="S640" s="142" t="str">
        <f>IFERROR(__xludf.DUMMYFUNCTION("""COMPUTED_VALUE"""),"")</f>
        <v/>
      </c>
      <c r="T640" s="5">
        <f>IFERROR(__xludf.DUMMYFUNCTION("""COMPUTED_VALUE"""),1.0)</f>
        <v>1</v>
      </c>
      <c r="U640" s="5">
        <f>IFERROR(__xludf.DUMMYFUNCTION("""COMPUTED_VALUE"""),1.0)</f>
        <v>1</v>
      </c>
      <c r="V640" s="22">
        <f>IFERROR(__xludf.DUMMYFUNCTION("""COMPUTED_VALUE"""),500000.0)</f>
        <v>500000</v>
      </c>
      <c r="W640" s="9" t="str">
        <f>IFERROR(__xludf.DUMMYFUNCTION("""COMPUTED_VALUE"""),"")</f>
        <v/>
      </c>
      <c r="X640" s="22" t="str">
        <f>IFERROR(__xludf.DUMMYFUNCTION("""COMPUTED_VALUE"""),"")</f>
        <v/>
      </c>
      <c r="Y640" s="22" t="str">
        <f>IFERROR(__xludf.DUMMYFUNCTION("""COMPUTED_VALUE"""),"")</f>
        <v/>
      </c>
      <c r="Z640" s="24" t="str">
        <f>IFERROR(__xludf.DUMMYFUNCTION("""COMPUTED_VALUE"""),"")</f>
        <v/>
      </c>
    </row>
    <row r="641">
      <c r="A641" s="5" t="str">
        <f>IFERROR(__xludf.DUMMYFUNCTION("""COMPUTED_VALUE"""),"")</f>
        <v/>
      </c>
      <c r="B641" s="5" t="str">
        <f>IFERROR(__xludf.DUMMYFUNCTION("""COMPUTED_VALUE"""),"46600")</f>
        <v>46600</v>
      </c>
      <c r="C641" s="9">
        <f>IFERROR(__xludf.DUMMYFUNCTION("""COMPUTED_VALUE"""),4.4635000572E10)</f>
        <v>44635000572</v>
      </c>
      <c r="D641" s="90" t="str">
        <f>IFERROR(__xludf.DUMMYFUNCTION("""COMPUTED_VALUE"""),"0700.HK")</f>
        <v>0700.HK</v>
      </c>
      <c r="E641" s="193">
        <f>IFERROR(__xludf.DUMMYFUNCTION("""COMPUTED_VALUE"""),44635.0)</f>
        <v>44635</v>
      </c>
      <c r="F641" s="5" t="str">
        <f>IFERROR(__xludf.DUMMYFUNCTION("""COMPUTED_VALUE"""),"Stock")</f>
        <v>Stock</v>
      </c>
      <c r="G641" s="5" t="str">
        <f>IFERROR(__xludf.DUMMYFUNCTION("""COMPUTED_VALUE"""),"HKD")</f>
        <v>HKD</v>
      </c>
      <c r="H641" s="22">
        <f>IFERROR(__xludf.DUMMYFUNCTION("""COMPUTED_VALUE"""),200.0)</f>
        <v>200</v>
      </c>
      <c r="I641" s="194">
        <f>IFERROR(__xludf.DUMMYFUNCTION("""COMPUTED_VALUE"""),1.0)</f>
        <v>1</v>
      </c>
      <c r="J641" s="23">
        <f>IFERROR(__xludf.DUMMYFUNCTION("""COMPUTED_VALUE"""),298.0)</f>
        <v>298</v>
      </c>
      <c r="K641" s="5"/>
      <c r="L641" s="23">
        <f>IFERROR(__xludf.DUMMYFUNCTION("""COMPUTED_VALUE"""),373.6)</f>
        <v>373.6</v>
      </c>
      <c r="M641" s="195" t="str">
        <f>IFERROR(__xludf.DUMMYFUNCTION("""COMPUTED_VALUE"""),"Equity Key Stats")</f>
        <v>Equity Key Stats</v>
      </c>
      <c r="N641" s="5"/>
      <c r="O641" s="5"/>
      <c r="P641" s="142">
        <f>IFERROR(__xludf.DUMMYFUNCTION("""COMPUTED_VALUE"""),-59600.0)</f>
        <v>-59600</v>
      </c>
      <c r="Q641" s="5"/>
      <c r="R641" s="71">
        <f>IFERROR(__xludf.DUMMYFUNCTION("""COMPUTED_VALUE"""),373.6)</f>
        <v>373.6</v>
      </c>
      <c r="S641" s="142">
        <f>IFERROR(__xludf.DUMMYFUNCTION("""COMPUTED_VALUE"""),74720.0)</f>
        <v>74720</v>
      </c>
      <c r="T641" s="5">
        <f>IFERROR(__xludf.DUMMYFUNCTION("""COMPUTED_VALUE"""),12.0)</f>
        <v>12</v>
      </c>
      <c r="U641" s="5" t="str">
        <f>IFERROR(__xludf.DUMMYFUNCTION("""COMPUTED_VALUE"""),"")</f>
        <v/>
      </c>
      <c r="V641" s="22" t="str">
        <f>IFERROR(__xludf.DUMMYFUNCTION("""COMPUTED_VALUE"""),"")</f>
        <v/>
      </c>
      <c r="W641" s="9" t="str">
        <f>IFERROR(__xludf.DUMMYFUNCTION("""COMPUTED_VALUE"""),"")</f>
        <v/>
      </c>
      <c r="X641" s="22" t="str">
        <f>IFERROR(__xludf.DUMMYFUNCTION("""COMPUTED_VALUE"""),"")</f>
        <v/>
      </c>
      <c r="Y641" s="22" t="str">
        <f>IFERROR(__xludf.DUMMYFUNCTION("""COMPUTED_VALUE"""),"")</f>
        <v/>
      </c>
      <c r="Z641" s="24" t="str">
        <f>IFERROR(__xludf.DUMMYFUNCTION("""COMPUTED_VALUE"""),"")</f>
        <v/>
      </c>
    </row>
    <row r="642">
      <c r="A642" s="5" t="str">
        <f>IFERROR(__xludf.DUMMYFUNCTION("""COMPUTED_VALUE"""),"")</f>
        <v/>
      </c>
      <c r="B642" s="5" t="str">
        <f>IFERROR(__xludf.DUMMYFUNCTION("""COMPUTED_VALUE"""),"46600")</f>
        <v>46600</v>
      </c>
      <c r="C642" s="9">
        <f>IFERROR(__xludf.DUMMYFUNCTION("""COMPUTED_VALUE"""),4.4637000668E10)</f>
        <v>44637000668</v>
      </c>
      <c r="D642" s="90" t="str">
        <f>IFERROR(__xludf.DUMMYFUNCTION("""COMPUTED_VALUE"""),"0700.HK")</f>
        <v>0700.HK</v>
      </c>
      <c r="E642" s="193">
        <f>IFERROR(__xludf.DUMMYFUNCTION("""COMPUTED_VALUE"""),44637.0)</f>
        <v>44637</v>
      </c>
      <c r="F642" s="5" t="str">
        <f>IFERROR(__xludf.DUMMYFUNCTION("""COMPUTED_VALUE"""),"Stock")</f>
        <v>Stock</v>
      </c>
      <c r="G642" s="5" t="str">
        <f>IFERROR(__xludf.DUMMYFUNCTION("""COMPUTED_VALUE"""),"HKD")</f>
        <v>HKD</v>
      </c>
      <c r="H642" s="22">
        <f>IFERROR(__xludf.DUMMYFUNCTION("""COMPUTED_VALUE"""),0.0)</f>
        <v>0</v>
      </c>
      <c r="I642" s="194">
        <f>IFERROR(__xludf.DUMMYFUNCTION("""COMPUTED_VALUE"""),1.0)</f>
        <v>1</v>
      </c>
      <c r="J642" s="23">
        <f>IFERROR(__xludf.DUMMYFUNCTION("""COMPUTED_VALUE"""),0.0)</f>
        <v>0</v>
      </c>
      <c r="K642" s="5"/>
      <c r="L642" s="23">
        <f>IFERROR(__xludf.DUMMYFUNCTION("""COMPUTED_VALUE"""),373.6)</f>
        <v>373.6</v>
      </c>
      <c r="M642" s="195" t="str">
        <f>IFERROR(__xludf.DUMMYFUNCTION("""COMPUTED_VALUE"""),"Equity Key Stats")</f>
        <v>Equity Key Stats</v>
      </c>
      <c r="N642" s="5"/>
      <c r="O642" s="5"/>
      <c r="P642" s="142">
        <f>IFERROR(__xludf.DUMMYFUNCTION("""COMPUTED_VALUE"""),0.0)</f>
        <v>0</v>
      </c>
      <c r="Q642" s="5"/>
      <c r="R642" s="71">
        <f>IFERROR(__xludf.DUMMYFUNCTION("""COMPUTED_VALUE"""),373.6)</f>
        <v>373.6</v>
      </c>
      <c r="S642" s="142">
        <f>IFERROR(__xludf.DUMMYFUNCTION("""COMPUTED_VALUE"""),0.0)</f>
        <v>0</v>
      </c>
      <c r="T642" s="5">
        <f>IFERROR(__xludf.DUMMYFUNCTION("""COMPUTED_VALUE"""),12.0)</f>
        <v>12</v>
      </c>
      <c r="U642" s="5" t="str">
        <f>IFERROR(__xludf.DUMMYFUNCTION("""COMPUTED_VALUE"""),"")</f>
        <v/>
      </c>
      <c r="V642" s="22" t="str">
        <f>IFERROR(__xludf.DUMMYFUNCTION("""COMPUTED_VALUE"""),"")</f>
        <v/>
      </c>
      <c r="W642" s="9" t="str">
        <f>IFERROR(__xludf.DUMMYFUNCTION("""COMPUTED_VALUE"""),"")</f>
        <v/>
      </c>
      <c r="X642" s="22" t="str">
        <f>IFERROR(__xludf.DUMMYFUNCTION("""COMPUTED_VALUE"""),"")</f>
        <v/>
      </c>
      <c r="Y642" s="22" t="str">
        <f>IFERROR(__xludf.DUMMYFUNCTION("""COMPUTED_VALUE"""),"")</f>
        <v/>
      </c>
      <c r="Z642" s="24" t="str">
        <f>IFERROR(__xludf.DUMMYFUNCTION("""COMPUTED_VALUE"""),"")</f>
        <v/>
      </c>
    </row>
    <row r="643">
      <c r="A643" s="5" t="str">
        <f>IFERROR(__xludf.DUMMYFUNCTION("""COMPUTED_VALUE"""),"")</f>
        <v/>
      </c>
      <c r="B643" s="5" t="str">
        <f>IFERROR(__xludf.DUMMYFUNCTION("""COMPUTED_VALUE"""),"46600")</f>
        <v>46600</v>
      </c>
      <c r="C643" s="9">
        <f>IFERROR(__xludf.DUMMYFUNCTION("""COMPUTED_VALUE"""),4.4638000675E10)</f>
        <v>44638000675</v>
      </c>
      <c r="D643" s="90" t="str">
        <f>IFERROR(__xludf.DUMMYFUNCTION("""COMPUTED_VALUE"""),"9988.HK")</f>
        <v>9988.HK</v>
      </c>
      <c r="E643" s="193">
        <f>IFERROR(__xludf.DUMMYFUNCTION("""COMPUTED_VALUE"""),44638.0)</f>
        <v>44638</v>
      </c>
      <c r="F643" s="5" t="str">
        <f>IFERROR(__xludf.DUMMYFUNCTION("""COMPUTED_VALUE"""),"Stock")</f>
        <v>Stock</v>
      </c>
      <c r="G643" s="5" t="str">
        <f>IFERROR(__xludf.DUMMYFUNCTION("""COMPUTED_VALUE"""),"HKD")</f>
        <v>HKD</v>
      </c>
      <c r="H643" s="22">
        <f>IFERROR(__xludf.DUMMYFUNCTION("""COMPUTED_VALUE"""),30.0)</f>
        <v>30</v>
      </c>
      <c r="I643" s="194">
        <f>IFERROR(__xludf.DUMMYFUNCTION("""COMPUTED_VALUE"""),1.0)</f>
        <v>1</v>
      </c>
      <c r="J643" s="23">
        <f>IFERROR(__xludf.DUMMYFUNCTION("""COMPUTED_VALUE"""),98.35)</f>
        <v>98.35</v>
      </c>
      <c r="K643" s="5"/>
      <c r="L643" s="23">
        <f>IFERROR(__xludf.DUMMYFUNCTION("""COMPUTED_VALUE"""),98.5)</f>
        <v>98.5</v>
      </c>
      <c r="M643" s="195" t="str">
        <f>IFERROR(__xludf.DUMMYFUNCTION("""COMPUTED_VALUE"""),"Equity Key Stats")</f>
        <v>Equity Key Stats</v>
      </c>
      <c r="N643" s="5"/>
      <c r="O643" s="5"/>
      <c r="P643" s="142">
        <f>IFERROR(__xludf.DUMMYFUNCTION("""COMPUTED_VALUE"""),-2950.5)</f>
        <v>-2950.5</v>
      </c>
      <c r="Q643" s="5"/>
      <c r="R643" s="71">
        <f>IFERROR(__xludf.DUMMYFUNCTION("""COMPUTED_VALUE"""),98.5)</f>
        <v>98.5</v>
      </c>
      <c r="S643" s="142">
        <f>IFERROR(__xludf.DUMMYFUNCTION("""COMPUTED_VALUE"""),2955.0)</f>
        <v>2955</v>
      </c>
      <c r="T643" s="5">
        <f>IFERROR(__xludf.DUMMYFUNCTION("""COMPUTED_VALUE"""),5.0)</f>
        <v>5</v>
      </c>
      <c r="U643" s="5" t="str">
        <f>IFERROR(__xludf.DUMMYFUNCTION("""COMPUTED_VALUE"""),"")</f>
        <v/>
      </c>
      <c r="V643" s="22" t="str">
        <f>IFERROR(__xludf.DUMMYFUNCTION("""COMPUTED_VALUE"""),"")</f>
        <v/>
      </c>
      <c r="W643" s="9" t="str">
        <f>IFERROR(__xludf.DUMMYFUNCTION("""COMPUTED_VALUE"""),"")</f>
        <v/>
      </c>
      <c r="X643" s="22" t="str">
        <f>IFERROR(__xludf.DUMMYFUNCTION("""COMPUTED_VALUE"""),"")</f>
        <v/>
      </c>
      <c r="Y643" s="22" t="str">
        <f>IFERROR(__xludf.DUMMYFUNCTION("""COMPUTED_VALUE"""),"")</f>
        <v/>
      </c>
      <c r="Z643" s="24" t="str">
        <f>IFERROR(__xludf.DUMMYFUNCTION("""COMPUTED_VALUE"""),"")</f>
        <v/>
      </c>
    </row>
    <row r="644">
      <c r="A644" s="5" t="str">
        <f>IFERROR(__xludf.DUMMYFUNCTION("""COMPUTED_VALUE"""),"")</f>
        <v/>
      </c>
      <c r="B644" s="5" t="str">
        <f>IFERROR(__xludf.DUMMYFUNCTION("""COMPUTED_VALUE"""),"46600")</f>
        <v>46600</v>
      </c>
      <c r="C644" s="9">
        <f>IFERROR(__xludf.DUMMYFUNCTION("""COMPUTED_VALUE"""),4.4638000692E10)</f>
        <v>44638000692</v>
      </c>
      <c r="D644" s="90" t="str">
        <f>IFERROR(__xludf.DUMMYFUNCTION("""COMPUTED_VALUE"""),"0700.HK")</f>
        <v>0700.HK</v>
      </c>
      <c r="E644" s="193">
        <f>IFERROR(__xludf.DUMMYFUNCTION("""COMPUTED_VALUE"""),44638.0)</f>
        <v>44638</v>
      </c>
      <c r="F644" s="5" t="str">
        <f>IFERROR(__xludf.DUMMYFUNCTION("""COMPUTED_VALUE"""),"Stock")</f>
        <v>Stock</v>
      </c>
      <c r="G644" s="5" t="str">
        <f>IFERROR(__xludf.DUMMYFUNCTION("""COMPUTED_VALUE"""),"HKD")</f>
        <v>HKD</v>
      </c>
      <c r="H644" s="22">
        <f>IFERROR(__xludf.DUMMYFUNCTION("""COMPUTED_VALUE"""),50.0)</f>
        <v>50</v>
      </c>
      <c r="I644" s="194">
        <f>IFERROR(__xludf.DUMMYFUNCTION("""COMPUTED_VALUE"""),1.0)</f>
        <v>1</v>
      </c>
      <c r="J644" s="23">
        <f>IFERROR(__xludf.DUMMYFUNCTION("""COMPUTED_VALUE"""),381.0)</f>
        <v>381</v>
      </c>
      <c r="K644" s="5"/>
      <c r="L644" s="23">
        <f>IFERROR(__xludf.DUMMYFUNCTION("""COMPUTED_VALUE"""),373.6)</f>
        <v>373.6</v>
      </c>
      <c r="M644" s="195" t="str">
        <f>IFERROR(__xludf.DUMMYFUNCTION("""COMPUTED_VALUE"""),"Equity Key Stats")</f>
        <v>Equity Key Stats</v>
      </c>
      <c r="N644" s="5"/>
      <c r="O644" s="5"/>
      <c r="P644" s="142">
        <f>IFERROR(__xludf.DUMMYFUNCTION("""COMPUTED_VALUE"""),-19050.0)</f>
        <v>-19050</v>
      </c>
      <c r="Q644" s="5"/>
      <c r="R644" s="71">
        <f>IFERROR(__xludf.DUMMYFUNCTION("""COMPUTED_VALUE"""),373.6)</f>
        <v>373.6</v>
      </c>
      <c r="S644" s="142">
        <f>IFERROR(__xludf.DUMMYFUNCTION("""COMPUTED_VALUE"""),18680.0)</f>
        <v>18680</v>
      </c>
      <c r="T644" s="5">
        <f>IFERROR(__xludf.DUMMYFUNCTION("""COMPUTED_VALUE"""),12.0)</f>
        <v>12</v>
      </c>
      <c r="U644" s="5" t="str">
        <f>IFERROR(__xludf.DUMMYFUNCTION("""COMPUTED_VALUE"""),"")</f>
        <v/>
      </c>
      <c r="V644" s="22" t="str">
        <f>IFERROR(__xludf.DUMMYFUNCTION("""COMPUTED_VALUE"""),"")</f>
        <v/>
      </c>
      <c r="W644" s="9" t="str">
        <f>IFERROR(__xludf.DUMMYFUNCTION("""COMPUTED_VALUE"""),"")</f>
        <v/>
      </c>
      <c r="X644" s="22" t="str">
        <f>IFERROR(__xludf.DUMMYFUNCTION("""COMPUTED_VALUE"""),"")</f>
        <v/>
      </c>
      <c r="Y644" s="22" t="str">
        <f>IFERROR(__xludf.DUMMYFUNCTION("""COMPUTED_VALUE"""),"")</f>
        <v/>
      </c>
      <c r="Z644" s="24" t="str">
        <f>IFERROR(__xludf.DUMMYFUNCTION("""COMPUTED_VALUE"""),"")</f>
        <v/>
      </c>
    </row>
    <row r="645">
      <c r="A645" s="5" t="str">
        <f>IFERROR(__xludf.DUMMYFUNCTION("""COMPUTED_VALUE"""),"")</f>
        <v/>
      </c>
      <c r="B645" s="5" t="str">
        <f>IFERROR(__xludf.DUMMYFUNCTION("""COMPUTED_VALUE"""),"46600")</f>
        <v>46600</v>
      </c>
      <c r="C645" s="9">
        <f>IFERROR(__xludf.DUMMYFUNCTION("""COMPUTED_VALUE"""),4.4641000705E10)</f>
        <v>44641000705</v>
      </c>
      <c r="D645" s="90" t="str">
        <f>IFERROR(__xludf.DUMMYFUNCTION("""COMPUTED_VALUE"""),"9988.HK")</f>
        <v>9988.HK</v>
      </c>
      <c r="E645" s="193">
        <f>IFERROR(__xludf.DUMMYFUNCTION("""COMPUTED_VALUE"""),44641.0)</f>
        <v>44641</v>
      </c>
      <c r="F645" s="5" t="str">
        <f>IFERROR(__xludf.DUMMYFUNCTION("""COMPUTED_VALUE"""),"Stock")</f>
        <v>Stock</v>
      </c>
      <c r="G645" s="5" t="str">
        <f>IFERROR(__xludf.DUMMYFUNCTION("""COMPUTED_VALUE"""),"HKD")</f>
        <v>HKD</v>
      </c>
      <c r="H645" s="22">
        <f>IFERROR(__xludf.DUMMYFUNCTION("""COMPUTED_VALUE"""),100.0)</f>
        <v>100</v>
      </c>
      <c r="I645" s="194">
        <f>IFERROR(__xludf.DUMMYFUNCTION("""COMPUTED_VALUE"""),1.0)</f>
        <v>1</v>
      </c>
      <c r="J645" s="23">
        <f>IFERROR(__xludf.DUMMYFUNCTION("""COMPUTED_VALUE"""),99.1)</f>
        <v>99.1</v>
      </c>
      <c r="K645" s="5"/>
      <c r="L645" s="23">
        <f>IFERROR(__xludf.DUMMYFUNCTION("""COMPUTED_VALUE"""),98.5)</f>
        <v>98.5</v>
      </c>
      <c r="M645" s="195" t="str">
        <f>IFERROR(__xludf.DUMMYFUNCTION("""COMPUTED_VALUE"""),"Equity Key Stats")</f>
        <v>Equity Key Stats</v>
      </c>
      <c r="N645" s="5"/>
      <c r="O645" s="5"/>
      <c r="P645" s="142">
        <f>IFERROR(__xludf.DUMMYFUNCTION("""COMPUTED_VALUE"""),-9910.0)</f>
        <v>-9910</v>
      </c>
      <c r="Q645" s="5"/>
      <c r="R645" s="71">
        <f>IFERROR(__xludf.DUMMYFUNCTION("""COMPUTED_VALUE"""),98.5)</f>
        <v>98.5</v>
      </c>
      <c r="S645" s="142">
        <f>IFERROR(__xludf.DUMMYFUNCTION("""COMPUTED_VALUE"""),9850.0)</f>
        <v>9850</v>
      </c>
      <c r="T645" s="5">
        <f>IFERROR(__xludf.DUMMYFUNCTION("""COMPUTED_VALUE"""),5.0)</f>
        <v>5</v>
      </c>
      <c r="U645" s="5" t="str">
        <f>IFERROR(__xludf.DUMMYFUNCTION("""COMPUTED_VALUE"""),"")</f>
        <v/>
      </c>
      <c r="V645" s="22" t="str">
        <f>IFERROR(__xludf.DUMMYFUNCTION("""COMPUTED_VALUE"""),"")</f>
        <v/>
      </c>
      <c r="W645" s="9" t="str">
        <f>IFERROR(__xludf.DUMMYFUNCTION("""COMPUTED_VALUE"""),"")</f>
        <v/>
      </c>
      <c r="X645" s="22" t="str">
        <f>IFERROR(__xludf.DUMMYFUNCTION("""COMPUTED_VALUE"""),"")</f>
        <v/>
      </c>
      <c r="Y645" s="22" t="str">
        <f>IFERROR(__xludf.DUMMYFUNCTION("""COMPUTED_VALUE"""),"")</f>
        <v/>
      </c>
      <c r="Z645" s="24" t="str">
        <f>IFERROR(__xludf.DUMMYFUNCTION("""COMPUTED_VALUE"""),"")</f>
        <v/>
      </c>
    </row>
    <row r="646">
      <c r="A646" s="5" t="str">
        <f>IFERROR(__xludf.DUMMYFUNCTION("""COMPUTED_VALUE"""),"")</f>
        <v/>
      </c>
      <c r="B646" s="5" t="str">
        <f>IFERROR(__xludf.DUMMYFUNCTION("""COMPUTED_VALUE"""),"46600")</f>
        <v>46600</v>
      </c>
      <c r="C646" s="9">
        <f>IFERROR(__xludf.DUMMYFUNCTION("""COMPUTED_VALUE"""),4.4643000807E10)</f>
        <v>44643000807</v>
      </c>
      <c r="D646" s="90" t="str">
        <f>IFERROR(__xludf.DUMMYFUNCTION("""COMPUTED_VALUE"""),"9988.HK")</f>
        <v>9988.HK</v>
      </c>
      <c r="E646" s="193">
        <f>IFERROR(__xludf.DUMMYFUNCTION("""COMPUTED_VALUE"""),44643.0)</f>
        <v>44643</v>
      </c>
      <c r="F646" s="5" t="str">
        <f>IFERROR(__xludf.DUMMYFUNCTION("""COMPUTED_VALUE"""),"Stock")</f>
        <v>Stock</v>
      </c>
      <c r="G646" s="5" t="str">
        <f>IFERROR(__xludf.DUMMYFUNCTION("""COMPUTED_VALUE"""),"HKD")</f>
        <v>HKD</v>
      </c>
      <c r="H646" s="22">
        <f>IFERROR(__xludf.DUMMYFUNCTION("""COMPUTED_VALUE"""),-130.0)</f>
        <v>-130</v>
      </c>
      <c r="I646" s="194">
        <f>IFERROR(__xludf.DUMMYFUNCTION("""COMPUTED_VALUE"""),1.0)</f>
        <v>1</v>
      </c>
      <c r="J646" s="23">
        <f>IFERROR(__xludf.DUMMYFUNCTION("""COMPUTED_VALUE"""),117.6)</f>
        <v>117.6</v>
      </c>
      <c r="K646" s="5"/>
      <c r="L646" s="23">
        <f>IFERROR(__xludf.DUMMYFUNCTION("""COMPUTED_VALUE"""),98.5)</f>
        <v>98.5</v>
      </c>
      <c r="M646" s="195" t="str">
        <f>IFERROR(__xludf.DUMMYFUNCTION("""COMPUTED_VALUE"""),"Equity Key Stats")</f>
        <v>Equity Key Stats</v>
      </c>
      <c r="N646" s="5"/>
      <c r="O646" s="5"/>
      <c r="P646" s="142">
        <f>IFERROR(__xludf.DUMMYFUNCTION("""COMPUTED_VALUE"""),15288.0)</f>
        <v>15288</v>
      </c>
      <c r="Q646" s="5"/>
      <c r="R646" s="71">
        <f>IFERROR(__xludf.DUMMYFUNCTION("""COMPUTED_VALUE"""),98.5)</f>
        <v>98.5</v>
      </c>
      <c r="S646" s="142">
        <f>IFERROR(__xludf.DUMMYFUNCTION("""COMPUTED_VALUE"""),-12805.0)</f>
        <v>-12805</v>
      </c>
      <c r="T646" s="5">
        <f>IFERROR(__xludf.DUMMYFUNCTION("""COMPUTED_VALUE"""),5.0)</f>
        <v>5</v>
      </c>
      <c r="U646" s="5" t="str">
        <f>IFERROR(__xludf.DUMMYFUNCTION("""COMPUTED_VALUE"""),"")</f>
        <v/>
      </c>
      <c r="V646" s="22" t="str">
        <f>IFERROR(__xludf.DUMMYFUNCTION("""COMPUTED_VALUE"""),"")</f>
        <v/>
      </c>
      <c r="W646" s="9" t="str">
        <f>IFERROR(__xludf.DUMMYFUNCTION("""COMPUTED_VALUE"""),"")</f>
        <v/>
      </c>
      <c r="X646" s="22" t="str">
        <f>IFERROR(__xludf.DUMMYFUNCTION("""COMPUTED_VALUE"""),"")</f>
        <v/>
      </c>
      <c r="Y646" s="22" t="str">
        <f>IFERROR(__xludf.DUMMYFUNCTION("""COMPUTED_VALUE"""),"")</f>
        <v/>
      </c>
      <c r="Z646" s="24" t="str">
        <f>IFERROR(__xludf.DUMMYFUNCTION("""COMPUTED_VALUE"""),"")</f>
        <v/>
      </c>
    </row>
    <row r="647">
      <c r="A647" s="5" t="str">
        <f>IFERROR(__xludf.DUMMYFUNCTION("""COMPUTED_VALUE"""),"")</f>
        <v/>
      </c>
      <c r="B647" s="5" t="str">
        <f>IFERROR(__xludf.DUMMYFUNCTION("""COMPUTED_VALUE"""),"46600")</f>
        <v>46600</v>
      </c>
      <c r="C647" s="9">
        <f>IFERROR(__xludf.DUMMYFUNCTION("""COMPUTED_VALUE"""),4.4643000808E10)</f>
        <v>44643000808</v>
      </c>
      <c r="D647" s="90" t="str">
        <f>IFERROR(__xludf.DUMMYFUNCTION("""COMPUTED_VALUE"""),"0700.HK")</f>
        <v>0700.HK</v>
      </c>
      <c r="E647" s="193">
        <f>IFERROR(__xludf.DUMMYFUNCTION("""COMPUTED_VALUE"""),44643.0)</f>
        <v>44643</v>
      </c>
      <c r="F647" s="5" t="str">
        <f>IFERROR(__xludf.DUMMYFUNCTION("""COMPUTED_VALUE"""),"Stock")</f>
        <v>Stock</v>
      </c>
      <c r="G647" s="5" t="str">
        <f>IFERROR(__xludf.DUMMYFUNCTION("""COMPUTED_VALUE"""),"HKD")</f>
        <v>HKD</v>
      </c>
      <c r="H647" s="22">
        <f>IFERROR(__xludf.DUMMYFUNCTION("""COMPUTED_VALUE"""),-250.0)</f>
        <v>-250</v>
      </c>
      <c r="I647" s="194">
        <f>IFERROR(__xludf.DUMMYFUNCTION("""COMPUTED_VALUE"""),1.0)</f>
        <v>1</v>
      </c>
      <c r="J647" s="23">
        <f>IFERROR(__xludf.DUMMYFUNCTION("""COMPUTED_VALUE"""),389.0)</f>
        <v>389</v>
      </c>
      <c r="K647" s="5"/>
      <c r="L647" s="23">
        <f>IFERROR(__xludf.DUMMYFUNCTION("""COMPUTED_VALUE"""),373.6)</f>
        <v>373.6</v>
      </c>
      <c r="M647" s="195" t="str">
        <f>IFERROR(__xludf.DUMMYFUNCTION("""COMPUTED_VALUE"""),"Equity Key Stats")</f>
        <v>Equity Key Stats</v>
      </c>
      <c r="N647" s="5"/>
      <c r="O647" s="5"/>
      <c r="P647" s="142">
        <f>IFERROR(__xludf.DUMMYFUNCTION("""COMPUTED_VALUE"""),97250.0)</f>
        <v>97250</v>
      </c>
      <c r="Q647" s="5"/>
      <c r="R647" s="71">
        <f>IFERROR(__xludf.DUMMYFUNCTION("""COMPUTED_VALUE"""),373.6)</f>
        <v>373.6</v>
      </c>
      <c r="S647" s="142">
        <f>IFERROR(__xludf.DUMMYFUNCTION("""COMPUTED_VALUE"""),-93400.0)</f>
        <v>-93400</v>
      </c>
      <c r="T647" s="5">
        <f>IFERROR(__xludf.DUMMYFUNCTION("""COMPUTED_VALUE"""),12.0)</f>
        <v>12</v>
      </c>
      <c r="U647" s="5" t="str">
        <f>IFERROR(__xludf.DUMMYFUNCTION("""COMPUTED_VALUE"""),"")</f>
        <v/>
      </c>
      <c r="V647" s="22" t="str">
        <f>IFERROR(__xludf.DUMMYFUNCTION("""COMPUTED_VALUE"""),"")</f>
        <v/>
      </c>
      <c r="W647" s="9" t="str">
        <f>IFERROR(__xludf.DUMMYFUNCTION("""COMPUTED_VALUE"""),"")</f>
        <v/>
      </c>
      <c r="X647" s="22" t="str">
        <f>IFERROR(__xludf.DUMMYFUNCTION("""COMPUTED_VALUE"""),"")</f>
        <v/>
      </c>
      <c r="Y647" s="22" t="str">
        <f>IFERROR(__xludf.DUMMYFUNCTION("""COMPUTED_VALUE"""),"")</f>
        <v/>
      </c>
      <c r="Z647" s="24" t="str">
        <f>IFERROR(__xludf.DUMMYFUNCTION("""COMPUTED_VALUE"""),"")</f>
        <v/>
      </c>
    </row>
    <row r="648">
      <c r="A648" s="5" t="str">
        <f>IFERROR(__xludf.DUMMYFUNCTION("""COMPUTED_VALUE"""),"")</f>
        <v/>
      </c>
      <c r="B648" s="5" t="str">
        <f>IFERROR(__xludf.DUMMYFUNCTION("""COMPUTED_VALUE"""),"46600")</f>
        <v>46600</v>
      </c>
      <c r="C648" s="9">
        <f>IFERROR(__xludf.DUMMYFUNCTION("""COMPUTED_VALUE"""),4.464300081E10)</f>
        <v>44643000810</v>
      </c>
      <c r="D648" s="90" t="str">
        <f>IFERROR(__xludf.DUMMYFUNCTION("""COMPUTED_VALUE"""),"1810.HK")</f>
        <v>1810.HK</v>
      </c>
      <c r="E648" s="193">
        <f>IFERROR(__xludf.DUMMYFUNCTION("""COMPUTED_VALUE"""),44643.0)</f>
        <v>44643</v>
      </c>
      <c r="F648" s="5" t="str">
        <f>IFERROR(__xludf.DUMMYFUNCTION("""COMPUTED_VALUE"""),"Stock")</f>
        <v>Stock</v>
      </c>
      <c r="G648" s="5" t="str">
        <f>IFERROR(__xludf.DUMMYFUNCTION("""COMPUTED_VALUE"""),"HKD")</f>
        <v>HKD</v>
      </c>
      <c r="H648" s="22">
        <f>IFERROR(__xludf.DUMMYFUNCTION("""COMPUTED_VALUE"""),300.0)</f>
        <v>300</v>
      </c>
      <c r="I648" s="194">
        <f>IFERROR(__xludf.DUMMYFUNCTION("""COMPUTED_VALUE"""),1.0)</f>
        <v>1</v>
      </c>
      <c r="J648" s="23">
        <f>IFERROR(__xludf.DUMMYFUNCTION("""COMPUTED_VALUE"""),14.78)</f>
        <v>14.78</v>
      </c>
      <c r="K648" s="5"/>
      <c r="L648" s="23">
        <f>IFERROR(__xludf.DUMMYFUNCTION("""COMPUTED_VALUE"""),12.36)</f>
        <v>12.36</v>
      </c>
      <c r="M648" s="195" t="str">
        <f>IFERROR(__xludf.DUMMYFUNCTION("""COMPUTED_VALUE"""),"Equity Key Stats")</f>
        <v>Equity Key Stats</v>
      </c>
      <c r="N648" s="5"/>
      <c r="O648" s="5"/>
      <c r="P648" s="142">
        <f>IFERROR(__xludf.DUMMYFUNCTION("""COMPUTED_VALUE"""),-4434.0)</f>
        <v>-4434</v>
      </c>
      <c r="Q648" s="5"/>
      <c r="R648" s="71">
        <f>IFERROR(__xludf.DUMMYFUNCTION("""COMPUTED_VALUE"""),12.36)</f>
        <v>12.36</v>
      </c>
      <c r="S648" s="142">
        <f>IFERROR(__xludf.DUMMYFUNCTION("""COMPUTED_VALUE"""),3708.0)</f>
        <v>3708</v>
      </c>
      <c r="T648" s="5">
        <f>IFERROR(__xludf.DUMMYFUNCTION("""COMPUTED_VALUE"""),1.0)</f>
        <v>1</v>
      </c>
      <c r="U648" s="5">
        <f>IFERROR(__xludf.DUMMYFUNCTION("""COMPUTED_VALUE"""),1.0)</f>
        <v>1</v>
      </c>
      <c r="V648" s="22">
        <f>IFERROR(__xludf.DUMMYFUNCTION("""COMPUTED_VALUE"""),-726.0)</f>
        <v>-726</v>
      </c>
      <c r="W648" s="9" t="str">
        <f>IFERROR(__xludf.DUMMYFUNCTION("""COMPUTED_VALUE"""),"")</f>
        <v/>
      </c>
      <c r="X648" s="22" t="str">
        <f>IFERROR(__xludf.DUMMYFUNCTION("""COMPUTED_VALUE"""),"")</f>
        <v/>
      </c>
      <c r="Y648" s="22" t="str">
        <f>IFERROR(__xludf.DUMMYFUNCTION("""COMPUTED_VALUE"""),"")</f>
        <v/>
      </c>
      <c r="Z648" s="24" t="str">
        <f>IFERROR(__xludf.DUMMYFUNCTION("""COMPUTED_VALUE"""),"")</f>
        <v/>
      </c>
    </row>
    <row r="649">
      <c r="A649" s="5" t="str">
        <f>IFERROR(__xludf.DUMMYFUNCTION("""COMPUTED_VALUE"""),"")</f>
        <v/>
      </c>
      <c r="B649" s="5" t="str">
        <f>IFERROR(__xludf.DUMMYFUNCTION("""COMPUTED_VALUE"""),"46600")</f>
        <v>46600</v>
      </c>
      <c r="C649" s="9">
        <f>IFERROR(__xludf.DUMMYFUNCTION("""COMPUTED_VALUE"""),4.4643000811E10)</f>
        <v>44643000811</v>
      </c>
      <c r="D649" s="90" t="str">
        <f>IFERROR(__xludf.DUMMYFUNCTION("""COMPUTED_VALUE"""),"1299.HK")</f>
        <v>1299.HK</v>
      </c>
      <c r="E649" s="193">
        <f>IFERROR(__xludf.DUMMYFUNCTION("""COMPUTED_VALUE"""),44643.0)</f>
        <v>44643</v>
      </c>
      <c r="F649" s="5" t="str">
        <f>IFERROR(__xludf.DUMMYFUNCTION("""COMPUTED_VALUE"""),"Stock")</f>
        <v>Stock</v>
      </c>
      <c r="G649" s="5" t="str">
        <f>IFERROR(__xludf.DUMMYFUNCTION("""COMPUTED_VALUE"""),"HKD")</f>
        <v>HKD</v>
      </c>
      <c r="H649" s="22">
        <f>IFERROR(__xludf.DUMMYFUNCTION("""COMPUTED_VALUE"""),200.0)</f>
        <v>200</v>
      </c>
      <c r="I649" s="194">
        <f>IFERROR(__xludf.DUMMYFUNCTION("""COMPUTED_VALUE"""),1.0)</f>
        <v>1</v>
      </c>
      <c r="J649" s="23">
        <f>IFERROR(__xludf.DUMMYFUNCTION("""COMPUTED_VALUE"""),83.25)</f>
        <v>83.25</v>
      </c>
      <c r="K649" s="5"/>
      <c r="L649" s="23">
        <f>IFERROR(__xludf.DUMMYFUNCTION("""COMPUTED_VALUE"""),80.15)</f>
        <v>80.15</v>
      </c>
      <c r="M649" s="195" t="str">
        <f>IFERROR(__xludf.DUMMYFUNCTION("""COMPUTED_VALUE"""),"Equity Key Stats")</f>
        <v>Equity Key Stats</v>
      </c>
      <c r="N649" s="5"/>
      <c r="O649" s="5"/>
      <c r="P649" s="142">
        <f>IFERROR(__xludf.DUMMYFUNCTION("""COMPUTED_VALUE"""),-16650.0)</f>
        <v>-16650</v>
      </c>
      <c r="Q649" s="5"/>
      <c r="R649" s="71">
        <f>IFERROR(__xludf.DUMMYFUNCTION("""COMPUTED_VALUE"""),80.15)</f>
        <v>80.15</v>
      </c>
      <c r="S649" s="142">
        <f>IFERROR(__xludf.DUMMYFUNCTION("""COMPUTED_VALUE"""),16030.000000000002)</f>
        <v>16030</v>
      </c>
      <c r="T649" s="5">
        <f>IFERROR(__xludf.DUMMYFUNCTION("""COMPUTED_VALUE"""),1.0)</f>
        <v>1</v>
      </c>
      <c r="U649" s="5">
        <f>IFERROR(__xludf.DUMMYFUNCTION("""COMPUTED_VALUE"""),1.0)</f>
        <v>1</v>
      </c>
      <c r="V649" s="22">
        <f>IFERROR(__xludf.DUMMYFUNCTION("""COMPUTED_VALUE"""),-619.9999999999982)</f>
        <v>-620</v>
      </c>
      <c r="W649" s="9" t="str">
        <f>IFERROR(__xludf.DUMMYFUNCTION("""COMPUTED_VALUE"""),"")</f>
        <v/>
      </c>
      <c r="X649" s="22" t="str">
        <f>IFERROR(__xludf.DUMMYFUNCTION("""COMPUTED_VALUE"""),"")</f>
        <v/>
      </c>
      <c r="Y649" s="22" t="str">
        <f>IFERROR(__xludf.DUMMYFUNCTION("""COMPUTED_VALUE"""),"")</f>
        <v/>
      </c>
      <c r="Z649" s="24" t="str">
        <f>IFERROR(__xludf.DUMMYFUNCTION("""COMPUTED_VALUE"""),"")</f>
        <v/>
      </c>
    </row>
    <row r="650">
      <c r="A650" s="5" t="str">
        <f>IFERROR(__xludf.DUMMYFUNCTION("""COMPUTED_VALUE"""),"")</f>
        <v/>
      </c>
      <c r="B650" s="5" t="str">
        <f>IFERROR(__xludf.DUMMYFUNCTION("""COMPUTED_VALUE"""),"46600")</f>
        <v>46600</v>
      </c>
      <c r="C650" s="9">
        <f>IFERROR(__xludf.DUMMYFUNCTION("""COMPUTED_VALUE"""),4.4644000857E10)</f>
        <v>44644000857</v>
      </c>
      <c r="D650" s="90" t="str">
        <f>IFERROR(__xludf.DUMMYFUNCTION("""COMPUTED_VALUE"""),"9988.HK")</f>
        <v>9988.HK</v>
      </c>
      <c r="E650" s="193">
        <f>IFERROR(__xludf.DUMMYFUNCTION("""COMPUTED_VALUE"""),44644.0)</f>
        <v>44644</v>
      </c>
      <c r="F650" s="5" t="str">
        <f>IFERROR(__xludf.DUMMYFUNCTION("""COMPUTED_VALUE"""),"Stock")</f>
        <v>Stock</v>
      </c>
      <c r="G650" s="5" t="str">
        <f>IFERROR(__xludf.DUMMYFUNCTION("""COMPUTED_VALUE"""),"HKD")</f>
        <v>HKD</v>
      </c>
      <c r="H650" s="22">
        <f>IFERROR(__xludf.DUMMYFUNCTION("""COMPUTED_VALUE"""),150.0)</f>
        <v>150</v>
      </c>
      <c r="I650" s="194">
        <f>IFERROR(__xludf.DUMMYFUNCTION("""COMPUTED_VALUE"""),1.0)</f>
        <v>1</v>
      </c>
      <c r="J650" s="23">
        <f>IFERROR(__xludf.DUMMYFUNCTION("""COMPUTED_VALUE"""),113.8)</f>
        <v>113.8</v>
      </c>
      <c r="K650" s="5"/>
      <c r="L650" s="23">
        <f>IFERROR(__xludf.DUMMYFUNCTION("""COMPUTED_VALUE"""),98.5)</f>
        <v>98.5</v>
      </c>
      <c r="M650" s="195" t="str">
        <f>IFERROR(__xludf.DUMMYFUNCTION("""COMPUTED_VALUE"""),"Equity Key Stats")</f>
        <v>Equity Key Stats</v>
      </c>
      <c r="N650" s="5"/>
      <c r="O650" s="5"/>
      <c r="P650" s="142">
        <f>IFERROR(__xludf.DUMMYFUNCTION("""COMPUTED_VALUE"""),-17070.0)</f>
        <v>-17070</v>
      </c>
      <c r="Q650" s="5"/>
      <c r="R650" s="71">
        <f>IFERROR(__xludf.DUMMYFUNCTION("""COMPUTED_VALUE"""),98.5)</f>
        <v>98.5</v>
      </c>
      <c r="S650" s="142">
        <f>IFERROR(__xludf.DUMMYFUNCTION("""COMPUTED_VALUE"""),14775.0)</f>
        <v>14775</v>
      </c>
      <c r="T650" s="5">
        <f>IFERROR(__xludf.DUMMYFUNCTION("""COMPUTED_VALUE"""),5.0)</f>
        <v>5</v>
      </c>
      <c r="U650" s="5" t="str">
        <f>IFERROR(__xludf.DUMMYFUNCTION("""COMPUTED_VALUE"""),"")</f>
        <v/>
      </c>
      <c r="V650" s="22" t="str">
        <f>IFERROR(__xludf.DUMMYFUNCTION("""COMPUTED_VALUE"""),"")</f>
        <v/>
      </c>
      <c r="W650" s="9" t="str">
        <f>IFERROR(__xludf.DUMMYFUNCTION("""COMPUTED_VALUE"""),"")</f>
        <v/>
      </c>
      <c r="X650" s="22" t="str">
        <f>IFERROR(__xludf.DUMMYFUNCTION("""COMPUTED_VALUE"""),"")</f>
        <v/>
      </c>
      <c r="Y650" s="22" t="str">
        <f>IFERROR(__xludf.DUMMYFUNCTION("""COMPUTED_VALUE"""),"")</f>
        <v/>
      </c>
      <c r="Z650" s="24" t="str">
        <f>IFERROR(__xludf.DUMMYFUNCTION("""COMPUTED_VALUE"""),"")</f>
        <v/>
      </c>
    </row>
    <row r="651">
      <c r="A651" s="5" t="str">
        <f>IFERROR(__xludf.DUMMYFUNCTION("""COMPUTED_VALUE"""),"")</f>
        <v/>
      </c>
      <c r="B651" s="5" t="str">
        <f>IFERROR(__xludf.DUMMYFUNCTION("""COMPUTED_VALUE"""),"46600")</f>
        <v>46600</v>
      </c>
      <c r="C651" s="9">
        <f>IFERROR(__xludf.DUMMYFUNCTION("""COMPUTED_VALUE"""),4.4644000858E10)</f>
        <v>44644000858</v>
      </c>
      <c r="D651" s="90" t="str">
        <f>IFERROR(__xludf.DUMMYFUNCTION("""COMPUTED_VALUE"""),"0700.HK")</f>
        <v>0700.HK</v>
      </c>
      <c r="E651" s="193">
        <f>IFERROR(__xludf.DUMMYFUNCTION("""COMPUTED_VALUE"""),44644.0)</f>
        <v>44644</v>
      </c>
      <c r="F651" s="5" t="str">
        <f>IFERROR(__xludf.DUMMYFUNCTION("""COMPUTED_VALUE"""),"Stock")</f>
        <v>Stock</v>
      </c>
      <c r="G651" s="5" t="str">
        <f>IFERROR(__xludf.DUMMYFUNCTION("""COMPUTED_VALUE"""),"HKD")</f>
        <v>HKD</v>
      </c>
      <c r="H651" s="22">
        <f>IFERROR(__xludf.DUMMYFUNCTION("""COMPUTED_VALUE"""),300.0)</f>
        <v>300</v>
      </c>
      <c r="I651" s="194">
        <f>IFERROR(__xludf.DUMMYFUNCTION("""COMPUTED_VALUE"""),1.0)</f>
        <v>1</v>
      </c>
      <c r="J651" s="23">
        <f>IFERROR(__xludf.DUMMYFUNCTION("""COMPUTED_VALUE"""),366.0)</f>
        <v>366</v>
      </c>
      <c r="K651" s="5"/>
      <c r="L651" s="23">
        <f>IFERROR(__xludf.DUMMYFUNCTION("""COMPUTED_VALUE"""),373.6)</f>
        <v>373.6</v>
      </c>
      <c r="M651" s="195" t="str">
        <f>IFERROR(__xludf.DUMMYFUNCTION("""COMPUTED_VALUE"""),"Equity Key Stats")</f>
        <v>Equity Key Stats</v>
      </c>
      <c r="N651" s="5"/>
      <c r="O651" s="5"/>
      <c r="P651" s="142">
        <f>IFERROR(__xludf.DUMMYFUNCTION("""COMPUTED_VALUE"""),-109800.0)</f>
        <v>-109800</v>
      </c>
      <c r="Q651" s="5"/>
      <c r="R651" s="71">
        <f>IFERROR(__xludf.DUMMYFUNCTION("""COMPUTED_VALUE"""),373.6)</f>
        <v>373.6</v>
      </c>
      <c r="S651" s="142">
        <f>IFERROR(__xludf.DUMMYFUNCTION("""COMPUTED_VALUE"""),112080.0)</f>
        <v>112080</v>
      </c>
      <c r="T651" s="5">
        <f>IFERROR(__xludf.DUMMYFUNCTION("""COMPUTED_VALUE"""),12.0)</f>
        <v>12</v>
      </c>
      <c r="U651" s="5" t="str">
        <f>IFERROR(__xludf.DUMMYFUNCTION("""COMPUTED_VALUE"""),"")</f>
        <v/>
      </c>
      <c r="V651" s="22" t="str">
        <f>IFERROR(__xludf.DUMMYFUNCTION("""COMPUTED_VALUE"""),"")</f>
        <v/>
      </c>
      <c r="W651" s="9" t="str">
        <f>IFERROR(__xludf.DUMMYFUNCTION("""COMPUTED_VALUE"""),"")</f>
        <v/>
      </c>
      <c r="X651" s="22" t="str">
        <f>IFERROR(__xludf.DUMMYFUNCTION("""COMPUTED_VALUE"""),"")</f>
        <v/>
      </c>
      <c r="Y651" s="22" t="str">
        <f>IFERROR(__xludf.DUMMYFUNCTION("""COMPUTED_VALUE"""),"")</f>
        <v/>
      </c>
      <c r="Z651" s="24" t="str">
        <f>IFERROR(__xludf.DUMMYFUNCTION("""COMPUTED_VALUE"""),"")</f>
        <v/>
      </c>
    </row>
    <row r="652">
      <c r="A652" s="5" t="str">
        <f>IFERROR(__xludf.DUMMYFUNCTION("""COMPUTED_VALUE"""),"")</f>
        <v/>
      </c>
      <c r="B652" s="5" t="str">
        <f>IFERROR(__xludf.DUMMYFUNCTION("""COMPUTED_VALUE"""),"46600")</f>
        <v>46600</v>
      </c>
      <c r="C652" s="9">
        <f>IFERROR(__xludf.DUMMYFUNCTION("""COMPUTED_VALUE"""),4.4648000943E10)</f>
        <v>44648000943</v>
      </c>
      <c r="D652" s="87" t="str">
        <f>IFERROR(__xludf.DUMMYFUNCTION("""COMPUTED_VALUE"""),"TSLA")</f>
        <v>TSLA</v>
      </c>
      <c r="E652" s="193">
        <f>IFERROR(__xludf.DUMMYFUNCTION("""COMPUTED_VALUE"""),44648.0)</f>
        <v>44648</v>
      </c>
      <c r="F652" s="5" t="str">
        <f>IFERROR(__xludf.DUMMYFUNCTION("""COMPUTED_VALUE"""),"Stock")</f>
        <v>Stock</v>
      </c>
      <c r="G652" s="5" t="str">
        <f>IFERROR(__xludf.DUMMYFUNCTION("""COMPUTED_VALUE"""),"USD")</f>
        <v>USD</v>
      </c>
      <c r="H652" s="22" t="str">
        <f>IFERROR(__xludf.DUMMYFUNCTION("""COMPUTED_VALUE"""),"")</f>
        <v/>
      </c>
      <c r="I652" s="194">
        <f>IFERROR(__xludf.DUMMYFUNCTION("""COMPUTED_VALUE"""),7.82905)</f>
        <v>7.82905</v>
      </c>
      <c r="J652" s="23">
        <f>IFERROR(__xludf.DUMMYFUNCTION("""COMPUTED_VALUE"""),1091.84)</f>
        <v>1091.84</v>
      </c>
      <c r="K652" s="5"/>
      <c r="L652" s="23">
        <f>IFERROR(__xludf.DUMMYFUNCTION("""COMPUTED_VALUE"""),1022.37)</f>
        <v>1022.37</v>
      </c>
      <c r="M652" s="195" t="str">
        <f>IFERROR(__xludf.DUMMYFUNCTION("""COMPUTED_VALUE"""),"Equity Key Stats")</f>
        <v>Equity Key Stats</v>
      </c>
      <c r="N652" s="5"/>
      <c r="O652" s="5"/>
      <c r="P652" s="142">
        <f>IFERROR(__xludf.DUMMYFUNCTION("""COMPUTED_VALUE"""),0.0)</f>
        <v>0</v>
      </c>
      <c r="Q652" s="5"/>
      <c r="R652" s="71">
        <f>IFERROR(__xludf.DUMMYFUNCTION("""COMPUTED_VALUE"""),1022.37)</f>
        <v>1022.37</v>
      </c>
      <c r="S652" s="142">
        <f>IFERROR(__xludf.DUMMYFUNCTION("""COMPUTED_VALUE"""),0.0)</f>
        <v>0</v>
      </c>
      <c r="T652" s="5">
        <f>IFERROR(__xludf.DUMMYFUNCTION("""COMPUTED_VALUE"""),3.0)</f>
        <v>3</v>
      </c>
      <c r="U652" s="5" t="str">
        <f>IFERROR(__xludf.DUMMYFUNCTION("""COMPUTED_VALUE"""),"")</f>
        <v/>
      </c>
      <c r="V652" s="22" t="str">
        <f>IFERROR(__xludf.DUMMYFUNCTION("""COMPUTED_VALUE"""),"")</f>
        <v/>
      </c>
      <c r="W652" s="9" t="str">
        <f>IFERROR(__xludf.DUMMYFUNCTION("""COMPUTED_VALUE"""),"")</f>
        <v/>
      </c>
      <c r="X652" s="22" t="str">
        <f>IFERROR(__xludf.DUMMYFUNCTION("""COMPUTED_VALUE"""),"")</f>
        <v/>
      </c>
      <c r="Y652" s="22" t="str">
        <f>IFERROR(__xludf.DUMMYFUNCTION("""COMPUTED_VALUE"""),"")</f>
        <v/>
      </c>
      <c r="Z652" s="24" t="str">
        <f>IFERROR(__xludf.DUMMYFUNCTION("""COMPUTED_VALUE"""),"")</f>
        <v/>
      </c>
    </row>
    <row r="653">
      <c r="A653" s="5" t="str">
        <f>IFERROR(__xludf.DUMMYFUNCTION("""COMPUTED_VALUE"""),"")</f>
        <v/>
      </c>
      <c r="B653" s="5" t="str">
        <f>IFERROR(__xludf.DUMMYFUNCTION("""COMPUTED_VALUE"""),"46600")</f>
        <v>46600</v>
      </c>
      <c r="C653" s="9">
        <f>IFERROR(__xludf.DUMMYFUNCTION("""COMPUTED_VALUE"""),4.4648000944E10)</f>
        <v>44648000944</v>
      </c>
      <c r="D653" s="87" t="str">
        <f>IFERROR(__xludf.DUMMYFUNCTION("""COMPUTED_VALUE"""),"AAPL")</f>
        <v>AAPL</v>
      </c>
      <c r="E653" s="193">
        <f>IFERROR(__xludf.DUMMYFUNCTION("""COMPUTED_VALUE"""),44648.0)</f>
        <v>44648</v>
      </c>
      <c r="F653" s="5" t="str">
        <f>IFERROR(__xludf.DUMMYFUNCTION("""COMPUTED_VALUE"""),"Stock")</f>
        <v>Stock</v>
      </c>
      <c r="G653" s="5" t="str">
        <f>IFERROR(__xludf.DUMMYFUNCTION("""COMPUTED_VALUE"""),"USD")</f>
        <v>USD</v>
      </c>
      <c r="H653" s="22">
        <f>IFERROR(__xludf.DUMMYFUNCTION("""COMPUTED_VALUE"""),200.0)</f>
        <v>200</v>
      </c>
      <c r="I653" s="194">
        <f>IFERROR(__xludf.DUMMYFUNCTION("""COMPUTED_VALUE"""),7.82905)</f>
        <v>7.82905</v>
      </c>
      <c r="J653" s="23">
        <f>IFERROR(__xludf.DUMMYFUNCTION("""COMPUTED_VALUE"""),175.6)</f>
        <v>175.6</v>
      </c>
      <c r="K653" s="5"/>
      <c r="L653" s="23">
        <f>IFERROR(__xludf.DUMMYFUNCTION("""COMPUTED_VALUE"""),170.4)</f>
        <v>170.4</v>
      </c>
      <c r="M653" s="195" t="str">
        <f>IFERROR(__xludf.DUMMYFUNCTION("""COMPUTED_VALUE"""),"Equity Key Stats")</f>
        <v>Equity Key Stats</v>
      </c>
      <c r="N653" s="5"/>
      <c r="O653" s="5"/>
      <c r="P653" s="142">
        <f>IFERROR(__xludf.DUMMYFUNCTION("""COMPUTED_VALUE"""),-274956.236)</f>
        <v>-274956.236</v>
      </c>
      <c r="Q653" s="5"/>
      <c r="R653" s="71">
        <f>IFERROR(__xludf.DUMMYFUNCTION("""COMPUTED_VALUE"""),170.4)</f>
        <v>170.4</v>
      </c>
      <c r="S653" s="142">
        <f>IFERROR(__xludf.DUMMYFUNCTION("""COMPUTED_VALUE"""),266814.024)</f>
        <v>266814.024</v>
      </c>
      <c r="T653" s="5">
        <f>IFERROR(__xludf.DUMMYFUNCTION("""COMPUTED_VALUE"""),2.0)</f>
        <v>2</v>
      </c>
      <c r="U653" s="5" t="str">
        <f>IFERROR(__xludf.DUMMYFUNCTION("""COMPUTED_VALUE"""),"")</f>
        <v/>
      </c>
      <c r="V653" s="22" t="str">
        <f>IFERROR(__xludf.DUMMYFUNCTION("""COMPUTED_VALUE"""),"")</f>
        <v/>
      </c>
      <c r="W653" s="9" t="str">
        <f>IFERROR(__xludf.DUMMYFUNCTION("""COMPUTED_VALUE"""),"")</f>
        <v/>
      </c>
      <c r="X653" s="22" t="str">
        <f>IFERROR(__xludf.DUMMYFUNCTION("""COMPUTED_VALUE"""),"")</f>
        <v/>
      </c>
      <c r="Y653" s="22" t="str">
        <f>IFERROR(__xludf.DUMMYFUNCTION("""COMPUTED_VALUE"""),"")</f>
        <v/>
      </c>
      <c r="Z653" s="24" t="str">
        <f>IFERROR(__xludf.DUMMYFUNCTION("""COMPUTED_VALUE"""),"")</f>
        <v/>
      </c>
    </row>
    <row r="654">
      <c r="A654" s="5" t="str">
        <f>IFERROR(__xludf.DUMMYFUNCTION("""COMPUTED_VALUE"""),"")</f>
        <v/>
      </c>
      <c r="B654" s="5" t="str">
        <f>IFERROR(__xludf.DUMMYFUNCTION("""COMPUTED_VALUE"""),"46600")</f>
        <v>46600</v>
      </c>
      <c r="C654" s="9">
        <f>IFERROR(__xludf.DUMMYFUNCTION("""COMPUTED_VALUE"""),4.4648000945E10)</f>
        <v>44648000945</v>
      </c>
      <c r="D654" s="90" t="str">
        <f>IFERROR(__xludf.DUMMYFUNCTION("""COMPUTED_VALUE"""),"0700.HK")</f>
        <v>0700.HK</v>
      </c>
      <c r="E654" s="193">
        <f>IFERROR(__xludf.DUMMYFUNCTION("""COMPUTED_VALUE"""),44648.0)</f>
        <v>44648</v>
      </c>
      <c r="F654" s="5" t="str">
        <f>IFERROR(__xludf.DUMMYFUNCTION("""COMPUTED_VALUE"""),"Stock")</f>
        <v>Stock</v>
      </c>
      <c r="G654" s="5" t="str">
        <f>IFERROR(__xludf.DUMMYFUNCTION("""COMPUTED_VALUE"""),"HKD")</f>
        <v>HKD</v>
      </c>
      <c r="H654" s="22">
        <f>IFERROR(__xludf.DUMMYFUNCTION("""COMPUTED_VALUE"""),300.0)</f>
        <v>300</v>
      </c>
      <c r="I654" s="194">
        <f>IFERROR(__xludf.DUMMYFUNCTION("""COMPUTED_VALUE"""),1.0)</f>
        <v>1</v>
      </c>
      <c r="J654" s="23">
        <f>IFERROR(__xludf.DUMMYFUNCTION("""COMPUTED_VALUE"""),366.4)</f>
        <v>366.4</v>
      </c>
      <c r="K654" s="5"/>
      <c r="L654" s="23">
        <f>IFERROR(__xludf.DUMMYFUNCTION("""COMPUTED_VALUE"""),373.6)</f>
        <v>373.6</v>
      </c>
      <c r="M654" s="195" t="str">
        <f>IFERROR(__xludf.DUMMYFUNCTION("""COMPUTED_VALUE"""),"Equity Key Stats")</f>
        <v>Equity Key Stats</v>
      </c>
      <c r="N654" s="5"/>
      <c r="O654" s="5"/>
      <c r="P654" s="142">
        <f>IFERROR(__xludf.DUMMYFUNCTION("""COMPUTED_VALUE"""),-109920.0)</f>
        <v>-109920</v>
      </c>
      <c r="Q654" s="5"/>
      <c r="R654" s="71">
        <f>IFERROR(__xludf.DUMMYFUNCTION("""COMPUTED_VALUE"""),373.6)</f>
        <v>373.6</v>
      </c>
      <c r="S654" s="142">
        <f>IFERROR(__xludf.DUMMYFUNCTION("""COMPUTED_VALUE"""),112080.0)</f>
        <v>112080</v>
      </c>
      <c r="T654" s="5">
        <f>IFERROR(__xludf.DUMMYFUNCTION("""COMPUTED_VALUE"""),12.0)</f>
        <v>12</v>
      </c>
      <c r="U654" s="5" t="str">
        <f>IFERROR(__xludf.DUMMYFUNCTION("""COMPUTED_VALUE"""),"")</f>
        <v/>
      </c>
      <c r="V654" s="22" t="str">
        <f>IFERROR(__xludf.DUMMYFUNCTION("""COMPUTED_VALUE"""),"")</f>
        <v/>
      </c>
      <c r="W654" s="9" t="str">
        <f>IFERROR(__xludf.DUMMYFUNCTION("""COMPUTED_VALUE"""),"")</f>
        <v/>
      </c>
      <c r="X654" s="22" t="str">
        <f>IFERROR(__xludf.DUMMYFUNCTION("""COMPUTED_VALUE"""),"")</f>
        <v/>
      </c>
      <c r="Y654" s="22" t="str">
        <f>IFERROR(__xludf.DUMMYFUNCTION("""COMPUTED_VALUE"""),"")</f>
        <v/>
      </c>
      <c r="Z654" s="24" t="str">
        <f>IFERROR(__xludf.DUMMYFUNCTION("""COMPUTED_VALUE"""),"")</f>
        <v/>
      </c>
    </row>
    <row r="655">
      <c r="A655" s="5" t="str">
        <f>IFERROR(__xludf.DUMMYFUNCTION("""COMPUTED_VALUE"""),"")</f>
        <v/>
      </c>
      <c r="B655" s="5" t="str">
        <f>IFERROR(__xludf.DUMMYFUNCTION("""COMPUTED_VALUE"""),"46600")</f>
        <v>46600</v>
      </c>
      <c r="C655" s="9">
        <f>IFERROR(__xludf.DUMMYFUNCTION("""COMPUTED_VALUE"""),4.4648000954E10)</f>
        <v>44648000954</v>
      </c>
      <c r="D655" s="90" t="str">
        <f>IFERROR(__xludf.DUMMYFUNCTION("""COMPUTED_VALUE"""),"0700.HK")</f>
        <v>0700.HK</v>
      </c>
      <c r="E655" s="193">
        <f>IFERROR(__xludf.DUMMYFUNCTION("""COMPUTED_VALUE"""),44648.0)</f>
        <v>44648</v>
      </c>
      <c r="F655" s="5" t="str">
        <f>IFERROR(__xludf.DUMMYFUNCTION("""COMPUTED_VALUE"""),"Stock")</f>
        <v>Stock</v>
      </c>
      <c r="G655" s="5" t="str">
        <f>IFERROR(__xludf.DUMMYFUNCTION("""COMPUTED_VALUE"""),"HKD")</f>
        <v>HKD</v>
      </c>
      <c r="H655" s="22">
        <f>IFERROR(__xludf.DUMMYFUNCTION("""COMPUTED_VALUE"""),-300.0)</f>
        <v>-300</v>
      </c>
      <c r="I655" s="194">
        <f>IFERROR(__xludf.DUMMYFUNCTION("""COMPUTED_VALUE"""),1.0)</f>
        <v>1</v>
      </c>
      <c r="J655" s="23">
        <f>IFERROR(__xludf.DUMMYFUNCTION("""COMPUTED_VALUE"""),366.4)</f>
        <v>366.4</v>
      </c>
      <c r="K655" s="5"/>
      <c r="L655" s="23">
        <f>IFERROR(__xludf.DUMMYFUNCTION("""COMPUTED_VALUE"""),373.6)</f>
        <v>373.6</v>
      </c>
      <c r="M655" s="195" t="str">
        <f>IFERROR(__xludf.DUMMYFUNCTION("""COMPUTED_VALUE"""),"Equity Key Stats")</f>
        <v>Equity Key Stats</v>
      </c>
      <c r="N655" s="5"/>
      <c r="O655" s="5"/>
      <c r="P655" s="142">
        <f>IFERROR(__xludf.DUMMYFUNCTION("""COMPUTED_VALUE"""),109920.0)</f>
        <v>109920</v>
      </c>
      <c r="Q655" s="5"/>
      <c r="R655" s="71">
        <f>IFERROR(__xludf.DUMMYFUNCTION("""COMPUTED_VALUE"""),373.6)</f>
        <v>373.6</v>
      </c>
      <c r="S655" s="142">
        <f>IFERROR(__xludf.DUMMYFUNCTION("""COMPUTED_VALUE"""),-112080.0)</f>
        <v>-112080</v>
      </c>
      <c r="T655" s="5">
        <f>IFERROR(__xludf.DUMMYFUNCTION("""COMPUTED_VALUE"""),12.0)</f>
        <v>12</v>
      </c>
      <c r="U655" s="5" t="str">
        <f>IFERROR(__xludf.DUMMYFUNCTION("""COMPUTED_VALUE"""),"")</f>
        <v/>
      </c>
      <c r="V655" s="22" t="str">
        <f>IFERROR(__xludf.DUMMYFUNCTION("""COMPUTED_VALUE"""),"")</f>
        <v/>
      </c>
      <c r="W655" s="9" t="str">
        <f>IFERROR(__xludf.DUMMYFUNCTION("""COMPUTED_VALUE"""),"")</f>
        <v/>
      </c>
      <c r="X655" s="22" t="str">
        <f>IFERROR(__xludf.DUMMYFUNCTION("""COMPUTED_VALUE"""),"")</f>
        <v/>
      </c>
      <c r="Y655" s="22" t="str">
        <f>IFERROR(__xludf.DUMMYFUNCTION("""COMPUTED_VALUE"""),"")</f>
        <v/>
      </c>
      <c r="Z655" s="24" t="str">
        <f>IFERROR(__xludf.DUMMYFUNCTION("""COMPUTED_VALUE"""),"")</f>
        <v/>
      </c>
    </row>
    <row r="656">
      <c r="A656" s="5" t="str">
        <f>IFERROR(__xludf.DUMMYFUNCTION("""COMPUTED_VALUE"""),"")</f>
        <v/>
      </c>
      <c r="B656" s="5" t="str">
        <f>IFERROR(__xludf.DUMMYFUNCTION("""COMPUTED_VALUE"""),"46600")</f>
        <v>46600</v>
      </c>
      <c r="C656" s="9">
        <f>IFERROR(__xludf.DUMMYFUNCTION("""COMPUTED_VALUE"""),4.464900099E10)</f>
        <v>44649000990</v>
      </c>
      <c r="D656" s="90" t="str">
        <f>IFERROR(__xludf.DUMMYFUNCTION("""COMPUTED_VALUE"""),"0700.HK")</f>
        <v>0700.HK</v>
      </c>
      <c r="E656" s="193">
        <f>IFERROR(__xludf.DUMMYFUNCTION("""COMPUTED_VALUE"""),44649.0)</f>
        <v>44649</v>
      </c>
      <c r="F656" s="5" t="str">
        <f>IFERROR(__xludf.DUMMYFUNCTION("""COMPUTED_VALUE"""),"Stock")</f>
        <v>Stock</v>
      </c>
      <c r="G656" s="5" t="str">
        <f>IFERROR(__xludf.DUMMYFUNCTION("""COMPUTED_VALUE"""),"HKD")</f>
        <v>HKD</v>
      </c>
      <c r="H656" s="22">
        <f>IFERROR(__xludf.DUMMYFUNCTION("""COMPUTED_VALUE"""),-300.0)</f>
        <v>-300</v>
      </c>
      <c r="I656" s="194">
        <f>IFERROR(__xludf.DUMMYFUNCTION("""COMPUTED_VALUE"""),1.0)</f>
        <v>1</v>
      </c>
      <c r="J656" s="23">
        <f>IFERROR(__xludf.DUMMYFUNCTION("""COMPUTED_VALUE"""),377.2)</f>
        <v>377.2</v>
      </c>
      <c r="K656" s="5"/>
      <c r="L656" s="23">
        <f>IFERROR(__xludf.DUMMYFUNCTION("""COMPUTED_VALUE"""),373.6)</f>
        <v>373.6</v>
      </c>
      <c r="M656" s="195" t="str">
        <f>IFERROR(__xludf.DUMMYFUNCTION("""COMPUTED_VALUE"""),"Equity Key Stats")</f>
        <v>Equity Key Stats</v>
      </c>
      <c r="N656" s="5"/>
      <c r="O656" s="5"/>
      <c r="P656" s="142">
        <f>IFERROR(__xludf.DUMMYFUNCTION("""COMPUTED_VALUE"""),113160.0)</f>
        <v>113160</v>
      </c>
      <c r="Q656" s="5"/>
      <c r="R656" s="71">
        <f>IFERROR(__xludf.DUMMYFUNCTION("""COMPUTED_VALUE"""),373.6)</f>
        <v>373.6</v>
      </c>
      <c r="S656" s="142">
        <f>IFERROR(__xludf.DUMMYFUNCTION("""COMPUTED_VALUE"""),-112080.0)</f>
        <v>-112080</v>
      </c>
      <c r="T656" s="5">
        <f>IFERROR(__xludf.DUMMYFUNCTION("""COMPUTED_VALUE"""),12.0)</f>
        <v>12</v>
      </c>
      <c r="U656" s="5" t="str">
        <f>IFERROR(__xludf.DUMMYFUNCTION("""COMPUTED_VALUE"""),"")</f>
        <v/>
      </c>
      <c r="V656" s="22" t="str">
        <f>IFERROR(__xludf.DUMMYFUNCTION("""COMPUTED_VALUE"""),"")</f>
        <v/>
      </c>
      <c r="W656" s="9" t="str">
        <f>IFERROR(__xludf.DUMMYFUNCTION("""COMPUTED_VALUE"""),"")</f>
        <v/>
      </c>
      <c r="X656" s="22" t="str">
        <f>IFERROR(__xludf.DUMMYFUNCTION("""COMPUTED_VALUE"""),"")</f>
        <v/>
      </c>
      <c r="Y656" s="22" t="str">
        <f>IFERROR(__xludf.DUMMYFUNCTION("""COMPUTED_VALUE"""),"")</f>
        <v/>
      </c>
      <c r="Z656" s="24" t="str">
        <f>IFERROR(__xludf.DUMMYFUNCTION("""COMPUTED_VALUE"""),"")</f>
        <v/>
      </c>
    </row>
    <row r="657">
      <c r="A657" s="5" t="str">
        <f>IFERROR(__xludf.DUMMYFUNCTION("""COMPUTED_VALUE"""),"")</f>
        <v/>
      </c>
      <c r="B657" s="5" t="str">
        <f>IFERROR(__xludf.DUMMYFUNCTION("""COMPUTED_VALUE"""),"46600")</f>
        <v>46600</v>
      </c>
      <c r="C657" s="9">
        <f>IFERROR(__xludf.DUMMYFUNCTION("""COMPUTED_VALUE"""),4.4657001173E10)</f>
        <v>44657001173</v>
      </c>
      <c r="D657" s="90" t="str">
        <f>IFERROR(__xludf.DUMMYFUNCTION("""COMPUTED_VALUE"""),"0700.HK")</f>
        <v>0700.HK</v>
      </c>
      <c r="E657" s="193">
        <f>IFERROR(__xludf.DUMMYFUNCTION("""COMPUTED_VALUE"""),44657.0)</f>
        <v>44657</v>
      </c>
      <c r="F657" s="5" t="str">
        <f>IFERROR(__xludf.DUMMYFUNCTION("""COMPUTED_VALUE"""),"Stock")</f>
        <v>Stock</v>
      </c>
      <c r="G657" s="5" t="str">
        <f>IFERROR(__xludf.DUMMYFUNCTION("""COMPUTED_VALUE"""),"HKD")</f>
        <v>HKD</v>
      </c>
      <c r="H657" s="22">
        <f>IFERROR(__xludf.DUMMYFUNCTION("""COMPUTED_VALUE"""),-600.0)</f>
        <v>-600</v>
      </c>
      <c r="I657" s="194">
        <f>IFERROR(__xludf.DUMMYFUNCTION("""COMPUTED_VALUE"""),1.0)</f>
        <v>1</v>
      </c>
      <c r="J657" s="23">
        <f>IFERROR(__xludf.DUMMYFUNCTION("""COMPUTED_VALUE"""),381.0)</f>
        <v>381</v>
      </c>
      <c r="K657" s="5"/>
      <c r="L657" s="23">
        <f>IFERROR(__xludf.DUMMYFUNCTION("""COMPUTED_VALUE"""),373.6)</f>
        <v>373.6</v>
      </c>
      <c r="M657" s="195" t="str">
        <f>IFERROR(__xludf.DUMMYFUNCTION("""COMPUTED_VALUE"""),"Equity Key Stats")</f>
        <v>Equity Key Stats</v>
      </c>
      <c r="N657" s="5"/>
      <c r="O657" s="5"/>
      <c r="P657" s="142">
        <f>IFERROR(__xludf.DUMMYFUNCTION("""COMPUTED_VALUE"""),228600.0)</f>
        <v>228600</v>
      </c>
      <c r="Q657" s="5"/>
      <c r="R657" s="71">
        <f>IFERROR(__xludf.DUMMYFUNCTION("""COMPUTED_VALUE"""),373.6)</f>
        <v>373.6</v>
      </c>
      <c r="S657" s="142">
        <f>IFERROR(__xludf.DUMMYFUNCTION("""COMPUTED_VALUE"""),-224160.0)</f>
        <v>-224160</v>
      </c>
      <c r="T657" s="5">
        <f>IFERROR(__xludf.DUMMYFUNCTION("""COMPUTED_VALUE"""),12.0)</f>
        <v>12</v>
      </c>
      <c r="U657" s="5" t="str">
        <f>IFERROR(__xludf.DUMMYFUNCTION("""COMPUTED_VALUE"""),"")</f>
        <v/>
      </c>
      <c r="V657" s="22" t="str">
        <f>IFERROR(__xludf.DUMMYFUNCTION("""COMPUTED_VALUE"""),"")</f>
        <v/>
      </c>
      <c r="W657" s="9" t="str">
        <f>IFERROR(__xludf.DUMMYFUNCTION("""COMPUTED_VALUE"""),"")</f>
        <v/>
      </c>
      <c r="X657" s="22" t="str">
        <f>IFERROR(__xludf.DUMMYFUNCTION("""COMPUTED_VALUE"""),"")</f>
        <v/>
      </c>
      <c r="Y657" s="22" t="str">
        <f>IFERROR(__xludf.DUMMYFUNCTION("""COMPUTED_VALUE"""),"")</f>
        <v/>
      </c>
      <c r="Z657" s="24" t="str">
        <f>IFERROR(__xludf.DUMMYFUNCTION("""COMPUTED_VALUE"""),"")</f>
        <v/>
      </c>
    </row>
    <row r="658">
      <c r="A658" s="5" t="str">
        <f>IFERROR(__xludf.DUMMYFUNCTION("""COMPUTED_VALUE"""),"")</f>
        <v/>
      </c>
      <c r="B658" s="5" t="str">
        <f>IFERROR(__xludf.DUMMYFUNCTION("""COMPUTED_VALUE"""),"46600")</f>
        <v>46600</v>
      </c>
      <c r="C658" s="9">
        <f>IFERROR(__xludf.DUMMYFUNCTION("""COMPUTED_VALUE"""),4.4658001209E10)</f>
        <v>44658001209</v>
      </c>
      <c r="D658" s="91" t="str">
        <f>IFERROR(__xludf.DUMMYFUNCTION("""COMPUTED_VALUE"""),"0700.HK")</f>
        <v>0700.HK</v>
      </c>
      <c r="E658" s="193">
        <f>IFERROR(__xludf.DUMMYFUNCTION("""COMPUTED_VALUE"""),44658.0)</f>
        <v>44658</v>
      </c>
      <c r="F658" s="5" t="str">
        <f>IFERROR(__xludf.DUMMYFUNCTION("""COMPUTED_VALUE"""),"Stock")</f>
        <v>Stock</v>
      </c>
      <c r="G658" s="5" t="str">
        <f>IFERROR(__xludf.DUMMYFUNCTION("""COMPUTED_VALUE"""),"HKD")</f>
        <v>HKD</v>
      </c>
      <c r="H658" s="22">
        <f>IFERROR(__xludf.DUMMYFUNCTION("""COMPUTED_VALUE"""),600.0)</f>
        <v>600</v>
      </c>
      <c r="I658" s="194">
        <f>IFERROR(__xludf.DUMMYFUNCTION("""COMPUTED_VALUE"""),1.0)</f>
        <v>1</v>
      </c>
      <c r="J658" s="23">
        <f>IFERROR(__xludf.DUMMYFUNCTION("""COMPUTED_VALUE"""),374.4)</f>
        <v>374.4</v>
      </c>
      <c r="K658" s="5"/>
      <c r="L658" s="23">
        <f>IFERROR(__xludf.DUMMYFUNCTION("""COMPUTED_VALUE"""),373.6)</f>
        <v>373.6</v>
      </c>
      <c r="M658" s="195" t="str">
        <f>IFERROR(__xludf.DUMMYFUNCTION("""COMPUTED_VALUE"""),"Equity Key Stats")</f>
        <v>Equity Key Stats</v>
      </c>
      <c r="N658" s="5"/>
      <c r="O658" s="5"/>
      <c r="P658" s="142">
        <f>IFERROR(__xludf.DUMMYFUNCTION("""COMPUTED_VALUE"""),-224640.0)</f>
        <v>-224640</v>
      </c>
      <c r="Q658" s="5"/>
      <c r="R658" s="71">
        <f>IFERROR(__xludf.DUMMYFUNCTION("""COMPUTED_VALUE"""),373.6)</f>
        <v>373.6</v>
      </c>
      <c r="S658" s="142">
        <f>IFERROR(__xludf.DUMMYFUNCTION("""COMPUTED_VALUE"""),224160.0)</f>
        <v>224160</v>
      </c>
      <c r="T658" s="5">
        <f>IFERROR(__xludf.DUMMYFUNCTION("""COMPUTED_VALUE"""),12.0)</f>
        <v>12</v>
      </c>
      <c r="U658" s="5" t="str">
        <f>IFERROR(__xludf.DUMMYFUNCTION("""COMPUTED_VALUE"""),"")</f>
        <v/>
      </c>
      <c r="V658" s="22" t="str">
        <f>IFERROR(__xludf.DUMMYFUNCTION("""COMPUTED_VALUE"""),"")</f>
        <v/>
      </c>
      <c r="W658" s="9" t="str">
        <f>IFERROR(__xludf.DUMMYFUNCTION("""COMPUTED_VALUE"""),"")</f>
        <v/>
      </c>
      <c r="X658" s="22" t="str">
        <f>IFERROR(__xludf.DUMMYFUNCTION("""COMPUTED_VALUE"""),"")</f>
        <v/>
      </c>
      <c r="Y658" s="22" t="str">
        <f>IFERROR(__xludf.DUMMYFUNCTION("""COMPUTED_VALUE"""),"")</f>
        <v/>
      </c>
      <c r="Z658" s="24" t="str">
        <f>IFERROR(__xludf.DUMMYFUNCTION("""COMPUTED_VALUE"""),"")</f>
        <v/>
      </c>
    </row>
    <row r="659">
      <c r="A659" s="5" t="str">
        <f>IFERROR(__xludf.DUMMYFUNCTION("""COMPUTED_VALUE"""),"")</f>
        <v/>
      </c>
      <c r="B659" s="5" t="str">
        <f>IFERROR(__xludf.DUMMYFUNCTION("""COMPUTED_VALUE"""),"46600")</f>
        <v>46600</v>
      </c>
      <c r="C659" s="9">
        <f>IFERROR(__xludf.DUMMYFUNCTION("""COMPUTED_VALUE"""),4.4662001352E10)</f>
        <v>44662001352</v>
      </c>
      <c r="D659" s="91" t="str">
        <f>IFERROR(__xludf.DUMMYFUNCTION("""COMPUTED_VALUE"""),"9988.HK")</f>
        <v>9988.HK</v>
      </c>
      <c r="E659" s="193">
        <f>IFERROR(__xludf.DUMMYFUNCTION("""COMPUTED_VALUE"""),44662.0)</f>
        <v>44662</v>
      </c>
      <c r="F659" s="5" t="str">
        <f>IFERROR(__xludf.DUMMYFUNCTION("""COMPUTED_VALUE"""),"Stock")</f>
        <v>Stock</v>
      </c>
      <c r="G659" s="5" t="str">
        <f>IFERROR(__xludf.DUMMYFUNCTION("""COMPUTED_VALUE"""),"HKD")</f>
        <v>HKD</v>
      </c>
      <c r="H659" s="22">
        <f>IFERROR(__xludf.DUMMYFUNCTION("""COMPUTED_VALUE"""),200.0)</f>
        <v>200</v>
      </c>
      <c r="I659" s="194">
        <f>IFERROR(__xludf.DUMMYFUNCTION("""COMPUTED_VALUE"""),1.0)</f>
        <v>1</v>
      </c>
      <c r="J659" s="23">
        <f>IFERROR(__xludf.DUMMYFUNCTION("""COMPUTED_VALUE"""),98.5)</f>
        <v>98.5</v>
      </c>
      <c r="K659" s="5"/>
      <c r="L659" s="23">
        <f>IFERROR(__xludf.DUMMYFUNCTION("""COMPUTED_VALUE"""),98.5)</f>
        <v>98.5</v>
      </c>
      <c r="M659" s="195" t="str">
        <f>IFERROR(__xludf.DUMMYFUNCTION("""COMPUTED_VALUE"""),"Equity Key Stats")</f>
        <v>Equity Key Stats</v>
      </c>
      <c r="N659" s="5"/>
      <c r="O659" s="5"/>
      <c r="P659" s="142">
        <f>IFERROR(__xludf.DUMMYFUNCTION("""COMPUTED_VALUE"""),-19700.0)</f>
        <v>-19700</v>
      </c>
      <c r="Q659" s="5"/>
      <c r="R659" s="71">
        <f>IFERROR(__xludf.DUMMYFUNCTION("""COMPUTED_VALUE"""),98.5)</f>
        <v>98.5</v>
      </c>
      <c r="S659" s="142">
        <f>IFERROR(__xludf.DUMMYFUNCTION("""COMPUTED_VALUE"""),19700.0)</f>
        <v>19700</v>
      </c>
      <c r="T659" s="5">
        <f>IFERROR(__xludf.DUMMYFUNCTION("""COMPUTED_VALUE"""),5.0)</f>
        <v>5</v>
      </c>
      <c r="U659" s="5">
        <f>IFERROR(__xludf.DUMMYFUNCTION("""COMPUTED_VALUE"""),1.0)</f>
        <v>1</v>
      </c>
      <c r="V659" s="22">
        <f>IFERROR(__xludf.DUMMYFUNCTION("""COMPUTED_VALUE"""),132.5)</f>
        <v>132.5</v>
      </c>
      <c r="W659" s="9" t="str">
        <f>IFERROR(__xludf.DUMMYFUNCTION("""COMPUTED_VALUE"""),"")</f>
        <v/>
      </c>
      <c r="X659" s="22" t="str">
        <f>IFERROR(__xludf.DUMMYFUNCTION("""COMPUTED_VALUE"""),"")</f>
        <v/>
      </c>
      <c r="Y659" s="22" t="str">
        <f>IFERROR(__xludf.DUMMYFUNCTION("""COMPUTED_VALUE"""),"")</f>
        <v/>
      </c>
      <c r="Z659" s="24" t="str">
        <f>IFERROR(__xludf.DUMMYFUNCTION("""COMPUTED_VALUE"""),"")</f>
        <v/>
      </c>
    </row>
    <row r="660">
      <c r="A660" s="5" t="str">
        <f>IFERROR(__xludf.DUMMYFUNCTION("""COMPUTED_VALUE"""),"")</f>
        <v/>
      </c>
      <c r="B660" s="5" t="str">
        <f>IFERROR(__xludf.DUMMYFUNCTION("""COMPUTED_VALUE"""),"46600")</f>
        <v>46600</v>
      </c>
      <c r="C660" s="9">
        <f>IFERROR(__xludf.DUMMYFUNCTION("""COMPUTED_VALUE"""),4.4662001353E10)</f>
        <v>44662001353</v>
      </c>
      <c r="D660" s="91" t="str">
        <f>IFERROR(__xludf.DUMMYFUNCTION("""COMPUTED_VALUE"""),"0700.HK")</f>
        <v>0700.HK</v>
      </c>
      <c r="E660" s="193">
        <f>IFERROR(__xludf.DUMMYFUNCTION("""COMPUTED_VALUE"""),44662.0)</f>
        <v>44662</v>
      </c>
      <c r="F660" s="5" t="str">
        <f>IFERROR(__xludf.DUMMYFUNCTION("""COMPUTED_VALUE"""),"Stock")</f>
        <v>Stock</v>
      </c>
      <c r="G660" s="5" t="str">
        <f>IFERROR(__xludf.DUMMYFUNCTION("""COMPUTED_VALUE"""),"HKD")</f>
        <v>HKD</v>
      </c>
      <c r="H660" s="22">
        <f>IFERROR(__xludf.DUMMYFUNCTION("""COMPUTED_VALUE"""),200.0)</f>
        <v>200</v>
      </c>
      <c r="I660" s="194">
        <f>IFERROR(__xludf.DUMMYFUNCTION("""COMPUTED_VALUE"""),1.0)</f>
        <v>1</v>
      </c>
      <c r="J660" s="23">
        <f>IFERROR(__xludf.DUMMYFUNCTION("""COMPUTED_VALUE"""),353.6)</f>
        <v>353.6</v>
      </c>
      <c r="K660" s="5"/>
      <c r="L660" s="23">
        <f>IFERROR(__xludf.DUMMYFUNCTION("""COMPUTED_VALUE"""),373.6)</f>
        <v>373.6</v>
      </c>
      <c r="M660" s="195" t="str">
        <f>IFERROR(__xludf.DUMMYFUNCTION("""COMPUTED_VALUE"""),"Equity Key Stats")</f>
        <v>Equity Key Stats</v>
      </c>
      <c r="N660" s="5"/>
      <c r="O660" s="5"/>
      <c r="P660" s="142">
        <f>IFERROR(__xludf.DUMMYFUNCTION("""COMPUTED_VALUE"""),-70720.0)</f>
        <v>-70720</v>
      </c>
      <c r="Q660" s="5"/>
      <c r="R660" s="71">
        <f>IFERROR(__xludf.DUMMYFUNCTION("""COMPUTED_VALUE"""),373.6)</f>
        <v>373.6</v>
      </c>
      <c r="S660" s="142">
        <f>IFERROR(__xludf.DUMMYFUNCTION("""COMPUTED_VALUE"""),74720.0)</f>
        <v>74720</v>
      </c>
      <c r="T660" s="5">
        <f>IFERROR(__xludf.DUMMYFUNCTION("""COMPUTED_VALUE"""),12.0)</f>
        <v>12</v>
      </c>
      <c r="U660" s="5" t="str">
        <f>IFERROR(__xludf.DUMMYFUNCTION("""COMPUTED_VALUE"""),"")</f>
        <v/>
      </c>
      <c r="V660" s="22" t="str">
        <f>IFERROR(__xludf.DUMMYFUNCTION("""COMPUTED_VALUE"""),"")</f>
        <v/>
      </c>
      <c r="W660" s="9" t="str">
        <f>IFERROR(__xludf.DUMMYFUNCTION("""COMPUTED_VALUE"""),"")</f>
        <v/>
      </c>
      <c r="X660" s="22" t="str">
        <f>IFERROR(__xludf.DUMMYFUNCTION("""COMPUTED_VALUE"""),"")</f>
        <v/>
      </c>
      <c r="Y660" s="22" t="str">
        <f>IFERROR(__xludf.DUMMYFUNCTION("""COMPUTED_VALUE"""),"")</f>
        <v/>
      </c>
      <c r="Z660" s="24" t="str">
        <f>IFERROR(__xludf.DUMMYFUNCTION("""COMPUTED_VALUE"""),"")</f>
        <v/>
      </c>
    </row>
    <row r="661">
      <c r="A661" s="5" t="str">
        <f>IFERROR(__xludf.DUMMYFUNCTION("""COMPUTED_VALUE"""),"")</f>
        <v/>
      </c>
      <c r="B661" s="5" t="str">
        <f>IFERROR(__xludf.DUMMYFUNCTION("""COMPUTED_VALUE"""),"46600")</f>
        <v>46600</v>
      </c>
      <c r="C661" s="9">
        <f>IFERROR(__xludf.DUMMYFUNCTION("""COMPUTED_VALUE"""),4.4662001354E10)</f>
        <v>44662001354</v>
      </c>
      <c r="D661" s="85" t="str">
        <f>IFERROR(__xludf.DUMMYFUNCTION("""COMPUTED_VALUE"""),"TSLA")</f>
        <v>TSLA</v>
      </c>
      <c r="E661" s="193">
        <f>IFERROR(__xludf.DUMMYFUNCTION("""COMPUTED_VALUE"""),44662.0)</f>
        <v>44662</v>
      </c>
      <c r="F661" s="5" t="str">
        <f>IFERROR(__xludf.DUMMYFUNCTION("""COMPUTED_VALUE"""),"Stock")</f>
        <v>Stock</v>
      </c>
      <c r="G661" s="5" t="str">
        <f>IFERROR(__xludf.DUMMYFUNCTION("""COMPUTED_VALUE"""),"USD")</f>
        <v>USD</v>
      </c>
      <c r="H661" s="22" t="str">
        <f>IFERROR(__xludf.DUMMYFUNCTION("""COMPUTED_VALUE"""),"")</f>
        <v/>
      </c>
      <c r="I661" s="194">
        <f>IFERROR(__xludf.DUMMYFUNCTION("""COMPUTED_VALUE"""),7.83795)</f>
        <v>7.83795</v>
      </c>
      <c r="J661" s="23">
        <f>IFERROR(__xludf.DUMMYFUNCTION("""COMPUTED_VALUE"""),975.93)</f>
        <v>975.93</v>
      </c>
      <c r="K661" s="5"/>
      <c r="L661" s="23">
        <f>IFERROR(__xludf.DUMMYFUNCTION("""COMPUTED_VALUE"""),1022.37)</f>
        <v>1022.37</v>
      </c>
      <c r="M661" s="195" t="str">
        <f>IFERROR(__xludf.DUMMYFUNCTION("""COMPUTED_VALUE"""),"Equity Key Stats")</f>
        <v>Equity Key Stats</v>
      </c>
      <c r="N661" s="5"/>
      <c r="O661" s="5"/>
      <c r="P661" s="142">
        <f>IFERROR(__xludf.DUMMYFUNCTION("""COMPUTED_VALUE"""),0.0)</f>
        <v>0</v>
      </c>
      <c r="Q661" s="5"/>
      <c r="R661" s="71">
        <f>IFERROR(__xludf.DUMMYFUNCTION("""COMPUTED_VALUE"""),1022.37)</f>
        <v>1022.37</v>
      </c>
      <c r="S661" s="142">
        <f>IFERROR(__xludf.DUMMYFUNCTION("""COMPUTED_VALUE"""),0.0)</f>
        <v>0</v>
      </c>
      <c r="T661" s="5">
        <f>IFERROR(__xludf.DUMMYFUNCTION("""COMPUTED_VALUE"""),3.0)</f>
        <v>3</v>
      </c>
      <c r="U661" s="5" t="str">
        <f>IFERROR(__xludf.DUMMYFUNCTION("""COMPUTED_VALUE"""),"")</f>
        <v/>
      </c>
      <c r="V661" s="22" t="str">
        <f>IFERROR(__xludf.DUMMYFUNCTION("""COMPUTED_VALUE"""),"")</f>
        <v/>
      </c>
      <c r="W661" s="9" t="str">
        <f>IFERROR(__xludf.DUMMYFUNCTION("""COMPUTED_VALUE"""),"")</f>
        <v/>
      </c>
      <c r="X661" s="22" t="str">
        <f>IFERROR(__xludf.DUMMYFUNCTION("""COMPUTED_VALUE"""),"")</f>
        <v/>
      </c>
      <c r="Y661" s="22" t="str">
        <f>IFERROR(__xludf.DUMMYFUNCTION("""COMPUTED_VALUE"""),"")</f>
        <v/>
      </c>
      <c r="Z661" s="24" t="str">
        <f>IFERROR(__xludf.DUMMYFUNCTION("""COMPUTED_VALUE"""),"")</f>
        <v/>
      </c>
    </row>
    <row r="662">
      <c r="A662" s="5" t="str">
        <f>IFERROR(__xludf.DUMMYFUNCTION("""COMPUTED_VALUE"""),"")</f>
        <v/>
      </c>
      <c r="B662" s="5" t="str">
        <f>IFERROR(__xludf.DUMMYFUNCTION("""COMPUTED_VALUE"""),"46600")</f>
        <v>46600</v>
      </c>
      <c r="C662" s="9">
        <f>IFERROR(__xludf.DUMMYFUNCTION("""COMPUTED_VALUE"""),4.466300142E10)</f>
        <v>44663001420</v>
      </c>
      <c r="D662" s="91" t="str">
        <f>IFERROR(__xludf.DUMMYFUNCTION("""COMPUTED_VALUE"""),"0700.HK")</f>
        <v>0700.HK</v>
      </c>
      <c r="E662" s="193">
        <f>IFERROR(__xludf.DUMMYFUNCTION("""COMPUTED_VALUE"""),44663.0)</f>
        <v>44663</v>
      </c>
      <c r="F662" s="5" t="str">
        <f>IFERROR(__xludf.DUMMYFUNCTION("""COMPUTED_VALUE"""),"Stock")</f>
        <v>Stock</v>
      </c>
      <c r="G662" s="5" t="str">
        <f>IFERROR(__xludf.DUMMYFUNCTION("""COMPUTED_VALUE"""),"HKD")</f>
        <v>HKD</v>
      </c>
      <c r="H662" s="22">
        <f>IFERROR(__xludf.DUMMYFUNCTION("""COMPUTED_VALUE"""),-200.0)</f>
        <v>-200</v>
      </c>
      <c r="I662" s="194">
        <f>IFERROR(__xludf.DUMMYFUNCTION("""COMPUTED_VALUE"""),1.0)</f>
        <v>1</v>
      </c>
      <c r="J662" s="23">
        <f>IFERROR(__xludf.DUMMYFUNCTION("""COMPUTED_VALUE"""),366.4)</f>
        <v>366.4</v>
      </c>
      <c r="K662" s="5"/>
      <c r="L662" s="23">
        <f>IFERROR(__xludf.DUMMYFUNCTION("""COMPUTED_VALUE"""),373.6)</f>
        <v>373.6</v>
      </c>
      <c r="M662" s="195" t="str">
        <f>IFERROR(__xludf.DUMMYFUNCTION("""COMPUTED_VALUE"""),"Equity Key Stats")</f>
        <v>Equity Key Stats</v>
      </c>
      <c r="N662" s="5"/>
      <c r="O662" s="5"/>
      <c r="P662" s="142">
        <f>IFERROR(__xludf.DUMMYFUNCTION("""COMPUTED_VALUE"""),73280.0)</f>
        <v>73280</v>
      </c>
      <c r="Q662" s="5"/>
      <c r="R662" s="71">
        <f>IFERROR(__xludf.DUMMYFUNCTION("""COMPUTED_VALUE"""),373.6)</f>
        <v>373.6</v>
      </c>
      <c r="S662" s="142">
        <f>IFERROR(__xludf.DUMMYFUNCTION("""COMPUTED_VALUE"""),-74720.0)</f>
        <v>-74720</v>
      </c>
      <c r="T662" s="5">
        <f>IFERROR(__xludf.DUMMYFUNCTION("""COMPUTED_VALUE"""),12.0)</f>
        <v>12</v>
      </c>
      <c r="U662" s="5">
        <f>IFERROR(__xludf.DUMMYFUNCTION("""COMPUTED_VALUE"""),1.0)</f>
        <v>1</v>
      </c>
      <c r="V662" s="22">
        <f>IFERROR(__xludf.DUMMYFUNCTION("""COMPUTED_VALUE"""),28480.0)</f>
        <v>28480</v>
      </c>
      <c r="W662" s="9" t="str">
        <f>IFERROR(__xludf.DUMMYFUNCTION("""COMPUTED_VALUE"""),"")</f>
        <v/>
      </c>
      <c r="X662" s="22" t="str">
        <f>IFERROR(__xludf.DUMMYFUNCTION("""COMPUTED_VALUE"""),"")</f>
        <v/>
      </c>
      <c r="Y662" s="22" t="str">
        <f>IFERROR(__xludf.DUMMYFUNCTION("""COMPUTED_VALUE"""),"")</f>
        <v/>
      </c>
      <c r="Z662" s="24" t="str">
        <f>IFERROR(__xludf.DUMMYFUNCTION("""COMPUTED_VALUE"""),"")</f>
        <v/>
      </c>
    </row>
    <row r="663">
      <c r="A663" s="5" t="str">
        <f>IFERROR(__xludf.DUMMYFUNCTION("""COMPUTED_VALUE"""),"")</f>
        <v/>
      </c>
      <c r="B663" s="5" t="str">
        <f>IFERROR(__xludf.DUMMYFUNCTION("""COMPUTED_VALUE"""),"46600")</f>
        <v>46600</v>
      </c>
      <c r="C663" s="9">
        <f>IFERROR(__xludf.DUMMYFUNCTION("""COMPUTED_VALUE"""),4.4663001445E10)</f>
        <v>44663001445</v>
      </c>
      <c r="D663" s="85" t="str">
        <f>IFERROR(__xludf.DUMMYFUNCTION("""COMPUTED_VALUE"""),"AAPL")</f>
        <v>AAPL</v>
      </c>
      <c r="E663" s="193">
        <f>IFERROR(__xludf.DUMMYFUNCTION("""COMPUTED_VALUE"""),44663.0)</f>
        <v>44663</v>
      </c>
      <c r="F663" s="5" t="str">
        <f>IFERROR(__xludf.DUMMYFUNCTION("""COMPUTED_VALUE"""),"Stock")</f>
        <v>Stock</v>
      </c>
      <c r="G663" s="5" t="str">
        <f>IFERROR(__xludf.DUMMYFUNCTION("""COMPUTED_VALUE"""),"USD")</f>
        <v>USD</v>
      </c>
      <c r="H663" s="22">
        <f>IFERROR(__xludf.DUMMYFUNCTION("""COMPUTED_VALUE"""),100.0)</f>
        <v>100</v>
      </c>
      <c r="I663" s="194">
        <f>IFERROR(__xludf.DUMMYFUNCTION("""COMPUTED_VALUE"""),7.83775)</f>
        <v>7.83775</v>
      </c>
      <c r="J663" s="23">
        <f>IFERROR(__xludf.DUMMYFUNCTION("""COMPUTED_VALUE"""),167.66)</f>
        <v>167.66</v>
      </c>
      <c r="K663" s="5"/>
      <c r="L663" s="23">
        <f>IFERROR(__xludf.DUMMYFUNCTION("""COMPUTED_VALUE"""),170.4)</f>
        <v>170.4</v>
      </c>
      <c r="M663" s="195" t="str">
        <f>IFERROR(__xludf.DUMMYFUNCTION("""COMPUTED_VALUE"""),"Equity Key Stats")</f>
        <v>Equity Key Stats</v>
      </c>
      <c r="N663" s="5"/>
      <c r="O663" s="5"/>
      <c r="P663" s="142">
        <f>IFERROR(__xludf.DUMMYFUNCTION("""COMPUTED_VALUE"""),-131407.71649999998)</f>
        <v>-131407.7165</v>
      </c>
      <c r="Q663" s="5"/>
      <c r="R663" s="71">
        <f>IFERROR(__xludf.DUMMYFUNCTION("""COMPUTED_VALUE"""),170.4)</f>
        <v>170.4</v>
      </c>
      <c r="S663" s="142">
        <f>IFERROR(__xludf.DUMMYFUNCTION("""COMPUTED_VALUE"""),133555.26)</f>
        <v>133555.26</v>
      </c>
      <c r="T663" s="5">
        <f>IFERROR(__xludf.DUMMYFUNCTION("""COMPUTED_VALUE"""),2.0)</f>
        <v>2</v>
      </c>
      <c r="U663" s="5">
        <f>IFERROR(__xludf.DUMMYFUNCTION("""COMPUTED_VALUE"""),1.0)</f>
        <v>1</v>
      </c>
      <c r="V663" s="22">
        <f>IFERROR(__xludf.DUMMYFUNCTION("""COMPUTED_VALUE"""),-5994.668499999971)</f>
        <v>-5994.6685</v>
      </c>
      <c r="W663" s="9" t="str">
        <f>IFERROR(__xludf.DUMMYFUNCTION("""COMPUTED_VALUE"""),"")</f>
        <v/>
      </c>
      <c r="X663" s="22" t="str">
        <f>IFERROR(__xludf.DUMMYFUNCTION("""COMPUTED_VALUE"""),"")</f>
        <v/>
      </c>
      <c r="Y663" s="22" t="str">
        <f>IFERROR(__xludf.DUMMYFUNCTION("""COMPUTED_VALUE"""),"")</f>
        <v/>
      </c>
      <c r="Z663" s="24" t="str">
        <f>IFERROR(__xludf.DUMMYFUNCTION("""COMPUTED_VALUE"""),"")</f>
        <v/>
      </c>
    </row>
    <row r="664">
      <c r="A664" s="5" t="str">
        <f>IFERROR(__xludf.DUMMYFUNCTION("""COMPUTED_VALUE"""),"46600")</f>
        <v>46600</v>
      </c>
      <c r="B664" s="5" t="str">
        <f>IFERROR(__xludf.DUMMYFUNCTION("""COMPUTED_VALUE"""),"46600")</f>
        <v>46600</v>
      </c>
      <c r="C664" s="9">
        <f>IFERROR(__xludf.DUMMYFUNCTION("""COMPUTED_VALUE"""),4.4664001497E10)</f>
        <v>44664001497</v>
      </c>
      <c r="D664" s="85" t="str">
        <f>IFERROR(__xludf.DUMMYFUNCTION("""COMPUTED_VALUE"""),"TSLA")</f>
        <v>TSLA</v>
      </c>
      <c r="E664" s="193">
        <f>IFERROR(__xludf.DUMMYFUNCTION("""COMPUTED_VALUE"""),44664.0)</f>
        <v>44664</v>
      </c>
      <c r="F664" s="5" t="str">
        <f>IFERROR(__xludf.DUMMYFUNCTION("""COMPUTED_VALUE"""),"Stock")</f>
        <v>Stock</v>
      </c>
      <c r="G664" s="5" t="str">
        <f>IFERROR(__xludf.DUMMYFUNCTION("""COMPUTED_VALUE"""),"USD")</f>
        <v>USD</v>
      </c>
      <c r="H664" s="22">
        <f>IFERROR(__xludf.DUMMYFUNCTION("""COMPUTED_VALUE"""),-10.0)</f>
        <v>-10</v>
      </c>
      <c r="I664" s="194">
        <f>IFERROR(__xludf.DUMMYFUNCTION("""COMPUTED_VALUE"""),7.83915)</f>
        <v>7.83915</v>
      </c>
      <c r="J664" s="23">
        <f>IFERROR(__xludf.DUMMYFUNCTION("""COMPUTED_VALUE"""),1022.37)</f>
        <v>1022.37</v>
      </c>
      <c r="K664" s="5"/>
      <c r="L664" s="23">
        <f>IFERROR(__xludf.DUMMYFUNCTION("""COMPUTED_VALUE"""),1022.37)</f>
        <v>1022.37</v>
      </c>
      <c r="M664" s="195" t="str">
        <f>IFERROR(__xludf.DUMMYFUNCTION("""COMPUTED_VALUE"""),"Equity Key Stats")</f>
        <v>Equity Key Stats</v>
      </c>
      <c r="N664" s="5"/>
      <c r="O664" s="5"/>
      <c r="P664" s="142">
        <f>IFERROR(__xludf.DUMMYFUNCTION("""COMPUTED_VALUE"""),80145.117855)</f>
        <v>80145.11786</v>
      </c>
      <c r="Q664" s="5"/>
      <c r="R664" s="71">
        <f>IFERROR(__xludf.DUMMYFUNCTION("""COMPUTED_VALUE"""),1022.37)</f>
        <v>1022.37</v>
      </c>
      <c r="S664" s="142">
        <f>IFERROR(__xludf.DUMMYFUNCTION("""COMPUTED_VALUE"""),-80145.117855)</f>
        <v>-80145.11786</v>
      </c>
      <c r="T664" s="5">
        <f>IFERROR(__xludf.DUMMYFUNCTION("""COMPUTED_VALUE"""),3.0)</f>
        <v>3</v>
      </c>
      <c r="U664" s="5">
        <f>IFERROR(__xludf.DUMMYFUNCTION("""COMPUTED_VALUE"""),1.0)</f>
        <v>1</v>
      </c>
      <c r="V664" s="22">
        <f>IFERROR(__xludf.DUMMYFUNCTION("""COMPUTED_VALUE"""),0.0)</f>
        <v>0</v>
      </c>
      <c r="W664" s="9">
        <f>IFERROR(__xludf.DUMMYFUNCTION("""COMPUTED_VALUE"""),521271.83150000003)</f>
        <v>521271.8315</v>
      </c>
      <c r="X664" s="22">
        <f>IFERROR(__xludf.DUMMYFUNCTION("""COMPUTED_VALUE"""),-21375.57035499999)</f>
        <v>-21375.57036</v>
      </c>
      <c r="Y664" s="22">
        <f>IFERROR(__xludf.DUMMYFUNCTION("""COMPUTED_VALUE"""),21375.57035499999)</f>
        <v>21375.57036</v>
      </c>
      <c r="Z664" s="24">
        <f>IFERROR(__xludf.DUMMYFUNCTION("""COMPUTED_VALUE"""),0.04254366300000001)</f>
        <v>0.042543663</v>
      </c>
    </row>
    <row r="665">
      <c r="A665" s="5" t="str">
        <f>IFERROR(__xludf.DUMMYFUNCTION("""COMPUTED_VALUE"""),"")</f>
        <v/>
      </c>
      <c r="B665" s="5" t="str">
        <f>IFERROR(__xludf.DUMMYFUNCTION("""COMPUTED_VALUE"""),"46699")</f>
        <v>46699</v>
      </c>
      <c r="C665" s="9">
        <f>IFERROR(__xludf.DUMMYFUNCTION("""COMPUTED_VALUE"""),4.4597000108E10)</f>
        <v>44597000108</v>
      </c>
      <c r="D665" s="85" t="str">
        <f>IFERROR(__xludf.DUMMYFUNCTION("""COMPUTED_VALUE"""),"Cash")</f>
        <v>Cash</v>
      </c>
      <c r="E665" s="193">
        <f>IFERROR(__xludf.DUMMYFUNCTION("""COMPUTED_VALUE"""),44597.0)</f>
        <v>44597</v>
      </c>
      <c r="F665" s="5" t="str">
        <f>IFERROR(__xludf.DUMMYFUNCTION("""COMPUTED_VALUE"""),"Cash")</f>
        <v>Cash</v>
      </c>
      <c r="G665" s="5" t="str">
        <f>IFERROR(__xludf.DUMMYFUNCTION("""COMPUTED_VALUE"""),"HKD")</f>
        <v>HKD</v>
      </c>
      <c r="H665" s="22" t="str">
        <f>IFERROR(__xludf.DUMMYFUNCTION("""COMPUTED_VALUE"""),"")</f>
        <v/>
      </c>
      <c r="I665" s="194">
        <f>IFERROR(__xludf.DUMMYFUNCTION("""COMPUTED_VALUE"""),1.0)</f>
        <v>1</v>
      </c>
      <c r="J665" s="5">
        <f>IFERROR(__xludf.DUMMYFUNCTION("""COMPUTED_VALUE"""),1.0)</f>
        <v>1</v>
      </c>
      <c r="K665" s="5"/>
      <c r="L665" s="23">
        <f>IFERROR(__xludf.DUMMYFUNCTION("""COMPUTED_VALUE"""),1.0)</f>
        <v>1</v>
      </c>
      <c r="M665" s="25" t="str">
        <f>IFERROR(__xludf.DUMMYFUNCTION("""COMPUTED_VALUE"""),"")</f>
        <v/>
      </c>
      <c r="N665" s="5"/>
      <c r="O665" s="5"/>
      <c r="P665" s="142">
        <f>IFERROR(__xludf.DUMMYFUNCTION("""COMPUTED_VALUE"""),500000.0)</f>
        <v>500000</v>
      </c>
      <c r="Q665" s="5"/>
      <c r="R665" s="71">
        <f>IFERROR(__xludf.DUMMYFUNCTION("""COMPUTED_VALUE"""),1.0)</f>
        <v>1</v>
      </c>
      <c r="S665" s="142" t="str">
        <f>IFERROR(__xludf.DUMMYFUNCTION("""COMPUTED_VALUE"""),"")</f>
        <v/>
      </c>
      <c r="T665" s="5">
        <f>IFERROR(__xludf.DUMMYFUNCTION("""COMPUTED_VALUE"""),1.0)</f>
        <v>1</v>
      </c>
      <c r="U665" s="5">
        <f>IFERROR(__xludf.DUMMYFUNCTION("""COMPUTED_VALUE"""),1.0)</f>
        <v>1</v>
      </c>
      <c r="V665" s="22">
        <f>IFERROR(__xludf.DUMMYFUNCTION("""COMPUTED_VALUE"""),500000.0)</f>
        <v>500000</v>
      </c>
      <c r="W665" s="9" t="str">
        <f>IFERROR(__xludf.DUMMYFUNCTION("""COMPUTED_VALUE"""),"")</f>
        <v/>
      </c>
      <c r="X665" s="22" t="str">
        <f>IFERROR(__xludf.DUMMYFUNCTION("""COMPUTED_VALUE"""),"")</f>
        <v/>
      </c>
      <c r="Y665" s="22" t="str">
        <f>IFERROR(__xludf.DUMMYFUNCTION("""COMPUTED_VALUE"""),"")</f>
        <v/>
      </c>
      <c r="Z665" s="24" t="str">
        <f>IFERROR(__xludf.DUMMYFUNCTION("""COMPUTED_VALUE"""),"")</f>
        <v/>
      </c>
    </row>
    <row r="666">
      <c r="A666" s="5" t="str">
        <f>IFERROR(__xludf.DUMMYFUNCTION("""COMPUTED_VALUE"""),"")</f>
        <v/>
      </c>
      <c r="B666" s="5" t="str">
        <f>IFERROR(__xludf.DUMMYFUNCTION("""COMPUTED_VALUE"""),"46699")</f>
        <v>46699</v>
      </c>
      <c r="C666" s="9">
        <f>IFERROR(__xludf.DUMMYFUNCTION("""COMPUTED_VALUE"""),4.4600000133E10)</f>
        <v>44600000133</v>
      </c>
      <c r="D666" s="87" t="str">
        <f>IFERROR(__xludf.DUMMYFUNCTION("""COMPUTED_VALUE"""),"AAPL")</f>
        <v>AAPL</v>
      </c>
      <c r="E666" s="193">
        <f>IFERROR(__xludf.DUMMYFUNCTION("""COMPUTED_VALUE"""),44600.0)</f>
        <v>44600</v>
      </c>
      <c r="F666" s="5" t="str">
        <f>IFERROR(__xludf.DUMMYFUNCTION("""COMPUTED_VALUE"""),"Stock")</f>
        <v>Stock</v>
      </c>
      <c r="G666" s="5" t="str">
        <f>IFERROR(__xludf.DUMMYFUNCTION("""COMPUTED_VALUE"""),"USD")</f>
        <v>USD</v>
      </c>
      <c r="H666" s="22">
        <f>IFERROR(__xludf.DUMMYFUNCTION("""COMPUTED_VALUE"""),20.0)</f>
        <v>20</v>
      </c>
      <c r="I666" s="194">
        <f>IFERROR(__xludf.DUMMYFUNCTION("""COMPUTED_VALUE"""),7.793545)</f>
        <v>7.793545</v>
      </c>
      <c r="J666" s="23">
        <f>IFERROR(__xludf.DUMMYFUNCTION("""COMPUTED_VALUE"""),174.83)</f>
        <v>174.83</v>
      </c>
      <c r="K666" s="5"/>
      <c r="L666" s="23">
        <f>IFERROR(__xludf.DUMMYFUNCTION("""COMPUTED_VALUE"""),170.4)</f>
        <v>170.4</v>
      </c>
      <c r="M666" s="195" t="str">
        <f>IFERROR(__xludf.DUMMYFUNCTION("""COMPUTED_VALUE"""),"Equity Key Stats")</f>
        <v>Equity Key Stats</v>
      </c>
      <c r="N666" s="5"/>
      <c r="O666" s="5"/>
      <c r="P666" s="142">
        <f>IFERROR(__xludf.DUMMYFUNCTION("""COMPUTED_VALUE"""),-27250.909447000002)</f>
        <v>-27250.90945</v>
      </c>
      <c r="Q666" s="5"/>
      <c r="R666" s="71">
        <f>IFERROR(__xludf.DUMMYFUNCTION("""COMPUTED_VALUE"""),170.4)</f>
        <v>170.4</v>
      </c>
      <c r="S666" s="142">
        <f>IFERROR(__xludf.DUMMYFUNCTION("""COMPUTED_VALUE"""),26560.401360000003)</f>
        <v>26560.40136</v>
      </c>
      <c r="T666" s="5">
        <f>IFERROR(__xludf.DUMMYFUNCTION("""COMPUTED_VALUE"""),2.0)</f>
        <v>2</v>
      </c>
      <c r="U666" s="5" t="str">
        <f>IFERROR(__xludf.DUMMYFUNCTION("""COMPUTED_VALUE"""),"")</f>
        <v/>
      </c>
      <c r="V666" s="22" t="str">
        <f>IFERROR(__xludf.DUMMYFUNCTION("""COMPUTED_VALUE"""),"")</f>
        <v/>
      </c>
      <c r="W666" s="9" t="str">
        <f>IFERROR(__xludf.DUMMYFUNCTION("""COMPUTED_VALUE"""),"")</f>
        <v/>
      </c>
      <c r="X666" s="22" t="str">
        <f>IFERROR(__xludf.DUMMYFUNCTION("""COMPUTED_VALUE"""),"")</f>
        <v/>
      </c>
      <c r="Y666" s="22" t="str">
        <f>IFERROR(__xludf.DUMMYFUNCTION("""COMPUTED_VALUE"""),"")</f>
        <v/>
      </c>
      <c r="Z666" s="24" t="str">
        <f>IFERROR(__xludf.DUMMYFUNCTION("""COMPUTED_VALUE"""),"")</f>
        <v/>
      </c>
    </row>
    <row r="667">
      <c r="A667" s="5" t="str">
        <f>IFERROR(__xludf.DUMMYFUNCTION("""COMPUTED_VALUE"""),"")</f>
        <v/>
      </c>
      <c r="B667" s="5" t="str">
        <f>IFERROR(__xludf.DUMMYFUNCTION("""COMPUTED_VALUE"""),"46699")</f>
        <v>46699</v>
      </c>
      <c r="C667" s="9">
        <f>IFERROR(__xludf.DUMMYFUNCTION("""COMPUTED_VALUE"""),4.4603000161E10)</f>
        <v>44603000161</v>
      </c>
      <c r="D667" s="87" t="str">
        <f>IFERROR(__xludf.DUMMYFUNCTION("""COMPUTED_VALUE"""),"NFLX")</f>
        <v>NFLX</v>
      </c>
      <c r="E667" s="193">
        <f>IFERROR(__xludf.DUMMYFUNCTION("""COMPUTED_VALUE"""),44603.0)</f>
        <v>44603</v>
      </c>
      <c r="F667" s="5" t="str">
        <f>IFERROR(__xludf.DUMMYFUNCTION("""COMPUTED_VALUE"""),"Stock")</f>
        <v>Stock</v>
      </c>
      <c r="G667" s="5" t="str">
        <f>IFERROR(__xludf.DUMMYFUNCTION("""COMPUTED_VALUE"""),"USD")</f>
        <v>USD</v>
      </c>
      <c r="H667" s="22">
        <f>IFERROR(__xludf.DUMMYFUNCTION("""COMPUTED_VALUE"""),20.0)</f>
        <v>20</v>
      </c>
      <c r="I667" s="194">
        <f>IFERROR(__xludf.DUMMYFUNCTION("""COMPUTED_VALUE"""),7.800485)</f>
        <v>7.800485</v>
      </c>
      <c r="J667" s="23">
        <f>IFERROR(__xludf.DUMMYFUNCTION("""COMPUTED_VALUE"""),391.31)</f>
        <v>391.31</v>
      </c>
      <c r="K667" s="5"/>
      <c r="L667" s="23">
        <f>IFERROR(__xludf.DUMMYFUNCTION("""COMPUTED_VALUE"""),350.43)</f>
        <v>350.43</v>
      </c>
      <c r="M667" s="195" t="str">
        <f>IFERROR(__xludf.DUMMYFUNCTION("""COMPUTED_VALUE"""),"Equity Key Stats")</f>
        <v>Equity Key Stats</v>
      </c>
      <c r="N667" s="5"/>
      <c r="O667" s="5"/>
      <c r="P667" s="142">
        <f>IFERROR(__xludf.DUMMYFUNCTION("""COMPUTED_VALUE"""),-61048.155707000005)</f>
        <v>-61048.15571</v>
      </c>
      <c r="Q667" s="5"/>
      <c r="R667" s="71">
        <f>IFERROR(__xludf.DUMMYFUNCTION("""COMPUTED_VALUE"""),350.43)</f>
        <v>350.43</v>
      </c>
      <c r="S667" s="142">
        <f>IFERROR(__xludf.DUMMYFUNCTION("""COMPUTED_VALUE"""),54670.479171000006)</f>
        <v>54670.47917</v>
      </c>
      <c r="T667" s="5">
        <f>IFERROR(__xludf.DUMMYFUNCTION("""COMPUTED_VALUE"""),1.0)</f>
        <v>1</v>
      </c>
      <c r="U667" s="5">
        <f>IFERROR(__xludf.DUMMYFUNCTION("""COMPUTED_VALUE"""),1.0)</f>
        <v>1</v>
      </c>
      <c r="V667" s="22">
        <f>IFERROR(__xludf.DUMMYFUNCTION("""COMPUTED_VALUE"""),-6377.676535999999)</f>
        <v>-6377.676536</v>
      </c>
      <c r="W667" s="9" t="str">
        <f>IFERROR(__xludf.DUMMYFUNCTION("""COMPUTED_VALUE"""),"")</f>
        <v/>
      </c>
      <c r="X667" s="22" t="str">
        <f>IFERROR(__xludf.DUMMYFUNCTION("""COMPUTED_VALUE"""),"")</f>
        <v/>
      </c>
      <c r="Y667" s="22" t="str">
        <f>IFERROR(__xludf.DUMMYFUNCTION("""COMPUTED_VALUE"""),"")</f>
        <v/>
      </c>
      <c r="Z667" s="24" t="str">
        <f>IFERROR(__xludf.DUMMYFUNCTION("""COMPUTED_VALUE"""),"")</f>
        <v/>
      </c>
    </row>
    <row r="668">
      <c r="A668" s="5" t="str">
        <f>IFERROR(__xludf.DUMMYFUNCTION("""COMPUTED_VALUE"""),"")</f>
        <v/>
      </c>
      <c r="B668" s="5" t="str">
        <f>IFERROR(__xludf.DUMMYFUNCTION("""COMPUTED_VALUE"""),"46699")</f>
        <v>46699</v>
      </c>
      <c r="C668" s="9">
        <f>IFERROR(__xludf.DUMMYFUNCTION("""COMPUTED_VALUE"""),4.4652001094E10)</f>
        <v>44652001094</v>
      </c>
      <c r="D668" s="87" t="str">
        <f>IFERROR(__xludf.DUMMYFUNCTION("""COMPUTED_VALUE"""),"AAPL")</f>
        <v>AAPL</v>
      </c>
      <c r="E668" s="193">
        <f>IFERROR(__xludf.DUMMYFUNCTION("""COMPUTED_VALUE"""),44652.0)</f>
        <v>44652</v>
      </c>
      <c r="F668" s="5" t="str">
        <f>IFERROR(__xludf.DUMMYFUNCTION("""COMPUTED_VALUE"""),"Stock")</f>
        <v>Stock</v>
      </c>
      <c r="G668" s="5" t="str">
        <f>IFERROR(__xludf.DUMMYFUNCTION("""COMPUTED_VALUE"""),"USD")</f>
        <v>USD</v>
      </c>
      <c r="H668" s="22">
        <f>IFERROR(__xludf.DUMMYFUNCTION("""COMPUTED_VALUE"""),30.0)</f>
        <v>30</v>
      </c>
      <c r="I668" s="194">
        <f>IFERROR(__xludf.DUMMYFUNCTION("""COMPUTED_VALUE"""),7.833725)</f>
        <v>7.833725</v>
      </c>
      <c r="J668" s="23">
        <f>IFERROR(__xludf.DUMMYFUNCTION("""COMPUTED_VALUE"""),174.31)</f>
        <v>174.31</v>
      </c>
      <c r="K668" s="5"/>
      <c r="L668" s="23">
        <f>IFERROR(__xludf.DUMMYFUNCTION("""COMPUTED_VALUE"""),170.4)</f>
        <v>170.4</v>
      </c>
      <c r="M668" s="195" t="str">
        <f>IFERROR(__xludf.DUMMYFUNCTION("""COMPUTED_VALUE"""),"Equity Key Stats")</f>
        <v>Equity Key Stats</v>
      </c>
      <c r="N668" s="5"/>
      <c r="O668" s="5"/>
      <c r="P668" s="142">
        <f>IFERROR(__xludf.DUMMYFUNCTION("""COMPUTED_VALUE"""),-40964.8981425)</f>
        <v>-40964.89814</v>
      </c>
      <c r="Q668" s="5"/>
      <c r="R668" s="71">
        <f>IFERROR(__xludf.DUMMYFUNCTION("""COMPUTED_VALUE"""),170.4)</f>
        <v>170.4</v>
      </c>
      <c r="S668" s="142">
        <f>IFERROR(__xludf.DUMMYFUNCTION("""COMPUTED_VALUE"""),40046.0022)</f>
        <v>40046.0022</v>
      </c>
      <c r="T668" s="5">
        <f>IFERROR(__xludf.DUMMYFUNCTION("""COMPUTED_VALUE"""),2.0)</f>
        <v>2</v>
      </c>
      <c r="U668" s="5">
        <f>IFERROR(__xludf.DUMMYFUNCTION("""COMPUTED_VALUE"""),1.0)</f>
        <v>1</v>
      </c>
      <c r="V668" s="22">
        <f>IFERROR(__xludf.DUMMYFUNCTION("""COMPUTED_VALUE"""),-1609.4040295000013)</f>
        <v>-1609.40403</v>
      </c>
      <c r="W668" s="9" t="str">
        <f>IFERROR(__xludf.DUMMYFUNCTION("""COMPUTED_VALUE"""),"")</f>
        <v/>
      </c>
      <c r="X668" s="22" t="str">
        <f>IFERROR(__xludf.DUMMYFUNCTION("""COMPUTED_VALUE"""),"")</f>
        <v/>
      </c>
      <c r="Y668" s="22" t="str">
        <f>IFERROR(__xludf.DUMMYFUNCTION("""COMPUTED_VALUE"""),"")</f>
        <v/>
      </c>
      <c r="Z668" s="24" t="str">
        <f>IFERROR(__xludf.DUMMYFUNCTION("""COMPUTED_VALUE"""),"")</f>
        <v/>
      </c>
    </row>
    <row r="669">
      <c r="A669" s="5" t="str">
        <f>IFERROR(__xludf.DUMMYFUNCTION("""COMPUTED_VALUE"""),"")</f>
        <v/>
      </c>
      <c r="B669" s="5" t="str">
        <f>IFERROR(__xludf.DUMMYFUNCTION("""COMPUTED_VALUE"""),"46699")</f>
        <v>46699</v>
      </c>
      <c r="C669" s="9">
        <f>IFERROR(__xludf.DUMMYFUNCTION("""COMPUTED_VALUE"""),4.4652001099E10)</f>
        <v>44652001099</v>
      </c>
      <c r="D669" s="87" t="str">
        <f>IFERROR(__xludf.DUMMYFUNCTION("""COMPUTED_VALUE"""),"PATH")</f>
        <v>PATH</v>
      </c>
      <c r="E669" s="193">
        <f>IFERROR(__xludf.DUMMYFUNCTION("""COMPUTED_VALUE"""),44652.0)</f>
        <v>44652</v>
      </c>
      <c r="F669" s="5" t="str">
        <f>IFERROR(__xludf.DUMMYFUNCTION("""COMPUTED_VALUE"""),"Stock")</f>
        <v>Stock</v>
      </c>
      <c r="G669" s="5" t="str">
        <f>IFERROR(__xludf.DUMMYFUNCTION("""COMPUTED_VALUE"""),"USD")</f>
        <v>USD</v>
      </c>
      <c r="H669" s="22">
        <f>IFERROR(__xludf.DUMMYFUNCTION("""COMPUTED_VALUE"""),30.0)</f>
        <v>30</v>
      </c>
      <c r="I669" s="194">
        <f>IFERROR(__xludf.DUMMYFUNCTION("""COMPUTED_VALUE"""),7.833725)</f>
        <v>7.833725</v>
      </c>
      <c r="J669" s="23">
        <f>IFERROR(__xludf.DUMMYFUNCTION("""COMPUTED_VALUE"""),22.18)</f>
        <v>22.18</v>
      </c>
      <c r="K669" s="5"/>
      <c r="L669" s="23">
        <f>IFERROR(__xludf.DUMMYFUNCTION("""COMPUTED_VALUE"""),20.22)</f>
        <v>20.22</v>
      </c>
      <c r="M669" s="195" t="str">
        <f>IFERROR(__xludf.DUMMYFUNCTION("""COMPUTED_VALUE"""),"Equity Key Stats")</f>
        <v>Equity Key Stats</v>
      </c>
      <c r="N669" s="5"/>
      <c r="O669" s="5"/>
      <c r="P669" s="142">
        <f>IFERROR(__xludf.DUMMYFUNCTION("""COMPUTED_VALUE"""),-5212.560615)</f>
        <v>-5212.560615</v>
      </c>
      <c r="Q669" s="5"/>
      <c r="R669" s="71">
        <f>IFERROR(__xludf.DUMMYFUNCTION("""COMPUTED_VALUE"""),20.22)</f>
        <v>20.22</v>
      </c>
      <c r="S669" s="142">
        <f>IFERROR(__xludf.DUMMYFUNCTION("""COMPUTED_VALUE"""),4751.937585)</f>
        <v>4751.937585</v>
      </c>
      <c r="T669" s="5">
        <f>IFERROR(__xludf.DUMMYFUNCTION("""COMPUTED_VALUE"""),1.0)</f>
        <v>1</v>
      </c>
      <c r="U669" s="5">
        <f>IFERROR(__xludf.DUMMYFUNCTION("""COMPUTED_VALUE"""),1.0)</f>
        <v>1</v>
      </c>
      <c r="V669" s="22">
        <f>IFERROR(__xludf.DUMMYFUNCTION("""COMPUTED_VALUE"""),-460.62303000000065)</f>
        <v>-460.62303</v>
      </c>
      <c r="W669" s="9" t="str">
        <f>IFERROR(__xludf.DUMMYFUNCTION("""COMPUTED_VALUE"""),"")</f>
        <v/>
      </c>
      <c r="X669" s="22" t="str">
        <f>IFERROR(__xludf.DUMMYFUNCTION("""COMPUTED_VALUE"""),"")</f>
        <v/>
      </c>
      <c r="Y669" s="22" t="str">
        <f>IFERROR(__xludf.DUMMYFUNCTION("""COMPUTED_VALUE"""),"")</f>
        <v/>
      </c>
      <c r="Z669" s="24" t="str">
        <f>IFERROR(__xludf.DUMMYFUNCTION("""COMPUTED_VALUE"""),"")</f>
        <v/>
      </c>
    </row>
    <row r="670">
      <c r="A670" s="5" t="str">
        <f>IFERROR(__xludf.DUMMYFUNCTION("""COMPUTED_VALUE"""),"46699")</f>
        <v>46699</v>
      </c>
      <c r="B670" s="5" t="str">
        <f>IFERROR(__xludf.DUMMYFUNCTION("""COMPUTED_VALUE"""),"46699")</f>
        <v>46699</v>
      </c>
      <c r="C670" s="9">
        <f>IFERROR(__xludf.DUMMYFUNCTION("""COMPUTED_VALUE"""),4.4653001098E10)</f>
        <v>44653001098</v>
      </c>
      <c r="D670" s="87" t="str">
        <f>IFERROR(__xludf.DUMMYFUNCTION("""COMPUTED_VALUE"""),"005930.KS")</f>
        <v>005930.KS</v>
      </c>
      <c r="E670" s="193">
        <f>IFERROR(__xludf.DUMMYFUNCTION("""COMPUTED_VALUE"""),44653.0)</f>
        <v>44653</v>
      </c>
      <c r="F670" s="5" t="str">
        <f>IFERROR(__xludf.DUMMYFUNCTION("""COMPUTED_VALUE"""),"Stock")</f>
        <v>Stock</v>
      </c>
      <c r="G670" s="5" t="str">
        <f>IFERROR(__xludf.DUMMYFUNCTION("""COMPUTED_VALUE"""),"KRW")</f>
        <v>KRW</v>
      </c>
      <c r="H670" s="22">
        <f>IFERROR(__xludf.DUMMYFUNCTION("""COMPUTED_VALUE"""),30.0)</f>
        <v>30</v>
      </c>
      <c r="I670" s="194">
        <f>IFERROR(__xludf.DUMMYFUNCTION("""COMPUTED_VALUE"""),0.006422093)</f>
        <v>0.006422093</v>
      </c>
      <c r="J670" s="23">
        <f>IFERROR(__xludf.DUMMYFUNCTION("""COMPUTED_VALUE"""),69200.0)</f>
        <v>69200</v>
      </c>
      <c r="K670" s="5"/>
      <c r="L670" s="23">
        <f>IFERROR(__xludf.DUMMYFUNCTION("""COMPUTED_VALUE"""),68700.0)</f>
        <v>68700</v>
      </c>
      <c r="M670" s="195" t="str">
        <f>IFERROR(__xludf.DUMMYFUNCTION("""COMPUTED_VALUE"""),"Equity Key Stats")</f>
        <v>Equity Key Stats</v>
      </c>
      <c r="N670" s="5"/>
      <c r="O670" s="5"/>
      <c r="P670" s="142">
        <f>IFERROR(__xludf.DUMMYFUNCTION("""COMPUTED_VALUE"""),-13332.265068)</f>
        <v>-13332.26507</v>
      </c>
      <c r="Q670" s="5"/>
      <c r="R670" s="71">
        <f>IFERROR(__xludf.DUMMYFUNCTION("""COMPUTED_VALUE"""),68700.0)</f>
        <v>68700</v>
      </c>
      <c r="S670" s="142">
        <f>IFERROR(__xludf.DUMMYFUNCTION("""COMPUTED_VALUE"""),13235.933673)</f>
        <v>13235.93367</v>
      </c>
      <c r="T670" s="5">
        <f>IFERROR(__xludf.DUMMYFUNCTION("""COMPUTED_VALUE"""),1.0)</f>
        <v>1</v>
      </c>
      <c r="U670" s="5">
        <f>IFERROR(__xludf.DUMMYFUNCTION("""COMPUTED_VALUE"""),1.0)</f>
        <v>1</v>
      </c>
      <c r="V670" s="22">
        <f>IFERROR(__xludf.DUMMYFUNCTION("""COMPUTED_VALUE"""),-96.33139500000107)</f>
        <v>-96.331395</v>
      </c>
      <c r="W670" s="9">
        <f>IFERROR(__xludf.DUMMYFUNCTION("""COMPUTED_VALUE"""),491455.96500950004)</f>
        <v>491455.965</v>
      </c>
      <c r="X670" s="22">
        <f>IFERROR(__xludf.DUMMYFUNCTION("""COMPUTED_VALUE"""),352191.21102049993)</f>
        <v>352191.211</v>
      </c>
      <c r="Y670" s="22">
        <f>IFERROR(__xludf.DUMMYFUNCTION("""COMPUTED_VALUE"""),0.0)</f>
        <v>0</v>
      </c>
      <c r="Z670" s="24">
        <f>IFERROR(__xludf.DUMMYFUNCTION("""COMPUTED_VALUE"""),-0.017088069980999876)</f>
        <v>-0.01708806998</v>
      </c>
    </row>
    <row r="671">
      <c r="A671" s="5" t="str">
        <f>IFERROR(__xludf.DUMMYFUNCTION("""COMPUTED_VALUE"""),"")</f>
        <v/>
      </c>
      <c r="B671" s="5" t="str">
        <f>IFERROR(__xludf.DUMMYFUNCTION("""COMPUTED_VALUE"""),"46763")</f>
        <v>46763</v>
      </c>
      <c r="C671" s="9">
        <f>IFERROR(__xludf.DUMMYFUNCTION("""COMPUTED_VALUE"""),4.4597000058E10)</f>
        <v>44597000058</v>
      </c>
      <c r="D671" s="85" t="str">
        <f>IFERROR(__xludf.DUMMYFUNCTION("""COMPUTED_VALUE"""),"Cash")</f>
        <v>Cash</v>
      </c>
      <c r="E671" s="193">
        <f>IFERROR(__xludf.DUMMYFUNCTION("""COMPUTED_VALUE"""),44597.0)</f>
        <v>44597</v>
      </c>
      <c r="F671" s="5" t="str">
        <f>IFERROR(__xludf.DUMMYFUNCTION("""COMPUTED_VALUE"""),"Cash")</f>
        <v>Cash</v>
      </c>
      <c r="G671" s="5" t="str">
        <f>IFERROR(__xludf.DUMMYFUNCTION("""COMPUTED_VALUE"""),"HKD")</f>
        <v>HKD</v>
      </c>
      <c r="H671" s="22" t="str">
        <f>IFERROR(__xludf.DUMMYFUNCTION("""COMPUTED_VALUE"""),"")</f>
        <v/>
      </c>
      <c r="I671" s="194">
        <f>IFERROR(__xludf.DUMMYFUNCTION("""COMPUTED_VALUE"""),1.0)</f>
        <v>1</v>
      </c>
      <c r="J671" s="5">
        <f>IFERROR(__xludf.DUMMYFUNCTION("""COMPUTED_VALUE"""),1.0)</f>
        <v>1</v>
      </c>
      <c r="K671" s="5"/>
      <c r="L671" s="23">
        <f>IFERROR(__xludf.DUMMYFUNCTION("""COMPUTED_VALUE"""),1.0)</f>
        <v>1</v>
      </c>
      <c r="M671" s="25" t="str">
        <f>IFERROR(__xludf.DUMMYFUNCTION("""COMPUTED_VALUE"""),"")</f>
        <v/>
      </c>
      <c r="N671" s="5"/>
      <c r="O671" s="5"/>
      <c r="P671" s="142">
        <f>IFERROR(__xludf.DUMMYFUNCTION("""COMPUTED_VALUE"""),500000.0)</f>
        <v>500000</v>
      </c>
      <c r="Q671" s="5"/>
      <c r="R671" s="71">
        <f>IFERROR(__xludf.DUMMYFUNCTION("""COMPUTED_VALUE"""),1.0)</f>
        <v>1</v>
      </c>
      <c r="S671" s="142" t="str">
        <f>IFERROR(__xludf.DUMMYFUNCTION("""COMPUTED_VALUE"""),"")</f>
        <v/>
      </c>
      <c r="T671" s="5">
        <f>IFERROR(__xludf.DUMMYFUNCTION("""COMPUTED_VALUE"""),1.0)</f>
        <v>1</v>
      </c>
      <c r="U671" s="5">
        <f>IFERROR(__xludf.DUMMYFUNCTION("""COMPUTED_VALUE"""),1.0)</f>
        <v>1</v>
      </c>
      <c r="V671" s="22">
        <f>IFERROR(__xludf.DUMMYFUNCTION("""COMPUTED_VALUE"""),500000.0)</f>
        <v>500000</v>
      </c>
      <c r="W671" s="9" t="str">
        <f>IFERROR(__xludf.DUMMYFUNCTION("""COMPUTED_VALUE"""),"")</f>
        <v/>
      </c>
      <c r="X671" s="22" t="str">
        <f>IFERROR(__xludf.DUMMYFUNCTION("""COMPUTED_VALUE"""),"")</f>
        <v/>
      </c>
      <c r="Y671" s="22" t="str">
        <f>IFERROR(__xludf.DUMMYFUNCTION("""COMPUTED_VALUE"""),"")</f>
        <v/>
      </c>
      <c r="Z671" s="24" t="str">
        <f>IFERROR(__xludf.DUMMYFUNCTION("""COMPUTED_VALUE"""),"")</f>
        <v/>
      </c>
    </row>
    <row r="672">
      <c r="A672" s="5" t="str">
        <f>IFERROR(__xludf.DUMMYFUNCTION("""COMPUTED_VALUE"""),"")</f>
        <v/>
      </c>
      <c r="B672" s="5" t="str">
        <f>IFERROR(__xludf.DUMMYFUNCTION("""COMPUTED_VALUE"""),"46763")</f>
        <v>46763</v>
      </c>
      <c r="C672" s="9">
        <f>IFERROR(__xludf.DUMMYFUNCTION("""COMPUTED_VALUE"""),4.462700045E10)</f>
        <v>44627000450</v>
      </c>
      <c r="D672" s="90" t="str">
        <f>IFERROR(__xludf.DUMMYFUNCTION("""COMPUTED_VALUE"""),"0151.HK")</f>
        <v>0151.HK</v>
      </c>
      <c r="E672" s="193">
        <f>IFERROR(__xludf.DUMMYFUNCTION("""COMPUTED_VALUE"""),44627.0)</f>
        <v>44627</v>
      </c>
      <c r="F672" s="5" t="str">
        <f>IFERROR(__xludf.DUMMYFUNCTION("""COMPUTED_VALUE"""),"Stock")</f>
        <v>Stock</v>
      </c>
      <c r="G672" s="5" t="str">
        <f>IFERROR(__xludf.DUMMYFUNCTION("""COMPUTED_VALUE"""),"HKD")</f>
        <v>HKD</v>
      </c>
      <c r="H672" s="22">
        <f>IFERROR(__xludf.DUMMYFUNCTION("""COMPUTED_VALUE"""),10000.0)</f>
        <v>10000</v>
      </c>
      <c r="I672" s="194">
        <f>IFERROR(__xludf.DUMMYFUNCTION("""COMPUTED_VALUE"""),1.0)</f>
        <v>1</v>
      </c>
      <c r="J672" s="23">
        <f>IFERROR(__xludf.DUMMYFUNCTION("""COMPUTED_VALUE"""),7.95)</f>
        <v>7.95</v>
      </c>
      <c r="K672" s="5"/>
      <c r="L672" s="23">
        <f>IFERROR(__xludf.DUMMYFUNCTION("""COMPUTED_VALUE"""),6.71)</f>
        <v>6.71</v>
      </c>
      <c r="M672" s="195" t="str">
        <f>IFERROR(__xludf.DUMMYFUNCTION("""COMPUTED_VALUE"""),"Equity Key Stats")</f>
        <v>Equity Key Stats</v>
      </c>
      <c r="N672" s="5"/>
      <c r="O672" s="5"/>
      <c r="P672" s="142">
        <f>IFERROR(__xludf.DUMMYFUNCTION("""COMPUTED_VALUE"""),-79500.0)</f>
        <v>-79500</v>
      </c>
      <c r="Q672" s="5"/>
      <c r="R672" s="71">
        <f>IFERROR(__xludf.DUMMYFUNCTION("""COMPUTED_VALUE"""),6.71)</f>
        <v>6.71</v>
      </c>
      <c r="S672" s="142">
        <f>IFERROR(__xludf.DUMMYFUNCTION("""COMPUTED_VALUE"""),67100.0)</f>
        <v>67100</v>
      </c>
      <c r="T672" s="5">
        <f>IFERROR(__xludf.DUMMYFUNCTION("""COMPUTED_VALUE"""),3.0)</f>
        <v>3</v>
      </c>
      <c r="U672" s="5" t="str">
        <f>IFERROR(__xludf.DUMMYFUNCTION("""COMPUTED_VALUE"""),"")</f>
        <v/>
      </c>
      <c r="V672" s="22" t="str">
        <f>IFERROR(__xludf.DUMMYFUNCTION("""COMPUTED_VALUE"""),"")</f>
        <v/>
      </c>
      <c r="W672" s="9" t="str">
        <f>IFERROR(__xludf.DUMMYFUNCTION("""COMPUTED_VALUE"""),"")</f>
        <v/>
      </c>
      <c r="X672" s="22" t="str">
        <f>IFERROR(__xludf.DUMMYFUNCTION("""COMPUTED_VALUE"""),"")</f>
        <v/>
      </c>
      <c r="Y672" s="22" t="str">
        <f>IFERROR(__xludf.DUMMYFUNCTION("""COMPUTED_VALUE"""),"")</f>
        <v/>
      </c>
      <c r="Z672" s="24" t="str">
        <f>IFERROR(__xludf.DUMMYFUNCTION("""COMPUTED_VALUE"""),"")</f>
        <v/>
      </c>
    </row>
    <row r="673">
      <c r="A673" s="5" t="str">
        <f>IFERROR(__xludf.DUMMYFUNCTION("""COMPUTED_VALUE"""),"")</f>
        <v/>
      </c>
      <c r="B673" s="5" t="str">
        <f>IFERROR(__xludf.DUMMYFUNCTION("""COMPUTED_VALUE"""),"46763")</f>
        <v>46763</v>
      </c>
      <c r="C673" s="9">
        <f>IFERROR(__xludf.DUMMYFUNCTION("""COMPUTED_VALUE"""),4.4627000451E10)</f>
        <v>44627000451</v>
      </c>
      <c r="D673" s="90" t="str">
        <f>IFERROR(__xludf.DUMMYFUNCTION("""COMPUTED_VALUE"""),"0001.HK")</f>
        <v>0001.HK</v>
      </c>
      <c r="E673" s="193">
        <f>IFERROR(__xludf.DUMMYFUNCTION("""COMPUTED_VALUE"""),44627.0)</f>
        <v>44627</v>
      </c>
      <c r="F673" s="5" t="str">
        <f>IFERROR(__xludf.DUMMYFUNCTION("""COMPUTED_VALUE"""),"Stock")</f>
        <v>Stock</v>
      </c>
      <c r="G673" s="5" t="str">
        <f>IFERROR(__xludf.DUMMYFUNCTION("""COMPUTED_VALUE"""),"HKD")</f>
        <v>HKD</v>
      </c>
      <c r="H673" s="22">
        <f>IFERROR(__xludf.DUMMYFUNCTION("""COMPUTED_VALUE"""),1500.0)</f>
        <v>1500</v>
      </c>
      <c r="I673" s="194">
        <f>IFERROR(__xludf.DUMMYFUNCTION("""COMPUTED_VALUE"""),1.0)</f>
        <v>1</v>
      </c>
      <c r="J673" s="23">
        <f>IFERROR(__xludf.DUMMYFUNCTION("""COMPUTED_VALUE"""),52.5)</f>
        <v>52.5</v>
      </c>
      <c r="K673" s="5"/>
      <c r="L673" s="23">
        <f>IFERROR(__xludf.DUMMYFUNCTION("""COMPUTED_VALUE"""),56.7)</f>
        <v>56.7</v>
      </c>
      <c r="M673" s="195" t="str">
        <f>IFERROR(__xludf.DUMMYFUNCTION("""COMPUTED_VALUE"""),"Equity Key Stats")</f>
        <v>Equity Key Stats</v>
      </c>
      <c r="N673" s="5"/>
      <c r="O673" s="5"/>
      <c r="P673" s="142">
        <f>IFERROR(__xludf.DUMMYFUNCTION("""COMPUTED_VALUE"""),-78750.0)</f>
        <v>-78750</v>
      </c>
      <c r="Q673" s="5"/>
      <c r="R673" s="71">
        <f>IFERROR(__xludf.DUMMYFUNCTION("""COMPUTED_VALUE"""),56.7)</f>
        <v>56.7</v>
      </c>
      <c r="S673" s="142">
        <f>IFERROR(__xludf.DUMMYFUNCTION("""COMPUTED_VALUE"""),85050.0)</f>
        <v>85050</v>
      </c>
      <c r="T673" s="5">
        <f>IFERROR(__xludf.DUMMYFUNCTION("""COMPUTED_VALUE"""),1.0)</f>
        <v>1</v>
      </c>
      <c r="U673" s="5">
        <f>IFERROR(__xludf.DUMMYFUNCTION("""COMPUTED_VALUE"""),1.0)</f>
        <v>1</v>
      </c>
      <c r="V673" s="22">
        <f>IFERROR(__xludf.DUMMYFUNCTION("""COMPUTED_VALUE"""),6300.0)</f>
        <v>6300</v>
      </c>
      <c r="W673" s="9" t="str">
        <f>IFERROR(__xludf.DUMMYFUNCTION("""COMPUTED_VALUE"""),"")</f>
        <v/>
      </c>
      <c r="X673" s="22" t="str">
        <f>IFERROR(__xludf.DUMMYFUNCTION("""COMPUTED_VALUE"""),"")</f>
        <v/>
      </c>
      <c r="Y673" s="22" t="str">
        <f>IFERROR(__xludf.DUMMYFUNCTION("""COMPUTED_VALUE"""),"")</f>
        <v/>
      </c>
      <c r="Z673" s="24" t="str">
        <f>IFERROR(__xludf.DUMMYFUNCTION("""COMPUTED_VALUE"""),"")</f>
        <v/>
      </c>
    </row>
    <row r="674">
      <c r="A674" s="5" t="str">
        <f>IFERROR(__xludf.DUMMYFUNCTION("""COMPUTED_VALUE"""),"")</f>
        <v/>
      </c>
      <c r="B674" s="5" t="str">
        <f>IFERROR(__xludf.DUMMYFUNCTION("""COMPUTED_VALUE"""),"46763")</f>
        <v>46763</v>
      </c>
      <c r="C674" s="9">
        <f>IFERROR(__xludf.DUMMYFUNCTION("""COMPUTED_VALUE"""),4.4628000471E10)</f>
        <v>44628000471</v>
      </c>
      <c r="D674" s="90" t="str">
        <f>IFERROR(__xludf.DUMMYFUNCTION("""COMPUTED_VALUE"""),"0151.HK")</f>
        <v>0151.HK</v>
      </c>
      <c r="E674" s="193">
        <f>IFERROR(__xludf.DUMMYFUNCTION("""COMPUTED_VALUE"""),44628.0)</f>
        <v>44628</v>
      </c>
      <c r="F674" s="5" t="str">
        <f>IFERROR(__xludf.DUMMYFUNCTION("""COMPUTED_VALUE"""),"Stock")</f>
        <v>Stock</v>
      </c>
      <c r="G674" s="5" t="str">
        <f>IFERROR(__xludf.DUMMYFUNCTION("""COMPUTED_VALUE"""),"HKD")</f>
        <v>HKD</v>
      </c>
      <c r="H674" s="22">
        <f>IFERROR(__xludf.DUMMYFUNCTION("""COMPUTED_VALUE"""),-10000.0)</f>
        <v>-10000</v>
      </c>
      <c r="I674" s="194">
        <f>IFERROR(__xludf.DUMMYFUNCTION("""COMPUTED_VALUE"""),1.0)</f>
        <v>1</v>
      </c>
      <c r="J674" s="23">
        <f>IFERROR(__xludf.DUMMYFUNCTION("""COMPUTED_VALUE"""),7.95)</f>
        <v>7.95</v>
      </c>
      <c r="K674" s="5"/>
      <c r="L674" s="23">
        <f>IFERROR(__xludf.DUMMYFUNCTION("""COMPUTED_VALUE"""),6.71)</f>
        <v>6.71</v>
      </c>
      <c r="M674" s="195" t="str">
        <f>IFERROR(__xludf.DUMMYFUNCTION("""COMPUTED_VALUE"""),"Equity Key Stats")</f>
        <v>Equity Key Stats</v>
      </c>
      <c r="N674" s="5"/>
      <c r="O674" s="5"/>
      <c r="P674" s="142">
        <f>IFERROR(__xludf.DUMMYFUNCTION("""COMPUTED_VALUE"""),79500.0)</f>
        <v>79500</v>
      </c>
      <c r="Q674" s="5"/>
      <c r="R674" s="71">
        <f>IFERROR(__xludf.DUMMYFUNCTION("""COMPUTED_VALUE"""),6.71)</f>
        <v>6.71</v>
      </c>
      <c r="S674" s="142">
        <f>IFERROR(__xludf.DUMMYFUNCTION("""COMPUTED_VALUE"""),-67100.0)</f>
        <v>-67100</v>
      </c>
      <c r="T674" s="5">
        <f>IFERROR(__xludf.DUMMYFUNCTION("""COMPUTED_VALUE"""),3.0)</f>
        <v>3</v>
      </c>
      <c r="U674" s="5" t="str">
        <f>IFERROR(__xludf.DUMMYFUNCTION("""COMPUTED_VALUE"""),"")</f>
        <v/>
      </c>
      <c r="V674" s="22" t="str">
        <f>IFERROR(__xludf.DUMMYFUNCTION("""COMPUTED_VALUE"""),"")</f>
        <v/>
      </c>
      <c r="W674" s="9" t="str">
        <f>IFERROR(__xludf.DUMMYFUNCTION("""COMPUTED_VALUE"""),"")</f>
        <v/>
      </c>
      <c r="X674" s="22" t="str">
        <f>IFERROR(__xludf.DUMMYFUNCTION("""COMPUTED_VALUE"""),"")</f>
        <v/>
      </c>
      <c r="Y674" s="22" t="str">
        <f>IFERROR(__xludf.DUMMYFUNCTION("""COMPUTED_VALUE"""),"")</f>
        <v/>
      </c>
      <c r="Z674" s="24" t="str">
        <f>IFERROR(__xludf.DUMMYFUNCTION("""COMPUTED_VALUE"""),"")</f>
        <v/>
      </c>
    </row>
    <row r="675">
      <c r="A675" s="5" t="str">
        <f>IFERROR(__xludf.DUMMYFUNCTION("""COMPUTED_VALUE"""),"")</f>
        <v/>
      </c>
      <c r="B675" s="5" t="str">
        <f>IFERROR(__xludf.DUMMYFUNCTION("""COMPUTED_VALUE"""),"46763")</f>
        <v>46763</v>
      </c>
      <c r="C675" s="9">
        <f>IFERROR(__xludf.DUMMYFUNCTION("""COMPUTED_VALUE"""),4.4634000532E10)</f>
        <v>44634000532</v>
      </c>
      <c r="D675" s="90" t="str">
        <f>IFERROR(__xludf.DUMMYFUNCTION("""COMPUTED_VALUE"""),"0151.HK")</f>
        <v>0151.HK</v>
      </c>
      <c r="E675" s="193">
        <f>IFERROR(__xludf.DUMMYFUNCTION("""COMPUTED_VALUE"""),44634.0)</f>
        <v>44634</v>
      </c>
      <c r="F675" s="5" t="str">
        <f>IFERROR(__xludf.DUMMYFUNCTION("""COMPUTED_VALUE"""),"Stock")</f>
        <v>Stock</v>
      </c>
      <c r="G675" s="5" t="str">
        <f>IFERROR(__xludf.DUMMYFUNCTION("""COMPUTED_VALUE"""),"HKD")</f>
        <v>HKD</v>
      </c>
      <c r="H675" s="22">
        <f>IFERROR(__xludf.DUMMYFUNCTION("""COMPUTED_VALUE"""),10000.0)</f>
        <v>10000</v>
      </c>
      <c r="I675" s="194">
        <f>IFERROR(__xludf.DUMMYFUNCTION("""COMPUTED_VALUE"""),1.0)</f>
        <v>1</v>
      </c>
      <c r="J675" s="23">
        <f>IFERROR(__xludf.DUMMYFUNCTION("""COMPUTED_VALUE"""),7.78)</f>
        <v>7.78</v>
      </c>
      <c r="K675" s="5"/>
      <c r="L675" s="23">
        <f>IFERROR(__xludf.DUMMYFUNCTION("""COMPUTED_VALUE"""),6.71)</f>
        <v>6.71</v>
      </c>
      <c r="M675" s="195" t="str">
        <f>IFERROR(__xludf.DUMMYFUNCTION("""COMPUTED_VALUE"""),"Equity Key Stats")</f>
        <v>Equity Key Stats</v>
      </c>
      <c r="N675" s="5"/>
      <c r="O675" s="5"/>
      <c r="P675" s="142">
        <f>IFERROR(__xludf.DUMMYFUNCTION("""COMPUTED_VALUE"""),-77800.0)</f>
        <v>-77800</v>
      </c>
      <c r="Q675" s="5"/>
      <c r="R675" s="71">
        <f>IFERROR(__xludf.DUMMYFUNCTION("""COMPUTED_VALUE"""),6.71)</f>
        <v>6.71</v>
      </c>
      <c r="S675" s="142">
        <f>IFERROR(__xludf.DUMMYFUNCTION("""COMPUTED_VALUE"""),67100.0)</f>
        <v>67100</v>
      </c>
      <c r="T675" s="5">
        <f>IFERROR(__xludf.DUMMYFUNCTION("""COMPUTED_VALUE"""),3.0)</f>
        <v>3</v>
      </c>
      <c r="U675" s="5">
        <f>IFERROR(__xludf.DUMMYFUNCTION("""COMPUTED_VALUE"""),1.0)</f>
        <v>1</v>
      </c>
      <c r="V675" s="22">
        <f>IFERROR(__xludf.DUMMYFUNCTION("""COMPUTED_VALUE"""),-10700.0)</f>
        <v>-10700</v>
      </c>
      <c r="W675" s="9" t="str">
        <f>IFERROR(__xludf.DUMMYFUNCTION("""COMPUTED_VALUE"""),"")</f>
        <v/>
      </c>
      <c r="X675" s="22" t="str">
        <f>IFERROR(__xludf.DUMMYFUNCTION("""COMPUTED_VALUE"""),"")</f>
        <v/>
      </c>
      <c r="Y675" s="22" t="str">
        <f>IFERROR(__xludf.DUMMYFUNCTION("""COMPUTED_VALUE"""),"")</f>
        <v/>
      </c>
      <c r="Z675" s="24" t="str">
        <f>IFERROR(__xludf.DUMMYFUNCTION("""COMPUTED_VALUE"""),"")</f>
        <v/>
      </c>
    </row>
    <row r="676">
      <c r="A676" s="5" t="str">
        <f>IFERROR(__xludf.DUMMYFUNCTION("""COMPUTED_VALUE"""),"")</f>
        <v/>
      </c>
      <c r="B676" s="5" t="str">
        <f>IFERROR(__xludf.DUMMYFUNCTION("""COMPUTED_VALUE"""),"46763")</f>
        <v>46763</v>
      </c>
      <c r="C676" s="9">
        <f>IFERROR(__xludf.DUMMYFUNCTION("""COMPUTED_VALUE"""),4.4651001035E10)</f>
        <v>44651001035</v>
      </c>
      <c r="D676" s="90" t="str">
        <f>IFERROR(__xludf.DUMMYFUNCTION("""COMPUTED_VALUE"""),"0386.HK")</f>
        <v>0386.HK</v>
      </c>
      <c r="E676" s="193">
        <f>IFERROR(__xludf.DUMMYFUNCTION("""COMPUTED_VALUE"""),44651.0)</f>
        <v>44651</v>
      </c>
      <c r="F676" s="5" t="str">
        <f>IFERROR(__xludf.DUMMYFUNCTION("""COMPUTED_VALUE"""),"Stock")</f>
        <v>Stock</v>
      </c>
      <c r="G676" s="5" t="str">
        <f>IFERROR(__xludf.DUMMYFUNCTION("""COMPUTED_VALUE"""),"HKD")</f>
        <v>HKD</v>
      </c>
      <c r="H676" s="22">
        <f>IFERROR(__xludf.DUMMYFUNCTION("""COMPUTED_VALUE"""),20000.0)</f>
        <v>20000</v>
      </c>
      <c r="I676" s="194">
        <f>IFERROR(__xludf.DUMMYFUNCTION("""COMPUTED_VALUE"""),1.0)</f>
        <v>1</v>
      </c>
      <c r="J676" s="23">
        <f>IFERROR(__xludf.DUMMYFUNCTION("""COMPUTED_VALUE"""),3.93)</f>
        <v>3.93</v>
      </c>
      <c r="K676" s="5"/>
      <c r="L676" s="23">
        <f>IFERROR(__xludf.DUMMYFUNCTION("""COMPUTED_VALUE"""),4.0)</f>
        <v>4</v>
      </c>
      <c r="M676" s="195" t="str">
        <f>IFERROR(__xludf.DUMMYFUNCTION("""COMPUTED_VALUE"""),"Equity Key Stats")</f>
        <v>Equity Key Stats</v>
      </c>
      <c r="N676" s="5"/>
      <c r="O676" s="5"/>
      <c r="P676" s="142">
        <f>IFERROR(__xludf.DUMMYFUNCTION("""COMPUTED_VALUE"""),-78600.0)</f>
        <v>-78600</v>
      </c>
      <c r="Q676" s="5"/>
      <c r="R676" s="71">
        <f>IFERROR(__xludf.DUMMYFUNCTION("""COMPUTED_VALUE"""),4.0)</f>
        <v>4</v>
      </c>
      <c r="S676" s="142">
        <f>IFERROR(__xludf.DUMMYFUNCTION("""COMPUTED_VALUE"""),80000.0)</f>
        <v>80000</v>
      </c>
      <c r="T676" s="5">
        <f>IFERROR(__xludf.DUMMYFUNCTION("""COMPUTED_VALUE"""),1.0)</f>
        <v>1</v>
      </c>
      <c r="U676" s="5">
        <f>IFERROR(__xludf.DUMMYFUNCTION("""COMPUTED_VALUE"""),1.0)</f>
        <v>1</v>
      </c>
      <c r="V676" s="22">
        <f>IFERROR(__xludf.DUMMYFUNCTION("""COMPUTED_VALUE"""),1400.0)</f>
        <v>1400</v>
      </c>
      <c r="W676" s="9" t="str">
        <f>IFERROR(__xludf.DUMMYFUNCTION("""COMPUTED_VALUE"""),"")</f>
        <v/>
      </c>
      <c r="X676" s="22" t="str">
        <f>IFERROR(__xludf.DUMMYFUNCTION("""COMPUTED_VALUE"""),"")</f>
        <v/>
      </c>
      <c r="Y676" s="22" t="str">
        <f>IFERROR(__xludf.DUMMYFUNCTION("""COMPUTED_VALUE"""),"")</f>
        <v/>
      </c>
      <c r="Z676" s="24" t="str">
        <f>IFERROR(__xludf.DUMMYFUNCTION("""COMPUTED_VALUE"""),"")</f>
        <v/>
      </c>
    </row>
    <row r="677">
      <c r="A677" s="5" t="str">
        <f>IFERROR(__xludf.DUMMYFUNCTION("""COMPUTED_VALUE"""),"")</f>
        <v/>
      </c>
      <c r="B677" s="5" t="str">
        <f>IFERROR(__xludf.DUMMYFUNCTION("""COMPUTED_VALUE"""),"46763")</f>
        <v>46763</v>
      </c>
      <c r="C677" s="9">
        <f>IFERROR(__xludf.DUMMYFUNCTION("""COMPUTED_VALUE"""),4.4651001036E10)</f>
        <v>44651001036</v>
      </c>
      <c r="D677" s="90" t="str">
        <f>IFERROR(__xludf.DUMMYFUNCTION("""COMPUTED_VALUE"""),"0241.HK")</f>
        <v>0241.HK</v>
      </c>
      <c r="E677" s="193">
        <f>IFERROR(__xludf.DUMMYFUNCTION("""COMPUTED_VALUE"""),44651.0)</f>
        <v>44651</v>
      </c>
      <c r="F677" s="5" t="str">
        <f>IFERROR(__xludf.DUMMYFUNCTION("""COMPUTED_VALUE"""),"Stock")</f>
        <v>Stock</v>
      </c>
      <c r="G677" s="5" t="str">
        <f>IFERROR(__xludf.DUMMYFUNCTION("""COMPUTED_VALUE"""),"HKD")</f>
        <v>HKD</v>
      </c>
      <c r="H677" s="22">
        <f>IFERROR(__xludf.DUMMYFUNCTION("""COMPUTED_VALUE"""),10000.0)</f>
        <v>10000</v>
      </c>
      <c r="I677" s="194">
        <f>IFERROR(__xludf.DUMMYFUNCTION("""COMPUTED_VALUE"""),1.0)</f>
        <v>1</v>
      </c>
      <c r="J677" s="23">
        <f>IFERROR(__xludf.DUMMYFUNCTION("""COMPUTED_VALUE"""),5.08)</f>
        <v>5.08</v>
      </c>
      <c r="K677" s="5"/>
      <c r="L677" s="23">
        <f>IFERROR(__xludf.DUMMYFUNCTION("""COMPUTED_VALUE"""),4.66)</f>
        <v>4.66</v>
      </c>
      <c r="M677" s="195" t="str">
        <f>IFERROR(__xludf.DUMMYFUNCTION("""COMPUTED_VALUE"""),"Equity Key Stats")</f>
        <v>Equity Key Stats</v>
      </c>
      <c r="N677" s="5"/>
      <c r="O677" s="5"/>
      <c r="P677" s="142">
        <f>IFERROR(__xludf.DUMMYFUNCTION("""COMPUTED_VALUE"""),-50800.0)</f>
        <v>-50800</v>
      </c>
      <c r="Q677" s="5"/>
      <c r="R677" s="71">
        <f>IFERROR(__xludf.DUMMYFUNCTION("""COMPUTED_VALUE"""),4.66)</f>
        <v>4.66</v>
      </c>
      <c r="S677" s="142">
        <f>IFERROR(__xludf.DUMMYFUNCTION("""COMPUTED_VALUE"""),46600.0)</f>
        <v>46600</v>
      </c>
      <c r="T677" s="5">
        <f>IFERROR(__xludf.DUMMYFUNCTION("""COMPUTED_VALUE"""),1.0)</f>
        <v>1</v>
      </c>
      <c r="U677" s="5">
        <f>IFERROR(__xludf.DUMMYFUNCTION("""COMPUTED_VALUE"""),1.0)</f>
        <v>1</v>
      </c>
      <c r="V677" s="22">
        <f>IFERROR(__xludf.DUMMYFUNCTION("""COMPUTED_VALUE"""),-4200.0)</f>
        <v>-4200</v>
      </c>
      <c r="W677" s="9" t="str">
        <f>IFERROR(__xludf.DUMMYFUNCTION("""COMPUTED_VALUE"""),"")</f>
        <v/>
      </c>
      <c r="X677" s="22" t="str">
        <f>IFERROR(__xludf.DUMMYFUNCTION("""COMPUTED_VALUE"""),"")</f>
        <v/>
      </c>
      <c r="Y677" s="22" t="str">
        <f>IFERROR(__xludf.DUMMYFUNCTION("""COMPUTED_VALUE"""),"")</f>
        <v/>
      </c>
      <c r="Z677" s="24" t="str">
        <f>IFERROR(__xludf.DUMMYFUNCTION("""COMPUTED_VALUE"""),"")</f>
        <v/>
      </c>
    </row>
    <row r="678">
      <c r="A678" s="5" t="str">
        <f>IFERROR(__xludf.DUMMYFUNCTION("""COMPUTED_VALUE"""),"46763")</f>
        <v>46763</v>
      </c>
      <c r="B678" s="5" t="str">
        <f>IFERROR(__xludf.DUMMYFUNCTION("""COMPUTED_VALUE"""),"46763")</f>
        <v>46763</v>
      </c>
      <c r="C678" s="9">
        <f>IFERROR(__xludf.DUMMYFUNCTION("""COMPUTED_VALUE"""),4.4651001037E10)</f>
        <v>44651001037</v>
      </c>
      <c r="D678" s="90" t="str">
        <f>IFERROR(__xludf.DUMMYFUNCTION("""COMPUTED_VALUE"""),"0460.HK")</f>
        <v>0460.HK</v>
      </c>
      <c r="E678" s="193">
        <f>IFERROR(__xludf.DUMMYFUNCTION("""COMPUTED_VALUE"""),44651.0)</f>
        <v>44651</v>
      </c>
      <c r="F678" s="5" t="str">
        <f>IFERROR(__xludf.DUMMYFUNCTION("""COMPUTED_VALUE"""),"Stock")</f>
        <v>Stock</v>
      </c>
      <c r="G678" s="5" t="str">
        <f>IFERROR(__xludf.DUMMYFUNCTION("""COMPUTED_VALUE"""),"HKD")</f>
        <v>HKD</v>
      </c>
      <c r="H678" s="22">
        <f>IFERROR(__xludf.DUMMYFUNCTION("""COMPUTED_VALUE"""),70000.0)</f>
        <v>70000</v>
      </c>
      <c r="I678" s="194">
        <f>IFERROR(__xludf.DUMMYFUNCTION("""COMPUTED_VALUE"""),1.0)</f>
        <v>1</v>
      </c>
      <c r="J678" s="23">
        <f>IFERROR(__xludf.DUMMYFUNCTION("""COMPUTED_VALUE"""),1.57)</f>
        <v>1.57</v>
      </c>
      <c r="K678" s="5"/>
      <c r="L678" s="23">
        <f>IFERROR(__xludf.DUMMYFUNCTION("""COMPUTED_VALUE"""),1.41)</f>
        <v>1.41</v>
      </c>
      <c r="M678" s="195" t="str">
        <f>IFERROR(__xludf.DUMMYFUNCTION("""COMPUTED_VALUE"""),"Equity Key Stats")</f>
        <v>Equity Key Stats</v>
      </c>
      <c r="N678" s="5"/>
      <c r="O678" s="5"/>
      <c r="P678" s="142">
        <f>IFERROR(__xludf.DUMMYFUNCTION("""COMPUTED_VALUE"""),-109900.0)</f>
        <v>-109900</v>
      </c>
      <c r="Q678" s="5"/>
      <c r="R678" s="71">
        <f>IFERROR(__xludf.DUMMYFUNCTION("""COMPUTED_VALUE"""),1.41)</f>
        <v>1.41</v>
      </c>
      <c r="S678" s="142">
        <f>IFERROR(__xludf.DUMMYFUNCTION("""COMPUTED_VALUE"""),98700.0)</f>
        <v>98700</v>
      </c>
      <c r="T678" s="5">
        <f>IFERROR(__xludf.DUMMYFUNCTION("""COMPUTED_VALUE"""),1.0)</f>
        <v>1</v>
      </c>
      <c r="U678" s="5">
        <f>IFERROR(__xludf.DUMMYFUNCTION("""COMPUTED_VALUE"""),1.0)</f>
        <v>1</v>
      </c>
      <c r="V678" s="22">
        <f>IFERROR(__xludf.DUMMYFUNCTION("""COMPUTED_VALUE"""),-11200.0)</f>
        <v>-11200</v>
      </c>
      <c r="W678" s="9">
        <f>IFERROR(__xludf.DUMMYFUNCTION("""COMPUTED_VALUE"""),481600.0)</f>
        <v>481600</v>
      </c>
      <c r="X678" s="22">
        <f>IFERROR(__xludf.DUMMYFUNCTION("""COMPUTED_VALUE"""),104150.0)</f>
        <v>104150</v>
      </c>
      <c r="Y678" s="22">
        <f>IFERROR(__xludf.DUMMYFUNCTION("""COMPUTED_VALUE"""),0.0)</f>
        <v>0</v>
      </c>
      <c r="Z678" s="24">
        <f>IFERROR(__xludf.DUMMYFUNCTION("""COMPUTED_VALUE"""),-0.036800000000000055)</f>
        <v>-0.0368</v>
      </c>
    </row>
    <row r="679">
      <c r="A679" s="5" t="str">
        <f>IFERROR(__xludf.DUMMYFUNCTION("""COMPUTED_VALUE"""),"")</f>
        <v/>
      </c>
      <c r="B679" s="5" t="str">
        <f>IFERROR(__xludf.DUMMYFUNCTION("""COMPUTED_VALUE"""),"46876")</f>
        <v>46876</v>
      </c>
      <c r="C679" s="9">
        <f>IFERROR(__xludf.DUMMYFUNCTION("""COMPUTED_VALUE"""),4.4597000035E10)</f>
        <v>44597000035</v>
      </c>
      <c r="D679" s="85" t="str">
        <f>IFERROR(__xludf.DUMMYFUNCTION("""COMPUTED_VALUE"""),"Cash")</f>
        <v>Cash</v>
      </c>
      <c r="E679" s="193">
        <f>IFERROR(__xludf.DUMMYFUNCTION("""COMPUTED_VALUE"""),44597.0)</f>
        <v>44597</v>
      </c>
      <c r="F679" s="5" t="str">
        <f>IFERROR(__xludf.DUMMYFUNCTION("""COMPUTED_VALUE"""),"Cash")</f>
        <v>Cash</v>
      </c>
      <c r="G679" s="5" t="str">
        <f>IFERROR(__xludf.DUMMYFUNCTION("""COMPUTED_VALUE"""),"HKD")</f>
        <v>HKD</v>
      </c>
      <c r="H679" s="22" t="str">
        <f>IFERROR(__xludf.DUMMYFUNCTION("""COMPUTED_VALUE"""),"")</f>
        <v/>
      </c>
      <c r="I679" s="194">
        <f>IFERROR(__xludf.DUMMYFUNCTION("""COMPUTED_VALUE"""),1.0)</f>
        <v>1</v>
      </c>
      <c r="J679" s="5">
        <f>IFERROR(__xludf.DUMMYFUNCTION("""COMPUTED_VALUE"""),1.0)</f>
        <v>1</v>
      </c>
      <c r="K679" s="5"/>
      <c r="L679" s="23">
        <f>IFERROR(__xludf.DUMMYFUNCTION("""COMPUTED_VALUE"""),1.0)</f>
        <v>1</v>
      </c>
      <c r="M679" s="25" t="str">
        <f>IFERROR(__xludf.DUMMYFUNCTION("""COMPUTED_VALUE"""),"")</f>
        <v/>
      </c>
      <c r="N679" s="5"/>
      <c r="O679" s="5"/>
      <c r="P679" s="142">
        <f>IFERROR(__xludf.DUMMYFUNCTION("""COMPUTED_VALUE"""),500000.0)</f>
        <v>500000</v>
      </c>
      <c r="Q679" s="5"/>
      <c r="R679" s="71">
        <f>IFERROR(__xludf.DUMMYFUNCTION("""COMPUTED_VALUE"""),1.0)</f>
        <v>1</v>
      </c>
      <c r="S679" s="142" t="str">
        <f>IFERROR(__xludf.DUMMYFUNCTION("""COMPUTED_VALUE"""),"")</f>
        <v/>
      </c>
      <c r="T679" s="5">
        <f>IFERROR(__xludf.DUMMYFUNCTION("""COMPUTED_VALUE"""),1.0)</f>
        <v>1</v>
      </c>
      <c r="U679" s="5">
        <f>IFERROR(__xludf.DUMMYFUNCTION("""COMPUTED_VALUE"""),1.0)</f>
        <v>1</v>
      </c>
      <c r="V679" s="22">
        <f>IFERROR(__xludf.DUMMYFUNCTION("""COMPUTED_VALUE"""),500000.0)</f>
        <v>500000</v>
      </c>
      <c r="W679" s="9" t="str">
        <f>IFERROR(__xludf.DUMMYFUNCTION("""COMPUTED_VALUE"""),"")</f>
        <v/>
      </c>
      <c r="X679" s="22" t="str">
        <f>IFERROR(__xludf.DUMMYFUNCTION("""COMPUTED_VALUE"""),"")</f>
        <v/>
      </c>
      <c r="Y679" s="22" t="str">
        <f>IFERROR(__xludf.DUMMYFUNCTION("""COMPUTED_VALUE"""),"")</f>
        <v/>
      </c>
      <c r="Z679" s="24" t="str">
        <f>IFERROR(__xludf.DUMMYFUNCTION("""COMPUTED_VALUE"""),"")</f>
        <v/>
      </c>
    </row>
    <row r="680">
      <c r="A680" s="5" t="str">
        <f>IFERROR(__xludf.DUMMYFUNCTION("""COMPUTED_VALUE"""),"")</f>
        <v/>
      </c>
      <c r="B680" s="5" t="str">
        <f>IFERROR(__xludf.DUMMYFUNCTION("""COMPUTED_VALUE"""),"46876")</f>
        <v>46876</v>
      </c>
      <c r="C680" s="9">
        <f>IFERROR(__xludf.DUMMYFUNCTION("""COMPUTED_VALUE"""),4.4628000479E10)</f>
        <v>44628000479</v>
      </c>
      <c r="D680" s="87" t="str">
        <f>IFERROR(__xludf.DUMMYFUNCTION("""COMPUTED_VALUE"""),"FSR")</f>
        <v>FSR</v>
      </c>
      <c r="E680" s="193">
        <f>IFERROR(__xludf.DUMMYFUNCTION("""COMPUTED_VALUE"""),44628.0)</f>
        <v>44628</v>
      </c>
      <c r="F680" s="5" t="str">
        <f>IFERROR(__xludf.DUMMYFUNCTION("""COMPUTED_VALUE"""),"Stock")</f>
        <v>Stock</v>
      </c>
      <c r="G680" s="5" t="str">
        <f>IFERROR(__xludf.DUMMYFUNCTION("""COMPUTED_VALUE"""),"USD")</f>
        <v>USD</v>
      </c>
      <c r="H680" s="22">
        <f>IFERROR(__xludf.DUMMYFUNCTION("""COMPUTED_VALUE"""),0.0)</f>
        <v>0</v>
      </c>
      <c r="I680" s="194">
        <f>IFERROR(__xludf.DUMMYFUNCTION("""COMPUTED_VALUE"""),7.818975)</f>
        <v>7.818975</v>
      </c>
      <c r="J680" s="23">
        <f>IFERROR(__xludf.DUMMYFUNCTION("""COMPUTED_VALUE"""),0.0)</f>
        <v>0</v>
      </c>
      <c r="K680" s="5"/>
      <c r="L680" s="23">
        <f>IFERROR(__xludf.DUMMYFUNCTION("""COMPUTED_VALUE"""),12.69)</f>
        <v>12.69</v>
      </c>
      <c r="M680" s="195" t="str">
        <f>IFERROR(__xludf.DUMMYFUNCTION("""COMPUTED_VALUE"""),"Equity Key Stats")</f>
        <v>Equity Key Stats</v>
      </c>
      <c r="N680" s="5"/>
      <c r="O680" s="5"/>
      <c r="P680" s="142">
        <f>IFERROR(__xludf.DUMMYFUNCTION("""COMPUTED_VALUE"""),0.0)</f>
        <v>0</v>
      </c>
      <c r="Q680" s="5"/>
      <c r="R680" s="71">
        <f>IFERROR(__xludf.DUMMYFUNCTION("""COMPUTED_VALUE"""),12.69)</f>
        <v>12.69</v>
      </c>
      <c r="S680" s="142">
        <f>IFERROR(__xludf.DUMMYFUNCTION("""COMPUTED_VALUE"""),0.0)</f>
        <v>0</v>
      </c>
      <c r="T680" s="5">
        <f>IFERROR(__xludf.DUMMYFUNCTION("""COMPUTED_VALUE"""),1.0)</f>
        <v>1</v>
      </c>
      <c r="U680" s="5">
        <f>IFERROR(__xludf.DUMMYFUNCTION("""COMPUTED_VALUE"""),1.0)</f>
        <v>1</v>
      </c>
      <c r="V680" s="22">
        <f>IFERROR(__xludf.DUMMYFUNCTION("""COMPUTED_VALUE"""),0.0)</f>
        <v>0</v>
      </c>
      <c r="W680" s="9" t="str">
        <f>IFERROR(__xludf.DUMMYFUNCTION("""COMPUTED_VALUE"""),"")</f>
        <v/>
      </c>
      <c r="X680" s="22" t="str">
        <f>IFERROR(__xludf.DUMMYFUNCTION("""COMPUTED_VALUE"""),"")</f>
        <v/>
      </c>
      <c r="Y680" s="22" t="str">
        <f>IFERROR(__xludf.DUMMYFUNCTION("""COMPUTED_VALUE"""),"")</f>
        <v/>
      </c>
      <c r="Z680" s="24" t="str">
        <f>IFERROR(__xludf.DUMMYFUNCTION("""COMPUTED_VALUE"""),"")</f>
        <v/>
      </c>
    </row>
    <row r="681">
      <c r="A681" s="5" t="str">
        <f>IFERROR(__xludf.DUMMYFUNCTION("""COMPUTED_VALUE"""),"")</f>
        <v/>
      </c>
      <c r="B681" s="5" t="str">
        <f>IFERROR(__xludf.DUMMYFUNCTION("""COMPUTED_VALUE"""),"46876")</f>
        <v>46876</v>
      </c>
      <c r="C681" s="9">
        <f>IFERROR(__xludf.DUMMYFUNCTION("""COMPUTED_VALUE"""),4.463400055E10)</f>
        <v>44634000550</v>
      </c>
      <c r="D681" s="90" t="str">
        <f>IFERROR(__xludf.DUMMYFUNCTION("""COMPUTED_VALUE"""),"1898.HK")</f>
        <v>1898.HK</v>
      </c>
      <c r="E681" s="193">
        <f>IFERROR(__xludf.DUMMYFUNCTION("""COMPUTED_VALUE"""),44634.0)</f>
        <v>44634</v>
      </c>
      <c r="F681" s="5" t="str">
        <f>IFERROR(__xludf.DUMMYFUNCTION("""COMPUTED_VALUE"""),"Stock")</f>
        <v>Stock</v>
      </c>
      <c r="G681" s="5" t="str">
        <f>IFERROR(__xludf.DUMMYFUNCTION("""COMPUTED_VALUE"""),"HKD")</f>
        <v>HKD</v>
      </c>
      <c r="H681" s="22">
        <f>IFERROR(__xludf.DUMMYFUNCTION("""COMPUTED_VALUE"""),55000.0)</f>
        <v>55000</v>
      </c>
      <c r="I681" s="194">
        <f>IFERROR(__xludf.DUMMYFUNCTION("""COMPUTED_VALUE"""),1.0)</f>
        <v>1</v>
      </c>
      <c r="J681" s="23">
        <f>IFERROR(__xludf.DUMMYFUNCTION("""COMPUTED_VALUE"""),4.59)</f>
        <v>4.59</v>
      </c>
      <c r="K681" s="5"/>
      <c r="L681" s="23">
        <f>IFERROR(__xludf.DUMMYFUNCTION("""COMPUTED_VALUE"""),7.14)</f>
        <v>7.14</v>
      </c>
      <c r="M681" s="195" t="str">
        <f>IFERROR(__xludf.DUMMYFUNCTION("""COMPUTED_VALUE"""),"Equity Key Stats")</f>
        <v>Equity Key Stats</v>
      </c>
      <c r="N681" s="5"/>
      <c r="O681" s="5"/>
      <c r="P681" s="142">
        <f>IFERROR(__xludf.DUMMYFUNCTION("""COMPUTED_VALUE"""),-252450.0)</f>
        <v>-252450</v>
      </c>
      <c r="Q681" s="5"/>
      <c r="R681" s="71">
        <f>IFERROR(__xludf.DUMMYFUNCTION("""COMPUTED_VALUE"""),7.14)</f>
        <v>7.14</v>
      </c>
      <c r="S681" s="142">
        <f>IFERROR(__xludf.DUMMYFUNCTION("""COMPUTED_VALUE"""),392700.0)</f>
        <v>392700</v>
      </c>
      <c r="T681" s="5">
        <f>IFERROR(__xludf.DUMMYFUNCTION("""COMPUTED_VALUE"""),1.0)</f>
        <v>1</v>
      </c>
      <c r="U681" s="5">
        <f>IFERROR(__xludf.DUMMYFUNCTION("""COMPUTED_VALUE"""),1.0)</f>
        <v>1</v>
      </c>
      <c r="V681" s="22">
        <f>IFERROR(__xludf.DUMMYFUNCTION("""COMPUTED_VALUE"""),140250.0)</f>
        <v>140250</v>
      </c>
      <c r="W681" s="9" t="str">
        <f>IFERROR(__xludf.DUMMYFUNCTION("""COMPUTED_VALUE"""),"")</f>
        <v/>
      </c>
      <c r="X681" s="22" t="str">
        <f>IFERROR(__xludf.DUMMYFUNCTION("""COMPUTED_VALUE"""),"")</f>
        <v/>
      </c>
      <c r="Y681" s="22" t="str">
        <f>IFERROR(__xludf.DUMMYFUNCTION("""COMPUTED_VALUE"""),"")</f>
        <v/>
      </c>
      <c r="Z681" s="24" t="str">
        <f>IFERROR(__xludf.DUMMYFUNCTION("""COMPUTED_VALUE"""),"")</f>
        <v/>
      </c>
    </row>
    <row r="682">
      <c r="A682" s="5" t="str">
        <f>IFERROR(__xludf.DUMMYFUNCTION("""COMPUTED_VALUE"""),"46876")</f>
        <v>46876</v>
      </c>
      <c r="B682" s="5" t="str">
        <f>IFERROR(__xludf.DUMMYFUNCTION("""COMPUTED_VALUE"""),"46876")</f>
        <v>46876</v>
      </c>
      <c r="C682" s="9">
        <f>IFERROR(__xludf.DUMMYFUNCTION("""COMPUTED_VALUE"""),4.4638000685E10)</f>
        <v>44638000685</v>
      </c>
      <c r="D682" s="90" t="str">
        <f>IFERROR(__xludf.DUMMYFUNCTION("""COMPUTED_VALUE"""),"9988.HK")</f>
        <v>9988.HK</v>
      </c>
      <c r="E682" s="193">
        <f>IFERROR(__xludf.DUMMYFUNCTION("""COMPUTED_VALUE"""),44638.0)</f>
        <v>44638</v>
      </c>
      <c r="F682" s="5" t="str">
        <f>IFERROR(__xludf.DUMMYFUNCTION("""COMPUTED_VALUE"""),"Stock")</f>
        <v>Stock</v>
      </c>
      <c r="G682" s="5" t="str">
        <f>IFERROR(__xludf.DUMMYFUNCTION("""COMPUTED_VALUE"""),"HKD")</f>
        <v>HKD</v>
      </c>
      <c r="H682" s="22">
        <f>IFERROR(__xludf.DUMMYFUNCTION("""COMPUTED_VALUE"""),-1000.0)</f>
        <v>-1000</v>
      </c>
      <c r="I682" s="194">
        <f>IFERROR(__xludf.DUMMYFUNCTION("""COMPUTED_VALUE"""),1.0)</f>
        <v>1</v>
      </c>
      <c r="J682" s="23">
        <f>IFERROR(__xludf.DUMMYFUNCTION("""COMPUTED_VALUE"""),98.35)</f>
        <v>98.35</v>
      </c>
      <c r="K682" s="5"/>
      <c r="L682" s="23">
        <f>IFERROR(__xludf.DUMMYFUNCTION("""COMPUTED_VALUE"""),98.5)</f>
        <v>98.5</v>
      </c>
      <c r="M682" s="195" t="str">
        <f>IFERROR(__xludf.DUMMYFUNCTION("""COMPUTED_VALUE"""),"Equity Key Stats")</f>
        <v>Equity Key Stats</v>
      </c>
      <c r="N682" s="5"/>
      <c r="O682" s="5"/>
      <c r="P682" s="142">
        <f>IFERROR(__xludf.DUMMYFUNCTION("""COMPUTED_VALUE"""),98350.0)</f>
        <v>98350</v>
      </c>
      <c r="Q682" s="5"/>
      <c r="R682" s="71">
        <f>IFERROR(__xludf.DUMMYFUNCTION("""COMPUTED_VALUE"""),98.5)</f>
        <v>98.5</v>
      </c>
      <c r="S682" s="142">
        <f>IFERROR(__xludf.DUMMYFUNCTION("""COMPUTED_VALUE"""),-98500.0)</f>
        <v>-98500</v>
      </c>
      <c r="T682" s="5">
        <f>IFERROR(__xludf.DUMMYFUNCTION("""COMPUTED_VALUE"""),1.0)</f>
        <v>1</v>
      </c>
      <c r="U682" s="5">
        <f>IFERROR(__xludf.DUMMYFUNCTION("""COMPUTED_VALUE"""),1.0)</f>
        <v>1</v>
      </c>
      <c r="V682" s="22">
        <f>IFERROR(__xludf.DUMMYFUNCTION("""COMPUTED_VALUE"""),-150.0)</f>
        <v>-150</v>
      </c>
      <c r="W682" s="9">
        <f>IFERROR(__xludf.DUMMYFUNCTION("""COMPUTED_VALUE"""),640100.0)</f>
        <v>640100</v>
      </c>
      <c r="X682" s="22">
        <f>IFERROR(__xludf.DUMMYFUNCTION("""COMPUTED_VALUE"""),149200.0)</f>
        <v>149200</v>
      </c>
      <c r="Y682" s="22">
        <f>IFERROR(__xludf.DUMMYFUNCTION("""COMPUTED_VALUE"""),0.0)</f>
        <v>0</v>
      </c>
      <c r="Z682" s="24">
        <f>IFERROR(__xludf.DUMMYFUNCTION("""COMPUTED_VALUE"""),0.2802)</f>
        <v>0.2802</v>
      </c>
    </row>
    <row r="683">
      <c r="A683" s="5" t="str">
        <f>IFERROR(__xludf.DUMMYFUNCTION("""COMPUTED_VALUE"""),"")</f>
        <v/>
      </c>
      <c r="B683" s="5" t="str">
        <f>IFERROR(__xludf.DUMMYFUNCTION("""COMPUTED_VALUE"""),"46975")</f>
        <v>46975</v>
      </c>
      <c r="C683" s="9">
        <f>IFERROR(__xludf.DUMMYFUNCTION("""COMPUTED_VALUE"""),4.4597000116E10)</f>
        <v>44597000116</v>
      </c>
      <c r="D683" s="85" t="str">
        <f>IFERROR(__xludf.DUMMYFUNCTION("""COMPUTED_VALUE"""),"Cash")</f>
        <v>Cash</v>
      </c>
      <c r="E683" s="193">
        <f>IFERROR(__xludf.DUMMYFUNCTION("""COMPUTED_VALUE"""),44597.0)</f>
        <v>44597</v>
      </c>
      <c r="F683" s="5" t="str">
        <f>IFERROR(__xludf.DUMMYFUNCTION("""COMPUTED_VALUE"""),"Cash")</f>
        <v>Cash</v>
      </c>
      <c r="G683" s="5" t="str">
        <f>IFERROR(__xludf.DUMMYFUNCTION("""COMPUTED_VALUE"""),"HKD")</f>
        <v>HKD</v>
      </c>
      <c r="H683" s="22" t="str">
        <f>IFERROR(__xludf.DUMMYFUNCTION("""COMPUTED_VALUE"""),"")</f>
        <v/>
      </c>
      <c r="I683" s="194">
        <f>IFERROR(__xludf.DUMMYFUNCTION("""COMPUTED_VALUE"""),1.0)</f>
        <v>1</v>
      </c>
      <c r="J683" s="5">
        <f>IFERROR(__xludf.DUMMYFUNCTION("""COMPUTED_VALUE"""),1.0)</f>
        <v>1</v>
      </c>
      <c r="K683" s="5"/>
      <c r="L683" s="23">
        <f>IFERROR(__xludf.DUMMYFUNCTION("""COMPUTED_VALUE"""),1.0)</f>
        <v>1</v>
      </c>
      <c r="M683" s="25" t="str">
        <f>IFERROR(__xludf.DUMMYFUNCTION("""COMPUTED_VALUE"""),"")</f>
        <v/>
      </c>
      <c r="N683" s="5"/>
      <c r="O683" s="5"/>
      <c r="P683" s="142">
        <f>IFERROR(__xludf.DUMMYFUNCTION("""COMPUTED_VALUE"""),500000.0)</f>
        <v>500000</v>
      </c>
      <c r="Q683" s="5"/>
      <c r="R683" s="71">
        <f>IFERROR(__xludf.DUMMYFUNCTION("""COMPUTED_VALUE"""),1.0)</f>
        <v>1</v>
      </c>
      <c r="S683" s="142" t="str">
        <f>IFERROR(__xludf.DUMMYFUNCTION("""COMPUTED_VALUE"""),"")</f>
        <v/>
      </c>
      <c r="T683" s="5">
        <f>IFERROR(__xludf.DUMMYFUNCTION("""COMPUTED_VALUE"""),1.0)</f>
        <v>1</v>
      </c>
      <c r="U683" s="5">
        <f>IFERROR(__xludf.DUMMYFUNCTION("""COMPUTED_VALUE"""),1.0)</f>
        <v>1</v>
      </c>
      <c r="V683" s="22">
        <f>IFERROR(__xludf.DUMMYFUNCTION("""COMPUTED_VALUE"""),500000.0)</f>
        <v>500000</v>
      </c>
      <c r="W683" s="9" t="str">
        <f>IFERROR(__xludf.DUMMYFUNCTION("""COMPUTED_VALUE"""),"")</f>
        <v/>
      </c>
      <c r="X683" s="22" t="str">
        <f>IFERROR(__xludf.DUMMYFUNCTION("""COMPUTED_VALUE"""),"")</f>
        <v/>
      </c>
      <c r="Y683" s="22" t="str">
        <f>IFERROR(__xludf.DUMMYFUNCTION("""COMPUTED_VALUE"""),"")</f>
        <v/>
      </c>
      <c r="Z683" s="24" t="str">
        <f>IFERROR(__xludf.DUMMYFUNCTION("""COMPUTED_VALUE"""),"")</f>
        <v/>
      </c>
    </row>
    <row r="684">
      <c r="A684" s="5" t="str">
        <f>IFERROR(__xludf.DUMMYFUNCTION("""COMPUTED_VALUE"""),"")</f>
        <v/>
      </c>
      <c r="B684" s="5" t="str">
        <f>IFERROR(__xludf.DUMMYFUNCTION("""COMPUTED_VALUE"""),"46975")</f>
        <v>46975</v>
      </c>
      <c r="C684" s="9">
        <f>IFERROR(__xludf.DUMMYFUNCTION("""COMPUTED_VALUE"""),4.4621000396E10)</f>
        <v>44621000396</v>
      </c>
      <c r="D684" s="87" t="str">
        <f>IFERROR(__xludf.DUMMYFUNCTION("""COMPUTED_VALUE"""),"AAPL")</f>
        <v>AAPL</v>
      </c>
      <c r="E684" s="193">
        <f>IFERROR(__xludf.DUMMYFUNCTION("""COMPUTED_VALUE"""),44621.0)</f>
        <v>44621</v>
      </c>
      <c r="F684" s="5" t="str">
        <f>IFERROR(__xludf.DUMMYFUNCTION("""COMPUTED_VALUE"""),"Stock")</f>
        <v>Stock</v>
      </c>
      <c r="G684" s="5" t="str">
        <f>IFERROR(__xludf.DUMMYFUNCTION("""COMPUTED_VALUE"""),"USD")</f>
        <v>USD</v>
      </c>
      <c r="H684" s="22">
        <f>IFERROR(__xludf.DUMMYFUNCTION("""COMPUTED_VALUE"""),100.0)</f>
        <v>100</v>
      </c>
      <c r="I684" s="194">
        <f>IFERROR(__xludf.DUMMYFUNCTION("""COMPUTED_VALUE"""),7.815805)</f>
        <v>7.815805</v>
      </c>
      <c r="J684" s="23">
        <f>IFERROR(__xludf.DUMMYFUNCTION("""COMPUTED_VALUE"""),163.2)</f>
        <v>163.2</v>
      </c>
      <c r="K684" s="5"/>
      <c r="L684" s="23">
        <f>IFERROR(__xludf.DUMMYFUNCTION("""COMPUTED_VALUE"""),170.4)</f>
        <v>170.4</v>
      </c>
      <c r="M684" s="195" t="str">
        <f>IFERROR(__xludf.DUMMYFUNCTION("""COMPUTED_VALUE"""),"Equity Key Stats")</f>
        <v>Equity Key Stats</v>
      </c>
      <c r="N684" s="5"/>
      <c r="O684" s="5"/>
      <c r="P684" s="142">
        <f>IFERROR(__xludf.DUMMYFUNCTION("""COMPUTED_VALUE"""),-127553.93759999999)</f>
        <v>-127553.9376</v>
      </c>
      <c r="Q684" s="5"/>
      <c r="R684" s="71">
        <f>IFERROR(__xludf.DUMMYFUNCTION("""COMPUTED_VALUE"""),170.4)</f>
        <v>170.4</v>
      </c>
      <c r="S684" s="142">
        <f>IFERROR(__xludf.DUMMYFUNCTION("""COMPUTED_VALUE"""),133181.31720000002)</f>
        <v>133181.3172</v>
      </c>
      <c r="T684" s="5">
        <f>IFERROR(__xludf.DUMMYFUNCTION("""COMPUTED_VALUE"""),4.0)</f>
        <v>4</v>
      </c>
      <c r="U684" s="5" t="str">
        <f>IFERROR(__xludf.DUMMYFUNCTION("""COMPUTED_VALUE"""),"")</f>
        <v/>
      </c>
      <c r="V684" s="22" t="str">
        <f>IFERROR(__xludf.DUMMYFUNCTION("""COMPUTED_VALUE"""),"")</f>
        <v/>
      </c>
      <c r="W684" s="9" t="str">
        <f>IFERROR(__xludf.DUMMYFUNCTION("""COMPUTED_VALUE"""),"")</f>
        <v/>
      </c>
      <c r="X684" s="22" t="str">
        <f>IFERROR(__xludf.DUMMYFUNCTION("""COMPUTED_VALUE"""),"")</f>
        <v/>
      </c>
      <c r="Y684" s="22" t="str">
        <f>IFERROR(__xludf.DUMMYFUNCTION("""COMPUTED_VALUE"""),"")</f>
        <v/>
      </c>
      <c r="Z684" s="24" t="str">
        <f>IFERROR(__xludf.DUMMYFUNCTION("""COMPUTED_VALUE"""),"")</f>
        <v/>
      </c>
    </row>
    <row r="685">
      <c r="A685" s="5" t="str">
        <f>IFERROR(__xludf.DUMMYFUNCTION("""COMPUTED_VALUE"""),"")</f>
        <v/>
      </c>
      <c r="B685" s="5" t="str">
        <f>IFERROR(__xludf.DUMMYFUNCTION("""COMPUTED_VALUE"""),"46975")</f>
        <v>46975</v>
      </c>
      <c r="C685" s="9">
        <f>IFERROR(__xludf.DUMMYFUNCTION("""COMPUTED_VALUE"""),4.4634000565E10)</f>
        <v>44634000565</v>
      </c>
      <c r="D685" s="90" t="str">
        <f>IFERROR(__xludf.DUMMYFUNCTION("""COMPUTED_VALUE"""),"6862.HK")</f>
        <v>6862.HK</v>
      </c>
      <c r="E685" s="193">
        <f>IFERROR(__xludf.DUMMYFUNCTION("""COMPUTED_VALUE"""),44634.0)</f>
        <v>44634</v>
      </c>
      <c r="F685" s="5" t="str">
        <f>IFERROR(__xludf.DUMMYFUNCTION("""COMPUTED_VALUE"""),"Stock")</f>
        <v>Stock</v>
      </c>
      <c r="G685" s="5" t="str">
        <f>IFERROR(__xludf.DUMMYFUNCTION("""COMPUTED_VALUE"""),"HKD")</f>
        <v>HKD</v>
      </c>
      <c r="H685" s="22">
        <f>IFERROR(__xludf.DUMMYFUNCTION("""COMPUTED_VALUE"""),-100.0)</f>
        <v>-100</v>
      </c>
      <c r="I685" s="194">
        <f>IFERROR(__xludf.DUMMYFUNCTION("""COMPUTED_VALUE"""),1.0)</f>
        <v>1</v>
      </c>
      <c r="J685" s="23">
        <f>IFERROR(__xludf.DUMMYFUNCTION("""COMPUTED_VALUE"""),11.22)</f>
        <v>11.22</v>
      </c>
      <c r="K685" s="5"/>
      <c r="L685" s="23">
        <f>IFERROR(__xludf.DUMMYFUNCTION("""COMPUTED_VALUE"""),14.68)</f>
        <v>14.68</v>
      </c>
      <c r="M685" s="195" t="str">
        <f>IFERROR(__xludf.DUMMYFUNCTION("""COMPUTED_VALUE"""),"Equity Key Stats")</f>
        <v>Equity Key Stats</v>
      </c>
      <c r="N685" s="5"/>
      <c r="O685" s="5"/>
      <c r="P685" s="142">
        <f>IFERROR(__xludf.DUMMYFUNCTION("""COMPUTED_VALUE"""),1122.0)</f>
        <v>1122</v>
      </c>
      <c r="Q685" s="5"/>
      <c r="R685" s="71">
        <f>IFERROR(__xludf.DUMMYFUNCTION("""COMPUTED_VALUE"""),14.68)</f>
        <v>14.68</v>
      </c>
      <c r="S685" s="142">
        <f>IFERROR(__xludf.DUMMYFUNCTION("""COMPUTED_VALUE"""),-1468.0)</f>
        <v>-1468</v>
      </c>
      <c r="T685" s="5">
        <f>IFERROR(__xludf.DUMMYFUNCTION("""COMPUTED_VALUE"""),3.0)</f>
        <v>3</v>
      </c>
      <c r="U685" s="5" t="str">
        <f>IFERROR(__xludf.DUMMYFUNCTION("""COMPUTED_VALUE"""),"")</f>
        <v/>
      </c>
      <c r="V685" s="22" t="str">
        <f>IFERROR(__xludf.DUMMYFUNCTION("""COMPUTED_VALUE"""),"")</f>
        <v/>
      </c>
      <c r="W685" s="9" t="str">
        <f>IFERROR(__xludf.DUMMYFUNCTION("""COMPUTED_VALUE"""),"")</f>
        <v/>
      </c>
      <c r="X685" s="22" t="str">
        <f>IFERROR(__xludf.DUMMYFUNCTION("""COMPUTED_VALUE"""),"")</f>
        <v/>
      </c>
      <c r="Y685" s="22" t="str">
        <f>IFERROR(__xludf.DUMMYFUNCTION("""COMPUTED_VALUE"""),"")</f>
        <v/>
      </c>
      <c r="Z685" s="24" t="str">
        <f>IFERROR(__xludf.DUMMYFUNCTION("""COMPUTED_VALUE"""),"")</f>
        <v/>
      </c>
    </row>
    <row r="686">
      <c r="A686" s="5" t="str">
        <f>IFERROR(__xludf.DUMMYFUNCTION("""COMPUTED_VALUE"""),"")</f>
        <v/>
      </c>
      <c r="B686" s="5" t="str">
        <f>IFERROR(__xludf.DUMMYFUNCTION("""COMPUTED_VALUE"""),"46975")</f>
        <v>46975</v>
      </c>
      <c r="C686" s="9">
        <f>IFERROR(__xludf.DUMMYFUNCTION("""COMPUTED_VALUE"""),4.4635000607E10)</f>
        <v>44635000607</v>
      </c>
      <c r="D686" s="90" t="str">
        <f>IFERROR(__xludf.DUMMYFUNCTION("""COMPUTED_VALUE"""),"0700.HK")</f>
        <v>0700.HK</v>
      </c>
      <c r="E686" s="193">
        <f>IFERROR(__xludf.DUMMYFUNCTION("""COMPUTED_VALUE"""),44635.0)</f>
        <v>44635</v>
      </c>
      <c r="F686" s="5" t="str">
        <f>IFERROR(__xludf.DUMMYFUNCTION("""COMPUTED_VALUE"""),"Stock")</f>
        <v>Stock</v>
      </c>
      <c r="G686" s="5" t="str">
        <f>IFERROR(__xludf.DUMMYFUNCTION("""COMPUTED_VALUE"""),"HKD")</f>
        <v>HKD</v>
      </c>
      <c r="H686" s="22">
        <f>IFERROR(__xludf.DUMMYFUNCTION("""COMPUTED_VALUE"""),-100.0)</f>
        <v>-100</v>
      </c>
      <c r="I686" s="194">
        <f>IFERROR(__xludf.DUMMYFUNCTION("""COMPUTED_VALUE"""),1.0)</f>
        <v>1</v>
      </c>
      <c r="J686" s="23">
        <f>IFERROR(__xludf.DUMMYFUNCTION("""COMPUTED_VALUE"""),298.0)</f>
        <v>298</v>
      </c>
      <c r="K686" s="5"/>
      <c r="L686" s="23">
        <f>IFERROR(__xludf.DUMMYFUNCTION("""COMPUTED_VALUE"""),373.6)</f>
        <v>373.6</v>
      </c>
      <c r="M686" s="195" t="str">
        <f>IFERROR(__xludf.DUMMYFUNCTION("""COMPUTED_VALUE"""),"Equity Key Stats")</f>
        <v>Equity Key Stats</v>
      </c>
      <c r="N686" s="5"/>
      <c r="O686" s="5"/>
      <c r="P686" s="142">
        <f>IFERROR(__xludf.DUMMYFUNCTION("""COMPUTED_VALUE"""),29800.0)</f>
        <v>29800</v>
      </c>
      <c r="Q686" s="5"/>
      <c r="R686" s="71">
        <f>IFERROR(__xludf.DUMMYFUNCTION("""COMPUTED_VALUE"""),373.6)</f>
        <v>373.6</v>
      </c>
      <c r="S686" s="142">
        <f>IFERROR(__xludf.DUMMYFUNCTION("""COMPUTED_VALUE"""),-37360.0)</f>
        <v>-37360</v>
      </c>
      <c r="T686" s="5">
        <f>IFERROR(__xludf.DUMMYFUNCTION("""COMPUTED_VALUE"""),2.0)</f>
        <v>2</v>
      </c>
      <c r="U686" s="5" t="str">
        <f>IFERROR(__xludf.DUMMYFUNCTION("""COMPUTED_VALUE"""),"")</f>
        <v/>
      </c>
      <c r="V686" s="22" t="str">
        <f>IFERROR(__xludf.DUMMYFUNCTION("""COMPUTED_VALUE"""),"")</f>
        <v/>
      </c>
      <c r="W686" s="9" t="str">
        <f>IFERROR(__xludf.DUMMYFUNCTION("""COMPUTED_VALUE"""),"")</f>
        <v/>
      </c>
      <c r="X686" s="22" t="str">
        <f>IFERROR(__xludf.DUMMYFUNCTION("""COMPUTED_VALUE"""),"")</f>
        <v/>
      </c>
      <c r="Y686" s="22" t="str">
        <f>IFERROR(__xludf.DUMMYFUNCTION("""COMPUTED_VALUE"""),"")</f>
        <v/>
      </c>
      <c r="Z686" s="24" t="str">
        <f>IFERROR(__xludf.DUMMYFUNCTION("""COMPUTED_VALUE"""),"")</f>
        <v/>
      </c>
    </row>
    <row r="687">
      <c r="A687" s="5" t="str">
        <f>IFERROR(__xludf.DUMMYFUNCTION("""COMPUTED_VALUE"""),"")</f>
        <v/>
      </c>
      <c r="B687" s="5" t="str">
        <f>IFERROR(__xludf.DUMMYFUNCTION("""COMPUTED_VALUE"""),"46975")</f>
        <v>46975</v>
      </c>
      <c r="C687" s="9">
        <f>IFERROR(__xludf.DUMMYFUNCTION("""COMPUTED_VALUE"""),4.4636000645E10)</f>
        <v>44636000645</v>
      </c>
      <c r="D687" s="90" t="str">
        <f>IFERROR(__xludf.DUMMYFUNCTION("""COMPUTED_VALUE"""),"0700.HK")</f>
        <v>0700.HK</v>
      </c>
      <c r="E687" s="193">
        <f>IFERROR(__xludf.DUMMYFUNCTION("""COMPUTED_VALUE"""),44636.0)</f>
        <v>44636</v>
      </c>
      <c r="F687" s="5" t="str">
        <f>IFERROR(__xludf.DUMMYFUNCTION("""COMPUTED_VALUE"""),"Stock")</f>
        <v>Stock</v>
      </c>
      <c r="G687" s="5" t="str">
        <f>IFERROR(__xludf.DUMMYFUNCTION("""COMPUTED_VALUE"""),"HKD")</f>
        <v>HKD</v>
      </c>
      <c r="H687" s="22">
        <f>IFERROR(__xludf.DUMMYFUNCTION("""COMPUTED_VALUE"""),200.0)</f>
        <v>200</v>
      </c>
      <c r="I687" s="194">
        <f>IFERROR(__xludf.DUMMYFUNCTION("""COMPUTED_VALUE"""),1.0)</f>
        <v>1</v>
      </c>
      <c r="J687" s="23">
        <f>IFERROR(__xludf.DUMMYFUNCTION("""COMPUTED_VALUE"""),367.0)</f>
        <v>367</v>
      </c>
      <c r="K687" s="5"/>
      <c r="L687" s="23">
        <f>IFERROR(__xludf.DUMMYFUNCTION("""COMPUTED_VALUE"""),373.6)</f>
        <v>373.6</v>
      </c>
      <c r="M687" s="195" t="str">
        <f>IFERROR(__xludf.DUMMYFUNCTION("""COMPUTED_VALUE"""),"Equity Key Stats")</f>
        <v>Equity Key Stats</v>
      </c>
      <c r="N687" s="5"/>
      <c r="O687" s="5"/>
      <c r="P687" s="142">
        <f>IFERROR(__xludf.DUMMYFUNCTION("""COMPUTED_VALUE"""),-73400.0)</f>
        <v>-73400</v>
      </c>
      <c r="Q687" s="5"/>
      <c r="R687" s="71">
        <f>IFERROR(__xludf.DUMMYFUNCTION("""COMPUTED_VALUE"""),373.6)</f>
        <v>373.6</v>
      </c>
      <c r="S687" s="142">
        <f>IFERROR(__xludf.DUMMYFUNCTION("""COMPUTED_VALUE"""),74720.0)</f>
        <v>74720</v>
      </c>
      <c r="T687" s="5">
        <f>IFERROR(__xludf.DUMMYFUNCTION("""COMPUTED_VALUE"""),2.0)</f>
        <v>2</v>
      </c>
      <c r="U687" s="5">
        <f>IFERROR(__xludf.DUMMYFUNCTION("""COMPUTED_VALUE"""),1.0)</f>
        <v>1</v>
      </c>
      <c r="V687" s="22">
        <f>IFERROR(__xludf.DUMMYFUNCTION("""COMPUTED_VALUE"""),-6240.0)</f>
        <v>-6240</v>
      </c>
      <c r="W687" s="9" t="str">
        <f>IFERROR(__xludf.DUMMYFUNCTION("""COMPUTED_VALUE"""),"")</f>
        <v/>
      </c>
      <c r="X687" s="22" t="str">
        <f>IFERROR(__xludf.DUMMYFUNCTION("""COMPUTED_VALUE"""),"")</f>
        <v/>
      </c>
      <c r="Y687" s="22" t="str">
        <f>IFERROR(__xludf.DUMMYFUNCTION("""COMPUTED_VALUE"""),"")</f>
        <v/>
      </c>
      <c r="Z687" s="24" t="str">
        <f>IFERROR(__xludf.DUMMYFUNCTION("""COMPUTED_VALUE"""),"")</f>
        <v/>
      </c>
    </row>
    <row r="688">
      <c r="A688" s="5" t="str">
        <f>IFERROR(__xludf.DUMMYFUNCTION("""COMPUTED_VALUE"""),"")</f>
        <v/>
      </c>
      <c r="B688" s="5" t="str">
        <f>IFERROR(__xludf.DUMMYFUNCTION("""COMPUTED_VALUE"""),"46975")</f>
        <v>46975</v>
      </c>
      <c r="C688" s="9">
        <f>IFERROR(__xludf.DUMMYFUNCTION("""COMPUTED_VALUE"""),4.4636000646E10)</f>
        <v>44636000646</v>
      </c>
      <c r="D688" s="90" t="str">
        <f>IFERROR(__xludf.DUMMYFUNCTION("""COMPUTED_VALUE"""),"6862.HK")</f>
        <v>6862.HK</v>
      </c>
      <c r="E688" s="193">
        <f>IFERROR(__xludf.DUMMYFUNCTION("""COMPUTED_VALUE"""),44636.0)</f>
        <v>44636</v>
      </c>
      <c r="F688" s="5" t="str">
        <f>IFERROR(__xludf.DUMMYFUNCTION("""COMPUTED_VALUE"""),"Stock")</f>
        <v>Stock</v>
      </c>
      <c r="G688" s="5" t="str">
        <f>IFERROR(__xludf.DUMMYFUNCTION("""COMPUTED_VALUE"""),"HKD")</f>
        <v>HKD</v>
      </c>
      <c r="H688" s="22">
        <f>IFERROR(__xludf.DUMMYFUNCTION("""COMPUTED_VALUE"""),200.0)</f>
        <v>200</v>
      </c>
      <c r="I688" s="194">
        <f>IFERROR(__xludf.DUMMYFUNCTION("""COMPUTED_VALUE"""),1.0)</f>
        <v>1</v>
      </c>
      <c r="J688" s="23">
        <f>IFERROR(__xludf.DUMMYFUNCTION("""COMPUTED_VALUE"""),12.22)</f>
        <v>12.22</v>
      </c>
      <c r="K688" s="5"/>
      <c r="L688" s="23">
        <f>IFERROR(__xludf.DUMMYFUNCTION("""COMPUTED_VALUE"""),14.68)</f>
        <v>14.68</v>
      </c>
      <c r="M688" s="195" t="str">
        <f>IFERROR(__xludf.DUMMYFUNCTION("""COMPUTED_VALUE"""),"Equity Key Stats")</f>
        <v>Equity Key Stats</v>
      </c>
      <c r="N688" s="5"/>
      <c r="O688" s="5"/>
      <c r="P688" s="142">
        <f>IFERROR(__xludf.DUMMYFUNCTION("""COMPUTED_VALUE"""),-2444.0)</f>
        <v>-2444</v>
      </c>
      <c r="Q688" s="5"/>
      <c r="R688" s="71">
        <f>IFERROR(__xludf.DUMMYFUNCTION("""COMPUTED_VALUE"""),14.68)</f>
        <v>14.68</v>
      </c>
      <c r="S688" s="142">
        <f>IFERROR(__xludf.DUMMYFUNCTION("""COMPUTED_VALUE"""),2936.0)</f>
        <v>2936</v>
      </c>
      <c r="T688" s="5">
        <f>IFERROR(__xludf.DUMMYFUNCTION("""COMPUTED_VALUE"""),3.0)</f>
        <v>3</v>
      </c>
      <c r="U688" s="5" t="str">
        <f>IFERROR(__xludf.DUMMYFUNCTION("""COMPUTED_VALUE"""),"")</f>
        <v/>
      </c>
      <c r="V688" s="22" t="str">
        <f>IFERROR(__xludf.DUMMYFUNCTION("""COMPUTED_VALUE"""),"")</f>
        <v/>
      </c>
      <c r="W688" s="9" t="str">
        <f>IFERROR(__xludf.DUMMYFUNCTION("""COMPUTED_VALUE"""),"")</f>
        <v/>
      </c>
      <c r="X688" s="22" t="str">
        <f>IFERROR(__xludf.DUMMYFUNCTION("""COMPUTED_VALUE"""),"")</f>
        <v/>
      </c>
      <c r="Y688" s="22" t="str">
        <f>IFERROR(__xludf.DUMMYFUNCTION("""COMPUTED_VALUE"""),"")</f>
        <v/>
      </c>
      <c r="Z688" s="24" t="str">
        <f>IFERROR(__xludf.DUMMYFUNCTION("""COMPUTED_VALUE"""),"")</f>
        <v/>
      </c>
    </row>
    <row r="689">
      <c r="A689" s="5" t="str">
        <f>IFERROR(__xludf.DUMMYFUNCTION("""COMPUTED_VALUE"""),"")</f>
        <v/>
      </c>
      <c r="B689" s="5" t="str">
        <f>IFERROR(__xludf.DUMMYFUNCTION("""COMPUTED_VALUE"""),"46975")</f>
        <v>46975</v>
      </c>
      <c r="C689" s="9">
        <f>IFERROR(__xludf.DUMMYFUNCTION("""COMPUTED_VALUE"""),4.464400087E10)</f>
        <v>44644000870</v>
      </c>
      <c r="D689" s="90" t="str">
        <f>IFERROR(__xludf.DUMMYFUNCTION("""COMPUTED_VALUE"""),"6862.HK")</f>
        <v>6862.HK</v>
      </c>
      <c r="E689" s="193">
        <f>IFERROR(__xludf.DUMMYFUNCTION("""COMPUTED_VALUE"""),44644.0)</f>
        <v>44644</v>
      </c>
      <c r="F689" s="5" t="str">
        <f>IFERROR(__xludf.DUMMYFUNCTION("""COMPUTED_VALUE"""),"Stock")</f>
        <v>Stock</v>
      </c>
      <c r="G689" s="5" t="str">
        <f>IFERROR(__xludf.DUMMYFUNCTION("""COMPUTED_VALUE"""),"HKD")</f>
        <v>HKD</v>
      </c>
      <c r="H689" s="22">
        <f>IFERROR(__xludf.DUMMYFUNCTION("""COMPUTED_VALUE"""),-100.0)</f>
        <v>-100</v>
      </c>
      <c r="I689" s="194">
        <f>IFERROR(__xludf.DUMMYFUNCTION("""COMPUTED_VALUE"""),1.0)</f>
        <v>1</v>
      </c>
      <c r="J689" s="23">
        <f>IFERROR(__xludf.DUMMYFUNCTION("""COMPUTED_VALUE"""),14.48)</f>
        <v>14.48</v>
      </c>
      <c r="K689" s="5"/>
      <c r="L689" s="23">
        <f>IFERROR(__xludf.DUMMYFUNCTION("""COMPUTED_VALUE"""),14.68)</f>
        <v>14.68</v>
      </c>
      <c r="M689" s="195" t="str">
        <f>IFERROR(__xludf.DUMMYFUNCTION("""COMPUTED_VALUE"""),"Equity Key Stats")</f>
        <v>Equity Key Stats</v>
      </c>
      <c r="N689" s="5"/>
      <c r="O689" s="5"/>
      <c r="P689" s="142">
        <f>IFERROR(__xludf.DUMMYFUNCTION("""COMPUTED_VALUE"""),1448.0)</f>
        <v>1448</v>
      </c>
      <c r="Q689" s="5"/>
      <c r="R689" s="71">
        <f>IFERROR(__xludf.DUMMYFUNCTION("""COMPUTED_VALUE"""),14.68)</f>
        <v>14.68</v>
      </c>
      <c r="S689" s="142">
        <f>IFERROR(__xludf.DUMMYFUNCTION("""COMPUTED_VALUE"""),-1468.0)</f>
        <v>-1468</v>
      </c>
      <c r="T689" s="5">
        <f>IFERROR(__xludf.DUMMYFUNCTION("""COMPUTED_VALUE"""),3.0)</f>
        <v>3</v>
      </c>
      <c r="U689" s="5">
        <f>IFERROR(__xludf.DUMMYFUNCTION("""COMPUTED_VALUE"""),1.0)</f>
        <v>1</v>
      </c>
      <c r="V689" s="22">
        <f>IFERROR(__xludf.DUMMYFUNCTION("""COMPUTED_VALUE"""),126.0)</f>
        <v>126</v>
      </c>
      <c r="W689" s="9" t="str">
        <f>IFERROR(__xludf.DUMMYFUNCTION("""COMPUTED_VALUE"""),"")</f>
        <v/>
      </c>
      <c r="X689" s="22" t="str">
        <f>IFERROR(__xludf.DUMMYFUNCTION("""COMPUTED_VALUE"""),"")</f>
        <v/>
      </c>
      <c r="Y689" s="22" t="str">
        <f>IFERROR(__xludf.DUMMYFUNCTION("""COMPUTED_VALUE"""),"")</f>
        <v/>
      </c>
      <c r="Z689" s="24" t="str">
        <f>IFERROR(__xludf.DUMMYFUNCTION("""COMPUTED_VALUE"""),"")</f>
        <v/>
      </c>
    </row>
    <row r="690">
      <c r="A690" s="5" t="str">
        <f>IFERROR(__xludf.DUMMYFUNCTION("""COMPUTED_VALUE"""),"")</f>
        <v/>
      </c>
      <c r="B690" s="5" t="str">
        <f>IFERROR(__xludf.DUMMYFUNCTION("""COMPUTED_VALUE"""),"46975")</f>
        <v>46975</v>
      </c>
      <c r="C690" s="9">
        <f>IFERROR(__xludf.DUMMYFUNCTION("""COMPUTED_VALUE"""),4.464400089E10)</f>
        <v>44644000890</v>
      </c>
      <c r="D690" s="87" t="str">
        <f>IFERROR(__xludf.DUMMYFUNCTION("""COMPUTED_VALUE"""),"AAPL")</f>
        <v>AAPL</v>
      </c>
      <c r="E690" s="193">
        <f>IFERROR(__xludf.DUMMYFUNCTION("""COMPUTED_VALUE"""),44644.0)</f>
        <v>44644</v>
      </c>
      <c r="F690" s="5" t="str">
        <f>IFERROR(__xludf.DUMMYFUNCTION("""COMPUTED_VALUE"""),"Stock")</f>
        <v>Stock</v>
      </c>
      <c r="G690" s="5" t="str">
        <f>IFERROR(__xludf.DUMMYFUNCTION("""COMPUTED_VALUE"""),"USD")</f>
        <v>USD</v>
      </c>
      <c r="H690" s="22">
        <f>IFERROR(__xludf.DUMMYFUNCTION("""COMPUTED_VALUE"""),-50.0)</f>
        <v>-50</v>
      </c>
      <c r="I690" s="194">
        <f>IFERROR(__xludf.DUMMYFUNCTION("""COMPUTED_VALUE"""),7.82365)</f>
        <v>7.82365</v>
      </c>
      <c r="J690" s="23">
        <f>IFERROR(__xludf.DUMMYFUNCTION("""COMPUTED_VALUE"""),174.07)</f>
        <v>174.07</v>
      </c>
      <c r="K690" s="5"/>
      <c r="L690" s="23">
        <f>IFERROR(__xludf.DUMMYFUNCTION("""COMPUTED_VALUE"""),170.4)</f>
        <v>170.4</v>
      </c>
      <c r="M690" s="195" t="str">
        <f>IFERROR(__xludf.DUMMYFUNCTION("""COMPUTED_VALUE"""),"Equity Key Stats")</f>
        <v>Equity Key Stats</v>
      </c>
      <c r="N690" s="5"/>
      <c r="O690" s="5"/>
      <c r="P690" s="142">
        <f>IFERROR(__xludf.DUMMYFUNCTION("""COMPUTED_VALUE"""),68093.137775)</f>
        <v>68093.13778</v>
      </c>
      <c r="Q690" s="5"/>
      <c r="R690" s="71">
        <f>IFERROR(__xludf.DUMMYFUNCTION("""COMPUTED_VALUE"""),170.4)</f>
        <v>170.4</v>
      </c>
      <c r="S690" s="142">
        <f>IFERROR(__xludf.DUMMYFUNCTION("""COMPUTED_VALUE"""),-66657.498)</f>
        <v>-66657.498</v>
      </c>
      <c r="T690" s="5">
        <f>IFERROR(__xludf.DUMMYFUNCTION("""COMPUTED_VALUE"""),4.0)</f>
        <v>4</v>
      </c>
      <c r="U690" s="5" t="str">
        <f>IFERROR(__xludf.DUMMYFUNCTION("""COMPUTED_VALUE"""),"")</f>
        <v/>
      </c>
      <c r="V690" s="22" t="str">
        <f>IFERROR(__xludf.DUMMYFUNCTION("""COMPUTED_VALUE"""),"")</f>
        <v/>
      </c>
      <c r="W690" s="9" t="str">
        <f>IFERROR(__xludf.DUMMYFUNCTION("""COMPUTED_VALUE"""),"")</f>
        <v/>
      </c>
      <c r="X690" s="22" t="str">
        <f>IFERROR(__xludf.DUMMYFUNCTION("""COMPUTED_VALUE"""),"")</f>
        <v/>
      </c>
      <c r="Y690" s="22" t="str">
        <f>IFERROR(__xludf.DUMMYFUNCTION("""COMPUTED_VALUE"""),"")</f>
        <v/>
      </c>
      <c r="Z690" s="24" t="str">
        <f>IFERROR(__xludf.DUMMYFUNCTION("""COMPUTED_VALUE"""),"")</f>
        <v/>
      </c>
    </row>
    <row r="691">
      <c r="A691" s="5" t="str">
        <f>IFERROR(__xludf.DUMMYFUNCTION("""COMPUTED_VALUE"""),"")</f>
        <v/>
      </c>
      <c r="B691" s="5" t="str">
        <f>IFERROR(__xludf.DUMMYFUNCTION("""COMPUTED_VALUE"""),"46975")</f>
        <v>46975</v>
      </c>
      <c r="C691" s="9">
        <f>IFERROR(__xludf.DUMMYFUNCTION("""COMPUTED_VALUE"""),4.4651001068E10)</f>
        <v>44651001068</v>
      </c>
      <c r="D691" s="87" t="str">
        <f>IFERROR(__xludf.DUMMYFUNCTION("""COMPUTED_VALUE"""),"aapl")</f>
        <v>aapl</v>
      </c>
      <c r="E691" s="193">
        <f>IFERROR(__xludf.DUMMYFUNCTION("""COMPUTED_VALUE"""),44651.0)</f>
        <v>44651</v>
      </c>
      <c r="F691" s="5" t="str">
        <f>IFERROR(__xludf.DUMMYFUNCTION("""COMPUTED_VALUE"""),"Stock")</f>
        <v>Stock</v>
      </c>
      <c r="G691" s="5" t="str">
        <f>IFERROR(__xludf.DUMMYFUNCTION("""COMPUTED_VALUE"""),"USD")</f>
        <v>USD</v>
      </c>
      <c r="H691" s="22">
        <f>IFERROR(__xludf.DUMMYFUNCTION("""COMPUTED_VALUE"""),0.0)</f>
        <v>0</v>
      </c>
      <c r="I691" s="194">
        <f>IFERROR(__xludf.DUMMYFUNCTION("""COMPUTED_VALUE"""),7.83335)</f>
        <v>7.83335</v>
      </c>
      <c r="J691" s="23">
        <f>IFERROR(__xludf.DUMMYFUNCTION("""COMPUTED_VALUE"""),0.0)</f>
        <v>0</v>
      </c>
      <c r="K691" s="5"/>
      <c r="L691" s="23">
        <f>IFERROR(__xludf.DUMMYFUNCTION("""COMPUTED_VALUE"""),170.4)</f>
        <v>170.4</v>
      </c>
      <c r="M691" s="195" t="str">
        <f>IFERROR(__xludf.DUMMYFUNCTION("""COMPUTED_VALUE"""),"Equity Key Stats")</f>
        <v>Equity Key Stats</v>
      </c>
      <c r="N691" s="5"/>
      <c r="O691" s="5"/>
      <c r="P691" s="142">
        <f>IFERROR(__xludf.DUMMYFUNCTION("""COMPUTED_VALUE"""),0.0)</f>
        <v>0</v>
      </c>
      <c r="Q691" s="5"/>
      <c r="R691" s="71">
        <f>IFERROR(__xludf.DUMMYFUNCTION("""COMPUTED_VALUE"""),170.4)</f>
        <v>170.4</v>
      </c>
      <c r="S691" s="142">
        <f>IFERROR(__xludf.DUMMYFUNCTION("""COMPUTED_VALUE"""),0.0)</f>
        <v>0</v>
      </c>
      <c r="T691" s="5">
        <f>IFERROR(__xludf.DUMMYFUNCTION("""COMPUTED_VALUE"""),4.0)</f>
        <v>4</v>
      </c>
      <c r="U691" s="5" t="str">
        <f>IFERROR(__xludf.DUMMYFUNCTION("""COMPUTED_VALUE"""),"")</f>
        <v/>
      </c>
      <c r="V691" s="22" t="str">
        <f>IFERROR(__xludf.DUMMYFUNCTION("""COMPUTED_VALUE"""),"")</f>
        <v/>
      </c>
      <c r="W691" s="9" t="str">
        <f>IFERROR(__xludf.DUMMYFUNCTION("""COMPUTED_VALUE"""),"")</f>
        <v/>
      </c>
      <c r="X691" s="22" t="str">
        <f>IFERROR(__xludf.DUMMYFUNCTION("""COMPUTED_VALUE"""),"")</f>
        <v/>
      </c>
      <c r="Y691" s="22" t="str">
        <f>IFERROR(__xludf.DUMMYFUNCTION("""COMPUTED_VALUE"""),"")</f>
        <v/>
      </c>
      <c r="Z691" s="24" t="str">
        <f>IFERROR(__xludf.DUMMYFUNCTION("""COMPUTED_VALUE"""),"")</f>
        <v/>
      </c>
    </row>
    <row r="692">
      <c r="A692" s="5" t="str">
        <f>IFERROR(__xludf.DUMMYFUNCTION("""COMPUTED_VALUE"""),"46975")</f>
        <v>46975</v>
      </c>
      <c r="B692" s="5" t="str">
        <f>IFERROR(__xludf.DUMMYFUNCTION("""COMPUTED_VALUE"""),"46975")</f>
        <v>46975</v>
      </c>
      <c r="C692" s="9">
        <f>IFERROR(__xludf.DUMMYFUNCTION("""COMPUTED_VALUE"""),4.4652001106E10)</f>
        <v>44652001106</v>
      </c>
      <c r="D692" s="87" t="str">
        <f>IFERROR(__xludf.DUMMYFUNCTION("""COMPUTED_VALUE"""),"AAPL")</f>
        <v>AAPL</v>
      </c>
      <c r="E692" s="193">
        <f>IFERROR(__xludf.DUMMYFUNCTION("""COMPUTED_VALUE"""),44652.0)</f>
        <v>44652</v>
      </c>
      <c r="F692" s="5" t="str">
        <f>IFERROR(__xludf.DUMMYFUNCTION("""COMPUTED_VALUE"""),"Stock")</f>
        <v>Stock</v>
      </c>
      <c r="G692" s="5" t="str">
        <f>IFERROR(__xludf.DUMMYFUNCTION("""COMPUTED_VALUE"""),"USD")</f>
        <v>USD</v>
      </c>
      <c r="H692" s="22">
        <f>IFERROR(__xludf.DUMMYFUNCTION("""COMPUTED_VALUE"""),-50.0)</f>
        <v>-50</v>
      </c>
      <c r="I692" s="194">
        <f>IFERROR(__xludf.DUMMYFUNCTION("""COMPUTED_VALUE"""),7.833725)</f>
        <v>7.833725</v>
      </c>
      <c r="J692" s="23">
        <f>IFERROR(__xludf.DUMMYFUNCTION("""COMPUTED_VALUE"""),174.31)</f>
        <v>174.31</v>
      </c>
      <c r="K692" s="5"/>
      <c r="L692" s="23">
        <f>IFERROR(__xludf.DUMMYFUNCTION("""COMPUTED_VALUE"""),170.4)</f>
        <v>170.4</v>
      </c>
      <c r="M692" s="195" t="str">
        <f>IFERROR(__xludf.DUMMYFUNCTION("""COMPUTED_VALUE"""),"Equity Key Stats")</f>
        <v>Equity Key Stats</v>
      </c>
      <c r="N692" s="5"/>
      <c r="O692" s="5"/>
      <c r="P692" s="142">
        <f>IFERROR(__xludf.DUMMYFUNCTION("""COMPUTED_VALUE"""),68274.8302375)</f>
        <v>68274.83024</v>
      </c>
      <c r="Q692" s="5"/>
      <c r="R692" s="71">
        <f>IFERROR(__xludf.DUMMYFUNCTION("""COMPUTED_VALUE"""),170.4)</f>
        <v>170.4</v>
      </c>
      <c r="S692" s="142">
        <f>IFERROR(__xludf.DUMMYFUNCTION("""COMPUTED_VALUE"""),-66743.33700000001)</f>
        <v>-66743.337</v>
      </c>
      <c r="T692" s="5">
        <f>IFERROR(__xludf.DUMMYFUNCTION("""COMPUTED_VALUE"""),4.0)</f>
        <v>4</v>
      </c>
      <c r="U692" s="5">
        <f>IFERROR(__xludf.DUMMYFUNCTION("""COMPUTED_VALUE"""),1.0)</f>
        <v>1</v>
      </c>
      <c r="V692" s="22">
        <f>IFERROR(__xludf.DUMMYFUNCTION("""COMPUTED_VALUE"""),8594.51261250001)</f>
        <v>8594.512613</v>
      </c>
      <c r="W692" s="9">
        <f>IFERROR(__xludf.DUMMYFUNCTION("""COMPUTED_VALUE"""),502480.5126125)</f>
        <v>502480.5126</v>
      </c>
      <c r="X692" s="22">
        <f>IFERROR(__xludf.DUMMYFUNCTION("""COMPUTED_VALUE"""),479340.0304125)</f>
        <v>479340.0304</v>
      </c>
      <c r="Y692" s="22">
        <f>IFERROR(__xludf.DUMMYFUNCTION("""COMPUTED_VALUE"""),0.0)</f>
        <v>0</v>
      </c>
      <c r="Z692" s="24">
        <f>IFERROR(__xludf.DUMMYFUNCTION("""COMPUTED_VALUE"""),0.004961025225000082)</f>
        <v>0.004961025225</v>
      </c>
    </row>
    <row r="693">
      <c r="A693" s="5" t="str">
        <f>IFERROR(__xludf.DUMMYFUNCTION("""COMPUTED_VALUE"""),"52981")</f>
        <v>52981</v>
      </c>
      <c r="B693" s="5" t="str">
        <f>IFERROR(__xludf.DUMMYFUNCTION("""COMPUTED_VALUE"""),"52981")</f>
        <v>52981</v>
      </c>
      <c r="C693" s="9">
        <f>IFERROR(__xludf.DUMMYFUNCTION("""COMPUTED_VALUE"""),4.4597000018E10)</f>
        <v>44597000018</v>
      </c>
      <c r="D693" s="85" t="str">
        <f>IFERROR(__xludf.DUMMYFUNCTION("""COMPUTED_VALUE"""),"Cash")</f>
        <v>Cash</v>
      </c>
      <c r="E693" s="193">
        <f>IFERROR(__xludf.DUMMYFUNCTION("""COMPUTED_VALUE"""),44597.0)</f>
        <v>44597</v>
      </c>
      <c r="F693" s="5" t="str">
        <f>IFERROR(__xludf.DUMMYFUNCTION("""COMPUTED_VALUE"""),"Cash")</f>
        <v>Cash</v>
      </c>
      <c r="G693" s="5" t="str">
        <f>IFERROR(__xludf.DUMMYFUNCTION("""COMPUTED_VALUE"""),"HKD")</f>
        <v>HKD</v>
      </c>
      <c r="H693" s="22" t="str">
        <f>IFERROR(__xludf.DUMMYFUNCTION("""COMPUTED_VALUE"""),"")</f>
        <v/>
      </c>
      <c r="I693" s="194">
        <f>IFERROR(__xludf.DUMMYFUNCTION("""COMPUTED_VALUE"""),1.0)</f>
        <v>1</v>
      </c>
      <c r="J693" s="5">
        <f>IFERROR(__xludf.DUMMYFUNCTION("""COMPUTED_VALUE"""),1.0)</f>
        <v>1</v>
      </c>
      <c r="K693" s="5"/>
      <c r="L693" s="23">
        <f>IFERROR(__xludf.DUMMYFUNCTION("""COMPUTED_VALUE"""),1.0)</f>
        <v>1</v>
      </c>
      <c r="M693" s="25" t="str">
        <f>IFERROR(__xludf.DUMMYFUNCTION("""COMPUTED_VALUE"""),"")</f>
        <v/>
      </c>
      <c r="N693" s="5"/>
      <c r="O693" s="5"/>
      <c r="P693" s="142">
        <f>IFERROR(__xludf.DUMMYFUNCTION("""COMPUTED_VALUE"""),500000.0)</f>
        <v>500000</v>
      </c>
      <c r="Q693" s="5"/>
      <c r="R693" s="71">
        <f>IFERROR(__xludf.DUMMYFUNCTION("""COMPUTED_VALUE"""),1.0)</f>
        <v>1</v>
      </c>
      <c r="S693" s="142" t="str">
        <f>IFERROR(__xludf.DUMMYFUNCTION("""COMPUTED_VALUE"""),"")</f>
        <v/>
      </c>
      <c r="T693" s="5">
        <f>IFERROR(__xludf.DUMMYFUNCTION("""COMPUTED_VALUE"""),1.0)</f>
        <v>1</v>
      </c>
      <c r="U693" s="5">
        <f>IFERROR(__xludf.DUMMYFUNCTION("""COMPUTED_VALUE"""),1.0)</f>
        <v>1</v>
      </c>
      <c r="V693" s="22">
        <f>IFERROR(__xludf.DUMMYFUNCTION("""COMPUTED_VALUE"""),500000.0)</f>
        <v>500000</v>
      </c>
      <c r="W693" s="9">
        <f>IFERROR(__xludf.DUMMYFUNCTION("""COMPUTED_VALUE"""),500000.0)</f>
        <v>500000</v>
      </c>
      <c r="X693" s="22">
        <f>IFERROR(__xludf.DUMMYFUNCTION("""COMPUTED_VALUE"""),500000.0)</f>
        <v>500000</v>
      </c>
      <c r="Y693" s="22">
        <f>IFERROR(__xludf.DUMMYFUNCTION("""COMPUTED_VALUE"""),0.0)</f>
        <v>0</v>
      </c>
      <c r="Z693" s="24">
        <f>IFERROR(__xludf.DUMMYFUNCTION("""COMPUTED_VALUE"""),0.0)</f>
        <v>0</v>
      </c>
    </row>
    <row r="694">
      <c r="A694" s="5" t="str">
        <f>IFERROR(__xludf.DUMMYFUNCTION("""COMPUTED_VALUE"""),"")</f>
        <v/>
      </c>
      <c r="B694" s="5" t="str">
        <f>IFERROR(__xludf.DUMMYFUNCTION("""COMPUTED_VALUE"""),"56118")</f>
        <v>56118</v>
      </c>
      <c r="C694" s="9">
        <f>IFERROR(__xludf.DUMMYFUNCTION("""COMPUTED_VALUE"""),4.4597000015E10)</f>
        <v>44597000015</v>
      </c>
      <c r="D694" s="85" t="str">
        <f>IFERROR(__xludf.DUMMYFUNCTION("""COMPUTED_VALUE"""),"Cash")</f>
        <v>Cash</v>
      </c>
      <c r="E694" s="193">
        <f>IFERROR(__xludf.DUMMYFUNCTION("""COMPUTED_VALUE"""),44597.0)</f>
        <v>44597</v>
      </c>
      <c r="F694" s="5" t="str">
        <f>IFERROR(__xludf.DUMMYFUNCTION("""COMPUTED_VALUE"""),"Cash")</f>
        <v>Cash</v>
      </c>
      <c r="G694" s="5" t="str">
        <f>IFERROR(__xludf.DUMMYFUNCTION("""COMPUTED_VALUE"""),"HKD")</f>
        <v>HKD</v>
      </c>
      <c r="H694" s="22" t="str">
        <f>IFERROR(__xludf.DUMMYFUNCTION("""COMPUTED_VALUE"""),"")</f>
        <v/>
      </c>
      <c r="I694" s="194">
        <f>IFERROR(__xludf.DUMMYFUNCTION("""COMPUTED_VALUE"""),1.0)</f>
        <v>1</v>
      </c>
      <c r="J694" s="5">
        <f>IFERROR(__xludf.DUMMYFUNCTION("""COMPUTED_VALUE"""),1.0)</f>
        <v>1</v>
      </c>
      <c r="K694" s="5"/>
      <c r="L694" s="23">
        <f>IFERROR(__xludf.DUMMYFUNCTION("""COMPUTED_VALUE"""),1.0)</f>
        <v>1</v>
      </c>
      <c r="M694" s="25" t="str">
        <f>IFERROR(__xludf.DUMMYFUNCTION("""COMPUTED_VALUE"""),"")</f>
        <v/>
      </c>
      <c r="N694" s="5"/>
      <c r="O694" s="5"/>
      <c r="P694" s="142">
        <f>IFERROR(__xludf.DUMMYFUNCTION("""COMPUTED_VALUE"""),500000.0)</f>
        <v>500000</v>
      </c>
      <c r="Q694" s="5"/>
      <c r="R694" s="71">
        <f>IFERROR(__xludf.DUMMYFUNCTION("""COMPUTED_VALUE"""),1.0)</f>
        <v>1</v>
      </c>
      <c r="S694" s="142" t="str">
        <f>IFERROR(__xludf.DUMMYFUNCTION("""COMPUTED_VALUE"""),"")</f>
        <v/>
      </c>
      <c r="T694" s="5">
        <f>IFERROR(__xludf.DUMMYFUNCTION("""COMPUTED_VALUE"""),1.0)</f>
        <v>1</v>
      </c>
      <c r="U694" s="5">
        <f>IFERROR(__xludf.DUMMYFUNCTION("""COMPUTED_VALUE"""),1.0)</f>
        <v>1</v>
      </c>
      <c r="V694" s="22">
        <f>IFERROR(__xludf.DUMMYFUNCTION("""COMPUTED_VALUE"""),500000.0)</f>
        <v>500000</v>
      </c>
      <c r="W694" s="9" t="str">
        <f>IFERROR(__xludf.DUMMYFUNCTION("""COMPUTED_VALUE"""),"")</f>
        <v/>
      </c>
      <c r="X694" s="22" t="str">
        <f>IFERROR(__xludf.DUMMYFUNCTION("""COMPUTED_VALUE"""),"")</f>
        <v/>
      </c>
      <c r="Y694" s="22" t="str">
        <f>IFERROR(__xludf.DUMMYFUNCTION("""COMPUTED_VALUE"""),"")</f>
        <v/>
      </c>
      <c r="Z694" s="24" t="str">
        <f>IFERROR(__xludf.DUMMYFUNCTION("""COMPUTED_VALUE"""),"")</f>
        <v/>
      </c>
    </row>
    <row r="695">
      <c r="A695" s="5" t="str">
        <f>IFERROR(__xludf.DUMMYFUNCTION("""COMPUTED_VALUE"""),"")</f>
        <v/>
      </c>
      <c r="B695" s="5" t="str">
        <f>IFERROR(__xludf.DUMMYFUNCTION("""COMPUTED_VALUE"""),"56118")</f>
        <v>56118</v>
      </c>
      <c r="C695" s="9">
        <f>IFERROR(__xludf.DUMMYFUNCTION("""COMPUTED_VALUE"""),4.4635000599E10)</f>
        <v>44635000599</v>
      </c>
      <c r="D695" s="87" t="str">
        <f>IFERROR(__xludf.DUMMYFUNCTION("""COMPUTED_VALUE"""),"LMT")</f>
        <v>LMT</v>
      </c>
      <c r="E695" s="193">
        <f>IFERROR(__xludf.DUMMYFUNCTION("""COMPUTED_VALUE"""),44635.0)</f>
        <v>44635</v>
      </c>
      <c r="F695" s="5" t="str">
        <f>IFERROR(__xludf.DUMMYFUNCTION("""COMPUTED_VALUE"""),"Stock")</f>
        <v>Stock</v>
      </c>
      <c r="G695" s="5" t="str">
        <f>IFERROR(__xludf.DUMMYFUNCTION("""COMPUTED_VALUE"""),"USD")</f>
        <v>USD</v>
      </c>
      <c r="H695" s="22">
        <f>IFERROR(__xludf.DUMMYFUNCTION("""COMPUTED_VALUE"""),20.0)</f>
        <v>20</v>
      </c>
      <c r="I695" s="194">
        <f>IFERROR(__xludf.DUMMYFUNCTION("""COMPUTED_VALUE"""),7.82695)</f>
        <v>7.82695</v>
      </c>
      <c r="J695" s="23">
        <f>IFERROR(__xludf.DUMMYFUNCTION("""COMPUTED_VALUE"""),448.67)</f>
        <v>448.67</v>
      </c>
      <c r="K695" s="5"/>
      <c r="L695" s="23">
        <f>IFERROR(__xludf.DUMMYFUNCTION("""COMPUTED_VALUE"""),469.2)</f>
        <v>469.2</v>
      </c>
      <c r="M695" s="195" t="str">
        <f>IFERROR(__xludf.DUMMYFUNCTION("""COMPUTED_VALUE"""),"Equity Key Stats")</f>
        <v>Equity Key Stats</v>
      </c>
      <c r="N695" s="5"/>
      <c r="O695" s="5"/>
      <c r="P695" s="142">
        <f>IFERROR(__xludf.DUMMYFUNCTION("""COMPUTED_VALUE"""),-70234.35313)</f>
        <v>-70234.35313</v>
      </c>
      <c r="Q695" s="5"/>
      <c r="R695" s="71">
        <f>IFERROR(__xludf.DUMMYFUNCTION("""COMPUTED_VALUE"""),469.2)</f>
        <v>469.2</v>
      </c>
      <c r="S695" s="142">
        <f>IFERROR(__xludf.DUMMYFUNCTION("""COMPUTED_VALUE"""),73448.09879999999)</f>
        <v>73448.0988</v>
      </c>
      <c r="T695" s="5">
        <f>IFERROR(__xludf.DUMMYFUNCTION("""COMPUTED_VALUE"""),2.0)</f>
        <v>2</v>
      </c>
      <c r="U695" s="5" t="str">
        <f>IFERROR(__xludf.DUMMYFUNCTION("""COMPUTED_VALUE"""),"")</f>
        <v/>
      </c>
      <c r="V695" s="22" t="str">
        <f>IFERROR(__xludf.DUMMYFUNCTION("""COMPUTED_VALUE"""),"")</f>
        <v/>
      </c>
      <c r="W695" s="9" t="str">
        <f>IFERROR(__xludf.DUMMYFUNCTION("""COMPUTED_VALUE"""),"")</f>
        <v/>
      </c>
      <c r="X695" s="22" t="str">
        <f>IFERROR(__xludf.DUMMYFUNCTION("""COMPUTED_VALUE"""),"")</f>
        <v/>
      </c>
      <c r="Y695" s="22" t="str">
        <f>IFERROR(__xludf.DUMMYFUNCTION("""COMPUTED_VALUE"""),"")</f>
        <v/>
      </c>
      <c r="Z695" s="24" t="str">
        <f>IFERROR(__xludf.DUMMYFUNCTION("""COMPUTED_VALUE"""),"")</f>
        <v/>
      </c>
    </row>
    <row r="696">
      <c r="A696" s="5" t="str">
        <f>IFERROR(__xludf.DUMMYFUNCTION("""COMPUTED_VALUE"""),"")</f>
        <v/>
      </c>
      <c r="B696" s="5" t="str">
        <f>IFERROR(__xludf.DUMMYFUNCTION("""COMPUTED_VALUE"""),"56118")</f>
        <v>56118</v>
      </c>
      <c r="C696" s="9">
        <f>IFERROR(__xludf.DUMMYFUNCTION("""COMPUTED_VALUE"""),4.46350006E10)</f>
        <v>44635000600</v>
      </c>
      <c r="D696" s="87" t="str">
        <f>IFERROR(__xludf.DUMMYFUNCTION("""COMPUTED_VALUE"""),"PFE")</f>
        <v>PFE</v>
      </c>
      <c r="E696" s="193">
        <f>IFERROR(__xludf.DUMMYFUNCTION("""COMPUTED_VALUE"""),44635.0)</f>
        <v>44635</v>
      </c>
      <c r="F696" s="5" t="str">
        <f>IFERROR(__xludf.DUMMYFUNCTION("""COMPUTED_VALUE"""),"Stock")</f>
        <v>Stock</v>
      </c>
      <c r="G696" s="5" t="str">
        <f>IFERROR(__xludf.DUMMYFUNCTION("""COMPUTED_VALUE"""),"USD")</f>
        <v>USD</v>
      </c>
      <c r="H696" s="22">
        <f>IFERROR(__xludf.DUMMYFUNCTION("""COMPUTED_VALUE"""),500.0)</f>
        <v>500</v>
      </c>
      <c r="I696" s="194">
        <f>IFERROR(__xludf.DUMMYFUNCTION("""COMPUTED_VALUE"""),7.82695)</f>
        <v>7.82695</v>
      </c>
      <c r="J696" s="23">
        <f>IFERROR(__xludf.DUMMYFUNCTION("""COMPUTED_VALUE"""),52.21)</f>
        <v>52.21</v>
      </c>
      <c r="K696" s="5"/>
      <c r="L696" s="23">
        <f>IFERROR(__xludf.DUMMYFUNCTION("""COMPUTED_VALUE"""),53.11)</f>
        <v>53.11</v>
      </c>
      <c r="M696" s="195" t="str">
        <f>IFERROR(__xludf.DUMMYFUNCTION("""COMPUTED_VALUE"""),"Equity Key Stats")</f>
        <v>Equity Key Stats</v>
      </c>
      <c r="N696" s="5"/>
      <c r="O696" s="5"/>
      <c r="P696" s="142">
        <f>IFERROR(__xludf.DUMMYFUNCTION("""COMPUTED_VALUE"""),-204322.52975)</f>
        <v>-204322.5298</v>
      </c>
      <c r="Q696" s="5"/>
      <c r="R696" s="71">
        <f>IFERROR(__xludf.DUMMYFUNCTION("""COMPUTED_VALUE"""),53.11)</f>
        <v>53.11</v>
      </c>
      <c r="S696" s="142">
        <f>IFERROR(__xludf.DUMMYFUNCTION("""COMPUTED_VALUE"""),207844.65725)</f>
        <v>207844.6573</v>
      </c>
      <c r="T696" s="5">
        <f>IFERROR(__xludf.DUMMYFUNCTION("""COMPUTED_VALUE"""),2.0)</f>
        <v>2</v>
      </c>
      <c r="U696" s="5" t="str">
        <f>IFERROR(__xludf.DUMMYFUNCTION("""COMPUTED_VALUE"""),"")</f>
        <v/>
      </c>
      <c r="V696" s="22" t="str">
        <f>IFERROR(__xludf.DUMMYFUNCTION("""COMPUTED_VALUE"""),"")</f>
        <v/>
      </c>
      <c r="W696" s="9" t="str">
        <f>IFERROR(__xludf.DUMMYFUNCTION("""COMPUTED_VALUE"""),"")</f>
        <v/>
      </c>
      <c r="X696" s="22" t="str">
        <f>IFERROR(__xludf.DUMMYFUNCTION("""COMPUTED_VALUE"""),"")</f>
        <v/>
      </c>
      <c r="Y696" s="22" t="str">
        <f>IFERROR(__xludf.DUMMYFUNCTION("""COMPUTED_VALUE"""),"")</f>
        <v/>
      </c>
      <c r="Z696" s="24" t="str">
        <f>IFERROR(__xludf.DUMMYFUNCTION("""COMPUTED_VALUE"""),"")</f>
        <v/>
      </c>
    </row>
    <row r="697">
      <c r="A697" s="5" t="str">
        <f>IFERROR(__xludf.DUMMYFUNCTION("""COMPUTED_VALUE"""),"")</f>
        <v/>
      </c>
      <c r="B697" s="5" t="str">
        <f>IFERROR(__xludf.DUMMYFUNCTION("""COMPUTED_VALUE"""),"56118")</f>
        <v>56118</v>
      </c>
      <c r="C697" s="9">
        <f>IFERROR(__xludf.DUMMYFUNCTION("""COMPUTED_VALUE"""),4.4635000601E10)</f>
        <v>44635000601</v>
      </c>
      <c r="D697" s="90" t="str">
        <f>IFERROR(__xludf.DUMMYFUNCTION("""COMPUTED_VALUE"""),"3339.HK")</f>
        <v>3339.HK</v>
      </c>
      <c r="E697" s="193">
        <f>IFERROR(__xludf.DUMMYFUNCTION("""COMPUTED_VALUE"""),44635.0)</f>
        <v>44635</v>
      </c>
      <c r="F697" s="5" t="str">
        <f>IFERROR(__xludf.DUMMYFUNCTION("""COMPUTED_VALUE"""),"Stock")</f>
        <v>Stock</v>
      </c>
      <c r="G697" s="5" t="str">
        <f>IFERROR(__xludf.DUMMYFUNCTION("""COMPUTED_VALUE"""),"HKD")</f>
        <v>HKD</v>
      </c>
      <c r="H697" s="22">
        <f>IFERROR(__xludf.DUMMYFUNCTION("""COMPUTED_VALUE"""),100000.0)</f>
        <v>100000</v>
      </c>
      <c r="I697" s="194">
        <f>IFERROR(__xludf.DUMMYFUNCTION("""COMPUTED_VALUE"""),1.0)</f>
        <v>1</v>
      </c>
      <c r="J697" s="23">
        <f>IFERROR(__xludf.DUMMYFUNCTION("""COMPUTED_VALUE"""),1.98)</f>
        <v>1.98</v>
      </c>
      <c r="K697" s="5"/>
      <c r="L697" s="23">
        <f>IFERROR(__xludf.DUMMYFUNCTION("""COMPUTED_VALUE"""),2.15)</f>
        <v>2.15</v>
      </c>
      <c r="M697" s="195" t="str">
        <f>IFERROR(__xludf.DUMMYFUNCTION("""COMPUTED_VALUE"""),"Equity Key Stats")</f>
        <v>Equity Key Stats</v>
      </c>
      <c r="N697" s="5"/>
      <c r="O697" s="5"/>
      <c r="P697" s="142">
        <f>IFERROR(__xludf.DUMMYFUNCTION("""COMPUTED_VALUE"""),-198000.0)</f>
        <v>-198000</v>
      </c>
      <c r="Q697" s="5"/>
      <c r="R697" s="71">
        <f>IFERROR(__xludf.DUMMYFUNCTION("""COMPUTED_VALUE"""),2.15)</f>
        <v>2.15</v>
      </c>
      <c r="S697" s="142">
        <f>IFERROR(__xludf.DUMMYFUNCTION("""COMPUTED_VALUE"""),215000.0)</f>
        <v>215000</v>
      </c>
      <c r="T697" s="5">
        <f>IFERROR(__xludf.DUMMYFUNCTION("""COMPUTED_VALUE"""),1.0)</f>
        <v>1</v>
      </c>
      <c r="U697" s="5">
        <f>IFERROR(__xludf.DUMMYFUNCTION("""COMPUTED_VALUE"""),1.0)</f>
        <v>1</v>
      </c>
      <c r="V697" s="22">
        <f>IFERROR(__xludf.DUMMYFUNCTION("""COMPUTED_VALUE"""),17000.0)</f>
        <v>17000</v>
      </c>
      <c r="W697" s="9" t="str">
        <f>IFERROR(__xludf.DUMMYFUNCTION("""COMPUTED_VALUE"""),"")</f>
        <v/>
      </c>
      <c r="X697" s="22" t="str">
        <f>IFERROR(__xludf.DUMMYFUNCTION("""COMPUTED_VALUE"""),"")</f>
        <v/>
      </c>
      <c r="Y697" s="22" t="str">
        <f>IFERROR(__xludf.DUMMYFUNCTION("""COMPUTED_VALUE"""),"")</f>
        <v/>
      </c>
      <c r="Z697" s="24" t="str">
        <f>IFERROR(__xludf.DUMMYFUNCTION("""COMPUTED_VALUE"""),"")</f>
        <v/>
      </c>
    </row>
    <row r="698">
      <c r="A698" s="5" t="str">
        <f>IFERROR(__xludf.DUMMYFUNCTION("""COMPUTED_VALUE"""),"")</f>
        <v/>
      </c>
      <c r="B698" s="5" t="str">
        <f>IFERROR(__xludf.DUMMYFUNCTION("""COMPUTED_VALUE"""),"56118")</f>
        <v>56118</v>
      </c>
      <c r="C698" s="9">
        <f>IFERROR(__xludf.DUMMYFUNCTION("""COMPUTED_VALUE"""),4.463600063E10)</f>
        <v>44636000630</v>
      </c>
      <c r="D698" s="87" t="str">
        <f>IFERROR(__xludf.DUMMYFUNCTION("""COMPUTED_VALUE"""),"PFE")</f>
        <v>PFE</v>
      </c>
      <c r="E698" s="193">
        <f>IFERROR(__xludf.DUMMYFUNCTION("""COMPUTED_VALUE"""),44636.0)</f>
        <v>44636</v>
      </c>
      <c r="F698" s="5" t="str">
        <f>IFERROR(__xludf.DUMMYFUNCTION("""COMPUTED_VALUE"""),"Stock")</f>
        <v>Stock</v>
      </c>
      <c r="G698" s="5" t="str">
        <f>IFERROR(__xludf.DUMMYFUNCTION("""COMPUTED_VALUE"""),"USD")</f>
        <v>USD</v>
      </c>
      <c r="H698" s="22">
        <f>IFERROR(__xludf.DUMMYFUNCTION("""COMPUTED_VALUE"""),500.0)</f>
        <v>500</v>
      </c>
      <c r="I698" s="194">
        <f>IFERROR(__xludf.DUMMYFUNCTION("""COMPUTED_VALUE"""),7.82055)</f>
        <v>7.82055</v>
      </c>
      <c r="J698" s="23">
        <f>IFERROR(__xludf.DUMMYFUNCTION("""COMPUTED_VALUE"""),52.92)</f>
        <v>52.92</v>
      </c>
      <c r="K698" s="5"/>
      <c r="L698" s="23">
        <f>IFERROR(__xludf.DUMMYFUNCTION("""COMPUTED_VALUE"""),53.11)</f>
        <v>53.11</v>
      </c>
      <c r="M698" s="195" t="str">
        <f>IFERROR(__xludf.DUMMYFUNCTION("""COMPUTED_VALUE"""),"Equity Key Stats")</f>
        <v>Equity Key Stats</v>
      </c>
      <c r="N698" s="5"/>
      <c r="O698" s="5"/>
      <c r="P698" s="142">
        <f>IFERROR(__xludf.DUMMYFUNCTION("""COMPUTED_VALUE"""),-206931.753)</f>
        <v>-206931.753</v>
      </c>
      <c r="Q698" s="5"/>
      <c r="R698" s="71">
        <f>IFERROR(__xludf.DUMMYFUNCTION("""COMPUTED_VALUE"""),53.11)</f>
        <v>53.11</v>
      </c>
      <c r="S698" s="142">
        <f>IFERROR(__xludf.DUMMYFUNCTION("""COMPUTED_VALUE"""),207674.70525)</f>
        <v>207674.7053</v>
      </c>
      <c r="T698" s="5">
        <f>IFERROR(__xludf.DUMMYFUNCTION("""COMPUTED_VALUE"""),2.0)</f>
        <v>2</v>
      </c>
      <c r="U698" s="5">
        <f>IFERROR(__xludf.DUMMYFUNCTION("""COMPUTED_VALUE"""),1.0)</f>
        <v>1</v>
      </c>
      <c r="V698" s="22">
        <f>IFERROR(__xludf.DUMMYFUNCTION("""COMPUTED_VALUE"""),4265.079749999975)</f>
        <v>4265.07975</v>
      </c>
      <c r="W698" s="9" t="str">
        <f>IFERROR(__xludf.DUMMYFUNCTION("""COMPUTED_VALUE"""),"")</f>
        <v/>
      </c>
      <c r="X698" s="22" t="str">
        <f>IFERROR(__xludf.DUMMYFUNCTION("""COMPUTED_VALUE"""),"")</f>
        <v/>
      </c>
      <c r="Y698" s="22" t="str">
        <f>IFERROR(__xludf.DUMMYFUNCTION("""COMPUTED_VALUE"""),"")</f>
        <v/>
      </c>
      <c r="Z698" s="24" t="str">
        <f>IFERROR(__xludf.DUMMYFUNCTION("""COMPUTED_VALUE"""),"")</f>
        <v/>
      </c>
    </row>
    <row r="699">
      <c r="A699" s="5" t="str">
        <f>IFERROR(__xludf.DUMMYFUNCTION("""COMPUTED_VALUE"""),"")</f>
        <v/>
      </c>
      <c r="B699" s="5" t="str">
        <f>IFERROR(__xludf.DUMMYFUNCTION("""COMPUTED_VALUE"""),"56118")</f>
        <v>56118</v>
      </c>
      <c r="C699" s="9">
        <f>IFERROR(__xludf.DUMMYFUNCTION("""COMPUTED_VALUE"""),4.4637000679E10)</f>
        <v>44637000679</v>
      </c>
      <c r="D699" s="87" t="str">
        <f>IFERROR(__xludf.DUMMYFUNCTION("""COMPUTED_VALUE"""),"SOFI")</f>
        <v>SOFI</v>
      </c>
      <c r="E699" s="193">
        <f>IFERROR(__xludf.DUMMYFUNCTION("""COMPUTED_VALUE"""),44637.0)</f>
        <v>44637</v>
      </c>
      <c r="F699" s="5" t="str">
        <f>IFERROR(__xludf.DUMMYFUNCTION("""COMPUTED_VALUE"""),"Stock")</f>
        <v>Stock</v>
      </c>
      <c r="G699" s="5" t="str">
        <f>IFERROR(__xludf.DUMMYFUNCTION("""COMPUTED_VALUE"""),"USD")</f>
        <v>USD</v>
      </c>
      <c r="H699" s="22">
        <f>IFERROR(__xludf.DUMMYFUNCTION("""COMPUTED_VALUE"""),200.0)</f>
        <v>200</v>
      </c>
      <c r="I699" s="194">
        <f>IFERROR(__xludf.DUMMYFUNCTION("""COMPUTED_VALUE"""),7.81854)</f>
        <v>7.81854</v>
      </c>
      <c r="J699" s="23">
        <f>IFERROR(__xludf.DUMMYFUNCTION("""COMPUTED_VALUE"""),8.91)</f>
        <v>8.91</v>
      </c>
      <c r="K699" s="5"/>
      <c r="L699" s="23">
        <f>IFERROR(__xludf.DUMMYFUNCTION("""COMPUTED_VALUE"""),7.61)</f>
        <v>7.61</v>
      </c>
      <c r="M699" s="195" t="str">
        <f>IFERROR(__xludf.DUMMYFUNCTION("""COMPUTED_VALUE"""),"Equity Key Stats")</f>
        <v>Equity Key Stats</v>
      </c>
      <c r="N699" s="5"/>
      <c r="O699" s="5"/>
      <c r="P699" s="142">
        <f>IFERROR(__xludf.DUMMYFUNCTION("""COMPUTED_VALUE"""),-13932.63828)</f>
        <v>-13932.63828</v>
      </c>
      <c r="Q699" s="5"/>
      <c r="R699" s="71">
        <f>IFERROR(__xludf.DUMMYFUNCTION("""COMPUTED_VALUE"""),7.61)</f>
        <v>7.61</v>
      </c>
      <c r="S699" s="142">
        <f>IFERROR(__xludf.DUMMYFUNCTION("""COMPUTED_VALUE"""),11899.817879999999)</f>
        <v>11899.81788</v>
      </c>
      <c r="T699" s="5">
        <f>IFERROR(__xludf.DUMMYFUNCTION("""COMPUTED_VALUE"""),2.0)</f>
        <v>2</v>
      </c>
      <c r="U699" s="5" t="str">
        <f>IFERROR(__xludf.DUMMYFUNCTION("""COMPUTED_VALUE"""),"")</f>
        <v/>
      </c>
      <c r="V699" s="22" t="str">
        <f>IFERROR(__xludf.DUMMYFUNCTION("""COMPUTED_VALUE"""),"")</f>
        <v/>
      </c>
      <c r="W699" s="9" t="str">
        <f>IFERROR(__xludf.DUMMYFUNCTION("""COMPUTED_VALUE"""),"")</f>
        <v/>
      </c>
      <c r="X699" s="22" t="str">
        <f>IFERROR(__xludf.DUMMYFUNCTION("""COMPUTED_VALUE"""),"")</f>
        <v/>
      </c>
      <c r="Y699" s="22" t="str">
        <f>IFERROR(__xludf.DUMMYFUNCTION("""COMPUTED_VALUE"""),"")</f>
        <v/>
      </c>
      <c r="Z699" s="24" t="str">
        <f>IFERROR(__xludf.DUMMYFUNCTION("""COMPUTED_VALUE"""),"")</f>
        <v/>
      </c>
    </row>
    <row r="700">
      <c r="A700" s="5" t="str">
        <f>IFERROR(__xludf.DUMMYFUNCTION("""COMPUTED_VALUE"""),"")</f>
        <v/>
      </c>
      <c r="B700" s="5" t="str">
        <f>IFERROR(__xludf.DUMMYFUNCTION("""COMPUTED_VALUE"""),"56118")</f>
        <v>56118</v>
      </c>
      <c r="C700" s="9">
        <f>IFERROR(__xludf.DUMMYFUNCTION("""COMPUTED_VALUE"""),4.4641000734E10)</f>
        <v>44641000734</v>
      </c>
      <c r="D700" s="87" t="str">
        <f>IFERROR(__xludf.DUMMYFUNCTION("""COMPUTED_VALUE"""),"NFLX")</f>
        <v>NFLX</v>
      </c>
      <c r="E700" s="193">
        <f>IFERROR(__xludf.DUMMYFUNCTION("""COMPUTED_VALUE"""),44641.0)</f>
        <v>44641</v>
      </c>
      <c r="F700" s="5" t="str">
        <f>IFERROR(__xludf.DUMMYFUNCTION("""COMPUTED_VALUE"""),"Stock")</f>
        <v>Stock</v>
      </c>
      <c r="G700" s="5" t="str">
        <f>IFERROR(__xludf.DUMMYFUNCTION("""COMPUTED_VALUE"""),"USD")</f>
        <v>USD</v>
      </c>
      <c r="H700" s="22">
        <f>IFERROR(__xludf.DUMMYFUNCTION("""COMPUTED_VALUE"""),10.0)</f>
        <v>10</v>
      </c>
      <c r="I700" s="194">
        <f>IFERROR(__xludf.DUMMYFUNCTION("""COMPUTED_VALUE"""),7.82545)</f>
        <v>7.82545</v>
      </c>
      <c r="J700" s="23">
        <f>IFERROR(__xludf.DUMMYFUNCTION("""COMPUTED_VALUE"""),374.59)</f>
        <v>374.59</v>
      </c>
      <c r="K700" s="5"/>
      <c r="L700" s="23">
        <f>IFERROR(__xludf.DUMMYFUNCTION("""COMPUTED_VALUE"""),350.43)</f>
        <v>350.43</v>
      </c>
      <c r="M700" s="195" t="str">
        <f>IFERROR(__xludf.DUMMYFUNCTION("""COMPUTED_VALUE"""),"Equity Key Stats")</f>
        <v>Equity Key Stats</v>
      </c>
      <c r="N700" s="5"/>
      <c r="O700" s="5"/>
      <c r="P700" s="142">
        <f>IFERROR(__xludf.DUMMYFUNCTION("""COMPUTED_VALUE"""),-29313.353155)</f>
        <v>-29313.35316</v>
      </c>
      <c r="Q700" s="5"/>
      <c r="R700" s="71">
        <f>IFERROR(__xludf.DUMMYFUNCTION("""COMPUTED_VALUE"""),350.43)</f>
        <v>350.43</v>
      </c>
      <c r="S700" s="142">
        <f>IFERROR(__xludf.DUMMYFUNCTION("""COMPUTED_VALUE"""),27422.724435000004)</f>
        <v>27422.72444</v>
      </c>
      <c r="T700" s="5">
        <f>IFERROR(__xludf.DUMMYFUNCTION("""COMPUTED_VALUE"""),1.0)</f>
        <v>1</v>
      </c>
      <c r="U700" s="5">
        <f>IFERROR(__xludf.DUMMYFUNCTION("""COMPUTED_VALUE"""),1.0)</f>
        <v>1</v>
      </c>
      <c r="V700" s="22">
        <f>IFERROR(__xludf.DUMMYFUNCTION("""COMPUTED_VALUE"""),-1890.628719999997)</f>
        <v>-1890.62872</v>
      </c>
      <c r="W700" s="9" t="str">
        <f>IFERROR(__xludf.DUMMYFUNCTION("""COMPUTED_VALUE"""),"")</f>
        <v/>
      </c>
      <c r="X700" s="22" t="str">
        <f>IFERROR(__xludf.DUMMYFUNCTION("""COMPUTED_VALUE"""),"")</f>
        <v/>
      </c>
      <c r="Y700" s="22" t="str">
        <f>IFERROR(__xludf.DUMMYFUNCTION("""COMPUTED_VALUE"""),"")</f>
        <v/>
      </c>
      <c r="Z700" s="24" t="str">
        <f>IFERROR(__xludf.DUMMYFUNCTION("""COMPUTED_VALUE"""),"")</f>
        <v/>
      </c>
    </row>
    <row r="701">
      <c r="A701" s="5" t="str">
        <f>IFERROR(__xludf.DUMMYFUNCTION("""COMPUTED_VALUE"""),"")</f>
        <v/>
      </c>
      <c r="B701" s="5" t="str">
        <f>IFERROR(__xludf.DUMMYFUNCTION("""COMPUTED_VALUE"""),"56118")</f>
        <v>56118</v>
      </c>
      <c r="C701" s="9">
        <f>IFERROR(__xludf.DUMMYFUNCTION("""COMPUTED_VALUE"""),4.4641000735E10)</f>
        <v>44641000735</v>
      </c>
      <c r="D701" s="87" t="str">
        <f>IFERROR(__xludf.DUMMYFUNCTION("""COMPUTED_VALUE"""),"SOFI")</f>
        <v>SOFI</v>
      </c>
      <c r="E701" s="193">
        <f>IFERROR(__xludf.DUMMYFUNCTION("""COMPUTED_VALUE"""),44641.0)</f>
        <v>44641</v>
      </c>
      <c r="F701" s="5" t="str">
        <f>IFERROR(__xludf.DUMMYFUNCTION("""COMPUTED_VALUE"""),"Stock")</f>
        <v>Stock</v>
      </c>
      <c r="G701" s="5" t="str">
        <f>IFERROR(__xludf.DUMMYFUNCTION("""COMPUTED_VALUE"""),"USD")</f>
        <v>USD</v>
      </c>
      <c r="H701" s="22">
        <f>IFERROR(__xludf.DUMMYFUNCTION("""COMPUTED_VALUE"""),0.0)</f>
        <v>0</v>
      </c>
      <c r="I701" s="194">
        <f>IFERROR(__xludf.DUMMYFUNCTION("""COMPUTED_VALUE"""),7.82545)</f>
        <v>7.82545</v>
      </c>
      <c r="J701" s="23">
        <f>IFERROR(__xludf.DUMMYFUNCTION("""COMPUTED_VALUE"""),0.0)</f>
        <v>0</v>
      </c>
      <c r="K701" s="5"/>
      <c r="L701" s="23">
        <f>IFERROR(__xludf.DUMMYFUNCTION("""COMPUTED_VALUE"""),7.61)</f>
        <v>7.61</v>
      </c>
      <c r="M701" s="195" t="str">
        <f>IFERROR(__xludf.DUMMYFUNCTION("""COMPUTED_VALUE"""),"Equity Key Stats")</f>
        <v>Equity Key Stats</v>
      </c>
      <c r="N701" s="5"/>
      <c r="O701" s="5"/>
      <c r="P701" s="142">
        <f>IFERROR(__xludf.DUMMYFUNCTION("""COMPUTED_VALUE"""),0.0)</f>
        <v>0</v>
      </c>
      <c r="Q701" s="5"/>
      <c r="R701" s="71">
        <f>IFERROR(__xludf.DUMMYFUNCTION("""COMPUTED_VALUE"""),7.61)</f>
        <v>7.61</v>
      </c>
      <c r="S701" s="142">
        <f>IFERROR(__xludf.DUMMYFUNCTION("""COMPUTED_VALUE"""),0.0)</f>
        <v>0</v>
      </c>
      <c r="T701" s="5">
        <f>IFERROR(__xludf.DUMMYFUNCTION("""COMPUTED_VALUE"""),2.0)</f>
        <v>2</v>
      </c>
      <c r="U701" s="5">
        <f>IFERROR(__xludf.DUMMYFUNCTION("""COMPUTED_VALUE"""),1.0)</f>
        <v>1</v>
      </c>
      <c r="V701" s="22">
        <f>IFERROR(__xludf.DUMMYFUNCTION("""COMPUTED_VALUE"""),-2032.8204000000005)</f>
        <v>-2032.8204</v>
      </c>
      <c r="W701" s="9" t="str">
        <f>IFERROR(__xludf.DUMMYFUNCTION("""COMPUTED_VALUE"""),"")</f>
        <v/>
      </c>
      <c r="X701" s="22" t="str">
        <f>IFERROR(__xludf.DUMMYFUNCTION("""COMPUTED_VALUE"""),"")</f>
        <v/>
      </c>
      <c r="Y701" s="22" t="str">
        <f>IFERROR(__xludf.DUMMYFUNCTION("""COMPUTED_VALUE"""),"")</f>
        <v/>
      </c>
      <c r="Z701" s="24" t="str">
        <f>IFERROR(__xludf.DUMMYFUNCTION("""COMPUTED_VALUE"""),"")</f>
        <v/>
      </c>
    </row>
    <row r="702">
      <c r="A702" s="5" t="str">
        <f>IFERROR(__xludf.DUMMYFUNCTION("""COMPUTED_VALUE"""),"56118")</f>
        <v>56118</v>
      </c>
      <c r="B702" s="5" t="str">
        <f>IFERROR(__xludf.DUMMYFUNCTION("""COMPUTED_VALUE"""),"56118")</f>
        <v>56118</v>
      </c>
      <c r="C702" s="9">
        <f>IFERROR(__xludf.DUMMYFUNCTION("""COMPUTED_VALUE"""),4.4641000736E10)</f>
        <v>44641000736</v>
      </c>
      <c r="D702" s="87" t="str">
        <f>IFERROR(__xludf.DUMMYFUNCTION("""COMPUTED_VALUE"""),"LMT")</f>
        <v>LMT</v>
      </c>
      <c r="E702" s="193">
        <f>IFERROR(__xludf.DUMMYFUNCTION("""COMPUTED_VALUE"""),44641.0)</f>
        <v>44641</v>
      </c>
      <c r="F702" s="5" t="str">
        <f>IFERROR(__xludf.DUMMYFUNCTION("""COMPUTED_VALUE"""),"Stock")</f>
        <v>Stock</v>
      </c>
      <c r="G702" s="5" t="str">
        <f>IFERROR(__xludf.DUMMYFUNCTION("""COMPUTED_VALUE"""),"USD")</f>
        <v>USD</v>
      </c>
      <c r="H702" s="22">
        <f>IFERROR(__xludf.DUMMYFUNCTION("""COMPUTED_VALUE"""),-20.0)</f>
        <v>-20</v>
      </c>
      <c r="I702" s="194">
        <f>IFERROR(__xludf.DUMMYFUNCTION("""COMPUTED_VALUE"""),7.82545)</f>
        <v>7.82545</v>
      </c>
      <c r="J702" s="23">
        <f>IFERROR(__xludf.DUMMYFUNCTION("""COMPUTED_VALUE"""),440.0)</f>
        <v>440</v>
      </c>
      <c r="K702" s="5"/>
      <c r="L702" s="23">
        <f>IFERROR(__xludf.DUMMYFUNCTION("""COMPUTED_VALUE"""),469.2)</f>
        <v>469.2</v>
      </c>
      <c r="M702" s="195" t="str">
        <f>IFERROR(__xludf.DUMMYFUNCTION("""COMPUTED_VALUE"""),"Equity Key Stats")</f>
        <v>Equity Key Stats</v>
      </c>
      <c r="N702" s="5"/>
      <c r="O702" s="5"/>
      <c r="P702" s="142">
        <f>IFERROR(__xludf.DUMMYFUNCTION("""COMPUTED_VALUE"""),68863.96)</f>
        <v>68863.96</v>
      </c>
      <c r="Q702" s="5"/>
      <c r="R702" s="71">
        <f>IFERROR(__xludf.DUMMYFUNCTION("""COMPUTED_VALUE"""),469.2)</f>
        <v>469.2</v>
      </c>
      <c r="S702" s="142">
        <f>IFERROR(__xludf.DUMMYFUNCTION("""COMPUTED_VALUE"""),-73434.0228)</f>
        <v>-73434.0228</v>
      </c>
      <c r="T702" s="5">
        <f>IFERROR(__xludf.DUMMYFUNCTION("""COMPUTED_VALUE"""),2.0)</f>
        <v>2</v>
      </c>
      <c r="U702" s="5">
        <f>IFERROR(__xludf.DUMMYFUNCTION("""COMPUTED_VALUE"""),1.0)</f>
        <v>1</v>
      </c>
      <c r="V702" s="22">
        <f>IFERROR(__xludf.DUMMYFUNCTION("""COMPUTED_VALUE"""),-1356.3171300000104)</f>
        <v>-1356.31713</v>
      </c>
      <c r="W702" s="9">
        <f>IFERROR(__xludf.DUMMYFUNCTION("""COMPUTED_VALUE"""),515985.31349999993)</f>
        <v>515985.3135</v>
      </c>
      <c r="X702" s="22">
        <f>IFERROR(__xludf.DUMMYFUNCTION("""COMPUTED_VALUE"""),-153870.66731500003)</f>
        <v>-153870.6673</v>
      </c>
      <c r="Y702" s="22">
        <f>IFERROR(__xludf.DUMMYFUNCTION("""COMPUTED_VALUE"""),153870.66731500003)</f>
        <v>153870.6673</v>
      </c>
      <c r="Z702" s="24">
        <f>IFERROR(__xludf.DUMMYFUNCTION("""COMPUTED_VALUE"""),0.03197062699999975)</f>
        <v>0.031970627</v>
      </c>
    </row>
    <row r="703">
      <c r="A703" s="5" t="str">
        <f>IFERROR(__xludf.DUMMYFUNCTION("""COMPUTED_VALUE"""),"")</f>
        <v/>
      </c>
      <c r="B703" s="5" t="str">
        <f>IFERROR(__xludf.DUMMYFUNCTION("""COMPUTED_VALUE"""),"69930")</f>
        <v>69930</v>
      </c>
      <c r="C703" s="9">
        <f>IFERROR(__xludf.DUMMYFUNCTION("""COMPUTED_VALUE"""),4.4597000065E10)</f>
        <v>44597000065</v>
      </c>
      <c r="D703" s="85" t="str">
        <f>IFERROR(__xludf.DUMMYFUNCTION("""COMPUTED_VALUE"""),"Cash")</f>
        <v>Cash</v>
      </c>
      <c r="E703" s="193">
        <f>IFERROR(__xludf.DUMMYFUNCTION("""COMPUTED_VALUE"""),44597.0)</f>
        <v>44597</v>
      </c>
      <c r="F703" s="5" t="str">
        <f>IFERROR(__xludf.DUMMYFUNCTION("""COMPUTED_VALUE"""),"Cash")</f>
        <v>Cash</v>
      </c>
      <c r="G703" s="5" t="str">
        <f>IFERROR(__xludf.DUMMYFUNCTION("""COMPUTED_VALUE"""),"HKD")</f>
        <v>HKD</v>
      </c>
      <c r="H703" s="22" t="str">
        <f>IFERROR(__xludf.DUMMYFUNCTION("""COMPUTED_VALUE"""),"")</f>
        <v/>
      </c>
      <c r="I703" s="194">
        <f>IFERROR(__xludf.DUMMYFUNCTION("""COMPUTED_VALUE"""),1.0)</f>
        <v>1</v>
      </c>
      <c r="J703" s="5">
        <f>IFERROR(__xludf.DUMMYFUNCTION("""COMPUTED_VALUE"""),1.0)</f>
        <v>1</v>
      </c>
      <c r="K703" s="5"/>
      <c r="L703" s="23">
        <f>IFERROR(__xludf.DUMMYFUNCTION("""COMPUTED_VALUE"""),1.0)</f>
        <v>1</v>
      </c>
      <c r="M703" s="25" t="str">
        <f>IFERROR(__xludf.DUMMYFUNCTION("""COMPUTED_VALUE"""),"")</f>
        <v/>
      </c>
      <c r="N703" s="5"/>
      <c r="O703" s="5"/>
      <c r="P703" s="142">
        <f>IFERROR(__xludf.DUMMYFUNCTION("""COMPUTED_VALUE"""),500000.0)</f>
        <v>500000</v>
      </c>
      <c r="Q703" s="5"/>
      <c r="R703" s="71">
        <f>IFERROR(__xludf.DUMMYFUNCTION("""COMPUTED_VALUE"""),1.0)</f>
        <v>1</v>
      </c>
      <c r="S703" s="142" t="str">
        <f>IFERROR(__xludf.DUMMYFUNCTION("""COMPUTED_VALUE"""),"")</f>
        <v/>
      </c>
      <c r="T703" s="5">
        <f>IFERROR(__xludf.DUMMYFUNCTION("""COMPUTED_VALUE"""),1.0)</f>
        <v>1</v>
      </c>
      <c r="U703" s="5">
        <f>IFERROR(__xludf.DUMMYFUNCTION("""COMPUTED_VALUE"""),1.0)</f>
        <v>1</v>
      </c>
      <c r="V703" s="22">
        <f>IFERROR(__xludf.DUMMYFUNCTION("""COMPUTED_VALUE"""),500000.0)</f>
        <v>500000</v>
      </c>
      <c r="W703" s="9" t="str">
        <f>IFERROR(__xludf.DUMMYFUNCTION("""COMPUTED_VALUE"""),"")</f>
        <v/>
      </c>
      <c r="X703" s="22" t="str">
        <f>IFERROR(__xludf.DUMMYFUNCTION("""COMPUTED_VALUE"""),"")</f>
        <v/>
      </c>
      <c r="Y703" s="22" t="str">
        <f>IFERROR(__xludf.DUMMYFUNCTION("""COMPUTED_VALUE"""),"")</f>
        <v/>
      </c>
      <c r="Z703" s="24" t="str">
        <f>IFERROR(__xludf.DUMMYFUNCTION("""COMPUTED_VALUE"""),"")</f>
        <v/>
      </c>
    </row>
    <row r="704">
      <c r="A704" s="5" t="str">
        <f>IFERROR(__xludf.DUMMYFUNCTION("""COMPUTED_VALUE"""),"")</f>
        <v/>
      </c>
      <c r="B704" s="5" t="str">
        <f>IFERROR(__xludf.DUMMYFUNCTION("""COMPUTED_VALUE"""),"69930")</f>
        <v>69930</v>
      </c>
      <c r="C704" s="9">
        <f>IFERROR(__xludf.DUMMYFUNCTION("""COMPUTED_VALUE"""),4.4603000162E10)</f>
        <v>44603000162</v>
      </c>
      <c r="D704" s="90" t="str">
        <f>IFERROR(__xludf.DUMMYFUNCTION("""COMPUTED_VALUE"""),"2318.HK")</f>
        <v>2318.HK</v>
      </c>
      <c r="E704" s="193">
        <f>IFERROR(__xludf.DUMMYFUNCTION("""COMPUTED_VALUE"""),44603.0)</f>
        <v>44603</v>
      </c>
      <c r="F704" s="5" t="str">
        <f>IFERROR(__xludf.DUMMYFUNCTION("""COMPUTED_VALUE"""),"Stock")</f>
        <v>Stock</v>
      </c>
      <c r="G704" s="5" t="str">
        <f>IFERROR(__xludf.DUMMYFUNCTION("""COMPUTED_VALUE"""),"HKD")</f>
        <v>HKD</v>
      </c>
      <c r="H704" s="22">
        <f>IFERROR(__xludf.DUMMYFUNCTION("""COMPUTED_VALUE"""),100.0)</f>
        <v>100</v>
      </c>
      <c r="I704" s="194">
        <f>IFERROR(__xludf.DUMMYFUNCTION("""COMPUTED_VALUE"""),1.0)</f>
        <v>1</v>
      </c>
      <c r="J704" s="23">
        <f>IFERROR(__xludf.DUMMYFUNCTION("""COMPUTED_VALUE"""),69.3)</f>
        <v>69.3</v>
      </c>
      <c r="K704" s="5"/>
      <c r="L704" s="23">
        <f>IFERROR(__xludf.DUMMYFUNCTION("""COMPUTED_VALUE"""),55.3)</f>
        <v>55.3</v>
      </c>
      <c r="M704" s="195" t="str">
        <f>IFERROR(__xludf.DUMMYFUNCTION("""COMPUTED_VALUE"""),"Equity Key Stats")</f>
        <v>Equity Key Stats</v>
      </c>
      <c r="N704" s="5"/>
      <c r="O704" s="5"/>
      <c r="P704" s="142">
        <f>IFERROR(__xludf.DUMMYFUNCTION("""COMPUTED_VALUE"""),-6930.0)</f>
        <v>-6930</v>
      </c>
      <c r="Q704" s="5"/>
      <c r="R704" s="71">
        <f>IFERROR(__xludf.DUMMYFUNCTION("""COMPUTED_VALUE"""),55.3)</f>
        <v>55.3</v>
      </c>
      <c r="S704" s="142">
        <f>IFERROR(__xludf.DUMMYFUNCTION("""COMPUTED_VALUE"""),5530.0)</f>
        <v>5530</v>
      </c>
      <c r="T704" s="5">
        <f>IFERROR(__xludf.DUMMYFUNCTION("""COMPUTED_VALUE"""),2.0)</f>
        <v>2</v>
      </c>
      <c r="U704" s="5" t="str">
        <f>IFERROR(__xludf.DUMMYFUNCTION("""COMPUTED_VALUE"""),"")</f>
        <v/>
      </c>
      <c r="V704" s="22" t="str">
        <f>IFERROR(__xludf.DUMMYFUNCTION("""COMPUTED_VALUE"""),"")</f>
        <v/>
      </c>
      <c r="W704" s="9" t="str">
        <f>IFERROR(__xludf.DUMMYFUNCTION("""COMPUTED_VALUE"""),"")</f>
        <v/>
      </c>
      <c r="X704" s="22" t="str">
        <f>IFERROR(__xludf.DUMMYFUNCTION("""COMPUTED_VALUE"""),"")</f>
        <v/>
      </c>
      <c r="Y704" s="22" t="str">
        <f>IFERROR(__xludf.DUMMYFUNCTION("""COMPUTED_VALUE"""),"")</f>
        <v/>
      </c>
      <c r="Z704" s="24" t="str">
        <f>IFERROR(__xludf.DUMMYFUNCTION("""COMPUTED_VALUE"""),"")</f>
        <v/>
      </c>
    </row>
    <row r="705">
      <c r="A705" s="5" t="str">
        <f>IFERROR(__xludf.DUMMYFUNCTION("""COMPUTED_VALUE"""),"69930")</f>
        <v>69930</v>
      </c>
      <c r="B705" s="5" t="str">
        <f>IFERROR(__xludf.DUMMYFUNCTION("""COMPUTED_VALUE"""),"69930")</f>
        <v>69930</v>
      </c>
      <c r="C705" s="9">
        <f>IFERROR(__xludf.DUMMYFUNCTION("""COMPUTED_VALUE"""),4.4629000497E10)</f>
        <v>44629000497</v>
      </c>
      <c r="D705" s="90" t="str">
        <f>IFERROR(__xludf.DUMMYFUNCTION("""COMPUTED_VALUE"""),"2318.HK")</f>
        <v>2318.HK</v>
      </c>
      <c r="E705" s="193">
        <f>IFERROR(__xludf.DUMMYFUNCTION("""COMPUTED_VALUE"""),44629.0)</f>
        <v>44629</v>
      </c>
      <c r="F705" s="5" t="str">
        <f>IFERROR(__xludf.DUMMYFUNCTION("""COMPUTED_VALUE"""),"Stock")</f>
        <v>Stock</v>
      </c>
      <c r="G705" s="5" t="str">
        <f>IFERROR(__xludf.DUMMYFUNCTION("""COMPUTED_VALUE"""),"HKD")</f>
        <v>HKD</v>
      </c>
      <c r="H705" s="22">
        <f>IFERROR(__xludf.DUMMYFUNCTION("""COMPUTED_VALUE"""),-50.0)</f>
        <v>-50</v>
      </c>
      <c r="I705" s="194">
        <f>IFERROR(__xludf.DUMMYFUNCTION("""COMPUTED_VALUE"""),1.0)</f>
        <v>1</v>
      </c>
      <c r="J705" s="23">
        <f>IFERROR(__xludf.DUMMYFUNCTION("""COMPUTED_VALUE"""),53.35)</f>
        <v>53.35</v>
      </c>
      <c r="K705" s="5"/>
      <c r="L705" s="23">
        <f>IFERROR(__xludf.DUMMYFUNCTION("""COMPUTED_VALUE"""),55.3)</f>
        <v>55.3</v>
      </c>
      <c r="M705" s="195" t="str">
        <f>IFERROR(__xludf.DUMMYFUNCTION("""COMPUTED_VALUE"""),"Equity Key Stats")</f>
        <v>Equity Key Stats</v>
      </c>
      <c r="N705" s="5"/>
      <c r="O705" s="5"/>
      <c r="P705" s="142">
        <f>IFERROR(__xludf.DUMMYFUNCTION("""COMPUTED_VALUE"""),2667.5)</f>
        <v>2667.5</v>
      </c>
      <c r="Q705" s="5"/>
      <c r="R705" s="71">
        <f>IFERROR(__xludf.DUMMYFUNCTION("""COMPUTED_VALUE"""),55.3)</f>
        <v>55.3</v>
      </c>
      <c r="S705" s="142">
        <f>IFERROR(__xludf.DUMMYFUNCTION("""COMPUTED_VALUE"""),-2765.0)</f>
        <v>-2765</v>
      </c>
      <c r="T705" s="5">
        <f>IFERROR(__xludf.DUMMYFUNCTION("""COMPUTED_VALUE"""),2.0)</f>
        <v>2</v>
      </c>
      <c r="U705" s="5">
        <f>IFERROR(__xludf.DUMMYFUNCTION("""COMPUTED_VALUE"""),1.0)</f>
        <v>1</v>
      </c>
      <c r="V705" s="22">
        <f>IFERROR(__xludf.DUMMYFUNCTION("""COMPUTED_VALUE"""),-1497.5)</f>
        <v>-1497.5</v>
      </c>
      <c r="W705" s="9">
        <f>IFERROR(__xludf.DUMMYFUNCTION("""COMPUTED_VALUE"""),498502.5)</f>
        <v>498502.5</v>
      </c>
      <c r="X705" s="22">
        <f>IFERROR(__xludf.DUMMYFUNCTION("""COMPUTED_VALUE"""),495737.5)</f>
        <v>495737.5</v>
      </c>
      <c r="Y705" s="22">
        <f>IFERROR(__xludf.DUMMYFUNCTION("""COMPUTED_VALUE"""),0.0)</f>
        <v>0</v>
      </c>
      <c r="Z705" s="24">
        <f>IFERROR(__xludf.DUMMYFUNCTION("""COMPUTED_VALUE"""),-0.00299499999999997)</f>
        <v>-0.002995</v>
      </c>
    </row>
    <row r="706">
      <c r="A706" s="5" t="str">
        <f>IFERROR(__xludf.DUMMYFUNCTION("""COMPUTED_VALUE"""),"70227")</f>
        <v>70227</v>
      </c>
      <c r="B706" s="5" t="str">
        <f>IFERROR(__xludf.DUMMYFUNCTION("""COMPUTED_VALUE"""),"70227")</f>
        <v>70227</v>
      </c>
      <c r="C706" s="9">
        <f>IFERROR(__xludf.DUMMYFUNCTION("""COMPUTED_VALUE"""),4.4597000022E10)</f>
        <v>44597000022</v>
      </c>
      <c r="D706" s="85" t="str">
        <f>IFERROR(__xludf.DUMMYFUNCTION("""COMPUTED_VALUE"""),"Cash")</f>
        <v>Cash</v>
      </c>
      <c r="E706" s="193">
        <f>IFERROR(__xludf.DUMMYFUNCTION("""COMPUTED_VALUE"""),44597.0)</f>
        <v>44597</v>
      </c>
      <c r="F706" s="5" t="str">
        <f>IFERROR(__xludf.DUMMYFUNCTION("""COMPUTED_VALUE"""),"Cash")</f>
        <v>Cash</v>
      </c>
      <c r="G706" s="5" t="str">
        <f>IFERROR(__xludf.DUMMYFUNCTION("""COMPUTED_VALUE"""),"HKD")</f>
        <v>HKD</v>
      </c>
      <c r="H706" s="22" t="str">
        <f>IFERROR(__xludf.DUMMYFUNCTION("""COMPUTED_VALUE"""),"")</f>
        <v/>
      </c>
      <c r="I706" s="194">
        <f>IFERROR(__xludf.DUMMYFUNCTION("""COMPUTED_VALUE"""),1.0)</f>
        <v>1</v>
      </c>
      <c r="J706" s="5">
        <f>IFERROR(__xludf.DUMMYFUNCTION("""COMPUTED_VALUE"""),1.0)</f>
        <v>1</v>
      </c>
      <c r="K706" s="5"/>
      <c r="L706" s="23">
        <f>IFERROR(__xludf.DUMMYFUNCTION("""COMPUTED_VALUE"""),1.0)</f>
        <v>1</v>
      </c>
      <c r="M706" s="25" t="str">
        <f>IFERROR(__xludf.DUMMYFUNCTION("""COMPUTED_VALUE"""),"")</f>
        <v/>
      </c>
      <c r="N706" s="5"/>
      <c r="O706" s="5"/>
      <c r="P706" s="142">
        <f>IFERROR(__xludf.DUMMYFUNCTION("""COMPUTED_VALUE"""),500000.0)</f>
        <v>500000</v>
      </c>
      <c r="Q706" s="5"/>
      <c r="R706" s="71">
        <f>IFERROR(__xludf.DUMMYFUNCTION("""COMPUTED_VALUE"""),1.0)</f>
        <v>1</v>
      </c>
      <c r="S706" s="142" t="str">
        <f>IFERROR(__xludf.DUMMYFUNCTION("""COMPUTED_VALUE"""),"")</f>
        <v/>
      </c>
      <c r="T706" s="5">
        <f>IFERROR(__xludf.DUMMYFUNCTION("""COMPUTED_VALUE"""),1.0)</f>
        <v>1</v>
      </c>
      <c r="U706" s="5">
        <f>IFERROR(__xludf.DUMMYFUNCTION("""COMPUTED_VALUE"""),1.0)</f>
        <v>1</v>
      </c>
      <c r="V706" s="22">
        <f>IFERROR(__xludf.DUMMYFUNCTION("""COMPUTED_VALUE"""),500000.0)</f>
        <v>500000</v>
      </c>
      <c r="W706" s="9">
        <f>IFERROR(__xludf.DUMMYFUNCTION("""COMPUTED_VALUE"""),500000.0)</f>
        <v>500000</v>
      </c>
      <c r="X706" s="22">
        <f>IFERROR(__xludf.DUMMYFUNCTION("""COMPUTED_VALUE"""),500000.0)</f>
        <v>500000</v>
      </c>
      <c r="Y706" s="22">
        <f>IFERROR(__xludf.DUMMYFUNCTION("""COMPUTED_VALUE"""),0.0)</f>
        <v>0</v>
      </c>
      <c r="Z706" s="24">
        <f>IFERROR(__xludf.DUMMYFUNCTION("""COMPUTED_VALUE"""),0.0)</f>
        <v>0</v>
      </c>
    </row>
    <row r="707">
      <c r="A707" s="5" t="str">
        <f>IFERROR(__xludf.DUMMYFUNCTION("""COMPUTED_VALUE"""),"")</f>
        <v/>
      </c>
      <c r="B707" s="5" t="str">
        <f>IFERROR(__xludf.DUMMYFUNCTION("""COMPUTED_VALUE"""),"70236")</f>
        <v>70236</v>
      </c>
      <c r="C707" s="9">
        <f>IFERROR(__xludf.DUMMYFUNCTION("""COMPUTED_VALUE"""),4.4597000026E10)</f>
        <v>44597000026</v>
      </c>
      <c r="D707" s="85" t="str">
        <f>IFERROR(__xludf.DUMMYFUNCTION("""COMPUTED_VALUE"""),"Cash")</f>
        <v>Cash</v>
      </c>
      <c r="E707" s="193">
        <f>IFERROR(__xludf.DUMMYFUNCTION("""COMPUTED_VALUE"""),44597.0)</f>
        <v>44597</v>
      </c>
      <c r="F707" s="5" t="str">
        <f>IFERROR(__xludf.DUMMYFUNCTION("""COMPUTED_VALUE"""),"Cash")</f>
        <v>Cash</v>
      </c>
      <c r="G707" s="5" t="str">
        <f>IFERROR(__xludf.DUMMYFUNCTION("""COMPUTED_VALUE"""),"HKD")</f>
        <v>HKD</v>
      </c>
      <c r="H707" s="22" t="str">
        <f>IFERROR(__xludf.DUMMYFUNCTION("""COMPUTED_VALUE"""),"")</f>
        <v/>
      </c>
      <c r="I707" s="194">
        <f>IFERROR(__xludf.DUMMYFUNCTION("""COMPUTED_VALUE"""),1.0)</f>
        <v>1</v>
      </c>
      <c r="J707" s="5">
        <f>IFERROR(__xludf.DUMMYFUNCTION("""COMPUTED_VALUE"""),1.0)</f>
        <v>1</v>
      </c>
      <c r="K707" s="5"/>
      <c r="L707" s="23">
        <f>IFERROR(__xludf.DUMMYFUNCTION("""COMPUTED_VALUE"""),1.0)</f>
        <v>1</v>
      </c>
      <c r="M707" s="25" t="str">
        <f>IFERROR(__xludf.DUMMYFUNCTION("""COMPUTED_VALUE"""),"")</f>
        <v/>
      </c>
      <c r="N707" s="5"/>
      <c r="O707" s="5"/>
      <c r="P707" s="142">
        <f>IFERROR(__xludf.DUMMYFUNCTION("""COMPUTED_VALUE"""),500000.0)</f>
        <v>500000</v>
      </c>
      <c r="Q707" s="5"/>
      <c r="R707" s="71">
        <f>IFERROR(__xludf.DUMMYFUNCTION("""COMPUTED_VALUE"""),1.0)</f>
        <v>1</v>
      </c>
      <c r="S707" s="142" t="str">
        <f>IFERROR(__xludf.DUMMYFUNCTION("""COMPUTED_VALUE"""),"")</f>
        <v/>
      </c>
      <c r="T707" s="5">
        <f>IFERROR(__xludf.DUMMYFUNCTION("""COMPUTED_VALUE"""),1.0)</f>
        <v>1</v>
      </c>
      <c r="U707" s="5">
        <f>IFERROR(__xludf.DUMMYFUNCTION("""COMPUTED_VALUE"""),1.0)</f>
        <v>1</v>
      </c>
      <c r="V707" s="22">
        <f>IFERROR(__xludf.DUMMYFUNCTION("""COMPUTED_VALUE"""),500000.0)</f>
        <v>500000</v>
      </c>
      <c r="W707" s="9" t="str">
        <f>IFERROR(__xludf.DUMMYFUNCTION("""COMPUTED_VALUE"""),"")</f>
        <v/>
      </c>
      <c r="X707" s="22" t="str">
        <f>IFERROR(__xludf.DUMMYFUNCTION("""COMPUTED_VALUE"""),"")</f>
        <v/>
      </c>
      <c r="Y707" s="22" t="str">
        <f>IFERROR(__xludf.DUMMYFUNCTION("""COMPUTED_VALUE"""),"")</f>
        <v/>
      </c>
      <c r="Z707" s="24" t="str">
        <f>IFERROR(__xludf.DUMMYFUNCTION("""COMPUTED_VALUE"""),"")</f>
        <v/>
      </c>
    </row>
    <row r="708">
      <c r="A708" s="5" t="str">
        <f>IFERROR(__xludf.DUMMYFUNCTION("""COMPUTED_VALUE"""),"")</f>
        <v/>
      </c>
      <c r="B708" s="5" t="str">
        <f>IFERROR(__xludf.DUMMYFUNCTION("""COMPUTED_VALUE"""),"70236")</f>
        <v>70236</v>
      </c>
      <c r="C708" s="9">
        <f>IFERROR(__xludf.DUMMYFUNCTION("""COMPUTED_VALUE"""),4.4644000853E10)</f>
        <v>44644000853</v>
      </c>
      <c r="D708" s="90" t="str">
        <f>IFERROR(__xludf.DUMMYFUNCTION("""COMPUTED_VALUE"""),"0708.hk")</f>
        <v>0708.hk</v>
      </c>
      <c r="E708" s="193">
        <f>IFERROR(__xludf.DUMMYFUNCTION("""COMPUTED_VALUE"""),44644.0)</f>
        <v>44644</v>
      </c>
      <c r="F708" s="5" t="str">
        <f>IFERROR(__xludf.DUMMYFUNCTION("""COMPUTED_VALUE"""),"Stock")</f>
        <v>Stock</v>
      </c>
      <c r="G708" s="5" t="str">
        <f>IFERROR(__xludf.DUMMYFUNCTION("""COMPUTED_VALUE"""),"HKD")</f>
        <v>HKD</v>
      </c>
      <c r="H708" s="22">
        <f>IFERROR(__xludf.DUMMYFUNCTION("""COMPUTED_VALUE"""),100.0)</f>
        <v>100</v>
      </c>
      <c r="I708" s="194">
        <f>IFERROR(__xludf.DUMMYFUNCTION("""COMPUTED_VALUE"""),1.0)</f>
        <v>1</v>
      </c>
      <c r="J708" s="23">
        <f>IFERROR(__xludf.DUMMYFUNCTION("""COMPUTED_VALUE"""),3.52)</f>
        <v>3.52</v>
      </c>
      <c r="K708" s="5"/>
      <c r="L708" s="23">
        <f>IFERROR(__xludf.DUMMYFUNCTION("""COMPUTED_VALUE"""),3.2)</f>
        <v>3.2</v>
      </c>
      <c r="M708" s="195" t="str">
        <f>IFERROR(__xludf.DUMMYFUNCTION("""COMPUTED_VALUE"""),"Equity Key Stats")</f>
        <v>Equity Key Stats</v>
      </c>
      <c r="N708" s="5"/>
      <c r="O708" s="5"/>
      <c r="P708" s="142">
        <f>IFERROR(__xludf.DUMMYFUNCTION("""COMPUTED_VALUE"""),-352.0)</f>
        <v>-352</v>
      </c>
      <c r="Q708" s="5"/>
      <c r="R708" s="71">
        <f>IFERROR(__xludf.DUMMYFUNCTION("""COMPUTED_VALUE"""),3.2)</f>
        <v>3.2</v>
      </c>
      <c r="S708" s="142">
        <f>IFERROR(__xludf.DUMMYFUNCTION("""COMPUTED_VALUE"""),320.0)</f>
        <v>320</v>
      </c>
      <c r="T708" s="5">
        <f>IFERROR(__xludf.DUMMYFUNCTION("""COMPUTED_VALUE"""),3.0)</f>
        <v>3</v>
      </c>
      <c r="U708" s="5" t="str">
        <f>IFERROR(__xludf.DUMMYFUNCTION("""COMPUTED_VALUE"""),"")</f>
        <v/>
      </c>
      <c r="V708" s="22" t="str">
        <f>IFERROR(__xludf.DUMMYFUNCTION("""COMPUTED_VALUE"""),"")</f>
        <v/>
      </c>
      <c r="W708" s="9" t="str">
        <f>IFERROR(__xludf.DUMMYFUNCTION("""COMPUTED_VALUE"""),"")</f>
        <v/>
      </c>
      <c r="X708" s="22" t="str">
        <f>IFERROR(__xludf.DUMMYFUNCTION("""COMPUTED_VALUE"""),"")</f>
        <v/>
      </c>
      <c r="Y708" s="22" t="str">
        <f>IFERROR(__xludf.DUMMYFUNCTION("""COMPUTED_VALUE"""),"")</f>
        <v/>
      </c>
      <c r="Z708" s="24" t="str">
        <f>IFERROR(__xludf.DUMMYFUNCTION("""COMPUTED_VALUE"""),"")</f>
        <v/>
      </c>
    </row>
    <row r="709">
      <c r="A709" s="5" t="str">
        <f>IFERROR(__xludf.DUMMYFUNCTION("""COMPUTED_VALUE"""),"")</f>
        <v/>
      </c>
      <c r="B709" s="5" t="str">
        <f>IFERROR(__xludf.DUMMYFUNCTION("""COMPUTED_VALUE"""),"70236")</f>
        <v>70236</v>
      </c>
      <c r="C709" s="9">
        <f>IFERROR(__xludf.DUMMYFUNCTION("""COMPUTED_VALUE"""),4.4644000854E10)</f>
        <v>44644000854</v>
      </c>
      <c r="D709" s="90" t="str">
        <f>IFERROR(__xludf.DUMMYFUNCTION("""COMPUTED_VALUE"""),"0708.HK")</f>
        <v>0708.HK</v>
      </c>
      <c r="E709" s="193">
        <f>IFERROR(__xludf.DUMMYFUNCTION("""COMPUTED_VALUE"""),44644.0)</f>
        <v>44644</v>
      </c>
      <c r="F709" s="5" t="str">
        <f>IFERROR(__xludf.DUMMYFUNCTION("""COMPUTED_VALUE"""),"Stock")</f>
        <v>Stock</v>
      </c>
      <c r="G709" s="5" t="str">
        <f>IFERROR(__xludf.DUMMYFUNCTION("""COMPUTED_VALUE"""),"HKD")</f>
        <v>HKD</v>
      </c>
      <c r="H709" s="22">
        <f>IFERROR(__xludf.DUMMYFUNCTION("""COMPUTED_VALUE"""),100.0)</f>
        <v>100</v>
      </c>
      <c r="I709" s="194">
        <f>IFERROR(__xludf.DUMMYFUNCTION("""COMPUTED_VALUE"""),1.0)</f>
        <v>1</v>
      </c>
      <c r="J709" s="23">
        <f>IFERROR(__xludf.DUMMYFUNCTION("""COMPUTED_VALUE"""),3.52)</f>
        <v>3.52</v>
      </c>
      <c r="K709" s="5"/>
      <c r="L709" s="23">
        <f>IFERROR(__xludf.DUMMYFUNCTION("""COMPUTED_VALUE"""),3.2)</f>
        <v>3.2</v>
      </c>
      <c r="M709" s="195" t="str">
        <f>IFERROR(__xludf.DUMMYFUNCTION("""COMPUTED_VALUE"""),"Equity Key Stats")</f>
        <v>Equity Key Stats</v>
      </c>
      <c r="N709" s="5"/>
      <c r="O709" s="5"/>
      <c r="P709" s="142">
        <f>IFERROR(__xludf.DUMMYFUNCTION("""COMPUTED_VALUE"""),-352.0)</f>
        <v>-352</v>
      </c>
      <c r="Q709" s="5"/>
      <c r="R709" s="71">
        <f>IFERROR(__xludf.DUMMYFUNCTION("""COMPUTED_VALUE"""),3.2)</f>
        <v>3.2</v>
      </c>
      <c r="S709" s="142">
        <f>IFERROR(__xludf.DUMMYFUNCTION("""COMPUTED_VALUE"""),320.0)</f>
        <v>320</v>
      </c>
      <c r="T709" s="5">
        <f>IFERROR(__xludf.DUMMYFUNCTION("""COMPUTED_VALUE"""),3.0)</f>
        <v>3</v>
      </c>
      <c r="U709" s="5" t="str">
        <f>IFERROR(__xludf.DUMMYFUNCTION("""COMPUTED_VALUE"""),"")</f>
        <v/>
      </c>
      <c r="V709" s="22" t="str">
        <f>IFERROR(__xludf.DUMMYFUNCTION("""COMPUTED_VALUE"""),"")</f>
        <v/>
      </c>
      <c r="W709" s="9" t="str">
        <f>IFERROR(__xludf.DUMMYFUNCTION("""COMPUTED_VALUE"""),"")</f>
        <v/>
      </c>
      <c r="X709" s="22" t="str">
        <f>IFERROR(__xludf.DUMMYFUNCTION("""COMPUTED_VALUE"""),"")</f>
        <v/>
      </c>
      <c r="Y709" s="22" t="str">
        <f>IFERROR(__xludf.DUMMYFUNCTION("""COMPUTED_VALUE"""),"")</f>
        <v/>
      </c>
      <c r="Z709" s="24" t="str">
        <f>IFERROR(__xludf.DUMMYFUNCTION("""COMPUTED_VALUE"""),"")</f>
        <v/>
      </c>
    </row>
    <row r="710">
      <c r="A710" s="5" t="str">
        <f>IFERROR(__xludf.DUMMYFUNCTION("""COMPUTED_VALUE"""),"")</f>
        <v/>
      </c>
      <c r="B710" s="5" t="str">
        <f>IFERROR(__xludf.DUMMYFUNCTION("""COMPUTED_VALUE"""),"70236")</f>
        <v>70236</v>
      </c>
      <c r="C710" s="9">
        <f>IFERROR(__xludf.DUMMYFUNCTION("""COMPUTED_VALUE"""),4.4644000855E10)</f>
        <v>44644000855</v>
      </c>
      <c r="D710" s="87" t="str">
        <f>IFERROR(__xludf.DUMMYFUNCTION("""COMPUTED_VALUE"""),"CLOV")</f>
        <v>CLOV</v>
      </c>
      <c r="E710" s="193">
        <f>IFERROR(__xludf.DUMMYFUNCTION("""COMPUTED_VALUE"""),44644.0)</f>
        <v>44644</v>
      </c>
      <c r="F710" s="5" t="str">
        <f>IFERROR(__xludf.DUMMYFUNCTION("""COMPUTED_VALUE"""),"Stock")</f>
        <v>Stock</v>
      </c>
      <c r="G710" s="5" t="str">
        <f>IFERROR(__xludf.DUMMYFUNCTION("""COMPUTED_VALUE"""),"USD")</f>
        <v>USD</v>
      </c>
      <c r="H710" s="22">
        <f>IFERROR(__xludf.DUMMYFUNCTION("""COMPUTED_VALUE"""),100.0)</f>
        <v>100</v>
      </c>
      <c r="I710" s="194">
        <f>IFERROR(__xludf.DUMMYFUNCTION("""COMPUTED_VALUE"""),7.82365)</f>
        <v>7.82365</v>
      </c>
      <c r="J710" s="23">
        <f>IFERROR(__xludf.DUMMYFUNCTION("""COMPUTED_VALUE"""),3.61)</f>
        <v>3.61</v>
      </c>
      <c r="K710" s="5"/>
      <c r="L710" s="23">
        <f>IFERROR(__xludf.DUMMYFUNCTION("""COMPUTED_VALUE"""),3.15)</f>
        <v>3.15</v>
      </c>
      <c r="M710" s="195" t="str">
        <f>IFERROR(__xludf.DUMMYFUNCTION("""COMPUTED_VALUE"""),"Equity Key Stats")</f>
        <v>Equity Key Stats</v>
      </c>
      <c r="N710" s="5"/>
      <c r="O710" s="5"/>
      <c r="P710" s="142">
        <f>IFERROR(__xludf.DUMMYFUNCTION("""COMPUTED_VALUE"""),-2824.33765)</f>
        <v>-2824.33765</v>
      </c>
      <c r="Q710" s="5"/>
      <c r="R710" s="71">
        <f>IFERROR(__xludf.DUMMYFUNCTION("""COMPUTED_VALUE"""),3.15)</f>
        <v>3.15</v>
      </c>
      <c r="S710" s="142">
        <f>IFERROR(__xludf.DUMMYFUNCTION("""COMPUTED_VALUE"""),2464.4497499999998)</f>
        <v>2464.44975</v>
      </c>
      <c r="T710" s="5">
        <f>IFERROR(__xludf.DUMMYFUNCTION("""COMPUTED_VALUE"""),1.0)</f>
        <v>1</v>
      </c>
      <c r="U710" s="5">
        <f>IFERROR(__xludf.DUMMYFUNCTION("""COMPUTED_VALUE"""),1.0)</f>
        <v>1</v>
      </c>
      <c r="V710" s="22">
        <f>IFERROR(__xludf.DUMMYFUNCTION("""COMPUTED_VALUE"""),-359.8879000000002)</f>
        <v>-359.8879</v>
      </c>
      <c r="W710" s="9" t="str">
        <f>IFERROR(__xludf.DUMMYFUNCTION("""COMPUTED_VALUE"""),"")</f>
        <v/>
      </c>
      <c r="X710" s="22" t="str">
        <f>IFERROR(__xludf.DUMMYFUNCTION("""COMPUTED_VALUE"""),"")</f>
        <v/>
      </c>
      <c r="Y710" s="22" t="str">
        <f>IFERROR(__xludf.DUMMYFUNCTION("""COMPUTED_VALUE"""),"")</f>
        <v/>
      </c>
      <c r="Z710" s="24" t="str">
        <f>IFERROR(__xludf.DUMMYFUNCTION("""COMPUTED_VALUE"""),"")</f>
        <v/>
      </c>
    </row>
    <row r="711">
      <c r="A711" s="5" t="str">
        <f>IFERROR(__xludf.DUMMYFUNCTION("""COMPUTED_VALUE"""),"")</f>
        <v/>
      </c>
      <c r="B711" s="5" t="str">
        <f>IFERROR(__xludf.DUMMYFUNCTION("""COMPUTED_VALUE"""),"70236")</f>
        <v>70236</v>
      </c>
      <c r="C711" s="9">
        <f>IFERROR(__xludf.DUMMYFUNCTION("""COMPUTED_VALUE"""),4.465500112E10)</f>
        <v>44655001120</v>
      </c>
      <c r="D711" s="90" t="str">
        <f>IFERROR(__xludf.DUMMYFUNCTION("""COMPUTED_VALUE"""),"2333.HK")</f>
        <v>2333.HK</v>
      </c>
      <c r="E711" s="193">
        <f>IFERROR(__xludf.DUMMYFUNCTION("""COMPUTED_VALUE"""),44655.0)</f>
        <v>44655</v>
      </c>
      <c r="F711" s="5" t="str">
        <f>IFERROR(__xludf.DUMMYFUNCTION("""COMPUTED_VALUE"""),"Stock")</f>
        <v>Stock</v>
      </c>
      <c r="G711" s="5" t="str">
        <f>IFERROR(__xludf.DUMMYFUNCTION("""COMPUTED_VALUE"""),"HKD")</f>
        <v>HKD</v>
      </c>
      <c r="H711" s="22">
        <f>IFERROR(__xludf.DUMMYFUNCTION("""COMPUTED_VALUE"""),-100.0)</f>
        <v>-100</v>
      </c>
      <c r="I711" s="194">
        <f>IFERROR(__xludf.DUMMYFUNCTION("""COMPUTED_VALUE"""),1.0)</f>
        <v>1</v>
      </c>
      <c r="J711" s="23">
        <f>IFERROR(__xludf.DUMMYFUNCTION("""COMPUTED_VALUE"""),12.9)</f>
        <v>12.9</v>
      </c>
      <c r="K711" s="5"/>
      <c r="L711" s="23">
        <f>IFERROR(__xludf.DUMMYFUNCTION("""COMPUTED_VALUE"""),11.24)</f>
        <v>11.24</v>
      </c>
      <c r="M711" s="195" t="str">
        <f>IFERROR(__xludf.DUMMYFUNCTION("""COMPUTED_VALUE"""),"Equity Key Stats")</f>
        <v>Equity Key Stats</v>
      </c>
      <c r="N711" s="5"/>
      <c r="O711" s="5"/>
      <c r="P711" s="142">
        <f>IFERROR(__xludf.DUMMYFUNCTION("""COMPUTED_VALUE"""),1290.0)</f>
        <v>1290</v>
      </c>
      <c r="Q711" s="5"/>
      <c r="R711" s="71">
        <f>IFERROR(__xludf.DUMMYFUNCTION("""COMPUTED_VALUE"""),11.24)</f>
        <v>11.24</v>
      </c>
      <c r="S711" s="142">
        <f>IFERROR(__xludf.DUMMYFUNCTION("""COMPUTED_VALUE"""),-1124.0)</f>
        <v>-1124</v>
      </c>
      <c r="T711" s="5">
        <f>IFERROR(__xludf.DUMMYFUNCTION("""COMPUTED_VALUE"""),2.0)</f>
        <v>2</v>
      </c>
      <c r="U711" s="5" t="str">
        <f>IFERROR(__xludf.DUMMYFUNCTION("""COMPUTED_VALUE"""),"")</f>
        <v/>
      </c>
      <c r="V711" s="22" t="str">
        <f>IFERROR(__xludf.DUMMYFUNCTION("""COMPUTED_VALUE"""),"")</f>
        <v/>
      </c>
      <c r="W711" s="9" t="str">
        <f>IFERROR(__xludf.DUMMYFUNCTION("""COMPUTED_VALUE"""),"")</f>
        <v/>
      </c>
      <c r="X711" s="22" t="str">
        <f>IFERROR(__xludf.DUMMYFUNCTION("""COMPUTED_VALUE"""),"")</f>
        <v/>
      </c>
      <c r="Y711" s="22" t="str">
        <f>IFERROR(__xludf.DUMMYFUNCTION("""COMPUTED_VALUE"""),"")</f>
        <v/>
      </c>
      <c r="Z711" s="24" t="str">
        <f>IFERROR(__xludf.DUMMYFUNCTION("""COMPUTED_VALUE"""),"")</f>
        <v/>
      </c>
    </row>
    <row r="712">
      <c r="A712" s="5" t="str">
        <f>IFERROR(__xludf.DUMMYFUNCTION("""COMPUTED_VALUE"""),"")</f>
        <v/>
      </c>
      <c r="B712" s="5" t="str">
        <f>IFERROR(__xludf.DUMMYFUNCTION("""COMPUTED_VALUE"""),"70236")</f>
        <v>70236</v>
      </c>
      <c r="C712" s="9">
        <f>IFERROR(__xludf.DUMMYFUNCTION("""COMPUTED_VALUE"""),4.4657001138E10)</f>
        <v>44657001138</v>
      </c>
      <c r="D712" s="90" t="str">
        <f>IFERROR(__xludf.DUMMYFUNCTION("""COMPUTED_VALUE"""),"2333.HK")</f>
        <v>2333.HK</v>
      </c>
      <c r="E712" s="193">
        <f>IFERROR(__xludf.DUMMYFUNCTION("""COMPUTED_VALUE"""),44657.0)</f>
        <v>44657</v>
      </c>
      <c r="F712" s="5" t="str">
        <f>IFERROR(__xludf.DUMMYFUNCTION("""COMPUTED_VALUE"""),"Stock")</f>
        <v>Stock</v>
      </c>
      <c r="G712" s="5" t="str">
        <f>IFERROR(__xludf.DUMMYFUNCTION("""COMPUTED_VALUE"""),"HKD")</f>
        <v>HKD</v>
      </c>
      <c r="H712" s="22">
        <f>IFERROR(__xludf.DUMMYFUNCTION("""COMPUTED_VALUE"""),100.0)</f>
        <v>100</v>
      </c>
      <c r="I712" s="194">
        <f>IFERROR(__xludf.DUMMYFUNCTION("""COMPUTED_VALUE"""),1.0)</f>
        <v>1</v>
      </c>
      <c r="J712" s="23">
        <f>IFERROR(__xludf.DUMMYFUNCTION("""COMPUTED_VALUE"""),12.08)</f>
        <v>12.08</v>
      </c>
      <c r="K712" s="5"/>
      <c r="L712" s="23">
        <f>IFERROR(__xludf.DUMMYFUNCTION("""COMPUTED_VALUE"""),11.24)</f>
        <v>11.24</v>
      </c>
      <c r="M712" s="195" t="str">
        <f>IFERROR(__xludf.DUMMYFUNCTION("""COMPUTED_VALUE"""),"Equity Key Stats")</f>
        <v>Equity Key Stats</v>
      </c>
      <c r="N712" s="5"/>
      <c r="O712" s="5"/>
      <c r="P712" s="142">
        <f>IFERROR(__xludf.DUMMYFUNCTION("""COMPUTED_VALUE"""),-1208.0)</f>
        <v>-1208</v>
      </c>
      <c r="Q712" s="5"/>
      <c r="R712" s="71">
        <f>IFERROR(__xludf.DUMMYFUNCTION("""COMPUTED_VALUE"""),11.24)</f>
        <v>11.24</v>
      </c>
      <c r="S712" s="142">
        <f>IFERROR(__xludf.DUMMYFUNCTION("""COMPUTED_VALUE"""),1124.0)</f>
        <v>1124</v>
      </c>
      <c r="T712" s="5">
        <f>IFERROR(__xludf.DUMMYFUNCTION("""COMPUTED_VALUE"""),2.0)</f>
        <v>2</v>
      </c>
      <c r="U712" s="5">
        <f>IFERROR(__xludf.DUMMYFUNCTION("""COMPUTED_VALUE"""),1.0)</f>
        <v>1</v>
      </c>
      <c r="V712" s="22">
        <f>IFERROR(__xludf.DUMMYFUNCTION("""COMPUTED_VALUE"""),82.0)</f>
        <v>82</v>
      </c>
      <c r="W712" s="9" t="str">
        <f>IFERROR(__xludf.DUMMYFUNCTION("""COMPUTED_VALUE"""),"")</f>
        <v/>
      </c>
      <c r="X712" s="22" t="str">
        <f>IFERROR(__xludf.DUMMYFUNCTION("""COMPUTED_VALUE"""),"")</f>
        <v/>
      </c>
      <c r="Y712" s="22" t="str">
        <f>IFERROR(__xludf.DUMMYFUNCTION("""COMPUTED_VALUE"""),"")</f>
        <v/>
      </c>
      <c r="Z712" s="24" t="str">
        <f>IFERROR(__xludf.DUMMYFUNCTION("""COMPUTED_VALUE"""),"")</f>
        <v/>
      </c>
    </row>
    <row r="713">
      <c r="A713" s="5" t="str">
        <f>IFERROR(__xludf.DUMMYFUNCTION("""COMPUTED_VALUE"""),"70236")</f>
        <v>70236</v>
      </c>
      <c r="B713" s="5" t="str">
        <f>IFERROR(__xludf.DUMMYFUNCTION("""COMPUTED_VALUE"""),"70236")</f>
        <v>70236</v>
      </c>
      <c r="C713" s="9">
        <f>IFERROR(__xludf.DUMMYFUNCTION("""COMPUTED_VALUE"""),4.4659001214E10)</f>
        <v>44659001214</v>
      </c>
      <c r="D713" s="91" t="str">
        <f>IFERROR(__xludf.DUMMYFUNCTION("""COMPUTED_VALUE"""),"0708.HK")</f>
        <v>0708.HK</v>
      </c>
      <c r="E713" s="193">
        <f>IFERROR(__xludf.DUMMYFUNCTION("""COMPUTED_VALUE"""),44659.0)</f>
        <v>44659</v>
      </c>
      <c r="F713" s="5" t="str">
        <f>IFERROR(__xludf.DUMMYFUNCTION("""COMPUTED_VALUE"""),"Stock")</f>
        <v>Stock</v>
      </c>
      <c r="G713" s="5" t="str">
        <f>IFERROR(__xludf.DUMMYFUNCTION("""COMPUTED_VALUE"""),"HKD")</f>
        <v>HKD</v>
      </c>
      <c r="H713" s="22">
        <f>IFERROR(__xludf.DUMMYFUNCTION("""COMPUTED_VALUE"""),500.0)</f>
        <v>500</v>
      </c>
      <c r="I713" s="194">
        <f>IFERROR(__xludf.DUMMYFUNCTION("""COMPUTED_VALUE"""),1.0)</f>
        <v>1</v>
      </c>
      <c r="J713" s="23">
        <f>IFERROR(__xludf.DUMMYFUNCTION("""COMPUTED_VALUE"""),3.2)</f>
        <v>3.2</v>
      </c>
      <c r="K713" s="5"/>
      <c r="L713" s="23">
        <f>IFERROR(__xludf.DUMMYFUNCTION("""COMPUTED_VALUE"""),3.2)</f>
        <v>3.2</v>
      </c>
      <c r="M713" s="195" t="str">
        <f>IFERROR(__xludf.DUMMYFUNCTION("""COMPUTED_VALUE"""),"Equity Key Stats")</f>
        <v>Equity Key Stats</v>
      </c>
      <c r="N713" s="5"/>
      <c r="O713" s="5"/>
      <c r="P713" s="142">
        <f>IFERROR(__xludf.DUMMYFUNCTION("""COMPUTED_VALUE"""),-1600.0)</f>
        <v>-1600</v>
      </c>
      <c r="Q713" s="5"/>
      <c r="R713" s="71">
        <f>IFERROR(__xludf.DUMMYFUNCTION("""COMPUTED_VALUE"""),3.2)</f>
        <v>3.2</v>
      </c>
      <c r="S713" s="142">
        <f>IFERROR(__xludf.DUMMYFUNCTION("""COMPUTED_VALUE"""),1600.0)</f>
        <v>1600</v>
      </c>
      <c r="T713" s="5">
        <f>IFERROR(__xludf.DUMMYFUNCTION("""COMPUTED_VALUE"""),3.0)</f>
        <v>3</v>
      </c>
      <c r="U713" s="5">
        <f>IFERROR(__xludf.DUMMYFUNCTION("""COMPUTED_VALUE"""),1.0)</f>
        <v>1</v>
      </c>
      <c r="V713" s="22">
        <f>IFERROR(__xludf.DUMMYFUNCTION("""COMPUTED_VALUE"""),-64.0)</f>
        <v>-64</v>
      </c>
      <c r="W713" s="9">
        <f>IFERROR(__xludf.DUMMYFUNCTION("""COMPUTED_VALUE"""),499658.1121)</f>
        <v>499658.1121</v>
      </c>
      <c r="X713" s="22">
        <f>IFERROR(__xludf.DUMMYFUNCTION("""COMPUTED_VALUE"""),494789.66235)</f>
        <v>494789.6624</v>
      </c>
      <c r="Y713" s="22">
        <f>IFERROR(__xludf.DUMMYFUNCTION("""COMPUTED_VALUE"""),0.0)</f>
        <v>0</v>
      </c>
      <c r="Z713" s="24">
        <f>IFERROR(__xludf.DUMMYFUNCTION("""COMPUTED_VALUE"""),-6.837757999998972E-4)</f>
        <v>-0.0006837758</v>
      </c>
    </row>
    <row r="714">
      <c r="A714" s="5" t="str">
        <f>IFERROR(__xludf.DUMMYFUNCTION("""COMPUTED_VALUE"""),"")</f>
        <v/>
      </c>
      <c r="B714" s="5" t="str">
        <f>IFERROR(__xludf.DUMMYFUNCTION("""COMPUTED_VALUE"""),"70628")</f>
        <v>70628</v>
      </c>
      <c r="C714" s="9">
        <f>IFERROR(__xludf.DUMMYFUNCTION("""COMPUTED_VALUE"""),4.4597000086E10)</f>
        <v>44597000086</v>
      </c>
      <c r="D714" s="85" t="str">
        <f>IFERROR(__xludf.DUMMYFUNCTION("""COMPUTED_VALUE"""),"Cash")</f>
        <v>Cash</v>
      </c>
      <c r="E714" s="193">
        <f>IFERROR(__xludf.DUMMYFUNCTION("""COMPUTED_VALUE"""),44597.0)</f>
        <v>44597</v>
      </c>
      <c r="F714" s="5" t="str">
        <f>IFERROR(__xludf.DUMMYFUNCTION("""COMPUTED_VALUE"""),"Cash")</f>
        <v>Cash</v>
      </c>
      <c r="G714" s="5" t="str">
        <f>IFERROR(__xludf.DUMMYFUNCTION("""COMPUTED_VALUE"""),"HKD")</f>
        <v>HKD</v>
      </c>
      <c r="H714" s="22" t="str">
        <f>IFERROR(__xludf.DUMMYFUNCTION("""COMPUTED_VALUE"""),"")</f>
        <v/>
      </c>
      <c r="I714" s="194">
        <f>IFERROR(__xludf.DUMMYFUNCTION("""COMPUTED_VALUE"""),1.0)</f>
        <v>1</v>
      </c>
      <c r="J714" s="5">
        <f>IFERROR(__xludf.DUMMYFUNCTION("""COMPUTED_VALUE"""),1.0)</f>
        <v>1</v>
      </c>
      <c r="K714" s="5"/>
      <c r="L714" s="23">
        <f>IFERROR(__xludf.DUMMYFUNCTION("""COMPUTED_VALUE"""),1.0)</f>
        <v>1</v>
      </c>
      <c r="M714" s="25" t="str">
        <f>IFERROR(__xludf.DUMMYFUNCTION("""COMPUTED_VALUE"""),"")</f>
        <v/>
      </c>
      <c r="N714" s="5"/>
      <c r="O714" s="5"/>
      <c r="P714" s="142">
        <f>IFERROR(__xludf.DUMMYFUNCTION("""COMPUTED_VALUE"""),500000.0)</f>
        <v>500000</v>
      </c>
      <c r="Q714" s="5"/>
      <c r="R714" s="71">
        <f>IFERROR(__xludf.DUMMYFUNCTION("""COMPUTED_VALUE"""),1.0)</f>
        <v>1</v>
      </c>
      <c r="S714" s="142" t="str">
        <f>IFERROR(__xludf.DUMMYFUNCTION("""COMPUTED_VALUE"""),"")</f>
        <v/>
      </c>
      <c r="T714" s="5">
        <f>IFERROR(__xludf.DUMMYFUNCTION("""COMPUTED_VALUE"""),1.0)</f>
        <v>1</v>
      </c>
      <c r="U714" s="5">
        <f>IFERROR(__xludf.DUMMYFUNCTION("""COMPUTED_VALUE"""),1.0)</f>
        <v>1</v>
      </c>
      <c r="V714" s="22">
        <f>IFERROR(__xludf.DUMMYFUNCTION("""COMPUTED_VALUE"""),500000.0)</f>
        <v>500000</v>
      </c>
      <c r="W714" s="9" t="str">
        <f>IFERROR(__xludf.DUMMYFUNCTION("""COMPUTED_VALUE"""),"")</f>
        <v/>
      </c>
      <c r="X714" s="22" t="str">
        <f>IFERROR(__xludf.DUMMYFUNCTION("""COMPUTED_VALUE"""),"")</f>
        <v/>
      </c>
      <c r="Y714" s="22" t="str">
        <f>IFERROR(__xludf.DUMMYFUNCTION("""COMPUTED_VALUE"""),"")</f>
        <v/>
      </c>
      <c r="Z714" s="24" t="str">
        <f>IFERROR(__xludf.DUMMYFUNCTION("""COMPUTED_VALUE"""),"")</f>
        <v/>
      </c>
    </row>
    <row r="715">
      <c r="A715" s="5" t="str">
        <f>IFERROR(__xludf.DUMMYFUNCTION("""COMPUTED_VALUE"""),"")</f>
        <v/>
      </c>
      <c r="B715" s="5" t="str">
        <f>IFERROR(__xludf.DUMMYFUNCTION("""COMPUTED_VALUE"""),"70628")</f>
        <v>70628</v>
      </c>
      <c r="C715" s="9">
        <f>IFERROR(__xludf.DUMMYFUNCTION("""COMPUTED_VALUE"""),4.4607000191E10)</f>
        <v>44607000191</v>
      </c>
      <c r="D715" s="90" t="str">
        <f>IFERROR(__xludf.DUMMYFUNCTION("""COMPUTED_VALUE"""),"2333.HK")</f>
        <v>2333.HK</v>
      </c>
      <c r="E715" s="193">
        <f>IFERROR(__xludf.DUMMYFUNCTION("""COMPUTED_VALUE"""),44607.0)</f>
        <v>44607</v>
      </c>
      <c r="F715" s="5" t="str">
        <f>IFERROR(__xludf.DUMMYFUNCTION("""COMPUTED_VALUE"""),"Stock")</f>
        <v>Stock</v>
      </c>
      <c r="G715" s="5" t="str">
        <f>IFERROR(__xludf.DUMMYFUNCTION("""COMPUTED_VALUE"""),"HKD")</f>
        <v>HKD</v>
      </c>
      <c r="H715" s="22">
        <f>IFERROR(__xludf.DUMMYFUNCTION("""COMPUTED_VALUE"""),0.0)</f>
        <v>0</v>
      </c>
      <c r="I715" s="194">
        <f>IFERROR(__xludf.DUMMYFUNCTION("""COMPUTED_VALUE"""),1.0)</f>
        <v>1</v>
      </c>
      <c r="J715" s="23">
        <f>IFERROR(__xludf.DUMMYFUNCTION("""COMPUTED_VALUE"""),0.0)</f>
        <v>0</v>
      </c>
      <c r="K715" s="5"/>
      <c r="L715" s="23">
        <f>IFERROR(__xludf.DUMMYFUNCTION("""COMPUTED_VALUE"""),11.24)</f>
        <v>11.24</v>
      </c>
      <c r="M715" s="195" t="str">
        <f>IFERROR(__xludf.DUMMYFUNCTION("""COMPUTED_VALUE"""),"Equity Key Stats")</f>
        <v>Equity Key Stats</v>
      </c>
      <c r="N715" s="5"/>
      <c r="O715" s="5"/>
      <c r="P715" s="142">
        <f>IFERROR(__xludf.DUMMYFUNCTION("""COMPUTED_VALUE"""),0.0)</f>
        <v>0</v>
      </c>
      <c r="Q715" s="5"/>
      <c r="R715" s="71">
        <f>IFERROR(__xludf.DUMMYFUNCTION("""COMPUTED_VALUE"""),11.24)</f>
        <v>11.24</v>
      </c>
      <c r="S715" s="142">
        <f>IFERROR(__xludf.DUMMYFUNCTION("""COMPUTED_VALUE"""),0.0)</f>
        <v>0</v>
      </c>
      <c r="T715" s="5">
        <f>IFERROR(__xludf.DUMMYFUNCTION("""COMPUTED_VALUE"""),3.0)</f>
        <v>3</v>
      </c>
      <c r="U715" s="5" t="str">
        <f>IFERROR(__xludf.DUMMYFUNCTION("""COMPUTED_VALUE"""),"")</f>
        <v/>
      </c>
      <c r="V715" s="22" t="str">
        <f>IFERROR(__xludf.DUMMYFUNCTION("""COMPUTED_VALUE"""),"")</f>
        <v/>
      </c>
      <c r="W715" s="9" t="str">
        <f>IFERROR(__xludf.DUMMYFUNCTION("""COMPUTED_VALUE"""),"")</f>
        <v/>
      </c>
      <c r="X715" s="22" t="str">
        <f>IFERROR(__xludf.DUMMYFUNCTION("""COMPUTED_VALUE"""),"")</f>
        <v/>
      </c>
      <c r="Y715" s="22" t="str">
        <f>IFERROR(__xludf.DUMMYFUNCTION("""COMPUTED_VALUE"""),"")</f>
        <v/>
      </c>
      <c r="Z715" s="24" t="str">
        <f>IFERROR(__xludf.DUMMYFUNCTION("""COMPUTED_VALUE"""),"")</f>
        <v/>
      </c>
    </row>
    <row r="716">
      <c r="A716" s="5" t="str">
        <f>IFERROR(__xludf.DUMMYFUNCTION("""COMPUTED_VALUE"""),"")</f>
        <v/>
      </c>
      <c r="B716" s="5" t="str">
        <f>IFERROR(__xludf.DUMMYFUNCTION("""COMPUTED_VALUE"""),"70628")</f>
        <v>70628</v>
      </c>
      <c r="C716" s="9">
        <f>IFERROR(__xludf.DUMMYFUNCTION("""COMPUTED_VALUE"""),4.4607000192E10)</f>
        <v>44607000192</v>
      </c>
      <c r="D716" s="90" t="str">
        <f>IFERROR(__xludf.DUMMYFUNCTION("""COMPUTED_VALUE"""),"3339.HK")</f>
        <v>3339.HK</v>
      </c>
      <c r="E716" s="193">
        <f>IFERROR(__xludf.DUMMYFUNCTION("""COMPUTED_VALUE"""),44607.0)</f>
        <v>44607</v>
      </c>
      <c r="F716" s="5" t="str">
        <f>IFERROR(__xludf.DUMMYFUNCTION("""COMPUTED_VALUE"""),"Stock")</f>
        <v>Stock</v>
      </c>
      <c r="G716" s="5" t="str">
        <f>IFERROR(__xludf.DUMMYFUNCTION("""COMPUTED_VALUE"""),"HKD")</f>
        <v>HKD</v>
      </c>
      <c r="H716" s="22">
        <f>IFERROR(__xludf.DUMMYFUNCTION("""COMPUTED_VALUE"""),0.0)</f>
        <v>0</v>
      </c>
      <c r="I716" s="194">
        <f>IFERROR(__xludf.DUMMYFUNCTION("""COMPUTED_VALUE"""),1.0)</f>
        <v>1</v>
      </c>
      <c r="J716" s="23">
        <f>IFERROR(__xludf.DUMMYFUNCTION("""COMPUTED_VALUE"""),0.0)</f>
        <v>0</v>
      </c>
      <c r="K716" s="5"/>
      <c r="L716" s="23">
        <f>IFERROR(__xludf.DUMMYFUNCTION("""COMPUTED_VALUE"""),2.15)</f>
        <v>2.15</v>
      </c>
      <c r="M716" s="195" t="str">
        <f>IFERROR(__xludf.DUMMYFUNCTION("""COMPUTED_VALUE"""),"Equity Key Stats")</f>
        <v>Equity Key Stats</v>
      </c>
      <c r="N716" s="5"/>
      <c r="O716" s="5"/>
      <c r="P716" s="142">
        <f>IFERROR(__xludf.DUMMYFUNCTION("""COMPUTED_VALUE"""),0.0)</f>
        <v>0</v>
      </c>
      <c r="Q716" s="5"/>
      <c r="R716" s="71">
        <f>IFERROR(__xludf.DUMMYFUNCTION("""COMPUTED_VALUE"""),2.15)</f>
        <v>2.15</v>
      </c>
      <c r="S716" s="142">
        <f>IFERROR(__xludf.DUMMYFUNCTION("""COMPUTED_VALUE"""),0.0)</f>
        <v>0</v>
      </c>
      <c r="T716" s="5">
        <f>IFERROR(__xludf.DUMMYFUNCTION("""COMPUTED_VALUE"""),3.0)</f>
        <v>3</v>
      </c>
      <c r="U716" s="5" t="str">
        <f>IFERROR(__xludf.DUMMYFUNCTION("""COMPUTED_VALUE"""),"")</f>
        <v/>
      </c>
      <c r="V716" s="22" t="str">
        <f>IFERROR(__xludf.DUMMYFUNCTION("""COMPUTED_VALUE"""),"")</f>
        <v/>
      </c>
      <c r="W716" s="9" t="str">
        <f>IFERROR(__xludf.DUMMYFUNCTION("""COMPUTED_VALUE"""),"")</f>
        <v/>
      </c>
      <c r="X716" s="22" t="str">
        <f>IFERROR(__xludf.DUMMYFUNCTION("""COMPUTED_VALUE"""),"")</f>
        <v/>
      </c>
      <c r="Y716" s="22" t="str">
        <f>IFERROR(__xludf.DUMMYFUNCTION("""COMPUTED_VALUE"""),"")</f>
        <v/>
      </c>
      <c r="Z716" s="24" t="str">
        <f>IFERROR(__xludf.DUMMYFUNCTION("""COMPUTED_VALUE"""),"")</f>
        <v/>
      </c>
    </row>
    <row r="717">
      <c r="A717" s="5" t="str">
        <f>IFERROR(__xludf.DUMMYFUNCTION("""COMPUTED_VALUE"""),"")</f>
        <v/>
      </c>
      <c r="B717" s="5" t="str">
        <f>IFERROR(__xludf.DUMMYFUNCTION("""COMPUTED_VALUE"""),"70628")</f>
        <v>70628</v>
      </c>
      <c r="C717" s="9">
        <f>IFERROR(__xludf.DUMMYFUNCTION("""COMPUTED_VALUE"""),4.4607000193E10)</f>
        <v>44607000193</v>
      </c>
      <c r="D717" s="90" t="str">
        <f>IFERROR(__xludf.DUMMYFUNCTION("""COMPUTED_VALUE"""),"1610.HK")</f>
        <v>1610.HK</v>
      </c>
      <c r="E717" s="193">
        <f>IFERROR(__xludf.DUMMYFUNCTION("""COMPUTED_VALUE"""),44607.0)</f>
        <v>44607</v>
      </c>
      <c r="F717" s="5" t="str">
        <f>IFERROR(__xludf.DUMMYFUNCTION("""COMPUTED_VALUE"""),"Stock")</f>
        <v>Stock</v>
      </c>
      <c r="G717" s="5" t="str">
        <f>IFERROR(__xludf.DUMMYFUNCTION("""COMPUTED_VALUE"""),"HKD")</f>
        <v>HKD</v>
      </c>
      <c r="H717" s="22">
        <f>IFERROR(__xludf.DUMMYFUNCTION("""COMPUTED_VALUE"""),0.0)</f>
        <v>0</v>
      </c>
      <c r="I717" s="194">
        <f>IFERROR(__xludf.DUMMYFUNCTION("""COMPUTED_VALUE"""),1.0)</f>
        <v>1</v>
      </c>
      <c r="J717" s="23">
        <f>IFERROR(__xludf.DUMMYFUNCTION("""COMPUTED_VALUE"""),0.0)</f>
        <v>0</v>
      </c>
      <c r="K717" s="5"/>
      <c r="L717" s="23">
        <f>IFERROR(__xludf.DUMMYFUNCTION("""COMPUTED_VALUE"""),3.39)</f>
        <v>3.39</v>
      </c>
      <c r="M717" s="195" t="str">
        <f>IFERROR(__xludf.DUMMYFUNCTION("""COMPUTED_VALUE"""),"Equity Key Stats")</f>
        <v>Equity Key Stats</v>
      </c>
      <c r="N717" s="5"/>
      <c r="O717" s="5"/>
      <c r="P717" s="142">
        <f>IFERROR(__xludf.DUMMYFUNCTION("""COMPUTED_VALUE"""),0.0)</f>
        <v>0</v>
      </c>
      <c r="Q717" s="5"/>
      <c r="R717" s="71">
        <f>IFERROR(__xludf.DUMMYFUNCTION("""COMPUTED_VALUE"""),3.39)</f>
        <v>3.39</v>
      </c>
      <c r="S717" s="142">
        <f>IFERROR(__xludf.DUMMYFUNCTION("""COMPUTED_VALUE"""),0.0)</f>
        <v>0</v>
      </c>
      <c r="T717" s="5">
        <f>IFERROR(__xludf.DUMMYFUNCTION("""COMPUTED_VALUE"""),2.0)</f>
        <v>2</v>
      </c>
      <c r="U717" s="5" t="str">
        <f>IFERROR(__xludf.DUMMYFUNCTION("""COMPUTED_VALUE"""),"")</f>
        <v/>
      </c>
      <c r="V717" s="22" t="str">
        <f>IFERROR(__xludf.DUMMYFUNCTION("""COMPUTED_VALUE"""),"")</f>
        <v/>
      </c>
      <c r="W717" s="9" t="str">
        <f>IFERROR(__xludf.DUMMYFUNCTION("""COMPUTED_VALUE"""),"")</f>
        <v/>
      </c>
      <c r="X717" s="22" t="str">
        <f>IFERROR(__xludf.DUMMYFUNCTION("""COMPUTED_VALUE"""),"")</f>
        <v/>
      </c>
      <c r="Y717" s="22" t="str">
        <f>IFERROR(__xludf.DUMMYFUNCTION("""COMPUTED_VALUE"""),"")</f>
        <v/>
      </c>
      <c r="Z717" s="24" t="str">
        <f>IFERROR(__xludf.DUMMYFUNCTION("""COMPUTED_VALUE"""),"")</f>
        <v/>
      </c>
    </row>
    <row r="718">
      <c r="A718" s="5" t="str">
        <f>IFERROR(__xludf.DUMMYFUNCTION("""COMPUTED_VALUE"""),"")</f>
        <v/>
      </c>
      <c r="B718" s="5" t="str">
        <f>IFERROR(__xludf.DUMMYFUNCTION("""COMPUTED_VALUE"""),"70628")</f>
        <v>70628</v>
      </c>
      <c r="C718" s="9">
        <f>IFERROR(__xludf.DUMMYFUNCTION("""COMPUTED_VALUE"""),4.4607000196E10)</f>
        <v>44607000196</v>
      </c>
      <c r="D718" s="90" t="str">
        <f>IFERROR(__xludf.DUMMYFUNCTION("""COMPUTED_VALUE"""),"1810.HK")</f>
        <v>1810.HK</v>
      </c>
      <c r="E718" s="193">
        <f>IFERROR(__xludf.DUMMYFUNCTION("""COMPUTED_VALUE"""),44607.0)</f>
        <v>44607</v>
      </c>
      <c r="F718" s="5" t="str">
        <f>IFERROR(__xludf.DUMMYFUNCTION("""COMPUTED_VALUE"""),"Stock")</f>
        <v>Stock</v>
      </c>
      <c r="G718" s="5" t="str">
        <f>IFERROR(__xludf.DUMMYFUNCTION("""COMPUTED_VALUE"""),"HKD")</f>
        <v>HKD</v>
      </c>
      <c r="H718" s="22">
        <f>IFERROR(__xludf.DUMMYFUNCTION("""COMPUTED_VALUE"""),0.0)</f>
        <v>0</v>
      </c>
      <c r="I718" s="194">
        <f>IFERROR(__xludf.DUMMYFUNCTION("""COMPUTED_VALUE"""),1.0)</f>
        <v>1</v>
      </c>
      <c r="J718" s="23">
        <f>IFERROR(__xludf.DUMMYFUNCTION("""COMPUTED_VALUE"""),0.0)</f>
        <v>0</v>
      </c>
      <c r="K718" s="5"/>
      <c r="L718" s="23">
        <f>IFERROR(__xludf.DUMMYFUNCTION("""COMPUTED_VALUE"""),12.36)</f>
        <v>12.36</v>
      </c>
      <c r="M718" s="195" t="str">
        <f>IFERROR(__xludf.DUMMYFUNCTION("""COMPUTED_VALUE"""),"Equity Key Stats")</f>
        <v>Equity Key Stats</v>
      </c>
      <c r="N718" s="5"/>
      <c r="O718" s="5"/>
      <c r="P718" s="142">
        <f>IFERROR(__xludf.DUMMYFUNCTION("""COMPUTED_VALUE"""),0.0)</f>
        <v>0</v>
      </c>
      <c r="Q718" s="5"/>
      <c r="R718" s="71">
        <f>IFERROR(__xludf.DUMMYFUNCTION("""COMPUTED_VALUE"""),12.36)</f>
        <v>12.36</v>
      </c>
      <c r="S718" s="142">
        <f>IFERROR(__xludf.DUMMYFUNCTION("""COMPUTED_VALUE"""),0.0)</f>
        <v>0</v>
      </c>
      <c r="T718" s="5">
        <f>IFERROR(__xludf.DUMMYFUNCTION("""COMPUTED_VALUE"""),2.0)</f>
        <v>2</v>
      </c>
      <c r="U718" s="5" t="str">
        <f>IFERROR(__xludf.DUMMYFUNCTION("""COMPUTED_VALUE"""),"")</f>
        <v/>
      </c>
      <c r="V718" s="22" t="str">
        <f>IFERROR(__xludf.DUMMYFUNCTION("""COMPUTED_VALUE"""),"")</f>
        <v/>
      </c>
      <c r="W718" s="9" t="str">
        <f>IFERROR(__xludf.DUMMYFUNCTION("""COMPUTED_VALUE"""),"")</f>
        <v/>
      </c>
      <c r="X718" s="22" t="str">
        <f>IFERROR(__xludf.DUMMYFUNCTION("""COMPUTED_VALUE"""),"")</f>
        <v/>
      </c>
      <c r="Y718" s="22" t="str">
        <f>IFERROR(__xludf.DUMMYFUNCTION("""COMPUTED_VALUE"""),"")</f>
        <v/>
      </c>
      <c r="Z718" s="24" t="str">
        <f>IFERROR(__xludf.DUMMYFUNCTION("""COMPUTED_VALUE"""),"")</f>
        <v/>
      </c>
    </row>
    <row r="719">
      <c r="A719" s="5" t="str">
        <f>IFERROR(__xludf.DUMMYFUNCTION("""COMPUTED_VALUE"""),"")</f>
        <v/>
      </c>
      <c r="B719" s="5" t="str">
        <f>IFERROR(__xludf.DUMMYFUNCTION("""COMPUTED_VALUE"""),"70628")</f>
        <v>70628</v>
      </c>
      <c r="C719" s="9">
        <f>IFERROR(__xludf.DUMMYFUNCTION("""COMPUTED_VALUE"""),4.4608000209E10)</f>
        <v>44608000209</v>
      </c>
      <c r="D719" s="90" t="str">
        <f>IFERROR(__xludf.DUMMYFUNCTION("""COMPUTED_VALUE"""),"3339.HK")</f>
        <v>3339.HK</v>
      </c>
      <c r="E719" s="193">
        <f>IFERROR(__xludf.DUMMYFUNCTION("""COMPUTED_VALUE"""),44608.0)</f>
        <v>44608</v>
      </c>
      <c r="F719" s="5" t="str">
        <f>IFERROR(__xludf.DUMMYFUNCTION("""COMPUTED_VALUE"""),"Stock")</f>
        <v>Stock</v>
      </c>
      <c r="G719" s="5" t="str">
        <f>IFERROR(__xludf.DUMMYFUNCTION("""COMPUTED_VALUE"""),"HKD")</f>
        <v>HKD</v>
      </c>
      <c r="H719" s="22">
        <f>IFERROR(__xludf.DUMMYFUNCTION("""COMPUTED_VALUE"""),50000.0)</f>
        <v>50000</v>
      </c>
      <c r="I719" s="194">
        <f>IFERROR(__xludf.DUMMYFUNCTION("""COMPUTED_VALUE"""),1.0)</f>
        <v>1</v>
      </c>
      <c r="J719" s="23">
        <f>IFERROR(__xludf.DUMMYFUNCTION("""COMPUTED_VALUE"""),2.1)</f>
        <v>2.1</v>
      </c>
      <c r="K719" s="5"/>
      <c r="L719" s="23">
        <f>IFERROR(__xludf.DUMMYFUNCTION("""COMPUTED_VALUE"""),2.15)</f>
        <v>2.15</v>
      </c>
      <c r="M719" s="195" t="str">
        <f>IFERROR(__xludf.DUMMYFUNCTION("""COMPUTED_VALUE"""),"Equity Key Stats")</f>
        <v>Equity Key Stats</v>
      </c>
      <c r="N719" s="5"/>
      <c r="O719" s="5"/>
      <c r="P719" s="142">
        <f>IFERROR(__xludf.DUMMYFUNCTION("""COMPUTED_VALUE"""),-105000.0)</f>
        <v>-105000</v>
      </c>
      <c r="Q719" s="5"/>
      <c r="R719" s="71">
        <f>IFERROR(__xludf.DUMMYFUNCTION("""COMPUTED_VALUE"""),2.15)</f>
        <v>2.15</v>
      </c>
      <c r="S719" s="142">
        <f>IFERROR(__xludf.DUMMYFUNCTION("""COMPUTED_VALUE"""),107500.0)</f>
        <v>107500</v>
      </c>
      <c r="T719" s="5">
        <f>IFERROR(__xludf.DUMMYFUNCTION("""COMPUTED_VALUE"""),3.0)</f>
        <v>3</v>
      </c>
      <c r="U719" s="5" t="str">
        <f>IFERROR(__xludf.DUMMYFUNCTION("""COMPUTED_VALUE"""),"")</f>
        <v/>
      </c>
      <c r="V719" s="22" t="str">
        <f>IFERROR(__xludf.DUMMYFUNCTION("""COMPUTED_VALUE"""),"")</f>
        <v/>
      </c>
      <c r="W719" s="9" t="str">
        <f>IFERROR(__xludf.DUMMYFUNCTION("""COMPUTED_VALUE"""),"")</f>
        <v/>
      </c>
      <c r="X719" s="22" t="str">
        <f>IFERROR(__xludf.DUMMYFUNCTION("""COMPUTED_VALUE"""),"")</f>
        <v/>
      </c>
      <c r="Y719" s="22" t="str">
        <f>IFERROR(__xludf.DUMMYFUNCTION("""COMPUTED_VALUE"""),"")</f>
        <v/>
      </c>
      <c r="Z719" s="24" t="str">
        <f>IFERROR(__xludf.DUMMYFUNCTION("""COMPUTED_VALUE"""),"")</f>
        <v/>
      </c>
    </row>
    <row r="720">
      <c r="A720" s="5" t="str">
        <f>IFERROR(__xludf.DUMMYFUNCTION("""COMPUTED_VALUE"""),"")</f>
        <v/>
      </c>
      <c r="B720" s="5" t="str">
        <f>IFERROR(__xludf.DUMMYFUNCTION("""COMPUTED_VALUE"""),"70628")</f>
        <v>70628</v>
      </c>
      <c r="C720" s="9">
        <f>IFERROR(__xludf.DUMMYFUNCTION("""COMPUTED_VALUE"""),4.460800021E10)</f>
        <v>44608000210</v>
      </c>
      <c r="D720" s="90" t="str">
        <f>IFERROR(__xludf.DUMMYFUNCTION("""COMPUTED_VALUE"""),"3339.HK")</f>
        <v>3339.HK</v>
      </c>
      <c r="E720" s="193">
        <f>IFERROR(__xludf.DUMMYFUNCTION("""COMPUTED_VALUE"""),44608.0)</f>
        <v>44608</v>
      </c>
      <c r="F720" s="5" t="str">
        <f>IFERROR(__xludf.DUMMYFUNCTION("""COMPUTED_VALUE"""),"Stock")</f>
        <v>Stock</v>
      </c>
      <c r="G720" s="5" t="str">
        <f>IFERROR(__xludf.DUMMYFUNCTION("""COMPUTED_VALUE"""),"HKD")</f>
        <v>HKD</v>
      </c>
      <c r="H720" s="22">
        <f>IFERROR(__xludf.DUMMYFUNCTION("""COMPUTED_VALUE"""),30000.0)</f>
        <v>30000</v>
      </c>
      <c r="I720" s="194">
        <f>IFERROR(__xludf.DUMMYFUNCTION("""COMPUTED_VALUE"""),1.0)</f>
        <v>1</v>
      </c>
      <c r="J720" s="23">
        <f>IFERROR(__xludf.DUMMYFUNCTION("""COMPUTED_VALUE"""),2.1)</f>
        <v>2.1</v>
      </c>
      <c r="K720" s="5"/>
      <c r="L720" s="23">
        <f>IFERROR(__xludf.DUMMYFUNCTION("""COMPUTED_VALUE"""),2.15)</f>
        <v>2.15</v>
      </c>
      <c r="M720" s="195" t="str">
        <f>IFERROR(__xludf.DUMMYFUNCTION("""COMPUTED_VALUE"""),"Equity Key Stats")</f>
        <v>Equity Key Stats</v>
      </c>
      <c r="N720" s="5"/>
      <c r="O720" s="5"/>
      <c r="P720" s="142">
        <f>IFERROR(__xludf.DUMMYFUNCTION("""COMPUTED_VALUE"""),-63000.0)</f>
        <v>-63000</v>
      </c>
      <c r="Q720" s="5"/>
      <c r="R720" s="71">
        <f>IFERROR(__xludf.DUMMYFUNCTION("""COMPUTED_VALUE"""),2.15)</f>
        <v>2.15</v>
      </c>
      <c r="S720" s="142">
        <f>IFERROR(__xludf.DUMMYFUNCTION("""COMPUTED_VALUE"""),64500.0)</f>
        <v>64500</v>
      </c>
      <c r="T720" s="5">
        <f>IFERROR(__xludf.DUMMYFUNCTION("""COMPUTED_VALUE"""),3.0)</f>
        <v>3</v>
      </c>
      <c r="U720" s="5">
        <f>IFERROR(__xludf.DUMMYFUNCTION("""COMPUTED_VALUE"""),1.0)</f>
        <v>1</v>
      </c>
      <c r="V720" s="22">
        <f>IFERROR(__xludf.DUMMYFUNCTION("""COMPUTED_VALUE"""),4000.0)</f>
        <v>4000</v>
      </c>
      <c r="W720" s="9" t="str">
        <f>IFERROR(__xludf.DUMMYFUNCTION("""COMPUTED_VALUE"""),"")</f>
        <v/>
      </c>
      <c r="X720" s="22" t="str">
        <f>IFERROR(__xludf.DUMMYFUNCTION("""COMPUTED_VALUE"""),"")</f>
        <v/>
      </c>
      <c r="Y720" s="22" t="str">
        <f>IFERROR(__xludf.DUMMYFUNCTION("""COMPUTED_VALUE"""),"")</f>
        <v/>
      </c>
      <c r="Z720" s="24" t="str">
        <f>IFERROR(__xludf.DUMMYFUNCTION("""COMPUTED_VALUE"""),"")</f>
        <v/>
      </c>
    </row>
    <row r="721">
      <c r="A721" s="5" t="str">
        <f>IFERROR(__xludf.DUMMYFUNCTION("""COMPUTED_VALUE"""),"")</f>
        <v/>
      </c>
      <c r="B721" s="5" t="str">
        <f>IFERROR(__xludf.DUMMYFUNCTION("""COMPUTED_VALUE"""),"70628")</f>
        <v>70628</v>
      </c>
      <c r="C721" s="9">
        <f>IFERROR(__xludf.DUMMYFUNCTION("""COMPUTED_VALUE"""),4.4608000211E10)</f>
        <v>44608000211</v>
      </c>
      <c r="D721" s="90" t="str">
        <f>IFERROR(__xludf.DUMMYFUNCTION("""COMPUTED_VALUE"""),"2333.HK")</f>
        <v>2333.HK</v>
      </c>
      <c r="E721" s="193">
        <f>IFERROR(__xludf.DUMMYFUNCTION("""COMPUTED_VALUE"""),44608.0)</f>
        <v>44608</v>
      </c>
      <c r="F721" s="5" t="str">
        <f>IFERROR(__xludf.DUMMYFUNCTION("""COMPUTED_VALUE"""),"Stock")</f>
        <v>Stock</v>
      </c>
      <c r="G721" s="5" t="str">
        <f>IFERROR(__xludf.DUMMYFUNCTION("""COMPUTED_VALUE"""),"HKD")</f>
        <v>HKD</v>
      </c>
      <c r="H721" s="22">
        <f>IFERROR(__xludf.DUMMYFUNCTION("""COMPUTED_VALUE"""),0.0)</f>
        <v>0</v>
      </c>
      <c r="I721" s="194">
        <f>IFERROR(__xludf.DUMMYFUNCTION("""COMPUTED_VALUE"""),1.0)</f>
        <v>1</v>
      </c>
      <c r="J721" s="23">
        <f>IFERROR(__xludf.DUMMYFUNCTION("""COMPUTED_VALUE"""),0.0)</f>
        <v>0</v>
      </c>
      <c r="K721" s="5"/>
      <c r="L721" s="23">
        <f>IFERROR(__xludf.DUMMYFUNCTION("""COMPUTED_VALUE"""),11.24)</f>
        <v>11.24</v>
      </c>
      <c r="M721" s="195" t="str">
        <f>IFERROR(__xludf.DUMMYFUNCTION("""COMPUTED_VALUE"""),"Equity Key Stats")</f>
        <v>Equity Key Stats</v>
      </c>
      <c r="N721" s="5"/>
      <c r="O721" s="5"/>
      <c r="P721" s="142">
        <f>IFERROR(__xludf.DUMMYFUNCTION("""COMPUTED_VALUE"""),0.0)</f>
        <v>0</v>
      </c>
      <c r="Q721" s="5"/>
      <c r="R721" s="71">
        <f>IFERROR(__xludf.DUMMYFUNCTION("""COMPUTED_VALUE"""),11.24)</f>
        <v>11.24</v>
      </c>
      <c r="S721" s="142">
        <f>IFERROR(__xludf.DUMMYFUNCTION("""COMPUTED_VALUE"""),0.0)</f>
        <v>0</v>
      </c>
      <c r="T721" s="5">
        <f>IFERROR(__xludf.DUMMYFUNCTION("""COMPUTED_VALUE"""),3.0)</f>
        <v>3</v>
      </c>
      <c r="U721" s="5" t="str">
        <f>IFERROR(__xludf.DUMMYFUNCTION("""COMPUTED_VALUE"""),"")</f>
        <v/>
      </c>
      <c r="V721" s="22" t="str">
        <f>IFERROR(__xludf.DUMMYFUNCTION("""COMPUTED_VALUE"""),"")</f>
        <v/>
      </c>
      <c r="W721" s="9" t="str">
        <f>IFERROR(__xludf.DUMMYFUNCTION("""COMPUTED_VALUE"""),"")</f>
        <v/>
      </c>
      <c r="X721" s="22" t="str">
        <f>IFERROR(__xludf.DUMMYFUNCTION("""COMPUTED_VALUE"""),"")</f>
        <v/>
      </c>
      <c r="Y721" s="22" t="str">
        <f>IFERROR(__xludf.DUMMYFUNCTION("""COMPUTED_VALUE"""),"")</f>
        <v/>
      </c>
      <c r="Z721" s="24" t="str">
        <f>IFERROR(__xludf.DUMMYFUNCTION("""COMPUTED_VALUE"""),"")</f>
        <v/>
      </c>
    </row>
    <row r="722">
      <c r="A722" s="5" t="str">
        <f>IFERROR(__xludf.DUMMYFUNCTION("""COMPUTED_VALUE"""),"")</f>
        <v/>
      </c>
      <c r="B722" s="5" t="str">
        <f>IFERROR(__xludf.DUMMYFUNCTION("""COMPUTED_VALUE"""),"70628")</f>
        <v>70628</v>
      </c>
      <c r="C722" s="9">
        <f>IFERROR(__xludf.DUMMYFUNCTION("""COMPUTED_VALUE"""),4.4608000212E10)</f>
        <v>44608000212</v>
      </c>
      <c r="D722" s="90" t="str">
        <f>IFERROR(__xludf.DUMMYFUNCTION("""COMPUTED_VALUE"""),"1810.HK")</f>
        <v>1810.HK</v>
      </c>
      <c r="E722" s="193">
        <f>IFERROR(__xludf.DUMMYFUNCTION("""COMPUTED_VALUE"""),44608.0)</f>
        <v>44608</v>
      </c>
      <c r="F722" s="5" t="str">
        <f>IFERROR(__xludf.DUMMYFUNCTION("""COMPUTED_VALUE"""),"Stock")</f>
        <v>Stock</v>
      </c>
      <c r="G722" s="5" t="str">
        <f>IFERROR(__xludf.DUMMYFUNCTION("""COMPUTED_VALUE"""),"HKD")</f>
        <v>HKD</v>
      </c>
      <c r="H722" s="22">
        <f>IFERROR(__xludf.DUMMYFUNCTION("""COMPUTED_VALUE"""),9000.0)</f>
        <v>9000</v>
      </c>
      <c r="I722" s="194">
        <f>IFERROR(__xludf.DUMMYFUNCTION("""COMPUTED_VALUE"""),1.0)</f>
        <v>1</v>
      </c>
      <c r="J722" s="23">
        <f>IFERROR(__xludf.DUMMYFUNCTION("""COMPUTED_VALUE"""),16.6)</f>
        <v>16.6</v>
      </c>
      <c r="K722" s="5"/>
      <c r="L722" s="23">
        <f>IFERROR(__xludf.DUMMYFUNCTION("""COMPUTED_VALUE"""),12.36)</f>
        <v>12.36</v>
      </c>
      <c r="M722" s="195" t="str">
        <f>IFERROR(__xludf.DUMMYFUNCTION("""COMPUTED_VALUE"""),"Equity Key Stats")</f>
        <v>Equity Key Stats</v>
      </c>
      <c r="N722" s="5"/>
      <c r="O722" s="5"/>
      <c r="P722" s="142">
        <f>IFERROR(__xludf.DUMMYFUNCTION("""COMPUTED_VALUE"""),-149400.0)</f>
        <v>-149400</v>
      </c>
      <c r="Q722" s="5"/>
      <c r="R722" s="71">
        <f>IFERROR(__xludf.DUMMYFUNCTION("""COMPUTED_VALUE"""),12.36)</f>
        <v>12.36</v>
      </c>
      <c r="S722" s="142">
        <f>IFERROR(__xludf.DUMMYFUNCTION("""COMPUTED_VALUE"""),111240.0)</f>
        <v>111240</v>
      </c>
      <c r="T722" s="5">
        <f>IFERROR(__xludf.DUMMYFUNCTION("""COMPUTED_VALUE"""),2.0)</f>
        <v>2</v>
      </c>
      <c r="U722" s="5">
        <f>IFERROR(__xludf.DUMMYFUNCTION("""COMPUTED_VALUE"""),1.0)</f>
        <v>1</v>
      </c>
      <c r="V722" s="22">
        <f>IFERROR(__xludf.DUMMYFUNCTION("""COMPUTED_VALUE"""),-38160.0)</f>
        <v>-38160</v>
      </c>
      <c r="W722" s="9" t="str">
        <f>IFERROR(__xludf.DUMMYFUNCTION("""COMPUTED_VALUE"""),"")</f>
        <v/>
      </c>
      <c r="X722" s="22" t="str">
        <f>IFERROR(__xludf.DUMMYFUNCTION("""COMPUTED_VALUE"""),"")</f>
        <v/>
      </c>
      <c r="Y722" s="22" t="str">
        <f>IFERROR(__xludf.DUMMYFUNCTION("""COMPUTED_VALUE"""),"")</f>
        <v/>
      </c>
      <c r="Z722" s="24" t="str">
        <f>IFERROR(__xludf.DUMMYFUNCTION("""COMPUTED_VALUE"""),"")</f>
        <v/>
      </c>
    </row>
    <row r="723">
      <c r="A723" s="5" t="str">
        <f>IFERROR(__xludf.DUMMYFUNCTION("""COMPUTED_VALUE"""),"")</f>
        <v/>
      </c>
      <c r="B723" s="5" t="str">
        <f>IFERROR(__xludf.DUMMYFUNCTION("""COMPUTED_VALUE"""),"70628")</f>
        <v>70628</v>
      </c>
      <c r="C723" s="9">
        <f>IFERROR(__xludf.DUMMYFUNCTION("""COMPUTED_VALUE"""),4.4610000248E10)</f>
        <v>44610000248</v>
      </c>
      <c r="D723" s="90" t="str">
        <f>IFERROR(__xludf.DUMMYFUNCTION("""COMPUTED_VALUE"""),"2333.HK")</f>
        <v>2333.HK</v>
      </c>
      <c r="E723" s="193">
        <f>IFERROR(__xludf.DUMMYFUNCTION("""COMPUTED_VALUE"""),44610.0)</f>
        <v>44610</v>
      </c>
      <c r="F723" s="5" t="str">
        <f>IFERROR(__xludf.DUMMYFUNCTION("""COMPUTED_VALUE"""),"Stock")</f>
        <v>Stock</v>
      </c>
      <c r="G723" s="5" t="str">
        <f>IFERROR(__xludf.DUMMYFUNCTION("""COMPUTED_VALUE"""),"HKD")</f>
        <v>HKD</v>
      </c>
      <c r="H723" s="22">
        <f>IFERROR(__xludf.DUMMYFUNCTION("""COMPUTED_VALUE"""),4000.0)</f>
        <v>4000</v>
      </c>
      <c r="I723" s="194">
        <f>IFERROR(__xludf.DUMMYFUNCTION("""COMPUTED_VALUE"""),1.0)</f>
        <v>1</v>
      </c>
      <c r="J723" s="23">
        <f>IFERROR(__xludf.DUMMYFUNCTION("""COMPUTED_VALUE"""),19.2)</f>
        <v>19.2</v>
      </c>
      <c r="K723" s="5"/>
      <c r="L723" s="23">
        <f>IFERROR(__xludf.DUMMYFUNCTION("""COMPUTED_VALUE"""),11.24)</f>
        <v>11.24</v>
      </c>
      <c r="M723" s="195" t="str">
        <f>IFERROR(__xludf.DUMMYFUNCTION("""COMPUTED_VALUE"""),"Equity Key Stats")</f>
        <v>Equity Key Stats</v>
      </c>
      <c r="N723" s="5"/>
      <c r="O723" s="5"/>
      <c r="P723" s="142">
        <f>IFERROR(__xludf.DUMMYFUNCTION("""COMPUTED_VALUE"""),-76800.0)</f>
        <v>-76800</v>
      </c>
      <c r="Q723" s="5"/>
      <c r="R723" s="71">
        <f>IFERROR(__xludf.DUMMYFUNCTION("""COMPUTED_VALUE"""),11.24)</f>
        <v>11.24</v>
      </c>
      <c r="S723" s="142">
        <f>IFERROR(__xludf.DUMMYFUNCTION("""COMPUTED_VALUE"""),44960.0)</f>
        <v>44960</v>
      </c>
      <c r="T723" s="5">
        <f>IFERROR(__xludf.DUMMYFUNCTION("""COMPUTED_VALUE"""),3.0)</f>
        <v>3</v>
      </c>
      <c r="U723" s="5">
        <f>IFERROR(__xludf.DUMMYFUNCTION("""COMPUTED_VALUE"""),1.0)</f>
        <v>1</v>
      </c>
      <c r="V723" s="22">
        <f>IFERROR(__xludf.DUMMYFUNCTION("""COMPUTED_VALUE"""),-31840.0)</f>
        <v>-31840</v>
      </c>
      <c r="W723" s="9" t="str">
        <f>IFERROR(__xludf.DUMMYFUNCTION("""COMPUTED_VALUE"""),"")</f>
        <v/>
      </c>
      <c r="X723" s="22" t="str">
        <f>IFERROR(__xludf.DUMMYFUNCTION("""COMPUTED_VALUE"""),"")</f>
        <v/>
      </c>
      <c r="Y723" s="22" t="str">
        <f>IFERROR(__xludf.DUMMYFUNCTION("""COMPUTED_VALUE"""),"")</f>
        <v/>
      </c>
      <c r="Z723" s="24" t="str">
        <f>IFERROR(__xludf.DUMMYFUNCTION("""COMPUTED_VALUE"""),"")</f>
        <v/>
      </c>
    </row>
    <row r="724">
      <c r="A724" s="5" t="str">
        <f>IFERROR(__xludf.DUMMYFUNCTION("""COMPUTED_VALUE"""),"")</f>
        <v/>
      </c>
      <c r="B724" s="5" t="str">
        <f>IFERROR(__xludf.DUMMYFUNCTION("""COMPUTED_VALUE"""),"70628")</f>
        <v>70628</v>
      </c>
      <c r="C724" s="9">
        <f>IFERROR(__xludf.DUMMYFUNCTION("""COMPUTED_VALUE"""),4.4610000249E10)</f>
        <v>44610000249</v>
      </c>
      <c r="D724" s="90" t="str">
        <f>IFERROR(__xludf.DUMMYFUNCTION("""COMPUTED_VALUE"""),"0175.HK")</f>
        <v>0175.HK</v>
      </c>
      <c r="E724" s="193">
        <f>IFERROR(__xludf.DUMMYFUNCTION("""COMPUTED_VALUE"""),44610.0)</f>
        <v>44610</v>
      </c>
      <c r="F724" s="5" t="str">
        <f>IFERROR(__xludf.DUMMYFUNCTION("""COMPUTED_VALUE"""),"Stock")</f>
        <v>Stock</v>
      </c>
      <c r="G724" s="5" t="str">
        <f>IFERROR(__xludf.DUMMYFUNCTION("""COMPUTED_VALUE"""),"HKD")</f>
        <v>HKD</v>
      </c>
      <c r="H724" s="22">
        <f>IFERROR(__xludf.DUMMYFUNCTION("""COMPUTED_VALUE"""),16.85)</f>
        <v>16.85</v>
      </c>
      <c r="I724" s="194">
        <f>IFERROR(__xludf.DUMMYFUNCTION("""COMPUTED_VALUE"""),1.0)</f>
        <v>1</v>
      </c>
      <c r="J724" s="23">
        <f>IFERROR(__xludf.DUMMYFUNCTION("""COMPUTED_VALUE"""),16.66)</f>
        <v>16.66</v>
      </c>
      <c r="K724" s="5"/>
      <c r="L724" s="23">
        <f>IFERROR(__xludf.DUMMYFUNCTION("""COMPUTED_VALUE"""),11.22)</f>
        <v>11.22</v>
      </c>
      <c r="M724" s="195" t="str">
        <f>IFERROR(__xludf.DUMMYFUNCTION("""COMPUTED_VALUE"""),"Equity Key Stats")</f>
        <v>Equity Key Stats</v>
      </c>
      <c r="N724" s="5"/>
      <c r="O724" s="5"/>
      <c r="P724" s="142">
        <f>IFERROR(__xludf.DUMMYFUNCTION("""COMPUTED_VALUE"""),-280.721)</f>
        <v>-280.721</v>
      </c>
      <c r="Q724" s="5"/>
      <c r="R724" s="71">
        <f>IFERROR(__xludf.DUMMYFUNCTION("""COMPUTED_VALUE"""),11.22)</f>
        <v>11.22</v>
      </c>
      <c r="S724" s="142">
        <f>IFERROR(__xludf.DUMMYFUNCTION("""COMPUTED_VALUE"""),189.05700000000002)</f>
        <v>189.057</v>
      </c>
      <c r="T724" s="5">
        <f>IFERROR(__xludf.DUMMYFUNCTION("""COMPUTED_VALUE"""),1.0)</f>
        <v>1</v>
      </c>
      <c r="U724" s="5">
        <f>IFERROR(__xludf.DUMMYFUNCTION("""COMPUTED_VALUE"""),1.0)</f>
        <v>1</v>
      </c>
      <c r="V724" s="22">
        <f>IFERROR(__xludf.DUMMYFUNCTION("""COMPUTED_VALUE"""),-91.66399999999999)</f>
        <v>-91.664</v>
      </c>
      <c r="W724" s="9" t="str">
        <f>IFERROR(__xludf.DUMMYFUNCTION("""COMPUTED_VALUE"""),"")</f>
        <v/>
      </c>
      <c r="X724" s="22" t="str">
        <f>IFERROR(__xludf.DUMMYFUNCTION("""COMPUTED_VALUE"""),"")</f>
        <v/>
      </c>
      <c r="Y724" s="22" t="str">
        <f>IFERROR(__xludf.DUMMYFUNCTION("""COMPUTED_VALUE"""),"")</f>
        <v/>
      </c>
      <c r="Z724" s="24" t="str">
        <f>IFERROR(__xludf.DUMMYFUNCTION("""COMPUTED_VALUE"""),"")</f>
        <v/>
      </c>
    </row>
    <row r="725">
      <c r="A725" s="5" t="str">
        <f>IFERROR(__xludf.DUMMYFUNCTION("""COMPUTED_VALUE"""),"70628")</f>
        <v>70628</v>
      </c>
      <c r="B725" s="5" t="str">
        <f>IFERROR(__xludf.DUMMYFUNCTION("""COMPUTED_VALUE"""),"70628")</f>
        <v>70628</v>
      </c>
      <c r="C725" s="9">
        <f>IFERROR(__xludf.DUMMYFUNCTION("""COMPUTED_VALUE"""),4.4655001123E10)</f>
        <v>44655001123</v>
      </c>
      <c r="D725" s="90" t="str">
        <f>IFERROR(__xludf.DUMMYFUNCTION("""COMPUTED_VALUE"""),"1610.HK")</f>
        <v>1610.HK</v>
      </c>
      <c r="E725" s="193">
        <f>IFERROR(__xludf.DUMMYFUNCTION("""COMPUTED_VALUE"""),44655.0)</f>
        <v>44655</v>
      </c>
      <c r="F725" s="5" t="str">
        <f>IFERROR(__xludf.DUMMYFUNCTION("""COMPUTED_VALUE"""),"Stock")</f>
        <v>Stock</v>
      </c>
      <c r="G725" s="5" t="str">
        <f>IFERROR(__xludf.DUMMYFUNCTION("""COMPUTED_VALUE"""),"HKD")</f>
        <v>HKD</v>
      </c>
      <c r="H725" s="22">
        <f>IFERROR(__xludf.DUMMYFUNCTION("""COMPUTED_VALUE"""),26000.0)</f>
        <v>26000</v>
      </c>
      <c r="I725" s="194">
        <f>IFERROR(__xludf.DUMMYFUNCTION("""COMPUTED_VALUE"""),1.0)</f>
        <v>1</v>
      </c>
      <c r="J725" s="23">
        <f>IFERROR(__xludf.DUMMYFUNCTION("""COMPUTED_VALUE"""),3.75)</f>
        <v>3.75</v>
      </c>
      <c r="K725" s="5"/>
      <c r="L725" s="23">
        <f>IFERROR(__xludf.DUMMYFUNCTION("""COMPUTED_VALUE"""),3.39)</f>
        <v>3.39</v>
      </c>
      <c r="M725" s="195" t="str">
        <f>IFERROR(__xludf.DUMMYFUNCTION("""COMPUTED_VALUE"""),"Equity Key Stats")</f>
        <v>Equity Key Stats</v>
      </c>
      <c r="N725" s="5"/>
      <c r="O725" s="5"/>
      <c r="P725" s="142">
        <f>IFERROR(__xludf.DUMMYFUNCTION("""COMPUTED_VALUE"""),-97500.0)</f>
        <v>-97500</v>
      </c>
      <c r="Q725" s="5"/>
      <c r="R725" s="71">
        <f>IFERROR(__xludf.DUMMYFUNCTION("""COMPUTED_VALUE"""),3.39)</f>
        <v>3.39</v>
      </c>
      <c r="S725" s="142">
        <f>IFERROR(__xludf.DUMMYFUNCTION("""COMPUTED_VALUE"""),88140.0)</f>
        <v>88140</v>
      </c>
      <c r="T725" s="5">
        <f>IFERROR(__xludf.DUMMYFUNCTION("""COMPUTED_VALUE"""),2.0)</f>
        <v>2</v>
      </c>
      <c r="U725" s="5">
        <f>IFERROR(__xludf.DUMMYFUNCTION("""COMPUTED_VALUE"""),1.0)</f>
        <v>1</v>
      </c>
      <c r="V725" s="22">
        <f>IFERROR(__xludf.DUMMYFUNCTION("""COMPUTED_VALUE"""),-9360.0)</f>
        <v>-9360</v>
      </c>
      <c r="W725" s="9">
        <f>IFERROR(__xludf.DUMMYFUNCTION("""COMPUTED_VALUE"""),424548.336)</f>
        <v>424548.336</v>
      </c>
      <c r="X725" s="22">
        <f>IFERROR(__xludf.DUMMYFUNCTION("""COMPUTED_VALUE"""),8019.278999999995)</f>
        <v>8019.279</v>
      </c>
      <c r="Y725" s="22">
        <f>IFERROR(__xludf.DUMMYFUNCTION("""COMPUTED_VALUE"""),0.0)</f>
        <v>0</v>
      </c>
      <c r="Z725" s="24">
        <f>IFERROR(__xludf.DUMMYFUNCTION("""COMPUTED_VALUE"""),-0.15090332799999995)</f>
        <v>-0.150903328</v>
      </c>
    </row>
    <row r="726">
      <c r="A726" s="5" t="str">
        <f>IFERROR(__xludf.DUMMYFUNCTION("""COMPUTED_VALUE"""),"")</f>
        <v/>
      </c>
      <c r="B726" s="5" t="str">
        <f>IFERROR(__xludf.DUMMYFUNCTION("""COMPUTED_VALUE"""),"71502")</f>
        <v>71502</v>
      </c>
      <c r="C726" s="9">
        <f>IFERROR(__xludf.DUMMYFUNCTION("""COMPUTED_VALUE"""),4.4597000067E10)</f>
        <v>44597000067</v>
      </c>
      <c r="D726" s="85" t="str">
        <f>IFERROR(__xludf.DUMMYFUNCTION("""COMPUTED_VALUE"""),"Cash")</f>
        <v>Cash</v>
      </c>
      <c r="E726" s="193">
        <f>IFERROR(__xludf.DUMMYFUNCTION("""COMPUTED_VALUE"""),44597.0)</f>
        <v>44597</v>
      </c>
      <c r="F726" s="5" t="str">
        <f>IFERROR(__xludf.DUMMYFUNCTION("""COMPUTED_VALUE"""),"Cash")</f>
        <v>Cash</v>
      </c>
      <c r="G726" s="5" t="str">
        <f>IFERROR(__xludf.DUMMYFUNCTION("""COMPUTED_VALUE"""),"HKD")</f>
        <v>HKD</v>
      </c>
      <c r="H726" s="22" t="str">
        <f>IFERROR(__xludf.DUMMYFUNCTION("""COMPUTED_VALUE"""),"")</f>
        <v/>
      </c>
      <c r="I726" s="194">
        <f>IFERROR(__xludf.DUMMYFUNCTION("""COMPUTED_VALUE"""),1.0)</f>
        <v>1</v>
      </c>
      <c r="J726" s="5">
        <f>IFERROR(__xludf.DUMMYFUNCTION("""COMPUTED_VALUE"""),1.0)</f>
        <v>1</v>
      </c>
      <c r="K726" s="5"/>
      <c r="L726" s="23">
        <f>IFERROR(__xludf.DUMMYFUNCTION("""COMPUTED_VALUE"""),1.0)</f>
        <v>1</v>
      </c>
      <c r="M726" s="25" t="str">
        <f>IFERROR(__xludf.DUMMYFUNCTION("""COMPUTED_VALUE"""),"")</f>
        <v/>
      </c>
      <c r="N726" s="5"/>
      <c r="O726" s="5"/>
      <c r="P726" s="142">
        <f>IFERROR(__xludf.DUMMYFUNCTION("""COMPUTED_VALUE"""),500000.0)</f>
        <v>500000</v>
      </c>
      <c r="Q726" s="5"/>
      <c r="R726" s="71">
        <f>IFERROR(__xludf.DUMMYFUNCTION("""COMPUTED_VALUE"""),1.0)</f>
        <v>1</v>
      </c>
      <c r="S726" s="142" t="str">
        <f>IFERROR(__xludf.DUMMYFUNCTION("""COMPUTED_VALUE"""),"")</f>
        <v/>
      </c>
      <c r="T726" s="5">
        <f>IFERROR(__xludf.DUMMYFUNCTION("""COMPUTED_VALUE"""),1.0)</f>
        <v>1</v>
      </c>
      <c r="U726" s="5">
        <f>IFERROR(__xludf.DUMMYFUNCTION("""COMPUTED_VALUE"""),1.0)</f>
        <v>1</v>
      </c>
      <c r="V726" s="22">
        <f>IFERROR(__xludf.DUMMYFUNCTION("""COMPUTED_VALUE"""),500000.0)</f>
        <v>500000</v>
      </c>
      <c r="W726" s="9" t="str">
        <f>IFERROR(__xludf.DUMMYFUNCTION("""COMPUTED_VALUE"""),"")</f>
        <v/>
      </c>
      <c r="X726" s="22" t="str">
        <f>IFERROR(__xludf.DUMMYFUNCTION("""COMPUTED_VALUE"""),"")</f>
        <v/>
      </c>
      <c r="Y726" s="22" t="str">
        <f>IFERROR(__xludf.DUMMYFUNCTION("""COMPUTED_VALUE"""),"")</f>
        <v/>
      </c>
      <c r="Z726" s="24" t="str">
        <f>IFERROR(__xludf.DUMMYFUNCTION("""COMPUTED_VALUE"""),"")</f>
        <v/>
      </c>
    </row>
    <row r="727">
      <c r="A727" s="5" t="str">
        <f>IFERROR(__xludf.DUMMYFUNCTION("""COMPUTED_VALUE"""),"71502")</f>
        <v>71502</v>
      </c>
      <c r="B727" s="5" t="str">
        <f>IFERROR(__xludf.DUMMYFUNCTION("""COMPUTED_VALUE"""),"71502")</f>
        <v>71502</v>
      </c>
      <c r="C727" s="9">
        <f>IFERROR(__xludf.DUMMYFUNCTION("""COMPUTED_VALUE"""),4.4650001022E10)</f>
        <v>44650001022</v>
      </c>
      <c r="D727" s="87" t="str">
        <f>IFERROR(__xludf.DUMMYFUNCTION("""COMPUTED_VALUE"""),"AAPL")</f>
        <v>AAPL</v>
      </c>
      <c r="E727" s="193">
        <f>IFERROR(__xludf.DUMMYFUNCTION("""COMPUTED_VALUE"""),44650.0)</f>
        <v>44650</v>
      </c>
      <c r="F727" s="5" t="str">
        <f>IFERROR(__xludf.DUMMYFUNCTION("""COMPUTED_VALUE"""),"Stock")</f>
        <v>Stock</v>
      </c>
      <c r="G727" s="5" t="str">
        <f>IFERROR(__xludf.DUMMYFUNCTION("""COMPUTED_VALUE"""),"USD")</f>
        <v>USD</v>
      </c>
      <c r="H727" s="22">
        <f>IFERROR(__xludf.DUMMYFUNCTION("""COMPUTED_VALUE"""),200.0)</f>
        <v>200</v>
      </c>
      <c r="I727" s="194">
        <f>IFERROR(__xludf.DUMMYFUNCTION("""COMPUTED_VALUE"""),7.82725)</f>
        <v>7.82725</v>
      </c>
      <c r="J727" s="23">
        <f>IFERROR(__xludf.DUMMYFUNCTION("""COMPUTED_VALUE"""),177.77)</f>
        <v>177.77</v>
      </c>
      <c r="K727" s="5"/>
      <c r="L727" s="23">
        <f>IFERROR(__xludf.DUMMYFUNCTION("""COMPUTED_VALUE"""),170.4)</f>
        <v>170.4</v>
      </c>
      <c r="M727" s="195" t="str">
        <f>IFERROR(__xludf.DUMMYFUNCTION("""COMPUTED_VALUE"""),"Equity Key Stats")</f>
        <v>Equity Key Stats</v>
      </c>
      <c r="N727" s="5"/>
      <c r="O727" s="5"/>
      <c r="P727" s="142">
        <f>IFERROR(__xludf.DUMMYFUNCTION("""COMPUTED_VALUE"""),-278290.0465)</f>
        <v>-278290.0465</v>
      </c>
      <c r="Q727" s="5"/>
      <c r="R727" s="71">
        <f>IFERROR(__xludf.DUMMYFUNCTION("""COMPUTED_VALUE"""),170.4)</f>
        <v>170.4</v>
      </c>
      <c r="S727" s="142">
        <f>IFERROR(__xludf.DUMMYFUNCTION("""COMPUTED_VALUE"""),266752.68)</f>
        <v>266752.68</v>
      </c>
      <c r="T727" s="5">
        <f>IFERROR(__xludf.DUMMYFUNCTION("""COMPUTED_VALUE"""),1.0)</f>
        <v>1</v>
      </c>
      <c r="U727" s="5">
        <f>IFERROR(__xludf.DUMMYFUNCTION("""COMPUTED_VALUE"""),1.0)</f>
        <v>1</v>
      </c>
      <c r="V727" s="22">
        <f>IFERROR(__xludf.DUMMYFUNCTION("""COMPUTED_VALUE"""),-11537.366500000004)</f>
        <v>-11537.3665</v>
      </c>
      <c r="W727" s="9">
        <f>IFERROR(__xludf.DUMMYFUNCTION("""COMPUTED_VALUE"""),488462.6335)</f>
        <v>488462.6335</v>
      </c>
      <c r="X727" s="22">
        <f>IFERROR(__xludf.DUMMYFUNCTION("""COMPUTED_VALUE"""),221709.9535)</f>
        <v>221709.9535</v>
      </c>
      <c r="Y727" s="22">
        <f>IFERROR(__xludf.DUMMYFUNCTION("""COMPUTED_VALUE"""),0.0)</f>
        <v>0</v>
      </c>
      <c r="Z727" s="24">
        <f>IFERROR(__xludf.DUMMYFUNCTION("""COMPUTED_VALUE"""),-0.02307473299999996)</f>
        <v>-0.023074733</v>
      </c>
    </row>
    <row r="728">
      <c r="A728" s="5" t="str">
        <f>IFERROR(__xludf.DUMMYFUNCTION("""COMPUTED_VALUE"""),"")</f>
        <v/>
      </c>
      <c r="B728" s="5" t="str">
        <f>IFERROR(__xludf.DUMMYFUNCTION("""COMPUTED_VALUE"""),"73341")</f>
        <v>73341</v>
      </c>
      <c r="C728" s="9">
        <f>IFERROR(__xludf.DUMMYFUNCTION("""COMPUTED_VALUE"""),4.4597000121E10)</f>
        <v>44597000121</v>
      </c>
      <c r="D728" s="85" t="str">
        <f>IFERROR(__xludf.DUMMYFUNCTION("""COMPUTED_VALUE"""),"Cash")</f>
        <v>Cash</v>
      </c>
      <c r="E728" s="193">
        <f>IFERROR(__xludf.DUMMYFUNCTION("""COMPUTED_VALUE"""),44597.0)</f>
        <v>44597</v>
      </c>
      <c r="F728" s="5" t="str">
        <f>IFERROR(__xludf.DUMMYFUNCTION("""COMPUTED_VALUE"""),"Cash")</f>
        <v>Cash</v>
      </c>
      <c r="G728" s="5" t="str">
        <f>IFERROR(__xludf.DUMMYFUNCTION("""COMPUTED_VALUE"""),"HKD")</f>
        <v>HKD</v>
      </c>
      <c r="H728" s="22" t="str">
        <f>IFERROR(__xludf.DUMMYFUNCTION("""COMPUTED_VALUE"""),"")</f>
        <v/>
      </c>
      <c r="I728" s="194">
        <f>IFERROR(__xludf.DUMMYFUNCTION("""COMPUTED_VALUE"""),1.0)</f>
        <v>1</v>
      </c>
      <c r="J728" s="5">
        <f>IFERROR(__xludf.DUMMYFUNCTION("""COMPUTED_VALUE"""),1.0)</f>
        <v>1</v>
      </c>
      <c r="K728" s="5"/>
      <c r="L728" s="23">
        <f>IFERROR(__xludf.DUMMYFUNCTION("""COMPUTED_VALUE"""),1.0)</f>
        <v>1</v>
      </c>
      <c r="M728" s="25" t="str">
        <f>IFERROR(__xludf.DUMMYFUNCTION("""COMPUTED_VALUE"""),"")</f>
        <v/>
      </c>
      <c r="N728" s="5"/>
      <c r="O728" s="5"/>
      <c r="P728" s="142">
        <f>IFERROR(__xludf.DUMMYFUNCTION("""COMPUTED_VALUE"""),500000.0)</f>
        <v>500000</v>
      </c>
      <c r="Q728" s="5"/>
      <c r="R728" s="71">
        <f>IFERROR(__xludf.DUMMYFUNCTION("""COMPUTED_VALUE"""),1.0)</f>
        <v>1</v>
      </c>
      <c r="S728" s="142" t="str">
        <f>IFERROR(__xludf.DUMMYFUNCTION("""COMPUTED_VALUE"""),"")</f>
        <v/>
      </c>
      <c r="T728" s="5">
        <f>IFERROR(__xludf.DUMMYFUNCTION("""COMPUTED_VALUE"""),1.0)</f>
        <v>1</v>
      </c>
      <c r="U728" s="5">
        <f>IFERROR(__xludf.DUMMYFUNCTION("""COMPUTED_VALUE"""),1.0)</f>
        <v>1</v>
      </c>
      <c r="V728" s="22">
        <f>IFERROR(__xludf.DUMMYFUNCTION("""COMPUTED_VALUE"""),500000.0)</f>
        <v>500000</v>
      </c>
      <c r="W728" s="9" t="str">
        <f>IFERROR(__xludf.DUMMYFUNCTION("""COMPUTED_VALUE"""),"")</f>
        <v/>
      </c>
      <c r="X728" s="22" t="str">
        <f>IFERROR(__xludf.DUMMYFUNCTION("""COMPUTED_VALUE"""),"")</f>
        <v/>
      </c>
      <c r="Y728" s="22" t="str">
        <f>IFERROR(__xludf.DUMMYFUNCTION("""COMPUTED_VALUE"""),"")</f>
        <v/>
      </c>
      <c r="Z728" s="24" t="str">
        <f>IFERROR(__xludf.DUMMYFUNCTION("""COMPUTED_VALUE"""),"")</f>
        <v/>
      </c>
    </row>
    <row r="729">
      <c r="A729" s="5" t="str">
        <f>IFERROR(__xludf.DUMMYFUNCTION("""COMPUTED_VALUE"""),"")</f>
        <v/>
      </c>
      <c r="B729" s="5" t="str">
        <f>IFERROR(__xludf.DUMMYFUNCTION("""COMPUTED_VALUE"""),"73341")</f>
        <v>73341</v>
      </c>
      <c r="C729" s="9">
        <f>IFERROR(__xludf.DUMMYFUNCTION("""COMPUTED_VALUE"""),4.4652001062E10)</f>
        <v>44652001062</v>
      </c>
      <c r="D729" s="90" t="str">
        <f>IFERROR(__xludf.DUMMYFUNCTION("""COMPUTED_VALUE"""),"0700.HK")</f>
        <v>0700.HK</v>
      </c>
      <c r="E729" s="193">
        <f>IFERROR(__xludf.DUMMYFUNCTION("""COMPUTED_VALUE"""),44652.0)</f>
        <v>44652</v>
      </c>
      <c r="F729" s="5" t="str">
        <f>IFERROR(__xludf.DUMMYFUNCTION("""COMPUTED_VALUE"""),"Stock")</f>
        <v>Stock</v>
      </c>
      <c r="G729" s="5" t="str">
        <f>IFERROR(__xludf.DUMMYFUNCTION("""COMPUTED_VALUE"""),"HKD")</f>
        <v>HKD</v>
      </c>
      <c r="H729" s="22">
        <f>IFERROR(__xludf.DUMMYFUNCTION("""COMPUTED_VALUE"""),30.0)</f>
        <v>30</v>
      </c>
      <c r="I729" s="194">
        <f>IFERROR(__xludf.DUMMYFUNCTION("""COMPUTED_VALUE"""),1.0)</f>
        <v>1</v>
      </c>
      <c r="J729" s="23">
        <f>IFERROR(__xludf.DUMMYFUNCTION("""COMPUTED_VALUE"""),378.8)</f>
        <v>378.8</v>
      </c>
      <c r="K729" s="5"/>
      <c r="L729" s="23">
        <f>IFERROR(__xludf.DUMMYFUNCTION("""COMPUTED_VALUE"""),373.6)</f>
        <v>373.6</v>
      </c>
      <c r="M729" s="195" t="str">
        <f>IFERROR(__xludf.DUMMYFUNCTION("""COMPUTED_VALUE"""),"Equity Key Stats")</f>
        <v>Equity Key Stats</v>
      </c>
      <c r="N729" s="5"/>
      <c r="O729" s="5"/>
      <c r="P729" s="142">
        <f>IFERROR(__xludf.DUMMYFUNCTION("""COMPUTED_VALUE"""),-11364.0)</f>
        <v>-11364</v>
      </c>
      <c r="Q729" s="5"/>
      <c r="R729" s="71">
        <f>IFERROR(__xludf.DUMMYFUNCTION("""COMPUTED_VALUE"""),373.6)</f>
        <v>373.6</v>
      </c>
      <c r="S729" s="142">
        <f>IFERROR(__xludf.DUMMYFUNCTION("""COMPUTED_VALUE"""),11208.0)</f>
        <v>11208</v>
      </c>
      <c r="T729" s="5">
        <f>IFERROR(__xludf.DUMMYFUNCTION("""COMPUTED_VALUE"""),1.0)</f>
        <v>1</v>
      </c>
      <c r="U729" s="5">
        <f>IFERROR(__xludf.DUMMYFUNCTION("""COMPUTED_VALUE"""),1.0)</f>
        <v>1</v>
      </c>
      <c r="V729" s="22">
        <f>IFERROR(__xludf.DUMMYFUNCTION("""COMPUTED_VALUE"""),-156.0)</f>
        <v>-156</v>
      </c>
      <c r="W729" s="9" t="str">
        <f>IFERROR(__xludf.DUMMYFUNCTION("""COMPUTED_VALUE"""),"")</f>
        <v/>
      </c>
      <c r="X729" s="22" t="str">
        <f>IFERROR(__xludf.DUMMYFUNCTION("""COMPUTED_VALUE"""),"")</f>
        <v/>
      </c>
      <c r="Y729" s="22" t="str">
        <f>IFERROR(__xludf.DUMMYFUNCTION("""COMPUTED_VALUE"""),"")</f>
        <v/>
      </c>
      <c r="Z729" s="24" t="str">
        <f>IFERROR(__xludf.DUMMYFUNCTION("""COMPUTED_VALUE"""),"")</f>
        <v/>
      </c>
    </row>
    <row r="730">
      <c r="A730" s="5" t="str">
        <f>IFERROR(__xludf.DUMMYFUNCTION("""COMPUTED_VALUE"""),"")</f>
        <v/>
      </c>
      <c r="B730" s="5" t="str">
        <f>IFERROR(__xludf.DUMMYFUNCTION("""COMPUTED_VALUE"""),"73341")</f>
        <v>73341</v>
      </c>
      <c r="C730" s="9">
        <f>IFERROR(__xludf.DUMMYFUNCTION("""COMPUTED_VALUE"""),4.4652001064E10)</f>
        <v>44652001064</v>
      </c>
      <c r="D730" s="87" t="str">
        <f>IFERROR(__xludf.DUMMYFUNCTION("""COMPUTED_VALUE"""),"HK0000317724")</f>
        <v>HK0000317724</v>
      </c>
      <c r="E730" s="193">
        <f>IFERROR(__xludf.DUMMYFUNCTION("""COMPUTED_VALUE"""),44652.0)</f>
        <v>44652</v>
      </c>
      <c r="F730" s="5" t="str">
        <f>IFERROR(__xludf.DUMMYFUNCTION("""COMPUTED_VALUE"""),"Bond")</f>
        <v>Bond</v>
      </c>
      <c r="G730" s="5" t="str">
        <f>IFERROR(__xludf.DUMMYFUNCTION("""COMPUTED_VALUE"""),"CNY")</f>
        <v>CNY</v>
      </c>
      <c r="H730" s="22">
        <f>IFERROR(__xludf.DUMMYFUNCTION("""COMPUTED_VALUE"""),30.0)</f>
        <v>30</v>
      </c>
      <c r="I730" s="194">
        <f>IFERROR(__xludf.DUMMYFUNCTION("""COMPUTED_VALUE"""),1.231079)</f>
        <v>1.231079</v>
      </c>
      <c r="J730" s="23">
        <f>IFERROR(__xludf.DUMMYFUNCTION("""COMPUTED_VALUE"""),105.547)</f>
        <v>105.547</v>
      </c>
      <c r="K730" s="5"/>
      <c r="L730" s="23">
        <f>IFERROR(__xludf.DUMMYFUNCTION("""COMPUTED_VALUE"""),105.35)</f>
        <v>105.35</v>
      </c>
      <c r="M730" s="195" t="str">
        <f>IFERROR(__xludf.DUMMYFUNCTION("""COMPUTED_VALUE"""),"Bond Fact Sheet")</f>
        <v>Bond Fact Sheet</v>
      </c>
      <c r="N730" s="5"/>
      <c r="O730" s="5"/>
      <c r="P730" s="142">
        <f>IFERROR(__xludf.DUMMYFUNCTION("""COMPUTED_VALUE"""),-3898.10085639)</f>
        <v>-3898.100856</v>
      </c>
      <c r="Q730" s="5"/>
      <c r="R730" s="71">
        <f>IFERROR(__xludf.DUMMYFUNCTION("""COMPUTED_VALUE"""),104.9285)</f>
        <v>104.9285</v>
      </c>
      <c r="S730" s="142">
        <f>IFERROR(__xludf.DUMMYFUNCTION("""COMPUTED_VALUE"""),3875.258185545)</f>
        <v>3875.258186</v>
      </c>
      <c r="T730" s="5">
        <f>IFERROR(__xludf.DUMMYFUNCTION("""COMPUTED_VALUE"""),1.0)</f>
        <v>1</v>
      </c>
      <c r="U730" s="5">
        <f>IFERROR(__xludf.DUMMYFUNCTION("""COMPUTED_VALUE"""),1.0)</f>
        <v>1</v>
      </c>
      <c r="V730" s="22">
        <f>IFERROR(__xludf.DUMMYFUNCTION("""COMPUTED_VALUE"""),-22.842670845000157)</f>
        <v>-22.84267085</v>
      </c>
      <c r="W730" s="9" t="str">
        <f>IFERROR(__xludf.DUMMYFUNCTION("""COMPUTED_VALUE"""),"")</f>
        <v/>
      </c>
      <c r="X730" s="22" t="str">
        <f>IFERROR(__xludf.DUMMYFUNCTION("""COMPUTED_VALUE"""),"")</f>
        <v/>
      </c>
      <c r="Y730" s="22" t="str">
        <f>IFERROR(__xludf.DUMMYFUNCTION("""COMPUTED_VALUE"""),"")</f>
        <v/>
      </c>
      <c r="Z730" s="24" t="str">
        <f>IFERROR(__xludf.DUMMYFUNCTION("""COMPUTED_VALUE"""),"")</f>
        <v/>
      </c>
    </row>
    <row r="731">
      <c r="A731" s="5" t="str">
        <f>IFERROR(__xludf.DUMMYFUNCTION("""COMPUTED_VALUE"""),"")</f>
        <v/>
      </c>
      <c r="B731" s="5" t="str">
        <f>IFERROR(__xludf.DUMMYFUNCTION("""COMPUTED_VALUE"""),"73341")</f>
        <v>73341</v>
      </c>
      <c r="C731" s="9">
        <f>IFERROR(__xludf.DUMMYFUNCTION("""COMPUTED_VALUE"""),4.4652001093E10)</f>
        <v>44652001093</v>
      </c>
      <c r="D731" s="87" t="str">
        <f>IFERROR(__xludf.DUMMYFUNCTION("""COMPUTED_VALUE"""),"NDX220414C16500000")</f>
        <v>NDX220414C16500000</v>
      </c>
      <c r="E731" s="193">
        <f>IFERROR(__xludf.DUMMYFUNCTION("""COMPUTED_VALUE"""),44652.0)</f>
        <v>44652</v>
      </c>
      <c r="F731" s="5" t="str">
        <f>IFERROR(__xludf.DUMMYFUNCTION("""COMPUTED_VALUE"""),"Option")</f>
        <v>Option</v>
      </c>
      <c r="G731" s="5" t="str">
        <f>IFERROR(__xludf.DUMMYFUNCTION("""COMPUTED_VALUE"""),"USD")</f>
        <v>USD</v>
      </c>
      <c r="H731" s="22" t="str">
        <f>IFERROR(__xludf.DUMMYFUNCTION("""COMPUTED_VALUE"""),"")</f>
        <v/>
      </c>
      <c r="I731" s="194">
        <f>IFERROR(__xludf.DUMMYFUNCTION("""COMPUTED_VALUE"""),7.833725)</f>
        <v>7.833725</v>
      </c>
      <c r="J731" s="23">
        <f>IFERROR(__xludf.DUMMYFUNCTION("""COMPUTED_VALUE"""),2.62)</f>
        <v>2.62</v>
      </c>
      <c r="K731" s="5"/>
      <c r="L731" s="23">
        <f>IFERROR(__xludf.DUMMYFUNCTION("""COMPUTED_VALUE"""),0.61)</f>
        <v>0.61</v>
      </c>
      <c r="M731" s="25" t="str">
        <f>IFERROR(__xludf.DUMMYFUNCTION("""COMPUTED_VALUE"""),"")</f>
        <v/>
      </c>
      <c r="N731" s="5"/>
      <c r="O731" s="5"/>
      <c r="P731" s="142">
        <f>IFERROR(__xludf.DUMMYFUNCTION("""COMPUTED_VALUE"""),0.0)</f>
        <v>0</v>
      </c>
      <c r="Q731" s="5"/>
      <c r="R731" s="71">
        <f>IFERROR(__xludf.DUMMYFUNCTION("""COMPUTED_VALUE"""),0.61)</f>
        <v>0.61</v>
      </c>
      <c r="S731" s="142">
        <f>IFERROR(__xludf.DUMMYFUNCTION("""COMPUTED_VALUE"""),0.0)</f>
        <v>0</v>
      </c>
      <c r="T731" s="5">
        <f>IFERROR(__xludf.DUMMYFUNCTION("""COMPUTED_VALUE"""),1.0)</f>
        <v>1</v>
      </c>
      <c r="U731" s="5">
        <f>IFERROR(__xludf.DUMMYFUNCTION("""COMPUTED_VALUE"""),1.0)</f>
        <v>1</v>
      </c>
      <c r="V731" s="22">
        <f>IFERROR(__xludf.DUMMYFUNCTION("""COMPUTED_VALUE"""),0.0)</f>
        <v>0</v>
      </c>
      <c r="W731" s="9" t="str">
        <f>IFERROR(__xludf.DUMMYFUNCTION("""COMPUTED_VALUE"""),"")</f>
        <v/>
      </c>
      <c r="X731" s="22" t="str">
        <f>IFERROR(__xludf.DUMMYFUNCTION("""COMPUTED_VALUE"""),"")</f>
        <v/>
      </c>
      <c r="Y731" s="22" t="str">
        <f>IFERROR(__xludf.DUMMYFUNCTION("""COMPUTED_VALUE"""),"")</f>
        <v/>
      </c>
      <c r="Z731" s="24" t="str">
        <f>IFERROR(__xludf.DUMMYFUNCTION("""COMPUTED_VALUE"""),"")</f>
        <v/>
      </c>
    </row>
    <row r="732">
      <c r="A732" s="5" t="str">
        <f>IFERROR(__xludf.DUMMYFUNCTION("""COMPUTED_VALUE"""),"")</f>
        <v/>
      </c>
      <c r="B732" s="5" t="str">
        <f>IFERROR(__xludf.DUMMYFUNCTION("""COMPUTED_VALUE"""),"73341")</f>
        <v>73341</v>
      </c>
      <c r="C732" s="9">
        <f>IFERROR(__xludf.DUMMYFUNCTION("""COMPUTED_VALUE"""),4.4662001358E10)</f>
        <v>44662001358</v>
      </c>
      <c r="D732" s="85" t="str">
        <f>IFERROR(__xludf.DUMMYFUNCTION("""COMPUTED_VALUE"""),"ASML220422P00680000")</f>
        <v>ASML220422P00680000</v>
      </c>
      <c r="E732" s="193">
        <f>IFERROR(__xludf.DUMMYFUNCTION("""COMPUTED_VALUE"""),44662.0)</f>
        <v>44662</v>
      </c>
      <c r="F732" s="5" t="str">
        <f>IFERROR(__xludf.DUMMYFUNCTION("""COMPUTED_VALUE"""),"Option")</f>
        <v>Option</v>
      </c>
      <c r="G732" s="5" t="str">
        <f>IFERROR(__xludf.DUMMYFUNCTION("""COMPUTED_VALUE"""),"USD")</f>
        <v>USD</v>
      </c>
      <c r="H732" s="22" t="str">
        <f>IFERROR(__xludf.DUMMYFUNCTION("""COMPUTED_VALUE"""),"")</f>
        <v/>
      </c>
      <c r="I732" s="194">
        <f>IFERROR(__xludf.DUMMYFUNCTION("""COMPUTED_VALUE"""),7.83795)</f>
        <v>7.83795</v>
      </c>
      <c r="J732" s="23">
        <f>IFERROR(__xludf.DUMMYFUNCTION("""COMPUTED_VALUE"""),65.84)</f>
        <v>65.84</v>
      </c>
      <c r="K732" s="5"/>
      <c r="L732" s="23">
        <f>IFERROR(__xludf.DUMMYFUNCTION("""COMPUTED_VALUE"""),65.84)</f>
        <v>65.84</v>
      </c>
      <c r="M732" s="25" t="str">
        <f>IFERROR(__xludf.DUMMYFUNCTION("""COMPUTED_VALUE"""),"")</f>
        <v/>
      </c>
      <c r="N732" s="5"/>
      <c r="O732" s="5"/>
      <c r="P732" s="142">
        <f>IFERROR(__xludf.DUMMYFUNCTION("""COMPUTED_VALUE"""),0.0)</f>
        <v>0</v>
      </c>
      <c r="Q732" s="5"/>
      <c r="R732" s="71">
        <f>IFERROR(__xludf.DUMMYFUNCTION("""COMPUTED_VALUE"""),65.84)</f>
        <v>65.84</v>
      </c>
      <c r="S732" s="142">
        <f>IFERROR(__xludf.DUMMYFUNCTION("""COMPUTED_VALUE"""),0.0)</f>
        <v>0</v>
      </c>
      <c r="T732" s="5">
        <f>IFERROR(__xludf.DUMMYFUNCTION("""COMPUTED_VALUE"""),1.0)</f>
        <v>1</v>
      </c>
      <c r="U732" s="5">
        <f>IFERROR(__xludf.DUMMYFUNCTION("""COMPUTED_VALUE"""),1.0)</f>
        <v>1</v>
      </c>
      <c r="V732" s="22">
        <f>IFERROR(__xludf.DUMMYFUNCTION("""COMPUTED_VALUE"""),0.0)</f>
        <v>0</v>
      </c>
      <c r="W732" s="9" t="str">
        <f>IFERROR(__xludf.DUMMYFUNCTION("""COMPUTED_VALUE"""),"")</f>
        <v/>
      </c>
      <c r="X732" s="22" t="str">
        <f>IFERROR(__xludf.DUMMYFUNCTION("""COMPUTED_VALUE"""),"")</f>
        <v/>
      </c>
      <c r="Y732" s="22" t="str">
        <f>IFERROR(__xludf.DUMMYFUNCTION("""COMPUTED_VALUE"""),"")</f>
        <v/>
      </c>
      <c r="Z732" s="24" t="str">
        <f>IFERROR(__xludf.DUMMYFUNCTION("""COMPUTED_VALUE"""),"")</f>
        <v/>
      </c>
    </row>
    <row r="733">
      <c r="A733" s="5" t="str">
        <f>IFERROR(__xludf.DUMMYFUNCTION("""COMPUTED_VALUE"""),"")</f>
        <v/>
      </c>
      <c r="B733" s="5" t="str">
        <f>IFERROR(__xludf.DUMMYFUNCTION("""COMPUTED_VALUE"""),"73341")</f>
        <v>73341</v>
      </c>
      <c r="C733" s="9">
        <f>IFERROR(__xludf.DUMMYFUNCTION("""COMPUTED_VALUE"""),4.4662001359E10)</f>
        <v>44662001359</v>
      </c>
      <c r="D733" s="85" t="str">
        <f>IFERROR(__xludf.DUMMYFUNCTION("""COMPUTED_VALUE"""),"TQQQ220414P00064000")</f>
        <v>TQQQ220414P00064000</v>
      </c>
      <c r="E733" s="193">
        <f>IFERROR(__xludf.DUMMYFUNCTION("""COMPUTED_VALUE"""),44662.0)</f>
        <v>44662</v>
      </c>
      <c r="F733" s="5" t="str">
        <f>IFERROR(__xludf.DUMMYFUNCTION("""COMPUTED_VALUE"""),"Option")</f>
        <v>Option</v>
      </c>
      <c r="G733" s="5" t="str">
        <f>IFERROR(__xludf.DUMMYFUNCTION("""COMPUTED_VALUE"""),"USD")</f>
        <v>USD</v>
      </c>
      <c r="H733" s="22" t="str">
        <f>IFERROR(__xludf.DUMMYFUNCTION("""COMPUTED_VALUE"""),"")</f>
        <v/>
      </c>
      <c r="I733" s="194">
        <f>IFERROR(__xludf.DUMMYFUNCTION("""COMPUTED_VALUE"""),7.83795)</f>
        <v>7.83795</v>
      </c>
      <c r="J733" s="23">
        <f>IFERROR(__xludf.DUMMYFUNCTION("""COMPUTED_VALUE"""),15.21)</f>
        <v>15.21</v>
      </c>
      <c r="K733" s="5"/>
      <c r="L733" s="23">
        <f>IFERROR(__xludf.DUMMYFUNCTION("""COMPUTED_VALUE"""),13.62)</f>
        <v>13.62</v>
      </c>
      <c r="M733" s="25" t="str">
        <f>IFERROR(__xludf.DUMMYFUNCTION("""COMPUTED_VALUE"""),"")</f>
        <v/>
      </c>
      <c r="N733" s="5"/>
      <c r="O733" s="5"/>
      <c r="P733" s="142">
        <f>IFERROR(__xludf.DUMMYFUNCTION("""COMPUTED_VALUE"""),0.0)</f>
        <v>0</v>
      </c>
      <c r="Q733" s="5"/>
      <c r="R733" s="71">
        <f>IFERROR(__xludf.DUMMYFUNCTION("""COMPUTED_VALUE"""),13.62)</f>
        <v>13.62</v>
      </c>
      <c r="S733" s="142">
        <f>IFERROR(__xludf.DUMMYFUNCTION("""COMPUTED_VALUE"""),0.0)</f>
        <v>0</v>
      </c>
      <c r="T733" s="5">
        <f>IFERROR(__xludf.DUMMYFUNCTION("""COMPUTED_VALUE"""),2.0)</f>
        <v>2</v>
      </c>
      <c r="U733" s="5" t="str">
        <f>IFERROR(__xludf.DUMMYFUNCTION("""COMPUTED_VALUE"""),"")</f>
        <v/>
      </c>
      <c r="V733" s="22" t="str">
        <f>IFERROR(__xludf.DUMMYFUNCTION("""COMPUTED_VALUE"""),"")</f>
        <v/>
      </c>
      <c r="W733" s="9" t="str">
        <f>IFERROR(__xludf.DUMMYFUNCTION("""COMPUTED_VALUE"""),"")</f>
        <v/>
      </c>
      <c r="X733" s="22" t="str">
        <f>IFERROR(__xludf.DUMMYFUNCTION("""COMPUTED_VALUE"""),"")</f>
        <v/>
      </c>
      <c r="Y733" s="22" t="str">
        <f>IFERROR(__xludf.DUMMYFUNCTION("""COMPUTED_VALUE"""),"")</f>
        <v/>
      </c>
      <c r="Z733" s="24" t="str">
        <f>IFERROR(__xludf.DUMMYFUNCTION("""COMPUTED_VALUE"""),"")</f>
        <v/>
      </c>
    </row>
    <row r="734">
      <c r="A734" s="5" t="str">
        <f>IFERROR(__xludf.DUMMYFUNCTION("""COMPUTED_VALUE"""),"73341")</f>
        <v>73341</v>
      </c>
      <c r="B734" s="5" t="str">
        <f>IFERROR(__xludf.DUMMYFUNCTION("""COMPUTED_VALUE"""),"73341")</f>
        <v>73341</v>
      </c>
      <c r="C734" s="9">
        <f>IFERROR(__xludf.DUMMYFUNCTION("""COMPUTED_VALUE"""),4.466200136E10)</f>
        <v>44662001360</v>
      </c>
      <c r="D734" s="85" t="str">
        <f>IFERROR(__xludf.DUMMYFUNCTION("""COMPUTED_VALUE"""),"TQQQ220414P00064000")</f>
        <v>TQQQ220414P00064000</v>
      </c>
      <c r="E734" s="193">
        <f>IFERROR(__xludf.DUMMYFUNCTION("""COMPUTED_VALUE"""),44662.0)</f>
        <v>44662</v>
      </c>
      <c r="F734" s="5" t="str">
        <f>IFERROR(__xludf.DUMMYFUNCTION("""COMPUTED_VALUE"""),"Option")</f>
        <v>Option</v>
      </c>
      <c r="G734" s="5" t="str">
        <f>IFERROR(__xludf.DUMMYFUNCTION("""COMPUTED_VALUE"""),"USD")</f>
        <v>USD</v>
      </c>
      <c r="H734" s="22" t="str">
        <f>IFERROR(__xludf.DUMMYFUNCTION("""COMPUTED_VALUE"""),"")</f>
        <v/>
      </c>
      <c r="I734" s="194">
        <f>IFERROR(__xludf.DUMMYFUNCTION("""COMPUTED_VALUE"""),7.83795)</f>
        <v>7.83795</v>
      </c>
      <c r="J734" s="23">
        <f>IFERROR(__xludf.DUMMYFUNCTION("""COMPUTED_VALUE"""),15.21)</f>
        <v>15.21</v>
      </c>
      <c r="K734" s="5"/>
      <c r="L734" s="23">
        <f>IFERROR(__xludf.DUMMYFUNCTION("""COMPUTED_VALUE"""),13.62)</f>
        <v>13.62</v>
      </c>
      <c r="M734" s="25" t="str">
        <f>IFERROR(__xludf.DUMMYFUNCTION("""COMPUTED_VALUE"""),"")</f>
        <v/>
      </c>
      <c r="N734" s="5"/>
      <c r="O734" s="5"/>
      <c r="P734" s="142">
        <f>IFERROR(__xludf.DUMMYFUNCTION("""COMPUTED_VALUE"""),0.0)</f>
        <v>0</v>
      </c>
      <c r="Q734" s="5"/>
      <c r="R734" s="71">
        <f>IFERROR(__xludf.DUMMYFUNCTION("""COMPUTED_VALUE"""),13.62)</f>
        <v>13.62</v>
      </c>
      <c r="S734" s="142">
        <f>IFERROR(__xludf.DUMMYFUNCTION("""COMPUTED_VALUE"""),0.0)</f>
        <v>0</v>
      </c>
      <c r="T734" s="5">
        <f>IFERROR(__xludf.DUMMYFUNCTION("""COMPUTED_VALUE"""),2.0)</f>
        <v>2</v>
      </c>
      <c r="U734" s="5">
        <f>IFERROR(__xludf.DUMMYFUNCTION("""COMPUTED_VALUE"""),1.0)</f>
        <v>1</v>
      </c>
      <c r="V734" s="22">
        <f>IFERROR(__xludf.DUMMYFUNCTION("""COMPUTED_VALUE"""),0.0)</f>
        <v>0</v>
      </c>
      <c r="W734" s="9">
        <f>IFERROR(__xludf.DUMMYFUNCTION("""COMPUTED_VALUE"""),499821.157329155)</f>
        <v>499821.1573</v>
      </c>
      <c r="X734" s="22">
        <f>IFERROR(__xludf.DUMMYFUNCTION("""COMPUTED_VALUE"""),449654.9914361)</f>
        <v>449654.9914</v>
      </c>
      <c r="Y734" s="22">
        <f>IFERROR(__xludf.DUMMYFUNCTION("""COMPUTED_VALUE"""),0.0)</f>
        <v>0</v>
      </c>
      <c r="Z734" s="24">
        <f>IFERROR(__xludf.DUMMYFUNCTION("""COMPUTED_VALUE"""),-3.576853416900061E-4)</f>
        <v>-0.0003576853417</v>
      </c>
    </row>
    <row r="735">
      <c r="A735" s="5" t="str">
        <f>IFERROR(__xludf.DUMMYFUNCTION("""COMPUTED_VALUE"""),"")</f>
        <v/>
      </c>
      <c r="B735" s="5" t="str">
        <f>IFERROR(__xludf.DUMMYFUNCTION("""COMPUTED_VALUE"""),"73542")</f>
        <v>73542</v>
      </c>
      <c r="C735" s="9">
        <f>IFERROR(__xludf.DUMMYFUNCTION("""COMPUTED_VALUE"""),4.4597000114E10)</f>
        <v>44597000114</v>
      </c>
      <c r="D735" s="85" t="str">
        <f>IFERROR(__xludf.DUMMYFUNCTION("""COMPUTED_VALUE"""),"Cash")</f>
        <v>Cash</v>
      </c>
      <c r="E735" s="193">
        <f>IFERROR(__xludf.DUMMYFUNCTION("""COMPUTED_VALUE"""),44597.0)</f>
        <v>44597</v>
      </c>
      <c r="F735" s="5" t="str">
        <f>IFERROR(__xludf.DUMMYFUNCTION("""COMPUTED_VALUE"""),"Cash")</f>
        <v>Cash</v>
      </c>
      <c r="G735" s="5" t="str">
        <f>IFERROR(__xludf.DUMMYFUNCTION("""COMPUTED_VALUE"""),"HKD")</f>
        <v>HKD</v>
      </c>
      <c r="H735" s="22" t="str">
        <f>IFERROR(__xludf.DUMMYFUNCTION("""COMPUTED_VALUE"""),"")</f>
        <v/>
      </c>
      <c r="I735" s="194">
        <f>IFERROR(__xludf.DUMMYFUNCTION("""COMPUTED_VALUE"""),1.0)</f>
        <v>1</v>
      </c>
      <c r="J735" s="5">
        <f>IFERROR(__xludf.DUMMYFUNCTION("""COMPUTED_VALUE"""),1.0)</f>
        <v>1</v>
      </c>
      <c r="K735" s="5"/>
      <c r="L735" s="23">
        <f>IFERROR(__xludf.DUMMYFUNCTION("""COMPUTED_VALUE"""),1.0)</f>
        <v>1</v>
      </c>
      <c r="M735" s="25" t="str">
        <f>IFERROR(__xludf.DUMMYFUNCTION("""COMPUTED_VALUE"""),"")</f>
        <v/>
      </c>
      <c r="N735" s="5"/>
      <c r="O735" s="5"/>
      <c r="P735" s="142">
        <f>IFERROR(__xludf.DUMMYFUNCTION("""COMPUTED_VALUE"""),500000.0)</f>
        <v>500000</v>
      </c>
      <c r="Q735" s="5"/>
      <c r="R735" s="71">
        <f>IFERROR(__xludf.DUMMYFUNCTION("""COMPUTED_VALUE"""),1.0)</f>
        <v>1</v>
      </c>
      <c r="S735" s="142" t="str">
        <f>IFERROR(__xludf.DUMMYFUNCTION("""COMPUTED_VALUE"""),"")</f>
        <v/>
      </c>
      <c r="T735" s="5">
        <f>IFERROR(__xludf.DUMMYFUNCTION("""COMPUTED_VALUE"""),1.0)</f>
        <v>1</v>
      </c>
      <c r="U735" s="5">
        <f>IFERROR(__xludf.DUMMYFUNCTION("""COMPUTED_VALUE"""),1.0)</f>
        <v>1</v>
      </c>
      <c r="V735" s="22">
        <f>IFERROR(__xludf.DUMMYFUNCTION("""COMPUTED_VALUE"""),500000.0)</f>
        <v>500000</v>
      </c>
      <c r="W735" s="9" t="str">
        <f>IFERROR(__xludf.DUMMYFUNCTION("""COMPUTED_VALUE"""),"")</f>
        <v/>
      </c>
      <c r="X735" s="22" t="str">
        <f>IFERROR(__xludf.DUMMYFUNCTION("""COMPUTED_VALUE"""),"")</f>
        <v/>
      </c>
      <c r="Y735" s="22" t="str">
        <f>IFERROR(__xludf.DUMMYFUNCTION("""COMPUTED_VALUE"""),"")</f>
        <v/>
      </c>
      <c r="Z735" s="24" t="str">
        <f>IFERROR(__xludf.DUMMYFUNCTION("""COMPUTED_VALUE"""),"")</f>
        <v/>
      </c>
    </row>
    <row r="736">
      <c r="A736" s="5" t="str">
        <f>IFERROR(__xludf.DUMMYFUNCTION("""COMPUTED_VALUE"""),"73542")</f>
        <v>73542</v>
      </c>
      <c r="B736" s="5" t="str">
        <f>IFERROR(__xludf.DUMMYFUNCTION("""COMPUTED_VALUE"""),"73542")</f>
        <v>73542</v>
      </c>
      <c r="C736" s="9">
        <f>IFERROR(__xludf.DUMMYFUNCTION("""COMPUTED_VALUE"""),4.4643000837E10)</f>
        <v>44643000837</v>
      </c>
      <c r="D736" s="87" t="str">
        <f>IFERROR(__xludf.DUMMYFUNCTION("""COMPUTED_VALUE"""),"TSLA")</f>
        <v>TSLA</v>
      </c>
      <c r="E736" s="193">
        <f>IFERROR(__xludf.DUMMYFUNCTION("""COMPUTED_VALUE"""),44643.0)</f>
        <v>44643</v>
      </c>
      <c r="F736" s="5" t="str">
        <f>IFERROR(__xludf.DUMMYFUNCTION("""COMPUTED_VALUE"""),"Stock")</f>
        <v>Stock</v>
      </c>
      <c r="G736" s="5" t="str">
        <f>IFERROR(__xludf.DUMMYFUNCTION("""COMPUTED_VALUE"""),"USD")</f>
        <v>USD</v>
      </c>
      <c r="H736" s="22">
        <f>IFERROR(__xludf.DUMMYFUNCTION("""COMPUTED_VALUE"""),12.0)</f>
        <v>12</v>
      </c>
      <c r="I736" s="194">
        <f>IFERROR(__xludf.DUMMYFUNCTION("""COMPUTED_VALUE"""),7.823645)</f>
        <v>7.823645</v>
      </c>
      <c r="J736" s="23">
        <f>IFERROR(__xludf.DUMMYFUNCTION("""COMPUTED_VALUE"""),999.11)</f>
        <v>999.11</v>
      </c>
      <c r="K736" s="5"/>
      <c r="L736" s="23">
        <f>IFERROR(__xludf.DUMMYFUNCTION("""COMPUTED_VALUE"""),1022.37)</f>
        <v>1022.37</v>
      </c>
      <c r="M736" s="195" t="str">
        <f>IFERROR(__xludf.DUMMYFUNCTION("""COMPUTED_VALUE"""),"Equity Key Stats")</f>
        <v>Equity Key Stats</v>
      </c>
      <c r="N736" s="5"/>
      <c r="O736" s="5"/>
      <c r="P736" s="142">
        <f>IFERROR(__xludf.DUMMYFUNCTION("""COMPUTED_VALUE"""),-93800.1834714)</f>
        <v>-93800.18347</v>
      </c>
      <c r="Q736" s="5"/>
      <c r="R736" s="71">
        <f>IFERROR(__xludf.DUMMYFUNCTION("""COMPUTED_VALUE"""),1022.37)</f>
        <v>1022.37</v>
      </c>
      <c r="S736" s="142">
        <f>IFERROR(__xludf.DUMMYFUNCTION("""COMPUTED_VALUE"""),95983.91926380001)</f>
        <v>95983.91926</v>
      </c>
      <c r="T736" s="5">
        <f>IFERROR(__xludf.DUMMYFUNCTION("""COMPUTED_VALUE"""),1.0)</f>
        <v>1</v>
      </c>
      <c r="U736" s="5">
        <f>IFERROR(__xludf.DUMMYFUNCTION("""COMPUTED_VALUE"""),1.0)</f>
        <v>1</v>
      </c>
      <c r="V736" s="22">
        <f>IFERROR(__xludf.DUMMYFUNCTION("""COMPUTED_VALUE"""),2183.73579240001)</f>
        <v>2183.735792</v>
      </c>
      <c r="W736" s="9">
        <f>IFERROR(__xludf.DUMMYFUNCTION("""COMPUTED_VALUE"""),502183.7357924)</f>
        <v>502183.7358</v>
      </c>
      <c r="X736" s="22">
        <f>IFERROR(__xludf.DUMMYFUNCTION("""COMPUTED_VALUE"""),406199.8165286)</f>
        <v>406199.8165</v>
      </c>
      <c r="Y736" s="22">
        <f>IFERROR(__xludf.DUMMYFUNCTION("""COMPUTED_VALUE"""),0.0)</f>
        <v>0</v>
      </c>
      <c r="Z736" s="24">
        <f>IFERROR(__xludf.DUMMYFUNCTION("""COMPUTED_VALUE"""),0.004367471584800109)</f>
        <v>0.004367471585</v>
      </c>
    </row>
    <row r="737">
      <c r="A737" s="5" t="str">
        <f>IFERROR(__xludf.DUMMYFUNCTION("""COMPUTED_VALUE"""),"")</f>
        <v/>
      </c>
      <c r="B737" s="5" t="str">
        <f>IFERROR(__xludf.DUMMYFUNCTION("""COMPUTED_VALUE"""),"73879")</f>
        <v>73879</v>
      </c>
      <c r="C737" s="9">
        <f>IFERROR(__xludf.DUMMYFUNCTION("""COMPUTED_VALUE"""),4.4597000111E10)</f>
        <v>44597000111</v>
      </c>
      <c r="D737" s="85" t="str">
        <f>IFERROR(__xludf.DUMMYFUNCTION("""COMPUTED_VALUE"""),"Cash")</f>
        <v>Cash</v>
      </c>
      <c r="E737" s="193">
        <f>IFERROR(__xludf.DUMMYFUNCTION("""COMPUTED_VALUE"""),44597.0)</f>
        <v>44597</v>
      </c>
      <c r="F737" s="5" t="str">
        <f>IFERROR(__xludf.DUMMYFUNCTION("""COMPUTED_VALUE"""),"Cash")</f>
        <v>Cash</v>
      </c>
      <c r="G737" s="5" t="str">
        <f>IFERROR(__xludf.DUMMYFUNCTION("""COMPUTED_VALUE"""),"HKD")</f>
        <v>HKD</v>
      </c>
      <c r="H737" s="22" t="str">
        <f>IFERROR(__xludf.DUMMYFUNCTION("""COMPUTED_VALUE"""),"")</f>
        <v/>
      </c>
      <c r="I737" s="194">
        <f>IFERROR(__xludf.DUMMYFUNCTION("""COMPUTED_VALUE"""),1.0)</f>
        <v>1</v>
      </c>
      <c r="J737" s="5">
        <f>IFERROR(__xludf.DUMMYFUNCTION("""COMPUTED_VALUE"""),1.0)</f>
        <v>1</v>
      </c>
      <c r="K737" s="5"/>
      <c r="L737" s="23">
        <f>IFERROR(__xludf.DUMMYFUNCTION("""COMPUTED_VALUE"""),1.0)</f>
        <v>1</v>
      </c>
      <c r="M737" s="25" t="str">
        <f>IFERROR(__xludf.DUMMYFUNCTION("""COMPUTED_VALUE"""),"")</f>
        <v/>
      </c>
      <c r="N737" s="5"/>
      <c r="O737" s="5"/>
      <c r="P737" s="142">
        <f>IFERROR(__xludf.DUMMYFUNCTION("""COMPUTED_VALUE"""),500000.0)</f>
        <v>500000</v>
      </c>
      <c r="Q737" s="5"/>
      <c r="R737" s="71">
        <f>IFERROR(__xludf.DUMMYFUNCTION("""COMPUTED_VALUE"""),1.0)</f>
        <v>1</v>
      </c>
      <c r="S737" s="142" t="str">
        <f>IFERROR(__xludf.DUMMYFUNCTION("""COMPUTED_VALUE"""),"")</f>
        <v/>
      </c>
      <c r="T737" s="5">
        <f>IFERROR(__xludf.DUMMYFUNCTION("""COMPUTED_VALUE"""),1.0)</f>
        <v>1</v>
      </c>
      <c r="U737" s="5">
        <f>IFERROR(__xludf.DUMMYFUNCTION("""COMPUTED_VALUE"""),1.0)</f>
        <v>1</v>
      </c>
      <c r="V737" s="22">
        <f>IFERROR(__xludf.DUMMYFUNCTION("""COMPUTED_VALUE"""),500000.0)</f>
        <v>500000</v>
      </c>
      <c r="W737" s="9" t="str">
        <f>IFERROR(__xludf.DUMMYFUNCTION("""COMPUTED_VALUE"""),"")</f>
        <v/>
      </c>
      <c r="X737" s="22" t="str">
        <f>IFERROR(__xludf.DUMMYFUNCTION("""COMPUTED_VALUE"""),"")</f>
        <v/>
      </c>
      <c r="Y737" s="22" t="str">
        <f>IFERROR(__xludf.DUMMYFUNCTION("""COMPUTED_VALUE"""),"")</f>
        <v/>
      </c>
      <c r="Z737" s="24" t="str">
        <f>IFERROR(__xludf.DUMMYFUNCTION("""COMPUTED_VALUE"""),"")</f>
        <v/>
      </c>
    </row>
    <row r="738">
      <c r="A738" s="5" t="str">
        <f>IFERROR(__xludf.DUMMYFUNCTION("""COMPUTED_VALUE"""),"")</f>
        <v/>
      </c>
      <c r="B738" s="5" t="str">
        <f>IFERROR(__xludf.DUMMYFUNCTION("""COMPUTED_VALUE"""),"73879")</f>
        <v>73879</v>
      </c>
      <c r="C738" s="9">
        <f>IFERROR(__xludf.DUMMYFUNCTION("""COMPUTED_VALUE"""),4.4627000447E10)</f>
        <v>44627000447</v>
      </c>
      <c r="D738" s="90" t="str">
        <f>IFERROR(__xludf.DUMMYFUNCTION("""COMPUTED_VALUE"""),"0700.HK")</f>
        <v>0700.HK</v>
      </c>
      <c r="E738" s="193">
        <f>IFERROR(__xludf.DUMMYFUNCTION("""COMPUTED_VALUE"""),44627.0)</f>
        <v>44627</v>
      </c>
      <c r="F738" s="5" t="str">
        <f>IFERROR(__xludf.DUMMYFUNCTION("""COMPUTED_VALUE"""),"Stock")</f>
        <v>Stock</v>
      </c>
      <c r="G738" s="5" t="str">
        <f>IFERROR(__xludf.DUMMYFUNCTION("""COMPUTED_VALUE"""),"HKD")</f>
        <v>HKD</v>
      </c>
      <c r="H738" s="22">
        <f>IFERROR(__xludf.DUMMYFUNCTION("""COMPUTED_VALUE"""),248.0)</f>
        <v>248</v>
      </c>
      <c r="I738" s="194">
        <f>IFERROR(__xludf.DUMMYFUNCTION("""COMPUTED_VALUE"""),1.0)</f>
        <v>1</v>
      </c>
      <c r="J738" s="23">
        <f>IFERROR(__xludf.DUMMYFUNCTION("""COMPUTED_VALUE"""),388.0)</f>
        <v>388</v>
      </c>
      <c r="K738" s="5"/>
      <c r="L738" s="23">
        <f>IFERROR(__xludf.DUMMYFUNCTION("""COMPUTED_VALUE"""),373.6)</f>
        <v>373.6</v>
      </c>
      <c r="M738" s="195" t="str">
        <f>IFERROR(__xludf.DUMMYFUNCTION("""COMPUTED_VALUE"""),"Equity Key Stats")</f>
        <v>Equity Key Stats</v>
      </c>
      <c r="N738" s="5"/>
      <c r="O738" s="5"/>
      <c r="P738" s="142">
        <f>IFERROR(__xludf.DUMMYFUNCTION("""COMPUTED_VALUE"""),-96224.0)</f>
        <v>-96224</v>
      </c>
      <c r="Q738" s="5"/>
      <c r="R738" s="71">
        <f>IFERROR(__xludf.DUMMYFUNCTION("""COMPUTED_VALUE"""),373.6)</f>
        <v>373.6</v>
      </c>
      <c r="S738" s="142">
        <f>IFERROR(__xludf.DUMMYFUNCTION("""COMPUTED_VALUE"""),92652.8)</f>
        <v>92652.8</v>
      </c>
      <c r="T738" s="5">
        <f>IFERROR(__xludf.DUMMYFUNCTION("""COMPUTED_VALUE"""),1.0)</f>
        <v>1</v>
      </c>
      <c r="U738" s="5">
        <f>IFERROR(__xludf.DUMMYFUNCTION("""COMPUTED_VALUE"""),1.0)</f>
        <v>1</v>
      </c>
      <c r="V738" s="22">
        <f>IFERROR(__xludf.DUMMYFUNCTION("""COMPUTED_VALUE"""),-3571.199999999997)</f>
        <v>-3571.2</v>
      </c>
      <c r="W738" s="9" t="str">
        <f>IFERROR(__xludf.DUMMYFUNCTION("""COMPUTED_VALUE"""),"")</f>
        <v/>
      </c>
      <c r="X738" s="22" t="str">
        <f>IFERROR(__xludf.DUMMYFUNCTION("""COMPUTED_VALUE"""),"")</f>
        <v/>
      </c>
      <c r="Y738" s="22" t="str">
        <f>IFERROR(__xludf.DUMMYFUNCTION("""COMPUTED_VALUE"""),"")</f>
        <v/>
      </c>
      <c r="Z738" s="24" t="str">
        <f>IFERROR(__xludf.DUMMYFUNCTION("""COMPUTED_VALUE"""),"")</f>
        <v/>
      </c>
    </row>
    <row r="739">
      <c r="A739" s="5" t="str">
        <f>IFERROR(__xludf.DUMMYFUNCTION("""COMPUTED_VALUE"""),"73879")</f>
        <v>73879</v>
      </c>
      <c r="B739" s="5" t="str">
        <f>IFERROR(__xludf.DUMMYFUNCTION("""COMPUTED_VALUE"""),"73879")</f>
        <v>73879</v>
      </c>
      <c r="C739" s="9">
        <f>IFERROR(__xludf.DUMMYFUNCTION("""COMPUTED_VALUE"""),4.4627000458E10)</f>
        <v>44627000458</v>
      </c>
      <c r="D739" s="90" t="str">
        <f>IFERROR(__xludf.DUMMYFUNCTION("""COMPUTED_VALUE"""),"3690.HK")</f>
        <v>3690.HK</v>
      </c>
      <c r="E739" s="193">
        <f>IFERROR(__xludf.DUMMYFUNCTION("""COMPUTED_VALUE"""),44627.0)</f>
        <v>44627</v>
      </c>
      <c r="F739" s="5" t="str">
        <f>IFERROR(__xludf.DUMMYFUNCTION("""COMPUTED_VALUE"""),"Stock")</f>
        <v>Stock</v>
      </c>
      <c r="G739" s="5" t="str">
        <f>IFERROR(__xludf.DUMMYFUNCTION("""COMPUTED_VALUE"""),"HKD")</f>
        <v>HKD</v>
      </c>
      <c r="H739" s="22">
        <f>IFERROR(__xludf.DUMMYFUNCTION("""COMPUTED_VALUE"""),666.0)</f>
        <v>666</v>
      </c>
      <c r="I739" s="194">
        <f>IFERROR(__xludf.DUMMYFUNCTION("""COMPUTED_VALUE"""),1.0)</f>
        <v>1</v>
      </c>
      <c r="J739" s="23">
        <f>IFERROR(__xludf.DUMMYFUNCTION("""COMPUTED_VALUE"""),146.2)</f>
        <v>146.2</v>
      </c>
      <c r="K739" s="5"/>
      <c r="L739" s="23">
        <f>IFERROR(__xludf.DUMMYFUNCTION("""COMPUTED_VALUE"""),154.1)</f>
        <v>154.1</v>
      </c>
      <c r="M739" s="195" t="str">
        <f>IFERROR(__xludf.DUMMYFUNCTION("""COMPUTED_VALUE"""),"Equity Key Stats")</f>
        <v>Equity Key Stats</v>
      </c>
      <c r="N739" s="5"/>
      <c r="O739" s="5"/>
      <c r="P739" s="142">
        <f>IFERROR(__xludf.DUMMYFUNCTION("""COMPUTED_VALUE"""),-97369.2)</f>
        <v>-97369.2</v>
      </c>
      <c r="Q739" s="5"/>
      <c r="R739" s="71">
        <f>IFERROR(__xludf.DUMMYFUNCTION("""COMPUTED_VALUE"""),154.1)</f>
        <v>154.1</v>
      </c>
      <c r="S739" s="142">
        <f>IFERROR(__xludf.DUMMYFUNCTION("""COMPUTED_VALUE"""),102630.59999999999)</f>
        <v>102630.6</v>
      </c>
      <c r="T739" s="5">
        <f>IFERROR(__xludf.DUMMYFUNCTION("""COMPUTED_VALUE"""),1.0)</f>
        <v>1</v>
      </c>
      <c r="U739" s="5">
        <f>IFERROR(__xludf.DUMMYFUNCTION("""COMPUTED_VALUE"""),1.0)</f>
        <v>1</v>
      </c>
      <c r="V739" s="22">
        <f>IFERROR(__xludf.DUMMYFUNCTION("""COMPUTED_VALUE"""),5261.399999999994)</f>
        <v>5261.4</v>
      </c>
      <c r="W739" s="9">
        <f>IFERROR(__xludf.DUMMYFUNCTION("""COMPUTED_VALUE"""),501690.19999999995)</f>
        <v>501690.2</v>
      </c>
      <c r="X739" s="22">
        <f>IFERROR(__xludf.DUMMYFUNCTION("""COMPUTED_VALUE"""),306406.8)</f>
        <v>306406.8</v>
      </c>
      <c r="Y739" s="22">
        <f>IFERROR(__xludf.DUMMYFUNCTION("""COMPUTED_VALUE"""),0.0)</f>
        <v>0</v>
      </c>
      <c r="Z739" s="24">
        <f>IFERROR(__xludf.DUMMYFUNCTION("""COMPUTED_VALUE"""),0.00338039999999995)</f>
        <v>0.0033804</v>
      </c>
    </row>
    <row r="740">
      <c r="A740" s="5" t="str">
        <f>IFERROR(__xludf.DUMMYFUNCTION("""COMPUTED_VALUE"""),"")</f>
        <v/>
      </c>
      <c r="B740" s="5" t="str">
        <f>IFERROR(__xludf.DUMMYFUNCTION("""COMPUTED_VALUE"""),"74356")</f>
        <v>74356</v>
      </c>
      <c r="C740" s="9">
        <f>IFERROR(__xludf.DUMMYFUNCTION("""COMPUTED_VALUE"""),4.4597000066E10)</f>
        <v>44597000066</v>
      </c>
      <c r="D740" s="85" t="str">
        <f>IFERROR(__xludf.DUMMYFUNCTION("""COMPUTED_VALUE"""),"Cash")</f>
        <v>Cash</v>
      </c>
      <c r="E740" s="193">
        <f>IFERROR(__xludf.DUMMYFUNCTION("""COMPUTED_VALUE"""),44597.0)</f>
        <v>44597</v>
      </c>
      <c r="F740" s="5" t="str">
        <f>IFERROR(__xludf.DUMMYFUNCTION("""COMPUTED_VALUE"""),"Cash")</f>
        <v>Cash</v>
      </c>
      <c r="G740" s="5" t="str">
        <f>IFERROR(__xludf.DUMMYFUNCTION("""COMPUTED_VALUE"""),"HKD")</f>
        <v>HKD</v>
      </c>
      <c r="H740" s="22" t="str">
        <f>IFERROR(__xludf.DUMMYFUNCTION("""COMPUTED_VALUE"""),"")</f>
        <v/>
      </c>
      <c r="I740" s="194">
        <f>IFERROR(__xludf.DUMMYFUNCTION("""COMPUTED_VALUE"""),1.0)</f>
        <v>1</v>
      </c>
      <c r="J740" s="5">
        <f>IFERROR(__xludf.DUMMYFUNCTION("""COMPUTED_VALUE"""),1.0)</f>
        <v>1</v>
      </c>
      <c r="K740" s="5"/>
      <c r="L740" s="23">
        <f>IFERROR(__xludf.DUMMYFUNCTION("""COMPUTED_VALUE"""),1.0)</f>
        <v>1</v>
      </c>
      <c r="M740" s="25" t="str">
        <f>IFERROR(__xludf.DUMMYFUNCTION("""COMPUTED_VALUE"""),"")</f>
        <v/>
      </c>
      <c r="N740" s="5"/>
      <c r="O740" s="5"/>
      <c r="P740" s="142">
        <f>IFERROR(__xludf.DUMMYFUNCTION("""COMPUTED_VALUE"""),500000.0)</f>
        <v>500000</v>
      </c>
      <c r="Q740" s="5"/>
      <c r="R740" s="71">
        <f>IFERROR(__xludf.DUMMYFUNCTION("""COMPUTED_VALUE"""),1.0)</f>
        <v>1</v>
      </c>
      <c r="S740" s="142" t="str">
        <f>IFERROR(__xludf.DUMMYFUNCTION("""COMPUTED_VALUE"""),"")</f>
        <v/>
      </c>
      <c r="T740" s="5">
        <f>IFERROR(__xludf.DUMMYFUNCTION("""COMPUTED_VALUE"""),1.0)</f>
        <v>1</v>
      </c>
      <c r="U740" s="5">
        <f>IFERROR(__xludf.DUMMYFUNCTION("""COMPUTED_VALUE"""),1.0)</f>
        <v>1</v>
      </c>
      <c r="V740" s="22">
        <f>IFERROR(__xludf.DUMMYFUNCTION("""COMPUTED_VALUE"""),500000.0)</f>
        <v>500000</v>
      </c>
      <c r="W740" s="9" t="str">
        <f>IFERROR(__xludf.DUMMYFUNCTION("""COMPUTED_VALUE"""),"")</f>
        <v/>
      </c>
      <c r="X740" s="22" t="str">
        <f>IFERROR(__xludf.DUMMYFUNCTION("""COMPUTED_VALUE"""),"")</f>
        <v/>
      </c>
      <c r="Y740" s="22" t="str">
        <f>IFERROR(__xludf.DUMMYFUNCTION("""COMPUTED_VALUE"""),"")</f>
        <v/>
      </c>
      <c r="Z740" s="24" t="str">
        <f>IFERROR(__xludf.DUMMYFUNCTION("""COMPUTED_VALUE"""),"")</f>
        <v/>
      </c>
    </row>
    <row r="741">
      <c r="A741" s="5" t="str">
        <f>IFERROR(__xludf.DUMMYFUNCTION("""COMPUTED_VALUE"""),"")</f>
        <v/>
      </c>
      <c r="B741" s="5" t="str">
        <f>IFERROR(__xludf.DUMMYFUNCTION("""COMPUTED_VALUE"""),"74356")</f>
        <v>74356</v>
      </c>
      <c r="C741" s="9">
        <f>IFERROR(__xludf.DUMMYFUNCTION("""COMPUTED_VALUE"""),4.4603000167E10)</f>
        <v>44603000167</v>
      </c>
      <c r="D741" s="87" t="str">
        <f>IFERROR(__xludf.DUMMYFUNCTION("""COMPUTED_VALUE"""),"NET")</f>
        <v>NET</v>
      </c>
      <c r="E741" s="193">
        <f>IFERROR(__xludf.DUMMYFUNCTION("""COMPUTED_VALUE"""),44603.0)</f>
        <v>44603</v>
      </c>
      <c r="F741" s="5" t="str">
        <f>IFERROR(__xludf.DUMMYFUNCTION("""COMPUTED_VALUE"""),"Stock")</f>
        <v>Stock</v>
      </c>
      <c r="G741" s="5" t="str">
        <f>IFERROR(__xludf.DUMMYFUNCTION("""COMPUTED_VALUE"""),"USD")</f>
        <v>USD</v>
      </c>
      <c r="H741" s="22">
        <f>IFERROR(__xludf.DUMMYFUNCTION("""COMPUTED_VALUE"""),10.0)</f>
        <v>10</v>
      </c>
      <c r="I741" s="194">
        <f>IFERROR(__xludf.DUMMYFUNCTION("""COMPUTED_VALUE"""),7.800485)</f>
        <v>7.800485</v>
      </c>
      <c r="J741" s="23">
        <f>IFERROR(__xludf.DUMMYFUNCTION("""COMPUTED_VALUE"""),104.92)</f>
        <v>104.92</v>
      </c>
      <c r="K741" s="5"/>
      <c r="L741" s="23">
        <f>IFERROR(__xludf.DUMMYFUNCTION("""COMPUTED_VALUE"""),121.55)</f>
        <v>121.55</v>
      </c>
      <c r="M741" s="195" t="str">
        <f>IFERROR(__xludf.DUMMYFUNCTION("""COMPUTED_VALUE"""),"Equity Key Stats")</f>
        <v>Equity Key Stats</v>
      </c>
      <c r="N741" s="5"/>
      <c r="O741" s="5"/>
      <c r="P741" s="142">
        <f>IFERROR(__xludf.DUMMYFUNCTION("""COMPUTED_VALUE"""),-8184.268862000001)</f>
        <v>-8184.268862</v>
      </c>
      <c r="Q741" s="5"/>
      <c r="R741" s="71">
        <f>IFERROR(__xludf.DUMMYFUNCTION("""COMPUTED_VALUE"""),121.55)</f>
        <v>121.55</v>
      </c>
      <c r="S741" s="142">
        <f>IFERROR(__xludf.DUMMYFUNCTION("""COMPUTED_VALUE"""),9481.4895175)</f>
        <v>9481.489518</v>
      </c>
      <c r="T741" s="5">
        <f>IFERROR(__xludf.DUMMYFUNCTION("""COMPUTED_VALUE"""),4.0)</f>
        <v>4</v>
      </c>
      <c r="U741" s="5" t="str">
        <f>IFERROR(__xludf.DUMMYFUNCTION("""COMPUTED_VALUE"""),"")</f>
        <v/>
      </c>
      <c r="V741" s="22" t="str">
        <f>IFERROR(__xludf.DUMMYFUNCTION("""COMPUTED_VALUE"""),"")</f>
        <v/>
      </c>
      <c r="W741" s="9" t="str">
        <f>IFERROR(__xludf.DUMMYFUNCTION("""COMPUTED_VALUE"""),"")</f>
        <v/>
      </c>
      <c r="X741" s="22" t="str">
        <f>IFERROR(__xludf.DUMMYFUNCTION("""COMPUTED_VALUE"""),"")</f>
        <v/>
      </c>
      <c r="Y741" s="22" t="str">
        <f>IFERROR(__xludf.DUMMYFUNCTION("""COMPUTED_VALUE"""),"")</f>
        <v/>
      </c>
      <c r="Z741" s="24" t="str">
        <f>IFERROR(__xludf.DUMMYFUNCTION("""COMPUTED_VALUE"""),"")</f>
        <v/>
      </c>
    </row>
    <row r="742">
      <c r="A742" s="5" t="str">
        <f>IFERROR(__xludf.DUMMYFUNCTION("""COMPUTED_VALUE"""),"")</f>
        <v/>
      </c>
      <c r="B742" s="5" t="str">
        <f>IFERROR(__xludf.DUMMYFUNCTION("""COMPUTED_VALUE"""),"74356")</f>
        <v>74356</v>
      </c>
      <c r="C742" s="9">
        <f>IFERROR(__xludf.DUMMYFUNCTION("""COMPUTED_VALUE"""),4.4603000169E10)</f>
        <v>44603000169</v>
      </c>
      <c r="D742" s="90" t="str">
        <f>IFERROR(__xludf.DUMMYFUNCTION("""COMPUTED_VALUE"""),"1398.HK")</f>
        <v>1398.HK</v>
      </c>
      <c r="E742" s="193">
        <f>IFERROR(__xludf.DUMMYFUNCTION("""COMPUTED_VALUE"""),44603.0)</f>
        <v>44603</v>
      </c>
      <c r="F742" s="5" t="str">
        <f>IFERROR(__xludf.DUMMYFUNCTION("""COMPUTED_VALUE"""),"Stock")</f>
        <v>Stock</v>
      </c>
      <c r="G742" s="5" t="str">
        <f>IFERROR(__xludf.DUMMYFUNCTION("""COMPUTED_VALUE"""),"HKD")</f>
        <v>HKD</v>
      </c>
      <c r="H742" s="22">
        <f>IFERROR(__xludf.DUMMYFUNCTION("""COMPUTED_VALUE"""),500.0)</f>
        <v>500</v>
      </c>
      <c r="I742" s="194">
        <f>IFERROR(__xludf.DUMMYFUNCTION("""COMPUTED_VALUE"""),1.0)</f>
        <v>1</v>
      </c>
      <c r="J742" s="23">
        <f>IFERROR(__xludf.DUMMYFUNCTION("""COMPUTED_VALUE"""),4.93)</f>
        <v>4.93</v>
      </c>
      <c r="K742" s="5"/>
      <c r="L742" s="23">
        <f>IFERROR(__xludf.DUMMYFUNCTION("""COMPUTED_VALUE"""),4.75)</f>
        <v>4.75</v>
      </c>
      <c r="M742" s="195" t="str">
        <f>IFERROR(__xludf.DUMMYFUNCTION("""COMPUTED_VALUE"""),"Equity Key Stats")</f>
        <v>Equity Key Stats</v>
      </c>
      <c r="N742" s="5"/>
      <c r="O742" s="5"/>
      <c r="P742" s="142">
        <f>IFERROR(__xludf.DUMMYFUNCTION("""COMPUTED_VALUE"""),-2465.0)</f>
        <v>-2465</v>
      </c>
      <c r="Q742" s="5"/>
      <c r="R742" s="71">
        <f>IFERROR(__xludf.DUMMYFUNCTION("""COMPUTED_VALUE"""),4.75)</f>
        <v>4.75</v>
      </c>
      <c r="S742" s="142">
        <f>IFERROR(__xludf.DUMMYFUNCTION("""COMPUTED_VALUE"""),2375.0)</f>
        <v>2375</v>
      </c>
      <c r="T742" s="5">
        <f>IFERROR(__xludf.DUMMYFUNCTION("""COMPUTED_VALUE"""),3.0)</f>
        <v>3</v>
      </c>
      <c r="U742" s="5" t="str">
        <f>IFERROR(__xludf.DUMMYFUNCTION("""COMPUTED_VALUE"""),"")</f>
        <v/>
      </c>
      <c r="V742" s="22" t="str">
        <f>IFERROR(__xludf.DUMMYFUNCTION("""COMPUTED_VALUE"""),"")</f>
        <v/>
      </c>
      <c r="W742" s="9" t="str">
        <f>IFERROR(__xludf.DUMMYFUNCTION("""COMPUTED_VALUE"""),"")</f>
        <v/>
      </c>
      <c r="X742" s="22" t="str">
        <f>IFERROR(__xludf.DUMMYFUNCTION("""COMPUTED_VALUE"""),"")</f>
        <v/>
      </c>
      <c r="Y742" s="22" t="str">
        <f>IFERROR(__xludf.DUMMYFUNCTION("""COMPUTED_VALUE"""),"")</f>
        <v/>
      </c>
      <c r="Z742" s="24" t="str">
        <f>IFERROR(__xludf.DUMMYFUNCTION("""COMPUTED_VALUE"""),"")</f>
        <v/>
      </c>
    </row>
    <row r="743">
      <c r="A743" s="5" t="str">
        <f>IFERROR(__xludf.DUMMYFUNCTION("""COMPUTED_VALUE"""),"")</f>
        <v/>
      </c>
      <c r="B743" s="5" t="str">
        <f>IFERROR(__xludf.DUMMYFUNCTION("""COMPUTED_VALUE"""),"74356")</f>
        <v>74356</v>
      </c>
      <c r="C743" s="9">
        <f>IFERROR(__xludf.DUMMYFUNCTION("""COMPUTED_VALUE"""),4.4609000231E10)</f>
        <v>44609000231</v>
      </c>
      <c r="D743" s="87" t="str">
        <f>IFERROR(__xludf.DUMMYFUNCTION("""COMPUTED_VALUE"""),"AMAT")</f>
        <v>AMAT</v>
      </c>
      <c r="E743" s="193">
        <f>IFERROR(__xludf.DUMMYFUNCTION("""COMPUTED_VALUE"""),44609.0)</f>
        <v>44609</v>
      </c>
      <c r="F743" s="5" t="str">
        <f>IFERROR(__xludf.DUMMYFUNCTION("""COMPUTED_VALUE"""),"Stock")</f>
        <v>Stock</v>
      </c>
      <c r="G743" s="5" t="str">
        <f>IFERROR(__xludf.DUMMYFUNCTION("""COMPUTED_VALUE"""),"USD")</f>
        <v>USD</v>
      </c>
      <c r="H743" s="22">
        <f>IFERROR(__xludf.DUMMYFUNCTION("""COMPUTED_VALUE"""),50.0)</f>
        <v>50</v>
      </c>
      <c r="I743" s="194">
        <f>IFERROR(__xludf.DUMMYFUNCTION("""COMPUTED_VALUE"""),7.799115)</f>
        <v>7.799115</v>
      </c>
      <c r="J743" s="23">
        <f>IFERROR(__xludf.DUMMYFUNCTION("""COMPUTED_VALUE"""),136.47)</f>
        <v>136.47</v>
      </c>
      <c r="K743" s="5"/>
      <c r="L743" s="23">
        <f>IFERROR(__xludf.DUMMYFUNCTION("""COMPUTED_VALUE"""),116.86)</f>
        <v>116.86</v>
      </c>
      <c r="M743" s="195" t="str">
        <f>IFERROR(__xludf.DUMMYFUNCTION("""COMPUTED_VALUE"""),"Equity Key Stats")</f>
        <v>Equity Key Stats</v>
      </c>
      <c r="N743" s="5"/>
      <c r="O743" s="5"/>
      <c r="P743" s="142">
        <f>IFERROR(__xludf.DUMMYFUNCTION("""COMPUTED_VALUE"""),-53217.2612025)</f>
        <v>-53217.2612</v>
      </c>
      <c r="Q743" s="5"/>
      <c r="R743" s="71">
        <f>IFERROR(__xludf.DUMMYFUNCTION("""COMPUTED_VALUE"""),116.86)</f>
        <v>116.86</v>
      </c>
      <c r="S743" s="142">
        <f>IFERROR(__xludf.DUMMYFUNCTION("""COMPUTED_VALUE"""),45570.228944999995)</f>
        <v>45570.22895</v>
      </c>
      <c r="T743" s="5">
        <f>IFERROR(__xludf.DUMMYFUNCTION("""COMPUTED_VALUE"""),4.0)</f>
        <v>4</v>
      </c>
      <c r="U743" s="5" t="str">
        <f>IFERROR(__xludf.DUMMYFUNCTION("""COMPUTED_VALUE"""),"")</f>
        <v/>
      </c>
      <c r="V743" s="22" t="str">
        <f>IFERROR(__xludf.DUMMYFUNCTION("""COMPUTED_VALUE"""),"")</f>
        <v/>
      </c>
      <c r="W743" s="9" t="str">
        <f>IFERROR(__xludf.DUMMYFUNCTION("""COMPUTED_VALUE"""),"")</f>
        <v/>
      </c>
      <c r="X743" s="22" t="str">
        <f>IFERROR(__xludf.DUMMYFUNCTION("""COMPUTED_VALUE"""),"")</f>
        <v/>
      </c>
      <c r="Y743" s="22" t="str">
        <f>IFERROR(__xludf.DUMMYFUNCTION("""COMPUTED_VALUE"""),"")</f>
        <v/>
      </c>
      <c r="Z743" s="24" t="str">
        <f>IFERROR(__xludf.DUMMYFUNCTION("""COMPUTED_VALUE"""),"")</f>
        <v/>
      </c>
    </row>
    <row r="744">
      <c r="A744" s="5" t="str">
        <f>IFERROR(__xludf.DUMMYFUNCTION("""COMPUTED_VALUE"""),"")</f>
        <v/>
      </c>
      <c r="B744" s="5" t="str">
        <f>IFERROR(__xludf.DUMMYFUNCTION("""COMPUTED_VALUE"""),"74356")</f>
        <v>74356</v>
      </c>
      <c r="C744" s="9">
        <f>IFERROR(__xludf.DUMMYFUNCTION("""COMPUTED_VALUE"""),4.4616000329E10)</f>
        <v>44616000329</v>
      </c>
      <c r="D744" s="87" t="str">
        <f>IFERROR(__xludf.DUMMYFUNCTION("""COMPUTED_VALUE"""),"CL=F")</f>
        <v>CL=F</v>
      </c>
      <c r="E744" s="193">
        <f>IFERROR(__xludf.DUMMYFUNCTION("""COMPUTED_VALUE"""),44616.0)</f>
        <v>44616</v>
      </c>
      <c r="F744" s="5" t="str">
        <f>IFERROR(__xludf.DUMMYFUNCTION("""COMPUTED_VALUE"""),"Stock")</f>
        <v>Stock</v>
      </c>
      <c r="G744" s="5" t="str">
        <f>IFERROR(__xludf.DUMMYFUNCTION("""COMPUTED_VALUE"""),"USD")</f>
        <v>USD</v>
      </c>
      <c r="H744" s="22">
        <f>IFERROR(__xludf.DUMMYFUNCTION("""COMPUTED_VALUE"""),100.0)</f>
        <v>100</v>
      </c>
      <c r="I744" s="194">
        <f>IFERROR(__xludf.DUMMYFUNCTION("""COMPUTED_VALUE"""),7.80775)</f>
        <v>7.80775</v>
      </c>
      <c r="J744" s="23">
        <f>IFERROR(__xludf.DUMMYFUNCTION("""COMPUTED_VALUE"""),92.81)</f>
        <v>92.81</v>
      </c>
      <c r="K744" s="5"/>
      <c r="L744" s="23">
        <f>IFERROR(__xludf.DUMMYFUNCTION("""COMPUTED_VALUE"""),104.31)</f>
        <v>104.31</v>
      </c>
      <c r="M744" s="195" t="str">
        <f>IFERROR(__xludf.DUMMYFUNCTION("""COMPUTED_VALUE"""),"Equity Key Stats")</f>
        <v>Equity Key Stats</v>
      </c>
      <c r="N744" s="5"/>
      <c r="O744" s="5"/>
      <c r="P744" s="142">
        <f>IFERROR(__xludf.DUMMYFUNCTION("""COMPUTED_VALUE"""),-72463.72775)</f>
        <v>-72463.72775</v>
      </c>
      <c r="Q744" s="5"/>
      <c r="R744" s="71">
        <f>IFERROR(__xludf.DUMMYFUNCTION("""COMPUTED_VALUE"""),104.31)</f>
        <v>104.31</v>
      </c>
      <c r="S744" s="142">
        <f>IFERROR(__xludf.DUMMYFUNCTION("""COMPUTED_VALUE"""),81442.64025000001)</f>
        <v>81442.64025</v>
      </c>
      <c r="T744" s="5">
        <f>IFERROR(__xludf.DUMMYFUNCTION("""COMPUTED_VALUE"""),3.0)</f>
        <v>3</v>
      </c>
      <c r="U744" s="5" t="str">
        <f>IFERROR(__xludf.DUMMYFUNCTION("""COMPUTED_VALUE"""),"")</f>
        <v/>
      </c>
      <c r="V744" s="22" t="str">
        <f>IFERROR(__xludf.DUMMYFUNCTION("""COMPUTED_VALUE"""),"")</f>
        <v/>
      </c>
      <c r="W744" s="9" t="str">
        <f>IFERROR(__xludf.DUMMYFUNCTION("""COMPUTED_VALUE"""),"")</f>
        <v/>
      </c>
      <c r="X744" s="22" t="str">
        <f>IFERROR(__xludf.DUMMYFUNCTION("""COMPUTED_VALUE"""),"")</f>
        <v/>
      </c>
      <c r="Y744" s="22" t="str">
        <f>IFERROR(__xludf.DUMMYFUNCTION("""COMPUTED_VALUE"""),"")</f>
        <v/>
      </c>
      <c r="Z744" s="24" t="str">
        <f>IFERROR(__xludf.DUMMYFUNCTION("""COMPUTED_VALUE"""),"")</f>
        <v/>
      </c>
    </row>
    <row r="745">
      <c r="A745" s="5" t="str">
        <f>IFERROR(__xludf.DUMMYFUNCTION("""COMPUTED_VALUE"""),"")</f>
        <v/>
      </c>
      <c r="B745" s="5" t="str">
        <f>IFERROR(__xludf.DUMMYFUNCTION("""COMPUTED_VALUE"""),"74356")</f>
        <v>74356</v>
      </c>
      <c r="C745" s="9">
        <f>IFERROR(__xludf.DUMMYFUNCTION("""COMPUTED_VALUE"""),4.4616000331E10)</f>
        <v>44616000331</v>
      </c>
      <c r="D745" s="87" t="str">
        <f>IFERROR(__xludf.DUMMYFUNCTION("""COMPUTED_VALUE"""),"NET")</f>
        <v>NET</v>
      </c>
      <c r="E745" s="193">
        <f>IFERROR(__xludf.DUMMYFUNCTION("""COMPUTED_VALUE"""),44616.0)</f>
        <v>44616</v>
      </c>
      <c r="F745" s="5" t="str">
        <f>IFERROR(__xludf.DUMMYFUNCTION("""COMPUTED_VALUE"""),"Stock")</f>
        <v>Stock</v>
      </c>
      <c r="G745" s="5" t="str">
        <f>IFERROR(__xludf.DUMMYFUNCTION("""COMPUTED_VALUE"""),"USD")</f>
        <v>USD</v>
      </c>
      <c r="H745" s="22">
        <f>IFERROR(__xludf.DUMMYFUNCTION("""COMPUTED_VALUE"""),-10.0)</f>
        <v>-10</v>
      </c>
      <c r="I745" s="194">
        <f>IFERROR(__xludf.DUMMYFUNCTION("""COMPUTED_VALUE"""),7.80775)</f>
        <v>7.80775</v>
      </c>
      <c r="J745" s="23">
        <f>IFERROR(__xludf.DUMMYFUNCTION("""COMPUTED_VALUE"""),108.38)</f>
        <v>108.38</v>
      </c>
      <c r="K745" s="5"/>
      <c r="L745" s="23">
        <f>IFERROR(__xludf.DUMMYFUNCTION("""COMPUTED_VALUE"""),121.55)</f>
        <v>121.55</v>
      </c>
      <c r="M745" s="195" t="str">
        <f>IFERROR(__xludf.DUMMYFUNCTION("""COMPUTED_VALUE"""),"Equity Key Stats")</f>
        <v>Equity Key Stats</v>
      </c>
      <c r="N745" s="5"/>
      <c r="O745" s="5"/>
      <c r="P745" s="142">
        <f>IFERROR(__xludf.DUMMYFUNCTION("""COMPUTED_VALUE"""),8462.03945)</f>
        <v>8462.03945</v>
      </c>
      <c r="Q745" s="5"/>
      <c r="R745" s="71">
        <f>IFERROR(__xludf.DUMMYFUNCTION("""COMPUTED_VALUE"""),121.55)</f>
        <v>121.55</v>
      </c>
      <c r="S745" s="142">
        <f>IFERROR(__xludf.DUMMYFUNCTION("""COMPUTED_VALUE"""),-9490.320125)</f>
        <v>-9490.320125</v>
      </c>
      <c r="T745" s="5">
        <f>IFERROR(__xludf.DUMMYFUNCTION("""COMPUTED_VALUE"""),4.0)</f>
        <v>4</v>
      </c>
      <c r="U745" s="5" t="str">
        <f>IFERROR(__xludf.DUMMYFUNCTION("""COMPUTED_VALUE"""),"")</f>
        <v/>
      </c>
      <c r="V745" s="22" t="str">
        <f>IFERROR(__xludf.DUMMYFUNCTION("""COMPUTED_VALUE"""),"")</f>
        <v/>
      </c>
      <c r="W745" s="9" t="str">
        <f>IFERROR(__xludf.DUMMYFUNCTION("""COMPUTED_VALUE"""),"")</f>
        <v/>
      </c>
      <c r="X745" s="22" t="str">
        <f>IFERROR(__xludf.DUMMYFUNCTION("""COMPUTED_VALUE"""),"")</f>
        <v/>
      </c>
      <c r="Y745" s="22" t="str">
        <f>IFERROR(__xludf.DUMMYFUNCTION("""COMPUTED_VALUE"""),"")</f>
        <v/>
      </c>
      <c r="Z745" s="24" t="str">
        <f>IFERROR(__xludf.DUMMYFUNCTION("""COMPUTED_VALUE"""),"")</f>
        <v/>
      </c>
    </row>
    <row r="746">
      <c r="A746" s="5" t="str">
        <f>IFERROR(__xludf.DUMMYFUNCTION("""COMPUTED_VALUE"""),"")</f>
        <v/>
      </c>
      <c r="B746" s="5" t="str">
        <f>IFERROR(__xludf.DUMMYFUNCTION("""COMPUTED_VALUE"""),"74356")</f>
        <v>74356</v>
      </c>
      <c r="C746" s="9">
        <f>IFERROR(__xludf.DUMMYFUNCTION("""COMPUTED_VALUE"""),4.4617000328E10)</f>
        <v>44617000328</v>
      </c>
      <c r="D746" s="90" t="str">
        <f>IFERROR(__xludf.DUMMYFUNCTION("""COMPUTED_VALUE"""),"1398.HK")</f>
        <v>1398.HK</v>
      </c>
      <c r="E746" s="193">
        <f>IFERROR(__xludf.DUMMYFUNCTION("""COMPUTED_VALUE"""),44617.0)</f>
        <v>44617</v>
      </c>
      <c r="F746" s="5" t="str">
        <f>IFERROR(__xludf.DUMMYFUNCTION("""COMPUTED_VALUE"""),"Stock")</f>
        <v>Stock</v>
      </c>
      <c r="G746" s="5" t="str">
        <f>IFERROR(__xludf.DUMMYFUNCTION("""COMPUTED_VALUE"""),"HKD")</f>
        <v>HKD</v>
      </c>
      <c r="H746" s="22">
        <f>IFERROR(__xludf.DUMMYFUNCTION("""COMPUTED_VALUE"""),1000.0)</f>
        <v>1000</v>
      </c>
      <c r="I746" s="194">
        <f>IFERROR(__xludf.DUMMYFUNCTION("""COMPUTED_VALUE"""),1.0)</f>
        <v>1</v>
      </c>
      <c r="J746" s="23">
        <f>IFERROR(__xludf.DUMMYFUNCTION("""COMPUTED_VALUE"""),4.58)</f>
        <v>4.58</v>
      </c>
      <c r="K746" s="5"/>
      <c r="L746" s="23">
        <f>IFERROR(__xludf.DUMMYFUNCTION("""COMPUTED_VALUE"""),4.75)</f>
        <v>4.75</v>
      </c>
      <c r="M746" s="195" t="str">
        <f>IFERROR(__xludf.DUMMYFUNCTION("""COMPUTED_VALUE"""),"Equity Key Stats")</f>
        <v>Equity Key Stats</v>
      </c>
      <c r="N746" s="5"/>
      <c r="O746" s="5"/>
      <c r="P746" s="142">
        <f>IFERROR(__xludf.DUMMYFUNCTION("""COMPUTED_VALUE"""),-4580.0)</f>
        <v>-4580</v>
      </c>
      <c r="Q746" s="5"/>
      <c r="R746" s="71">
        <f>IFERROR(__xludf.DUMMYFUNCTION("""COMPUTED_VALUE"""),4.75)</f>
        <v>4.75</v>
      </c>
      <c r="S746" s="142">
        <f>IFERROR(__xludf.DUMMYFUNCTION("""COMPUTED_VALUE"""),4750.0)</f>
        <v>4750</v>
      </c>
      <c r="T746" s="5">
        <f>IFERROR(__xludf.DUMMYFUNCTION("""COMPUTED_VALUE"""),3.0)</f>
        <v>3</v>
      </c>
      <c r="U746" s="5" t="str">
        <f>IFERROR(__xludf.DUMMYFUNCTION("""COMPUTED_VALUE"""),"")</f>
        <v/>
      </c>
      <c r="V746" s="22" t="str">
        <f>IFERROR(__xludf.DUMMYFUNCTION("""COMPUTED_VALUE"""),"")</f>
        <v/>
      </c>
      <c r="W746" s="9" t="str">
        <f>IFERROR(__xludf.DUMMYFUNCTION("""COMPUTED_VALUE"""),"")</f>
        <v/>
      </c>
      <c r="X746" s="22" t="str">
        <f>IFERROR(__xludf.DUMMYFUNCTION("""COMPUTED_VALUE"""),"")</f>
        <v/>
      </c>
      <c r="Y746" s="22" t="str">
        <f>IFERROR(__xludf.DUMMYFUNCTION("""COMPUTED_VALUE"""),"")</f>
        <v/>
      </c>
      <c r="Z746" s="24" t="str">
        <f>IFERROR(__xludf.DUMMYFUNCTION("""COMPUTED_VALUE"""),"")</f>
        <v/>
      </c>
    </row>
    <row r="747">
      <c r="A747" s="5" t="str">
        <f>IFERROR(__xludf.DUMMYFUNCTION("""COMPUTED_VALUE"""),"")</f>
        <v/>
      </c>
      <c r="B747" s="5" t="str">
        <f>IFERROR(__xludf.DUMMYFUNCTION("""COMPUTED_VALUE"""),"74356")</f>
        <v>74356</v>
      </c>
      <c r="C747" s="9">
        <f>IFERROR(__xludf.DUMMYFUNCTION("""COMPUTED_VALUE"""),4.4617000333E10)</f>
        <v>44617000333</v>
      </c>
      <c r="D747" s="90" t="str">
        <f>IFERROR(__xludf.DUMMYFUNCTION("""COMPUTED_VALUE"""),"300157.SZ")</f>
        <v>300157.SZ</v>
      </c>
      <c r="E747" s="193">
        <f>IFERROR(__xludf.DUMMYFUNCTION("""COMPUTED_VALUE"""),44617.0)</f>
        <v>44617</v>
      </c>
      <c r="F747" s="5" t="str">
        <f>IFERROR(__xludf.DUMMYFUNCTION("""COMPUTED_VALUE"""),"Stock")</f>
        <v>Stock</v>
      </c>
      <c r="G747" s="5" t="str">
        <f>IFERROR(__xludf.DUMMYFUNCTION("""COMPUTED_VALUE"""),"CNY")</f>
        <v>CNY</v>
      </c>
      <c r="H747" s="22">
        <f>IFERROR(__xludf.DUMMYFUNCTION("""COMPUTED_VALUE"""),0.0)</f>
        <v>0</v>
      </c>
      <c r="I747" s="194">
        <f>IFERROR(__xludf.DUMMYFUNCTION("""COMPUTED_VALUE"""),1.235635)</f>
        <v>1.235635</v>
      </c>
      <c r="J747" s="23">
        <f>IFERROR(__xludf.DUMMYFUNCTION("""COMPUTED_VALUE"""),0.0)</f>
        <v>0</v>
      </c>
      <c r="K747" s="5"/>
      <c r="L747" s="23">
        <f>IFERROR(__xludf.DUMMYFUNCTION("""COMPUTED_VALUE"""),4.35)</f>
        <v>4.35</v>
      </c>
      <c r="M747" s="195" t="str">
        <f>IFERROR(__xludf.DUMMYFUNCTION("""COMPUTED_VALUE"""),"Equity Key Stats")</f>
        <v>Equity Key Stats</v>
      </c>
      <c r="N747" s="5"/>
      <c r="O747" s="5"/>
      <c r="P747" s="142">
        <f>IFERROR(__xludf.DUMMYFUNCTION("""COMPUTED_VALUE"""),0.0)</f>
        <v>0</v>
      </c>
      <c r="Q747" s="5"/>
      <c r="R747" s="71">
        <f>IFERROR(__xludf.DUMMYFUNCTION("""COMPUTED_VALUE"""),4.35)</f>
        <v>4.35</v>
      </c>
      <c r="S747" s="142">
        <f>IFERROR(__xludf.DUMMYFUNCTION("""COMPUTED_VALUE"""),0.0)</f>
        <v>0</v>
      </c>
      <c r="T747" s="5">
        <f>IFERROR(__xludf.DUMMYFUNCTION("""COMPUTED_VALUE"""),1.0)</f>
        <v>1</v>
      </c>
      <c r="U747" s="5">
        <f>IFERROR(__xludf.DUMMYFUNCTION("""COMPUTED_VALUE"""),1.0)</f>
        <v>1</v>
      </c>
      <c r="V747" s="22">
        <f>IFERROR(__xludf.DUMMYFUNCTION("""COMPUTED_VALUE"""),0.0)</f>
        <v>0</v>
      </c>
      <c r="W747" s="9" t="str">
        <f>IFERROR(__xludf.DUMMYFUNCTION("""COMPUTED_VALUE"""),"")</f>
        <v/>
      </c>
      <c r="X747" s="22" t="str">
        <f>IFERROR(__xludf.DUMMYFUNCTION("""COMPUTED_VALUE"""),"")</f>
        <v/>
      </c>
      <c r="Y747" s="22" t="str">
        <f>IFERROR(__xludf.DUMMYFUNCTION("""COMPUTED_VALUE"""),"")</f>
        <v/>
      </c>
      <c r="Z747" s="24" t="str">
        <f>IFERROR(__xludf.DUMMYFUNCTION("""COMPUTED_VALUE"""),"")</f>
        <v/>
      </c>
    </row>
    <row r="748">
      <c r="A748" s="5" t="str">
        <f>IFERROR(__xludf.DUMMYFUNCTION("""COMPUTED_VALUE"""),"")</f>
        <v/>
      </c>
      <c r="B748" s="5" t="str">
        <f>IFERROR(__xludf.DUMMYFUNCTION("""COMPUTED_VALUE"""),"74356")</f>
        <v>74356</v>
      </c>
      <c r="C748" s="9">
        <f>IFERROR(__xludf.DUMMYFUNCTION("""COMPUTED_VALUE"""),4.4624000433E10)</f>
        <v>44624000433</v>
      </c>
      <c r="D748" s="87" t="str">
        <f>IFERROR(__xludf.DUMMYFUNCTION("""COMPUTED_VALUE"""),"NET")</f>
        <v>NET</v>
      </c>
      <c r="E748" s="193">
        <f>IFERROR(__xludf.DUMMYFUNCTION("""COMPUTED_VALUE"""),44624.0)</f>
        <v>44624</v>
      </c>
      <c r="F748" s="5" t="str">
        <f>IFERROR(__xludf.DUMMYFUNCTION("""COMPUTED_VALUE"""),"Stock")</f>
        <v>Stock</v>
      </c>
      <c r="G748" s="5" t="str">
        <f>IFERROR(__xludf.DUMMYFUNCTION("""COMPUTED_VALUE"""),"USD")</f>
        <v>USD</v>
      </c>
      <c r="H748" s="22">
        <f>IFERROR(__xludf.DUMMYFUNCTION("""COMPUTED_VALUE"""),10.0)</f>
        <v>10</v>
      </c>
      <c r="I748" s="194">
        <f>IFERROR(__xludf.DUMMYFUNCTION("""COMPUTED_VALUE"""),7.81428)</f>
        <v>7.81428</v>
      </c>
      <c r="J748" s="23">
        <f>IFERROR(__xludf.DUMMYFUNCTION("""COMPUTED_VALUE"""),100.91)</f>
        <v>100.91</v>
      </c>
      <c r="K748" s="5"/>
      <c r="L748" s="23">
        <f>IFERROR(__xludf.DUMMYFUNCTION("""COMPUTED_VALUE"""),121.55)</f>
        <v>121.55</v>
      </c>
      <c r="M748" s="195" t="str">
        <f>IFERROR(__xludf.DUMMYFUNCTION("""COMPUTED_VALUE"""),"Equity Key Stats")</f>
        <v>Equity Key Stats</v>
      </c>
      <c r="N748" s="5"/>
      <c r="O748" s="5"/>
      <c r="P748" s="142">
        <f>IFERROR(__xludf.DUMMYFUNCTION("""COMPUTED_VALUE"""),-7885.389947999999)</f>
        <v>-7885.389948</v>
      </c>
      <c r="Q748" s="5"/>
      <c r="R748" s="71">
        <f>IFERROR(__xludf.DUMMYFUNCTION("""COMPUTED_VALUE"""),121.55)</f>
        <v>121.55</v>
      </c>
      <c r="S748" s="142">
        <f>IFERROR(__xludf.DUMMYFUNCTION("""COMPUTED_VALUE"""),9498.257339999998)</f>
        <v>9498.25734</v>
      </c>
      <c r="T748" s="5">
        <f>IFERROR(__xludf.DUMMYFUNCTION("""COMPUTED_VALUE"""),4.0)</f>
        <v>4</v>
      </c>
      <c r="U748" s="5" t="str">
        <f>IFERROR(__xludf.DUMMYFUNCTION("""COMPUTED_VALUE"""),"")</f>
        <v/>
      </c>
      <c r="V748" s="22" t="str">
        <f>IFERROR(__xludf.DUMMYFUNCTION("""COMPUTED_VALUE"""),"")</f>
        <v/>
      </c>
      <c r="W748" s="9" t="str">
        <f>IFERROR(__xludf.DUMMYFUNCTION("""COMPUTED_VALUE"""),"")</f>
        <v/>
      </c>
      <c r="X748" s="22" t="str">
        <f>IFERROR(__xludf.DUMMYFUNCTION("""COMPUTED_VALUE"""),"")</f>
        <v/>
      </c>
      <c r="Y748" s="22" t="str">
        <f>IFERROR(__xludf.DUMMYFUNCTION("""COMPUTED_VALUE"""),"")</f>
        <v/>
      </c>
      <c r="Z748" s="24" t="str">
        <f>IFERROR(__xludf.DUMMYFUNCTION("""COMPUTED_VALUE"""),"")</f>
        <v/>
      </c>
    </row>
    <row r="749">
      <c r="A749" s="5" t="str">
        <f>IFERROR(__xludf.DUMMYFUNCTION("""COMPUTED_VALUE"""),"")</f>
        <v/>
      </c>
      <c r="B749" s="5" t="str">
        <f>IFERROR(__xludf.DUMMYFUNCTION("""COMPUTED_VALUE"""),"74356")</f>
        <v>74356</v>
      </c>
      <c r="C749" s="9">
        <f>IFERROR(__xludf.DUMMYFUNCTION("""COMPUTED_VALUE"""),4.4624000434E10)</f>
        <v>44624000434</v>
      </c>
      <c r="D749" s="87" t="str">
        <f>IFERROR(__xludf.DUMMYFUNCTION("""COMPUTED_VALUE"""),"AMAT")</f>
        <v>AMAT</v>
      </c>
      <c r="E749" s="193">
        <f>IFERROR(__xludf.DUMMYFUNCTION("""COMPUTED_VALUE"""),44624.0)</f>
        <v>44624</v>
      </c>
      <c r="F749" s="5" t="str">
        <f>IFERROR(__xludf.DUMMYFUNCTION("""COMPUTED_VALUE"""),"Stock")</f>
        <v>Stock</v>
      </c>
      <c r="G749" s="5" t="str">
        <f>IFERROR(__xludf.DUMMYFUNCTION("""COMPUTED_VALUE"""),"USD")</f>
        <v>USD</v>
      </c>
      <c r="H749" s="22">
        <f>IFERROR(__xludf.DUMMYFUNCTION("""COMPUTED_VALUE"""),0.0)</f>
        <v>0</v>
      </c>
      <c r="I749" s="194">
        <f>IFERROR(__xludf.DUMMYFUNCTION("""COMPUTED_VALUE"""),7.81428)</f>
        <v>7.81428</v>
      </c>
      <c r="J749" s="23">
        <f>IFERROR(__xludf.DUMMYFUNCTION("""COMPUTED_VALUE"""),0.0)</f>
        <v>0</v>
      </c>
      <c r="K749" s="5"/>
      <c r="L749" s="23">
        <f>IFERROR(__xludf.DUMMYFUNCTION("""COMPUTED_VALUE"""),116.86)</f>
        <v>116.86</v>
      </c>
      <c r="M749" s="195" t="str">
        <f>IFERROR(__xludf.DUMMYFUNCTION("""COMPUTED_VALUE"""),"Equity Key Stats")</f>
        <v>Equity Key Stats</v>
      </c>
      <c r="N749" s="5"/>
      <c r="O749" s="5"/>
      <c r="P749" s="142">
        <f>IFERROR(__xludf.DUMMYFUNCTION("""COMPUTED_VALUE"""),0.0)</f>
        <v>0</v>
      </c>
      <c r="Q749" s="5"/>
      <c r="R749" s="71">
        <f>IFERROR(__xludf.DUMMYFUNCTION("""COMPUTED_VALUE"""),116.86)</f>
        <v>116.86</v>
      </c>
      <c r="S749" s="142">
        <f>IFERROR(__xludf.DUMMYFUNCTION("""COMPUTED_VALUE"""),0.0)</f>
        <v>0</v>
      </c>
      <c r="T749" s="5">
        <f>IFERROR(__xludf.DUMMYFUNCTION("""COMPUTED_VALUE"""),4.0)</f>
        <v>4</v>
      </c>
      <c r="U749" s="5" t="str">
        <f>IFERROR(__xludf.DUMMYFUNCTION("""COMPUTED_VALUE"""),"")</f>
        <v/>
      </c>
      <c r="V749" s="22" t="str">
        <f>IFERROR(__xludf.DUMMYFUNCTION("""COMPUTED_VALUE"""),"")</f>
        <v/>
      </c>
      <c r="W749" s="9" t="str">
        <f>IFERROR(__xludf.DUMMYFUNCTION("""COMPUTED_VALUE"""),"")</f>
        <v/>
      </c>
      <c r="X749" s="22" t="str">
        <f>IFERROR(__xludf.DUMMYFUNCTION("""COMPUTED_VALUE"""),"")</f>
        <v/>
      </c>
      <c r="Y749" s="22" t="str">
        <f>IFERROR(__xludf.DUMMYFUNCTION("""COMPUTED_VALUE"""),"")</f>
        <v/>
      </c>
      <c r="Z749" s="24" t="str">
        <f>IFERROR(__xludf.DUMMYFUNCTION("""COMPUTED_VALUE"""),"")</f>
        <v/>
      </c>
    </row>
    <row r="750">
      <c r="A750" s="5" t="str">
        <f>IFERROR(__xludf.DUMMYFUNCTION("""COMPUTED_VALUE"""),"")</f>
        <v/>
      </c>
      <c r="B750" s="5" t="str">
        <f>IFERROR(__xludf.DUMMYFUNCTION("""COMPUTED_VALUE"""),"74356")</f>
        <v>74356</v>
      </c>
      <c r="C750" s="9">
        <f>IFERROR(__xludf.DUMMYFUNCTION("""COMPUTED_VALUE"""),4.4624000436E10)</f>
        <v>44624000436</v>
      </c>
      <c r="D750" s="87" t="str">
        <f>IFERROR(__xludf.DUMMYFUNCTION("""COMPUTED_VALUE"""),"BRK-B")</f>
        <v>BRK-B</v>
      </c>
      <c r="E750" s="193">
        <f>IFERROR(__xludf.DUMMYFUNCTION("""COMPUTED_VALUE"""),44624.0)</f>
        <v>44624</v>
      </c>
      <c r="F750" s="5" t="str">
        <f>IFERROR(__xludf.DUMMYFUNCTION("""COMPUTED_VALUE"""),"Stock")</f>
        <v>Stock</v>
      </c>
      <c r="G750" s="5" t="str">
        <f>IFERROR(__xludf.DUMMYFUNCTION("""COMPUTED_VALUE"""),"USD")</f>
        <v>USD</v>
      </c>
      <c r="H750" s="22">
        <f>IFERROR(__xludf.DUMMYFUNCTION("""COMPUTED_VALUE"""),0.0)</f>
        <v>0</v>
      </c>
      <c r="I750" s="194">
        <f>IFERROR(__xludf.DUMMYFUNCTION("""COMPUTED_VALUE"""),7.81428)</f>
        <v>7.81428</v>
      </c>
      <c r="J750" s="23">
        <f>IFERROR(__xludf.DUMMYFUNCTION("""COMPUTED_VALUE"""),0.0)</f>
        <v>0</v>
      </c>
      <c r="K750" s="5"/>
      <c r="L750" s="23">
        <f>IFERROR(__xludf.DUMMYFUNCTION("""COMPUTED_VALUE"""),346.07)</f>
        <v>346.07</v>
      </c>
      <c r="M750" s="195" t="str">
        <f>IFERROR(__xludf.DUMMYFUNCTION("""COMPUTED_VALUE"""),"Equity Key Stats")</f>
        <v>Equity Key Stats</v>
      </c>
      <c r="N750" s="5"/>
      <c r="O750" s="5"/>
      <c r="P750" s="142">
        <f>IFERROR(__xludf.DUMMYFUNCTION("""COMPUTED_VALUE"""),0.0)</f>
        <v>0</v>
      </c>
      <c r="Q750" s="5"/>
      <c r="R750" s="71">
        <f>IFERROR(__xludf.DUMMYFUNCTION("""COMPUTED_VALUE"""),346.07)</f>
        <v>346.07</v>
      </c>
      <c r="S750" s="142">
        <f>IFERROR(__xludf.DUMMYFUNCTION("""COMPUTED_VALUE"""),0.0)</f>
        <v>0</v>
      </c>
      <c r="T750" s="5">
        <f>IFERROR(__xludf.DUMMYFUNCTION("""COMPUTED_VALUE"""),4.0)</f>
        <v>4</v>
      </c>
      <c r="U750" s="5" t="str">
        <f>IFERROR(__xludf.DUMMYFUNCTION("""COMPUTED_VALUE"""),"")</f>
        <v/>
      </c>
      <c r="V750" s="22" t="str">
        <f>IFERROR(__xludf.DUMMYFUNCTION("""COMPUTED_VALUE"""),"")</f>
        <v/>
      </c>
      <c r="W750" s="9" t="str">
        <f>IFERROR(__xludf.DUMMYFUNCTION("""COMPUTED_VALUE"""),"")</f>
        <v/>
      </c>
      <c r="X750" s="22" t="str">
        <f>IFERROR(__xludf.DUMMYFUNCTION("""COMPUTED_VALUE"""),"")</f>
        <v/>
      </c>
      <c r="Y750" s="22" t="str">
        <f>IFERROR(__xludf.DUMMYFUNCTION("""COMPUTED_VALUE"""),"")</f>
        <v/>
      </c>
      <c r="Z750" s="24" t="str">
        <f>IFERROR(__xludf.DUMMYFUNCTION("""COMPUTED_VALUE"""),"")</f>
        <v/>
      </c>
    </row>
    <row r="751">
      <c r="A751" s="5" t="str">
        <f>IFERROR(__xludf.DUMMYFUNCTION("""COMPUTED_VALUE"""),"")</f>
        <v/>
      </c>
      <c r="B751" s="5" t="str">
        <f>IFERROR(__xludf.DUMMYFUNCTION("""COMPUTED_VALUE"""),"74356")</f>
        <v>74356</v>
      </c>
      <c r="C751" s="9">
        <f>IFERROR(__xludf.DUMMYFUNCTION("""COMPUTED_VALUE"""),4.4630000523E10)</f>
        <v>44630000523</v>
      </c>
      <c r="D751" s="87" t="str">
        <f>IFERROR(__xludf.DUMMYFUNCTION("""COMPUTED_VALUE"""),"BRK-B")</f>
        <v>BRK-B</v>
      </c>
      <c r="E751" s="193">
        <f>IFERROR(__xludf.DUMMYFUNCTION("""COMPUTED_VALUE"""),44630.0)</f>
        <v>44630</v>
      </c>
      <c r="F751" s="5" t="str">
        <f>IFERROR(__xludf.DUMMYFUNCTION("""COMPUTED_VALUE"""),"Stock")</f>
        <v>Stock</v>
      </c>
      <c r="G751" s="5" t="str">
        <f>IFERROR(__xludf.DUMMYFUNCTION("""COMPUTED_VALUE"""),"USD")</f>
        <v>USD</v>
      </c>
      <c r="H751" s="22">
        <f>IFERROR(__xludf.DUMMYFUNCTION("""COMPUTED_VALUE"""),40.0)</f>
        <v>40</v>
      </c>
      <c r="I751" s="194">
        <f>IFERROR(__xludf.DUMMYFUNCTION("""COMPUTED_VALUE"""),7.82295)</f>
        <v>7.82295</v>
      </c>
      <c r="J751" s="23">
        <f>IFERROR(__xludf.DUMMYFUNCTION("""COMPUTED_VALUE"""),325.4)</f>
        <v>325.4</v>
      </c>
      <c r="K751" s="5"/>
      <c r="L751" s="23">
        <f>IFERROR(__xludf.DUMMYFUNCTION("""COMPUTED_VALUE"""),346.07)</f>
        <v>346.07</v>
      </c>
      <c r="M751" s="195" t="str">
        <f>IFERROR(__xludf.DUMMYFUNCTION("""COMPUTED_VALUE"""),"Equity Key Stats")</f>
        <v>Equity Key Stats</v>
      </c>
      <c r="N751" s="5"/>
      <c r="O751" s="5"/>
      <c r="P751" s="142">
        <f>IFERROR(__xludf.DUMMYFUNCTION("""COMPUTED_VALUE"""),-101823.5172)</f>
        <v>-101823.5172</v>
      </c>
      <c r="Q751" s="5"/>
      <c r="R751" s="71">
        <f>IFERROR(__xludf.DUMMYFUNCTION("""COMPUTED_VALUE"""),346.07)</f>
        <v>346.07</v>
      </c>
      <c r="S751" s="142">
        <f>IFERROR(__xludf.DUMMYFUNCTION("""COMPUTED_VALUE"""),108291.53226)</f>
        <v>108291.5323</v>
      </c>
      <c r="T751" s="5">
        <f>IFERROR(__xludf.DUMMYFUNCTION("""COMPUTED_VALUE"""),4.0)</f>
        <v>4</v>
      </c>
      <c r="U751" s="5" t="str">
        <f>IFERROR(__xludf.DUMMYFUNCTION("""COMPUTED_VALUE"""),"")</f>
        <v/>
      </c>
      <c r="V751" s="22" t="str">
        <f>IFERROR(__xludf.DUMMYFUNCTION("""COMPUTED_VALUE"""),"")</f>
        <v/>
      </c>
      <c r="W751" s="9" t="str">
        <f>IFERROR(__xludf.DUMMYFUNCTION("""COMPUTED_VALUE"""),"")</f>
        <v/>
      </c>
      <c r="X751" s="22" t="str">
        <f>IFERROR(__xludf.DUMMYFUNCTION("""COMPUTED_VALUE"""),"")</f>
        <v/>
      </c>
      <c r="Y751" s="22" t="str">
        <f>IFERROR(__xludf.DUMMYFUNCTION("""COMPUTED_VALUE"""),"")</f>
        <v/>
      </c>
      <c r="Z751" s="24" t="str">
        <f>IFERROR(__xludf.DUMMYFUNCTION("""COMPUTED_VALUE"""),"")</f>
        <v/>
      </c>
    </row>
    <row r="752">
      <c r="A752" s="5" t="str">
        <f>IFERROR(__xludf.DUMMYFUNCTION("""COMPUTED_VALUE"""),"")</f>
        <v/>
      </c>
      <c r="B752" s="5" t="str">
        <f>IFERROR(__xludf.DUMMYFUNCTION("""COMPUTED_VALUE"""),"74356")</f>
        <v>74356</v>
      </c>
      <c r="C752" s="9">
        <f>IFERROR(__xludf.DUMMYFUNCTION("""COMPUTED_VALUE"""),4.4630000525E10)</f>
        <v>44630000525</v>
      </c>
      <c r="D752" s="87" t="str">
        <f>IFERROR(__xludf.DUMMYFUNCTION("""COMPUTED_VALUE"""),"CL=F")</f>
        <v>CL=F</v>
      </c>
      <c r="E752" s="193">
        <f>IFERROR(__xludf.DUMMYFUNCTION("""COMPUTED_VALUE"""),44630.0)</f>
        <v>44630</v>
      </c>
      <c r="F752" s="5" t="str">
        <f>IFERROR(__xludf.DUMMYFUNCTION("""COMPUTED_VALUE"""),"Stock")</f>
        <v>Stock</v>
      </c>
      <c r="G752" s="5" t="str">
        <f>IFERROR(__xludf.DUMMYFUNCTION("""COMPUTED_VALUE"""),"USD")</f>
        <v>USD</v>
      </c>
      <c r="H752" s="22">
        <f>IFERROR(__xludf.DUMMYFUNCTION("""COMPUTED_VALUE"""),100.0)</f>
        <v>100</v>
      </c>
      <c r="I752" s="194">
        <f>IFERROR(__xludf.DUMMYFUNCTION("""COMPUTED_VALUE"""),7.82295)</f>
        <v>7.82295</v>
      </c>
      <c r="J752" s="23">
        <f>IFERROR(__xludf.DUMMYFUNCTION("""COMPUTED_VALUE"""),106.04)</f>
        <v>106.04</v>
      </c>
      <c r="K752" s="5"/>
      <c r="L752" s="23">
        <f>IFERROR(__xludf.DUMMYFUNCTION("""COMPUTED_VALUE"""),104.31)</f>
        <v>104.31</v>
      </c>
      <c r="M752" s="195" t="str">
        <f>IFERROR(__xludf.DUMMYFUNCTION("""COMPUTED_VALUE"""),"Equity Key Stats")</f>
        <v>Equity Key Stats</v>
      </c>
      <c r="N752" s="5"/>
      <c r="O752" s="5"/>
      <c r="P752" s="142">
        <f>IFERROR(__xludf.DUMMYFUNCTION("""COMPUTED_VALUE"""),-82954.5618)</f>
        <v>-82954.5618</v>
      </c>
      <c r="Q752" s="5"/>
      <c r="R752" s="71">
        <f>IFERROR(__xludf.DUMMYFUNCTION("""COMPUTED_VALUE"""),104.31)</f>
        <v>104.31</v>
      </c>
      <c r="S752" s="142">
        <f>IFERROR(__xludf.DUMMYFUNCTION("""COMPUTED_VALUE"""),81601.19145)</f>
        <v>81601.19145</v>
      </c>
      <c r="T752" s="5">
        <f>IFERROR(__xludf.DUMMYFUNCTION("""COMPUTED_VALUE"""),3.0)</f>
        <v>3</v>
      </c>
      <c r="U752" s="5" t="str">
        <f>IFERROR(__xludf.DUMMYFUNCTION("""COMPUTED_VALUE"""),"")</f>
        <v/>
      </c>
      <c r="V752" s="22" t="str">
        <f>IFERROR(__xludf.DUMMYFUNCTION("""COMPUTED_VALUE"""),"")</f>
        <v/>
      </c>
      <c r="W752" s="9" t="str">
        <f>IFERROR(__xludf.DUMMYFUNCTION("""COMPUTED_VALUE"""),"")</f>
        <v/>
      </c>
      <c r="X752" s="22" t="str">
        <f>IFERROR(__xludf.DUMMYFUNCTION("""COMPUTED_VALUE"""),"")</f>
        <v/>
      </c>
      <c r="Y752" s="22" t="str">
        <f>IFERROR(__xludf.DUMMYFUNCTION("""COMPUTED_VALUE"""),"")</f>
        <v/>
      </c>
      <c r="Z752" s="24" t="str">
        <f>IFERROR(__xludf.DUMMYFUNCTION("""COMPUTED_VALUE"""),"")</f>
        <v/>
      </c>
    </row>
    <row r="753">
      <c r="A753" s="5" t="str">
        <f>IFERROR(__xludf.DUMMYFUNCTION("""COMPUTED_VALUE"""),"")</f>
        <v/>
      </c>
      <c r="B753" s="5" t="str">
        <f>IFERROR(__xludf.DUMMYFUNCTION("""COMPUTED_VALUE"""),"74356")</f>
        <v>74356</v>
      </c>
      <c r="C753" s="9">
        <f>IFERROR(__xludf.DUMMYFUNCTION("""COMPUTED_VALUE"""),4.4630000528E10)</f>
        <v>44630000528</v>
      </c>
      <c r="D753" s="87" t="str">
        <f>IFERROR(__xludf.DUMMYFUNCTION("""COMPUTED_VALUE"""),"AAPL")</f>
        <v>AAPL</v>
      </c>
      <c r="E753" s="193">
        <f>IFERROR(__xludf.DUMMYFUNCTION("""COMPUTED_VALUE"""),44630.0)</f>
        <v>44630</v>
      </c>
      <c r="F753" s="5" t="str">
        <f>IFERROR(__xludf.DUMMYFUNCTION("""COMPUTED_VALUE"""),"Stock")</f>
        <v>Stock</v>
      </c>
      <c r="G753" s="5" t="str">
        <f>IFERROR(__xludf.DUMMYFUNCTION("""COMPUTED_VALUE"""),"USD")</f>
        <v>USD</v>
      </c>
      <c r="H753" s="22">
        <f>IFERROR(__xludf.DUMMYFUNCTION("""COMPUTED_VALUE"""),20.0)</f>
        <v>20</v>
      </c>
      <c r="I753" s="194">
        <f>IFERROR(__xludf.DUMMYFUNCTION("""COMPUTED_VALUE"""),7.82295)</f>
        <v>7.82295</v>
      </c>
      <c r="J753" s="23">
        <f>IFERROR(__xludf.DUMMYFUNCTION("""COMPUTED_VALUE"""),162.95)</f>
        <v>162.95</v>
      </c>
      <c r="K753" s="5"/>
      <c r="L753" s="23">
        <f>IFERROR(__xludf.DUMMYFUNCTION("""COMPUTED_VALUE"""),170.4)</f>
        <v>170.4</v>
      </c>
      <c r="M753" s="195" t="str">
        <f>IFERROR(__xludf.DUMMYFUNCTION("""COMPUTED_VALUE"""),"Equity Key Stats")</f>
        <v>Equity Key Stats</v>
      </c>
      <c r="N753" s="5"/>
      <c r="O753" s="5"/>
      <c r="P753" s="142">
        <f>IFERROR(__xludf.DUMMYFUNCTION("""COMPUTED_VALUE"""),-25494.994049999998)</f>
        <v>-25494.99405</v>
      </c>
      <c r="Q753" s="5"/>
      <c r="R753" s="71">
        <f>IFERROR(__xludf.DUMMYFUNCTION("""COMPUTED_VALUE"""),170.4)</f>
        <v>170.4</v>
      </c>
      <c r="S753" s="142">
        <f>IFERROR(__xludf.DUMMYFUNCTION("""COMPUTED_VALUE"""),26660.6136)</f>
        <v>26660.6136</v>
      </c>
      <c r="T753" s="5">
        <f>IFERROR(__xludf.DUMMYFUNCTION("""COMPUTED_VALUE"""),2.0)</f>
        <v>2</v>
      </c>
      <c r="U753" s="5" t="str">
        <f>IFERROR(__xludf.DUMMYFUNCTION("""COMPUTED_VALUE"""),"")</f>
        <v/>
      </c>
      <c r="V753" s="22" t="str">
        <f>IFERROR(__xludf.DUMMYFUNCTION("""COMPUTED_VALUE"""),"")</f>
        <v/>
      </c>
      <c r="W753" s="9" t="str">
        <f>IFERROR(__xludf.DUMMYFUNCTION("""COMPUTED_VALUE"""),"")</f>
        <v/>
      </c>
      <c r="X753" s="22" t="str">
        <f>IFERROR(__xludf.DUMMYFUNCTION("""COMPUTED_VALUE"""),"")</f>
        <v/>
      </c>
      <c r="Y753" s="22" t="str">
        <f>IFERROR(__xludf.DUMMYFUNCTION("""COMPUTED_VALUE"""),"")</f>
        <v/>
      </c>
      <c r="Z753" s="24" t="str">
        <f>IFERROR(__xludf.DUMMYFUNCTION("""COMPUTED_VALUE"""),"")</f>
        <v/>
      </c>
    </row>
    <row r="754">
      <c r="A754" s="5" t="str">
        <f>IFERROR(__xludf.DUMMYFUNCTION("""COMPUTED_VALUE"""),"")</f>
        <v/>
      </c>
      <c r="B754" s="5" t="str">
        <f>IFERROR(__xludf.DUMMYFUNCTION("""COMPUTED_VALUE"""),"74356")</f>
        <v>74356</v>
      </c>
      <c r="C754" s="9">
        <f>IFERROR(__xludf.DUMMYFUNCTION("""COMPUTED_VALUE"""),4.4635000613E10)</f>
        <v>44635000613</v>
      </c>
      <c r="D754" s="87" t="str">
        <f>IFERROR(__xludf.DUMMYFUNCTION("""COMPUTED_VALUE"""),"CL=F")</f>
        <v>CL=F</v>
      </c>
      <c r="E754" s="193">
        <f>IFERROR(__xludf.DUMMYFUNCTION("""COMPUTED_VALUE"""),44635.0)</f>
        <v>44635</v>
      </c>
      <c r="F754" s="5" t="str">
        <f>IFERROR(__xludf.DUMMYFUNCTION("""COMPUTED_VALUE"""),"Stock")</f>
        <v>Stock</v>
      </c>
      <c r="G754" s="5" t="str">
        <f>IFERROR(__xludf.DUMMYFUNCTION("""COMPUTED_VALUE"""),"USD")</f>
        <v>USD</v>
      </c>
      <c r="H754" s="22">
        <f>IFERROR(__xludf.DUMMYFUNCTION("""COMPUTED_VALUE"""),-200.0)</f>
        <v>-200</v>
      </c>
      <c r="I754" s="194">
        <f>IFERROR(__xludf.DUMMYFUNCTION("""COMPUTED_VALUE"""),7.82695)</f>
        <v>7.82695</v>
      </c>
      <c r="J754" s="23">
        <f>IFERROR(__xludf.DUMMYFUNCTION("""COMPUTED_VALUE"""),96.13)</f>
        <v>96.13</v>
      </c>
      <c r="K754" s="5"/>
      <c r="L754" s="23">
        <f>IFERROR(__xludf.DUMMYFUNCTION("""COMPUTED_VALUE"""),104.31)</f>
        <v>104.31</v>
      </c>
      <c r="M754" s="195" t="str">
        <f>IFERROR(__xludf.DUMMYFUNCTION("""COMPUTED_VALUE"""),"Equity Key Stats")</f>
        <v>Equity Key Stats</v>
      </c>
      <c r="N754" s="5"/>
      <c r="O754" s="5"/>
      <c r="P754" s="142">
        <f>IFERROR(__xludf.DUMMYFUNCTION("""COMPUTED_VALUE"""),150480.9407)</f>
        <v>150480.9407</v>
      </c>
      <c r="Q754" s="5"/>
      <c r="R754" s="71">
        <f>IFERROR(__xludf.DUMMYFUNCTION("""COMPUTED_VALUE"""),104.31)</f>
        <v>104.31</v>
      </c>
      <c r="S754" s="142">
        <f>IFERROR(__xludf.DUMMYFUNCTION("""COMPUTED_VALUE"""),-163285.8309)</f>
        <v>-163285.8309</v>
      </c>
      <c r="T754" s="5">
        <f>IFERROR(__xludf.DUMMYFUNCTION("""COMPUTED_VALUE"""),3.0)</f>
        <v>3</v>
      </c>
      <c r="U754" s="5">
        <f>IFERROR(__xludf.DUMMYFUNCTION("""COMPUTED_VALUE"""),1.0)</f>
        <v>1</v>
      </c>
      <c r="V754" s="22">
        <f>IFERROR(__xludf.DUMMYFUNCTION("""COMPUTED_VALUE"""),-5179.348049999971)</f>
        <v>-5179.34805</v>
      </c>
      <c r="W754" s="9" t="str">
        <f>IFERROR(__xludf.DUMMYFUNCTION("""COMPUTED_VALUE"""),"")</f>
        <v/>
      </c>
      <c r="X754" s="22" t="str">
        <f>IFERROR(__xludf.DUMMYFUNCTION("""COMPUTED_VALUE"""),"")</f>
        <v/>
      </c>
      <c r="Y754" s="22" t="str">
        <f>IFERROR(__xludf.DUMMYFUNCTION("""COMPUTED_VALUE"""),"")</f>
        <v/>
      </c>
      <c r="Z754" s="24" t="str">
        <f>IFERROR(__xludf.DUMMYFUNCTION("""COMPUTED_VALUE"""),"")</f>
        <v/>
      </c>
    </row>
    <row r="755">
      <c r="A755" s="5" t="str">
        <f>IFERROR(__xludf.DUMMYFUNCTION("""COMPUTED_VALUE"""),"")</f>
        <v/>
      </c>
      <c r="B755" s="5" t="str">
        <f>IFERROR(__xludf.DUMMYFUNCTION("""COMPUTED_VALUE"""),"74356")</f>
        <v>74356</v>
      </c>
      <c r="C755" s="9">
        <f>IFERROR(__xludf.DUMMYFUNCTION("""COMPUTED_VALUE"""),4.4635000614E10)</f>
        <v>44635000614</v>
      </c>
      <c r="D755" s="87" t="str">
        <f>IFERROR(__xludf.DUMMYFUNCTION("""COMPUTED_VALUE"""),"AAPL")</f>
        <v>AAPL</v>
      </c>
      <c r="E755" s="193">
        <f>IFERROR(__xludf.DUMMYFUNCTION("""COMPUTED_VALUE"""),44635.0)</f>
        <v>44635</v>
      </c>
      <c r="F755" s="5" t="str">
        <f>IFERROR(__xludf.DUMMYFUNCTION("""COMPUTED_VALUE"""),"Stock")</f>
        <v>Stock</v>
      </c>
      <c r="G755" s="5" t="str">
        <f>IFERROR(__xludf.DUMMYFUNCTION("""COMPUTED_VALUE"""),"USD")</f>
        <v>USD</v>
      </c>
      <c r="H755" s="22">
        <f>IFERROR(__xludf.DUMMYFUNCTION("""COMPUTED_VALUE"""),-20.0)</f>
        <v>-20</v>
      </c>
      <c r="I755" s="194">
        <f>IFERROR(__xludf.DUMMYFUNCTION("""COMPUTED_VALUE"""),7.82695)</f>
        <v>7.82695</v>
      </c>
      <c r="J755" s="23">
        <f>IFERROR(__xludf.DUMMYFUNCTION("""COMPUTED_VALUE"""),155.09)</f>
        <v>155.09</v>
      </c>
      <c r="K755" s="5"/>
      <c r="L755" s="23">
        <f>IFERROR(__xludf.DUMMYFUNCTION("""COMPUTED_VALUE"""),170.4)</f>
        <v>170.4</v>
      </c>
      <c r="M755" s="195" t="str">
        <f>IFERROR(__xludf.DUMMYFUNCTION("""COMPUTED_VALUE"""),"Equity Key Stats")</f>
        <v>Equity Key Stats</v>
      </c>
      <c r="N755" s="5"/>
      <c r="O755" s="5"/>
      <c r="P755" s="142">
        <f>IFERROR(__xludf.DUMMYFUNCTION("""COMPUTED_VALUE"""),24277.63351)</f>
        <v>24277.63351</v>
      </c>
      <c r="Q755" s="5"/>
      <c r="R755" s="71">
        <f>IFERROR(__xludf.DUMMYFUNCTION("""COMPUTED_VALUE"""),170.4)</f>
        <v>170.4</v>
      </c>
      <c r="S755" s="142">
        <f>IFERROR(__xludf.DUMMYFUNCTION("""COMPUTED_VALUE"""),-26674.2456)</f>
        <v>-26674.2456</v>
      </c>
      <c r="T755" s="5">
        <f>IFERROR(__xludf.DUMMYFUNCTION("""COMPUTED_VALUE"""),2.0)</f>
        <v>2</v>
      </c>
      <c r="U755" s="5">
        <f>IFERROR(__xludf.DUMMYFUNCTION("""COMPUTED_VALUE"""),1.0)</f>
        <v>1</v>
      </c>
      <c r="V755" s="22">
        <f>IFERROR(__xludf.DUMMYFUNCTION("""COMPUTED_VALUE"""),-1230.9925399999956)</f>
        <v>-1230.99254</v>
      </c>
      <c r="W755" s="9" t="str">
        <f>IFERROR(__xludf.DUMMYFUNCTION("""COMPUTED_VALUE"""),"")</f>
        <v/>
      </c>
      <c r="X755" s="22" t="str">
        <f>IFERROR(__xludf.DUMMYFUNCTION("""COMPUTED_VALUE"""),"")</f>
        <v/>
      </c>
      <c r="Y755" s="22" t="str">
        <f>IFERROR(__xludf.DUMMYFUNCTION("""COMPUTED_VALUE"""),"")</f>
        <v/>
      </c>
      <c r="Z755" s="24" t="str">
        <f>IFERROR(__xludf.DUMMYFUNCTION("""COMPUTED_VALUE"""),"")</f>
        <v/>
      </c>
    </row>
    <row r="756">
      <c r="A756" s="5" t="str">
        <f>IFERROR(__xludf.DUMMYFUNCTION("""COMPUTED_VALUE"""),"")</f>
        <v/>
      </c>
      <c r="B756" s="5" t="str">
        <f>IFERROR(__xludf.DUMMYFUNCTION("""COMPUTED_VALUE"""),"74356")</f>
        <v>74356</v>
      </c>
      <c r="C756" s="9">
        <f>IFERROR(__xludf.DUMMYFUNCTION("""COMPUTED_VALUE"""),4.4635000615E10)</f>
        <v>44635000615</v>
      </c>
      <c r="D756" s="87" t="str">
        <f>IFERROR(__xludf.DUMMYFUNCTION("""COMPUTED_VALUE"""),"AMAT")</f>
        <v>AMAT</v>
      </c>
      <c r="E756" s="193">
        <f>IFERROR(__xludf.DUMMYFUNCTION("""COMPUTED_VALUE"""),44635.0)</f>
        <v>44635</v>
      </c>
      <c r="F756" s="5" t="str">
        <f>IFERROR(__xludf.DUMMYFUNCTION("""COMPUTED_VALUE"""),"Stock")</f>
        <v>Stock</v>
      </c>
      <c r="G756" s="5" t="str">
        <f>IFERROR(__xludf.DUMMYFUNCTION("""COMPUTED_VALUE"""),"USD")</f>
        <v>USD</v>
      </c>
      <c r="H756" s="22">
        <f>IFERROR(__xludf.DUMMYFUNCTION("""COMPUTED_VALUE"""),-50.0)</f>
        <v>-50</v>
      </c>
      <c r="I756" s="194">
        <f>IFERROR(__xludf.DUMMYFUNCTION("""COMPUTED_VALUE"""),7.82695)</f>
        <v>7.82695</v>
      </c>
      <c r="J756" s="23">
        <f>IFERROR(__xludf.DUMMYFUNCTION("""COMPUTED_VALUE"""),124.41)</f>
        <v>124.41</v>
      </c>
      <c r="K756" s="5"/>
      <c r="L756" s="23">
        <f>IFERROR(__xludf.DUMMYFUNCTION("""COMPUTED_VALUE"""),116.86)</f>
        <v>116.86</v>
      </c>
      <c r="M756" s="195" t="str">
        <f>IFERROR(__xludf.DUMMYFUNCTION("""COMPUTED_VALUE"""),"Equity Key Stats")</f>
        <v>Equity Key Stats</v>
      </c>
      <c r="N756" s="5"/>
      <c r="O756" s="5"/>
      <c r="P756" s="142">
        <f>IFERROR(__xludf.DUMMYFUNCTION("""COMPUTED_VALUE"""),48687.542475)</f>
        <v>48687.54248</v>
      </c>
      <c r="Q756" s="5"/>
      <c r="R756" s="71">
        <f>IFERROR(__xludf.DUMMYFUNCTION("""COMPUTED_VALUE"""),116.86)</f>
        <v>116.86</v>
      </c>
      <c r="S756" s="142">
        <f>IFERROR(__xludf.DUMMYFUNCTION("""COMPUTED_VALUE"""),-45732.868850000006)</f>
        <v>-45732.86885</v>
      </c>
      <c r="T756" s="5">
        <f>IFERROR(__xludf.DUMMYFUNCTION("""COMPUTED_VALUE"""),4.0)</f>
        <v>4</v>
      </c>
      <c r="U756" s="5" t="str">
        <f>IFERROR(__xludf.DUMMYFUNCTION("""COMPUTED_VALUE"""),"")</f>
        <v/>
      </c>
      <c r="V756" s="22" t="str">
        <f>IFERROR(__xludf.DUMMYFUNCTION("""COMPUTED_VALUE"""),"")</f>
        <v/>
      </c>
      <c r="W756" s="9" t="str">
        <f>IFERROR(__xludf.DUMMYFUNCTION("""COMPUTED_VALUE"""),"")</f>
        <v/>
      </c>
      <c r="X756" s="22" t="str">
        <f>IFERROR(__xludf.DUMMYFUNCTION("""COMPUTED_VALUE"""),"")</f>
        <v/>
      </c>
      <c r="Y756" s="22" t="str">
        <f>IFERROR(__xludf.DUMMYFUNCTION("""COMPUTED_VALUE"""),"")</f>
        <v/>
      </c>
      <c r="Z756" s="24" t="str">
        <f>IFERROR(__xludf.DUMMYFUNCTION("""COMPUTED_VALUE"""),"")</f>
        <v/>
      </c>
    </row>
    <row r="757">
      <c r="A757" s="5" t="str">
        <f>IFERROR(__xludf.DUMMYFUNCTION("""COMPUTED_VALUE"""),"")</f>
        <v/>
      </c>
      <c r="B757" s="5" t="str">
        <f>IFERROR(__xludf.DUMMYFUNCTION("""COMPUTED_VALUE"""),"74356")</f>
        <v>74356</v>
      </c>
      <c r="C757" s="9">
        <f>IFERROR(__xludf.DUMMYFUNCTION("""COMPUTED_VALUE"""),4.4635000618E10)</f>
        <v>44635000618</v>
      </c>
      <c r="D757" s="87" t="str">
        <f>IFERROR(__xludf.DUMMYFUNCTION("""COMPUTED_VALUE"""),"NET")</f>
        <v>NET</v>
      </c>
      <c r="E757" s="193">
        <f>IFERROR(__xludf.DUMMYFUNCTION("""COMPUTED_VALUE"""),44635.0)</f>
        <v>44635</v>
      </c>
      <c r="F757" s="5" t="str">
        <f>IFERROR(__xludf.DUMMYFUNCTION("""COMPUTED_VALUE"""),"Stock")</f>
        <v>Stock</v>
      </c>
      <c r="G757" s="5" t="str">
        <f>IFERROR(__xludf.DUMMYFUNCTION("""COMPUTED_VALUE"""),"USD")</f>
        <v>USD</v>
      </c>
      <c r="H757" s="22">
        <f>IFERROR(__xludf.DUMMYFUNCTION("""COMPUTED_VALUE"""),-10.0)</f>
        <v>-10</v>
      </c>
      <c r="I757" s="194">
        <f>IFERROR(__xludf.DUMMYFUNCTION("""COMPUTED_VALUE"""),7.82695)</f>
        <v>7.82695</v>
      </c>
      <c r="J757" s="23">
        <f>IFERROR(__xludf.DUMMYFUNCTION("""COMPUTED_VALUE"""),85.94)</f>
        <v>85.94</v>
      </c>
      <c r="K757" s="5"/>
      <c r="L757" s="23">
        <f>IFERROR(__xludf.DUMMYFUNCTION("""COMPUTED_VALUE"""),121.55)</f>
        <v>121.55</v>
      </c>
      <c r="M757" s="195" t="str">
        <f>IFERROR(__xludf.DUMMYFUNCTION("""COMPUTED_VALUE"""),"Equity Key Stats")</f>
        <v>Equity Key Stats</v>
      </c>
      <c r="N757" s="5"/>
      <c r="O757" s="5"/>
      <c r="P757" s="142">
        <f>IFERROR(__xludf.DUMMYFUNCTION("""COMPUTED_VALUE"""),6726.4808299999995)</f>
        <v>6726.48083</v>
      </c>
      <c r="Q757" s="5"/>
      <c r="R757" s="71">
        <f>IFERROR(__xludf.DUMMYFUNCTION("""COMPUTED_VALUE"""),121.55)</f>
        <v>121.55</v>
      </c>
      <c r="S757" s="142">
        <f>IFERROR(__xludf.DUMMYFUNCTION("""COMPUTED_VALUE"""),-9513.657725)</f>
        <v>-9513.657725</v>
      </c>
      <c r="T757" s="5">
        <f>IFERROR(__xludf.DUMMYFUNCTION("""COMPUTED_VALUE"""),4.0)</f>
        <v>4</v>
      </c>
      <c r="U757" s="5">
        <f>IFERROR(__xludf.DUMMYFUNCTION("""COMPUTED_VALUE"""),1.0)</f>
        <v>1</v>
      </c>
      <c r="V757" s="22">
        <f>IFERROR(__xludf.DUMMYFUNCTION("""COMPUTED_VALUE"""),-905.369522500001)</f>
        <v>-905.3695225</v>
      </c>
      <c r="W757" s="9" t="str">
        <f>IFERROR(__xludf.DUMMYFUNCTION("""COMPUTED_VALUE"""),"")</f>
        <v/>
      </c>
      <c r="X757" s="22" t="str">
        <f>IFERROR(__xludf.DUMMYFUNCTION("""COMPUTED_VALUE"""),"")</f>
        <v/>
      </c>
      <c r="Y757" s="22" t="str">
        <f>IFERROR(__xludf.DUMMYFUNCTION("""COMPUTED_VALUE"""),"")</f>
        <v/>
      </c>
      <c r="Z757" s="24" t="str">
        <f>IFERROR(__xludf.DUMMYFUNCTION("""COMPUTED_VALUE"""),"")</f>
        <v/>
      </c>
    </row>
    <row r="758">
      <c r="A758" s="5" t="str">
        <f>IFERROR(__xludf.DUMMYFUNCTION("""COMPUTED_VALUE"""),"")</f>
        <v/>
      </c>
      <c r="B758" s="5" t="str">
        <f>IFERROR(__xludf.DUMMYFUNCTION("""COMPUTED_VALUE"""),"74356")</f>
        <v>74356</v>
      </c>
      <c r="C758" s="9">
        <f>IFERROR(__xludf.DUMMYFUNCTION("""COMPUTED_VALUE"""),4.4635000619E10)</f>
        <v>44635000619</v>
      </c>
      <c r="D758" s="87" t="str">
        <f>IFERROR(__xludf.DUMMYFUNCTION("""COMPUTED_VALUE"""),"BRK-B")</f>
        <v>BRK-B</v>
      </c>
      <c r="E758" s="193">
        <f>IFERROR(__xludf.DUMMYFUNCTION("""COMPUTED_VALUE"""),44635.0)</f>
        <v>44635</v>
      </c>
      <c r="F758" s="5" t="str">
        <f>IFERROR(__xludf.DUMMYFUNCTION("""COMPUTED_VALUE"""),"Stock")</f>
        <v>Stock</v>
      </c>
      <c r="G758" s="5" t="str">
        <f>IFERROR(__xludf.DUMMYFUNCTION("""COMPUTED_VALUE"""),"USD")</f>
        <v>USD</v>
      </c>
      <c r="H758" s="22">
        <f>IFERROR(__xludf.DUMMYFUNCTION("""COMPUTED_VALUE"""),100.0)</f>
        <v>100</v>
      </c>
      <c r="I758" s="194">
        <f>IFERROR(__xludf.DUMMYFUNCTION("""COMPUTED_VALUE"""),7.82695)</f>
        <v>7.82695</v>
      </c>
      <c r="J758" s="23">
        <f>IFERROR(__xludf.DUMMYFUNCTION("""COMPUTED_VALUE"""),332.55)</f>
        <v>332.55</v>
      </c>
      <c r="K758" s="5"/>
      <c r="L758" s="23">
        <f>IFERROR(__xludf.DUMMYFUNCTION("""COMPUTED_VALUE"""),346.07)</f>
        <v>346.07</v>
      </c>
      <c r="M758" s="195" t="str">
        <f>IFERROR(__xludf.DUMMYFUNCTION("""COMPUTED_VALUE"""),"Equity Key Stats")</f>
        <v>Equity Key Stats</v>
      </c>
      <c r="N758" s="5"/>
      <c r="O758" s="5"/>
      <c r="P758" s="142">
        <f>IFERROR(__xludf.DUMMYFUNCTION("""COMPUTED_VALUE"""),-260285.22225000002)</f>
        <v>-260285.2223</v>
      </c>
      <c r="Q758" s="5"/>
      <c r="R758" s="71">
        <f>IFERROR(__xludf.DUMMYFUNCTION("""COMPUTED_VALUE"""),346.07)</f>
        <v>346.07</v>
      </c>
      <c r="S758" s="142">
        <f>IFERROR(__xludf.DUMMYFUNCTION("""COMPUTED_VALUE"""),270867.25865000003)</f>
        <v>270867.2587</v>
      </c>
      <c r="T758" s="5">
        <f>IFERROR(__xludf.DUMMYFUNCTION("""COMPUTED_VALUE"""),4.0)</f>
        <v>4</v>
      </c>
      <c r="U758" s="5" t="str">
        <f>IFERROR(__xludf.DUMMYFUNCTION("""COMPUTED_VALUE"""),"")</f>
        <v/>
      </c>
      <c r="V758" s="22" t="str">
        <f>IFERROR(__xludf.DUMMYFUNCTION("""COMPUTED_VALUE"""),"")</f>
        <v/>
      </c>
      <c r="W758" s="9" t="str">
        <f>IFERROR(__xludf.DUMMYFUNCTION("""COMPUTED_VALUE"""),"")</f>
        <v/>
      </c>
      <c r="X758" s="22" t="str">
        <f>IFERROR(__xludf.DUMMYFUNCTION("""COMPUTED_VALUE"""),"")</f>
        <v/>
      </c>
      <c r="Y758" s="22" t="str">
        <f>IFERROR(__xludf.DUMMYFUNCTION("""COMPUTED_VALUE"""),"")</f>
        <v/>
      </c>
      <c r="Z758" s="24" t="str">
        <f>IFERROR(__xludf.DUMMYFUNCTION("""COMPUTED_VALUE"""),"")</f>
        <v/>
      </c>
    </row>
    <row r="759">
      <c r="A759" s="5" t="str">
        <f>IFERROR(__xludf.DUMMYFUNCTION("""COMPUTED_VALUE"""),"")</f>
        <v/>
      </c>
      <c r="B759" s="5" t="str">
        <f>IFERROR(__xludf.DUMMYFUNCTION("""COMPUTED_VALUE"""),"74356")</f>
        <v>74356</v>
      </c>
      <c r="C759" s="9">
        <f>IFERROR(__xludf.DUMMYFUNCTION("""COMPUTED_VALUE"""),4.4635000624E10)</f>
        <v>44635000624</v>
      </c>
      <c r="D759" s="87" t="str">
        <f>IFERROR(__xludf.DUMMYFUNCTION("""COMPUTED_VALUE"""),"IXHL")</f>
        <v>IXHL</v>
      </c>
      <c r="E759" s="193">
        <f>IFERROR(__xludf.DUMMYFUNCTION("""COMPUTED_VALUE"""),44635.0)</f>
        <v>44635</v>
      </c>
      <c r="F759" s="5" t="str">
        <f>IFERROR(__xludf.DUMMYFUNCTION("""COMPUTED_VALUE"""),"Stock")</f>
        <v>Stock</v>
      </c>
      <c r="G759" s="5" t="str">
        <f>IFERROR(__xludf.DUMMYFUNCTION("""COMPUTED_VALUE"""),"USD")</f>
        <v>USD</v>
      </c>
      <c r="H759" s="22">
        <f>IFERROR(__xludf.DUMMYFUNCTION("""COMPUTED_VALUE"""),0.0)</f>
        <v>0</v>
      </c>
      <c r="I759" s="194">
        <f>IFERROR(__xludf.DUMMYFUNCTION("""COMPUTED_VALUE"""),7.82695)</f>
        <v>7.82695</v>
      </c>
      <c r="J759" s="23">
        <f>IFERROR(__xludf.DUMMYFUNCTION("""COMPUTED_VALUE"""),0.0)</f>
        <v>0</v>
      </c>
      <c r="K759" s="5"/>
      <c r="L759" s="23">
        <f>IFERROR(__xludf.DUMMYFUNCTION("""COMPUTED_VALUE"""),8.27)</f>
        <v>8.27</v>
      </c>
      <c r="M759" s="195" t="str">
        <f>IFERROR(__xludf.DUMMYFUNCTION("""COMPUTED_VALUE"""),"Equity Key Stats")</f>
        <v>Equity Key Stats</v>
      </c>
      <c r="N759" s="5"/>
      <c r="O759" s="5"/>
      <c r="P759" s="142">
        <f>IFERROR(__xludf.DUMMYFUNCTION("""COMPUTED_VALUE"""),0.0)</f>
        <v>0</v>
      </c>
      <c r="Q759" s="5"/>
      <c r="R759" s="71">
        <f>IFERROR(__xludf.DUMMYFUNCTION("""COMPUTED_VALUE"""),8.27)</f>
        <v>8.27</v>
      </c>
      <c r="S759" s="142">
        <f>IFERROR(__xludf.DUMMYFUNCTION("""COMPUTED_VALUE"""),0.0)</f>
        <v>0</v>
      </c>
      <c r="T759" s="5">
        <f>IFERROR(__xludf.DUMMYFUNCTION("""COMPUTED_VALUE"""),1.0)</f>
        <v>1</v>
      </c>
      <c r="U759" s="5">
        <f>IFERROR(__xludf.DUMMYFUNCTION("""COMPUTED_VALUE"""),1.0)</f>
        <v>1</v>
      </c>
      <c r="V759" s="22">
        <f>IFERROR(__xludf.DUMMYFUNCTION("""COMPUTED_VALUE"""),0.0)</f>
        <v>0</v>
      </c>
      <c r="W759" s="9" t="str">
        <f>IFERROR(__xludf.DUMMYFUNCTION("""COMPUTED_VALUE"""),"")</f>
        <v/>
      </c>
      <c r="X759" s="22" t="str">
        <f>IFERROR(__xludf.DUMMYFUNCTION("""COMPUTED_VALUE"""),"")</f>
        <v/>
      </c>
      <c r="Y759" s="22" t="str">
        <f>IFERROR(__xludf.DUMMYFUNCTION("""COMPUTED_VALUE"""),"")</f>
        <v/>
      </c>
      <c r="Z759" s="24" t="str">
        <f>IFERROR(__xludf.DUMMYFUNCTION("""COMPUTED_VALUE"""),"")</f>
        <v/>
      </c>
    </row>
    <row r="760">
      <c r="A760" s="5" t="str">
        <f>IFERROR(__xludf.DUMMYFUNCTION("""COMPUTED_VALUE"""),"")</f>
        <v/>
      </c>
      <c r="B760" s="5" t="str">
        <f>IFERROR(__xludf.DUMMYFUNCTION("""COMPUTED_VALUE"""),"74356")</f>
        <v>74356</v>
      </c>
      <c r="C760" s="9">
        <f>IFERROR(__xludf.DUMMYFUNCTION("""COMPUTED_VALUE"""),4.4636000622E10)</f>
        <v>44636000622</v>
      </c>
      <c r="D760" s="90" t="str">
        <f>IFERROR(__xludf.DUMMYFUNCTION("""COMPUTED_VALUE"""),"1398.HK")</f>
        <v>1398.HK</v>
      </c>
      <c r="E760" s="193">
        <f>IFERROR(__xludf.DUMMYFUNCTION("""COMPUTED_VALUE"""),44636.0)</f>
        <v>44636</v>
      </c>
      <c r="F760" s="5" t="str">
        <f>IFERROR(__xludf.DUMMYFUNCTION("""COMPUTED_VALUE"""),"Stock")</f>
        <v>Stock</v>
      </c>
      <c r="G760" s="5" t="str">
        <f>IFERROR(__xludf.DUMMYFUNCTION("""COMPUTED_VALUE"""),"HKD")</f>
        <v>HKD</v>
      </c>
      <c r="H760" s="22">
        <f>IFERROR(__xludf.DUMMYFUNCTION("""COMPUTED_VALUE"""),-750.0)</f>
        <v>-750</v>
      </c>
      <c r="I760" s="194">
        <f>IFERROR(__xludf.DUMMYFUNCTION("""COMPUTED_VALUE"""),1.0)</f>
        <v>1</v>
      </c>
      <c r="J760" s="23">
        <f>IFERROR(__xludf.DUMMYFUNCTION("""COMPUTED_VALUE"""),4.43)</f>
        <v>4.43</v>
      </c>
      <c r="K760" s="5"/>
      <c r="L760" s="23">
        <f>IFERROR(__xludf.DUMMYFUNCTION("""COMPUTED_VALUE"""),4.75)</f>
        <v>4.75</v>
      </c>
      <c r="M760" s="195" t="str">
        <f>IFERROR(__xludf.DUMMYFUNCTION("""COMPUTED_VALUE"""),"Equity Key Stats")</f>
        <v>Equity Key Stats</v>
      </c>
      <c r="N760" s="5"/>
      <c r="O760" s="5"/>
      <c r="P760" s="142">
        <f>IFERROR(__xludf.DUMMYFUNCTION("""COMPUTED_VALUE"""),3322.5)</f>
        <v>3322.5</v>
      </c>
      <c r="Q760" s="5"/>
      <c r="R760" s="71">
        <f>IFERROR(__xludf.DUMMYFUNCTION("""COMPUTED_VALUE"""),4.75)</f>
        <v>4.75</v>
      </c>
      <c r="S760" s="142">
        <f>IFERROR(__xludf.DUMMYFUNCTION("""COMPUTED_VALUE"""),-3562.5)</f>
        <v>-3562.5</v>
      </c>
      <c r="T760" s="5">
        <f>IFERROR(__xludf.DUMMYFUNCTION("""COMPUTED_VALUE"""),3.0)</f>
        <v>3</v>
      </c>
      <c r="U760" s="5">
        <f>IFERROR(__xludf.DUMMYFUNCTION("""COMPUTED_VALUE"""),1.0)</f>
        <v>1</v>
      </c>
      <c r="V760" s="22">
        <f>IFERROR(__xludf.DUMMYFUNCTION("""COMPUTED_VALUE"""),-160.0)</f>
        <v>-160</v>
      </c>
      <c r="W760" s="9" t="str">
        <f>IFERROR(__xludf.DUMMYFUNCTION("""COMPUTED_VALUE"""),"")</f>
        <v/>
      </c>
      <c r="X760" s="22" t="str">
        <f>IFERROR(__xludf.DUMMYFUNCTION("""COMPUTED_VALUE"""),"")</f>
        <v/>
      </c>
      <c r="Y760" s="22" t="str">
        <f>IFERROR(__xludf.DUMMYFUNCTION("""COMPUTED_VALUE"""),"")</f>
        <v/>
      </c>
      <c r="Z760" s="24" t="str">
        <f>IFERROR(__xludf.DUMMYFUNCTION("""COMPUTED_VALUE"""),"")</f>
        <v/>
      </c>
    </row>
    <row r="761">
      <c r="A761" s="5" t="str">
        <f>IFERROR(__xludf.DUMMYFUNCTION("""COMPUTED_VALUE"""),"")</f>
        <v/>
      </c>
      <c r="B761" s="5" t="str">
        <f>IFERROR(__xludf.DUMMYFUNCTION("""COMPUTED_VALUE"""),"74356")</f>
        <v>74356</v>
      </c>
      <c r="C761" s="9">
        <f>IFERROR(__xludf.DUMMYFUNCTION("""COMPUTED_VALUE"""),4.4656001141E10)</f>
        <v>44656001141</v>
      </c>
      <c r="D761" s="87" t="str">
        <f>IFERROR(__xludf.DUMMYFUNCTION("""COMPUTED_VALUE"""),"BRK-B")</f>
        <v>BRK-B</v>
      </c>
      <c r="E761" s="193">
        <f>IFERROR(__xludf.DUMMYFUNCTION("""COMPUTED_VALUE"""),44656.0)</f>
        <v>44656</v>
      </c>
      <c r="F761" s="5" t="str">
        <f>IFERROR(__xludf.DUMMYFUNCTION("""COMPUTED_VALUE"""),"Stock")</f>
        <v>Stock</v>
      </c>
      <c r="G761" s="5" t="str">
        <f>IFERROR(__xludf.DUMMYFUNCTION("""COMPUTED_VALUE"""),"USD")</f>
        <v>USD</v>
      </c>
      <c r="H761" s="22">
        <f>IFERROR(__xludf.DUMMYFUNCTION("""COMPUTED_VALUE"""),-140.0)</f>
        <v>-140</v>
      </c>
      <c r="I761" s="194">
        <f>IFERROR(__xludf.DUMMYFUNCTION("""COMPUTED_VALUE"""),7.83386)</f>
        <v>7.83386</v>
      </c>
      <c r="J761" s="23">
        <f>IFERROR(__xludf.DUMMYFUNCTION("""COMPUTED_VALUE"""),344.8)</f>
        <v>344.8</v>
      </c>
      <c r="K761" s="5"/>
      <c r="L761" s="23">
        <f>IFERROR(__xludf.DUMMYFUNCTION("""COMPUTED_VALUE"""),346.07)</f>
        <v>346.07</v>
      </c>
      <c r="M761" s="195" t="str">
        <f>IFERROR(__xludf.DUMMYFUNCTION("""COMPUTED_VALUE"""),"Equity Key Stats")</f>
        <v>Equity Key Stats</v>
      </c>
      <c r="N761" s="5"/>
      <c r="O761" s="5"/>
      <c r="P761" s="142">
        <f>IFERROR(__xludf.DUMMYFUNCTION("""COMPUTED_VALUE"""),378156.08992)</f>
        <v>378156.0899</v>
      </c>
      <c r="Q761" s="5"/>
      <c r="R761" s="71">
        <f>IFERROR(__xludf.DUMMYFUNCTION("""COMPUTED_VALUE"""),346.07)</f>
        <v>346.07</v>
      </c>
      <c r="S761" s="142">
        <f>IFERROR(__xludf.DUMMYFUNCTION("""COMPUTED_VALUE"""),-379548.95022799994)</f>
        <v>-379548.9502</v>
      </c>
      <c r="T761" s="5">
        <f>IFERROR(__xludf.DUMMYFUNCTION("""COMPUTED_VALUE"""),4.0)</f>
        <v>4</v>
      </c>
      <c r="U761" s="5">
        <f>IFERROR(__xludf.DUMMYFUNCTION("""COMPUTED_VALUE"""),1.0)</f>
        <v>1</v>
      </c>
      <c r="V761" s="22">
        <f>IFERROR(__xludf.DUMMYFUNCTION("""COMPUTED_VALUE"""),15657.191152000101)</f>
        <v>15657.19115</v>
      </c>
      <c r="W761" s="9" t="str">
        <f>IFERROR(__xludf.DUMMYFUNCTION("""COMPUTED_VALUE"""),"")</f>
        <v/>
      </c>
      <c r="X761" s="22" t="str">
        <f>IFERROR(__xludf.DUMMYFUNCTION("""COMPUTED_VALUE"""),"")</f>
        <v/>
      </c>
      <c r="Y761" s="22" t="str">
        <f>IFERROR(__xludf.DUMMYFUNCTION("""COMPUTED_VALUE"""),"")</f>
        <v/>
      </c>
      <c r="Z761" s="24" t="str">
        <f>IFERROR(__xludf.DUMMYFUNCTION("""COMPUTED_VALUE"""),"")</f>
        <v/>
      </c>
    </row>
    <row r="762">
      <c r="A762" s="5" t="str">
        <f>IFERROR(__xludf.DUMMYFUNCTION("""COMPUTED_VALUE"""),"74356")</f>
        <v>74356</v>
      </c>
      <c r="B762" s="5" t="str">
        <f>IFERROR(__xludf.DUMMYFUNCTION("""COMPUTED_VALUE"""),"74356")</f>
        <v>74356</v>
      </c>
      <c r="C762" s="9">
        <f>IFERROR(__xludf.DUMMYFUNCTION("""COMPUTED_VALUE"""),4.4656001142E10)</f>
        <v>44656001142</v>
      </c>
      <c r="D762" s="87" t="str">
        <f>IFERROR(__xludf.DUMMYFUNCTION("""COMPUTED_VALUE"""),"AMAT")</f>
        <v>AMAT</v>
      </c>
      <c r="E762" s="193">
        <f>IFERROR(__xludf.DUMMYFUNCTION("""COMPUTED_VALUE"""),44656.0)</f>
        <v>44656</v>
      </c>
      <c r="F762" s="5" t="str">
        <f>IFERROR(__xludf.DUMMYFUNCTION("""COMPUTED_VALUE"""),"Stock")</f>
        <v>Stock</v>
      </c>
      <c r="G762" s="5" t="str">
        <f>IFERROR(__xludf.DUMMYFUNCTION("""COMPUTED_VALUE"""),"USD")</f>
        <v>USD</v>
      </c>
      <c r="H762" s="22">
        <f>IFERROR(__xludf.DUMMYFUNCTION("""COMPUTED_VALUE"""),100.0)</f>
        <v>100</v>
      </c>
      <c r="I762" s="194">
        <f>IFERROR(__xludf.DUMMYFUNCTION("""COMPUTED_VALUE"""),7.83386)</f>
        <v>7.83386</v>
      </c>
      <c r="J762" s="23">
        <f>IFERROR(__xludf.DUMMYFUNCTION("""COMPUTED_VALUE"""),121.71)</f>
        <v>121.71</v>
      </c>
      <c r="K762" s="5"/>
      <c r="L762" s="23">
        <f>IFERROR(__xludf.DUMMYFUNCTION("""COMPUTED_VALUE"""),116.86)</f>
        <v>116.86</v>
      </c>
      <c r="M762" s="195" t="str">
        <f>IFERROR(__xludf.DUMMYFUNCTION("""COMPUTED_VALUE"""),"Equity Key Stats")</f>
        <v>Equity Key Stats</v>
      </c>
      <c r="N762" s="5"/>
      <c r="O762" s="5"/>
      <c r="P762" s="142">
        <f>IFERROR(__xludf.DUMMYFUNCTION("""COMPUTED_VALUE"""),-95345.91006)</f>
        <v>-95345.91006</v>
      </c>
      <c r="Q762" s="5"/>
      <c r="R762" s="71">
        <f>IFERROR(__xludf.DUMMYFUNCTION("""COMPUTED_VALUE"""),116.86)</f>
        <v>116.86</v>
      </c>
      <c r="S762" s="142">
        <f>IFERROR(__xludf.DUMMYFUNCTION("""COMPUTED_VALUE"""),91546.48796)</f>
        <v>91546.48796</v>
      </c>
      <c r="T762" s="5">
        <f>IFERROR(__xludf.DUMMYFUNCTION("""COMPUTED_VALUE"""),4.0)</f>
        <v>4</v>
      </c>
      <c r="U762" s="5">
        <f>IFERROR(__xludf.DUMMYFUNCTION("""COMPUTED_VALUE"""),1.0)</f>
        <v>1</v>
      </c>
      <c r="V762" s="22">
        <f>IFERROR(__xludf.DUMMYFUNCTION("""COMPUTED_VALUE"""),-8491.780732500018)</f>
        <v>-8491.780733</v>
      </c>
      <c r="W762" s="9">
        <f>IFERROR(__xludf.DUMMYFUNCTION("""COMPUTED_VALUE"""),499689.7003070001)</f>
        <v>499689.7003</v>
      </c>
      <c r="X762" s="22">
        <f>IFERROR(__xludf.DUMMYFUNCTION("""COMPUTED_VALUE"""),405413.3737624999)</f>
        <v>405413.3738</v>
      </c>
      <c r="Y762" s="22">
        <f>IFERROR(__xludf.DUMMYFUNCTION("""COMPUTED_VALUE"""),0.0)</f>
        <v>0</v>
      </c>
      <c r="Z762" s="24">
        <f>IFERROR(__xludf.DUMMYFUNCTION("""COMPUTED_VALUE"""),-6.205993859997871E-4)</f>
        <v>-0.000620599386</v>
      </c>
    </row>
    <row r="763">
      <c r="A763" s="5" t="str">
        <f>IFERROR(__xludf.DUMMYFUNCTION("""COMPUTED_VALUE"""),"")</f>
        <v/>
      </c>
      <c r="B763" s="5" t="str">
        <f>IFERROR(__xludf.DUMMYFUNCTION("""COMPUTED_VALUE"""),"74641")</f>
        <v>74641</v>
      </c>
      <c r="C763" s="9">
        <f>IFERROR(__xludf.DUMMYFUNCTION("""COMPUTED_VALUE"""),4.4597000068E10)</f>
        <v>44597000068</v>
      </c>
      <c r="D763" s="85" t="str">
        <f>IFERROR(__xludf.DUMMYFUNCTION("""COMPUTED_VALUE"""),"Cash")</f>
        <v>Cash</v>
      </c>
      <c r="E763" s="193">
        <f>IFERROR(__xludf.DUMMYFUNCTION("""COMPUTED_VALUE"""),44597.0)</f>
        <v>44597</v>
      </c>
      <c r="F763" s="5" t="str">
        <f>IFERROR(__xludf.DUMMYFUNCTION("""COMPUTED_VALUE"""),"Cash")</f>
        <v>Cash</v>
      </c>
      <c r="G763" s="5" t="str">
        <f>IFERROR(__xludf.DUMMYFUNCTION("""COMPUTED_VALUE"""),"HKD")</f>
        <v>HKD</v>
      </c>
      <c r="H763" s="22" t="str">
        <f>IFERROR(__xludf.DUMMYFUNCTION("""COMPUTED_VALUE"""),"")</f>
        <v/>
      </c>
      <c r="I763" s="194">
        <f>IFERROR(__xludf.DUMMYFUNCTION("""COMPUTED_VALUE"""),1.0)</f>
        <v>1</v>
      </c>
      <c r="J763" s="5">
        <f>IFERROR(__xludf.DUMMYFUNCTION("""COMPUTED_VALUE"""),1.0)</f>
        <v>1</v>
      </c>
      <c r="K763" s="5"/>
      <c r="L763" s="23">
        <f>IFERROR(__xludf.DUMMYFUNCTION("""COMPUTED_VALUE"""),1.0)</f>
        <v>1</v>
      </c>
      <c r="M763" s="25" t="str">
        <f>IFERROR(__xludf.DUMMYFUNCTION("""COMPUTED_VALUE"""),"")</f>
        <v/>
      </c>
      <c r="N763" s="5"/>
      <c r="O763" s="5"/>
      <c r="P763" s="142">
        <f>IFERROR(__xludf.DUMMYFUNCTION("""COMPUTED_VALUE"""),500000.0)</f>
        <v>500000</v>
      </c>
      <c r="Q763" s="5"/>
      <c r="R763" s="71">
        <f>IFERROR(__xludf.DUMMYFUNCTION("""COMPUTED_VALUE"""),1.0)</f>
        <v>1</v>
      </c>
      <c r="S763" s="142" t="str">
        <f>IFERROR(__xludf.DUMMYFUNCTION("""COMPUTED_VALUE"""),"")</f>
        <v/>
      </c>
      <c r="T763" s="5">
        <f>IFERROR(__xludf.DUMMYFUNCTION("""COMPUTED_VALUE"""),1.0)</f>
        <v>1</v>
      </c>
      <c r="U763" s="5">
        <f>IFERROR(__xludf.DUMMYFUNCTION("""COMPUTED_VALUE"""),1.0)</f>
        <v>1</v>
      </c>
      <c r="V763" s="22">
        <f>IFERROR(__xludf.DUMMYFUNCTION("""COMPUTED_VALUE"""),500000.0)</f>
        <v>500000</v>
      </c>
      <c r="W763" s="9" t="str">
        <f>IFERROR(__xludf.DUMMYFUNCTION("""COMPUTED_VALUE"""),"")</f>
        <v/>
      </c>
      <c r="X763" s="22" t="str">
        <f>IFERROR(__xludf.DUMMYFUNCTION("""COMPUTED_VALUE"""),"")</f>
        <v/>
      </c>
      <c r="Y763" s="22" t="str">
        <f>IFERROR(__xludf.DUMMYFUNCTION("""COMPUTED_VALUE"""),"")</f>
        <v/>
      </c>
      <c r="Z763" s="24" t="str">
        <f>IFERROR(__xludf.DUMMYFUNCTION("""COMPUTED_VALUE"""),"")</f>
        <v/>
      </c>
    </row>
    <row r="764">
      <c r="A764" s="5" t="str">
        <f>IFERROR(__xludf.DUMMYFUNCTION("""COMPUTED_VALUE"""),"")</f>
        <v/>
      </c>
      <c r="B764" s="5" t="str">
        <f>IFERROR(__xludf.DUMMYFUNCTION("""COMPUTED_VALUE"""),"74641")</f>
        <v>74641</v>
      </c>
      <c r="C764" s="9">
        <f>IFERROR(__xludf.DUMMYFUNCTION("""COMPUTED_VALUE"""),4.4602000155E10)</f>
        <v>44602000155</v>
      </c>
      <c r="D764" s="90" t="str">
        <f>IFERROR(__xludf.DUMMYFUNCTION("""COMPUTED_VALUE"""),"601168.ss")</f>
        <v>601168.ss</v>
      </c>
      <c r="E764" s="193">
        <f>IFERROR(__xludf.DUMMYFUNCTION("""COMPUTED_VALUE"""),44602.0)</f>
        <v>44602</v>
      </c>
      <c r="F764" s="5" t="str">
        <f>IFERROR(__xludf.DUMMYFUNCTION("""COMPUTED_VALUE"""),"Stock")</f>
        <v>Stock</v>
      </c>
      <c r="G764" s="5" t="str">
        <f>IFERROR(__xludf.DUMMYFUNCTION("""COMPUTED_VALUE"""),"CNY")</f>
        <v>CNY</v>
      </c>
      <c r="H764" s="22">
        <f>IFERROR(__xludf.DUMMYFUNCTION("""COMPUTED_VALUE"""),0.0)</f>
        <v>0</v>
      </c>
      <c r="I764" s="194">
        <f>IFERROR(__xludf.DUMMYFUNCTION("""COMPUTED_VALUE"""),1.226976)</f>
        <v>1.226976</v>
      </c>
      <c r="J764" s="23">
        <f>IFERROR(__xludf.DUMMYFUNCTION("""COMPUTED_VALUE"""),0.0)</f>
        <v>0</v>
      </c>
      <c r="K764" s="5"/>
      <c r="L764" s="23">
        <f>IFERROR(__xludf.DUMMYFUNCTION("""COMPUTED_VALUE"""),14.18)</f>
        <v>14.18</v>
      </c>
      <c r="M764" s="195" t="str">
        <f>IFERROR(__xludf.DUMMYFUNCTION("""COMPUTED_VALUE"""),"Equity Key Stats")</f>
        <v>Equity Key Stats</v>
      </c>
      <c r="N764" s="5"/>
      <c r="O764" s="5"/>
      <c r="P764" s="142">
        <f>IFERROR(__xludf.DUMMYFUNCTION("""COMPUTED_VALUE"""),0.0)</f>
        <v>0</v>
      </c>
      <c r="Q764" s="5"/>
      <c r="R764" s="71">
        <f>IFERROR(__xludf.DUMMYFUNCTION("""COMPUTED_VALUE"""),14.18)</f>
        <v>14.18</v>
      </c>
      <c r="S764" s="142">
        <f>IFERROR(__xludf.DUMMYFUNCTION("""COMPUTED_VALUE"""),0.0)</f>
        <v>0</v>
      </c>
      <c r="T764" s="5">
        <f>IFERROR(__xludf.DUMMYFUNCTION("""COMPUTED_VALUE"""),1.0)</f>
        <v>1</v>
      </c>
      <c r="U764" s="5">
        <f>IFERROR(__xludf.DUMMYFUNCTION("""COMPUTED_VALUE"""),1.0)</f>
        <v>1</v>
      </c>
      <c r="V764" s="22">
        <f>IFERROR(__xludf.DUMMYFUNCTION("""COMPUTED_VALUE"""),0.0)</f>
        <v>0</v>
      </c>
      <c r="W764" s="9" t="str">
        <f>IFERROR(__xludf.DUMMYFUNCTION("""COMPUTED_VALUE"""),"")</f>
        <v/>
      </c>
      <c r="X764" s="22" t="str">
        <f>IFERROR(__xludf.DUMMYFUNCTION("""COMPUTED_VALUE"""),"")</f>
        <v/>
      </c>
      <c r="Y764" s="22" t="str">
        <f>IFERROR(__xludf.DUMMYFUNCTION("""COMPUTED_VALUE"""),"")</f>
        <v/>
      </c>
      <c r="Z764" s="24" t="str">
        <f>IFERROR(__xludf.DUMMYFUNCTION("""COMPUTED_VALUE"""),"")</f>
        <v/>
      </c>
    </row>
    <row r="765">
      <c r="A765" s="5" t="str">
        <f>IFERROR(__xludf.DUMMYFUNCTION("""COMPUTED_VALUE"""),"")</f>
        <v/>
      </c>
      <c r="B765" s="5" t="str">
        <f>IFERROR(__xludf.DUMMYFUNCTION("""COMPUTED_VALUE"""),"74641")</f>
        <v>74641</v>
      </c>
      <c r="C765" s="9">
        <f>IFERROR(__xludf.DUMMYFUNCTION("""COMPUTED_VALUE"""),4.460600018E10)</f>
        <v>44606000180</v>
      </c>
      <c r="D765" s="90" t="str">
        <f>IFERROR(__xludf.DUMMYFUNCTION("""COMPUTED_VALUE"""),"600986.ss")</f>
        <v>600986.ss</v>
      </c>
      <c r="E765" s="193">
        <f>IFERROR(__xludf.DUMMYFUNCTION("""COMPUTED_VALUE"""),44606.0)</f>
        <v>44606</v>
      </c>
      <c r="F765" s="5" t="str">
        <f>IFERROR(__xludf.DUMMYFUNCTION("""COMPUTED_VALUE"""),"Stock")</f>
        <v>Stock</v>
      </c>
      <c r="G765" s="5" t="str">
        <f>IFERROR(__xludf.DUMMYFUNCTION("""COMPUTED_VALUE"""),"CNY")</f>
        <v>CNY</v>
      </c>
      <c r="H765" s="22">
        <f>IFERROR(__xludf.DUMMYFUNCTION("""COMPUTED_VALUE"""),1000.0)</f>
        <v>1000</v>
      </c>
      <c r="I765" s="194">
        <f>IFERROR(__xludf.DUMMYFUNCTION("""COMPUTED_VALUE"""),1.227407)</f>
        <v>1.227407</v>
      </c>
      <c r="J765" s="23">
        <f>IFERROR(__xludf.DUMMYFUNCTION("""COMPUTED_VALUE"""),6.63)</f>
        <v>6.63</v>
      </c>
      <c r="K765" s="5"/>
      <c r="L765" s="23">
        <f>IFERROR(__xludf.DUMMYFUNCTION("""COMPUTED_VALUE"""),5.79)</f>
        <v>5.79</v>
      </c>
      <c r="M765" s="195" t="str">
        <f>IFERROR(__xludf.DUMMYFUNCTION("""COMPUTED_VALUE"""),"Equity Key Stats")</f>
        <v>Equity Key Stats</v>
      </c>
      <c r="N765" s="5"/>
      <c r="O765" s="5"/>
      <c r="P765" s="142">
        <f>IFERROR(__xludf.DUMMYFUNCTION("""COMPUTED_VALUE"""),-8137.708409999999)</f>
        <v>-8137.70841</v>
      </c>
      <c r="Q765" s="5"/>
      <c r="R765" s="71">
        <f>IFERROR(__xludf.DUMMYFUNCTION("""COMPUTED_VALUE"""),5.79)</f>
        <v>5.79</v>
      </c>
      <c r="S765" s="142">
        <f>IFERROR(__xludf.DUMMYFUNCTION("""COMPUTED_VALUE"""),7106.68653)</f>
        <v>7106.68653</v>
      </c>
      <c r="T765" s="5">
        <f>IFERROR(__xludf.DUMMYFUNCTION("""COMPUTED_VALUE"""),1.0)</f>
        <v>1</v>
      </c>
      <c r="U765" s="5">
        <f>IFERROR(__xludf.DUMMYFUNCTION("""COMPUTED_VALUE"""),1.0)</f>
        <v>1</v>
      </c>
      <c r="V765" s="22">
        <f>IFERROR(__xludf.DUMMYFUNCTION("""COMPUTED_VALUE"""),-1031.0218799999993)</f>
        <v>-1031.02188</v>
      </c>
      <c r="W765" s="9" t="str">
        <f>IFERROR(__xludf.DUMMYFUNCTION("""COMPUTED_VALUE"""),"")</f>
        <v/>
      </c>
      <c r="X765" s="22" t="str">
        <f>IFERROR(__xludf.DUMMYFUNCTION("""COMPUTED_VALUE"""),"")</f>
        <v/>
      </c>
      <c r="Y765" s="22" t="str">
        <f>IFERROR(__xludf.DUMMYFUNCTION("""COMPUTED_VALUE"""),"")</f>
        <v/>
      </c>
      <c r="Z765" s="24" t="str">
        <f>IFERROR(__xludf.DUMMYFUNCTION("""COMPUTED_VALUE"""),"")</f>
        <v/>
      </c>
    </row>
    <row r="766">
      <c r="A766" s="5" t="str">
        <f>IFERROR(__xludf.DUMMYFUNCTION("""COMPUTED_VALUE"""),"")</f>
        <v/>
      </c>
      <c r="B766" s="5" t="str">
        <f>IFERROR(__xludf.DUMMYFUNCTION("""COMPUTED_VALUE"""),"74641")</f>
        <v>74641</v>
      </c>
      <c r="C766" s="9">
        <f>IFERROR(__xludf.DUMMYFUNCTION("""COMPUTED_VALUE"""),4.4613000291E10)</f>
        <v>44613000291</v>
      </c>
      <c r="D766" s="90" t="str">
        <f>IFERROR(__xludf.DUMMYFUNCTION("""COMPUTED_VALUE"""),"002230.SZ")</f>
        <v>002230.SZ</v>
      </c>
      <c r="E766" s="193">
        <f>IFERROR(__xludf.DUMMYFUNCTION("""COMPUTED_VALUE"""),44613.0)</f>
        <v>44613</v>
      </c>
      <c r="F766" s="5" t="str">
        <f>IFERROR(__xludf.DUMMYFUNCTION("""COMPUTED_VALUE"""),"Stock")</f>
        <v>Stock</v>
      </c>
      <c r="G766" s="5" t="str">
        <f>IFERROR(__xludf.DUMMYFUNCTION("""COMPUTED_VALUE"""),"CNY")</f>
        <v>CNY</v>
      </c>
      <c r="H766" s="22">
        <f>IFERROR(__xludf.DUMMYFUNCTION("""COMPUTED_VALUE"""),0.0)</f>
        <v>0</v>
      </c>
      <c r="I766" s="194">
        <f>IFERROR(__xludf.DUMMYFUNCTION("""COMPUTED_VALUE"""),1.231258)</f>
        <v>1.231258</v>
      </c>
      <c r="J766" s="23">
        <f>IFERROR(__xludf.DUMMYFUNCTION("""COMPUTED_VALUE"""),0.0)</f>
        <v>0</v>
      </c>
      <c r="K766" s="5"/>
      <c r="L766" s="23">
        <f>IFERROR(__xludf.DUMMYFUNCTION("""COMPUTED_VALUE"""),41.71)</f>
        <v>41.71</v>
      </c>
      <c r="M766" s="195" t="str">
        <f>IFERROR(__xludf.DUMMYFUNCTION("""COMPUTED_VALUE"""),"Equity Key Stats")</f>
        <v>Equity Key Stats</v>
      </c>
      <c r="N766" s="5"/>
      <c r="O766" s="5"/>
      <c r="P766" s="142">
        <f>IFERROR(__xludf.DUMMYFUNCTION("""COMPUTED_VALUE"""),0.0)</f>
        <v>0</v>
      </c>
      <c r="Q766" s="5"/>
      <c r="R766" s="71">
        <f>IFERROR(__xludf.DUMMYFUNCTION("""COMPUTED_VALUE"""),41.71)</f>
        <v>41.71</v>
      </c>
      <c r="S766" s="142">
        <f>IFERROR(__xludf.DUMMYFUNCTION("""COMPUTED_VALUE"""),0.0)</f>
        <v>0</v>
      </c>
      <c r="T766" s="5">
        <f>IFERROR(__xludf.DUMMYFUNCTION("""COMPUTED_VALUE"""),1.0)</f>
        <v>1</v>
      </c>
      <c r="U766" s="5">
        <f>IFERROR(__xludf.DUMMYFUNCTION("""COMPUTED_VALUE"""),1.0)</f>
        <v>1</v>
      </c>
      <c r="V766" s="22">
        <f>IFERROR(__xludf.DUMMYFUNCTION("""COMPUTED_VALUE"""),0.0)</f>
        <v>0</v>
      </c>
      <c r="W766" s="9" t="str">
        <f>IFERROR(__xludf.DUMMYFUNCTION("""COMPUTED_VALUE"""),"")</f>
        <v/>
      </c>
      <c r="X766" s="22" t="str">
        <f>IFERROR(__xludf.DUMMYFUNCTION("""COMPUTED_VALUE"""),"")</f>
        <v/>
      </c>
      <c r="Y766" s="22" t="str">
        <f>IFERROR(__xludf.DUMMYFUNCTION("""COMPUTED_VALUE"""),"")</f>
        <v/>
      </c>
      <c r="Z766" s="24" t="str">
        <f>IFERROR(__xludf.DUMMYFUNCTION("""COMPUTED_VALUE"""),"")</f>
        <v/>
      </c>
    </row>
    <row r="767">
      <c r="A767" s="5" t="str">
        <f>IFERROR(__xludf.DUMMYFUNCTION("""COMPUTED_VALUE"""),"")</f>
        <v/>
      </c>
      <c r="B767" s="5" t="str">
        <f>IFERROR(__xludf.DUMMYFUNCTION("""COMPUTED_VALUE"""),"74641")</f>
        <v>74641</v>
      </c>
      <c r="C767" s="9">
        <f>IFERROR(__xludf.DUMMYFUNCTION("""COMPUTED_VALUE"""),4.4621000389E10)</f>
        <v>44621000389</v>
      </c>
      <c r="D767" s="90" t="str">
        <f>IFERROR(__xludf.DUMMYFUNCTION("""COMPUTED_VALUE"""),"002475.SZ")</f>
        <v>002475.SZ</v>
      </c>
      <c r="E767" s="193">
        <f>IFERROR(__xludf.DUMMYFUNCTION("""COMPUTED_VALUE"""),44621.0)</f>
        <v>44621</v>
      </c>
      <c r="F767" s="5" t="str">
        <f>IFERROR(__xludf.DUMMYFUNCTION("""COMPUTED_VALUE"""),"Stock")</f>
        <v>Stock</v>
      </c>
      <c r="G767" s="5" t="str">
        <f>IFERROR(__xludf.DUMMYFUNCTION("""COMPUTED_VALUE"""),"CNY")</f>
        <v>CNY</v>
      </c>
      <c r="H767" s="22">
        <f>IFERROR(__xludf.DUMMYFUNCTION("""COMPUTED_VALUE"""),500.0)</f>
        <v>500</v>
      </c>
      <c r="I767" s="194">
        <f>IFERROR(__xludf.DUMMYFUNCTION("""COMPUTED_VALUE"""),1.238392)</f>
        <v>1.238392</v>
      </c>
      <c r="J767" s="23">
        <f>IFERROR(__xludf.DUMMYFUNCTION("""COMPUTED_VALUE"""),43.0)</f>
        <v>43</v>
      </c>
      <c r="K767" s="5"/>
      <c r="L767" s="23">
        <f>IFERROR(__xludf.DUMMYFUNCTION("""COMPUTED_VALUE"""),28.23)</f>
        <v>28.23</v>
      </c>
      <c r="M767" s="195" t="str">
        <f>IFERROR(__xludf.DUMMYFUNCTION("""COMPUTED_VALUE"""),"Equity Key Stats")</f>
        <v>Equity Key Stats</v>
      </c>
      <c r="N767" s="5"/>
      <c r="O767" s="5"/>
      <c r="P767" s="142">
        <f>IFERROR(__xludf.DUMMYFUNCTION("""COMPUTED_VALUE"""),-26625.427999999996)</f>
        <v>-26625.428</v>
      </c>
      <c r="Q767" s="5"/>
      <c r="R767" s="71">
        <f>IFERROR(__xludf.DUMMYFUNCTION("""COMPUTED_VALUE"""),28.23)</f>
        <v>28.23</v>
      </c>
      <c r="S767" s="142">
        <f>IFERROR(__xludf.DUMMYFUNCTION("""COMPUTED_VALUE"""),17479.903079999996)</f>
        <v>17479.90308</v>
      </c>
      <c r="T767" s="5">
        <f>IFERROR(__xludf.DUMMYFUNCTION("""COMPUTED_VALUE"""),1.0)</f>
        <v>1</v>
      </c>
      <c r="U767" s="5">
        <f>IFERROR(__xludf.DUMMYFUNCTION("""COMPUTED_VALUE"""),1.0)</f>
        <v>1</v>
      </c>
      <c r="V767" s="22">
        <f>IFERROR(__xludf.DUMMYFUNCTION("""COMPUTED_VALUE"""),-9145.52492)</f>
        <v>-9145.52492</v>
      </c>
      <c r="W767" s="9" t="str">
        <f>IFERROR(__xludf.DUMMYFUNCTION("""COMPUTED_VALUE"""),"")</f>
        <v/>
      </c>
      <c r="X767" s="22" t="str">
        <f>IFERROR(__xludf.DUMMYFUNCTION("""COMPUTED_VALUE"""),"")</f>
        <v/>
      </c>
      <c r="Y767" s="22" t="str">
        <f>IFERROR(__xludf.DUMMYFUNCTION("""COMPUTED_VALUE"""),"")</f>
        <v/>
      </c>
      <c r="Z767" s="24" t="str">
        <f>IFERROR(__xludf.DUMMYFUNCTION("""COMPUTED_VALUE"""),"")</f>
        <v/>
      </c>
    </row>
    <row r="768">
      <c r="A768" s="5" t="str">
        <f>IFERROR(__xludf.DUMMYFUNCTION("""COMPUTED_VALUE"""),"")</f>
        <v/>
      </c>
      <c r="B768" s="5" t="str">
        <f>IFERROR(__xludf.DUMMYFUNCTION("""COMPUTED_VALUE"""),"74641")</f>
        <v>74641</v>
      </c>
      <c r="C768" s="9">
        <f>IFERROR(__xludf.DUMMYFUNCTION("""COMPUTED_VALUE"""),4.4649000973E10)</f>
        <v>44649000973</v>
      </c>
      <c r="D768" s="90" t="str">
        <f>IFERROR(__xludf.DUMMYFUNCTION("""COMPUTED_VALUE"""),"000568.sz")</f>
        <v>000568.sz</v>
      </c>
      <c r="E768" s="193">
        <f>IFERROR(__xludf.DUMMYFUNCTION("""COMPUTED_VALUE"""),44649.0)</f>
        <v>44649</v>
      </c>
      <c r="F768" s="5" t="str">
        <f>IFERROR(__xludf.DUMMYFUNCTION("""COMPUTED_VALUE"""),"Stock")</f>
        <v>Stock</v>
      </c>
      <c r="G768" s="5" t="str">
        <f>IFERROR(__xludf.DUMMYFUNCTION("""COMPUTED_VALUE"""),"CNY")</f>
        <v>CNY</v>
      </c>
      <c r="H768" s="22">
        <f>IFERROR(__xludf.DUMMYFUNCTION("""COMPUTED_VALUE"""),1500.0)</f>
        <v>1500</v>
      </c>
      <c r="I768" s="194">
        <f>IFERROR(__xludf.DUMMYFUNCTION("""COMPUTED_VALUE"""),1.229779)</f>
        <v>1.229779</v>
      </c>
      <c r="J768" s="23">
        <f>IFERROR(__xludf.DUMMYFUNCTION("""COMPUTED_VALUE"""),181.9)</f>
        <v>181.9</v>
      </c>
      <c r="K768" s="5"/>
      <c r="L768" s="23">
        <f>IFERROR(__xludf.DUMMYFUNCTION("""COMPUTED_VALUE"""),192.7)</f>
        <v>192.7</v>
      </c>
      <c r="M768" s="195" t="str">
        <f>IFERROR(__xludf.DUMMYFUNCTION("""COMPUTED_VALUE"""),"Equity Key Stats")</f>
        <v>Equity Key Stats</v>
      </c>
      <c r="N768" s="5"/>
      <c r="O768" s="5"/>
      <c r="P768" s="142">
        <f>IFERROR(__xludf.DUMMYFUNCTION("""COMPUTED_VALUE"""),-335545.20015)</f>
        <v>-335545.2002</v>
      </c>
      <c r="Q768" s="5"/>
      <c r="R768" s="71">
        <f>IFERROR(__xludf.DUMMYFUNCTION("""COMPUTED_VALUE"""),192.7)</f>
        <v>192.7</v>
      </c>
      <c r="S768" s="142">
        <f>IFERROR(__xludf.DUMMYFUNCTION("""COMPUTED_VALUE"""),355467.61994999996)</f>
        <v>355467.62</v>
      </c>
      <c r="T768" s="5">
        <f>IFERROR(__xludf.DUMMYFUNCTION("""COMPUTED_VALUE"""),3.0)</f>
        <v>3</v>
      </c>
      <c r="U768" s="5" t="str">
        <f>IFERROR(__xludf.DUMMYFUNCTION("""COMPUTED_VALUE"""),"")</f>
        <v/>
      </c>
      <c r="V768" s="22" t="str">
        <f>IFERROR(__xludf.DUMMYFUNCTION("""COMPUTED_VALUE"""),"")</f>
        <v/>
      </c>
      <c r="W768" s="9" t="str">
        <f>IFERROR(__xludf.DUMMYFUNCTION("""COMPUTED_VALUE"""),"")</f>
        <v/>
      </c>
      <c r="X768" s="22" t="str">
        <f>IFERROR(__xludf.DUMMYFUNCTION("""COMPUTED_VALUE"""),"")</f>
        <v/>
      </c>
      <c r="Y768" s="22" t="str">
        <f>IFERROR(__xludf.DUMMYFUNCTION("""COMPUTED_VALUE"""),"")</f>
        <v/>
      </c>
      <c r="Z768" s="24" t="str">
        <f>IFERROR(__xludf.DUMMYFUNCTION("""COMPUTED_VALUE"""),"")</f>
        <v/>
      </c>
    </row>
    <row r="769">
      <c r="A769" s="5" t="str">
        <f>IFERROR(__xludf.DUMMYFUNCTION("""COMPUTED_VALUE"""),"")</f>
        <v/>
      </c>
      <c r="B769" s="5" t="str">
        <f>IFERROR(__xludf.DUMMYFUNCTION("""COMPUTED_VALUE"""),"74641")</f>
        <v>74641</v>
      </c>
      <c r="C769" s="9">
        <f>IFERROR(__xludf.DUMMYFUNCTION("""COMPUTED_VALUE"""),4.4649000983E10)</f>
        <v>44649000983</v>
      </c>
      <c r="D769" s="90" t="str">
        <f>IFERROR(__xludf.DUMMYFUNCTION("""COMPUTED_VALUE"""),"000568.sz")</f>
        <v>000568.sz</v>
      </c>
      <c r="E769" s="193">
        <f>IFERROR(__xludf.DUMMYFUNCTION("""COMPUTED_VALUE"""),44649.0)</f>
        <v>44649</v>
      </c>
      <c r="F769" s="5" t="str">
        <f>IFERROR(__xludf.DUMMYFUNCTION("""COMPUTED_VALUE"""),"Stock")</f>
        <v>Stock</v>
      </c>
      <c r="G769" s="5" t="str">
        <f>IFERROR(__xludf.DUMMYFUNCTION("""COMPUTED_VALUE"""),"CNY")</f>
        <v>CNY</v>
      </c>
      <c r="H769" s="22">
        <f>IFERROR(__xludf.DUMMYFUNCTION("""COMPUTED_VALUE"""),1000.0)</f>
        <v>1000</v>
      </c>
      <c r="I769" s="194">
        <f>IFERROR(__xludf.DUMMYFUNCTION("""COMPUTED_VALUE"""),1.229779)</f>
        <v>1.229779</v>
      </c>
      <c r="J769" s="23">
        <f>IFERROR(__xludf.DUMMYFUNCTION("""COMPUTED_VALUE"""),178.77)</f>
        <v>178.77</v>
      </c>
      <c r="K769" s="5"/>
      <c r="L769" s="23">
        <f>IFERROR(__xludf.DUMMYFUNCTION("""COMPUTED_VALUE"""),192.7)</f>
        <v>192.7</v>
      </c>
      <c r="M769" s="195" t="str">
        <f>IFERROR(__xludf.DUMMYFUNCTION("""COMPUTED_VALUE"""),"Equity Key Stats")</f>
        <v>Equity Key Stats</v>
      </c>
      <c r="N769" s="5"/>
      <c r="O769" s="5"/>
      <c r="P769" s="142">
        <f>IFERROR(__xludf.DUMMYFUNCTION("""COMPUTED_VALUE"""),-219847.59183000002)</f>
        <v>-219847.5918</v>
      </c>
      <c r="Q769" s="5"/>
      <c r="R769" s="71">
        <f>IFERROR(__xludf.DUMMYFUNCTION("""COMPUTED_VALUE"""),192.7)</f>
        <v>192.7</v>
      </c>
      <c r="S769" s="142">
        <f>IFERROR(__xludf.DUMMYFUNCTION("""COMPUTED_VALUE"""),236978.4133)</f>
        <v>236978.4133</v>
      </c>
      <c r="T769" s="5">
        <f>IFERROR(__xludf.DUMMYFUNCTION("""COMPUTED_VALUE"""),3.0)</f>
        <v>3</v>
      </c>
      <c r="U769" s="5" t="str">
        <f>IFERROR(__xludf.DUMMYFUNCTION("""COMPUTED_VALUE"""),"")</f>
        <v/>
      </c>
      <c r="V769" s="22" t="str">
        <f>IFERROR(__xludf.DUMMYFUNCTION("""COMPUTED_VALUE"""),"")</f>
        <v/>
      </c>
      <c r="W769" s="9" t="str">
        <f>IFERROR(__xludf.DUMMYFUNCTION("""COMPUTED_VALUE"""),"")</f>
        <v/>
      </c>
      <c r="X769" s="22" t="str">
        <f>IFERROR(__xludf.DUMMYFUNCTION("""COMPUTED_VALUE"""),"")</f>
        <v/>
      </c>
      <c r="Y769" s="22" t="str">
        <f>IFERROR(__xludf.DUMMYFUNCTION("""COMPUTED_VALUE"""),"")</f>
        <v/>
      </c>
      <c r="Z769" s="24" t="str">
        <f>IFERROR(__xludf.DUMMYFUNCTION("""COMPUTED_VALUE"""),"")</f>
        <v/>
      </c>
    </row>
    <row r="770">
      <c r="A770" s="5" t="str">
        <f>IFERROR(__xludf.DUMMYFUNCTION("""COMPUTED_VALUE"""),"74641")</f>
        <v>74641</v>
      </c>
      <c r="B770" s="5" t="str">
        <f>IFERROR(__xludf.DUMMYFUNCTION("""COMPUTED_VALUE"""),"74641")</f>
        <v>74641</v>
      </c>
      <c r="C770" s="9">
        <f>IFERROR(__xludf.DUMMYFUNCTION("""COMPUTED_VALUE"""),4.4650001025E10)</f>
        <v>44650001025</v>
      </c>
      <c r="D770" s="90" t="str">
        <f>IFERROR(__xludf.DUMMYFUNCTION("""COMPUTED_VALUE"""),"000568.sz")</f>
        <v>000568.sz</v>
      </c>
      <c r="E770" s="193">
        <f>IFERROR(__xludf.DUMMYFUNCTION("""COMPUTED_VALUE"""),44650.0)</f>
        <v>44650</v>
      </c>
      <c r="F770" s="5" t="str">
        <f>IFERROR(__xludf.DUMMYFUNCTION("""COMPUTED_VALUE"""),"Stock")</f>
        <v>Stock</v>
      </c>
      <c r="G770" s="5" t="str">
        <f>IFERROR(__xludf.DUMMYFUNCTION("""COMPUTED_VALUE"""),"CNY")</f>
        <v>CNY</v>
      </c>
      <c r="H770" s="22">
        <f>IFERROR(__xludf.DUMMYFUNCTION("""COMPUTED_VALUE"""),0.0)</f>
        <v>0</v>
      </c>
      <c r="I770" s="194">
        <f>IFERROR(__xludf.DUMMYFUNCTION("""COMPUTED_VALUE"""),1.23338)</f>
        <v>1.23338</v>
      </c>
      <c r="J770" s="23">
        <f>IFERROR(__xludf.DUMMYFUNCTION("""COMPUTED_VALUE"""),0.0)</f>
        <v>0</v>
      </c>
      <c r="K770" s="5"/>
      <c r="L770" s="23">
        <f>IFERROR(__xludf.DUMMYFUNCTION("""COMPUTED_VALUE"""),192.7)</f>
        <v>192.7</v>
      </c>
      <c r="M770" s="195" t="str">
        <f>IFERROR(__xludf.DUMMYFUNCTION("""COMPUTED_VALUE"""),"Equity Key Stats")</f>
        <v>Equity Key Stats</v>
      </c>
      <c r="N770" s="5"/>
      <c r="O770" s="5"/>
      <c r="P770" s="142">
        <f>IFERROR(__xludf.DUMMYFUNCTION("""COMPUTED_VALUE"""),0.0)</f>
        <v>0</v>
      </c>
      <c r="Q770" s="5"/>
      <c r="R770" s="71">
        <f>IFERROR(__xludf.DUMMYFUNCTION("""COMPUTED_VALUE"""),192.7)</f>
        <v>192.7</v>
      </c>
      <c r="S770" s="142">
        <f>IFERROR(__xludf.DUMMYFUNCTION("""COMPUTED_VALUE"""),0.0)</f>
        <v>0</v>
      </c>
      <c r="T770" s="5">
        <f>IFERROR(__xludf.DUMMYFUNCTION("""COMPUTED_VALUE"""),3.0)</f>
        <v>3</v>
      </c>
      <c r="U770" s="5">
        <f>IFERROR(__xludf.DUMMYFUNCTION("""COMPUTED_VALUE"""),1.0)</f>
        <v>1</v>
      </c>
      <c r="V770" s="22">
        <f>IFERROR(__xludf.DUMMYFUNCTION("""COMPUTED_VALUE"""),37053.24127)</f>
        <v>37053.24127</v>
      </c>
      <c r="W770" s="9">
        <f>IFERROR(__xludf.DUMMYFUNCTION("""COMPUTED_VALUE"""),526876.69447)</f>
        <v>526876.6945</v>
      </c>
      <c r="X770" s="22">
        <f>IFERROR(__xludf.DUMMYFUNCTION("""COMPUTED_VALUE"""),-90155.92839000002)</f>
        <v>-90155.92839</v>
      </c>
      <c r="Y770" s="22">
        <f>IFERROR(__xludf.DUMMYFUNCTION("""COMPUTED_VALUE"""),90155.92839000002)</f>
        <v>90155.92839</v>
      </c>
      <c r="Z770" s="24">
        <f>IFERROR(__xludf.DUMMYFUNCTION("""COMPUTED_VALUE"""),0.053753388939999924)</f>
        <v>0.05375338894</v>
      </c>
    </row>
    <row r="771">
      <c r="A771" s="5" t="str">
        <f>IFERROR(__xludf.DUMMYFUNCTION("""COMPUTED_VALUE"""),"")</f>
        <v/>
      </c>
      <c r="B771" s="5" t="str">
        <f>IFERROR(__xludf.DUMMYFUNCTION("""COMPUTED_VALUE"""),"74972")</f>
        <v>74972</v>
      </c>
      <c r="C771" s="9">
        <f>IFERROR(__xludf.DUMMYFUNCTION("""COMPUTED_VALUE"""),4.4597000013E10)</f>
        <v>44597000013</v>
      </c>
      <c r="D771" s="85" t="str">
        <f>IFERROR(__xludf.DUMMYFUNCTION("""COMPUTED_VALUE"""),"Cash")</f>
        <v>Cash</v>
      </c>
      <c r="E771" s="193">
        <f>IFERROR(__xludf.DUMMYFUNCTION("""COMPUTED_VALUE"""),44597.0)</f>
        <v>44597</v>
      </c>
      <c r="F771" s="5" t="str">
        <f>IFERROR(__xludf.DUMMYFUNCTION("""COMPUTED_VALUE"""),"Cash")</f>
        <v>Cash</v>
      </c>
      <c r="G771" s="5" t="str">
        <f>IFERROR(__xludf.DUMMYFUNCTION("""COMPUTED_VALUE"""),"HKD")</f>
        <v>HKD</v>
      </c>
      <c r="H771" s="22" t="str">
        <f>IFERROR(__xludf.DUMMYFUNCTION("""COMPUTED_VALUE"""),"")</f>
        <v/>
      </c>
      <c r="I771" s="194">
        <f>IFERROR(__xludf.DUMMYFUNCTION("""COMPUTED_VALUE"""),1.0)</f>
        <v>1</v>
      </c>
      <c r="J771" s="5">
        <f>IFERROR(__xludf.DUMMYFUNCTION("""COMPUTED_VALUE"""),1.0)</f>
        <v>1</v>
      </c>
      <c r="K771" s="5"/>
      <c r="L771" s="23">
        <f>IFERROR(__xludf.DUMMYFUNCTION("""COMPUTED_VALUE"""),1.0)</f>
        <v>1</v>
      </c>
      <c r="M771" s="25" t="str">
        <f>IFERROR(__xludf.DUMMYFUNCTION("""COMPUTED_VALUE"""),"")</f>
        <v/>
      </c>
      <c r="N771" s="5"/>
      <c r="O771" s="5"/>
      <c r="P771" s="142">
        <f>IFERROR(__xludf.DUMMYFUNCTION("""COMPUTED_VALUE"""),500000.0)</f>
        <v>500000</v>
      </c>
      <c r="Q771" s="5"/>
      <c r="R771" s="71">
        <f>IFERROR(__xludf.DUMMYFUNCTION("""COMPUTED_VALUE"""),1.0)</f>
        <v>1</v>
      </c>
      <c r="S771" s="142" t="str">
        <f>IFERROR(__xludf.DUMMYFUNCTION("""COMPUTED_VALUE"""),"")</f>
        <v/>
      </c>
      <c r="T771" s="5">
        <f>IFERROR(__xludf.DUMMYFUNCTION("""COMPUTED_VALUE"""),1.0)</f>
        <v>1</v>
      </c>
      <c r="U771" s="5">
        <f>IFERROR(__xludf.DUMMYFUNCTION("""COMPUTED_VALUE"""),1.0)</f>
        <v>1</v>
      </c>
      <c r="V771" s="22">
        <f>IFERROR(__xludf.DUMMYFUNCTION("""COMPUTED_VALUE"""),500000.0)</f>
        <v>500000</v>
      </c>
      <c r="W771" s="9" t="str">
        <f>IFERROR(__xludf.DUMMYFUNCTION("""COMPUTED_VALUE"""),"")</f>
        <v/>
      </c>
      <c r="X771" s="22" t="str">
        <f>IFERROR(__xludf.DUMMYFUNCTION("""COMPUTED_VALUE"""),"")</f>
        <v/>
      </c>
      <c r="Y771" s="22" t="str">
        <f>IFERROR(__xludf.DUMMYFUNCTION("""COMPUTED_VALUE"""),"")</f>
        <v/>
      </c>
      <c r="Z771" s="24" t="str">
        <f>IFERROR(__xludf.DUMMYFUNCTION("""COMPUTED_VALUE"""),"")</f>
        <v/>
      </c>
    </row>
    <row r="772">
      <c r="A772" s="5" t="str">
        <f>IFERROR(__xludf.DUMMYFUNCTION("""COMPUTED_VALUE"""),"74972")</f>
        <v>74972</v>
      </c>
      <c r="B772" s="5" t="str">
        <f>IFERROR(__xludf.DUMMYFUNCTION("""COMPUTED_VALUE"""),"74972")</f>
        <v>74972</v>
      </c>
      <c r="C772" s="9">
        <f>IFERROR(__xludf.DUMMYFUNCTION("""COMPUTED_VALUE"""),4.4664001472E10)</f>
        <v>44664001472</v>
      </c>
      <c r="D772" s="85" t="str">
        <f>IFERROR(__xludf.DUMMYFUNCTION("""COMPUTED_VALUE"""),"TSLA")</f>
        <v>TSLA</v>
      </c>
      <c r="E772" s="193">
        <f>IFERROR(__xludf.DUMMYFUNCTION("""COMPUTED_VALUE"""),44664.0)</f>
        <v>44664</v>
      </c>
      <c r="F772" s="5" t="str">
        <f>IFERROR(__xludf.DUMMYFUNCTION("""COMPUTED_VALUE"""),"Stock")</f>
        <v>Stock</v>
      </c>
      <c r="G772" s="5" t="str">
        <f>IFERROR(__xludf.DUMMYFUNCTION("""COMPUTED_VALUE"""),"USD")</f>
        <v>USD</v>
      </c>
      <c r="H772" s="22">
        <f>IFERROR(__xludf.DUMMYFUNCTION("""COMPUTED_VALUE"""),0.0)</f>
        <v>0</v>
      </c>
      <c r="I772" s="194">
        <f>IFERROR(__xludf.DUMMYFUNCTION("""COMPUTED_VALUE"""),7.83915)</f>
        <v>7.83915</v>
      </c>
      <c r="J772" s="23">
        <f>IFERROR(__xludf.DUMMYFUNCTION("""COMPUTED_VALUE"""),0.0)</f>
        <v>0</v>
      </c>
      <c r="K772" s="5"/>
      <c r="L772" s="23">
        <f>IFERROR(__xludf.DUMMYFUNCTION("""COMPUTED_VALUE"""),1022.37)</f>
        <v>1022.37</v>
      </c>
      <c r="M772" s="195" t="str">
        <f>IFERROR(__xludf.DUMMYFUNCTION("""COMPUTED_VALUE"""),"Equity Key Stats")</f>
        <v>Equity Key Stats</v>
      </c>
      <c r="N772" s="5"/>
      <c r="O772" s="5"/>
      <c r="P772" s="142">
        <f>IFERROR(__xludf.DUMMYFUNCTION("""COMPUTED_VALUE"""),0.0)</f>
        <v>0</v>
      </c>
      <c r="Q772" s="5"/>
      <c r="R772" s="71">
        <f>IFERROR(__xludf.DUMMYFUNCTION("""COMPUTED_VALUE"""),1022.37)</f>
        <v>1022.37</v>
      </c>
      <c r="S772" s="142">
        <f>IFERROR(__xludf.DUMMYFUNCTION("""COMPUTED_VALUE"""),0.0)</f>
        <v>0</v>
      </c>
      <c r="T772" s="5">
        <f>IFERROR(__xludf.DUMMYFUNCTION("""COMPUTED_VALUE"""),1.0)</f>
        <v>1</v>
      </c>
      <c r="U772" s="5">
        <f>IFERROR(__xludf.DUMMYFUNCTION("""COMPUTED_VALUE"""),1.0)</f>
        <v>1</v>
      </c>
      <c r="V772" s="22">
        <f>IFERROR(__xludf.DUMMYFUNCTION("""COMPUTED_VALUE"""),0.0)</f>
        <v>0</v>
      </c>
      <c r="W772" s="9">
        <f>IFERROR(__xludf.DUMMYFUNCTION("""COMPUTED_VALUE"""),500000.0)</f>
        <v>500000</v>
      </c>
      <c r="X772" s="22">
        <f>IFERROR(__xludf.DUMMYFUNCTION("""COMPUTED_VALUE"""),500000.0)</f>
        <v>500000</v>
      </c>
      <c r="Y772" s="22">
        <f>IFERROR(__xludf.DUMMYFUNCTION("""COMPUTED_VALUE"""),0.0)</f>
        <v>0</v>
      </c>
      <c r="Z772" s="24">
        <f>IFERROR(__xludf.DUMMYFUNCTION("""COMPUTED_VALUE"""),0.0)</f>
        <v>0</v>
      </c>
    </row>
    <row r="773">
      <c r="A773" s="5" t="str">
        <f>IFERROR(__xludf.DUMMYFUNCTION("""COMPUTED_VALUE"""),"75005")</f>
        <v>75005</v>
      </c>
      <c r="B773" s="5" t="str">
        <f>IFERROR(__xludf.DUMMYFUNCTION("""COMPUTED_VALUE"""),"75005")</f>
        <v>75005</v>
      </c>
      <c r="C773" s="9">
        <f>IFERROR(__xludf.DUMMYFUNCTION("""COMPUTED_VALUE"""),4.45970001E10)</f>
        <v>44597000100</v>
      </c>
      <c r="D773" s="85" t="str">
        <f>IFERROR(__xludf.DUMMYFUNCTION("""COMPUTED_VALUE"""),"Cash")</f>
        <v>Cash</v>
      </c>
      <c r="E773" s="193">
        <f>IFERROR(__xludf.DUMMYFUNCTION("""COMPUTED_VALUE"""),44597.0)</f>
        <v>44597</v>
      </c>
      <c r="F773" s="5" t="str">
        <f>IFERROR(__xludf.DUMMYFUNCTION("""COMPUTED_VALUE"""),"Cash")</f>
        <v>Cash</v>
      </c>
      <c r="G773" s="5" t="str">
        <f>IFERROR(__xludf.DUMMYFUNCTION("""COMPUTED_VALUE"""),"HKD")</f>
        <v>HKD</v>
      </c>
      <c r="H773" s="22" t="str">
        <f>IFERROR(__xludf.DUMMYFUNCTION("""COMPUTED_VALUE"""),"")</f>
        <v/>
      </c>
      <c r="I773" s="194">
        <f>IFERROR(__xludf.DUMMYFUNCTION("""COMPUTED_VALUE"""),1.0)</f>
        <v>1</v>
      </c>
      <c r="J773" s="5">
        <f>IFERROR(__xludf.DUMMYFUNCTION("""COMPUTED_VALUE"""),1.0)</f>
        <v>1</v>
      </c>
      <c r="K773" s="5"/>
      <c r="L773" s="23">
        <f>IFERROR(__xludf.DUMMYFUNCTION("""COMPUTED_VALUE"""),1.0)</f>
        <v>1</v>
      </c>
      <c r="M773" s="25" t="str">
        <f>IFERROR(__xludf.DUMMYFUNCTION("""COMPUTED_VALUE"""),"")</f>
        <v/>
      </c>
      <c r="N773" s="5"/>
      <c r="O773" s="5"/>
      <c r="P773" s="142">
        <f>IFERROR(__xludf.DUMMYFUNCTION("""COMPUTED_VALUE"""),500000.0)</f>
        <v>500000</v>
      </c>
      <c r="Q773" s="5"/>
      <c r="R773" s="71">
        <f>IFERROR(__xludf.DUMMYFUNCTION("""COMPUTED_VALUE"""),1.0)</f>
        <v>1</v>
      </c>
      <c r="S773" s="142" t="str">
        <f>IFERROR(__xludf.DUMMYFUNCTION("""COMPUTED_VALUE"""),"")</f>
        <v/>
      </c>
      <c r="T773" s="5">
        <f>IFERROR(__xludf.DUMMYFUNCTION("""COMPUTED_VALUE"""),1.0)</f>
        <v>1</v>
      </c>
      <c r="U773" s="5">
        <f>IFERROR(__xludf.DUMMYFUNCTION("""COMPUTED_VALUE"""),1.0)</f>
        <v>1</v>
      </c>
      <c r="V773" s="22">
        <f>IFERROR(__xludf.DUMMYFUNCTION("""COMPUTED_VALUE"""),500000.0)</f>
        <v>500000</v>
      </c>
      <c r="W773" s="9">
        <f>IFERROR(__xludf.DUMMYFUNCTION("""COMPUTED_VALUE"""),500000.0)</f>
        <v>500000</v>
      </c>
      <c r="X773" s="22">
        <f>IFERROR(__xludf.DUMMYFUNCTION("""COMPUTED_VALUE"""),500000.0)</f>
        <v>500000</v>
      </c>
      <c r="Y773" s="22">
        <f>IFERROR(__xludf.DUMMYFUNCTION("""COMPUTED_VALUE"""),0.0)</f>
        <v>0</v>
      </c>
      <c r="Z773" s="24">
        <f>IFERROR(__xludf.DUMMYFUNCTION("""COMPUTED_VALUE"""),0.0)</f>
        <v>0</v>
      </c>
    </row>
    <row r="774">
      <c r="A774" s="5" t="str">
        <f>IFERROR(__xludf.DUMMYFUNCTION("""COMPUTED_VALUE"""),"")</f>
        <v/>
      </c>
      <c r="B774" s="5" t="str">
        <f>IFERROR(__xludf.DUMMYFUNCTION("""COMPUTED_VALUE"""),"75076")</f>
        <v>75076</v>
      </c>
      <c r="C774" s="9">
        <f>IFERROR(__xludf.DUMMYFUNCTION("""COMPUTED_VALUE"""),4.4597000107E10)</f>
        <v>44597000107</v>
      </c>
      <c r="D774" s="85" t="str">
        <f>IFERROR(__xludf.DUMMYFUNCTION("""COMPUTED_VALUE"""),"Cash")</f>
        <v>Cash</v>
      </c>
      <c r="E774" s="193">
        <f>IFERROR(__xludf.DUMMYFUNCTION("""COMPUTED_VALUE"""),44597.0)</f>
        <v>44597</v>
      </c>
      <c r="F774" s="5" t="str">
        <f>IFERROR(__xludf.DUMMYFUNCTION("""COMPUTED_VALUE"""),"Cash")</f>
        <v>Cash</v>
      </c>
      <c r="G774" s="5" t="str">
        <f>IFERROR(__xludf.DUMMYFUNCTION("""COMPUTED_VALUE"""),"HKD")</f>
        <v>HKD</v>
      </c>
      <c r="H774" s="22" t="str">
        <f>IFERROR(__xludf.DUMMYFUNCTION("""COMPUTED_VALUE"""),"")</f>
        <v/>
      </c>
      <c r="I774" s="194">
        <f>IFERROR(__xludf.DUMMYFUNCTION("""COMPUTED_VALUE"""),1.0)</f>
        <v>1</v>
      </c>
      <c r="J774" s="5">
        <f>IFERROR(__xludf.DUMMYFUNCTION("""COMPUTED_VALUE"""),1.0)</f>
        <v>1</v>
      </c>
      <c r="K774" s="5"/>
      <c r="L774" s="23">
        <f>IFERROR(__xludf.DUMMYFUNCTION("""COMPUTED_VALUE"""),1.0)</f>
        <v>1</v>
      </c>
      <c r="M774" s="25" t="str">
        <f>IFERROR(__xludf.DUMMYFUNCTION("""COMPUTED_VALUE"""),"")</f>
        <v/>
      </c>
      <c r="N774" s="5"/>
      <c r="O774" s="5"/>
      <c r="P774" s="142">
        <f>IFERROR(__xludf.DUMMYFUNCTION("""COMPUTED_VALUE"""),500000.0)</f>
        <v>500000</v>
      </c>
      <c r="Q774" s="5"/>
      <c r="R774" s="71">
        <f>IFERROR(__xludf.DUMMYFUNCTION("""COMPUTED_VALUE"""),1.0)</f>
        <v>1</v>
      </c>
      <c r="S774" s="142" t="str">
        <f>IFERROR(__xludf.DUMMYFUNCTION("""COMPUTED_VALUE"""),"")</f>
        <v/>
      </c>
      <c r="T774" s="5">
        <f>IFERROR(__xludf.DUMMYFUNCTION("""COMPUTED_VALUE"""),1.0)</f>
        <v>1</v>
      </c>
      <c r="U774" s="5">
        <f>IFERROR(__xludf.DUMMYFUNCTION("""COMPUTED_VALUE"""),1.0)</f>
        <v>1</v>
      </c>
      <c r="V774" s="22">
        <f>IFERROR(__xludf.DUMMYFUNCTION("""COMPUTED_VALUE"""),500000.0)</f>
        <v>500000</v>
      </c>
      <c r="W774" s="9" t="str">
        <f>IFERROR(__xludf.DUMMYFUNCTION("""COMPUTED_VALUE"""),"")</f>
        <v/>
      </c>
      <c r="X774" s="22" t="str">
        <f>IFERROR(__xludf.DUMMYFUNCTION("""COMPUTED_VALUE"""),"")</f>
        <v/>
      </c>
      <c r="Y774" s="22" t="str">
        <f>IFERROR(__xludf.DUMMYFUNCTION("""COMPUTED_VALUE"""),"")</f>
        <v/>
      </c>
      <c r="Z774" s="24" t="str">
        <f>IFERROR(__xludf.DUMMYFUNCTION("""COMPUTED_VALUE"""),"")</f>
        <v/>
      </c>
    </row>
    <row r="775">
      <c r="A775" s="5" t="str">
        <f>IFERROR(__xludf.DUMMYFUNCTION("""COMPUTED_VALUE"""),"")</f>
        <v/>
      </c>
      <c r="B775" s="5" t="str">
        <f>IFERROR(__xludf.DUMMYFUNCTION("""COMPUTED_VALUE"""),"75076")</f>
        <v>75076</v>
      </c>
      <c r="C775" s="9">
        <f>IFERROR(__xludf.DUMMYFUNCTION("""COMPUTED_VALUE"""),4.4603000172E10)</f>
        <v>44603000172</v>
      </c>
      <c r="D775" s="87" t="str">
        <f>IFERROR(__xludf.DUMMYFUNCTION("""COMPUTED_VALUE"""),"XLE")</f>
        <v>XLE</v>
      </c>
      <c r="E775" s="193">
        <f>IFERROR(__xludf.DUMMYFUNCTION("""COMPUTED_VALUE"""),44603.0)</f>
        <v>44603</v>
      </c>
      <c r="F775" s="5" t="str">
        <f>IFERROR(__xludf.DUMMYFUNCTION("""COMPUTED_VALUE"""),"Stock")</f>
        <v>Stock</v>
      </c>
      <c r="G775" s="5" t="str">
        <f>IFERROR(__xludf.DUMMYFUNCTION("""COMPUTED_VALUE"""),"USD")</f>
        <v>USD</v>
      </c>
      <c r="H775" s="22">
        <f>IFERROR(__xludf.DUMMYFUNCTION("""COMPUTED_VALUE"""),800.0)</f>
        <v>800</v>
      </c>
      <c r="I775" s="194">
        <f>IFERROR(__xludf.DUMMYFUNCTION("""COMPUTED_VALUE"""),7.800485)</f>
        <v>7.800485</v>
      </c>
      <c r="J775" s="23">
        <f>IFERROR(__xludf.DUMMYFUNCTION("""COMPUTED_VALUE"""),70.41)</f>
        <v>70.41</v>
      </c>
      <c r="K775" s="5"/>
      <c r="L775" s="23">
        <f>IFERROR(__xludf.DUMMYFUNCTION("""COMPUTED_VALUE"""),79.6)</f>
        <v>79.6</v>
      </c>
      <c r="M775" s="195" t="str">
        <f>IFERROR(__xludf.DUMMYFUNCTION("""COMPUTED_VALUE"""),"Equity Key Stats")</f>
        <v>Equity Key Stats</v>
      </c>
      <c r="N775" s="5"/>
      <c r="O775" s="5"/>
      <c r="P775" s="142">
        <f>IFERROR(__xludf.DUMMYFUNCTION("""COMPUTED_VALUE"""),-439385.71907999995)</f>
        <v>-439385.7191</v>
      </c>
      <c r="Q775" s="5"/>
      <c r="R775" s="71">
        <f>IFERROR(__xludf.DUMMYFUNCTION("""COMPUTED_VALUE"""),79.6)</f>
        <v>79.6</v>
      </c>
      <c r="S775" s="142">
        <f>IFERROR(__xludf.DUMMYFUNCTION("""COMPUTED_VALUE"""),496734.88479999994)</f>
        <v>496734.8848</v>
      </c>
      <c r="T775" s="5">
        <f>IFERROR(__xludf.DUMMYFUNCTION("""COMPUTED_VALUE"""),2.0)</f>
        <v>2</v>
      </c>
      <c r="U775" s="5" t="str">
        <f>IFERROR(__xludf.DUMMYFUNCTION("""COMPUTED_VALUE"""),"")</f>
        <v/>
      </c>
      <c r="V775" s="22" t="str">
        <f>IFERROR(__xludf.DUMMYFUNCTION("""COMPUTED_VALUE"""),"")</f>
        <v/>
      </c>
      <c r="W775" s="9" t="str">
        <f>IFERROR(__xludf.DUMMYFUNCTION("""COMPUTED_VALUE"""),"")</f>
        <v/>
      </c>
      <c r="X775" s="22" t="str">
        <f>IFERROR(__xludf.DUMMYFUNCTION("""COMPUTED_VALUE"""),"")</f>
        <v/>
      </c>
      <c r="Y775" s="22" t="str">
        <f>IFERROR(__xludf.DUMMYFUNCTION("""COMPUTED_VALUE"""),"")</f>
        <v/>
      </c>
      <c r="Z775" s="24" t="str">
        <f>IFERROR(__xludf.DUMMYFUNCTION("""COMPUTED_VALUE"""),"")</f>
        <v/>
      </c>
    </row>
    <row r="776">
      <c r="A776" s="5" t="str">
        <f>IFERROR(__xludf.DUMMYFUNCTION("""COMPUTED_VALUE"""),"75076")</f>
        <v>75076</v>
      </c>
      <c r="B776" s="5" t="str">
        <f>IFERROR(__xludf.DUMMYFUNCTION("""COMPUTED_VALUE"""),"75076")</f>
        <v>75076</v>
      </c>
      <c r="C776" s="9">
        <f>IFERROR(__xludf.DUMMYFUNCTION("""COMPUTED_VALUE"""),4.4650001034E10)</f>
        <v>44650001034</v>
      </c>
      <c r="D776" s="87" t="str">
        <f>IFERROR(__xludf.DUMMYFUNCTION("""COMPUTED_VALUE"""),"XLE")</f>
        <v>XLE</v>
      </c>
      <c r="E776" s="193">
        <f>IFERROR(__xludf.DUMMYFUNCTION("""COMPUTED_VALUE"""),44650.0)</f>
        <v>44650</v>
      </c>
      <c r="F776" s="5" t="str">
        <f>IFERROR(__xludf.DUMMYFUNCTION("""COMPUTED_VALUE"""),"Stock")</f>
        <v>Stock</v>
      </c>
      <c r="G776" s="5" t="str">
        <f>IFERROR(__xludf.DUMMYFUNCTION("""COMPUTED_VALUE"""),"USD")</f>
        <v>USD</v>
      </c>
      <c r="H776" s="22">
        <f>IFERROR(__xludf.DUMMYFUNCTION("""COMPUTED_VALUE"""),0.0)</f>
        <v>0</v>
      </c>
      <c r="I776" s="194">
        <f>IFERROR(__xludf.DUMMYFUNCTION("""COMPUTED_VALUE"""),7.82725)</f>
        <v>7.82725</v>
      </c>
      <c r="J776" s="23">
        <f>IFERROR(__xludf.DUMMYFUNCTION("""COMPUTED_VALUE"""),0.0)</f>
        <v>0</v>
      </c>
      <c r="K776" s="5"/>
      <c r="L776" s="23">
        <f>IFERROR(__xludf.DUMMYFUNCTION("""COMPUTED_VALUE"""),79.6)</f>
        <v>79.6</v>
      </c>
      <c r="M776" s="195" t="str">
        <f>IFERROR(__xludf.DUMMYFUNCTION("""COMPUTED_VALUE"""),"Equity Key Stats")</f>
        <v>Equity Key Stats</v>
      </c>
      <c r="N776" s="5"/>
      <c r="O776" s="5"/>
      <c r="P776" s="142">
        <f>IFERROR(__xludf.DUMMYFUNCTION("""COMPUTED_VALUE"""),0.0)</f>
        <v>0</v>
      </c>
      <c r="Q776" s="5"/>
      <c r="R776" s="71">
        <f>IFERROR(__xludf.DUMMYFUNCTION("""COMPUTED_VALUE"""),79.6)</f>
        <v>79.6</v>
      </c>
      <c r="S776" s="142">
        <f>IFERROR(__xludf.DUMMYFUNCTION("""COMPUTED_VALUE"""),0.0)</f>
        <v>0</v>
      </c>
      <c r="T776" s="5">
        <f>IFERROR(__xludf.DUMMYFUNCTION("""COMPUTED_VALUE"""),2.0)</f>
        <v>2</v>
      </c>
      <c r="U776" s="5">
        <f>IFERROR(__xludf.DUMMYFUNCTION("""COMPUTED_VALUE"""),1.0)</f>
        <v>1</v>
      </c>
      <c r="V776" s="22">
        <f>IFERROR(__xludf.DUMMYFUNCTION("""COMPUTED_VALUE"""),57349.16571999999)</f>
        <v>57349.16572</v>
      </c>
      <c r="W776" s="9">
        <f>IFERROR(__xludf.DUMMYFUNCTION("""COMPUTED_VALUE"""),557349.1657199999)</f>
        <v>557349.1657</v>
      </c>
      <c r="X776" s="22">
        <f>IFERROR(__xludf.DUMMYFUNCTION("""COMPUTED_VALUE"""),60614.28091999999)</f>
        <v>60614.28092</v>
      </c>
      <c r="Y776" s="22">
        <f>IFERROR(__xludf.DUMMYFUNCTION("""COMPUTED_VALUE"""),0.0)</f>
        <v>0</v>
      </c>
      <c r="Z776" s="24">
        <f>IFERROR(__xludf.DUMMYFUNCTION("""COMPUTED_VALUE"""),0.11469833143999986)</f>
        <v>0.1146983314</v>
      </c>
    </row>
    <row r="777">
      <c r="A777" s="5" t="str">
        <f>IFERROR(__xludf.DUMMYFUNCTION("""COMPUTED_VALUE"""),"")</f>
        <v/>
      </c>
      <c r="B777" s="5" t="str">
        <f>IFERROR(__xludf.DUMMYFUNCTION("""COMPUTED_VALUE"""),"75288")</f>
        <v>75288</v>
      </c>
      <c r="C777" s="9">
        <f>IFERROR(__xludf.DUMMYFUNCTION("""COMPUTED_VALUE"""),4.4597000023E10)</f>
        <v>44597000023</v>
      </c>
      <c r="D777" s="85" t="str">
        <f>IFERROR(__xludf.DUMMYFUNCTION("""COMPUTED_VALUE"""),"Cash")</f>
        <v>Cash</v>
      </c>
      <c r="E777" s="193">
        <f>IFERROR(__xludf.DUMMYFUNCTION("""COMPUTED_VALUE"""),44597.0)</f>
        <v>44597</v>
      </c>
      <c r="F777" s="5" t="str">
        <f>IFERROR(__xludf.DUMMYFUNCTION("""COMPUTED_VALUE"""),"Cash")</f>
        <v>Cash</v>
      </c>
      <c r="G777" s="5" t="str">
        <f>IFERROR(__xludf.DUMMYFUNCTION("""COMPUTED_VALUE"""),"HKD")</f>
        <v>HKD</v>
      </c>
      <c r="H777" s="22" t="str">
        <f>IFERROR(__xludf.DUMMYFUNCTION("""COMPUTED_VALUE"""),"")</f>
        <v/>
      </c>
      <c r="I777" s="194">
        <f>IFERROR(__xludf.DUMMYFUNCTION("""COMPUTED_VALUE"""),1.0)</f>
        <v>1</v>
      </c>
      <c r="J777" s="5">
        <f>IFERROR(__xludf.DUMMYFUNCTION("""COMPUTED_VALUE"""),1.0)</f>
        <v>1</v>
      </c>
      <c r="K777" s="5"/>
      <c r="L777" s="23">
        <f>IFERROR(__xludf.DUMMYFUNCTION("""COMPUTED_VALUE"""),1.0)</f>
        <v>1</v>
      </c>
      <c r="M777" s="25" t="str">
        <f>IFERROR(__xludf.DUMMYFUNCTION("""COMPUTED_VALUE"""),"")</f>
        <v/>
      </c>
      <c r="N777" s="5"/>
      <c r="O777" s="5"/>
      <c r="P777" s="142">
        <f>IFERROR(__xludf.DUMMYFUNCTION("""COMPUTED_VALUE"""),500000.0)</f>
        <v>500000</v>
      </c>
      <c r="Q777" s="5"/>
      <c r="R777" s="71">
        <f>IFERROR(__xludf.DUMMYFUNCTION("""COMPUTED_VALUE"""),1.0)</f>
        <v>1</v>
      </c>
      <c r="S777" s="142" t="str">
        <f>IFERROR(__xludf.DUMMYFUNCTION("""COMPUTED_VALUE"""),"")</f>
        <v/>
      </c>
      <c r="T777" s="5">
        <f>IFERROR(__xludf.DUMMYFUNCTION("""COMPUTED_VALUE"""),1.0)</f>
        <v>1</v>
      </c>
      <c r="U777" s="5">
        <f>IFERROR(__xludf.DUMMYFUNCTION("""COMPUTED_VALUE"""),1.0)</f>
        <v>1</v>
      </c>
      <c r="V777" s="22">
        <f>IFERROR(__xludf.DUMMYFUNCTION("""COMPUTED_VALUE"""),500000.0)</f>
        <v>500000</v>
      </c>
      <c r="W777" s="9" t="str">
        <f>IFERROR(__xludf.DUMMYFUNCTION("""COMPUTED_VALUE"""),"")</f>
        <v/>
      </c>
      <c r="X777" s="22" t="str">
        <f>IFERROR(__xludf.DUMMYFUNCTION("""COMPUTED_VALUE"""),"")</f>
        <v/>
      </c>
      <c r="Y777" s="22" t="str">
        <f>IFERROR(__xludf.DUMMYFUNCTION("""COMPUTED_VALUE"""),"")</f>
        <v/>
      </c>
      <c r="Z777" s="24" t="str">
        <f>IFERROR(__xludf.DUMMYFUNCTION("""COMPUTED_VALUE"""),"")</f>
        <v/>
      </c>
    </row>
    <row r="778">
      <c r="A778" s="5" t="str">
        <f>IFERROR(__xludf.DUMMYFUNCTION("""COMPUTED_VALUE"""),"")</f>
        <v/>
      </c>
      <c r="B778" s="5" t="str">
        <f>IFERROR(__xludf.DUMMYFUNCTION("""COMPUTED_VALUE"""),"75288")</f>
        <v>75288</v>
      </c>
      <c r="C778" s="9">
        <f>IFERROR(__xludf.DUMMYFUNCTION("""COMPUTED_VALUE"""),4.4610000236E10)</f>
        <v>44610000236</v>
      </c>
      <c r="D778" s="90" t="str">
        <f>IFERROR(__xludf.DUMMYFUNCTION("""COMPUTED_VALUE"""),"0700.HK")</f>
        <v>0700.HK</v>
      </c>
      <c r="E778" s="193">
        <f>IFERROR(__xludf.DUMMYFUNCTION("""COMPUTED_VALUE"""),44610.0)</f>
        <v>44610</v>
      </c>
      <c r="F778" s="5" t="str">
        <f>IFERROR(__xludf.DUMMYFUNCTION("""COMPUTED_VALUE"""),"Stock")</f>
        <v>Stock</v>
      </c>
      <c r="G778" s="5" t="str">
        <f>IFERROR(__xludf.DUMMYFUNCTION("""COMPUTED_VALUE"""),"HKD")</f>
        <v>HKD</v>
      </c>
      <c r="H778" s="22">
        <f>IFERROR(__xludf.DUMMYFUNCTION("""COMPUTED_VALUE"""),210.0)</f>
        <v>210</v>
      </c>
      <c r="I778" s="194">
        <f>IFERROR(__xludf.DUMMYFUNCTION("""COMPUTED_VALUE"""),1.0)</f>
        <v>1</v>
      </c>
      <c r="J778" s="23">
        <f>IFERROR(__xludf.DUMMYFUNCTION("""COMPUTED_VALUE"""),479.0)</f>
        <v>479</v>
      </c>
      <c r="K778" s="5"/>
      <c r="L778" s="23">
        <f>IFERROR(__xludf.DUMMYFUNCTION("""COMPUTED_VALUE"""),373.6)</f>
        <v>373.6</v>
      </c>
      <c r="M778" s="195" t="str">
        <f>IFERROR(__xludf.DUMMYFUNCTION("""COMPUTED_VALUE"""),"Equity Key Stats")</f>
        <v>Equity Key Stats</v>
      </c>
      <c r="N778" s="5"/>
      <c r="O778" s="5"/>
      <c r="P778" s="142">
        <f>IFERROR(__xludf.DUMMYFUNCTION("""COMPUTED_VALUE"""),-100590.0)</f>
        <v>-100590</v>
      </c>
      <c r="Q778" s="5"/>
      <c r="R778" s="71">
        <f>IFERROR(__xludf.DUMMYFUNCTION("""COMPUTED_VALUE"""),373.6)</f>
        <v>373.6</v>
      </c>
      <c r="S778" s="142">
        <f>IFERROR(__xludf.DUMMYFUNCTION("""COMPUTED_VALUE"""),78456.0)</f>
        <v>78456</v>
      </c>
      <c r="T778" s="5">
        <f>IFERROR(__xludf.DUMMYFUNCTION("""COMPUTED_VALUE"""),3.0)</f>
        <v>3</v>
      </c>
      <c r="U778" s="5" t="str">
        <f>IFERROR(__xludf.DUMMYFUNCTION("""COMPUTED_VALUE"""),"")</f>
        <v/>
      </c>
      <c r="V778" s="22" t="str">
        <f>IFERROR(__xludf.DUMMYFUNCTION("""COMPUTED_VALUE"""),"")</f>
        <v/>
      </c>
      <c r="W778" s="9" t="str">
        <f>IFERROR(__xludf.DUMMYFUNCTION("""COMPUTED_VALUE"""),"")</f>
        <v/>
      </c>
      <c r="X778" s="22" t="str">
        <f>IFERROR(__xludf.DUMMYFUNCTION("""COMPUTED_VALUE"""),"")</f>
        <v/>
      </c>
      <c r="Y778" s="22" t="str">
        <f>IFERROR(__xludf.DUMMYFUNCTION("""COMPUTED_VALUE"""),"")</f>
        <v/>
      </c>
      <c r="Z778" s="24" t="str">
        <f>IFERROR(__xludf.DUMMYFUNCTION("""COMPUTED_VALUE"""),"")</f>
        <v/>
      </c>
    </row>
    <row r="779">
      <c r="A779" s="5" t="str">
        <f>IFERROR(__xludf.DUMMYFUNCTION("""COMPUTED_VALUE"""),"")</f>
        <v/>
      </c>
      <c r="B779" s="5" t="str">
        <f>IFERROR(__xludf.DUMMYFUNCTION("""COMPUTED_VALUE"""),"75288")</f>
        <v>75288</v>
      </c>
      <c r="C779" s="9">
        <f>IFERROR(__xludf.DUMMYFUNCTION("""COMPUTED_VALUE"""),4.4630000514E10)</f>
        <v>44630000514</v>
      </c>
      <c r="D779" s="90" t="str">
        <f>IFERROR(__xludf.DUMMYFUNCTION("""COMPUTED_VALUE"""),"3800.HK")</f>
        <v>3800.HK</v>
      </c>
      <c r="E779" s="193">
        <f>IFERROR(__xludf.DUMMYFUNCTION("""COMPUTED_VALUE"""),44630.0)</f>
        <v>44630</v>
      </c>
      <c r="F779" s="5" t="str">
        <f>IFERROR(__xludf.DUMMYFUNCTION("""COMPUTED_VALUE"""),"Stock")</f>
        <v>Stock</v>
      </c>
      <c r="G779" s="5" t="str">
        <f>IFERROR(__xludf.DUMMYFUNCTION("""COMPUTED_VALUE"""),"HKD")</f>
        <v>HKD</v>
      </c>
      <c r="H779" s="22">
        <f>IFERROR(__xludf.DUMMYFUNCTION("""COMPUTED_VALUE"""),3473.0)</f>
        <v>3473</v>
      </c>
      <c r="I779" s="194">
        <f>IFERROR(__xludf.DUMMYFUNCTION("""COMPUTED_VALUE"""),1.0)</f>
        <v>1</v>
      </c>
      <c r="J779" s="23">
        <f>IFERROR(__xludf.DUMMYFUNCTION("""COMPUTED_VALUE"""),2.86)</f>
        <v>2.86</v>
      </c>
      <c r="K779" s="5"/>
      <c r="L779" s="23">
        <f>IFERROR(__xludf.DUMMYFUNCTION("""COMPUTED_VALUE"""),2.51)</f>
        <v>2.51</v>
      </c>
      <c r="M779" s="195" t="str">
        <f>IFERROR(__xludf.DUMMYFUNCTION("""COMPUTED_VALUE"""),"Equity Key Stats")</f>
        <v>Equity Key Stats</v>
      </c>
      <c r="N779" s="5"/>
      <c r="O779" s="5"/>
      <c r="P779" s="142">
        <f>IFERROR(__xludf.DUMMYFUNCTION("""COMPUTED_VALUE"""),-9932.779999999999)</f>
        <v>-9932.78</v>
      </c>
      <c r="Q779" s="5"/>
      <c r="R779" s="71">
        <f>IFERROR(__xludf.DUMMYFUNCTION("""COMPUTED_VALUE"""),2.51)</f>
        <v>2.51</v>
      </c>
      <c r="S779" s="142">
        <f>IFERROR(__xludf.DUMMYFUNCTION("""COMPUTED_VALUE"""),8717.23)</f>
        <v>8717.23</v>
      </c>
      <c r="T779" s="5">
        <f>IFERROR(__xludf.DUMMYFUNCTION("""COMPUTED_VALUE"""),1.0)</f>
        <v>1</v>
      </c>
      <c r="U779" s="5">
        <f>IFERROR(__xludf.DUMMYFUNCTION("""COMPUTED_VALUE"""),1.0)</f>
        <v>1</v>
      </c>
      <c r="V779" s="22">
        <f>IFERROR(__xludf.DUMMYFUNCTION("""COMPUTED_VALUE"""),-1215.5499999999993)</f>
        <v>-1215.55</v>
      </c>
      <c r="W779" s="9" t="str">
        <f>IFERROR(__xludf.DUMMYFUNCTION("""COMPUTED_VALUE"""),"")</f>
        <v/>
      </c>
      <c r="X779" s="22" t="str">
        <f>IFERROR(__xludf.DUMMYFUNCTION("""COMPUTED_VALUE"""),"")</f>
        <v/>
      </c>
      <c r="Y779" s="22" t="str">
        <f>IFERROR(__xludf.DUMMYFUNCTION("""COMPUTED_VALUE"""),"")</f>
        <v/>
      </c>
      <c r="Z779" s="24" t="str">
        <f>IFERROR(__xludf.DUMMYFUNCTION("""COMPUTED_VALUE"""),"")</f>
        <v/>
      </c>
    </row>
    <row r="780">
      <c r="A780" s="5" t="str">
        <f>IFERROR(__xludf.DUMMYFUNCTION("""COMPUTED_VALUE"""),"")</f>
        <v/>
      </c>
      <c r="B780" s="5" t="str">
        <f>IFERROR(__xludf.DUMMYFUNCTION("""COMPUTED_VALUE"""),"75288")</f>
        <v>75288</v>
      </c>
      <c r="C780" s="9">
        <f>IFERROR(__xludf.DUMMYFUNCTION("""COMPUTED_VALUE"""),4.4637000671E10)</f>
        <v>44637000671</v>
      </c>
      <c r="D780" s="90" t="str">
        <f>IFERROR(__xludf.DUMMYFUNCTION("""COMPUTED_VALUE"""),"0700.HK")</f>
        <v>0700.HK</v>
      </c>
      <c r="E780" s="193">
        <f>IFERROR(__xludf.DUMMYFUNCTION("""COMPUTED_VALUE"""),44637.0)</f>
        <v>44637</v>
      </c>
      <c r="F780" s="5" t="str">
        <f>IFERROR(__xludf.DUMMYFUNCTION("""COMPUTED_VALUE"""),"Stock")</f>
        <v>Stock</v>
      </c>
      <c r="G780" s="5" t="str">
        <f>IFERROR(__xludf.DUMMYFUNCTION("""COMPUTED_VALUE"""),"HKD")</f>
        <v>HKD</v>
      </c>
      <c r="H780" s="22">
        <f>IFERROR(__xludf.DUMMYFUNCTION("""COMPUTED_VALUE"""),-210.0)</f>
        <v>-210</v>
      </c>
      <c r="I780" s="194">
        <f>IFERROR(__xludf.DUMMYFUNCTION("""COMPUTED_VALUE"""),1.0)</f>
        <v>1</v>
      </c>
      <c r="J780" s="23">
        <f>IFERROR(__xludf.DUMMYFUNCTION("""COMPUTED_VALUE"""),390.0)</f>
        <v>390</v>
      </c>
      <c r="K780" s="5"/>
      <c r="L780" s="23">
        <f>IFERROR(__xludf.DUMMYFUNCTION("""COMPUTED_VALUE"""),373.6)</f>
        <v>373.6</v>
      </c>
      <c r="M780" s="195" t="str">
        <f>IFERROR(__xludf.DUMMYFUNCTION("""COMPUTED_VALUE"""),"Equity Key Stats")</f>
        <v>Equity Key Stats</v>
      </c>
      <c r="N780" s="5"/>
      <c r="O780" s="5"/>
      <c r="P780" s="142">
        <f>IFERROR(__xludf.DUMMYFUNCTION("""COMPUTED_VALUE"""),81900.0)</f>
        <v>81900</v>
      </c>
      <c r="Q780" s="5"/>
      <c r="R780" s="71">
        <f>IFERROR(__xludf.DUMMYFUNCTION("""COMPUTED_VALUE"""),373.6)</f>
        <v>373.6</v>
      </c>
      <c r="S780" s="142">
        <f>IFERROR(__xludf.DUMMYFUNCTION("""COMPUTED_VALUE"""),-78456.0)</f>
        <v>-78456</v>
      </c>
      <c r="T780" s="5">
        <f>IFERROR(__xludf.DUMMYFUNCTION("""COMPUTED_VALUE"""),3.0)</f>
        <v>3</v>
      </c>
      <c r="U780" s="5" t="str">
        <f>IFERROR(__xludf.DUMMYFUNCTION("""COMPUTED_VALUE"""),"")</f>
        <v/>
      </c>
      <c r="V780" s="22" t="str">
        <f>IFERROR(__xludf.DUMMYFUNCTION("""COMPUTED_VALUE"""),"")</f>
        <v/>
      </c>
      <c r="W780" s="9" t="str">
        <f>IFERROR(__xludf.DUMMYFUNCTION("""COMPUTED_VALUE"""),"")</f>
        <v/>
      </c>
      <c r="X780" s="22" t="str">
        <f>IFERROR(__xludf.DUMMYFUNCTION("""COMPUTED_VALUE"""),"")</f>
        <v/>
      </c>
      <c r="Y780" s="22" t="str">
        <f>IFERROR(__xludf.DUMMYFUNCTION("""COMPUTED_VALUE"""),"")</f>
        <v/>
      </c>
      <c r="Z780" s="24" t="str">
        <f>IFERROR(__xludf.DUMMYFUNCTION("""COMPUTED_VALUE"""),"")</f>
        <v/>
      </c>
    </row>
    <row r="781">
      <c r="A781" s="5" t="str">
        <f>IFERROR(__xludf.DUMMYFUNCTION("""COMPUTED_VALUE"""),"")</f>
        <v/>
      </c>
      <c r="B781" s="5" t="str">
        <f>IFERROR(__xludf.DUMMYFUNCTION("""COMPUTED_VALUE"""),"75288")</f>
        <v>75288</v>
      </c>
      <c r="C781" s="9">
        <f>IFERROR(__xludf.DUMMYFUNCTION("""COMPUTED_VALUE"""),4.4641000755E10)</f>
        <v>44641000755</v>
      </c>
      <c r="D781" s="90" t="str">
        <f>IFERROR(__xludf.DUMMYFUNCTION("""COMPUTED_VALUE"""),"0700.HK")</f>
        <v>0700.HK</v>
      </c>
      <c r="E781" s="193">
        <f>IFERROR(__xludf.DUMMYFUNCTION("""COMPUTED_VALUE"""),44641.0)</f>
        <v>44641</v>
      </c>
      <c r="F781" s="5" t="str">
        <f>IFERROR(__xludf.DUMMYFUNCTION("""COMPUTED_VALUE"""),"Stock")</f>
        <v>Stock</v>
      </c>
      <c r="G781" s="5" t="str">
        <f>IFERROR(__xludf.DUMMYFUNCTION("""COMPUTED_VALUE"""),"HKD")</f>
        <v>HKD</v>
      </c>
      <c r="H781" s="22">
        <f>IFERROR(__xludf.DUMMYFUNCTION("""COMPUTED_VALUE"""),150.0)</f>
        <v>150</v>
      </c>
      <c r="I781" s="194">
        <f>IFERROR(__xludf.DUMMYFUNCTION("""COMPUTED_VALUE"""),1.0)</f>
        <v>1</v>
      </c>
      <c r="J781" s="23">
        <f>IFERROR(__xludf.DUMMYFUNCTION("""COMPUTED_VALUE"""),372.4)</f>
        <v>372.4</v>
      </c>
      <c r="K781" s="5"/>
      <c r="L781" s="23">
        <f>IFERROR(__xludf.DUMMYFUNCTION("""COMPUTED_VALUE"""),373.6)</f>
        <v>373.6</v>
      </c>
      <c r="M781" s="195" t="str">
        <f>IFERROR(__xludf.DUMMYFUNCTION("""COMPUTED_VALUE"""),"Equity Key Stats")</f>
        <v>Equity Key Stats</v>
      </c>
      <c r="N781" s="5"/>
      <c r="O781" s="5"/>
      <c r="P781" s="142">
        <f>IFERROR(__xludf.DUMMYFUNCTION("""COMPUTED_VALUE"""),-55860.0)</f>
        <v>-55860</v>
      </c>
      <c r="Q781" s="5"/>
      <c r="R781" s="71">
        <f>IFERROR(__xludf.DUMMYFUNCTION("""COMPUTED_VALUE"""),373.6)</f>
        <v>373.6</v>
      </c>
      <c r="S781" s="142">
        <f>IFERROR(__xludf.DUMMYFUNCTION("""COMPUTED_VALUE"""),56040.0)</f>
        <v>56040</v>
      </c>
      <c r="T781" s="5">
        <f>IFERROR(__xludf.DUMMYFUNCTION("""COMPUTED_VALUE"""),3.0)</f>
        <v>3</v>
      </c>
      <c r="U781" s="5">
        <f>IFERROR(__xludf.DUMMYFUNCTION("""COMPUTED_VALUE"""),1.0)</f>
        <v>1</v>
      </c>
      <c r="V781" s="22">
        <f>IFERROR(__xludf.DUMMYFUNCTION("""COMPUTED_VALUE"""),-18510.0)</f>
        <v>-18510</v>
      </c>
      <c r="W781" s="9" t="str">
        <f>IFERROR(__xludf.DUMMYFUNCTION("""COMPUTED_VALUE"""),"")</f>
        <v/>
      </c>
      <c r="X781" s="22" t="str">
        <f>IFERROR(__xludf.DUMMYFUNCTION("""COMPUTED_VALUE"""),"")</f>
        <v/>
      </c>
      <c r="Y781" s="22" t="str">
        <f>IFERROR(__xludf.DUMMYFUNCTION("""COMPUTED_VALUE"""),"")</f>
        <v/>
      </c>
      <c r="Z781" s="24" t="str">
        <f>IFERROR(__xludf.DUMMYFUNCTION("""COMPUTED_VALUE"""),"")</f>
        <v/>
      </c>
    </row>
    <row r="782">
      <c r="A782" s="5" t="str">
        <f>IFERROR(__xludf.DUMMYFUNCTION("""COMPUTED_VALUE"""),"")</f>
        <v/>
      </c>
      <c r="B782" s="5" t="str">
        <f>IFERROR(__xludf.DUMMYFUNCTION("""COMPUTED_VALUE"""),"75288")</f>
        <v>75288</v>
      </c>
      <c r="C782" s="9">
        <f>IFERROR(__xludf.DUMMYFUNCTION("""COMPUTED_VALUE"""),4.4641000756E10)</f>
        <v>44641000756</v>
      </c>
      <c r="D782" s="90" t="str">
        <f>IFERROR(__xludf.DUMMYFUNCTION("""COMPUTED_VALUE"""),"9868.HK")</f>
        <v>9868.HK</v>
      </c>
      <c r="E782" s="193">
        <f>IFERROR(__xludf.DUMMYFUNCTION("""COMPUTED_VALUE"""),44641.0)</f>
        <v>44641</v>
      </c>
      <c r="F782" s="5" t="str">
        <f>IFERROR(__xludf.DUMMYFUNCTION("""COMPUTED_VALUE"""),"Stock")</f>
        <v>Stock</v>
      </c>
      <c r="G782" s="5" t="str">
        <f>IFERROR(__xludf.DUMMYFUNCTION("""COMPUTED_VALUE"""),"HKD")</f>
        <v>HKD</v>
      </c>
      <c r="H782" s="22">
        <f>IFERROR(__xludf.DUMMYFUNCTION("""COMPUTED_VALUE"""),450.0)</f>
        <v>450</v>
      </c>
      <c r="I782" s="194">
        <f>IFERROR(__xludf.DUMMYFUNCTION("""COMPUTED_VALUE"""),1.0)</f>
        <v>1</v>
      </c>
      <c r="J782" s="23">
        <f>IFERROR(__xludf.DUMMYFUNCTION("""COMPUTED_VALUE"""),105.4)</f>
        <v>105.4</v>
      </c>
      <c r="K782" s="5"/>
      <c r="L782" s="23">
        <f>IFERROR(__xludf.DUMMYFUNCTION("""COMPUTED_VALUE"""),103.3)</f>
        <v>103.3</v>
      </c>
      <c r="M782" s="195" t="str">
        <f>IFERROR(__xludf.DUMMYFUNCTION("""COMPUTED_VALUE"""),"Equity Key Stats")</f>
        <v>Equity Key Stats</v>
      </c>
      <c r="N782" s="5"/>
      <c r="O782" s="5"/>
      <c r="P782" s="142">
        <f>IFERROR(__xludf.DUMMYFUNCTION("""COMPUTED_VALUE"""),-47430.0)</f>
        <v>-47430</v>
      </c>
      <c r="Q782" s="5"/>
      <c r="R782" s="71">
        <f>IFERROR(__xludf.DUMMYFUNCTION("""COMPUTED_VALUE"""),103.3)</f>
        <v>103.3</v>
      </c>
      <c r="S782" s="142">
        <f>IFERROR(__xludf.DUMMYFUNCTION("""COMPUTED_VALUE"""),46485.0)</f>
        <v>46485</v>
      </c>
      <c r="T782" s="5">
        <f>IFERROR(__xludf.DUMMYFUNCTION("""COMPUTED_VALUE"""),2.0)</f>
        <v>2</v>
      </c>
      <c r="U782" s="5" t="str">
        <f>IFERROR(__xludf.DUMMYFUNCTION("""COMPUTED_VALUE"""),"")</f>
        <v/>
      </c>
      <c r="V782" s="22" t="str">
        <f>IFERROR(__xludf.DUMMYFUNCTION("""COMPUTED_VALUE"""),"")</f>
        <v/>
      </c>
      <c r="W782" s="9" t="str">
        <f>IFERROR(__xludf.DUMMYFUNCTION("""COMPUTED_VALUE"""),"")</f>
        <v/>
      </c>
      <c r="X782" s="22" t="str">
        <f>IFERROR(__xludf.DUMMYFUNCTION("""COMPUTED_VALUE"""),"")</f>
        <v/>
      </c>
      <c r="Y782" s="22" t="str">
        <f>IFERROR(__xludf.DUMMYFUNCTION("""COMPUTED_VALUE"""),"")</f>
        <v/>
      </c>
      <c r="Z782" s="24" t="str">
        <f>IFERROR(__xludf.DUMMYFUNCTION("""COMPUTED_VALUE"""),"")</f>
        <v/>
      </c>
    </row>
    <row r="783">
      <c r="A783" s="5" t="str">
        <f>IFERROR(__xludf.DUMMYFUNCTION("""COMPUTED_VALUE"""),"")</f>
        <v/>
      </c>
      <c r="B783" s="5" t="str">
        <f>IFERROR(__xludf.DUMMYFUNCTION("""COMPUTED_VALUE"""),"75288")</f>
        <v>75288</v>
      </c>
      <c r="C783" s="9">
        <f>IFERROR(__xludf.DUMMYFUNCTION("""COMPUTED_VALUE"""),4.4644000866E10)</f>
        <v>44644000866</v>
      </c>
      <c r="D783" s="90" t="str">
        <f>IFERROR(__xludf.DUMMYFUNCTION("""COMPUTED_VALUE"""),"9868.HK")</f>
        <v>9868.HK</v>
      </c>
      <c r="E783" s="193">
        <f>IFERROR(__xludf.DUMMYFUNCTION("""COMPUTED_VALUE"""),44644.0)</f>
        <v>44644</v>
      </c>
      <c r="F783" s="5" t="str">
        <f>IFERROR(__xludf.DUMMYFUNCTION("""COMPUTED_VALUE"""),"Stock")</f>
        <v>Stock</v>
      </c>
      <c r="G783" s="5" t="str">
        <f>IFERROR(__xludf.DUMMYFUNCTION("""COMPUTED_VALUE"""),"HKD")</f>
        <v>HKD</v>
      </c>
      <c r="H783" s="22">
        <f>IFERROR(__xludf.DUMMYFUNCTION("""COMPUTED_VALUE"""),-300.0)</f>
        <v>-300</v>
      </c>
      <c r="I783" s="194">
        <f>IFERROR(__xludf.DUMMYFUNCTION("""COMPUTED_VALUE"""),1.0)</f>
        <v>1</v>
      </c>
      <c r="J783" s="23">
        <f>IFERROR(__xludf.DUMMYFUNCTION("""COMPUTED_VALUE"""),111.3)</f>
        <v>111.3</v>
      </c>
      <c r="K783" s="5"/>
      <c r="L783" s="23">
        <f>IFERROR(__xludf.DUMMYFUNCTION("""COMPUTED_VALUE"""),103.3)</f>
        <v>103.3</v>
      </c>
      <c r="M783" s="195" t="str">
        <f>IFERROR(__xludf.DUMMYFUNCTION("""COMPUTED_VALUE"""),"Equity Key Stats")</f>
        <v>Equity Key Stats</v>
      </c>
      <c r="N783" s="5"/>
      <c r="O783" s="5"/>
      <c r="P783" s="142">
        <f>IFERROR(__xludf.DUMMYFUNCTION("""COMPUTED_VALUE"""),33390.0)</f>
        <v>33390</v>
      </c>
      <c r="Q783" s="5"/>
      <c r="R783" s="71">
        <f>IFERROR(__xludf.DUMMYFUNCTION("""COMPUTED_VALUE"""),103.3)</f>
        <v>103.3</v>
      </c>
      <c r="S783" s="142">
        <f>IFERROR(__xludf.DUMMYFUNCTION("""COMPUTED_VALUE"""),-30990.0)</f>
        <v>-30990</v>
      </c>
      <c r="T783" s="5">
        <f>IFERROR(__xludf.DUMMYFUNCTION("""COMPUTED_VALUE"""),2.0)</f>
        <v>2</v>
      </c>
      <c r="U783" s="5">
        <f>IFERROR(__xludf.DUMMYFUNCTION("""COMPUTED_VALUE"""),1.0)</f>
        <v>1</v>
      </c>
      <c r="V783" s="22">
        <f>IFERROR(__xludf.DUMMYFUNCTION("""COMPUTED_VALUE"""),1455.0)</f>
        <v>1455</v>
      </c>
      <c r="W783" s="9" t="str">
        <f>IFERROR(__xludf.DUMMYFUNCTION("""COMPUTED_VALUE"""),"")</f>
        <v/>
      </c>
      <c r="X783" s="22" t="str">
        <f>IFERROR(__xludf.DUMMYFUNCTION("""COMPUTED_VALUE"""),"")</f>
        <v/>
      </c>
      <c r="Y783" s="22" t="str">
        <f>IFERROR(__xludf.DUMMYFUNCTION("""COMPUTED_VALUE"""),"")</f>
        <v/>
      </c>
      <c r="Z783" s="24" t="str">
        <f>IFERROR(__xludf.DUMMYFUNCTION("""COMPUTED_VALUE"""),"")</f>
        <v/>
      </c>
    </row>
    <row r="784">
      <c r="A784" s="5" t="str">
        <f>IFERROR(__xludf.DUMMYFUNCTION("""COMPUTED_VALUE"""),"")</f>
        <v/>
      </c>
      <c r="B784" s="5" t="str">
        <f>IFERROR(__xludf.DUMMYFUNCTION("""COMPUTED_VALUE"""),"75288")</f>
        <v>75288</v>
      </c>
      <c r="C784" s="9">
        <f>IFERROR(__xludf.DUMMYFUNCTION("""COMPUTED_VALUE"""),4.4657001135E10)</f>
        <v>44657001135</v>
      </c>
      <c r="D784" s="90" t="str">
        <f>IFERROR(__xludf.DUMMYFUNCTION("""COMPUTED_VALUE"""),"0241.HK")</f>
        <v>0241.HK</v>
      </c>
      <c r="E784" s="193">
        <f>IFERROR(__xludf.DUMMYFUNCTION("""COMPUTED_VALUE"""),44657.0)</f>
        <v>44657</v>
      </c>
      <c r="F784" s="5" t="str">
        <f>IFERROR(__xludf.DUMMYFUNCTION("""COMPUTED_VALUE"""),"Stock")</f>
        <v>Stock</v>
      </c>
      <c r="G784" s="5" t="str">
        <f>IFERROR(__xludf.DUMMYFUNCTION("""COMPUTED_VALUE"""),"HKD")</f>
        <v>HKD</v>
      </c>
      <c r="H784" s="22">
        <f>IFERROR(__xludf.DUMMYFUNCTION("""COMPUTED_VALUE"""),9210.0)</f>
        <v>9210</v>
      </c>
      <c r="I784" s="194">
        <f>IFERROR(__xludf.DUMMYFUNCTION("""COMPUTED_VALUE"""),1.0)</f>
        <v>1</v>
      </c>
      <c r="J784" s="23">
        <f>IFERROR(__xludf.DUMMYFUNCTION("""COMPUTED_VALUE"""),5.2)</f>
        <v>5.2</v>
      </c>
      <c r="K784" s="5"/>
      <c r="L784" s="23">
        <f>IFERROR(__xludf.DUMMYFUNCTION("""COMPUTED_VALUE"""),4.66)</f>
        <v>4.66</v>
      </c>
      <c r="M784" s="195" t="str">
        <f>IFERROR(__xludf.DUMMYFUNCTION("""COMPUTED_VALUE"""),"Equity Key Stats")</f>
        <v>Equity Key Stats</v>
      </c>
      <c r="N784" s="5"/>
      <c r="O784" s="5"/>
      <c r="P784" s="142">
        <f>IFERROR(__xludf.DUMMYFUNCTION("""COMPUTED_VALUE"""),-47892.0)</f>
        <v>-47892</v>
      </c>
      <c r="Q784" s="5"/>
      <c r="R784" s="71">
        <f>IFERROR(__xludf.DUMMYFUNCTION("""COMPUTED_VALUE"""),4.66)</f>
        <v>4.66</v>
      </c>
      <c r="S784" s="142">
        <f>IFERROR(__xludf.DUMMYFUNCTION("""COMPUTED_VALUE"""),42918.6)</f>
        <v>42918.6</v>
      </c>
      <c r="T784" s="5">
        <f>IFERROR(__xludf.DUMMYFUNCTION("""COMPUTED_VALUE"""),1.0)</f>
        <v>1</v>
      </c>
      <c r="U784" s="5">
        <f>IFERROR(__xludf.DUMMYFUNCTION("""COMPUTED_VALUE"""),1.0)</f>
        <v>1</v>
      </c>
      <c r="V784" s="22">
        <f>IFERROR(__xludf.DUMMYFUNCTION("""COMPUTED_VALUE"""),-4973.4000000000015)</f>
        <v>-4973.4</v>
      </c>
      <c r="W784" s="9" t="str">
        <f>IFERROR(__xludf.DUMMYFUNCTION("""COMPUTED_VALUE"""),"")</f>
        <v/>
      </c>
      <c r="X784" s="22" t="str">
        <f>IFERROR(__xludf.DUMMYFUNCTION("""COMPUTED_VALUE"""),"")</f>
        <v/>
      </c>
      <c r="Y784" s="22" t="str">
        <f>IFERROR(__xludf.DUMMYFUNCTION("""COMPUTED_VALUE"""),"")</f>
        <v/>
      </c>
      <c r="Z784" s="24" t="str">
        <f>IFERROR(__xludf.DUMMYFUNCTION("""COMPUTED_VALUE"""),"")</f>
        <v/>
      </c>
    </row>
    <row r="785">
      <c r="A785" s="5" t="str">
        <f>IFERROR(__xludf.DUMMYFUNCTION("""COMPUTED_VALUE"""),"")</f>
        <v/>
      </c>
      <c r="B785" s="5" t="str">
        <f>IFERROR(__xludf.DUMMYFUNCTION("""COMPUTED_VALUE"""),"75288")</f>
        <v>75288</v>
      </c>
      <c r="C785" s="9">
        <f>IFERROR(__xludf.DUMMYFUNCTION("""COMPUTED_VALUE"""),4.4663001436E10)</f>
        <v>44663001436</v>
      </c>
      <c r="D785" s="85" t="str">
        <f>IFERROR(__xludf.DUMMYFUNCTION("""COMPUTED_VALUE"""),"ABNB")</f>
        <v>ABNB</v>
      </c>
      <c r="E785" s="193">
        <f>IFERROR(__xludf.DUMMYFUNCTION("""COMPUTED_VALUE"""),44663.0)</f>
        <v>44663</v>
      </c>
      <c r="F785" s="5" t="str">
        <f>IFERROR(__xludf.DUMMYFUNCTION("""COMPUTED_VALUE"""),"Stock")</f>
        <v>Stock</v>
      </c>
      <c r="G785" s="5" t="str">
        <f>IFERROR(__xludf.DUMMYFUNCTION("""COMPUTED_VALUE"""),"USD")</f>
        <v>USD</v>
      </c>
      <c r="H785" s="22">
        <f>IFERROR(__xludf.DUMMYFUNCTION("""COMPUTED_VALUE"""),40.0)</f>
        <v>40</v>
      </c>
      <c r="I785" s="194">
        <f>IFERROR(__xludf.DUMMYFUNCTION("""COMPUTED_VALUE"""),7.83775)</f>
        <v>7.83775</v>
      </c>
      <c r="J785" s="23">
        <f>IFERROR(__xludf.DUMMYFUNCTION("""COMPUTED_VALUE"""),160.11)</f>
        <v>160.11</v>
      </c>
      <c r="K785" s="5"/>
      <c r="L785" s="23">
        <f>IFERROR(__xludf.DUMMYFUNCTION("""COMPUTED_VALUE"""),171.85)</f>
        <v>171.85</v>
      </c>
      <c r="M785" s="195" t="str">
        <f>IFERROR(__xludf.DUMMYFUNCTION("""COMPUTED_VALUE"""),"Equity Key Stats")</f>
        <v>Equity Key Stats</v>
      </c>
      <c r="N785" s="5"/>
      <c r="O785" s="5"/>
      <c r="P785" s="142">
        <f>IFERROR(__xludf.DUMMYFUNCTION("""COMPUTED_VALUE"""),-50196.0861)</f>
        <v>-50196.0861</v>
      </c>
      <c r="Q785" s="5"/>
      <c r="R785" s="71">
        <f>IFERROR(__xludf.DUMMYFUNCTION("""COMPUTED_VALUE"""),171.85)</f>
        <v>171.85</v>
      </c>
      <c r="S785" s="142">
        <f>IFERROR(__xludf.DUMMYFUNCTION("""COMPUTED_VALUE"""),53876.693499999994)</f>
        <v>53876.6935</v>
      </c>
      <c r="T785" s="5">
        <f>IFERROR(__xludf.DUMMYFUNCTION("""COMPUTED_VALUE"""),2.0)</f>
        <v>2</v>
      </c>
      <c r="U785" s="5" t="str">
        <f>IFERROR(__xludf.DUMMYFUNCTION("""COMPUTED_VALUE"""),"")</f>
        <v/>
      </c>
      <c r="V785" s="22" t="str">
        <f>IFERROR(__xludf.DUMMYFUNCTION("""COMPUTED_VALUE"""),"")</f>
        <v/>
      </c>
      <c r="W785" s="9" t="str">
        <f>IFERROR(__xludf.DUMMYFUNCTION("""COMPUTED_VALUE"""),"")</f>
        <v/>
      </c>
      <c r="X785" s="22" t="str">
        <f>IFERROR(__xludf.DUMMYFUNCTION("""COMPUTED_VALUE"""),"")</f>
        <v/>
      </c>
      <c r="Y785" s="22" t="str">
        <f>IFERROR(__xludf.DUMMYFUNCTION("""COMPUTED_VALUE"""),"")</f>
        <v/>
      </c>
      <c r="Z785" s="24" t="str">
        <f>IFERROR(__xludf.DUMMYFUNCTION("""COMPUTED_VALUE"""),"")</f>
        <v/>
      </c>
    </row>
    <row r="786">
      <c r="A786" s="5" t="str">
        <f>IFERROR(__xludf.DUMMYFUNCTION("""COMPUTED_VALUE"""),"")</f>
        <v/>
      </c>
      <c r="B786" s="5" t="str">
        <f>IFERROR(__xludf.DUMMYFUNCTION("""COMPUTED_VALUE"""),"75288")</f>
        <v>75288</v>
      </c>
      <c r="C786" s="9">
        <f>IFERROR(__xludf.DUMMYFUNCTION("""COMPUTED_VALUE"""),4.4664001489E10)</f>
        <v>44664001489</v>
      </c>
      <c r="D786" s="85" t="str">
        <f>IFERROR(__xludf.DUMMYFUNCTION("""COMPUTED_VALUE"""),"ABNB")</f>
        <v>ABNB</v>
      </c>
      <c r="E786" s="193">
        <f>IFERROR(__xludf.DUMMYFUNCTION("""COMPUTED_VALUE"""),44664.0)</f>
        <v>44664</v>
      </c>
      <c r="F786" s="5" t="str">
        <f>IFERROR(__xludf.DUMMYFUNCTION("""COMPUTED_VALUE"""),"Stock")</f>
        <v>Stock</v>
      </c>
      <c r="G786" s="5" t="str">
        <f>IFERROR(__xludf.DUMMYFUNCTION("""COMPUTED_VALUE"""),"USD")</f>
        <v>USD</v>
      </c>
      <c r="H786" s="22">
        <f>IFERROR(__xludf.DUMMYFUNCTION("""COMPUTED_VALUE"""),-30.0)</f>
        <v>-30</v>
      </c>
      <c r="I786" s="194">
        <f>IFERROR(__xludf.DUMMYFUNCTION("""COMPUTED_VALUE"""),7.83915)</f>
        <v>7.83915</v>
      </c>
      <c r="J786" s="23">
        <f>IFERROR(__xludf.DUMMYFUNCTION("""COMPUTED_VALUE"""),171.85)</f>
        <v>171.85</v>
      </c>
      <c r="K786" s="5"/>
      <c r="L786" s="23">
        <f>IFERROR(__xludf.DUMMYFUNCTION("""COMPUTED_VALUE"""),171.85)</f>
        <v>171.85</v>
      </c>
      <c r="M786" s="195" t="str">
        <f>IFERROR(__xludf.DUMMYFUNCTION("""COMPUTED_VALUE"""),"Equity Key Stats")</f>
        <v>Equity Key Stats</v>
      </c>
      <c r="N786" s="5"/>
      <c r="O786" s="5"/>
      <c r="P786" s="142">
        <f>IFERROR(__xludf.DUMMYFUNCTION("""COMPUTED_VALUE"""),40414.737825)</f>
        <v>40414.73783</v>
      </c>
      <c r="Q786" s="5"/>
      <c r="R786" s="71">
        <f>IFERROR(__xludf.DUMMYFUNCTION("""COMPUTED_VALUE"""),171.85)</f>
        <v>171.85</v>
      </c>
      <c r="S786" s="142">
        <f>IFERROR(__xludf.DUMMYFUNCTION("""COMPUTED_VALUE"""),-40414.737825)</f>
        <v>-40414.73783</v>
      </c>
      <c r="T786" s="5">
        <f>IFERROR(__xludf.DUMMYFUNCTION("""COMPUTED_VALUE"""),2.0)</f>
        <v>2</v>
      </c>
      <c r="U786" s="5">
        <f>IFERROR(__xludf.DUMMYFUNCTION("""COMPUTED_VALUE"""),1.0)</f>
        <v>1</v>
      </c>
      <c r="V786" s="22">
        <f>IFERROR(__xludf.DUMMYFUNCTION("""COMPUTED_VALUE"""),3680.6073999999935)</f>
        <v>3680.6074</v>
      </c>
      <c r="W786" s="9" t="str">
        <f>IFERROR(__xludf.DUMMYFUNCTION("""COMPUTED_VALUE"""),"")</f>
        <v/>
      </c>
      <c r="X786" s="22" t="str">
        <f>IFERROR(__xludf.DUMMYFUNCTION("""COMPUTED_VALUE"""),"")</f>
        <v/>
      </c>
      <c r="Y786" s="22" t="str">
        <f>IFERROR(__xludf.DUMMYFUNCTION("""COMPUTED_VALUE"""),"")</f>
        <v/>
      </c>
      <c r="Z786" s="24" t="str">
        <f>IFERROR(__xludf.DUMMYFUNCTION("""COMPUTED_VALUE"""),"")</f>
        <v/>
      </c>
    </row>
    <row r="787">
      <c r="A787" s="5" t="str">
        <f>IFERROR(__xludf.DUMMYFUNCTION("""COMPUTED_VALUE"""),"75288")</f>
        <v>75288</v>
      </c>
      <c r="B787" s="5" t="str">
        <f>IFERROR(__xludf.DUMMYFUNCTION("""COMPUTED_VALUE"""),"75288")</f>
        <v>75288</v>
      </c>
      <c r="C787" s="9">
        <f>IFERROR(__xludf.DUMMYFUNCTION("""COMPUTED_VALUE"""),4.466400149E10)</f>
        <v>44664001490</v>
      </c>
      <c r="D787" s="85" t="str">
        <f>IFERROR(__xludf.DUMMYFUNCTION("""COMPUTED_VALUE"""),"V")</f>
        <v>V</v>
      </c>
      <c r="E787" s="193">
        <f>IFERROR(__xludf.DUMMYFUNCTION("""COMPUTED_VALUE"""),44664.0)</f>
        <v>44664</v>
      </c>
      <c r="F787" s="5" t="str">
        <f>IFERROR(__xludf.DUMMYFUNCTION("""COMPUTED_VALUE"""),"Stock")</f>
        <v>Stock</v>
      </c>
      <c r="G787" s="5" t="str">
        <f>IFERROR(__xludf.DUMMYFUNCTION("""COMPUTED_VALUE"""),"USD")</f>
        <v>USD</v>
      </c>
      <c r="H787" s="22">
        <f>IFERROR(__xludf.DUMMYFUNCTION("""COMPUTED_VALUE"""),30.0)</f>
        <v>30</v>
      </c>
      <c r="I787" s="194">
        <f>IFERROR(__xludf.DUMMYFUNCTION("""COMPUTED_VALUE"""),7.83915)</f>
        <v>7.83915</v>
      </c>
      <c r="J787" s="23">
        <f>IFERROR(__xludf.DUMMYFUNCTION("""COMPUTED_VALUE"""),213.34)</f>
        <v>213.34</v>
      </c>
      <c r="K787" s="5"/>
      <c r="L787" s="23">
        <f>IFERROR(__xludf.DUMMYFUNCTION("""COMPUTED_VALUE"""),213.32)</f>
        <v>213.32</v>
      </c>
      <c r="M787" s="195" t="str">
        <f>IFERROR(__xludf.DUMMYFUNCTION("""COMPUTED_VALUE"""),"Equity Key Stats")</f>
        <v>Equity Key Stats</v>
      </c>
      <c r="N787" s="5"/>
      <c r="O787" s="5"/>
      <c r="P787" s="142">
        <f>IFERROR(__xludf.DUMMYFUNCTION("""COMPUTED_VALUE"""),-50172.12783)</f>
        <v>-50172.12783</v>
      </c>
      <c r="Q787" s="5"/>
      <c r="R787" s="71">
        <f>IFERROR(__xludf.DUMMYFUNCTION("""COMPUTED_VALUE"""),213.32)</f>
        <v>213.32</v>
      </c>
      <c r="S787" s="142">
        <f>IFERROR(__xludf.DUMMYFUNCTION("""COMPUTED_VALUE"""),50167.42434)</f>
        <v>50167.42434</v>
      </c>
      <c r="T787" s="5">
        <f>IFERROR(__xludf.DUMMYFUNCTION("""COMPUTED_VALUE"""),1.0)</f>
        <v>1</v>
      </c>
      <c r="U787" s="5">
        <f>IFERROR(__xludf.DUMMYFUNCTION("""COMPUTED_VALUE"""),1.0)</f>
        <v>1</v>
      </c>
      <c r="V787" s="22">
        <f>IFERROR(__xludf.DUMMYFUNCTION("""COMPUTED_VALUE"""),-4.703489999999874)</f>
        <v>-4.70349</v>
      </c>
      <c r="W787" s="9">
        <f>IFERROR(__xludf.DUMMYFUNCTION("""COMPUTED_VALUE"""),480431.95391)</f>
        <v>480431.9539</v>
      </c>
      <c r="X787" s="22">
        <f>IFERROR(__xludf.DUMMYFUNCTION("""COMPUTED_VALUE"""),293631.74389499996)</f>
        <v>293631.7439</v>
      </c>
      <c r="Y787" s="22">
        <f>IFERROR(__xludf.DUMMYFUNCTION("""COMPUTED_VALUE"""),0.0)</f>
        <v>0</v>
      </c>
      <c r="Z787" s="24">
        <f>IFERROR(__xludf.DUMMYFUNCTION("""COMPUTED_VALUE"""),-0.039136092180000026)</f>
        <v>-0.03913609218</v>
      </c>
    </row>
    <row r="788">
      <c r="A788" s="5" t="str">
        <f>IFERROR(__xludf.DUMMYFUNCTION("""COMPUTED_VALUE"""),"")</f>
        <v/>
      </c>
      <c r="B788" s="5" t="str">
        <f>IFERROR(__xludf.DUMMYFUNCTION("""COMPUTED_VALUE"""),"75369")</f>
        <v>75369</v>
      </c>
      <c r="C788" s="9">
        <f>IFERROR(__xludf.DUMMYFUNCTION("""COMPUTED_VALUE"""),4.4597000017E10)</f>
        <v>44597000017</v>
      </c>
      <c r="D788" s="85" t="str">
        <f>IFERROR(__xludf.DUMMYFUNCTION("""COMPUTED_VALUE"""),"Cash")</f>
        <v>Cash</v>
      </c>
      <c r="E788" s="193">
        <f>IFERROR(__xludf.DUMMYFUNCTION("""COMPUTED_VALUE"""),44597.0)</f>
        <v>44597</v>
      </c>
      <c r="F788" s="5" t="str">
        <f>IFERROR(__xludf.DUMMYFUNCTION("""COMPUTED_VALUE"""),"Cash")</f>
        <v>Cash</v>
      </c>
      <c r="G788" s="5" t="str">
        <f>IFERROR(__xludf.DUMMYFUNCTION("""COMPUTED_VALUE"""),"HKD")</f>
        <v>HKD</v>
      </c>
      <c r="H788" s="22" t="str">
        <f>IFERROR(__xludf.DUMMYFUNCTION("""COMPUTED_VALUE"""),"")</f>
        <v/>
      </c>
      <c r="I788" s="194">
        <f>IFERROR(__xludf.DUMMYFUNCTION("""COMPUTED_VALUE"""),1.0)</f>
        <v>1</v>
      </c>
      <c r="J788" s="5">
        <f>IFERROR(__xludf.DUMMYFUNCTION("""COMPUTED_VALUE"""),1.0)</f>
        <v>1</v>
      </c>
      <c r="K788" s="5"/>
      <c r="L788" s="23">
        <f>IFERROR(__xludf.DUMMYFUNCTION("""COMPUTED_VALUE"""),1.0)</f>
        <v>1</v>
      </c>
      <c r="M788" s="25" t="str">
        <f>IFERROR(__xludf.DUMMYFUNCTION("""COMPUTED_VALUE"""),"")</f>
        <v/>
      </c>
      <c r="N788" s="5"/>
      <c r="O788" s="5"/>
      <c r="P788" s="142">
        <f>IFERROR(__xludf.DUMMYFUNCTION("""COMPUTED_VALUE"""),500000.0)</f>
        <v>500000</v>
      </c>
      <c r="Q788" s="5"/>
      <c r="R788" s="71">
        <f>IFERROR(__xludf.DUMMYFUNCTION("""COMPUTED_VALUE"""),1.0)</f>
        <v>1</v>
      </c>
      <c r="S788" s="142" t="str">
        <f>IFERROR(__xludf.DUMMYFUNCTION("""COMPUTED_VALUE"""),"")</f>
        <v/>
      </c>
      <c r="T788" s="5">
        <f>IFERROR(__xludf.DUMMYFUNCTION("""COMPUTED_VALUE"""),1.0)</f>
        <v>1</v>
      </c>
      <c r="U788" s="5">
        <f>IFERROR(__xludf.DUMMYFUNCTION("""COMPUTED_VALUE"""),1.0)</f>
        <v>1</v>
      </c>
      <c r="V788" s="22">
        <f>IFERROR(__xludf.DUMMYFUNCTION("""COMPUTED_VALUE"""),500000.0)</f>
        <v>500000</v>
      </c>
      <c r="W788" s="9" t="str">
        <f>IFERROR(__xludf.DUMMYFUNCTION("""COMPUTED_VALUE"""),"")</f>
        <v/>
      </c>
      <c r="X788" s="22" t="str">
        <f>IFERROR(__xludf.DUMMYFUNCTION("""COMPUTED_VALUE"""),"")</f>
        <v/>
      </c>
      <c r="Y788" s="22" t="str">
        <f>IFERROR(__xludf.DUMMYFUNCTION("""COMPUTED_VALUE"""),"")</f>
        <v/>
      </c>
      <c r="Z788" s="24" t="str">
        <f>IFERROR(__xludf.DUMMYFUNCTION("""COMPUTED_VALUE"""),"")</f>
        <v/>
      </c>
    </row>
    <row r="789">
      <c r="A789" s="5" t="str">
        <f>IFERROR(__xludf.DUMMYFUNCTION("""COMPUTED_VALUE"""),"")</f>
        <v/>
      </c>
      <c r="B789" s="5" t="str">
        <f>IFERROR(__xludf.DUMMYFUNCTION("""COMPUTED_VALUE"""),"75369")</f>
        <v>75369</v>
      </c>
      <c r="C789" s="9">
        <f>IFERROR(__xludf.DUMMYFUNCTION("""COMPUTED_VALUE"""),4.4642000762E10)</f>
        <v>44642000762</v>
      </c>
      <c r="D789" s="90" t="str">
        <f>IFERROR(__xludf.DUMMYFUNCTION("""COMPUTED_VALUE"""),"1810.hk")</f>
        <v>1810.hk</v>
      </c>
      <c r="E789" s="193">
        <f>IFERROR(__xludf.DUMMYFUNCTION("""COMPUTED_VALUE"""),44642.0)</f>
        <v>44642</v>
      </c>
      <c r="F789" s="5" t="str">
        <f>IFERROR(__xludf.DUMMYFUNCTION("""COMPUTED_VALUE"""),"Stock")</f>
        <v>Stock</v>
      </c>
      <c r="G789" s="5" t="str">
        <f>IFERROR(__xludf.DUMMYFUNCTION("""COMPUTED_VALUE"""),"HKD")</f>
        <v>HKD</v>
      </c>
      <c r="H789" s="22">
        <f>IFERROR(__xludf.DUMMYFUNCTION("""COMPUTED_VALUE"""),0.0)</f>
        <v>0</v>
      </c>
      <c r="I789" s="194">
        <f>IFERROR(__xludf.DUMMYFUNCTION("""COMPUTED_VALUE"""),1.0)</f>
        <v>1</v>
      </c>
      <c r="J789" s="23">
        <f>IFERROR(__xludf.DUMMYFUNCTION("""COMPUTED_VALUE"""),14.2)</f>
        <v>14.2</v>
      </c>
      <c r="K789" s="5"/>
      <c r="L789" s="23">
        <f>IFERROR(__xludf.DUMMYFUNCTION("""COMPUTED_VALUE"""),12.36)</f>
        <v>12.36</v>
      </c>
      <c r="M789" s="195" t="str">
        <f>IFERROR(__xludf.DUMMYFUNCTION("""COMPUTED_VALUE"""),"Equity Key Stats")</f>
        <v>Equity Key Stats</v>
      </c>
      <c r="N789" s="5"/>
      <c r="O789" s="5"/>
      <c r="P789" s="142">
        <f>IFERROR(__xludf.DUMMYFUNCTION("""COMPUTED_VALUE"""),0.0)</f>
        <v>0</v>
      </c>
      <c r="Q789" s="5"/>
      <c r="R789" s="71">
        <f>IFERROR(__xludf.DUMMYFUNCTION("""COMPUTED_VALUE"""),12.36)</f>
        <v>12.36</v>
      </c>
      <c r="S789" s="142">
        <f>IFERROR(__xludf.DUMMYFUNCTION("""COMPUTED_VALUE"""),0.0)</f>
        <v>0</v>
      </c>
      <c r="T789" s="5">
        <f>IFERROR(__xludf.DUMMYFUNCTION("""COMPUTED_VALUE"""),1.0)</f>
        <v>1</v>
      </c>
      <c r="U789" s="5">
        <f>IFERROR(__xludf.DUMMYFUNCTION("""COMPUTED_VALUE"""),1.0)</f>
        <v>1</v>
      </c>
      <c r="V789" s="22">
        <f>IFERROR(__xludf.DUMMYFUNCTION("""COMPUTED_VALUE"""),0.0)</f>
        <v>0</v>
      </c>
      <c r="W789" s="9" t="str">
        <f>IFERROR(__xludf.DUMMYFUNCTION("""COMPUTED_VALUE"""),"")</f>
        <v/>
      </c>
      <c r="X789" s="22" t="str">
        <f>IFERROR(__xludf.DUMMYFUNCTION("""COMPUTED_VALUE"""),"")</f>
        <v/>
      </c>
      <c r="Y789" s="22" t="str">
        <f>IFERROR(__xludf.DUMMYFUNCTION("""COMPUTED_VALUE"""),"")</f>
        <v/>
      </c>
      <c r="Z789" s="24" t="str">
        <f>IFERROR(__xludf.DUMMYFUNCTION("""COMPUTED_VALUE"""),"")</f>
        <v/>
      </c>
    </row>
    <row r="790">
      <c r="A790" s="5" t="str">
        <f>IFERROR(__xludf.DUMMYFUNCTION("""COMPUTED_VALUE"""),"")</f>
        <v/>
      </c>
      <c r="B790" s="5" t="str">
        <f>IFERROR(__xludf.DUMMYFUNCTION("""COMPUTED_VALUE"""),"75369")</f>
        <v>75369</v>
      </c>
      <c r="C790" s="9">
        <f>IFERROR(__xludf.DUMMYFUNCTION("""COMPUTED_VALUE"""),4.4644000845E10)</f>
        <v>44644000845</v>
      </c>
      <c r="D790" s="90" t="str">
        <f>IFERROR(__xludf.DUMMYFUNCTION("""COMPUTED_VALUE"""),"0700.hk")</f>
        <v>0700.hk</v>
      </c>
      <c r="E790" s="193">
        <f>IFERROR(__xludf.DUMMYFUNCTION("""COMPUTED_VALUE"""),44644.0)</f>
        <v>44644</v>
      </c>
      <c r="F790" s="5" t="str">
        <f>IFERROR(__xludf.DUMMYFUNCTION("""COMPUTED_VALUE"""),"Stock")</f>
        <v>Stock</v>
      </c>
      <c r="G790" s="5" t="str">
        <f>IFERROR(__xludf.DUMMYFUNCTION("""COMPUTED_VALUE"""),"HKD")</f>
        <v>HKD</v>
      </c>
      <c r="H790" s="22">
        <f>IFERROR(__xludf.DUMMYFUNCTION("""COMPUTED_VALUE"""),100.0)</f>
        <v>100</v>
      </c>
      <c r="I790" s="194">
        <f>IFERROR(__xludf.DUMMYFUNCTION("""COMPUTED_VALUE"""),1.0)</f>
        <v>1</v>
      </c>
      <c r="J790" s="23">
        <f>IFERROR(__xludf.DUMMYFUNCTION("""COMPUTED_VALUE"""),366.0)</f>
        <v>366</v>
      </c>
      <c r="K790" s="5"/>
      <c r="L790" s="23">
        <f>IFERROR(__xludf.DUMMYFUNCTION("""COMPUTED_VALUE"""),373.6)</f>
        <v>373.6</v>
      </c>
      <c r="M790" s="195" t="str">
        <f>IFERROR(__xludf.DUMMYFUNCTION("""COMPUTED_VALUE"""),"Equity Key Stats")</f>
        <v>Equity Key Stats</v>
      </c>
      <c r="N790" s="5"/>
      <c r="O790" s="5"/>
      <c r="P790" s="142">
        <f>IFERROR(__xludf.DUMMYFUNCTION("""COMPUTED_VALUE"""),-36600.0)</f>
        <v>-36600</v>
      </c>
      <c r="Q790" s="5"/>
      <c r="R790" s="71">
        <f>IFERROR(__xludf.DUMMYFUNCTION("""COMPUTED_VALUE"""),373.6)</f>
        <v>373.6</v>
      </c>
      <c r="S790" s="142">
        <f>IFERROR(__xludf.DUMMYFUNCTION("""COMPUTED_VALUE"""),37360.0)</f>
        <v>37360</v>
      </c>
      <c r="T790" s="5">
        <f>IFERROR(__xludf.DUMMYFUNCTION("""COMPUTED_VALUE"""),2.0)</f>
        <v>2</v>
      </c>
      <c r="U790" s="5" t="str">
        <f>IFERROR(__xludf.DUMMYFUNCTION("""COMPUTED_VALUE"""),"")</f>
        <v/>
      </c>
      <c r="V790" s="22" t="str">
        <f>IFERROR(__xludf.DUMMYFUNCTION("""COMPUTED_VALUE"""),"")</f>
        <v/>
      </c>
      <c r="W790" s="9" t="str">
        <f>IFERROR(__xludf.DUMMYFUNCTION("""COMPUTED_VALUE"""),"")</f>
        <v/>
      </c>
      <c r="X790" s="22" t="str">
        <f>IFERROR(__xludf.DUMMYFUNCTION("""COMPUTED_VALUE"""),"")</f>
        <v/>
      </c>
      <c r="Y790" s="22" t="str">
        <f>IFERROR(__xludf.DUMMYFUNCTION("""COMPUTED_VALUE"""),"")</f>
        <v/>
      </c>
      <c r="Z790" s="24" t="str">
        <f>IFERROR(__xludf.DUMMYFUNCTION("""COMPUTED_VALUE"""),"")</f>
        <v/>
      </c>
    </row>
    <row r="791">
      <c r="A791" s="5" t="str">
        <f>IFERROR(__xludf.DUMMYFUNCTION("""COMPUTED_VALUE"""),"")</f>
        <v/>
      </c>
      <c r="B791" s="5" t="str">
        <f>IFERROR(__xludf.DUMMYFUNCTION("""COMPUTED_VALUE"""),"75369")</f>
        <v>75369</v>
      </c>
      <c r="C791" s="9">
        <f>IFERROR(__xludf.DUMMYFUNCTION("""COMPUTED_VALUE"""),4.4644000846E10)</f>
        <v>44644000846</v>
      </c>
      <c r="D791" s="90" t="str">
        <f>IFERROR(__xludf.DUMMYFUNCTION("""COMPUTED_VALUE"""),"3690.hk")</f>
        <v>3690.hk</v>
      </c>
      <c r="E791" s="193">
        <f>IFERROR(__xludf.DUMMYFUNCTION("""COMPUTED_VALUE"""),44644.0)</f>
        <v>44644</v>
      </c>
      <c r="F791" s="5" t="str">
        <f>IFERROR(__xludf.DUMMYFUNCTION("""COMPUTED_VALUE"""),"Stock")</f>
        <v>Stock</v>
      </c>
      <c r="G791" s="5" t="str">
        <f>IFERROR(__xludf.DUMMYFUNCTION("""COMPUTED_VALUE"""),"HKD")</f>
        <v>HKD</v>
      </c>
      <c r="H791" s="22">
        <f>IFERROR(__xludf.DUMMYFUNCTION("""COMPUTED_VALUE"""),200.0)</f>
        <v>200</v>
      </c>
      <c r="I791" s="194">
        <f>IFERROR(__xludf.DUMMYFUNCTION("""COMPUTED_VALUE"""),1.0)</f>
        <v>1</v>
      </c>
      <c r="J791" s="23">
        <f>IFERROR(__xludf.DUMMYFUNCTION("""COMPUTED_VALUE"""),147.0)</f>
        <v>147</v>
      </c>
      <c r="K791" s="5"/>
      <c r="L791" s="23">
        <f>IFERROR(__xludf.DUMMYFUNCTION("""COMPUTED_VALUE"""),154.1)</f>
        <v>154.1</v>
      </c>
      <c r="M791" s="195" t="str">
        <f>IFERROR(__xludf.DUMMYFUNCTION("""COMPUTED_VALUE"""),"Equity Key Stats")</f>
        <v>Equity Key Stats</v>
      </c>
      <c r="N791" s="5"/>
      <c r="O791" s="5"/>
      <c r="P791" s="142">
        <f>IFERROR(__xludf.DUMMYFUNCTION("""COMPUTED_VALUE"""),-29400.0)</f>
        <v>-29400</v>
      </c>
      <c r="Q791" s="5"/>
      <c r="R791" s="71">
        <f>IFERROR(__xludf.DUMMYFUNCTION("""COMPUTED_VALUE"""),154.1)</f>
        <v>154.1</v>
      </c>
      <c r="S791" s="142">
        <f>IFERROR(__xludf.DUMMYFUNCTION("""COMPUTED_VALUE"""),30820.0)</f>
        <v>30820</v>
      </c>
      <c r="T791" s="5">
        <f>IFERROR(__xludf.DUMMYFUNCTION("""COMPUTED_VALUE"""),2.0)</f>
        <v>2</v>
      </c>
      <c r="U791" s="5" t="str">
        <f>IFERROR(__xludf.DUMMYFUNCTION("""COMPUTED_VALUE"""),"")</f>
        <v/>
      </c>
      <c r="V791" s="22" t="str">
        <f>IFERROR(__xludf.DUMMYFUNCTION("""COMPUTED_VALUE"""),"")</f>
        <v/>
      </c>
      <c r="W791" s="9" t="str">
        <f>IFERROR(__xludf.DUMMYFUNCTION("""COMPUTED_VALUE"""),"")</f>
        <v/>
      </c>
      <c r="X791" s="22" t="str">
        <f>IFERROR(__xludf.DUMMYFUNCTION("""COMPUTED_VALUE"""),"")</f>
        <v/>
      </c>
      <c r="Y791" s="22" t="str">
        <f>IFERROR(__xludf.DUMMYFUNCTION("""COMPUTED_VALUE"""),"")</f>
        <v/>
      </c>
      <c r="Z791" s="24" t="str">
        <f>IFERROR(__xludf.DUMMYFUNCTION("""COMPUTED_VALUE"""),"")</f>
        <v/>
      </c>
    </row>
    <row r="792">
      <c r="A792" s="5" t="str">
        <f>IFERROR(__xludf.DUMMYFUNCTION("""COMPUTED_VALUE"""),"")</f>
        <v/>
      </c>
      <c r="B792" s="5" t="str">
        <f>IFERROR(__xludf.DUMMYFUNCTION("""COMPUTED_VALUE"""),"75369")</f>
        <v>75369</v>
      </c>
      <c r="C792" s="9">
        <f>IFERROR(__xludf.DUMMYFUNCTION("""COMPUTED_VALUE"""),4.4644000847E10)</f>
        <v>44644000847</v>
      </c>
      <c r="D792" s="87" t="str">
        <f>IFERROR(__xludf.DUMMYFUNCTION("""COMPUTED_VALUE"""),"TSLA")</f>
        <v>TSLA</v>
      </c>
      <c r="E792" s="193">
        <f>IFERROR(__xludf.DUMMYFUNCTION("""COMPUTED_VALUE"""),44644.0)</f>
        <v>44644</v>
      </c>
      <c r="F792" s="5" t="str">
        <f>IFERROR(__xludf.DUMMYFUNCTION("""COMPUTED_VALUE"""),"Stock")</f>
        <v>Stock</v>
      </c>
      <c r="G792" s="5" t="str">
        <f>IFERROR(__xludf.DUMMYFUNCTION("""COMPUTED_VALUE"""),"USD")</f>
        <v>USD</v>
      </c>
      <c r="H792" s="22" t="str">
        <f>IFERROR(__xludf.DUMMYFUNCTION("""COMPUTED_VALUE"""),"")</f>
        <v/>
      </c>
      <c r="I792" s="194">
        <f>IFERROR(__xludf.DUMMYFUNCTION("""COMPUTED_VALUE"""),7.82365)</f>
        <v>7.82365</v>
      </c>
      <c r="J792" s="23">
        <f>IFERROR(__xludf.DUMMYFUNCTION("""COMPUTED_VALUE"""),1013.92)</f>
        <v>1013.92</v>
      </c>
      <c r="K792" s="5"/>
      <c r="L792" s="23">
        <f>IFERROR(__xludf.DUMMYFUNCTION("""COMPUTED_VALUE"""),1022.37)</f>
        <v>1022.37</v>
      </c>
      <c r="M792" s="195" t="str">
        <f>IFERROR(__xludf.DUMMYFUNCTION("""COMPUTED_VALUE"""),"Equity Key Stats")</f>
        <v>Equity Key Stats</v>
      </c>
      <c r="N792" s="5"/>
      <c r="O792" s="5"/>
      <c r="P792" s="142">
        <f>IFERROR(__xludf.DUMMYFUNCTION("""COMPUTED_VALUE"""),0.0)</f>
        <v>0</v>
      </c>
      <c r="Q792" s="5"/>
      <c r="R792" s="71">
        <f>IFERROR(__xludf.DUMMYFUNCTION("""COMPUTED_VALUE"""),1022.37)</f>
        <v>1022.37</v>
      </c>
      <c r="S792" s="142">
        <f>IFERROR(__xludf.DUMMYFUNCTION("""COMPUTED_VALUE"""),0.0)</f>
        <v>0</v>
      </c>
      <c r="T792" s="5">
        <f>IFERROR(__xludf.DUMMYFUNCTION("""COMPUTED_VALUE"""),2.0)</f>
        <v>2</v>
      </c>
      <c r="U792" s="5" t="str">
        <f>IFERROR(__xludf.DUMMYFUNCTION("""COMPUTED_VALUE"""),"")</f>
        <v/>
      </c>
      <c r="V792" s="22" t="str">
        <f>IFERROR(__xludf.DUMMYFUNCTION("""COMPUTED_VALUE"""),"")</f>
        <v/>
      </c>
      <c r="W792" s="9" t="str">
        <f>IFERROR(__xludf.DUMMYFUNCTION("""COMPUTED_VALUE"""),"")</f>
        <v/>
      </c>
      <c r="X792" s="22" t="str">
        <f>IFERROR(__xludf.DUMMYFUNCTION("""COMPUTED_VALUE"""),"")</f>
        <v/>
      </c>
      <c r="Y792" s="22" t="str">
        <f>IFERROR(__xludf.DUMMYFUNCTION("""COMPUTED_VALUE"""),"")</f>
        <v/>
      </c>
      <c r="Z792" s="24" t="str">
        <f>IFERROR(__xludf.DUMMYFUNCTION("""COMPUTED_VALUE"""),"")</f>
        <v/>
      </c>
    </row>
    <row r="793">
      <c r="A793" s="5" t="str">
        <f>IFERROR(__xludf.DUMMYFUNCTION("""COMPUTED_VALUE"""),"")</f>
        <v/>
      </c>
      <c r="B793" s="5" t="str">
        <f>IFERROR(__xludf.DUMMYFUNCTION("""COMPUTED_VALUE"""),"75369")</f>
        <v>75369</v>
      </c>
      <c r="C793" s="9">
        <f>IFERROR(__xludf.DUMMYFUNCTION("""COMPUTED_VALUE"""),4.4645000924E10)</f>
        <v>44645000924</v>
      </c>
      <c r="D793" s="87" t="str">
        <f>IFERROR(__xludf.DUMMYFUNCTION("""COMPUTED_VALUE"""),"TSLA")</f>
        <v>TSLA</v>
      </c>
      <c r="E793" s="193">
        <f>IFERROR(__xludf.DUMMYFUNCTION("""COMPUTED_VALUE"""),44645.0)</f>
        <v>44645</v>
      </c>
      <c r="F793" s="5" t="str">
        <f>IFERROR(__xludf.DUMMYFUNCTION("""COMPUTED_VALUE"""),"Stock")</f>
        <v>Stock</v>
      </c>
      <c r="G793" s="5" t="str">
        <f>IFERROR(__xludf.DUMMYFUNCTION("""COMPUTED_VALUE"""),"USD")</f>
        <v>USD</v>
      </c>
      <c r="H793" s="22" t="str">
        <f>IFERROR(__xludf.DUMMYFUNCTION("""COMPUTED_VALUE"""),"")</f>
        <v/>
      </c>
      <c r="I793" s="194">
        <f>IFERROR(__xludf.DUMMYFUNCTION("""COMPUTED_VALUE"""),7.82975)</f>
        <v>7.82975</v>
      </c>
      <c r="J793" s="23">
        <f>IFERROR(__xludf.DUMMYFUNCTION("""COMPUTED_VALUE"""),1010.64)</f>
        <v>1010.64</v>
      </c>
      <c r="K793" s="5"/>
      <c r="L793" s="23">
        <f>IFERROR(__xludf.DUMMYFUNCTION("""COMPUTED_VALUE"""),1022.37)</f>
        <v>1022.37</v>
      </c>
      <c r="M793" s="195" t="str">
        <f>IFERROR(__xludf.DUMMYFUNCTION("""COMPUTED_VALUE"""),"Equity Key Stats")</f>
        <v>Equity Key Stats</v>
      </c>
      <c r="N793" s="5"/>
      <c r="O793" s="5"/>
      <c r="P793" s="142">
        <f>IFERROR(__xludf.DUMMYFUNCTION("""COMPUTED_VALUE"""),0.0)</f>
        <v>0</v>
      </c>
      <c r="Q793" s="5"/>
      <c r="R793" s="71">
        <f>IFERROR(__xludf.DUMMYFUNCTION("""COMPUTED_VALUE"""),1022.37)</f>
        <v>1022.37</v>
      </c>
      <c r="S793" s="142">
        <f>IFERROR(__xludf.DUMMYFUNCTION("""COMPUTED_VALUE"""),0.0)</f>
        <v>0</v>
      </c>
      <c r="T793" s="5">
        <f>IFERROR(__xludf.DUMMYFUNCTION("""COMPUTED_VALUE"""),2.0)</f>
        <v>2</v>
      </c>
      <c r="U793" s="5">
        <f>IFERROR(__xludf.DUMMYFUNCTION("""COMPUTED_VALUE"""),1.0)</f>
        <v>1</v>
      </c>
      <c r="V793" s="22">
        <f>IFERROR(__xludf.DUMMYFUNCTION("""COMPUTED_VALUE"""),0.0)</f>
        <v>0</v>
      </c>
      <c r="W793" s="9" t="str">
        <f>IFERROR(__xludf.DUMMYFUNCTION("""COMPUTED_VALUE"""),"")</f>
        <v/>
      </c>
      <c r="X793" s="22" t="str">
        <f>IFERROR(__xludf.DUMMYFUNCTION("""COMPUTED_VALUE"""),"")</f>
        <v/>
      </c>
      <c r="Y793" s="22" t="str">
        <f>IFERROR(__xludf.DUMMYFUNCTION("""COMPUTED_VALUE"""),"")</f>
        <v/>
      </c>
      <c r="Z793" s="24" t="str">
        <f>IFERROR(__xludf.DUMMYFUNCTION("""COMPUTED_VALUE"""),"")</f>
        <v/>
      </c>
    </row>
    <row r="794">
      <c r="A794" s="5" t="str">
        <f>IFERROR(__xludf.DUMMYFUNCTION("""COMPUTED_VALUE"""),"")</f>
        <v/>
      </c>
      <c r="B794" s="5" t="str">
        <f>IFERROR(__xludf.DUMMYFUNCTION("""COMPUTED_VALUE"""),"75369")</f>
        <v>75369</v>
      </c>
      <c r="C794" s="9">
        <f>IFERROR(__xludf.DUMMYFUNCTION("""COMPUTED_VALUE"""),4.4648000939E10)</f>
        <v>44648000939</v>
      </c>
      <c r="D794" s="90" t="str">
        <f>IFERROR(__xludf.DUMMYFUNCTION("""COMPUTED_VALUE"""),"3690.hk")</f>
        <v>3690.hk</v>
      </c>
      <c r="E794" s="193">
        <f>IFERROR(__xludf.DUMMYFUNCTION("""COMPUTED_VALUE"""),44648.0)</f>
        <v>44648</v>
      </c>
      <c r="F794" s="5" t="str">
        <f>IFERROR(__xludf.DUMMYFUNCTION("""COMPUTED_VALUE"""),"Stock")</f>
        <v>Stock</v>
      </c>
      <c r="G794" s="5" t="str">
        <f>IFERROR(__xludf.DUMMYFUNCTION("""COMPUTED_VALUE"""),"HKD")</f>
        <v>HKD</v>
      </c>
      <c r="H794" s="22">
        <f>IFERROR(__xludf.DUMMYFUNCTION("""COMPUTED_VALUE"""),-200.0)</f>
        <v>-200</v>
      </c>
      <c r="I794" s="194">
        <f>IFERROR(__xludf.DUMMYFUNCTION("""COMPUTED_VALUE"""),1.0)</f>
        <v>1</v>
      </c>
      <c r="J794" s="23">
        <f>IFERROR(__xludf.DUMMYFUNCTION("""COMPUTED_VALUE"""),150.6)</f>
        <v>150.6</v>
      </c>
      <c r="K794" s="5"/>
      <c r="L794" s="23">
        <f>IFERROR(__xludf.DUMMYFUNCTION("""COMPUTED_VALUE"""),154.1)</f>
        <v>154.1</v>
      </c>
      <c r="M794" s="195" t="str">
        <f>IFERROR(__xludf.DUMMYFUNCTION("""COMPUTED_VALUE"""),"Equity Key Stats")</f>
        <v>Equity Key Stats</v>
      </c>
      <c r="N794" s="5"/>
      <c r="O794" s="5"/>
      <c r="P794" s="142">
        <f>IFERROR(__xludf.DUMMYFUNCTION("""COMPUTED_VALUE"""),30120.0)</f>
        <v>30120</v>
      </c>
      <c r="Q794" s="5"/>
      <c r="R794" s="71">
        <f>IFERROR(__xludf.DUMMYFUNCTION("""COMPUTED_VALUE"""),154.1)</f>
        <v>154.1</v>
      </c>
      <c r="S794" s="142">
        <f>IFERROR(__xludf.DUMMYFUNCTION("""COMPUTED_VALUE"""),-30820.0)</f>
        <v>-30820</v>
      </c>
      <c r="T794" s="5">
        <f>IFERROR(__xludf.DUMMYFUNCTION("""COMPUTED_VALUE"""),2.0)</f>
        <v>2</v>
      </c>
      <c r="U794" s="5">
        <f>IFERROR(__xludf.DUMMYFUNCTION("""COMPUTED_VALUE"""),1.0)</f>
        <v>1</v>
      </c>
      <c r="V794" s="22">
        <f>IFERROR(__xludf.DUMMYFUNCTION("""COMPUTED_VALUE"""),720.0)</f>
        <v>720</v>
      </c>
      <c r="W794" s="9" t="str">
        <f>IFERROR(__xludf.DUMMYFUNCTION("""COMPUTED_VALUE"""),"")</f>
        <v/>
      </c>
      <c r="X794" s="22" t="str">
        <f>IFERROR(__xludf.DUMMYFUNCTION("""COMPUTED_VALUE"""),"")</f>
        <v/>
      </c>
      <c r="Y794" s="22" t="str">
        <f>IFERROR(__xludf.DUMMYFUNCTION("""COMPUTED_VALUE"""),"")</f>
        <v/>
      </c>
      <c r="Z794" s="24" t="str">
        <f>IFERROR(__xludf.DUMMYFUNCTION("""COMPUTED_VALUE"""),"")</f>
        <v/>
      </c>
    </row>
    <row r="795">
      <c r="A795" s="5" t="str">
        <f>IFERROR(__xludf.DUMMYFUNCTION("""COMPUTED_VALUE"""),"")</f>
        <v/>
      </c>
      <c r="B795" s="5" t="str">
        <f>IFERROR(__xludf.DUMMYFUNCTION("""COMPUTED_VALUE"""),"75369")</f>
        <v>75369</v>
      </c>
      <c r="C795" s="9">
        <f>IFERROR(__xludf.DUMMYFUNCTION("""COMPUTED_VALUE"""),4.4648000961E10)</f>
        <v>44648000961</v>
      </c>
      <c r="D795" s="87" t="str">
        <f>IFERROR(__xludf.DUMMYFUNCTION("""COMPUTED_VALUE"""),"FB")</f>
        <v>FB</v>
      </c>
      <c r="E795" s="193">
        <f>IFERROR(__xludf.DUMMYFUNCTION("""COMPUTED_VALUE"""),44648.0)</f>
        <v>44648</v>
      </c>
      <c r="F795" s="5" t="str">
        <f>IFERROR(__xludf.DUMMYFUNCTION("""COMPUTED_VALUE"""),"Stock")</f>
        <v>Stock</v>
      </c>
      <c r="G795" s="5" t="str">
        <f>IFERROR(__xludf.DUMMYFUNCTION("""COMPUTED_VALUE"""),"USD")</f>
        <v>USD</v>
      </c>
      <c r="H795" s="22">
        <f>IFERROR(__xludf.DUMMYFUNCTION("""COMPUTED_VALUE"""),250.0)</f>
        <v>250</v>
      </c>
      <c r="I795" s="194">
        <f>IFERROR(__xludf.DUMMYFUNCTION("""COMPUTED_VALUE"""),7.82905)</f>
        <v>7.82905</v>
      </c>
      <c r="J795" s="23">
        <f>IFERROR(__xludf.DUMMYFUNCTION("""COMPUTED_VALUE"""),223.59)</f>
        <v>223.59</v>
      </c>
      <c r="K795" s="5"/>
      <c r="L795" s="23">
        <f>IFERROR(__xludf.DUMMYFUNCTION("""COMPUTED_VALUE"""),214.99)</f>
        <v>214.99</v>
      </c>
      <c r="M795" s="195" t="str">
        <f>IFERROR(__xludf.DUMMYFUNCTION("""COMPUTED_VALUE"""),"Equity Key Stats")</f>
        <v>Equity Key Stats</v>
      </c>
      <c r="N795" s="5"/>
      <c r="O795" s="5"/>
      <c r="P795" s="142">
        <f>IFERROR(__xludf.DUMMYFUNCTION("""COMPUTED_VALUE"""),-437624.322375)</f>
        <v>-437624.3224</v>
      </c>
      <c r="Q795" s="5"/>
      <c r="R795" s="71">
        <f>IFERROR(__xludf.DUMMYFUNCTION("""COMPUTED_VALUE"""),214.99)</f>
        <v>214.99</v>
      </c>
      <c r="S795" s="142">
        <f>IFERROR(__xludf.DUMMYFUNCTION("""COMPUTED_VALUE"""),420791.86487499997)</f>
        <v>420791.8649</v>
      </c>
      <c r="T795" s="5">
        <f>IFERROR(__xludf.DUMMYFUNCTION("""COMPUTED_VALUE"""),1.0)</f>
        <v>1</v>
      </c>
      <c r="U795" s="5">
        <f>IFERROR(__xludf.DUMMYFUNCTION("""COMPUTED_VALUE"""),1.0)</f>
        <v>1</v>
      </c>
      <c r="V795" s="22">
        <f>IFERROR(__xludf.DUMMYFUNCTION("""COMPUTED_VALUE"""),-16832.45750000002)</f>
        <v>-16832.4575</v>
      </c>
      <c r="W795" s="9" t="str">
        <f>IFERROR(__xludf.DUMMYFUNCTION("""COMPUTED_VALUE"""),"")</f>
        <v/>
      </c>
      <c r="X795" s="22" t="str">
        <f>IFERROR(__xludf.DUMMYFUNCTION("""COMPUTED_VALUE"""),"")</f>
        <v/>
      </c>
      <c r="Y795" s="22" t="str">
        <f>IFERROR(__xludf.DUMMYFUNCTION("""COMPUTED_VALUE"""),"")</f>
        <v/>
      </c>
      <c r="Z795" s="24" t="str">
        <f>IFERROR(__xludf.DUMMYFUNCTION("""COMPUTED_VALUE"""),"")</f>
        <v/>
      </c>
    </row>
    <row r="796">
      <c r="A796" s="5" t="str">
        <f>IFERROR(__xludf.DUMMYFUNCTION("""COMPUTED_VALUE"""),"")</f>
        <v/>
      </c>
      <c r="B796" s="5" t="str">
        <f>IFERROR(__xludf.DUMMYFUNCTION("""COMPUTED_VALUE"""),"75369")</f>
        <v>75369</v>
      </c>
      <c r="C796" s="9">
        <f>IFERROR(__xludf.DUMMYFUNCTION("""COMPUTED_VALUE"""),4.4649000994E10)</f>
        <v>44649000994</v>
      </c>
      <c r="D796" s="87" t="str">
        <f>IFERROR(__xludf.DUMMYFUNCTION("""COMPUTED_VALUE"""),"AAPL")</f>
        <v>AAPL</v>
      </c>
      <c r="E796" s="193">
        <f>IFERROR(__xludf.DUMMYFUNCTION("""COMPUTED_VALUE"""),44649.0)</f>
        <v>44649</v>
      </c>
      <c r="F796" s="5" t="str">
        <f>IFERROR(__xludf.DUMMYFUNCTION("""COMPUTED_VALUE"""),"Stock")</f>
        <v>Stock</v>
      </c>
      <c r="G796" s="5" t="str">
        <f>IFERROR(__xludf.DUMMYFUNCTION("""COMPUTED_VALUE"""),"USD")</f>
        <v>USD</v>
      </c>
      <c r="H796" s="22" t="str">
        <f>IFERROR(__xludf.DUMMYFUNCTION("""COMPUTED_VALUE"""),"")</f>
        <v/>
      </c>
      <c r="I796" s="194">
        <f>IFERROR(__xludf.DUMMYFUNCTION("""COMPUTED_VALUE"""),7.827315)</f>
        <v>7.827315</v>
      </c>
      <c r="J796" s="23">
        <f>IFERROR(__xludf.DUMMYFUNCTION("""COMPUTED_VALUE"""),178.96)</f>
        <v>178.96</v>
      </c>
      <c r="K796" s="5"/>
      <c r="L796" s="23">
        <f>IFERROR(__xludf.DUMMYFUNCTION("""COMPUTED_VALUE"""),170.4)</f>
        <v>170.4</v>
      </c>
      <c r="M796" s="195" t="str">
        <f>IFERROR(__xludf.DUMMYFUNCTION("""COMPUTED_VALUE"""),"Equity Key Stats")</f>
        <v>Equity Key Stats</v>
      </c>
      <c r="N796" s="5"/>
      <c r="O796" s="5"/>
      <c r="P796" s="142">
        <f>IFERROR(__xludf.DUMMYFUNCTION("""COMPUTED_VALUE"""),0.0)</f>
        <v>0</v>
      </c>
      <c r="Q796" s="5"/>
      <c r="R796" s="71">
        <f>IFERROR(__xludf.DUMMYFUNCTION("""COMPUTED_VALUE"""),170.4)</f>
        <v>170.4</v>
      </c>
      <c r="S796" s="142">
        <f>IFERROR(__xludf.DUMMYFUNCTION("""COMPUTED_VALUE"""),0.0)</f>
        <v>0</v>
      </c>
      <c r="T796" s="5">
        <f>IFERROR(__xludf.DUMMYFUNCTION("""COMPUTED_VALUE"""),1.0)</f>
        <v>1</v>
      </c>
      <c r="U796" s="5">
        <f>IFERROR(__xludf.DUMMYFUNCTION("""COMPUTED_VALUE"""),1.0)</f>
        <v>1</v>
      </c>
      <c r="V796" s="22">
        <f>IFERROR(__xludf.DUMMYFUNCTION("""COMPUTED_VALUE"""),0.0)</f>
        <v>0</v>
      </c>
      <c r="W796" s="9" t="str">
        <f>IFERROR(__xludf.DUMMYFUNCTION("""COMPUTED_VALUE"""),"")</f>
        <v/>
      </c>
      <c r="X796" s="22" t="str">
        <f>IFERROR(__xludf.DUMMYFUNCTION("""COMPUTED_VALUE"""),"")</f>
        <v/>
      </c>
      <c r="Y796" s="22" t="str">
        <f>IFERROR(__xludf.DUMMYFUNCTION("""COMPUTED_VALUE"""),"")</f>
        <v/>
      </c>
      <c r="Z796" s="24" t="str">
        <f>IFERROR(__xludf.DUMMYFUNCTION("""COMPUTED_VALUE"""),"")</f>
        <v/>
      </c>
    </row>
    <row r="797">
      <c r="A797" s="5" t="str">
        <f>IFERROR(__xludf.DUMMYFUNCTION("""COMPUTED_VALUE"""),"")</f>
        <v/>
      </c>
      <c r="B797" s="5" t="str">
        <f>IFERROR(__xludf.DUMMYFUNCTION("""COMPUTED_VALUE"""),"75369")</f>
        <v>75369</v>
      </c>
      <c r="C797" s="9">
        <f>IFERROR(__xludf.DUMMYFUNCTION("""COMPUTED_VALUE"""),4.4649000996E10)</f>
        <v>44649000996</v>
      </c>
      <c r="D797" s="87" t="str">
        <f>IFERROR(__xludf.DUMMYFUNCTION("""COMPUTED_VALUE"""),"YINN")</f>
        <v>YINN</v>
      </c>
      <c r="E797" s="193">
        <f>IFERROR(__xludf.DUMMYFUNCTION("""COMPUTED_VALUE"""),44649.0)</f>
        <v>44649</v>
      </c>
      <c r="F797" s="5" t="str">
        <f>IFERROR(__xludf.DUMMYFUNCTION("""COMPUTED_VALUE"""),"Stock")</f>
        <v>Stock</v>
      </c>
      <c r="G797" s="5" t="str">
        <f>IFERROR(__xludf.DUMMYFUNCTION("""COMPUTED_VALUE"""),"USD")</f>
        <v>USD</v>
      </c>
      <c r="H797" s="22">
        <f>IFERROR(__xludf.DUMMYFUNCTION("""COMPUTED_VALUE"""),5000.0)</f>
        <v>5000</v>
      </c>
      <c r="I797" s="194">
        <f>IFERROR(__xludf.DUMMYFUNCTION("""COMPUTED_VALUE"""),7.827315)</f>
        <v>7.827315</v>
      </c>
      <c r="J797" s="23">
        <f>IFERROR(__xludf.DUMMYFUNCTION("""COMPUTED_VALUE"""),5.23)</f>
        <v>5.23</v>
      </c>
      <c r="K797" s="5"/>
      <c r="L797" s="23">
        <f>IFERROR(__xludf.DUMMYFUNCTION("""COMPUTED_VALUE"""),4.54)</f>
        <v>4.54</v>
      </c>
      <c r="M797" s="195" t="str">
        <f>IFERROR(__xludf.DUMMYFUNCTION("""COMPUTED_VALUE"""),"Equity Key Stats")</f>
        <v>Equity Key Stats</v>
      </c>
      <c r="N797" s="5"/>
      <c r="O797" s="5"/>
      <c r="P797" s="142">
        <f>IFERROR(__xludf.DUMMYFUNCTION("""COMPUTED_VALUE"""),-204684.28725)</f>
        <v>-204684.2873</v>
      </c>
      <c r="Q797" s="5"/>
      <c r="R797" s="71">
        <f>IFERROR(__xludf.DUMMYFUNCTION("""COMPUTED_VALUE"""),4.54)</f>
        <v>4.54</v>
      </c>
      <c r="S797" s="142">
        <f>IFERROR(__xludf.DUMMYFUNCTION("""COMPUTED_VALUE"""),177680.05049999998)</f>
        <v>177680.0505</v>
      </c>
      <c r="T797" s="5">
        <f>IFERROR(__xludf.DUMMYFUNCTION("""COMPUTED_VALUE"""),1.0)</f>
        <v>1</v>
      </c>
      <c r="U797" s="5">
        <f>IFERROR(__xludf.DUMMYFUNCTION("""COMPUTED_VALUE"""),1.0)</f>
        <v>1</v>
      </c>
      <c r="V797" s="22">
        <f>IFERROR(__xludf.DUMMYFUNCTION("""COMPUTED_VALUE"""),-27004.23675000001)</f>
        <v>-27004.23675</v>
      </c>
      <c r="W797" s="9" t="str">
        <f>IFERROR(__xludf.DUMMYFUNCTION("""COMPUTED_VALUE"""),"")</f>
        <v/>
      </c>
      <c r="X797" s="22" t="str">
        <f>IFERROR(__xludf.DUMMYFUNCTION("""COMPUTED_VALUE"""),"")</f>
        <v/>
      </c>
      <c r="Y797" s="22" t="str">
        <f>IFERROR(__xludf.DUMMYFUNCTION("""COMPUTED_VALUE"""),"")</f>
        <v/>
      </c>
      <c r="Z797" s="24" t="str">
        <f>IFERROR(__xludf.DUMMYFUNCTION("""COMPUTED_VALUE"""),"")</f>
        <v/>
      </c>
    </row>
    <row r="798">
      <c r="A798" s="5" t="str">
        <f>IFERROR(__xludf.DUMMYFUNCTION("""COMPUTED_VALUE"""),"")</f>
        <v/>
      </c>
      <c r="B798" s="5" t="str">
        <f>IFERROR(__xludf.DUMMYFUNCTION("""COMPUTED_VALUE"""),"75369")</f>
        <v>75369</v>
      </c>
      <c r="C798" s="9">
        <f>IFERROR(__xludf.DUMMYFUNCTION("""COMPUTED_VALUE"""),4.4649000999E10)</f>
        <v>44649000999</v>
      </c>
      <c r="D798" s="87" t="str">
        <f>IFERROR(__xludf.DUMMYFUNCTION("""COMPUTED_VALUE"""),"BABA")</f>
        <v>BABA</v>
      </c>
      <c r="E798" s="193">
        <f>IFERROR(__xludf.DUMMYFUNCTION("""COMPUTED_VALUE"""),44649.0)</f>
        <v>44649</v>
      </c>
      <c r="F798" s="5" t="str">
        <f>IFERROR(__xludf.DUMMYFUNCTION("""COMPUTED_VALUE"""),"Stock")</f>
        <v>Stock</v>
      </c>
      <c r="G798" s="5" t="str">
        <f>IFERROR(__xludf.DUMMYFUNCTION("""COMPUTED_VALUE"""),"USD")</f>
        <v>USD</v>
      </c>
      <c r="H798" s="22" t="str">
        <f>IFERROR(__xludf.DUMMYFUNCTION("""COMPUTED_VALUE"""),"")</f>
        <v/>
      </c>
      <c r="I798" s="194">
        <f>IFERROR(__xludf.DUMMYFUNCTION("""COMPUTED_VALUE"""),7.827315)</f>
        <v>7.827315</v>
      </c>
      <c r="J798" s="23">
        <f>IFERROR(__xludf.DUMMYFUNCTION("""COMPUTED_VALUE"""),116.71)</f>
        <v>116.71</v>
      </c>
      <c r="K798" s="5"/>
      <c r="L798" s="23">
        <f>IFERROR(__xludf.DUMMYFUNCTION("""COMPUTED_VALUE"""),100.09)</f>
        <v>100.09</v>
      </c>
      <c r="M798" s="195" t="str">
        <f>IFERROR(__xludf.DUMMYFUNCTION("""COMPUTED_VALUE"""),"Equity Key Stats")</f>
        <v>Equity Key Stats</v>
      </c>
      <c r="N798" s="5"/>
      <c r="O798" s="5"/>
      <c r="P798" s="142">
        <f>IFERROR(__xludf.DUMMYFUNCTION("""COMPUTED_VALUE"""),0.0)</f>
        <v>0</v>
      </c>
      <c r="Q798" s="5"/>
      <c r="R798" s="71">
        <f>IFERROR(__xludf.DUMMYFUNCTION("""COMPUTED_VALUE"""),100.09)</f>
        <v>100.09</v>
      </c>
      <c r="S798" s="142">
        <f>IFERROR(__xludf.DUMMYFUNCTION("""COMPUTED_VALUE"""),0.0)</f>
        <v>0</v>
      </c>
      <c r="T798" s="5">
        <f>IFERROR(__xludf.DUMMYFUNCTION("""COMPUTED_VALUE"""),1.0)</f>
        <v>1</v>
      </c>
      <c r="U798" s="5">
        <f>IFERROR(__xludf.DUMMYFUNCTION("""COMPUTED_VALUE"""),1.0)</f>
        <v>1</v>
      </c>
      <c r="V798" s="22">
        <f>IFERROR(__xludf.DUMMYFUNCTION("""COMPUTED_VALUE"""),0.0)</f>
        <v>0</v>
      </c>
      <c r="W798" s="9" t="str">
        <f>IFERROR(__xludf.DUMMYFUNCTION("""COMPUTED_VALUE"""),"")</f>
        <v/>
      </c>
      <c r="X798" s="22" t="str">
        <f>IFERROR(__xludf.DUMMYFUNCTION("""COMPUTED_VALUE"""),"")</f>
        <v/>
      </c>
      <c r="Y798" s="22" t="str">
        <f>IFERROR(__xludf.DUMMYFUNCTION("""COMPUTED_VALUE"""),"")</f>
        <v/>
      </c>
      <c r="Z798" s="24" t="str">
        <f>IFERROR(__xludf.DUMMYFUNCTION("""COMPUTED_VALUE"""),"")</f>
        <v/>
      </c>
    </row>
    <row r="799">
      <c r="A799" s="5" t="str">
        <f>IFERROR(__xludf.DUMMYFUNCTION("""COMPUTED_VALUE"""),"")</f>
        <v/>
      </c>
      <c r="B799" s="5" t="str">
        <f>IFERROR(__xludf.DUMMYFUNCTION("""COMPUTED_VALUE"""),"75369")</f>
        <v>75369</v>
      </c>
      <c r="C799" s="9">
        <f>IFERROR(__xludf.DUMMYFUNCTION("""COMPUTED_VALUE"""),4.4649001E10)</f>
        <v>44649001000</v>
      </c>
      <c r="D799" s="87" t="str">
        <f>IFERROR(__xludf.DUMMYFUNCTION("""COMPUTED_VALUE"""),"LCID")</f>
        <v>LCID</v>
      </c>
      <c r="E799" s="193">
        <f>IFERROR(__xludf.DUMMYFUNCTION("""COMPUTED_VALUE"""),44649.0)</f>
        <v>44649</v>
      </c>
      <c r="F799" s="5" t="str">
        <f>IFERROR(__xludf.DUMMYFUNCTION("""COMPUTED_VALUE"""),"Stock")</f>
        <v>Stock</v>
      </c>
      <c r="G799" s="5" t="str">
        <f>IFERROR(__xludf.DUMMYFUNCTION("""COMPUTED_VALUE"""),"USD")</f>
        <v>USD</v>
      </c>
      <c r="H799" s="22" t="str">
        <f>IFERROR(__xludf.DUMMYFUNCTION("""COMPUTED_VALUE"""),"")</f>
        <v/>
      </c>
      <c r="I799" s="194">
        <f>IFERROR(__xludf.DUMMYFUNCTION("""COMPUTED_VALUE"""),7.827315)</f>
        <v>7.827315</v>
      </c>
      <c r="J799" s="23">
        <f>IFERROR(__xludf.DUMMYFUNCTION("""COMPUTED_VALUE"""),27.36)</f>
        <v>27.36</v>
      </c>
      <c r="K799" s="5"/>
      <c r="L799" s="23">
        <f>IFERROR(__xludf.DUMMYFUNCTION("""COMPUTED_VALUE"""),22.05)</f>
        <v>22.05</v>
      </c>
      <c r="M799" s="195" t="str">
        <f>IFERROR(__xludf.DUMMYFUNCTION("""COMPUTED_VALUE"""),"Equity Key Stats")</f>
        <v>Equity Key Stats</v>
      </c>
      <c r="N799" s="5"/>
      <c r="O799" s="5"/>
      <c r="P799" s="142">
        <f>IFERROR(__xludf.DUMMYFUNCTION("""COMPUTED_VALUE"""),0.0)</f>
        <v>0</v>
      </c>
      <c r="Q799" s="5"/>
      <c r="R799" s="71">
        <f>IFERROR(__xludf.DUMMYFUNCTION("""COMPUTED_VALUE"""),22.05)</f>
        <v>22.05</v>
      </c>
      <c r="S799" s="142">
        <f>IFERROR(__xludf.DUMMYFUNCTION("""COMPUTED_VALUE"""),0.0)</f>
        <v>0</v>
      </c>
      <c r="T799" s="5">
        <f>IFERROR(__xludf.DUMMYFUNCTION("""COMPUTED_VALUE"""),1.0)</f>
        <v>1</v>
      </c>
      <c r="U799" s="5">
        <f>IFERROR(__xludf.DUMMYFUNCTION("""COMPUTED_VALUE"""),1.0)</f>
        <v>1</v>
      </c>
      <c r="V799" s="22">
        <f>IFERROR(__xludf.DUMMYFUNCTION("""COMPUTED_VALUE"""),0.0)</f>
        <v>0</v>
      </c>
      <c r="W799" s="9" t="str">
        <f>IFERROR(__xludf.DUMMYFUNCTION("""COMPUTED_VALUE"""),"")</f>
        <v/>
      </c>
      <c r="X799" s="22" t="str">
        <f>IFERROR(__xludf.DUMMYFUNCTION("""COMPUTED_VALUE"""),"")</f>
        <v/>
      </c>
      <c r="Y799" s="22" t="str">
        <f>IFERROR(__xludf.DUMMYFUNCTION("""COMPUTED_VALUE"""),"")</f>
        <v/>
      </c>
      <c r="Z799" s="24" t="str">
        <f>IFERROR(__xludf.DUMMYFUNCTION("""COMPUTED_VALUE"""),"")</f>
        <v/>
      </c>
    </row>
    <row r="800">
      <c r="A800" s="5" t="str">
        <f>IFERROR(__xludf.DUMMYFUNCTION("""COMPUTED_VALUE"""),"")</f>
        <v/>
      </c>
      <c r="B800" s="5" t="str">
        <f>IFERROR(__xludf.DUMMYFUNCTION("""COMPUTED_VALUE"""),"75369")</f>
        <v>75369</v>
      </c>
      <c r="C800" s="9">
        <f>IFERROR(__xludf.DUMMYFUNCTION("""COMPUTED_VALUE"""),4.4649001001E10)</f>
        <v>44649001001</v>
      </c>
      <c r="D800" s="87" t="str">
        <f>IFERROR(__xludf.DUMMYFUNCTION("""COMPUTED_VALUE"""),"LMT")</f>
        <v>LMT</v>
      </c>
      <c r="E800" s="193">
        <f>IFERROR(__xludf.DUMMYFUNCTION("""COMPUTED_VALUE"""),44649.0)</f>
        <v>44649</v>
      </c>
      <c r="F800" s="5" t="str">
        <f>IFERROR(__xludf.DUMMYFUNCTION("""COMPUTED_VALUE"""),"Stock")</f>
        <v>Stock</v>
      </c>
      <c r="G800" s="5" t="str">
        <f>IFERROR(__xludf.DUMMYFUNCTION("""COMPUTED_VALUE"""),"USD")</f>
        <v>USD</v>
      </c>
      <c r="H800" s="22" t="str">
        <f>IFERROR(__xludf.DUMMYFUNCTION("""COMPUTED_VALUE"""),"")</f>
        <v/>
      </c>
      <c r="I800" s="194">
        <f>IFERROR(__xludf.DUMMYFUNCTION("""COMPUTED_VALUE"""),7.827315)</f>
        <v>7.827315</v>
      </c>
      <c r="J800" s="23">
        <f>IFERROR(__xludf.DUMMYFUNCTION("""COMPUTED_VALUE"""),437.15)</f>
        <v>437.15</v>
      </c>
      <c r="K800" s="5"/>
      <c r="L800" s="23">
        <f>IFERROR(__xludf.DUMMYFUNCTION("""COMPUTED_VALUE"""),469.2)</f>
        <v>469.2</v>
      </c>
      <c r="M800" s="195" t="str">
        <f>IFERROR(__xludf.DUMMYFUNCTION("""COMPUTED_VALUE"""),"Equity Key Stats")</f>
        <v>Equity Key Stats</v>
      </c>
      <c r="N800" s="5"/>
      <c r="O800" s="5"/>
      <c r="P800" s="142">
        <f>IFERROR(__xludf.DUMMYFUNCTION("""COMPUTED_VALUE"""),0.0)</f>
        <v>0</v>
      </c>
      <c r="Q800" s="5"/>
      <c r="R800" s="71">
        <f>IFERROR(__xludf.DUMMYFUNCTION("""COMPUTED_VALUE"""),469.2)</f>
        <v>469.2</v>
      </c>
      <c r="S800" s="142">
        <f>IFERROR(__xludf.DUMMYFUNCTION("""COMPUTED_VALUE"""),0.0)</f>
        <v>0</v>
      </c>
      <c r="T800" s="5">
        <f>IFERROR(__xludf.DUMMYFUNCTION("""COMPUTED_VALUE"""),2.0)</f>
        <v>2</v>
      </c>
      <c r="U800" s="5" t="str">
        <f>IFERROR(__xludf.DUMMYFUNCTION("""COMPUTED_VALUE"""),"")</f>
        <v/>
      </c>
      <c r="V800" s="22" t="str">
        <f>IFERROR(__xludf.DUMMYFUNCTION("""COMPUTED_VALUE"""),"")</f>
        <v/>
      </c>
      <c r="W800" s="9" t="str">
        <f>IFERROR(__xludf.DUMMYFUNCTION("""COMPUTED_VALUE"""),"")</f>
        <v/>
      </c>
      <c r="X800" s="22" t="str">
        <f>IFERROR(__xludf.DUMMYFUNCTION("""COMPUTED_VALUE"""),"")</f>
        <v/>
      </c>
      <c r="Y800" s="22" t="str">
        <f>IFERROR(__xludf.DUMMYFUNCTION("""COMPUTED_VALUE"""),"")</f>
        <v/>
      </c>
      <c r="Z800" s="24" t="str">
        <f>IFERROR(__xludf.DUMMYFUNCTION("""COMPUTED_VALUE"""),"")</f>
        <v/>
      </c>
    </row>
    <row r="801">
      <c r="A801" s="5" t="str">
        <f>IFERROR(__xludf.DUMMYFUNCTION("""COMPUTED_VALUE"""),"")</f>
        <v/>
      </c>
      <c r="B801" s="5" t="str">
        <f>IFERROR(__xludf.DUMMYFUNCTION("""COMPUTED_VALUE"""),"75369")</f>
        <v>75369</v>
      </c>
      <c r="C801" s="9">
        <f>IFERROR(__xludf.DUMMYFUNCTION("""COMPUTED_VALUE"""),4.4649001002E10)</f>
        <v>44649001002</v>
      </c>
      <c r="D801" s="87" t="str">
        <f>IFERROR(__xludf.DUMMYFUNCTION("""COMPUTED_VALUE"""),"RBLX")</f>
        <v>RBLX</v>
      </c>
      <c r="E801" s="193">
        <f>IFERROR(__xludf.DUMMYFUNCTION("""COMPUTED_VALUE"""),44649.0)</f>
        <v>44649</v>
      </c>
      <c r="F801" s="5" t="str">
        <f>IFERROR(__xludf.DUMMYFUNCTION("""COMPUTED_VALUE"""),"Stock")</f>
        <v>Stock</v>
      </c>
      <c r="G801" s="5" t="str">
        <f>IFERROR(__xludf.DUMMYFUNCTION("""COMPUTED_VALUE"""),"USD")</f>
        <v>USD</v>
      </c>
      <c r="H801" s="22" t="str">
        <f>IFERROR(__xludf.DUMMYFUNCTION("""COMPUTED_VALUE"""),"")</f>
        <v/>
      </c>
      <c r="I801" s="194">
        <f>IFERROR(__xludf.DUMMYFUNCTION("""COMPUTED_VALUE"""),7.827315)</f>
        <v>7.827315</v>
      </c>
      <c r="J801" s="23">
        <f>IFERROR(__xludf.DUMMYFUNCTION("""COMPUTED_VALUE"""),50.92)</f>
        <v>50.92</v>
      </c>
      <c r="K801" s="5"/>
      <c r="L801" s="23">
        <f>IFERROR(__xludf.DUMMYFUNCTION("""COMPUTED_VALUE"""),45.01)</f>
        <v>45.01</v>
      </c>
      <c r="M801" s="195" t="str">
        <f>IFERROR(__xludf.DUMMYFUNCTION("""COMPUTED_VALUE"""),"Equity Key Stats")</f>
        <v>Equity Key Stats</v>
      </c>
      <c r="N801" s="5"/>
      <c r="O801" s="5"/>
      <c r="P801" s="142">
        <f>IFERROR(__xludf.DUMMYFUNCTION("""COMPUTED_VALUE"""),0.0)</f>
        <v>0</v>
      </c>
      <c r="Q801" s="5"/>
      <c r="R801" s="71">
        <f>IFERROR(__xludf.DUMMYFUNCTION("""COMPUTED_VALUE"""),45.01)</f>
        <v>45.01</v>
      </c>
      <c r="S801" s="142">
        <f>IFERROR(__xludf.DUMMYFUNCTION("""COMPUTED_VALUE"""),0.0)</f>
        <v>0</v>
      </c>
      <c r="T801" s="5">
        <f>IFERROR(__xludf.DUMMYFUNCTION("""COMPUTED_VALUE"""),1.0)</f>
        <v>1</v>
      </c>
      <c r="U801" s="5">
        <f>IFERROR(__xludf.DUMMYFUNCTION("""COMPUTED_VALUE"""),1.0)</f>
        <v>1</v>
      </c>
      <c r="V801" s="22">
        <f>IFERROR(__xludf.DUMMYFUNCTION("""COMPUTED_VALUE"""),0.0)</f>
        <v>0</v>
      </c>
      <c r="W801" s="9" t="str">
        <f>IFERROR(__xludf.DUMMYFUNCTION("""COMPUTED_VALUE"""),"")</f>
        <v/>
      </c>
      <c r="X801" s="22" t="str">
        <f>IFERROR(__xludf.DUMMYFUNCTION("""COMPUTED_VALUE"""),"")</f>
        <v/>
      </c>
      <c r="Y801" s="22" t="str">
        <f>IFERROR(__xludf.DUMMYFUNCTION("""COMPUTED_VALUE"""),"")</f>
        <v/>
      </c>
      <c r="Z801" s="24" t="str">
        <f>IFERROR(__xludf.DUMMYFUNCTION("""COMPUTED_VALUE"""),"")</f>
        <v/>
      </c>
    </row>
    <row r="802">
      <c r="A802" s="5" t="str">
        <f>IFERROR(__xludf.DUMMYFUNCTION("""COMPUTED_VALUE"""),"")</f>
        <v/>
      </c>
      <c r="B802" s="5" t="str">
        <f>IFERROR(__xludf.DUMMYFUNCTION("""COMPUTED_VALUE"""),"75369")</f>
        <v>75369</v>
      </c>
      <c r="C802" s="9">
        <f>IFERROR(__xludf.DUMMYFUNCTION("""COMPUTED_VALUE"""),4.4650000997E10)</f>
        <v>44650000997</v>
      </c>
      <c r="D802" s="90" t="str">
        <f>IFERROR(__xludf.DUMMYFUNCTION("""COMPUTED_VALUE"""),"9988.hk")</f>
        <v>9988.hk</v>
      </c>
      <c r="E802" s="193">
        <f>IFERROR(__xludf.DUMMYFUNCTION("""COMPUTED_VALUE"""),44650.0)</f>
        <v>44650</v>
      </c>
      <c r="F802" s="5" t="str">
        <f>IFERROR(__xludf.DUMMYFUNCTION("""COMPUTED_VALUE"""),"Stock")</f>
        <v>Stock</v>
      </c>
      <c r="G802" s="5" t="str">
        <f>IFERROR(__xludf.DUMMYFUNCTION("""COMPUTED_VALUE"""),"HKD")</f>
        <v>HKD</v>
      </c>
      <c r="H802" s="22" t="str">
        <f>IFERROR(__xludf.DUMMYFUNCTION("""COMPUTED_VALUE"""),"")</f>
        <v/>
      </c>
      <c r="I802" s="194">
        <f>IFERROR(__xludf.DUMMYFUNCTION("""COMPUTED_VALUE"""),1.0)</f>
        <v>1</v>
      </c>
      <c r="J802" s="23">
        <f>IFERROR(__xludf.DUMMYFUNCTION("""COMPUTED_VALUE"""),113.9)</f>
        <v>113.9</v>
      </c>
      <c r="K802" s="5"/>
      <c r="L802" s="23">
        <f>IFERROR(__xludf.DUMMYFUNCTION("""COMPUTED_VALUE"""),98.5)</f>
        <v>98.5</v>
      </c>
      <c r="M802" s="195" t="str">
        <f>IFERROR(__xludf.DUMMYFUNCTION("""COMPUTED_VALUE"""),"Equity Key Stats")</f>
        <v>Equity Key Stats</v>
      </c>
      <c r="N802" s="5"/>
      <c r="O802" s="5"/>
      <c r="P802" s="142">
        <f>IFERROR(__xludf.DUMMYFUNCTION("""COMPUTED_VALUE"""),0.0)</f>
        <v>0</v>
      </c>
      <c r="Q802" s="5"/>
      <c r="R802" s="71">
        <f>IFERROR(__xludf.DUMMYFUNCTION("""COMPUTED_VALUE"""),98.5)</f>
        <v>98.5</v>
      </c>
      <c r="S802" s="142">
        <f>IFERROR(__xludf.DUMMYFUNCTION("""COMPUTED_VALUE"""),0.0)</f>
        <v>0</v>
      </c>
      <c r="T802" s="5">
        <f>IFERROR(__xludf.DUMMYFUNCTION("""COMPUTED_VALUE"""),2.0)</f>
        <v>2</v>
      </c>
      <c r="U802" s="5" t="str">
        <f>IFERROR(__xludf.DUMMYFUNCTION("""COMPUTED_VALUE"""),"")</f>
        <v/>
      </c>
      <c r="V802" s="22" t="str">
        <f>IFERROR(__xludf.DUMMYFUNCTION("""COMPUTED_VALUE"""),"")</f>
        <v/>
      </c>
      <c r="W802" s="9" t="str">
        <f>IFERROR(__xludf.DUMMYFUNCTION("""COMPUTED_VALUE"""),"")</f>
        <v/>
      </c>
      <c r="X802" s="22" t="str">
        <f>IFERROR(__xludf.DUMMYFUNCTION("""COMPUTED_VALUE"""),"")</f>
        <v/>
      </c>
      <c r="Y802" s="22" t="str">
        <f>IFERROR(__xludf.DUMMYFUNCTION("""COMPUTED_VALUE"""),"")</f>
        <v/>
      </c>
      <c r="Z802" s="24" t="str">
        <f>IFERROR(__xludf.DUMMYFUNCTION("""COMPUTED_VALUE"""),"")</f>
        <v/>
      </c>
    </row>
    <row r="803">
      <c r="A803" s="5" t="str">
        <f>IFERROR(__xludf.DUMMYFUNCTION("""COMPUTED_VALUE"""),"")</f>
        <v/>
      </c>
      <c r="B803" s="5" t="str">
        <f>IFERROR(__xludf.DUMMYFUNCTION("""COMPUTED_VALUE"""),"75369")</f>
        <v>75369</v>
      </c>
      <c r="C803" s="9">
        <f>IFERROR(__xludf.DUMMYFUNCTION("""COMPUTED_VALUE"""),4.4650000998E10)</f>
        <v>44650000998</v>
      </c>
      <c r="D803" s="90" t="str">
        <f>IFERROR(__xludf.DUMMYFUNCTION("""COMPUTED_VALUE"""),"9999.hk")</f>
        <v>9999.hk</v>
      </c>
      <c r="E803" s="193">
        <f>IFERROR(__xludf.DUMMYFUNCTION("""COMPUTED_VALUE"""),44650.0)</f>
        <v>44650</v>
      </c>
      <c r="F803" s="5" t="str">
        <f>IFERROR(__xludf.DUMMYFUNCTION("""COMPUTED_VALUE"""),"Stock")</f>
        <v>Stock</v>
      </c>
      <c r="G803" s="5" t="str">
        <f>IFERROR(__xludf.DUMMYFUNCTION("""COMPUTED_VALUE"""),"HKD")</f>
        <v>HKD</v>
      </c>
      <c r="H803" s="22" t="str">
        <f>IFERROR(__xludf.DUMMYFUNCTION("""COMPUTED_VALUE"""),"")</f>
        <v/>
      </c>
      <c r="I803" s="194">
        <f>IFERROR(__xludf.DUMMYFUNCTION("""COMPUTED_VALUE"""),1.0)</f>
        <v>1</v>
      </c>
      <c r="J803" s="23">
        <f>IFERROR(__xludf.DUMMYFUNCTION("""COMPUTED_VALUE"""),145.6)</f>
        <v>145.6</v>
      </c>
      <c r="K803" s="5"/>
      <c r="L803" s="23">
        <f>IFERROR(__xludf.DUMMYFUNCTION("""COMPUTED_VALUE"""),149.2)</f>
        <v>149.2</v>
      </c>
      <c r="M803" s="195" t="str">
        <f>IFERROR(__xludf.DUMMYFUNCTION("""COMPUTED_VALUE"""),"Equity Key Stats")</f>
        <v>Equity Key Stats</v>
      </c>
      <c r="N803" s="5"/>
      <c r="O803" s="5"/>
      <c r="P803" s="142">
        <f>IFERROR(__xludf.DUMMYFUNCTION("""COMPUTED_VALUE"""),0.0)</f>
        <v>0</v>
      </c>
      <c r="Q803" s="5"/>
      <c r="R803" s="71">
        <f>IFERROR(__xludf.DUMMYFUNCTION("""COMPUTED_VALUE"""),149.2)</f>
        <v>149.2</v>
      </c>
      <c r="S803" s="142">
        <f>IFERROR(__xludf.DUMMYFUNCTION("""COMPUTED_VALUE"""),0.0)</f>
        <v>0</v>
      </c>
      <c r="T803" s="5">
        <f>IFERROR(__xludf.DUMMYFUNCTION("""COMPUTED_VALUE"""),2.0)</f>
        <v>2</v>
      </c>
      <c r="U803" s="5" t="str">
        <f>IFERROR(__xludf.DUMMYFUNCTION("""COMPUTED_VALUE"""),"")</f>
        <v/>
      </c>
      <c r="V803" s="22" t="str">
        <f>IFERROR(__xludf.DUMMYFUNCTION("""COMPUTED_VALUE"""),"")</f>
        <v/>
      </c>
      <c r="W803" s="9" t="str">
        <f>IFERROR(__xludf.DUMMYFUNCTION("""COMPUTED_VALUE"""),"")</f>
        <v/>
      </c>
      <c r="X803" s="22" t="str">
        <f>IFERROR(__xludf.DUMMYFUNCTION("""COMPUTED_VALUE"""),"")</f>
        <v/>
      </c>
      <c r="Y803" s="22" t="str">
        <f>IFERROR(__xludf.DUMMYFUNCTION("""COMPUTED_VALUE"""),"")</f>
        <v/>
      </c>
      <c r="Z803" s="24" t="str">
        <f>IFERROR(__xludf.DUMMYFUNCTION("""COMPUTED_VALUE"""),"")</f>
        <v/>
      </c>
    </row>
    <row r="804">
      <c r="A804" s="5" t="str">
        <f>IFERROR(__xludf.DUMMYFUNCTION("""COMPUTED_VALUE"""),"")</f>
        <v/>
      </c>
      <c r="B804" s="5" t="str">
        <f>IFERROR(__xludf.DUMMYFUNCTION("""COMPUTED_VALUE"""),"75369")</f>
        <v>75369</v>
      </c>
      <c r="C804" s="9">
        <f>IFERROR(__xludf.DUMMYFUNCTION("""COMPUTED_VALUE"""),4.4652001091E10)</f>
        <v>44652001091</v>
      </c>
      <c r="D804" s="90" t="str">
        <f>IFERROR(__xludf.DUMMYFUNCTION("""COMPUTED_VALUE"""),"0700.hk")</f>
        <v>0700.hk</v>
      </c>
      <c r="E804" s="193">
        <f>IFERROR(__xludf.DUMMYFUNCTION("""COMPUTED_VALUE"""),44652.0)</f>
        <v>44652</v>
      </c>
      <c r="F804" s="5" t="str">
        <f>IFERROR(__xludf.DUMMYFUNCTION("""COMPUTED_VALUE"""),"Stock")</f>
        <v>Stock</v>
      </c>
      <c r="G804" s="5" t="str">
        <f>IFERROR(__xludf.DUMMYFUNCTION("""COMPUTED_VALUE"""),"HKD")</f>
        <v>HKD</v>
      </c>
      <c r="H804" s="22">
        <f>IFERROR(__xludf.DUMMYFUNCTION("""COMPUTED_VALUE"""),-100.0)</f>
        <v>-100</v>
      </c>
      <c r="I804" s="194">
        <f>IFERROR(__xludf.DUMMYFUNCTION("""COMPUTED_VALUE"""),1.0)</f>
        <v>1</v>
      </c>
      <c r="J804" s="23">
        <f>IFERROR(__xludf.DUMMYFUNCTION("""COMPUTED_VALUE"""),378.8)</f>
        <v>378.8</v>
      </c>
      <c r="K804" s="5"/>
      <c r="L804" s="23">
        <f>IFERROR(__xludf.DUMMYFUNCTION("""COMPUTED_VALUE"""),373.6)</f>
        <v>373.6</v>
      </c>
      <c r="M804" s="195" t="str">
        <f>IFERROR(__xludf.DUMMYFUNCTION("""COMPUTED_VALUE"""),"Equity Key Stats")</f>
        <v>Equity Key Stats</v>
      </c>
      <c r="N804" s="5"/>
      <c r="O804" s="5"/>
      <c r="P804" s="142">
        <f>IFERROR(__xludf.DUMMYFUNCTION("""COMPUTED_VALUE"""),37880.0)</f>
        <v>37880</v>
      </c>
      <c r="Q804" s="5"/>
      <c r="R804" s="71">
        <f>IFERROR(__xludf.DUMMYFUNCTION("""COMPUTED_VALUE"""),373.6)</f>
        <v>373.6</v>
      </c>
      <c r="S804" s="142">
        <f>IFERROR(__xludf.DUMMYFUNCTION("""COMPUTED_VALUE"""),-37360.0)</f>
        <v>-37360</v>
      </c>
      <c r="T804" s="5">
        <f>IFERROR(__xludf.DUMMYFUNCTION("""COMPUTED_VALUE"""),2.0)</f>
        <v>2</v>
      </c>
      <c r="U804" s="5">
        <f>IFERROR(__xludf.DUMMYFUNCTION("""COMPUTED_VALUE"""),1.0)</f>
        <v>1</v>
      </c>
      <c r="V804" s="22">
        <f>IFERROR(__xludf.DUMMYFUNCTION("""COMPUTED_VALUE"""),1280.0)</f>
        <v>1280</v>
      </c>
      <c r="W804" s="9" t="str">
        <f>IFERROR(__xludf.DUMMYFUNCTION("""COMPUTED_VALUE"""),"")</f>
        <v/>
      </c>
      <c r="X804" s="22" t="str">
        <f>IFERROR(__xludf.DUMMYFUNCTION("""COMPUTED_VALUE"""),"")</f>
        <v/>
      </c>
      <c r="Y804" s="22" t="str">
        <f>IFERROR(__xludf.DUMMYFUNCTION("""COMPUTED_VALUE"""),"")</f>
        <v/>
      </c>
      <c r="Z804" s="24" t="str">
        <f>IFERROR(__xludf.DUMMYFUNCTION("""COMPUTED_VALUE"""),"")</f>
        <v/>
      </c>
    </row>
    <row r="805">
      <c r="A805" s="5" t="str">
        <f>IFERROR(__xludf.DUMMYFUNCTION("""COMPUTED_VALUE"""),"")</f>
        <v/>
      </c>
      <c r="B805" s="5" t="str">
        <f>IFERROR(__xludf.DUMMYFUNCTION("""COMPUTED_VALUE"""),"75369")</f>
        <v>75369</v>
      </c>
      <c r="C805" s="9">
        <f>IFERROR(__xludf.DUMMYFUNCTION("""COMPUTED_VALUE"""),4.4655001113E10)</f>
        <v>44655001113</v>
      </c>
      <c r="D805" s="90" t="str">
        <f>IFERROR(__xludf.DUMMYFUNCTION("""COMPUTED_VALUE"""),"9999.hk")</f>
        <v>9999.hk</v>
      </c>
      <c r="E805" s="193">
        <f>IFERROR(__xludf.DUMMYFUNCTION("""COMPUTED_VALUE"""),44655.0)</f>
        <v>44655</v>
      </c>
      <c r="F805" s="5" t="str">
        <f>IFERROR(__xludf.DUMMYFUNCTION("""COMPUTED_VALUE"""),"Stock")</f>
        <v>Stock</v>
      </c>
      <c r="G805" s="5" t="str">
        <f>IFERROR(__xludf.DUMMYFUNCTION("""COMPUTED_VALUE"""),"HKD")</f>
        <v>HKD</v>
      </c>
      <c r="H805" s="22">
        <f>IFERROR(__xludf.DUMMYFUNCTION("""COMPUTED_VALUE"""),-500.0)</f>
        <v>-500</v>
      </c>
      <c r="I805" s="194">
        <f>IFERROR(__xludf.DUMMYFUNCTION("""COMPUTED_VALUE"""),1.0)</f>
        <v>1</v>
      </c>
      <c r="J805" s="23">
        <f>IFERROR(__xludf.DUMMYFUNCTION("""COMPUTED_VALUE"""),156.3)</f>
        <v>156.3</v>
      </c>
      <c r="K805" s="5"/>
      <c r="L805" s="23">
        <f>IFERROR(__xludf.DUMMYFUNCTION("""COMPUTED_VALUE"""),149.2)</f>
        <v>149.2</v>
      </c>
      <c r="M805" s="195" t="str">
        <f>IFERROR(__xludf.DUMMYFUNCTION("""COMPUTED_VALUE"""),"Equity Key Stats")</f>
        <v>Equity Key Stats</v>
      </c>
      <c r="N805" s="5"/>
      <c r="O805" s="5"/>
      <c r="P805" s="142">
        <f>IFERROR(__xludf.DUMMYFUNCTION("""COMPUTED_VALUE"""),78150.0)</f>
        <v>78150</v>
      </c>
      <c r="Q805" s="5"/>
      <c r="R805" s="71">
        <f>IFERROR(__xludf.DUMMYFUNCTION("""COMPUTED_VALUE"""),149.2)</f>
        <v>149.2</v>
      </c>
      <c r="S805" s="142">
        <f>IFERROR(__xludf.DUMMYFUNCTION("""COMPUTED_VALUE"""),-74600.0)</f>
        <v>-74600</v>
      </c>
      <c r="T805" s="5">
        <f>IFERROR(__xludf.DUMMYFUNCTION("""COMPUTED_VALUE"""),2.0)</f>
        <v>2</v>
      </c>
      <c r="U805" s="5">
        <f>IFERROR(__xludf.DUMMYFUNCTION("""COMPUTED_VALUE"""),1.0)</f>
        <v>1</v>
      </c>
      <c r="V805" s="22">
        <f>IFERROR(__xludf.DUMMYFUNCTION("""COMPUTED_VALUE"""),3550.0)</f>
        <v>3550</v>
      </c>
      <c r="W805" s="9" t="str">
        <f>IFERROR(__xludf.DUMMYFUNCTION("""COMPUTED_VALUE"""),"")</f>
        <v/>
      </c>
      <c r="X805" s="22" t="str">
        <f>IFERROR(__xludf.DUMMYFUNCTION("""COMPUTED_VALUE"""),"")</f>
        <v/>
      </c>
      <c r="Y805" s="22" t="str">
        <f>IFERROR(__xludf.DUMMYFUNCTION("""COMPUTED_VALUE"""),"")</f>
        <v/>
      </c>
      <c r="Z805" s="24" t="str">
        <f>IFERROR(__xludf.DUMMYFUNCTION("""COMPUTED_VALUE"""),"")</f>
        <v/>
      </c>
    </row>
    <row r="806">
      <c r="A806" s="5" t="str">
        <f>IFERROR(__xludf.DUMMYFUNCTION("""COMPUTED_VALUE"""),"")</f>
        <v/>
      </c>
      <c r="B806" s="5" t="str">
        <f>IFERROR(__xludf.DUMMYFUNCTION("""COMPUTED_VALUE"""),"75369")</f>
        <v>75369</v>
      </c>
      <c r="C806" s="9">
        <f>IFERROR(__xludf.DUMMYFUNCTION("""COMPUTED_VALUE"""),4.4655001114E10)</f>
        <v>44655001114</v>
      </c>
      <c r="D806" s="87" t="str">
        <f>IFERROR(__xludf.DUMMYFUNCTION("""COMPUTED_VALUE"""),"LMT")</f>
        <v>LMT</v>
      </c>
      <c r="E806" s="193">
        <f>IFERROR(__xludf.DUMMYFUNCTION("""COMPUTED_VALUE"""),44655.0)</f>
        <v>44655</v>
      </c>
      <c r="F806" s="5" t="str">
        <f>IFERROR(__xludf.DUMMYFUNCTION("""COMPUTED_VALUE"""),"Stock")</f>
        <v>Stock</v>
      </c>
      <c r="G806" s="5" t="str">
        <f>IFERROR(__xludf.DUMMYFUNCTION("""COMPUTED_VALUE"""),"USD")</f>
        <v>USD</v>
      </c>
      <c r="H806" s="22" t="str">
        <f>IFERROR(__xludf.DUMMYFUNCTION("""COMPUTED_VALUE"""),"")</f>
        <v/>
      </c>
      <c r="I806" s="194">
        <f>IFERROR(__xludf.DUMMYFUNCTION("""COMPUTED_VALUE"""),7.834585)</f>
        <v>7.834585</v>
      </c>
      <c r="J806" s="23">
        <f>IFERROR(__xludf.DUMMYFUNCTION("""COMPUTED_VALUE"""),444.01)</f>
        <v>444.01</v>
      </c>
      <c r="K806" s="5"/>
      <c r="L806" s="23">
        <f>IFERROR(__xludf.DUMMYFUNCTION("""COMPUTED_VALUE"""),469.2)</f>
        <v>469.2</v>
      </c>
      <c r="M806" s="195" t="str">
        <f>IFERROR(__xludf.DUMMYFUNCTION("""COMPUTED_VALUE"""),"Equity Key Stats")</f>
        <v>Equity Key Stats</v>
      </c>
      <c r="N806" s="5"/>
      <c r="O806" s="5"/>
      <c r="P806" s="142">
        <f>IFERROR(__xludf.DUMMYFUNCTION("""COMPUTED_VALUE"""),0.0)</f>
        <v>0</v>
      </c>
      <c r="Q806" s="5"/>
      <c r="R806" s="71">
        <f>IFERROR(__xludf.DUMMYFUNCTION("""COMPUTED_VALUE"""),469.2)</f>
        <v>469.2</v>
      </c>
      <c r="S806" s="142">
        <f>IFERROR(__xludf.DUMMYFUNCTION("""COMPUTED_VALUE"""),0.0)</f>
        <v>0</v>
      </c>
      <c r="T806" s="5">
        <f>IFERROR(__xludf.DUMMYFUNCTION("""COMPUTED_VALUE"""),2.0)</f>
        <v>2</v>
      </c>
      <c r="U806" s="5">
        <f>IFERROR(__xludf.DUMMYFUNCTION("""COMPUTED_VALUE"""),1.0)</f>
        <v>1</v>
      </c>
      <c r="V806" s="22">
        <f>IFERROR(__xludf.DUMMYFUNCTION("""COMPUTED_VALUE"""),0.0)</f>
        <v>0</v>
      </c>
      <c r="W806" s="9" t="str">
        <f>IFERROR(__xludf.DUMMYFUNCTION("""COMPUTED_VALUE"""),"")</f>
        <v/>
      </c>
      <c r="X806" s="22" t="str">
        <f>IFERROR(__xludf.DUMMYFUNCTION("""COMPUTED_VALUE"""),"")</f>
        <v/>
      </c>
      <c r="Y806" s="22" t="str">
        <f>IFERROR(__xludf.DUMMYFUNCTION("""COMPUTED_VALUE"""),"")</f>
        <v/>
      </c>
      <c r="Z806" s="24" t="str">
        <f>IFERROR(__xludf.DUMMYFUNCTION("""COMPUTED_VALUE"""),"")</f>
        <v/>
      </c>
    </row>
    <row r="807">
      <c r="A807" s="5" t="str">
        <f>IFERROR(__xludf.DUMMYFUNCTION("""COMPUTED_VALUE"""),"")</f>
        <v/>
      </c>
      <c r="B807" s="5" t="str">
        <f>IFERROR(__xludf.DUMMYFUNCTION("""COMPUTED_VALUE"""),"75369")</f>
        <v>75369</v>
      </c>
      <c r="C807" s="9">
        <f>IFERROR(__xludf.DUMMYFUNCTION("""COMPUTED_VALUE"""),4.4662001338E10)</f>
        <v>44662001338</v>
      </c>
      <c r="D807" s="91" t="str">
        <f>IFERROR(__xludf.DUMMYFUNCTION("""COMPUTED_VALUE"""),"9988.hk")</f>
        <v>9988.hk</v>
      </c>
      <c r="E807" s="193">
        <f>IFERROR(__xludf.DUMMYFUNCTION("""COMPUTED_VALUE"""),44662.0)</f>
        <v>44662</v>
      </c>
      <c r="F807" s="5" t="str">
        <f>IFERROR(__xludf.DUMMYFUNCTION("""COMPUTED_VALUE"""),"Stock")</f>
        <v>Stock</v>
      </c>
      <c r="G807" s="5" t="str">
        <f>IFERROR(__xludf.DUMMYFUNCTION("""COMPUTED_VALUE"""),"HKD")</f>
        <v>HKD</v>
      </c>
      <c r="H807" s="22" t="str">
        <f>IFERROR(__xludf.DUMMYFUNCTION("""COMPUTED_VALUE"""),"")</f>
        <v/>
      </c>
      <c r="I807" s="194">
        <f>IFERROR(__xludf.DUMMYFUNCTION("""COMPUTED_VALUE"""),1.0)</f>
        <v>1</v>
      </c>
      <c r="J807" s="23">
        <f>IFERROR(__xludf.DUMMYFUNCTION("""COMPUTED_VALUE"""),98.5)</f>
        <v>98.5</v>
      </c>
      <c r="K807" s="5"/>
      <c r="L807" s="23">
        <f>IFERROR(__xludf.DUMMYFUNCTION("""COMPUTED_VALUE"""),98.5)</f>
        <v>98.5</v>
      </c>
      <c r="M807" s="195" t="str">
        <f>IFERROR(__xludf.DUMMYFUNCTION("""COMPUTED_VALUE"""),"Equity Key Stats")</f>
        <v>Equity Key Stats</v>
      </c>
      <c r="N807" s="5"/>
      <c r="O807" s="5"/>
      <c r="P807" s="142">
        <f>IFERROR(__xludf.DUMMYFUNCTION("""COMPUTED_VALUE"""),0.0)</f>
        <v>0</v>
      </c>
      <c r="Q807" s="5"/>
      <c r="R807" s="71">
        <f>IFERROR(__xludf.DUMMYFUNCTION("""COMPUTED_VALUE"""),98.5)</f>
        <v>98.5</v>
      </c>
      <c r="S807" s="142">
        <f>IFERROR(__xludf.DUMMYFUNCTION("""COMPUTED_VALUE"""),0.0)</f>
        <v>0</v>
      </c>
      <c r="T807" s="5">
        <f>IFERROR(__xludf.DUMMYFUNCTION("""COMPUTED_VALUE"""),2.0)</f>
        <v>2</v>
      </c>
      <c r="U807" s="5">
        <f>IFERROR(__xludf.DUMMYFUNCTION("""COMPUTED_VALUE"""),1.0)</f>
        <v>1</v>
      </c>
      <c r="V807" s="22">
        <f>IFERROR(__xludf.DUMMYFUNCTION("""COMPUTED_VALUE"""),0.0)</f>
        <v>0</v>
      </c>
      <c r="W807" s="9" t="str">
        <f>IFERROR(__xludf.DUMMYFUNCTION("""COMPUTED_VALUE"""),"")</f>
        <v/>
      </c>
      <c r="X807" s="22" t="str">
        <f>IFERROR(__xludf.DUMMYFUNCTION("""COMPUTED_VALUE"""),"")</f>
        <v/>
      </c>
      <c r="Y807" s="22" t="str">
        <f>IFERROR(__xludf.DUMMYFUNCTION("""COMPUTED_VALUE"""),"")</f>
        <v/>
      </c>
      <c r="Z807" s="24" t="str">
        <f>IFERROR(__xludf.DUMMYFUNCTION("""COMPUTED_VALUE"""),"")</f>
        <v/>
      </c>
    </row>
    <row r="808">
      <c r="A808" s="5" t="str">
        <f>IFERROR(__xludf.DUMMYFUNCTION("""COMPUTED_VALUE"""),"")</f>
        <v/>
      </c>
      <c r="B808" s="5" t="str">
        <f>IFERROR(__xludf.DUMMYFUNCTION("""COMPUTED_VALUE"""),"75369")</f>
        <v>75369</v>
      </c>
      <c r="C808" s="9">
        <f>IFERROR(__xludf.DUMMYFUNCTION("""COMPUTED_VALUE"""),4.4664001474E10)</f>
        <v>44664001474</v>
      </c>
      <c r="D808" s="85" t="str">
        <f>IFERROR(__xludf.DUMMYFUNCTION("""COMPUTED_VALUE"""),"NET")</f>
        <v>NET</v>
      </c>
      <c r="E808" s="193">
        <f>IFERROR(__xludf.DUMMYFUNCTION("""COMPUTED_VALUE"""),44664.0)</f>
        <v>44664</v>
      </c>
      <c r="F808" s="5" t="str">
        <f>IFERROR(__xludf.DUMMYFUNCTION("""COMPUTED_VALUE"""),"Stock")</f>
        <v>Stock</v>
      </c>
      <c r="G808" s="5" t="str">
        <f>IFERROR(__xludf.DUMMYFUNCTION("""COMPUTED_VALUE"""),"USD")</f>
        <v>USD</v>
      </c>
      <c r="H808" s="22" t="str">
        <f>IFERROR(__xludf.DUMMYFUNCTION("""COMPUTED_VALUE"""),"")</f>
        <v/>
      </c>
      <c r="I808" s="194">
        <f>IFERROR(__xludf.DUMMYFUNCTION("""COMPUTED_VALUE"""),7.83915)</f>
        <v>7.83915</v>
      </c>
      <c r="J808" s="23">
        <f>IFERROR(__xludf.DUMMYFUNCTION("""COMPUTED_VALUE"""),121.55)</f>
        <v>121.55</v>
      </c>
      <c r="K808" s="5"/>
      <c r="L808" s="23">
        <f>IFERROR(__xludf.DUMMYFUNCTION("""COMPUTED_VALUE"""),121.55)</f>
        <v>121.55</v>
      </c>
      <c r="M808" s="195" t="str">
        <f>IFERROR(__xludf.DUMMYFUNCTION("""COMPUTED_VALUE"""),"Equity Key Stats")</f>
        <v>Equity Key Stats</v>
      </c>
      <c r="N808" s="5"/>
      <c r="O808" s="5"/>
      <c r="P808" s="142">
        <f>IFERROR(__xludf.DUMMYFUNCTION("""COMPUTED_VALUE"""),0.0)</f>
        <v>0</v>
      </c>
      <c r="Q808" s="5"/>
      <c r="R808" s="71">
        <f>IFERROR(__xludf.DUMMYFUNCTION("""COMPUTED_VALUE"""),121.55)</f>
        <v>121.55</v>
      </c>
      <c r="S808" s="142">
        <f>IFERROR(__xludf.DUMMYFUNCTION("""COMPUTED_VALUE"""),0.0)</f>
        <v>0</v>
      </c>
      <c r="T808" s="5">
        <f>IFERROR(__xludf.DUMMYFUNCTION("""COMPUTED_VALUE"""),1.0)</f>
        <v>1</v>
      </c>
      <c r="U808" s="5">
        <f>IFERROR(__xludf.DUMMYFUNCTION("""COMPUTED_VALUE"""),1.0)</f>
        <v>1</v>
      </c>
      <c r="V808" s="22">
        <f>IFERROR(__xludf.DUMMYFUNCTION("""COMPUTED_VALUE"""),0.0)</f>
        <v>0</v>
      </c>
      <c r="W808" s="9" t="str">
        <f>IFERROR(__xludf.DUMMYFUNCTION("""COMPUTED_VALUE"""),"")</f>
        <v/>
      </c>
      <c r="X808" s="22" t="str">
        <f>IFERROR(__xludf.DUMMYFUNCTION("""COMPUTED_VALUE"""),"")</f>
        <v/>
      </c>
      <c r="Y808" s="22" t="str">
        <f>IFERROR(__xludf.DUMMYFUNCTION("""COMPUTED_VALUE"""),"")</f>
        <v/>
      </c>
      <c r="Z808" s="24" t="str">
        <f>IFERROR(__xludf.DUMMYFUNCTION("""COMPUTED_VALUE"""),"")</f>
        <v/>
      </c>
    </row>
    <row r="809">
      <c r="A809" s="5" t="str">
        <f>IFERROR(__xludf.DUMMYFUNCTION("""COMPUTED_VALUE"""),"")</f>
        <v/>
      </c>
      <c r="B809" s="5" t="str">
        <f>IFERROR(__xludf.DUMMYFUNCTION("""COMPUTED_VALUE"""),"75369")</f>
        <v>75369</v>
      </c>
      <c r="C809" s="9">
        <f>IFERROR(__xludf.DUMMYFUNCTION("""COMPUTED_VALUE"""),4.4664001475E10)</f>
        <v>44664001475</v>
      </c>
      <c r="D809" s="85" t="str">
        <f>IFERROR(__xludf.DUMMYFUNCTION("""COMPUTED_VALUE"""),"SNPS")</f>
        <v>SNPS</v>
      </c>
      <c r="E809" s="193">
        <f>IFERROR(__xludf.DUMMYFUNCTION("""COMPUTED_VALUE"""),44664.0)</f>
        <v>44664</v>
      </c>
      <c r="F809" s="5" t="str">
        <f>IFERROR(__xludf.DUMMYFUNCTION("""COMPUTED_VALUE"""),"Stock")</f>
        <v>Stock</v>
      </c>
      <c r="G809" s="5" t="str">
        <f>IFERROR(__xludf.DUMMYFUNCTION("""COMPUTED_VALUE"""),"USD")</f>
        <v>USD</v>
      </c>
      <c r="H809" s="22" t="str">
        <f>IFERROR(__xludf.DUMMYFUNCTION("""COMPUTED_VALUE"""),"")</f>
        <v/>
      </c>
      <c r="I809" s="194">
        <f>IFERROR(__xludf.DUMMYFUNCTION("""COMPUTED_VALUE"""),7.83915)</f>
        <v>7.83915</v>
      </c>
      <c r="J809" s="23">
        <f>IFERROR(__xludf.DUMMYFUNCTION("""COMPUTED_VALUE"""),306.72)</f>
        <v>306.72</v>
      </c>
      <c r="K809" s="5"/>
      <c r="L809" s="23">
        <f>IFERROR(__xludf.DUMMYFUNCTION("""COMPUTED_VALUE"""),306.72)</f>
        <v>306.72</v>
      </c>
      <c r="M809" s="195" t="str">
        <f>IFERROR(__xludf.DUMMYFUNCTION("""COMPUTED_VALUE"""),"Equity Key Stats")</f>
        <v>Equity Key Stats</v>
      </c>
      <c r="N809" s="5"/>
      <c r="O809" s="5"/>
      <c r="P809" s="142">
        <f>IFERROR(__xludf.DUMMYFUNCTION("""COMPUTED_VALUE"""),0.0)</f>
        <v>0</v>
      </c>
      <c r="Q809" s="5"/>
      <c r="R809" s="71">
        <f>IFERROR(__xludf.DUMMYFUNCTION("""COMPUTED_VALUE"""),306.72)</f>
        <v>306.72</v>
      </c>
      <c r="S809" s="142">
        <f>IFERROR(__xludf.DUMMYFUNCTION("""COMPUTED_VALUE"""),0.0)</f>
        <v>0</v>
      </c>
      <c r="T809" s="5">
        <f>IFERROR(__xludf.DUMMYFUNCTION("""COMPUTED_VALUE"""),1.0)</f>
        <v>1</v>
      </c>
      <c r="U809" s="5">
        <f>IFERROR(__xludf.DUMMYFUNCTION("""COMPUTED_VALUE"""),1.0)</f>
        <v>1</v>
      </c>
      <c r="V809" s="22">
        <f>IFERROR(__xludf.DUMMYFUNCTION("""COMPUTED_VALUE"""),0.0)</f>
        <v>0</v>
      </c>
      <c r="W809" s="9" t="str">
        <f>IFERROR(__xludf.DUMMYFUNCTION("""COMPUTED_VALUE"""),"")</f>
        <v/>
      </c>
      <c r="X809" s="22" t="str">
        <f>IFERROR(__xludf.DUMMYFUNCTION("""COMPUTED_VALUE"""),"")</f>
        <v/>
      </c>
      <c r="Y809" s="22" t="str">
        <f>IFERROR(__xludf.DUMMYFUNCTION("""COMPUTED_VALUE"""),"")</f>
        <v/>
      </c>
      <c r="Z809" s="24" t="str">
        <f>IFERROR(__xludf.DUMMYFUNCTION("""COMPUTED_VALUE"""),"")</f>
        <v/>
      </c>
    </row>
    <row r="810">
      <c r="A810" s="5" t="str">
        <f>IFERROR(__xludf.DUMMYFUNCTION("""COMPUTED_VALUE"""),"75369")</f>
        <v>75369</v>
      </c>
      <c r="B810" s="5" t="str">
        <f>IFERROR(__xludf.DUMMYFUNCTION("""COMPUTED_VALUE"""),"75369")</f>
        <v>75369</v>
      </c>
      <c r="C810" s="9">
        <f>IFERROR(__xludf.DUMMYFUNCTION("""COMPUTED_VALUE"""),4.4664001476E10)</f>
        <v>44664001476</v>
      </c>
      <c r="D810" s="85" t="str">
        <f>IFERROR(__xludf.DUMMYFUNCTION("""COMPUTED_VALUE"""),"PANW")</f>
        <v>PANW</v>
      </c>
      <c r="E810" s="193">
        <f>IFERROR(__xludf.DUMMYFUNCTION("""COMPUTED_VALUE"""),44664.0)</f>
        <v>44664</v>
      </c>
      <c r="F810" s="5" t="str">
        <f>IFERROR(__xludf.DUMMYFUNCTION("""COMPUTED_VALUE"""),"Stock")</f>
        <v>Stock</v>
      </c>
      <c r="G810" s="5" t="str">
        <f>IFERROR(__xludf.DUMMYFUNCTION("""COMPUTED_VALUE"""),"USD")</f>
        <v>USD</v>
      </c>
      <c r="H810" s="22" t="str">
        <f>IFERROR(__xludf.DUMMYFUNCTION("""COMPUTED_VALUE"""),"")</f>
        <v/>
      </c>
      <c r="I810" s="194">
        <f>IFERROR(__xludf.DUMMYFUNCTION("""COMPUTED_VALUE"""),7.83915)</f>
        <v>7.83915</v>
      </c>
      <c r="J810" s="23">
        <f>IFERROR(__xludf.DUMMYFUNCTION("""COMPUTED_VALUE"""),629.01)</f>
        <v>629.01</v>
      </c>
      <c r="K810" s="5"/>
      <c r="L810" s="23">
        <f>IFERROR(__xludf.DUMMYFUNCTION("""COMPUTED_VALUE"""),629.01)</f>
        <v>629.01</v>
      </c>
      <c r="M810" s="195" t="str">
        <f>IFERROR(__xludf.DUMMYFUNCTION("""COMPUTED_VALUE"""),"Equity Key Stats")</f>
        <v>Equity Key Stats</v>
      </c>
      <c r="N810" s="5"/>
      <c r="O810" s="5"/>
      <c r="P810" s="142">
        <f>IFERROR(__xludf.DUMMYFUNCTION("""COMPUTED_VALUE"""),0.0)</f>
        <v>0</v>
      </c>
      <c r="Q810" s="5"/>
      <c r="R810" s="71">
        <f>IFERROR(__xludf.DUMMYFUNCTION("""COMPUTED_VALUE"""),629.01)</f>
        <v>629.01</v>
      </c>
      <c r="S810" s="142">
        <f>IFERROR(__xludf.DUMMYFUNCTION("""COMPUTED_VALUE"""),0.0)</f>
        <v>0</v>
      </c>
      <c r="T810" s="5">
        <f>IFERROR(__xludf.DUMMYFUNCTION("""COMPUTED_VALUE"""),1.0)</f>
        <v>1</v>
      </c>
      <c r="U810" s="5">
        <f>IFERROR(__xludf.DUMMYFUNCTION("""COMPUTED_VALUE"""),1.0)</f>
        <v>1</v>
      </c>
      <c r="V810" s="22">
        <f>IFERROR(__xludf.DUMMYFUNCTION("""COMPUTED_VALUE"""),0.0)</f>
        <v>0</v>
      </c>
      <c r="W810" s="9">
        <f>IFERROR(__xludf.DUMMYFUNCTION("""COMPUTED_VALUE"""),461713.30574999994)</f>
        <v>461713.3058</v>
      </c>
      <c r="X810" s="22">
        <f>IFERROR(__xludf.DUMMYFUNCTION("""COMPUTED_VALUE"""),-218458.609625)</f>
        <v>-218458.6096</v>
      </c>
      <c r="Y810" s="22">
        <f>IFERROR(__xludf.DUMMYFUNCTION("""COMPUTED_VALUE"""),218458.609625)</f>
        <v>218458.6096</v>
      </c>
      <c r="Z810" s="24">
        <f>IFERROR(__xludf.DUMMYFUNCTION("""COMPUTED_VALUE"""),-0.07657338850000017)</f>
        <v>-0.0765733885</v>
      </c>
    </row>
    <row r="811">
      <c r="A811" s="5" t="str">
        <f>IFERROR(__xludf.DUMMYFUNCTION("""COMPUTED_VALUE"""),"")</f>
        <v/>
      </c>
      <c r="B811" s="5" t="str">
        <f>IFERROR(__xludf.DUMMYFUNCTION("""COMPUTED_VALUE"""),"75415")</f>
        <v>75415</v>
      </c>
      <c r="C811" s="9">
        <f>IFERROR(__xludf.DUMMYFUNCTION("""COMPUTED_VALUE"""),4.4597000038E10)</f>
        <v>44597000038</v>
      </c>
      <c r="D811" s="85" t="str">
        <f>IFERROR(__xludf.DUMMYFUNCTION("""COMPUTED_VALUE"""),"Cash")</f>
        <v>Cash</v>
      </c>
      <c r="E811" s="193">
        <f>IFERROR(__xludf.DUMMYFUNCTION("""COMPUTED_VALUE"""),44597.0)</f>
        <v>44597</v>
      </c>
      <c r="F811" s="5" t="str">
        <f>IFERROR(__xludf.DUMMYFUNCTION("""COMPUTED_VALUE"""),"Cash")</f>
        <v>Cash</v>
      </c>
      <c r="G811" s="5" t="str">
        <f>IFERROR(__xludf.DUMMYFUNCTION("""COMPUTED_VALUE"""),"HKD")</f>
        <v>HKD</v>
      </c>
      <c r="H811" s="22" t="str">
        <f>IFERROR(__xludf.DUMMYFUNCTION("""COMPUTED_VALUE"""),"")</f>
        <v/>
      </c>
      <c r="I811" s="194">
        <f>IFERROR(__xludf.DUMMYFUNCTION("""COMPUTED_VALUE"""),1.0)</f>
        <v>1</v>
      </c>
      <c r="J811" s="5">
        <f>IFERROR(__xludf.DUMMYFUNCTION("""COMPUTED_VALUE"""),1.0)</f>
        <v>1</v>
      </c>
      <c r="K811" s="5"/>
      <c r="L811" s="23">
        <f>IFERROR(__xludf.DUMMYFUNCTION("""COMPUTED_VALUE"""),1.0)</f>
        <v>1</v>
      </c>
      <c r="M811" s="25" t="str">
        <f>IFERROR(__xludf.DUMMYFUNCTION("""COMPUTED_VALUE"""),"")</f>
        <v/>
      </c>
      <c r="N811" s="5"/>
      <c r="O811" s="5"/>
      <c r="P811" s="142">
        <f>IFERROR(__xludf.DUMMYFUNCTION("""COMPUTED_VALUE"""),500000.0)</f>
        <v>500000</v>
      </c>
      <c r="Q811" s="5"/>
      <c r="R811" s="71">
        <f>IFERROR(__xludf.DUMMYFUNCTION("""COMPUTED_VALUE"""),1.0)</f>
        <v>1</v>
      </c>
      <c r="S811" s="142" t="str">
        <f>IFERROR(__xludf.DUMMYFUNCTION("""COMPUTED_VALUE"""),"")</f>
        <v/>
      </c>
      <c r="T811" s="5">
        <f>IFERROR(__xludf.DUMMYFUNCTION("""COMPUTED_VALUE"""),1.0)</f>
        <v>1</v>
      </c>
      <c r="U811" s="5">
        <f>IFERROR(__xludf.DUMMYFUNCTION("""COMPUTED_VALUE"""),1.0)</f>
        <v>1</v>
      </c>
      <c r="V811" s="22">
        <f>IFERROR(__xludf.DUMMYFUNCTION("""COMPUTED_VALUE"""),500000.0)</f>
        <v>500000</v>
      </c>
      <c r="W811" s="9" t="str">
        <f>IFERROR(__xludf.DUMMYFUNCTION("""COMPUTED_VALUE"""),"")</f>
        <v/>
      </c>
      <c r="X811" s="22" t="str">
        <f>IFERROR(__xludf.DUMMYFUNCTION("""COMPUTED_VALUE"""),"")</f>
        <v/>
      </c>
      <c r="Y811" s="22" t="str">
        <f>IFERROR(__xludf.DUMMYFUNCTION("""COMPUTED_VALUE"""),"")</f>
        <v/>
      </c>
      <c r="Z811" s="24" t="str">
        <f>IFERROR(__xludf.DUMMYFUNCTION("""COMPUTED_VALUE"""),"")</f>
        <v/>
      </c>
    </row>
    <row r="812">
      <c r="A812" s="5" t="str">
        <f>IFERROR(__xludf.DUMMYFUNCTION("""COMPUTED_VALUE"""),"")</f>
        <v/>
      </c>
      <c r="B812" s="5" t="str">
        <f>IFERROR(__xludf.DUMMYFUNCTION("""COMPUTED_VALUE"""),"75415")</f>
        <v>75415</v>
      </c>
      <c r="C812" s="9">
        <f>IFERROR(__xludf.DUMMYFUNCTION("""COMPUTED_VALUE"""),4.460100015E10)</f>
        <v>44601000150</v>
      </c>
      <c r="D812" s="87" t="str">
        <f>IFERROR(__xludf.DUMMYFUNCTION("""COMPUTED_VALUE"""),"GBTC")</f>
        <v>GBTC</v>
      </c>
      <c r="E812" s="193">
        <f>IFERROR(__xludf.DUMMYFUNCTION("""COMPUTED_VALUE"""),44601.0)</f>
        <v>44601</v>
      </c>
      <c r="F812" s="5" t="str">
        <f>IFERROR(__xludf.DUMMYFUNCTION("""COMPUTED_VALUE"""),"Stock")</f>
        <v>Stock</v>
      </c>
      <c r="G812" s="5" t="str">
        <f>IFERROR(__xludf.DUMMYFUNCTION("""COMPUTED_VALUE"""),"USD")</f>
        <v>USD</v>
      </c>
      <c r="H812" s="22">
        <f>IFERROR(__xludf.DUMMYFUNCTION("""COMPUTED_VALUE"""),415.0)</f>
        <v>415</v>
      </c>
      <c r="I812" s="194">
        <f>IFERROR(__xludf.DUMMYFUNCTION("""COMPUTED_VALUE"""),7.79135)</f>
        <v>7.79135</v>
      </c>
      <c r="J812" s="23">
        <f>IFERROR(__xludf.DUMMYFUNCTION("""COMPUTED_VALUE"""),32.08)</f>
        <v>32.08</v>
      </c>
      <c r="K812" s="5"/>
      <c r="L812" s="23">
        <f>IFERROR(__xludf.DUMMYFUNCTION("""COMPUTED_VALUE"""),29.12)</f>
        <v>29.12</v>
      </c>
      <c r="M812" s="195" t="str">
        <f>IFERROR(__xludf.DUMMYFUNCTION("""COMPUTED_VALUE"""),"Equity Key Stats")</f>
        <v>Equity Key Stats</v>
      </c>
      <c r="N812" s="5"/>
      <c r="O812" s="5"/>
      <c r="P812" s="142">
        <f>IFERROR(__xludf.DUMMYFUNCTION("""COMPUTED_VALUE"""),-103727.80082)</f>
        <v>-103727.8008</v>
      </c>
      <c r="Q812" s="5"/>
      <c r="R812" s="71">
        <f>IFERROR(__xludf.DUMMYFUNCTION("""COMPUTED_VALUE"""),29.12)</f>
        <v>29.12</v>
      </c>
      <c r="S812" s="142">
        <f>IFERROR(__xludf.DUMMYFUNCTION("""COMPUTED_VALUE"""),94156.90648000002)</f>
        <v>94156.90648</v>
      </c>
      <c r="T812" s="5">
        <f>IFERROR(__xludf.DUMMYFUNCTION("""COMPUTED_VALUE"""),2.0)</f>
        <v>2</v>
      </c>
      <c r="U812" s="5" t="str">
        <f>IFERROR(__xludf.DUMMYFUNCTION("""COMPUTED_VALUE"""),"")</f>
        <v/>
      </c>
      <c r="V812" s="22" t="str">
        <f>IFERROR(__xludf.DUMMYFUNCTION("""COMPUTED_VALUE"""),"")</f>
        <v/>
      </c>
      <c r="W812" s="9" t="str">
        <f>IFERROR(__xludf.DUMMYFUNCTION("""COMPUTED_VALUE"""),"")</f>
        <v/>
      </c>
      <c r="X812" s="22" t="str">
        <f>IFERROR(__xludf.DUMMYFUNCTION("""COMPUTED_VALUE"""),"")</f>
        <v/>
      </c>
      <c r="Y812" s="22" t="str">
        <f>IFERROR(__xludf.DUMMYFUNCTION("""COMPUTED_VALUE"""),"")</f>
        <v/>
      </c>
      <c r="Z812" s="24" t="str">
        <f>IFERROR(__xludf.DUMMYFUNCTION("""COMPUTED_VALUE"""),"")</f>
        <v/>
      </c>
    </row>
    <row r="813">
      <c r="A813" s="5" t="str">
        <f>IFERROR(__xludf.DUMMYFUNCTION("""COMPUTED_VALUE"""),"")</f>
        <v/>
      </c>
      <c r="B813" s="5" t="str">
        <f>IFERROR(__xludf.DUMMYFUNCTION("""COMPUTED_VALUE"""),"75415")</f>
        <v>75415</v>
      </c>
      <c r="C813" s="9">
        <f>IFERROR(__xludf.DUMMYFUNCTION("""COMPUTED_VALUE"""),4.4610000264E10)</f>
        <v>44610000264</v>
      </c>
      <c r="D813" s="87" t="str">
        <f>IFERROR(__xludf.DUMMYFUNCTION("""COMPUTED_VALUE"""),"F")</f>
        <v>F</v>
      </c>
      <c r="E813" s="193">
        <f>IFERROR(__xludf.DUMMYFUNCTION("""COMPUTED_VALUE"""),44610.0)</f>
        <v>44610</v>
      </c>
      <c r="F813" s="5" t="str">
        <f>IFERROR(__xludf.DUMMYFUNCTION("""COMPUTED_VALUE"""),"Stock")</f>
        <v>Stock</v>
      </c>
      <c r="G813" s="5" t="str">
        <f>IFERROR(__xludf.DUMMYFUNCTION("""COMPUTED_VALUE"""),"USD")</f>
        <v>USD</v>
      </c>
      <c r="H813" s="22">
        <f>IFERROR(__xludf.DUMMYFUNCTION("""COMPUTED_VALUE"""),2850.0)</f>
        <v>2850</v>
      </c>
      <c r="I813" s="194">
        <f>IFERROR(__xludf.DUMMYFUNCTION("""COMPUTED_VALUE"""),7.80051)</f>
        <v>7.80051</v>
      </c>
      <c r="J813" s="23">
        <f>IFERROR(__xludf.DUMMYFUNCTION("""COMPUTED_VALUE"""),18.04)</f>
        <v>18.04</v>
      </c>
      <c r="K813" s="5"/>
      <c r="L813" s="23">
        <f>IFERROR(__xludf.DUMMYFUNCTION("""COMPUTED_VALUE"""),15.52)</f>
        <v>15.52</v>
      </c>
      <c r="M813" s="195" t="str">
        <f>IFERROR(__xludf.DUMMYFUNCTION("""COMPUTED_VALUE"""),"Equity Key Stats")</f>
        <v>Equity Key Stats</v>
      </c>
      <c r="N813" s="5"/>
      <c r="O813" s="5"/>
      <c r="P813" s="142">
        <f>IFERROR(__xludf.DUMMYFUNCTION("""COMPUTED_VALUE"""),-401055.42114)</f>
        <v>-401055.4211</v>
      </c>
      <c r="Q813" s="5"/>
      <c r="R813" s="71">
        <f>IFERROR(__xludf.DUMMYFUNCTION("""COMPUTED_VALUE"""),15.52)</f>
        <v>15.52</v>
      </c>
      <c r="S813" s="142">
        <f>IFERROR(__xludf.DUMMYFUNCTION("""COMPUTED_VALUE"""),345032.15832)</f>
        <v>345032.1583</v>
      </c>
      <c r="T813" s="5">
        <f>IFERROR(__xludf.DUMMYFUNCTION("""COMPUTED_VALUE"""),2.0)</f>
        <v>2</v>
      </c>
      <c r="U813" s="5" t="str">
        <f>IFERROR(__xludf.DUMMYFUNCTION("""COMPUTED_VALUE"""),"")</f>
        <v/>
      </c>
      <c r="V813" s="22" t="str">
        <f>IFERROR(__xludf.DUMMYFUNCTION("""COMPUTED_VALUE"""),"")</f>
        <v/>
      </c>
      <c r="W813" s="9" t="str">
        <f>IFERROR(__xludf.DUMMYFUNCTION("""COMPUTED_VALUE"""),"")</f>
        <v/>
      </c>
      <c r="X813" s="22" t="str">
        <f>IFERROR(__xludf.DUMMYFUNCTION("""COMPUTED_VALUE"""),"")</f>
        <v/>
      </c>
      <c r="Y813" s="22" t="str">
        <f>IFERROR(__xludf.DUMMYFUNCTION("""COMPUTED_VALUE"""),"")</f>
        <v/>
      </c>
      <c r="Z813" s="24" t="str">
        <f>IFERROR(__xludf.DUMMYFUNCTION("""COMPUTED_VALUE"""),"")</f>
        <v/>
      </c>
    </row>
    <row r="814">
      <c r="A814" s="5" t="str">
        <f>IFERROR(__xludf.DUMMYFUNCTION("""COMPUTED_VALUE"""),"")</f>
        <v/>
      </c>
      <c r="B814" s="5" t="str">
        <f>IFERROR(__xludf.DUMMYFUNCTION("""COMPUTED_VALUE"""),"75415")</f>
        <v>75415</v>
      </c>
      <c r="C814" s="9">
        <f>IFERROR(__xludf.DUMMYFUNCTION("""COMPUTED_VALUE"""),4.4634000541E10)</f>
        <v>44634000541</v>
      </c>
      <c r="D814" s="87" t="str">
        <f>IFERROR(__xludf.DUMMYFUNCTION("""COMPUTED_VALUE"""),"MSFT")</f>
        <v>MSFT</v>
      </c>
      <c r="E814" s="193">
        <f>IFERROR(__xludf.DUMMYFUNCTION("""COMPUTED_VALUE"""),44634.0)</f>
        <v>44634</v>
      </c>
      <c r="F814" s="5" t="str">
        <f>IFERROR(__xludf.DUMMYFUNCTION("""COMPUTED_VALUE"""),"Stock")</f>
        <v>Stock</v>
      </c>
      <c r="G814" s="5" t="str">
        <f>IFERROR(__xludf.DUMMYFUNCTION("""COMPUTED_VALUE"""),"USD")</f>
        <v>USD</v>
      </c>
      <c r="H814" s="22" t="str">
        <f>IFERROR(__xludf.DUMMYFUNCTION("""COMPUTED_VALUE"""),"")</f>
        <v/>
      </c>
      <c r="I814" s="194">
        <f>IFERROR(__xludf.DUMMYFUNCTION("""COMPUTED_VALUE"""),7.82925)</f>
        <v>7.82925</v>
      </c>
      <c r="J814" s="23">
        <f>IFERROR(__xludf.DUMMYFUNCTION("""COMPUTED_VALUE"""),276.44)</f>
        <v>276.44</v>
      </c>
      <c r="K814" s="5"/>
      <c r="L814" s="23">
        <f>IFERROR(__xludf.DUMMYFUNCTION("""COMPUTED_VALUE"""),287.62)</f>
        <v>287.62</v>
      </c>
      <c r="M814" s="195" t="str">
        <f>IFERROR(__xludf.DUMMYFUNCTION("""COMPUTED_VALUE"""),"Equity Key Stats")</f>
        <v>Equity Key Stats</v>
      </c>
      <c r="N814" s="5"/>
      <c r="O814" s="5"/>
      <c r="P814" s="142">
        <f>IFERROR(__xludf.DUMMYFUNCTION("""COMPUTED_VALUE"""),0.0)</f>
        <v>0</v>
      </c>
      <c r="Q814" s="5"/>
      <c r="R814" s="71">
        <f>IFERROR(__xludf.DUMMYFUNCTION("""COMPUTED_VALUE"""),287.62)</f>
        <v>287.62</v>
      </c>
      <c r="S814" s="142">
        <f>IFERROR(__xludf.DUMMYFUNCTION("""COMPUTED_VALUE"""),0.0)</f>
        <v>0</v>
      </c>
      <c r="T814" s="5">
        <f>IFERROR(__xludf.DUMMYFUNCTION("""COMPUTED_VALUE"""),1.0)</f>
        <v>1</v>
      </c>
      <c r="U814" s="5">
        <f>IFERROR(__xludf.DUMMYFUNCTION("""COMPUTED_VALUE"""),1.0)</f>
        <v>1</v>
      </c>
      <c r="V814" s="22">
        <f>IFERROR(__xludf.DUMMYFUNCTION("""COMPUTED_VALUE"""),0.0)</f>
        <v>0</v>
      </c>
      <c r="W814" s="9" t="str">
        <f>IFERROR(__xludf.DUMMYFUNCTION("""COMPUTED_VALUE"""),"")</f>
        <v/>
      </c>
      <c r="X814" s="22" t="str">
        <f>IFERROR(__xludf.DUMMYFUNCTION("""COMPUTED_VALUE"""),"")</f>
        <v/>
      </c>
      <c r="Y814" s="22" t="str">
        <f>IFERROR(__xludf.DUMMYFUNCTION("""COMPUTED_VALUE"""),"")</f>
        <v/>
      </c>
      <c r="Z814" s="24" t="str">
        <f>IFERROR(__xludf.DUMMYFUNCTION("""COMPUTED_VALUE"""),"")</f>
        <v/>
      </c>
    </row>
    <row r="815">
      <c r="A815" s="5" t="str">
        <f>IFERROR(__xludf.DUMMYFUNCTION("""COMPUTED_VALUE"""),"")</f>
        <v/>
      </c>
      <c r="B815" s="5" t="str">
        <f>IFERROR(__xludf.DUMMYFUNCTION("""COMPUTED_VALUE"""),"75415")</f>
        <v>75415</v>
      </c>
      <c r="C815" s="9">
        <f>IFERROR(__xludf.DUMMYFUNCTION("""COMPUTED_VALUE"""),4.4634000563E10)</f>
        <v>44634000563</v>
      </c>
      <c r="D815" s="87" t="str">
        <f>IFERROR(__xludf.DUMMYFUNCTION("""COMPUTED_VALUE"""),"GBTC")</f>
        <v>GBTC</v>
      </c>
      <c r="E815" s="193">
        <f>IFERROR(__xludf.DUMMYFUNCTION("""COMPUTED_VALUE"""),44634.0)</f>
        <v>44634</v>
      </c>
      <c r="F815" s="5" t="str">
        <f>IFERROR(__xludf.DUMMYFUNCTION("""COMPUTED_VALUE"""),"Stock")</f>
        <v>Stock</v>
      </c>
      <c r="G815" s="5" t="str">
        <f>IFERROR(__xludf.DUMMYFUNCTION("""COMPUTED_VALUE"""),"USD")</f>
        <v>USD</v>
      </c>
      <c r="H815" s="22">
        <f>IFERROR(__xludf.DUMMYFUNCTION("""COMPUTED_VALUE"""),-415.0)</f>
        <v>-415</v>
      </c>
      <c r="I815" s="194">
        <f>IFERROR(__xludf.DUMMYFUNCTION("""COMPUTED_VALUE"""),7.82925)</f>
        <v>7.82925</v>
      </c>
      <c r="J815" s="23">
        <f>IFERROR(__xludf.DUMMYFUNCTION("""COMPUTED_VALUE"""),25.4)</f>
        <v>25.4</v>
      </c>
      <c r="K815" s="5"/>
      <c r="L815" s="23">
        <f>IFERROR(__xludf.DUMMYFUNCTION("""COMPUTED_VALUE"""),29.12)</f>
        <v>29.12</v>
      </c>
      <c r="M815" s="195" t="str">
        <f>IFERROR(__xludf.DUMMYFUNCTION("""COMPUTED_VALUE"""),"Equity Key Stats")</f>
        <v>Equity Key Stats</v>
      </c>
      <c r="N815" s="5"/>
      <c r="O815" s="5"/>
      <c r="P815" s="142">
        <f>IFERROR(__xludf.DUMMYFUNCTION("""COMPUTED_VALUE"""),82528.12425)</f>
        <v>82528.12425</v>
      </c>
      <c r="Q815" s="5"/>
      <c r="R815" s="71">
        <f>IFERROR(__xludf.DUMMYFUNCTION("""COMPUTED_VALUE"""),29.12)</f>
        <v>29.12</v>
      </c>
      <c r="S815" s="142">
        <f>IFERROR(__xludf.DUMMYFUNCTION("""COMPUTED_VALUE"""),-94614.9204)</f>
        <v>-94614.9204</v>
      </c>
      <c r="T815" s="5">
        <f>IFERROR(__xludf.DUMMYFUNCTION("""COMPUTED_VALUE"""),2.0)</f>
        <v>2</v>
      </c>
      <c r="U815" s="5">
        <f>IFERROR(__xludf.DUMMYFUNCTION("""COMPUTED_VALUE"""),1.0)</f>
        <v>1</v>
      </c>
      <c r="V815" s="22">
        <f>IFERROR(__xludf.DUMMYFUNCTION("""COMPUTED_VALUE"""),-21657.690489999994)</f>
        <v>-21657.69049</v>
      </c>
      <c r="W815" s="9" t="str">
        <f>IFERROR(__xludf.DUMMYFUNCTION("""COMPUTED_VALUE"""),"")</f>
        <v/>
      </c>
      <c r="X815" s="22" t="str">
        <f>IFERROR(__xludf.DUMMYFUNCTION("""COMPUTED_VALUE"""),"")</f>
        <v/>
      </c>
      <c r="Y815" s="22" t="str">
        <f>IFERROR(__xludf.DUMMYFUNCTION("""COMPUTED_VALUE"""),"")</f>
        <v/>
      </c>
      <c r="Z815" s="24" t="str">
        <f>IFERROR(__xludf.DUMMYFUNCTION("""COMPUTED_VALUE"""),"")</f>
        <v/>
      </c>
    </row>
    <row r="816">
      <c r="A816" s="5" t="str">
        <f>IFERROR(__xludf.DUMMYFUNCTION("""COMPUTED_VALUE"""),"")</f>
        <v/>
      </c>
      <c r="B816" s="5" t="str">
        <f>IFERROR(__xludf.DUMMYFUNCTION("""COMPUTED_VALUE"""),"75415")</f>
        <v>75415</v>
      </c>
      <c r="C816" s="9">
        <f>IFERROR(__xludf.DUMMYFUNCTION("""COMPUTED_VALUE"""),4.4634000564E10)</f>
        <v>44634000564</v>
      </c>
      <c r="D816" s="87" t="str">
        <f>IFERROR(__xludf.DUMMYFUNCTION("""COMPUTED_VALUE"""),"f")</f>
        <v>f</v>
      </c>
      <c r="E816" s="193">
        <f>IFERROR(__xludf.DUMMYFUNCTION("""COMPUTED_VALUE"""),44634.0)</f>
        <v>44634</v>
      </c>
      <c r="F816" s="5" t="str">
        <f>IFERROR(__xludf.DUMMYFUNCTION("""COMPUTED_VALUE"""),"Stock")</f>
        <v>Stock</v>
      </c>
      <c r="G816" s="5" t="str">
        <f>IFERROR(__xludf.DUMMYFUNCTION("""COMPUTED_VALUE"""),"USD")</f>
        <v>USD</v>
      </c>
      <c r="H816" s="22">
        <f>IFERROR(__xludf.DUMMYFUNCTION("""COMPUTED_VALUE"""),-2850.0)</f>
        <v>-2850</v>
      </c>
      <c r="I816" s="194">
        <f>IFERROR(__xludf.DUMMYFUNCTION("""COMPUTED_VALUE"""),7.82925)</f>
        <v>7.82925</v>
      </c>
      <c r="J816" s="23">
        <f>IFERROR(__xludf.DUMMYFUNCTION("""COMPUTED_VALUE"""),15.74)</f>
        <v>15.74</v>
      </c>
      <c r="K816" s="5"/>
      <c r="L816" s="23">
        <f>IFERROR(__xludf.DUMMYFUNCTION("""COMPUTED_VALUE"""),15.52)</f>
        <v>15.52</v>
      </c>
      <c r="M816" s="195" t="str">
        <f>IFERROR(__xludf.DUMMYFUNCTION("""COMPUTED_VALUE"""),"Equity Key Stats")</f>
        <v>Equity Key Stats</v>
      </c>
      <c r="N816" s="5"/>
      <c r="O816" s="5"/>
      <c r="P816" s="142">
        <f>IFERROR(__xludf.DUMMYFUNCTION("""COMPUTED_VALUE"""),351212.32575)</f>
        <v>351212.3258</v>
      </c>
      <c r="Q816" s="5"/>
      <c r="R816" s="71">
        <f>IFERROR(__xludf.DUMMYFUNCTION("""COMPUTED_VALUE"""),15.52)</f>
        <v>15.52</v>
      </c>
      <c r="S816" s="142">
        <f>IFERROR(__xludf.DUMMYFUNCTION("""COMPUTED_VALUE"""),-346303.386)</f>
        <v>-346303.386</v>
      </c>
      <c r="T816" s="5">
        <f>IFERROR(__xludf.DUMMYFUNCTION("""COMPUTED_VALUE"""),2.0)</f>
        <v>2</v>
      </c>
      <c r="U816" s="5">
        <f>IFERROR(__xludf.DUMMYFUNCTION("""COMPUTED_VALUE"""),1.0)</f>
        <v>1</v>
      </c>
      <c r="V816" s="22">
        <f>IFERROR(__xludf.DUMMYFUNCTION("""COMPUTED_VALUE"""),-51114.323069999984)</f>
        <v>-51114.32307</v>
      </c>
      <c r="W816" s="9" t="str">
        <f>IFERROR(__xludf.DUMMYFUNCTION("""COMPUTED_VALUE"""),"")</f>
        <v/>
      </c>
      <c r="X816" s="22" t="str">
        <f>IFERROR(__xludf.DUMMYFUNCTION("""COMPUTED_VALUE"""),"")</f>
        <v/>
      </c>
      <c r="Y816" s="22" t="str">
        <f>IFERROR(__xludf.DUMMYFUNCTION("""COMPUTED_VALUE"""),"")</f>
        <v/>
      </c>
      <c r="Z816" s="24" t="str">
        <f>IFERROR(__xludf.DUMMYFUNCTION("""COMPUTED_VALUE"""),"")</f>
        <v/>
      </c>
    </row>
    <row r="817">
      <c r="A817" s="5" t="str">
        <f>IFERROR(__xludf.DUMMYFUNCTION("""COMPUTED_VALUE"""),"")</f>
        <v/>
      </c>
      <c r="B817" s="5" t="str">
        <f>IFERROR(__xludf.DUMMYFUNCTION("""COMPUTED_VALUE"""),"75415")</f>
        <v>75415</v>
      </c>
      <c r="C817" s="9">
        <f>IFERROR(__xludf.DUMMYFUNCTION("""COMPUTED_VALUE"""),4.4641000757E10)</f>
        <v>44641000757</v>
      </c>
      <c r="D817" s="87" t="str">
        <f>IFERROR(__xludf.DUMMYFUNCTION("""COMPUTED_VALUE"""),"UVXY")</f>
        <v>UVXY</v>
      </c>
      <c r="E817" s="193">
        <f>IFERROR(__xludf.DUMMYFUNCTION("""COMPUTED_VALUE"""),44641.0)</f>
        <v>44641</v>
      </c>
      <c r="F817" s="5" t="str">
        <f>IFERROR(__xludf.DUMMYFUNCTION("""COMPUTED_VALUE"""),"Stock")</f>
        <v>Stock</v>
      </c>
      <c r="G817" s="5" t="str">
        <f>IFERROR(__xludf.DUMMYFUNCTION("""COMPUTED_VALUE"""),"USD")</f>
        <v>USD</v>
      </c>
      <c r="H817" s="22">
        <f>IFERROR(__xludf.DUMMYFUNCTION("""COMPUTED_VALUE"""),-1000.0)</f>
        <v>-1000</v>
      </c>
      <c r="I817" s="194">
        <f>IFERROR(__xludf.DUMMYFUNCTION("""COMPUTED_VALUE"""),7.82545)</f>
        <v>7.82545</v>
      </c>
      <c r="J817" s="23">
        <f>IFERROR(__xludf.DUMMYFUNCTION("""COMPUTED_VALUE"""),15.09)</f>
        <v>15.09</v>
      </c>
      <c r="K817" s="5"/>
      <c r="L817" s="23">
        <f>IFERROR(__xludf.DUMMYFUNCTION("""COMPUTED_VALUE"""),12.93)</f>
        <v>12.93</v>
      </c>
      <c r="M817" s="195" t="str">
        <f>IFERROR(__xludf.DUMMYFUNCTION("""COMPUTED_VALUE"""),"Equity Key Stats")</f>
        <v>Equity Key Stats</v>
      </c>
      <c r="N817" s="5"/>
      <c r="O817" s="5"/>
      <c r="P817" s="142">
        <f>IFERROR(__xludf.DUMMYFUNCTION("""COMPUTED_VALUE"""),118086.0405)</f>
        <v>118086.0405</v>
      </c>
      <c r="Q817" s="5"/>
      <c r="R817" s="71">
        <f>IFERROR(__xludf.DUMMYFUNCTION("""COMPUTED_VALUE"""),12.93)</f>
        <v>12.93</v>
      </c>
      <c r="S817" s="142">
        <f>IFERROR(__xludf.DUMMYFUNCTION("""COMPUTED_VALUE"""),-101183.0685)</f>
        <v>-101183.0685</v>
      </c>
      <c r="T817" s="5">
        <f>IFERROR(__xludf.DUMMYFUNCTION("""COMPUTED_VALUE"""),2.0)</f>
        <v>2</v>
      </c>
      <c r="U817" s="5" t="str">
        <f>IFERROR(__xludf.DUMMYFUNCTION("""COMPUTED_VALUE"""),"")</f>
        <v/>
      </c>
      <c r="V817" s="22" t="str">
        <f>IFERROR(__xludf.DUMMYFUNCTION("""COMPUTED_VALUE"""),"")</f>
        <v/>
      </c>
      <c r="W817" s="9" t="str">
        <f>IFERROR(__xludf.DUMMYFUNCTION("""COMPUTED_VALUE"""),"")</f>
        <v/>
      </c>
      <c r="X817" s="22" t="str">
        <f>IFERROR(__xludf.DUMMYFUNCTION("""COMPUTED_VALUE"""),"")</f>
        <v/>
      </c>
      <c r="Y817" s="22" t="str">
        <f>IFERROR(__xludf.DUMMYFUNCTION("""COMPUTED_VALUE"""),"")</f>
        <v/>
      </c>
      <c r="Z817" s="24" t="str">
        <f>IFERROR(__xludf.DUMMYFUNCTION("""COMPUTED_VALUE"""),"")</f>
        <v/>
      </c>
    </row>
    <row r="818">
      <c r="A818" s="5" t="str">
        <f>IFERROR(__xludf.DUMMYFUNCTION("""COMPUTED_VALUE"""),"")</f>
        <v/>
      </c>
      <c r="B818" s="5" t="str">
        <f>IFERROR(__xludf.DUMMYFUNCTION("""COMPUTED_VALUE"""),"75415")</f>
        <v>75415</v>
      </c>
      <c r="C818" s="9">
        <f>IFERROR(__xludf.DUMMYFUNCTION("""COMPUTED_VALUE"""),4.4642000773E10)</f>
        <v>44642000773</v>
      </c>
      <c r="D818" s="87" t="str">
        <f>IFERROR(__xludf.DUMMYFUNCTION("""COMPUTED_VALUE"""),"UVXY")</f>
        <v>UVXY</v>
      </c>
      <c r="E818" s="193">
        <f>IFERROR(__xludf.DUMMYFUNCTION("""COMPUTED_VALUE"""),44642.0)</f>
        <v>44642</v>
      </c>
      <c r="F818" s="5" t="str">
        <f>IFERROR(__xludf.DUMMYFUNCTION("""COMPUTED_VALUE"""),"Stock")</f>
        <v>Stock</v>
      </c>
      <c r="G818" s="5" t="str">
        <f>IFERROR(__xludf.DUMMYFUNCTION("""COMPUTED_VALUE"""),"USD")</f>
        <v>USD</v>
      </c>
      <c r="H818" s="22" t="str">
        <f>IFERROR(__xludf.DUMMYFUNCTION("""COMPUTED_VALUE"""),"")</f>
        <v/>
      </c>
      <c r="I818" s="194">
        <f>IFERROR(__xludf.DUMMYFUNCTION("""COMPUTED_VALUE"""),7.82695)</f>
        <v>7.82695</v>
      </c>
      <c r="J818" s="23">
        <f>IFERROR(__xludf.DUMMYFUNCTION("""COMPUTED_VALUE"""),14.72)</f>
        <v>14.72</v>
      </c>
      <c r="K818" s="5"/>
      <c r="L818" s="23">
        <f>IFERROR(__xludf.DUMMYFUNCTION("""COMPUTED_VALUE"""),12.93)</f>
        <v>12.93</v>
      </c>
      <c r="M818" s="195" t="str">
        <f>IFERROR(__xludf.DUMMYFUNCTION("""COMPUTED_VALUE"""),"Equity Key Stats")</f>
        <v>Equity Key Stats</v>
      </c>
      <c r="N818" s="5"/>
      <c r="O818" s="5"/>
      <c r="P818" s="142">
        <f>IFERROR(__xludf.DUMMYFUNCTION("""COMPUTED_VALUE"""),0.0)</f>
        <v>0</v>
      </c>
      <c r="Q818" s="5"/>
      <c r="R818" s="71">
        <f>IFERROR(__xludf.DUMMYFUNCTION("""COMPUTED_VALUE"""),12.93)</f>
        <v>12.93</v>
      </c>
      <c r="S818" s="142">
        <f>IFERROR(__xludf.DUMMYFUNCTION("""COMPUTED_VALUE"""),0.0)</f>
        <v>0</v>
      </c>
      <c r="T818" s="5">
        <f>IFERROR(__xludf.DUMMYFUNCTION("""COMPUTED_VALUE"""),2.0)</f>
        <v>2</v>
      </c>
      <c r="U818" s="5">
        <f>IFERROR(__xludf.DUMMYFUNCTION("""COMPUTED_VALUE"""),1.0)</f>
        <v>1</v>
      </c>
      <c r="V818" s="22">
        <f>IFERROR(__xludf.DUMMYFUNCTION("""COMPUTED_VALUE"""),16902.97200000001)</f>
        <v>16902.972</v>
      </c>
      <c r="W818" s="9" t="str">
        <f>IFERROR(__xludf.DUMMYFUNCTION("""COMPUTED_VALUE"""),"")</f>
        <v/>
      </c>
      <c r="X818" s="22" t="str">
        <f>IFERROR(__xludf.DUMMYFUNCTION("""COMPUTED_VALUE"""),"")</f>
        <v/>
      </c>
      <c r="Y818" s="22" t="str">
        <f>IFERROR(__xludf.DUMMYFUNCTION("""COMPUTED_VALUE"""),"")</f>
        <v/>
      </c>
      <c r="Z818" s="24" t="str">
        <f>IFERROR(__xludf.DUMMYFUNCTION("""COMPUTED_VALUE"""),"")</f>
        <v/>
      </c>
    </row>
    <row r="819">
      <c r="A819" s="5" t="str">
        <f>IFERROR(__xludf.DUMMYFUNCTION("""COMPUTED_VALUE"""),"75415")</f>
        <v>75415</v>
      </c>
      <c r="B819" s="5" t="str">
        <f>IFERROR(__xludf.DUMMYFUNCTION("""COMPUTED_VALUE"""),"75415")</f>
        <v>75415</v>
      </c>
      <c r="C819" s="9">
        <f>IFERROR(__xludf.DUMMYFUNCTION("""COMPUTED_VALUE"""),4.4642000774E10)</f>
        <v>44642000774</v>
      </c>
      <c r="D819" s="87" t="str">
        <f>IFERROR(__xludf.DUMMYFUNCTION("""COMPUTED_VALUE"""),"WEAT")</f>
        <v>WEAT</v>
      </c>
      <c r="E819" s="193">
        <f>IFERROR(__xludf.DUMMYFUNCTION("""COMPUTED_VALUE"""),44642.0)</f>
        <v>44642</v>
      </c>
      <c r="F819" s="5" t="str">
        <f>IFERROR(__xludf.DUMMYFUNCTION("""COMPUTED_VALUE"""),"Stock")</f>
        <v>Stock</v>
      </c>
      <c r="G819" s="5" t="str">
        <f>IFERROR(__xludf.DUMMYFUNCTION("""COMPUTED_VALUE"""),"USD")</f>
        <v>USD</v>
      </c>
      <c r="H819" s="22">
        <f>IFERROR(__xludf.DUMMYFUNCTION("""COMPUTED_VALUE"""),1000.0)</f>
        <v>1000</v>
      </c>
      <c r="I819" s="194">
        <f>IFERROR(__xludf.DUMMYFUNCTION("""COMPUTED_VALUE"""),7.82695)</f>
        <v>7.82695</v>
      </c>
      <c r="J819" s="23">
        <f>IFERROR(__xludf.DUMMYFUNCTION("""COMPUTED_VALUE"""),10.69)</f>
        <v>10.69</v>
      </c>
      <c r="K819" s="5"/>
      <c r="L819" s="23">
        <f>IFERROR(__xludf.DUMMYFUNCTION("""COMPUTED_VALUE"""),11.06)</f>
        <v>11.06</v>
      </c>
      <c r="M819" s="195" t="str">
        <f>IFERROR(__xludf.DUMMYFUNCTION("""COMPUTED_VALUE"""),"Equity Key Stats")</f>
        <v>Equity Key Stats</v>
      </c>
      <c r="N819" s="5"/>
      <c r="O819" s="5"/>
      <c r="P819" s="142">
        <f>IFERROR(__xludf.DUMMYFUNCTION("""COMPUTED_VALUE"""),-83670.0955)</f>
        <v>-83670.0955</v>
      </c>
      <c r="Q819" s="5"/>
      <c r="R819" s="71">
        <f>IFERROR(__xludf.DUMMYFUNCTION("""COMPUTED_VALUE"""),11.06)</f>
        <v>11.06</v>
      </c>
      <c r="S819" s="142">
        <f>IFERROR(__xludf.DUMMYFUNCTION("""COMPUTED_VALUE"""),86566.067)</f>
        <v>86566.067</v>
      </c>
      <c r="T819" s="5">
        <f>IFERROR(__xludf.DUMMYFUNCTION("""COMPUTED_VALUE"""),1.0)</f>
        <v>1</v>
      </c>
      <c r="U819" s="5">
        <f>IFERROR(__xludf.DUMMYFUNCTION("""COMPUTED_VALUE"""),1.0)</f>
        <v>1</v>
      </c>
      <c r="V819" s="22">
        <f>IFERROR(__xludf.DUMMYFUNCTION("""COMPUTED_VALUE"""),2895.9714999999997)</f>
        <v>2895.9715</v>
      </c>
      <c r="W819" s="9">
        <f>IFERROR(__xludf.DUMMYFUNCTION("""COMPUTED_VALUE"""),447026.92994)</f>
        <v>447026.9299</v>
      </c>
      <c r="X819" s="22">
        <f>IFERROR(__xludf.DUMMYFUNCTION("""COMPUTED_VALUE"""),227201.09204000002)</f>
        <v>227201.092</v>
      </c>
      <c r="Y819" s="22">
        <f>IFERROR(__xludf.DUMMYFUNCTION("""COMPUTED_VALUE"""),0.0)</f>
        <v>0</v>
      </c>
      <c r="Z819" s="24">
        <f>IFERROR(__xludf.DUMMYFUNCTION("""COMPUTED_VALUE"""),-0.10594614012000003)</f>
        <v>-0.1059461401</v>
      </c>
    </row>
    <row r="820">
      <c r="A820" s="5" t="str">
        <f>IFERROR(__xludf.DUMMYFUNCTION("""COMPUTED_VALUE"""),"")</f>
        <v/>
      </c>
      <c r="B820" s="5" t="str">
        <f>IFERROR(__xludf.DUMMYFUNCTION("""COMPUTED_VALUE"""),"75597")</f>
        <v>75597</v>
      </c>
      <c r="C820" s="9">
        <f>IFERROR(__xludf.DUMMYFUNCTION("""COMPUTED_VALUE"""),4.4597000079E10)</f>
        <v>44597000079</v>
      </c>
      <c r="D820" s="85" t="str">
        <f>IFERROR(__xludf.DUMMYFUNCTION("""COMPUTED_VALUE"""),"Cash")</f>
        <v>Cash</v>
      </c>
      <c r="E820" s="193">
        <f>IFERROR(__xludf.DUMMYFUNCTION("""COMPUTED_VALUE"""),44597.0)</f>
        <v>44597</v>
      </c>
      <c r="F820" s="5" t="str">
        <f>IFERROR(__xludf.DUMMYFUNCTION("""COMPUTED_VALUE"""),"Cash")</f>
        <v>Cash</v>
      </c>
      <c r="G820" s="5" t="str">
        <f>IFERROR(__xludf.DUMMYFUNCTION("""COMPUTED_VALUE"""),"HKD")</f>
        <v>HKD</v>
      </c>
      <c r="H820" s="22" t="str">
        <f>IFERROR(__xludf.DUMMYFUNCTION("""COMPUTED_VALUE"""),"")</f>
        <v/>
      </c>
      <c r="I820" s="194">
        <f>IFERROR(__xludf.DUMMYFUNCTION("""COMPUTED_VALUE"""),1.0)</f>
        <v>1</v>
      </c>
      <c r="J820" s="5">
        <f>IFERROR(__xludf.DUMMYFUNCTION("""COMPUTED_VALUE"""),1.0)</f>
        <v>1</v>
      </c>
      <c r="K820" s="5"/>
      <c r="L820" s="23">
        <f>IFERROR(__xludf.DUMMYFUNCTION("""COMPUTED_VALUE"""),1.0)</f>
        <v>1</v>
      </c>
      <c r="M820" s="25" t="str">
        <f>IFERROR(__xludf.DUMMYFUNCTION("""COMPUTED_VALUE"""),"")</f>
        <v/>
      </c>
      <c r="N820" s="5"/>
      <c r="O820" s="5"/>
      <c r="P820" s="142">
        <f>IFERROR(__xludf.DUMMYFUNCTION("""COMPUTED_VALUE"""),500000.0)</f>
        <v>500000</v>
      </c>
      <c r="Q820" s="5"/>
      <c r="R820" s="71">
        <f>IFERROR(__xludf.DUMMYFUNCTION("""COMPUTED_VALUE"""),1.0)</f>
        <v>1</v>
      </c>
      <c r="S820" s="142" t="str">
        <f>IFERROR(__xludf.DUMMYFUNCTION("""COMPUTED_VALUE"""),"")</f>
        <v/>
      </c>
      <c r="T820" s="5">
        <f>IFERROR(__xludf.DUMMYFUNCTION("""COMPUTED_VALUE"""),1.0)</f>
        <v>1</v>
      </c>
      <c r="U820" s="5">
        <f>IFERROR(__xludf.DUMMYFUNCTION("""COMPUTED_VALUE"""),1.0)</f>
        <v>1</v>
      </c>
      <c r="V820" s="22">
        <f>IFERROR(__xludf.DUMMYFUNCTION("""COMPUTED_VALUE"""),500000.0)</f>
        <v>500000</v>
      </c>
      <c r="W820" s="9" t="str">
        <f>IFERROR(__xludf.DUMMYFUNCTION("""COMPUTED_VALUE"""),"")</f>
        <v/>
      </c>
      <c r="X820" s="22" t="str">
        <f>IFERROR(__xludf.DUMMYFUNCTION("""COMPUTED_VALUE"""),"")</f>
        <v/>
      </c>
      <c r="Y820" s="22" t="str">
        <f>IFERROR(__xludf.DUMMYFUNCTION("""COMPUTED_VALUE"""),"")</f>
        <v/>
      </c>
      <c r="Z820" s="24" t="str">
        <f>IFERROR(__xludf.DUMMYFUNCTION("""COMPUTED_VALUE"""),"")</f>
        <v/>
      </c>
    </row>
    <row r="821">
      <c r="A821" s="5" t="str">
        <f>IFERROR(__xludf.DUMMYFUNCTION("""COMPUTED_VALUE"""),"")</f>
        <v/>
      </c>
      <c r="B821" s="5" t="str">
        <f>IFERROR(__xludf.DUMMYFUNCTION("""COMPUTED_VALUE"""),"75597")</f>
        <v>75597</v>
      </c>
      <c r="C821" s="9">
        <f>IFERROR(__xludf.DUMMYFUNCTION("""COMPUTED_VALUE"""),4.4641000697E10)</f>
        <v>44641000697</v>
      </c>
      <c r="D821" s="90" t="str">
        <f>IFERROR(__xludf.DUMMYFUNCTION("""COMPUTED_VALUE"""),"600519.SS")</f>
        <v>600519.SS</v>
      </c>
      <c r="E821" s="193">
        <f>IFERROR(__xludf.DUMMYFUNCTION("""COMPUTED_VALUE"""),44641.0)</f>
        <v>44641</v>
      </c>
      <c r="F821" s="5" t="str">
        <f>IFERROR(__xludf.DUMMYFUNCTION("""COMPUTED_VALUE"""),"Stock")</f>
        <v>Stock</v>
      </c>
      <c r="G821" s="5" t="str">
        <f>IFERROR(__xludf.DUMMYFUNCTION("""COMPUTED_VALUE"""),"CNY")</f>
        <v>CNY</v>
      </c>
      <c r="H821" s="22">
        <f>IFERROR(__xludf.DUMMYFUNCTION("""COMPUTED_VALUE"""),50.0)</f>
        <v>50</v>
      </c>
      <c r="I821" s="194">
        <f>IFERROR(__xludf.DUMMYFUNCTION("""COMPUTED_VALUE"""),1.231135)</f>
        <v>1.231135</v>
      </c>
      <c r="J821" s="23">
        <f>IFERROR(__xludf.DUMMYFUNCTION("""COMPUTED_VALUE"""),1704.3)</f>
        <v>1704.3</v>
      </c>
      <c r="K821" s="5"/>
      <c r="L821" s="23">
        <f>IFERROR(__xludf.DUMMYFUNCTION("""COMPUTED_VALUE"""),1769.0)</f>
        <v>1769</v>
      </c>
      <c r="M821" s="195" t="str">
        <f>IFERROR(__xludf.DUMMYFUNCTION("""COMPUTED_VALUE"""),"Equity Key Stats")</f>
        <v>Equity Key Stats</v>
      </c>
      <c r="N821" s="5"/>
      <c r="O821" s="5"/>
      <c r="P821" s="142">
        <f>IFERROR(__xludf.DUMMYFUNCTION("""COMPUTED_VALUE"""),-104911.16902500001)</f>
        <v>-104911.169</v>
      </c>
      <c r="Q821" s="5"/>
      <c r="R821" s="71">
        <f>IFERROR(__xludf.DUMMYFUNCTION("""COMPUTED_VALUE"""),1769.0)</f>
        <v>1769</v>
      </c>
      <c r="S821" s="142">
        <f>IFERROR(__xludf.DUMMYFUNCTION("""COMPUTED_VALUE"""),108893.89075000002)</f>
        <v>108893.8908</v>
      </c>
      <c r="T821" s="5">
        <f>IFERROR(__xludf.DUMMYFUNCTION("""COMPUTED_VALUE"""),2.0)</f>
        <v>2</v>
      </c>
      <c r="U821" s="5" t="str">
        <f>IFERROR(__xludf.DUMMYFUNCTION("""COMPUTED_VALUE"""),"")</f>
        <v/>
      </c>
      <c r="V821" s="22" t="str">
        <f>IFERROR(__xludf.DUMMYFUNCTION("""COMPUTED_VALUE"""),"")</f>
        <v/>
      </c>
      <c r="W821" s="9" t="str">
        <f>IFERROR(__xludf.DUMMYFUNCTION("""COMPUTED_VALUE"""),"")</f>
        <v/>
      </c>
      <c r="X821" s="22" t="str">
        <f>IFERROR(__xludf.DUMMYFUNCTION("""COMPUTED_VALUE"""),"")</f>
        <v/>
      </c>
      <c r="Y821" s="22" t="str">
        <f>IFERROR(__xludf.DUMMYFUNCTION("""COMPUTED_VALUE"""),"")</f>
        <v/>
      </c>
      <c r="Z821" s="24" t="str">
        <f>IFERROR(__xludf.DUMMYFUNCTION("""COMPUTED_VALUE"""),"")</f>
        <v/>
      </c>
    </row>
    <row r="822">
      <c r="A822" s="5" t="str">
        <f>IFERROR(__xludf.DUMMYFUNCTION("""COMPUTED_VALUE"""),"75597")</f>
        <v>75597</v>
      </c>
      <c r="B822" s="5" t="str">
        <f>IFERROR(__xludf.DUMMYFUNCTION("""COMPUTED_VALUE"""),"75597")</f>
        <v>75597</v>
      </c>
      <c r="C822" s="9">
        <f>IFERROR(__xludf.DUMMYFUNCTION("""COMPUTED_VALUE"""),4.465200108E10)</f>
        <v>44652001080</v>
      </c>
      <c r="D822" s="90" t="str">
        <f>IFERROR(__xludf.DUMMYFUNCTION("""COMPUTED_VALUE"""),"600519.SS")</f>
        <v>600519.SS</v>
      </c>
      <c r="E822" s="193">
        <f>IFERROR(__xludf.DUMMYFUNCTION("""COMPUTED_VALUE"""),44652.0)</f>
        <v>44652</v>
      </c>
      <c r="F822" s="5" t="str">
        <f>IFERROR(__xludf.DUMMYFUNCTION("""COMPUTED_VALUE"""),"Stock")</f>
        <v>Stock</v>
      </c>
      <c r="G822" s="5" t="str">
        <f>IFERROR(__xludf.DUMMYFUNCTION("""COMPUTED_VALUE"""),"CNY")</f>
        <v>CNY</v>
      </c>
      <c r="H822" s="22">
        <f>IFERROR(__xludf.DUMMYFUNCTION("""COMPUTED_VALUE"""),200.0)</f>
        <v>200</v>
      </c>
      <c r="I822" s="194">
        <f>IFERROR(__xludf.DUMMYFUNCTION("""COMPUTED_VALUE"""),1.231079)</f>
        <v>1.231079</v>
      </c>
      <c r="J822" s="23">
        <f>IFERROR(__xludf.DUMMYFUNCTION("""COMPUTED_VALUE"""),1780.01)</f>
        <v>1780.01</v>
      </c>
      <c r="K822" s="5"/>
      <c r="L822" s="23">
        <f>IFERROR(__xludf.DUMMYFUNCTION("""COMPUTED_VALUE"""),1769.0)</f>
        <v>1769</v>
      </c>
      <c r="M822" s="195" t="str">
        <f>IFERROR(__xludf.DUMMYFUNCTION("""COMPUTED_VALUE"""),"Equity Key Stats")</f>
        <v>Equity Key Stats</v>
      </c>
      <c r="N822" s="5"/>
      <c r="O822" s="5"/>
      <c r="P822" s="142">
        <f>IFERROR(__xludf.DUMMYFUNCTION("""COMPUTED_VALUE"""),-438266.586158)</f>
        <v>-438266.5862</v>
      </c>
      <c r="Q822" s="5"/>
      <c r="R822" s="71">
        <f>IFERROR(__xludf.DUMMYFUNCTION("""COMPUTED_VALUE"""),1769.0)</f>
        <v>1769</v>
      </c>
      <c r="S822" s="142">
        <f>IFERROR(__xludf.DUMMYFUNCTION("""COMPUTED_VALUE"""),435555.7502)</f>
        <v>435555.7502</v>
      </c>
      <c r="T822" s="5">
        <f>IFERROR(__xludf.DUMMYFUNCTION("""COMPUTED_VALUE"""),2.0)</f>
        <v>2</v>
      </c>
      <c r="U822" s="5">
        <f>IFERROR(__xludf.DUMMYFUNCTION("""COMPUTED_VALUE"""),1.0)</f>
        <v>1</v>
      </c>
      <c r="V822" s="22">
        <f>IFERROR(__xludf.DUMMYFUNCTION("""COMPUTED_VALUE"""),1271.8857670000289)</f>
        <v>1271.885767</v>
      </c>
      <c r="W822" s="9">
        <f>IFERROR(__xludf.DUMMYFUNCTION("""COMPUTED_VALUE"""),501271.885767)</f>
        <v>501271.8858</v>
      </c>
      <c r="X822" s="22">
        <f>IFERROR(__xludf.DUMMYFUNCTION("""COMPUTED_VALUE"""),-43177.755183)</f>
        <v>-43177.75518</v>
      </c>
      <c r="Y822" s="22">
        <f>IFERROR(__xludf.DUMMYFUNCTION("""COMPUTED_VALUE"""),43177.755183)</f>
        <v>43177.75518</v>
      </c>
      <c r="Z822" s="24">
        <f>IFERROR(__xludf.DUMMYFUNCTION("""COMPUTED_VALUE"""),0.0025437715339999833)</f>
        <v>0.002543771534</v>
      </c>
    </row>
    <row r="823">
      <c r="A823" s="5" t="str">
        <f>IFERROR(__xludf.DUMMYFUNCTION("""COMPUTED_VALUE"""),"")</f>
        <v/>
      </c>
      <c r="B823" s="5" t="str">
        <f>IFERROR(__xludf.DUMMYFUNCTION("""COMPUTED_VALUE"""),"75965")</f>
        <v>75965</v>
      </c>
      <c r="C823" s="9">
        <f>IFERROR(__xludf.DUMMYFUNCTION("""COMPUTED_VALUE"""),4.4597000046E10)</f>
        <v>44597000046</v>
      </c>
      <c r="D823" s="85" t="str">
        <f>IFERROR(__xludf.DUMMYFUNCTION("""COMPUTED_VALUE"""),"Cash")</f>
        <v>Cash</v>
      </c>
      <c r="E823" s="193">
        <f>IFERROR(__xludf.DUMMYFUNCTION("""COMPUTED_VALUE"""),44597.0)</f>
        <v>44597</v>
      </c>
      <c r="F823" s="5" t="str">
        <f>IFERROR(__xludf.DUMMYFUNCTION("""COMPUTED_VALUE"""),"Cash")</f>
        <v>Cash</v>
      </c>
      <c r="G823" s="5" t="str">
        <f>IFERROR(__xludf.DUMMYFUNCTION("""COMPUTED_VALUE"""),"HKD")</f>
        <v>HKD</v>
      </c>
      <c r="H823" s="22" t="str">
        <f>IFERROR(__xludf.DUMMYFUNCTION("""COMPUTED_VALUE"""),"")</f>
        <v/>
      </c>
      <c r="I823" s="194">
        <f>IFERROR(__xludf.DUMMYFUNCTION("""COMPUTED_VALUE"""),1.0)</f>
        <v>1</v>
      </c>
      <c r="J823" s="5">
        <f>IFERROR(__xludf.DUMMYFUNCTION("""COMPUTED_VALUE"""),1.0)</f>
        <v>1</v>
      </c>
      <c r="K823" s="5"/>
      <c r="L823" s="23">
        <f>IFERROR(__xludf.DUMMYFUNCTION("""COMPUTED_VALUE"""),1.0)</f>
        <v>1</v>
      </c>
      <c r="M823" s="25" t="str">
        <f>IFERROR(__xludf.DUMMYFUNCTION("""COMPUTED_VALUE"""),"")</f>
        <v/>
      </c>
      <c r="N823" s="5"/>
      <c r="O823" s="5"/>
      <c r="P823" s="142">
        <f>IFERROR(__xludf.DUMMYFUNCTION("""COMPUTED_VALUE"""),500000.0)</f>
        <v>500000</v>
      </c>
      <c r="Q823" s="5"/>
      <c r="R823" s="71">
        <f>IFERROR(__xludf.DUMMYFUNCTION("""COMPUTED_VALUE"""),1.0)</f>
        <v>1</v>
      </c>
      <c r="S823" s="142" t="str">
        <f>IFERROR(__xludf.DUMMYFUNCTION("""COMPUTED_VALUE"""),"")</f>
        <v/>
      </c>
      <c r="T823" s="5">
        <f>IFERROR(__xludf.DUMMYFUNCTION("""COMPUTED_VALUE"""),1.0)</f>
        <v>1</v>
      </c>
      <c r="U823" s="5">
        <f>IFERROR(__xludf.DUMMYFUNCTION("""COMPUTED_VALUE"""),1.0)</f>
        <v>1</v>
      </c>
      <c r="V823" s="22">
        <f>IFERROR(__xludf.DUMMYFUNCTION("""COMPUTED_VALUE"""),500000.0)</f>
        <v>500000</v>
      </c>
      <c r="W823" s="9" t="str">
        <f>IFERROR(__xludf.DUMMYFUNCTION("""COMPUTED_VALUE"""),"")</f>
        <v/>
      </c>
      <c r="X823" s="22" t="str">
        <f>IFERROR(__xludf.DUMMYFUNCTION("""COMPUTED_VALUE"""),"")</f>
        <v/>
      </c>
      <c r="Y823" s="22" t="str">
        <f>IFERROR(__xludf.DUMMYFUNCTION("""COMPUTED_VALUE"""),"")</f>
        <v/>
      </c>
      <c r="Z823" s="24" t="str">
        <f>IFERROR(__xludf.DUMMYFUNCTION("""COMPUTED_VALUE"""),"")</f>
        <v/>
      </c>
    </row>
    <row r="824">
      <c r="A824" s="5" t="str">
        <f>IFERROR(__xludf.DUMMYFUNCTION("""COMPUTED_VALUE"""),"")</f>
        <v/>
      </c>
      <c r="B824" s="5" t="str">
        <f>IFERROR(__xludf.DUMMYFUNCTION("""COMPUTED_VALUE"""),"75965")</f>
        <v>75965</v>
      </c>
      <c r="C824" s="9">
        <f>IFERROR(__xludf.DUMMYFUNCTION("""COMPUTED_VALUE"""),4.4636000631E10)</f>
        <v>44636000631</v>
      </c>
      <c r="D824" s="87" t="str">
        <f>IFERROR(__xludf.DUMMYFUNCTION("""COMPUTED_VALUE"""),"aapl")</f>
        <v>aapl</v>
      </c>
      <c r="E824" s="193">
        <f>IFERROR(__xludf.DUMMYFUNCTION("""COMPUTED_VALUE"""),44636.0)</f>
        <v>44636</v>
      </c>
      <c r="F824" s="5" t="str">
        <f>IFERROR(__xludf.DUMMYFUNCTION("""COMPUTED_VALUE"""),"Stock")</f>
        <v>Stock</v>
      </c>
      <c r="G824" s="5" t="str">
        <f>IFERROR(__xludf.DUMMYFUNCTION("""COMPUTED_VALUE"""),"USD")</f>
        <v>USD</v>
      </c>
      <c r="H824" s="22">
        <f>IFERROR(__xludf.DUMMYFUNCTION("""COMPUTED_VALUE"""),100.0)</f>
        <v>100</v>
      </c>
      <c r="I824" s="194">
        <f>IFERROR(__xludf.DUMMYFUNCTION("""COMPUTED_VALUE"""),7.82055)</f>
        <v>7.82055</v>
      </c>
      <c r="J824" s="23">
        <f>IFERROR(__xludf.DUMMYFUNCTION("""COMPUTED_VALUE"""),159.59)</f>
        <v>159.59</v>
      </c>
      <c r="K824" s="5"/>
      <c r="L824" s="23">
        <f>IFERROR(__xludf.DUMMYFUNCTION("""COMPUTED_VALUE"""),170.4)</f>
        <v>170.4</v>
      </c>
      <c r="M824" s="195" t="str">
        <f>IFERROR(__xludf.DUMMYFUNCTION("""COMPUTED_VALUE"""),"Equity Key Stats")</f>
        <v>Equity Key Stats</v>
      </c>
      <c r="N824" s="5"/>
      <c r="O824" s="5"/>
      <c r="P824" s="142">
        <f>IFERROR(__xludf.DUMMYFUNCTION("""COMPUTED_VALUE"""),-124808.15745)</f>
        <v>-124808.1575</v>
      </c>
      <c r="Q824" s="5"/>
      <c r="R824" s="71">
        <f>IFERROR(__xludf.DUMMYFUNCTION("""COMPUTED_VALUE"""),170.4)</f>
        <v>170.4</v>
      </c>
      <c r="S824" s="142">
        <f>IFERROR(__xludf.DUMMYFUNCTION("""COMPUTED_VALUE"""),133262.172)</f>
        <v>133262.172</v>
      </c>
      <c r="T824" s="5">
        <f>IFERROR(__xludf.DUMMYFUNCTION("""COMPUTED_VALUE"""),1.0)</f>
        <v>1</v>
      </c>
      <c r="U824" s="5">
        <f>IFERROR(__xludf.DUMMYFUNCTION("""COMPUTED_VALUE"""),1.0)</f>
        <v>1</v>
      </c>
      <c r="V824" s="22">
        <f>IFERROR(__xludf.DUMMYFUNCTION("""COMPUTED_VALUE"""),8454.014549999993)</f>
        <v>8454.01455</v>
      </c>
      <c r="W824" s="9" t="str">
        <f>IFERROR(__xludf.DUMMYFUNCTION("""COMPUTED_VALUE"""),"")</f>
        <v/>
      </c>
      <c r="X824" s="22" t="str">
        <f>IFERROR(__xludf.DUMMYFUNCTION("""COMPUTED_VALUE"""),"")</f>
        <v/>
      </c>
      <c r="Y824" s="22" t="str">
        <f>IFERROR(__xludf.DUMMYFUNCTION("""COMPUTED_VALUE"""),"")</f>
        <v/>
      </c>
      <c r="Z824" s="24" t="str">
        <f>IFERROR(__xludf.DUMMYFUNCTION("""COMPUTED_VALUE"""),"")</f>
        <v/>
      </c>
    </row>
    <row r="825">
      <c r="A825" s="5" t="str">
        <f>IFERROR(__xludf.DUMMYFUNCTION("""COMPUTED_VALUE"""),"")</f>
        <v/>
      </c>
      <c r="B825" s="5" t="str">
        <f>IFERROR(__xludf.DUMMYFUNCTION("""COMPUTED_VALUE"""),"75965")</f>
        <v>75965</v>
      </c>
      <c r="C825" s="9">
        <f>IFERROR(__xludf.DUMMYFUNCTION("""COMPUTED_VALUE"""),4.4636000632E10)</f>
        <v>44636000632</v>
      </c>
      <c r="D825" s="87" t="str">
        <f>IFERROR(__xludf.DUMMYFUNCTION("""COMPUTED_VALUE"""),"TSLA")</f>
        <v>TSLA</v>
      </c>
      <c r="E825" s="193">
        <f>IFERROR(__xludf.DUMMYFUNCTION("""COMPUTED_VALUE"""),44636.0)</f>
        <v>44636</v>
      </c>
      <c r="F825" s="5" t="str">
        <f>IFERROR(__xludf.DUMMYFUNCTION("""COMPUTED_VALUE"""),"Stock")</f>
        <v>Stock</v>
      </c>
      <c r="G825" s="5" t="str">
        <f>IFERROR(__xludf.DUMMYFUNCTION("""COMPUTED_VALUE"""),"USD")</f>
        <v>USD</v>
      </c>
      <c r="H825" s="22">
        <f>IFERROR(__xludf.DUMMYFUNCTION("""COMPUTED_VALUE"""),50.0)</f>
        <v>50</v>
      </c>
      <c r="I825" s="194">
        <f>IFERROR(__xludf.DUMMYFUNCTION("""COMPUTED_VALUE"""),7.82055)</f>
        <v>7.82055</v>
      </c>
      <c r="J825" s="23">
        <f>IFERROR(__xludf.DUMMYFUNCTION("""COMPUTED_VALUE"""),840.23)</f>
        <v>840.23</v>
      </c>
      <c r="K825" s="5"/>
      <c r="L825" s="23">
        <f>IFERROR(__xludf.DUMMYFUNCTION("""COMPUTED_VALUE"""),1022.37)</f>
        <v>1022.37</v>
      </c>
      <c r="M825" s="195" t="str">
        <f>IFERROR(__xludf.DUMMYFUNCTION("""COMPUTED_VALUE"""),"Equity Key Stats")</f>
        <v>Equity Key Stats</v>
      </c>
      <c r="N825" s="5"/>
      <c r="O825" s="5"/>
      <c r="P825" s="142">
        <f>IFERROR(__xludf.DUMMYFUNCTION("""COMPUTED_VALUE"""),-328553.036325)</f>
        <v>-328553.0363</v>
      </c>
      <c r="Q825" s="5"/>
      <c r="R825" s="71">
        <f>IFERROR(__xludf.DUMMYFUNCTION("""COMPUTED_VALUE"""),1022.37)</f>
        <v>1022.37</v>
      </c>
      <c r="S825" s="142">
        <f>IFERROR(__xludf.DUMMYFUNCTION("""COMPUTED_VALUE"""),399774.78517499997)</f>
        <v>399774.7852</v>
      </c>
      <c r="T825" s="5">
        <f>IFERROR(__xludf.DUMMYFUNCTION("""COMPUTED_VALUE"""),6.0)</f>
        <v>6</v>
      </c>
      <c r="U825" s="5" t="str">
        <f>IFERROR(__xludf.DUMMYFUNCTION("""COMPUTED_VALUE"""),"")</f>
        <v/>
      </c>
      <c r="V825" s="22" t="str">
        <f>IFERROR(__xludf.DUMMYFUNCTION("""COMPUTED_VALUE"""),"")</f>
        <v/>
      </c>
      <c r="W825" s="9" t="str">
        <f>IFERROR(__xludf.DUMMYFUNCTION("""COMPUTED_VALUE"""),"")</f>
        <v/>
      </c>
      <c r="X825" s="22" t="str">
        <f>IFERROR(__xludf.DUMMYFUNCTION("""COMPUTED_VALUE"""),"")</f>
        <v/>
      </c>
      <c r="Y825" s="22" t="str">
        <f>IFERROR(__xludf.DUMMYFUNCTION("""COMPUTED_VALUE"""),"")</f>
        <v/>
      </c>
      <c r="Z825" s="24" t="str">
        <f>IFERROR(__xludf.DUMMYFUNCTION("""COMPUTED_VALUE"""),"")</f>
        <v/>
      </c>
    </row>
    <row r="826">
      <c r="A826" s="5" t="str">
        <f>IFERROR(__xludf.DUMMYFUNCTION("""COMPUTED_VALUE"""),"")</f>
        <v/>
      </c>
      <c r="B826" s="5" t="str">
        <f>IFERROR(__xludf.DUMMYFUNCTION("""COMPUTED_VALUE"""),"75965")</f>
        <v>75965</v>
      </c>
      <c r="C826" s="9">
        <f>IFERROR(__xludf.DUMMYFUNCTION("""COMPUTED_VALUE"""),4.4636000633E10)</f>
        <v>44636000633</v>
      </c>
      <c r="D826" s="87" t="str">
        <f>IFERROR(__xludf.DUMMYFUNCTION("""COMPUTED_VALUE"""),"ES=F")</f>
        <v>ES=F</v>
      </c>
      <c r="E826" s="193">
        <f>IFERROR(__xludf.DUMMYFUNCTION("""COMPUTED_VALUE"""),44636.0)</f>
        <v>44636</v>
      </c>
      <c r="F826" s="5" t="str">
        <f>IFERROR(__xludf.DUMMYFUNCTION("""COMPUTED_VALUE"""),"Stock")</f>
        <v>Stock</v>
      </c>
      <c r="G826" s="5" t="str">
        <f>IFERROR(__xludf.DUMMYFUNCTION("""COMPUTED_VALUE"""),"USD")</f>
        <v>USD</v>
      </c>
      <c r="H826" s="22" t="str">
        <f>IFERROR(__xludf.DUMMYFUNCTION("""COMPUTED_VALUE"""),"")</f>
        <v/>
      </c>
      <c r="I826" s="194">
        <f>IFERROR(__xludf.DUMMYFUNCTION("""COMPUTED_VALUE"""),7.82055)</f>
        <v>7.82055</v>
      </c>
      <c r="J826" s="23">
        <f>IFERROR(__xludf.DUMMYFUNCTION("""COMPUTED_VALUE"""),4358.0)</f>
        <v>4358</v>
      </c>
      <c r="K826" s="5"/>
      <c r="L826" s="23">
        <f>IFERROR(__xludf.DUMMYFUNCTION("""COMPUTED_VALUE"""),4439.25)</f>
        <v>4439.25</v>
      </c>
      <c r="M826" s="195" t="str">
        <f>IFERROR(__xludf.DUMMYFUNCTION("""COMPUTED_VALUE"""),"Equity Key Stats")</f>
        <v>Equity Key Stats</v>
      </c>
      <c r="N826" s="5"/>
      <c r="O826" s="5"/>
      <c r="P826" s="142">
        <f>IFERROR(__xludf.DUMMYFUNCTION("""COMPUTED_VALUE"""),0.0)</f>
        <v>0</v>
      </c>
      <c r="Q826" s="5"/>
      <c r="R826" s="71">
        <f>IFERROR(__xludf.DUMMYFUNCTION("""COMPUTED_VALUE"""),4439.25)</f>
        <v>4439.25</v>
      </c>
      <c r="S826" s="142">
        <f>IFERROR(__xludf.DUMMYFUNCTION("""COMPUTED_VALUE"""),0.0)</f>
        <v>0</v>
      </c>
      <c r="T826" s="5">
        <f>IFERROR(__xludf.DUMMYFUNCTION("""COMPUTED_VALUE"""),1.0)</f>
        <v>1</v>
      </c>
      <c r="U826" s="5">
        <f>IFERROR(__xludf.DUMMYFUNCTION("""COMPUTED_VALUE"""),1.0)</f>
        <v>1</v>
      </c>
      <c r="V826" s="22">
        <f>IFERROR(__xludf.DUMMYFUNCTION("""COMPUTED_VALUE"""),0.0)</f>
        <v>0</v>
      </c>
      <c r="W826" s="9" t="str">
        <f>IFERROR(__xludf.DUMMYFUNCTION("""COMPUTED_VALUE"""),"")</f>
        <v/>
      </c>
      <c r="X826" s="22" t="str">
        <f>IFERROR(__xludf.DUMMYFUNCTION("""COMPUTED_VALUE"""),"")</f>
        <v/>
      </c>
      <c r="Y826" s="22" t="str">
        <f>IFERROR(__xludf.DUMMYFUNCTION("""COMPUTED_VALUE"""),"")</f>
        <v/>
      </c>
      <c r="Z826" s="24" t="str">
        <f>IFERROR(__xludf.DUMMYFUNCTION("""COMPUTED_VALUE"""),"")</f>
        <v/>
      </c>
    </row>
    <row r="827">
      <c r="A827" s="5" t="str">
        <f>IFERROR(__xludf.DUMMYFUNCTION("""COMPUTED_VALUE"""),"")</f>
        <v/>
      </c>
      <c r="B827" s="5" t="str">
        <f>IFERROR(__xludf.DUMMYFUNCTION("""COMPUTED_VALUE"""),"75965")</f>
        <v>75965</v>
      </c>
      <c r="C827" s="9">
        <f>IFERROR(__xludf.DUMMYFUNCTION("""COMPUTED_VALUE"""),4.4648000976E10)</f>
        <v>44648000976</v>
      </c>
      <c r="D827" s="87" t="str">
        <f>IFERROR(__xludf.DUMMYFUNCTION("""COMPUTED_VALUE"""),"TSLA")</f>
        <v>TSLA</v>
      </c>
      <c r="E827" s="193">
        <f>IFERROR(__xludf.DUMMYFUNCTION("""COMPUTED_VALUE"""),44648.0)</f>
        <v>44648</v>
      </c>
      <c r="F827" s="5" t="str">
        <f>IFERROR(__xludf.DUMMYFUNCTION("""COMPUTED_VALUE"""),"Stock")</f>
        <v>Stock</v>
      </c>
      <c r="G827" s="5" t="str">
        <f>IFERROR(__xludf.DUMMYFUNCTION("""COMPUTED_VALUE"""),"USD")</f>
        <v>USD</v>
      </c>
      <c r="H827" s="22">
        <f>IFERROR(__xludf.DUMMYFUNCTION("""COMPUTED_VALUE"""),-50.0)</f>
        <v>-50</v>
      </c>
      <c r="I827" s="194">
        <f>IFERROR(__xludf.DUMMYFUNCTION("""COMPUTED_VALUE"""),7.82905)</f>
        <v>7.82905</v>
      </c>
      <c r="J827" s="23">
        <f>IFERROR(__xludf.DUMMYFUNCTION("""COMPUTED_VALUE"""),1091.84)</f>
        <v>1091.84</v>
      </c>
      <c r="K827" s="5"/>
      <c r="L827" s="23">
        <f>IFERROR(__xludf.DUMMYFUNCTION("""COMPUTED_VALUE"""),1022.37)</f>
        <v>1022.37</v>
      </c>
      <c r="M827" s="195" t="str">
        <f>IFERROR(__xludf.DUMMYFUNCTION("""COMPUTED_VALUE"""),"Equity Key Stats")</f>
        <v>Equity Key Stats</v>
      </c>
      <c r="N827" s="5"/>
      <c r="O827" s="5"/>
      <c r="P827" s="142">
        <f>IFERROR(__xludf.DUMMYFUNCTION("""COMPUTED_VALUE"""),427403.49759999994)</f>
        <v>427403.4976</v>
      </c>
      <c r="Q827" s="5"/>
      <c r="R827" s="71">
        <f>IFERROR(__xludf.DUMMYFUNCTION("""COMPUTED_VALUE"""),1022.37)</f>
        <v>1022.37</v>
      </c>
      <c r="S827" s="142">
        <f>IFERROR(__xludf.DUMMYFUNCTION("""COMPUTED_VALUE"""),-400209.292425)</f>
        <v>-400209.2924</v>
      </c>
      <c r="T827" s="5">
        <f>IFERROR(__xludf.DUMMYFUNCTION("""COMPUTED_VALUE"""),6.0)</f>
        <v>6</v>
      </c>
      <c r="U827" s="5" t="str">
        <f>IFERROR(__xludf.DUMMYFUNCTION("""COMPUTED_VALUE"""),"")</f>
        <v/>
      </c>
      <c r="V827" s="22" t="str">
        <f>IFERROR(__xludf.DUMMYFUNCTION("""COMPUTED_VALUE"""),"")</f>
        <v/>
      </c>
      <c r="W827" s="9" t="str">
        <f>IFERROR(__xludf.DUMMYFUNCTION("""COMPUTED_VALUE"""),"")</f>
        <v/>
      </c>
      <c r="X827" s="22" t="str">
        <f>IFERROR(__xludf.DUMMYFUNCTION("""COMPUTED_VALUE"""),"")</f>
        <v/>
      </c>
      <c r="Y827" s="22" t="str">
        <f>IFERROR(__xludf.DUMMYFUNCTION("""COMPUTED_VALUE"""),"")</f>
        <v/>
      </c>
      <c r="Z827" s="24" t="str">
        <f>IFERROR(__xludf.DUMMYFUNCTION("""COMPUTED_VALUE"""),"")</f>
        <v/>
      </c>
    </row>
    <row r="828">
      <c r="A828" s="5" t="str">
        <f>IFERROR(__xludf.DUMMYFUNCTION("""COMPUTED_VALUE"""),"")</f>
        <v/>
      </c>
      <c r="B828" s="5" t="str">
        <f>IFERROR(__xludf.DUMMYFUNCTION("""COMPUTED_VALUE"""),"75965")</f>
        <v>75965</v>
      </c>
      <c r="C828" s="9">
        <f>IFERROR(__xludf.DUMMYFUNCTION("""COMPUTED_VALUE"""),4.4648000977E10)</f>
        <v>44648000977</v>
      </c>
      <c r="D828" s="87" t="str">
        <f>IFERROR(__xludf.DUMMYFUNCTION("""COMPUTED_VALUE"""),"MULN")</f>
        <v>MULN</v>
      </c>
      <c r="E828" s="193">
        <f>IFERROR(__xludf.DUMMYFUNCTION("""COMPUTED_VALUE"""),44648.0)</f>
        <v>44648</v>
      </c>
      <c r="F828" s="5" t="str">
        <f>IFERROR(__xludf.DUMMYFUNCTION("""COMPUTED_VALUE"""),"Stock")</f>
        <v>Stock</v>
      </c>
      <c r="G828" s="5" t="str">
        <f>IFERROR(__xludf.DUMMYFUNCTION("""COMPUTED_VALUE"""),"USD")</f>
        <v>USD</v>
      </c>
      <c r="H828" s="22">
        <f>IFERROR(__xludf.DUMMYFUNCTION("""COMPUTED_VALUE"""),9900.0)</f>
        <v>9900</v>
      </c>
      <c r="I828" s="194">
        <f>IFERROR(__xludf.DUMMYFUNCTION("""COMPUTED_VALUE"""),7.82905)</f>
        <v>7.82905</v>
      </c>
      <c r="J828" s="23">
        <f>IFERROR(__xludf.DUMMYFUNCTION("""COMPUTED_VALUE"""),2.45)</f>
        <v>2.45</v>
      </c>
      <c r="K828" s="5"/>
      <c r="L828" s="23">
        <f>IFERROR(__xludf.DUMMYFUNCTION("""COMPUTED_VALUE"""),2.4)</f>
        <v>2.4</v>
      </c>
      <c r="M828" s="195" t="str">
        <f>IFERROR(__xludf.DUMMYFUNCTION("""COMPUTED_VALUE"""),"Equity Key Stats")</f>
        <v>Equity Key Stats</v>
      </c>
      <c r="N828" s="5"/>
      <c r="O828" s="5"/>
      <c r="P828" s="142">
        <f>IFERROR(__xludf.DUMMYFUNCTION("""COMPUTED_VALUE"""),-189893.60775000002)</f>
        <v>-189893.6078</v>
      </c>
      <c r="Q828" s="5"/>
      <c r="R828" s="71">
        <f>IFERROR(__xludf.DUMMYFUNCTION("""COMPUTED_VALUE"""),2.4)</f>
        <v>2.4</v>
      </c>
      <c r="S828" s="142">
        <f>IFERROR(__xludf.DUMMYFUNCTION("""COMPUTED_VALUE"""),186018.228)</f>
        <v>186018.228</v>
      </c>
      <c r="T828" s="5">
        <f>IFERROR(__xludf.DUMMYFUNCTION("""COMPUTED_VALUE"""),3.0)</f>
        <v>3</v>
      </c>
      <c r="U828" s="5" t="str">
        <f>IFERROR(__xludf.DUMMYFUNCTION("""COMPUTED_VALUE"""),"")</f>
        <v/>
      </c>
      <c r="V828" s="22" t="str">
        <f>IFERROR(__xludf.DUMMYFUNCTION("""COMPUTED_VALUE"""),"")</f>
        <v/>
      </c>
      <c r="W828" s="9" t="str">
        <f>IFERROR(__xludf.DUMMYFUNCTION("""COMPUTED_VALUE"""),"")</f>
        <v/>
      </c>
      <c r="X828" s="22" t="str">
        <f>IFERROR(__xludf.DUMMYFUNCTION("""COMPUTED_VALUE"""),"")</f>
        <v/>
      </c>
      <c r="Y828" s="22" t="str">
        <f>IFERROR(__xludf.DUMMYFUNCTION("""COMPUTED_VALUE"""),"")</f>
        <v/>
      </c>
      <c r="Z828" s="24" t="str">
        <f>IFERROR(__xludf.DUMMYFUNCTION("""COMPUTED_VALUE"""),"")</f>
        <v/>
      </c>
    </row>
    <row r="829">
      <c r="A829" s="5" t="str">
        <f>IFERROR(__xludf.DUMMYFUNCTION("""COMPUTED_VALUE"""),"")</f>
        <v/>
      </c>
      <c r="B829" s="5" t="str">
        <f>IFERROR(__xludf.DUMMYFUNCTION("""COMPUTED_VALUE"""),"75965")</f>
        <v>75965</v>
      </c>
      <c r="C829" s="9">
        <f>IFERROR(__xludf.DUMMYFUNCTION("""COMPUTED_VALUE"""),4.4649000992E10)</f>
        <v>44649000992</v>
      </c>
      <c r="D829" s="87" t="str">
        <f>IFERROR(__xludf.DUMMYFUNCTION("""COMPUTED_VALUE"""),"TSLA")</f>
        <v>TSLA</v>
      </c>
      <c r="E829" s="193">
        <f>IFERROR(__xludf.DUMMYFUNCTION("""COMPUTED_VALUE"""),44649.0)</f>
        <v>44649</v>
      </c>
      <c r="F829" s="5" t="str">
        <f>IFERROR(__xludf.DUMMYFUNCTION("""COMPUTED_VALUE"""),"Stock")</f>
        <v>Stock</v>
      </c>
      <c r="G829" s="5" t="str">
        <f>IFERROR(__xludf.DUMMYFUNCTION("""COMPUTED_VALUE"""),"USD")</f>
        <v>USD</v>
      </c>
      <c r="H829" s="22">
        <f>IFERROR(__xludf.DUMMYFUNCTION("""COMPUTED_VALUE"""),-50.0)</f>
        <v>-50</v>
      </c>
      <c r="I829" s="194">
        <f>IFERROR(__xludf.DUMMYFUNCTION("""COMPUTED_VALUE"""),7.827315)</f>
        <v>7.827315</v>
      </c>
      <c r="J829" s="23">
        <f>IFERROR(__xludf.DUMMYFUNCTION("""COMPUTED_VALUE"""),1099.57)</f>
        <v>1099.57</v>
      </c>
      <c r="K829" s="5"/>
      <c r="L829" s="23">
        <f>IFERROR(__xludf.DUMMYFUNCTION("""COMPUTED_VALUE"""),1022.37)</f>
        <v>1022.37</v>
      </c>
      <c r="M829" s="195" t="str">
        <f>IFERROR(__xludf.DUMMYFUNCTION("""COMPUTED_VALUE"""),"Equity Key Stats")</f>
        <v>Equity Key Stats</v>
      </c>
      <c r="N829" s="5"/>
      <c r="O829" s="5"/>
      <c r="P829" s="142">
        <f>IFERROR(__xludf.DUMMYFUNCTION("""COMPUTED_VALUE"""),430334.03772749996)</f>
        <v>430334.0377</v>
      </c>
      <c r="Q829" s="5"/>
      <c r="R829" s="71">
        <f>IFERROR(__xludf.DUMMYFUNCTION("""COMPUTED_VALUE"""),1022.37)</f>
        <v>1022.37</v>
      </c>
      <c r="S829" s="142">
        <f>IFERROR(__xludf.DUMMYFUNCTION("""COMPUTED_VALUE"""),-400120.6018275)</f>
        <v>-400120.6018</v>
      </c>
      <c r="T829" s="5">
        <f>IFERROR(__xludf.DUMMYFUNCTION("""COMPUTED_VALUE"""),6.0)</f>
        <v>6</v>
      </c>
      <c r="U829" s="5" t="str">
        <f>IFERROR(__xludf.DUMMYFUNCTION("""COMPUTED_VALUE"""),"")</f>
        <v/>
      </c>
      <c r="V829" s="22" t="str">
        <f>IFERROR(__xludf.DUMMYFUNCTION("""COMPUTED_VALUE"""),"")</f>
        <v/>
      </c>
      <c r="W829" s="9" t="str">
        <f>IFERROR(__xludf.DUMMYFUNCTION("""COMPUTED_VALUE"""),"")</f>
        <v/>
      </c>
      <c r="X829" s="22" t="str">
        <f>IFERROR(__xludf.DUMMYFUNCTION("""COMPUTED_VALUE"""),"")</f>
        <v/>
      </c>
      <c r="Y829" s="22" t="str">
        <f>IFERROR(__xludf.DUMMYFUNCTION("""COMPUTED_VALUE"""),"")</f>
        <v/>
      </c>
      <c r="Z829" s="24" t="str">
        <f>IFERROR(__xludf.DUMMYFUNCTION("""COMPUTED_VALUE"""),"")</f>
        <v/>
      </c>
    </row>
    <row r="830">
      <c r="A830" s="5" t="str">
        <f>IFERROR(__xludf.DUMMYFUNCTION("""COMPUTED_VALUE"""),"")</f>
        <v/>
      </c>
      <c r="B830" s="5" t="str">
        <f>IFERROR(__xludf.DUMMYFUNCTION("""COMPUTED_VALUE"""),"75965")</f>
        <v>75965</v>
      </c>
      <c r="C830" s="9">
        <f>IFERROR(__xludf.DUMMYFUNCTION("""COMPUTED_VALUE"""),4.4649001005E10)</f>
        <v>44649001005</v>
      </c>
      <c r="D830" s="87" t="str">
        <f>IFERROR(__xludf.DUMMYFUNCTION("""COMPUTED_VALUE"""),"HYMC")</f>
        <v>HYMC</v>
      </c>
      <c r="E830" s="193">
        <f>IFERROR(__xludf.DUMMYFUNCTION("""COMPUTED_VALUE"""),44649.0)</f>
        <v>44649</v>
      </c>
      <c r="F830" s="5" t="str">
        <f>IFERROR(__xludf.DUMMYFUNCTION("""COMPUTED_VALUE"""),"Stock")</f>
        <v>Stock</v>
      </c>
      <c r="G830" s="5" t="str">
        <f>IFERROR(__xludf.DUMMYFUNCTION("""COMPUTED_VALUE"""),"USD")</f>
        <v>USD</v>
      </c>
      <c r="H830" s="22" t="str">
        <f>IFERROR(__xludf.DUMMYFUNCTION("""COMPUTED_VALUE"""),"")</f>
        <v/>
      </c>
      <c r="I830" s="194">
        <f>IFERROR(__xludf.DUMMYFUNCTION("""COMPUTED_VALUE"""),7.827315)</f>
        <v>7.827315</v>
      </c>
      <c r="J830" s="23">
        <f>IFERROR(__xludf.DUMMYFUNCTION("""COMPUTED_VALUE"""),2.59)</f>
        <v>2.59</v>
      </c>
      <c r="K830" s="5"/>
      <c r="L830" s="23">
        <f>IFERROR(__xludf.DUMMYFUNCTION("""COMPUTED_VALUE"""),2.18)</f>
        <v>2.18</v>
      </c>
      <c r="M830" s="195" t="str">
        <f>IFERROR(__xludf.DUMMYFUNCTION("""COMPUTED_VALUE"""),"Equity Key Stats")</f>
        <v>Equity Key Stats</v>
      </c>
      <c r="N830" s="5"/>
      <c r="O830" s="5"/>
      <c r="P830" s="142">
        <f>IFERROR(__xludf.DUMMYFUNCTION("""COMPUTED_VALUE"""),0.0)</f>
        <v>0</v>
      </c>
      <c r="Q830" s="5"/>
      <c r="R830" s="71">
        <f>IFERROR(__xludf.DUMMYFUNCTION("""COMPUTED_VALUE"""),2.18)</f>
        <v>2.18</v>
      </c>
      <c r="S830" s="142">
        <f>IFERROR(__xludf.DUMMYFUNCTION("""COMPUTED_VALUE"""),0.0)</f>
        <v>0</v>
      </c>
      <c r="T830" s="5">
        <f>IFERROR(__xludf.DUMMYFUNCTION("""COMPUTED_VALUE"""),1.0)</f>
        <v>1</v>
      </c>
      <c r="U830" s="5">
        <f>IFERROR(__xludf.DUMMYFUNCTION("""COMPUTED_VALUE"""),1.0)</f>
        <v>1</v>
      </c>
      <c r="V830" s="22">
        <f>IFERROR(__xludf.DUMMYFUNCTION("""COMPUTED_VALUE"""),0.0)</f>
        <v>0</v>
      </c>
      <c r="W830" s="9" t="str">
        <f>IFERROR(__xludf.DUMMYFUNCTION("""COMPUTED_VALUE"""),"")</f>
        <v/>
      </c>
      <c r="X830" s="22" t="str">
        <f>IFERROR(__xludf.DUMMYFUNCTION("""COMPUTED_VALUE"""),"")</f>
        <v/>
      </c>
      <c r="Y830" s="22" t="str">
        <f>IFERROR(__xludf.DUMMYFUNCTION("""COMPUTED_VALUE"""),"")</f>
        <v/>
      </c>
      <c r="Z830" s="24" t="str">
        <f>IFERROR(__xludf.DUMMYFUNCTION("""COMPUTED_VALUE"""),"")</f>
        <v/>
      </c>
    </row>
    <row r="831">
      <c r="A831" s="5" t="str">
        <f>IFERROR(__xludf.DUMMYFUNCTION("""COMPUTED_VALUE"""),"")</f>
        <v/>
      </c>
      <c r="B831" s="5" t="str">
        <f>IFERROR(__xludf.DUMMYFUNCTION("""COMPUTED_VALUE"""),"75965")</f>
        <v>75965</v>
      </c>
      <c r="C831" s="9">
        <f>IFERROR(__xludf.DUMMYFUNCTION("""COMPUTED_VALUE"""),4.4651001045E10)</f>
        <v>44651001045</v>
      </c>
      <c r="D831" s="87" t="str">
        <f>IFERROR(__xludf.DUMMYFUNCTION("""COMPUTED_VALUE"""),"MULN")</f>
        <v>MULN</v>
      </c>
      <c r="E831" s="193">
        <f>IFERROR(__xludf.DUMMYFUNCTION("""COMPUTED_VALUE"""),44651.0)</f>
        <v>44651</v>
      </c>
      <c r="F831" s="5" t="str">
        <f>IFERROR(__xludf.DUMMYFUNCTION("""COMPUTED_VALUE"""),"Stock")</f>
        <v>Stock</v>
      </c>
      <c r="G831" s="5" t="str">
        <f>IFERROR(__xludf.DUMMYFUNCTION("""COMPUTED_VALUE"""),"USD")</f>
        <v>USD</v>
      </c>
      <c r="H831" s="22">
        <f>IFERROR(__xludf.DUMMYFUNCTION("""COMPUTED_VALUE"""),-9900.0)</f>
        <v>-9900</v>
      </c>
      <c r="I831" s="194">
        <f>IFERROR(__xludf.DUMMYFUNCTION("""COMPUTED_VALUE"""),7.83335)</f>
        <v>7.83335</v>
      </c>
      <c r="J831" s="23">
        <f>IFERROR(__xludf.DUMMYFUNCTION("""COMPUTED_VALUE"""),2.98)</f>
        <v>2.98</v>
      </c>
      <c r="K831" s="5"/>
      <c r="L831" s="23">
        <f>IFERROR(__xludf.DUMMYFUNCTION("""COMPUTED_VALUE"""),2.4)</f>
        <v>2.4</v>
      </c>
      <c r="M831" s="195" t="str">
        <f>IFERROR(__xludf.DUMMYFUNCTION("""COMPUTED_VALUE"""),"Equity Key Stats")</f>
        <v>Equity Key Stats</v>
      </c>
      <c r="N831" s="5"/>
      <c r="O831" s="5"/>
      <c r="P831" s="142">
        <f>IFERROR(__xludf.DUMMYFUNCTION("""COMPUTED_VALUE"""),231099.4917)</f>
        <v>231099.4917</v>
      </c>
      <c r="Q831" s="5"/>
      <c r="R831" s="71">
        <f>IFERROR(__xludf.DUMMYFUNCTION("""COMPUTED_VALUE"""),2.4)</f>
        <v>2.4</v>
      </c>
      <c r="S831" s="142">
        <f>IFERROR(__xludf.DUMMYFUNCTION("""COMPUTED_VALUE"""),-186120.396)</f>
        <v>-186120.396</v>
      </c>
      <c r="T831" s="5">
        <f>IFERROR(__xludf.DUMMYFUNCTION("""COMPUTED_VALUE"""),3.0)</f>
        <v>3</v>
      </c>
      <c r="U831" s="5" t="str">
        <f>IFERROR(__xludf.DUMMYFUNCTION("""COMPUTED_VALUE"""),"")</f>
        <v/>
      </c>
      <c r="V831" s="22" t="str">
        <f>IFERROR(__xludf.DUMMYFUNCTION("""COMPUTED_VALUE"""),"")</f>
        <v/>
      </c>
      <c r="W831" s="9" t="str">
        <f>IFERROR(__xludf.DUMMYFUNCTION("""COMPUTED_VALUE"""),"")</f>
        <v/>
      </c>
      <c r="X831" s="22" t="str">
        <f>IFERROR(__xludf.DUMMYFUNCTION("""COMPUTED_VALUE"""),"")</f>
        <v/>
      </c>
      <c r="Y831" s="22" t="str">
        <f>IFERROR(__xludf.DUMMYFUNCTION("""COMPUTED_VALUE"""),"")</f>
        <v/>
      </c>
      <c r="Z831" s="24" t="str">
        <f>IFERROR(__xludf.DUMMYFUNCTION("""COMPUTED_VALUE"""),"")</f>
        <v/>
      </c>
    </row>
    <row r="832">
      <c r="A832" s="5" t="str">
        <f>IFERROR(__xludf.DUMMYFUNCTION("""COMPUTED_VALUE"""),"")</f>
        <v/>
      </c>
      <c r="B832" s="5" t="str">
        <f>IFERROR(__xludf.DUMMYFUNCTION("""COMPUTED_VALUE"""),"75965")</f>
        <v>75965</v>
      </c>
      <c r="C832" s="9">
        <f>IFERROR(__xludf.DUMMYFUNCTION("""COMPUTED_VALUE"""),4.4651001067E10)</f>
        <v>44651001067</v>
      </c>
      <c r="D832" s="87" t="str">
        <f>IFERROR(__xludf.DUMMYFUNCTION("""COMPUTED_VALUE"""),"MULN")</f>
        <v>MULN</v>
      </c>
      <c r="E832" s="193">
        <f>IFERROR(__xludf.DUMMYFUNCTION("""COMPUTED_VALUE"""),44651.0)</f>
        <v>44651</v>
      </c>
      <c r="F832" s="5" t="str">
        <f>IFERROR(__xludf.DUMMYFUNCTION("""COMPUTED_VALUE"""),"Stock")</f>
        <v>Stock</v>
      </c>
      <c r="G832" s="5" t="str">
        <f>IFERROR(__xludf.DUMMYFUNCTION("""COMPUTED_VALUE"""),"USD")</f>
        <v>USD</v>
      </c>
      <c r="H832" s="22">
        <f>IFERROR(__xludf.DUMMYFUNCTION("""COMPUTED_VALUE"""),-9900.0)</f>
        <v>-9900</v>
      </c>
      <c r="I832" s="194">
        <f>IFERROR(__xludf.DUMMYFUNCTION("""COMPUTED_VALUE"""),7.83335)</f>
        <v>7.83335</v>
      </c>
      <c r="J832" s="23">
        <f>IFERROR(__xludf.DUMMYFUNCTION("""COMPUTED_VALUE"""),2.98)</f>
        <v>2.98</v>
      </c>
      <c r="K832" s="5"/>
      <c r="L832" s="23">
        <f>IFERROR(__xludf.DUMMYFUNCTION("""COMPUTED_VALUE"""),2.4)</f>
        <v>2.4</v>
      </c>
      <c r="M832" s="195" t="str">
        <f>IFERROR(__xludf.DUMMYFUNCTION("""COMPUTED_VALUE"""),"Equity Key Stats")</f>
        <v>Equity Key Stats</v>
      </c>
      <c r="N832" s="5"/>
      <c r="O832" s="5"/>
      <c r="P832" s="142">
        <f>IFERROR(__xludf.DUMMYFUNCTION("""COMPUTED_VALUE"""),231099.4917)</f>
        <v>231099.4917</v>
      </c>
      <c r="Q832" s="5"/>
      <c r="R832" s="71">
        <f>IFERROR(__xludf.DUMMYFUNCTION("""COMPUTED_VALUE"""),2.4)</f>
        <v>2.4</v>
      </c>
      <c r="S832" s="142">
        <f>IFERROR(__xludf.DUMMYFUNCTION("""COMPUTED_VALUE"""),-186120.396)</f>
        <v>-186120.396</v>
      </c>
      <c r="T832" s="5">
        <f>IFERROR(__xludf.DUMMYFUNCTION("""COMPUTED_VALUE"""),3.0)</f>
        <v>3</v>
      </c>
      <c r="U832" s="5">
        <f>IFERROR(__xludf.DUMMYFUNCTION("""COMPUTED_VALUE"""),1.0)</f>
        <v>1</v>
      </c>
      <c r="V832" s="22">
        <f>IFERROR(__xludf.DUMMYFUNCTION("""COMPUTED_VALUE"""),86082.81164999999)</f>
        <v>86082.81165</v>
      </c>
      <c r="W832" s="9" t="str">
        <f>IFERROR(__xludf.DUMMYFUNCTION("""COMPUTED_VALUE"""),"")</f>
        <v/>
      </c>
      <c r="X832" s="22" t="str">
        <f>IFERROR(__xludf.DUMMYFUNCTION("""COMPUTED_VALUE"""),"")</f>
        <v/>
      </c>
      <c r="Y832" s="22" t="str">
        <f>IFERROR(__xludf.DUMMYFUNCTION("""COMPUTED_VALUE"""),"")</f>
        <v/>
      </c>
      <c r="Z832" s="24" t="str">
        <f>IFERROR(__xludf.DUMMYFUNCTION("""COMPUTED_VALUE"""),"")</f>
        <v/>
      </c>
    </row>
    <row r="833">
      <c r="A833" s="5" t="str">
        <f>IFERROR(__xludf.DUMMYFUNCTION("""COMPUTED_VALUE"""),"")</f>
        <v/>
      </c>
      <c r="B833" s="5" t="str">
        <f>IFERROR(__xludf.DUMMYFUNCTION("""COMPUTED_VALUE"""),"75965")</f>
        <v>75965</v>
      </c>
      <c r="C833" s="9">
        <f>IFERROR(__xludf.DUMMYFUNCTION("""COMPUTED_VALUE"""),4.4652001108E10)</f>
        <v>44652001108</v>
      </c>
      <c r="D833" s="87" t="str">
        <f>IFERROR(__xludf.DUMMYFUNCTION("""COMPUTED_VALUE"""),"AMC")</f>
        <v>AMC</v>
      </c>
      <c r="E833" s="193">
        <f>IFERROR(__xludf.DUMMYFUNCTION("""COMPUTED_VALUE"""),44652.0)</f>
        <v>44652</v>
      </c>
      <c r="F833" s="5" t="str">
        <f>IFERROR(__xludf.DUMMYFUNCTION("""COMPUTED_VALUE"""),"Stock")</f>
        <v>Stock</v>
      </c>
      <c r="G833" s="5" t="str">
        <f>IFERROR(__xludf.DUMMYFUNCTION("""COMPUTED_VALUE"""),"USD")</f>
        <v>USD</v>
      </c>
      <c r="H833" s="22" t="str">
        <f>IFERROR(__xludf.DUMMYFUNCTION("""COMPUTED_VALUE"""),"")</f>
        <v/>
      </c>
      <c r="I833" s="194">
        <f>IFERROR(__xludf.DUMMYFUNCTION("""COMPUTED_VALUE"""),7.833725)</f>
        <v>7.833725</v>
      </c>
      <c r="J833" s="23">
        <f>IFERROR(__xludf.DUMMYFUNCTION("""COMPUTED_VALUE"""),23.3)</f>
        <v>23.3</v>
      </c>
      <c r="K833" s="5"/>
      <c r="L833" s="23">
        <f>IFERROR(__xludf.DUMMYFUNCTION("""COMPUTED_VALUE"""),18.52)</f>
        <v>18.52</v>
      </c>
      <c r="M833" s="195" t="str">
        <f>IFERROR(__xludf.DUMMYFUNCTION("""COMPUTED_VALUE"""),"Equity Key Stats")</f>
        <v>Equity Key Stats</v>
      </c>
      <c r="N833" s="5"/>
      <c r="O833" s="5"/>
      <c r="P833" s="142">
        <f>IFERROR(__xludf.DUMMYFUNCTION("""COMPUTED_VALUE"""),0.0)</f>
        <v>0</v>
      </c>
      <c r="Q833" s="5"/>
      <c r="R833" s="71">
        <f>IFERROR(__xludf.DUMMYFUNCTION("""COMPUTED_VALUE"""),18.52)</f>
        <v>18.52</v>
      </c>
      <c r="S833" s="142">
        <f>IFERROR(__xludf.DUMMYFUNCTION("""COMPUTED_VALUE"""),0.0)</f>
        <v>0</v>
      </c>
      <c r="T833" s="5">
        <f>IFERROR(__xludf.DUMMYFUNCTION("""COMPUTED_VALUE"""),2.0)</f>
        <v>2</v>
      </c>
      <c r="U833" s="5" t="str">
        <f>IFERROR(__xludf.DUMMYFUNCTION("""COMPUTED_VALUE"""),"")</f>
        <v/>
      </c>
      <c r="V833" s="22" t="str">
        <f>IFERROR(__xludf.DUMMYFUNCTION("""COMPUTED_VALUE"""),"")</f>
        <v/>
      </c>
      <c r="W833" s="9" t="str">
        <f>IFERROR(__xludf.DUMMYFUNCTION("""COMPUTED_VALUE"""),"")</f>
        <v/>
      </c>
      <c r="X833" s="22" t="str">
        <f>IFERROR(__xludf.DUMMYFUNCTION("""COMPUTED_VALUE"""),"")</f>
        <v/>
      </c>
      <c r="Y833" s="22" t="str">
        <f>IFERROR(__xludf.DUMMYFUNCTION("""COMPUTED_VALUE"""),"")</f>
        <v/>
      </c>
      <c r="Z833" s="24" t="str">
        <f>IFERROR(__xludf.DUMMYFUNCTION("""COMPUTED_VALUE"""),"")</f>
        <v/>
      </c>
    </row>
    <row r="834">
      <c r="A834" s="5" t="str">
        <f>IFERROR(__xludf.DUMMYFUNCTION("""COMPUTED_VALUE"""),"")</f>
        <v/>
      </c>
      <c r="B834" s="5" t="str">
        <f>IFERROR(__xludf.DUMMYFUNCTION("""COMPUTED_VALUE"""),"75965")</f>
        <v>75965</v>
      </c>
      <c r="C834" s="9">
        <f>IFERROR(__xludf.DUMMYFUNCTION("""COMPUTED_VALUE"""),4.4655001129E10)</f>
        <v>44655001129</v>
      </c>
      <c r="D834" s="87" t="str">
        <f>IFERROR(__xludf.DUMMYFUNCTION("""COMPUTED_VALUE"""),"AMC")</f>
        <v>AMC</v>
      </c>
      <c r="E834" s="193">
        <f>IFERROR(__xludf.DUMMYFUNCTION("""COMPUTED_VALUE"""),44655.0)</f>
        <v>44655</v>
      </c>
      <c r="F834" s="5" t="str">
        <f>IFERROR(__xludf.DUMMYFUNCTION("""COMPUTED_VALUE"""),"Stock")</f>
        <v>Stock</v>
      </c>
      <c r="G834" s="5" t="str">
        <f>IFERROR(__xludf.DUMMYFUNCTION("""COMPUTED_VALUE"""),"USD")</f>
        <v>USD</v>
      </c>
      <c r="H834" s="22" t="str">
        <f>IFERROR(__xludf.DUMMYFUNCTION("""COMPUTED_VALUE"""),"")</f>
        <v/>
      </c>
      <c r="I834" s="194">
        <f>IFERROR(__xludf.DUMMYFUNCTION("""COMPUTED_VALUE"""),7.834585)</f>
        <v>7.834585</v>
      </c>
      <c r="J834" s="23">
        <f>IFERROR(__xludf.DUMMYFUNCTION("""COMPUTED_VALUE"""),23.31)</f>
        <v>23.31</v>
      </c>
      <c r="K834" s="5"/>
      <c r="L834" s="23">
        <f>IFERROR(__xludf.DUMMYFUNCTION("""COMPUTED_VALUE"""),18.52)</f>
        <v>18.52</v>
      </c>
      <c r="M834" s="195" t="str">
        <f>IFERROR(__xludf.DUMMYFUNCTION("""COMPUTED_VALUE"""),"Equity Key Stats")</f>
        <v>Equity Key Stats</v>
      </c>
      <c r="N834" s="5"/>
      <c r="O834" s="5"/>
      <c r="P834" s="142">
        <f>IFERROR(__xludf.DUMMYFUNCTION("""COMPUTED_VALUE"""),0.0)</f>
        <v>0</v>
      </c>
      <c r="Q834" s="5"/>
      <c r="R834" s="71">
        <f>IFERROR(__xludf.DUMMYFUNCTION("""COMPUTED_VALUE"""),18.52)</f>
        <v>18.52</v>
      </c>
      <c r="S834" s="142">
        <f>IFERROR(__xludf.DUMMYFUNCTION("""COMPUTED_VALUE"""),0.0)</f>
        <v>0</v>
      </c>
      <c r="T834" s="5">
        <f>IFERROR(__xludf.DUMMYFUNCTION("""COMPUTED_VALUE"""),2.0)</f>
        <v>2</v>
      </c>
      <c r="U834" s="5">
        <f>IFERROR(__xludf.DUMMYFUNCTION("""COMPUTED_VALUE"""),1.0)</f>
        <v>1</v>
      </c>
      <c r="V834" s="22">
        <f>IFERROR(__xludf.DUMMYFUNCTION("""COMPUTED_VALUE"""),0.0)</f>
        <v>0</v>
      </c>
      <c r="W834" s="9" t="str">
        <f>IFERROR(__xludf.DUMMYFUNCTION("""COMPUTED_VALUE"""),"")</f>
        <v/>
      </c>
      <c r="X834" s="22" t="str">
        <f>IFERROR(__xludf.DUMMYFUNCTION("""COMPUTED_VALUE"""),"")</f>
        <v/>
      </c>
      <c r="Y834" s="22" t="str">
        <f>IFERROR(__xludf.DUMMYFUNCTION("""COMPUTED_VALUE"""),"")</f>
        <v/>
      </c>
      <c r="Z834" s="24" t="str">
        <f>IFERROR(__xludf.DUMMYFUNCTION("""COMPUTED_VALUE"""),"")</f>
        <v/>
      </c>
    </row>
    <row r="835">
      <c r="A835" s="5" t="str">
        <f>IFERROR(__xludf.DUMMYFUNCTION("""COMPUTED_VALUE"""),"")</f>
        <v/>
      </c>
      <c r="B835" s="5" t="str">
        <f>IFERROR(__xludf.DUMMYFUNCTION("""COMPUTED_VALUE"""),"75965")</f>
        <v>75965</v>
      </c>
      <c r="C835" s="9">
        <f>IFERROR(__xludf.DUMMYFUNCTION("""COMPUTED_VALUE"""),4.4655001134E10)</f>
        <v>44655001134</v>
      </c>
      <c r="D835" s="87" t="str">
        <f>IFERROR(__xludf.DUMMYFUNCTION("""COMPUTED_VALUE"""),"TSLA")</f>
        <v>TSLA</v>
      </c>
      <c r="E835" s="193">
        <f>IFERROR(__xludf.DUMMYFUNCTION("""COMPUTED_VALUE"""),44655.0)</f>
        <v>44655</v>
      </c>
      <c r="F835" s="5" t="str">
        <f>IFERROR(__xludf.DUMMYFUNCTION("""COMPUTED_VALUE"""),"Stock")</f>
        <v>Stock</v>
      </c>
      <c r="G835" s="5" t="str">
        <f>IFERROR(__xludf.DUMMYFUNCTION("""COMPUTED_VALUE"""),"USD")</f>
        <v>USD</v>
      </c>
      <c r="H835" s="22" t="str">
        <f>IFERROR(__xludf.DUMMYFUNCTION("""COMPUTED_VALUE"""),"")</f>
        <v/>
      </c>
      <c r="I835" s="194">
        <f>IFERROR(__xludf.DUMMYFUNCTION("""COMPUTED_VALUE"""),7.834585)</f>
        <v>7.834585</v>
      </c>
      <c r="J835" s="23">
        <f>IFERROR(__xludf.DUMMYFUNCTION("""COMPUTED_VALUE"""),1145.45)</f>
        <v>1145.45</v>
      </c>
      <c r="K835" s="5"/>
      <c r="L835" s="23">
        <f>IFERROR(__xludf.DUMMYFUNCTION("""COMPUTED_VALUE"""),1022.37)</f>
        <v>1022.37</v>
      </c>
      <c r="M835" s="195" t="str">
        <f>IFERROR(__xludf.DUMMYFUNCTION("""COMPUTED_VALUE"""),"Equity Key Stats")</f>
        <v>Equity Key Stats</v>
      </c>
      <c r="N835" s="5"/>
      <c r="O835" s="5"/>
      <c r="P835" s="142">
        <f>IFERROR(__xludf.DUMMYFUNCTION("""COMPUTED_VALUE"""),0.0)</f>
        <v>0</v>
      </c>
      <c r="Q835" s="5"/>
      <c r="R835" s="71">
        <f>IFERROR(__xludf.DUMMYFUNCTION("""COMPUTED_VALUE"""),1022.37)</f>
        <v>1022.37</v>
      </c>
      <c r="S835" s="142">
        <f>IFERROR(__xludf.DUMMYFUNCTION("""COMPUTED_VALUE"""),0.0)</f>
        <v>0</v>
      </c>
      <c r="T835" s="5">
        <f>IFERROR(__xludf.DUMMYFUNCTION("""COMPUTED_VALUE"""),6.0)</f>
        <v>6</v>
      </c>
      <c r="U835" s="5" t="str">
        <f>IFERROR(__xludf.DUMMYFUNCTION("""COMPUTED_VALUE"""),"")</f>
        <v/>
      </c>
      <c r="V835" s="22" t="str">
        <f>IFERROR(__xludf.DUMMYFUNCTION("""COMPUTED_VALUE"""),"")</f>
        <v/>
      </c>
      <c r="W835" s="9" t="str">
        <f>IFERROR(__xludf.DUMMYFUNCTION("""COMPUTED_VALUE"""),"")</f>
        <v/>
      </c>
      <c r="X835" s="22" t="str">
        <f>IFERROR(__xludf.DUMMYFUNCTION("""COMPUTED_VALUE"""),"")</f>
        <v/>
      </c>
      <c r="Y835" s="22" t="str">
        <f>IFERROR(__xludf.DUMMYFUNCTION("""COMPUTED_VALUE"""),"")</f>
        <v/>
      </c>
      <c r="Z835" s="24" t="str">
        <f>IFERROR(__xludf.DUMMYFUNCTION("""COMPUTED_VALUE"""),"")</f>
        <v/>
      </c>
    </row>
    <row r="836">
      <c r="A836" s="5" t="str">
        <f>IFERROR(__xludf.DUMMYFUNCTION("""COMPUTED_VALUE"""),"")</f>
        <v/>
      </c>
      <c r="B836" s="5" t="str">
        <f>IFERROR(__xludf.DUMMYFUNCTION("""COMPUTED_VALUE"""),"75965")</f>
        <v>75965</v>
      </c>
      <c r="C836" s="9">
        <f>IFERROR(__xludf.DUMMYFUNCTION("""COMPUTED_VALUE"""),4.4656001136E10)</f>
        <v>44656001136</v>
      </c>
      <c r="D836" s="87" t="str">
        <f>IFERROR(__xludf.DUMMYFUNCTION("""COMPUTED_VALUE"""),"TSLA")</f>
        <v>TSLA</v>
      </c>
      <c r="E836" s="193">
        <f>IFERROR(__xludf.DUMMYFUNCTION("""COMPUTED_VALUE"""),44656.0)</f>
        <v>44656</v>
      </c>
      <c r="F836" s="5" t="str">
        <f>IFERROR(__xludf.DUMMYFUNCTION("""COMPUTED_VALUE"""),"Stock")</f>
        <v>Stock</v>
      </c>
      <c r="G836" s="5" t="str">
        <f>IFERROR(__xludf.DUMMYFUNCTION("""COMPUTED_VALUE"""),"USD")</f>
        <v>USD</v>
      </c>
      <c r="H836" s="22" t="str">
        <f>IFERROR(__xludf.DUMMYFUNCTION("""COMPUTED_VALUE"""),"")</f>
        <v/>
      </c>
      <c r="I836" s="194">
        <f>IFERROR(__xludf.DUMMYFUNCTION("""COMPUTED_VALUE"""),7.83386)</f>
        <v>7.83386</v>
      </c>
      <c r="J836" s="23">
        <f>IFERROR(__xludf.DUMMYFUNCTION("""COMPUTED_VALUE"""),1091.26)</f>
        <v>1091.26</v>
      </c>
      <c r="K836" s="5"/>
      <c r="L836" s="23">
        <f>IFERROR(__xludf.DUMMYFUNCTION("""COMPUTED_VALUE"""),1022.37)</f>
        <v>1022.37</v>
      </c>
      <c r="M836" s="195" t="str">
        <f>IFERROR(__xludf.DUMMYFUNCTION("""COMPUTED_VALUE"""),"Equity Key Stats")</f>
        <v>Equity Key Stats</v>
      </c>
      <c r="N836" s="5"/>
      <c r="O836" s="5"/>
      <c r="P836" s="142">
        <f>IFERROR(__xludf.DUMMYFUNCTION("""COMPUTED_VALUE"""),0.0)</f>
        <v>0</v>
      </c>
      <c r="Q836" s="5"/>
      <c r="R836" s="71">
        <f>IFERROR(__xludf.DUMMYFUNCTION("""COMPUTED_VALUE"""),1022.37)</f>
        <v>1022.37</v>
      </c>
      <c r="S836" s="142">
        <f>IFERROR(__xludf.DUMMYFUNCTION("""COMPUTED_VALUE"""),0.0)</f>
        <v>0</v>
      </c>
      <c r="T836" s="5">
        <f>IFERROR(__xludf.DUMMYFUNCTION("""COMPUTED_VALUE"""),6.0)</f>
        <v>6</v>
      </c>
      <c r="U836" s="5" t="str">
        <f>IFERROR(__xludf.DUMMYFUNCTION("""COMPUTED_VALUE"""),"")</f>
        <v/>
      </c>
      <c r="V836" s="22" t="str">
        <f>IFERROR(__xludf.DUMMYFUNCTION("""COMPUTED_VALUE"""),"")</f>
        <v/>
      </c>
      <c r="W836" s="9" t="str">
        <f>IFERROR(__xludf.DUMMYFUNCTION("""COMPUTED_VALUE"""),"")</f>
        <v/>
      </c>
      <c r="X836" s="22" t="str">
        <f>IFERROR(__xludf.DUMMYFUNCTION("""COMPUTED_VALUE"""),"")</f>
        <v/>
      </c>
      <c r="Y836" s="22" t="str">
        <f>IFERROR(__xludf.DUMMYFUNCTION("""COMPUTED_VALUE"""),"")</f>
        <v/>
      </c>
      <c r="Z836" s="24" t="str">
        <f>IFERROR(__xludf.DUMMYFUNCTION("""COMPUTED_VALUE"""),"")</f>
        <v/>
      </c>
    </row>
    <row r="837">
      <c r="A837" s="5" t="str">
        <f>IFERROR(__xludf.DUMMYFUNCTION("""COMPUTED_VALUE"""),"")</f>
        <v/>
      </c>
      <c r="B837" s="5" t="str">
        <f>IFERROR(__xludf.DUMMYFUNCTION("""COMPUTED_VALUE"""),"75965")</f>
        <v>75965</v>
      </c>
      <c r="C837" s="9">
        <f>IFERROR(__xludf.DUMMYFUNCTION("""COMPUTED_VALUE"""),4.465700117E10)</f>
        <v>44657001170</v>
      </c>
      <c r="D837" s="87" t="str">
        <f>IFERROR(__xludf.DUMMYFUNCTION("""COMPUTED_VALUE"""),"TSLA")</f>
        <v>TSLA</v>
      </c>
      <c r="E837" s="193">
        <f>IFERROR(__xludf.DUMMYFUNCTION("""COMPUTED_VALUE"""),44657.0)</f>
        <v>44657</v>
      </c>
      <c r="F837" s="5" t="str">
        <f>IFERROR(__xludf.DUMMYFUNCTION("""COMPUTED_VALUE"""),"Stock")</f>
        <v>Stock</v>
      </c>
      <c r="G837" s="5" t="str">
        <f>IFERROR(__xludf.DUMMYFUNCTION("""COMPUTED_VALUE"""),"USD")</f>
        <v>USD</v>
      </c>
      <c r="H837" s="22">
        <f>IFERROR(__xludf.DUMMYFUNCTION("""COMPUTED_VALUE"""),50.0)</f>
        <v>50</v>
      </c>
      <c r="I837" s="194">
        <f>IFERROR(__xludf.DUMMYFUNCTION("""COMPUTED_VALUE"""),7.837775)</f>
        <v>7.837775</v>
      </c>
      <c r="J837" s="23">
        <f>IFERROR(__xludf.DUMMYFUNCTION("""COMPUTED_VALUE"""),1045.76)</f>
        <v>1045.76</v>
      </c>
      <c r="K837" s="5"/>
      <c r="L837" s="23">
        <f>IFERROR(__xludf.DUMMYFUNCTION("""COMPUTED_VALUE"""),1022.37)</f>
        <v>1022.37</v>
      </c>
      <c r="M837" s="195" t="str">
        <f>IFERROR(__xludf.DUMMYFUNCTION("""COMPUTED_VALUE"""),"Equity Key Stats")</f>
        <v>Equity Key Stats</v>
      </c>
      <c r="N837" s="5"/>
      <c r="O837" s="5"/>
      <c r="P837" s="142">
        <f>IFERROR(__xludf.DUMMYFUNCTION("""COMPUTED_VALUE"""),-409821.5792)</f>
        <v>-409821.5792</v>
      </c>
      <c r="Q837" s="5"/>
      <c r="R837" s="71">
        <f>IFERROR(__xludf.DUMMYFUNCTION("""COMPUTED_VALUE"""),1022.37)</f>
        <v>1022.37</v>
      </c>
      <c r="S837" s="142">
        <f>IFERROR(__xludf.DUMMYFUNCTION("""COMPUTED_VALUE"""),400655.3013375)</f>
        <v>400655.3013</v>
      </c>
      <c r="T837" s="5">
        <f>IFERROR(__xludf.DUMMYFUNCTION("""COMPUTED_VALUE"""),6.0)</f>
        <v>6</v>
      </c>
      <c r="U837" s="5">
        <f>IFERROR(__xludf.DUMMYFUNCTION("""COMPUTED_VALUE"""),1.0)</f>
        <v>1</v>
      </c>
      <c r="V837" s="22">
        <f>IFERROR(__xludf.DUMMYFUNCTION("""COMPUTED_VALUE"""),119463.11206249997)</f>
        <v>119463.1121</v>
      </c>
      <c r="W837" s="9" t="str">
        <f>IFERROR(__xludf.DUMMYFUNCTION("""COMPUTED_VALUE"""),"")</f>
        <v/>
      </c>
      <c r="X837" s="22" t="str">
        <f>IFERROR(__xludf.DUMMYFUNCTION("""COMPUTED_VALUE"""),"")</f>
        <v/>
      </c>
      <c r="Y837" s="22" t="str">
        <f>IFERROR(__xludf.DUMMYFUNCTION("""COMPUTED_VALUE"""),"")</f>
        <v/>
      </c>
      <c r="Z837" s="24" t="str">
        <f>IFERROR(__xludf.DUMMYFUNCTION("""COMPUTED_VALUE"""),"")</f>
        <v/>
      </c>
    </row>
    <row r="838">
      <c r="A838" s="5" t="str">
        <f>IFERROR(__xludf.DUMMYFUNCTION("""COMPUTED_VALUE"""),"")</f>
        <v/>
      </c>
      <c r="B838" s="5" t="str">
        <f>IFERROR(__xludf.DUMMYFUNCTION("""COMPUTED_VALUE"""),"75965")</f>
        <v>75965</v>
      </c>
      <c r="C838" s="9">
        <f>IFERROR(__xludf.DUMMYFUNCTION("""COMPUTED_VALUE"""),4.4657001172E10)</f>
        <v>44657001172</v>
      </c>
      <c r="D838" s="87" t="str">
        <f>IFERROR(__xludf.DUMMYFUNCTION("""COMPUTED_VALUE"""),"Nio")</f>
        <v>Nio</v>
      </c>
      <c r="E838" s="193">
        <f>IFERROR(__xludf.DUMMYFUNCTION("""COMPUTED_VALUE"""),44657.0)</f>
        <v>44657</v>
      </c>
      <c r="F838" s="5" t="str">
        <f>IFERROR(__xludf.DUMMYFUNCTION("""COMPUTED_VALUE"""),"Stock")</f>
        <v>Stock</v>
      </c>
      <c r="G838" s="5" t="str">
        <f>IFERROR(__xludf.DUMMYFUNCTION("""COMPUTED_VALUE"""),"USD")</f>
        <v>USD</v>
      </c>
      <c r="H838" s="22">
        <f>IFERROR(__xludf.DUMMYFUNCTION("""COMPUTED_VALUE"""),3000.0)</f>
        <v>3000</v>
      </c>
      <c r="I838" s="194">
        <f>IFERROR(__xludf.DUMMYFUNCTION("""COMPUTED_VALUE"""),7.837775)</f>
        <v>7.837775</v>
      </c>
      <c r="J838" s="23">
        <f>IFERROR(__xludf.DUMMYFUNCTION("""COMPUTED_VALUE"""),21.68)</f>
        <v>21.68</v>
      </c>
      <c r="K838" s="5"/>
      <c r="L838" s="23">
        <f>IFERROR(__xludf.DUMMYFUNCTION("""COMPUTED_VALUE"""),20.41)</f>
        <v>20.41</v>
      </c>
      <c r="M838" s="195" t="str">
        <f>IFERROR(__xludf.DUMMYFUNCTION("""COMPUTED_VALUE"""),"Equity Key Stats")</f>
        <v>Equity Key Stats</v>
      </c>
      <c r="N838" s="5"/>
      <c r="O838" s="5"/>
      <c r="P838" s="142">
        <f>IFERROR(__xludf.DUMMYFUNCTION("""COMPUTED_VALUE"""),-509768.886)</f>
        <v>-509768.886</v>
      </c>
      <c r="Q838" s="5"/>
      <c r="R838" s="71">
        <f>IFERROR(__xludf.DUMMYFUNCTION("""COMPUTED_VALUE"""),20.41)</f>
        <v>20.41</v>
      </c>
      <c r="S838" s="142">
        <f>IFERROR(__xludf.DUMMYFUNCTION("""COMPUTED_VALUE"""),479906.96325000003)</f>
        <v>479906.9633</v>
      </c>
      <c r="T838" s="5">
        <f>IFERROR(__xludf.DUMMYFUNCTION("""COMPUTED_VALUE"""),1.0)</f>
        <v>1</v>
      </c>
      <c r="U838" s="5">
        <f>IFERROR(__xludf.DUMMYFUNCTION("""COMPUTED_VALUE"""),1.0)</f>
        <v>1</v>
      </c>
      <c r="V838" s="22">
        <f>IFERROR(__xludf.DUMMYFUNCTION("""COMPUTED_VALUE"""),-29861.92274999997)</f>
        <v>-29861.92275</v>
      </c>
      <c r="W838" s="9" t="str">
        <f>IFERROR(__xludf.DUMMYFUNCTION("""COMPUTED_VALUE"""),"")</f>
        <v/>
      </c>
      <c r="X838" s="22" t="str">
        <f>IFERROR(__xludf.DUMMYFUNCTION("""COMPUTED_VALUE"""),"")</f>
        <v/>
      </c>
      <c r="Y838" s="22" t="str">
        <f>IFERROR(__xludf.DUMMYFUNCTION("""COMPUTED_VALUE"""),"")</f>
        <v/>
      </c>
      <c r="Z838" s="24" t="str">
        <f>IFERROR(__xludf.DUMMYFUNCTION("""COMPUTED_VALUE"""),"")</f>
        <v/>
      </c>
    </row>
    <row r="839">
      <c r="A839" s="5" t="str">
        <f>IFERROR(__xludf.DUMMYFUNCTION("""COMPUTED_VALUE"""),"")</f>
        <v/>
      </c>
      <c r="B839" s="5" t="str">
        <f>IFERROR(__xludf.DUMMYFUNCTION("""COMPUTED_VALUE"""),"75965")</f>
        <v>75965</v>
      </c>
      <c r="C839" s="9">
        <f>IFERROR(__xludf.DUMMYFUNCTION("""COMPUTED_VALUE"""),4.4658001185E10)</f>
        <v>44658001185</v>
      </c>
      <c r="D839" s="87" t="str">
        <f>IFERROR(__xludf.DUMMYFUNCTION("""COMPUTED_VALUE"""),"TQqq")</f>
        <v>TQqq</v>
      </c>
      <c r="E839" s="193">
        <f>IFERROR(__xludf.DUMMYFUNCTION("""COMPUTED_VALUE"""),44658.0)</f>
        <v>44658</v>
      </c>
      <c r="F839" s="5" t="str">
        <f>IFERROR(__xludf.DUMMYFUNCTION("""COMPUTED_VALUE"""),"Stock")</f>
        <v>Stock</v>
      </c>
      <c r="G839" s="5" t="str">
        <f>IFERROR(__xludf.DUMMYFUNCTION("""COMPUTED_VALUE"""),"USD")</f>
        <v>USD</v>
      </c>
      <c r="H839" s="22" t="str">
        <f>IFERROR(__xludf.DUMMYFUNCTION("""COMPUTED_VALUE"""),"")</f>
        <v/>
      </c>
      <c r="I839" s="194">
        <f>IFERROR(__xludf.DUMMYFUNCTION("""COMPUTED_VALUE"""),7.836645)</f>
        <v>7.836645</v>
      </c>
      <c r="J839" s="23">
        <f>IFERROR(__xludf.DUMMYFUNCTION("""COMPUTED_VALUE"""),54.05)</f>
        <v>54.05</v>
      </c>
      <c r="K839" s="5"/>
      <c r="L839" s="23">
        <f>IFERROR(__xludf.DUMMYFUNCTION("""COMPUTED_VALUE"""),50.39)</f>
        <v>50.39</v>
      </c>
      <c r="M839" s="195" t="str">
        <f>IFERROR(__xludf.DUMMYFUNCTION("""COMPUTED_VALUE"""),"Equity Key Stats")</f>
        <v>Equity Key Stats</v>
      </c>
      <c r="N839" s="5"/>
      <c r="O839" s="5"/>
      <c r="P839" s="142">
        <f>IFERROR(__xludf.DUMMYFUNCTION("""COMPUTED_VALUE"""),0.0)</f>
        <v>0</v>
      </c>
      <c r="Q839" s="5"/>
      <c r="R839" s="71">
        <f>IFERROR(__xludf.DUMMYFUNCTION("""COMPUTED_VALUE"""),50.39)</f>
        <v>50.39</v>
      </c>
      <c r="S839" s="142">
        <f>IFERROR(__xludf.DUMMYFUNCTION("""COMPUTED_VALUE"""),0.0)</f>
        <v>0</v>
      </c>
      <c r="T839" s="5">
        <f>IFERROR(__xludf.DUMMYFUNCTION("""COMPUTED_VALUE"""),1.0)</f>
        <v>1</v>
      </c>
      <c r="U839" s="5">
        <f>IFERROR(__xludf.DUMMYFUNCTION("""COMPUTED_VALUE"""),1.0)</f>
        <v>1</v>
      </c>
      <c r="V839" s="22">
        <f>IFERROR(__xludf.DUMMYFUNCTION("""COMPUTED_VALUE"""),0.0)</f>
        <v>0</v>
      </c>
      <c r="W839" s="9" t="str">
        <f>IFERROR(__xludf.DUMMYFUNCTION("""COMPUTED_VALUE"""),"")</f>
        <v/>
      </c>
      <c r="X839" s="22" t="str">
        <f>IFERROR(__xludf.DUMMYFUNCTION("""COMPUTED_VALUE"""),"")</f>
        <v/>
      </c>
      <c r="Y839" s="22" t="str">
        <f>IFERROR(__xludf.DUMMYFUNCTION("""COMPUTED_VALUE"""),"")</f>
        <v/>
      </c>
      <c r="Z839" s="24" t="str">
        <f>IFERROR(__xludf.DUMMYFUNCTION("""COMPUTED_VALUE"""),"")</f>
        <v/>
      </c>
    </row>
    <row r="840">
      <c r="A840" s="5" t="str">
        <f>IFERROR(__xludf.DUMMYFUNCTION("""COMPUTED_VALUE"""),"")</f>
        <v/>
      </c>
      <c r="B840" s="5" t="str">
        <f>IFERROR(__xludf.DUMMYFUNCTION("""COMPUTED_VALUE"""),"75965")</f>
        <v>75965</v>
      </c>
      <c r="C840" s="9">
        <f>IFERROR(__xludf.DUMMYFUNCTION("""COMPUTED_VALUE"""),4.4658001186E10)</f>
        <v>44658001186</v>
      </c>
      <c r="D840" s="87" t="str">
        <f>IFERROR(__xludf.DUMMYFUNCTION("""COMPUTED_VALUE"""),"Soxl")</f>
        <v>Soxl</v>
      </c>
      <c r="E840" s="193">
        <f>IFERROR(__xludf.DUMMYFUNCTION("""COMPUTED_VALUE"""),44658.0)</f>
        <v>44658</v>
      </c>
      <c r="F840" s="5" t="str">
        <f>IFERROR(__xludf.DUMMYFUNCTION("""COMPUTED_VALUE"""),"Stock")</f>
        <v>Stock</v>
      </c>
      <c r="G840" s="5" t="str">
        <f>IFERROR(__xludf.DUMMYFUNCTION("""COMPUTED_VALUE"""),"USD")</f>
        <v>USD</v>
      </c>
      <c r="H840" s="22" t="str">
        <f>IFERROR(__xludf.DUMMYFUNCTION("""COMPUTED_VALUE"""),"")</f>
        <v/>
      </c>
      <c r="I840" s="194">
        <f>IFERROR(__xludf.DUMMYFUNCTION("""COMPUTED_VALUE"""),7.836645)</f>
        <v>7.836645</v>
      </c>
      <c r="J840" s="23">
        <f>IFERROR(__xludf.DUMMYFUNCTION("""COMPUTED_VALUE"""),30.5)</f>
        <v>30.5</v>
      </c>
      <c r="K840" s="5"/>
      <c r="L840" s="23">
        <f>IFERROR(__xludf.DUMMYFUNCTION("""COMPUTED_VALUE"""),28.05)</f>
        <v>28.05</v>
      </c>
      <c r="M840" s="195" t="str">
        <f>IFERROR(__xludf.DUMMYFUNCTION("""COMPUTED_VALUE"""),"Equity Key Stats")</f>
        <v>Equity Key Stats</v>
      </c>
      <c r="N840" s="5"/>
      <c r="O840" s="5"/>
      <c r="P840" s="142">
        <f>IFERROR(__xludf.DUMMYFUNCTION("""COMPUTED_VALUE"""),0.0)</f>
        <v>0</v>
      </c>
      <c r="Q840" s="5"/>
      <c r="R840" s="71">
        <f>IFERROR(__xludf.DUMMYFUNCTION("""COMPUTED_VALUE"""),28.05)</f>
        <v>28.05</v>
      </c>
      <c r="S840" s="142">
        <f>IFERROR(__xludf.DUMMYFUNCTION("""COMPUTED_VALUE"""),0.0)</f>
        <v>0</v>
      </c>
      <c r="T840" s="5">
        <f>IFERROR(__xludf.DUMMYFUNCTION("""COMPUTED_VALUE"""),1.0)</f>
        <v>1</v>
      </c>
      <c r="U840" s="5">
        <f>IFERROR(__xludf.DUMMYFUNCTION("""COMPUTED_VALUE"""),1.0)</f>
        <v>1</v>
      </c>
      <c r="V840" s="22">
        <f>IFERROR(__xludf.DUMMYFUNCTION("""COMPUTED_VALUE"""),0.0)</f>
        <v>0</v>
      </c>
      <c r="W840" s="9" t="str">
        <f>IFERROR(__xludf.DUMMYFUNCTION("""COMPUTED_VALUE"""),"")</f>
        <v/>
      </c>
      <c r="X840" s="22" t="str">
        <f>IFERROR(__xludf.DUMMYFUNCTION("""COMPUTED_VALUE"""),"")</f>
        <v/>
      </c>
      <c r="Y840" s="22" t="str">
        <f>IFERROR(__xludf.DUMMYFUNCTION("""COMPUTED_VALUE"""),"")</f>
        <v/>
      </c>
      <c r="Z840" s="24" t="str">
        <f>IFERROR(__xludf.DUMMYFUNCTION("""COMPUTED_VALUE"""),"")</f>
        <v/>
      </c>
    </row>
    <row r="841">
      <c r="A841" s="5" t="str">
        <f>IFERROR(__xludf.DUMMYFUNCTION("""COMPUTED_VALUE"""),"")</f>
        <v/>
      </c>
      <c r="B841" s="5" t="str">
        <f>IFERROR(__xludf.DUMMYFUNCTION("""COMPUTED_VALUE"""),"75965")</f>
        <v>75965</v>
      </c>
      <c r="C841" s="9">
        <f>IFERROR(__xludf.DUMMYFUNCTION("""COMPUTED_VALUE"""),4.4658001198E10)</f>
        <v>44658001198</v>
      </c>
      <c r="D841" s="85" t="str">
        <f>IFERROR(__xludf.DUMMYFUNCTION("""COMPUTED_VALUE"""),"SOXL220414C00028000")</f>
        <v>SOXL220414C00028000</v>
      </c>
      <c r="E841" s="193">
        <f>IFERROR(__xludf.DUMMYFUNCTION("""COMPUTED_VALUE"""),44658.0)</f>
        <v>44658</v>
      </c>
      <c r="F841" s="5" t="str">
        <f>IFERROR(__xludf.DUMMYFUNCTION("""COMPUTED_VALUE"""),"Option")</f>
        <v>Option</v>
      </c>
      <c r="G841" s="5" t="str">
        <f>IFERROR(__xludf.DUMMYFUNCTION("""COMPUTED_VALUE"""),"USD")</f>
        <v>USD</v>
      </c>
      <c r="H841" s="22" t="str">
        <f>IFERROR(__xludf.DUMMYFUNCTION("""COMPUTED_VALUE"""),"")</f>
        <v/>
      </c>
      <c r="I841" s="194">
        <f>IFERROR(__xludf.DUMMYFUNCTION("""COMPUTED_VALUE"""),7.836645)</f>
        <v>7.836645</v>
      </c>
      <c r="J841" s="23">
        <f>IFERROR(__xludf.DUMMYFUNCTION("""COMPUTED_VALUE"""),0.95)</f>
        <v>0.95</v>
      </c>
      <c r="K841" s="5"/>
      <c r="L841" s="23">
        <f>IFERROR(__xludf.DUMMYFUNCTION("""COMPUTED_VALUE"""),0.82)</f>
        <v>0.82</v>
      </c>
      <c r="M841" s="25" t="str">
        <f>IFERROR(__xludf.DUMMYFUNCTION("""COMPUTED_VALUE"""),"")</f>
        <v/>
      </c>
      <c r="N841" s="5"/>
      <c r="O841" s="5"/>
      <c r="P841" s="142">
        <f>IFERROR(__xludf.DUMMYFUNCTION("""COMPUTED_VALUE"""),0.0)</f>
        <v>0</v>
      </c>
      <c r="Q841" s="5"/>
      <c r="R841" s="71">
        <f>IFERROR(__xludf.DUMMYFUNCTION("""COMPUTED_VALUE"""),0.82)</f>
        <v>0.82</v>
      </c>
      <c r="S841" s="142">
        <f>IFERROR(__xludf.DUMMYFUNCTION("""COMPUTED_VALUE"""),0.0)</f>
        <v>0</v>
      </c>
      <c r="T841" s="5">
        <f>IFERROR(__xludf.DUMMYFUNCTION("""COMPUTED_VALUE"""),1.0)</f>
        <v>1</v>
      </c>
      <c r="U841" s="5">
        <f>IFERROR(__xludf.DUMMYFUNCTION("""COMPUTED_VALUE"""),1.0)</f>
        <v>1</v>
      </c>
      <c r="V841" s="22">
        <f>IFERROR(__xludf.DUMMYFUNCTION("""COMPUTED_VALUE"""),0.0)</f>
        <v>0</v>
      </c>
      <c r="W841" s="9" t="str">
        <f>IFERROR(__xludf.DUMMYFUNCTION("""COMPUTED_VALUE"""),"")</f>
        <v/>
      </c>
      <c r="X841" s="22" t="str">
        <f>IFERROR(__xludf.DUMMYFUNCTION("""COMPUTED_VALUE"""),"")</f>
        <v/>
      </c>
      <c r="Y841" s="22" t="str">
        <f>IFERROR(__xludf.DUMMYFUNCTION("""COMPUTED_VALUE"""),"")</f>
        <v/>
      </c>
      <c r="Z841" s="24" t="str">
        <f>IFERROR(__xludf.DUMMYFUNCTION("""COMPUTED_VALUE"""),"")</f>
        <v/>
      </c>
    </row>
    <row r="842">
      <c r="A842" s="5" t="str">
        <f>IFERROR(__xludf.DUMMYFUNCTION("""COMPUTED_VALUE"""),"75965")</f>
        <v>75965</v>
      </c>
      <c r="B842" s="5" t="str">
        <f>IFERROR(__xludf.DUMMYFUNCTION("""COMPUTED_VALUE"""),"75965")</f>
        <v>75965</v>
      </c>
      <c r="C842" s="9">
        <f>IFERROR(__xludf.DUMMYFUNCTION("""COMPUTED_VALUE"""),4.465900121E10)</f>
        <v>44659001210</v>
      </c>
      <c r="D842" s="91" t="str">
        <f>IFERROR(__xludf.DUMMYFUNCTION("""COMPUTED_VALUE"""),"6185.HK")</f>
        <v>6185.HK</v>
      </c>
      <c r="E842" s="193">
        <f>IFERROR(__xludf.DUMMYFUNCTION("""COMPUTED_VALUE"""),44659.0)</f>
        <v>44659</v>
      </c>
      <c r="F842" s="5" t="str">
        <f>IFERROR(__xludf.DUMMYFUNCTION("""COMPUTED_VALUE"""),"Stock")</f>
        <v>Stock</v>
      </c>
      <c r="G842" s="5" t="str">
        <f>IFERROR(__xludf.DUMMYFUNCTION("""COMPUTED_VALUE"""),"HKD")</f>
        <v>HKD</v>
      </c>
      <c r="H842" s="22" t="str">
        <f>IFERROR(__xludf.DUMMYFUNCTION("""COMPUTED_VALUE"""),"")</f>
        <v/>
      </c>
      <c r="I842" s="194">
        <f>IFERROR(__xludf.DUMMYFUNCTION("""COMPUTED_VALUE"""),1.0)</f>
        <v>1</v>
      </c>
      <c r="J842" s="23">
        <f>IFERROR(__xludf.DUMMYFUNCTION("""COMPUTED_VALUE"""),111.6)</f>
        <v>111.6</v>
      </c>
      <c r="K842" s="5"/>
      <c r="L842" s="23">
        <f>IFERROR(__xludf.DUMMYFUNCTION("""COMPUTED_VALUE"""),103.7)</f>
        <v>103.7</v>
      </c>
      <c r="M842" s="195" t="str">
        <f>IFERROR(__xludf.DUMMYFUNCTION("""COMPUTED_VALUE"""),"Equity Key Stats")</f>
        <v>Equity Key Stats</v>
      </c>
      <c r="N842" s="5"/>
      <c r="O842" s="5"/>
      <c r="P842" s="142">
        <f>IFERROR(__xludf.DUMMYFUNCTION("""COMPUTED_VALUE"""),0.0)</f>
        <v>0</v>
      </c>
      <c r="Q842" s="5"/>
      <c r="R842" s="71">
        <f>IFERROR(__xludf.DUMMYFUNCTION("""COMPUTED_VALUE"""),103.7)</f>
        <v>103.7</v>
      </c>
      <c r="S842" s="142">
        <f>IFERROR(__xludf.DUMMYFUNCTION("""COMPUTED_VALUE"""),0.0)</f>
        <v>0</v>
      </c>
      <c r="T842" s="5">
        <f>IFERROR(__xludf.DUMMYFUNCTION("""COMPUTED_VALUE"""),1.0)</f>
        <v>1</v>
      </c>
      <c r="U842" s="5">
        <f>IFERROR(__xludf.DUMMYFUNCTION("""COMPUTED_VALUE"""),1.0)</f>
        <v>1</v>
      </c>
      <c r="V842" s="22">
        <f>IFERROR(__xludf.DUMMYFUNCTION("""COMPUTED_VALUE"""),0.0)</f>
        <v>0</v>
      </c>
      <c r="W842" s="9">
        <f>IFERROR(__xludf.DUMMYFUNCTION("""COMPUTED_VALUE"""),684138.0155125)</f>
        <v>684138.0155</v>
      </c>
      <c r="X842" s="22">
        <f>IFERROR(__xludf.DUMMYFUNCTION("""COMPUTED_VALUE"""),-246132.6484525)</f>
        <v>-246132.6485</v>
      </c>
      <c r="Y842" s="22">
        <f>IFERROR(__xludf.DUMMYFUNCTION("""COMPUTED_VALUE"""),246132.6484525)</f>
        <v>246132.6485</v>
      </c>
      <c r="Z842" s="24">
        <f>IFERROR(__xludf.DUMMYFUNCTION("""COMPUTED_VALUE"""),0.36827603102499995)</f>
        <v>0.368276031</v>
      </c>
    </row>
    <row r="843">
      <c r="A843" s="5" t="str">
        <f>IFERROR(__xludf.DUMMYFUNCTION("""COMPUTED_VALUE"""),"")</f>
        <v/>
      </c>
      <c r="B843" s="5" t="str">
        <f>IFERROR(__xludf.DUMMYFUNCTION("""COMPUTED_VALUE"""),"75973")</f>
        <v>75973</v>
      </c>
      <c r="C843" s="9">
        <f>IFERROR(__xludf.DUMMYFUNCTION("""COMPUTED_VALUE"""),4.4597000115E10)</f>
        <v>44597000115</v>
      </c>
      <c r="D843" s="85" t="str">
        <f>IFERROR(__xludf.DUMMYFUNCTION("""COMPUTED_VALUE"""),"Cash")</f>
        <v>Cash</v>
      </c>
      <c r="E843" s="193">
        <f>IFERROR(__xludf.DUMMYFUNCTION("""COMPUTED_VALUE"""),44597.0)</f>
        <v>44597</v>
      </c>
      <c r="F843" s="5" t="str">
        <f>IFERROR(__xludf.DUMMYFUNCTION("""COMPUTED_VALUE"""),"Cash")</f>
        <v>Cash</v>
      </c>
      <c r="G843" s="5" t="str">
        <f>IFERROR(__xludf.DUMMYFUNCTION("""COMPUTED_VALUE"""),"HKD")</f>
        <v>HKD</v>
      </c>
      <c r="H843" s="22" t="str">
        <f>IFERROR(__xludf.DUMMYFUNCTION("""COMPUTED_VALUE"""),"")</f>
        <v/>
      </c>
      <c r="I843" s="194">
        <f>IFERROR(__xludf.DUMMYFUNCTION("""COMPUTED_VALUE"""),1.0)</f>
        <v>1</v>
      </c>
      <c r="J843" s="5">
        <f>IFERROR(__xludf.DUMMYFUNCTION("""COMPUTED_VALUE"""),1.0)</f>
        <v>1</v>
      </c>
      <c r="K843" s="5"/>
      <c r="L843" s="23">
        <f>IFERROR(__xludf.DUMMYFUNCTION("""COMPUTED_VALUE"""),1.0)</f>
        <v>1</v>
      </c>
      <c r="M843" s="25" t="str">
        <f>IFERROR(__xludf.DUMMYFUNCTION("""COMPUTED_VALUE"""),"")</f>
        <v/>
      </c>
      <c r="N843" s="5"/>
      <c r="O843" s="5"/>
      <c r="P843" s="142">
        <f>IFERROR(__xludf.DUMMYFUNCTION("""COMPUTED_VALUE"""),500000.0)</f>
        <v>500000</v>
      </c>
      <c r="Q843" s="5"/>
      <c r="R843" s="71">
        <f>IFERROR(__xludf.DUMMYFUNCTION("""COMPUTED_VALUE"""),1.0)</f>
        <v>1</v>
      </c>
      <c r="S843" s="142" t="str">
        <f>IFERROR(__xludf.DUMMYFUNCTION("""COMPUTED_VALUE"""),"")</f>
        <v/>
      </c>
      <c r="T843" s="5">
        <f>IFERROR(__xludf.DUMMYFUNCTION("""COMPUTED_VALUE"""),1.0)</f>
        <v>1</v>
      </c>
      <c r="U843" s="5">
        <f>IFERROR(__xludf.DUMMYFUNCTION("""COMPUTED_VALUE"""),1.0)</f>
        <v>1</v>
      </c>
      <c r="V843" s="22">
        <f>IFERROR(__xludf.DUMMYFUNCTION("""COMPUTED_VALUE"""),500000.0)</f>
        <v>500000</v>
      </c>
      <c r="W843" s="9" t="str">
        <f>IFERROR(__xludf.DUMMYFUNCTION("""COMPUTED_VALUE"""),"")</f>
        <v/>
      </c>
      <c r="X843" s="22" t="str">
        <f>IFERROR(__xludf.DUMMYFUNCTION("""COMPUTED_VALUE"""),"")</f>
        <v/>
      </c>
      <c r="Y843" s="22" t="str">
        <f>IFERROR(__xludf.DUMMYFUNCTION("""COMPUTED_VALUE"""),"")</f>
        <v/>
      </c>
      <c r="Z843" s="24" t="str">
        <f>IFERROR(__xludf.DUMMYFUNCTION("""COMPUTED_VALUE"""),"")</f>
        <v/>
      </c>
    </row>
    <row r="844">
      <c r="A844" s="5" t="str">
        <f>IFERROR(__xludf.DUMMYFUNCTION("""COMPUTED_VALUE"""),"")</f>
        <v/>
      </c>
      <c r="B844" s="5" t="str">
        <f>IFERROR(__xludf.DUMMYFUNCTION("""COMPUTED_VALUE"""),"75973")</f>
        <v>75973</v>
      </c>
      <c r="C844" s="9">
        <f>IFERROR(__xludf.DUMMYFUNCTION("""COMPUTED_VALUE"""),4.4643000826E10)</f>
        <v>44643000826</v>
      </c>
      <c r="D844" s="87" t="str">
        <f>IFERROR(__xludf.DUMMYFUNCTION("""COMPUTED_VALUE"""),"XS1974522853")</f>
        <v>XS1974522853</v>
      </c>
      <c r="E844" s="193">
        <f>IFERROR(__xludf.DUMMYFUNCTION("""COMPUTED_VALUE"""),44643.0)</f>
        <v>44643</v>
      </c>
      <c r="F844" s="5" t="str">
        <f>IFERROR(__xludf.DUMMYFUNCTION("""COMPUTED_VALUE"""),"Bond")</f>
        <v>Bond</v>
      </c>
      <c r="G844" s="5" t="str">
        <f>IFERROR(__xludf.DUMMYFUNCTION("""COMPUTED_VALUE"""),"USD")</f>
        <v>USD</v>
      </c>
      <c r="H844" s="22">
        <f>IFERROR(__xludf.DUMMYFUNCTION("""COMPUTED_VALUE"""),17.0)</f>
        <v>17</v>
      </c>
      <c r="I844" s="194">
        <f>IFERROR(__xludf.DUMMYFUNCTION("""COMPUTED_VALUE"""),7.823645)</f>
        <v>7.823645</v>
      </c>
      <c r="J844" s="23">
        <f>IFERROR(__xludf.DUMMYFUNCTION("""COMPUTED_VALUE"""),69.563)</f>
        <v>69.563</v>
      </c>
      <c r="K844" s="5"/>
      <c r="L844" s="23">
        <f>IFERROR(__xludf.DUMMYFUNCTION("""COMPUTED_VALUE"""),81.732)</f>
        <v>81.732</v>
      </c>
      <c r="M844" s="195" t="str">
        <f>IFERROR(__xludf.DUMMYFUNCTION("""COMPUTED_VALUE"""),"Bond Fact Sheet")</f>
        <v>Bond Fact Sheet</v>
      </c>
      <c r="N844" s="5"/>
      <c r="O844" s="5"/>
      <c r="P844" s="142">
        <f>IFERROR(__xludf.DUMMYFUNCTION("""COMPUTED_VALUE"""),-9252.015691295)</f>
        <v>-9252.015691</v>
      </c>
      <c r="Q844" s="5"/>
      <c r="R844" s="71">
        <f>IFERROR(__xludf.DUMMYFUNCTION("""COMPUTED_VALUE"""),80.70349999999999)</f>
        <v>80.7035</v>
      </c>
      <c r="S844" s="142">
        <f>IFERROR(__xludf.DUMMYFUNCTION("""COMPUTED_VALUE"""),10733.7240823775)</f>
        <v>10733.72408</v>
      </c>
      <c r="T844" s="5">
        <f>IFERROR(__xludf.DUMMYFUNCTION("""COMPUTED_VALUE"""),1.0)</f>
        <v>1</v>
      </c>
      <c r="U844" s="5">
        <f>IFERROR(__xludf.DUMMYFUNCTION("""COMPUTED_VALUE"""),1.0)</f>
        <v>1</v>
      </c>
      <c r="V844" s="22">
        <f>IFERROR(__xludf.DUMMYFUNCTION("""COMPUTED_VALUE"""),1481.7083910824986)</f>
        <v>1481.708391</v>
      </c>
      <c r="W844" s="9" t="str">
        <f>IFERROR(__xludf.DUMMYFUNCTION("""COMPUTED_VALUE"""),"")</f>
        <v/>
      </c>
      <c r="X844" s="22" t="str">
        <f>IFERROR(__xludf.DUMMYFUNCTION("""COMPUTED_VALUE"""),"")</f>
        <v/>
      </c>
      <c r="Y844" s="22" t="str">
        <f>IFERROR(__xludf.DUMMYFUNCTION("""COMPUTED_VALUE"""),"")</f>
        <v/>
      </c>
      <c r="Z844" s="24" t="str">
        <f>IFERROR(__xludf.DUMMYFUNCTION("""COMPUTED_VALUE"""),"")</f>
        <v/>
      </c>
    </row>
    <row r="845">
      <c r="A845" s="5" t="str">
        <f>IFERROR(__xludf.DUMMYFUNCTION("""COMPUTED_VALUE"""),"")</f>
        <v/>
      </c>
      <c r="B845" s="5" t="str">
        <f>IFERROR(__xludf.DUMMYFUNCTION("""COMPUTED_VALUE"""),"75973")</f>
        <v>75973</v>
      </c>
      <c r="C845" s="9">
        <f>IFERROR(__xludf.DUMMYFUNCTION("""COMPUTED_VALUE"""),4.4644000838E10)</f>
        <v>44644000838</v>
      </c>
      <c r="D845" s="90" t="str">
        <f>IFERROR(__xludf.DUMMYFUNCTION("""COMPUTED_VALUE"""),"600519.SS")</f>
        <v>600519.SS</v>
      </c>
      <c r="E845" s="193">
        <f>IFERROR(__xludf.DUMMYFUNCTION("""COMPUTED_VALUE"""),44644.0)</f>
        <v>44644</v>
      </c>
      <c r="F845" s="5" t="str">
        <f>IFERROR(__xludf.DUMMYFUNCTION("""COMPUTED_VALUE"""),"Stock")</f>
        <v>Stock</v>
      </c>
      <c r="G845" s="5" t="str">
        <f>IFERROR(__xludf.DUMMYFUNCTION("""COMPUTED_VALUE"""),"CNY")</f>
        <v>CNY</v>
      </c>
      <c r="H845" s="22">
        <f>IFERROR(__xludf.DUMMYFUNCTION("""COMPUTED_VALUE"""),20.0)</f>
        <v>20</v>
      </c>
      <c r="I845" s="194">
        <f>IFERROR(__xludf.DUMMYFUNCTION("""COMPUTED_VALUE"""),1.228618)</f>
        <v>1.228618</v>
      </c>
      <c r="J845" s="23">
        <f>IFERROR(__xludf.DUMMYFUNCTION("""COMPUTED_VALUE"""),1720.93)</f>
        <v>1720.93</v>
      </c>
      <c r="K845" s="5"/>
      <c r="L845" s="23">
        <f>IFERROR(__xludf.DUMMYFUNCTION("""COMPUTED_VALUE"""),1769.0)</f>
        <v>1769</v>
      </c>
      <c r="M845" s="195" t="str">
        <f>IFERROR(__xludf.DUMMYFUNCTION("""COMPUTED_VALUE"""),"Equity Key Stats")</f>
        <v>Equity Key Stats</v>
      </c>
      <c r="N845" s="5"/>
      <c r="O845" s="5"/>
      <c r="P845" s="142">
        <f>IFERROR(__xludf.DUMMYFUNCTION("""COMPUTED_VALUE"""),-42287.3114948)</f>
        <v>-42287.31149</v>
      </c>
      <c r="Q845" s="5"/>
      <c r="R845" s="71">
        <f>IFERROR(__xludf.DUMMYFUNCTION("""COMPUTED_VALUE"""),1769.0)</f>
        <v>1769</v>
      </c>
      <c r="S845" s="142">
        <f>IFERROR(__xludf.DUMMYFUNCTION("""COMPUTED_VALUE"""),43468.50484)</f>
        <v>43468.50484</v>
      </c>
      <c r="T845" s="5">
        <f>IFERROR(__xludf.DUMMYFUNCTION("""COMPUTED_VALUE"""),2.0)</f>
        <v>2</v>
      </c>
      <c r="U845" s="5" t="str">
        <f>IFERROR(__xludf.DUMMYFUNCTION("""COMPUTED_VALUE"""),"")</f>
        <v/>
      </c>
      <c r="V845" s="22" t="str">
        <f>IFERROR(__xludf.DUMMYFUNCTION("""COMPUTED_VALUE"""),"")</f>
        <v/>
      </c>
      <c r="W845" s="9" t="str">
        <f>IFERROR(__xludf.DUMMYFUNCTION("""COMPUTED_VALUE"""),"")</f>
        <v/>
      </c>
      <c r="X845" s="22" t="str">
        <f>IFERROR(__xludf.DUMMYFUNCTION("""COMPUTED_VALUE"""),"")</f>
        <v/>
      </c>
      <c r="Y845" s="22" t="str">
        <f>IFERROR(__xludf.DUMMYFUNCTION("""COMPUTED_VALUE"""),"")</f>
        <v/>
      </c>
      <c r="Z845" s="24" t="str">
        <f>IFERROR(__xludf.DUMMYFUNCTION("""COMPUTED_VALUE"""),"")</f>
        <v/>
      </c>
    </row>
    <row r="846">
      <c r="A846" s="5" t="str">
        <f>IFERROR(__xludf.DUMMYFUNCTION("""COMPUTED_VALUE"""),"")</f>
        <v/>
      </c>
      <c r="B846" s="5" t="str">
        <f>IFERROR(__xludf.DUMMYFUNCTION("""COMPUTED_VALUE"""),"75973")</f>
        <v>75973</v>
      </c>
      <c r="C846" s="9">
        <f>IFERROR(__xludf.DUMMYFUNCTION("""COMPUTED_VALUE"""),4.4644000839E10)</f>
        <v>44644000839</v>
      </c>
      <c r="D846" s="90" t="str">
        <f>IFERROR(__xludf.DUMMYFUNCTION("""COMPUTED_VALUE"""),"1211.HK")</f>
        <v>1211.HK</v>
      </c>
      <c r="E846" s="193">
        <f>IFERROR(__xludf.DUMMYFUNCTION("""COMPUTED_VALUE"""),44644.0)</f>
        <v>44644</v>
      </c>
      <c r="F846" s="5" t="str">
        <f>IFERROR(__xludf.DUMMYFUNCTION("""COMPUTED_VALUE"""),"Stock")</f>
        <v>Stock</v>
      </c>
      <c r="G846" s="5" t="str">
        <f>IFERROR(__xludf.DUMMYFUNCTION("""COMPUTED_VALUE"""),"HKD")</f>
        <v>HKD</v>
      </c>
      <c r="H846" s="22">
        <f>IFERROR(__xludf.DUMMYFUNCTION("""COMPUTED_VALUE"""),2000.0)</f>
        <v>2000</v>
      </c>
      <c r="I846" s="194">
        <f>IFERROR(__xludf.DUMMYFUNCTION("""COMPUTED_VALUE"""),1.0)</f>
        <v>1</v>
      </c>
      <c r="J846" s="23">
        <f>IFERROR(__xludf.DUMMYFUNCTION("""COMPUTED_VALUE"""),225.2)</f>
        <v>225.2</v>
      </c>
      <c r="K846" s="5"/>
      <c r="L846" s="23">
        <f>IFERROR(__xludf.DUMMYFUNCTION("""COMPUTED_VALUE"""),229.0)</f>
        <v>229</v>
      </c>
      <c r="M846" s="195" t="str">
        <f>IFERROR(__xludf.DUMMYFUNCTION("""COMPUTED_VALUE"""),"Equity Key Stats")</f>
        <v>Equity Key Stats</v>
      </c>
      <c r="N846" s="5"/>
      <c r="O846" s="5"/>
      <c r="P846" s="142">
        <f>IFERROR(__xludf.DUMMYFUNCTION("""COMPUTED_VALUE"""),-450400.0)</f>
        <v>-450400</v>
      </c>
      <c r="Q846" s="5"/>
      <c r="R846" s="71">
        <f>IFERROR(__xludf.DUMMYFUNCTION("""COMPUTED_VALUE"""),229.0)</f>
        <v>229</v>
      </c>
      <c r="S846" s="142">
        <f>IFERROR(__xludf.DUMMYFUNCTION("""COMPUTED_VALUE"""),458000.0)</f>
        <v>458000</v>
      </c>
      <c r="T846" s="5">
        <f>IFERROR(__xludf.DUMMYFUNCTION("""COMPUTED_VALUE"""),1.0)</f>
        <v>1</v>
      </c>
      <c r="U846" s="5">
        <f>IFERROR(__xludf.DUMMYFUNCTION("""COMPUTED_VALUE"""),1.0)</f>
        <v>1</v>
      </c>
      <c r="V846" s="22">
        <f>IFERROR(__xludf.DUMMYFUNCTION("""COMPUTED_VALUE"""),7600.0)</f>
        <v>7600</v>
      </c>
      <c r="W846" s="9" t="str">
        <f>IFERROR(__xludf.DUMMYFUNCTION("""COMPUTED_VALUE"""),"")</f>
        <v/>
      </c>
      <c r="X846" s="22" t="str">
        <f>IFERROR(__xludf.DUMMYFUNCTION("""COMPUTED_VALUE"""),"")</f>
        <v/>
      </c>
      <c r="Y846" s="22" t="str">
        <f>IFERROR(__xludf.DUMMYFUNCTION("""COMPUTED_VALUE"""),"")</f>
        <v/>
      </c>
      <c r="Z846" s="24" t="str">
        <f>IFERROR(__xludf.DUMMYFUNCTION("""COMPUTED_VALUE"""),"")</f>
        <v/>
      </c>
    </row>
    <row r="847">
      <c r="A847" s="5" t="str">
        <f>IFERROR(__xludf.DUMMYFUNCTION("""COMPUTED_VALUE"""),"")</f>
        <v/>
      </c>
      <c r="B847" s="5" t="str">
        <f>IFERROR(__xludf.DUMMYFUNCTION("""COMPUTED_VALUE"""),"75973")</f>
        <v>75973</v>
      </c>
      <c r="C847" s="9">
        <f>IFERROR(__xludf.DUMMYFUNCTION("""COMPUTED_VALUE"""),4.4645000876E10)</f>
        <v>44645000876</v>
      </c>
      <c r="D847" s="90" t="str">
        <f>IFERROR(__xludf.DUMMYFUNCTION("""COMPUTED_VALUE"""),"601398.SS")</f>
        <v>601398.SS</v>
      </c>
      <c r="E847" s="193">
        <f>IFERROR(__xludf.DUMMYFUNCTION("""COMPUTED_VALUE"""),44645.0)</f>
        <v>44645</v>
      </c>
      <c r="F847" s="5" t="str">
        <f>IFERROR(__xludf.DUMMYFUNCTION("""COMPUTED_VALUE"""),"Stock")</f>
        <v>Stock</v>
      </c>
      <c r="G847" s="5" t="str">
        <f>IFERROR(__xludf.DUMMYFUNCTION("""COMPUTED_VALUE"""),"CNY")</f>
        <v>CNY</v>
      </c>
      <c r="H847" s="22">
        <f>IFERROR(__xludf.DUMMYFUNCTION("""COMPUTED_VALUE"""),10000.0)</f>
        <v>10000</v>
      </c>
      <c r="I847" s="194">
        <f>IFERROR(__xludf.DUMMYFUNCTION("""COMPUTED_VALUE"""),1.230306)</f>
        <v>1.230306</v>
      </c>
      <c r="J847" s="23">
        <f>IFERROR(__xludf.DUMMYFUNCTION("""COMPUTED_VALUE"""),4.62)</f>
        <v>4.62</v>
      </c>
      <c r="K847" s="5"/>
      <c r="L847" s="23">
        <f>IFERROR(__xludf.DUMMYFUNCTION("""COMPUTED_VALUE"""),4.79)</f>
        <v>4.79</v>
      </c>
      <c r="M847" s="195" t="str">
        <f>IFERROR(__xludf.DUMMYFUNCTION("""COMPUTED_VALUE"""),"Equity Key Stats")</f>
        <v>Equity Key Stats</v>
      </c>
      <c r="N847" s="5"/>
      <c r="O847" s="5"/>
      <c r="P847" s="142">
        <f>IFERROR(__xludf.DUMMYFUNCTION("""COMPUTED_VALUE"""),-56840.1372)</f>
        <v>-56840.1372</v>
      </c>
      <c r="Q847" s="5"/>
      <c r="R847" s="71">
        <f>IFERROR(__xludf.DUMMYFUNCTION("""COMPUTED_VALUE"""),4.79)</f>
        <v>4.79</v>
      </c>
      <c r="S847" s="142">
        <f>IFERROR(__xludf.DUMMYFUNCTION("""COMPUTED_VALUE"""),58931.6574)</f>
        <v>58931.6574</v>
      </c>
      <c r="T847" s="5">
        <f>IFERROR(__xludf.DUMMYFUNCTION("""COMPUTED_VALUE"""),1.0)</f>
        <v>1</v>
      </c>
      <c r="U847" s="5">
        <f>IFERROR(__xludf.DUMMYFUNCTION("""COMPUTED_VALUE"""),1.0)</f>
        <v>1</v>
      </c>
      <c r="V847" s="22">
        <f>IFERROR(__xludf.DUMMYFUNCTION("""COMPUTED_VALUE"""),2091.520199999999)</f>
        <v>2091.5202</v>
      </c>
      <c r="W847" s="9" t="str">
        <f>IFERROR(__xludf.DUMMYFUNCTION("""COMPUTED_VALUE"""),"")</f>
        <v/>
      </c>
      <c r="X847" s="22" t="str">
        <f>IFERROR(__xludf.DUMMYFUNCTION("""COMPUTED_VALUE"""),"")</f>
        <v/>
      </c>
      <c r="Y847" s="22" t="str">
        <f>IFERROR(__xludf.DUMMYFUNCTION("""COMPUTED_VALUE"""),"")</f>
        <v/>
      </c>
      <c r="Z847" s="24" t="str">
        <f>IFERROR(__xludf.DUMMYFUNCTION("""COMPUTED_VALUE"""),"")</f>
        <v/>
      </c>
    </row>
    <row r="848">
      <c r="A848" s="5" t="str">
        <f>IFERROR(__xludf.DUMMYFUNCTION("""COMPUTED_VALUE"""),"")</f>
        <v/>
      </c>
      <c r="B848" s="5" t="str">
        <f>IFERROR(__xludf.DUMMYFUNCTION("""COMPUTED_VALUE"""),"75973")</f>
        <v>75973</v>
      </c>
      <c r="C848" s="9">
        <f>IFERROR(__xludf.DUMMYFUNCTION("""COMPUTED_VALUE"""),4.4645000877E10)</f>
        <v>44645000877</v>
      </c>
      <c r="D848" s="90" t="str">
        <f>IFERROR(__xludf.DUMMYFUNCTION("""COMPUTED_VALUE"""),"601939.SS")</f>
        <v>601939.SS</v>
      </c>
      <c r="E848" s="193">
        <f>IFERROR(__xludf.DUMMYFUNCTION("""COMPUTED_VALUE"""),44645.0)</f>
        <v>44645</v>
      </c>
      <c r="F848" s="5" t="str">
        <f>IFERROR(__xludf.DUMMYFUNCTION("""COMPUTED_VALUE"""),"Stock")</f>
        <v>Stock</v>
      </c>
      <c r="G848" s="5" t="str">
        <f>IFERROR(__xludf.DUMMYFUNCTION("""COMPUTED_VALUE"""),"CNY")</f>
        <v>CNY</v>
      </c>
      <c r="H848" s="22">
        <f>IFERROR(__xludf.DUMMYFUNCTION("""COMPUTED_VALUE"""),6800.0)</f>
        <v>6800</v>
      </c>
      <c r="I848" s="194">
        <f>IFERROR(__xludf.DUMMYFUNCTION("""COMPUTED_VALUE"""),1.230306)</f>
        <v>1.230306</v>
      </c>
      <c r="J848" s="23">
        <f>IFERROR(__xludf.DUMMYFUNCTION("""COMPUTED_VALUE"""),6.09)</f>
        <v>6.09</v>
      </c>
      <c r="K848" s="5"/>
      <c r="L848" s="23">
        <f>IFERROR(__xludf.DUMMYFUNCTION("""COMPUTED_VALUE"""),6.24)</f>
        <v>6.24</v>
      </c>
      <c r="M848" s="195" t="str">
        <f>IFERROR(__xludf.DUMMYFUNCTION("""COMPUTED_VALUE"""),"Equity Key Stats")</f>
        <v>Equity Key Stats</v>
      </c>
      <c r="N848" s="5"/>
      <c r="O848" s="5"/>
      <c r="P848" s="142">
        <f>IFERROR(__xludf.DUMMYFUNCTION("""COMPUTED_VALUE"""),-50949.432071999996)</f>
        <v>-50949.43207</v>
      </c>
      <c r="Q848" s="5"/>
      <c r="R848" s="71">
        <f>IFERROR(__xludf.DUMMYFUNCTION("""COMPUTED_VALUE"""),6.24)</f>
        <v>6.24</v>
      </c>
      <c r="S848" s="142">
        <f>IFERROR(__xludf.DUMMYFUNCTION("""COMPUTED_VALUE"""),52204.344192)</f>
        <v>52204.34419</v>
      </c>
      <c r="T848" s="5">
        <f>IFERROR(__xludf.DUMMYFUNCTION("""COMPUTED_VALUE"""),1.0)</f>
        <v>1</v>
      </c>
      <c r="U848" s="5">
        <f>IFERROR(__xludf.DUMMYFUNCTION("""COMPUTED_VALUE"""),1.0)</f>
        <v>1</v>
      </c>
      <c r="V848" s="22">
        <f>IFERROR(__xludf.DUMMYFUNCTION("""COMPUTED_VALUE"""),1254.9121200000009)</f>
        <v>1254.91212</v>
      </c>
      <c r="W848" s="9" t="str">
        <f>IFERROR(__xludf.DUMMYFUNCTION("""COMPUTED_VALUE"""),"")</f>
        <v/>
      </c>
      <c r="X848" s="22" t="str">
        <f>IFERROR(__xludf.DUMMYFUNCTION("""COMPUTED_VALUE"""),"")</f>
        <v/>
      </c>
      <c r="Y848" s="22" t="str">
        <f>IFERROR(__xludf.DUMMYFUNCTION("""COMPUTED_VALUE"""),"")</f>
        <v/>
      </c>
      <c r="Z848" s="24" t="str">
        <f>IFERROR(__xludf.DUMMYFUNCTION("""COMPUTED_VALUE"""),"")</f>
        <v/>
      </c>
    </row>
    <row r="849">
      <c r="A849" s="5" t="str">
        <f>IFERROR(__xludf.DUMMYFUNCTION("""COMPUTED_VALUE"""),"")</f>
        <v/>
      </c>
      <c r="B849" s="5" t="str">
        <f>IFERROR(__xludf.DUMMYFUNCTION("""COMPUTED_VALUE"""),"75973")</f>
        <v>75973</v>
      </c>
      <c r="C849" s="9">
        <f>IFERROR(__xludf.DUMMYFUNCTION("""COMPUTED_VALUE"""),4.4645000878E10)</f>
        <v>44645000878</v>
      </c>
      <c r="D849" s="90" t="str">
        <f>IFERROR(__xludf.DUMMYFUNCTION("""COMPUTED_VALUE"""),"600036.SS")</f>
        <v>600036.SS</v>
      </c>
      <c r="E849" s="193">
        <f>IFERROR(__xludf.DUMMYFUNCTION("""COMPUTED_VALUE"""),44645.0)</f>
        <v>44645</v>
      </c>
      <c r="F849" s="5" t="str">
        <f>IFERROR(__xludf.DUMMYFUNCTION("""COMPUTED_VALUE"""),"Stock")</f>
        <v>Stock</v>
      </c>
      <c r="G849" s="5" t="str">
        <f>IFERROR(__xludf.DUMMYFUNCTION("""COMPUTED_VALUE"""),"CNY")</f>
        <v>CNY</v>
      </c>
      <c r="H849" s="22">
        <f>IFERROR(__xludf.DUMMYFUNCTION("""COMPUTED_VALUE"""),800.0)</f>
        <v>800</v>
      </c>
      <c r="I849" s="194">
        <f>IFERROR(__xludf.DUMMYFUNCTION("""COMPUTED_VALUE"""),1.230306)</f>
        <v>1.230306</v>
      </c>
      <c r="J849" s="23">
        <f>IFERROR(__xludf.DUMMYFUNCTION("""COMPUTED_VALUE"""),45.18)</f>
        <v>45.18</v>
      </c>
      <c r="K849" s="5"/>
      <c r="L849" s="23">
        <f>IFERROR(__xludf.DUMMYFUNCTION("""COMPUTED_VALUE"""),45.75)</f>
        <v>45.75</v>
      </c>
      <c r="M849" s="195" t="str">
        <f>IFERROR(__xludf.DUMMYFUNCTION("""COMPUTED_VALUE"""),"Equity Key Stats")</f>
        <v>Equity Key Stats</v>
      </c>
      <c r="N849" s="5"/>
      <c r="O849" s="5"/>
      <c r="P849" s="142">
        <f>IFERROR(__xludf.DUMMYFUNCTION("""COMPUTED_VALUE"""),-44468.180064)</f>
        <v>-44468.18006</v>
      </c>
      <c r="Q849" s="5"/>
      <c r="R849" s="71">
        <f>IFERROR(__xludf.DUMMYFUNCTION("""COMPUTED_VALUE"""),45.75)</f>
        <v>45.75</v>
      </c>
      <c r="S849" s="142">
        <f>IFERROR(__xludf.DUMMYFUNCTION("""COMPUTED_VALUE"""),45029.1996)</f>
        <v>45029.1996</v>
      </c>
      <c r="T849" s="5">
        <f>IFERROR(__xludf.DUMMYFUNCTION("""COMPUTED_VALUE"""),1.0)</f>
        <v>1</v>
      </c>
      <c r="U849" s="5">
        <f>IFERROR(__xludf.DUMMYFUNCTION("""COMPUTED_VALUE"""),1.0)</f>
        <v>1</v>
      </c>
      <c r="V849" s="22">
        <f>IFERROR(__xludf.DUMMYFUNCTION("""COMPUTED_VALUE"""),561.0195359999998)</f>
        <v>561.019536</v>
      </c>
      <c r="W849" s="9" t="str">
        <f>IFERROR(__xludf.DUMMYFUNCTION("""COMPUTED_VALUE"""),"")</f>
        <v/>
      </c>
      <c r="X849" s="22" t="str">
        <f>IFERROR(__xludf.DUMMYFUNCTION("""COMPUTED_VALUE"""),"")</f>
        <v/>
      </c>
      <c r="Y849" s="22" t="str">
        <f>IFERROR(__xludf.DUMMYFUNCTION("""COMPUTED_VALUE"""),"")</f>
        <v/>
      </c>
      <c r="Z849" s="24" t="str">
        <f>IFERROR(__xludf.DUMMYFUNCTION("""COMPUTED_VALUE"""),"")</f>
        <v/>
      </c>
    </row>
    <row r="850">
      <c r="A850" s="5" t="str">
        <f>IFERROR(__xludf.DUMMYFUNCTION("""COMPUTED_VALUE"""),"")</f>
        <v/>
      </c>
      <c r="B850" s="5" t="str">
        <f>IFERROR(__xludf.DUMMYFUNCTION("""COMPUTED_VALUE"""),"75973")</f>
        <v>75973</v>
      </c>
      <c r="C850" s="9">
        <f>IFERROR(__xludf.DUMMYFUNCTION("""COMPUTED_VALUE"""),4.4645000879E10)</f>
        <v>44645000879</v>
      </c>
      <c r="D850" s="90" t="str">
        <f>IFERROR(__xludf.DUMMYFUNCTION("""COMPUTED_VALUE"""),"601658.SS")</f>
        <v>601658.SS</v>
      </c>
      <c r="E850" s="193">
        <f>IFERROR(__xludf.DUMMYFUNCTION("""COMPUTED_VALUE"""),44645.0)</f>
        <v>44645</v>
      </c>
      <c r="F850" s="5" t="str">
        <f>IFERROR(__xludf.DUMMYFUNCTION("""COMPUTED_VALUE"""),"Stock")</f>
        <v>Stock</v>
      </c>
      <c r="G850" s="5" t="str">
        <f>IFERROR(__xludf.DUMMYFUNCTION("""COMPUTED_VALUE"""),"CNY")</f>
        <v>CNY</v>
      </c>
      <c r="H850" s="22" t="str">
        <f>IFERROR(__xludf.DUMMYFUNCTION("""COMPUTED_VALUE"""),"")</f>
        <v/>
      </c>
      <c r="I850" s="194">
        <f>IFERROR(__xludf.DUMMYFUNCTION("""COMPUTED_VALUE"""),1.230306)</f>
        <v>1.230306</v>
      </c>
      <c r="J850" s="23">
        <f>IFERROR(__xludf.DUMMYFUNCTION("""COMPUTED_VALUE"""),5.2)</f>
        <v>5.2</v>
      </c>
      <c r="K850" s="5"/>
      <c r="L850" s="23">
        <f>IFERROR(__xludf.DUMMYFUNCTION("""COMPUTED_VALUE"""),5.66)</f>
        <v>5.66</v>
      </c>
      <c r="M850" s="195" t="str">
        <f>IFERROR(__xludf.DUMMYFUNCTION("""COMPUTED_VALUE"""),"Equity Key Stats")</f>
        <v>Equity Key Stats</v>
      </c>
      <c r="N850" s="5"/>
      <c r="O850" s="5"/>
      <c r="P850" s="142">
        <f>IFERROR(__xludf.DUMMYFUNCTION("""COMPUTED_VALUE"""),0.0)</f>
        <v>0</v>
      </c>
      <c r="Q850" s="5"/>
      <c r="R850" s="71">
        <f>IFERROR(__xludf.DUMMYFUNCTION("""COMPUTED_VALUE"""),5.66)</f>
        <v>5.66</v>
      </c>
      <c r="S850" s="142">
        <f>IFERROR(__xludf.DUMMYFUNCTION("""COMPUTED_VALUE"""),0.0)</f>
        <v>0</v>
      </c>
      <c r="T850" s="5">
        <f>IFERROR(__xludf.DUMMYFUNCTION("""COMPUTED_VALUE"""),1.0)</f>
        <v>1</v>
      </c>
      <c r="U850" s="5">
        <f>IFERROR(__xludf.DUMMYFUNCTION("""COMPUTED_VALUE"""),1.0)</f>
        <v>1</v>
      </c>
      <c r="V850" s="22">
        <f>IFERROR(__xludf.DUMMYFUNCTION("""COMPUTED_VALUE"""),0.0)</f>
        <v>0</v>
      </c>
      <c r="W850" s="9" t="str">
        <f>IFERROR(__xludf.DUMMYFUNCTION("""COMPUTED_VALUE"""),"")</f>
        <v/>
      </c>
      <c r="X850" s="22" t="str">
        <f>IFERROR(__xludf.DUMMYFUNCTION("""COMPUTED_VALUE"""),"")</f>
        <v/>
      </c>
      <c r="Y850" s="22" t="str">
        <f>IFERROR(__xludf.DUMMYFUNCTION("""COMPUTED_VALUE"""),"")</f>
        <v/>
      </c>
      <c r="Z850" s="24" t="str">
        <f>IFERROR(__xludf.DUMMYFUNCTION("""COMPUTED_VALUE"""),"")</f>
        <v/>
      </c>
    </row>
    <row r="851">
      <c r="A851" s="5" t="str">
        <f>IFERROR(__xludf.DUMMYFUNCTION("""COMPUTED_VALUE"""),"")</f>
        <v/>
      </c>
      <c r="B851" s="5" t="str">
        <f>IFERROR(__xludf.DUMMYFUNCTION("""COMPUTED_VALUE"""),"75973")</f>
        <v>75973</v>
      </c>
      <c r="C851" s="9">
        <f>IFERROR(__xludf.DUMMYFUNCTION("""COMPUTED_VALUE"""),4.464900098E10)</f>
        <v>44649000980</v>
      </c>
      <c r="D851" s="90" t="str">
        <f>IFERROR(__xludf.DUMMYFUNCTION("""COMPUTED_VALUE"""),"600745.SS")</f>
        <v>600745.SS</v>
      </c>
      <c r="E851" s="193">
        <f>IFERROR(__xludf.DUMMYFUNCTION("""COMPUTED_VALUE"""),44649.0)</f>
        <v>44649</v>
      </c>
      <c r="F851" s="5" t="str">
        <f>IFERROR(__xludf.DUMMYFUNCTION("""COMPUTED_VALUE"""),"Stock")</f>
        <v>Stock</v>
      </c>
      <c r="G851" s="5" t="str">
        <f>IFERROR(__xludf.DUMMYFUNCTION("""COMPUTED_VALUE"""),"CNY")</f>
        <v>CNY</v>
      </c>
      <c r="H851" s="22">
        <f>IFERROR(__xludf.DUMMYFUNCTION("""COMPUTED_VALUE"""),0.0)</f>
        <v>0</v>
      </c>
      <c r="I851" s="194">
        <f>IFERROR(__xludf.DUMMYFUNCTION("""COMPUTED_VALUE"""),1.229779)</f>
        <v>1.229779</v>
      </c>
      <c r="J851" s="23">
        <f>IFERROR(__xludf.DUMMYFUNCTION("""COMPUTED_VALUE"""),0.0)</f>
        <v>0</v>
      </c>
      <c r="K851" s="5"/>
      <c r="L851" s="23">
        <f>IFERROR(__xludf.DUMMYFUNCTION("""COMPUTED_VALUE"""),67.34)</f>
        <v>67.34</v>
      </c>
      <c r="M851" s="195" t="str">
        <f>IFERROR(__xludf.DUMMYFUNCTION("""COMPUTED_VALUE"""),"Equity Key Stats")</f>
        <v>Equity Key Stats</v>
      </c>
      <c r="N851" s="5"/>
      <c r="O851" s="5"/>
      <c r="P851" s="142">
        <f>IFERROR(__xludf.DUMMYFUNCTION("""COMPUTED_VALUE"""),0.0)</f>
        <v>0</v>
      </c>
      <c r="Q851" s="5"/>
      <c r="R851" s="71">
        <f>IFERROR(__xludf.DUMMYFUNCTION("""COMPUTED_VALUE"""),67.34)</f>
        <v>67.34</v>
      </c>
      <c r="S851" s="142">
        <f>IFERROR(__xludf.DUMMYFUNCTION("""COMPUTED_VALUE"""),0.0)</f>
        <v>0</v>
      </c>
      <c r="T851" s="5">
        <f>IFERROR(__xludf.DUMMYFUNCTION("""COMPUTED_VALUE"""),4.0)</f>
        <v>4</v>
      </c>
      <c r="U851" s="5" t="str">
        <f>IFERROR(__xludf.DUMMYFUNCTION("""COMPUTED_VALUE"""),"")</f>
        <v/>
      </c>
      <c r="V851" s="22" t="str">
        <f>IFERROR(__xludf.DUMMYFUNCTION("""COMPUTED_VALUE"""),"")</f>
        <v/>
      </c>
      <c r="W851" s="9" t="str">
        <f>IFERROR(__xludf.DUMMYFUNCTION("""COMPUTED_VALUE"""),"")</f>
        <v/>
      </c>
      <c r="X851" s="22" t="str">
        <f>IFERROR(__xludf.DUMMYFUNCTION("""COMPUTED_VALUE"""),"")</f>
        <v/>
      </c>
      <c r="Y851" s="22" t="str">
        <f>IFERROR(__xludf.DUMMYFUNCTION("""COMPUTED_VALUE"""),"")</f>
        <v/>
      </c>
      <c r="Z851" s="24" t="str">
        <f>IFERROR(__xludf.DUMMYFUNCTION("""COMPUTED_VALUE"""),"")</f>
        <v/>
      </c>
    </row>
    <row r="852">
      <c r="A852" s="5" t="str">
        <f>IFERROR(__xludf.DUMMYFUNCTION("""COMPUTED_VALUE"""),"")</f>
        <v/>
      </c>
      <c r="B852" s="5" t="str">
        <f>IFERROR(__xludf.DUMMYFUNCTION("""COMPUTED_VALUE"""),"75973")</f>
        <v>75973</v>
      </c>
      <c r="C852" s="9">
        <f>IFERROR(__xludf.DUMMYFUNCTION("""COMPUTED_VALUE"""),4.4649000981E10)</f>
        <v>44649000981</v>
      </c>
      <c r="D852" s="90" t="str">
        <f>IFERROR(__xludf.DUMMYFUNCTION("""COMPUTED_VALUE"""),"600745.SS")</f>
        <v>600745.SS</v>
      </c>
      <c r="E852" s="193">
        <f>IFERROR(__xludf.DUMMYFUNCTION("""COMPUTED_VALUE"""),44649.0)</f>
        <v>44649</v>
      </c>
      <c r="F852" s="5" t="str">
        <f>IFERROR(__xludf.DUMMYFUNCTION("""COMPUTED_VALUE"""),"Stock")</f>
        <v>Stock</v>
      </c>
      <c r="G852" s="5" t="str">
        <f>IFERROR(__xludf.DUMMYFUNCTION("""COMPUTED_VALUE"""),"CNY")</f>
        <v>CNY</v>
      </c>
      <c r="H852" s="22">
        <f>IFERROR(__xludf.DUMMYFUNCTION("""COMPUTED_VALUE"""),0.0)</f>
        <v>0</v>
      </c>
      <c r="I852" s="194">
        <f>IFERROR(__xludf.DUMMYFUNCTION("""COMPUTED_VALUE"""),1.229779)</f>
        <v>1.229779</v>
      </c>
      <c r="J852" s="23">
        <f>IFERROR(__xludf.DUMMYFUNCTION("""COMPUTED_VALUE"""),0.0)</f>
        <v>0</v>
      </c>
      <c r="K852" s="5"/>
      <c r="L852" s="23">
        <f>IFERROR(__xludf.DUMMYFUNCTION("""COMPUTED_VALUE"""),67.34)</f>
        <v>67.34</v>
      </c>
      <c r="M852" s="195" t="str">
        <f>IFERROR(__xludf.DUMMYFUNCTION("""COMPUTED_VALUE"""),"Equity Key Stats")</f>
        <v>Equity Key Stats</v>
      </c>
      <c r="N852" s="5"/>
      <c r="O852" s="5"/>
      <c r="P852" s="142">
        <f>IFERROR(__xludf.DUMMYFUNCTION("""COMPUTED_VALUE"""),0.0)</f>
        <v>0</v>
      </c>
      <c r="Q852" s="5"/>
      <c r="R852" s="71">
        <f>IFERROR(__xludf.DUMMYFUNCTION("""COMPUTED_VALUE"""),67.34)</f>
        <v>67.34</v>
      </c>
      <c r="S852" s="142">
        <f>IFERROR(__xludf.DUMMYFUNCTION("""COMPUTED_VALUE"""),0.0)</f>
        <v>0</v>
      </c>
      <c r="T852" s="5">
        <f>IFERROR(__xludf.DUMMYFUNCTION("""COMPUTED_VALUE"""),4.0)</f>
        <v>4</v>
      </c>
      <c r="U852" s="5" t="str">
        <f>IFERROR(__xludf.DUMMYFUNCTION("""COMPUTED_VALUE"""),"")</f>
        <v/>
      </c>
      <c r="V852" s="22" t="str">
        <f>IFERROR(__xludf.DUMMYFUNCTION("""COMPUTED_VALUE"""),"")</f>
        <v/>
      </c>
      <c r="W852" s="9" t="str">
        <f>IFERROR(__xludf.DUMMYFUNCTION("""COMPUTED_VALUE"""),"")</f>
        <v/>
      </c>
      <c r="X852" s="22" t="str">
        <f>IFERROR(__xludf.DUMMYFUNCTION("""COMPUTED_VALUE"""),"")</f>
        <v/>
      </c>
      <c r="Y852" s="22" t="str">
        <f>IFERROR(__xludf.DUMMYFUNCTION("""COMPUTED_VALUE"""),"")</f>
        <v/>
      </c>
      <c r="Z852" s="24" t="str">
        <f>IFERROR(__xludf.DUMMYFUNCTION("""COMPUTED_VALUE"""),"")</f>
        <v/>
      </c>
    </row>
    <row r="853">
      <c r="A853" s="5" t="str">
        <f>IFERROR(__xludf.DUMMYFUNCTION("""COMPUTED_VALUE"""),"")</f>
        <v/>
      </c>
      <c r="B853" s="5" t="str">
        <f>IFERROR(__xludf.DUMMYFUNCTION("""COMPUTED_VALUE"""),"75973")</f>
        <v>75973</v>
      </c>
      <c r="C853" s="9">
        <f>IFERROR(__xludf.DUMMYFUNCTION("""COMPUTED_VALUE"""),4.4650001006E10)</f>
        <v>44650001006</v>
      </c>
      <c r="D853" s="90" t="str">
        <f>IFERROR(__xludf.DUMMYFUNCTION("""COMPUTED_VALUE"""),"600745.SS")</f>
        <v>600745.SS</v>
      </c>
      <c r="E853" s="193">
        <f>IFERROR(__xludf.DUMMYFUNCTION("""COMPUTED_VALUE"""),44650.0)</f>
        <v>44650</v>
      </c>
      <c r="F853" s="5" t="str">
        <f>IFERROR(__xludf.DUMMYFUNCTION("""COMPUTED_VALUE"""),"Stock")</f>
        <v>Stock</v>
      </c>
      <c r="G853" s="5" t="str">
        <f>IFERROR(__xludf.DUMMYFUNCTION("""COMPUTED_VALUE"""),"CNY")</f>
        <v>CNY</v>
      </c>
      <c r="H853" s="22" t="str">
        <f>IFERROR(__xludf.DUMMYFUNCTION("""COMPUTED_VALUE"""),"")</f>
        <v/>
      </c>
      <c r="I853" s="194">
        <f>IFERROR(__xludf.DUMMYFUNCTION("""COMPUTED_VALUE"""),1.23338)</f>
        <v>1.23338</v>
      </c>
      <c r="J853" s="23">
        <f>IFERROR(__xludf.DUMMYFUNCTION("""COMPUTED_VALUE"""),84.67)</f>
        <v>84.67</v>
      </c>
      <c r="K853" s="5"/>
      <c r="L853" s="23">
        <f>IFERROR(__xludf.DUMMYFUNCTION("""COMPUTED_VALUE"""),67.34)</f>
        <v>67.34</v>
      </c>
      <c r="M853" s="195" t="str">
        <f>IFERROR(__xludf.DUMMYFUNCTION("""COMPUTED_VALUE"""),"Equity Key Stats")</f>
        <v>Equity Key Stats</v>
      </c>
      <c r="N853" s="5"/>
      <c r="O853" s="5"/>
      <c r="P853" s="142">
        <f>IFERROR(__xludf.DUMMYFUNCTION("""COMPUTED_VALUE"""),0.0)</f>
        <v>0</v>
      </c>
      <c r="Q853" s="5"/>
      <c r="R853" s="71">
        <f>IFERROR(__xludf.DUMMYFUNCTION("""COMPUTED_VALUE"""),67.34)</f>
        <v>67.34</v>
      </c>
      <c r="S853" s="142">
        <f>IFERROR(__xludf.DUMMYFUNCTION("""COMPUTED_VALUE"""),0.0)</f>
        <v>0</v>
      </c>
      <c r="T853" s="5">
        <f>IFERROR(__xludf.DUMMYFUNCTION("""COMPUTED_VALUE"""),4.0)</f>
        <v>4</v>
      </c>
      <c r="U853" s="5" t="str">
        <f>IFERROR(__xludf.DUMMYFUNCTION("""COMPUTED_VALUE"""),"")</f>
        <v/>
      </c>
      <c r="V853" s="22" t="str">
        <f>IFERROR(__xludf.DUMMYFUNCTION("""COMPUTED_VALUE"""),"")</f>
        <v/>
      </c>
      <c r="W853" s="9" t="str">
        <f>IFERROR(__xludf.DUMMYFUNCTION("""COMPUTED_VALUE"""),"")</f>
        <v/>
      </c>
      <c r="X853" s="22" t="str">
        <f>IFERROR(__xludf.DUMMYFUNCTION("""COMPUTED_VALUE"""),"")</f>
        <v/>
      </c>
      <c r="Y853" s="22" t="str">
        <f>IFERROR(__xludf.DUMMYFUNCTION("""COMPUTED_VALUE"""),"")</f>
        <v/>
      </c>
      <c r="Z853" s="24" t="str">
        <f>IFERROR(__xludf.DUMMYFUNCTION("""COMPUTED_VALUE"""),"")</f>
        <v/>
      </c>
    </row>
    <row r="854">
      <c r="A854" s="5" t="str">
        <f>IFERROR(__xludf.DUMMYFUNCTION("""COMPUTED_VALUE"""),"")</f>
        <v/>
      </c>
      <c r="B854" s="5" t="str">
        <f>IFERROR(__xludf.DUMMYFUNCTION("""COMPUTED_VALUE"""),"75973")</f>
        <v>75973</v>
      </c>
      <c r="C854" s="9">
        <f>IFERROR(__xludf.DUMMYFUNCTION("""COMPUTED_VALUE"""),4.4650001007E10)</f>
        <v>44650001007</v>
      </c>
      <c r="D854" s="90" t="str">
        <f>IFERROR(__xludf.DUMMYFUNCTION("""COMPUTED_VALUE"""),"600745.SS")</f>
        <v>600745.SS</v>
      </c>
      <c r="E854" s="193">
        <f>IFERROR(__xludf.DUMMYFUNCTION("""COMPUTED_VALUE"""),44650.0)</f>
        <v>44650</v>
      </c>
      <c r="F854" s="5" t="str">
        <f>IFERROR(__xludf.DUMMYFUNCTION("""COMPUTED_VALUE"""),"Stock")</f>
        <v>Stock</v>
      </c>
      <c r="G854" s="5" t="str">
        <f>IFERROR(__xludf.DUMMYFUNCTION("""COMPUTED_VALUE"""),"CNY")</f>
        <v>CNY</v>
      </c>
      <c r="H854" s="22">
        <f>IFERROR(__xludf.DUMMYFUNCTION("""COMPUTED_VALUE"""),0.0)</f>
        <v>0</v>
      </c>
      <c r="I854" s="194">
        <f>IFERROR(__xludf.DUMMYFUNCTION("""COMPUTED_VALUE"""),1.23338)</f>
        <v>1.23338</v>
      </c>
      <c r="J854" s="23">
        <f>IFERROR(__xludf.DUMMYFUNCTION("""COMPUTED_VALUE"""),0.0)</f>
        <v>0</v>
      </c>
      <c r="K854" s="5"/>
      <c r="L854" s="23">
        <f>IFERROR(__xludf.DUMMYFUNCTION("""COMPUTED_VALUE"""),67.34)</f>
        <v>67.34</v>
      </c>
      <c r="M854" s="195" t="str">
        <f>IFERROR(__xludf.DUMMYFUNCTION("""COMPUTED_VALUE"""),"Equity Key Stats")</f>
        <v>Equity Key Stats</v>
      </c>
      <c r="N854" s="5"/>
      <c r="O854" s="5"/>
      <c r="P854" s="142">
        <f>IFERROR(__xludf.DUMMYFUNCTION("""COMPUTED_VALUE"""),0.0)</f>
        <v>0</v>
      </c>
      <c r="Q854" s="5"/>
      <c r="R854" s="71">
        <f>IFERROR(__xludf.DUMMYFUNCTION("""COMPUTED_VALUE"""),67.34)</f>
        <v>67.34</v>
      </c>
      <c r="S854" s="142">
        <f>IFERROR(__xludf.DUMMYFUNCTION("""COMPUTED_VALUE"""),0.0)</f>
        <v>0</v>
      </c>
      <c r="T854" s="5">
        <f>IFERROR(__xludf.DUMMYFUNCTION("""COMPUTED_VALUE"""),4.0)</f>
        <v>4</v>
      </c>
      <c r="U854" s="5">
        <f>IFERROR(__xludf.DUMMYFUNCTION("""COMPUTED_VALUE"""),1.0)</f>
        <v>1</v>
      </c>
      <c r="V854" s="22">
        <f>IFERROR(__xludf.DUMMYFUNCTION("""COMPUTED_VALUE"""),0.0)</f>
        <v>0</v>
      </c>
      <c r="W854" s="9" t="str">
        <f>IFERROR(__xludf.DUMMYFUNCTION("""COMPUTED_VALUE"""),"")</f>
        <v/>
      </c>
      <c r="X854" s="22" t="str">
        <f>IFERROR(__xludf.DUMMYFUNCTION("""COMPUTED_VALUE"""),"")</f>
        <v/>
      </c>
      <c r="Y854" s="22" t="str">
        <f>IFERROR(__xludf.DUMMYFUNCTION("""COMPUTED_VALUE"""),"")</f>
        <v/>
      </c>
      <c r="Z854" s="24" t="str">
        <f>IFERROR(__xludf.DUMMYFUNCTION("""COMPUTED_VALUE"""),"")</f>
        <v/>
      </c>
    </row>
    <row r="855">
      <c r="A855" s="5" t="str">
        <f>IFERROR(__xludf.DUMMYFUNCTION("""COMPUTED_VALUE"""),"75973")</f>
        <v>75973</v>
      </c>
      <c r="B855" s="5" t="str">
        <f>IFERROR(__xludf.DUMMYFUNCTION("""COMPUTED_VALUE"""),"75973")</f>
        <v>75973</v>
      </c>
      <c r="C855" s="9">
        <f>IFERROR(__xludf.DUMMYFUNCTION("""COMPUTED_VALUE"""),4.4653001102E10)</f>
        <v>44653001102</v>
      </c>
      <c r="D855" s="90" t="str">
        <f>IFERROR(__xludf.DUMMYFUNCTION("""COMPUTED_VALUE"""),"600519.SS")</f>
        <v>600519.SS</v>
      </c>
      <c r="E855" s="193">
        <f>IFERROR(__xludf.DUMMYFUNCTION("""COMPUTED_VALUE"""),44653.0)</f>
        <v>44653</v>
      </c>
      <c r="F855" s="5" t="str">
        <f>IFERROR(__xludf.DUMMYFUNCTION("""COMPUTED_VALUE"""),"Stock")</f>
        <v>Stock</v>
      </c>
      <c r="G855" s="5" t="str">
        <f>IFERROR(__xludf.DUMMYFUNCTION("""COMPUTED_VALUE"""),"CNY")</f>
        <v>CNY</v>
      </c>
      <c r="H855" s="22">
        <f>IFERROR(__xludf.DUMMYFUNCTION("""COMPUTED_VALUE"""),-20.0)</f>
        <v>-20</v>
      </c>
      <c r="I855" s="194">
        <f>IFERROR(__xludf.DUMMYFUNCTION("""COMPUTED_VALUE"""),1.230998)</f>
        <v>1.230998</v>
      </c>
      <c r="J855" s="23">
        <f>IFERROR(__xludf.DUMMYFUNCTION("""COMPUTED_VALUE"""),1780.01)</f>
        <v>1780.01</v>
      </c>
      <c r="K855" s="5"/>
      <c r="L855" s="23">
        <f>IFERROR(__xludf.DUMMYFUNCTION("""COMPUTED_VALUE"""),1769.0)</f>
        <v>1769</v>
      </c>
      <c r="M855" s="195" t="str">
        <f>IFERROR(__xludf.DUMMYFUNCTION("""COMPUTED_VALUE"""),"Equity Key Stats")</f>
        <v>Equity Key Stats</v>
      </c>
      <c r="N855" s="5"/>
      <c r="O855" s="5"/>
      <c r="P855" s="142">
        <f>IFERROR(__xludf.DUMMYFUNCTION("""COMPUTED_VALUE"""),43823.7749996)</f>
        <v>43823.775</v>
      </c>
      <c r="Q855" s="5"/>
      <c r="R855" s="71">
        <f>IFERROR(__xludf.DUMMYFUNCTION("""COMPUTED_VALUE"""),1769.0)</f>
        <v>1769</v>
      </c>
      <c r="S855" s="142">
        <f>IFERROR(__xludf.DUMMYFUNCTION("""COMPUTED_VALUE"""),-43552.70924)</f>
        <v>-43552.70924</v>
      </c>
      <c r="T855" s="5">
        <f>IFERROR(__xludf.DUMMYFUNCTION("""COMPUTED_VALUE"""),2.0)</f>
        <v>2</v>
      </c>
      <c r="U855" s="5">
        <f>IFERROR(__xludf.DUMMYFUNCTION("""COMPUTED_VALUE"""),1.0)</f>
        <v>1</v>
      </c>
      <c r="V855" s="22">
        <f>IFERROR(__xludf.DUMMYFUNCTION("""COMPUTED_VALUE"""),1452.2591048000031)</f>
        <v>1452.259105</v>
      </c>
      <c r="W855" s="9">
        <f>IFERROR(__xludf.DUMMYFUNCTION("""COMPUTED_VALUE"""),514441.4193518825)</f>
        <v>514441.4194</v>
      </c>
      <c r="X855" s="22">
        <f>IFERROR(__xludf.DUMMYFUNCTION("""COMPUTED_VALUE"""),-193641.44274415)</f>
        <v>-193641.4427</v>
      </c>
      <c r="Y855" s="22">
        <f>IFERROR(__xludf.DUMMYFUNCTION("""COMPUTED_VALUE"""),193641.44274415)</f>
        <v>193641.4427</v>
      </c>
      <c r="Z855" s="24">
        <f>IFERROR(__xludf.DUMMYFUNCTION("""COMPUTED_VALUE"""),0.028882838703764957)</f>
        <v>0.0288828387</v>
      </c>
    </row>
    <row r="856">
      <c r="A856" s="5" t="str">
        <f>IFERROR(__xludf.DUMMYFUNCTION("""COMPUTED_VALUE"""),"")</f>
        <v/>
      </c>
      <c r="B856" s="5" t="str">
        <f>IFERROR(__xludf.DUMMYFUNCTION("""COMPUTED_VALUE"""),"76369")</f>
        <v>76369</v>
      </c>
      <c r="C856" s="9">
        <f>IFERROR(__xludf.DUMMYFUNCTION("""COMPUTED_VALUE"""),4.4597000032E10)</f>
        <v>44597000032</v>
      </c>
      <c r="D856" s="85" t="str">
        <f>IFERROR(__xludf.DUMMYFUNCTION("""COMPUTED_VALUE"""),"Cash")</f>
        <v>Cash</v>
      </c>
      <c r="E856" s="193">
        <f>IFERROR(__xludf.DUMMYFUNCTION("""COMPUTED_VALUE"""),44597.0)</f>
        <v>44597</v>
      </c>
      <c r="F856" s="5" t="str">
        <f>IFERROR(__xludf.DUMMYFUNCTION("""COMPUTED_VALUE"""),"Cash")</f>
        <v>Cash</v>
      </c>
      <c r="G856" s="5" t="str">
        <f>IFERROR(__xludf.DUMMYFUNCTION("""COMPUTED_VALUE"""),"HKD")</f>
        <v>HKD</v>
      </c>
      <c r="H856" s="22" t="str">
        <f>IFERROR(__xludf.DUMMYFUNCTION("""COMPUTED_VALUE"""),"")</f>
        <v/>
      </c>
      <c r="I856" s="194">
        <f>IFERROR(__xludf.DUMMYFUNCTION("""COMPUTED_VALUE"""),1.0)</f>
        <v>1</v>
      </c>
      <c r="J856" s="5">
        <f>IFERROR(__xludf.DUMMYFUNCTION("""COMPUTED_VALUE"""),1.0)</f>
        <v>1</v>
      </c>
      <c r="K856" s="5"/>
      <c r="L856" s="23">
        <f>IFERROR(__xludf.DUMMYFUNCTION("""COMPUTED_VALUE"""),1.0)</f>
        <v>1</v>
      </c>
      <c r="M856" s="25" t="str">
        <f>IFERROR(__xludf.DUMMYFUNCTION("""COMPUTED_VALUE"""),"")</f>
        <v/>
      </c>
      <c r="N856" s="5"/>
      <c r="O856" s="5"/>
      <c r="P856" s="142">
        <f>IFERROR(__xludf.DUMMYFUNCTION("""COMPUTED_VALUE"""),500000.0)</f>
        <v>500000</v>
      </c>
      <c r="Q856" s="5"/>
      <c r="R856" s="71">
        <f>IFERROR(__xludf.DUMMYFUNCTION("""COMPUTED_VALUE"""),1.0)</f>
        <v>1</v>
      </c>
      <c r="S856" s="142" t="str">
        <f>IFERROR(__xludf.DUMMYFUNCTION("""COMPUTED_VALUE"""),"")</f>
        <v/>
      </c>
      <c r="T856" s="5">
        <f>IFERROR(__xludf.DUMMYFUNCTION("""COMPUTED_VALUE"""),1.0)</f>
        <v>1</v>
      </c>
      <c r="U856" s="5">
        <f>IFERROR(__xludf.DUMMYFUNCTION("""COMPUTED_VALUE"""),1.0)</f>
        <v>1</v>
      </c>
      <c r="V856" s="22">
        <f>IFERROR(__xludf.DUMMYFUNCTION("""COMPUTED_VALUE"""),500000.0)</f>
        <v>500000</v>
      </c>
      <c r="W856" s="9" t="str">
        <f>IFERROR(__xludf.DUMMYFUNCTION("""COMPUTED_VALUE"""),"")</f>
        <v/>
      </c>
      <c r="X856" s="22" t="str">
        <f>IFERROR(__xludf.DUMMYFUNCTION("""COMPUTED_VALUE"""),"")</f>
        <v/>
      </c>
      <c r="Y856" s="22" t="str">
        <f>IFERROR(__xludf.DUMMYFUNCTION("""COMPUTED_VALUE"""),"")</f>
        <v/>
      </c>
      <c r="Z856" s="24" t="str">
        <f>IFERROR(__xludf.DUMMYFUNCTION("""COMPUTED_VALUE"""),"")</f>
        <v/>
      </c>
    </row>
    <row r="857">
      <c r="A857" s="5" t="str">
        <f>IFERROR(__xludf.DUMMYFUNCTION("""COMPUTED_VALUE"""),"")</f>
        <v/>
      </c>
      <c r="B857" s="5" t="str">
        <f>IFERROR(__xludf.DUMMYFUNCTION("""COMPUTED_VALUE"""),"76369")</f>
        <v>76369</v>
      </c>
      <c r="C857" s="9">
        <f>IFERROR(__xludf.DUMMYFUNCTION("""COMPUTED_VALUE"""),4.4602000152E10)</f>
        <v>44602000152</v>
      </c>
      <c r="D857" s="87" t="str">
        <f>IFERROR(__xludf.DUMMYFUNCTION("""COMPUTED_VALUE"""),"XPEV")</f>
        <v>XPEV</v>
      </c>
      <c r="E857" s="193">
        <f>IFERROR(__xludf.DUMMYFUNCTION("""COMPUTED_VALUE"""),44602.0)</f>
        <v>44602</v>
      </c>
      <c r="F857" s="5" t="str">
        <f>IFERROR(__xludf.DUMMYFUNCTION("""COMPUTED_VALUE"""),"Stock")</f>
        <v>Stock</v>
      </c>
      <c r="G857" s="5" t="str">
        <f>IFERROR(__xludf.DUMMYFUNCTION("""COMPUTED_VALUE"""),"USD")</f>
        <v>USD</v>
      </c>
      <c r="H857" s="22">
        <f>IFERROR(__xludf.DUMMYFUNCTION("""COMPUTED_VALUE"""),5.0)</f>
        <v>5</v>
      </c>
      <c r="I857" s="194">
        <f>IFERROR(__xludf.DUMMYFUNCTION("""COMPUTED_VALUE"""),7.796775)</f>
        <v>7.796775</v>
      </c>
      <c r="J857" s="23">
        <f>IFERROR(__xludf.DUMMYFUNCTION("""COMPUTED_VALUE"""),38.92)</f>
        <v>38.92</v>
      </c>
      <c r="K857" s="5"/>
      <c r="L857" s="23">
        <f>IFERROR(__xludf.DUMMYFUNCTION("""COMPUTED_VALUE"""),27.65)</f>
        <v>27.65</v>
      </c>
      <c r="M857" s="195" t="str">
        <f>IFERROR(__xludf.DUMMYFUNCTION("""COMPUTED_VALUE"""),"Equity Key Stats")</f>
        <v>Equity Key Stats</v>
      </c>
      <c r="N857" s="5"/>
      <c r="O857" s="5"/>
      <c r="P857" s="142">
        <f>IFERROR(__xludf.DUMMYFUNCTION("""COMPUTED_VALUE"""),-1517.252415)</f>
        <v>-1517.252415</v>
      </c>
      <c r="Q857" s="5"/>
      <c r="R857" s="71">
        <f>IFERROR(__xludf.DUMMYFUNCTION("""COMPUTED_VALUE"""),27.65)</f>
        <v>27.65</v>
      </c>
      <c r="S857" s="142">
        <f>IFERROR(__xludf.DUMMYFUNCTION("""COMPUTED_VALUE"""),1077.9041437499998)</f>
        <v>1077.904144</v>
      </c>
      <c r="T857" s="5">
        <f>IFERROR(__xludf.DUMMYFUNCTION("""COMPUTED_VALUE"""),1.0)</f>
        <v>1</v>
      </c>
      <c r="U857" s="5">
        <f>IFERROR(__xludf.DUMMYFUNCTION("""COMPUTED_VALUE"""),1.0)</f>
        <v>1</v>
      </c>
      <c r="V857" s="22">
        <f>IFERROR(__xludf.DUMMYFUNCTION("""COMPUTED_VALUE"""),-439.34827125000015)</f>
        <v>-439.3482713</v>
      </c>
      <c r="W857" s="9" t="str">
        <f>IFERROR(__xludf.DUMMYFUNCTION("""COMPUTED_VALUE"""),"")</f>
        <v/>
      </c>
      <c r="X857" s="22" t="str">
        <f>IFERROR(__xludf.DUMMYFUNCTION("""COMPUTED_VALUE"""),"")</f>
        <v/>
      </c>
      <c r="Y857" s="22" t="str">
        <f>IFERROR(__xludf.DUMMYFUNCTION("""COMPUTED_VALUE"""),"")</f>
        <v/>
      </c>
      <c r="Z857" s="24" t="str">
        <f>IFERROR(__xludf.DUMMYFUNCTION("""COMPUTED_VALUE"""),"")</f>
        <v/>
      </c>
    </row>
    <row r="858">
      <c r="A858" s="5" t="str">
        <f>IFERROR(__xludf.DUMMYFUNCTION("""COMPUTED_VALUE"""),"")</f>
        <v/>
      </c>
      <c r="B858" s="5" t="str">
        <f>IFERROR(__xludf.DUMMYFUNCTION("""COMPUTED_VALUE"""),"76369")</f>
        <v>76369</v>
      </c>
      <c r="C858" s="9">
        <f>IFERROR(__xludf.DUMMYFUNCTION("""COMPUTED_VALUE"""),4.4602000153E10)</f>
        <v>44602000153</v>
      </c>
      <c r="D858" s="87" t="str">
        <f>IFERROR(__xludf.DUMMYFUNCTION("""COMPUTED_VALUE"""),"MGM")</f>
        <v>MGM</v>
      </c>
      <c r="E858" s="193">
        <f>IFERROR(__xludf.DUMMYFUNCTION("""COMPUTED_VALUE"""),44602.0)</f>
        <v>44602</v>
      </c>
      <c r="F858" s="5" t="str">
        <f>IFERROR(__xludf.DUMMYFUNCTION("""COMPUTED_VALUE"""),"Stock")</f>
        <v>Stock</v>
      </c>
      <c r="G858" s="5" t="str">
        <f>IFERROR(__xludf.DUMMYFUNCTION("""COMPUTED_VALUE"""),"USD")</f>
        <v>USD</v>
      </c>
      <c r="H858" s="22">
        <f>IFERROR(__xludf.DUMMYFUNCTION("""COMPUTED_VALUE"""),5.0)</f>
        <v>5</v>
      </c>
      <c r="I858" s="194">
        <f>IFERROR(__xludf.DUMMYFUNCTION("""COMPUTED_VALUE"""),7.796775)</f>
        <v>7.796775</v>
      </c>
      <c r="J858" s="23">
        <f>IFERROR(__xludf.DUMMYFUNCTION("""COMPUTED_VALUE"""),47.07)</f>
        <v>47.07</v>
      </c>
      <c r="K858" s="5"/>
      <c r="L858" s="23">
        <f>IFERROR(__xludf.DUMMYFUNCTION("""COMPUTED_VALUE"""),41.31)</f>
        <v>41.31</v>
      </c>
      <c r="M858" s="195" t="str">
        <f>IFERROR(__xludf.DUMMYFUNCTION("""COMPUTED_VALUE"""),"Equity Key Stats")</f>
        <v>Equity Key Stats</v>
      </c>
      <c r="N858" s="5"/>
      <c r="O858" s="5"/>
      <c r="P858" s="142">
        <f>IFERROR(__xludf.DUMMYFUNCTION("""COMPUTED_VALUE"""),-1834.9709962499999)</f>
        <v>-1834.970996</v>
      </c>
      <c r="Q858" s="5"/>
      <c r="R858" s="71">
        <f>IFERROR(__xludf.DUMMYFUNCTION("""COMPUTED_VALUE"""),41.31)</f>
        <v>41.31</v>
      </c>
      <c r="S858" s="142">
        <f>IFERROR(__xludf.DUMMYFUNCTION("""COMPUTED_VALUE"""),1610.42387625)</f>
        <v>1610.423876</v>
      </c>
      <c r="T858" s="5">
        <f>IFERROR(__xludf.DUMMYFUNCTION("""COMPUTED_VALUE"""),1.0)</f>
        <v>1</v>
      </c>
      <c r="U858" s="5">
        <f>IFERROR(__xludf.DUMMYFUNCTION("""COMPUTED_VALUE"""),1.0)</f>
        <v>1</v>
      </c>
      <c r="V858" s="22">
        <f>IFERROR(__xludf.DUMMYFUNCTION("""COMPUTED_VALUE"""),-224.54711999999995)</f>
        <v>-224.54712</v>
      </c>
      <c r="W858" s="9" t="str">
        <f>IFERROR(__xludf.DUMMYFUNCTION("""COMPUTED_VALUE"""),"")</f>
        <v/>
      </c>
      <c r="X858" s="22" t="str">
        <f>IFERROR(__xludf.DUMMYFUNCTION("""COMPUTED_VALUE"""),"")</f>
        <v/>
      </c>
      <c r="Y858" s="22" t="str">
        <f>IFERROR(__xludf.DUMMYFUNCTION("""COMPUTED_VALUE"""),"")</f>
        <v/>
      </c>
      <c r="Z858" s="24" t="str">
        <f>IFERROR(__xludf.DUMMYFUNCTION("""COMPUTED_VALUE"""),"")</f>
        <v/>
      </c>
    </row>
    <row r="859">
      <c r="A859" s="5" t="str">
        <f>IFERROR(__xludf.DUMMYFUNCTION("""COMPUTED_VALUE"""),"")</f>
        <v/>
      </c>
      <c r="B859" s="5" t="str">
        <f>IFERROR(__xludf.DUMMYFUNCTION("""COMPUTED_VALUE"""),"76369")</f>
        <v>76369</v>
      </c>
      <c r="C859" s="9">
        <f>IFERROR(__xludf.DUMMYFUNCTION("""COMPUTED_VALUE"""),4.4613000282E10)</f>
        <v>44613000282</v>
      </c>
      <c r="D859" s="90" t="str">
        <f>IFERROR(__xludf.DUMMYFUNCTION("""COMPUTED_VALUE"""),"1498.HK")</f>
        <v>1498.HK</v>
      </c>
      <c r="E859" s="193">
        <f>IFERROR(__xludf.DUMMYFUNCTION("""COMPUTED_VALUE"""),44613.0)</f>
        <v>44613</v>
      </c>
      <c r="F859" s="5" t="str">
        <f>IFERROR(__xludf.DUMMYFUNCTION("""COMPUTED_VALUE"""),"Stock")</f>
        <v>Stock</v>
      </c>
      <c r="G859" s="5" t="str">
        <f>IFERROR(__xludf.DUMMYFUNCTION("""COMPUTED_VALUE"""),"HKD")</f>
        <v>HKD</v>
      </c>
      <c r="H859" s="22">
        <f>IFERROR(__xludf.DUMMYFUNCTION("""COMPUTED_VALUE"""),1000.0)</f>
        <v>1000</v>
      </c>
      <c r="I859" s="194">
        <f>IFERROR(__xludf.DUMMYFUNCTION("""COMPUTED_VALUE"""),1.0)</f>
        <v>1</v>
      </c>
      <c r="J859" s="23">
        <f>IFERROR(__xludf.DUMMYFUNCTION("""COMPUTED_VALUE"""),0.98)</f>
        <v>0.98</v>
      </c>
      <c r="K859" s="5"/>
      <c r="L859" s="23">
        <f>IFERROR(__xludf.DUMMYFUNCTION("""COMPUTED_VALUE"""),1.49)</f>
        <v>1.49</v>
      </c>
      <c r="M859" s="195" t="str">
        <f>IFERROR(__xludf.DUMMYFUNCTION("""COMPUTED_VALUE"""),"Equity Key Stats")</f>
        <v>Equity Key Stats</v>
      </c>
      <c r="N859" s="5"/>
      <c r="O859" s="5"/>
      <c r="P859" s="142">
        <f>IFERROR(__xludf.DUMMYFUNCTION("""COMPUTED_VALUE"""),-980.0)</f>
        <v>-980</v>
      </c>
      <c r="Q859" s="5"/>
      <c r="R859" s="71">
        <f>IFERROR(__xludf.DUMMYFUNCTION("""COMPUTED_VALUE"""),1.49)</f>
        <v>1.49</v>
      </c>
      <c r="S859" s="142">
        <f>IFERROR(__xludf.DUMMYFUNCTION("""COMPUTED_VALUE"""),1490.0)</f>
        <v>1490</v>
      </c>
      <c r="T859" s="5">
        <f>IFERROR(__xludf.DUMMYFUNCTION("""COMPUTED_VALUE"""),1.0)</f>
        <v>1</v>
      </c>
      <c r="U859" s="5">
        <f>IFERROR(__xludf.DUMMYFUNCTION("""COMPUTED_VALUE"""),1.0)</f>
        <v>1</v>
      </c>
      <c r="V859" s="22">
        <f>IFERROR(__xludf.DUMMYFUNCTION("""COMPUTED_VALUE"""),510.0)</f>
        <v>510</v>
      </c>
      <c r="W859" s="9" t="str">
        <f>IFERROR(__xludf.DUMMYFUNCTION("""COMPUTED_VALUE"""),"")</f>
        <v/>
      </c>
      <c r="X859" s="22" t="str">
        <f>IFERROR(__xludf.DUMMYFUNCTION("""COMPUTED_VALUE"""),"")</f>
        <v/>
      </c>
      <c r="Y859" s="22" t="str">
        <f>IFERROR(__xludf.DUMMYFUNCTION("""COMPUTED_VALUE"""),"")</f>
        <v/>
      </c>
      <c r="Z859" s="24" t="str">
        <f>IFERROR(__xludf.DUMMYFUNCTION("""COMPUTED_VALUE"""),"")</f>
        <v/>
      </c>
    </row>
    <row r="860">
      <c r="A860" s="5" t="str">
        <f>IFERROR(__xludf.DUMMYFUNCTION("""COMPUTED_VALUE"""),"")</f>
        <v/>
      </c>
      <c r="B860" s="5" t="str">
        <f>IFERROR(__xludf.DUMMYFUNCTION("""COMPUTED_VALUE"""),"76369")</f>
        <v>76369</v>
      </c>
      <c r="C860" s="9">
        <f>IFERROR(__xludf.DUMMYFUNCTION("""COMPUTED_VALUE"""),4.4616000317E10)</f>
        <v>44616000317</v>
      </c>
      <c r="D860" s="90" t="str">
        <f>IFERROR(__xludf.DUMMYFUNCTION("""COMPUTED_VALUE"""),"002665.SZ")</f>
        <v>002665.SZ</v>
      </c>
      <c r="E860" s="193">
        <f>IFERROR(__xludf.DUMMYFUNCTION("""COMPUTED_VALUE"""),44616.0)</f>
        <v>44616</v>
      </c>
      <c r="F860" s="5" t="str">
        <f>IFERROR(__xludf.DUMMYFUNCTION("""COMPUTED_VALUE"""),"Stock")</f>
        <v>Stock</v>
      </c>
      <c r="G860" s="5" t="str">
        <f>IFERROR(__xludf.DUMMYFUNCTION("""COMPUTED_VALUE"""),"CNY")</f>
        <v>CNY</v>
      </c>
      <c r="H860" s="22">
        <f>IFERROR(__xludf.DUMMYFUNCTION("""COMPUTED_VALUE"""),1000.0)</f>
        <v>1000</v>
      </c>
      <c r="I860" s="194">
        <f>IFERROR(__xludf.DUMMYFUNCTION("""COMPUTED_VALUE"""),1.233498)</f>
        <v>1.233498</v>
      </c>
      <c r="J860" s="23">
        <f>IFERROR(__xludf.DUMMYFUNCTION("""COMPUTED_VALUE"""),3.98)</f>
        <v>3.98</v>
      </c>
      <c r="K860" s="5"/>
      <c r="L860" s="23">
        <f>IFERROR(__xludf.DUMMYFUNCTION("""COMPUTED_VALUE"""),3.56)</f>
        <v>3.56</v>
      </c>
      <c r="M860" s="195" t="str">
        <f>IFERROR(__xludf.DUMMYFUNCTION("""COMPUTED_VALUE"""),"Equity Key Stats")</f>
        <v>Equity Key Stats</v>
      </c>
      <c r="N860" s="5"/>
      <c r="O860" s="5"/>
      <c r="P860" s="142">
        <f>IFERROR(__xludf.DUMMYFUNCTION("""COMPUTED_VALUE"""),-4909.32204)</f>
        <v>-4909.32204</v>
      </c>
      <c r="Q860" s="5"/>
      <c r="R860" s="71">
        <f>IFERROR(__xludf.DUMMYFUNCTION("""COMPUTED_VALUE"""),3.56)</f>
        <v>3.56</v>
      </c>
      <c r="S860" s="142">
        <f>IFERROR(__xludf.DUMMYFUNCTION("""COMPUTED_VALUE"""),4391.25288)</f>
        <v>4391.25288</v>
      </c>
      <c r="T860" s="5">
        <f>IFERROR(__xludf.DUMMYFUNCTION("""COMPUTED_VALUE"""),2.0)</f>
        <v>2</v>
      </c>
      <c r="U860" s="5" t="str">
        <f>IFERROR(__xludf.DUMMYFUNCTION("""COMPUTED_VALUE"""),"")</f>
        <v/>
      </c>
      <c r="V860" s="22" t="str">
        <f>IFERROR(__xludf.DUMMYFUNCTION("""COMPUTED_VALUE"""),"")</f>
        <v/>
      </c>
      <c r="W860" s="9" t="str">
        <f>IFERROR(__xludf.DUMMYFUNCTION("""COMPUTED_VALUE"""),"")</f>
        <v/>
      </c>
      <c r="X860" s="22" t="str">
        <f>IFERROR(__xludf.DUMMYFUNCTION("""COMPUTED_VALUE"""),"")</f>
        <v/>
      </c>
      <c r="Y860" s="22" t="str">
        <f>IFERROR(__xludf.DUMMYFUNCTION("""COMPUTED_VALUE"""),"")</f>
        <v/>
      </c>
      <c r="Z860" s="24" t="str">
        <f>IFERROR(__xludf.DUMMYFUNCTION("""COMPUTED_VALUE"""),"")</f>
        <v/>
      </c>
    </row>
    <row r="861">
      <c r="A861" s="5" t="str">
        <f>IFERROR(__xludf.DUMMYFUNCTION("""COMPUTED_VALUE"""),"")</f>
        <v/>
      </c>
      <c r="B861" s="5" t="str">
        <f>IFERROR(__xludf.DUMMYFUNCTION("""COMPUTED_VALUE"""),"76369")</f>
        <v>76369</v>
      </c>
      <c r="C861" s="9">
        <f>IFERROR(__xludf.DUMMYFUNCTION("""COMPUTED_VALUE"""),4.4616000318E10)</f>
        <v>44616000318</v>
      </c>
      <c r="D861" s="90" t="str">
        <f>IFERROR(__xludf.DUMMYFUNCTION("""COMPUTED_VALUE"""),"000554.SZ")</f>
        <v>000554.SZ</v>
      </c>
      <c r="E861" s="193">
        <f>IFERROR(__xludf.DUMMYFUNCTION("""COMPUTED_VALUE"""),44616.0)</f>
        <v>44616</v>
      </c>
      <c r="F861" s="5" t="str">
        <f>IFERROR(__xludf.DUMMYFUNCTION("""COMPUTED_VALUE"""),"Stock")</f>
        <v>Stock</v>
      </c>
      <c r="G861" s="5" t="str">
        <f>IFERROR(__xludf.DUMMYFUNCTION("""COMPUTED_VALUE"""),"CNY")</f>
        <v>CNY</v>
      </c>
      <c r="H861" s="22">
        <f>IFERROR(__xludf.DUMMYFUNCTION("""COMPUTED_VALUE"""),1000.0)</f>
        <v>1000</v>
      </c>
      <c r="I861" s="194">
        <f>IFERROR(__xludf.DUMMYFUNCTION("""COMPUTED_VALUE"""),1.233498)</f>
        <v>1.233498</v>
      </c>
      <c r="J861" s="23">
        <f>IFERROR(__xludf.DUMMYFUNCTION("""COMPUTED_VALUE"""),6.42)</f>
        <v>6.42</v>
      </c>
      <c r="K861" s="5"/>
      <c r="L861" s="23">
        <f>IFERROR(__xludf.DUMMYFUNCTION("""COMPUTED_VALUE"""),5.19)</f>
        <v>5.19</v>
      </c>
      <c r="M861" s="195" t="str">
        <f>IFERROR(__xludf.DUMMYFUNCTION("""COMPUTED_VALUE"""),"Equity Key Stats")</f>
        <v>Equity Key Stats</v>
      </c>
      <c r="N861" s="5"/>
      <c r="O861" s="5"/>
      <c r="P861" s="142">
        <f>IFERROR(__xludf.DUMMYFUNCTION("""COMPUTED_VALUE"""),-7919.05716)</f>
        <v>-7919.05716</v>
      </c>
      <c r="Q861" s="5"/>
      <c r="R861" s="71">
        <f>IFERROR(__xludf.DUMMYFUNCTION("""COMPUTED_VALUE"""),5.19)</f>
        <v>5.19</v>
      </c>
      <c r="S861" s="142">
        <f>IFERROR(__xludf.DUMMYFUNCTION("""COMPUTED_VALUE"""),6401.854620000001)</f>
        <v>6401.85462</v>
      </c>
      <c r="T861" s="5">
        <f>IFERROR(__xludf.DUMMYFUNCTION("""COMPUTED_VALUE"""),2.0)</f>
        <v>2</v>
      </c>
      <c r="U861" s="5" t="str">
        <f>IFERROR(__xludf.DUMMYFUNCTION("""COMPUTED_VALUE"""),"")</f>
        <v/>
      </c>
      <c r="V861" s="22" t="str">
        <f>IFERROR(__xludf.DUMMYFUNCTION("""COMPUTED_VALUE"""),"")</f>
        <v/>
      </c>
      <c r="W861" s="9" t="str">
        <f>IFERROR(__xludf.DUMMYFUNCTION("""COMPUTED_VALUE"""),"")</f>
        <v/>
      </c>
      <c r="X861" s="22" t="str">
        <f>IFERROR(__xludf.DUMMYFUNCTION("""COMPUTED_VALUE"""),"")</f>
        <v/>
      </c>
      <c r="Y861" s="22" t="str">
        <f>IFERROR(__xludf.DUMMYFUNCTION("""COMPUTED_VALUE"""),"")</f>
        <v/>
      </c>
      <c r="Z861" s="24" t="str">
        <f>IFERROR(__xludf.DUMMYFUNCTION("""COMPUTED_VALUE"""),"")</f>
        <v/>
      </c>
    </row>
    <row r="862">
      <c r="A862" s="5" t="str">
        <f>IFERROR(__xludf.DUMMYFUNCTION("""COMPUTED_VALUE"""),"")</f>
        <v/>
      </c>
      <c r="B862" s="5" t="str">
        <f>IFERROR(__xludf.DUMMYFUNCTION("""COMPUTED_VALUE"""),"76369")</f>
        <v>76369</v>
      </c>
      <c r="C862" s="9">
        <f>IFERROR(__xludf.DUMMYFUNCTION("""COMPUTED_VALUE"""),4.4616000319E10)</f>
        <v>44616000319</v>
      </c>
      <c r="D862" s="90" t="str">
        <f>IFERROR(__xludf.DUMMYFUNCTION("""COMPUTED_VALUE"""),"300945.SZ")</f>
        <v>300945.SZ</v>
      </c>
      <c r="E862" s="193">
        <f>IFERROR(__xludf.DUMMYFUNCTION("""COMPUTED_VALUE"""),44616.0)</f>
        <v>44616</v>
      </c>
      <c r="F862" s="5" t="str">
        <f>IFERROR(__xludf.DUMMYFUNCTION("""COMPUTED_VALUE"""),"Stock")</f>
        <v>Stock</v>
      </c>
      <c r="G862" s="5" t="str">
        <f>IFERROR(__xludf.DUMMYFUNCTION("""COMPUTED_VALUE"""),"CNY")</f>
        <v>CNY</v>
      </c>
      <c r="H862" s="22">
        <f>IFERROR(__xludf.DUMMYFUNCTION("""COMPUTED_VALUE"""),1000.0)</f>
        <v>1000</v>
      </c>
      <c r="I862" s="194">
        <f>IFERROR(__xludf.DUMMYFUNCTION("""COMPUTED_VALUE"""),1.233498)</f>
        <v>1.233498</v>
      </c>
      <c r="J862" s="23">
        <f>IFERROR(__xludf.DUMMYFUNCTION("""COMPUTED_VALUE"""),23.93)</f>
        <v>23.93</v>
      </c>
      <c r="K862" s="5"/>
      <c r="L862" s="23">
        <f>IFERROR(__xludf.DUMMYFUNCTION("""COMPUTED_VALUE"""),17.99)</f>
        <v>17.99</v>
      </c>
      <c r="M862" s="195" t="str">
        <f>IFERROR(__xludf.DUMMYFUNCTION("""COMPUTED_VALUE"""),"Equity Key Stats")</f>
        <v>Equity Key Stats</v>
      </c>
      <c r="N862" s="5"/>
      <c r="O862" s="5"/>
      <c r="P862" s="142">
        <f>IFERROR(__xludf.DUMMYFUNCTION("""COMPUTED_VALUE"""),-29517.60714)</f>
        <v>-29517.60714</v>
      </c>
      <c r="Q862" s="5"/>
      <c r="R862" s="71">
        <f>IFERROR(__xludf.DUMMYFUNCTION("""COMPUTED_VALUE"""),17.99)</f>
        <v>17.99</v>
      </c>
      <c r="S862" s="142">
        <f>IFERROR(__xludf.DUMMYFUNCTION("""COMPUTED_VALUE"""),22190.62902)</f>
        <v>22190.62902</v>
      </c>
      <c r="T862" s="5">
        <f>IFERROR(__xludf.DUMMYFUNCTION("""COMPUTED_VALUE"""),2.0)</f>
        <v>2</v>
      </c>
      <c r="U862" s="5" t="str">
        <f>IFERROR(__xludf.DUMMYFUNCTION("""COMPUTED_VALUE"""),"")</f>
        <v/>
      </c>
      <c r="V862" s="22" t="str">
        <f>IFERROR(__xludf.DUMMYFUNCTION("""COMPUTED_VALUE"""),"")</f>
        <v/>
      </c>
      <c r="W862" s="9" t="str">
        <f>IFERROR(__xludf.DUMMYFUNCTION("""COMPUTED_VALUE"""),"")</f>
        <v/>
      </c>
      <c r="X862" s="22" t="str">
        <f>IFERROR(__xludf.DUMMYFUNCTION("""COMPUTED_VALUE"""),"")</f>
        <v/>
      </c>
      <c r="Y862" s="22" t="str">
        <f>IFERROR(__xludf.DUMMYFUNCTION("""COMPUTED_VALUE"""),"")</f>
        <v/>
      </c>
      <c r="Z862" s="24" t="str">
        <f>IFERROR(__xludf.DUMMYFUNCTION("""COMPUTED_VALUE"""),"")</f>
        <v/>
      </c>
    </row>
    <row r="863">
      <c r="A863" s="5" t="str">
        <f>IFERROR(__xludf.DUMMYFUNCTION("""COMPUTED_VALUE"""),"")</f>
        <v/>
      </c>
      <c r="B863" s="5" t="str">
        <f>IFERROR(__xludf.DUMMYFUNCTION("""COMPUTED_VALUE"""),"76369")</f>
        <v>76369</v>
      </c>
      <c r="C863" s="9">
        <f>IFERROR(__xludf.DUMMYFUNCTION("""COMPUTED_VALUE"""),4.461600032E10)</f>
        <v>44616000320</v>
      </c>
      <c r="D863" s="90" t="str">
        <f>IFERROR(__xludf.DUMMYFUNCTION("""COMPUTED_VALUE"""),"601808.SS")</f>
        <v>601808.SS</v>
      </c>
      <c r="E863" s="193">
        <f>IFERROR(__xludf.DUMMYFUNCTION("""COMPUTED_VALUE"""),44616.0)</f>
        <v>44616</v>
      </c>
      <c r="F863" s="5" t="str">
        <f>IFERROR(__xludf.DUMMYFUNCTION("""COMPUTED_VALUE"""),"Stock")</f>
        <v>Stock</v>
      </c>
      <c r="G863" s="5" t="str">
        <f>IFERROR(__xludf.DUMMYFUNCTION("""COMPUTED_VALUE"""),"CNY")</f>
        <v>CNY</v>
      </c>
      <c r="H863" s="22">
        <f>IFERROR(__xludf.DUMMYFUNCTION("""COMPUTED_VALUE"""),1000.0)</f>
        <v>1000</v>
      </c>
      <c r="I863" s="194">
        <f>IFERROR(__xludf.DUMMYFUNCTION("""COMPUTED_VALUE"""),1.233498)</f>
        <v>1.233498</v>
      </c>
      <c r="J863" s="23">
        <f>IFERROR(__xludf.DUMMYFUNCTION("""COMPUTED_VALUE"""),16.71)</f>
        <v>16.71</v>
      </c>
      <c r="K863" s="5"/>
      <c r="L863" s="23">
        <f>IFERROR(__xludf.DUMMYFUNCTION("""COMPUTED_VALUE"""),13.35)</f>
        <v>13.35</v>
      </c>
      <c r="M863" s="195" t="str">
        <f>IFERROR(__xludf.DUMMYFUNCTION("""COMPUTED_VALUE"""),"Equity Key Stats")</f>
        <v>Equity Key Stats</v>
      </c>
      <c r="N863" s="5"/>
      <c r="O863" s="5"/>
      <c r="P863" s="142">
        <f>IFERROR(__xludf.DUMMYFUNCTION("""COMPUTED_VALUE"""),-20611.75158)</f>
        <v>-20611.75158</v>
      </c>
      <c r="Q863" s="5"/>
      <c r="R863" s="71">
        <f>IFERROR(__xludf.DUMMYFUNCTION("""COMPUTED_VALUE"""),13.35)</f>
        <v>13.35</v>
      </c>
      <c r="S863" s="142">
        <f>IFERROR(__xludf.DUMMYFUNCTION("""COMPUTED_VALUE"""),16467.1983)</f>
        <v>16467.1983</v>
      </c>
      <c r="T863" s="5">
        <f>IFERROR(__xludf.DUMMYFUNCTION("""COMPUTED_VALUE"""),3.0)</f>
        <v>3</v>
      </c>
      <c r="U863" s="5" t="str">
        <f>IFERROR(__xludf.DUMMYFUNCTION("""COMPUTED_VALUE"""),"")</f>
        <v/>
      </c>
      <c r="V863" s="22" t="str">
        <f>IFERROR(__xludf.DUMMYFUNCTION("""COMPUTED_VALUE"""),"")</f>
        <v/>
      </c>
      <c r="W863" s="9" t="str">
        <f>IFERROR(__xludf.DUMMYFUNCTION("""COMPUTED_VALUE"""),"")</f>
        <v/>
      </c>
      <c r="X863" s="22" t="str">
        <f>IFERROR(__xludf.DUMMYFUNCTION("""COMPUTED_VALUE"""),"")</f>
        <v/>
      </c>
      <c r="Y863" s="22" t="str">
        <f>IFERROR(__xludf.DUMMYFUNCTION("""COMPUTED_VALUE"""),"")</f>
        <v/>
      </c>
      <c r="Z863" s="24" t="str">
        <f>IFERROR(__xludf.DUMMYFUNCTION("""COMPUTED_VALUE"""),"")</f>
        <v/>
      </c>
    </row>
    <row r="864">
      <c r="A864" s="5" t="str">
        <f>IFERROR(__xludf.DUMMYFUNCTION("""COMPUTED_VALUE"""),"")</f>
        <v/>
      </c>
      <c r="B864" s="5" t="str">
        <f>IFERROR(__xludf.DUMMYFUNCTION("""COMPUTED_VALUE"""),"76369")</f>
        <v>76369</v>
      </c>
      <c r="C864" s="9">
        <f>IFERROR(__xludf.DUMMYFUNCTION("""COMPUTED_VALUE"""),4.4616000321E10)</f>
        <v>44616000321</v>
      </c>
      <c r="D864" s="90" t="str">
        <f>IFERROR(__xludf.DUMMYFUNCTION("""COMPUTED_VALUE"""),"601808.SS")</f>
        <v>601808.SS</v>
      </c>
      <c r="E864" s="193">
        <f>IFERROR(__xludf.DUMMYFUNCTION("""COMPUTED_VALUE"""),44616.0)</f>
        <v>44616</v>
      </c>
      <c r="F864" s="5" t="str">
        <f>IFERROR(__xludf.DUMMYFUNCTION("""COMPUTED_VALUE"""),"Stock")</f>
        <v>Stock</v>
      </c>
      <c r="G864" s="5" t="str">
        <f>IFERROR(__xludf.DUMMYFUNCTION("""COMPUTED_VALUE"""),"CNY")</f>
        <v>CNY</v>
      </c>
      <c r="H864" s="22">
        <f>IFERROR(__xludf.DUMMYFUNCTION("""COMPUTED_VALUE"""),1000.0)</f>
        <v>1000</v>
      </c>
      <c r="I864" s="194">
        <f>IFERROR(__xludf.DUMMYFUNCTION("""COMPUTED_VALUE"""),1.233498)</f>
        <v>1.233498</v>
      </c>
      <c r="J864" s="23">
        <f>IFERROR(__xludf.DUMMYFUNCTION("""COMPUTED_VALUE"""),16.71)</f>
        <v>16.71</v>
      </c>
      <c r="K864" s="5"/>
      <c r="L864" s="23">
        <f>IFERROR(__xludf.DUMMYFUNCTION("""COMPUTED_VALUE"""),13.35)</f>
        <v>13.35</v>
      </c>
      <c r="M864" s="195" t="str">
        <f>IFERROR(__xludf.DUMMYFUNCTION("""COMPUTED_VALUE"""),"Equity Key Stats")</f>
        <v>Equity Key Stats</v>
      </c>
      <c r="N864" s="5"/>
      <c r="O864" s="5"/>
      <c r="P864" s="142">
        <f>IFERROR(__xludf.DUMMYFUNCTION("""COMPUTED_VALUE"""),-20611.75158)</f>
        <v>-20611.75158</v>
      </c>
      <c r="Q864" s="5"/>
      <c r="R864" s="71">
        <f>IFERROR(__xludf.DUMMYFUNCTION("""COMPUTED_VALUE"""),13.35)</f>
        <v>13.35</v>
      </c>
      <c r="S864" s="142">
        <f>IFERROR(__xludf.DUMMYFUNCTION("""COMPUTED_VALUE"""),16467.1983)</f>
        <v>16467.1983</v>
      </c>
      <c r="T864" s="5">
        <f>IFERROR(__xludf.DUMMYFUNCTION("""COMPUTED_VALUE"""),3.0)</f>
        <v>3</v>
      </c>
      <c r="U864" s="5" t="str">
        <f>IFERROR(__xludf.DUMMYFUNCTION("""COMPUTED_VALUE"""),"")</f>
        <v/>
      </c>
      <c r="V864" s="22" t="str">
        <f>IFERROR(__xludf.DUMMYFUNCTION("""COMPUTED_VALUE"""),"")</f>
        <v/>
      </c>
      <c r="W864" s="9" t="str">
        <f>IFERROR(__xludf.DUMMYFUNCTION("""COMPUTED_VALUE"""),"")</f>
        <v/>
      </c>
      <c r="X864" s="22" t="str">
        <f>IFERROR(__xludf.DUMMYFUNCTION("""COMPUTED_VALUE"""),"")</f>
        <v/>
      </c>
      <c r="Y864" s="22" t="str">
        <f>IFERROR(__xludf.DUMMYFUNCTION("""COMPUTED_VALUE"""),"")</f>
        <v/>
      </c>
      <c r="Z864" s="24" t="str">
        <f>IFERROR(__xludf.DUMMYFUNCTION("""COMPUTED_VALUE"""),"")</f>
        <v/>
      </c>
    </row>
    <row r="865">
      <c r="A865" s="5" t="str">
        <f>IFERROR(__xludf.DUMMYFUNCTION("""COMPUTED_VALUE"""),"")</f>
        <v/>
      </c>
      <c r="B865" s="5" t="str">
        <f>IFERROR(__xludf.DUMMYFUNCTION("""COMPUTED_VALUE"""),"76369")</f>
        <v>76369</v>
      </c>
      <c r="C865" s="9">
        <f>IFERROR(__xludf.DUMMYFUNCTION("""COMPUTED_VALUE"""),4.4616000322E10)</f>
        <v>44616000322</v>
      </c>
      <c r="D865" s="90" t="str">
        <f>IFERROR(__xludf.DUMMYFUNCTION("""COMPUTED_VALUE"""),"300922.SZ")</f>
        <v>300922.SZ</v>
      </c>
      <c r="E865" s="193">
        <f>IFERROR(__xludf.DUMMYFUNCTION("""COMPUTED_VALUE"""),44616.0)</f>
        <v>44616</v>
      </c>
      <c r="F865" s="5" t="str">
        <f>IFERROR(__xludf.DUMMYFUNCTION("""COMPUTED_VALUE"""),"Stock")</f>
        <v>Stock</v>
      </c>
      <c r="G865" s="5" t="str">
        <f>IFERROR(__xludf.DUMMYFUNCTION("""COMPUTED_VALUE"""),"CNY")</f>
        <v>CNY</v>
      </c>
      <c r="H865" s="22">
        <f>IFERROR(__xludf.DUMMYFUNCTION("""COMPUTED_VALUE"""),1000.0)</f>
        <v>1000</v>
      </c>
      <c r="I865" s="194">
        <f>IFERROR(__xludf.DUMMYFUNCTION("""COMPUTED_VALUE"""),1.233498)</f>
        <v>1.233498</v>
      </c>
      <c r="J865" s="23">
        <f>IFERROR(__xludf.DUMMYFUNCTION("""COMPUTED_VALUE"""),38.29)</f>
        <v>38.29</v>
      </c>
      <c r="K865" s="5"/>
      <c r="L865" s="23">
        <f>IFERROR(__xludf.DUMMYFUNCTION("""COMPUTED_VALUE"""),26.08)</f>
        <v>26.08</v>
      </c>
      <c r="M865" s="195" t="str">
        <f>IFERROR(__xludf.DUMMYFUNCTION("""COMPUTED_VALUE"""),"Equity Key Stats")</f>
        <v>Equity Key Stats</v>
      </c>
      <c r="N865" s="5"/>
      <c r="O865" s="5"/>
      <c r="P865" s="142">
        <f>IFERROR(__xludf.DUMMYFUNCTION("""COMPUTED_VALUE"""),-47230.63842)</f>
        <v>-47230.63842</v>
      </c>
      <c r="Q865" s="5"/>
      <c r="R865" s="71">
        <f>IFERROR(__xludf.DUMMYFUNCTION("""COMPUTED_VALUE"""),26.08)</f>
        <v>26.08</v>
      </c>
      <c r="S865" s="142">
        <f>IFERROR(__xludf.DUMMYFUNCTION("""COMPUTED_VALUE"""),32169.627839999997)</f>
        <v>32169.62784</v>
      </c>
      <c r="T865" s="5">
        <f>IFERROR(__xludf.DUMMYFUNCTION("""COMPUTED_VALUE"""),4.0)</f>
        <v>4</v>
      </c>
      <c r="U865" s="5" t="str">
        <f>IFERROR(__xludf.DUMMYFUNCTION("""COMPUTED_VALUE"""),"")</f>
        <v/>
      </c>
      <c r="V865" s="22" t="str">
        <f>IFERROR(__xludf.DUMMYFUNCTION("""COMPUTED_VALUE"""),"")</f>
        <v/>
      </c>
      <c r="W865" s="9" t="str">
        <f>IFERROR(__xludf.DUMMYFUNCTION("""COMPUTED_VALUE"""),"")</f>
        <v/>
      </c>
      <c r="X865" s="22" t="str">
        <f>IFERROR(__xludf.DUMMYFUNCTION("""COMPUTED_VALUE"""),"")</f>
        <v/>
      </c>
      <c r="Y865" s="22" t="str">
        <f>IFERROR(__xludf.DUMMYFUNCTION("""COMPUTED_VALUE"""),"")</f>
        <v/>
      </c>
      <c r="Z865" s="24" t="str">
        <f>IFERROR(__xludf.DUMMYFUNCTION("""COMPUTED_VALUE"""),"")</f>
        <v/>
      </c>
    </row>
    <row r="866">
      <c r="A866" s="5" t="str">
        <f>IFERROR(__xludf.DUMMYFUNCTION("""COMPUTED_VALUE"""),"")</f>
        <v/>
      </c>
      <c r="B866" s="5" t="str">
        <f>IFERROR(__xludf.DUMMYFUNCTION("""COMPUTED_VALUE"""),"76369")</f>
        <v>76369</v>
      </c>
      <c r="C866" s="9">
        <f>IFERROR(__xludf.DUMMYFUNCTION("""COMPUTED_VALUE"""),4.4616000323E10)</f>
        <v>44616000323</v>
      </c>
      <c r="D866" s="90" t="str">
        <f>IFERROR(__xludf.DUMMYFUNCTION("""COMPUTED_VALUE"""),"300922.SZ")</f>
        <v>300922.SZ</v>
      </c>
      <c r="E866" s="193">
        <f>IFERROR(__xludf.DUMMYFUNCTION("""COMPUTED_VALUE"""),44616.0)</f>
        <v>44616</v>
      </c>
      <c r="F866" s="5" t="str">
        <f>IFERROR(__xludf.DUMMYFUNCTION("""COMPUTED_VALUE"""),"Stock")</f>
        <v>Stock</v>
      </c>
      <c r="G866" s="5" t="str">
        <f>IFERROR(__xludf.DUMMYFUNCTION("""COMPUTED_VALUE"""),"CNY")</f>
        <v>CNY</v>
      </c>
      <c r="H866" s="22">
        <f>IFERROR(__xludf.DUMMYFUNCTION("""COMPUTED_VALUE"""),500.0)</f>
        <v>500</v>
      </c>
      <c r="I866" s="194">
        <f>IFERROR(__xludf.DUMMYFUNCTION("""COMPUTED_VALUE"""),1.233498)</f>
        <v>1.233498</v>
      </c>
      <c r="J866" s="23">
        <f>IFERROR(__xludf.DUMMYFUNCTION("""COMPUTED_VALUE"""),38.29)</f>
        <v>38.29</v>
      </c>
      <c r="K866" s="5"/>
      <c r="L866" s="23">
        <f>IFERROR(__xludf.DUMMYFUNCTION("""COMPUTED_VALUE"""),26.08)</f>
        <v>26.08</v>
      </c>
      <c r="M866" s="195" t="str">
        <f>IFERROR(__xludf.DUMMYFUNCTION("""COMPUTED_VALUE"""),"Equity Key Stats")</f>
        <v>Equity Key Stats</v>
      </c>
      <c r="N866" s="5"/>
      <c r="O866" s="5"/>
      <c r="P866" s="142">
        <f>IFERROR(__xludf.DUMMYFUNCTION("""COMPUTED_VALUE"""),-23615.31921)</f>
        <v>-23615.31921</v>
      </c>
      <c r="Q866" s="5"/>
      <c r="R866" s="71">
        <f>IFERROR(__xludf.DUMMYFUNCTION("""COMPUTED_VALUE"""),26.08)</f>
        <v>26.08</v>
      </c>
      <c r="S866" s="142">
        <f>IFERROR(__xludf.DUMMYFUNCTION("""COMPUTED_VALUE"""),16084.813919999999)</f>
        <v>16084.81392</v>
      </c>
      <c r="T866" s="5">
        <f>IFERROR(__xludf.DUMMYFUNCTION("""COMPUTED_VALUE"""),4.0)</f>
        <v>4</v>
      </c>
      <c r="U866" s="5" t="str">
        <f>IFERROR(__xludf.DUMMYFUNCTION("""COMPUTED_VALUE"""),"")</f>
        <v/>
      </c>
      <c r="V866" s="22" t="str">
        <f>IFERROR(__xludf.DUMMYFUNCTION("""COMPUTED_VALUE"""),"")</f>
        <v/>
      </c>
      <c r="W866" s="9" t="str">
        <f>IFERROR(__xludf.DUMMYFUNCTION("""COMPUTED_VALUE"""),"")</f>
        <v/>
      </c>
      <c r="X866" s="22" t="str">
        <f>IFERROR(__xludf.DUMMYFUNCTION("""COMPUTED_VALUE"""),"")</f>
        <v/>
      </c>
      <c r="Y866" s="22" t="str">
        <f>IFERROR(__xludf.DUMMYFUNCTION("""COMPUTED_VALUE"""),"")</f>
        <v/>
      </c>
      <c r="Z866" s="24" t="str">
        <f>IFERROR(__xludf.DUMMYFUNCTION("""COMPUTED_VALUE"""),"")</f>
        <v/>
      </c>
    </row>
    <row r="867">
      <c r="A867" s="5" t="str">
        <f>IFERROR(__xludf.DUMMYFUNCTION("""COMPUTED_VALUE"""),"")</f>
        <v/>
      </c>
      <c r="B867" s="5" t="str">
        <f>IFERROR(__xludf.DUMMYFUNCTION("""COMPUTED_VALUE"""),"76369")</f>
        <v>76369</v>
      </c>
      <c r="C867" s="9">
        <f>IFERROR(__xludf.DUMMYFUNCTION("""COMPUTED_VALUE"""),4.4617000339E10)</f>
        <v>44617000339</v>
      </c>
      <c r="D867" s="90" t="str">
        <f>IFERROR(__xludf.DUMMYFUNCTION("""COMPUTED_VALUE"""),"000554.SZ")</f>
        <v>000554.SZ</v>
      </c>
      <c r="E867" s="193">
        <f>IFERROR(__xludf.DUMMYFUNCTION("""COMPUTED_VALUE"""),44617.0)</f>
        <v>44617</v>
      </c>
      <c r="F867" s="5" t="str">
        <f>IFERROR(__xludf.DUMMYFUNCTION("""COMPUTED_VALUE"""),"Stock")</f>
        <v>Stock</v>
      </c>
      <c r="G867" s="5" t="str">
        <f>IFERROR(__xludf.DUMMYFUNCTION("""COMPUTED_VALUE"""),"CNY")</f>
        <v>CNY</v>
      </c>
      <c r="H867" s="22">
        <f>IFERROR(__xludf.DUMMYFUNCTION("""COMPUTED_VALUE"""),-1000.0)</f>
        <v>-1000</v>
      </c>
      <c r="I867" s="194">
        <f>IFERROR(__xludf.DUMMYFUNCTION("""COMPUTED_VALUE"""),1.235635)</f>
        <v>1.235635</v>
      </c>
      <c r="J867" s="23">
        <f>IFERROR(__xludf.DUMMYFUNCTION("""COMPUTED_VALUE"""),6.23)</f>
        <v>6.23</v>
      </c>
      <c r="K867" s="5"/>
      <c r="L867" s="23">
        <f>IFERROR(__xludf.DUMMYFUNCTION("""COMPUTED_VALUE"""),5.19)</f>
        <v>5.19</v>
      </c>
      <c r="M867" s="195" t="str">
        <f>IFERROR(__xludf.DUMMYFUNCTION("""COMPUTED_VALUE"""),"Equity Key Stats")</f>
        <v>Equity Key Stats</v>
      </c>
      <c r="N867" s="5"/>
      <c r="O867" s="5"/>
      <c r="P867" s="142">
        <f>IFERROR(__xludf.DUMMYFUNCTION("""COMPUTED_VALUE"""),7698.006050000001)</f>
        <v>7698.00605</v>
      </c>
      <c r="Q867" s="5"/>
      <c r="R867" s="71">
        <f>IFERROR(__xludf.DUMMYFUNCTION("""COMPUTED_VALUE"""),5.19)</f>
        <v>5.19</v>
      </c>
      <c r="S867" s="142">
        <f>IFERROR(__xludf.DUMMYFUNCTION("""COMPUTED_VALUE"""),-6412.945650000001)</f>
        <v>-6412.94565</v>
      </c>
      <c r="T867" s="5">
        <f>IFERROR(__xludf.DUMMYFUNCTION("""COMPUTED_VALUE"""),2.0)</f>
        <v>2</v>
      </c>
      <c r="U867" s="5">
        <f>IFERROR(__xludf.DUMMYFUNCTION("""COMPUTED_VALUE"""),1.0)</f>
        <v>1</v>
      </c>
      <c r="V867" s="22">
        <f>IFERROR(__xludf.DUMMYFUNCTION("""COMPUTED_VALUE"""),-232.14213999999902)</f>
        <v>-232.14214</v>
      </c>
      <c r="W867" s="9" t="str">
        <f>IFERROR(__xludf.DUMMYFUNCTION("""COMPUTED_VALUE"""),"")</f>
        <v/>
      </c>
      <c r="X867" s="22" t="str">
        <f>IFERROR(__xludf.DUMMYFUNCTION("""COMPUTED_VALUE"""),"")</f>
        <v/>
      </c>
      <c r="Y867" s="22" t="str">
        <f>IFERROR(__xludf.DUMMYFUNCTION("""COMPUTED_VALUE"""),"")</f>
        <v/>
      </c>
      <c r="Z867" s="24" t="str">
        <f>IFERROR(__xludf.DUMMYFUNCTION("""COMPUTED_VALUE"""),"")</f>
        <v/>
      </c>
    </row>
    <row r="868">
      <c r="A868" s="5" t="str">
        <f>IFERROR(__xludf.DUMMYFUNCTION("""COMPUTED_VALUE"""),"")</f>
        <v/>
      </c>
      <c r="B868" s="5" t="str">
        <f>IFERROR(__xludf.DUMMYFUNCTION("""COMPUTED_VALUE"""),"76369")</f>
        <v>76369</v>
      </c>
      <c r="C868" s="9">
        <f>IFERROR(__xludf.DUMMYFUNCTION("""COMPUTED_VALUE"""),4.461700034E10)</f>
        <v>44617000340</v>
      </c>
      <c r="D868" s="90" t="str">
        <f>IFERROR(__xludf.DUMMYFUNCTION("""COMPUTED_VALUE"""),"300945.SZ")</f>
        <v>300945.SZ</v>
      </c>
      <c r="E868" s="193">
        <f>IFERROR(__xludf.DUMMYFUNCTION("""COMPUTED_VALUE"""),44617.0)</f>
        <v>44617</v>
      </c>
      <c r="F868" s="5" t="str">
        <f>IFERROR(__xludf.DUMMYFUNCTION("""COMPUTED_VALUE"""),"Stock")</f>
        <v>Stock</v>
      </c>
      <c r="G868" s="5" t="str">
        <f>IFERROR(__xludf.DUMMYFUNCTION("""COMPUTED_VALUE"""),"CNY")</f>
        <v>CNY</v>
      </c>
      <c r="H868" s="22">
        <f>IFERROR(__xludf.DUMMYFUNCTION("""COMPUTED_VALUE"""),-1000.0)</f>
        <v>-1000</v>
      </c>
      <c r="I868" s="194">
        <f>IFERROR(__xludf.DUMMYFUNCTION("""COMPUTED_VALUE"""),1.235635)</f>
        <v>1.235635</v>
      </c>
      <c r="J868" s="23">
        <f>IFERROR(__xludf.DUMMYFUNCTION("""COMPUTED_VALUE"""),22.61)</f>
        <v>22.61</v>
      </c>
      <c r="K868" s="5"/>
      <c r="L868" s="23">
        <f>IFERROR(__xludf.DUMMYFUNCTION("""COMPUTED_VALUE"""),17.99)</f>
        <v>17.99</v>
      </c>
      <c r="M868" s="195" t="str">
        <f>IFERROR(__xludf.DUMMYFUNCTION("""COMPUTED_VALUE"""),"Equity Key Stats")</f>
        <v>Equity Key Stats</v>
      </c>
      <c r="N868" s="5"/>
      <c r="O868" s="5"/>
      <c r="P868" s="142">
        <f>IFERROR(__xludf.DUMMYFUNCTION("""COMPUTED_VALUE"""),27937.70735)</f>
        <v>27937.70735</v>
      </c>
      <c r="Q868" s="5"/>
      <c r="R868" s="71">
        <f>IFERROR(__xludf.DUMMYFUNCTION("""COMPUTED_VALUE"""),17.99)</f>
        <v>17.99</v>
      </c>
      <c r="S868" s="142">
        <f>IFERROR(__xludf.DUMMYFUNCTION("""COMPUTED_VALUE"""),-22229.07365)</f>
        <v>-22229.07365</v>
      </c>
      <c r="T868" s="5">
        <f>IFERROR(__xludf.DUMMYFUNCTION("""COMPUTED_VALUE"""),2.0)</f>
        <v>2</v>
      </c>
      <c r="U868" s="5">
        <f>IFERROR(__xludf.DUMMYFUNCTION("""COMPUTED_VALUE"""),1.0)</f>
        <v>1</v>
      </c>
      <c r="V868" s="22">
        <f>IFERROR(__xludf.DUMMYFUNCTION("""COMPUTED_VALUE"""),-1618.3444199999976)</f>
        <v>-1618.34442</v>
      </c>
      <c r="W868" s="9" t="str">
        <f>IFERROR(__xludf.DUMMYFUNCTION("""COMPUTED_VALUE"""),"")</f>
        <v/>
      </c>
      <c r="X868" s="22" t="str">
        <f>IFERROR(__xludf.DUMMYFUNCTION("""COMPUTED_VALUE"""),"")</f>
        <v/>
      </c>
      <c r="Y868" s="22" t="str">
        <f>IFERROR(__xludf.DUMMYFUNCTION("""COMPUTED_VALUE"""),"")</f>
        <v/>
      </c>
      <c r="Z868" s="24" t="str">
        <f>IFERROR(__xludf.DUMMYFUNCTION("""COMPUTED_VALUE"""),"")</f>
        <v/>
      </c>
    </row>
    <row r="869">
      <c r="A869" s="5" t="str">
        <f>IFERROR(__xludf.DUMMYFUNCTION("""COMPUTED_VALUE"""),"")</f>
        <v/>
      </c>
      <c r="B869" s="5" t="str">
        <f>IFERROR(__xludf.DUMMYFUNCTION("""COMPUTED_VALUE"""),"76369")</f>
        <v>76369</v>
      </c>
      <c r="C869" s="9">
        <f>IFERROR(__xludf.DUMMYFUNCTION("""COMPUTED_VALUE"""),4.4617000341E10)</f>
        <v>44617000341</v>
      </c>
      <c r="D869" s="90" t="str">
        <f>IFERROR(__xludf.DUMMYFUNCTION("""COMPUTED_VALUE"""),"601808.SS")</f>
        <v>601808.SS</v>
      </c>
      <c r="E869" s="193">
        <f>IFERROR(__xludf.DUMMYFUNCTION("""COMPUTED_VALUE"""),44617.0)</f>
        <v>44617</v>
      </c>
      <c r="F869" s="5" t="str">
        <f>IFERROR(__xludf.DUMMYFUNCTION("""COMPUTED_VALUE"""),"Stock")</f>
        <v>Stock</v>
      </c>
      <c r="G869" s="5" t="str">
        <f>IFERROR(__xludf.DUMMYFUNCTION("""COMPUTED_VALUE"""),"CNY")</f>
        <v>CNY</v>
      </c>
      <c r="H869" s="22">
        <f>IFERROR(__xludf.DUMMYFUNCTION("""COMPUTED_VALUE"""),-1000.0)</f>
        <v>-1000</v>
      </c>
      <c r="I869" s="194">
        <f>IFERROR(__xludf.DUMMYFUNCTION("""COMPUTED_VALUE"""),1.235635)</f>
        <v>1.235635</v>
      </c>
      <c r="J869" s="23">
        <f>IFERROR(__xludf.DUMMYFUNCTION("""COMPUTED_VALUE"""),16.49)</f>
        <v>16.49</v>
      </c>
      <c r="K869" s="5"/>
      <c r="L869" s="23">
        <f>IFERROR(__xludf.DUMMYFUNCTION("""COMPUTED_VALUE"""),13.35)</f>
        <v>13.35</v>
      </c>
      <c r="M869" s="195" t="str">
        <f>IFERROR(__xludf.DUMMYFUNCTION("""COMPUTED_VALUE"""),"Equity Key Stats")</f>
        <v>Equity Key Stats</v>
      </c>
      <c r="N869" s="5"/>
      <c r="O869" s="5"/>
      <c r="P869" s="142">
        <f>IFERROR(__xludf.DUMMYFUNCTION("""COMPUTED_VALUE"""),20375.62115)</f>
        <v>20375.62115</v>
      </c>
      <c r="Q869" s="5"/>
      <c r="R869" s="71">
        <f>IFERROR(__xludf.DUMMYFUNCTION("""COMPUTED_VALUE"""),13.35)</f>
        <v>13.35</v>
      </c>
      <c r="S869" s="142">
        <f>IFERROR(__xludf.DUMMYFUNCTION("""COMPUTED_VALUE"""),-16495.72725)</f>
        <v>-16495.72725</v>
      </c>
      <c r="T869" s="5">
        <f>IFERROR(__xludf.DUMMYFUNCTION("""COMPUTED_VALUE"""),3.0)</f>
        <v>3</v>
      </c>
      <c r="U869" s="5">
        <f>IFERROR(__xludf.DUMMYFUNCTION("""COMPUTED_VALUE"""),1.0)</f>
        <v>1</v>
      </c>
      <c r="V869" s="22">
        <f>IFERROR(__xludf.DUMMYFUNCTION("""COMPUTED_VALUE"""),-4409.212660000001)</f>
        <v>-4409.21266</v>
      </c>
      <c r="W869" s="9" t="str">
        <f>IFERROR(__xludf.DUMMYFUNCTION("""COMPUTED_VALUE"""),"")</f>
        <v/>
      </c>
      <c r="X869" s="22" t="str">
        <f>IFERROR(__xludf.DUMMYFUNCTION("""COMPUTED_VALUE"""),"")</f>
        <v/>
      </c>
      <c r="Y869" s="22" t="str">
        <f>IFERROR(__xludf.DUMMYFUNCTION("""COMPUTED_VALUE"""),"")</f>
        <v/>
      </c>
      <c r="Z869" s="24" t="str">
        <f>IFERROR(__xludf.DUMMYFUNCTION("""COMPUTED_VALUE"""),"")</f>
        <v/>
      </c>
    </row>
    <row r="870">
      <c r="A870" s="5" t="str">
        <f>IFERROR(__xludf.DUMMYFUNCTION("""COMPUTED_VALUE"""),"")</f>
        <v/>
      </c>
      <c r="B870" s="5" t="str">
        <f>IFERROR(__xludf.DUMMYFUNCTION("""COMPUTED_VALUE"""),"76369")</f>
        <v>76369</v>
      </c>
      <c r="C870" s="9">
        <f>IFERROR(__xludf.DUMMYFUNCTION("""COMPUTED_VALUE"""),4.4617000342E10)</f>
        <v>44617000342</v>
      </c>
      <c r="D870" s="90" t="str">
        <f>IFERROR(__xludf.DUMMYFUNCTION("""COMPUTED_VALUE"""),"300922.SZ")</f>
        <v>300922.SZ</v>
      </c>
      <c r="E870" s="193">
        <f>IFERROR(__xludf.DUMMYFUNCTION("""COMPUTED_VALUE"""),44617.0)</f>
        <v>44617</v>
      </c>
      <c r="F870" s="5" t="str">
        <f>IFERROR(__xludf.DUMMYFUNCTION("""COMPUTED_VALUE"""),"Stock")</f>
        <v>Stock</v>
      </c>
      <c r="G870" s="5" t="str">
        <f>IFERROR(__xludf.DUMMYFUNCTION("""COMPUTED_VALUE"""),"CNY")</f>
        <v>CNY</v>
      </c>
      <c r="H870" s="22">
        <f>IFERROR(__xludf.DUMMYFUNCTION("""COMPUTED_VALUE"""),-500.0)</f>
        <v>-500</v>
      </c>
      <c r="I870" s="194">
        <f>IFERROR(__xludf.DUMMYFUNCTION("""COMPUTED_VALUE"""),1.235635)</f>
        <v>1.235635</v>
      </c>
      <c r="J870" s="23">
        <f>IFERROR(__xludf.DUMMYFUNCTION("""COMPUTED_VALUE"""),36.83)</f>
        <v>36.83</v>
      </c>
      <c r="K870" s="5"/>
      <c r="L870" s="23">
        <f>IFERROR(__xludf.DUMMYFUNCTION("""COMPUTED_VALUE"""),26.08)</f>
        <v>26.08</v>
      </c>
      <c r="M870" s="195" t="str">
        <f>IFERROR(__xludf.DUMMYFUNCTION("""COMPUTED_VALUE"""),"Equity Key Stats")</f>
        <v>Equity Key Stats</v>
      </c>
      <c r="N870" s="5"/>
      <c r="O870" s="5"/>
      <c r="P870" s="142">
        <f>IFERROR(__xludf.DUMMYFUNCTION("""COMPUTED_VALUE"""),22754.218525)</f>
        <v>22754.21853</v>
      </c>
      <c r="Q870" s="5"/>
      <c r="R870" s="71">
        <f>IFERROR(__xludf.DUMMYFUNCTION("""COMPUTED_VALUE"""),26.08)</f>
        <v>26.08</v>
      </c>
      <c r="S870" s="142">
        <f>IFERROR(__xludf.DUMMYFUNCTION("""COMPUTED_VALUE"""),-16112.6804)</f>
        <v>-16112.6804</v>
      </c>
      <c r="T870" s="5">
        <f>IFERROR(__xludf.DUMMYFUNCTION("""COMPUTED_VALUE"""),4.0)</f>
        <v>4</v>
      </c>
      <c r="U870" s="5" t="str">
        <f>IFERROR(__xludf.DUMMYFUNCTION("""COMPUTED_VALUE"""),"")</f>
        <v/>
      </c>
      <c r="V870" s="22" t="str">
        <f>IFERROR(__xludf.DUMMYFUNCTION("""COMPUTED_VALUE"""),"")</f>
        <v/>
      </c>
      <c r="W870" s="9" t="str">
        <f>IFERROR(__xludf.DUMMYFUNCTION("""COMPUTED_VALUE"""),"")</f>
        <v/>
      </c>
      <c r="X870" s="22" t="str">
        <f>IFERROR(__xludf.DUMMYFUNCTION("""COMPUTED_VALUE"""),"")</f>
        <v/>
      </c>
      <c r="Y870" s="22" t="str">
        <f>IFERROR(__xludf.DUMMYFUNCTION("""COMPUTED_VALUE"""),"")</f>
        <v/>
      </c>
      <c r="Z870" s="24" t="str">
        <f>IFERROR(__xludf.DUMMYFUNCTION("""COMPUTED_VALUE"""),"")</f>
        <v/>
      </c>
    </row>
    <row r="871">
      <c r="A871" s="5" t="str">
        <f>IFERROR(__xludf.DUMMYFUNCTION("""COMPUTED_VALUE"""),"")</f>
        <v/>
      </c>
      <c r="B871" s="5" t="str">
        <f>IFERROR(__xludf.DUMMYFUNCTION("""COMPUTED_VALUE"""),"76369")</f>
        <v>76369</v>
      </c>
      <c r="C871" s="9">
        <f>IFERROR(__xludf.DUMMYFUNCTION("""COMPUTED_VALUE"""),4.4617000347E10)</f>
        <v>44617000347</v>
      </c>
      <c r="D871" s="90" t="str">
        <f>IFERROR(__xludf.DUMMYFUNCTION("""COMPUTED_VALUE"""),"603967.SS")</f>
        <v>603967.SS</v>
      </c>
      <c r="E871" s="193">
        <f>IFERROR(__xludf.DUMMYFUNCTION("""COMPUTED_VALUE"""),44617.0)</f>
        <v>44617</v>
      </c>
      <c r="F871" s="5" t="str">
        <f>IFERROR(__xludf.DUMMYFUNCTION("""COMPUTED_VALUE"""),"Stock")</f>
        <v>Stock</v>
      </c>
      <c r="G871" s="5" t="str">
        <f>IFERROR(__xludf.DUMMYFUNCTION("""COMPUTED_VALUE"""),"CNY")</f>
        <v>CNY</v>
      </c>
      <c r="H871" s="22">
        <f>IFERROR(__xludf.DUMMYFUNCTION("""COMPUTED_VALUE"""),500.0)</f>
        <v>500</v>
      </c>
      <c r="I871" s="194">
        <f>IFERROR(__xludf.DUMMYFUNCTION("""COMPUTED_VALUE"""),1.235635)</f>
        <v>1.235635</v>
      </c>
      <c r="J871" s="23">
        <f>IFERROR(__xludf.DUMMYFUNCTION("""COMPUTED_VALUE"""),12.95)</f>
        <v>12.95</v>
      </c>
      <c r="K871" s="5"/>
      <c r="L871" s="23">
        <f>IFERROR(__xludf.DUMMYFUNCTION("""COMPUTED_VALUE"""),14.56)</f>
        <v>14.56</v>
      </c>
      <c r="M871" s="195" t="str">
        <f>IFERROR(__xludf.DUMMYFUNCTION("""COMPUTED_VALUE"""),"Equity Key Stats")</f>
        <v>Equity Key Stats</v>
      </c>
      <c r="N871" s="5"/>
      <c r="O871" s="5"/>
      <c r="P871" s="142">
        <f>IFERROR(__xludf.DUMMYFUNCTION("""COMPUTED_VALUE"""),-8000.736625)</f>
        <v>-8000.736625</v>
      </c>
      <c r="Q871" s="5"/>
      <c r="R871" s="71">
        <f>IFERROR(__xludf.DUMMYFUNCTION("""COMPUTED_VALUE"""),14.56)</f>
        <v>14.56</v>
      </c>
      <c r="S871" s="142">
        <f>IFERROR(__xludf.DUMMYFUNCTION("""COMPUTED_VALUE"""),8995.4228)</f>
        <v>8995.4228</v>
      </c>
      <c r="T871" s="5">
        <f>IFERROR(__xludf.DUMMYFUNCTION("""COMPUTED_VALUE"""),2.0)</f>
        <v>2</v>
      </c>
      <c r="U871" s="5" t="str">
        <f>IFERROR(__xludf.DUMMYFUNCTION("""COMPUTED_VALUE"""),"")</f>
        <v/>
      </c>
      <c r="V871" s="22" t="str">
        <f>IFERROR(__xludf.DUMMYFUNCTION("""COMPUTED_VALUE"""),"")</f>
        <v/>
      </c>
      <c r="W871" s="9" t="str">
        <f>IFERROR(__xludf.DUMMYFUNCTION("""COMPUTED_VALUE"""),"")</f>
        <v/>
      </c>
      <c r="X871" s="22" t="str">
        <f>IFERROR(__xludf.DUMMYFUNCTION("""COMPUTED_VALUE"""),"")</f>
        <v/>
      </c>
      <c r="Y871" s="22" t="str">
        <f>IFERROR(__xludf.DUMMYFUNCTION("""COMPUTED_VALUE"""),"")</f>
        <v/>
      </c>
      <c r="Z871" s="24" t="str">
        <f>IFERROR(__xludf.DUMMYFUNCTION("""COMPUTED_VALUE"""),"")</f>
        <v/>
      </c>
    </row>
    <row r="872">
      <c r="A872" s="5" t="str">
        <f>IFERROR(__xludf.DUMMYFUNCTION("""COMPUTED_VALUE"""),"")</f>
        <v/>
      </c>
      <c r="B872" s="5" t="str">
        <f>IFERROR(__xludf.DUMMYFUNCTION("""COMPUTED_VALUE"""),"76369")</f>
        <v>76369</v>
      </c>
      <c r="C872" s="9">
        <f>IFERROR(__xludf.DUMMYFUNCTION("""COMPUTED_VALUE"""),4.4617000349E10)</f>
        <v>44617000349</v>
      </c>
      <c r="D872" s="90" t="str">
        <f>IFERROR(__xludf.DUMMYFUNCTION("""COMPUTED_VALUE"""),"300922.SZ")</f>
        <v>300922.SZ</v>
      </c>
      <c r="E872" s="193">
        <f>IFERROR(__xludf.DUMMYFUNCTION("""COMPUTED_VALUE"""),44617.0)</f>
        <v>44617</v>
      </c>
      <c r="F872" s="5" t="str">
        <f>IFERROR(__xludf.DUMMYFUNCTION("""COMPUTED_VALUE"""),"Stock")</f>
        <v>Stock</v>
      </c>
      <c r="G872" s="5" t="str">
        <f>IFERROR(__xludf.DUMMYFUNCTION("""COMPUTED_VALUE"""),"CNY")</f>
        <v>CNY</v>
      </c>
      <c r="H872" s="22">
        <f>IFERROR(__xludf.DUMMYFUNCTION("""COMPUTED_VALUE"""),-1000.0)</f>
        <v>-1000</v>
      </c>
      <c r="I872" s="194">
        <f>IFERROR(__xludf.DUMMYFUNCTION("""COMPUTED_VALUE"""),1.235635)</f>
        <v>1.235635</v>
      </c>
      <c r="J872" s="23">
        <f>IFERROR(__xludf.DUMMYFUNCTION("""COMPUTED_VALUE"""),36.83)</f>
        <v>36.83</v>
      </c>
      <c r="K872" s="5"/>
      <c r="L872" s="23">
        <f>IFERROR(__xludf.DUMMYFUNCTION("""COMPUTED_VALUE"""),26.08)</f>
        <v>26.08</v>
      </c>
      <c r="M872" s="195" t="str">
        <f>IFERROR(__xludf.DUMMYFUNCTION("""COMPUTED_VALUE"""),"Equity Key Stats")</f>
        <v>Equity Key Stats</v>
      </c>
      <c r="N872" s="5"/>
      <c r="O872" s="5"/>
      <c r="P872" s="142">
        <f>IFERROR(__xludf.DUMMYFUNCTION("""COMPUTED_VALUE"""),45508.43705)</f>
        <v>45508.43705</v>
      </c>
      <c r="Q872" s="5"/>
      <c r="R872" s="71">
        <f>IFERROR(__xludf.DUMMYFUNCTION("""COMPUTED_VALUE"""),26.08)</f>
        <v>26.08</v>
      </c>
      <c r="S872" s="142">
        <f>IFERROR(__xludf.DUMMYFUNCTION("""COMPUTED_VALUE"""),-32225.3608)</f>
        <v>-32225.3608</v>
      </c>
      <c r="T872" s="5">
        <f>IFERROR(__xludf.DUMMYFUNCTION("""COMPUTED_VALUE"""),4.0)</f>
        <v>4</v>
      </c>
      <c r="U872" s="5">
        <f>IFERROR(__xludf.DUMMYFUNCTION("""COMPUTED_VALUE"""),1.0)</f>
        <v>1</v>
      </c>
      <c r="V872" s="22">
        <f>IFERROR(__xludf.DUMMYFUNCTION("""COMPUTED_VALUE"""),-2666.901495000002)</f>
        <v>-2666.901495</v>
      </c>
      <c r="W872" s="9" t="str">
        <f>IFERROR(__xludf.DUMMYFUNCTION("""COMPUTED_VALUE"""),"")</f>
        <v/>
      </c>
      <c r="X872" s="22" t="str">
        <f>IFERROR(__xludf.DUMMYFUNCTION("""COMPUTED_VALUE"""),"")</f>
        <v/>
      </c>
      <c r="Y872" s="22" t="str">
        <f>IFERROR(__xludf.DUMMYFUNCTION("""COMPUTED_VALUE"""),"")</f>
        <v/>
      </c>
      <c r="Z872" s="24" t="str">
        <f>IFERROR(__xludf.DUMMYFUNCTION("""COMPUTED_VALUE"""),"")</f>
        <v/>
      </c>
    </row>
    <row r="873">
      <c r="A873" s="5" t="str">
        <f>IFERROR(__xludf.DUMMYFUNCTION("""COMPUTED_VALUE"""),"")</f>
        <v/>
      </c>
      <c r="B873" s="5" t="str">
        <f>IFERROR(__xludf.DUMMYFUNCTION("""COMPUTED_VALUE"""),"76369")</f>
        <v>76369</v>
      </c>
      <c r="C873" s="9">
        <f>IFERROR(__xludf.DUMMYFUNCTION("""COMPUTED_VALUE"""),4.4620000374E10)</f>
        <v>44620000374</v>
      </c>
      <c r="D873" s="90" t="str">
        <f>IFERROR(__xludf.DUMMYFUNCTION("""COMPUTED_VALUE"""),"002665.SZ")</f>
        <v>002665.SZ</v>
      </c>
      <c r="E873" s="193">
        <f>IFERROR(__xludf.DUMMYFUNCTION("""COMPUTED_VALUE"""),44620.0)</f>
        <v>44620</v>
      </c>
      <c r="F873" s="5" t="str">
        <f>IFERROR(__xludf.DUMMYFUNCTION("""COMPUTED_VALUE"""),"Stock")</f>
        <v>Stock</v>
      </c>
      <c r="G873" s="5" t="str">
        <f>IFERROR(__xludf.DUMMYFUNCTION("""COMPUTED_VALUE"""),"CNY")</f>
        <v>CNY</v>
      </c>
      <c r="H873" s="22">
        <f>IFERROR(__xludf.DUMMYFUNCTION("""COMPUTED_VALUE"""),-1000.0)</f>
        <v>-1000</v>
      </c>
      <c r="I873" s="194">
        <f>IFERROR(__xludf.DUMMYFUNCTION("""COMPUTED_VALUE"""),1.237996)</f>
        <v>1.237996</v>
      </c>
      <c r="J873" s="23">
        <f>IFERROR(__xludf.DUMMYFUNCTION("""COMPUTED_VALUE"""),3.99)</f>
        <v>3.99</v>
      </c>
      <c r="K873" s="5"/>
      <c r="L873" s="23">
        <f>IFERROR(__xludf.DUMMYFUNCTION("""COMPUTED_VALUE"""),3.56)</f>
        <v>3.56</v>
      </c>
      <c r="M873" s="195" t="str">
        <f>IFERROR(__xludf.DUMMYFUNCTION("""COMPUTED_VALUE"""),"Equity Key Stats")</f>
        <v>Equity Key Stats</v>
      </c>
      <c r="N873" s="5"/>
      <c r="O873" s="5"/>
      <c r="P873" s="142">
        <f>IFERROR(__xludf.DUMMYFUNCTION("""COMPUTED_VALUE"""),4939.604040000001)</f>
        <v>4939.60404</v>
      </c>
      <c r="Q873" s="5"/>
      <c r="R873" s="71">
        <f>IFERROR(__xludf.DUMMYFUNCTION("""COMPUTED_VALUE"""),3.56)</f>
        <v>3.56</v>
      </c>
      <c r="S873" s="142">
        <f>IFERROR(__xludf.DUMMYFUNCTION("""COMPUTED_VALUE"""),-4407.26576)</f>
        <v>-4407.26576</v>
      </c>
      <c r="T873" s="5">
        <f>IFERROR(__xludf.DUMMYFUNCTION("""COMPUTED_VALUE"""),2.0)</f>
        <v>2</v>
      </c>
      <c r="U873" s="5">
        <f>IFERROR(__xludf.DUMMYFUNCTION("""COMPUTED_VALUE"""),1.0)</f>
        <v>1</v>
      </c>
      <c r="V873" s="22">
        <f>IFERROR(__xludf.DUMMYFUNCTION("""COMPUTED_VALUE"""),14.26912000000084)</f>
        <v>14.26912</v>
      </c>
      <c r="W873" s="9" t="str">
        <f>IFERROR(__xludf.DUMMYFUNCTION("""COMPUTED_VALUE"""),"")</f>
        <v/>
      </c>
      <c r="X873" s="22" t="str">
        <f>IFERROR(__xludf.DUMMYFUNCTION("""COMPUTED_VALUE"""),"")</f>
        <v/>
      </c>
      <c r="Y873" s="22" t="str">
        <f>IFERROR(__xludf.DUMMYFUNCTION("""COMPUTED_VALUE"""),"")</f>
        <v/>
      </c>
      <c r="Z873" s="24" t="str">
        <f>IFERROR(__xludf.DUMMYFUNCTION("""COMPUTED_VALUE"""),"")</f>
        <v/>
      </c>
    </row>
    <row r="874">
      <c r="A874" s="5" t="str">
        <f>IFERROR(__xludf.DUMMYFUNCTION("""COMPUTED_VALUE"""),"")</f>
        <v/>
      </c>
      <c r="B874" s="5" t="str">
        <f>IFERROR(__xludf.DUMMYFUNCTION("""COMPUTED_VALUE"""),"76369")</f>
        <v>76369</v>
      </c>
      <c r="C874" s="9">
        <f>IFERROR(__xludf.DUMMYFUNCTION("""COMPUTED_VALUE"""),4.4620000375E10)</f>
        <v>44620000375</v>
      </c>
      <c r="D874" s="90" t="str">
        <f>IFERROR(__xludf.DUMMYFUNCTION("""COMPUTED_VALUE"""),"603967.SS")</f>
        <v>603967.SS</v>
      </c>
      <c r="E874" s="193">
        <f>IFERROR(__xludf.DUMMYFUNCTION("""COMPUTED_VALUE"""),44620.0)</f>
        <v>44620</v>
      </c>
      <c r="F874" s="5" t="str">
        <f>IFERROR(__xludf.DUMMYFUNCTION("""COMPUTED_VALUE"""),"Stock")</f>
        <v>Stock</v>
      </c>
      <c r="G874" s="5" t="str">
        <f>IFERROR(__xludf.DUMMYFUNCTION("""COMPUTED_VALUE"""),"CNY")</f>
        <v>CNY</v>
      </c>
      <c r="H874" s="22">
        <f>IFERROR(__xludf.DUMMYFUNCTION("""COMPUTED_VALUE"""),-500.0)</f>
        <v>-500</v>
      </c>
      <c r="I874" s="194">
        <f>IFERROR(__xludf.DUMMYFUNCTION("""COMPUTED_VALUE"""),1.237996)</f>
        <v>1.237996</v>
      </c>
      <c r="J874" s="23">
        <f>IFERROR(__xludf.DUMMYFUNCTION("""COMPUTED_VALUE"""),12.73)</f>
        <v>12.73</v>
      </c>
      <c r="K874" s="5"/>
      <c r="L874" s="23">
        <f>IFERROR(__xludf.DUMMYFUNCTION("""COMPUTED_VALUE"""),14.56)</f>
        <v>14.56</v>
      </c>
      <c r="M874" s="195" t="str">
        <f>IFERROR(__xludf.DUMMYFUNCTION("""COMPUTED_VALUE"""),"Equity Key Stats")</f>
        <v>Equity Key Stats</v>
      </c>
      <c r="N874" s="5"/>
      <c r="O874" s="5"/>
      <c r="P874" s="142">
        <f>IFERROR(__xludf.DUMMYFUNCTION("""COMPUTED_VALUE"""),7879.844540000001)</f>
        <v>7879.84454</v>
      </c>
      <c r="Q874" s="5"/>
      <c r="R874" s="71">
        <f>IFERROR(__xludf.DUMMYFUNCTION("""COMPUTED_VALUE"""),14.56)</f>
        <v>14.56</v>
      </c>
      <c r="S874" s="142">
        <f>IFERROR(__xludf.DUMMYFUNCTION("""COMPUTED_VALUE"""),-9012.61088)</f>
        <v>-9012.61088</v>
      </c>
      <c r="T874" s="5">
        <f>IFERROR(__xludf.DUMMYFUNCTION("""COMPUTED_VALUE"""),2.0)</f>
        <v>2</v>
      </c>
      <c r="U874" s="5">
        <f>IFERROR(__xludf.DUMMYFUNCTION("""COMPUTED_VALUE"""),1.0)</f>
        <v>1</v>
      </c>
      <c r="V874" s="22">
        <f>IFERROR(__xludf.DUMMYFUNCTION("""COMPUTED_VALUE"""),-138.0801649999985)</f>
        <v>-138.080165</v>
      </c>
      <c r="W874" s="9" t="str">
        <f>IFERROR(__xludf.DUMMYFUNCTION("""COMPUTED_VALUE"""),"")</f>
        <v/>
      </c>
      <c r="X874" s="22" t="str">
        <f>IFERROR(__xludf.DUMMYFUNCTION("""COMPUTED_VALUE"""),"")</f>
        <v/>
      </c>
      <c r="Y874" s="22" t="str">
        <f>IFERROR(__xludf.DUMMYFUNCTION("""COMPUTED_VALUE"""),"")</f>
        <v/>
      </c>
      <c r="Z874" s="24" t="str">
        <f>IFERROR(__xludf.DUMMYFUNCTION("""COMPUTED_VALUE"""),"")</f>
        <v/>
      </c>
    </row>
    <row r="875">
      <c r="A875" s="5" t="str">
        <f>IFERROR(__xludf.DUMMYFUNCTION("""COMPUTED_VALUE"""),"")</f>
        <v/>
      </c>
      <c r="B875" s="5" t="str">
        <f>IFERROR(__xludf.DUMMYFUNCTION("""COMPUTED_VALUE"""),"76369")</f>
        <v>76369</v>
      </c>
      <c r="C875" s="9">
        <f>IFERROR(__xludf.DUMMYFUNCTION("""COMPUTED_VALUE"""),4.4627000446E10)</f>
        <v>44627000446</v>
      </c>
      <c r="D875" s="90" t="str">
        <f>IFERROR(__xludf.DUMMYFUNCTION("""COMPUTED_VALUE"""),"603963.SS")</f>
        <v>603963.SS</v>
      </c>
      <c r="E875" s="193">
        <f>IFERROR(__xludf.DUMMYFUNCTION("""COMPUTED_VALUE"""),44627.0)</f>
        <v>44627</v>
      </c>
      <c r="F875" s="5" t="str">
        <f>IFERROR(__xludf.DUMMYFUNCTION("""COMPUTED_VALUE"""),"Stock")</f>
        <v>Stock</v>
      </c>
      <c r="G875" s="5" t="str">
        <f>IFERROR(__xludf.DUMMYFUNCTION("""COMPUTED_VALUE"""),"CNY")</f>
        <v>CNY</v>
      </c>
      <c r="H875" s="22">
        <f>IFERROR(__xludf.DUMMYFUNCTION("""COMPUTED_VALUE"""),1000.0)</f>
        <v>1000</v>
      </c>
      <c r="I875" s="194">
        <f>IFERROR(__xludf.DUMMYFUNCTION("""COMPUTED_VALUE"""),1.237255)</f>
        <v>1.237255</v>
      </c>
      <c r="J875" s="23">
        <f>IFERROR(__xludf.DUMMYFUNCTION("""COMPUTED_VALUE"""),11.09)</f>
        <v>11.09</v>
      </c>
      <c r="K875" s="5"/>
      <c r="L875" s="23">
        <f>IFERROR(__xludf.DUMMYFUNCTION("""COMPUTED_VALUE"""),17.18)</f>
        <v>17.18</v>
      </c>
      <c r="M875" s="195" t="str">
        <f>IFERROR(__xludf.DUMMYFUNCTION("""COMPUTED_VALUE"""),"Equity Key Stats")</f>
        <v>Equity Key Stats</v>
      </c>
      <c r="N875" s="5"/>
      <c r="O875" s="5"/>
      <c r="P875" s="142">
        <f>IFERROR(__xludf.DUMMYFUNCTION("""COMPUTED_VALUE"""),-13721.157949999999)</f>
        <v>-13721.15795</v>
      </c>
      <c r="Q875" s="5"/>
      <c r="R875" s="71">
        <f>IFERROR(__xludf.DUMMYFUNCTION("""COMPUTED_VALUE"""),17.18)</f>
        <v>17.18</v>
      </c>
      <c r="S875" s="142">
        <f>IFERROR(__xludf.DUMMYFUNCTION("""COMPUTED_VALUE"""),21256.040899999996)</f>
        <v>21256.0409</v>
      </c>
      <c r="T875" s="5">
        <f>IFERROR(__xludf.DUMMYFUNCTION("""COMPUTED_VALUE"""),4.0)</f>
        <v>4</v>
      </c>
      <c r="U875" s="5" t="str">
        <f>IFERROR(__xludf.DUMMYFUNCTION("""COMPUTED_VALUE"""),"")</f>
        <v/>
      </c>
      <c r="V875" s="22" t="str">
        <f>IFERROR(__xludf.DUMMYFUNCTION("""COMPUTED_VALUE"""),"")</f>
        <v/>
      </c>
      <c r="W875" s="9" t="str">
        <f>IFERROR(__xludf.DUMMYFUNCTION("""COMPUTED_VALUE"""),"")</f>
        <v/>
      </c>
      <c r="X875" s="22" t="str">
        <f>IFERROR(__xludf.DUMMYFUNCTION("""COMPUTED_VALUE"""),"")</f>
        <v/>
      </c>
      <c r="Y875" s="22" t="str">
        <f>IFERROR(__xludf.DUMMYFUNCTION("""COMPUTED_VALUE"""),"")</f>
        <v/>
      </c>
      <c r="Z875" s="24" t="str">
        <f>IFERROR(__xludf.DUMMYFUNCTION("""COMPUTED_VALUE"""),"")</f>
        <v/>
      </c>
    </row>
    <row r="876">
      <c r="A876" s="5" t="str">
        <f>IFERROR(__xludf.DUMMYFUNCTION("""COMPUTED_VALUE"""),"")</f>
        <v/>
      </c>
      <c r="B876" s="5" t="str">
        <f>IFERROR(__xludf.DUMMYFUNCTION("""COMPUTED_VALUE"""),"76369")</f>
        <v>76369</v>
      </c>
      <c r="C876" s="9">
        <f>IFERROR(__xludf.DUMMYFUNCTION("""COMPUTED_VALUE"""),4.4628000462E10)</f>
        <v>44628000462</v>
      </c>
      <c r="D876" s="90" t="str">
        <f>IFERROR(__xludf.DUMMYFUNCTION("""COMPUTED_VALUE"""),"603963.SS")</f>
        <v>603963.SS</v>
      </c>
      <c r="E876" s="193">
        <f>IFERROR(__xludf.DUMMYFUNCTION("""COMPUTED_VALUE"""),44628.0)</f>
        <v>44628</v>
      </c>
      <c r="F876" s="5" t="str">
        <f>IFERROR(__xludf.DUMMYFUNCTION("""COMPUTED_VALUE"""),"Stock")</f>
        <v>Stock</v>
      </c>
      <c r="G876" s="5" t="str">
        <f>IFERROR(__xludf.DUMMYFUNCTION("""COMPUTED_VALUE"""),"CNY")</f>
        <v>CNY</v>
      </c>
      <c r="H876" s="22">
        <f>IFERROR(__xludf.DUMMYFUNCTION("""COMPUTED_VALUE"""),-900.0)</f>
        <v>-900</v>
      </c>
      <c r="I876" s="194">
        <f>IFERROR(__xludf.DUMMYFUNCTION("""COMPUTED_VALUE"""),1.237716)</f>
        <v>1.237716</v>
      </c>
      <c r="J876" s="23">
        <f>IFERROR(__xludf.DUMMYFUNCTION("""COMPUTED_VALUE"""),11.09)</f>
        <v>11.09</v>
      </c>
      <c r="K876" s="5"/>
      <c r="L876" s="23">
        <f>IFERROR(__xludf.DUMMYFUNCTION("""COMPUTED_VALUE"""),17.18)</f>
        <v>17.18</v>
      </c>
      <c r="M876" s="195" t="str">
        <f>IFERROR(__xludf.DUMMYFUNCTION("""COMPUTED_VALUE"""),"Equity Key Stats")</f>
        <v>Equity Key Stats</v>
      </c>
      <c r="N876" s="5"/>
      <c r="O876" s="5"/>
      <c r="P876" s="142">
        <f>IFERROR(__xludf.DUMMYFUNCTION("""COMPUTED_VALUE"""),12353.643396000001)</f>
        <v>12353.6434</v>
      </c>
      <c r="Q876" s="5"/>
      <c r="R876" s="71">
        <f>IFERROR(__xludf.DUMMYFUNCTION("""COMPUTED_VALUE"""),17.18)</f>
        <v>17.18</v>
      </c>
      <c r="S876" s="142">
        <f>IFERROR(__xludf.DUMMYFUNCTION("""COMPUTED_VALUE"""),-19137.564792)</f>
        <v>-19137.56479</v>
      </c>
      <c r="T876" s="5">
        <f>IFERROR(__xludf.DUMMYFUNCTION("""COMPUTED_VALUE"""),4.0)</f>
        <v>4</v>
      </c>
      <c r="U876" s="5" t="str">
        <f>IFERROR(__xludf.DUMMYFUNCTION("""COMPUTED_VALUE"""),"")</f>
        <v/>
      </c>
      <c r="V876" s="22" t="str">
        <f>IFERROR(__xludf.DUMMYFUNCTION("""COMPUTED_VALUE"""),"")</f>
        <v/>
      </c>
      <c r="W876" s="9" t="str">
        <f>IFERROR(__xludf.DUMMYFUNCTION("""COMPUTED_VALUE"""),"")</f>
        <v/>
      </c>
      <c r="X876" s="22" t="str">
        <f>IFERROR(__xludf.DUMMYFUNCTION("""COMPUTED_VALUE"""),"")</f>
        <v/>
      </c>
      <c r="Y876" s="22" t="str">
        <f>IFERROR(__xludf.DUMMYFUNCTION("""COMPUTED_VALUE"""),"")</f>
        <v/>
      </c>
      <c r="Z876" s="24" t="str">
        <f>IFERROR(__xludf.DUMMYFUNCTION("""COMPUTED_VALUE"""),"")</f>
        <v/>
      </c>
    </row>
    <row r="877">
      <c r="A877" s="5" t="str">
        <f>IFERROR(__xludf.DUMMYFUNCTION("""COMPUTED_VALUE"""),"")</f>
        <v/>
      </c>
      <c r="B877" s="5" t="str">
        <f>IFERROR(__xludf.DUMMYFUNCTION("""COMPUTED_VALUE"""),"76369")</f>
        <v>76369</v>
      </c>
      <c r="C877" s="9">
        <f>IFERROR(__xludf.DUMMYFUNCTION("""COMPUTED_VALUE"""),4.4630000522E10)</f>
        <v>44630000522</v>
      </c>
      <c r="D877" s="90" t="str">
        <f>IFERROR(__xludf.DUMMYFUNCTION("""COMPUTED_VALUE"""),"603963.SS")</f>
        <v>603963.SS</v>
      </c>
      <c r="E877" s="193">
        <f>IFERROR(__xludf.DUMMYFUNCTION("""COMPUTED_VALUE"""),44630.0)</f>
        <v>44630</v>
      </c>
      <c r="F877" s="5" t="str">
        <f>IFERROR(__xludf.DUMMYFUNCTION("""COMPUTED_VALUE"""),"Stock")</f>
        <v>Stock</v>
      </c>
      <c r="G877" s="5" t="str">
        <f>IFERROR(__xludf.DUMMYFUNCTION("""COMPUTED_VALUE"""),"HKD")</f>
        <v>HKD</v>
      </c>
      <c r="H877" s="22">
        <f>IFERROR(__xludf.DUMMYFUNCTION("""COMPUTED_VALUE"""),1000.0)</f>
        <v>1000</v>
      </c>
      <c r="I877" s="194">
        <f>IFERROR(__xludf.DUMMYFUNCTION("""COMPUTED_VALUE"""),1.0)</f>
        <v>1</v>
      </c>
      <c r="J877" s="23">
        <f>IFERROR(__xludf.DUMMYFUNCTION("""COMPUTED_VALUE"""),12.08)</f>
        <v>12.08</v>
      </c>
      <c r="K877" s="5"/>
      <c r="L877" s="23">
        <f>IFERROR(__xludf.DUMMYFUNCTION("""COMPUTED_VALUE"""),17.18)</f>
        <v>17.18</v>
      </c>
      <c r="M877" s="195" t="str">
        <f>IFERROR(__xludf.DUMMYFUNCTION("""COMPUTED_VALUE"""),"Equity Key Stats")</f>
        <v>Equity Key Stats</v>
      </c>
      <c r="N877" s="5"/>
      <c r="O877" s="5"/>
      <c r="P877" s="142">
        <f>IFERROR(__xludf.DUMMYFUNCTION("""COMPUTED_VALUE"""),-12080.0)</f>
        <v>-12080</v>
      </c>
      <c r="Q877" s="5"/>
      <c r="R877" s="71">
        <f>IFERROR(__xludf.DUMMYFUNCTION("""COMPUTED_VALUE"""),17.18)</f>
        <v>17.18</v>
      </c>
      <c r="S877" s="142">
        <f>IFERROR(__xludf.DUMMYFUNCTION("""COMPUTED_VALUE"""),17180.0)</f>
        <v>17180</v>
      </c>
      <c r="T877" s="5">
        <f>IFERROR(__xludf.DUMMYFUNCTION("""COMPUTED_VALUE"""),4.0)</f>
        <v>4</v>
      </c>
      <c r="U877" s="5" t="str">
        <f>IFERROR(__xludf.DUMMYFUNCTION("""COMPUTED_VALUE"""),"")</f>
        <v/>
      </c>
      <c r="V877" s="22" t="str">
        <f>IFERROR(__xludf.DUMMYFUNCTION("""COMPUTED_VALUE"""),"")</f>
        <v/>
      </c>
      <c r="W877" s="9" t="str">
        <f>IFERROR(__xludf.DUMMYFUNCTION("""COMPUTED_VALUE"""),"")</f>
        <v/>
      </c>
      <c r="X877" s="22" t="str">
        <f>IFERROR(__xludf.DUMMYFUNCTION("""COMPUTED_VALUE"""),"")</f>
        <v/>
      </c>
      <c r="Y877" s="22" t="str">
        <f>IFERROR(__xludf.DUMMYFUNCTION("""COMPUTED_VALUE"""),"")</f>
        <v/>
      </c>
      <c r="Z877" s="24" t="str">
        <f>IFERROR(__xludf.DUMMYFUNCTION("""COMPUTED_VALUE"""),"")</f>
        <v/>
      </c>
    </row>
    <row r="878">
      <c r="A878" s="5" t="str">
        <f>IFERROR(__xludf.DUMMYFUNCTION("""COMPUTED_VALUE"""),"")</f>
        <v/>
      </c>
      <c r="B878" s="5" t="str">
        <f>IFERROR(__xludf.DUMMYFUNCTION("""COMPUTED_VALUE"""),"76369")</f>
        <v>76369</v>
      </c>
      <c r="C878" s="9">
        <f>IFERROR(__xludf.DUMMYFUNCTION("""COMPUTED_VALUE"""),4.4631000537E10)</f>
        <v>44631000537</v>
      </c>
      <c r="D878" s="87" t="str">
        <f>IFERROR(__xludf.DUMMYFUNCTION("""COMPUTED_VALUE"""),"GC=F")</f>
        <v>GC=F</v>
      </c>
      <c r="E878" s="193">
        <f>IFERROR(__xludf.DUMMYFUNCTION("""COMPUTED_VALUE"""),44631.0)</f>
        <v>44631</v>
      </c>
      <c r="F878" s="5" t="str">
        <f>IFERROR(__xludf.DUMMYFUNCTION("""COMPUTED_VALUE"""),"Stock")</f>
        <v>Stock</v>
      </c>
      <c r="G878" s="5" t="str">
        <f>IFERROR(__xludf.DUMMYFUNCTION("""COMPUTED_VALUE"""),"USD")</f>
        <v>USD</v>
      </c>
      <c r="H878" s="22">
        <f>IFERROR(__xludf.DUMMYFUNCTION("""COMPUTED_VALUE"""),5.0)</f>
        <v>5</v>
      </c>
      <c r="I878" s="194">
        <f>IFERROR(__xludf.DUMMYFUNCTION("""COMPUTED_VALUE"""),7.8295)</f>
        <v>7.8295</v>
      </c>
      <c r="J878" s="23">
        <f>IFERROR(__xludf.DUMMYFUNCTION("""COMPUTED_VALUE"""),1992.3)</f>
        <v>1992.3</v>
      </c>
      <c r="K878" s="5"/>
      <c r="L878" s="23">
        <f>IFERROR(__xludf.DUMMYFUNCTION("""COMPUTED_VALUE"""),1980.7)</f>
        <v>1980.7</v>
      </c>
      <c r="M878" s="195" t="str">
        <f>IFERROR(__xludf.DUMMYFUNCTION("""COMPUTED_VALUE"""),"Equity Key Stats")</f>
        <v>Equity Key Stats</v>
      </c>
      <c r="N878" s="5"/>
      <c r="O878" s="5"/>
      <c r="P878" s="142">
        <f>IFERROR(__xludf.DUMMYFUNCTION("""COMPUTED_VALUE"""),-77993.56425)</f>
        <v>-77993.56425</v>
      </c>
      <c r="Q878" s="5"/>
      <c r="R878" s="71">
        <f>IFERROR(__xludf.DUMMYFUNCTION("""COMPUTED_VALUE"""),1980.7)</f>
        <v>1980.7</v>
      </c>
      <c r="S878" s="142">
        <f>IFERROR(__xludf.DUMMYFUNCTION("""COMPUTED_VALUE"""),77539.45325)</f>
        <v>77539.45325</v>
      </c>
      <c r="T878" s="5">
        <f>IFERROR(__xludf.DUMMYFUNCTION("""COMPUTED_VALUE"""),4.0)</f>
        <v>4</v>
      </c>
      <c r="U878" s="5" t="str">
        <f>IFERROR(__xludf.DUMMYFUNCTION("""COMPUTED_VALUE"""),"")</f>
        <v/>
      </c>
      <c r="V878" s="22" t="str">
        <f>IFERROR(__xludf.DUMMYFUNCTION("""COMPUTED_VALUE"""),"")</f>
        <v/>
      </c>
      <c r="W878" s="9" t="str">
        <f>IFERROR(__xludf.DUMMYFUNCTION("""COMPUTED_VALUE"""),"")</f>
        <v/>
      </c>
      <c r="X878" s="22" t="str">
        <f>IFERROR(__xludf.DUMMYFUNCTION("""COMPUTED_VALUE"""),"")</f>
        <v/>
      </c>
      <c r="Y878" s="22" t="str">
        <f>IFERROR(__xludf.DUMMYFUNCTION("""COMPUTED_VALUE"""),"")</f>
        <v/>
      </c>
      <c r="Z878" s="24" t="str">
        <f>IFERROR(__xludf.DUMMYFUNCTION("""COMPUTED_VALUE"""),"")</f>
        <v/>
      </c>
    </row>
    <row r="879">
      <c r="A879" s="5" t="str">
        <f>IFERROR(__xludf.DUMMYFUNCTION("""COMPUTED_VALUE"""),"")</f>
        <v/>
      </c>
      <c r="B879" s="5" t="str">
        <f>IFERROR(__xludf.DUMMYFUNCTION("""COMPUTED_VALUE"""),"76369")</f>
        <v>76369</v>
      </c>
      <c r="C879" s="9">
        <f>IFERROR(__xludf.DUMMYFUNCTION("""COMPUTED_VALUE"""),4.4635000603E10)</f>
        <v>44635000603</v>
      </c>
      <c r="D879" s="90" t="str">
        <f>IFERROR(__xludf.DUMMYFUNCTION("""COMPUTED_VALUE"""),"603538.SS")</f>
        <v>603538.SS</v>
      </c>
      <c r="E879" s="193">
        <f>IFERROR(__xludf.DUMMYFUNCTION("""COMPUTED_VALUE"""),44635.0)</f>
        <v>44635</v>
      </c>
      <c r="F879" s="5" t="str">
        <f>IFERROR(__xludf.DUMMYFUNCTION("""COMPUTED_VALUE"""),"Stock")</f>
        <v>Stock</v>
      </c>
      <c r="G879" s="5" t="str">
        <f>IFERROR(__xludf.DUMMYFUNCTION("""COMPUTED_VALUE"""),"CNY")</f>
        <v>CNY</v>
      </c>
      <c r="H879" s="22">
        <f>IFERROR(__xludf.DUMMYFUNCTION("""COMPUTED_VALUE"""),500.0)</f>
        <v>500</v>
      </c>
      <c r="I879" s="194">
        <f>IFERROR(__xludf.DUMMYFUNCTION("""COMPUTED_VALUE"""),1.228816)</f>
        <v>1.228816</v>
      </c>
      <c r="J879" s="23">
        <f>IFERROR(__xludf.DUMMYFUNCTION("""COMPUTED_VALUE"""),55.0)</f>
        <v>55</v>
      </c>
      <c r="K879" s="5"/>
      <c r="L879" s="23">
        <f>IFERROR(__xludf.DUMMYFUNCTION("""COMPUTED_VALUE"""),51.21)</f>
        <v>51.21</v>
      </c>
      <c r="M879" s="195" t="str">
        <f>IFERROR(__xludf.DUMMYFUNCTION("""COMPUTED_VALUE"""),"Equity Key Stats")</f>
        <v>Equity Key Stats</v>
      </c>
      <c r="N879" s="5"/>
      <c r="O879" s="5"/>
      <c r="P879" s="142">
        <f>IFERROR(__xludf.DUMMYFUNCTION("""COMPUTED_VALUE"""),-33792.439999999995)</f>
        <v>-33792.44</v>
      </c>
      <c r="Q879" s="5"/>
      <c r="R879" s="71">
        <f>IFERROR(__xludf.DUMMYFUNCTION("""COMPUTED_VALUE"""),51.21)</f>
        <v>51.21</v>
      </c>
      <c r="S879" s="142">
        <f>IFERROR(__xludf.DUMMYFUNCTION("""COMPUTED_VALUE"""),31463.833679999996)</f>
        <v>31463.83368</v>
      </c>
      <c r="T879" s="5">
        <f>IFERROR(__xludf.DUMMYFUNCTION("""COMPUTED_VALUE"""),2.0)</f>
        <v>2</v>
      </c>
      <c r="U879" s="5" t="str">
        <f>IFERROR(__xludf.DUMMYFUNCTION("""COMPUTED_VALUE"""),"")</f>
        <v/>
      </c>
      <c r="V879" s="22" t="str">
        <f>IFERROR(__xludf.DUMMYFUNCTION("""COMPUTED_VALUE"""),"")</f>
        <v/>
      </c>
      <c r="W879" s="9" t="str">
        <f>IFERROR(__xludf.DUMMYFUNCTION("""COMPUTED_VALUE"""),"")</f>
        <v/>
      </c>
      <c r="X879" s="22" t="str">
        <f>IFERROR(__xludf.DUMMYFUNCTION("""COMPUTED_VALUE"""),"")</f>
        <v/>
      </c>
      <c r="Y879" s="22" t="str">
        <f>IFERROR(__xludf.DUMMYFUNCTION("""COMPUTED_VALUE"""),"")</f>
        <v/>
      </c>
      <c r="Z879" s="24" t="str">
        <f>IFERROR(__xludf.DUMMYFUNCTION("""COMPUTED_VALUE"""),"")</f>
        <v/>
      </c>
    </row>
    <row r="880">
      <c r="A880" s="5" t="str">
        <f>IFERROR(__xludf.DUMMYFUNCTION("""COMPUTED_VALUE"""),"")</f>
        <v/>
      </c>
      <c r="B880" s="5" t="str">
        <f>IFERROR(__xludf.DUMMYFUNCTION("""COMPUTED_VALUE"""),"76369")</f>
        <v>76369</v>
      </c>
      <c r="C880" s="9">
        <f>IFERROR(__xludf.DUMMYFUNCTION("""COMPUTED_VALUE"""),4.4635000605E10)</f>
        <v>44635000605</v>
      </c>
      <c r="D880" s="90" t="str">
        <f>IFERROR(__xludf.DUMMYFUNCTION("""COMPUTED_VALUE"""),"688076.SS")</f>
        <v>688076.SS</v>
      </c>
      <c r="E880" s="193">
        <f>IFERROR(__xludf.DUMMYFUNCTION("""COMPUTED_VALUE"""),44635.0)</f>
        <v>44635</v>
      </c>
      <c r="F880" s="5" t="str">
        <f>IFERROR(__xludf.DUMMYFUNCTION("""COMPUTED_VALUE"""),"Stock")</f>
        <v>Stock</v>
      </c>
      <c r="G880" s="5" t="str">
        <f>IFERROR(__xludf.DUMMYFUNCTION("""COMPUTED_VALUE"""),"CNY")</f>
        <v>CNY</v>
      </c>
      <c r="H880" s="22">
        <f>IFERROR(__xludf.DUMMYFUNCTION("""COMPUTED_VALUE"""),500.0)</f>
        <v>500</v>
      </c>
      <c r="I880" s="194">
        <f>IFERROR(__xludf.DUMMYFUNCTION("""COMPUTED_VALUE"""),1.228816)</f>
        <v>1.228816</v>
      </c>
      <c r="J880" s="23">
        <f>IFERROR(__xludf.DUMMYFUNCTION("""COMPUTED_VALUE"""),43.15)</f>
        <v>43.15</v>
      </c>
      <c r="K880" s="5"/>
      <c r="L880" s="23">
        <f>IFERROR(__xludf.DUMMYFUNCTION("""COMPUTED_VALUE"""),30.72)</f>
        <v>30.72</v>
      </c>
      <c r="M880" s="195" t="str">
        <f>IFERROR(__xludf.DUMMYFUNCTION("""COMPUTED_VALUE"""),"Equity Key Stats")</f>
        <v>Equity Key Stats</v>
      </c>
      <c r="N880" s="5"/>
      <c r="O880" s="5"/>
      <c r="P880" s="142">
        <f>IFERROR(__xludf.DUMMYFUNCTION("""COMPUTED_VALUE"""),-26511.705199999997)</f>
        <v>-26511.7052</v>
      </c>
      <c r="Q880" s="5"/>
      <c r="R880" s="71">
        <f>IFERROR(__xludf.DUMMYFUNCTION("""COMPUTED_VALUE"""),30.72)</f>
        <v>30.72</v>
      </c>
      <c r="S880" s="142">
        <f>IFERROR(__xludf.DUMMYFUNCTION("""COMPUTED_VALUE"""),18874.613759999997)</f>
        <v>18874.61376</v>
      </c>
      <c r="T880" s="5">
        <f>IFERROR(__xludf.DUMMYFUNCTION("""COMPUTED_VALUE"""),2.0)</f>
        <v>2</v>
      </c>
      <c r="U880" s="5" t="str">
        <f>IFERROR(__xludf.DUMMYFUNCTION("""COMPUTED_VALUE"""),"")</f>
        <v/>
      </c>
      <c r="V880" s="22" t="str">
        <f>IFERROR(__xludf.DUMMYFUNCTION("""COMPUTED_VALUE"""),"")</f>
        <v/>
      </c>
      <c r="W880" s="9" t="str">
        <f>IFERROR(__xludf.DUMMYFUNCTION("""COMPUTED_VALUE"""),"")</f>
        <v/>
      </c>
      <c r="X880" s="22" t="str">
        <f>IFERROR(__xludf.DUMMYFUNCTION("""COMPUTED_VALUE"""),"")</f>
        <v/>
      </c>
      <c r="Y880" s="22" t="str">
        <f>IFERROR(__xludf.DUMMYFUNCTION("""COMPUTED_VALUE"""),"")</f>
        <v/>
      </c>
      <c r="Z880" s="24" t="str">
        <f>IFERROR(__xludf.DUMMYFUNCTION("""COMPUTED_VALUE"""),"")</f>
        <v/>
      </c>
    </row>
    <row r="881">
      <c r="A881" s="5" t="str">
        <f>IFERROR(__xludf.DUMMYFUNCTION("""COMPUTED_VALUE"""),"")</f>
        <v/>
      </c>
      <c r="B881" s="5" t="str">
        <f>IFERROR(__xludf.DUMMYFUNCTION("""COMPUTED_VALUE"""),"76369")</f>
        <v>76369</v>
      </c>
      <c r="C881" s="9">
        <f>IFERROR(__xludf.DUMMYFUNCTION("""COMPUTED_VALUE"""),4.4636000634E10)</f>
        <v>44636000634</v>
      </c>
      <c r="D881" s="87" t="str">
        <f>IFERROR(__xludf.DUMMYFUNCTION("""COMPUTED_VALUE"""),"GC=F")</f>
        <v>GC=F</v>
      </c>
      <c r="E881" s="193">
        <f>IFERROR(__xludf.DUMMYFUNCTION("""COMPUTED_VALUE"""),44636.0)</f>
        <v>44636</v>
      </c>
      <c r="F881" s="5" t="str">
        <f>IFERROR(__xludf.DUMMYFUNCTION("""COMPUTED_VALUE"""),"Stock")</f>
        <v>Stock</v>
      </c>
      <c r="G881" s="5" t="str">
        <f>IFERROR(__xludf.DUMMYFUNCTION("""COMPUTED_VALUE"""),"USD")</f>
        <v>USD</v>
      </c>
      <c r="H881" s="22">
        <f>IFERROR(__xludf.DUMMYFUNCTION("""COMPUTED_VALUE"""),-5.0)</f>
        <v>-5</v>
      </c>
      <c r="I881" s="194">
        <f>IFERROR(__xludf.DUMMYFUNCTION("""COMPUTED_VALUE"""),7.82055)</f>
        <v>7.82055</v>
      </c>
      <c r="J881" s="23">
        <f>IFERROR(__xludf.DUMMYFUNCTION("""COMPUTED_VALUE"""),1908.0)</f>
        <v>1908</v>
      </c>
      <c r="K881" s="5"/>
      <c r="L881" s="23">
        <f>IFERROR(__xludf.DUMMYFUNCTION("""COMPUTED_VALUE"""),1980.7)</f>
        <v>1980.7</v>
      </c>
      <c r="M881" s="195" t="str">
        <f>IFERROR(__xludf.DUMMYFUNCTION("""COMPUTED_VALUE"""),"Equity Key Stats")</f>
        <v>Equity Key Stats</v>
      </c>
      <c r="N881" s="5"/>
      <c r="O881" s="5"/>
      <c r="P881" s="142">
        <f>IFERROR(__xludf.DUMMYFUNCTION("""COMPUTED_VALUE"""),74608.047)</f>
        <v>74608.047</v>
      </c>
      <c r="Q881" s="5"/>
      <c r="R881" s="71">
        <f>IFERROR(__xludf.DUMMYFUNCTION("""COMPUTED_VALUE"""),1980.7)</f>
        <v>1980.7</v>
      </c>
      <c r="S881" s="142">
        <f>IFERROR(__xludf.DUMMYFUNCTION("""COMPUTED_VALUE"""),-77450.816925)</f>
        <v>-77450.81693</v>
      </c>
      <c r="T881" s="5">
        <f>IFERROR(__xludf.DUMMYFUNCTION("""COMPUTED_VALUE"""),4.0)</f>
        <v>4</v>
      </c>
      <c r="U881" s="5" t="str">
        <f>IFERROR(__xludf.DUMMYFUNCTION("""COMPUTED_VALUE"""),"")</f>
        <v/>
      </c>
      <c r="V881" s="22" t="str">
        <f>IFERROR(__xludf.DUMMYFUNCTION("""COMPUTED_VALUE"""),"")</f>
        <v/>
      </c>
      <c r="W881" s="9" t="str">
        <f>IFERROR(__xludf.DUMMYFUNCTION("""COMPUTED_VALUE"""),"")</f>
        <v/>
      </c>
      <c r="X881" s="22" t="str">
        <f>IFERROR(__xludf.DUMMYFUNCTION("""COMPUTED_VALUE"""),"")</f>
        <v/>
      </c>
      <c r="Y881" s="22" t="str">
        <f>IFERROR(__xludf.DUMMYFUNCTION("""COMPUTED_VALUE"""),"")</f>
        <v/>
      </c>
      <c r="Z881" s="24" t="str">
        <f>IFERROR(__xludf.DUMMYFUNCTION("""COMPUTED_VALUE"""),"")</f>
        <v/>
      </c>
    </row>
    <row r="882">
      <c r="A882" s="5" t="str">
        <f>IFERROR(__xludf.DUMMYFUNCTION("""COMPUTED_VALUE"""),"")</f>
        <v/>
      </c>
      <c r="B882" s="5" t="str">
        <f>IFERROR(__xludf.DUMMYFUNCTION("""COMPUTED_VALUE"""),"76369")</f>
        <v>76369</v>
      </c>
      <c r="C882" s="9">
        <f>IFERROR(__xludf.DUMMYFUNCTION("""COMPUTED_VALUE"""),4.4637000665E10)</f>
        <v>44637000665</v>
      </c>
      <c r="D882" s="87" t="str">
        <f>IFERROR(__xludf.DUMMYFUNCTION("""COMPUTED_VALUE"""),"GC=F")</f>
        <v>GC=F</v>
      </c>
      <c r="E882" s="193">
        <f>IFERROR(__xludf.DUMMYFUNCTION("""COMPUTED_VALUE"""),44637.0)</f>
        <v>44637</v>
      </c>
      <c r="F882" s="5" t="str">
        <f>IFERROR(__xludf.DUMMYFUNCTION("""COMPUTED_VALUE"""),"Stock")</f>
        <v>Stock</v>
      </c>
      <c r="G882" s="5" t="str">
        <f>IFERROR(__xludf.DUMMYFUNCTION("""COMPUTED_VALUE"""),"USD")</f>
        <v>USD</v>
      </c>
      <c r="H882" s="22">
        <f>IFERROR(__xludf.DUMMYFUNCTION("""COMPUTED_VALUE"""),5.0)</f>
        <v>5</v>
      </c>
      <c r="I882" s="194">
        <f>IFERROR(__xludf.DUMMYFUNCTION("""COMPUTED_VALUE"""),7.81854)</f>
        <v>7.81854</v>
      </c>
      <c r="J882" s="23">
        <f>IFERROR(__xludf.DUMMYFUNCTION("""COMPUTED_VALUE"""),1936.7)</f>
        <v>1936.7</v>
      </c>
      <c r="K882" s="5"/>
      <c r="L882" s="23">
        <f>IFERROR(__xludf.DUMMYFUNCTION("""COMPUTED_VALUE"""),1980.7)</f>
        <v>1980.7</v>
      </c>
      <c r="M882" s="195" t="str">
        <f>IFERROR(__xludf.DUMMYFUNCTION("""COMPUTED_VALUE"""),"Equity Key Stats")</f>
        <v>Equity Key Stats</v>
      </c>
      <c r="N882" s="5"/>
      <c r="O882" s="5"/>
      <c r="P882" s="142">
        <f>IFERROR(__xludf.DUMMYFUNCTION("""COMPUTED_VALUE"""),-75710.83209)</f>
        <v>-75710.83209</v>
      </c>
      <c r="Q882" s="5"/>
      <c r="R882" s="71">
        <f>IFERROR(__xludf.DUMMYFUNCTION("""COMPUTED_VALUE"""),1980.7)</f>
        <v>1980.7</v>
      </c>
      <c r="S882" s="142">
        <f>IFERROR(__xludf.DUMMYFUNCTION("""COMPUTED_VALUE"""),77430.91089)</f>
        <v>77430.91089</v>
      </c>
      <c r="T882" s="5">
        <f>IFERROR(__xludf.DUMMYFUNCTION("""COMPUTED_VALUE"""),4.0)</f>
        <v>4</v>
      </c>
      <c r="U882" s="5" t="str">
        <f>IFERROR(__xludf.DUMMYFUNCTION("""COMPUTED_VALUE"""),"")</f>
        <v/>
      </c>
      <c r="V882" s="22" t="str">
        <f>IFERROR(__xludf.DUMMYFUNCTION("""COMPUTED_VALUE"""),"")</f>
        <v/>
      </c>
      <c r="W882" s="9" t="str">
        <f>IFERROR(__xludf.DUMMYFUNCTION("""COMPUTED_VALUE"""),"")</f>
        <v/>
      </c>
      <c r="X882" s="22" t="str">
        <f>IFERROR(__xludf.DUMMYFUNCTION("""COMPUTED_VALUE"""),"")</f>
        <v/>
      </c>
      <c r="Y882" s="22" t="str">
        <f>IFERROR(__xludf.DUMMYFUNCTION("""COMPUTED_VALUE"""),"")</f>
        <v/>
      </c>
      <c r="Z882" s="24" t="str">
        <f>IFERROR(__xludf.DUMMYFUNCTION("""COMPUTED_VALUE"""),"")</f>
        <v/>
      </c>
    </row>
    <row r="883">
      <c r="A883" s="5" t="str">
        <f>IFERROR(__xludf.DUMMYFUNCTION("""COMPUTED_VALUE"""),"")</f>
        <v/>
      </c>
      <c r="B883" s="5" t="str">
        <f>IFERROR(__xludf.DUMMYFUNCTION("""COMPUTED_VALUE"""),"76369")</f>
        <v>76369</v>
      </c>
      <c r="C883" s="9">
        <f>IFERROR(__xludf.DUMMYFUNCTION("""COMPUTED_VALUE"""),4.4638000676E10)</f>
        <v>44638000676</v>
      </c>
      <c r="D883" s="90" t="str">
        <f>IFERROR(__xludf.DUMMYFUNCTION("""COMPUTED_VALUE"""),"0700.HK")</f>
        <v>0700.HK</v>
      </c>
      <c r="E883" s="193">
        <f>IFERROR(__xludf.DUMMYFUNCTION("""COMPUTED_VALUE"""),44638.0)</f>
        <v>44638</v>
      </c>
      <c r="F883" s="5" t="str">
        <f>IFERROR(__xludf.DUMMYFUNCTION("""COMPUTED_VALUE"""),"Stock")</f>
        <v>Stock</v>
      </c>
      <c r="G883" s="5" t="str">
        <f>IFERROR(__xludf.DUMMYFUNCTION("""COMPUTED_VALUE"""),"HKD")</f>
        <v>HKD</v>
      </c>
      <c r="H883" s="22">
        <f>IFERROR(__xludf.DUMMYFUNCTION("""COMPUTED_VALUE"""),50.0)</f>
        <v>50</v>
      </c>
      <c r="I883" s="194">
        <f>IFERROR(__xludf.DUMMYFUNCTION("""COMPUTED_VALUE"""),1.0)</f>
        <v>1</v>
      </c>
      <c r="J883" s="23">
        <f>IFERROR(__xludf.DUMMYFUNCTION("""COMPUTED_VALUE"""),381.0)</f>
        <v>381</v>
      </c>
      <c r="K883" s="5"/>
      <c r="L883" s="23">
        <f>IFERROR(__xludf.DUMMYFUNCTION("""COMPUTED_VALUE"""),373.6)</f>
        <v>373.6</v>
      </c>
      <c r="M883" s="195" t="str">
        <f>IFERROR(__xludf.DUMMYFUNCTION("""COMPUTED_VALUE"""),"Equity Key Stats")</f>
        <v>Equity Key Stats</v>
      </c>
      <c r="N883" s="5"/>
      <c r="O883" s="5"/>
      <c r="P883" s="142">
        <f>IFERROR(__xludf.DUMMYFUNCTION("""COMPUTED_VALUE"""),-19050.0)</f>
        <v>-19050</v>
      </c>
      <c r="Q883" s="5"/>
      <c r="R883" s="71">
        <f>IFERROR(__xludf.DUMMYFUNCTION("""COMPUTED_VALUE"""),373.6)</f>
        <v>373.6</v>
      </c>
      <c r="S883" s="142">
        <f>IFERROR(__xludf.DUMMYFUNCTION("""COMPUTED_VALUE"""),18680.0)</f>
        <v>18680</v>
      </c>
      <c r="T883" s="5">
        <f>IFERROR(__xludf.DUMMYFUNCTION("""COMPUTED_VALUE"""),2.0)</f>
        <v>2</v>
      </c>
      <c r="U883" s="5" t="str">
        <f>IFERROR(__xludf.DUMMYFUNCTION("""COMPUTED_VALUE"""),"")</f>
        <v/>
      </c>
      <c r="V883" s="22" t="str">
        <f>IFERROR(__xludf.DUMMYFUNCTION("""COMPUTED_VALUE"""),"")</f>
        <v/>
      </c>
      <c r="W883" s="9" t="str">
        <f>IFERROR(__xludf.DUMMYFUNCTION("""COMPUTED_VALUE"""),"")</f>
        <v/>
      </c>
      <c r="X883" s="22" t="str">
        <f>IFERROR(__xludf.DUMMYFUNCTION("""COMPUTED_VALUE"""),"")</f>
        <v/>
      </c>
      <c r="Y883" s="22" t="str">
        <f>IFERROR(__xludf.DUMMYFUNCTION("""COMPUTED_VALUE"""),"")</f>
        <v/>
      </c>
      <c r="Z883" s="24" t="str">
        <f>IFERROR(__xludf.DUMMYFUNCTION("""COMPUTED_VALUE"""),"")</f>
        <v/>
      </c>
    </row>
    <row r="884">
      <c r="A884" s="5" t="str">
        <f>IFERROR(__xludf.DUMMYFUNCTION("""COMPUTED_VALUE"""),"")</f>
        <v/>
      </c>
      <c r="B884" s="5" t="str">
        <f>IFERROR(__xludf.DUMMYFUNCTION("""COMPUTED_VALUE"""),"76369")</f>
        <v>76369</v>
      </c>
      <c r="C884" s="9">
        <f>IFERROR(__xludf.DUMMYFUNCTION("""COMPUTED_VALUE"""),4.4638000677E10)</f>
        <v>44638000677</v>
      </c>
      <c r="D884" s="90" t="str">
        <f>IFERROR(__xludf.DUMMYFUNCTION("""COMPUTED_VALUE"""),"9988.HK")</f>
        <v>9988.HK</v>
      </c>
      <c r="E884" s="193">
        <f>IFERROR(__xludf.DUMMYFUNCTION("""COMPUTED_VALUE"""),44638.0)</f>
        <v>44638</v>
      </c>
      <c r="F884" s="5" t="str">
        <f>IFERROR(__xludf.DUMMYFUNCTION("""COMPUTED_VALUE"""),"Stock")</f>
        <v>Stock</v>
      </c>
      <c r="G884" s="5" t="str">
        <f>IFERROR(__xludf.DUMMYFUNCTION("""COMPUTED_VALUE"""),"HKD")</f>
        <v>HKD</v>
      </c>
      <c r="H884" s="22">
        <f>IFERROR(__xludf.DUMMYFUNCTION("""COMPUTED_VALUE"""),50.0)</f>
        <v>50</v>
      </c>
      <c r="I884" s="194">
        <f>IFERROR(__xludf.DUMMYFUNCTION("""COMPUTED_VALUE"""),1.0)</f>
        <v>1</v>
      </c>
      <c r="J884" s="23">
        <f>IFERROR(__xludf.DUMMYFUNCTION("""COMPUTED_VALUE"""),98.35)</f>
        <v>98.35</v>
      </c>
      <c r="K884" s="5"/>
      <c r="L884" s="23">
        <f>IFERROR(__xludf.DUMMYFUNCTION("""COMPUTED_VALUE"""),98.5)</f>
        <v>98.5</v>
      </c>
      <c r="M884" s="195" t="str">
        <f>IFERROR(__xludf.DUMMYFUNCTION("""COMPUTED_VALUE"""),"Equity Key Stats")</f>
        <v>Equity Key Stats</v>
      </c>
      <c r="N884" s="5"/>
      <c r="O884" s="5"/>
      <c r="P884" s="142">
        <f>IFERROR(__xludf.DUMMYFUNCTION("""COMPUTED_VALUE"""),-4917.5)</f>
        <v>-4917.5</v>
      </c>
      <c r="Q884" s="5"/>
      <c r="R884" s="71">
        <f>IFERROR(__xludf.DUMMYFUNCTION("""COMPUTED_VALUE"""),98.5)</f>
        <v>98.5</v>
      </c>
      <c r="S884" s="142">
        <f>IFERROR(__xludf.DUMMYFUNCTION("""COMPUTED_VALUE"""),4925.0)</f>
        <v>4925</v>
      </c>
      <c r="T884" s="5">
        <f>IFERROR(__xludf.DUMMYFUNCTION("""COMPUTED_VALUE"""),2.0)</f>
        <v>2</v>
      </c>
      <c r="U884" s="5" t="str">
        <f>IFERROR(__xludf.DUMMYFUNCTION("""COMPUTED_VALUE"""),"")</f>
        <v/>
      </c>
      <c r="V884" s="22" t="str">
        <f>IFERROR(__xludf.DUMMYFUNCTION("""COMPUTED_VALUE"""),"")</f>
        <v/>
      </c>
      <c r="W884" s="9" t="str">
        <f>IFERROR(__xludf.DUMMYFUNCTION("""COMPUTED_VALUE"""),"")</f>
        <v/>
      </c>
      <c r="X884" s="22" t="str">
        <f>IFERROR(__xludf.DUMMYFUNCTION("""COMPUTED_VALUE"""),"")</f>
        <v/>
      </c>
      <c r="Y884" s="22" t="str">
        <f>IFERROR(__xludf.DUMMYFUNCTION("""COMPUTED_VALUE"""),"")</f>
        <v/>
      </c>
      <c r="Z884" s="24" t="str">
        <f>IFERROR(__xludf.DUMMYFUNCTION("""COMPUTED_VALUE"""),"")</f>
        <v/>
      </c>
    </row>
    <row r="885">
      <c r="A885" s="5" t="str">
        <f>IFERROR(__xludf.DUMMYFUNCTION("""COMPUTED_VALUE"""),"")</f>
        <v/>
      </c>
      <c r="B885" s="5" t="str">
        <f>IFERROR(__xludf.DUMMYFUNCTION("""COMPUTED_VALUE"""),"76369")</f>
        <v>76369</v>
      </c>
      <c r="C885" s="9">
        <f>IFERROR(__xludf.DUMMYFUNCTION("""COMPUTED_VALUE"""),4.4638000678E10)</f>
        <v>44638000678</v>
      </c>
      <c r="D885" s="90" t="str">
        <f>IFERROR(__xludf.DUMMYFUNCTION("""COMPUTED_VALUE"""),"002670.SZ")</f>
        <v>002670.SZ</v>
      </c>
      <c r="E885" s="193">
        <f>IFERROR(__xludf.DUMMYFUNCTION("""COMPUTED_VALUE"""),44638.0)</f>
        <v>44638</v>
      </c>
      <c r="F885" s="5" t="str">
        <f>IFERROR(__xludf.DUMMYFUNCTION("""COMPUTED_VALUE"""),"Stock")</f>
        <v>Stock</v>
      </c>
      <c r="G885" s="5" t="str">
        <f>IFERROR(__xludf.DUMMYFUNCTION("""COMPUTED_VALUE"""),"CNY")</f>
        <v>CNY</v>
      </c>
      <c r="H885" s="22">
        <f>IFERROR(__xludf.DUMMYFUNCTION("""COMPUTED_VALUE"""),500.0)</f>
        <v>500</v>
      </c>
      <c r="I885" s="194">
        <f>IFERROR(__xludf.DUMMYFUNCTION("""COMPUTED_VALUE"""),1.231731)</f>
        <v>1.231731</v>
      </c>
      <c r="J885" s="23">
        <f>IFERROR(__xludf.DUMMYFUNCTION("""COMPUTED_VALUE"""),9.9)</f>
        <v>9.9</v>
      </c>
      <c r="K885" s="5"/>
      <c r="L885" s="23">
        <f>IFERROR(__xludf.DUMMYFUNCTION("""COMPUTED_VALUE"""),9.83)</f>
        <v>9.83</v>
      </c>
      <c r="M885" s="195" t="str">
        <f>IFERROR(__xludf.DUMMYFUNCTION("""COMPUTED_VALUE"""),"Equity Key Stats")</f>
        <v>Equity Key Stats</v>
      </c>
      <c r="N885" s="5"/>
      <c r="O885" s="5"/>
      <c r="P885" s="142">
        <f>IFERROR(__xludf.DUMMYFUNCTION("""COMPUTED_VALUE"""),-6097.06845)</f>
        <v>-6097.06845</v>
      </c>
      <c r="Q885" s="5"/>
      <c r="R885" s="71">
        <f>IFERROR(__xludf.DUMMYFUNCTION("""COMPUTED_VALUE"""),9.83)</f>
        <v>9.83</v>
      </c>
      <c r="S885" s="142">
        <f>IFERROR(__xludf.DUMMYFUNCTION("""COMPUTED_VALUE"""),6053.957865)</f>
        <v>6053.957865</v>
      </c>
      <c r="T885" s="5">
        <f>IFERROR(__xludf.DUMMYFUNCTION("""COMPUTED_VALUE"""),3.0)</f>
        <v>3</v>
      </c>
      <c r="U885" s="5" t="str">
        <f>IFERROR(__xludf.DUMMYFUNCTION("""COMPUTED_VALUE"""),"")</f>
        <v/>
      </c>
      <c r="V885" s="22" t="str">
        <f>IFERROR(__xludf.DUMMYFUNCTION("""COMPUTED_VALUE"""),"")</f>
        <v/>
      </c>
      <c r="W885" s="9" t="str">
        <f>IFERROR(__xludf.DUMMYFUNCTION("""COMPUTED_VALUE"""),"")</f>
        <v/>
      </c>
      <c r="X885" s="22" t="str">
        <f>IFERROR(__xludf.DUMMYFUNCTION("""COMPUTED_VALUE"""),"")</f>
        <v/>
      </c>
      <c r="Y885" s="22" t="str">
        <f>IFERROR(__xludf.DUMMYFUNCTION("""COMPUTED_VALUE"""),"")</f>
        <v/>
      </c>
      <c r="Z885" s="24" t="str">
        <f>IFERROR(__xludf.DUMMYFUNCTION("""COMPUTED_VALUE"""),"")</f>
        <v/>
      </c>
    </row>
    <row r="886">
      <c r="A886" s="5" t="str">
        <f>IFERROR(__xludf.DUMMYFUNCTION("""COMPUTED_VALUE"""),"")</f>
        <v/>
      </c>
      <c r="B886" s="5" t="str">
        <f>IFERROR(__xludf.DUMMYFUNCTION("""COMPUTED_VALUE"""),"76369")</f>
        <v>76369</v>
      </c>
      <c r="C886" s="9">
        <f>IFERROR(__xludf.DUMMYFUNCTION("""COMPUTED_VALUE"""),4.4641000732E10)</f>
        <v>44641000732</v>
      </c>
      <c r="D886" s="87" t="str">
        <f>IFERROR(__xludf.DUMMYFUNCTION("""COMPUTED_VALUE"""),"GC=F")</f>
        <v>GC=F</v>
      </c>
      <c r="E886" s="193">
        <f>IFERROR(__xludf.DUMMYFUNCTION("""COMPUTED_VALUE"""),44641.0)</f>
        <v>44641</v>
      </c>
      <c r="F886" s="5" t="str">
        <f>IFERROR(__xludf.DUMMYFUNCTION("""COMPUTED_VALUE"""),"Stock")</f>
        <v>Stock</v>
      </c>
      <c r="G886" s="5" t="str">
        <f>IFERROR(__xludf.DUMMYFUNCTION("""COMPUTED_VALUE"""),"USD")</f>
        <v>USD</v>
      </c>
      <c r="H886" s="22">
        <f>IFERROR(__xludf.DUMMYFUNCTION("""COMPUTED_VALUE"""),-5.0)</f>
        <v>-5</v>
      </c>
      <c r="I886" s="194">
        <f>IFERROR(__xludf.DUMMYFUNCTION("""COMPUTED_VALUE"""),7.82545)</f>
        <v>7.82545</v>
      </c>
      <c r="J886" s="23">
        <f>IFERROR(__xludf.DUMMYFUNCTION("""COMPUTED_VALUE"""),1932.4)</f>
        <v>1932.4</v>
      </c>
      <c r="K886" s="5"/>
      <c r="L886" s="23">
        <f>IFERROR(__xludf.DUMMYFUNCTION("""COMPUTED_VALUE"""),1980.7)</f>
        <v>1980.7</v>
      </c>
      <c r="M886" s="195" t="str">
        <f>IFERROR(__xludf.DUMMYFUNCTION("""COMPUTED_VALUE"""),"Equity Key Stats")</f>
        <v>Equity Key Stats</v>
      </c>
      <c r="N886" s="5"/>
      <c r="O886" s="5"/>
      <c r="P886" s="142">
        <f>IFERROR(__xludf.DUMMYFUNCTION("""COMPUTED_VALUE"""),75609.49790000002)</f>
        <v>75609.4979</v>
      </c>
      <c r="Q886" s="5"/>
      <c r="R886" s="71">
        <f>IFERROR(__xludf.DUMMYFUNCTION("""COMPUTED_VALUE"""),1980.7)</f>
        <v>1980.7</v>
      </c>
      <c r="S886" s="142">
        <f>IFERROR(__xludf.DUMMYFUNCTION("""COMPUTED_VALUE"""),-77499.34407500002)</f>
        <v>-77499.34408</v>
      </c>
      <c r="T886" s="5">
        <f>IFERROR(__xludf.DUMMYFUNCTION("""COMPUTED_VALUE"""),4.0)</f>
        <v>4</v>
      </c>
      <c r="U886" s="5">
        <f>IFERROR(__xludf.DUMMYFUNCTION("""COMPUTED_VALUE"""),1.0)</f>
        <v>1</v>
      </c>
      <c r="V886" s="22">
        <f>IFERROR(__xludf.DUMMYFUNCTION("""COMPUTED_VALUE"""),-3466.648299999986)</f>
        <v>-3466.6483</v>
      </c>
      <c r="W886" s="9" t="str">
        <f>IFERROR(__xludf.DUMMYFUNCTION("""COMPUTED_VALUE"""),"")</f>
        <v/>
      </c>
      <c r="X886" s="22" t="str">
        <f>IFERROR(__xludf.DUMMYFUNCTION("""COMPUTED_VALUE"""),"")</f>
        <v/>
      </c>
      <c r="Y886" s="22" t="str">
        <f>IFERROR(__xludf.DUMMYFUNCTION("""COMPUTED_VALUE"""),"")</f>
        <v/>
      </c>
      <c r="Z886" s="24" t="str">
        <f>IFERROR(__xludf.DUMMYFUNCTION("""COMPUTED_VALUE"""),"")</f>
        <v/>
      </c>
    </row>
    <row r="887">
      <c r="A887" s="5" t="str">
        <f>IFERROR(__xludf.DUMMYFUNCTION("""COMPUTED_VALUE"""),"")</f>
        <v/>
      </c>
      <c r="B887" s="5" t="str">
        <f>IFERROR(__xludf.DUMMYFUNCTION("""COMPUTED_VALUE"""),"76369")</f>
        <v>76369</v>
      </c>
      <c r="C887" s="9">
        <f>IFERROR(__xludf.DUMMYFUNCTION("""COMPUTED_VALUE"""),4.4649000986E10)</f>
        <v>44649000986</v>
      </c>
      <c r="D887" s="90" t="str">
        <f>IFERROR(__xludf.DUMMYFUNCTION("""COMPUTED_VALUE"""),"002670.SZ")</f>
        <v>002670.SZ</v>
      </c>
      <c r="E887" s="193">
        <f>IFERROR(__xludf.DUMMYFUNCTION("""COMPUTED_VALUE"""),44649.0)</f>
        <v>44649</v>
      </c>
      <c r="F887" s="5" t="str">
        <f>IFERROR(__xludf.DUMMYFUNCTION("""COMPUTED_VALUE"""),"Stock")</f>
        <v>Stock</v>
      </c>
      <c r="G887" s="5" t="str">
        <f>IFERROR(__xludf.DUMMYFUNCTION("""COMPUTED_VALUE"""),"CNY")</f>
        <v>CNY</v>
      </c>
      <c r="H887" s="22">
        <f>IFERROR(__xludf.DUMMYFUNCTION("""COMPUTED_VALUE"""),-500.0)</f>
        <v>-500</v>
      </c>
      <c r="I887" s="194">
        <f>IFERROR(__xludf.DUMMYFUNCTION("""COMPUTED_VALUE"""),1.229779)</f>
        <v>1.229779</v>
      </c>
      <c r="J887" s="23">
        <f>IFERROR(__xludf.DUMMYFUNCTION("""COMPUTED_VALUE"""),8.57)</f>
        <v>8.57</v>
      </c>
      <c r="K887" s="5"/>
      <c r="L887" s="23">
        <f>IFERROR(__xludf.DUMMYFUNCTION("""COMPUTED_VALUE"""),9.83)</f>
        <v>9.83</v>
      </c>
      <c r="M887" s="195" t="str">
        <f>IFERROR(__xludf.DUMMYFUNCTION("""COMPUTED_VALUE"""),"Equity Key Stats")</f>
        <v>Equity Key Stats</v>
      </c>
      <c r="N887" s="5"/>
      <c r="O887" s="5"/>
      <c r="P887" s="142">
        <f>IFERROR(__xludf.DUMMYFUNCTION("""COMPUTED_VALUE"""),5269.603015000001)</f>
        <v>5269.603015</v>
      </c>
      <c r="Q887" s="5"/>
      <c r="R887" s="71">
        <f>IFERROR(__xludf.DUMMYFUNCTION("""COMPUTED_VALUE"""),9.83)</f>
        <v>9.83</v>
      </c>
      <c r="S887" s="142">
        <f>IFERROR(__xludf.DUMMYFUNCTION("""COMPUTED_VALUE"""),-6044.3637850000005)</f>
        <v>-6044.363785</v>
      </c>
      <c r="T887" s="5">
        <f>IFERROR(__xludf.DUMMYFUNCTION("""COMPUTED_VALUE"""),3.0)</f>
        <v>3</v>
      </c>
      <c r="U887" s="5" t="str">
        <f>IFERROR(__xludf.DUMMYFUNCTION("""COMPUTED_VALUE"""),"")</f>
        <v/>
      </c>
      <c r="V887" s="22" t="str">
        <f>IFERROR(__xludf.DUMMYFUNCTION("""COMPUTED_VALUE"""),"")</f>
        <v/>
      </c>
      <c r="W887" s="9" t="str">
        <f>IFERROR(__xludf.DUMMYFUNCTION("""COMPUTED_VALUE"""),"")</f>
        <v/>
      </c>
      <c r="X887" s="22" t="str">
        <f>IFERROR(__xludf.DUMMYFUNCTION("""COMPUTED_VALUE"""),"")</f>
        <v/>
      </c>
      <c r="Y887" s="22" t="str">
        <f>IFERROR(__xludf.DUMMYFUNCTION("""COMPUTED_VALUE"""),"")</f>
        <v/>
      </c>
      <c r="Z887" s="24" t="str">
        <f>IFERROR(__xludf.DUMMYFUNCTION("""COMPUTED_VALUE"""),"")</f>
        <v/>
      </c>
    </row>
    <row r="888">
      <c r="A888" s="5" t="str">
        <f>IFERROR(__xludf.DUMMYFUNCTION("""COMPUTED_VALUE"""),"")</f>
        <v/>
      </c>
      <c r="B888" s="5" t="str">
        <f>IFERROR(__xludf.DUMMYFUNCTION("""COMPUTED_VALUE"""),"76369")</f>
        <v>76369</v>
      </c>
      <c r="C888" s="9">
        <f>IFERROR(__xludf.DUMMYFUNCTION("""COMPUTED_VALUE"""),4.4649000987E10)</f>
        <v>44649000987</v>
      </c>
      <c r="D888" s="90" t="str">
        <f>IFERROR(__xludf.DUMMYFUNCTION("""COMPUTED_VALUE"""),"600227.SS")</f>
        <v>600227.SS</v>
      </c>
      <c r="E888" s="193">
        <f>IFERROR(__xludf.DUMMYFUNCTION("""COMPUTED_VALUE"""),44649.0)</f>
        <v>44649</v>
      </c>
      <c r="F888" s="5" t="str">
        <f>IFERROR(__xludf.DUMMYFUNCTION("""COMPUTED_VALUE"""),"Stock")</f>
        <v>Stock</v>
      </c>
      <c r="G888" s="5" t="str">
        <f>IFERROR(__xludf.DUMMYFUNCTION("""COMPUTED_VALUE"""),"CNY")</f>
        <v>CNY</v>
      </c>
      <c r="H888" s="22">
        <f>IFERROR(__xludf.DUMMYFUNCTION("""COMPUTED_VALUE"""),1000.0)</f>
        <v>1000</v>
      </c>
      <c r="I888" s="194">
        <f>IFERROR(__xludf.DUMMYFUNCTION("""COMPUTED_VALUE"""),1.229779)</f>
        <v>1.229779</v>
      </c>
      <c r="J888" s="23">
        <f>IFERROR(__xludf.DUMMYFUNCTION("""COMPUTED_VALUE"""),3.71)</f>
        <v>3.71</v>
      </c>
      <c r="K888" s="5"/>
      <c r="L888" s="23">
        <f>IFERROR(__xludf.DUMMYFUNCTION("""COMPUTED_VALUE"""),3.66)</f>
        <v>3.66</v>
      </c>
      <c r="M888" s="195" t="str">
        <f>IFERROR(__xludf.DUMMYFUNCTION("""COMPUTED_VALUE"""),"Equity Key Stats")</f>
        <v>Equity Key Stats</v>
      </c>
      <c r="N888" s="5"/>
      <c r="O888" s="5"/>
      <c r="P888" s="142">
        <f>IFERROR(__xludf.DUMMYFUNCTION("""COMPUTED_VALUE"""),-4562.48009)</f>
        <v>-4562.48009</v>
      </c>
      <c r="Q888" s="5"/>
      <c r="R888" s="71">
        <f>IFERROR(__xludf.DUMMYFUNCTION("""COMPUTED_VALUE"""),3.66)</f>
        <v>3.66</v>
      </c>
      <c r="S888" s="142">
        <f>IFERROR(__xludf.DUMMYFUNCTION("""COMPUTED_VALUE"""),4500.99114)</f>
        <v>4500.99114</v>
      </c>
      <c r="T888" s="5">
        <f>IFERROR(__xludf.DUMMYFUNCTION("""COMPUTED_VALUE"""),1.0)</f>
        <v>1</v>
      </c>
      <c r="U888" s="5">
        <f>IFERROR(__xludf.DUMMYFUNCTION("""COMPUTED_VALUE"""),1.0)</f>
        <v>1</v>
      </c>
      <c r="V888" s="22">
        <f>IFERROR(__xludf.DUMMYFUNCTION("""COMPUTED_VALUE"""),-61.48894999999993)</f>
        <v>-61.48895</v>
      </c>
      <c r="W888" s="9" t="str">
        <f>IFERROR(__xludf.DUMMYFUNCTION("""COMPUTED_VALUE"""),"")</f>
        <v/>
      </c>
      <c r="X888" s="22" t="str">
        <f>IFERROR(__xludf.DUMMYFUNCTION("""COMPUTED_VALUE"""),"")</f>
        <v/>
      </c>
      <c r="Y888" s="22" t="str">
        <f>IFERROR(__xludf.DUMMYFUNCTION("""COMPUTED_VALUE"""),"")</f>
        <v/>
      </c>
      <c r="Z888" s="24" t="str">
        <f>IFERROR(__xludf.DUMMYFUNCTION("""COMPUTED_VALUE"""),"")</f>
        <v/>
      </c>
    </row>
    <row r="889">
      <c r="A889" s="5" t="str">
        <f>IFERROR(__xludf.DUMMYFUNCTION("""COMPUTED_VALUE"""),"")</f>
        <v/>
      </c>
      <c r="B889" s="5" t="str">
        <f>IFERROR(__xludf.DUMMYFUNCTION("""COMPUTED_VALUE"""),"76369")</f>
        <v>76369</v>
      </c>
      <c r="C889" s="9">
        <f>IFERROR(__xludf.DUMMYFUNCTION("""COMPUTED_VALUE"""),4.4649000988E10)</f>
        <v>44649000988</v>
      </c>
      <c r="D889" s="90" t="str">
        <f>IFERROR(__xludf.DUMMYFUNCTION("""COMPUTED_VALUE"""),"000999.SZ")</f>
        <v>000999.SZ</v>
      </c>
      <c r="E889" s="193">
        <f>IFERROR(__xludf.DUMMYFUNCTION("""COMPUTED_VALUE"""),44649.0)</f>
        <v>44649</v>
      </c>
      <c r="F889" s="5" t="str">
        <f>IFERROR(__xludf.DUMMYFUNCTION("""COMPUTED_VALUE"""),"Stock")</f>
        <v>Stock</v>
      </c>
      <c r="G889" s="5" t="str">
        <f>IFERROR(__xludf.DUMMYFUNCTION("""COMPUTED_VALUE"""),"CNY")</f>
        <v>CNY</v>
      </c>
      <c r="H889" s="22">
        <f>IFERROR(__xludf.DUMMYFUNCTION("""COMPUTED_VALUE"""),100.0)</f>
        <v>100</v>
      </c>
      <c r="I889" s="194">
        <f>IFERROR(__xludf.DUMMYFUNCTION("""COMPUTED_VALUE"""),1.229779)</f>
        <v>1.229779</v>
      </c>
      <c r="J889" s="23">
        <f>IFERROR(__xludf.DUMMYFUNCTION("""COMPUTED_VALUE"""),43.35)</f>
        <v>43.35</v>
      </c>
      <c r="K889" s="5"/>
      <c r="L889" s="23">
        <f>IFERROR(__xludf.DUMMYFUNCTION("""COMPUTED_VALUE"""),37.41)</f>
        <v>37.41</v>
      </c>
      <c r="M889" s="195" t="str">
        <f>IFERROR(__xludf.DUMMYFUNCTION("""COMPUTED_VALUE"""),"Equity Key Stats")</f>
        <v>Equity Key Stats</v>
      </c>
      <c r="N889" s="5"/>
      <c r="O889" s="5"/>
      <c r="P889" s="142">
        <f>IFERROR(__xludf.DUMMYFUNCTION("""COMPUTED_VALUE"""),-5331.091965)</f>
        <v>-5331.091965</v>
      </c>
      <c r="Q889" s="5"/>
      <c r="R889" s="71">
        <f>IFERROR(__xludf.DUMMYFUNCTION("""COMPUTED_VALUE"""),37.41)</f>
        <v>37.41</v>
      </c>
      <c r="S889" s="142">
        <f>IFERROR(__xludf.DUMMYFUNCTION("""COMPUTED_VALUE"""),4600.603238999999)</f>
        <v>4600.603239</v>
      </c>
      <c r="T889" s="5">
        <f>IFERROR(__xludf.DUMMYFUNCTION("""COMPUTED_VALUE"""),1.0)</f>
        <v>1</v>
      </c>
      <c r="U889" s="5">
        <f>IFERROR(__xludf.DUMMYFUNCTION("""COMPUTED_VALUE"""),1.0)</f>
        <v>1</v>
      </c>
      <c r="V889" s="22">
        <f>IFERROR(__xludf.DUMMYFUNCTION("""COMPUTED_VALUE"""),-730.4887260000005)</f>
        <v>-730.488726</v>
      </c>
      <c r="W889" s="9" t="str">
        <f>IFERROR(__xludf.DUMMYFUNCTION("""COMPUTED_VALUE"""),"")</f>
        <v/>
      </c>
      <c r="X889" s="22" t="str">
        <f>IFERROR(__xludf.DUMMYFUNCTION("""COMPUTED_VALUE"""),"")</f>
        <v/>
      </c>
      <c r="Y889" s="22" t="str">
        <f>IFERROR(__xludf.DUMMYFUNCTION("""COMPUTED_VALUE"""),"")</f>
        <v/>
      </c>
      <c r="Z889" s="24" t="str">
        <f>IFERROR(__xludf.DUMMYFUNCTION("""COMPUTED_VALUE"""),"")</f>
        <v/>
      </c>
    </row>
    <row r="890">
      <c r="A890" s="5" t="str">
        <f>IFERROR(__xludf.DUMMYFUNCTION("""COMPUTED_VALUE"""),"")</f>
        <v/>
      </c>
      <c r="B890" s="5" t="str">
        <f>IFERROR(__xludf.DUMMYFUNCTION("""COMPUTED_VALUE"""),"76369")</f>
        <v>76369</v>
      </c>
      <c r="C890" s="9">
        <f>IFERROR(__xludf.DUMMYFUNCTION("""COMPUTED_VALUE"""),4.4650001027E10)</f>
        <v>44650001027</v>
      </c>
      <c r="D890" s="90" t="str">
        <f>IFERROR(__xludf.DUMMYFUNCTION("""COMPUTED_VALUE"""),"002670.SZ")</f>
        <v>002670.SZ</v>
      </c>
      <c r="E890" s="193">
        <f>IFERROR(__xludf.DUMMYFUNCTION("""COMPUTED_VALUE"""),44650.0)</f>
        <v>44650</v>
      </c>
      <c r="F890" s="5" t="str">
        <f>IFERROR(__xludf.DUMMYFUNCTION("""COMPUTED_VALUE"""),"Stock")</f>
        <v>Stock</v>
      </c>
      <c r="G890" s="5" t="str">
        <f>IFERROR(__xludf.DUMMYFUNCTION("""COMPUTED_VALUE"""),"CNY")</f>
        <v>CNY</v>
      </c>
      <c r="H890" s="22">
        <f>IFERROR(__xludf.DUMMYFUNCTION("""COMPUTED_VALUE"""),500.0)</f>
        <v>500</v>
      </c>
      <c r="I890" s="194">
        <f>IFERROR(__xludf.DUMMYFUNCTION("""COMPUTED_VALUE"""),1.23338)</f>
        <v>1.23338</v>
      </c>
      <c r="J890" s="23">
        <f>IFERROR(__xludf.DUMMYFUNCTION("""COMPUTED_VALUE"""),9.18)</f>
        <v>9.18</v>
      </c>
      <c r="K890" s="5"/>
      <c r="L890" s="23">
        <f>IFERROR(__xludf.DUMMYFUNCTION("""COMPUTED_VALUE"""),9.83)</f>
        <v>9.83</v>
      </c>
      <c r="M890" s="195" t="str">
        <f>IFERROR(__xludf.DUMMYFUNCTION("""COMPUTED_VALUE"""),"Equity Key Stats")</f>
        <v>Equity Key Stats</v>
      </c>
      <c r="N890" s="5"/>
      <c r="O890" s="5"/>
      <c r="P890" s="142">
        <f>IFERROR(__xludf.DUMMYFUNCTION("""COMPUTED_VALUE"""),-5661.214199999999)</f>
        <v>-5661.2142</v>
      </c>
      <c r="Q890" s="5"/>
      <c r="R890" s="71">
        <f>IFERROR(__xludf.DUMMYFUNCTION("""COMPUTED_VALUE"""),9.83)</f>
        <v>9.83</v>
      </c>
      <c r="S890" s="142">
        <f>IFERROR(__xludf.DUMMYFUNCTION("""COMPUTED_VALUE"""),6062.0626999999995)</f>
        <v>6062.0627</v>
      </c>
      <c r="T890" s="5">
        <f>IFERROR(__xludf.DUMMYFUNCTION("""COMPUTED_VALUE"""),3.0)</f>
        <v>3</v>
      </c>
      <c r="U890" s="5">
        <f>IFERROR(__xludf.DUMMYFUNCTION("""COMPUTED_VALUE"""),1.0)</f>
        <v>1</v>
      </c>
      <c r="V890" s="22">
        <f>IFERROR(__xludf.DUMMYFUNCTION("""COMPUTED_VALUE"""),-417.02285499999925)</f>
        <v>-417.022855</v>
      </c>
      <c r="W890" s="9" t="str">
        <f>IFERROR(__xludf.DUMMYFUNCTION("""COMPUTED_VALUE"""),"")</f>
        <v/>
      </c>
      <c r="X890" s="22" t="str">
        <f>IFERROR(__xludf.DUMMYFUNCTION("""COMPUTED_VALUE"""),"")</f>
        <v/>
      </c>
      <c r="Y890" s="22" t="str">
        <f>IFERROR(__xludf.DUMMYFUNCTION("""COMPUTED_VALUE"""),"")</f>
        <v/>
      </c>
      <c r="Z890" s="24" t="str">
        <f>IFERROR(__xludf.DUMMYFUNCTION("""COMPUTED_VALUE"""),"")</f>
        <v/>
      </c>
    </row>
    <row r="891">
      <c r="A891" s="5" t="str">
        <f>IFERROR(__xludf.DUMMYFUNCTION("""COMPUTED_VALUE"""),"")</f>
        <v/>
      </c>
      <c r="B891" s="5" t="str">
        <f>IFERROR(__xludf.DUMMYFUNCTION("""COMPUTED_VALUE"""),"76369")</f>
        <v>76369</v>
      </c>
      <c r="C891" s="9">
        <f>IFERROR(__xludf.DUMMYFUNCTION("""COMPUTED_VALUE"""),4.4652001083E10)</f>
        <v>44652001083</v>
      </c>
      <c r="D891" s="90" t="str">
        <f>IFERROR(__xludf.DUMMYFUNCTION("""COMPUTED_VALUE"""),"603538.SS")</f>
        <v>603538.SS</v>
      </c>
      <c r="E891" s="193">
        <f>IFERROR(__xludf.DUMMYFUNCTION("""COMPUTED_VALUE"""),44652.0)</f>
        <v>44652</v>
      </c>
      <c r="F891" s="5" t="str">
        <f>IFERROR(__xludf.DUMMYFUNCTION("""COMPUTED_VALUE"""),"Stock")</f>
        <v>Stock</v>
      </c>
      <c r="G891" s="5" t="str">
        <f>IFERROR(__xludf.DUMMYFUNCTION("""COMPUTED_VALUE"""),"CNY")</f>
        <v>CNY</v>
      </c>
      <c r="H891" s="22">
        <f>IFERROR(__xludf.DUMMYFUNCTION("""COMPUTED_VALUE"""),-500.0)</f>
        <v>-500</v>
      </c>
      <c r="I891" s="194">
        <f>IFERROR(__xludf.DUMMYFUNCTION("""COMPUTED_VALUE"""),1.231079)</f>
        <v>1.231079</v>
      </c>
      <c r="J891" s="23">
        <f>IFERROR(__xludf.DUMMYFUNCTION("""COMPUTED_VALUE"""),67.52)</f>
        <v>67.52</v>
      </c>
      <c r="K891" s="5"/>
      <c r="L891" s="23">
        <f>IFERROR(__xludf.DUMMYFUNCTION("""COMPUTED_VALUE"""),51.21)</f>
        <v>51.21</v>
      </c>
      <c r="M891" s="195" t="str">
        <f>IFERROR(__xludf.DUMMYFUNCTION("""COMPUTED_VALUE"""),"Equity Key Stats")</f>
        <v>Equity Key Stats</v>
      </c>
      <c r="N891" s="5"/>
      <c r="O891" s="5"/>
      <c r="P891" s="142">
        <f>IFERROR(__xludf.DUMMYFUNCTION("""COMPUTED_VALUE"""),41561.22704)</f>
        <v>41561.22704</v>
      </c>
      <c r="Q891" s="5"/>
      <c r="R891" s="71">
        <f>IFERROR(__xludf.DUMMYFUNCTION("""COMPUTED_VALUE"""),51.21)</f>
        <v>51.21</v>
      </c>
      <c r="S891" s="142">
        <f>IFERROR(__xludf.DUMMYFUNCTION("""COMPUTED_VALUE"""),-31521.777794999998)</f>
        <v>-31521.7778</v>
      </c>
      <c r="T891" s="5">
        <f>IFERROR(__xludf.DUMMYFUNCTION("""COMPUTED_VALUE"""),2.0)</f>
        <v>2</v>
      </c>
      <c r="U891" s="5">
        <f>IFERROR(__xludf.DUMMYFUNCTION("""COMPUTED_VALUE"""),1.0)</f>
        <v>1</v>
      </c>
      <c r="V891" s="22">
        <f>IFERROR(__xludf.DUMMYFUNCTION("""COMPUTED_VALUE"""),7710.842925000001)</f>
        <v>7710.842925</v>
      </c>
      <c r="W891" s="9" t="str">
        <f>IFERROR(__xludf.DUMMYFUNCTION("""COMPUTED_VALUE"""),"")</f>
        <v/>
      </c>
      <c r="X891" s="22" t="str">
        <f>IFERROR(__xludf.DUMMYFUNCTION("""COMPUTED_VALUE"""),"")</f>
        <v/>
      </c>
      <c r="Y891" s="22" t="str">
        <f>IFERROR(__xludf.DUMMYFUNCTION("""COMPUTED_VALUE"""),"")</f>
        <v/>
      </c>
      <c r="Z891" s="24" t="str">
        <f>IFERROR(__xludf.DUMMYFUNCTION("""COMPUTED_VALUE"""),"")</f>
        <v/>
      </c>
    </row>
    <row r="892">
      <c r="A892" s="5" t="str">
        <f>IFERROR(__xludf.DUMMYFUNCTION("""COMPUTED_VALUE"""),"")</f>
        <v/>
      </c>
      <c r="B892" s="5" t="str">
        <f>IFERROR(__xludf.DUMMYFUNCTION("""COMPUTED_VALUE"""),"76369")</f>
        <v>76369</v>
      </c>
      <c r="C892" s="9">
        <f>IFERROR(__xludf.DUMMYFUNCTION("""COMPUTED_VALUE"""),4.4658001199E10)</f>
        <v>44658001199</v>
      </c>
      <c r="D892" s="91" t="str">
        <f>IFERROR(__xludf.DUMMYFUNCTION("""COMPUTED_VALUE"""),"688076.SS")</f>
        <v>688076.SS</v>
      </c>
      <c r="E892" s="193">
        <f>IFERROR(__xludf.DUMMYFUNCTION("""COMPUTED_VALUE"""),44658.0)</f>
        <v>44658</v>
      </c>
      <c r="F892" s="5" t="str">
        <f>IFERROR(__xludf.DUMMYFUNCTION("""COMPUTED_VALUE"""),"Stock")</f>
        <v>Stock</v>
      </c>
      <c r="G892" s="5" t="str">
        <f>IFERROR(__xludf.DUMMYFUNCTION("""COMPUTED_VALUE"""),"CNY")</f>
        <v>CNY</v>
      </c>
      <c r="H892" s="22">
        <f>IFERROR(__xludf.DUMMYFUNCTION("""COMPUTED_VALUE"""),-500.0)</f>
        <v>-500</v>
      </c>
      <c r="I892" s="194">
        <f>IFERROR(__xludf.DUMMYFUNCTION("""COMPUTED_VALUE"""),1.232139)</f>
        <v>1.232139</v>
      </c>
      <c r="J892" s="23">
        <f>IFERROR(__xludf.DUMMYFUNCTION("""COMPUTED_VALUE"""),34.64)</f>
        <v>34.64</v>
      </c>
      <c r="K892" s="5"/>
      <c r="L892" s="23">
        <f>IFERROR(__xludf.DUMMYFUNCTION("""COMPUTED_VALUE"""),30.72)</f>
        <v>30.72</v>
      </c>
      <c r="M892" s="195" t="str">
        <f>IFERROR(__xludf.DUMMYFUNCTION("""COMPUTED_VALUE"""),"Equity Key Stats")</f>
        <v>Equity Key Stats</v>
      </c>
      <c r="N892" s="5"/>
      <c r="O892" s="5"/>
      <c r="P892" s="142">
        <f>IFERROR(__xludf.DUMMYFUNCTION("""COMPUTED_VALUE"""),21340.647480000003)</f>
        <v>21340.64748</v>
      </c>
      <c r="Q892" s="5"/>
      <c r="R892" s="71">
        <f>IFERROR(__xludf.DUMMYFUNCTION("""COMPUTED_VALUE"""),30.72)</f>
        <v>30.72</v>
      </c>
      <c r="S892" s="142">
        <f>IFERROR(__xludf.DUMMYFUNCTION("""COMPUTED_VALUE"""),-18925.65504)</f>
        <v>-18925.65504</v>
      </c>
      <c r="T892" s="5">
        <f>IFERROR(__xludf.DUMMYFUNCTION("""COMPUTED_VALUE"""),2.0)</f>
        <v>2</v>
      </c>
      <c r="U892" s="5">
        <f>IFERROR(__xludf.DUMMYFUNCTION("""COMPUTED_VALUE"""),1.0)</f>
        <v>1</v>
      </c>
      <c r="V892" s="22">
        <f>IFERROR(__xludf.DUMMYFUNCTION("""COMPUTED_VALUE"""),-5222.098999999998)</f>
        <v>-5222.099</v>
      </c>
      <c r="W892" s="9" t="str">
        <f>IFERROR(__xludf.DUMMYFUNCTION("""COMPUTED_VALUE"""),"")</f>
        <v/>
      </c>
      <c r="X892" s="22" t="str">
        <f>IFERROR(__xludf.DUMMYFUNCTION("""COMPUTED_VALUE"""),"")</f>
        <v/>
      </c>
      <c r="Y892" s="22" t="str">
        <f>IFERROR(__xludf.DUMMYFUNCTION("""COMPUTED_VALUE"""),"")</f>
        <v/>
      </c>
      <c r="Z892" s="24" t="str">
        <f>IFERROR(__xludf.DUMMYFUNCTION("""COMPUTED_VALUE"""),"")</f>
        <v/>
      </c>
    </row>
    <row r="893">
      <c r="A893" s="5" t="str">
        <f>IFERROR(__xludf.DUMMYFUNCTION("""COMPUTED_VALUE"""),"")</f>
        <v/>
      </c>
      <c r="B893" s="5" t="str">
        <f>IFERROR(__xludf.DUMMYFUNCTION("""COMPUTED_VALUE"""),"76369")</f>
        <v>76369</v>
      </c>
      <c r="C893" s="9">
        <f>IFERROR(__xludf.DUMMYFUNCTION("""COMPUTED_VALUE"""),4.46580012E10)</f>
        <v>44658001200</v>
      </c>
      <c r="D893" s="91" t="str">
        <f>IFERROR(__xludf.DUMMYFUNCTION("""COMPUTED_VALUE"""),"300147.SZ")</f>
        <v>300147.SZ</v>
      </c>
      <c r="E893" s="193">
        <f>IFERROR(__xludf.DUMMYFUNCTION("""COMPUTED_VALUE"""),44658.0)</f>
        <v>44658</v>
      </c>
      <c r="F893" s="5" t="str">
        <f>IFERROR(__xludf.DUMMYFUNCTION("""COMPUTED_VALUE"""),"Stock")</f>
        <v>Stock</v>
      </c>
      <c r="G893" s="5" t="str">
        <f>IFERROR(__xludf.DUMMYFUNCTION("""COMPUTED_VALUE"""),"CNY")</f>
        <v>CNY</v>
      </c>
      <c r="H893" s="22">
        <f>IFERROR(__xludf.DUMMYFUNCTION("""COMPUTED_VALUE"""),1000.0)</f>
        <v>1000</v>
      </c>
      <c r="I893" s="194">
        <f>IFERROR(__xludf.DUMMYFUNCTION("""COMPUTED_VALUE"""),1.232139)</f>
        <v>1.232139</v>
      </c>
      <c r="J893" s="23">
        <f>IFERROR(__xludf.DUMMYFUNCTION("""COMPUTED_VALUE"""),8.94)</f>
        <v>8.94</v>
      </c>
      <c r="K893" s="5"/>
      <c r="L893" s="23">
        <f>IFERROR(__xludf.DUMMYFUNCTION("""COMPUTED_VALUE"""),7.7)</f>
        <v>7.7</v>
      </c>
      <c r="M893" s="195" t="str">
        <f>IFERROR(__xludf.DUMMYFUNCTION("""COMPUTED_VALUE"""),"Equity Key Stats")</f>
        <v>Equity Key Stats</v>
      </c>
      <c r="N893" s="5"/>
      <c r="O893" s="5"/>
      <c r="P893" s="142">
        <f>IFERROR(__xludf.DUMMYFUNCTION("""COMPUTED_VALUE"""),-11015.32266)</f>
        <v>-11015.32266</v>
      </c>
      <c r="Q893" s="5"/>
      <c r="R893" s="71">
        <f>IFERROR(__xludf.DUMMYFUNCTION("""COMPUTED_VALUE"""),7.7)</f>
        <v>7.7</v>
      </c>
      <c r="S893" s="142">
        <f>IFERROR(__xludf.DUMMYFUNCTION("""COMPUTED_VALUE"""),9487.4703)</f>
        <v>9487.4703</v>
      </c>
      <c r="T893" s="5">
        <f>IFERROR(__xludf.DUMMYFUNCTION("""COMPUTED_VALUE"""),1.0)</f>
        <v>1</v>
      </c>
      <c r="U893" s="5">
        <f>IFERROR(__xludf.DUMMYFUNCTION("""COMPUTED_VALUE"""),1.0)</f>
        <v>1</v>
      </c>
      <c r="V893" s="22">
        <f>IFERROR(__xludf.DUMMYFUNCTION("""COMPUTED_VALUE"""),-1527.852359999999)</f>
        <v>-1527.85236</v>
      </c>
      <c r="W893" s="9" t="str">
        <f>IFERROR(__xludf.DUMMYFUNCTION("""COMPUTED_VALUE"""),"")</f>
        <v/>
      </c>
      <c r="X893" s="22" t="str">
        <f>IFERROR(__xludf.DUMMYFUNCTION("""COMPUTED_VALUE"""),"")</f>
        <v/>
      </c>
      <c r="Y893" s="22" t="str">
        <f>IFERROR(__xludf.DUMMYFUNCTION("""COMPUTED_VALUE"""),"")</f>
        <v/>
      </c>
      <c r="Z893" s="24" t="str">
        <f>IFERROR(__xludf.DUMMYFUNCTION("""COMPUTED_VALUE"""),"")</f>
        <v/>
      </c>
    </row>
    <row r="894">
      <c r="A894" s="5" t="str">
        <f>IFERROR(__xludf.DUMMYFUNCTION("""COMPUTED_VALUE"""),"")</f>
        <v/>
      </c>
      <c r="B894" s="5" t="str">
        <f>IFERROR(__xludf.DUMMYFUNCTION("""COMPUTED_VALUE"""),"76369")</f>
        <v>76369</v>
      </c>
      <c r="C894" s="9">
        <f>IFERROR(__xludf.DUMMYFUNCTION("""COMPUTED_VALUE"""),4.4662001346E10)</f>
        <v>44662001346</v>
      </c>
      <c r="D894" s="91" t="str">
        <f>IFERROR(__xludf.DUMMYFUNCTION("""COMPUTED_VALUE"""),"603963.SS")</f>
        <v>603963.SS</v>
      </c>
      <c r="E894" s="193">
        <f>IFERROR(__xludf.DUMMYFUNCTION("""COMPUTED_VALUE"""),44662.0)</f>
        <v>44662</v>
      </c>
      <c r="F894" s="5" t="str">
        <f>IFERROR(__xludf.DUMMYFUNCTION("""COMPUTED_VALUE"""),"Stock")</f>
        <v>Stock</v>
      </c>
      <c r="G894" s="5" t="str">
        <f>IFERROR(__xludf.DUMMYFUNCTION("""COMPUTED_VALUE"""),"CNY")</f>
        <v>CNY</v>
      </c>
      <c r="H894" s="22">
        <f>IFERROR(__xludf.DUMMYFUNCTION("""COMPUTED_VALUE"""),-1000.0)</f>
        <v>-1000</v>
      </c>
      <c r="I894" s="194">
        <f>IFERROR(__xludf.DUMMYFUNCTION("""COMPUTED_VALUE"""),1.230624)</f>
        <v>1.230624</v>
      </c>
      <c r="J894" s="23">
        <f>IFERROR(__xludf.DUMMYFUNCTION("""COMPUTED_VALUE"""),14.2)</f>
        <v>14.2</v>
      </c>
      <c r="K894" s="5"/>
      <c r="L894" s="23">
        <f>IFERROR(__xludf.DUMMYFUNCTION("""COMPUTED_VALUE"""),17.18)</f>
        <v>17.18</v>
      </c>
      <c r="M894" s="195" t="str">
        <f>IFERROR(__xludf.DUMMYFUNCTION("""COMPUTED_VALUE"""),"Equity Key Stats")</f>
        <v>Equity Key Stats</v>
      </c>
      <c r="N894" s="5"/>
      <c r="O894" s="5"/>
      <c r="P894" s="142">
        <f>IFERROR(__xludf.DUMMYFUNCTION("""COMPUTED_VALUE"""),17474.8608)</f>
        <v>17474.8608</v>
      </c>
      <c r="Q894" s="5"/>
      <c r="R894" s="71">
        <f>IFERROR(__xludf.DUMMYFUNCTION("""COMPUTED_VALUE"""),17.18)</f>
        <v>17.18</v>
      </c>
      <c r="S894" s="142">
        <f>IFERROR(__xludf.DUMMYFUNCTION("""COMPUTED_VALUE"""),-21142.12032)</f>
        <v>-21142.12032</v>
      </c>
      <c r="T894" s="5">
        <f>IFERROR(__xludf.DUMMYFUNCTION("""COMPUTED_VALUE"""),4.0)</f>
        <v>4</v>
      </c>
      <c r="U894" s="5">
        <f>IFERROR(__xludf.DUMMYFUNCTION("""COMPUTED_VALUE"""),1.0)</f>
        <v>1</v>
      </c>
      <c r="V894" s="22">
        <f>IFERROR(__xludf.DUMMYFUNCTION("""COMPUTED_VALUE"""),2183.7020339999945)</f>
        <v>2183.702034</v>
      </c>
      <c r="W894" s="9" t="str">
        <f>IFERROR(__xludf.DUMMYFUNCTION("""COMPUTED_VALUE"""),"")</f>
        <v/>
      </c>
      <c r="X894" s="22" t="str">
        <f>IFERROR(__xludf.DUMMYFUNCTION("""COMPUTED_VALUE"""),"")</f>
        <v/>
      </c>
      <c r="Y894" s="22" t="str">
        <f>IFERROR(__xludf.DUMMYFUNCTION("""COMPUTED_VALUE"""),"")</f>
        <v/>
      </c>
      <c r="Z894" s="24" t="str">
        <f>IFERROR(__xludf.DUMMYFUNCTION("""COMPUTED_VALUE"""),"")</f>
        <v/>
      </c>
    </row>
    <row r="895">
      <c r="A895" s="5" t="str">
        <f>IFERROR(__xludf.DUMMYFUNCTION("""COMPUTED_VALUE"""),"")</f>
        <v/>
      </c>
      <c r="B895" s="5" t="str">
        <f>IFERROR(__xludf.DUMMYFUNCTION("""COMPUTED_VALUE"""),"76369")</f>
        <v>76369</v>
      </c>
      <c r="C895" s="9">
        <f>IFERROR(__xludf.DUMMYFUNCTION("""COMPUTED_VALUE"""),4.4662001347E10)</f>
        <v>44662001347</v>
      </c>
      <c r="D895" s="91" t="str">
        <f>IFERROR(__xludf.DUMMYFUNCTION("""COMPUTED_VALUE"""),"9988.HK")</f>
        <v>9988.HK</v>
      </c>
      <c r="E895" s="193">
        <f>IFERROR(__xludf.DUMMYFUNCTION("""COMPUTED_VALUE"""),44662.0)</f>
        <v>44662</v>
      </c>
      <c r="F895" s="5" t="str">
        <f>IFERROR(__xludf.DUMMYFUNCTION("""COMPUTED_VALUE"""),"Stock")</f>
        <v>Stock</v>
      </c>
      <c r="G895" s="5" t="str">
        <f>IFERROR(__xludf.DUMMYFUNCTION("""COMPUTED_VALUE"""),"HKD")</f>
        <v>HKD</v>
      </c>
      <c r="H895" s="22">
        <f>IFERROR(__xludf.DUMMYFUNCTION("""COMPUTED_VALUE"""),-50.0)</f>
        <v>-50</v>
      </c>
      <c r="I895" s="194">
        <f>IFERROR(__xludf.DUMMYFUNCTION("""COMPUTED_VALUE"""),1.0)</f>
        <v>1</v>
      </c>
      <c r="J895" s="23">
        <f>IFERROR(__xludf.DUMMYFUNCTION("""COMPUTED_VALUE"""),98.5)</f>
        <v>98.5</v>
      </c>
      <c r="K895" s="5"/>
      <c r="L895" s="23">
        <f>IFERROR(__xludf.DUMMYFUNCTION("""COMPUTED_VALUE"""),98.5)</f>
        <v>98.5</v>
      </c>
      <c r="M895" s="195" t="str">
        <f>IFERROR(__xludf.DUMMYFUNCTION("""COMPUTED_VALUE"""),"Equity Key Stats")</f>
        <v>Equity Key Stats</v>
      </c>
      <c r="N895" s="5"/>
      <c r="O895" s="5"/>
      <c r="P895" s="142">
        <f>IFERROR(__xludf.DUMMYFUNCTION("""COMPUTED_VALUE"""),4925.0)</f>
        <v>4925</v>
      </c>
      <c r="Q895" s="5"/>
      <c r="R895" s="71">
        <f>IFERROR(__xludf.DUMMYFUNCTION("""COMPUTED_VALUE"""),98.5)</f>
        <v>98.5</v>
      </c>
      <c r="S895" s="142">
        <f>IFERROR(__xludf.DUMMYFUNCTION("""COMPUTED_VALUE"""),-4925.0)</f>
        <v>-4925</v>
      </c>
      <c r="T895" s="5">
        <f>IFERROR(__xludf.DUMMYFUNCTION("""COMPUTED_VALUE"""),2.0)</f>
        <v>2</v>
      </c>
      <c r="U895" s="5">
        <f>IFERROR(__xludf.DUMMYFUNCTION("""COMPUTED_VALUE"""),1.0)</f>
        <v>1</v>
      </c>
      <c r="V895" s="22">
        <f>IFERROR(__xludf.DUMMYFUNCTION("""COMPUTED_VALUE"""),7.5)</f>
        <v>7.5</v>
      </c>
      <c r="W895" s="9" t="str">
        <f>IFERROR(__xludf.DUMMYFUNCTION("""COMPUTED_VALUE"""),"")</f>
        <v/>
      </c>
      <c r="X895" s="22" t="str">
        <f>IFERROR(__xludf.DUMMYFUNCTION("""COMPUTED_VALUE"""),"")</f>
        <v/>
      </c>
      <c r="Y895" s="22" t="str">
        <f>IFERROR(__xludf.DUMMYFUNCTION("""COMPUTED_VALUE"""),"")</f>
        <v/>
      </c>
      <c r="Z895" s="24" t="str">
        <f>IFERROR(__xludf.DUMMYFUNCTION("""COMPUTED_VALUE"""),"")</f>
        <v/>
      </c>
    </row>
    <row r="896">
      <c r="A896" s="5" t="str">
        <f>IFERROR(__xludf.DUMMYFUNCTION("""COMPUTED_VALUE"""),"76369")</f>
        <v>76369</v>
      </c>
      <c r="B896" s="5" t="str">
        <f>IFERROR(__xludf.DUMMYFUNCTION("""COMPUTED_VALUE"""),"76369")</f>
        <v>76369</v>
      </c>
      <c r="C896" s="9">
        <f>IFERROR(__xludf.DUMMYFUNCTION("""COMPUTED_VALUE"""),4.4662001349E10)</f>
        <v>44662001349</v>
      </c>
      <c r="D896" s="91" t="str">
        <f>IFERROR(__xludf.DUMMYFUNCTION("""COMPUTED_VALUE"""),"0700.HK")</f>
        <v>0700.HK</v>
      </c>
      <c r="E896" s="193">
        <f>IFERROR(__xludf.DUMMYFUNCTION("""COMPUTED_VALUE"""),44662.0)</f>
        <v>44662</v>
      </c>
      <c r="F896" s="5" t="str">
        <f>IFERROR(__xludf.DUMMYFUNCTION("""COMPUTED_VALUE"""),"Stock")</f>
        <v>Stock</v>
      </c>
      <c r="G896" s="5" t="str">
        <f>IFERROR(__xludf.DUMMYFUNCTION("""COMPUTED_VALUE"""),"HKD")</f>
        <v>HKD</v>
      </c>
      <c r="H896" s="22">
        <f>IFERROR(__xludf.DUMMYFUNCTION("""COMPUTED_VALUE"""),-50.0)</f>
        <v>-50</v>
      </c>
      <c r="I896" s="194">
        <f>IFERROR(__xludf.DUMMYFUNCTION("""COMPUTED_VALUE"""),1.0)</f>
        <v>1</v>
      </c>
      <c r="J896" s="23">
        <f>IFERROR(__xludf.DUMMYFUNCTION("""COMPUTED_VALUE"""),353.6)</f>
        <v>353.6</v>
      </c>
      <c r="K896" s="5"/>
      <c r="L896" s="23">
        <f>IFERROR(__xludf.DUMMYFUNCTION("""COMPUTED_VALUE"""),373.6)</f>
        <v>373.6</v>
      </c>
      <c r="M896" s="195" t="str">
        <f>IFERROR(__xludf.DUMMYFUNCTION("""COMPUTED_VALUE"""),"Equity Key Stats")</f>
        <v>Equity Key Stats</v>
      </c>
      <c r="N896" s="5"/>
      <c r="O896" s="5"/>
      <c r="P896" s="142">
        <f>IFERROR(__xludf.DUMMYFUNCTION("""COMPUTED_VALUE"""),17680.0)</f>
        <v>17680</v>
      </c>
      <c r="Q896" s="5"/>
      <c r="R896" s="71">
        <f>IFERROR(__xludf.DUMMYFUNCTION("""COMPUTED_VALUE"""),373.6)</f>
        <v>373.6</v>
      </c>
      <c r="S896" s="142">
        <f>IFERROR(__xludf.DUMMYFUNCTION("""COMPUTED_VALUE"""),-18680.0)</f>
        <v>-18680</v>
      </c>
      <c r="T896" s="5">
        <f>IFERROR(__xludf.DUMMYFUNCTION("""COMPUTED_VALUE"""),2.0)</f>
        <v>2</v>
      </c>
      <c r="U896" s="5">
        <f>IFERROR(__xludf.DUMMYFUNCTION("""COMPUTED_VALUE"""),1.0)</f>
        <v>1</v>
      </c>
      <c r="V896" s="22">
        <f>IFERROR(__xludf.DUMMYFUNCTION("""COMPUTED_VALUE"""),-1370.0)</f>
        <v>-1370</v>
      </c>
      <c r="W896" s="9">
        <f>IFERROR(__xludf.DUMMYFUNCTION("""COMPUTED_VALUE"""),487902.13761674997)</f>
        <v>487902.1376</v>
      </c>
      <c r="X896" s="22">
        <f>IFERROR(__xludf.DUMMYFUNCTION("""COMPUTED_VALUE"""),444723.1813147501)</f>
        <v>444723.1813</v>
      </c>
      <c r="Y896" s="22">
        <f>IFERROR(__xludf.DUMMYFUNCTION("""COMPUTED_VALUE"""),0.0)</f>
        <v>0</v>
      </c>
      <c r="Z896" s="24">
        <f>IFERROR(__xludf.DUMMYFUNCTION("""COMPUTED_VALUE"""),-0.024195724766500115)</f>
        <v>-0.02419572477</v>
      </c>
    </row>
    <row r="897">
      <c r="A897" s="5" t="str">
        <f>IFERROR(__xludf.DUMMYFUNCTION("""COMPUTED_VALUE"""),"")</f>
        <v/>
      </c>
      <c r="B897" s="5" t="str">
        <f>IFERROR(__xludf.DUMMYFUNCTION("""COMPUTED_VALUE"""),"76796")</f>
        <v>76796</v>
      </c>
      <c r="C897" s="9">
        <f>IFERROR(__xludf.DUMMYFUNCTION("""COMPUTED_VALUE"""),4.4597000089E10)</f>
        <v>44597000089</v>
      </c>
      <c r="D897" s="85" t="str">
        <f>IFERROR(__xludf.DUMMYFUNCTION("""COMPUTED_VALUE"""),"Cash")</f>
        <v>Cash</v>
      </c>
      <c r="E897" s="193">
        <f>IFERROR(__xludf.DUMMYFUNCTION("""COMPUTED_VALUE"""),44597.0)</f>
        <v>44597</v>
      </c>
      <c r="F897" s="5" t="str">
        <f>IFERROR(__xludf.DUMMYFUNCTION("""COMPUTED_VALUE"""),"Cash")</f>
        <v>Cash</v>
      </c>
      <c r="G897" s="5" t="str">
        <f>IFERROR(__xludf.DUMMYFUNCTION("""COMPUTED_VALUE"""),"HKD")</f>
        <v>HKD</v>
      </c>
      <c r="H897" s="22" t="str">
        <f>IFERROR(__xludf.DUMMYFUNCTION("""COMPUTED_VALUE"""),"")</f>
        <v/>
      </c>
      <c r="I897" s="194">
        <f>IFERROR(__xludf.DUMMYFUNCTION("""COMPUTED_VALUE"""),1.0)</f>
        <v>1</v>
      </c>
      <c r="J897" s="5">
        <f>IFERROR(__xludf.DUMMYFUNCTION("""COMPUTED_VALUE"""),1.0)</f>
        <v>1</v>
      </c>
      <c r="K897" s="5"/>
      <c r="L897" s="23">
        <f>IFERROR(__xludf.DUMMYFUNCTION("""COMPUTED_VALUE"""),1.0)</f>
        <v>1</v>
      </c>
      <c r="M897" s="25" t="str">
        <f>IFERROR(__xludf.DUMMYFUNCTION("""COMPUTED_VALUE"""),"")</f>
        <v/>
      </c>
      <c r="N897" s="5"/>
      <c r="O897" s="5"/>
      <c r="P897" s="142">
        <f>IFERROR(__xludf.DUMMYFUNCTION("""COMPUTED_VALUE"""),500000.0)</f>
        <v>500000</v>
      </c>
      <c r="Q897" s="5"/>
      <c r="R897" s="71">
        <f>IFERROR(__xludf.DUMMYFUNCTION("""COMPUTED_VALUE"""),1.0)</f>
        <v>1</v>
      </c>
      <c r="S897" s="142" t="str">
        <f>IFERROR(__xludf.DUMMYFUNCTION("""COMPUTED_VALUE"""),"")</f>
        <v/>
      </c>
      <c r="T897" s="5">
        <f>IFERROR(__xludf.DUMMYFUNCTION("""COMPUTED_VALUE"""),1.0)</f>
        <v>1</v>
      </c>
      <c r="U897" s="5">
        <f>IFERROR(__xludf.DUMMYFUNCTION("""COMPUTED_VALUE"""),1.0)</f>
        <v>1</v>
      </c>
      <c r="V897" s="22">
        <f>IFERROR(__xludf.DUMMYFUNCTION("""COMPUTED_VALUE"""),500000.0)</f>
        <v>500000</v>
      </c>
      <c r="W897" s="9" t="str">
        <f>IFERROR(__xludf.DUMMYFUNCTION("""COMPUTED_VALUE"""),"")</f>
        <v/>
      </c>
      <c r="X897" s="22" t="str">
        <f>IFERROR(__xludf.DUMMYFUNCTION("""COMPUTED_VALUE"""),"")</f>
        <v/>
      </c>
      <c r="Y897" s="22" t="str">
        <f>IFERROR(__xludf.DUMMYFUNCTION("""COMPUTED_VALUE"""),"")</f>
        <v/>
      </c>
      <c r="Z897" s="24" t="str">
        <f>IFERROR(__xludf.DUMMYFUNCTION("""COMPUTED_VALUE"""),"")</f>
        <v/>
      </c>
    </row>
    <row r="898">
      <c r="A898" s="5" t="str">
        <f>IFERROR(__xludf.DUMMYFUNCTION("""COMPUTED_VALUE"""),"")</f>
        <v/>
      </c>
      <c r="B898" s="5" t="str">
        <f>IFERROR(__xludf.DUMMYFUNCTION("""COMPUTED_VALUE"""),"76796")</f>
        <v>76796</v>
      </c>
      <c r="C898" s="9">
        <f>IFERROR(__xludf.DUMMYFUNCTION("""COMPUTED_VALUE"""),4.4599000127E10)</f>
        <v>44599000127</v>
      </c>
      <c r="D898" s="87" t="str">
        <f>IFERROR(__xludf.DUMMYFUNCTION("""COMPUTED_VALUE"""),"TSLA")</f>
        <v>TSLA</v>
      </c>
      <c r="E898" s="193">
        <f>IFERROR(__xludf.DUMMYFUNCTION("""COMPUTED_VALUE"""),44599.0)</f>
        <v>44599</v>
      </c>
      <c r="F898" s="5" t="str">
        <f>IFERROR(__xludf.DUMMYFUNCTION("""COMPUTED_VALUE"""),"Stock")</f>
        <v>Stock</v>
      </c>
      <c r="G898" s="5" t="str">
        <f>IFERROR(__xludf.DUMMYFUNCTION("""COMPUTED_VALUE"""),"USD")</f>
        <v>USD</v>
      </c>
      <c r="H898" s="22" t="str">
        <f>IFERROR(__xludf.DUMMYFUNCTION("""COMPUTED_VALUE"""),"")</f>
        <v/>
      </c>
      <c r="I898" s="194">
        <f>IFERROR(__xludf.DUMMYFUNCTION("""COMPUTED_VALUE"""),7.79205)</f>
        <v>7.79205</v>
      </c>
      <c r="J898" s="23">
        <f>IFERROR(__xludf.DUMMYFUNCTION("""COMPUTED_VALUE"""),907.34)</f>
        <v>907.34</v>
      </c>
      <c r="K898" s="5"/>
      <c r="L898" s="23">
        <f>IFERROR(__xludf.DUMMYFUNCTION("""COMPUTED_VALUE"""),1022.37)</f>
        <v>1022.37</v>
      </c>
      <c r="M898" s="195" t="str">
        <f>IFERROR(__xludf.DUMMYFUNCTION("""COMPUTED_VALUE"""),"Equity Key Stats")</f>
        <v>Equity Key Stats</v>
      </c>
      <c r="N898" s="5"/>
      <c r="O898" s="5"/>
      <c r="P898" s="142">
        <f>IFERROR(__xludf.DUMMYFUNCTION("""COMPUTED_VALUE"""),0.0)</f>
        <v>0</v>
      </c>
      <c r="Q898" s="5"/>
      <c r="R898" s="71">
        <f>IFERROR(__xludf.DUMMYFUNCTION("""COMPUTED_VALUE"""),1022.37)</f>
        <v>1022.37</v>
      </c>
      <c r="S898" s="142">
        <f>IFERROR(__xludf.DUMMYFUNCTION("""COMPUTED_VALUE"""),0.0)</f>
        <v>0</v>
      </c>
      <c r="T898" s="5">
        <f>IFERROR(__xludf.DUMMYFUNCTION("""COMPUTED_VALUE"""),1.0)</f>
        <v>1</v>
      </c>
      <c r="U898" s="5">
        <f>IFERROR(__xludf.DUMMYFUNCTION("""COMPUTED_VALUE"""),1.0)</f>
        <v>1</v>
      </c>
      <c r="V898" s="22">
        <f>IFERROR(__xludf.DUMMYFUNCTION("""COMPUTED_VALUE"""),0.0)</f>
        <v>0</v>
      </c>
      <c r="W898" s="9" t="str">
        <f>IFERROR(__xludf.DUMMYFUNCTION("""COMPUTED_VALUE"""),"")</f>
        <v/>
      </c>
      <c r="X898" s="22" t="str">
        <f>IFERROR(__xludf.DUMMYFUNCTION("""COMPUTED_VALUE"""),"")</f>
        <v/>
      </c>
      <c r="Y898" s="22" t="str">
        <f>IFERROR(__xludf.DUMMYFUNCTION("""COMPUTED_VALUE"""),"")</f>
        <v/>
      </c>
      <c r="Z898" s="24" t="str">
        <f>IFERROR(__xludf.DUMMYFUNCTION("""COMPUTED_VALUE"""),"")</f>
        <v/>
      </c>
    </row>
    <row r="899">
      <c r="A899" s="5" t="str">
        <f>IFERROR(__xludf.DUMMYFUNCTION("""COMPUTED_VALUE"""),"")</f>
        <v/>
      </c>
      <c r="B899" s="5" t="str">
        <f>IFERROR(__xludf.DUMMYFUNCTION("""COMPUTED_VALUE"""),"76796")</f>
        <v>76796</v>
      </c>
      <c r="C899" s="9">
        <f>IFERROR(__xludf.DUMMYFUNCTION("""COMPUTED_VALUE"""),4.4601000142E10)</f>
        <v>44601000142</v>
      </c>
      <c r="D899" s="87" t="str">
        <f>IFERROR(__xludf.DUMMYFUNCTION("""COMPUTED_VALUE"""),"MSFT")</f>
        <v>MSFT</v>
      </c>
      <c r="E899" s="193">
        <f>IFERROR(__xludf.DUMMYFUNCTION("""COMPUTED_VALUE"""),44601.0)</f>
        <v>44601</v>
      </c>
      <c r="F899" s="5" t="str">
        <f>IFERROR(__xludf.DUMMYFUNCTION("""COMPUTED_VALUE"""),"Stock")</f>
        <v>Stock</v>
      </c>
      <c r="G899" s="5" t="str">
        <f>IFERROR(__xludf.DUMMYFUNCTION("""COMPUTED_VALUE"""),"USD")</f>
        <v>USD</v>
      </c>
      <c r="H899" s="22">
        <f>IFERROR(__xludf.DUMMYFUNCTION("""COMPUTED_VALUE"""),100.0)</f>
        <v>100</v>
      </c>
      <c r="I899" s="194">
        <f>IFERROR(__xludf.DUMMYFUNCTION("""COMPUTED_VALUE"""),7.79135)</f>
        <v>7.79135</v>
      </c>
      <c r="J899" s="23">
        <f>IFERROR(__xludf.DUMMYFUNCTION("""COMPUTED_VALUE"""),311.21)</f>
        <v>311.21</v>
      </c>
      <c r="K899" s="5"/>
      <c r="L899" s="23">
        <f>IFERROR(__xludf.DUMMYFUNCTION("""COMPUTED_VALUE"""),287.62)</f>
        <v>287.62</v>
      </c>
      <c r="M899" s="195" t="str">
        <f>IFERROR(__xludf.DUMMYFUNCTION("""COMPUTED_VALUE"""),"Equity Key Stats")</f>
        <v>Equity Key Stats</v>
      </c>
      <c r="N899" s="5"/>
      <c r="O899" s="5"/>
      <c r="P899" s="142">
        <f>IFERROR(__xludf.DUMMYFUNCTION("""COMPUTED_VALUE"""),-242474.60335)</f>
        <v>-242474.6034</v>
      </c>
      <c r="Q899" s="5"/>
      <c r="R899" s="71">
        <f>IFERROR(__xludf.DUMMYFUNCTION("""COMPUTED_VALUE"""),287.62)</f>
        <v>287.62</v>
      </c>
      <c r="S899" s="142">
        <f>IFERROR(__xludf.DUMMYFUNCTION("""COMPUTED_VALUE"""),224094.8087)</f>
        <v>224094.8087</v>
      </c>
      <c r="T899" s="5">
        <f>IFERROR(__xludf.DUMMYFUNCTION("""COMPUTED_VALUE"""),6.0)</f>
        <v>6</v>
      </c>
      <c r="U899" s="5" t="str">
        <f>IFERROR(__xludf.DUMMYFUNCTION("""COMPUTED_VALUE"""),"")</f>
        <v/>
      </c>
      <c r="V899" s="22" t="str">
        <f>IFERROR(__xludf.DUMMYFUNCTION("""COMPUTED_VALUE"""),"")</f>
        <v/>
      </c>
      <c r="W899" s="9" t="str">
        <f>IFERROR(__xludf.DUMMYFUNCTION("""COMPUTED_VALUE"""),"")</f>
        <v/>
      </c>
      <c r="X899" s="22" t="str">
        <f>IFERROR(__xludf.DUMMYFUNCTION("""COMPUTED_VALUE"""),"")</f>
        <v/>
      </c>
      <c r="Y899" s="22" t="str">
        <f>IFERROR(__xludf.DUMMYFUNCTION("""COMPUTED_VALUE"""),"")</f>
        <v/>
      </c>
      <c r="Z899" s="24" t="str">
        <f>IFERROR(__xludf.DUMMYFUNCTION("""COMPUTED_VALUE"""),"")</f>
        <v/>
      </c>
    </row>
    <row r="900">
      <c r="A900" s="5" t="str">
        <f>IFERROR(__xludf.DUMMYFUNCTION("""COMPUTED_VALUE"""),"")</f>
        <v/>
      </c>
      <c r="B900" s="5" t="str">
        <f>IFERROR(__xludf.DUMMYFUNCTION("""COMPUTED_VALUE"""),"76796")</f>
        <v>76796</v>
      </c>
      <c r="C900" s="9">
        <f>IFERROR(__xludf.DUMMYFUNCTION("""COMPUTED_VALUE"""),4.4607000195E10)</f>
        <v>44607000195</v>
      </c>
      <c r="D900" s="87" t="str">
        <f>IFERROR(__xludf.DUMMYFUNCTION("""COMPUTED_VALUE"""),"NVDA")</f>
        <v>NVDA</v>
      </c>
      <c r="E900" s="193">
        <f>IFERROR(__xludf.DUMMYFUNCTION("""COMPUTED_VALUE"""),44607.0)</f>
        <v>44607</v>
      </c>
      <c r="F900" s="5" t="str">
        <f>IFERROR(__xludf.DUMMYFUNCTION("""COMPUTED_VALUE"""),"Stock")</f>
        <v>Stock</v>
      </c>
      <c r="G900" s="5" t="str">
        <f>IFERROR(__xludf.DUMMYFUNCTION("""COMPUTED_VALUE"""),"USD")</f>
        <v>USD</v>
      </c>
      <c r="H900" s="22" t="str">
        <f>IFERROR(__xludf.DUMMYFUNCTION("""COMPUTED_VALUE"""),"")</f>
        <v/>
      </c>
      <c r="I900" s="194">
        <f>IFERROR(__xludf.DUMMYFUNCTION("""COMPUTED_VALUE"""),7.801355)</f>
        <v>7.801355</v>
      </c>
      <c r="J900" s="23">
        <f>IFERROR(__xludf.DUMMYFUNCTION("""COMPUTED_VALUE"""),264.95)</f>
        <v>264.95</v>
      </c>
      <c r="K900" s="5"/>
      <c r="L900" s="23">
        <f>IFERROR(__xludf.DUMMYFUNCTION("""COMPUTED_VALUE"""),222.03)</f>
        <v>222.03</v>
      </c>
      <c r="M900" s="195" t="str">
        <f>IFERROR(__xludf.DUMMYFUNCTION("""COMPUTED_VALUE"""),"Equity Key Stats")</f>
        <v>Equity Key Stats</v>
      </c>
      <c r="N900" s="5"/>
      <c r="O900" s="5"/>
      <c r="P900" s="142">
        <f>IFERROR(__xludf.DUMMYFUNCTION("""COMPUTED_VALUE"""),0.0)</f>
        <v>0</v>
      </c>
      <c r="Q900" s="5"/>
      <c r="R900" s="71">
        <f>IFERROR(__xludf.DUMMYFUNCTION("""COMPUTED_VALUE"""),222.03)</f>
        <v>222.03</v>
      </c>
      <c r="S900" s="142">
        <f>IFERROR(__xludf.DUMMYFUNCTION("""COMPUTED_VALUE"""),0.0)</f>
        <v>0</v>
      </c>
      <c r="T900" s="5">
        <f>IFERROR(__xludf.DUMMYFUNCTION("""COMPUTED_VALUE"""),1.0)</f>
        <v>1</v>
      </c>
      <c r="U900" s="5">
        <f>IFERROR(__xludf.DUMMYFUNCTION("""COMPUTED_VALUE"""),1.0)</f>
        <v>1</v>
      </c>
      <c r="V900" s="22">
        <f>IFERROR(__xludf.DUMMYFUNCTION("""COMPUTED_VALUE"""),0.0)</f>
        <v>0</v>
      </c>
      <c r="W900" s="9" t="str">
        <f>IFERROR(__xludf.DUMMYFUNCTION("""COMPUTED_VALUE"""),"")</f>
        <v/>
      </c>
      <c r="X900" s="22" t="str">
        <f>IFERROR(__xludf.DUMMYFUNCTION("""COMPUTED_VALUE"""),"")</f>
        <v/>
      </c>
      <c r="Y900" s="22" t="str">
        <f>IFERROR(__xludf.DUMMYFUNCTION("""COMPUTED_VALUE"""),"")</f>
        <v/>
      </c>
      <c r="Z900" s="24" t="str">
        <f>IFERROR(__xludf.DUMMYFUNCTION("""COMPUTED_VALUE"""),"")</f>
        <v/>
      </c>
    </row>
    <row r="901">
      <c r="A901" s="5" t="str">
        <f>IFERROR(__xludf.DUMMYFUNCTION("""COMPUTED_VALUE"""),"")</f>
        <v/>
      </c>
      <c r="B901" s="5" t="str">
        <f>IFERROR(__xludf.DUMMYFUNCTION("""COMPUTED_VALUE"""),"76796")</f>
        <v>76796</v>
      </c>
      <c r="C901" s="9">
        <f>IFERROR(__xludf.DUMMYFUNCTION("""COMPUTED_VALUE"""),4.461000025E10)</f>
        <v>44610000250</v>
      </c>
      <c r="D901" s="87" t="str">
        <f>IFERROR(__xludf.DUMMYFUNCTION("""COMPUTED_VALUE"""),"ISPO")</f>
        <v>ISPO</v>
      </c>
      <c r="E901" s="193">
        <f>IFERROR(__xludf.DUMMYFUNCTION("""COMPUTED_VALUE"""),44610.0)</f>
        <v>44610</v>
      </c>
      <c r="F901" s="5" t="str">
        <f>IFERROR(__xludf.DUMMYFUNCTION("""COMPUTED_VALUE"""),"Stock")</f>
        <v>Stock</v>
      </c>
      <c r="G901" s="5" t="str">
        <f>IFERROR(__xludf.DUMMYFUNCTION("""COMPUTED_VALUE"""),"USD")</f>
        <v>USD</v>
      </c>
      <c r="H901" s="22" t="str">
        <f>IFERROR(__xludf.DUMMYFUNCTION("""COMPUTED_VALUE"""),"")</f>
        <v/>
      </c>
      <c r="I901" s="194">
        <f>IFERROR(__xludf.DUMMYFUNCTION("""COMPUTED_VALUE"""),7.80051)</f>
        <v>7.80051</v>
      </c>
      <c r="J901" s="23">
        <f>IFERROR(__xludf.DUMMYFUNCTION("""COMPUTED_VALUE"""),46.0)</f>
        <v>46</v>
      </c>
      <c r="K901" s="5"/>
      <c r="L901" s="23">
        <f>IFERROR(__xludf.DUMMYFUNCTION("""COMPUTED_VALUE"""),6.71)</f>
        <v>6.71</v>
      </c>
      <c r="M901" s="195" t="str">
        <f>IFERROR(__xludf.DUMMYFUNCTION("""COMPUTED_VALUE"""),"Equity Key Stats")</f>
        <v>Equity Key Stats</v>
      </c>
      <c r="N901" s="5"/>
      <c r="O901" s="5"/>
      <c r="P901" s="142">
        <f>IFERROR(__xludf.DUMMYFUNCTION("""COMPUTED_VALUE"""),0.0)</f>
        <v>0</v>
      </c>
      <c r="Q901" s="5"/>
      <c r="R901" s="71">
        <f>IFERROR(__xludf.DUMMYFUNCTION("""COMPUTED_VALUE"""),6.71)</f>
        <v>6.71</v>
      </c>
      <c r="S901" s="142">
        <f>IFERROR(__xludf.DUMMYFUNCTION("""COMPUTED_VALUE"""),0.0)</f>
        <v>0</v>
      </c>
      <c r="T901" s="5">
        <f>IFERROR(__xludf.DUMMYFUNCTION("""COMPUTED_VALUE"""),1.0)</f>
        <v>1</v>
      </c>
      <c r="U901" s="5">
        <f>IFERROR(__xludf.DUMMYFUNCTION("""COMPUTED_VALUE"""),1.0)</f>
        <v>1</v>
      </c>
      <c r="V901" s="22">
        <f>IFERROR(__xludf.DUMMYFUNCTION("""COMPUTED_VALUE"""),0.0)</f>
        <v>0</v>
      </c>
      <c r="W901" s="9" t="str">
        <f>IFERROR(__xludf.DUMMYFUNCTION("""COMPUTED_VALUE"""),"")</f>
        <v/>
      </c>
      <c r="X901" s="22" t="str">
        <f>IFERROR(__xludf.DUMMYFUNCTION("""COMPUTED_VALUE"""),"")</f>
        <v/>
      </c>
      <c r="Y901" s="22" t="str">
        <f>IFERROR(__xludf.DUMMYFUNCTION("""COMPUTED_VALUE"""),"")</f>
        <v/>
      </c>
      <c r="Z901" s="24" t="str">
        <f>IFERROR(__xludf.DUMMYFUNCTION("""COMPUTED_VALUE"""),"")</f>
        <v/>
      </c>
    </row>
    <row r="902">
      <c r="A902" s="5" t="str">
        <f>IFERROR(__xludf.DUMMYFUNCTION("""COMPUTED_VALUE"""),"")</f>
        <v/>
      </c>
      <c r="B902" s="5" t="str">
        <f>IFERROR(__xludf.DUMMYFUNCTION("""COMPUTED_VALUE"""),"76796")</f>
        <v>76796</v>
      </c>
      <c r="C902" s="9">
        <f>IFERROR(__xludf.DUMMYFUNCTION("""COMPUTED_VALUE"""),4.4617000348E10)</f>
        <v>44617000348</v>
      </c>
      <c r="D902" s="87" t="str">
        <f>IFERROR(__xludf.DUMMYFUNCTION("""COMPUTED_VALUE"""),"GOOGL")</f>
        <v>GOOGL</v>
      </c>
      <c r="E902" s="193">
        <f>IFERROR(__xludf.DUMMYFUNCTION("""COMPUTED_VALUE"""),44617.0)</f>
        <v>44617</v>
      </c>
      <c r="F902" s="5" t="str">
        <f>IFERROR(__xludf.DUMMYFUNCTION("""COMPUTED_VALUE"""),"Stock")</f>
        <v>Stock</v>
      </c>
      <c r="G902" s="5" t="str">
        <f>IFERROR(__xludf.DUMMYFUNCTION("""COMPUTED_VALUE"""),"USD")</f>
        <v>USD</v>
      </c>
      <c r="H902" s="22" t="str">
        <f>IFERROR(__xludf.DUMMYFUNCTION("""COMPUTED_VALUE"""),"")</f>
        <v/>
      </c>
      <c r="I902" s="194">
        <f>IFERROR(__xludf.DUMMYFUNCTION("""COMPUTED_VALUE"""),7.808395)</f>
        <v>7.808395</v>
      </c>
      <c r="J902" s="23">
        <f>IFERROR(__xludf.DUMMYFUNCTION("""COMPUTED_VALUE"""),2689.19)</f>
        <v>2689.19</v>
      </c>
      <c r="K902" s="5"/>
      <c r="L902" s="23">
        <f>IFERROR(__xludf.DUMMYFUNCTION("""COMPUTED_VALUE"""),2597.88)</f>
        <v>2597.88</v>
      </c>
      <c r="M902" s="195" t="str">
        <f>IFERROR(__xludf.DUMMYFUNCTION("""COMPUTED_VALUE"""),"Equity Key Stats")</f>
        <v>Equity Key Stats</v>
      </c>
      <c r="N902" s="5"/>
      <c r="O902" s="5"/>
      <c r="P902" s="142">
        <f>IFERROR(__xludf.DUMMYFUNCTION("""COMPUTED_VALUE"""),0.0)</f>
        <v>0</v>
      </c>
      <c r="Q902" s="5"/>
      <c r="R902" s="71">
        <f>IFERROR(__xludf.DUMMYFUNCTION("""COMPUTED_VALUE"""),2597.88)</f>
        <v>2597.88</v>
      </c>
      <c r="S902" s="142">
        <f>IFERROR(__xludf.DUMMYFUNCTION("""COMPUTED_VALUE"""),0.0)</f>
        <v>0</v>
      </c>
      <c r="T902" s="5">
        <f>IFERROR(__xludf.DUMMYFUNCTION("""COMPUTED_VALUE"""),1.0)</f>
        <v>1</v>
      </c>
      <c r="U902" s="5">
        <f>IFERROR(__xludf.DUMMYFUNCTION("""COMPUTED_VALUE"""),1.0)</f>
        <v>1</v>
      </c>
      <c r="V902" s="22">
        <f>IFERROR(__xludf.DUMMYFUNCTION("""COMPUTED_VALUE"""),0.0)</f>
        <v>0</v>
      </c>
      <c r="W902" s="9" t="str">
        <f>IFERROR(__xludf.DUMMYFUNCTION("""COMPUTED_VALUE"""),"")</f>
        <v/>
      </c>
      <c r="X902" s="22" t="str">
        <f>IFERROR(__xludf.DUMMYFUNCTION("""COMPUTED_VALUE"""),"")</f>
        <v/>
      </c>
      <c r="Y902" s="22" t="str">
        <f>IFERROR(__xludf.DUMMYFUNCTION("""COMPUTED_VALUE"""),"")</f>
        <v/>
      </c>
      <c r="Z902" s="24" t="str">
        <f>IFERROR(__xludf.DUMMYFUNCTION("""COMPUTED_VALUE"""),"")</f>
        <v/>
      </c>
    </row>
    <row r="903">
      <c r="A903" s="5" t="str">
        <f>IFERROR(__xludf.DUMMYFUNCTION("""COMPUTED_VALUE"""),"")</f>
        <v/>
      </c>
      <c r="B903" s="5" t="str">
        <f>IFERROR(__xludf.DUMMYFUNCTION("""COMPUTED_VALUE"""),"76796")</f>
        <v>76796</v>
      </c>
      <c r="C903" s="9">
        <f>IFERROR(__xludf.DUMMYFUNCTION("""COMPUTED_VALUE"""),4.4641000716E10)</f>
        <v>44641000716</v>
      </c>
      <c r="D903" s="87" t="str">
        <f>IFERROR(__xludf.DUMMYFUNCTION("""COMPUTED_VALUE"""),"MSFT")</f>
        <v>MSFT</v>
      </c>
      <c r="E903" s="193">
        <f>IFERROR(__xludf.DUMMYFUNCTION("""COMPUTED_VALUE"""),44641.0)</f>
        <v>44641</v>
      </c>
      <c r="F903" s="5" t="str">
        <f>IFERROR(__xludf.DUMMYFUNCTION("""COMPUTED_VALUE"""),"Stock")</f>
        <v>Stock</v>
      </c>
      <c r="G903" s="5" t="str">
        <f>IFERROR(__xludf.DUMMYFUNCTION("""COMPUTED_VALUE"""),"USD")</f>
        <v>USD</v>
      </c>
      <c r="H903" s="22" t="str">
        <f>IFERROR(__xludf.DUMMYFUNCTION("""COMPUTED_VALUE"""),"")</f>
        <v/>
      </c>
      <c r="I903" s="194">
        <f>IFERROR(__xludf.DUMMYFUNCTION("""COMPUTED_VALUE"""),7.82545)</f>
        <v>7.82545</v>
      </c>
      <c r="J903" s="23">
        <f>IFERROR(__xludf.DUMMYFUNCTION("""COMPUTED_VALUE"""),299.16)</f>
        <v>299.16</v>
      </c>
      <c r="K903" s="5"/>
      <c r="L903" s="23">
        <f>IFERROR(__xludf.DUMMYFUNCTION("""COMPUTED_VALUE"""),287.62)</f>
        <v>287.62</v>
      </c>
      <c r="M903" s="195" t="str">
        <f>IFERROR(__xludf.DUMMYFUNCTION("""COMPUTED_VALUE"""),"Equity Key Stats")</f>
        <v>Equity Key Stats</v>
      </c>
      <c r="N903" s="5"/>
      <c r="O903" s="5"/>
      <c r="P903" s="142">
        <f>IFERROR(__xludf.DUMMYFUNCTION("""COMPUTED_VALUE"""),0.0)</f>
        <v>0</v>
      </c>
      <c r="Q903" s="5"/>
      <c r="R903" s="71">
        <f>IFERROR(__xludf.DUMMYFUNCTION("""COMPUTED_VALUE"""),287.62)</f>
        <v>287.62</v>
      </c>
      <c r="S903" s="142">
        <f>IFERROR(__xludf.DUMMYFUNCTION("""COMPUTED_VALUE"""),0.0)</f>
        <v>0</v>
      </c>
      <c r="T903" s="5">
        <f>IFERROR(__xludf.DUMMYFUNCTION("""COMPUTED_VALUE"""),6.0)</f>
        <v>6</v>
      </c>
      <c r="U903" s="5" t="str">
        <f>IFERROR(__xludf.DUMMYFUNCTION("""COMPUTED_VALUE"""),"")</f>
        <v/>
      </c>
      <c r="V903" s="22" t="str">
        <f>IFERROR(__xludf.DUMMYFUNCTION("""COMPUTED_VALUE"""),"")</f>
        <v/>
      </c>
      <c r="W903" s="9" t="str">
        <f>IFERROR(__xludf.DUMMYFUNCTION("""COMPUTED_VALUE"""),"")</f>
        <v/>
      </c>
      <c r="X903" s="22" t="str">
        <f>IFERROR(__xludf.DUMMYFUNCTION("""COMPUTED_VALUE"""),"")</f>
        <v/>
      </c>
      <c r="Y903" s="22" t="str">
        <f>IFERROR(__xludf.DUMMYFUNCTION("""COMPUTED_VALUE"""),"")</f>
        <v/>
      </c>
      <c r="Z903" s="24" t="str">
        <f>IFERROR(__xludf.DUMMYFUNCTION("""COMPUTED_VALUE"""),"")</f>
        <v/>
      </c>
    </row>
    <row r="904">
      <c r="A904" s="5" t="str">
        <f>IFERROR(__xludf.DUMMYFUNCTION("""COMPUTED_VALUE"""),"")</f>
        <v/>
      </c>
      <c r="B904" s="5" t="str">
        <f>IFERROR(__xludf.DUMMYFUNCTION("""COMPUTED_VALUE"""),"76796")</f>
        <v>76796</v>
      </c>
      <c r="C904" s="9">
        <f>IFERROR(__xludf.DUMMYFUNCTION("""COMPUTED_VALUE"""),4.464100076E10)</f>
        <v>44641000760</v>
      </c>
      <c r="D904" s="87" t="str">
        <f>IFERROR(__xludf.DUMMYFUNCTION("""COMPUTED_VALUE"""),"MSFT")</f>
        <v>MSFT</v>
      </c>
      <c r="E904" s="193">
        <f>IFERROR(__xludf.DUMMYFUNCTION("""COMPUTED_VALUE"""),44641.0)</f>
        <v>44641</v>
      </c>
      <c r="F904" s="5" t="str">
        <f>IFERROR(__xludf.DUMMYFUNCTION("""COMPUTED_VALUE"""),"Stock")</f>
        <v>Stock</v>
      </c>
      <c r="G904" s="5" t="str">
        <f>IFERROR(__xludf.DUMMYFUNCTION("""COMPUTED_VALUE"""),"USD")</f>
        <v>USD</v>
      </c>
      <c r="H904" s="22" t="str">
        <f>IFERROR(__xludf.DUMMYFUNCTION("""COMPUTED_VALUE"""),"")</f>
        <v/>
      </c>
      <c r="I904" s="194">
        <f>IFERROR(__xludf.DUMMYFUNCTION("""COMPUTED_VALUE"""),7.82545)</f>
        <v>7.82545</v>
      </c>
      <c r="J904" s="23">
        <f>IFERROR(__xludf.DUMMYFUNCTION("""COMPUTED_VALUE"""),299.16)</f>
        <v>299.16</v>
      </c>
      <c r="K904" s="5"/>
      <c r="L904" s="23">
        <f>IFERROR(__xludf.DUMMYFUNCTION("""COMPUTED_VALUE"""),287.62)</f>
        <v>287.62</v>
      </c>
      <c r="M904" s="195" t="str">
        <f>IFERROR(__xludf.DUMMYFUNCTION("""COMPUTED_VALUE"""),"Equity Key Stats")</f>
        <v>Equity Key Stats</v>
      </c>
      <c r="N904" s="5"/>
      <c r="O904" s="5"/>
      <c r="P904" s="142">
        <f>IFERROR(__xludf.DUMMYFUNCTION("""COMPUTED_VALUE"""),0.0)</f>
        <v>0</v>
      </c>
      <c r="Q904" s="5"/>
      <c r="R904" s="71">
        <f>IFERROR(__xludf.DUMMYFUNCTION("""COMPUTED_VALUE"""),287.62)</f>
        <v>287.62</v>
      </c>
      <c r="S904" s="142">
        <f>IFERROR(__xludf.DUMMYFUNCTION("""COMPUTED_VALUE"""),0.0)</f>
        <v>0</v>
      </c>
      <c r="T904" s="5">
        <f>IFERROR(__xludf.DUMMYFUNCTION("""COMPUTED_VALUE"""),6.0)</f>
        <v>6</v>
      </c>
      <c r="U904" s="5" t="str">
        <f>IFERROR(__xludf.DUMMYFUNCTION("""COMPUTED_VALUE"""),"")</f>
        <v/>
      </c>
      <c r="V904" s="22" t="str">
        <f>IFERROR(__xludf.DUMMYFUNCTION("""COMPUTED_VALUE"""),"")</f>
        <v/>
      </c>
      <c r="W904" s="9" t="str">
        <f>IFERROR(__xludf.DUMMYFUNCTION("""COMPUTED_VALUE"""),"")</f>
        <v/>
      </c>
      <c r="X904" s="22" t="str">
        <f>IFERROR(__xludf.DUMMYFUNCTION("""COMPUTED_VALUE"""),"")</f>
        <v/>
      </c>
      <c r="Y904" s="22" t="str">
        <f>IFERROR(__xludf.DUMMYFUNCTION("""COMPUTED_VALUE"""),"")</f>
        <v/>
      </c>
      <c r="Z904" s="24" t="str">
        <f>IFERROR(__xludf.DUMMYFUNCTION("""COMPUTED_VALUE"""),"")</f>
        <v/>
      </c>
    </row>
    <row r="905">
      <c r="A905" s="5" t="str">
        <f>IFERROR(__xludf.DUMMYFUNCTION("""COMPUTED_VALUE"""),"")</f>
        <v/>
      </c>
      <c r="B905" s="5" t="str">
        <f>IFERROR(__xludf.DUMMYFUNCTION("""COMPUTED_VALUE"""),"76796")</f>
        <v>76796</v>
      </c>
      <c r="C905" s="9">
        <f>IFERROR(__xludf.DUMMYFUNCTION("""COMPUTED_VALUE"""),4.4645000919E10)</f>
        <v>44645000919</v>
      </c>
      <c r="D905" s="87" t="str">
        <f>IFERROR(__xludf.DUMMYFUNCTION("""COMPUTED_VALUE"""),"MSFT")</f>
        <v>MSFT</v>
      </c>
      <c r="E905" s="193">
        <f>IFERROR(__xludf.DUMMYFUNCTION("""COMPUTED_VALUE"""),44645.0)</f>
        <v>44645</v>
      </c>
      <c r="F905" s="5" t="str">
        <f>IFERROR(__xludf.DUMMYFUNCTION("""COMPUTED_VALUE"""),"Stock")</f>
        <v>Stock</v>
      </c>
      <c r="G905" s="5" t="str">
        <f>IFERROR(__xludf.DUMMYFUNCTION("""COMPUTED_VALUE"""),"USD")</f>
        <v>USD</v>
      </c>
      <c r="H905" s="22" t="str">
        <f>IFERROR(__xludf.DUMMYFUNCTION("""COMPUTED_VALUE"""),"")</f>
        <v/>
      </c>
      <c r="I905" s="194">
        <f>IFERROR(__xludf.DUMMYFUNCTION("""COMPUTED_VALUE"""),7.82975)</f>
        <v>7.82975</v>
      </c>
      <c r="J905" s="23">
        <f>IFERROR(__xludf.DUMMYFUNCTION("""COMPUTED_VALUE"""),303.68)</f>
        <v>303.68</v>
      </c>
      <c r="K905" s="5"/>
      <c r="L905" s="23">
        <f>IFERROR(__xludf.DUMMYFUNCTION("""COMPUTED_VALUE"""),287.62)</f>
        <v>287.62</v>
      </c>
      <c r="M905" s="195" t="str">
        <f>IFERROR(__xludf.DUMMYFUNCTION("""COMPUTED_VALUE"""),"Equity Key Stats")</f>
        <v>Equity Key Stats</v>
      </c>
      <c r="N905" s="5"/>
      <c r="O905" s="5"/>
      <c r="P905" s="142">
        <f>IFERROR(__xludf.DUMMYFUNCTION("""COMPUTED_VALUE"""),0.0)</f>
        <v>0</v>
      </c>
      <c r="Q905" s="5"/>
      <c r="R905" s="71">
        <f>IFERROR(__xludf.DUMMYFUNCTION("""COMPUTED_VALUE"""),287.62)</f>
        <v>287.62</v>
      </c>
      <c r="S905" s="142">
        <f>IFERROR(__xludf.DUMMYFUNCTION("""COMPUTED_VALUE"""),0.0)</f>
        <v>0</v>
      </c>
      <c r="T905" s="5">
        <f>IFERROR(__xludf.DUMMYFUNCTION("""COMPUTED_VALUE"""),6.0)</f>
        <v>6</v>
      </c>
      <c r="U905" s="5" t="str">
        <f>IFERROR(__xludf.DUMMYFUNCTION("""COMPUTED_VALUE"""),"")</f>
        <v/>
      </c>
      <c r="V905" s="22" t="str">
        <f>IFERROR(__xludf.DUMMYFUNCTION("""COMPUTED_VALUE"""),"")</f>
        <v/>
      </c>
      <c r="W905" s="9" t="str">
        <f>IFERROR(__xludf.DUMMYFUNCTION("""COMPUTED_VALUE"""),"")</f>
        <v/>
      </c>
      <c r="X905" s="22" t="str">
        <f>IFERROR(__xludf.DUMMYFUNCTION("""COMPUTED_VALUE"""),"")</f>
        <v/>
      </c>
      <c r="Y905" s="22" t="str">
        <f>IFERROR(__xludf.DUMMYFUNCTION("""COMPUTED_VALUE"""),"")</f>
        <v/>
      </c>
      <c r="Z905" s="24" t="str">
        <f>IFERROR(__xludf.DUMMYFUNCTION("""COMPUTED_VALUE"""),"")</f>
        <v/>
      </c>
    </row>
    <row r="906">
      <c r="A906" s="5" t="str">
        <f>IFERROR(__xludf.DUMMYFUNCTION("""COMPUTED_VALUE"""),"")</f>
        <v/>
      </c>
      <c r="B906" s="5" t="str">
        <f>IFERROR(__xludf.DUMMYFUNCTION("""COMPUTED_VALUE"""),"76796")</f>
        <v>76796</v>
      </c>
      <c r="C906" s="9">
        <f>IFERROR(__xludf.DUMMYFUNCTION("""COMPUTED_VALUE"""),4.464500092E10)</f>
        <v>44645000920</v>
      </c>
      <c r="D906" s="87" t="str">
        <f>IFERROR(__xludf.DUMMYFUNCTION("""COMPUTED_VALUE"""),"MSFT")</f>
        <v>MSFT</v>
      </c>
      <c r="E906" s="193">
        <f>IFERROR(__xludf.DUMMYFUNCTION("""COMPUTED_VALUE"""),44645.0)</f>
        <v>44645</v>
      </c>
      <c r="F906" s="5" t="str">
        <f>IFERROR(__xludf.DUMMYFUNCTION("""COMPUTED_VALUE"""),"Stock")</f>
        <v>Stock</v>
      </c>
      <c r="G906" s="5" t="str">
        <f>IFERROR(__xludf.DUMMYFUNCTION("""COMPUTED_VALUE"""),"USD")</f>
        <v>USD</v>
      </c>
      <c r="H906" s="22" t="str">
        <f>IFERROR(__xludf.DUMMYFUNCTION("""COMPUTED_VALUE"""),"")</f>
        <v/>
      </c>
      <c r="I906" s="194">
        <f>IFERROR(__xludf.DUMMYFUNCTION("""COMPUTED_VALUE"""),7.82975)</f>
        <v>7.82975</v>
      </c>
      <c r="J906" s="23">
        <f>IFERROR(__xludf.DUMMYFUNCTION("""COMPUTED_VALUE"""),303.68)</f>
        <v>303.68</v>
      </c>
      <c r="K906" s="5"/>
      <c r="L906" s="23">
        <f>IFERROR(__xludf.DUMMYFUNCTION("""COMPUTED_VALUE"""),287.62)</f>
        <v>287.62</v>
      </c>
      <c r="M906" s="195" t="str">
        <f>IFERROR(__xludf.DUMMYFUNCTION("""COMPUTED_VALUE"""),"Equity Key Stats")</f>
        <v>Equity Key Stats</v>
      </c>
      <c r="N906" s="5"/>
      <c r="O906" s="5"/>
      <c r="P906" s="142">
        <f>IFERROR(__xludf.DUMMYFUNCTION("""COMPUTED_VALUE"""),0.0)</f>
        <v>0</v>
      </c>
      <c r="Q906" s="5"/>
      <c r="R906" s="71">
        <f>IFERROR(__xludf.DUMMYFUNCTION("""COMPUTED_VALUE"""),287.62)</f>
        <v>287.62</v>
      </c>
      <c r="S906" s="142">
        <f>IFERROR(__xludf.DUMMYFUNCTION("""COMPUTED_VALUE"""),0.0)</f>
        <v>0</v>
      </c>
      <c r="T906" s="5">
        <f>IFERROR(__xludf.DUMMYFUNCTION("""COMPUTED_VALUE"""),6.0)</f>
        <v>6</v>
      </c>
      <c r="U906" s="5" t="str">
        <f>IFERROR(__xludf.DUMMYFUNCTION("""COMPUTED_VALUE"""),"")</f>
        <v/>
      </c>
      <c r="V906" s="22" t="str">
        <f>IFERROR(__xludf.DUMMYFUNCTION("""COMPUTED_VALUE"""),"")</f>
        <v/>
      </c>
      <c r="W906" s="9" t="str">
        <f>IFERROR(__xludf.DUMMYFUNCTION("""COMPUTED_VALUE"""),"")</f>
        <v/>
      </c>
      <c r="X906" s="22" t="str">
        <f>IFERROR(__xludf.DUMMYFUNCTION("""COMPUTED_VALUE"""),"")</f>
        <v/>
      </c>
      <c r="Y906" s="22" t="str">
        <f>IFERROR(__xludf.DUMMYFUNCTION("""COMPUTED_VALUE"""),"")</f>
        <v/>
      </c>
      <c r="Z906" s="24" t="str">
        <f>IFERROR(__xludf.DUMMYFUNCTION("""COMPUTED_VALUE"""),"")</f>
        <v/>
      </c>
    </row>
    <row r="907">
      <c r="A907" s="5" t="str">
        <f>IFERROR(__xludf.DUMMYFUNCTION("""COMPUTED_VALUE"""),"76796")</f>
        <v>76796</v>
      </c>
      <c r="B907" s="5" t="str">
        <f>IFERROR(__xludf.DUMMYFUNCTION("""COMPUTED_VALUE"""),"76796")</f>
        <v>76796</v>
      </c>
      <c r="C907" s="9">
        <f>IFERROR(__xludf.DUMMYFUNCTION("""COMPUTED_VALUE"""),4.4663001398E10)</f>
        <v>44663001398</v>
      </c>
      <c r="D907" s="85" t="str">
        <f>IFERROR(__xludf.DUMMYFUNCTION("""COMPUTED_VALUE"""),"MSFT")</f>
        <v>MSFT</v>
      </c>
      <c r="E907" s="193">
        <f>IFERROR(__xludf.DUMMYFUNCTION("""COMPUTED_VALUE"""),44663.0)</f>
        <v>44663</v>
      </c>
      <c r="F907" s="5" t="str">
        <f>IFERROR(__xludf.DUMMYFUNCTION("""COMPUTED_VALUE"""),"Stock")</f>
        <v>Stock</v>
      </c>
      <c r="G907" s="5" t="str">
        <f>IFERROR(__xludf.DUMMYFUNCTION("""COMPUTED_VALUE"""),"USD")</f>
        <v>USD</v>
      </c>
      <c r="H907" s="22" t="str">
        <f>IFERROR(__xludf.DUMMYFUNCTION("""COMPUTED_VALUE"""),"")</f>
        <v/>
      </c>
      <c r="I907" s="194">
        <f>IFERROR(__xludf.DUMMYFUNCTION("""COMPUTED_VALUE"""),7.83775)</f>
        <v>7.83775</v>
      </c>
      <c r="J907" s="23">
        <f>IFERROR(__xludf.DUMMYFUNCTION("""COMPUTED_VALUE"""),282.06)</f>
        <v>282.06</v>
      </c>
      <c r="K907" s="5"/>
      <c r="L907" s="23">
        <f>IFERROR(__xludf.DUMMYFUNCTION("""COMPUTED_VALUE"""),287.62)</f>
        <v>287.62</v>
      </c>
      <c r="M907" s="195" t="str">
        <f>IFERROR(__xludf.DUMMYFUNCTION("""COMPUTED_VALUE"""),"Equity Key Stats")</f>
        <v>Equity Key Stats</v>
      </c>
      <c r="N907" s="5"/>
      <c r="O907" s="5"/>
      <c r="P907" s="142">
        <f>IFERROR(__xludf.DUMMYFUNCTION("""COMPUTED_VALUE"""),0.0)</f>
        <v>0</v>
      </c>
      <c r="Q907" s="5"/>
      <c r="R907" s="71">
        <f>IFERROR(__xludf.DUMMYFUNCTION("""COMPUTED_VALUE"""),287.62)</f>
        <v>287.62</v>
      </c>
      <c r="S907" s="142">
        <f>IFERROR(__xludf.DUMMYFUNCTION("""COMPUTED_VALUE"""),0.0)</f>
        <v>0</v>
      </c>
      <c r="T907" s="5">
        <f>IFERROR(__xludf.DUMMYFUNCTION("""COMPUTED_VALUE"""),6.0)</f>
        <v>6</v>
      </c>
      <c r="U907" s="5">
        <f>IFERROR(__xludf.DUMMYFUNCTION("""COMPUTED_VALUE"""),1.0)</f>
        <v>1</v>
      </c>
      <c r="V907" s="22">
        <f>IFERROR(__xludf.DUMMYFUNCTION("""COMPUTED_VALUE"""),-18379.794649999996)</f>
        <v>-18379.79465</v>
      </c>
      <c r="W907" s="9">
        <f>IFERROR(__xludf.DUMMYFUNCTION("""COMPUTED_VALUE"""),481620.20535)</f>
        <v>481620.2054</v>
      </c>
      <c r="X907" s="22">
        <f>IFERROR(__xludf.DUMMYFUNCTION("""COMPUTED_VALUE"""),257525.39665)</f>
        <v>257525.3967</v>
      </c>
      <c r="Y907" s="22">
        <f>IFERROR(__xludf.DUMMYFUNCTION("""COMPUTED_VALUE"""),0.0)</f>
        <v>0</v>
      </c>
      <c r="Z907" s="24">
        <f>IFERROR(__xludf.DUMMYFUNCTION("""COMPUTED_VALUE"""),-0.036759589300000006)</f>
        <v>-0.0367595893</v>
      </c>
    </row>
    <row r="908">
      <c r="A908" s="5" t="str">
        <f>IFERROR(__xludf.DUMMYFUNCTION("""COMPUTED_VALUE"""),"")</f>
        <v/>
      </c>
      <c r="B908" s="5" t="str">
        <f>IFERROR(__xludf.DUMMYFUNCTION("""COMPUTED_VALUE"""),"76848")</f>
        <v>76848</v>
      </c>
      <c r="C908" s="9">
        <f>IFERROR(__xludf.DUMMYFUNCTION("""COMPUTED_VALUE"""),4.4597000113E10)</f>
        <v>44597000113</v>
      </c>
      <c r="D908" s="85" t="str">
        <f>IFERROR(__xludf.DUMMYFUNCTION("""COMPUTED_VALUE"""),"Cash")</f>
        <v>Cash</v>
      </c>
      <c r="E908" s="193">
        <f>IFERROR(__xludf.DUMMYFUNCTION("""COMPUTED_VALUE"""),44597.0)</f>
        <v>44597</v>
      </c>
      <c r="F908" s="5" t="str">
        <f>IFERROR(__xludf.DUMMYFUNCTION("""COMPUTED_VALUE"""),"Cash")</f>
        <v>Cash</v>
      </c>
      <c r="G908" s="5" t="str">
        <f>IFERROR(__xludf.DUMMYFUNCTION("""COMPUTED_VALUE"""),"HKD")</f>
        <v>HKD</v>
      </c>
      <c r="H908" s="22" t="str">
        <f>IFERROR(__xludf.DUMMYFUNCTION("""COMPUTED_VALUE"""),"")</f>
        <v/>
      </c>
      <c r="I908" s="194">
        <f>IFERROR(__xludf.DUMMYFUNCTION("""COMPUTED_VALUE"""),1.0)</f>
        <v>1</v>
      </c>
      <c r="J908" s="5">
        <f>IFERROR(__xludf.DUMMYFUNCTION("""COMPUTED_VALUE"""),1.0)</f>
        <v>1</v>
      </c>
      <c r="K908" s="5"/>
      <c r="L908" s="23">
        <f>IFERROR(__xludf.DUMMYFUNCTION("""COMPUTED_VALUE"""),1.0)</f>
        <v>1</v>
      </c>
      <c r="M908" s="25" t="str">
        <f>IFERROR(__xludf.DUMMYFUNCTION("""COMPUTED_VALUE"""),"")</f>
        <v/>
      </c>
      <c r="N908" s="5"/>
      <c r="O908" s="5"/>
      <c r="P908" s="142">
        <f>IFERROR(__xludf.DUMMYFUNCTION("""COMPUTED_VALUE"""),500000.0)</f>
        <v>500000</v>
      </c>
      <c r="Q908" s="5"/>
      <c r="R908" s="71">
        <f>IFERROR(__xludf.DUMMYFUNCTION("""COMPUTED_VALUE"""),1.0)</f>
        <v>1</v>
      </c>
      <c r="S908" s="142" t="str">
        <f>IFERROR(__xludf.DUMMYFUNCTION("""COMPUTED_VALUE"""),"")</f>
        <v/>
      </c>
      <c r="T908" s="5">
        <f>IFERROR(__xludf.DUMMYFUNCTION("""COMPUTED_VALUE"""),1.0)</f>
        <v>1</v>
      </c>
      <c r="U908" s="5">
        <f>IFERROR(__xludf.DUMMYFUNCTION("""COMPUTED_VALUE"""),1.0)</f>
        <v>1</v>
      </c>
      <c r="V908" s="22">
        <f>IFERROR(__xludf.DUMMYFUNCTION("""COMPUTED_VALUE"""),500000.0)</f>
        <v>500000</v>
      </c>
      <c r="W908" s="9" t="str">
        <f>IFERROR(__xludf.DUMMYFUNCTION("""COMPUTED_VALUE"""),"")</f>
        <v/>
      </c>
      <c r="X908" s="22" t="str">
        <f>IFERROR(__xludf.DUMMYFUNCTION("""COMPUTED_VALUE"""),"")</f>
        <v/>
      </c>
      <c r="Y908" s="22" t="str">
        <f>IFERROR(__xludf.DUMMYFUNCTION("""COMPUTED_VALUE"""),"")</f>
        <v/>
      </c>
      <c r="Z908" s="24" t="str">
        <f>IFERROR(__xludf.DUMMYFUNCTION("""COMPUTED_VALUE"""),"")</f>
        <v/>
      </c>
    </row>
    <row r="909">
      <c r="A909" s="5" t="str">
        <f>IFERROR(__xludf.DUMMYFUNCTION("""COMPUTED_VALUE"""),"")</f>
        <v/>
      </c>
      <c r="B909" s="5" t="str">
        <f>IFERROR(__xludf.DUMMYFUNCTION("""COMPUTED_VALUE"""),"76848")</f>
        <v>76848</v>
      </c>
      <c r="C909" s="9">
        <f>IFERROR(__xludf.DUMMYFUNCTION("""COMPUTED_VALUE"""),4.4603000166E10)</f>
        <v>44603000166</v>
      </c>
      <c r="D909" s="87" t="str">
        <f>IFERROR(__xludf.DUMMYFUNCTION("""COMPUTED_VALUE"""),"NET")</f>
        <v>NET</v>
      </c>
      <c r="E909" s="193">
        <f>IFERROR(__xludf.DUMMYFUNCTION("""COMPUTED_VALUE"""),44603.0)</f>
        <v>44603</v>
      </c>
      <c r="F909" s="5" t="str">
        <f>IFERROR(__xludf.DUMMYFUNCTION("""COMPUTED_VALUE"""),"Stock")</f>
        <v>Stock</v>
      </c>
      <c r="G909" s="5" t="str">
        <f>IFERROR(__xludf.DUMMYFUNCTION("""COMPUTED_VALUE"""),"USD")</f>
        <v>USD</v>
      </c>
      <c r="H909" s="22">
        <f>IFERROR(__xludf.DUMMYFUNCTION("""COMPUTED_VALUE"""),10.0)</f>
        <v>10</v>
      </c>
      <c r="I909" s="194">
        <f>IFERROR(__xludf.DUMMYFUNCTION("""COMPUTED_VALUE"""),7.800485)</f>
        <v>7.800485</v>
      </c>
      <c r="J909" s="23">
        <f>IFERROR(__xludf.DUMMYFUNCTION("""COMPUTED_VALUE"""),104.92)</f>
        <v>104.92</v>
      </c>
      <c r="K909" s="5"/>
      <c r="L909" s="23">
        <f>IFERROR(__xludf.DUMMYFUNCTION("""COMPUTED_VALUE"""),121.55)</f>
        <v>121.55</v>
      </c>
      <c r="M909" s="195" t="str">
        <f>IFERROR(__xludf.DUMMYFUNCTION("""COMPUTED_VALUE"""),"Equity Key Stats")</f>
        <v>Equity Key Stats</v>
      </c>
      <c r="N909" s="5"/>
      <c r="O909" s="5"/>
      <c r="P909" s="142">
        <f>IFERROR(__xludf.DUMMYFUNCTION("""COMPUTED_VALUE"""),-8184.268862000001)</f>
        <v>-8184.268862</v>
      </c>
      <c r="Q909" s="5"/>
      <c r="R909" s="71">
        <f>IFERROR(__xludf.DUMMYFUNCTION("""COMPUTED_VALUE"""),121.55)</f>
        <v>121.55</v>
      </c>
      <c r="S909" s="142">
        <f>IFERROR(__xludf.DUMMYFUNCTION("""COMPUTED_VALUE"""),9481.4895175)</f>
        <v>9481.489518</v>
      </c>
      <c r="T909" s="5">
        <f>IFERROR(__xludf.DUMMYFUNCTION("""COMPUTED_VALUE"""),2.0)</f>
        <v>2</v>
      </c>
      <c r="U909" s="5" t="str">
        <f>IFERROR(__xludf.DUMMYFUNCTION("""COMPUTED_VALUE"""),"")</f>
        <v/>
      </c>
      <c r="V909" s="22" t="str">
        <f>IFERROR(__xludf.DUMMYFUNCTION("""COMPUTED_VALUE"""),"")</f>
        <v/>
      </c>
      <c r="W909" s="9" t="str">
        <f>IFERROR(__xludf.DUMMYFUNCTION("""COMPUTED_VALUE"""),"")</f>
        <v/>
      </c>
      <c r="X909" s="22" t="str">
        <f>IFERROR(__xludf.DUMMYFUNCTION("""COMPUTED_VALUE"""),"")</f>
        <v/>
      </c>
      <c r="Y909" s="22" t="str">
        <f>IFERROR(__xludf.DUMMYFUNCTION("""COMPUTED_VALUE"""),"")</f>
        <v/>
      </c>
      <c r="Z909" s="24" t="str">
        <f>IFERROR(__xludf.DUMMYFUNCTION("""COMPUTED_VALUE"""),"")</f>
        <v/>
      </c>
    </row>
    <row r="910">
      <c r="A910" s="5" t="str">
        <f>IFERROR(__xludf.DUMMYFUNCTION("""COMPUTED_VALUE"""),"")</f>
        <v/>
      </c>
      <c r="B910" s="5" t="str">
        <f>IFERROR(__xludf.DUMMYFUNCTION("""COMPUTED_VALUE"""),"76848")</f>
        <v>76848</v>
      </c>
      <c r="C910" s="9">
        <f>IFERROR(__xludf.DUMMYFUNCTION("""COMPUTED_VALUE"""),4.4603000168E10)</f>
        <v>44603000168</v>
      </c>
      <c r="D910" s="90" t="str">
        <f>IFERROR(__xludf.DUMMYFUNCTION("""COMPUTED_VALUE"""),"1398.HK")</f>
        <v>1398.HK</v>
      </c>
      <c r="E910" s="193">
        <f>IFERROR(__xludf.DUMMYFUNCTION("""COMPUTED_VALUE"""),44603.0)</f>
        <v>44603</v>
      </c>
      <c r="F910" s="5" t="str">
        <f>IFERROR(__xludf.DUMMYFUNCTION("""COMPUTED_VALUE"""),"Stock")</f>
        <v>Stock</v>
      </c>
      <c r="G910" s="5" t="str">
        <f>IFERROR(__xludf.DUMMYFUNCTION("""COMPUTED_VALUE"""),"HKD")</f>
        <v>HKD</v>
      </c>
      <c r="H910" s="22">
        <f>IFERROR(__xludf.DUMMYFUNCTION("""COMPUTED_VALUE"""),500.0)</f>
        <v>500</v>
      </c>
      <c r="I910" s="194">
        <f>IFERROR(__xludf.DUMMYFUNCTION("""COMPUTED_VALUE"""),1.0)</f>
        <v>1</v>
      </c>
      <c r="J910" s="23">
        <f>IFERROR(__xludf.DUMMYFUNCTION("""COMPUTED_VALUE"""),4.93)</f>
        <v>4.93</v>
      </c>
      <c r="K910" s="5"/>
      <c r="L910" s="23">
        <f>IFERROR(__xludf.DUMMYFUNCTION("""COMPUTED_VALUE"""),4.75)</f>
        <v>4.75</v>
      </c>
      <c r="M910" s="195" t="str">
        <f>IFERROR(__xludf.DUMMYFUNCTION("""COMPUTED_VALUE"""),"Equity Key Stats")</f>
        <v>Equity Key Stats</v>
      </c>
      <c r="N910" s="5"/>
      <c r="O910" s="5"/>
      <c r="P910" s="142">
        <f>IFERROR(__xludf.DUMMYFUNCTION("""COMPUTED_VALUE"""),-2465.0)</f>
        <v>-2465</v>
      </c>
      <c r="Q910" s="5"/>
      <c r="R910" s="71">
        <f>IFERROR(__xludf.DUMMYFUNCTION("""COMPUTED_VALUE"""),4.75)</f>
        <v>4.75</v>
      </c>
      <c r="S910" s="142">
        <f>IFERROR(__xludf.DUMMYFUNCTION("""COMPUTED_VALUE"""),2375.0)</f>
        <v>2375</v>
      </c>
      <c r="T910" s="5">
        <f>IFERROR(__xludf.DUMMYFUNCTION("""COMPUTED_VALUE"""),3.0)</f>
        <v>3</v>
      </c>
      <c r="U910" s="5" t="str">
        <f>IFERROR(__xludf.DUMMYFUNCTION("""COMPUTED_VALUE"""),"")</f>
        <v/>
      </c>
      <c r="V910" s="22" t="str">
        <f>IFERROR(__xludf.DUMMYFUNCTION("""COMPUTED_VALUE"""),"")</f>
        <v/>
      </c>
      <c r="W910" s="9" t="str">
        <f>IFERROR(__xludf.DUMMYFUNCTION("""COMPUTED_VALUE"""),"")</f>
        <v/>
      </c>
      <c r="X910" s="22" t="str">
        <f>IFERROR(__xludf.DUMMYFUNCTION("""COMPUTED_VALUE"""),"")</f>
        <v/>
      </c>
      <c r="Y910" s="22" t="str">
        <f>IFERROR(__xludf.DUMMYFUNCTION("""COMPUTED_VALUE"""),"")</f>
        <v/>
      </c>
      <c r="Z910" s="24" t="str">
        <f>IFERROR(__xludf.DUMMYFUNCTION("""COMPUTED_VALUE"""),"")</f>
        <v/>
      </c>
    </row>
    <row r="911">
      <c r="A911" s="5" t="str">
        <f>IFERROR(__xludf.DUMMYFUNCTION("""COMPUTED_VALUE"""),"")</f>
        <v/>
      </c>
      <c r="B911" s="5" t="str">
        <f>IFERROR(__xludf.DUMMYFUNCTION("""COMPUTED_VALUE"""),"76848")</f>
        <v>76848</v>
      </c>
      <c r="C911" s="9">
        <f>IFERROR(__xludf.DUMMYFUNCTION("""COMPUTED_VALUE"""),4.460900023E10)</f>
        <v>44609000230</v>
      </c>
      <c r="D911" s="87" t="str">
        <f>IFERROR(__xludf.DUMMYFUNCTION("""COMPUTED_VALUE"""),"AMAT")</f>
        <v>AMAT</v>
      </c>
      <c r="E911" s="193">
        <f>IFERROR(__xludf.DUMMYFUNCTION("""COMPUTED_VALUE"""),44609.0)</f>
        <v>44609</v>
      </c>
      <c r="F911" s="5" t="str">
        <f>IFERROR(__xludf.DUMMYFUNCTION("""COMPUTED_VALUE"""),"Stock")</f>
        <v>Stock</v>
      </c>
      <c r="G911" s="5" t="str">
        <f>IFERROR(__xludf.DUMMYFUNCTION("""COMPUTED_VALUE"""),"USD")</f>
        <v>USD</v>
      </c>
      <c r="H911" s="22">
        <f>IFERROR(__xludf.DUMMYFUNCTION("""COMPUTED_VALUE"""),50.0)</f>
        <v>50</v>
      </c>
      <c r="I911" s="194">
        <f>IFERROR(__xludf.DUMMYFUNCTION("""COMPUTED_VALUE"""),7.799115)</f>
        <v>7.799115</v>
      </c>
      <c r="J911" s="23">
        <f>IFERROR(__xludf.DUMMYFUNCTION("""COMPUTED_VALUE"""),136.47)</f>
        <v>136.47</v>
      </c>
      <c r="K911" s="5"/>
      <c r="L911" s="23">
        <f>IFERROR(__xludf.DUMMYFUNCTION("""COMPUTED_VALUE"""),116.86)</f>
        <v>116.86</v>
      </c>
      <c r="M911" s="195" t="str">
        <f>IFERROR(__xludf.DUMMYFUNCTION("""COMPUTED_VALUE"""),"Equity Key Stats")</f>
        <v>Equity Key Stats</v>
      </c>
      <c r="N911" s="5"/>
      <c r="O911" s="5"/>
      <c r="P911" s="142">
        <f>IFERROR(__xludf.DUMMYFUNCTION("""COMPUTED_VALUE"""),-53217.2612025)</f>
        <v>-53217.2612</v>
      </c>
      <c r="Q911" s="5"/>
      <c r="R911" s="71">
        <f>IFERROR(__xludf.DUMMYFUNCTION("""COMPUTED_VALUE"""),116.86)</f>
        <v>116.86</v>
      </c>
      <c r="S911" s="142">
        <f>IFERROR(__xludf.DUMMYFUNCTION("""COMPUTED_VALUE"""),45570.228944999995)</f>
        <v>45570.22895</v>
      </c>
      <c r="T911" s="5">
        <f>IFERROR(__xludf.DUMMYFUNCTION("""COMPUTED_VALUE"""),2.0)</f>
        <v>2</v>
      </c>
      <c r="U911" s="5" t="str">
        <f>IFERROR(__xludf.DUMMYFUNCTION("""COMPUTED_VALUE"""),"")</f>
        <v/>
      </c>
      <c r="V911" s="22" t="str">
        <f>IFERROR(__xludf.DUMMYFUNCTION("""COMPUTED_VALUE"""),"")</f>
        <v/>
      </c>
      <c r="W911" s="9" t="str">
        <f>IFERROR(__xludf.DUMMYFUNCTION("""COMPUTED_VALUE"""),"")</f>
        <v/>
      </c>
      <c r="X911" s="22" t="str">
        <f>IFERROR(__xludf.DUMMYFUNCTION("""COMPUTED_VALUE"""),"")</f>
        <v/>
      </c>
      <c r="Y911" s="22" t="str">
        <f>IFERROR(__xludf.DUMMYFUNCTION("""COMPUTED_VALUE"""),"")</f>
        <v/>
      </c>
      <c r="Z911" s="24" t="str">
        <f>IFERROR(__xludf.DUMMYFUNCTION("""COMPUTED_VALUE"""),"")</f>
        <v/>
      </c>
    </row>
    <row r="912">
      <c r="A912" s="5" t="str">
        <f>IFERROR(__xludf.DUMMYFUNCTION("""COMPUTED_VALUE"""),"")</f>
        <v/>
      </c>
      <c r="B912" s="5" t="str">
        <f>IFERROR(__xludf.DUMMYFUNCTION("""COMPUTED_VALUE"""),"76848")</f>
        <v>76848</v>
      </c>
      <c r="C912" s="9">
        <f>IFERROR(__xludf.DUMMYFUNCTION("""COMPUTED_VALUE"""),4.461600033E10)</f>
        <v>44616000330</v>
      </c>
      <c r="D912" s="87" t="str">
        <f>IFERROR(__xludf.DUMMYFUNCTION("""COMPUTED_VALUE"""),"CL=F")</f>
        <v>CL=F</v>
      </c>
      <c r="E912" s="193">
        <f>IFERROR(__xludf.DUMMYFUNCTION("""COMPUTED_VALUE"""),44616.0)</f>
        <v>44616</v>
      </c>
      <c r="F912" s="5" t="str">
        <f>IFERROR(__xludf.DUMMYFUNCTION("""COMPUTED_VALUE"""),"Stock")</f>
        <v>Stock</v>
      </c>
      <c r="G912" s="5" t="str">
        <f>IFERROR(__xludf.DUMMYFUNCTION("""COMPUTED_VALUE"""),"USD")</f>
        <v>USD</v>
      </c>
      <c r="H912" s="22">
        <f>IFERROR(__xludf.DUMMYFUNCTION("""COMPUTED_VALUE"""),100.0)</f>
        <v>100</v>
      </c>
      <c r="I912" s="194">
        <f>IFERROR(__xludf.DUMMYFUNCTION("""COMPUTED_VALUE"""),7.80775)</f>
        <v>7.80775</v>
      </c>
      <c r="J912" s="23">
        <f>IFERROR(__xludf.DUMMYFUNCTION("""COMPUTED_VALUE"""),92.81)</f>
        <v>92.81</v>
      </c>
      <c r="K912" s="5"/>
      <c r="L912" s="23">
        <f>IFERROR(__xludf.DUMMYFUNCTION("""COMPUTED_VALUE"""),104.31)</f>
        <v>104.31</v>
      </c>
      <c r="M912" s="195" t="str">
        <f>IFERROR(__xludf.DUMMYFUNCTION("""COMPUTED_VALUE"""),"Equity Key Stats")</f>
        <v>Equity Key Stats</v>
      </c>
      <c r="N912" s="5"/>
      <c r="O912" s="5"/>
      <c r="P912" s="142">
        <f>IFERROR(__xludf.DUMMYFUNCTION("""COMPUTED_VALUE"""),-72463.72775)</f>
        <v>-72463.72775</v>
      </c>
      <c r="Q912" s="5"/>
      <c r="R912" s="71">
        <f>IFERROR(__xludf.DUMMYFUNCTION("""COMPUTED_VALUE"""),104.31)</f>
        <v>104.31</v>
      </c>
      <c r="S912" s="142">
        <f>IFERROR(__xludf.DUMMYFUNCTION("""COMPUTED_VALUE"""),81442.64025000001)</f>
        <v>81442.64025</v>
      </c>
      <c r="T912" s="5">
        <f>IFERROR(__xludf.DUMMYFUNCTION("""COMPUTED_VALUE"""),3.0)</f>
        <v>3</v>
      </c>
      <c r="U912" s="5" t="str">
        <f>IFERROR(__xludf.DUMMYFUNCTION("""COMPUTED_VALUE"""),"")</f>
        <v/>
      </c>
      <c r="V912" s="22" t="str">
        <f>IFERROR(__xludf.DUMMYFUNCTION("""COMPUTED_VALUE"""),"")</f>
        <v/>
      </c>
      <c r="W912" s="9" t="str">
        <f>IFERROR(__xludf.DUMMYFUNCTION("""COMPUTED_VALUE"""),"")</f>
        <v/>
      </c>
      <c r="X912" s="22" t="str">
        <f>IFERROR(__xludf.DUMMYFUNCTION("""COMPUTED_VALUE"""),"")</f>
        <v/>
      </c>
      <c r="Y912" s="22" t="str">
        <f>IFERROR(__xludf.DUMMYFUNCTION("""COMPUTED_VALUE"""),"")</f>
        <v/>
      </c>
      <c r="Z912" s="24" t="str">
        <f>IFERROR(__xludf.DUMMYFUNCTION("""COMPUTED_VALUE"""),"")</f>
        <v/>
      </c>
    </row>
    <row r="913">
      <c r="A913" s="5" t="str">
        <f>IFERROR(__xludf.DUMMYFUNCTION("""COMPUTED_VALUE"""),"")</f>
        <v/>
      </c>
      <c r="B913" s="5" t="str">
        <f>IFERROR(__xludf.DUMMYFUNCTION("""COMPUTED_VALUE"""),"76848")</f>
        <v>76848</v>
      </c>
      <c r="C913" s="9">
        <f>IFERROR(__xludf.DUMMYFUNCTION("""COMPUTED_VALUE"""),4.4616000332E10)</f>
        <v>44616000332</v>
      </c>
      <c r="D913" s="87" t="str">
        <f>IFERROR(__xludf.DUMMYFUNCTION("""COMPUTED_VALUE"""),"NET")</f>
        <v>NET</v>
      </c>
      <c r="E913" s="193">
        <f>IFERROR(__xludf.DUMMYFUNCTION("""COMPUTED_VALUE"""),44616.0)</f>
        <v>44616</v>
      </c>
      <c r="F913" s="5" t="str">
        <f>IFERROR(__xludf.DUMMYFUNCTION("""COMPUTED_VALUE"""),"Stock")</f>
        <v>Stock</v>
      </c>
      <c r="G913" s="5" t="str">
        <f>IFERROR(__xludf.DUMMYFUNCTION("""COMPUTED_VALUE"""),"USD")</f>
        <v>USD</v>
      </c>
      <c r="H913" s="22">
        <f>IFERROR(__xludf.DUMMYFUNCTION("""COMPUTED_VALUE"""),-10.0)</f>
        <v>-10</v>
      </c>
      <c r="I913" s="194">
        <f>IFERROR(__xludf.DUMMYFUNCTION("""COMPUTED_VALUE"""),7.80775)</f>
        <v>7.80775</v>
      </c>
      <c r="J913" s="23">
        <f>IFERROR(__xludf.DUMMYFUNCTION("""COMPUTED_VALUE"""),108.38)</f>
        <v>108.38</v>
      </c>
      <c r="K913" s="5"/>
      <c r="L913" s="23">
        <f>IFERROR(__xludf.DUMMYFUNCTION("""COMPUTED_VALUE"""),121.55)</f>
        <v>121.55</v>
      </c>
      <c r="M913" s="195" t="str">
        <f>IFERROR(__xludf.DUMMYFUNCTION("""COMPUTED_VALUE"""),"Equity Key Stats")</f>
        <v>Equity Key Stats</v>
      </c>
      <c r="N913" s="5"/>
      <c r="O913" s="5"/>
      <c r="P913" s="142">
        <f>IFERROR(__xludf.DUMMYFUNCTION("""COMPUTED_VALUE"""),8462.03945)</f>
        <v>8462.03945</v>
      </c>
      <c r="Q913" s="5"/>
      <c r="R913" s="71">
        <f>IFERROR(__xludf.DUMMYFUNCTION("""COMPUTED_VALUE"""),121.55)</f>
        <v>121.55</v>
      </c>
      <c r="S913" s="142">
        <f>IFERROR(__xludf.DUMMYFUNCTION("""COMPUTED_VALUE"""),-9490.320125)</f>
        <v>-9490.320125</v>
      </c>
      <c r="T913" s="5">
        <f>IFERROR(__xludf.DUMMYFUNCTION("""COMPUTED_VALUE"""),2.0)</f>
        <v>2</v>
      </c>
      <c r="U913" s="5">
        <f>IFERROR(__xludf.DUMMYFUNCTION("""COMPUTED_VALUE"""),1.0)</f>
        <v>1</v>
      </c>
      <c r="V913" s="22">
        <f>IFERROR(__xludf.DUMMYFUNCTION("""COMPUTED_VALUE"""),268.93998049999936)</f>
        <v>268.9399805</v>
      </c>
      <c r="W913" s="9" t="str">
        <f>IFERROR(__xludf.DUMMYFUNCTION("""COMPUTED_VALUE"""),"")</f>
        <v/>
      </c>
      <c r="X913" s="22" t="str">
        <f>IFERROR(__xludf.DUMMYFUNCTION("""COMPUTED_VALUE"""),"")</f>
        <v/>
      </c>
      <c r="Y913" s="22" t="str">
        <f>IFERROR(__xludf.DUMMYFUNCTION("""COMPUTED_VALUE"""),"")</f>
        <v/>
      </c>
      <c r="Z913" s="24" t="str">
        <f>IFERROR(__xludf.DUMMYFUNCTION("""COMPUTED_VALUE"""),"")</f>
        <v/>
      </c>
    </row>
    <row r="914">
      <c r="A914" s="5" t="str">
        <f>IFERROR(__xludf.DUMMYFUNCTION("""COMPUTED_VALUE"""),"")</f>
        <v/>
      </c>
      <c r="B914" s="5" t="str">
        <f>IFERROR(__xludf.DUMMYFUNCTION("""COMPUTED_VALUE"""),"76848")</f>
        <v>76848</v>
      </c>
      <c r="C914" s="9">
        <f>IFERROR(__xludf.DUMMYFUNCTION("""COMPUTED_VALUE"""),4.4617000327E10)</f>
        <v>44617000327</v>
      </c>
      <c r="D914" s="90" t="str">
        <f>IFERROR(__xludf.DUMMYFUNCTION("""COMPUTED_VALUE"""),"1398.HK")</f>
        <v>1398.HK</v>
      </c>
      <c r="E914" s="193">
        <f>IFERROR(__xludf.DUMMYFUNCTION("""COMPUTED_VALUE"""),44617.0)</f>
        <v>44617</v>
      </c>
      <c r="F914" s="5" t="str">
        <f>IFERROR(__xludf.DUMMYFUNCTION("""COMPUTED_VALUE"""),"Stock")</f>
        <v>Stock</v>
      </c>
      <c r="G914" s="5" t="str">
        <f>IFERROR(__xludf.DUMMYFUNCTION("""COMPUTED_VALUE"""),"HKD")</f>
        <v>HKD</v>
      </c>
      <c r="H914" s="22">
        <f>IFERROR(__xludf.DUMMYFUNCTION("""COMPUTED_VALUE"""),1000.0)</f>
        <v>1000</v>
      </c>
      <c r="I914" s="194">
        <f>IFERROR(__xludf.DUMMYFUNCTION("""COMPUTED_VALUE"""),1.0)</f>
        <v>1</v>
      </c>
      <c r="J914" s="23">
        <f>IFERROR(__xludf.DUMMYFUNCTION("""COMPUTED_VALUE"""),4.58)</f>
        <v>4.58</v>
      </c>
      <c r="K914" s="5"/>
      <c r="L914" s="23">
        <f>IFERROR(__xludf.DUMMYFUNCTION("""COMPUTED_VALUE"""),4.75)</f>
        <v>4.75</v>
      </c>
      <c r="M914" s="195" t="str">
        <f>IFERROR(__xludf.DUMMYFUNCTION("""COMPUTED_VALUE"""),"Equity Key Stats")</f>
        <v>Equity Key Stats</v>
      </c>
      <c r="N914" s="5"/>
      <c r="O914" s="5"/>
      <c r="P914" s="142">
        <f>IFERROR(__xludf.DUMMYFUNCTION("""COMPUTED_VALUE"""),-4580.0)</f>
        <v>-4580</v>
      </c>
      <c r="Q914" s="5"/>
      <c r="R914" s="71">
        <f>IFERROR(__xludf.DUMMYFUNCTION("""COMPUTED_VALUE"""),4.75)</f>
        <v>4.75</v>
      </c>
      <c r="S914" s="142">
        <f>IFERROR(__xludf.DUMMYFUNCTION("""COMPUTED_VALUE"""),4750.0)</f>
        <v>4750</v>
      </c>
      <c r="T914" s="5">
        <f>IFERROR(__xludf.DUMMYFUNCTION("""COMPUTED_VALUE"""),3.0)</f>
        <v>3</v>
      </c>
      <c r="U914" s="5" t="str">
        <f>IFERROR(__xludf.DUMMYFUNCTION("""COMPUTED_VALUE"""),"")</f>
        <v/>
      </c>
      <c r="V914" s="22" t="str">
        <f>IFERROR(__xludf.DUMMYFUNCTION("""COMPUTED_VALUE"""),"")</f>
        <v/>
      </c>
      <c r="W914" s="9" t="str">
        <f>IFERROR(__xludf.DUMMYFUNCTION("""COMPUTED_VALUE"""),"")</f>
        <v/>
      </c>
      <c r="X914" s="22" t="str">
        <f>IFERROR(__xludf.DUMMYFUNCTION("""COMPUTED_VALUE"""),"")</f>
        <v/>
      </c>
      <c r="Y914" s="22" t="str">
        <f>IFERROR(__xludf.DUMMYFUNCTION("""COMPUTED_VALUE"""),"")</f>
        <v/>
      </c>
      <c r="Z914" s="24" t="str">
        <f>IFERROR(__xludf.DUMMYFUNCTION("""COMPUTED_VALUE"""),"")</f>
        <v/>
      </c>
    </row>
    <row r="915">
      <c r="A915" s="5" t="str">
        <f>IFERROR(__xludf.DUMMYFUNCTION("""COMPUTED_VALUE"""),"")</f>
        <v/>
      </c>
      <c r="B915" s="5" t="str">
        <f>IFERROR(__xludf.DUMMYFUNCTION("""COMPUTED_VALUE"""),"76848")</f>
        <v>76848</v>
      </c>
      <c r="C915" s="9">
        <f>IFERROR(__xludf.DUMMYFUNCTION("""COMPUTED_VALUE"""),4.4617000334E10)</f>
        <v>44617000334</v>
      </c>
      <c r="D915" s="90" t="str">
        <f>IFERROR(__xludf.DUMMYFUNCTION("""COMPUTED_VALUE"""),"300157.SZ")</f>
        <v>300157.SZ</v>
      </c>
      <c r="E915" s="193">
        <f>IFERROR(__xludf.DUMMYFUNCTION("""COMPUTED_VALUE"""),44617.0)</f>
        <v>44617</v>
      </c>
      <c r="F915" s="5" t="str">
        <f>IFERROR(__xludf.DUMMYFUNCTION("""COMPUTED_VALUE"""),"Stock")</f>
        <v>Stock</v>
      </c>
      <c r="G915" s="5" t="str">
        <f>IFERROR(__xludf.DUMMYFUNCTION("""COMPUTED_VALUE"""),"CNY")</f>
        <v>CNY</v>
      </c>
      <c r="H915" s="22">
        <f>IFERROR(__xludf.DUMMYFUNCTION("""COMPUTED_VALUE"""),0.0)</f>
        <v>0</v>
      </c>
      <c r="I915" s="194">
        <f>IFERROR(__xludf.DUMMYFUNCTION("""COMPUTED_VALUE"""),1.235635)</f>
        <v>1.235635</v>
      </c>
      <c r="J915" s="23">
        <f>IFERROR(__xludf.DUMMYFUNCTION("""COMPUTED_VALUE"""),0.0)</f>
        <v>0</v>
      </c>
      <c r="K915" s="5"/>
      <c r="L915" s="23">
        <f>IFERROR(__xludf.DUMMYFUNCTION("""COMPUTED_VALUE"""),4.35)</f>
        <v>4.35</v>
      </c>
      <c r="M915" s="195" t="str">
        <f>IFERROR(__xludf.DUMMYFUNCTION("""COMPUTED_VALUE"""),"Equity Key Stats")</f>
        <v>Equity Key Stats</v>
      </c>
      <c r="N915" s="5"/>
      <c r="O915" s="5"/>
      <c r="P915" s="142">
        <f>IFERROR(__xludf.DUMMYFUNCTION("""COMPUTED_VALUE"""),0.0)</f>
        <v>0</v>
      </c>
      <c r="Q915" s="5"/>
      <c r="R915" s="71">
        <f>IFERROR(__xludf.DUMMYFUNCTION("""COMPUTED_VALUE"""),4.35)</f>
        <v>4.35</v>
      </c>
      <c r="S915" s="142">
        <f>IFERROR(__xludf.DUMMYFUNCTION("""COMPUTED_VALUE"""),0.0)</f>
        <v>0</v>
      </c>
      <c r="T915" s="5">
        <f>IFERROR(__xludf.DUMMYFUNCTION("""COMPUTED_VALUE"""),1.0)</f>
        <v>1</v>
      </c>
      <c r="U915" s="5">
        <f>IFERROR(__xludf.DUMMYFUNCTION("""COMPUTED_VALUE"""),1.0)</f>
        <v>1</v>
      </c>
      <c r="V915" s="22">
        <f>IFERROR(__xludf.DUMMYFUNCTION("""COMPUTED_VALUE"""),0.0)</f>
        <v>0</v>
      </c>
      <c r="W915" s="9" t="str">
        <f>IFERROR(__xludf.DUMMYFUNCTION("""COMPUTED_VALUE"""),"")</f>
        <v/>
      </c>
      <c r="X915" s="22" t="str">
        <f>IFERROR(__xludf.DUMMYFUNCTION("""COMPUTED_VALUE"""),"")</f>
        <v/>
      </c>
      <c r="Y915" s="22" t="str">
        <f>IFERROR(__xludf.DUMMYFUNCTION("""COMPUTED_VALUE"""),"")</f>
        <v/>
      </c>
      <c r="Z915" s="24" t="str">
        <f>IFERROR(__xludf.DUMMYFUNCTION("""COMPUTED_VALUE"""),"")</f>
        <v/>
      </c>
    </row>
    <row r="916">
      <c r="A916" s="5" t="str">
        <f>IFERROR(__xludf.DUMMYFUNCTION("""COMPUTED_VALUE"""),"")</f>
        <v/>
      </c>
      <c r="B916" s="5" t="str">
        <f>IFERROR(__xludf.DUMMYFUNCTION("""COMPUTED_VALUE"""),"76848")</f>
        <v>76848</v>
      </c>
      <c r="C916" s="9">
        <f>IFERROR(__xludf.DUMMYFUNCTION("""COMPUTED_VALUE"""),4.4624000435E10)</f>
        <v>44624000435</v>
      </c>
      <c r="D916" s="87" t="str">
        <f>IFERROR(__xludf.DUMMYFUNCTION("""COMPUTED_VALUE"""),"AMAT")</f>
        <v>AMAT</v>
      </c>
      <c r="E916" s="193">
        <f>IFERROR(__xludf.DUMMYFUNCTION("""COMPUTED_VALUE"""),44624.0)</f>
        <v>44624</v>
      </c>
      <c r="F916" s="5" t="str">
        <f>IFERROR(__xludf.DUMMYFUNCTION("""COMPUTED_VALUE"""),"Stock")</f>
        <v>Stock</v>
      </c>
      <c r="G916" s="5" t="str">
        <f>IFERROR(__xludf.DUMMYFUNCTION("""COMPUTED_VALUE"""),"USD")</f>
        <v>USD</v>
      </c>
      <c r="H916" s="22">
        <f>IFERROR(__xludf.DUMMYFUNCTION("""COMPUTED_VALUE"""),0.0)</f>
        <v>0</v>
      </c>
      <c r="I916" s="194">
        <f>IFERROR(__xludf.DUMMYFUNCTION("""COMPUTED_VALUE"""),7.81428)</f>
        <v>7.81428</v>
      </c>
      <c r="J916" s="23">
        <f>IFERROR(__xludf.DUMMYFUNCTION("""COMPUTED_VALUE"""),0.0)</f>
        <v>0</v>
      </c>
      <c r="K916" s="5"/>
      <c r="L916" s="23">
        <f>IFERROR(__xludf.DUMMYFUNCTION("""COMPUTED_VALUE"""),116.86)</f>
        <v>116.86</v>
      </c>
      <c r="M916" s="195" t="str">
        <f>IFERROR(__xludf.DUMMYFUNCTION("""COMPUTED_VALUE"""),"Equity Key Stats")</f>
        <v>Equity Key Stats</v>
      </c>
      <c r="N916" s="5"/>
      <c r="O916" s="5"/>
      <c r="P916" s="142">
        <f>IFERROR(__xludf.DUMMYFUNCTION("""COMPUTED_VALUE"""),0.0)</f>
        <v>0</v>
      </c>
      <c r="Q916" s="5"/>
      <c r="R916" s="71">
        <f>IFERROR(__xludf.DUMMYFUNCTION("""COMPUTED_VALUE"""),116.86)</f>
        <v>116.86</v>
      </c>
      <c r="S916" s="142">
        <f>IFERROR(__xludf.DUMMYFUNCTION("""COMPUTED_VALUE"""),0.0)</f>
        <v>0</v>
      </c>
      <c r="T916" s="5">
        <f>IFERROR(__xludf.DUMMYFUNCTION("""COMPUTED_VALUE"""),2.0)</f>
        <v>2</v>
      </c>
      <c r="U916" s="5">
        <f>IFERROR(__xludf.DUMMYFUNCTION("""COMPUTED_VALUE"""),1.0)</f>
        <v>1</v>
      </c>
      <c r="V916" s="22">
        <f>IFERROR(__xludf.DUMMYFUNCTION("""COMPUTED_VALUE"""),-7647.032257500003)</f>
        <v>-7647.032258</v>
      </c>
      <c r="W916" s="9" t="str">
        <f>IFERROR(__xludf.DUMMYFUNCTION("""COMPUTED_VALUE"""),"")</f>
        <v/>
      </c>
      <c r="X916" s="22" t="str">
        <f>IFERROR(__xludf.DUMMYFUNCTION("""COMPUTED_VALUE"""),"")</f>
        <v/>
      </c>
      <c r="Y916" s="22" t="str">
        <f>IFERROR(__xludf.DUMMYFUNCTION("""COMPUTED_VALUE"""),"")</f>
        <v/>
      </c>
      <c r="Z916" s="24" t="str">
        <f>IFERROR(__xludf.DUMMYFUNCTION("""COMPUTED_VALUE"""),"")</f>
        <v/>
      </c>
    </row>
    <row r="917">
      <c r="A917" s="5" t="str">
        <f>IFERROR(__xludf.DUMMYFUNCTION("""COMPUTED_VALUE"""),"")</f>
        <v/>
      </c>
      <c r="B917" s="5" t="str">
        <f>IFERROR(__xludf.DUMMYFUNCTION("""COMPUTED_VALUE"""),"76848")</f>
        <v>76848</v>
      </c>
      <c r="C917" s="9">
        <f>IFERROR(__xludf.DUMMYFUNCTION("""COMPUTED_VALUE"""),4.4624000437E10)</f>
        <v>44624000437</v>
      </c>
      <c r="D917" s="87" t="str">
        <f>IFERROR(__xludf.DUMMYFUNCTION("""COMPUTED_VALUE"""),"BRK-B")</f>
        <v>BRK-B</v>
      </c>
      <c r="E917" s="193">
        <f>IFERROR(__xludf.DUMMYFUNCTION("""COMPUTED_VALUE"""),44624.0)</f>
        <v>44624</v>
      </c>
      <c r="F917" s="5" t="str">
        <f>IFERROR(__xludf.DUMMYFUNCTION("""COMPUTED_VALUE"""),"Stock")</f>
        <v>Stock</v>
      </c>
      <c r="G917" s="5" t="str">
        <f>IFERROR(__xludf.DUMMYFUNCTION("""COMPUTED_VALUE"""),"USD")</f>
        <v>USD</v>
      </c>
      <c r="H917" s="22">
        <f>IFERROR(__xludf.DUMMYFUNCTION("""COMPUTED_VALUE"""),-40.0)</f>
        <v>-40</v>
      </c>
      <c r="I917" s="194">
        <f>IFERROR(__xludf.DUMMYFUNCTION("""COMPUTED_VALUE"""),7.81428)</f>
        <v>7.81428</v>
      </c>
      <c r="J917" s="23">
        <f>IFERROR(__xludf.DUMMYFUNCTION("""COMPUTED_VALUE"""),325.34)</f>
        <v>325.34</v>
      </c>
      <c r="K917" s="5"/>
      <c r="L917" s="23">
        <f>IFERROR(__xludf.DUMMYFUNCTION("""COMPUTED_VALUE"""),346.07)</f>
        <v>346.07</v>
      </c>
      <c r="M917" s="195" t="str">
        <f>IFERROR(__xludf.DUMMYFUNCTION("""COMPUTED_VALUE"""),"Equity Key Stats")</f>
        <v>Equity Key Stats</v>
      </c>
      <c r="N917" s="5"/>
      <c r="O917" s="5"/>
      <c r="P917" s="142">
        <f>IFERROR(__xludf.DUMMYFUNCTION("""COMPUTED_VALUE"""),101691.91420799999)</f>
        <v>101691.9142</v>
      </c>
      <c r="Q917" s="5"/>
      <c r="R917" s="71">
        <f>IFERROR(__xludf.DUMMYFUNCTION("""COMPUTED_VALUE"""),346.07)</f>
        <v>346.07</v>
      </c>
      <c r="S917" s="142">
        <f>IFERROR(__xludf.DUMMYFUNCTION("""COMPUTED_VALUE"""),-108171.51518399999)</f>
        <v>-108171.5152</v>
      </c>
      <c r="T917" s="5">
        <f>IFERROR(__xludf.DUMMYFUNCTION("""COMPUTED_VALUE"""),2.0)</f>
        <v>2</v>
      </c>
      <c r="U917" s="5" t="str">
        <f>IFERROR(__xludf.DUMMYFUNCTION("""COMPUTED_VALUE"""),"")</f>
        <v/>
      </c>
      <c r="V917" s="22" t="str">
        <f>IFERROR(__xludf.DUMMYFUNCTION("""COMPUTED_VALUE"""),"")</f>
        <v/>
      </c>
      <c r="W917" s="9" t="str">
        <f>IFERROR(__xludf.DUMMYFUNCTION("""COMPUTED_VALUE"""),"")</f>
        <v/>
      </c>
      <c r="X917" s="22" t="str">
        <f>IFERROR(__xludf.DUMMYFUNCTION("""COMPUTED_VALUE"""),"")</f>
        <v/>
      </c>
      <c r="Y917" s="22" t="str">
        <f>IFERROR(__xludf.DUMMYFUNCTION("""COMPUTED_VALUE"""),"")</f>
        <v/>
      </c>
      <c r="Z917" s="24" t="str">
        <f>IFERROR(__xludf.DUMMYFUNCTION("""COMPUTED_VALUE"""),"")</f>
        <v/>
      </c>
    </row>
    <row r="918">
      <c r="A918" s="5" t="str">
        <f>IFERROR(__xludf.DUMMYFUNCTION("""COMPUTED_VALUE"""),"")</f>
        <v/>
      </c>
      <c r="B918" s="5" t="str">
        <f>IFERROR(__xludf.DUMMYFUNCTION("""COMPUTED_VALUE"""),"76848")</f>
        <v>76848</v>
      </c>
      <c r="C918" s="9">
        <f>IFERROR(__xludf.DUMMYFUNCTION("""COMPUTED_VALUE"""),4.4630000524E10)</f>
        <v>44630000524</v>
      </c>
      <c r="D918" s="87" t="str">
        <f>IFERROR(__xludf.DUMMYFUNCTION("""COMPUTED_VALUE"""),"BRK-B")</f>
        <v>BRK-B</v>
      </c>
      <c r="E918" s="193">
        <f>IFERROR(__xludf.DUMMYFUNCTION("""COMPUTED_VALUE"""),44630.0)</f>
        <v>44630</v>
      </c>
      <c r="F918" s="5" t="str">
        <f>IFERROR(__xludf.DUMMYFUNCTION("""COMPUTED_VALUE"""),"Stock")</f>
        <v>Stock</v>
      </c>
      <c r="G918" s="5" t="str">
        <f>IFERROR(__xludf.DUMMYFUNCTION("""COMPUTED_VALUE"""),"USD")</f>
        <v>USD</v>
      </c>
      <c r="H918" s="22">
        <f>IFERROR(__xludf.DUMMYFUNCTION("""COMPUTED_VALUE"""),40.0)</f>
        <v>40</v>
      </c>
      <c r="I918" s="194">
        <f>IFERROR(__xludf.DUMMYFUNCTION("""COMPUTED_VALUE"""),7.82295)</f>
        <v>7.82295</v>
      </c>
      <c r="J918" s="23">
        <f>IFERROR(__xludf.DUMMYFUNCTION("""COMPUTED_VALUE"""),325.4)</f>
        <v>325.4</v>
      </c>
      <c r="K918" s="5"/>
      <c r="L918" s="23">
        <f>IFERROR(__xludf.DUMMYFUNCTION("""COMPUTED_VALUE"""),346.07)</f>
        <v>346.07</v>
      </c>
      <c r="M918" s="195" t="str">
        <f>IFERROR(__xludf.DUMMYFUNCTION("""COMPUTED_VALUE"""),"Equity Key Stats")</f>
        <v>Equity Key Stats</v>
      </c>
      <c r="N918" s="5"/>
      <c r="O918" s="5"/>
      <c r="P918" s="142">
        <f>IFERROR(__xludf.DUMMYFUNCTION("""COMPUTED_VALUE"""),-101823.5172)</f>
        <v>-101823.5172</v>
      </c>
      <c r="Q918" s="5"/>
      <c r="R918" s="71">
        <f>IFERROR(__xludf.DUMMYFUNCTION("""COMPUTED_VALUE"""),346.07)</f>
        <v>346.07</v>
      </c>
      <c r="S918" s="142">
        <f>IFERROR(__xludf.DUMMYFUNCTION("""COMPUTED_VALUE"""),108291.53226)</f>
        <v>108291.5323</v>
      </c>
      <c r="T918" s="5">
        <f>IFERROR(__xludf.DUMMYFUNCTION("""COMPUTED_VALUE"""),2.0)</f>
        <v>2</v>
      </c>
      <c r="U918" s="5">
        <f>IFERROR(__xludf.DUMMYFUNCTION("""COMPUTED_VALUE"""),1.0)</f>
        <v>1</v>
      </c>
      <c r="V918" s="22">
        <f>IFERROR(__xludf.DUMMYFUNCTION("""COMPUTED_VALUE"""),-11.58591599999636)</f>
        <v>-11.585916</v>
      </c>
      <c r="W918" s="9" t="str">
        <f>IFERROR(__xludf.DUMMYFUNCTION("""COMPUTED_VALUE"""),"")</f>
        <v/>
      </c>
      <c r="X918" s="22" t="str">
        <f>IFERROR(__xludf.DUMMYFUNCTION("""COMPUTED_VALUE"""),"")</f>
        <v/>
      </c>
      <c r="Y918" s="22" t="str">
        <f>IFERROR(__xludf.DUMMYFUNCTION("""COMPUTED_VALUE"""),"")</f>
        <v/>
      </c>
      <c r="Z918" s="24" t="str">
        <f>IFERROR(__xludf.DUMMYFUNCTION("""COMPUTED_VALUE"""),"")</f>
        <v/>
      </c>
    </row>
    <row r="919">
      <c r="A919" s="5" t="str">
        <f>IFERROR(__xludf.DUMMYFUNCTION("""COMPUTED_VALUE"""),"")</f>
        <v/>
      </c>
      <c r="B919" s="5" t="str">
        <f>IFERROR(__xludf.DUMMYFUNCTION("""COMPUTED_VALUE"""),"76848")</f>
        <v>76848</v>
      </c>
      <c r="C919" s="9">
        <f>IFERROR(__xludf.DUMMYFUNCTION("""COMPUTED_VALUE"""),4.4630000526E10)</f>
        <v>44630000526</v>
      </c>
      <c r="D919" s="87" t="str">
        <f>IFERROR(__xludf.DUMMYFUNCTION("""COMPUTED_VALUE"""),"CL=F")</f>
        <v>CL=F</v>
      </c>
      <c r="E919" s="193">
        <f>IFERROR(__xludf.DUMMYFUNCTION("""COMPUTED_VALUE"""),44630.0)</f>
        <v>44630</v>
      </c>
      <c r="F919" s="5" t="str">
        <f>IFERROR(__xludf.DUMMYFUNCTION("""COMPUTED_VALUE"""),"Stock")</f>
        <v>Stock</v>
      </c>
      <c r="G919" s="5" t="str">
        <f>IFERROR(__xludf.DUMMYFUNCTION("""COMPUTED_VALUE"""),"USD")</f>
        <v>USD</v>
      </c>
      <c r="H919" s="22">
        <f>IFERROR(__xludf.DUMMYFUNCTION("""COMPUTED_VALUE"""),100.0)</f>
        <v>100</v>
      </c>
      <c r="I919" s="194">
        <f>IFERROR(__xludf.DUMMYFUNCTION("""COMPUTED_VALUE"""),7.82295)</f>
        <v>7.82295</v>
      </c>
      <c r="J919" s="23">
        <f>IFERROR(__xludf.DUMMYFUNCTION("""COMPUTED_VALUE"""),106.04)</f>
        <v>106.04</v>
      </c>
      <c r="K919" s="5"/>
      <c r="L919" s="23">
        <f>IFERROR(__xludf.DUMMYFUNCTION("""COMPUTED_VALUE"""),104.31)</f>
        <v>104.31</v>
      </c>
      <c r="M919" s="195" t="str">
        <f>IFERROR(__xludf.DUMMYFUNCTION("""COMPUTED_VALUE"""),"Equity Key Stats")</f>
        <v>Equity Key Stats</v>
      </c>
      <c r="N919" s="5"/>
      <c r="O919" s="5"/>
      <c r="P919" s="142">
        <f>IFERROR(__xludf.DUMMYFUNCTION("""COMPUTED_VALUE"""),-82954.5618)</f>
        <v>-82954.5618</v>
      </c>
      <c r="Q919" s="5"/>
      <c r="R919" s="71">
        <f>IFERROR(__xludf.DUMMYFUNCTION("""COMPUTED_VALUE"""),104.31)</f>
        <v>104.31</v>
      </c>
      <c r="S919" s="142">
        <f>IFERROR(__xludf.DUMMYFUNCTION("""COMPUTED_VALUE"""),81601.19145)</f>
        <v>81601.19145</v>
      </c>
      <c r="T919" s="5">
        <f>IFERROR(__xludf.DUMMYFUNCTION("""COMPUTED_VALUE"""),3.0)</f>
        <v>3</v>
      </c>
      <c r="U919" s="5" t="str">
        <f>IFERROR(__xludf.DUMMYFUNCTION("""COMPUTED_VALUE"""),"")</f>
        <v/>
      </c>
      <c r="V919" s="22" t="str">
        <f>IFERROR(__xludf.DUMMYFUNCTION("""COMPUTED_VALUE"""),"")</f>
        <v/>
      </c>
      <c r="W919" s="9" t="str">
        <f>IFERROR(__xludf.DUMMYFUNCTION("""COMPUTED_VALUE"""),"")</f>
        <v/>
      </c>
      <c r="X919" s="22" t="str">
        <f>IFERROR(__xludf.DUMMYFUNCTION("""COMPUTED_VALUE"""),"")</f>
        <v/>
      </c>
      <c r="Y919" s="22" t="str">
        <f>IFERROR(__xludf.DUMMYFUNCTION("""COMPUTED_VALUE"""),"")</f>
        <v/>
      </c>
      <c r="Z919" s="24" t="str">
        <f>IFERROR(__xludf.DUMMYFUNCTION("""COMPUTED_VALUE"""),"")</f>
        <v/>
      </c>
    </row>
    <row r="920">
      <c r="A920" s="5" t="str">
        <f>IFERROR(__xludf.DUMMYFUNCTION("""COMPUTED_VALUE"""),"")</f>
        <v/>
      </c>
      <c r="B920" s="5" t="str">
        <f>IFERROR(__xludf.DUMMYFUNCTION("""COMPUTED_VALUE"""),"76848")</f>
        <v>76848</v>
      </c>
      <c r="C920" s="9">
        <f>IFERROR(__xludf.DUMMYFUNCTION("""COMPUTED_VALUE"""),4.4630000527E10)</f>
        <v>44630000527</v>
      </c>
      <c r="D920" s="87" t="str">
        <f>IFERROR(__xludf.DUMMYFUNCTION("""COMPUTED_VALUE"""),"AAPL")</f>
        <v>AAPL</v>
      </c>
      <c r="E920" s="193">
        <f>IFERROR(__xludf.DUMMYFUNCTION("""COMPUTED_VALUE"""),44630.0)</f>
        <v>44630</v>
      </c>
      <c r="F920" s="5" t="str">
        <f>IFERROR(__xludf.DUMMYFUNCTION("""COMPUTED_VALUE"""),"Stock")</f>
        <v>Stock</v>
      </c>
      <c r="G920" s="5" t="str">
        <f>IFERROR(__xludf.DUMMYFUNCTION("""COMPUTED_VALUE"""),"USD")</f>
        <v>USD</v>
      </c>
      <c r="H920" s="22">
        <f>IFERROR(__xludf.DUMMYFUNCTION("""COMPUTED_VALUE"""),20.0)</f>
        <v>20</v>
      </c>
      <c r="I920" s="194">
        <f>IFERROR(__xludf.DUMMYFUNCTION("""COMPUTED_VALUE"""),7.82295)</f>
        <v>7.82295</v>
      </c>
      <c r="J920" s="23">
        <f>IFERROR(__xludf.DUMMYFUNCTION("""COMPUTED_VALUE"""),162.95)</f>
        <v>162.95</v>
      </c>
      <c r="K920" s="5"/>
      <c r="L920" s="23">
        <f>IFERROR(__xludf.DUMMYFUNCTION("""COMPUTED_VALUE"""),170.4)</f>
        <v>170.4</v>
      </c>
      <c r="M920" s="195" t="str">
        <f>IFERROR(__xludf.DUMMYFUNCTION("""COMPUTED_VALUE"""),"Equity Key Stats")</f>
        <v>Equity Key Stats</v>
      </c>
      <c r="N920" s="5"/>
      <c r="O920" s="5"/>
      <c r="P920" s="142">
        <f>IFERROR(__xludf.DUMMYFUNCTION("""COMPUTED_VALUE"""),-25494.994049999998)</f>
        <v>-25494.99405</v>
      </c>
      <c r="Q920" s="5"/>
      <c r="R920" s="71">
        <f>IFERROR(__xludf.DUMMYFUNCTION("""COMPUTED_VALUE"""),170.4)</f>
        <v>170.4</v>
      </c>
      <c r="S920" s="142">
        <f>IFERROR(__xludf.DUMMYFUNCTION("""COMPUTED_VALUE"""),26660.6136)</f>
        <v>26660.6136</v>
      </c>
      <c r="T920" s="5">
        <f>IFERROR(__xludf.DUMMYFUNCTION("""COMPUTED_VALUE"""),2.0)</f>
        <v>2</v>
      </c>
      <c r="U920" s="5" t="str">
        <f>IFERROR(__xludf.DUMMYFUNCTION("""COMPUTED_VALUE"""),"")</f>
        <v/>
      </c>
      <c r="V920" s="22" t="str">
        <f>IFERROR(__xludf.DUMMYFUNCTION("""COMPUTED_VALUE"""),"")</f>
        <v/>
      </c>
      <c r="W920" s="9" t="str">
        <f>IFERROR(__xludf.DUMMYFUNCTION("""COMPUTED_VALUE"""),"")</f>
        <v/>
      </c>
      <c r="X920" s="22" t="str">
        <f>IFERROR(__xludf.DUMMYFUNCTION("""COMPUTED_VALUE"""),"")</f>
        <v/>
      </c>
      <c r="Y920" s="22" t="str">
        <f>IFERROR(__xludf.DUMMYFUNCTION("""COMPUTED_VALUE"""),"")</f>
        <v/>
      </c>
      <c r="Z920" s="24" t="str">
        <f>IFERROR(__xludf.DUMMYFUNCTION("""COMPUTED_VALUE"""),"")</f>
        <v/>
      </c>
    </row>
    <row r="921">
      <c r="A921" s="5" t="str">
        <f>IFERROR(__xludf.DUMMYFUNCTION("""COMPUTED_VALUE"""),"")</f>
        <v/>
      </c>
      <c r="B921" s="5" t="str">
        <f>IFERROR(__xludf.DUMMYFUNCTION("""COMPUTED_VALUE"""),"76848")</f>
        <v>76848</v>
      </c>
      <c r="C921" s="9">
        <f>IFERROR(__xludf.DUMMYFUNCTION("""COMPUTED_VALUE"""),4.4635000616E10)</f>
        <v>44635000616</v>
      </c>
      <c r="D921" s="87" t="str">
        <f>IFERROR(__xludf.DUMMYFUNCTION("""COMPUTED_VALUE"""),"CL=F")</f>
        <v>CL=F</v>
      </c>
      <c r="E921" s="193">
        <f>IFERROR(__xludf.DUMMYFUNCTION("""COMPUTED_VALUE"""),44635.0)</f>
        <v>44635</v>
      </c>
      <c r="F921" s="5" t="str">
        <f>IFERROR(__xludf.DUMMYFUNCTION("""COMPUTED_VALUE"""),"Stock")</f>
        <v>Stock</v>
      </c>
      <c r="G921" s="5" t="str">
        <f>IFERROR(__xludf.DUMMYFUNCTION("""COMPUTED_VALUE"""),"USD")</f>
        <v>USD</v>
      </c>
      <c r="H921" s="22">
        <f>IFERROR(__xludf.DUMMYFUNCTION("""COMPUTED_VALUE"""),-200.0)</f>
        <v>-200</v>
      </c>
      <c r="I921" s="194">
        <f>IFERROR(__xludf.DUMMYFUNCTION("""COMPUTED_VALUE"""),7.82695)</f>
        <v>7.82695</v>
      </c>
      <c r="J921" s="23">
        <f>IFERROR(__xludf.DUMMYFUNCTION("""COMPUTED_VALUE"""),96.13)</f>
        <v>96.13</v>
      </c>
      <c r="K921" s="5"/>
      <c r="L921" s="23">
        <f>IFERROR(__xludf.DUMMYFUNCTION("""COMPUTED_VALUE"""),104.31)</f>
        <v>104.31</v>
      </c>
      <c r="M921" s="195" t="str">
        <f>IFERROR(__xludf.DUMMYFUNCTION("""COMPUTED_VALUE"""),"Equity Key Stats")</f>
        <v>Equity Key Stats</v>
      </c>
      <c r="N921" s="5"/>
      <c r="O921" s="5"/>
      <c r="P921" s="142">
        <f>IFERROR(__xludf.DUMMYFUNCTION("""COMPUTED_VALUE"""),150480.9407)</f>
        <v>150480.9407</v>
      </c>
      <c r="Q921" s="5"/>
      <c r="R921" s="71">
        <f>IFERROR(__xludf.DUMMYFUNCTION("""COMPUTED_VALUE"""),104.31)</f>
        <v>104.31</v>
      </c>
      <c r="S921" s="142">
        <f>IFERROR(__xludf.DUMMYFUNCTION("""COMPUTED_VALUE"""),-163285.8309)</f>
        <v>-163285.8309</v>
      </c>
      <c r="T921" s="5">
        <f>IFERROR(__xludf.DUMMYFUNCTION("""COMPUTED_VALUE"""),3.0)</f>
        <v>3</v>
      </c>
      <c r="U921" s="5">
        <f>IFERROR(__xludf.DUMMYFUNCTION("""COMPUTED_VALUE"""),1.0)</f>
        <v>1</v>
      </c>
      <c r="V921" s="22">
        <f>IFERROR(__xludf.DUMMYFUNCTION("""COMPUTED_VALUE"""),-5179.348049999971)</f>
        <v>-5179.34805</v>
      </c>
      <c r="W921" s="9" t="str">
        <f>IFERROR(__xludf.DUMMYFUNCTION("""COMPUTED_VALUE"""),"")</f>
        <v/>
      </c>
      <c r="X921" s="22" t="str">
        <f>IFERROR(__xludf.DUMMYFUNCTION("""COMPUTED_VALUE"""),"")</f>
        <v/>
      </c>
      <c r="Y921" s="22" t="str">
        <f>IFERROR(__xludf.DUMMYFUNCTION("""COMPUTED_VALUE"""),"")</f>
        <v/>
      </c>
      <c r="Z921" s="24" t="str">
        <f>IFERROR(__xludf.DUMMYFUNCTION("""COMPUTED_VALUE"""),"")</f>
        <v/>
      </c>
    </row>
    <row r="922">
      <c r="A922" s="5" t="str">
        <f>IFERROR(__xludf.DUMMYFUNCTION("""COMPUTED_VALUE"""),"")</f>
        <v/>
      </c>
      <c r="B922" s="5" t="str">
        <f>IFERROR(__xludf.DUMMYFUNCTION("""COMPUTED_VALUE"""),"76848")</f>
        <v>76848</v>
      </c>
      <c r="C922" s="9">
        <f>IFERROR(__xludf.DUMMYFUNCTION("""COMPUTED_VALUE"""),4.4635000623E10)</f>
        <v>44635000623</v>
      </c>
      <c r="D922" s="87" t="str">
        <f>IFERROR(__xludf.DUMMYFUNCTION("""COMPUTED_VALUE"""),"IXHL")</f>
        <v>IXHL</v>
      </c>
      <c r="E922" s="193">
        <f>IFERROR(__xludf.DUMMYFUNCTION("""COMPUTED_VALUE"""),44635.0)</f>
        <v>44635</v>
      </c>
      <c r="F922" s="5" t="str">
        <f>IFERROR(__xludf.DUMMYFUNCTION("""COMPUTED_VALUE"""),"Stock")</f>
        <v>Stock</v>
      </c>
      <c r="G922" s="5" t="str">
        <f>IFERROR(__xludf.DUMMYFUNCTION("""COMPUTED_VALUE"""),"USD")</f>
        <v>USD</v>
      </c>
      <c r="H922" s="22">
        <f>IFERROR(__xludf.DUMMYFUNCTION("""COMPUTED_VALUE"""),0.0)</f>
        <v>0</v>
      </c>
      <c r="I922" s="194">
        <f>IFERROR(__xludf.DUMMYFUNCTION("""COMPUTED_VALUE"""),7.82695)</f>
        <v>7.82695</v>
      </c>
      <c r="J922" s="23">
        <f>IFERROR(__xludf.DUMMYFUNCTION("""COMPUTED_VALUE"""),0.0)</f>
        <v>0</v>
      </c>
      <c r="K922" s="5"/>
      <c r="L922" s="23">
        <f>IFERROR(__xludf.DUMMYFUNCTION("""COMPUTED_VALUE"""),8.27)</f>
        <v>8.27</v>
      </c>
      <c r="M922" s="195" t="str">
        <f>IFERROR(__xludf.DUMMYFUNCTION("""COMPUTED_VALUE"""),"Equity Key Stats")</f>
        <v>Equity Key Stats</v>
      </c>
      <c r="N922" s="5"/>
      <c r="O922" s="5"/>
      <c r="P922" s="142">
        <f>IFERROR(__xludf.DUMMYFUNCTION("""COMPUTED_VALUE"""),0.0)</f>
        <v>0</v>
      </c>
      <c r="Q922" s="5"/>
      <c r="R922" s="71">
        <f>IFERROR(__xludf.DUMMYFUNCTION("""COMPUTED_VALUE"""),8.27)</f>
        <v>8.27</v>
      </c>
      <c r="S922" s="142">
        <f>IFERROR(__xludf.DUMMYFUNCTION("""COMPUTED_VALUE"""),0.0)</f>
        <v>0</v>
      </c>
      <c r="T922" s="5">
        <f>IFERROR(__xludf.DUMMYFUNCTION("""COMPUTED_VALUE"""),2.0)</f>
        <v>2</v>
      </c>
      <c r="U922" s="5" t="str">
        <f>IFERROR(__xludf.DUMMYFUNCTION("""COMPUTED_VALUE"""),"")</f>
        <v/>
      </c>
      <c r="V922" s="22" t="str">
        <f>IFERROR(__xludf.DUMMYFUNCTION("""COMPUTED_VALUE"""),"")</f>
        <v/>
      </c>
      <c r="W922" s="9" t="str">
        <f>IFERROR(__xludf.DUMMYFUNCTION("""COMPUTED_VALUE"""),"")</f>
        <v/>
      </c>
      <c r="X922" s="22" t="str">
        <f>IFERROR(__xludf.DUMMYFUNCTION("""COMPUTED_VALUE"""),"")</f>
        <v/>
      </c>
      <c r="Y922" s="22" t="str">
        <f>IFERROR(__xludf.DUMMYFUNCTION("""COMPUTED_VALUE"""),"")</f>
        <v/>
      </c>
      <c r="Z922" s="24" t="str">
        <f>IFERROR(__xludf.DUMMYFUNCTION("""COMPUTED_VALUE"""),"")</f>
        <v/>
      </c>
    </row>
    <row r="923">
      <c r="A923" s="5" t="str">
        <f>IFERROR(__xludf.DUMMYFUNCTION("""COMPUTED_VALUE"""),"")</f>
        <v/>
      </c>
      <c r="B923" s="5" t="str">
        <f>IFERROR(__xludf.DUMMYFUNCTION("""COMPUTED_VALUE"""),"76848")</f>
        <v>76848</v>
      </c>
      <c r="C923" s="9">
        <f>IFERROR(__xludf.DUMMYFUNCTION("""COMPUTED_VALUE"""),4.4636000621E10)</f>
        <v>44636000621</v>
      </c>
      <c r="D923" s="90" t="str">
        <f>IFERROR(__xludf.DUMMYFUNCTION("""COMPUTED_VALUE"""),"1398.HK")</f>
        <v>1398.HK</v>
      </c>
      <c r="E923" s="193">
        <f>IFERROR(__xludf.DUMMYFUNCTION("""COMPUTED_VALUE"""),44636.0)</f>
        <v>44636</v>
      </c>
      <c r="F923" s="5" t="str">
        <f>IFERROR(__xludf.DUMMYFUNCTION("""COMPUTED_VALUE"""),"Stock")</f>
        <v>Stock</v>
      </c>
      <c r="G923" s="5" t="str">
        <f>IFERROR(__xludf.DUMMYFUNCTION("""COMPUTED_VALUE"""),"HKD")</f>
        <v>HKD</v>
      </c>
      <c r="H923" s="22">
        <f>IFERROR(__xludf.DUMMYFUNCTION("""COMPUTED_VALUE"""),0.0)</f>
        <v>0</v>
      </c>
      <c r="I923" s="194">
        <f>IFERROR(__xludf.DUMMYFUNCTION("""COMPUTED_VALUE"""),1.0)</f>
        <v>1</v>
      </c>
      <c r="J923" s="23">
        <f>IFERROR(__xludf.DUMMYFUNCTION("""COMPUTED_VALUE"""),0.0)</f>
        <v>0</v>
      </c>
      <c r="K923" s="5"/>
      <c r="L923" s="23">
        <f>IFERROR(__xludf.DUMMYFUNCTION("""COMPUTED_VALUE"""),4.75)</f>
        <v>4.75</v>
      </c>
      <c r="M923" s="195" t="str">
        <f>IFERROR(__xludf.DUMMYFUNCTION("""COMPUTED_VALUE"""),"Equity Key Stats")</f>
        <v>Equity Key Stats</v>
      </c>
      <c r="N923" s="5"/>
      <c r="O923" s="5"/>
      <c r="P923" s="142">
        <f>IFERROR(__xludf.DUMMYFUNCTION("""COMPUTED_VALUE"""),0.0)</f>
        <v>0</v>
      </c>
      <c r="Q923" s="5"/>
      <c r="R923" s="71">
        <f>IFERROR(__xludf.DUMMYFUNCTION("""COMPUTED_VALUE"""),4.75)</f>
        <v>4.75</v>
      </c>
      <c r="S923" s="142">
        <f>IFERROR(__xludf.DUMMYFUNCTION("""COMPUTED_VALUE"""),0.0)</f>
        <v>0</v>
      </c>
      <c r="T923" s="5">
        <f>IFERROR(__xludf.DUMMYFUNCTION("""COMPUTED_VALUE"""),3.0)</f>
        <v>3</v>
      </c>
      <c r="U923" s="5">
        <f>IFERROR(__xludf.DUMMYFUNCTION("""COMPUTED_VALUE"""),1.0)</f>
        <v>1</v>
      </c>
      <c r="V923" s="22">
        <f>IFERROR(__xludf.DUMMYFUNCTION("""COMPUTED_VALUE"""),80.0)</f>
        <v>80</v>
      </c>
      <c r="W923" s="9" t="str">
        <f>IFERROR(__xludf.DUMMYFUNCTION("""COMPUTED_VALUE"""),"")</f>
        <v/>
      </c>
      <c r="X923" s="22" t="str">
        <f>IFERROR(__xludf.DUMMYFUNCTION("""COMPUTED_VALUE"""),"")</f>
        <v/>
      </c>
      <c r="Y923" s="22" t="str">
        <f>IFERROR(__xludf.DUMMYFUNCTION("""COMPUTED_VALUE"""),"")</f>
        <v/>
      </c>
      <c r="Z923" s="24" t="str">
        <f>IFERROR(__xludf.DUMMYFUNCTION("""COMPUTED_VALUE"""),"")</f>
        <v/>
      </c>
    </row>
    <row r="924">
      <c r="A924" s="5" t="str">
        <f>IFERROR(__xludf.DUMMYFUNCTION("""COMPUTED_VALUE"""),"")</f>
        <v/>
      </c>
      <c r="B924" s="5" t="str">
        <f>IFERROR(__xludf.DUMMYFUNCTION("""COMPUTED_VALUE"""),"76848")</f>
        <v>76848</v>
      </c>
      <c r="C924" s="9">
        <f>IFERROR(__xludf.DUMMYFUNCTION("""COMPUTED_VALUE"""),4.463700068E10)</f>
        <v>44637000680</v>
      </c>
      <c r="D924" s="87" t="str">
        <f>IFERROR(__xludf.DUMMYFUNCTION("""COMPUTED_VALUE"""),"IXHL")</f>
        <v>IXHL</v>
      </c>
      <c r="E924" s="193">
        <f>IFERROR(__xludf.DUMMYFUNCTION("""COMPUTED_VALUE"""),44637.0)</f>
        <v>44637</v>
      </c>
      <c r="F924" s="5" t="str">
        <f>IFERROR(__xludf.DUMMYFUNCTION("""COMPUTED_VALUE"""),"Stock")</f>
        <v>Stock</v>
      </c>
      <c r="G924" s="5" t="str">
        <f>IFERROR(__xludf.DUMMYFUNCTION("""COMPUTED_VALUE"""),"USD")</f>
        <v>USD</v>
      </c>
      <c r="H924" s="22">
        <f>IFERROR(__xludf.DUMMYFUNCTION("""COMPUTED_VALUE"""),0.0)</f>
        <v>0</v>
      </c>
      <c r="I924" s="194">
        <f>IFERROR(__xludf.DUMMYFUNCTION("""COMPUTED_VALUE"""),7.81854)</f>
        <v>7.81854</v>
      </c>
      <c r="J924" s="23">
        <f>IFERROR(__xludf.DUMMYFUNCTION("""COMPUTED_VALUE"""),0.0)</f>
        <v>0</v>
      </c>
      <c r="K924" s="5"/>
      <c r="L924" s="23">
        <f>IFERROR(__xludf.DUMMYFUNCTION("""COMPUTED_VALUE"""),8.27)</f>
        <v>8.27</v>
      </c>
      <c r="M924" s="195" t="str">
        <f>IFERROR(__xludf.DUMMYFUNCTION("""COMPUTED_VALUE"""),"Equity Key Stats")</f>
        <v>Equity Key Stats</v>
      </c>
      <c r="N924" s="5"/>
      <c r="O924" s="5"/>
      <c r="P924" s="142">
        <f>IFERROR(__xludf.DUMMYFUNCTION("""COMPUTED_VALUE"""),0.0)</f>
        <v>0</v>
      </c>
      <c r="Q924" s="5"/>
      <c r="R924" s="71">
        <f>IFERROR(__xludf.DUMMYFUNCTION("""COMPUTED_VALUE"""),8.27)</f>
        <v>8.27</v>
      </c>
      <c r="S924" s="142">
        <f>IFERROR(__xludf.DUMMYFUNCTION("""COMPUTED_VALUE"""),0.0)</f>
        <v>0</v>
      </c>
      <c r="T924" s="5">
        <f>IFERROR(__xludf.DUMMYFUNCTION("""COMPUTED_VALUE"""),2.0)</f>
        <v>2</v>
      </c>
      <c r="U924" s="5">
        <f>IFERROR(__xludf.DUMMYFUNCTION("""COMPUTED_VALUE"""),1.0)</f>
        <v>1</v>
      </c>
      <c r="V924" s="22">
        <f>IFERROR(__xludf.DUMMYFUNCTION("""COMPUTED_VALUE"""),0.0)</f>
        <v>0</v>
      </c>
      <c r="W924" s="9" t="str">
        <f>IFERROR(__xludf.DUMMYFUNCTION("""COMPUTED_VALUE"""),"")</f>
        <v/>
      </c>
      <c r="X924" s="22" t="str">
        <f>IFERROR(__xludf.DUMMYFUNCTION("""COMPUTED_VALUE"""),"")</f>
        <v/>
      </c>
      <c r="Y924" s="22" t="str">
        <f>IFERROR(__xludf.DUMMYFUNCTION("""COMPUTED_VALUE"""),"")</f>
        <v/>
      </c>
      <c r="Z924" s="24" t="str">
        <f>IFERROR(__xludf.DUMMYFUNCTION("""COMPUTED_VALUE"""),"")</f>
        <v/>
      </c>
    </row>
    <row r="925">
      <c r="A925" s="5" t="str">
        <f>IFERROR(__xludf.DUMMYFUNCTION("""COMPUTED_VALUE"""),"76848")</f>
        <v>76848</v>
      </c>
      <c r="B925" s="5" t="str">
        <f>IFERROR(__xludf.DUMMYFUNCTION("""COMPUTED_VALUE"""),"76848")</f>
        <v>76848</v>
      </c>
      <c r="C925" s="9">
        <f>IFERROR(__xludf.DUMMYFUNCTION("""COMPUTED_VALUE"""),4.4652001079E10)</f>
        <v>44652001079</v>
      </c>
      <c r="D925" s="87" t="str">
        <f>IFERROR(__xludf.DUMMYFUNCTION("""COMPUTED_VALUE"""),"AAPL")</f>
        <v>AAPL</v>
      </c>
      <c r="E925" s="193">
        <f>IFERROR(__xludf.DUMMYFUNCTION("""COMPUTED_VALUE"""),44652.0)</f>
        <v>44652</v>
      </c>
      <c r="F925" s="5" t="str">
        <f>IFERROR(__xludf.DUMMYFUNCTION("""COMPUTED_VALUE"""),"Stock")</f>
        <v>Stock</v>
      </c>
      <c r="G925" s="5" t="str">
        <f>IFERROR(__xludf.DUMMYFUNCTION("""COMPUTED_VALUE"""),"USD")</f>
        <v>USD</v>
      </c>
      <c r="H925" s="22">
        <f>IFERROR(__xludf.DUMMYFUNCTION("""COMPUTED_VALUE"""),0.0)</f>
        <v>0</v>
      </c>
      <c r="I925" s="194">
        <f>IFERROR(__xludf.DUMMYFUNCTION("""COMPUTED_VALUE"""),7.833725)</f>
        <v>7.833725</v>
      </c>
      <c r="J925" s="23">
        <f>IFERROR(__xludf.DUMMYFUNCTION("""COMPUTED_VALUE"""),0.0)</f>
        <v>0</v>
      </c>
      <c r="K925" s="5"/>
      <c r="L925" s="23">
        <f>IFERROR(__xludf.DUMMYFUNCTION("""COMPUTED_VALUE"""),170.4)</f>
        <v>170.4</v>
      </c>
      <c r="M925" s="195" t="str">
        <f>IFERROR(__xludf.DUMMYFUNCTION("""COMPUTED_VALUE"""),"Equity Key Stats")</f>
        <v>Equity Key Stats</v>
      </c>
      <c r="N925" s="5"/>
      <c r="O925" s="5"/>
      <c r="P925" s="142">
        <f>IFERROR(__xludf.DUMMYFUNCTION("""COMPUTED_VALUE"""),0.0)</f>
        <v>0</v>
      </c>
      <c r="Q925" s="5"/>
      <c r="R925" s="71">
        <f>IFERROR(__xludf.DUMMYFUNCTION("""COMPUTED_VALUE"""),170.4)</f>
        <v>170.4</v>
      </c>
      <c r="S925" s="142">
        <f>IFERROR(__xludf.DUMMYFUNCTION("""COMPUTED_VALUE"""),0.0)</f>
        <v>0</v>
      </c>
      <c r="T925" s="5">
        <f>IFERROR(__xludf.DUMMYFUNCTION("""COMPUTED_VALUE"""),2.0)</f>
        <v>2</v>
      </c>
      <c r="U925" s="5">
        <f>IFERROR(__xludf.DUMMYFUNCTION("""COMPUTED_VALUE"""),1.0)</f>
        <v>1</v>
      </c>
      <c r="V925" s="22">
        <f>IFERROR(__xludf.DUMMYFUNCTION("""COMPUTED_VALUE"""),1165.619550000003)</f>
        <v>1165.61955</v>
      </c>
      <c r="W925" s="9">
        <f>IFERROR(__xludf.DUMMYFUNCTION("""COMPUTED_VALUE"""),488676.59330700006)</f>
        <v>488676.5933</v>
      </c>
      <c r="X925" s="22">
        <f>IFERROR(__xludf.DUMMYFUNCTION("""COMPUTED_VALUE"""),409714.76947749994)</f>
        <v>409714.7695</v>
      </c>
      <c r="Y925" s="22">
        <f>IFERROR(__xludf.DUMMYFUNCTION("""COMPUTED_VALUE"""),0.0)</f>
        <v>0</v>
      </c>
      <c r="Z925" s="24">
        <f>IFERROR(__xludf.DUMMYFUNCTION("""COMPUTED_VALUE"""),-0.02264681338599983)</f>
        <v>-0.02264681339</v>
      </c>
    </row>
    <row r="926">
      <c r="A926" s="5" t="str">
        <f>IFERROR(__xludf.DUMMYFUNCTION("""COMPUTED_VALUE"""),"76937")</f>
        <v>76937</v>
      </c>
      <c r="B926" s="5" t="str">
        <f>IFERROR(__xludf.DUMMYFUNCTION("""COMPUTED_VALUE"""),"76937")</f>
        <v>76937</v>
      </c>
      <c r="C926" s="9">
        <f>IFERROR(__xludf.DUMMYFUNCTION("""COMPUTED_VALUE"""),4.4597000041E10)</f>
        <v>44597000041</v>
      </c>
      <c r="D926" s="85" t="str">
        <f>IFERROR(__xludf.DUMMYFUNCTION("""COMPUTED_VALUE"""),"Cash")</f>
        <v>Cash</v>
      </c>
      <c r="E926" s="193">
        <f>IFERROR(__xludf.DUMMYFUNCTION("""COMPUTED_VALUE"""),44597.0)</f>
        <v>44597</v>
      </c>
      <c r="F926" s="5" t="str">
        <f>IFERROR(__xludf.DUMMYFUNCTION("""COMPUTED_VALUE"""),"Cash")</f>
        <v>Cash</v>
      </c>
      <c r="G926" s="5" t="str">
        <f>IFERROR(__xludf.DUMMYFUNCTION("""COMPUTED_VALUE"""),"HKD")</f>
        <v>HKD</v>
      </c>
      <c r="H926" s="22" t="str">
        <f>IFERROR(__xludf.DUMMYFUNCTION("""COMPUTED_VALUE"""),"")</f>
        <v/>
      </c>
      <c r="I926" s="194">
        <f>IFERROR(__xludf.DUMMYFUNCTION("""COMPUTED_VALUE"""),1.0)</f>
        <v>1</v>
      </c>
      <c r="J926" s="5">
        <f>IFERROR(__xludf.DUMMYFUNCTION("""COMPUTED_VALUE"""),1.0)</f>
        <v>1</v>
      </c>
      <c r="K926" s="5"/>
      <c r="L926" s="23">
        <f>IFERROR(__xludf.DUMMYFUNCTION("""COMPUTED_VALUE"""),1.0)</f>
        <v>1</v>
      </c>
      <c r="M926" s="25" t="str">
        <f>IFERROR(__xludf.DUMMYFUNCTION("""COMPUTED_VALUE"""),"")</f>
        <v/>
      </c>
      <c r="N926" s="5"/>
      <c r="O926" s="5"/>
      <c r="P926" s="142">
        <f>IFERROR(__xludf.DUMMYFUNCTION("""COMPUTED_VALUE"""),500000.0)</f>
        <v>500000</v>
      </c>
      <c r="Q926" s="5"/>
      <c r="R926" s="71">
        <f>IFERROR(__xludf.DUMMYFUNCTION("""COMPUTED_VALUE"""),1.0)</f>
        <v>1</v>
      </c>
      <c r="S926" s="142" t="str">
        <f>IFERROR(__xludf.DUMMYFUNCTION("""COMPUTED_VALUE"""),"")</f>
        <v/>
      </c>
      <c r="T926" s="5">
        <f>IFERROR(__xludf.DUMMYFUNCTION("""COMPUTED_VALUE"""),1.0)</f>
        <v>1</v>
      </c>
      <c r="U926" s="5">
        <f>IFERROR(__xludf.DUMMYFUNCTION("""COMPUTED_VALUE"""),1.0)</f>
        <v>1</v>
      </c>
      <c r="V926" s="22">
        <f>IFERROR(__xludf.DUMMYFUNCTION("""COMPUTED_VALUE"""),500000.0)</f>
        <v>500000</v>
      </c>
      <c r="W926" s="9">
        <f>IFERROR(__xludf.DUMMYFUNCTION("""COMPUTED_VALUE"""),500000.0)</f>
        <v>500000</v>
      </c>
      <c r="X926" s="22">
        <f>IFERROR(__xludf.DUMMYFUNCTION("""COMPUTED_VALUE"""),500000.0)</f>
        <v>500000</v>
      </c>
      <c r="Y926" s="22">
        <f>IFERROR(__xludf.DUMMYFUNCTION("""COMPUTED_VALUE"""),0.0)</f>
        <v>0</v>
      </c>
      <c r="Z926" s="24">
        <f>IFERROR(__xludf.DUMMYFUNCTION("""COMPUTED_VALUE"""),0.0)</f>
        <v>0</v>
      </c>
    </row>
    <row r="927">
      <c r="A927" s="5" t="str">
        <f>IFERROR(__xludf.DUMMYFUNCTION("""COMPUTED_VALUE"""),"76938")</f>
        <v>76938</v>
      </c>
      <c r="B927" s="5" t="str">
        <f>IFERROR(__xludf.DUMMYFUNCTION("""COMPUTED_VALUE"""),"76938")</f>
        <v>76938</v>
      </c>
      <c r="C927" s="9">
        <f>IFERROR(__xludf.DUMMYFUNCTION("""COMPUTED_VALUE"""),4.4597000103E10)</f>
        <v>44597000103</v>
      </c>
      <c r="D927" s="85" t="str">
        <f>IFERROR(__xludf.DUMMYFUNCTION("""COMPUTED_VALUE"""),"Cash")</f>
        <v>Cash</v>
      </c>
      <c r="E927" s="193">
        <f>IFERROR(__xludf.DUMMYFUNCTION("""COMPUTED_VALUE"""),44597.0)</f>
        <v>44597</v>
      </c>
      <c r="F927" s="5" t="str">
        <f>IFERROR(__xludf.DUMMYFUNCTION("""COMPUTED_VALUE"""),"Cash")</f>
        <v>Cash</v>
      </c>
      <c r="G927" s="5" t="str">
        <f>IFERROR(__xludf.DUMMYFUNCTION("""COMPUTED_VALUE"""),"HKD")</f>
        <v>HKD</v>
      </c>
      <c r="H927" s="22" t="str">
        <f>IFERROR(__xludf.DUMMYFUNCTION("""COMPUTED_VALUE"""),"")</f>
        <v/>
      </c>
      <c r="I927" s="194">
        <f>IFERROR(__xludf.DUMMYFUNCTION("""COMPUTED_VALUE"""),1.0)</f>
        <v>1</v>
      </c>
      <c r="J927" s="5">
        <f>IFERROR(__xludf.DUMMYFUNCTION("""COMPUTED_VALUE"""),1.0)</f>
        <v>1</v>
      </c>
      <c r="K927" s="5"/>
      <c r="L927" s="23">
        <f>IFERROR(__xludf.DUMMYFUNCTION("""COMPUTED_VALUE"""),1.0)</f>
        <v>1</v>
      </c>
      <c r="M927" s="25" t="str">
        <f>IFERROR(__xludf.DUMMYFUNCTION("""COMPUTED_VALUE"""),"")</f>
        <v/>
      </c>
      <c r="N927" s="5"/>
      <c r="O927" s="5"/>
      <c r="P927" s="142">
        <f>IFERROR(__xludf.DUMMYFUNCTION("""COMPUTED_VALUE"""),500000.0)</f>
        <v>500000</v>
      </c>
      <c r="Q927" s="5"/>
      <c r="R927" s="71">
        <f>IFERROR(__xludf.DUMMYFUNCTION("""COMPUTED_VALUE"""),1.0)</f>
        <v>1</v>
      </c>
      <c r="S927" s="142" t="str">
        <f>IFERROR(__xludf.DUMMYFUNCTION("""COMPUTED_VALUE"""),"")</f>
        <v/>
      </c>
      <c r="T927" s="5">
        <f>IFERROR(__xludf.DUMMYFUNCTION("""COMPUTED_VALUE"""),1.0)</f>
        <v>1</v>
      </c>
      <c r="U927" s="5">
        <f>IFERROR(__xludf.DUMMYFUNCTION("""COMPUTED_VALUE"""),1.0)</f>
        <v>1</v>
      </c>
      <c r="V927" s="22">
        <f>IFERROR(__xludf.DUMMYFUNCTION("""COMPUTED_VALUE"""),500000.0)</f>
        <v>500000</v>
      </c>
      <c r="W927" s="9">
        <f>IFERROR(__xludf.DUMMYFUNCTION("""COMPUTED_VALUE"""),500000.0)</f>
        <v>500000</v>
      </c>
      <c r="X927" s="22">
        <f>IFERROR(__xludf.DUMMYFUNCTION("""COMPUTED_VALUE"""),500000.0)</f>
        <v>500000</v>
      </c>
      <c r="Y927" s="22">
        <f>IFERROR(__xludf.DUMMYFUNCTION("""COMPUTED_VALUE"""),0.0)</f>
        <v>0</v>
      </c>
      <c r="Z927" s="24">
        <f>IFERROR(__xludf.DUMMYFUNCTION("""COMPUTED_VALUE"""),0.0)</f>
        <v>0</v>
      </c>
    </row>
    <row r="928">
      <c r="A928" s="5" t="str">
        <f>IFERROR(__xludf.DUMMYFUNCTION("""COMPUTED_VALUE"""),"")</f>
        <v/>
      </c>
      <c r="B928" s="5" t="str">
        <f>IFERROR(__xludf.DUMMYFUNCTION("""COMPUTED_VALUE"""),"76975")</f>
        <v>76975</v>
      </c>
      <c r="C928" s="9">
        <f>IFERROR(__xludf.DUMMYFUNCTION("""COMPUTED_VALUE"""),4.4597000075E10)</f>
        <v>44597000075</v>
      </c>
      <c r="D928" s="85" t="str">
        <f>IFERROR(__xludf.DUMMYFUNCTION("""COMPUTED_VALUE"""),"Cash")</f>
        <v>Cash</v>
      </c>
      <c r="E928" s="193">
        <f>IFERROR(__xludf.DUMMYFUNCTION("""COMPUTED_VALUE"""),44597.0)</f>
        <v>44597</v>
      </c>
      <c r="F928" s="5" t="str">
        <f>IFERROR(__xludf.DUMMYFUNCTION("""COMPUTED_VALUE"""),"Cash")</f>
        <v>Cash</v>
      </c>
      <c r="G928" s="5" t="str">
        <f>IFERROR(__xludf.DUMMYFUNCTION("""COMPUTED_VALUE"""),"HKD")</f>
        <v>HKD</v>
      </c>
      <c r="H928" s="22" t="str">
        <f>IFERROR(__xludf.DUMMYFUNCTION("""COMPUTED_VALUE"""),"")</f>
        <v/>
      </c>
      <c r="I928" s="194">
        <f>IFERROR(__xludf.DUMMYFUNCTION("""COMPUTED_VALUE"""),1.0)</f>
        <v>1</v>
      </c>
      <c r="J928" s="5">
        <f>IFERROR(__xludf.DUMMYFUNCTION("""COMPUTED_VALUE"""),1.0)</f>
        <v>1</v>
      </c>
      <c r="K928" s="5"/>
      <c r="L928" s="23">
        <f>IFERROR(__xludf.DUMMYFUNCTION("""COMPUTED_VALUE"""),1.0)</f>
        <v>1</v>
      </c>
      <c r="M928" s="25" t="str">
        <f>IFERROR(__xludf.DUMMYFUNCTION("""COMPUTED_VALUE"""),"")</f>
        <v/>
      </c>
      <c r="N928" s="5"/>
      <c r="O928" s="5"/>
      <c r="P928" s="142">
        <f>IFERROR(__xludf.DUMMYFUNCTION("""COMPUTED_VALUE"""),500000.0)</f>
        <v>500000</v>
      </c>
      <c r="Q928" s="5"/>
      <c r="R928" s="71">
        <f>IFERROR(__xludf.DUMMYFUNCTION("""COMPUTED_VALUE"""),1.0)</f>
        <v>1</v>
      </c>
      <c r="S928" s="142" t="str">
        <f>IFERROR(__xludf.DUMMYFUNCTION("""COMPUTED_VALUE"""),"")</f>
        <v/>
      </c>
      <c r="T928" s="5">
        <f>IFERROR(__xludf.DUMMYFUNCTION("""COMPUTED_VALUE"""),1.0)</f>
        <v>1</v>
      </c>
      <c r="U928" s="5">
        <f>IFERROR(__xludf.DUMMYFUNCTION("""COMPUTED_VALUE"""),1.0)</f>
        <v>1</v>
      </c>
      <c r="V928" s="22">
        <f>IFERROR(__xludf.DUMMYFUNCTION("""COMPUTED_VALUE"""),500000.0)</f>
        <v>500000</v>
      </c>
      <c r="W928" s="9" t="str">
        <f>IFERROR(__xludf.DUMMYFUNCTION("""COMPUTED_VALUE"""),"")</f>
        <v/>
      </c>
      <c r="X928" s="22" t="str">
        <f>IFERROR(__xludf.DUMMYFUNCTION("""COMPUTED_VALUE"""),"")</f>
        <v/>
      </c>
      <c r="Y928" s="22" t="str">
        <f>IFERROR(__xludf.DUMMYFUNCTION("""COMPUTED_VALUE"""),"")</f>
        <v/>
      </c>
      <c r="Z928" s="24" t="str">
        <f>IFERROR(__xludf.DUMMYFUNCTION("""COMPUTED_VALUE"""),"")</f>
        <v/>
      </c>
    </row>
    <row r="929">
      <c r="A929" s="5" t="str">
        <f>IFERROR(__xludf.DUMMYFUNCTION("""COMPUTED_VALUE"""),"")</f>
        <v/>
      </c>
      <c r="B929" s="5" t="str">
        <f>IFERROR(__xludf.DUMMYFUNCTION("""COMPUTED_VALUE"""),"76975")</f>
        <v>76975</v>
      </c>
      <c r="C929" s="9">
        <f>IFERROR(__xludf.DUMMYFUNCTION("""COMPUTED_VALUE"""),4.4601000148E10)</f>
        <v>44601000148</v>
      </c>
      <c r="D929" s="87" t="str">
        <f>IFERROR(__xludf.DUMMYFUNCTION("""COMPUTED_VALUE"""),"JD")</f>
        <v>JD</v>
      </c>
      <c r="E929" s="193">
        <f>IFERROR(__xludf.DUMMYFUNCTION("""COMPUTED_VALUE"""),44601.0)</f>
        <v>44601</v>
      </c>
      <c r="F929" s="5" t="str">
        <f>IFERROR(__xludf.DUMMYFUNCTION("""COMPUTED_VALUE"""),"Stock")</f>
        <v>Stock</v>
      </c>
      <c r="G929" s="5" t="str">
        <f>IFERROR(__xludf.DUMMYFUNCTION("""COMPUTED_VALUE"""),"USD")</f>
        <v>USD</v>
      </c>
      <c r="H929" s="22">
        <f>IFERROR(__xludf.DUMMYFUNCTION("""COMPUTED_VALUE"""),0.0)</f>
        <v>0</v>
      </c>
      <c r="I929" s="194">
        <f>IFERROR(__xludf.DUMMYFUNCTION("""COMPUTED_VALUE"""),7.79135)</f>
        <v>7.79135</v>
      </c>
      <c r="J929" s="23">
        <f>IFERROR(__xludf.DUMMYFUNCTION("""COMPUTED_VALUE"""),0.0)</f>
        <v>0</v>
      </c>
      <c r="K929" s="5"/>
      <c r="L929" s="23">
        <f>IFERROR(__xludf.DUMMYFUNCTION("""COMPUTED_VALUE"""),58.28)</f>
        <v>58.28</v>
      </c>
      <c r="M929" s="195" t="str">
        <f>IFERROR(__xludf.DUMMYFUNCTION("""COMPUTED_VALUE"""),"Equity Key Stats")</f>
        <v>Equity Key Stats</v>
      </c>
      <c r="N929" s="5"/>
      <c r="O929" s="5"/>
      <c r="P929" s="142">
        <f>IFERROR(__xludf.DUMMYFUNCTION("""COMPUTED_VALUE"""),0.0)</f>
        <v>0</v>
      </c>
      <c r="Q929" s="5"/>
      <c r="R929" s="71">
        <f>IFERROR(__xludf.DUMMYFUNCTION("""COMPUTED_VALUE"""),58.28)</f>
        <v>58.28</v>
      </c>
      <c r="S929" s="142">
        <f>IFERROR(__xludf.DUMMYFUNCTION("""COMPUTED_VALUE"""),0.0)</f>
        <v>0</v>
      </c>
      <c r="T929" s="5">
        <f>IFERROR(__xludf.DUMMYFUNCTION("""COMPUTED_VALUE"""),2.0)</f>
        <v>2</v>
      </c>
      <c r="U929" s="5" t="str">
        <f>IFERROR(__xludf.DUMMYFUNCTION("""COMPUTED_VALUE"""),"")</f>
        <v/>
      </c>
      <c r="V929" s="22" t="str">
        <f>IFERROR(__xludf.DUMMYFUNCTION("""COMPUTED_VALUE"""),"")</f>
        <v/>
      </c>
      <c r="W929" s="9" t="str">
        <f>IFERROR(__xludf.DUMMYFUNCTION("""COMPUTED_VALUE"""),"")</f>
        <v/>
      </c>
      <c r="X929" s="22" t="str">
        <f>IFERROR(__xludf.DUMMYFUNCTION("""COMPUTED_VALUE"""),"")</f>
        <v/>
      </c>
      <c r="Y929" s="22" t="str">
        <f>IFERROR(__xludf.DUMMYFUNCTION("""COMPUTED_VALUE"""),"")</f>
        <v/>
      </c>
      <c r="Z929" s="24" t="str">
        <f>IFERROR(__xludf.DUMMYFUNCTION("""COMPUTED_VALUE"""),"")</f>
        <v/>
      </c>
    </row>
    <row r="930">
      <c r="A930" s="5" t="str">
        <f>IFERROR(__xludf.DUMMYFUNCTION("""COMPUTED_VALUE"""),"")</f>
        <v/>
      </c>
      <c r="B930" s="5" t="str">
        <f>IFERROR(__xludf.DUMMYFUNCTION("""COMPUTED_VALUE"""),"76975")</f>
        <v>76975</v>
      </c>
      <c r="C930" s="9">
        <f>IFERROR(__xludf.DUMMYFUNCTION("""COMPUTED_VALUE"""),4.4609000233E10)</f>
        <v>44609000233</v>
      </c>
      <c r="D930" s="90" t="str">
        <f>IFERROR(__xludf.DUMMYFUNCTION("""COMPUTED_VALUE"""),"0700.HK")</f>
        <v>0700.HK</v>
      </c>
      <c r="E930" s="193">
        <f>IFERROR(__xludf.DUMMYFUNCTION("""COMPUTED_VALUE"""),44609.0)</f>
        <v>44609</v>
      </c>
      <c r="F930" s="5" t="str">
        <f>IFERROR(__xludf.DUMMYFUNCTION("""COMPUTED_VALUE"""),"Stock")</f>
        <v>Stock</v>
      </c>
      <c r="G930" s="5" t="str">
        <f>IFERROR(__xludf.DUMMYFUNCTION("""COMPUTED_VALUE"""),"HKD")</f>
        <v>HKD</v>
      </c>
      <c r="H930" s="22">
        <f>IFERROR(__xludf.DUMMYFUNCTION("""COMPUTED_VALUE"""),210.0)</f>
        <v>210</v>
      </c>
      <c r="I930" s="194">
        <f>IFERROR(__xludf.DUMMYFUNCTION("""COMPUTED_VALUE"""),1.0)</f>
        <v>1</v>
      </c>
      <c r="J930" s="23">
        <f>IFERROR(__xludf.DUMMYFUNCTION("""COMPUTED_VALUE"""),479.0)</f>
        <v>479</v>
      </c>
      <c r="K930" s="5"/>
      <c r="L930" s="23">
        <f>IFERROR(__xludf.DUMMYFUNCTION("""COMPUTED_VALUE"""),373.6)</f>
        <v>373.6</v>
      </c>
      <c r="M930" s="195" t="str">
        <f>IFERROR(__xludf.DUMMYFUNCTION("""COMPUTED_VALUE"""),"Equity Key Stats")</f>
        <v>Equity Key Stats</v>
      </c>
      <c r="N930" s="5"/>
      <c r="O930" s="5"/>
      <c r="P930" s="142">
        <f>IFERROR(__xludf.DUMMYFUNCTION("""COMPUTED_VALUE"""),-100590.0)</f>
        <v>-100590</v>
      </c>
      <c r="Q930" s="5"/>
      <c r="R930" s="71">
        <f>IFERROR(__xludf.DUMMYFUNCTION("""COMPUTED_VALUE"""),373.6)</f>
        <v>373.6</v>
      </c>
      <c r="S930" s="142">
        <f>IFERROR(__xludf.DUMMYFUNCTION("""COMPUTED_VALUE"""),78456.0)</f>
        <v>78456</v>
      </c>
      <c r="T930" s="5">
        <f>IFERROR(__xludf.DUMMYFUNCTION("""COMPUTED_VALUE"""),3.0)</f>
        <v>3</v>
      </c>
      <c r="U930" s="5" t="str">
        <f>IFERROR(__xludf.DUMMYFUNCTION("""COMPUTED_VALUE"""),"")</f>
        <v/>
      </c>
      <c r="V930" s="22" t="str">
        <f>IFERROR(__xludf.DUMMYFUNCTION("""COMPUTED_VALUE"""),"")</f>
        <v/>
      </c>
      <c r="W930" s="9" t="str">
        <f>IFERROR(__xludf.DUMMYFUNCTION("""COMPUTED_VALUE"""),"")</f>
        <v/>
      </c>
      <c r="X930" s="22" t="str">
        <f>IFERROR(__xludf.DUMMYFUNCTION("""COMPUTED_VALUE"""),"")</f>
        <v/>
      </c>
      <c r="Y930" s="22" t="str">
        <f>IFERROR(__xludf.DUMMYFUNCTION("""COMPUTED_VALUE"""),"")</f>
        <v/>
      </c>
      <c r="Z930" s="24" t="str">
        <f>IFERROR(__xludf.DUMMYFUNCTION("""COMPUTED_VALUE"""),"")</f>
        <v/>
      </c>
    </row>
    <row r="931">
      <c r="A931" s="5" t="str">
        <f>IFERROR(__xludf.DUMMYFUNCTION("""COMPUTED_VALUE"""),"")</f>
        <v/>
      </c>
      <c r="B931" s="5" t="str">
        <f>IFERROR(__xludf.DUMMYFUNCTION("""COMPUTED_VALUE"""),"76975")</f>
        <v>76975</v>
      </c>
      <c r="C931" s="9">
        <f>IFERROR(__xludf.DUMMYFUNCTION("""COMPUTED_VALUE"""),4.4613000289E10)</f>
        <v>44613000289</v>
      </c>
      <c r="D931" s="90" t="str">
        <f>IFERROR(__xludf.DUMMYFUNCTION("""COMPUTED_VALUE"""),"3690.HK")</f>
        <v>3690.HK</v>
      </c>
      <c r="E931" s="193">
        <f>IFERROR(__xludf.DUMMYFUNCTION("""COMPUTED_VALUE"""),44613.0)</f>
        <v>44613</v>
      </c>
      <c r="F931" s="5" t="str">
        <f>IFERROR(__xludf.DUMMYFUNCTION("""COMPUTED_VALUE"""),"Stock")</f>
        <v>Stock</v>
      </c>
      <c r="G931" s="5" t="str">
        <f>IFERROR(__xludf.DUMMYFUNCTION("""COMPUTED_VALUE"""),"HKD")</f>
        <v>HKD</v>
      </c>
      <c r="H931" s="22">
        <f>IFERROR(__xludf.DUMMYFUNCTION("""COMPUTED_VALUE"""),270.0)</f>
        <v>270</v>
      </c>
      <c r="I931" s="194">
        <f>IFERROR(__xludf.DUMMYFUNCTION("""COMPUTED_VALUE"""),1.0)</f>
        <v>1</v>
      </c>
      <c r="J931" s="23">
        <f>IFERROR(__xludf.DUMMYFUNCTION("""COMPUTED_VALUE"""),180.5)</f>
        <v>180.5</v>
      </c>
      <c r="K931" s="5"/>
      <c r="L931" s="23">
        <f>IFERROR(__xludf.DUMMYFUNCTION("""COMPUTED_VALUE"""),154.1)</f>
        <v>154.1</v>
      </c>
      <c r="M931" s="195" t="str">
        <f>IFERROR(__xludf.DUMMYFUNCTION("""COMPUTED_VALUE"""),"Equity Key Stats")</f>
        <v>Equity Key Stats</v>
      </c>
      <c r="N931" s="5"/>
      <c r="O931" s="5"/>
      <c r="P931" s="142">
        <f>IFERROR(__xludf.DUMMYFUNCTION("""COMPUTED_VALUE"""),-48735.0)</f>
        <v>-48735</v>
      </c>
      <c r="Q931" s="5"/>
      <c r="R931" s="71">
        <f>IFERROR(__xludf.DUMMYFUNCTION("""COMPUTED_VALUE"""),154.1)</f>
        <v>154.1</v>
      </c>
      <c r="S931" s="142">
        <f>IFERROR(__xludf.DUMMYFUNCTION("""COMPUTED_VALUE"""),41607.0)</f>
        <v>41607</v>
      </c>
      <c r="T931" s="5">
        <f>IFERROR(__xludf.DUMMYFUNCTION("""COMPUTED_VALUE"""),1.0)</f>
        <v>1</v>
      </c>
      <c r="U931" s="5">
        <f>IFERROR(__xludf.DUMMYFUNCTION("""COMPUTED_VALUE"""),1.0)</f>
        <v>1</v>
      </c>
      <c r="V931" s="22">
        <f>IFERROR(__xludf.DUMMYFUNCTION("""COMPUTED_VALUE"""),-7128.0)</f>
        <v>-7128</v>
      </c>
      <c r="W931" s="9" t="str">
        <f>IFERROR(__xludf.DUMMYFUNCTION("""COMPUTED_VALUE"""),"")</f>
        <v/>
      </c>
      <c r="X931" s="22" t="str">
        <f>IFERROR(__xludf.DUMMYFUNCTION("""COMPUTED_VALUE"""),"")</f>
        <v/>
      </c>
      <c r="Y931" s="22" t="str">
        <f>IFERROR(__xludf.DUMMYFUNCTION("""COMPUTED_VALUE"""),"")</f>
        <v/>
      </c>
      <c r="Z931" s="24" t="str">
        <f>IFERROR(__xludf.DUMMYFUNCTION("""COMPUTED_VALUE"""),"")</f>
        <v/>
      </c>
    </row>
    <row r="932">
      <c r="A932" s="5" t="str">
        <f>IFERROR(__xludf.DUMMYFUNCTION("""COMPUTED_VALUE"""),"")</f>
        <v/>
      </c>
      <c r="B932" s="5" t="str">
        <f>IFERROR(__xludf.DUMMYFUNCTION("""COMPUTED_VALUE"""),"76975")</f>
        <v>76975</v>
      </c>
      <c r="C932" s="9">
        <f>IFERROR(__xludf.DUMMYFUNCTION("""COMPUTED_VALUE"""),4.4621000395E10)</f>
        <v>44621000395</v>
      </c>
      <c r="D932" s="87" t="str">
        <f>IFERROR(__xludf.DUMMYFUNCTION("""COMPUTED_VALUE"""),"JD")</f>
        <v>JD</v>
      </c>
      <c r="E932" s="193">
        <f>IFERROR(__xludf.DUMMYFUNCTION("""COMPUTED_VALUE"""),44621.0)</f>
        <v>44621</v>
      </c>
      <c r="F932" s="5" t="str">
        <f>IFERROR(__xludf.DUMMYFUNCTION("""COMPUTED_VALUE"""),"Stock")</f>
        <v>Stock</v>
      </c>
      <c r="G932" s="5" t="str">
        <f>IFERROR(__xludf.DUMMYFUNCTION("""COMPUTED_VALUE"""),"USD")</f>
        <v>USD</v>
      </c>
      <c r="H932" s="22">
        <f>IFERROR(__xludf.DUMMYFUNCTION("""COMPUTED_VALUE"""),120.0)</f>
        <v>120</v>
      </c>
      <c r="I932" s="194">
        <f>IFERROR(__xludf.DUMMYFUNCTION("""COMPUTED_VALUE"""),7.815805)</f>
        <v>7.815805</v>
      </c>
      <c r="J932" s="23">
        <f>IFERROR(__xludf.DUMMYFUNCTION("""COMPUTED_VALUE"""),73.3)</f>
        <v>73.3</v>
      </c>
      <c r="K932" s="5"/>
      <c r="L932" s="23">
        <f>IFERROR(__xludf.DUMMYFUNCTION("""COMPUTED_VALUE"""),58.28)</f>
        <v>58.28</v>
      </c>
      <c r="M932" s="195" t="str">
        <f>IFERROR(__xludf.DUMMYFUNCTION("""COMPUTED_VALUE"""),"Equity Key Stats")</f>
        <v>Equity Key Stats</v>
      </c>
      <c r="N932" s="5"/>
      <c r="O932" s="5"/>
      <c r="P932" s="142">
        <f>IFERROR(__xludf.DUMMYFUNCTION("""COMPUTED_VALUE"""),-68747.82078)</f>
        <v>-68747.82078</v>
      </c>
      <c r="Q932" s="5"/>
      <c r="R932" s="71">
        <f>IFERROR(__xludf.DUMMYFUNCTION("""COMPUTED_VALUE"""),58.28)</f>
        <v>58.28</v>
      </c>
      <c r="S932" s="142">
        <f>IFERROR(__xludf.DUMMYFUNCTION("""COMPUTED_VALUE"""),54660.613848)</f>
        <v>54660.61385</v>
      </c>
      <c r="T932" s="5">
        <f>IFERROR(__xludf.DUMMYFUNCTION("""COMPUTED_VALUE"""),2.0)</f>
        <v>2</v>
      </c>
      <c r="U932" s="5">
        <f>IFERROR(__xludf.DUMMYFUNCTION("""COMPUTED_VALUE"""),1.0)</f>
        <v>1</v>
      </c>
      <c r="V932" s="22">
        <f>IFERROR(__xludf.DUMMYFUNCTION("""COMPUTED_VALUE"""),-14087.206931999994)</f>
        <v>-14087.20693</v>
      </c>
      <c r="W932" s="9" t="str">
        <f>IFERROR(__xludf.DUMMYFUNCTION("""COMPUTED_VALUE"""),"")</f>
        <v/>
      </c>
      <c r="X932" s="22" t="str">
        <f>IFERROR(__xludf.DUMMYFUNCTION("""COMPUTED_VALUE"""),"")</f>
        <v/>
      </c>
      <c r="Y932" s="22" t="str">
        <f>IFERROR(__xludf.DUMMYFUNCTION("""COMPUTED_VALUE"""),"")</f>
        <v/>
      </c>
      <c r="Z932" s="24" t="str">
        <f>IFERROR(__xludf.DUMMYFUNCTION("""COMPUTED_VALUE"""),"")</f>
        <v/>
      </c>
    </row>
    <row r="933">
      <c r="A933" s="5" t="str">
        <f>IFERROR(__xludf.DUMMYFUNCTION("""COMPUTED_VALUE"""),"")</f>
        <v/>
      </c>
      <c r="B933" s="5" t="str">
        <f>IFERROR(__xludf.DUMMYFUNCTION("""COMPUTED_VALUE"""),"76975")</f>
        <v>76975</v>
      </c>
      <c r="C933" s="9">
        <f>IFERROR(__xludf.DUMMYFUNCTION("""COMPUTED_VALUE"""),4.4623000404E10)</f>
        <v>44623000404</v>
      </c>
      <c r="D933" s="90" t="str">
        <f>IFERROR(__xludf.DUMMYFUNCTION("""COMPUTED_VALUE"""),"0700.HK")</f>
        <v>0700.HK</v>
      </c>
      <c r="E933" s="193">
        <f>IFERROR(__xludf.DUMMYFUNCTION("""COMPUTED_VALUE"""),44623.0)</f>
        <v>44623</v>
      </c>
      <c r="F933" s="5" t="str">
        <f>IFERROR(__xludf.DUMMYFUNCTION("""COMPUTED_VALUE"""),"Stock")</f>
        <v>Stock</v>
      </c>
      <c r="G933" s="5" t="str">
        <f>IFERROR(__xludf.DUMMYFUNCTION("""COMPUTED_VALUE"""),"HKD")</f>
        <v>HKD</v>
      </c>
      <c r="H933" s="22">
        <f>IFERROR(__xludf.DUMMYFUNCTION("""COMPUTED_VALUE"""),120.0)</f>
        <v>120</v>
      </c>
      <c r="I933" s="194">
        <f>IFERROR(__xludf.DUMMYFUNCTION("""COMPUTED_VALUE"""),1.0)</f>
        <v>1</v>
      </c>
      <c r="J933" s="23">
        <f>IFERROR(__xludf.DUMMYFUNCTION("""COMPUTED_VALUE"""),423.4)</f>
        <v>423.4</v>
      </c>
      <c r="K933" s="5"/>
      <c r="L933" s="23">
        <f>IFERROR(__xludf.DUMMYFUNCTION("""COMPUTED_VALUE"""),373.6)</f>
        <v>373.6</v>
      </c>
      <c r="M933" s="195" t="str">
        <f>IFERROR(__xludf.DUMMYFUNCTION("""COMPUTED_VALUE"""),"Equity Key Stats")</f>
        <v>Equity Key Stats</v>
      </c>
      <c r="N933" s="5"/>
      <c r="O933" s="5"/>
      <c r="P933" s="142">
        <f>IFERROR(__xludf.DUMMYFUNCTION("""COMPUTED_VALUE"""),-50808.0)</f>
        <v>-50808</v>
      </c>
      <c r="Q933" s="5"/>
      <c r="R933" s="71">
        <f>IFERROR(__xludf.DUMMYFUNCTION("""COMPUTED_VALUE"""),373.6)</f>
        <v>373.6</v>
      </c>
      <c r="S933" s="142">
        <f>IFERROR(__xludf.DUMMYFUNCTION("""COMPUTED_VALUE"""),44832.0)</f>
        <v>44832</v>
      </c>
      <c r="T933" s="5">
        <f>IFERROR(__xludf.DUMMYFUNCTION("""COMPUTED_VALUE"""),3.0)</f>
        <v>3</v>
      </c>
      <c r="U933" s="5" t="str">
        <f>IFERROR(__xludf.DUMMYFUNCTION("""COMPUTED_VALUE"""),"")</f>
        <v/>
      </c>
      <c r="V933" s="22" t="str">
        <f>IFERROR(__xludf.DUMMYFUNCTION("""COMPUTED_VALUE"""),"")</f>
        <v/>
      </c>
      <c r="W933" s="9" t="str">
        <f>IFERROR(__xludf.DUMMYFUNCTION("""COMPUTED_VALUE"""),"")</f>
        <v/>
      </c>
      <c r="X933" s="22" t="str">
        <f>IFERROR(__xludf.DUMMYFUNCTION("""COMPUTED_VALUE"""),"")</f>
        <v/>
      </c>
      <c r="Y933" s="22" t="str">
        <f>IFERROR(__xludf.DUMMYFUNCTION("""COMPUTED_VALUE"""),"")</f>
        <v/>
      </c>
      <c r="Z933" s="24" t="str">
        <f>IFERROR(__xludf.DUMMYFUNCTION("""COMPUTED_VALUE"""),"")</f>
        <v/>
      </c>
    </row>
    <row r="934">
      <c r="A934" s="5" t="str">
        <f>IFERROR(__xludf.DUMMYFUNCTION("""COMPUTED_VALUE"""),"76975")</f>
        <v>76975</v>
      </c>
      <c r="B934" s="5" t="str">
        <f>IFERROR(__xludf.DUMMYFUNCTION("""COMPUTED_VALUE"""),"76975")</f>
        <v>76975</v>
      </c>
      <c r="C934" s="9">
        <f>IFERROR(__xludf.DUMMYFUNCTION("""COMPUTED_VALUE"""),4.4628000478E10)</f>
        <v>44628000478</v>
      </c>
      <c r="D934" s="90" t="str">
        <f>IFERROR(__xludf.DUMMYFUNCTION("""COMPUTED_VALUE"""),"0700.HK")</f>
        <v>0700.HK</v>
      </c>
      <c r="E934" s="193">
        <f>IFERROR(__xludf.DUMMYFUNCTION("""COMPUTED_VALUE"""),44628.0)</f>
        <v>44628</v>
      </c>
      <c r="F934" s="5" t="str">
        <f>IFERROR(__xludf.DUMMYFUNCTION("""COMPUTED_VALUE"""),"Stock")</f>
        <v>Stock</v>
      </c>
      <c r="G934" s="5" t="str">
        <f>IFERROR(__xludf.DUMMYFUNCTION("""COMPUTED_VALUE"""),"HKD")</f>
        <v>HKD</v>
      </c>
      <c r="H934" s="22">
        <f>IFERROR(__xludf.DUMMYFUNCTION("""COMPUTED_VALUE"""),260.0)</f>
        <v>260</v>
      </c>
      <c r="I934" s="194">
        <f>IFERROR(__xludf.DUMMYFUNCTION("""COMPUTED_VALUE"""),1.0)</f>
        <v>1</v>
      </c>
      <c r="J934" s="23">
        <f>IFERROR(__xludf.DUMMYFUNCTION("""COMPUTED_VALUE"""),383.2)</f>
        <v>383.2</v>
      </c>
      <c r="K934" s="5"/>
      <c r="L934" s="23">
        <f>IFERROR(__xludf.DUMMYFUNCTION("""COMPUTED_VALUE"""),373.6)</f>
        <v>373.6</v>
      </c>
      <c r="M934" s="195" t="str">
        <f>IFERROR(__xludf.DUMMYFUNCTION("""COMPUTED_VALUE"""),"Equity Key Stats")</f>
        <v>Equity Key Stats</v>
      </c>
      <c r="N934" s="5"/>
      <c r="O934" s="5"/>
      <c r="P934" s="142">
        <f>IFERROR(__xludf.DUMMYFUNCTION("""COMPUTED_VALUE"""),-99632.0)</f>
        <v>-99632</v>
      </c>
      <c r="Q934" s="5"/>
      <c r="R934" s="71">
        <f>IFERROR(__xludf.DUMMYFUNCTION("""COMPUTED_VALUE"""),373.6)</f>
        <v>373.6</v>
      </c>
      <c r="S934" s="142">
        <f>IFERROR(__xludf.DUMMYFUNCTION("""COMPUTED_VALUE"""),97136.0)</f>
        <v>97136</v>
      </c>
      <c r="T934" s="5">
        <f>IFERROR(__xludf.DUMMYFUNCTION("""COMPUTED_VALUE"""),3.0)</f>
        <v>3</v>
      </c>
      <c r="U934" s="5">
        <f>IFERROR(__xludf.DUMMYFUNCTION("""COMPUTED_VALUE"""),1.0)</f>
        <v>1</v>
      </c>
      <c r="V934" s="22">
        <f>IFERROR(__xludf.DUMMYFUNCTION("""COMPUTED_VALUE"""),-30606.0)</f>
        <v>-30606</v>
      </c>
      <c r="W934" s="9">
        <f>IFERROR(__xludf.DUMMYFUNCTION("""COMPUTED_VALUE"""),448178.793068)</f>
        <v>448178.7931</v>
      </c>
      <c r="X934" s="22">
        <f>IFERROR(__xludf.DUMMYFUNCTION("""COMPUTED_VALUE"""),131487.17922)</f>
        <v>131487.1792</v>
      </c>
      <c r="Y934" s="22">
        <f>IFERROR(__xludf.DUMMYFUNCTION("""COMPUTED_VALUE"""),0.0)</f>
        <v>0</v>
      </c>
      <c r="Z934" s="24">
        <f>IFERROR(__xludf.DUMMYFUNCTION("""COMPUTED_VALUE"""),-0.10364241386399997)</f>
        <v>-0.1036424139</v>
      </c>
    </row>
    <row r="935">
      <c r="A935" s="5" t="str">
        <f>IFERROR(__xludf.DUMMYFUNCTION("""COMPUTED_VALUE"""),"77134")</f>
        <v>77134</v>
      </c>
      <c r="B935" s="5" t="str">
        <f>IFERROR(__xludf.DUMMYFUNCTION("""COMPUTED_VALUE"""),"77134")</f>
        <v>77134</v>
      </c>
      <c r="C935" s="9">
        <f>IFERROR(__xludf.DUMMYFUNCTION("""COMPUTED_VALUE"""),4.459700012E10)</f>
        <v>44597000120</v>
      </c>
      <c r="D935" s="85" t="str">
        <f>IFERROR(__xludf.DUMMYFUNCTION("""COMPUTED_VALUE"""),"Cash")</f>
        <v>Cash</v>
      </c>
      <c r="E935" s="193">
        <f>IFERROR(__xludf.DUMMYFUNCTION("""COMPUTED_VALUE"""),44597.0)</f>
        <v>44597</v>
      </c>
      <c r="F935" s="5" t="str">
        <f>IFERROR(__xludf.DUMMYFUNCTION("""COMPUTED_VALUE"""),"Cash")</f>
        <v>Cash</v>
      </c>
      <c r="G935" s="5" t="str">
        <f>IFERROR(__xludf.DUMMYFUNCTION("""COMPUTED_VALUE"""),"HKD")</f>
        <v>HKD</v>
      </c>
      <c r="H935" s="22" t="str">
        <f>IFERROR(__xludf.DUMMYFUNCTION("""COMPUTED_VALUE"""),"")</f>
        <v/>
      </c>
      <c r="I935" s="194">
        <f>IFERROR(__xludf.DUMMYFUNCTION("""COMPUTED_VALUE"""),1.0)</f>
        <v>1</v>
      </c>
      <c r="J935" s="5">
        <f>IFERROR(__xludf.DUMMYFUNCTION("""COMPUTED_VALUE"""),1.0)</f>
        <v>1</v>
      </c>
      <c r="K935" s="5"/>
      <c r="L935" s="23">
        <f>IFERROR(__xludf.DUMMYFUNCTION("""COMPUTED_VALUE"""),1.0)</f>
        <v>1</v>
      </c>
      <c r="M935" s="25" t="str">
        <f>IFERROR(__xludf.DUMMYFUNCTION("""COMPUTED_VALUE"""),"")</f>
        <v/>
      </c>
      <c r="N935" s="5"/>
      <c r="O935" s="5"/>
      <c r="P935" s="142">
        <f>IFERROR(__xludf.DUMMYFUNCTION("""COMPUTED_VALUE"""),500000.0)</f>
        <v>500000</v>
      </c>
      <c r="Q935" s="5"/>
      <c r="R935" s="71">
        <f>IFERROR(__xludf.DUMMYFUNCTION("""COMPUTED_VALUE"""),1.0)</f>
        <v>1</v>
      </c>
      <c r="S935" s="142" t="str">
        <f>IFERROR(__xludf.DUMMYFUNCTION("""COMPUTED_VALUE"""),"")</f>
        <v/>
      </c>
      <c r="T935" s="5">
        <f>IFERROR(__xludf.DUMMYFUNCTION("""COMPUTED_VALUE"""),1.0)</f>
        <v>1</v>
      </c>
      <c r="U935" s="5">
        <f>IFERROR(__xludf.DUMMYFUNCTION("""COMPUTED_VALUE"""),1.0)</f>
        <v>1</v>
      </c>
      <c r="V935" s="22">
        <f>IFERROR(__xludf.DUMMYFUNCTION("""COMPUTED_VALUE"""),500000.0)</f>
        <v>500000</v>
      </c>
      <c r="W935" s="9">
        <f>IFERROR(__xludf.DUMMYFUNCTION("""COMPUTED_VALUE"""),500000.0)</f>
        <v>500000</v>
      </c>
      <c r="X935" s="22">
        <f>IFERROR(__xludf.DUMMYFUNCTION("""COMPUTED_VALUE"""),500000.0)</f>
        <v>500000</v>
      </c>
      <c r="Y935" s="22">
        <f>IFERROR(__xludf.DUMMYFUNCTION("""COMPUTED_VALUE"""),0.0)</f>
        <v>0</v>
      </c>
      <c r="Z935" s="24">
        <f>IFERROR(__xludf.DUMMYFUNCTION("""COMPUTED_VALUE"""),0.0)</f>
        <v>0</v>
      </c>
    </row>
    <row r="936">
      <c r="A936" s="5" t="str">
        <f>IFERROR(__xludf.DUMMYFUNCTION("""COMPUTED_VALUE"""),"")</f>
        <v/>
      </c>
      <c r="B936" s="5" t="str">
        <f>IFERROR(__xludf.DUMMYFUNCTION("""COMPUTED_VALUE"""),"77216")</f>
        <v>77216</v>
      </c>
      <c r="C936" s="9">
        <f>IFERROR(__xludf.DUMMYFUNCTION("""COMPUTED_VALUE"""),4.4597000049E10)</f>
        <v>44597000049</v>
      </c>
      <c r="D936" s="85" t="str">
        <f>IFERROR(__xludf.DUMMYFUNCTION("""COMPUTED_VALUE"""),"Cash")</f>
        <v>Cash</v>
      </c>
      <c r="E936" s="193">
        <f>IFERROR(__xludf.DUMMYFUNCTION("""COMPUTED_VALUE"""),44597.0)</f>
        <v>44597</v>
      </c>
      <c r="F936" s="5" t="str">
        <f>IFERROR(__xludf.DUMMYFUNCTION("""COMPUTED_VALUE"""),"Cash")</f>
        <v>Cash</v>
      </c>
      <c r="G936" s="5" t="str">
        <f>IFERROR(__xludf.DUMMYFUNCTION("""COMPUTED_VALUE"""),"HKD")</f>
        <v>HKD</v>
      </c>
      <c r="H936" s="22" t="str">
        <f>IFERROR(__xludf.DUMMYFUNCTION("""COMPUTED_VALUE"""),"")</f>
        <v/>
      </c>
      <c r="I936" s="194">
        <f>IFERROR(__xludf.DUMMYFUNCTION("""COMPUTED_VALUE"""),1.0)</f>
        <v>1</v>
      </c>
      <c r="J936" s="5">
        <f>IFERROR(__xludf.DUMMYFUNCTION("""COMPUTED_VALUE"""),1.0)</f>
        <v>1</v>
      </c>
      <c r="K936" s="5"/>
      <c r="L936" s="23">
        <f>IFERROR(__xludf.DUMMYFUNCTION("""COMPUTED_VALUE"""),1.0)</f>
        <v>1</v>
      </c>
      <c r="M936" s="25" t="str">
        <f>IFERROR(__xludf.DUMMYFUNCTION("""COMPUTED_VALUE"""),"")</f>
        <v/>
      </c>
      <c r="N936" s="5"/>
      <c r="O936" s="5"/>
      <c r="P936" s="142">
        <f>IFERROR(__xludf.DUMMYFUNCTION("""COMPUTED_VALUE"""),500000.0)</f>
        <v>500000</v>
      </c>
      <c r="Q936" s="5"/>
      <c r="R936" s="71">
        <f>IFERROR(__xludf.DUMMYFUNCTION("""COMPUTED_VALUE"""),1.0)</f>
        <v>1</v>
      </c>
      <c r="S936" s="142" t="str">
        <f>IFERROR(__xludf.DUMMYFUNCTION("""COMPUTED_VALUE"""),"")</f>
        <v/>
      </c>
      <c r="T936" s="5">
        <f>IFERROR(__xludf.DUMMYFUNCTION("""COMPUTED_VALUE"""),1.0)</f>
        <v>1</v>
      </c>
      <c r="U936" s="5">
        <f>IFERROR(__xludf.DUMMYFUNCTION("""COMPUTED_VALUE"""),1.0)</f>
        <v>1</v>
      </c>
      <c r="V936" s="22">
        <f>IFERROR(__xludf.DUMMYFUNCTION("""COMPUTED_VALUE"""),500000.0)</f>
        <v>500000</v>
      </c>
      <c r="W936" s="9" t="str">
        <f>IFERROR(__xludf.DUMMYFUNCTION("""COMPUTED_VALUE"""),"")</f>
        <v/>
      </c>
      <c r="X936" s="22" t="str">
        <f>IFERROR(__xludf.DUMMYFUNCTION("""COMPUTED_VALUE"""),"")</f>
        <v/>
      </c>
      <c r="Y936" s="22" t="str">
        <f>IFERROR(__xludf.DUMMYFUNCTION("""COMPUTED_VALUE"""),"")</f>
        <v/>
      </c>
      <c r="Z936" s="24" t="str">
        <f>IFERROR(__xludf.DUMMYFUNCTION("""COMPUTED_VALUE"""),"")</f>
        <v/>
      </c>
    </row>
    <row r="937">
      <c r="A937" s="5" t="str">
        <f>IFERROR(__xludf.DUMMYFUNCTION("""COMPUTED_VALUE"""),"")</f>
        <v/>
      </c>
      <c r="B937" s="5" t="str">
        <f>IFERROR(__xludf.DUMMYFUNCTION("""COMPUTED_VALUE"""),"77216")</f>
        <v>77216</v>
      </c>
      <c r="C937" s="9">
        <f>IFERROR(__xludf.DUMMYFUNCTION("""COMPUTED_VALUE"""),4.4656001139E10)</f>
        <v>44656001139</v>
      </c>
      <c r="D937" s="87" t="str">
        <f>IFERROR(__xludf.DUMMYFUNCTION("""COMPUTED_VALUE"""),"ABML")</f>
        <v>ABML</v>
      </c>
      <c r="E937" s="193">
        <f>IFERROR(__xludf.DUMMYFUNCTION("""COMPUTED_VALUE"""),44656.0)</f>
        <v>44656</v>
      </c>
      <c r="F937" s="5" t="str">
        <f>IFERROR(__xludf.DUMMYFUNCTION("""COMPUTED_VALUE"""),"Stock")</f>
        <v>Stock</v>
      </c>
      <c r="G937" s="5" t="str">
        <f>IFERROR(__xludf.DUMMYFUNCTION("""COMPUTED_VALUE"""),"USD")</f>
        <v>USD</v>
      </c>
      <c r="H937" s="22">
        <f>IFERROR(__xludf.DUMMYFUNCTION("""COMPUTED_VALUE"""),0.0)</f>
        <v>0</v>
      </c>
      <c r="I937" s="194">
        <f>IFERROR(__xludf.DUMMYFUNCTION("""COMPUTED_VALUE"""),7.83386)</f>
        <v>7.83386</v>
      </c>
      <c r="J937" s="23">
        <f>IFERROR(__xludf.DUMMYFUNCTION("""COMPUTED_VALUE"""),0.0)</f>
        <v>0</v>
      </c>
      <c r="K937" s="5"/>
      <c r="L937" s="23">
        <f>IFERROR(__xludf.DUMMYFUNCTION("""COMPUTED_VALUE"""),1.285)</f>
        <v>1.285</v>
      </c>
      <c r="M937" s="195" t="str">
        <f>IFERROR(__xludf.DUMMYFUNCTION("""COMPUTED_VALUE"""),"Equity Key Stats")</f>
        <v>Equity Key Stats</v>
      </c>
      <c r="N937" s="5"/>
      <c r="O937" s="5"/>
      <c r="P937" s="142">
        <f>IFERROR(__xludf.DUMMYFUNCTION("""COMPUTED_VALUE"""),0.0)</f>
        <v>0</v>
      </c>
      <c r="Q937" s="5"/>
      <c r="R937" s="71">
        <f>IFERROR(__xludf.DUMMYFUNCTION("""COMPUTED_VALUE"""),1.285)</f>
        <v>1.285</v>
      </c>
      <c r="S937" s="142">
        <f>IFERROR(__xludf.DUMMYFUNCTION("""COMPUTED_VALUE"""),0.0)</f>
        <v>0</v>
      </c>
      <c r="T937" s="5">
        <f>IFERROR(__xludf.DUMMYFUNCTION("""COMPUTED_VALUE"""),1.0)</f>
        <v>1</v>
      </c>
      <c r="U937" s="5">
        <f>IFERROR(__xludf.DUMMYFUNCTION("""COMPUTED_VALUE"""),1.0)</f>
        <v>1</v>
      </c>
      <c r="V937" s="22">
        <f>IFERROR(__xludf.DUMMYFUNCTION("""COMPUTED_VALUE"""),0.0)</f>
        <v>0</v>
      </c>
      <c r="W937" s="9" t="str">
        <f>IFERROR(__xludf.DUMMYFUNCTION("""COMPUTED_VALUE"""),"")</f>
        <v/>
      </c>
      <c r="X937" s="22" t="str">
        <f>IFERROR(__xludf.DUMMYFUNCTION("""COMPUTED_VALUE"""),"")</f>
        <v/>
      </c>
      <c r="Y937" s="22" t="str">
        <f>IFERROR(__xludf.DUMMYFUNCTION("""COMPUTED_VALUE"""),"")</f>
        <v/>
      </c>
      <c r="Z937" s="24" t="str">
        <f>IFERROR(__xludf.DUMMYFUNCTION("""COMPUTED_VALUE"""),"")</f>
        <v/>
      </c>
    </row>
    <row r="938">
      <c r="A938" s="5" t="str">
        <f>IFERROR(__xludf.DUMMYFUNCTION("""COMPUTED_VALUE"""),"")</f>
        <v/>
      </c>
      <c r="B938" s="5" t="str">
        <f>IFERROR(__xludf.DUMMYFUNCTION("""COMPUTED_VALUE"""),"77216")</f>
        <v>77216</v>
      </c>
      <c r="C938" s="9">
        <f>IFERROR(__xludf.DUMMYFUNCTION("""COMPUTED_VALUE"""),4.4659001268E10)</f>
        <v>44659001268</v>
      </c>
      <c r="D938" s="85" t="str">
        <f>IFERROR(__xludf.DUMMYFUNCTION("""COMPUTED_VALUE"""),"DIDI")</f>
        <v>DIDI</v>
      </c>
      <c r="E938" s="193">
        <f>IFERROR(__xludf.DUMMYFUNCTION("""COMPUTED_VALUE"""),44659.0)</f>
        <v>44659</v>
      </c>
      <c r="F938" s="5" t="str">
        <f>IFERROR(__xludf.DUMMYFUNCTION("""COMPUTED_VALUE"""),"Stock")</f>
        <v>Stock</v>
      </c>
      <c r="G938" s="5" t="str">
        <f>IFERROR(__xludf.DUMMYFUNCTION("""COMPUTED_VALUE"""),"USD")</f>
        <v>USD</v>
      </c>
      <c r="H938" s="22">
        <f>IFERROR(__xludf.DUMMYFUNCTION("""COMPUTED_VALUE"""),24000.0)</f>
        <v>24000</v>
      </c>
      <c r="I938" s="194">
        <f>IFERROR(__xludf.DUMMYFUNCTION("""COMPUTED_VALUE"""),7.839265)</f>
        <v>7.839265</v>
      </c>
      <c r="J938" s="23">
        <f>IFERROR(__xludf.DUMMYFUNCTION("""COMPUTED_VALUE"""),2.52)</f>
        <v>2.52</v>
      </c>
      <c r="K938" s="5"/>
      <c r="L938" s="23">
        <f>IFERROR(__xludf.DUMMYFUNCTION("""COMPUTED_VALUE"""),2.54)</f>
        <v>2.54</v>
      </c>
      <c r="M938" s="195" t="str">
        <f>IFERROR(__xludf.DUMMYFUNCTION("""COMPUTED_VALUE"""),"Equity Key Stats")</f>
        <v>Equity Key Stats</v>
      </c>
      <c r="N938" s="5"/>
      <c r="O938" s="5"/>
      <c r="P938" s="142">
        <f>IFERROR(__xludf.DUMMYFUNCTION("""COMPUTED_VALUE"""),-474118.74720000004)</f>
        <v>-474118.7472</v>
      </c>
      <c r="Q938" s="5"/>
      <c r="R938" s="71">
        <f>IFERROR(__xludf.DUMMYFUNCTION("""COMPUTED_VALUE"""),2.54)</f>
        <v>2.54</v>
      </c>
      <c r="S938" s="142">
        <f>IFERROR(__xludf.DUMMYFUNCTION("""COMPUTED_VALUE"""),477881.59440000006)</f>
        <v>477881.5944</v>
      </c>
      <c r="T938" s="5">
        <f>IFERROR(__xludf.DUMMYFUNCTION("""COMPUTED_VALUE"""),3.0)</f>
        <v>3</v>
      </c>
      <c r="U938" s="5" t="str">
        <f>IFERROR(__xludf.DUMMYFUNCTION("""COMPUTED_VALUE"""),"")</f>
        <v/>
      </c>
      <c r="V938" s="22" t="str">
        <f>IFERROR(__xludf.DUMMYFUNCTION("""COMPUTED_VALUE"""),"")</f>
        <v/>
      </c>
      <c r="W938" s="9" t="str">
        <f>IFERROR(__xludf.DUMMYFUNCTION("""COMPUTED_VALUE"""),"")</f>
        <v/>
      </c>
      <c r="X938" s="22" t="str">
        <f>IFERROR(__xludf.DUMMYFUNCTION("""COMPUTED_VALUE"""),"")</f>
        <v/>
      </c>
      <c r="Y938" s="22" t="str">
        <f>IFERROR(__xludf.DUMMYFUNCTION("""COMPUTED_VALUE"""),"")</f>
        <v/>
      </c>
      <c r="Z938" s="24" t="str">
        <f>IFERROR(__xludf.DUMMYFUNCTION("""COMPUTED_VALUE"""),"")</f>
        <v/>
      </c>
    </row>
    <row r="939">
      <c r="A939" s="5" t="str">
        <f>IFERROR(__xludf.DUMMYFUNCTION("""COMPUTED_VALUE"""),"")</f>
        <v/>
      </c>
      <c r="B939" s="5" t="str">
        <f>IFERROR(__xludf.DUMMYFUNCTION("""COMPUTED_VALUE"""),"77216")</f>
        <v>77216</v>
      </c>
      <c r="C939" s="9">
        <f>IFERROR(__xludf.DUMMYFUNCTION("""COMPUTED_VALUE"""),4.4659001269E10)</f>
        <v>44659001269</v>
      </c>
      <c r="D939" s="85" t="str">
        <f>IFERROR(__xludf.DUMMYFUNCTION("""COMPUTED_VALUE"""),"DIDI")</f>
        <v>DIDI</v>
      </c>
      <c r="E939" s="193">
        <f>IFERROR(__xludf.DUMMYFUNCTION("""COMPUTED_VALUE"""),44659.0)</f>
        <v>44659</v>
      </c>
      <c r="F939" s="5" t="str">
        <f>IFERROR(__xludf.DUMMYFUNCTION("""COMPUTED_VALUE"""),"Stock")</f>
        <v>Stock</v>
      </c>
      <c r="G939" s="5" t="str">
        <f>IFERROR(__xludf.DUMMYFUNCTION("""COMPUTED_VALUE"""),"USD")</f>
        <v>USD</v>
      </c>
      <c r="H939" s="22" t="str">
        <f>IFERROR(__xludf.DUMMYFUNCTION("""COMPUTED_VALUE"""),"")</f>
        <v/>
      </c>
      <c r="I939" s="194">
        <f>IFERROR(__xludf.DUMMYFUNCTION("""COMPUTED_VALUE"""),7.839265)</f>
        <v>7.839265</v>
      </c>
      <c r="J939" s="23">
        <f>IFERROR(__xludf.DUMMYFUNCTION("""COMPUTED_VALUE"""),2.52)</f>
        <v>2.52</v>
      </c>
      <c r="K939" s="5"/>
      <c r="L939" s="23">
        <f>IFERROR(__xludf.DUMMYFUNCTION("""COMPUTED_VALUE"""),2.54)</f>
        <v>2.54</v>
      </c>
      <c r="M939" s="195" t="str">
        <f>IFERROR(__xludf.DUMMYFUNCTION("""COMPUTED_VALUE"""),"Equity Key Stats")</f>
        <v>Equity Key Stats</v>
      </c>
      <c r="N939" s="5"/>
      <c r="O939" s="5"/>
      <c r="P939" s="142">
        <f>IFERROR(__xludf.DUMMYFUNCTION("""COMPUTED_VALUE"""),0.0)</f>
        <v>0</v>
      </c>
      <c r="Q939" s="5"/>
      <c r="R939" s="71">
        <f>IFERROR(__xludf.DUMMYFUNCTION("""COMPUTED_VALUE"""),2.54)</f>
        <v>2.54</v>
      </c>
      <c r="S939" s="142">
        <f>IFERROR(__xludf.DUMMYFUNCTION("""COMPUTED_VALUE"""),0.0)</f>
        <v>0</v>
      </c>
      <c r="T939" s="5">
        <f>IFERROR(__xludf.DUMMYFUNCTION("""COMPUTED_VALUE"""),3.0)</f>
        <v>3</v>
      </c>
      <c r="U939" s="5" t="str">
        <f>IFERROR(__xludf.DUMMYFUNCTION("""COMPUTED_VALUE"""),"")</f>
        <v/>
      </c>
      <c r="V939" s="22" t="str">
        <f>IFERROR(__xludf.DUMMYFUNCTION("""COMPUTED_VALUE"""),"")</f>
        <v/>
      </c>
      <c r="W939" s="9" t="str">
        <f>IFERROR(__xludf.DUMMYFUNCTION("""COMPUTED_VALUE"""),"")</f>
        <v/>
      </c>
      <c r="X939" s="22" t="str">
        <f>IFERROR(__xludf.DUMMYFUNCTION("""COMPUTED_VALUE"""),"")</f>
        <v/>
      </c>
      <c r="Y939" s="22" t="str">
        <f>IFERROR(__xludf.DUMMYFUNCTION("""COMPUTED_VALUE"""),"")</f>
        <v/>
      </c>
      <c r="Z939" s="24" t="str">
        <f>IFERROR(__xludf.DUMMYFUNCTION("""COMPUTED_VALUE"""),"")</f>
        <v/>
      </c>
    </row>
    <row r="940">
      <c r="A940" s="5" t="str">
        <f>IFERROR(__xludf.DUMMYFUNCTION("""COMPUTED_VALUE"""),"77216")</f>
        <v>77216</v>
      </c>
      <c r="B940" s="5" t="str">
        <f>IFERROR(__xludf.DUMMYFUNCTION("""COMPUTED_VALUE"""),"77216")</f>
        <v>77216</v>
      </c>
      <c r="C940" s="9">
        <f>IFERROR(__xludf.DUMMYFUNCTION("""COMPUTED_VALUE"""),4.465900127E10)</f>
        <v>44659001270</v>
      </c>
      <c r="D940" s="85" t="str">
        <f>IFERROR(__xludf.DUMMYFUNCTION("""COMPUTED_VALUE"""),"DIDI")</f>
        <v>DIDI</v>
      </c>
      <c r="E940" s="193">
        <f>IFERROR(__xludf.DUMMYFUNCTION("""COMPUTED_VALUE"""),44659.0)</f>
        <v>44659</v>
      </c>
      <c r="F940" s="5" t="str">
        <f>IFERROR(__xludf.DUMMYFUNCTION("""COMPUTED_VALUE"""),"Stock")</f>
        <v>Stock</v>
      </c>
      <c r="G940" s="5" t="str">
        <f>IFERROR(__xludf.DUMMYFUNCTION("""COMPUTED_VALUE"""),"USD")</f>
        <v>USD</v>
      </c>
      <c r="H940" s="22" t="str">
        <f>IFERROR(__xludf.DUMMYFUNCTION("""COMPUTED_VALUE"""),"")</f>
        <v/>
      </c>
      <c r="I940" s="194">
        <f>IFERROR(__xludf.DUMMYFUNCTION("""COMPUTED_VALUE"""),7.839265)</f>
        <v>7.839265</v>
      </c>
      <c r="J940" s="23">
        <f>IFERROR(__xludf.DUMMYFUNCTION("""COMPUTED_VALUE"""),2.52)</f>
        <v>2.52</v>
      </c>
      <c r="K940" s="5"/>
      <c r="L940" s="23">
        <f>IFERROR(__xludf.DUMMYFUNCTION("""COMPUTED_VALUE"""),2.54)</f>
        <v>2.54</v>
      </c>
      <c r="M940" s="195" t="str">
        <f>IFERROR(__xludf.DUMMYFUNCTION("""COMPUTED_VALUE"""),"Equity Key Stats")</f>
        <v>Equity Key Stats</v>
      </c>
      <c r="N940" s="5"/>
      <c r="O940" s="5"/>
      <c r="P940" s="142">
        <f>IFERROR(__xludf.DUMMYFUNCTION("""COMPUTED_VALUE"""),0.0)</f>
        <v>0</v>
      </c>
      <c r="Q940" s="5"/>
      <c r="R940" s="71">
        <f>IFERROR(__xludf.DUMMYFUNCTION("""COMPUTED_VALUE"""),2.54)</f>
        <v>2.54</v>
      </c>
      <c r="S940" s="142">
        <f>IFERROR(__xludf.DUMMYFUNCTION("""COMPUTED_VALUE"""),0.0)</f>
        <v>0</v>
      </c>
      <c r="T940" s="5">
        <f>IFERROR(__xludf.DUMMYFUNCTION("""COMPUTED_VALUE"""),3.0)</f>
        <v>3</v>
      </c>
      <c r="U940" s="5">
        <f>IFERROR(__xludf.DUMMYFUNCTION("""COMPUTED_VALUE"""),1.0)</f>
        <v>1</v>
      </c>
      <c r="V940" s="22">
        <f>IFERROR(__xludf.DUMMYFUNCTION("""COMPUTED_VALUE"""),3762.8472000000183)</f>
        <v>3762.8472</v>
      </c>
      <c r="W940" s="9">
        <f>IFERROR(__xludf.DUMMYFUNCTION("""COMPUTED_VALUE"""),503762.8472)</f>
        <v>503762.8472</v>
      </c>
      <c r="X940" s="22">
        <f>IFERROR(__xludf.DUMMYFUNCTION("""COMPUTED_VALUE"""),25881.252800000017)</f>
        <v>25881.2528</v>
      </c>
      <c r="Y940" s="22">
        <f>IFERROR(__xludf.DUMMYFUNCTION("""COMPUTED_VALUE"""),0.0)</f>
        <v>0</v>
      </c>
      <c r="Z940" s="24">
        <f>IFERROR(__xludf.DUMMYFUNCTION("""COMPUTED_VALUE"""),0.007525694399999949)</f>
        <v>0.0075256944</v>
      </c>
    </row>
    <row r="941">
      <c r="A941" s="5" t="str">
        <f>IFERROR(__xludf.DUMMYFUNCTION("""COMPUTED_VALUE"""),"")</f>
        <v/>
      </c>
      <c r="B941" s="5" t="str">
        <f>IFERROR(__xludf.DUMMYFUNCTION("""COMPUTED_VALUE"""),"77393")</f>
        <v>77393</v>
      </c>
      <c r="C941" s="9">
        <f>IFERROR(__xludf.DUMMYFUNCTION("""COMPUTED_VALUE"""),4.4597000087E10)</f>
        <v>44597000087</v>
      </c>
      <c r="D941" s="85" t="str">
        <f>IFERROR(__xludf.DUMMYFUNCTION("""COMPUTED_VALUE"""),"Cash")</f>
        <v>Cash</v>
      </c>
      <c r="E941" s="193">
        <f>IFERROR(__xludf.DUMMYFUNCTION("""COMPUTED_VALUE"""),44597.0)</f>
        <v>44597</v>
      </c>
      <c r="F941" s="5" t="str">
        <f>IFERROR(__xludf.DUMMYFUNCTION("""COMPUTED_VALUE"""),"Cash")</f>
        <v>Cash</v>
      </c>
      <c r="G941" s="5" t="str">
        <f>IFERROR(__xludf.DUMMYFUNCTION("""COMPUTED_VALUE"""),"HKD")</f>
        <v>HKD</v>
      </c>
      <c r="H941" s="22" t="str">
        <f>IFERROR(__xludf.DUMMYFUNCTION("""COMPUTED_VALUE"""),"")</f>
        <v/>
      </c>
      <c r="I941" s="194">
        <f>IFERROR(__xludf.DUMMYFUNCTION("""COMPUTED_VALUE"""),1.0)</f>
        <v>1</v>
      </c>
      <c r="J941" s="5">
        <f>IFERROR(__xludf.DUMMYFUNCTION("""COMPUTED_VALUE"""),1.0)</f>
        <v>1</v>
      </c>
      <c r="K941" s="5"/>
      <c r="L941" s="23">
        <f>IFERROR(__xludf.DUMMYFUNCTION("""COMPUTED_VALUE"""),1.0)</f>
        <v>1</v>
      </c>
      <c r="M941" s="25" t="str">
        <f>IFERROR(__xludf.DUMMYFUNCTION("""COMPUTED_VALUE"""),"")</f>
        <v/>
      </c>
      <c r="N941" s="5"/>
      <c r="O941" s="5"/>
      <c r="P941" s="142">
        <f>IFERROR(__xludf.DUMMYFUNCTION("""COMPUTED_VALUE"""),500000.0)</f>
        <v>500000</v>
      </c>
      <c r="Q941" s="5"/>
      <c r="R941" s="71">
        <f>IFERROR(__xludf.DUMMYFUNCTION("""COMPUTED_VALUE"""),1.0)</f>
        <v>1</v>
      </c>
      <c r="S941" s="142" t="str">
        <f>IFERROR(__xludf.DUMMYFUNCTION("""COMPUTED_VALUE"""),"")</f>
        <v/>
      </c>
      <c r="T941" s="5">
        <f>IFERROR(__xludf.DUMMYFUNCTION("""COMPUTED_VALUE"""),1.0)</f>
        <v>1</v>
      </c>
      <c r="U941" s="5">
        <f>IFERROR(__xludf.DUMMYFUNCTION("""COMPUTED_VALUE"""),1.0)</f>
        <v>1</v>
      </c>
      <c r="V941" s="22">
        <f>IFERROR(__xludf.DUMMYFUNCTION("""COMPUTED_VALUE"""),500000.0)</f>
        <v>500000</v>
      </c>
      <c r="W941" s="9" t="str">
        <f>IFERROR(__xludf.DUMMYFUNCTION("""COMPUTED_VALUE"""),"")</f>
        <v/>
      </c>
      <c r="X941" s="22" t="str">
        <f>IFERROR(__xludf.DUMMYFUNCTION("""COMPUTED_VALUE"""),"")</f>
        <v/>
      </c>
      <c r="Y941" s="22" t="str">
        <f>IFERROR(__xludf.DUMMYFUNCTION("""COMPUTED_VALUE"""),"")</f>
        <v/>
      </c>
      <c r="Z941" s="24" t="str">
        <f>IFERROR(__xludf.DUMMYFUNCTION("""COMPUTED_VALUE"""),"")</f>
        <v/>
      </c>
    </row>
    <row r="942">
      <c r="A942" s="5" t="str">
        <f>IFERROR(__xludf.DUMMYFUNCTION("""COMPUTED_VALUE"""),"")</f>
        <v/>
      </c>
      <c r="B942" s="5" t="str">
        <f>IFERROR(__xludf.DUMMYFUNCTION("""COMPUTED_VALUE"""),"77393")</f>
        <v>77393</v>
      </c>
      <c r="C942" s="9">
        <f>IFERROR(__xludf.DUMMYFUNCTION("""COMPUTED_VALUE"""),4.4641000713E10)</f>
        <v>44641000713</v>
      </c>
      <c r="D942" s="90" t="str">
        <f>IFERROR(__xludf.DUMMYFUNCTION("""COMPUTED_VALUE"""),"000568.SZ")</f>
        <v>000568.SZ</v>
      </c>
      <c r="E942" s="193">
        <f>IFERROR(__xludf.DUMMYFUNCTION("""COMPUTED_VALUE"""),44641.0)</f>
        <v>44641</v>
      </c>
      <c r="F942" s="5" t="str">
        <f>IFERROR(__xludf.DUMMYFUNCTION("""COMPUTED_VALUE"""),"Stock")</f>
        <v>Stock</v>
      </c>
      <c r="G942" s="5" t="str">
        <f>IFERROR(__xludf.DUMMYFUNCTION("""COMPUTED_VALUE"""),"CNY")</f>
        <v>CNY</v>
      </c>
      <c r="H942" s="22">
        <f>IFERROR(__xludf.DUMMYFUNCTION("""COMPUTED_VALUE"""),0.0)</f>
        <v>0</v>
      </c>
      <c r="I942" s="194">
        <f>IFERROR(__xludf.DUMMYFUNCTION("""COMPUTED_VALUE"""),1.231135)</f>
        <v>1.231135</v>
      </c>
      <c r="J942" s="23">
        <f>IFERROR(__xludf.DUMMYFUNCTION("""COMPUTED_VALUE"""),0.0)</f>
        <v>0</v>
      </c>
      <c r="K942" s="5"/>
      <c r="L942" s="23">
        <f>IFERROR(__xludf.DUMMYFUNCTION("""COMPUTED_VALUE"""),192.7)</f>
        <v>192.7</v>
      </c>
      <c r="M942" s="195" t="str">
        <f>IFERROR(__xludf.DUMMYFUNCTION("""COMPUTED_VALUE"""),"Equity Key Stats")</f>
        <v>Equity Key Stats</v>
      </c>
      <c r="N942" s="5"/>
      <c r="O942" s="5"/>
      <c r="P942" s="142">
        <f>IFERROR(__xludf.DUMMYFUNCTION("""COMPUTED_VALUE"""),0.0)</f>
        <v>0</v>
      </c>
      <c r="Q942" s="5"/>
      <c r="R942" s="71">
        <f>IFERROR(__xludf.DUMMYFUNCTION("""COMPUTED_VALUE"""),192.7)</f>
        <v>192.7</v>
      </c>
      <c r="S942" s="142">
        <f>IFERROR(__xludf.DUMMYFUNCTION("""COMPUTED_VALUE"""),0.0)</f>
        <v>0</v>
      </c>
      <c r="T942" s="5">
        <f>IFERROR(__xludf.DUMMYFUNCTION("""COMPUTED_VALUE"""),3.0)</f>
        <v>3</v>
      </c>
      <c r="U942" s="5" t="str">
        <f>IFERROR(__xludf.DUMMYFUNCTION("""COMPUTED_VALUE"""),"")</f>
        <v/>
      </c>
      <c r="V942" s="22" t="str">
        <f>IFERROR(__xludf.DUMMYFUNCTION("""COMPUTED_VALUE"""),"")</f>
        <v/>
      </c>
      <c r="W942" s="9" t="str">
        <f>IFERROR(__xludf.DUMMYFUNCTION("""COMPUTED_VALUE"""),"")</f>
        <v/>
      </c>
      <c r="X942" s="22" t="str">
        <f>IFERROR(__xludf.DUMMYFUNCTION("""COMPUTED_VALUE"""),"")</f>
        <v/>
      </c>
      <c r="Y942" s="22" t="str">
        <f>IFERROR(__xludf.DUMMYFUNCTION("""COMPUTED_VALUE"""),"")</f>
        <v/>
      </c>
      <c r="Z942" s="24" t="str">
        <f>IFERROR(__xludf.DUMMYFUNCTION("""COMPUTED_VALUE"""),"")</f>
        <v/>
      </c>
    </row>
    <row r="943">
      <c r="A943" s="5" t="str">
        <f>IFERROR(__xludf.DUMMYFUNCTION("""COMPUTED_VALUE"""),"")</f>
        <v/>
      </c>
      <c r="B943" s="5" t="str">
        <f>IFERROR(__xludf.DUMMYFUNCTION("""COMPUTED_VALUE"""),"77393")</f>
        <v>77393</v>
      </c>
      <c r="C943" s="9">
        <f>IFERROR(__xludf.DUMMYFUNCTION("""COMPUTED_VALUE"""),4.4652001081E10)</f>
        <v>44652001081</v>
      </c>
      <c r="D943" s="90" t="str">
        <f>IFERROR(__xludf.DUMMYFUNCTION("""COMPUTED_VALUE"""),"000568.sz")</f>
        <v>000568.sz</v>
      </c>
      <c r="E943" s="193">
        <f>IFERROR(__xludf.DUMMYFUNCTION("""COMPUTED_VALUE"""),44652.0)</f>
        <v>44652</v>
      </c>
      <c r="F943" s="5" t="str">
        <f>IFERROR(__xludf.DUMMYFUNCTION("""COMPUTED_VALUE"""),"Stock")</f>
        <v>Stock</v>
      </c>
      <c r="G943" s="5" t="str">
        <f>IFERROR(__xludf.DUMMYFUNCTION("""COMPUTED_VALUE"""),"CNY")</f>
        <v>CNY</v>
      </c>
      <c r="H943" s="22">
        <f>IFERROR(__xludf.DUMMYFUNCTION("""COMPUTED_VALUE"""),2000.0)</f>
        <v>2000</v>
      </c>
      <c r="I943" s="194">
        <f>IFERROR(__xludf.DUMMYFUNCTION("""COMPUTED_VALUE"""),1.231079)</f>
        <v>1.231079</v>
      </c>
      <c r="J943" s="23">
        <f>IFERROR(__xludf.DUMMYFUNCTION("""COMPUTED_VALUE"""),190.7)</f>
        <v>190.7</v>
      </c>
      <c r="K943" s="5"/>
      <c r="L943" s="23">
        <f>IFERROR(__xludf.DUMMYFUNCTION("""COMPUTED_VALUE"""),192.7)</f>
        <v>192.7</v>
      </c>
      <c r="M943" s="195" t="str">
        <f>IFERROR(__xludf.DUMMYFUNCTION("""COMPUTED_VALUE"""),"Equity Key Stats")</f>
        <v>Equity Key Stats</v>
      </c>
      <c r="N943" s="5"/>
      <c r="O943" s="5"/>
      <c r="P943" s="142">
        <f>IFERROR(__xludf.DUMMYFUNCTION("""COMPUTED_VALUE"""),-469533.53059999994)</f>
        <v>-469533.5306</v>
      </c>
      <c r="Q943" s="5"/>
      <c r="R943" s="71">
        <f>IFERROR(__xludf.DUMMYFUNCTION("""COMPUTED_VALUE"""),192.7)</f>
        <v>192.7</v>
      </c>
      <c r="S943" s="142">
        <f>IFERROR(__xludf.DUMMYFUNCTION("""COMPUTED_VALUE"""),474457.84659999993)</f>
        <v>474457.8466</v>
      </c>
      <c r="T943" s="5">
        <f>IFERROR(__xludf.DUMMYFUNCTION("""COMPUTED_VALUE"""),3.0)</f>
        <v>3</v>
      </c>
      <c r="U943" s="5" t="str">
        <f>IFERROR(__xludf.DUMMYFUNCTION("""COMPUTED_VALUE"""),"")</f>
        <v/>
      </c>
      <c r="V943" s="22" t="str">
        <f>IFERROR(__xludf.DUMMYFUNCTION("""COMPUTED_VALUE"""),"")</f>
        <v/>
      </c>
      <c r="W943" s="9" t="str">
        <f>IFERROR(__xludf.DUMMYFUNCTION("""COMPUTED_VALUE"""),"")</f>
        <v/>
      </c>
      <c r="X943" s="22" t="str">
        <f>IFERROR(__xludf.DUMMYFUNCTION("""COMPUTED_VALUE"""),"")</f>
        <v/>
      </c>
      <c r="Y943" s="22" t="str">
        <f>IFERROR(__xludf.DUMMYFUNCTION("""COMPUTED_VALUE"""),"")</f>
        <v/>
      </c>
      <c r="Z943" s="24" t="str">
        <f>IFERROR(__xludf.DUMMYFUNCTION("""COMPUTED_VALUE"""),"")</f>
        <v/>
      </c>
    </row>
    <row r="944">
      <c r="A944" s="5" t="str">
        <f>IFERROR(__xludf.DUMMYFUNCTION("""COMPUTED_VALUE"""),"77393")</f>
        <v>77393</v>
      </c>
      <c r="B944" s="5" t="str">
        <f>IFERROR(__xludf.DUMMYFUNCTION("""COMPUTED_VALUE"""),"77393")</f>
        <v>77393</v>
      </c>
      <c r="C944" s="9">
        <f>IFERROR(__xludf.DUMMYFUNCTION("""COMPUTED_VALUE"""),4.4657001171E10)</f>
        <v>44657001171</v>
      </c>
      <c r="D944" s="90" t="str">
        <f>IFERROR(__xludf.DUMMYFUNCTION("""COMPUTED_VALUE"""),"000568.sz")</f>
        <v>000568.sz</v>
      </c>
      <c r="E944" s="193">
        <f>IFERROR(__xludf.DUMMYFUNCTION("""COMPUTED_VALUE"""),44657.0)</f>
        <v>44657</v>
      </c>
      <c r="F944" s="5" t="str">
        <f>IFERROR(__xludf.DUMMYFUNCTION("""COMPUTED_VALUE"""),"Stock")</f>
        <v>Stock</v>
      </c>
      <c r="G944" s="5" t="str">
        <f>IFERROR(__xludf.DUMMYFUNCTION("""COMPUTED_VALUE"""),"CNY")</f>
        <v>CNY</v>
      </c>
      <c r="H944" s="22" t="str">
        <f>IFERROR(__xludf.DUMMYFUNCTION("""COMPUTED_VALUE"""),"")</f>
        <v/>
      </c>
      <c r="I944" s="194">
        <f>IFERROR(__xludf.DUMMYFUNCTION("""COMPUTED_VALUE"""),1.232502)</f>
        <v>1.232502</v>
      </c>
      <c r="J944" s="23">
        <f>IFERROR(__xludf.DUMMYFUNCTION("""COMPUTED_VALUE"""),187.5)</f>
        <v>187.5</v>
      </c>
      <c r="K944" s="5"/>
      <c r="L944" s="23">
        <f>IFERROR(__xludf.DUMMYFUNCTION("""COMPUTED_VALUE"""),192.7)</f>
        <v>192.7</v>
      </c>
      <c r="M944" s="195" t="str">
        <f>IFERROR(__xludf.DUMMYFUNCTION("""COMPUTED_VALUE"""),"Equity Key Stats")</f>
        <v>Equity Key Stats</v>
      </c>
      <c r="N944" s="5"/>
      <c r="O944" s="5"/>
      <c r="P944" s="142">
        <f>IFERROR(__xludf.DUMMYFUNCTION("""COMPUTED_VALUE"""),0.0)</f>
        <v>0</v>
      </c>
      <c r="Q944" s="5"/>
      <c r="R944" s="71">
        <f>IFERROR(__xludf.DUMMYFUNCTION("""COMPUTED_VALUE"""),192.7)</f>
        <v>192.7</v>
      </c>
      <c r="S944" s="142">
        <f>IFERROR(__xludf.DUMMYFUNCTION("""COMPUTED_VALUE"""),0.0)</f>
        <v>0</v>
      </c>
      <c r="T944" s="5">
        <f>IFERROR(__xludf.DUMMYFUNCTION("""COMPUTED_VALUE"""),3.0)</f>
        <v>3</v>
      </c>
      <c r="U944" s="5">
        <f>IFERROR(__xludf.DUMMYFUNCTION("""COMPUTED_VALUE"""),1.0)</f>
        <v>1</v>
      </c>
      <c r="V944" s="22">
        <f>IFERROR(__xludf.DUMMYFUNCTION("""COMPUTED_VALUE"""),4924.315999999992)</f>
        <v>4924.316</v>
      </c>
      <c r="W944" s="9">
        <f>IFERROR(__xludf.DUMMYFUNCTION("""COMPUTED_VALUE"""),504924.316)</f>
        <v>504924.316</v>
      </c>
      <c r="X944" s="22">
        <f>IFERROR(__xludf.DUMMYFUNCTION("""COMPUTED_VALUE"""),30466.4694)</f>
        <v>30466.4694</v>
      </c>
      <c r="Y944" s="22">
        <f>IFERROR(__xludf.DUMMYFUNCTION("""COMPUTED_VALUE"""),0.0)</f>
        <v>0</v>
      </c>
      <c r="Z944" s="24">
        <f>IFERROR(__xludf.DUMMYFUNCTION("""COMPUTED_VALUE"""),0.009848631999999968)</f>
        <v>0.009848632</v>
      </c>
    </row>
    <row r="945">
      <c r="A945" s="5" t="str">
        <f>IFERROR(__xludf.DUMMYFUNCTION("""COMPUTED_VALUE"""),"")</f>
        <v/>
      </c>
      <c r="B945" s="5" t="str">
        <f>IFERROR(__xludf.DUMMYFUNCTION("""COMPUTED_VALUE"""),"77603")</f>
        <v>77603</v>
      </c>
      <c r="C945" s="9">
        <f>IFERROR(__xludf.DUMMYFUNCTION("""COMPUTED_VALUE"""),4.4597000053E10)</f>
        <v>44597000053</v>
      </c>
      <c r="D945" s="85" t="str">
        <f>IFERROR(__xludf.DUMMYFUNCTION("""COMPUTED_VALUE"""),"Cash")</f>
        <v>Cash</v>
      </c>
      <c r="E945" s="193">
        <f>IFERROR(__xludf.DUMMYFUNCTION("""COMPUTED_VALUE"""),44597.0)</f>
        <v>44597</v>
      </c>
      <c r="F945" s="5" t="str">
        <f>IFERROR(__xludf.DUMMYFUNCTION("""COMPUTED_VALUE"""),"Cash")</f>
        <v>Cash</v>
      </c>
      <c r="G945" s="5" t="str">
        <f>IFERROR(__xludf.DUMMYFUNCTION("""COMPUTED_VALUE"""),"HKD")</f>
        <v>HKD</v>
      </c>
      <c r="H945" s="22" t="str">
        <f>IFERROR(__xludf.DUMMYFUNCTION("""COMPUTED_VALUE"""),"")</f>
        <v/>
      </c>
      <c r="I945" s="194">
        <f>IFERROR(__xludf.DUMMYFUNCTION("""COMPUTED_VALUE"""),1.0)</f>
        <v>1</v>
      </c>
      <c r="J945" s="5">
        <f>IFERROR(__xludf.DUMMYFUNCTION("""COMPUTED_VALUE"""),1.0)</f>
        <v>1</v>
      </c>
      <c r="K945" s="5"/>
      <c r="L945" s="23">
        <f>IFERROR(__xludf.DUMMYFUNCTION("""COMPUTED_VALUE"""),1.0)</f>
        <v>1</v>
      </c>
      <c r="M945" s="25" t="str">
        <f>IFERROR(__xludf.DUMMYFUNCTION("""COMPUTED_VALUE"""),"")</f>
        <v/>
      </c>
      <c r="N945" s="5"/>
      <c r="O945" s="5"/>
      <c r="P945" s="142">
        <f>IFERROR(__xludf.DUMMYFUNCTION("""COMPUTED_VALUE"""),500000.0)</f>
        <v>500000</v>
      </c>
      <c r="Q945" s="5"/>
      <c r="R945" s="71">
        <f>IFERROR(__xludf.DUMMYFUNCTION("""COMPUTED_VALUE"""),1.0)</f>
        <v>1</v>
      </c>
      <c r="S945" s="142" t="str">
        <f>IFERROR(__xludf.DUMMYFUNCTION("""COMPUTED_VALUE"""),"")</f>
        <v/>
      </c>
      <c r="T945" s="5">
        <f>IFERROR(__xludf.DUMMYFUNCTION("""COMPUTED_VALUE"""),1.0)</f>
        <v>1</v>
      </c>
      <c r="U945" s="5">
        <f>IFERROR(__xludf.DUMMYFUNCTION("""COMPUTED_VALUE"""),1.0)</f>
        <v>1</v>
      </c>
      <c r="V945" s="22">
        <f>IFERROR(__xludf.DUMMYFUNCTION("""COMPUTED_VALUE"""),500000.0)</f>
        <v>500000</v>
      </c>
      <c r="W945" s="9" t="str">
        <f>IFERROR(__xludf.DUMMYFUNCTION("""COMPUTED_VALUE"""),"")</f>
        <v/>
      </c>
      <c r="X945" s="22" t="str">
        <f>IFERROR(__xludf.DUMMYFUNCTION("""COMPUTED_VALUE"""),"")</f>
        <v/>
      </c>
      <c r="Y945" s="22" t="str">
        <f>IFERROR(__xludf.DUMMYFUNCTION("""COMPUTED_VALUE"""),"")</f>
        <v/>
      </c>
      <c r="Z945" s="24" t="str">
        <f>IFERROR(__xludf.DUMMYFUNCTION("""COMPUTED_VALUE"""),"")</f>
        <v/>
      </c>
    </row>
    <row r="946">
      <c r="A946" s="5" t="str">
        <f>IFERROR(__xludf.DUMMYFUNCTION("""COMPUTED_VALUE"""),"")</f>
        <v/>
      </c>
      <c r="B946" s="5" t="str">
        <f>IFERROR(__xludf.DUMMYFUNCTION("""COMPUTED_VALUE"""),"77603")</f>
        <v>77603</v>
      </c>
      <c r="C946" s="9">
        <f>IFERROR(__xludf.DUMMYFUNCTION("""COMPUTED_VALUE"""),4.4634000533E10)</f>
        <v>44634000533</v>
      </c>
      <c r="D946" s="90" t="str">
        <f>IFERROR(__xludf.DUMMYFUNCTION("""COMPUTED_VALUE"""),"1024.HK")</f>
        <v>1024.HK</v>
      </c>
      <c r="E946" s="193">
        <f>IFERROR(__xludf.DUMMYFUNCTION("""COMPUTED_VALUE"""),44634.0)</f>
        <v>44634</v>
      </c>
      <c r="F946" s="5" t="str">
        <f>IFERROR(__xludf.DUMMYFUNCTION("""COMPUTED_VALUE"""),"Stock")</f>
        <v>Stock</v>
      </c>
      <c r="G946" s="5" t="str">
        <f>IFERROR(__xludf.DUMMYFUNCTION("""COMPUTED_VALUE"""),"HKD")</f>
        <v>HKD</v>
      </c>
      <c r="H946" s="22">
        <f>IFERROR(__xludf.DUMMYFUNCTION("""COMPUTED_VALUE"""),7000.0)</f>
        <v>7000</v>
      </c>
      <c r="I946" s="194">
        <f>IFERROR(__xludf.DUMMYFUNCTION("""COMPUTED_VALUE"""),1.0)</f>
        <v>1</v>
      </c>
      <c r="J946" s="23">
        <f>IFERROR(__xludf.DUMMYFUNCTION("""COMPUTED_VALUE"""),60.2)</f>
        <v>60.2</v>
      </c>
      <c r="K946" s="5"/>
      <c r="L946" s="23">
        <f>IFERROR(__xludf.DUMMYFUNCTION("""COMPUTED_VALUE"""),64.0)</f>
        <v>64</v>
      </c>
      <c r="M946" s="195" t="str">
        <f>IFERROR(__xludf.DUMMYFUNCTION("""COMPUTED_VALUE"""),"Equity Key Stats")</f>
        <v>Equity Key Stats</v>
      </c>
      <c r="N946" s="5"/>
      <c r="O946" s="5"/>
      <c r="P946" s="142">
        <f>IFERROR(__xludf.DUMMYFUNCTION("""COMPUTED_VALUE"""),-421400.0)</f>
        <v>-421400</v>
      </c>
      <c r="Q946" s="5"/>
      <c r="R946" s="71">
        <f>IFERROR(__xludf.DUMMYFUNCTION("""COMPUTED_VALUE"""),64.0)</f>
        <v>64</v>
      </c>
      <c r="S946" s="142">
        <f>IFERROR(__xludf.DUMMYFUNCTION("""COMPUTED_VALUE"""),448000.0)</f>
        <v>448000</v>
      </c>
      <c r="T946" s="5">
        <f>IFERROR(__xludf.DUMMYFUNCTION("""COMPUTED_VALUE"""),3.0)</f>
        <v>3</v>
      </c>
      <c r="U946" s="5" t="str">
        <f>IFERROR(__xludf.DUMMYFUNCTION("""COMPUTED_VALUE"""),"")</f>
        <v/>
      </c>
      <c r="V946" s="22" t="str">
        <f>IFERROR(__xludf.DUMMYFUNCTION("""COMPUTED_VALUE"""),"")</f>
        <v/>
      </c>
      <c r="W946" s="9" t="str">
        <f>IFERROR(__xludf.DUMMYFUNCTION("""COMPUTED_VALUE"""),"")</f>
        <v/>
      </c>
      <c r="X946" s="22" t="str">
        <f>IFERROR(__xludf.DUMMYFUNCTION("""COMPUTED_VALUE"""),"")</f>
        <v/>
      </c>
      <c r="Y946" s="22" t="str">
        <f>IFERROR(__xludf.DUMMYFUNCTION("""COMPUTED_VALUE"""),"")</f>
        <v/>
      </c>
      <c r="Z946" s="24" t="str">
        <f>IFERROR(__xludf.DUMMYFUNCTION("""COMPUTED_VALUE"""),"")</f>
        <v/>
      </c>
    </row>
    <row r="947">
      <c r="A947" s="5" t="str">
        <f>IFERROR(__xludf.DUMMYFUNCTION("""COMPUTED_VALUE"""),"")</f>
        <v/>
      </c>
      <c r="B947" s="5" t="str">
        <f>IFERROR(__xludf.DUMMYFUNCTION("""COMPUTED_VALUE"""),"77603")</f>
        <v>77603</v>
      </c>
      <c r="C947" s="9">
        <f>IFERROR(__xludf.DUMMYFUNCTION("""COMPUTED_VALUE"""),4.4651001049E10)</f>
        <v>44651001049</v>
      </c>
      <c r="D947" s="90" t="str">
        <f>IFERROR(__xludf.DUMMYFUNCTION("""COMPUTED_VALUE"""),"9888.HK")</f>
        <v>9888.HK</v>
      </c>
      <c r="E947" s="193">
        <f>IFERROR(__xludf.DUMMYFUNCTION("""COMPUTED_VALUE"""),44651.0)</f>
        <v>44651</v>
      </c>
      <c r="F947" s="5" t="str">
        <f>IFERROR(__xludf.DUMMYFUNCTION("""COMPUTED_VALUE"""),"Stock")</f>
        <v>Stock</v>
      </c>
      <c r="G947" s="5" t="str">
        <f>IFERROR(__xludf.DUMMYFUNCTION("""COMPUTED_VALUE"""),"HKD")</f>
        <v>HKD</v>
      </c>
      <c r="H947" s="22">
        <f>IFERROR(__xludf.DUMMYFUNCTION("""COMPUTED_VALUE"""),0.0)</f>
        <v>0</v>
      </c>
      <c r="I947" s="194">
        <f>IFERROR(__xludf.DUMMYFUNCTION("""COMPUTED_VALUE"""),1.0)</f>
        <v>1</v>
      </c>
      <c r="J947" s="23">
        <f>IFERROR(__xludf.DUMMYFUNCTION("""COMPUTED_VALUE"""),0.0)</f>
        <v>0</v>
      </c>
      <c r="K947" s="5"/>
      <c r="L947" s="23">
        <f>IFERROR(__xludf.DUMMYFUNCTION("""COMPUTED_VALUE"""),128.9)</f>
        <v>128.9</v>
      </c>
      <c r="M947" s="195" t="str">
        <f>IFERROR(__xludf.DUMMYFUNCTION("""COMPUTED_VALUE"""),"Equity Key Stats")</f>
        <v>Equity Key Stats</v>
      </c>
      <c r="N947" s="5"/>
      <c r="O947" s="5"/>
      <c r="P947" s="142">
        <f>IFERROR(__xludf.DUMMYFUNCTION("""COMPUTED_VALUE"""),0.0)</f>
        <v>0</v>
      </c>
      <c r="Q947" s="5"/>
      <c r="R947" s="71">
        <f>IFERROR(__xludf.DUMMYFUNCTION("""COMPUTED_VALUE"""),128.9)</f>
        <v>128.9</v>
      </c>
      <c r="S947" s="142">
        <f>IFERROR(__xludf.DUMMYFUNCTION("""COMPUTED_VALUE"""),0.0)</f>
        <v>0</v>
      </c>
      <c r="T947" s="5">
        <f>IFERROR(__xludf.DUMMYFUNCTION("""COMPUTED_VALUE"""),2.0)</f>
        <v>2</v>
      </c>
      <c r="U947" s="5" t="str">
        <f>IFERROR(__xludf.DUMMYFUNCTION("""COMPUTED_VALUE"""),"")</f>
        <v/>
      </c>
      <c r="V947" s="22" t="str">
        <f>IFERROR(__xludf.DUMMYFUNCTION("""COMPUTED_VALUE"""),"")</f>
        <v/>
      </c>
      <c r="W947" s="9" t="str">
        <f>IFERROR(__xludf.DUMMYFUNCTION("""COMPUTED_VALUE"""),"")</f>
        <v/>
      </c>
      <c r="X947" s="22" t="str">
        <f>IFERROR(__xludf.DUMMYFUNCTION("""COMPUTED_VALUE"""),"")</f>
        <v/>
      </c>
      <c r="Y947" s="22" t="str">
        <f>IFERROR(__xludf.DUMMYFUNCTION("""COMPUTED_VALUE"""),"")</f>
        <v/>
      </c>
      <c r="Z947" s="24" t="str">
        <f>IFERROR(__xludf.DUMMYFUNCTION("""COMPUTED_VALUE"""),"")</f>
        <v/>
      </c>
    </row>
    <row r="948">
      <c r="A948" s="5" t="str">
        <f>IFERROR(__xludf.DUMMYFUNCTION("""COMPUTED_VALUE"""),"")</f>
        <v/>
      </c>
      <c r="B948" s="5" t="str">
        <f>IFERROR(__xludf.DUMMYFUNCTION("""COMPUTED_VALUE"""),"77603")</f>
        <v>77603</v>
      </c>
      <c r="C948" s="9">
        <f>IFERROR(__xludf.DUMMYFUNCTION("""COMPUTED_VALUE"""),4.4652001077E10)</f>
        <v>44652001077</v>
      </c>
      <c r="D948" s="90" t="str">
        <f>IFERROR(__xludf.DUMMYFUNCTION("""COMPUTED_VALUE"""),"9888.HK")</f>
        <v>9888.HK</v>
      </c>
      <c r="E948" s="193">
        <f>IFERROR(__xludf.DUMMYFUNCTION("""COMPUTED_VALUE"""),44652.0)</f>
        <v>44652</v>
      </c>
      <c r="F948" s="5" t="str">
        <f>IFERROR(__xludf.DUMMYFUNCTION("""COMPUTED_VALUE"""),"Stock")</f>
        <v>Stock</v>
      </c>
      <c r="G948" s="5" t="str">
        <f>IFERROR(__xludf.DUMMYFUNCTION("""COMPUTED_VALUE"""),"HKD")</f>
        <v>HKD</v>
      </c>
      <c r="H948" s="22">
        <f>IFERROR(__xludf.DUMMYFUNCTION("""COMPUTED_VALUE"""),0.0)</f>
        <v>0</v>
      </c>
      <c r="I948" s="194">
        <f>IFERROR(__xludf.DUMMYFUNCTION("""COMPUTED_VALUE"""),1.0)</f>
        <v>1</v>
      </c>
      <c r="J948" s="23">
        <f>IFERROR(__xludf.DUMMYFUNCTION("""COMPUTED_VALUE"""),0.0)</f>
        <v>0</v>
      </c>
      <c r="K948" s="5"/>
      <c r="L948" s="23">
        <f>IFERROR(__xludf.DUMMYFUNCTION("""COMPUTED_VALUE"""),128.9)</f>
        <v>128.9</v>
      </c>
      <c r="M948" s="195" t="str">
        <f>IFERROR(__xludf.DUMMYFUNCTION("""COMPUTED_VALUE"""),"Equity Key Stats")</f>
        <v>Equity Key Stats</v>
      </c>
      <c r="N948" s="5"/>
      <c r="O948" s="5"/>
      <c r="P948" s="142">
        <f>IFERROR(__xludf.DUMMYFUNCTION("""COMPUTED_VALUE"""),0.0)</f>
        <v>0</v>
      </c>
      <c r="Q948" s="5"/>
      <c r="R948" s="71">
        <f>IFERROR(__xludf.DUMMYFUNCTION("""COMPUTED_VALUE"""),128.9)</f>
        <v>128.9</v>
      </c>
      <c r="S948" s="142">
        <f>IFERROR(__xludf.DUMMYFUNCTION("""COMPUTED_VALUE"""),0.0)</f>
        <v>0</v>
      </c>
      <c r="T948" s="5">
        <f>IFERROR(__xludf.DUMMYFUNCTION("""COMPUTED_VALUE"""),2.0)</f>
        <v>2</v>
      </c>
      <c r="U948" s="5">
        <f>IFERROR(__xludf.DUMMYFUNCTION("""COMPUTED_VALUE"""),1.0)</f>
        <v>1</v>
      </c>
      <c r="V948" s="22">
        <f>IFERROR(__xludf.DUMMYFUNCTION("""COMPUTED_VALUE"""),0.0)</f>
        <v>0</v>
      </c>
      <c r="W948" s="9" t="str">
        <f>IFERROR(__xludf.DUMMYFUNCTION("""COMPUTED_VALUE"""),"")</f>
        <v/>
      </c>
      <c r="X948" s="22" t="str">
        <f>IFERROR(__xludf.DUMMYFUNCTION("""COMPUTED_VALUE"""),"")</f>
        <v/>
      </c>
      <c r="Y948" s="22" t="str">
        <f>IFERROR(__xludf.DUMMYFUNCTION("""COMPUTED_VALUE"""),"")</f>
        <v/>
      </c>
      <c r="Z948" s="24" t="str">
        <f>IFERROR(__xludf.DUMMYFUNCTION("""COMPUTED_VALUE"""),"")</f>
        <v/>
      </c>
    </row>
    <row r="949">
      <c r="A949" s="5" t="str">
        <f>IFERROR(__xludf.DUMMYFUNCTION("""COMPUTED_VALUE"""),"")</f>
        <v/>
      </c>
      <c r="B949" s="5" t="str">
        <f>IFERROR(__xludf.DUMMYFUNCTION("""COMPUTED_VALUE"""),"77603")</f>
        <v>77603</v>
      </c>
      <c r="C949" s="9">
        <f>IFERROR(__xludf.DUMMYFUNCTION("""COMPUTED_VALUE"""),4.4657001163E10)</f>
        <v>44657001163</v>
      </c>
      <c r="D949" s="90" t="str">
        <f>IFERROR(__xludf.DUMMYFUNCTION("""COMPUTED_VALUE"""),"1024.HK")</f>
        <v>1024.HK</v>
      </c>
      <c r="E949" s="193">
        <f>IFERROR(__xludf.DUMMYFUNCTION("""COMPUTED_VALUE"""),44657.0)</f>
        <v>44657</v>
      </c>
      <c r="F949" s="5" t="str">
        <f>IFERROR(__xludf.DUMMYFUNCTION("""COMPUTED_VALUE"""),"Stock")</f>
        <v>Stock</v>
      </c>
      <c r="G949" s="5" t="str">
        <f>IFERROR(__xludf.DUMMYFUNCTION("""COMPUTED_VALUE"""),"HKD")</f>
        <v>HKD</v>
      </c>
      <c r="H949" s="22">
        <f>IFERROR(__xludf.DUMMYFUNCTION("""COMPUTED_VALUE"""),0.0)</f>
        <v>0</v>
      </c>
      <c r="I949" s="194">
        <f>IFERROR(__xludf.DUMMYFUNCTION("""COMPUTED_VALUE"""),1.0)</f>
        <v>1</v>
      </c>
      <c r="J949" s="23">
        <f>IFERROR(__xludf.DUMMYFUNCTION("""COMPUTED_VALUE"""),0.0)</f>
        <v>0</v>
      </c>
      <c r="K949" s="5"/>
      <c r="L949" s="23">
        <f>IFERROR(__xludf.DUMMYFUNCTION("""COMPUTED_VALUE"""),64.0)</f>
        <v>64</v>
      </c>
      <c r="M949" s="195" t="str">
        <f>IFERROR(__xludf.DUMMYFUNCTION("""COMPUTED_VALUE"""),"Equity Key Stats")</f>
        <v>Equity Key Stats</v>
      </c>
      <c r="N949" s="5"/>
      <c r="O949" s="5"/>
      <c r="P949" s="142">
        <f>IFERROR(__xludf.DUMMYFUNCTION("""COMPUTED_VALUE"""),0.0)</f>
        <v>0</v>
      </c>
      <c r="Q949" s="5"/>
      <c r="R949" s="71">
        <f>IFERROR(__xludf.DUMMYFUNCTION("""COMPUTED_VALUE"""),64.0)</f>
        <v>64</v>
      </c>
      <c r="S949" s="142">
        <f>IFERROR(__xludf.DUMMYFUNCTION("""COMPUTED_VALUE"""),0.0)</f>
        <v>0</v>
      </c>
      <c r="T949" s="5">
        <f>IFERROR(__xludf.DUMMYFUNCTION("""COMPUTED_VALUE"""),3.0)</f>
        <v>3</v>
      </c>
      <c r="U949" s="5" t="str">
        <f>IFERROR(__xludf.DUMMYFUNCTION("""COMPUTED_VALUE"""),"")</f>
        <v/>
      </c>
      <c r="V949" s="22" t="str">
        <f>IFERROR(__xludf.DUMMYFUNCTION("""COMPUTED_VALUE"""),"")</f>
        <v/>
      </c>
      <c r="W949" s="9" t="str">
        <f>IFERROR(__xludf.DUMMYFUNCTION("""COMPUTED_VALUE"""),"")</f>
        <v/>
      </c>
      <c r="X949" s="22" t="str">
        <f>IFERROR(__xludf.DUMMYFUNCTION("""COMPUTED_VALUE"""),"")</f>
        <v/>
      </c>
      <c r="Y949" s="22" t="str">
        <f>IFERROR(__xludf.DUMMYFUNCTION("""COMPUTED_VALUE"""),"")</f>
        <v/>
      </c>
      <c r="Z949" s="24" t="str">
        <f>IFERROR(__xludf.DUMMYFUNCTION("""COMPUTED_VALUE"""),"")</f>
        <v/>
      </c>
    </row>
    <row r="950">
      <c r="A950" s="5" t="str">
        <f>IFERROR(__xludf.DUMMYFUNCTION("""COMPUTED_VALUE"""),"")</f>
        <v/>
      </c>
      <c r="B950" s="5" t="str">
        <f>IFERROR(__xludf.DUMMYFUNCTION("""COMPUTED_VALUE"""),"77603")</f>
        <v>77603</v>
      </c>
      <c r="C950" s="9">
        <f>IFERROR(__xludf.DUMMYFUNCTION("""COMPUTED_VALUE"""),4.4657001165E10)</f>
        <v>44657001165</v>
      </c>
      <c r="D950" s="90" t="str">
        <f>IFERROR(__xludf.DUMMYFUNCTION("""COMPUTED_VALUE"""),"0006.HK")</f>
        <v>0006.HK</v>
      </c>
      <c r="E950" s="193">
        <f>IFERROR(__xludf.DUMMYFUNCTION("""COMPUTED_VALUE"""),44657.0)</f>
        <v>44657</v>
      </c>
      <c r="F950" s="5" t="str">
        <f>IFERROR(__xludf.DUMMYFUNCTION("""COMPUTED_VALUE"""),"Stock")</f>
        <v>Stock</v>
      </c>
      <c r="G950" s="5" t="str">
        <f>IFERROR(__xludf.DUMMYFUNCTION("""COMPUTED_VALUE"""),"HKD")</f>
        <v>HKD</v>
      </c>
      <c r="H950" s="22">
        <f>IFERROR(__xludf.DUMMYFUNCTION("""COMPUTED_VALUE"""),1000.0)</f>
        <v>1000</v>
      </c>
      <c r="I950" s="194">
        <f>IFERROR(__xludf.DUMMYFUNCTION("""COMPUTED_VALUE"""),1.0)</f>
        <v>1</v>
      </c>
      <c r="J950" s="23">
        <f>IFERROR(__xludf.DUMMYFUNCTION("""COMPUTED_VALUE"""),51.4)</f>
        <v>51.4</v>
      </c>
      <c r="K950" s="5"/>
      <c r="L950" s="23">
        <f>IFERROR(__xludf.DUMMYFUNCTION("""COMPUTED_VALUE"""),52.2)</f>
        <v>52.2</v>
      </c>
      <c r="M950" s="195" t="str">
        <f>IFERROR(__xludf.DUMMYFUNCTION("""COMPUTED_VALUE"""),"Equity Key Stats")</f>
        <v>Equity Key Stats</v>
      </c>
      <c r="N950" s="5"/>
      <c r="O950" s="5"/>
      <c r="P950" s="142">
        <f>IFERROR(__xludf.DUMMYFUNCTION("""COMPUTED_VALUE"""),-51400.0)</f>
        <v>-51400</v>
      </c>
      <c r="Q950" s="5"/>
      <c r="R950" s="71">
        <f>IFERROR(__xludf.DUMMYFUNCTION("""COMPUTED_VALUE"""),52.2)</f>
        <v>52.2</v>
      </c>
      <c r="S950" s="142">
        <f>IFERROR(__xludf.DUMMYFUNCTION("""COMPUTED_VALUE"""),52200.0)</f>
        <v>52200</v>
      </c>
      <c r="T950" s="5">
        <f>IFERROR(__xludf.DUMMYFUNCTION("""COMPUTED_VALUE"""),1.0)</f>
        <v>1</v>
      </c>
      <c r="U950" s="5">
        <f>IFERROR(__xludf.DUMMYFUNCTION("""COMPUTED_VALUE"""),1.0)</f>
        <v>1</v>
      </c>
      <c r="V950" s="22">
        <f>IFERROR(__xludf.DUMMYFUNCTION("""COMPUTED_VALUE"""),800.0)</f>
        <v>800</v>
      </c>
      <c r="W950" s="9" t="str">
        <f>IFERROR(__xludf.DUMMYFUNCTION("""COMPUTED_VALUE"""),"")</f>
        <v/>
      </c>
      <c r="X950" s="22" t="str">
        <f>IFERROR(__xludf.DUMMYFUNCTION("""COMPUTED_VALUE"""),"")</f>
        <v/>
      </c>
      <c r="Y950" s="22" t="str">
        <f>IFERROR(__xludf.DUMMYFUNCTION("""COMPUTED_VALUE"""),"")</f>
        <v/>
      </c>
      <c r="Z950" s="24" t="str">
        <f>IFERROR(__xludf.DUMMYFUNCTION("""COMPUTED_VALUE"""),"")</f>
        <v/>
      </c>
    </row>
    <row r="951">
      <c r="A951" s="5" t="str">
        <f>IFERROR(__xludf.DUMMYFUNCTION("""COMPUTED_VALUE"""),"")</f>
        <v/>
      </c>
      <c r="B951" s="5" t="str">
        <f>IFERROR(__xludf.DUMMYFUNCTION("""COMPUTED_VALUE"""),"77603")</f>
        <v>77603</v>
      </c>
      <c r="C951" s="9">
        <f>IFERROR(__xludf.DUMMYFUNCTION("""COMPUTED_VALUE"""),4.4658001191E10)</f>
        <v>44658001191</v>
      </c>
      <c r="D951" s="90" t="str">
        <f>IFERROR(__xludf.DUMMYFUNCTION("""COMPUTED_VALUE"""),"9988.HK")</f>
        <v>9988.HK</v>
      </c>
      <c r="E951" s="193">
        <f>IFERROR(__xludf.DUMMYFUNCTION("""COMPUTED_VALUE"""),44658.0)</f>
        <v>44658</v>
      </c>
      <c r="F951" s="5" t="str">
        <f>IFERROR(__xludf.DUMMYFUNCTION("""COMPUTED_VALUE"""),"Stock")</f>
        <v>Stock</v>
      </c>
      <c r="G951" s="5" t="str">
        <f>IFERROR(__xludf.DUMMYFUNCTION("""COMPUTED_VALUE"""),"HKD")</f>
        <v>HKD</v>
      </c>
      <c r="H951" s="22" t="str">
        <f>IFERROR(__xludf.DUMMYFUNCTION("""COMPUTED_VALUE"""),"")</f>
        <v/>
      </c>
      <c r="I951" s="194">
        <f>IFERROR(__xludf.DUMMYFUNCTION("""COMPUTED_VALUE"""),1.0)</f>
        <v>1</v>
      </c>
      <c r="J951" s="23">
        <f>IFERROR(__xludf.DUMMYFUNCTION("""COMPUTED_VALUE"""),105.2)</f>
        <v>105.2</v>
      </c>
      <c r="K951" s="5"/>
      <c r="L951" s="23">
        <f>IFERROR(__xludf.DUMMYFUNCTION("""COMPUTED_VALUE"""),98.5)</f>
        <v>98.5</v>
      </c>
      <c r="M951" s="195" t="str">
        <f>IFERROR(__xludf.DUMMYFUNCTION("""COMPUTED_VALUE"""),"Equity Key Stats")</f>
        <v>Equity Key Stats</v>
      </c>
      <c r="N951" s="5"/>
      <c r="O951" s="5"/>
      <c r="P951" s="142">
        <f>IFERROR(__xludf.DUMMYFUNCTION("""COMPUTED_VALUE"""),0.0)</f>
        <v>0</v>
      </c>
      <c r="Q951" s="5"/>
      <c r="R951" s="71">
        <f>IFERROR(__xludf.DUMMYFUNCTION("""COMPUTED_VALUE"""),98.5)</f>
        <v>98.5</v>
      </c>
      <c r="S951" s="142">
        <f>IFERROR(__xludf.DUMMYFUNCTION("""COMPUTED_VALUE"""),0.0)</f>
        <v>0</v>
      </c>
      <c r="T951" s="5">
        <f>IFERROR(__xludf.DUMMYFUNCTION("""COMPUTED_VALUE"""),1.0)</f>
        <v>1</v>
      </c>
      <c r="U951" s="5">
        <f>IFERROR(__xludf.DUMMYFUNCTION("""COMPUTED_VALUE"""),1.0)</f>
        <v>1</v>
      </c>
      <c r="V951" s="22">
        <f>IFERROR(__xludf.DUMMYFUNCTION("""COMPUTED_VALUE"""),0.0)</f>
        <v>0</v>
      </c>
      <c r="W951" s="9" t="str">
        <f>IFERROR(__xludf.DUMMYFUNCTION("""COMPUTED_VALUE"""),"")</f>
        <v/>
      </c>
      <c r="X951" s="22" t="str">
        <f>IFERROR(__xludf.DUMMYFUNCTION("""COMPUTED_VALUE"""),"")</f>
        <v/>
      </c>
      <c r="Y951" s="22" t="str">
        <f>IFERROR(__xludf.DUMMYFUNCTION("""COMPUTED_VALUE"""),"")</f>
        <v/>
      </c>
      <c r="Z951" s="24" t="str">
        <f>IFERROR(__xludf.DUMMYFUNCTION("""COMPUTED_VALUE"""),"")</f>
        <v/>
      </c>
    </row>
    <row r="952">
      <c r="A952" s="5" t="str">
        <f>IFERROR(__xludf.DUMMYFUNCTION("""COMPUTED_VALUE"""),"77603")</f>
        <v>77603</v>
      </c>
      <c r="B952" s="5" t="str">
        <f>IFERROR(__xludf.DUMMYFUNCTION("""COMPUTED_VALUE"""),"77603")</f>
        <v>77603</v>
      </c>
      <c r="C952" s="9">
        <f>IFERROR(__xludf.DUMMYFUNCTION("""COMPUTED_VALUE"""),4.4663001405E10)</f>
        <v>44663001405</v>
      </c>
      <c r="D952" s="91" t="str">
        <f>IFERROR(__xludf.DUMMYFUNCTION("""COMPUTED_VALUE"""),"1024.HK")</f>
        <v>1024.HK</v>
      </c>
      <c r="E952" s="193">
        <f>IFERROR(__xludf.DUMMYFUNCTION("""COMPUTED_VALUE"""),44663.0)</f>
        <v>44663</v>
      </c>
      <c r="F952" s="5" t="str">
        <f>IFERROR(__xludf.DUMMYFUNCTION("""COMPUTED_VALUE"""),"Stock")</f>
        <v>Stock</v>
      </c>
      <c r="G952" s="5" t="str">
        <f>IFERROR(__xludf.DUMMYFUNCTION("""COMPUTED_VALUE"""),"HKD")</f>
        <v>HKD</v>
      </c>
      <c r="H952" s="22">
        <f>IFERROR(__xludf.DUMMYFUNCTION("""COMPUTED_VALUE"""),0.0)</f>
        <v>0</v>
      </c>
      <c r="I952" s="194">
        <f>IFERROR(__xludf.DUMMYFUNCTION("""COMPUTED_VALUE"""),1.0)</f>
        <v>1</v>
      </c>
      <c r="J952" s="23">
        <f>IFERROR(__xludf.DUMMYFUNCTION("""COMPUTED_VALUE"""),0.0)</f>
        <v>0</v>
      </c>
      <c r="K952" s="5"/>
      <c r="L952" s="23">
        <f>IFERROR(__xludf.DUMMYFUNCTION("""COMPUTED_VALUE"""),64.0)</f>
        <v>64</v>
      </c>
      <c r="M952" s="195" t="str">
        <f>IFERROR(__xludf.DUMMYFUNCTION("""COMPUTED_VALUE"""),"Equity Key Stats")</f>
        <v>Equity Key Stats</v>
      </c>
      <c r="N952" s="5"/>
      <c r="O952" s="5"/>
      <c r="P952" s="142">
        <f>IFERROR(__xludf.DUMMYFUNCTION("""COMPUTED_VALUE"""),0.0)</f>
        <v>0</v>
      </c>
      <c r="Q952" s="5"/>
      <c r="R952" s="71">
        <f>IFERROR(__xludf.DUMMYFUNCTION("""COMPUTED_VALUE"""),64.0)</f>
        <v>64</v>
      </c>
      <c r="S952" s="142">
        <f>IFERROR(__xludf.DUMMYFUNCTION("""COMPUTED_VALUE"""),0.0)</f>
        <v>0</v>
      </c>
      <c r="T952" s="5">
        <f>IFERROR(__xludf.DUMMYFUNCTION("""COMPUTED_VALUE"""),3.0)</f>
        <v>3</v>
      </c>
      <c r="U952" s="5">
        <f>IFERROR(__xludf.DUMMYFUNCTION("""COMPUTED_VALUE"""),1.0)</f>
        <v>1</v>
      </c>
      <c r="V952" s="22">
        <f>IFERROR(__xludf.DUMMYFUNCTION("""COMPUTED_VALUE"""),26600.0)</f>
        <v>26600</v>
      </c>
      <c r="W952" s="9">
        <f>IFERROR(__xludf.DUMMYFUNCTION("""COMPUTED_VALUE"""),527400.0)</f>
        <v>527400</v>
      </c>
      <c r="X952" s="22">
        <f>IFERROR(__xludf.DUMMYFUNCTION("""COMPUTED_VALUE"""),27200.0)</f>
        <v>27200</v>
      </c>
      <c r="Y952" s="22">
        <f>IFERROR(__xludf.DUMMYFUNCTION("""COMPUTED_VALUE"""),0.0)</f>
        <v>0</v>
      </c>
      <c r="Z952" s="24">
        <f>IFERROR(__xludf.DUMMYFUNCTION("""COMPUTED_VALUE"""),0.05479999999999996)</f>
        <v>0.0548</v>
      </c>
    </row>
    <row r="953">
      <c r="A953" s="5" t="str">
        <f>IFERROR(__xludf.DUMMYFUNCTION("""COMPUTED_VALUE"""),"")</f>
        <v/>
      </c>
      <c r="B953" s="5" t="str">
        <f>IFERROR(__xludf.DUMMYFUNCTION("""COMPUTED_VALUE"""),"77665")</f>
        <v>77665</v>
      </c>
      <c r="C953" s="9">
        <f>IFERROR(__xludf.DUMMYFUNCTION("""COMPUTED_VALUE"""),4.4597000097E10)</f>
        <v>44597000097</v>
      </c>
      <c r="D953" s="85" t="str">
        <f>IFERROR(__xludf.DUMMYFUNCTION("""COMPUTED_VALUE"""),"Cash")</f>
        <v>Cash</v>
      </c>
      <c r="E953" s="193">
        <f>IFERROR(__xludf.DUMMYFUNCTION("""COMPUTED_VALUE"""),44597.0)</f>
        <v>44597</v>
      </c>
      <c r="F953" s="5" t="str">
        <f>IFERROR(__xludf.DUMMYFUNCTION("""COMPUTED_VALUE"""),"Cash")</f>
        <v>Cash</v>
      </c>
      <c r="G953" s="5" t="str">
        <f>IFERROR(__xludf.DUMMYFUNCTION("""COMPUTED_VALUE"""),"HKD")</f>
        <v>HKD</v>
      </c>
      <c r="H953" s="22" t="str">
        <f>IFERROR(__xludf.DUMMYFUNCTION("""COMPUTED_VALUE"""),"")</f>
        <v/>
      </c>
      <c r="I953" s="194">
        <f>IFERROR(__xludf.DUMMYFUNCTION("""COMPUTED_VALUE"""),1.0)</f>
        <v>1</v>
      </c>
      <c r="J953" s="5">
        <f>IFERROR(__xludf.DUMMYFUNCTION("""COMPUTED_VALUE"""),1.0)</f>
        <v>1</v>
      </c>
      <c r="K953" s="5"/>
      <c r="L953" s="23">
        <f>IFERROR(__xludf.DUMMYFUNCTION("""COMPUTED_VALUE"""),1.0)</f>
        <v>1</v>
      </c>
      <c r="M953" s="25" t="str">
        <f>IFERROR(__xludf.DUMMYFUNCTION("""COMPUTED_VALUE"""),"")</f>
        <v/>
      </c>
      <c r="N953" s="5"/>
      <c r="O953" s="5"/>
      <c r="P953" s="142">
        <f>IFERROR(__xludf.DUMMYFUNCTION("""COMPUTED_VALUE"""),500000.0)</f>
        <v>500000</v>
      </c>
      <c r="Q953" s="5"/>
      <c r="R953" s="71">
        <f>IFERROR(__xludf.DUMMYFUNCTION("""COMPUTED_VALUE"""),1.0)</f>
        <v>1</v>
      </c>
      <c r="S953" s="142" t="str">
        <f>IFERROR(__xludf.DUMMYFUNCTION("""COMPUTED_VALUE"""),"")</f>
        <v/>
      </c>
      <c r="T953" s="5">
        <f>IFERROR(__xludf.DUMMYFUNCTION("""COMPUTED_VALUE"""),1.0)</f>
        <v>1</v>
      </c>
      <c r="U953" s="5">
        <f>IFERROR(__xludf.DUMMYFUNCTION("""COMPUTED_VALUE"""),1.0)</f>
        <v>1</v>
      </c>
      <c r="V953" s="22">
        <f>IFERROR(__xludf.DUMMYFUNCTION("""COMPUTED_VALUE"""),500000.0)</f>
        <v>500000</v>
      </c>
      <c r="W953" s="9" t="str">
        <f>IFERROR(__xludf.DUMMYFUNCTION("""COMPUTED_VALUE"""),"")</f>
        <v/>
      </c>
      <c r="X953" s="22" t="str">
        <f>IFERROR(__xludf.DUMMYFUNCTION("""COMPUTED_VALUE"""),"")</f>
        <v/>
      </c>
      <c r="Y953" s="22" t="str">
        <f>IFERROR(__xludf.DUMMYFUNCTION("""COMPUTED_VALUE"""),"")</f>
        <v/>
      </c>
      <c r="Z953" s="24" t="str">
        <f>IFERROR(__xludf.DUMMYFUNCTION("""COMPUTED_VALUE"""),"")</f>
        <v/>
      </c>
    </row>
    <row r="954">
      <c r="A954" s="5" t="str">
        <f>IFERROR(__xludf.DUMMYFUNCTION("""COMPUTED_VALUE"""),"")</f>
        <v/>
      </c>
      <c r="B954" s="5" t="str">
        <f>IFERROR(__xludf.DUMMYFUNCTION("""COMPUTED_VALUE"""),"77665")</f>
        <v>77665</v>
      </c>
      <c r="C954" s="9">
        <f>IFERROR(__xludf.DUMMYFUNCTION("""COMPUTED_VALUE"""),4.4657001151E10)</f>
        <v>44657001151</v>
      </c>
      <c r="D954" s="87" t="str">
        <f>IFERROR(__xludf.DUMMYFUNCTION("""COMPUTED_VALUE"""),"KO")</f>
        <v>KO</v>
      </c>
      <c r="E954" s="193">
        <f>IFERROR(__xludf.DUMMYFUNCTION("""COMPUTED_VALUE"""),44657.0)</f>
        <v>44657</v>
      </c>
      <c r="F954" s="5" t="str">
        <f>IFERROR(__xludf.DUMMYFUNCTION("""COMPUTED_VALUE"""),"Stock")</f>
        <v>Stock</v>
      </c>
      <c r="G954" s="5" t="str">
        <f>IFERROR(__xludf.DUMMYFUNCTION("""COMPUTED_VALUE"""),"USD")</f>
        <v>USD</v>
      </c>
      <c r="H954" s="22">
        <f>IFERROR(__xludf.DUMMYFUNCTION("""COMPUTED_VALUE"""),10.0)</f>
        <v>10</v>
      </c>
      <c r="I954" s="194">
        <f>IFERROR(__xludf.DUMMYFUNCTION("""COMPUTED_VALUE"""),7.837775)</f>
        <v>7.837775</v>
      </c>
      <c r="J954" s="23">
        <f>IFERROR(__xludf.DUMMYFUNCTION("""COMPUTED_VALUE"""),63.1)</f>
        <v>63.1</v>
      </c>
      <c r="K954" s="5"/>
      <c r="L954" s="23">
        <f>IFERROR(__xludf.DUMMYFUNCTION("""COMPUTED_VALUE"""),64.74)</f>
        <v>64.74</v>
      </c>
      <c r="M954" s="195" t="str">
        <f>IFERROR(__xludf.DUMMYFUNCTION("""COMPUTED_VALUE"""),"Equity Key Stats")</f>
        <v>Equity Key Stats</v>
      </c>
      <c r="N954" s="5"/>
      <c r="O954" s="5"/>
      <c r="P954" s="142">
        <f>IFERROR(__xludf.DUMMYFUNCTION("""COMPUTED_VALUE"""),-4945.636025)</f>
        <v>-4945.636025</v>
      </c>
      <c r="Q954" s="5"/>
      <c r="R954" s="71">
        <f>IFERROR(__xludf.DUMMYFUNCTION("""COMPUTED_VALUE"""),64.74)</f>
        <v>64.74</v>
      </c>
      <c r="S954" s="142">
        <f>IFERROR(__xludf.DUMMYFUNCTION("""COMPUTED_VALUE"""),5074.175534999999)</f>
        <v>5074.175535</v>
      </c>
      <c r="T954" s="5">
        <f>IFERROR(__xludf.DUMMYFUNCTION("""COMPUTED_VALUE"""),2.0)</f>
        <v>2</v>
      </c>
      <c r="U954" s="5" t="str">
        <f>IFERROR(__xludf.DUMMYFUNCTION("""COMPUTED_VALUE"""),"")</f>
        <v/>
      </c>
      <c r="V954" s="22" t="str">
        <f>IFERROR(__xludf.DUMMYFUNCTION("""COMPUTED_VALUE"""),"")</f>
        <v/>
      </c>
      <c r="W954" s="9" t="str">
        <f>IFERROR(__xludf.DUMMYFUNCTION("""COMPUTED_VALUE"""),"")</f>
        <v/>
      </c>
      <c r="X954" s="22" t="str">
        <f>IFERROR(__xludf.DUMMYFUNCTION("""COMPUTED_VALUE"""),"")</f>
        <v/>
      </c>
      <c r="Y954" s="22" t="str">
        <f>IFERROR(__xludf.DUMMYFUNCTION("""COMPUTED_VALUE"""),"")</f>
        <v/>
      </c>
      <c r="Z954" s="24" t="str">
        <f>IFERROR(__xludf.DUMMYFUNCTION("""COMPUTED_VALUE"""),"")</f>
        <v/>
      </c>
    </row>
    <row r="955">
      <c r="A955" s="5" t="str">
        <f>IFERROR(__xludf.DUMMYFUNCTION("""COMPUTED_VALUE"""),"")</f>
        <v/>
      </c>
      <c r="B955" s="5" t="str">
        <f>IFERROR(__xludf.DUMMYFUNCTION("""COMPUTED_VALUE"""),"77665")</f>
        <v>77665</v>
      </c>
      <c r="C955" s="9">
        <f>IFERROR(__xludf.DUMMYFUNCTION("""COMPUTED_VALUE"""),4.4658001223E10)</f>
        <v>44658001223</v>
      </c>
      <c r="D955" s="85" t="str">
        <f>IFERROR(__xludf.DUMMYFUNCTION("""COMPUTED_VALUE"""),"KO")</f>
        <v>KO</v>
      </c>
      <c r="E955" s="193">
        <f>IFERROR(__xludf.DUMMYFUNCTION("""COMPUTED_VALUE"""),44658.0)</f>
        <v>44658</v>
      </c>
      <c r="F955" s="5" t="str">
        <f>IFERROR(__xludf.DUMMYFUNCTION("""COMPUTED_VALUE"""),"Stock")</f>
        <v>Stock</v>
      </c>
      <c r="G955" s="5" t="str">
        <f>IFERROR(__xludf.DUMMYFUNCTION("""COMPUTED_VALUE"""),"USD")</f>
        <v>USD</v>
      </c>
      <c r="H955" s="22">
        <f>IFERROR(__xludf.DUMMYFUNCTION("""COMPUTED_VALUE"""),50.0)</f>
        <v>50</v>
      </c>
      <c r="I955" s="194">
        <f>IFERROR(__xludf.DUMMYFUNCTION("""COMPUTED_VALUE"""),7.836645)</f>
        <v>7.836645</v>
      </c>
      <c r="J955" s="23">
        <f>IFERROR(__xludf.DUMMYFUNCTION("""COMPUTED_VALUE"""),63.46)</f>
        <v>63.46</v>
      </c>
      <c r="K955" s="5"/>
      <c r="L955" s="23">
        <f>IFERROR(__xludf.DUMMYFUNCTION("""COMPUTED_VALUE"""),64.74)</f>
        <v>64.74</v>
      </c>
      <c r="M955" s="195" t="str">
        <f>IFERROR(__xludf.DUMMYFUNCTION("""COMPUTED_VALUE"""),"Equity Key Stats")</f>
        <v>Equity Key Stats</v>
      </c>
      <c r="N955" s="5"/>
      <c r="O955" s="5"/>
      <c r="P955" s="142">
        <f>IFERROR(__xludf.DUMMYFUNCTION("""COMPUTED_VALUE"""),-24865.674585)</f>
        <v>-24865.67459</v>
      </c>
      <c r="Q955" s="5"/>
      <c r="R955" s="71">
        <f>IFERROR(__xludf.DUMMYFUNCTION("""COMPUTED_VALUE"""),64.74)</f>
        <v>64.74</v>
      </c>
      <c r="S955" s="142">
        <f>IFERROR(__xludf.DUMMYFUNCTION("""COMPUTED_VALUE"""),25367.219864999995)</f>
        <v>25367.21987</v>
      </c>
      <c r="T955" s="5">
        <f>IFERROR(__xludf.DUMMYFUNCTION("""COMPUTED_VALUE"""),2.0)</f>
        <v>2</v>
      </c>
      <c r="U955" s="5">
        <f>IFERROR(__xludf.DUMMYFUNCTION("""COMPUTED_VALUE"""),1.0)</f>
        <v>1</v>
      </c>
      <c r="V955" s="22">
        <f>IFERROR(__xludf.DUMMYFUNCTION("""COMPUTED_VALUE"""),630.0847899999935)</f>
        <v>630.08479</v>
      </c>
      <c r="W955" s="9" t="str">
        <f>IFERROR(__xludf.DUMMYFUNCTION("""COMPUTED_VALUE"""),"")</f>
        <v/>
      </c>
      <c r="X955" s="22" t="str">
        <f>IFERROR(__xludf.DUMMYFUNCTION("""COMPUTED_VALUE"""),"")</f>
        <v/>
      </c>
      <c r="Y955" s="22" t="str">
        <f>IFERROR(__xludf.DUMMYFUNCTION("""COMPUTED_VALUE"""),"")</f>
        <v/>
      </c>
      <c r="Z955" s="24" t="str">
        <f>IFERROR(__xludf.DUMMYFUNCTION("""COMPUTED_VALUE"""),"")</f>
        <v/>
      </c>
    </row>
    <row r="956">
      <c r="A956" s="5" t="str">
        <f>IFERROR(__xludf.DUMMYFUNCTION("""COMPUTED_VALUE"""),"")</f>
        <v/>
      </c>
      <c r="B956" s="5" t="str">
        <f>IFERROR(__xludf.DUMMYFUNCTION("""COMPUTED_VALUE"""),"77665")</f>
        <v>77665</v>
      </c>
      <c r="C956" s="9">
        <f>IFERROR(__xludf.DUMMYFUNCTION("""COMPUTED_VALUE"""),4.4658001224E10)</f>
        <v>44658001224</v>
      </c>
      <c r="D956" s="85" t="str">
        <f>IFERROR(__xludf.DUMMYFUNCTION("""COMPUTED_VALUE"""),"VNM")</f>
        <v>VNM</v>
      </c>
      <c r="E956" s="193">
        <f>IFERROR(__xludf.DUMMYFUNCTION("""COMPUTED_VALUE"""),44658.0)</f>
        <v>44658</v>
      </c>
      <c r="F956" s="5" t="str">
        <f>IFERROR(__xludf.DUMMYFUNCTION("""COMPUTED_VALUE"""),"Stock")</f>
        <v>Stock</v>
      </c>
      <c r="G956" s="5" t="str">
        <f>IFERROR(__xludf.DUMMYFUNCTION("""COMPUTED_VALUE"""),"USD")</f>
        <v>USD</v>
      </c>
      <c r="H956" s="22">
        <f>IFERROR(__xludf.DUMMYFUNCTION("""COMPUTED_VALUE"""),400.0)</f>
        <v>400</v>
      </c>
      <c r="I956" s="194">
        <f>IFERROR(__xludf.DUMMYFUNCTION("""COMPUTED_VALUE"""),7.836645)</f>
        <v>7.836645</v>
      </c>
      <c r="J956" s="23">
        <f>IFERROR(__xludf.DUMMYFUNCTION("""COMPUTED_VALUE"""),18.99)</f>
        <v>18.99</v>
      </c>
      <c r="K956" s="5"/>
      <c r="L956" s="23">
        <f>IFERROR(__xludf.DUMMYFUNCTION("""COMPUTED_VALUE"""),18.74)</f>
        <v>18.74</v>
      </c>
      <c r="M956" s="195" t="str">
        <f>IFERROR(__xludf.DUMMYFUNCTION("""COMPUTED_VALUE"""),"Equity Key Stats")</f>
        <v>Equity Key Stats</v>
      </c>
      <c r="N956" s="5"/>
      <c r="O956" s="5"/>
      <c r="P956" s="142">
        <f>IFERROR(__xludf.DUMMYFUNCTION("""COMPUTED_VALUE"""),-59527.155419999996)</f>
        <v>-59527.15542</v>
      </c>
      <c r="Q956" s="5"/>
      <c r="R956" s="71">
        <f>IFERROR(__xludf.DUMMYFUNCTION("""COMPUTED_VALUE"""),18.74)</f>
        <v>18.74</v>
      </c>
      <c r="S956" s="142">
        <f>IFERROR(__xludf.DUMMYFUNCTION("""COMPUTED_VALUE"""),58743.49092)</f>
        <v>58743.49092</v>
      </c>
      <c r="T956" s="5">
        <f>IFERROR(__xludf.DUMMYFUNCTION("""COMPUTED_VALUE"""),1.0)</f>
        <v>1</v>
      </c>
      <c r="U956" s="5">
        <f>IFERROR(__xludf.DUMMYFUNCTION("""COMPUTED_VALUE"""),1.0)</f>
        <v>1</v>
      </c>
      <c r="V956" s="22">
        <f>IFERROR(__xludf.DUMMYFUNCTION("""COMPUTED_VALUE"""),-783.664499999999)</f>
        <v>-783.6645</v>
      </c>
      <c r="W956" s="9" t="str">
        <f>IFERROR(__xludf.DUMMYFUNCTION("""COMPUTED_VALUE"""),"")</f>
        <v/>
      </c>
      <c r="X956" s="22" t="str">
        <f>IFERROR(__xludf.DUMMYFUNCTION("""COMPUTED_VALUE"""),"")</f>
        <v/>
      </c>
      <c r="Y956" s="22" t="str">
        <f>IFERROR(__xludf.DUMMYFUNCTION("""COMPUTED_VALUE"""),"")</f>
        <v/>
      </c>
      <c r="Z956" s="24" t="str">
        <f>IFERROR(__xludf.DUMMYFUNCTION("""COMPUTED_VALUE"""),"")</f>
        <v/>
      </c>
    </row>
    <row r="957">
      <c r="A957" s="5" t="str">
        <f>IFERROR(__xludf.DUMMYFUNCTION("""COMPUTED_VALUE"""),"")</f>
        <v/>
      </c>
      <c r="B957" s="5" t="str">
        <f>IFERROR(__xludf.DUMMYFUNCTION("""COMPUTED_VALUE"""),"77665")</f>
        <v>77665</v>
      </c>
      <c r="C957" s="9">
        <f>IFERROR(__xludf.DUMMYFUNCTION("""COMPUTED_VALUE"""),4.4658001228E10)</f>
        <v>44658001228</v>
      </c>
      <c r="D957" s="85" t="str">
        <f>IFERROR(__xludf.DUMMYFUNCTION("""COMPUTED_VALUE"""),"KPLT")</f>
        <v>KPLT</v>
      </c>
      <c r="E957" s="193">
        <f>IFERROR(__xludf.DUMMYFUNCTION("""COMPUTED_VALUE"""),44658.0)</f>
        <v>44658</v>
      </c>
      <c r="F957" s="5" t="str">
        <f>IFERROR(__xludf.DUMMYFUNCTION("""COMPUTED_VALUE"""),"Stock")</f>
        <v>Stock</v>
      </c>
      <c r="G957" s="5" t="str">
        <f>IFERROR(__xludf.DUMMYFUNCTION("""COMPUTED_VALUE"""),"USD")</f>
        <v>USD</v>
      </c>
      <c r="H957" s="22">
        <f>IFERROR(__xludf.DUMMYFUNCTION("""COMPUTED_VALUE"""),1000.0)</f>
        <v>1000</v>
      </c>
      <c r="I957" s="194">
        <f>IFERROR(__xludf.DUMMYFUNCTION("""COMPUTED_VALUE"""),7.836645)</f>
        <v>7.836645</v>
      </c>
      <c r="J957" s="23">
        <f>IFERROR(__xludf.DUMMYFUNCTION("""COMPUTED_VALUE"""),2.1)</f>
        <v>2.1</v>
      </c>
      <c r="K957" s="5"/>
      <c r="L957" s="23">
        <f>IFERROR(__xludf.DUMMYFUNCTION("""COMPUTED_VALUE"""),2.04)</f>
        <v>2.04</v>
      </c>
      <c r="M957" s="195" t="str">
        <f>IFERROR(__xludf.DUMMYFUNCTION("""COMPUTED_VALUE"""),"Equity Key Stats")</f>
        <v>Equity Key Stats</v>
      </c>
      <c r="N957" s="5"/>
      <c r="O957" s="5"/>
      <c r="P957" s="142">
        <f>IFERROR(__xludf.DUMMYFUNCTION("""COMPUTED_VALUE"""),-16456.9545)</f>
        <v>-16456.9545</v>
      </c>
      <c r="Q957" s="5"/>
      <c r="R957" s="71">
        <f>IFERROR(__xludf.DUMMYFUNCTION("""COMPUTED_VALUE"""),2.04)</f>
        <v>2.04</v>
      </c>
      <c r="S957" s="142">
        <f>IFERROR(__xludf.DUMMYFUNCTION("""COMPUTED_VALUE"""),15986.755799999999)</f>
        <v>15986.7558</v>
      </c>
      <c r="T957" s="5">
        <f>IFERROR(__xludf.DUMMYFUNCTION("""COMPUTED_VALUE"""),1.0)</f>
        <v>1</v>
      </c>
      <c r="U957" s="5">
        <f>IFERROR(__xludf.DUMMYFUNCTION("""COMPUTED_VALUE"""),1.0)</f>
        <v>1</v>
      </c>
      <c r="V957" s="22">
        <f>IFERROR(__xludf.DUMMYFUNCTION("""COMPUTED_VALUE"""),-470.1987000000008)</f>
        <v>-470.1987</v>
      </c>
      <c r="W957" s="9" t="str">
        <f>IFERROR(__xludf.DUMMYFUNCTION("""COMPUTED_VALUE"""),"")</f>
        <v/>
      </c>
      <c r="X957" s="22" t="str">
        <f>IFERROR(__xludf.DUMMYFUNCTION("""COMPUTED_VALUE"""),"")</f>
        <v/>
      </c>
      <c r="Y957" s="22" t="str">
        <f>IFERROR(__xludf.DUMMYFUNCTION("""COMPUTED_VALUE"""),"")</f>
        <v/>
      </c>
      <c r="Z957" s="24" t="str">
        <f>IFERROR(__xludf.DUMMYFUNCTION("""COMPUTED_VALUE"""),"")</f>
        <v/>
      </c>
    </row>
    <row r="958">
      <c r="A958" s="5" t="str">
        <f>IFERROR(__xludf.DUMMYFUNCTION("""COMPUTED_VALUE"""),"77665")</f>
        <v>77665</v>
      </c>
      <c r="B958" s="5" t="str">
        <f>IFERROR(__xludf.DUMMYFUNCTION("""COMPUTED_VALUE"""),"77665")</f>
        <v>77665</v>
      </c>
      <c r="C958" s="9">
        <f>IFERROR(__xludf.DUMMYFUNCTION("""COMPUTED_VALUE"""),4.4659001222E10)</f>
        <v>44659001222</v>
      </c>
      <c r="D958" s="91" t="str">
        <f>IFERROR(__xludf.DUMMYFUNCTION("""COMPUTED_VALUE"""),"2217.HK")</f>
        <v>2217.HK</v>
      </c>
      <c r="E958" s="193">
        <f>IFERROR(__xludf.DUMMYFUNCTION("""COMPUTED_VALUE"""),44659.0)</f>
        <v>44659</v>
      </c>
      <c r="F958" s="5" t="str">
        <f>IFERROR(__xludf.DUMMYFUNCTION("""COMPUTED_VALUE"""),"Stock")</f>
        <v>Stock</v>
      </c>
      <c r="G958" s="5" t="str">
        <f>IFERROR(__xludf.DUMMYFUNCTION("""COMPUTED_VALUE"""),"HKD")</f>
        <v>HKD</v>
      </c>
      <c r="H958" s="22">
        <f>IFERROR(__xludf.DUMMYFUNCTION("""COMPUTED_VALUE"""),10.0)</f>
        <v>10</v>
      </c>
      <c r="I958" s="194">
        <f>IFERROR(__xludf.DUMMYFUNCTION("""COMPUTED_VALUE"""),1.0)</f>
        <v>1</v>
      </c>
      <c r="J958" s="23">
        <f>IFERROR(__xludf.DUMMYFUNCTION("""COMPUTED_VALUE"""),3.06)</f>
        <v>3.06</v>
      </c>
      <c r="K958" s="5"/>
      <c r="L958" s="23">
        <f>IFERROR(__xludf.DUMMYFUNCTION("""COMPUTED_VALUE"""),3.09)</f>
        <v>3.09</v>
      </c>
      <c r="M958" s="195" t="str">
        <f>IFERROR(__xludf.DUMMYFUNCTION("""COMPUTED_VALUE"""),"Equity Key Stats")</f>
        <v>Equity Key Stats</v>
      </c>
      <c r="N958" s="5"/>
      <c r="O958" s="5"/>
      <c r="P958" s="142">
        <f>IFERROR(__xludf.DUMMYFUNCTION("""COMPUTED_VALUE"""),-30.6)</f>
        <v>-30.6</v>
      </c>
      <c r="Q958" s="5"/>
      <c r="R958" s="71">
        <f>IFERROR(__xludf.DUMMYFUNCTION("""COMPUTED_VALUE"""),3.09)</f>
        <v>3.09</v>
      </c>
      <c r="S958" s="142">
        <f>IFERROR(__xludf.DUMMYFUNCTION("""COMPUTED_VALUE"""),30.9)</f>
        <v>30.9</v>
      </c>
      <c r="T958" s="5">
        <f>IFERROR(__xludf.DUMMYFUNCTION("""COMPUTED_VALUE"""),1.0)</f>
        <v>1</v>
      </c>
      <c r="U958" s="5">
        <f>IFERROR(__xludf.DUMMYFUNCTION("""COMPUTED_VALUE"""),1.0)</f>
        <v>1</v>
      </c>
      <c r="V958" s="22">
        <f>IFERROR(__xludf.DUMMYFUNCTION("""COMPUTED_VALUE"""),0.29999999999999716)</f>
        <v>0.3</v>
      </c>
      <c r="W958" s="9">
        <f>IFERROR(__xludf.DUMMYFUNCTION("""COMPUTED_VALUE"""),499376.52158999996)</f>
        <v>499376.5216</v>
      </c>
      <c r="X958" s="22">
        <f>IFERROR(__xludf.DUMMYFUNCTION("""COMPUTED_VALUE"""),394173.97947)</f>
        <v>394173.9795</v>
      </c>
      <c r="Y958" s="22">
        <f>IFERROR(__xludf.DUMMYFUNCTION("""COMPUTED_VALUE"""),0.0)</f>
        <v>0</v>
      </c>
      <c r="Z958" s="24">
        <f>IFERROR(__xludf.DUMMYFUNCTION("""COMPUTED_VALUE"""),-0.0012469568200000891)</f>
        <v>-0.00124695682</v>
      </c>
    </row>
    <row r="959">
      <c r="A959" s="5" t="str">
        <f>IFERROR(__xludf.DUMMYFUNCTION("""COMPUTED_VALUE"""),"")</f>
        <v/>
      </c>
      <c r="B959" s="5" t="str">
        <f>IFERROR(__xludf.DUMMYFUNCTION("""COMPUTED_VALUE"""),"77729")</f>
        <v>77729</v>
      </c>
      <c r="C959" s="9">
        <f>IFERROR(__xludf.DUMMYFUNCTION("""COMPUTED_VALUE"""),4.4597000024E10)</f>
        <v>44597000024</v>
      </c>
      <c r="D959" s="85" t="str">
        <f>IFERROR(__xludf.DUMMYFUNCTION("""COMPUTED_VALUE"""),"Cash")</f>
        <v>Cash</v>
      </c>
      <c r="E959" s="193">
        <f>IFERROR(__xludf.DUMMYFUNCTION("""COMPUTED_VALUE"""),44597.0)</f>
        <v>44597</v>
      </c>
      <c r="F959" s="5" t="str">
        <f>IFERROR(__xludf.DUMMYFUNCTION("""COMPUTED_VALUE"""),"Cash")</f>
        <v>Cash</v>
      </c>
      <c r="G959" s="5" t="str">
        <f>IFERROR(__xludf.DUMMYFUNCTION("""COMPUTED_VALUE"""),"HKD")</f>
        <v>HKD</v>
      </c>
      <c r="H959" s="22" t="str">
        <f>IFERROR(__xludf.DUMMYFUNCTION("""COMPUTED_VALUE"""),"")</f>
        <v/>
      </c>
      <c r="I959" s="194">
        <f>IFERROR(__xludf.DUMMYFUNCTION("""COMPUTED_VALUE"""),1.0)</f>
        <v>1</v>
      </c>
      <c r="J959" s="5">
        <f>IFERROR(__xludf.DUMMYFUNCTION("""COMPUTED_VALUE"""),1.0)</f>
        <v>1</v>
      </c>
      <c r="K959" s="5"/>
      <c r="L959" s="23">
        <f>IFERROR(__xludf.DUMMYFUNCTION("""COMPUTED_VALUE"""),1.0)</f>
        <v>1</v>
      </c>
      <c r="M959" s="25" t="str">
        <f>IFERROR(__xludf.DUMMYFUNCTION("""COMPUTED_VALUE"""),"")</f>
        <v/>
      </c>
      <c r="N959" s="5"/>
      <c r="O959" s="5"/>
      <c r="P959" s="142">
        <f>IFERROR(__xludf.DUMMYFUNCTION("""COMPUTED_VALUE"""),500000.0)</f>
        <v>500000</v>
      </c>
      <c r="Q959" s="5"/>
      <c r="R959" s="71">
        <f>IFERROR(__xludf.DUMMYFUNCTION("""COMPUTED_VALUE"""),1.0)</f>
        <v>1</v>
      </c>
      <c r="S959" s="142" t="str">
        <f>IFERROR(__xludf.DUMMYFUNCTION("""COMPUTED_VALUE"""),"")</f>
        <v/>
      </c>
      <c r="T959" s="5">
        <f>IFERROR(__xludf.DUMMYFUNCTION("""COMPUTED_VALUE"""),1.0)</f>
        <v>1</v>
      </c>
      <c r="U959" s="5">
        <f>IFERROR(__xludf.DUMMYFUNCTION("""COMPUTED_VALUE"""),1.0)</f>
        <v>1</v>
      </c>
      <c r="V959" s="22">
        <f>IFERROR(__xludf.DUMMYFUNCTION("""COMPUTED_VALUE"""),500000.0)</f>
        <v>500000</v>
      </c>
      <c r="W959" s="9" t="str">
        <f>IFERROR(__xludf.DUMMYFUNCTION("""COMPUTED_VALUE"""),"")</f>
        <v/>
      </c>
      <c r="X959" s="22" t="str">
        <f>IFERROR(__xludf.DUMMYFUNCTION("""COMPUTED_VALUE"""),"")</f>
        <v/>
      </c>
      <c r="Y959" s="22" t="str">
        <f>IFERROR(__xludf.DUMMYFUNCTION("""COMPUTED_VALUE"""),"")</f>
        <v/>
      </c>
      <c r="Z959" s="24" t="str">
        <f>IFERROR(__xludf.DUMMYFUNCTION("""COMPUTED_VALUE"""),"")</f>
        <v/>
      </c>
    </row>
    <row r="960">
      <c r="A960" s="5" t="str">
        <f>IFERROR(__xludf.DUMMYFUNCTION("""COMPUTED_VALUE"""),"")</f>
        <v/>
      </c>
      <c r="B960" s="5" t="str">
        <f>IFERROR(__xludf.DUMMYFUNCTION("""COMPUTED_VALUE"""),"77729")</f>
        <v>77729</v>
      </c>
      <c r="C960" s="9">
        <f>IFERROR(__xludf.DUMMYFUNCTION("""COMPUTED_VALUE"""),4.4613000288E10)</f>
        <v>44613000288</v>
      </c>
      <c r="D960" s="90" t="str">
        <f>IFERROR(__xludf.DUMMYFUNCTION("""COMPUTED_VALUE"""),"0700.HK")</f>
        <v>0700.HK</v>
      </c>
      <c r="E960" s="193">
        <f>IFERROR(__xludf.DUMMYFUNCTION("""COMPUTED_VALUE"""),44613.0)</f>
        <v>44613</v>
      </c>
      <c r="F960" s="5" t="str">
        <f>IFERROR(__xludf.DUMMYFUNCTION("""COMPUTED_VALUE"""),"Stock")</f>
        <v>Stock</v>
      </c>
      <c r="G960" s="5" t="str">
        <f>IFERROR(__xludf.DUMMYFUNCTION("""COMPUTED_VALUE"""),"HKD")</f>
        <v>HKD</v>
      </c>
      <c r="H960" s="22">
        <f>IFERROR(__xludf.DUMMYFUNCTION("""COMPUTED_VALUE"""),218.0)</f>
        <v>218</v>
      </c>
      <c r="I960" s="194">
        <f>IFERROR(__xludf.DUMMYFUNCTION("""COMPUTED_VALUE"""),1.0)</f>
        <v>1</v>
      </c>
      <c r="J960" s="23">
        <f>IFERROR(__xludf.DUMMYFUNCTION("""COMPUTED_VALUE"""),445.4)</f>
        <v>445.4</v>
      </c>
      <c r="K960" s="5"/>
      <c r="L960" s="23">
        <f>IFERROR(__xludf.DUMMYFUNCTION("""COMPUTED_VALUE"""),373.6)</f>
        <v>373.6</v>
      </c>
      <c r="M960" s="195" t="str">
        <f>IFERROR(__xludf.DUMMYFUNCTION("""COMPUTED_VALUE"""),"Equity Key Stats")</f>
        <v>Equity Key Stats</v>
      </c>
      <c r="N960" s="5"/>
      <c r="O960" s="5"/>
      <c r="P960" s="142">
        <f>IFERROR(__xludf.DUMMYFUNCTION("""COMPUTED_VALUE"""),-97097.2)</f>
        <v>-97097.2</v>
      </c>
      <c r="Q960" s="5"/>
      <c r="R960" s="71">
        <f>IFERROR(__xludf.DUMMYFUNCTION("""COMPUTED_VALUE"""),373.6)</f>
        <v>373.6</v>
      </c>
      <c r="S960" s="142">
        <f>IFERROR(__xludf.DUMMYFUNCTION("""COMPUTED_VALUE"""),81444.8)</f>
        <v>81444.8</v>
      </c>
      <c r="T960" s="5">
        <f>IFERROR(__xludf.DUMMYFUNCTION("""COMPUTED_VALUE"""),2.0)</f>
        <v>2</v>
      </c>
      <c r="U960" s="5" t="str">
        <f>IFERROR(__xludf.DUMMYFUNCTION("""COMPUTED_VALUE"""),"")</f>
        <v/>
      </c>
      <c r="V960" s="22" t="str">
        <f>IFERROR(__xludf.DUMMYFUNCTION("""COMPUTED_VALUE"""),"")</f>
        <v/>
      </c>
      <c r="W960" s="9" t="str">
        <f>IFERROR(__xludf.DUMMYFUNCTION("""COMPUTED_VALUE"""),"")</f>
        <v/>
      </c>
      <c r="X960" s="22" t="str">
        <f>IFERROR(__xludf.DUMMYFUNCTION("""COMPUTED_VALUE"""),"")</f>
        <v/>
      </c>
      <c r="Y960" s="22" t="str">
        <f>IFERROR(__xludf.DUMMYFUNCTION("""COMPUTED_VALUE"""),"")</f>
        <v/>
      </c>
      <c r="Z960" s="24" t="str">
        <f>IFERROR(__xludf.DUMMYFUNCTION("""COMPUTED_VALUE"""),"")</f>
        <v/>
      </c>
    </row>
    <row r="961">
      <c r="A961" s="5" t="str">
        <f>IFERROR(__xludf.DUMMYFUNCTION("""COMPUTED_VALUE"""),"")</f>
        <v/>
      </c>
      <c r="B961" s="5" t="str">
        <f>IFERROR(__xludf.DUMMYFUNCTION("""COMPUTED_VALUE"""),"77729")</f>
        <v>77729</v>
      </c>
      <c r="C961" s="9">
        <f>IFERROR(__xludf.DUMMYFUNCTION("""COMPUTED_VALUE"""),4.461300029E10)</f>
        <v>44613000290</v>
      </c>
      <c r="D961" s="90" t="str">
        <f>IFERROR(__xludf.DUMMYFUNCTION("""COMPUTED_VALUE"""),"3690.HK")</f>
        <v>3690.HK</v>
      </c>
      <c r="E961" s="193">
        <f>IFERROR(__xludf.DUMMYFUNCTION("""COMPUTED_VALUE"""),44613.0)</f>
        <v>44613</v>
      </c>
      <c r="F961" s="5" t="str">
        <f>IFERROR(__xludf.DUMMYFUNCTION("""COMPUTED_VALUE"""),"Stock")</f>
        <v>Stock</v>
      </c>
      <c r="G961" s="5" t="str">
        <f>IFERROR(__xludf.DUMMYFUNCTION("""COMPUTED_VALUE"""),"HKD")</f>
        <v>HKD</v>
      </c>
      <c r="H961" s="22">
        <f>IFERROR(__xludf.DUMMYFUNCTION("""COMPUTED_VALUE"""),270.0)</f>
        <v>270</v>
      </c>
      <c r="I961" s="194">
        <f>IFERROR(__xludf.DUMMYFUNCTION("""COMPUTED_VALUE"""),1.0)</f>
        <v>1</v>
      </c>
      <c r="J961" s="23">
        <f>IFERROR(__xludf.DUMMYFUNCTION("""COMPUTED_VALUE"""),180.5)</f>
        <v>180.5</v>
      </c>
      <c r="K961" s="5"/>
      <c r="L961" s="23">
        <f>IFERROR(__xludf.DUMMYFUNCTION("""COMPUTED_VALUE"""),154.1)</f>
        <v>154.1</v>
      </c>
      <c r="M961" s="195" t="str">
        <f>IFERROR(__xludf.DUMMYFUNCTION("""COMPUTED_VALUE"""),"Equity Key Stats")</f>
        <v>Equity Key Stats</v>
      </c>
      <c r="N961" s="5"/>
      <c r="O961" s="5"/>
      <c r="P961" s="142">
        <f>IFERROR(__xludf.DUMMYFUNCTION("""COMPUTED_VALUE"""),-48735.0)</f>
        <v>-48735</v>
      </c>
      <c r="Q961" s="5"/>
      <c r="R961" s="71">
        <f>IFERROR(__xludf.DUMMYFUNCTION("""COMPUTED_VALUE"""),154.1)</f>
        <v>154.1</v>
      </c>
      <c r="S961" s="142">
        <f>IFERROR(__xludf.DUMMYFUNCTION("""COMPUTED_VALUE"""),41607.0)</f>
        <v>41607</v>
      </c>
      <c r="T961" s="5">
        <f>IFERROR(__xludf.DUMMYFUNCTION("""COMPUTED_VALUE"""),2.0)</f>
        <v>2</v>
      </c>
      <c r="U961" s="5" t="str">
        <f>IFERROR(__xludf.DUMMYFUNCTION("""COMPUTED_VALUE"""),"")</f>
        <v/>
      </c>
      <c r="V961" s="22" t="str">
        <f>IFERROR(__xludf.DUMMYFUNCTION("""COMPUTED_VALUE"""),"")</f>
        <v/>
      </c>
      <c r="W961" s="9" t="str">
        <f>IFERROR(__xludf.DUMMYFUNCTION("""COMPUTED_VALUE"""),"")</f>
        <v/>
      </c>
      <c r="X961" s="22" t="str">
        <f>IFERROR(__xludf.DUMMYFUNCTION("""COMPUTED_VALUE"""),"")</f>
        <v/>
      </c>
      <c r="Y961" s="22" t="str">
        <f>IFERROR(__xludf.DUMMYFUNCTION("""COMPUTED_VALUE"""),"")</f>
        <v/>
      </c>
      <c r="Z961" s="24" t="str">
        <f>IFERROR(__xludf.DUMMYFUNCTION("""COMPUTED_VALUE"""),"")</f>
        <v/>
      </c>
    </row>
    <row r="962">
      <c r="A962" s="5" t="str">
        <f>IFERROR(__xludf.DUMMYFUNCTION("""COMPUTED_VALUE"""),"")</f>
        <v/>
      </c>
      <c r="B962" s="5" t="str">
        <f>IFERROR(__xludf.DUMMYFUNCTION("""COMPUTED_VALUE"""),"77729")</f>
        <v>77729</v>
      </c>
      <c r="C962" s="9">
        <f>IFERROR(__xludf.DUMMYFUNCTION("""COMPUTED_VALUE"""),4.4627000459E10)</f>
        <v>44627000459</v>
      </c>
      <c r="D962" s="90" t="str">
        <f>IFERROR(__xludf.DUMMYFUNCTION("""COMPUTED_VALUE"""),"0700.HK")</f>
        <v>0700.HK</v>
      </c>
      <c r="E962" s="193">
        <f>IFERROR(__xludf.DUMMYFUNCTION("""COMPUTED_VALUE"""),44627.0)</f>
        <v>44627</v>
      </c>
      <c r="F962" s="5" t="str">
        <f>IFERROR(__xludf.DUMMYFUNCTION("""COMPUTED_VALUE"""),"Stock")</f>
        <v>Stock</v>
      </c>
      <c r="G962" s="5" t="str">
        <f>IFERROR(__xludf.DUMMYFUNCTION("""COMPUTED_VALUE"""),"HKD")</f>
        <v>HKD</v>
      </c>
      <c r="H962" s="22">
        <f>IFERROR(__xludf.DUMMYFUNCTION("""COMPUTED_VALUE"""),250.0)</f>
        <v>250</v>
      </c>
      <c r="I962" s="194">
        <f>IFERROR(__xludf.DUMMYFUNCTION("""COMPUTED_VALUE"""),1.0)</f>
        <v>1</v>
      </c>
      <c r="J962" s="23">
        <f>IFERROR(__xludf.DUMMYFUNCTION("""COMPUTED_VALUE"""),388.0)</f>
        <v>388</v>
      </c>
      <c r="K962" s="5"/>
      <c r="L962" s="23">
        <f>IFERROR(__xludf.DUMMYFUNCTION("""COMPUTED_VALUE"""),373.6)</f>
        <v>373.6</v>
      </c>
      <c r="M962" s="195" t="str">
        <f>IFERROR(__xludf.DUMMYFUNCTION("""COMPUTED_VALUE"""),"Equity Key Stats")</f>
        <v>Equity Key Stats</v>
      </c>
      <c r="N962" s="5"/>
      <c r="O962" s="5"/>
      <c r="P962" s="142">
        <f>IFERROR(__xludf.DUMMYFUNCTION("""COMPUTED_VALUE"""),-97000.0)</f>
        <v>-97000</v>
      </c>
      <c r="Q962" s="5"/>
      <c r="R962" s="71">
        <f>IFERROR(__xludf.DUMMYFUNCTION("""COMPUTED_VALUE"""),373.6)</f>
        <v>373.6</v>
      </c>
      <c r="S962" s="142">
        <f>IFERROR(__xludf.DUMMYFUNCTION("""COMPUTED_VALUE"""),93400.0)</f>
        <v>93400</v>
      </c>
      <c r="T962" s="5">
        <f>IFERROR(__xludf.DUMMYFUNCTION("""COMPUTED_VALUE"""),2.0)</f>
        <v>2</v>
      </c>
      <c r="U962" s="5">
        <f>IFERROR(__xludf.DUMMYFUNCTION("""COMPUTED_VALUE"""),1.0)</f>
        <v>1</v>
      </c>
      <c r="V962" s="22">
        <f>IFERROR(__xludf.DUMMYFUNCTION("""COMPUTED_VALUE"""),-19252.400000000023)</f>
        <v>-19252.4</v>
      </c>
      <c r="W962" s="9" t="str">
        <f>IFERROR(__xludf.DUMMYFUNCTION("""COMPUTED_VALUE"""),"")</f>
        <v/>
      </c>
      <c r="X962" s="22" t="str">
        <f>IFERROR(__xludf.DUMMYFUNCTION("""COMPUTED_VALUE"""),"")</f>
        <v/>
      </c>
      <c r="Y962" s="22" t="str">
        <f>IFERROR(__xludf.DUMMYFUNCTION("""COMPUTED_VALUE"""),"")</f>
        <v/>
      </c>
      <c r="Z962" s="24" t="str">
        <f>IFERROR(__xludf.DUMMYFUNCTION("""COMPUTED_VALUE"""),"")</f>
        <v/>
      </c>
    </row>
    <row r="963">
      <c r="A963" s="5" t="str">
        <f>IFERROR(__xludf.DUMMYFUNCTION("""COMPUTED_VALUE"""),"77729")</f>
        <v>77729</v>
      </c>
      <c r="B963" s="5" t="str">
        <f>IFERROR(__xludf.DUMMYFUNCTION("""COMPUTED_VALUE"""),"77729")</f>
        <v>77729</v>
      </c>
      <c r="C963" s="9">
        <f>IFERROR(__xludf.DUMMYFUNCTION("""COMPUTED_VALUE"""),4.462700046E10)</f>
        <v>44627000460</v>
      </c>
      <c r="D963" s="90" t="str">
        <f>IFERROR(__xludf.DUMMYFUNCTION("""COMPUTED_VALUE"""),"3690.HK")</f>
        <v>3690.HK</v>
      </c>
      <c r="E963" s="193">
        <f>IFERROR(__xludf.DUMMYFUNCTION("""COMPUTED_VALUE"""),44627.0)</f>
        <v>44627</v>
      </c>
      <c r="F963" s="5" t="str">
        <f>IFERROR(__xludf.DUMMYFUNCTION("""COMPUTED_VALUE"""),"Stock")</f>
        <v>Stock</v>
      </c>
      <c r="G963" s="5" t="str">
        <f>IFERROR(__xludf.DUMMYFUNCTION("""COMPUTED_VALUE"""),"HKD")</f>
        <v>HKD</v>
      </c>
      <c r="H963" s="22">
        <f>IFERROR(__xludf.DUMMYFUNCTION("""COMPUTED_VALUE"""),300.0)</f>
        <v>300</v>
      </c>
      <c r="I963" s="194">
        <f>IFERROR(__xludf.DUMMYFUNCTION("""COMPUTED_VALUE"""),1.0)</f>
        <v>1</v>
      </c>
      <c r="J963" s="23">
        <f>IFERROR(__xludf.DUMMYFUNCTION("""COMPUTED_VALUE"""),146.2)</f>
        <v>146.2</v>
      </c>
      <c r="K963" s="5"/>
      <c r="L963" s="23">
        <f>IFERROR(__xludf.DUMMYFUNCTION("""COMPUTED_VALUE"""),154.1)</f>
        <v>154.1</v>
      </c>
      <c r="M963" s="195" t="str">
        <f>IFERROR(__xludf.DUMMYFUNCTION("""COMPUTED_VALUE"""),"Equity Key Stats")</f>
        <v>Equity Key Stats</v>
      </c>
      <c r="N963" s="5"/>
      <c r="O963" s="5"/>
      <c r="P963" s="142">
        <f>IFERROR(__xludf.DUMMYFUNCTION("""COMPUTED_VALUE"""),-43860.0)</f>
        <v>-43860</v>
      </c>
      <c r="Q963" s="5"/>
      <c r="R963" s="71">
        <f>IFERROR(__xludf.DUMMYFUNCTION("""COMPUTED_VALUE"""),154.1)</f>
        <v>154.1</v>
      </c>
      <c r="S963" s="142">
        <f>IFERROR(__xludf.DUMMYFUNCTION("""COMPUTED_VALUE"""),46230.0)</f>
        <v>46230</v>
      </c>
      <c r="T963" s="5">
        <f>IFERROR(__xludf.DUMMYFUNCTION("""COMPUTED_VALUE"""),2.0)</f>
        <v>2</v>
      </c>
      <c r="U963" s="5">
        <f>IFERROR(__xludf.DUMMYFUNCTION("""COMPUTED_VALUE"""),1.0)</f>
        <v>1</v>
      </c>
      <c r="V963" s="22">
        <f>IFERROR(__xludf.DUMMYFUNCTION("""COMPUTED_VALUE"""),-4758.0)</f>
        <v>-4758</v>
      </c>
      <c r="W963" s="9">
        <f>IFERROR(__xludf.DUMMYFUNCTION("""COMPUTED_VALUE"""),475989.6)</f>
        <v>475989.6</v>
      </c>
      <c r="X963" s="22">
        <f>IFERROR(__xludf.DUMMYFUNCTION("""COMPUTED_VALUE"""),213307.8)</f>
        <v>213307.8</v>
      </c>
      <c r="Y963" s="22">
        <f>IFERROR(__xludf.DUMMYFUNCTION("""COMPUTED_VALUE"""),0.0)</f>
        <v>0</v>
      </c>
      <c r="Z963" s="24">
        <f>IFERROR(__xludf.DUMMYFUNCTION("""COMPUTED_VALUE"""),-0.048020800000000086)</f>
        <v>-0.0480208</v>
      </c>
    </row>
    <row r="964">
      <c r="A964" s="5" t="str">
        <f>IFERROR(__xludf.DUMMYFUNCTION("""COMPUTED_VALUE"""),"")</f>
        <v/>
      </c>
      <c r="B964" s="5" t="str">
        <f>IFERROR(__xludf.DUMMYFUNCTION("""COMPUTED_VALUE"""),"77936")</f>
        <v>77936</v>
      </c>
      <c r="C964" s="9">
        <f>IFERROR(__xludf.DUMMYFUNCTION("""COMPUTED_VALUE"""),4.4597000076E10)</f>
        <v>44597000076</v>
      </c>
      <c r="D964" s="85" t="str">
        <f>IFERROR(__xludf.DUMMYFUNCTION("""COMPUTED_VALUE"""),"Cash")</f>
        <v>Cash</v>
      </c>
      <c r="E964" s="193">
        <f>IFERROR(__xludf.DUMMYFUNCTION("""COMPUTED_VALUE"""),44597.0)</f>
        <v>44597</v>
      </c>
      <c r="F964" s="5" t="str">
        <f>IFERROR(__xludf.DUMMYFUNCTION("""COMPUTED_VALUE"""),"Cash")</f>
        <v>Cash</v>
      </c>
      <c r="G964" s="5" t="str">
        <f>IFERROR(__xludf.DUMMYFUNCTION("""COMPUTED_VALUE"""),"HKD")</f>
        <v>HKD</v>
      </c>
      <c r="H964" s="22" t="str">
        <f>IFERROR(__xludf.DUMMYFUNCTION("""COMPUTED_VALUE"""),"")</f>
        <v/>
      </c>
      <c r="I964" s="194">
        <f>IFERROR(__xludf.DUMMYFUNCTION("""COMPUTED_VALUE"""),1.0)</f>
        <v>1</v>
      </c>
      <c r="J964" s="5">
        <f>IFERROR(__xludf.DUMMYFUNCTION("""COMPUTED_VALUE"""),1.0)</f>
        <v>1</v>
      </c>
      <c r="K964" s="5"/>
      <c r="L964" s="23">
        <f>IFERROR(__xludf.DUMMYFUNCTION("""COMPUTED_VALUE"""),1.0)</f>
        <v>1</v>
      </c>
      <c r="M964" s="25" t="str">
        <f>IFERROR(__xludf.DUMMYFUNCTION("""COMPUTED_VALUE"""),"")</f>
        <v/>
      </c>
      <c r="N964" s="5"/>
      <c r="O964" s="5"/>
      <c r="P964" s="142">
        <f>IFERROR(__xludf.DUMMYFUNCTION("""COMPUTED_VALUE"""),500000.0)</f>
        <v>500000</v>
      </c>
      <c r="Q964" s="5"/>
      <c r="R964" s="71">
        <f>IFERROR(__xludf.DUMMYFUNCTION("""COMPUTED_VALUE"""),1.0)</f>
        <v>1</v>
      </c>
      <c r="S964" s="142" t="str">
        <f>IFERROR(__xludf.DUMMYFUNCTION("""COMPUTED_VALUE"""),"")</f>
        <v/>
      </c>
      <c r="T964" s="5">
        <f>IFERROR(__xludf.DUMMYFUNCTION("""COMPUTED_VALUE"""),1.0)</f>
        <v>1</v>
      </c>
      <c r="U964" s="5">
        <f>IFERROR(__xludf.DUMMYFUNCTION("""COMPUTED_VALUE"""),1.0)</f>
        <v>1</v>
      </c>
      <c r="V964" s="22">
        <f>IFERROR(__xludf.DUMMYFUNCTION("""COMPUTED_VALUE"""),500000.0)</f>
        <v>500000</v>
      </c>
      <c r="W964" s="9" t="str">
        <f>IFERROR(__xludf.DUMMYFUNCTION("""COMPUTED_VALUE"""),"")</f>
        <v/>
      </c>
      <c r="X964" s="22" t="str">
        <f>IFERROR(__xludf.DUMMYFUNCTION("""COMPUTED_VALUE"""),"")</f>
        <v/>
      </c>
      <c r="Y964" s="22" t="str">
        <f>IFERROR(__xludf.DUMMYFUNCTION("""COMPUTED_VALUE"""),"")</f>
        <v/>
      </c>
      <c r="Z964" s="24" t="str">
        <f>IFERROR(__xludf.DUMMYFUNCTION("""COMPUTED_VALUE"""),"")</f>
        <v/>
      </c>
    </row>
    <row r="965">
      <c r="A965" s="5" t="str">
        <f>IFERROR(__xludf.DUMMYFUNCTION("""COMPUTED_VALUE"""),"")</f>
        <v/>
      </c>
      <c r="B965" s="5" t="str">
        <f>IFERROR(__xludf.DUMMYFUNCTION("""COMPUTED_VALUE"""),"77936")</f>
        <v>77936</v>
      </c>
      <c r="C965" s="9">
        <f>IFERROR(__xludf.DUMMYFUNCTION("""COMPUTED_VALUE"""),4.4630000519E10)</f>
        <v>44630000519</v>
      </c>
      <c r="D965" s="90" t="str">
        <f>IFERROR(__xludf.DUMMYFUNCTION("""COMPUTED_VALUE"""),"9988.HK")</f>
        <v>9988.HK</v>
      </c>
      <c r="E965" s="193">
        <f>IFERROR(__xludf.DUMMYFUNCTION("""COMPUTED_VALUE"""),44630.0)</f>
        <v>44630</v>
      </c>
      <c r="F965" s="5" t="str">
        <f>IFERROR(__xludf.DUMMYFUNCTION("""COMPUTED_VALUE"""),"Stock")</f>
        <v>Stock</v>
      </c>
      <c r="G965" s="5" t="str">
        <f>IFERROR(__xludf.DUMMYFUNCTION("""COMPUTED_VALUE"""),"HKD")</f>
        <v>HKD</v>
      </c>
      <c r="H965" s="22">
        <f>IFERROR(__xludf.DUMMYFUNCTION("""COMPUTED_VALUE"""),200.0)</f>
        <v>200</v>
      </c>
      <c r="I965" s="194">
        <f>IFERROR(__xludf.DUMMYFUNCTION("""COMPUTED_VALUE"""),1.0)</f>
        <v>1</v>
      </c>
      <c r="J965" s="23">
        <f>IFERROR(__xludf.DUMMYFUNCTION("""COMPUTED_VALUE"""),96.1)</f>
        <v>96.1</v>
      </c>
      <c r="K965" s="5"/>
      <c r="L965" s="23">
        <f>IFERROR(__xludf.DUMMYFUNCTION("""COMPUTED_VALUE"""),98.5)</f>
        <v>98.5</v>
      </c>
      <c r="M965" s="195" t="str">
        <f>IFERROR(__xludf.DUMMYFUNCTION("""COMPUTED_VALUE"""),"Equity Key Stats")</f>
        <v>Equity Key Stats</v>
      </c>
      <c r="N965" s="5"/>
      <c r="O965" s="5"/>
      <c r="P965" s="142">
        <f>IFERROR(__xludf.DUMMYFUNCTION("""COMPUTED_VALUE"""),-19220.0)</f>
        <v>-19220</v>
      </c>
      <c r="Q965" s="5"/>
      <c r="R965" s="71">
        <f>IFERROR(__xludf.DUMMYFUNCTION("""COMPUTED_VALUE"""),98.5)</f>
        <v>98.5</v>
      </c>
      <c r="S965" s="142">
        <f>IFERROR(__xludf.DUMMYFUNCTION("""COMPUTED_VALUE"""),19700.0)</f>
        <v>19700</v>
      </c>
      <c r="T965" s="5">
        <f>IFERROR(__xludf.DUMMYFUNCTION("""COMPUTED_VALUE"""),1.0)</f>
        <v>1</v>
      </c>
      <c r="U965" s="5">
        <f>IFERROR(__xludf.DUMMYFUNCTION("""COMPUTED_VALUE"""),1.0)</f>
        <v>1</v>
      </c>
      <c r="V965" s="22">
        <f>IFERROR(__xludf.DUMMYFUNCTION("""COMPUTED_VALUE"""),480.0)</f>
        <v>480</v>
      </c>
      <c r="W965" s="9" t="str">
        <f>IFERROR(__xludf.DUMMYFUNCTION("""COMPUTED_VALUE"""),"")</f>
        <v/>
      </c>
      <c r="X965" s="22" t="str">
        <f>IFERROR(__xludf.DUMMYFUNCTION("""COMPUTED_VALUE"""),"")</f>
        <v/>
      </c>
      <c r="Y965" s="22" t="str">
        <f>IFERROR(__xludf.DUMMYFUNCTION("""COMPUTED_VALUE"""),"")</f>
        <v/>
      </c>
      <c r="Z965" s="24" t="str">
        <f>IFERROR(__xludf.DUMMYFUNCTION("""COMPUTED_VALUE"""),"")</f>
        <v/>
      </c>
    </row>
    <row r="966">
      <c r="A966" s="5" t="str">
        <f>IFERROR(__xludf.DUMMYFUNCTION("""COMPUTED_VALUE"""),"")</f>
        <v/>
      </c>
      <c r="B966" s="5" t="str">
        <f>IFERROR(__xludf.DUMMYFUNCTION("""COMPUTED_VALUE"""),"77936")</f>
        <v>77936</v>
      </c>
      <c r="C966" s="9">
        <f>IFERROR(__xludf.DUMMYFUNCTION("""COMPUTED_VALUE"""),4.463000052E10)</f>
        <v>44630000520</v>
      </c>
      <c r="D966" s="90" t="str">
        <f>IFERROR(__xludf.DUMMYFUNCTION("""COMPUTED_VALUE"""),"9626.HK")</f>
        <v>9626.HK</v>
      </c>
      <c r="E966" s="193">
        <f>IFERROR(__xludf.DUMMYFUNCTION("""COMPUTED_VALUE"""),44630.0)</f>
        <v>44630</v>
      </c>
      <c r="F966" s="5" t="str">
        <f>IFERROR(__xludf.DUMMYFUNCTION("""COMPUTED_VALUE"""),"Stock")</f>
        <v>Stock</v>
      </c>
      <c r="G966" s="5" t="str">
        <f>IFERROR(__xludf.DUMMYFUNCTION("""COMPUTED_VALUE"""),"HKD")</f>
        <v>HKD</v>
      </c>
      <c r="H966" s="22">
        <f>IFERROR(__xludf.DUMMYFUNCTION("""COMPUTED_VALUE"""),1000.0)</f>
        <v>1000</v>
      </c>
      <c r="I966" s="194">
        <f>IFERROR(__xludf.DUMMYFUNCTION("""COMPUTED_VALUE"""),1.0)</f>
        <v>1</v>
      </c>
      <c r="J966" s="23">
        <f>IFERROR(__xludf.DUMMYFUNCTION("""COMPUTED_VALUE"""),185.2)</f>
        <v>185.2</v>
      </c>
      <c r="K966" s="5"/>
      <c r="L966" s="23">
        <f>IFERROR(__xludf.DUMMYFUNCTION("""COMPUTED_VALUE"""),202.6)</f>
        <v>202.6</v>
      </c>
      <c r="M966" s="195" t="str">
        <f>IFERROR(__xludf.DUMMYFUNCTION("""COMPUTED_VALUE"""),"Equity Key Stats")</f>
        <v>Equity Key Stats</v>
      </c>
      <c r="N966" s="5"/>
      <c r="O966" s="5"/>
      <c r="P966" s="142">
        <f>IFERROR(__xludf.DUMMYFUNCTION("""COMPUTED_VALUE"""),-185200.0)</f>
        <v>-185200</v>
      </c>
      <c r="Q966" s="5"/>
      <c r="R966" s="71">
        <f>IFERROR(__xludf.DUMMYFUNCTION("""COMPUTED_VALUE"""),202.6)</f>
        <v>202.6</v>
      </c>
      <c r="S966" s="142">
        <f>IFERROR(__xludf.DUMMYFUNCTION("""COMPUTED_VALUE"""),202600.0)</f>
        <v>202600</v>
      </c>
      <c r="T966" s="5">
        <f>IFERROR(__xludf.DUMMYFUNCTION("""COMPUTED_VALUE"""),1.0)</f>
        <v>1</v>
      </c>
      <c r="U966" s="5">
        <f>IFERROR(__xludf.DUMMYFUNCTION("""COMPUTED_VALUE"""),1.0)</f>
        <v>1</v>
      </c>
      <c r="V966" s="22">
        <f>IFERROR(__xludf.DUMMYFUNCTION("""COMPUTED_VALUE"""),17400.0)</f>
        <v>17400</v>
      </c>
      <c r="W966" s="9" t="str">
        <f>IFERROR(__xludf.DUMMYFUNCTION("""COMPUTED_VALUE"""),"")</f>
        <v/>
      </c>
      <c r="X966" s="22" t="str">
        <f>IFERROR(__xludf.DUMMYFUNCTION("""COMPUTED_VALUE"""),"")</f>
        <v/>
      </c>
      <c r="Y966" s="22" t="str">
        <f>IFERROR(__xludf.DUMMYFUNCTION("""COMPUTED_VALUE"""),"")</f>
        <v/>
      </c>
      <c r="Z966" s="24" t="str">
        <f>IFERROR(__xludf.DUMMYFUNCTION("""COMPUTED_VALUE"""),"")</f>
        <v/>
      </c>
    </row>
    <row r="967">
      <c r="A967" s="5" t="str">
        <f>IFERROR(__xludf.DUMMYFUNCTION("""COMPUTED_VALUE"""),"")</f>
        <v/>
      </c>
      <c r="B967" s="5" t="str">
        <f>IFERROR(__xludf.DUMMYFUNCTION("""COMPUTED_VALUE"""),"77936")</f>
        <v>77936</v>
      </c>
      <c r="C967" s="9">
        <f>IFERROR(__xludf.DUMMYFUNCTION("""COMPUTED_VALUE"""),4.4636000643E10)</f>
        <v>44636000643</v>
      </c>
      <c r="D967" s="90" t="str">
        <f>IFERROR(__xludf.DUMMYFUNCTION("""COMPUTED_VALUE"""),"6078.HK")</f>
        <v>6078.HK</v>
      </c>
      <c r="E967" s="193">
        <f>IFERROR(__xludf.DUMMYFUNCTION("""COMPUTED_VALUE"""),44636.0)</f>
        <v>44636</v>
      </c>
      <c r="F967" s="5" t="str">
        <f>IFERROR(__xludf.DUMMYFUNCTION("""COMPUTED_VALUE"""),"Stock")</f>
        <v>Stock</v>
      </c>
      <c r="G967" s="5" t="str">
        <f>IFERROR(__xludf.DUMMYFUNCTION("""COMPUTED_VALUE"""),"HKD")</f>
        <v>HKD</v>
      </c>
      <c r="H967" s="22">
        <f>IFERROR(__xludf.DUMMYFUNCTION("""COMPUTED_VALUE"""),1000.0)</f>
        <v>1000</v>
      </c>
      <c r="I967" s="194">
        <f>IFERROR(__xludf.DUMMYFUNCTION("""COMPUTED_VALUE"""),1.0)</f>
        <v>1</v>
      </c>
      <c r="J967" s="23">
        <f>IFERROR(__xludf.DUMMYFUNCTION("""COMPUTED_VALUE"""),29.95)</f>
        <v>29.95</v>
      </c>
      <c r="K967" s="5"/>
      <c r="L967" s="23">
        <f>IFERROR(__xludf.DUMMYFUNCTION("""COMPUTED_VALUE"""),31.85)</f>
        <v>31.85</v>
      </c>
      <c r="M967" s="195" t="str">
        <f>IFERROR(__xludf.DUMMYFUNCTION("""COMPUTED_VALUE"""),"Equity Key Stats")</f>
        <v>Equity Key Stats</v>
      </c>
      <c r="N967" s="5"/>
      <c r="O967" s="5"/>
      <c r="P967" s="142">
        <f>IFERROR(__xludf.DUMMYFUNCTION("""COMPUTED_VALUE"""),-29950.0)</f>
        <v>-29950</v>
      </c>
      <c r="Q967" s="5"/>
      <c r="R967" s="71">
        <f>IFERROR(__xludf.DUMMYFUNCTION("""COMPUTED_VALUE"""),31.85)</f>
        <v>31.85</v>
      </c>
      <c r="S967" s="142">
        <f>IFERROR(__xludf.DUMMYFUNCTION("""COMPUTED_VALUE"""),31850.0)</f>
        <v>31850</v>
      </c>
      <c r="T967" s="5">
        <f>IFERROR(__xludf.DUMMYFUNCTION("""COMPUTED_VALUE"""),1.0)</f>
        <v>1</v>
      </c>
      <c r="U967" s="5">
        <f>IFERROR(__xludf.DUMMYFUNCTION("""COMPUTED_VALUE"""),1.0)</f>
        <v>1</v>
      </c>
      <c r="V967" s="22">
        <f>IFERROR(__xludf.DUMMYFUNCTION("""COMPUTED_VALUE"""),1900.0)</f>
        <v>1900</v>
      </c>
      <c r="W967" s="9" t="str">
        <f>IFERROR(__xludf.DUMMYFUNCTION("""COMPUTED_VALUE"""),"")</f>
        <v/>
      </c>
      <c r="X967" s="22" t="str">
        <f>IFERROR(__xludf.DUMMYFUNCTION("""COMPUTED_VALUE"""),"")</f>
        <v/>
      </c>
      <c r="Y967" s="22" t="str">
        <f>IFERROR(__xludf.DUMMYFUNCTION("""COMPUTED_VALUE"""),"")</f>
        <v/>
      </c>
      <c r="Z967" s="24" t="str">
        <f>IFERROR(__xludf.DUMMYFUNCTION("""COMPUTED_VALUE"""),"")</f>
        <v/>
      </c>
    </row>
    <row r="968">
      <c r="A968" s="5" t="str">
        <f>IFERROR(__xludf.DUMMYFUNCTION("""COMPUTED_VALUE"""),"")</f>
        <v/>
      </c>
      <c r="B968" s="5" t="str">
        <f>IFERROR(__xludf.DUMMYFUNCTION("""COMPUTED_VALUE"""),"77936")</f>
        <v>77936</v>
      </c>
      <c r="C968" s="9">
        <f>IFERROR(__xludf.DUMMYFUNCTION("""COMPUTED_VALUE"""),4.4636000644E10)</f>
        <v>44636000644</v>
      </c>
      <c r="D968" s="90" t="str">
        <f>IFERROR(__xludf.DUMMYFUNCTION("""COMPUTED_VALUE"""),"3690.HK")</f>
        <v>3690.HK</v>
      </c>
      <c r="E968" s="193">
        <f>IFERROR(__xludf.DUMMYFUNCTION("""COMPUTED_VALUE"""),44636.0)</f>
        <v>44636</v>
      </c>
      <c r="F968" s="5" t="str">
        <f>IFERROR(__xludf.DUMMYFUNCTION("""COMPUTED_VALUE"""),"Stock")</f>
        <v>Stock</v>
      </c>
      <c r="G968" s="5" t="str">
        <f>IFERROR(__xludf.DUMMYFUNCTION("""COMPUTED_VALUE"""),"HKD")</f>
        <v>HKD</v>
      </c>
      <c r="H968" s="22">
        <f>IFERROR(__xludf.DUMMYFUNCTION("""COMPUTED_VALUE"""),500.0)</f>
        <v>500</v>
      </c>
      <c r="I968" s="194">
        <f>IFERROR(__xludf.DUMMYFUNCTION("""COMPUTED_VALUE"""),1.0)</f>
        <v>1</v>
      </c>
      <c r="J968" s="23">
        <f>IFERROR(__xludf.DUMMYFUNCTION("""COMPUTED_VALUE"""),140.0)</f>
        <v>140</v>
      </c>
      <c r="K968" s="5"/>
      <c r="L968" s="23">
        <f>IFERROR(__xludf.DUMMYFUNCTION("""COMPUTED_VALUE"""),154.1)</f>
        <v>154.1</v>
      </c>
      <c r="M968" s="195" t="str">
        <f>IFERROR(__xludf.DUMMYFUNCTION("""COMPUTED_VALUE"""),"Equity Key Stats")</f>
        <v>Equity Key Stats</v>
      </c>
      <c r="N968" s="5"/>
      <c r="O968" s="5"/>
      <c r="P968" s="142">
        <f>IFERROR(__xludf.DUMMYFUNCTION("""COMPUTED_VALUE"""),-70000.0)</f>
        <v>-70000</v>
      </c>
      <c r="Q968" s="5"/>
      <c r="R968" s="71">
        <f>IFERROR(__xludf.DUMMYFUNCTION("""COMPUTED_VALUE"""),154.1)</f>
        <v>154.1</v>
      </c>
      <c r="S968" s="142">
        <f>IFERROR(__xludf.DUMMYFUNCTION("""COMPUTED_VALUE"""),77050.0)</f>
        <v>77050</v>
      </c>
      <c r="T968" s="5">
        <f>IFERROR(__xludf.DUMMYFUNCTION("""COMPUTED_VALUE"""),1.0)</f>
        <v>1</v>
      </c>
      <c r="U968" s="5">
        <f>IFERROR(__xludf.DUMMYFUNCTION("""COMPUTED_VALUE"""),1.0)</f>
        <v>1</v>
      </c>
      <c r="V968" s="22">
        <f>IFERROR(__xludf.DUMMYFUNCTION("""COMPUTED_VALUE"""),7050.0)</f>
        <v>7050</v>
      </c>
      <c r="W968" s="9" t="str">
        <f>IFERROR(__xludf.DUMMYFUNCTION("""COMPUTED_VALUE"""),"")</f>
        <v/>
      </c>
      <c r="X968" s="22" t="str">
        <f>IFERROR(__xludf.DUMMYFUNCTION("""COMPUTED_VALUE"""),"")</f>
        <v/>
      </c>
      <c r="Y968" s="22" t="str">
        <f>IFERROR(__xludf.DUMMYFUNCTION("""COMPUTED_VALUE"""),"")</f>
        <v/>
      </c>
      <c r="Z968" s="24" t="str">
        <f>IFERROR(__xludf.DUMMYFUNCTION("""COMPUTED_VALUE"""),"")</f>
        <v/>
      </c>
    </row>
    <row r="969">
      <c r="A969" s="5" t="str">
        <f>IFERROR(__xludf.DUMMYFUNCTION("""COMPUTED_VALUE"""),"77936")</f>
        <v>77936</v>
      </c>
      <c r="B969" s="5" t="str">
        <f>IFERROR(__xludf.DUMMYFUNCTION("""COMPUTED_VALUE"""),"77936")</f>
        <v>77936</v>
      </c>
      <c r="C969" s="9">
        <f>IFERROR(__xludf.DUMMYFUNCTION("""COMPUTED_VALUE"""),4.4644000867E10)</f>
        <v>44644000867</v>
      </c>
      <c r="D969" s="90" t="str">
        <f>IFERROR(__xludf.DUMMYFUNCTION("""COMPUTED_VALUE"""),"0700.HK")</f>
        <v>0700.HK</v>
      </c>
      <c r="E969" s="193">
        <f>IFERROR(__xludf.DUMMYFUNCTION("""COMPUTED_VALUE"""),44644.0)</f>
        <v>44644</v>
      </c>
      <c r="F969" s="5" t="str">
        <f>IFERROR(__xludf.DUMMYFUNCTION("""COMPUTED_VALUE"""),"Stock")</f>
        <v>Stock</v>
      </c>
      <c r="G969" s="5" t="str">
        <f>IFERROR(__xludf.DUMMYFUNCTION("""COMPUTED_VALUE"""),"HKD")</f>
        <v>HKD</v>
      </c>
      <c r="H969" s="22">
        <f>IFERROR(__xludf.DUMMYFUNCTION("""COMPUTED_VALUE"""),100.0)</f>
        <v>100</v>
      </c>
      <c r="I969" s="194">
        <f>IFERROR(__xludf.DUMMYFUNCTION("""COMPUTED_VALUE"""),1.0)</f>
        <v>1</v>
      </c>
      <c r="J969" s="23">
        <f>IFERROR(__xludf.DUMMYFUNCTION("""COMPUTED_VALUE"""),366.0)</f>
        <v>366</v>
      </c>
      <c r="K969" s="5"/>
      <c r="L969" s="23">
        <f>IFERROR(__xludf.DUMMYFUNCTION("""COMPUTED_VALUE"""),373.6)</f>
        <v>373.6</v>
      </c>
      <c r="M969" s="195" t="str">
        <f>IFERROR(__xludf.DUMMYFUNCTION("""COMPUTED_VALUE"""),"Equity Key Stats")</f>
        <v>Equity Key Stats</v>
      </c>
      <c r="N969" s="5"/>
      <c r="O969" s="5"/>
      <c r="P969" s="142">
        <f>IFERROR(__xludf.DUMMYFUNCTION("""COMPUTED_VALUE"""),-36600.0)</f>
        <v>-36600</v>
      </c>
      <c r="Q969" s="5"/>
      <c r="R969" s="71">
        <f>IFERROR(__xludf.DUMMYFUNCTION("""COMPUTED_VALUE"""),373.6)</f>
        <v>373.6</v>
      </c>
      <c r="S969" s="142">
        <f>IFERROR(__xludf.DUMMYFUNCTION("""COMPUTED_VALUE"""),37360.0)</f>
        <v>37360</v>
      </c>
      <c r="T969" s="5">
        <f>IFERROR(__xludf.DUMMYFUNCTION("""COMPUTED_VALUE"""),1.0)</f>
        <v>1</v>
      </c>
      <c r="U969" s="5">
        <f>IFERROR(__xludf.DUMMYFUNCTION("""COMPUTED_VALUE"""),1.0)</f>
        <v>1</v>
      </c>
      <c r="V969" s="22">
        <f>IFERROR(__xludf.DUMMYFUNCTION("""COMPUTED_VALUE"""),760.0)</f>
        <v>760</v>
      </c>
      <c r="W969" s="9">
        <f>IFERROR(__xludf.DUMMYFUNCTION("""COMPUTED_VALUE"""),527590.0)</f>
        <v>527590</v>
      </c>
      <c r="X969" s="22">
        <f>IFERROR(__xludf.DUMMYFUNCTION("""COMPUTED_VALUE"""),159030.0)</f>
        <v>159030</v>
      </c>
      <c r="Y969" s="22">
        <f>IFERROR(__xludf.DUMMYFUNCTION("""COMPUTED_VALUE"""),0.0)</f>
        <v>0</v>
      </c>
      <c r="Z969" s="24">
        <f>IFERROR(__xludf.DUMMYFUNCTION("""COMPUTED_VALUE"""),0.05518000000000001)</f>
        <v>0.05518</v>
      </c>
    </row>
    <row r="970">
      <c r="A970" s="5" t="str">
        <f>IFERROR(__xludf.DUMMYFUNCTION("""COMPUTED_VALUE"""),"")</f>
        <v/>
      </c>
      <c r="B970" s="5" t="str">
        <f>IFERROR(__xludf.DUMMYFUNCTION("""COMPUTED_VALUE"""),"79521")</f>
        <v>79521</v>
      </c>
      <c r="C970" s="9">
        <f>IFERROR(__xludf.DUMMYFUNCTION("""COMPUTED_VALUE"""),4.4597000081E10)</f>
        <v>44597000081</v>
      </c>
      <c r="D970" s="85" t="str">
        <f>IFERROR(__xludf.DUMMYFUNCTION("""COMPUTED_VALUE"""),"Cash")</f>
        <v>Cash</v>
      </c>
      <c r="E970" s="193">
        <f>IFERROR(__xludf.DUMMYFUNCTION("""COMPUTED_VALUE"""),44597.0)</f>
        <v>44597</v>
      </c>
      <c r="F970" s="5" t="str">
        <f>IFERROR(__xludf.DUMMYFUNCTION("""COMPUTED_VALUE"""),"Cash")</f>
        <v>Cash</v>
      </c>
      <c r="G970" s="5" t="str">
        <f>IFERROR(__xludf.DUMMYFUNCTION("""COMPUTED_VALUE"""),"HKD")</f>
        <v>HKD</v>
      </c>
      <c r="H970" s="22" t="str">
        <f>IFERROR(__xludf.DUMMYFUNCTION("""COMPUTED_VALUE"""),"")</f>
        <v/>
      </c>
      <c r="I970" s="194">
        <f>IFERROR(__xludf.DUMMYFUNCTION("""COMPUTED_VALUE"""),1.0)</f>
        <v>1</v>
      </c>
      <c r="J970" s="5">
        <f>IFERROR(__xludf.DUMMYFUNCTION("""COMPUTED_VALUE"""),1.0)</f>
        <v>1</v>
      </c>
      <c r="K970" s="5"/>
      <c r="L970" s="23">
        <f>IFERROR(__xludf.DUMMYFUNCTION("""COMPUTED_VALUE"""),1.0)</f>
        <v>1</v>
      </c>
      <c r="M970" s="25" t="str">
        <f>IFERROR(__xludf.DUMMYFUNCTION("""COMPUTED_VALUE"""),"")</f>
        <v/>
      </c>
      <c r="N970" s="5"/>
      <c r="O970" s="5"/>
      <c r="P970" s="142">
        <f>IFERROR(__xludf.DUMMYFUNCTION("""COMPUTED_VALUE"""),500000.0)</f>
        <v>500000</v>
      </c>
      <c r="Q970" s="5"/>
      <c r="R970" s="71">
        <f>IFERROR(__xludf.DUMMYFUNCTION("""COMPUTED_VALUE"""),1.0)</f>
        <v>1</v>
      </c>
      <c r="S970" s="142" t="str">
        <f>IFERROR(__xludf.DUMMYFUNCTION("""COMPUTED_VALUE"""),"")</f>
        <v/>
      </c>
      <c r="T970" s="5">
        <f>IFERROR(__xludf.DUMMYFUNCTION("""COMPUTED_VALUE"""),1.0)</f>
        <v>1</v>
      </c>
      <c r="U970" s="5">
        <f>IFERROR(__xludf.DUMMYFUNCTION("""COMPUTED_VALUE"""),1.0)</f>
        <v>1</v>
      </c>
      <c r="V970" s="22">
        <f>IFERROR(__xludf.DUMMYFUNCTION("""COMPUTED_VALUE"""),500000.0)</f>
        <v>500000</v>
      </c>
      <c r="W970" s="9" t="str">
        <f>IFERROR(__xludf.DUMMYFUNCTION("""COMPUTED_VALUE"""),"")</f>
        <v/>
      </c>
      <c r="X970" s="22" t="str">
        <f>IFERROR(__xludf.DUMMYFUNCTION("""COMPUTED_VALUE"""),"")</f>
        <v/>
      </c>
      <c r="Y970" s="22" t="str">
        <f>IFERROR(__xludf.DUMMYFUNCTION("""COMPUTED_VALUE"""),"")</f>
        <v/>
      </c>
      <c r="Z970" s="24" t="str">
        <f>IFERROR(__xludf.DUMMYFUNCTION("""COMPUTED_VALUE"""),"")</f>
        <v/>
      </c>
    </row>
    <row r="971">
      <c r="A971" s="5" t="str">
        <f>IFERROR(__xludf.DUMMYFUNCTION("""COMPUTED_VALUE"""),"")</f>
        <v/>
      </c>
      <c r="B971" s="5" t="str">
        <f>IFERROR(__xludf.DUMMYFUNCTION("""COMPUTED_VALUE"""),"79521")</f>
        <v>79521</v>
      </c>
      <c r="C971" s="9">
        <f>IFERROR(__xludf.DUMMYFUNCTION("""COMPUTED_VALUE"""),4.4622000405E10)</f>
        <v>44622000405</v>
      </c>
      <c r="D971" s="87" t="str">
        <f>IFERROR(__xludf.DUMMYFUNCTION("""COMPUTED_VALUE"""),"AAPL")</f>
        <v>AAPL</v>
      </c>
      <c r="E971" s="193">
        <f>IFERROR(__xludf.DUMMYFUNCTION("""COMPUTED_VALUE"""),44622.0)</f>
        <v>44622</v>
      </c>
      <c r="F971" s="5" t="str">
        <f>IFERROR(__xludf.DUMMYFUNCTION("""COMPUTED_VALUE"""),"Stock")</f>
        <v>Stock</v>
      </c>
      <c r="G971" s="5" t="str">
        <f>IFERROR(__xludf.DUMMYFUNCTION("""COMPUTED_VALUE"""),"USD")</f>
        <v>USD</v>
      </c>
      <c r="H971" s="22">
        <f>IFERROR(__xludf.DUMMYFUNCTION("""COMPUTED_VALUE"""),0.0)</f>
        <v>0</v>
      </c>
      <c r="I971" s="194">
        <f>IFERROR(__xludf.DUMMYFUNCTION("""COMPUTED_VALUE"""),7.81395)</f>
        <v>7.81395</v>
      </c>
      <c r="J971" s="23">
        <f>IFERROR(__xludf.DUMMYFUNCTION("""COMPUTED_VALUE"""),0.0)</f>
        <v>0</v>
      </c>
      <c r="K971" s="5"/>
      <c r="L971" s="23">
        <f>IFERROR(__xludf.DUMMYFUNCTION("""COMPUTED_VALUE"""),170.4)</f>
        <v>170.4</v>
      </c>
      <c r="M971" s="195" t="str">
        <f>IFERROR(__xludf.DUMMYFUNCTION("""COMPUTED_VALUE"""),"Equity Key Stats")</f>
        <v>Equity Key Stats</v>
      </c>
      <c r="N971" s="5"/>
      <c r="O971" s="5"/>
      <c r="P971" s="142">
        <f>IFERROR(__xludf.DUMMYFUNCTION("""COMPUTED_VALUE"""),0.0)</f>
        <v>0</v>
      </c>
      <c r="Q971" s="5"/>
      <c r="R971" s="71">
        <f>IFERROR(__xludf.DUMMYFUNCTION("""COMPUTED_VALUE"""),170.4)</f>
        <v>170.4</v>
      </c>
      <c r="S971" s="142">
        <f>IFERROR(__xludf.DUMMYFUNCTION("""COMPUTED_VALUE"""),0.0)</f>
        <v>0</v>
      </c>
      <c r="T971" s="5">
        <f>IFERROR(__xludf.DUMMYFUNCTION("""COMPUTED_VALUE"""),2.0)</f>
        <v>2</v>
      </c>
      <c r="U971" s="5" t="str">
        <f>IFERROR(__xludf.DUMMYFUNCTION("""COMPUTED_VALUE"""),"")</f>
        <v/>
      </c>
      <c r="V971" s="22" t="str">
        <f>IFERROR(__xludf.DUMMYFUNCTION("""COMPUTED_VALUE"""),"")</f>
        <v/>
      </c>
      <c r="W971" s="9" t="str">
        <f>IFERROR(__xludf.DUMMYFUNCTION("""COMPUTED_VALUE"""),"")</f>
        <v/>
      </c>
      <c r="X971" s="22" t="str">
        <f>IFERROR(__xludf.DUMMYFUNCTION("""COMPUTED_VALUE"""),"")</f>
        <v/>
      </c>
      <c r="Y971" s="22" t="str">
        <f>IFERROR(__xludf.DUMMYFUNCTION("""COMPUTED_VALUE"""),"")</f>
        <v/>
      </c>
      <c r="Z971" s="24" t="str">
        <f>IFERROR(__xludf.DUMMYFUNCTION("""COMPUTED_VALUE"""),"")</f>
        <v/>
      </c>
    </row>
    <row r="972">
      <c r="A972" s="5" t="str">
        <f>IFERROR(__xludf.DUMMYFUNCTION("""COMPUTED_VALUE"""),"")</f>
        <v/>
      </c>
      <c r="B972" s="5" t="str">
        <f>IFERROR(__xludf.DUMMYFUNCTION("""COMPUTED_VALUE"""),"79521")</f>
        <v>79521</v>
      </c>
      <c r="C972" s="9">
        <f>IFERROR(__xludf.DUMMYFUNCTION("""COMPUTED_VALUE"""),4.4627000452E10)</f>
        <v>44627000452</v>
      </c>
      <c r="D972" s="90" t="str">
        <f>IFERROR(__xludf.DUMMYFUNCTION("""COMPUTED_VALUE"""),"000950.SZ")</f>
        <v>000950.SZ</v>
      </c>
      <c r="E972" s="193">
        <f>IFERROR(__xludf.DUMMYFUNCTION("""COMPUTED_VALUE"""),44627.0)</f>
        <v>44627</v>
      </c>
      <c r="F972" s="5" t="str">
        <f>IFERROR(__xludf.DUMMYFUNCTION("""COMPUTED_VALUE"""),"Stock")</f>
        <v>Stock</v>
      </c>
      <c r="G972" s="5" t="str">
        <f>IFERROR(__xludf.DUMMYFUNCTION("""COMPUTED_VALUE"""),"CNY")</f>
        <v>CNY</v>
      </c>
      <c r="H972" s="22">
        <f>IFERROR(__xludf.DUMMYFUNCTION("""COMPUTED_VALUE"""),32500.0)</f>
        <v>32500</v>
      </c>
      <c r="I972" s="194">
        <f>IFERROR(__xludf.DUMMYFUNCTION("""COMPUTED_VALUE"""),1.237255)</f>
        <v>1.237255</v>
      </c>
      <c r="J972" s="23">
        <f>IFERROR(__xludf.DUMMYFUNCTION("""COMPUTED_VALUE"""),6.15)</f>
        <v>6.15</v>
      </c>
      <c r="K972" s="5"/>
      <c r="L972" s="23">
        <f>IFERROR(__xludf.DUMMYFUNCTION("""COMPUTED_VALUE"""),5.34)</f>
        <v>5.34</v>
      </c>
      <c r="M972" s="195" t="str">
        <f>IFERROR(__xludf.DUMMYFUNCTION("""COMPUTED_VALUE"""),"Equity Key Stats")</f>
        <v>Equity Key Stats</v>
      </c>
      <c r="N972" s="5"/>
      <c r="O972" s="5"/>
      <c r="P972" s="142">
        <f>IFERROR(__xludf.DUMMYFUNCTION("""COMPUTED_VALUE"""),-247296.343125)</f>
        <v>-247296.3431</v>
      </c>
      <c r="Q972" s="5"/>
      <c r="R972" s="71">
        <f>IFERROR(__xludf.DUMMYFUNCTION("""COMPUTED_VALUE"""),5.34)</f>
        <v>5.34</v>
      </c>
      <c r="S972" s="142">
        <f>IFERROR(__xludf.DUMMYFUNCTION("""COMPUTED_VALUE"""),214725.60525)</f>
        <v>214725.6053</v>
      </c>
      <c r="T972" s="5">
        <f>IFERROR(__xludf.DUMMYFUNCTION("""COMPUTED_VALUE"""),2.0)</f>
        <v>2</v>
      </c>
      <c r="U972" s="5" t="str">
        <f>IFERROR(__xludf.DUMMYFUNCTION("""COMPUTED_VALUE"""),"")</f>
        <v/>
      </c>
      <c r="V972" s="22" t="str">
        <f>IFERROR(__xludf.DUMMYFUNCTION("""COMPUTED_VALUE"""),"")</f>
        <v/>
      </c>
      <c r="W972" s="9" t="str">
        <f>IFERROR(__xludf.DUMMYFUNCTION("""COMPUTED_VALUE"""),"")</f>
        <v/>
      </c>
      <c r="X972" s="22" t="str">
        <f>IFERROR(__xludf.DUMMYFUNCTION("""COMPUTED_VALUE"""),"")</f>
        <v/>
      </c>
      <c r="Y972" s="22" t="str">
        <f>IFERROR(__xludf.DUMMYFUNCTION("""COMPUTED_VALUE"""),"")</f>
        <v/>
      </c>
      <c r="Z972" s="24" t="str">
        <f>IFERROR(__xludf.DUMMYFUNCTION("""COMPUTED_VALUE"""),"")</f>
        <v/>
      </c>
    </row>
    <row r="973">
      <c r="A973" s="5" t="str">
        <f>IFERROR(__xludf.DUMMYFUNCTION("""COMPUTED_VALUE"""),"")</f>
        <v/>
      </c>
      <c r="B973" s="5" t="str">
        <f>IFERROR(__xludf.DUMMYFUNCTION("""COMPUTED_VALUE"""),"79521")</f>
        <v>79521</v>
      </c>
      <c r="C973" s="9">
        <f>IFERROR(__xludf.DUMMYFUNCTION("""COMPUTED_VALUE"""),4.4627000453E10)</f>
        <v>44627000453</v>
      </c>
      <c r="D973" s="90" t="str">
        <f>IFERROR(__xludf.DUMMYFUNCTION("""COMPUTED_VALUE"""),"600661.SS")</f>
        <v>600661.SS</v>
      </c>
      <c r="E973" s="193">
        <f>IFERROR(__xludf.DUMMYFUNCTION("""COMPUTED_VALUE"""),44627.0)</f>
        <v>44627</v>
      </c>
      <c r="F973" s="5" t="str">
        <f>IFERROR(__xludf.DUMMYFUNCTION("""COMPUTED_VALUE"""),"Stock")</f>
        <v>Stock</v>
      </c>
      <c r="G973" s="5" t="str">
        <f>IFERROR(__xludf.DUMMYFUNCTION("""COMPUTED_VALUE"""),"CNY")</f>
        <v>CNY</v>
      </c>
      <c r="H973" s="22">
        <f>IFERROR(__xludf.DUMMYFUNCTION("""COMPUTED_VALUE"""),15000.0)</f>
        <v>15000</v>
      </c>
      <c r="I973" s="194">
        <f>IFERROR(__xludf.DUMMYFUNCTION("""COMPUTED_VALUE"""),1.237255)</f>
        <v>1.237255</v>
      </c>
      <c r="J973" s="23">
        <f>IFERROR(__xludf.DUMMYFUNCTION("""COMPUTED_VALUE"""),13.18)</f>
        <v>13.18</v>
      </c>
      <c r="K973" s="5"/>
      <c r="L973" s="23">
        <f>IFERROR(__xludf.DUMMYFUNCTION("""COMPUTED_VALUE"""),8.63)</f>
        <v>8.63</v>
      </c>
      <c r="M973" s="195" t="str">
        <f>IFERROR(__xludf.DUMMYFUNCTION("""COMPUTED_VALUE"""),"Equity Key Stats")</f>
        <v>Equity Key Stats</v>
      </c>
      <c r="N973" s="5"/>
      <c r="O973" s="5"/>
      <c r="P973" s="142">
        <f>IFERROR(__xludf.DUMMYFUNCTION("""COMPUTED_VALUE"""),-244605.31350000002)</f>
        <v>-244605.3135</v>
      </c>
      <c r="Q973" s="5"/>
      <c r="R973" s="71">
        <f>IFERROR(__xludf.DUMMYFUNCTION("""COMPUTED_VALUE"""),8.63)</f>
        <v>8.63</v>
      </c>
      <c r="S973" s="142">
        <f>IFERROR(__xludf.DUMMYFUNCTION("""COMPUTED_VALUE"""),160162.65975000002)</f>
        <v>160162.6598</v>
      </c>
      <c r="T973" s="5">
        <f>IFERROR(__xludf.DUMMYFUNCTION("""COMPUTED_VALUE"""),2.0)</f>
        <v>2</v>
      </c>
      <c r="U973" s="5" t="str">
        <f>IFERROR(__xludf.DUMMYFUNCTION("""COMPUTED_VALUE"""),"")</f>
        <v/>
      </c>
      <c r="V973" s="22" t="str">
        <f>IFERROR(__xludf.DUMMYFUNCTION("""COMPUTED_VALUE"""),"")</f>
        <v/>
      </c>
      <c r="W973" s="9" t="str">
        <f>IFERROR(__xludf.DUMMYFUNCTION("""COMPUTED_VALUE"""),"")</f>
        <v/>
      </c>
      <c r="X973" s="22" t="str">
        <f>IFERROR(__xludf.DUMMYFUNCTION("""COMPUTED_VALUE"""),"")</f>
        <v/>
      </c>
      <c r="Y973" s="22" t="str">
        <f>IFERROR(__xludf.DUMMYFUNCTION("""COMPUTED_VALUE"""),"")</f>
        <v/>
      </c>
      <c r="Z973" s="24" t="str">
        <f>IFERROR(__xludf.DUMMYFUNCTION("""COMPUTED_VALUE"""),"")</f>
        <v/>
      </c>
    </row>
    <row r="974">
      <c r="A974" s="5" t="str">
        <f>IFERROR(__xludf.DUMMYFUNCTION("""COMPUTED_VALUE"""),"")</f>
        <v/>
      </c>
      <c r="B974" s="5" t="str">
        <f>IFERROR(__xludf.DUMMYFUNCTION("""COMPUTED_VALUE"""),"79521")</f>
        <v>79521</v>
      </c>
      <c r="C974" s="9">
        <f>IFERROR(__xludf.DUMMYFUNCTION("""COMPUTED_VALUE"""),4.4628000489E10)</f>
        <v>44628000489</v>
      </c>
      <c r="D974" s="87" t="str">
        <f>IFERROR(__xludf.DUMMYFUNCTION("""COMPUTED_VALUE"""),"AAPL")</f>
        <v>AAPL</v>
      </c>
      <c r="E974" s="193">
        <f>IFERROR(__xludf.DUMMYFUNCTION("""COMPUTED_VALUE"""),44628.0)</f>
        <v>44628</v>
      </c>
      <c r="F974" s="5" t="str">
        <f>IFERROR(__xludf.DUMMYFUNCTION("""COMPUTED_VALUE"""),"Stock")</f>
        <v>Stock</v>
      </c>
      <c r="G974" s="5" t="str">
        <f>IFERROR(__xludf.DUMMYFUNCTION("""COMPUTED_VALUE"""),"USD")</f>
        <v>USD</v>
      </c>
      <c r="H974" s="22">
        <f>IFERROR(__xludf.DUMMYFUNCTION("""COMPUTED_VALUE"""),0.0)</f>
        <v>0</v>
      </c>
      <c r="I974" s="194">
        <f>IFERROR(__xludf.DUMMYFUNCTION("""COMPUTED_VALUE"""),7.818975)</f>
        <v>7.818975</v>
      </c>
      <c r="J974" s="23">
        <f>IFERROR(__xludf.DUMMYFUNCTION("""COMPUTED_VALUE"""),0.0)</f>
        <v>0</v>
      </c>
      <c r="K974" s="5"/>
      <c r="L974" s="23">
        <f>IFERROR(__xludf.DUMMYFUNCTION("""COMPUTED_VALUE"""),170.4)</f>
        <v>170.4</v>
      </c>
      <c r="M974" s="195" t="str">
        <f>IFERROR(__xludf.DUMMYFUNCTION("""COMPUTED_VALUE"""),"Equity Key Stats")</f>
        <v>Equity Key Stats</v>
      </c>
      <c r="N974" s="5"/>
      <c r="O974" s="5"/>
      <c r="P974" s="142">
        <f>IFERROR(__xludf.DUMMYFUNCTION("""COMPUTED_VALUE"""),0.0)</f>
        <v>0</v>
      </c>
      <c r="Q974" s="5"/>
      <c r="R974" s="71">
        <f>IFERROR(__xludf.DUMMYFUNCTION("""COMPUTED_VALUE"""),170.4)</f>
        <v>170.4</v>
      </c>
      <c r="S974" s="142">
        <f>IFERROR(__xludf.DUMMYFUNCTION("""COMPUTED_VALUE"""),0.0)</f>
        <v>0</v>
      </c>
      <c r="T974" s="5">
        <f>IFERROR(__xludf.DUMMYFUNCTION("""COMPUTED_VALUE"""),2.0)</f>
        <v>2</v>
      </c>
      <c r="U974" s="5">
        <f>IFERROR(__xludf.DUMMYFUNCTION("""COMPUTED_VALUE"""),1.0)</f>
        <v>1</v>
      </c>
      <c r="V974" s="22">
        <f>IFERROR(__xludf.DUMMYFUNCTION("""COMPUTED_VALUE"""),0.0)</f>
        <v>0</v>
      </c>
      <c r="W974" s="9" t="str">
        <f>IFERROR(__xludf.DUMMYFUNCTION("""COMPUTED_VALUE"""),"")</f>
        <v/>
      </c>
      <c r="X974" s="22" t="str">
        <f>IFERROR(__xludf.DUMMYFUNCTION("""COMPUTED_VALUE"""),"")</f>
        <v/>
      </c>
      <c r="Y974" s="22" t="str">
        <f>IFERROR(__xludf.DUMMYFUNCTION("""COMPUTED_VALUE"""),"")</f>
        <v/>
      </c>
      <c r="Z974" s="24" t="str">
        <f>IFERROR(__xludf.DUMMYFUNCTION("""COMPUTED_VALUE"""),"")</f>
        <v/>
      </c>
    </row>
    <row r="975">
      <c r="A975" s="5" t="str">
        <f>IFERROR(__xludf.DUMMYFUNCTION("""COMPUTED_VALUE"""),"")</f>
        <v/>
      </c>
      <c r="B975" s="5" t="str">
        <f>IFERROR(__xludf.DUMMYFUNCTION("""COMPUTED_VALUE"""),"79521")</f>
        <v>79521</v>
      </c>
      <c r="C975" s="9">
        <f>IFERROR(__xludf.DUMMYFUNCTION("""COMPUTED_VALUE"""),4.4637000657E10)</f>
        <v>44637000657</v>
      </c>
      <c r="D975" s="90" t="str">
        <f>IFERROR(__xludf.DUMMYFUNCTION("""COMPUTED_VALUE"""),"000950.SZ")</f>
        <v>000950.SZ</v>
      </c>
      <c r="E975" s="193">
        <f>IFERROR(__xludf.DUMMYFUNCTION("""COMPUTED_VALUE"""),44637.0)</f>
        <v>44637</v>
      </c>
      <c r="F975" s="5" t="str">
        <f>IFERROR(__xludf.DUMMYFUNCTION("""COMPUTED_VALUE"""),"Stock")</f>
        <v>Stock</v>
      </c>
      <c r="G975" s="5" t="str">
        <f>IFERROR(__xludf.DUMMYFUNCTION("""COMPUTED_VALUE"""),"CNY")</f>
        <v>CNY</v>
      </c>
      <c r="H975" s="22">
        <f>IFERROR(__xludf.DUMMYFUNCTION("""COMPUTED_VALUE"""),-32500.0)</f>
        <v>-32500</v>
      </c>
      <c r="I975" s="194">
        <f>IFERROR(__xludf.DUMMYFUNCTION("""COMPUTED_VALUE"""),1.231806)</f>
        <v>1.231806</v>
      </c>
      <c r="J975" s="23">
        <f>IFERROR(__xludf.DUMMYFUNCTION("""COMPUTED_VALUE"""),5.58)</f>
        <v>5.58</v>
      </c>
      <c r="K975" s="5"/>
      <c r="L975" s="23">
        <f>IFERROR(__xludf.DUMMYFUNCTION("""COMPUTED_VALUE"""),5.34)</f>
        <v>5.34</v>
      </c>
      <c r="M975" s="195" t="str">
        <f>IFERROR(__xludf.DUMMYFUNCTION("""COMPUTED_VALUE"""),"Equity Key Stats")</f>
        <v>Equity Key Stats</v>
      </c>
      <c r="N975" s="5"/>
      <c r="O975" s="5"/>
      <c r="P975" s="142">
        <f>IFERROR(__xludf.DUMMYFUNCTION("""COMPUTED_VALUE"""),223388.01810000002)</f>
        <v>223388.0181</v>
      </c>
      <c r="Q975" s="5"/>
      <c r="R975" s="71">
        <f>IFERROR(__xludf.DUMMYFUNCTION("""COMPUTED_VALUE"""),5.34)</f>
        <v>5.34</v>
      </c>
      <c r="S975" s="142">
        <f>IFERROR(__xludf.DUMMYFUNCTION("""COMPUTED_VALUE"""),-213779.9313)</f>
        <v>-213779.9313</v>
      </c>
      <c r="T975" s="5">
        <f>IFERROR(__xludf.DUMMYFUNCTION("""COMPUTED_VALUE"""),2.0)</f>
        <v>2</v>
      </c>
      <c r="U975" s="5">
        <f>IFERROR(__xludf.DUMMYFUNCTION("""COMPUTED_VALUE"""),1.0)</f>
        <v>1</v>
      </c>
      <c r="V975" s="22">
        <f>IFERROR(__xludf.DUMMYFUNCTION("""COMPUTED_VALUE"""),-22962.651075)</f>
        <v>-22962.65108</v>
      </c>
      <c r="W975" s="9" t="str">
        <f>IFERROR(__xludf.DUMMYFUNCTION("""COMPUTED_VALUE"""),"")</f>
        <v/>
      </c>
      <c r="X975" s="22" t="str">
        <f>IFERROR(__xludf.DUMMYFUNCTION("""COMPUTED_VALUE"""),"")</f>
        <v/>
      </c>
      <c r="Y975" s="22" t="str">
        <f>IFERROR(__xludf.DUMMYFUNCTION("""COMPUTED_VALUE"""),"")</f>
        <v/>
      </c>
      <c r="Z975" s="24" t="str">
        <f>IFERROR(__xludf.DUMMYFUNCTION("""COMPUTED_VALUE"""),"")</f>
        <v/>
      </c>
    </row>
    <row r="976">
      <c r="A976" s="5" t="str">
        <f>IFERROR(__xludf.DUMMYFUNCTION("""COMPUTED_VALUE"""),"")</f>
        <v/>
      </c>
      <c r="B976" s="5" t="str">
        <f>IFERROR(__xludf.DUMMYFUNCTION("""COMPUTED_VALUE"""),"79521")</f>
        <v>79521</v>
      </c>
      <c r="C976" s="9">
        <f>IFERROR(__xludf.DUMMYFUNCTION("""COMPUTED_VALUE"""),4.4637000658E10)</f>
        <v>44637000658</v>
      </c>
      <c r="D976" s="90" t="str">
        <f>IFERROR(__xludf.DUMMYFUNCTION("""COMPUTED_VALUE"""),"600661.SS")</f>
        <v>600661.SS</v>
      </c>
      <c r="E976" s="193">
        <f>IFERROR(__xludf.DUMMYFUNCTION("""COMPUTED_VALUE"""),44637.0)</f>
        <v>44637</v>
      </c>
      <c r="F976" s="5" t="str">
        <f>IFERROR(__xludf.DUMMYFUNCTION("""COMPUTED_VALUE"""),"Stock")</f>
        <v>Stock</v>
      </c>
      <c r="G976" s="5" t="str">
        <f>IFERROR(__xludf.DUMMYFUNCTION("""COMPUTED_VALUE"""),"CNY")</f>
        <v>CNY</v>
      </c>
      <c r="H976" s="22">
        <f>IFERROR(__xludf.DUMMYFUNCTION("""COMPUTED_VALUE"""),-15000.0)</f>
        <v>-15000</v>
      </c>
      <c r="I976" s="194">
        <f>IFERROR(__xludf.DUMMYFUNCTION("""COMPUTED_VALUE"""),1.231806)</f>
        <v>1.231806</v>
      </c>
      <c r="J976" s="23">
        <f>IFERROR(__xludf.DUMMYFUNCTION("""COMPUTED_VALUE"""),10.9)</f>
        <v>10.9</v>
      </c>
      <c r="K976" s="5"/>
      <c r="L976" s="23">
        <f>IFERROR(__xludf.DUMMYFUNCTION("""COMPUTED_VALUE"""),8.63)</f>
        <v>8.63</v>
      </c>
      <c r="M976" s="195" t="str">
        <f>IFERROR(__xludf.DUMMYFUNCTION("""COMPUTED_VALUE"""),"Equity Key Stats")</f>
        <v>Equity Key Stats</v>
      </c>
      <c r="N976" s="5"/>
      <c r="O976" s="5"/>
      <c r="P976" s="142">
        <f>IFERROR(__xludf.DUMMYFUNCTION("""COMPUTED_VALUE"""),201400.28100000002)</f>
        <v>201400.281</v>
      </c>
      <c r="Q976" s="5"/>
      <c r="R976" s="71">
        <f>IFERROR(__xludf.DUMMYFUNCTION("""COMPUTED_VALUE"""),8.63)</f>
        <v>8.63</v>
      </c>
      <c r="S976" s="142">
        <f>IFERROR(__xludf.DUMMYFUNCTION("""COMPUTED_VALUE"""),-159457.28670000003)</f>
        <v>-159457.2867</v>
      </c>
      <c r="T976" s="5">
        <f>IFERROR(__xludf.DUMMYFUNCTION("""COMPUTED_VALUE"""),2.0)</f>
        <v>2</v>
      </c>
      <c r="U976" s="5">
        <f>IFERROR(__xludf.DUMMYFUNCTION("""COMPUTED_VALUE"""),1.0)</f>
        <v>1</v>
      </c>
      <c r="V976" s="22">
        <f>IFERROR(__xludf.DUMMYFUNCTION("""COMPUTED_VALUE"""),-42499.65945000001)</f>
        <v>-42499.65945</v>
      </c>
      <c r="W976" s="9" t="str">
        <f>IFERROR(__xludf.DUMMYFUNCTION("""COMPUTED_VALUE"""),"")</f>
        <v/>
      </c>
      <c r="X976" s="22" t="str">
        <f>IFERROR(__xludf.DUMMYFUNCTION("""COMPUTED_VALUE"""),"")</f>
        <v/>
      </c>
      <c r="Y976" s="22" t="str">
        <f>IFERROR(__xludf.DUMMYFUNCTION("""COMPUTED_VALUE"""),"")</f>
        <v/>
      </c>
      <c r="Z976" s="24" t="str">
        <f>IFERROR(__xludf.DUMMYFUNCTION("""COMPUTED_VALUE"""),"")</f>
        <v/>
      </c>
    </row>
    <row r="977">
      <c r="A977" s="5" t="str">
        <f>IFERROR(__xludf.DUMMYFUNCTION("""COMPUTED_VALUE"""),"")</f>
        <v/>
      </c>
      <c r="B977" s="5" t="str">
        <f>IFERROR(__xludf.DUMMYFUNCTION("""COMPUTED_VALUE"""),"79521")</f>
        <v>79521</v>
      </c>
      <c r="C977" s="9">
        <f>IFERROR(__xludf.DUMMYFUNCTION("""COMPUTED_VALUE"""),4.463800069E10)</f>
        <v>44638000690</v>
      </c>
      <c r="D977" s="90" t="str">
        <f>IFERROR(__xludf.DUMMYFUNCTION("""COMPUTED_VALUE"""),"0700.HK")</f>
        <v>0700.HK</v>
      </c>
      <c r="E977" s="193">
        <f>IFERROR(__xludf.DUMMYFUNCTION("""COMPUTED_VALUE"""),44638.0)</f>
        <v>44638</v>
      </c>
      <c r="F977" s="5" t="str">
        <f>IFERROR(__xludf.DUMMYFUNCTION("""COMPUTED_VALUE"""),"Stock")</f>
        <v>Stock</v>
      </c>
      <c r="G977" s="5" t="str">
        <f>IFERROR(__xludf.DUMMYFUNCTION("""COMPUTED_VALUE"""),"HKD")</f>
        <v>HKD</v>
      </c>
      <c r="H977" s="22">
        <f>IFERROR(__xludf.DUMMYFUNCTION("""COMPUTED_VALUE"""),1000.0)</f>
        <v>1000</v>
      </c>
      <c r="I977" s="194">
        <f>IFERROR(__xludf.DUMMYFUNCTION("""COMPUTED_VALUE"""),1.0)</f>
        <v>1</v>
      </c>
      <c r="J977" s="23">
        <f>IFERROR(__xludf.DUMMYFUNCTION("""COMPUTED_VALUE"""),381.0)</f>
        <v>381</v>
      </c>
      <c r="K977" s="5"/>
      <c r="L977" s="23">
        <f>IFERROR(__xludf.DUMMYFUNCTION("""COMPUTED_VALUE"""),373.6)</f>
        <v>373.6</v>
      </c>
      <c r="M977" s="195" t="str">
        <f>IFERROR(__xludf.DUMMYFUNCTION("""COMPUTED_VALUE"""),"Equity Key Stats")</f>
        <v>Equity Key Stats</v>
      </c>
      <c r="N977" s="5"/>
      <c r="O977" s="5"/>
      <c r="P977" s="142">
        <f>IFERROR(__xludf.DUMMYFUNCTION("""COMPUTED_VALUE"""),-381000.0)</f>
        <v>-381000</v>
      </c>
      <c r="Q977" s="5"/>
      <c r="R977" s="71">
        <f>IFERROR(__xludf.DUMMYFUNCTION("""COMPUTED_VALUE"""),373.6)</f>
        <v>373.6</v>
      </c>
      <c r="S977" s="142">
        <f>IFERROR(__xludf.DUMMYFUNCTION("""COMPUTED_VALUE"""),373600.0)</f>
        <v>373600</v>
      </c>
      <c r="T977" s="5">
        <f>IFERROR(__xludf.DUMMYFUNCTION("""COMPUTED_VALUE"""),2.0)</f>
        <v>2</v>
      </c>
      <c r="U977" s="5" t="str">
        <f>IFERROR(__xludf.DUMMYFUNCTION("""COMPUTED_VALUE"""),"")</f>
        <v/>
      </c>
      <c r="V977" s="22" t="str">
        <f>IFERROR(__xludf.DUMMYFUNCTION("""COMPUTED_VALUE"""),"")</f>
        <v/>
      </c>
      <c r="W977" s="9" t="str">
        <f>IFERROR(__xludf.DUMMYFUNCTION("""COMPUTED_VALUE"""),"")</f>
        <v/>
      </c>
      <c r="X977" s="22" t="str">
        <f>IFERROR(__xludf.DUMMYFUNCTION("""COMPUTED_VALUE"""),"")</f>
        <v/>
      </c>
      <c r="Y977" s="22" t="str">
        <f>IFERROR(__xludf.DUMMYFUNCTION("""COMPUTED_VALUE"""),"")</f>
        <v/>
      </c>
      <c r="Z977" s="24" t="str">
        <f>IFERROR(__xludf.DUMMYFUNCTION("""COMPUTED_VALUE"""),"")</f>
        <v/>
      </c>
    </row>
    <row r="978">
      <c r="A978" s="5" t="str">
        <f>IFERROR(__xludf.DUMMYFUNCTION("""COMPUTED_VALUE"""),"")</f>
        <v/>
      </c>
      <c r="B978" s="5" t="str">
        <f>IFERROR(__xludf.DUMMYFUNCTION("""COMPUTED_VALUE"""),"79521")</f>
        <v>79521</v>
      </c>
      <c r="C978" s="9">
        <f>IFERROR(__xludf.DUMMYFUNCTION("""COMPUTED_VALUE"""),4.4638000691E10)</f>
        <v>44638000691</v>
      </c>
      <c r="D978" s="90" t="str">
        <f>IFERROR(__xludf.DUMMYFUNCTION("""COMPUTED_VALUE"""),"001896.SZ")</f>
        <v>001896.SZ</v>
      </c>
      <c r="E978" s="193">
        <f>IFERROR(__xludf.DUMMYFUNCTION("""COMPUTED_VALUE"""),44638.0)</f>
        <v>44638</v>
      </c>
      <c r="F978" s="5" t="str">
        <f>IFERROR(__xludf.DUMMYFUNCTION("""COMPUTED_VALUE"""),"Stock")</f>
        <v>Stock</v>
      </c>
      <c r="G978" s="5" t="str">
        <f>IFERROR(__xludf.DUMMYFUNCTION("""COMPUTED_VALUE"""),"CNY")</f>
        <v>CNY</v>
      </c>
      <c r="H978" s="22">
        <f>IFERROR(__xludf.DUMMYFUNCTION("""COMPUTED_VALUE"""),10000.0)</f>
        <v>10000</v>
      </c>
      <c r="I978" s="194">
        <f>IFERROR(__xludf.DUMMYFUNCTION("""COMPUTED_VALUE"""),1.231731)</f>
        <v>1.231731</v>
      </c>
      <c r="J978" s="23">
        <f>IFERROR(__xludf.DUMMYFUNCTION("""COMPUTED_VALUE"""),6.16)</f>
        <v>6.16</v>
      </c>
      <c r="K978" s="5"/>
      <c r="L978" s="23">
        <f>IFERROR(__xludf.DUMMYFUNCTION("""COMPUTED_VALUE"""),5.5)</f>
        <v>5.5</v>
      </c>
      <c r="M978" s="195" t="str">
        <f>IFERROR(__xludf.DUMMYFUNCTION("""COMPUTED_VALUE"""),"Equity Key Stats")</f>
        <v>Equity Key Stats</v>
      </c>
      <c r="N978" s="5"/>
      <c r="O978" s="5"/>
      <c r="P978" s="142">
        <f>IFERROR(__xludf.DUMMYFUNCTION("""COMPUTED_VALUE"""),-75874.6296)</f>
        <v>-75874.6296</v>
      </c>
      <c r="Q978" s="5"/>
      <c r="R978" s="71">
        <f>IFERROR(__xludf.DUMMYFUNCTION("""COMPUTED_VALUE"""),5.5)</f>
        <v>5.5</v>
      </c>
      <c r="S978" s="142">
        <f>IFERROR(__xludf.DUMMYFUNCTION("""COMPUTED_VALUE"""),67745.205)</f>
        <v>67745.205</v>
      </c>
      <c r="T978" s="5">
        <f>IFERROR(__xludf.DUMMYFUNCTION("""COMPUTED_VALUE"""),1.0)</f>
        <v>1</v>
      </c>
      <c r="U978" s="5">
        <f>IFERROR(__xludf.DUMMYFUNCTION("""COMPUTED_VALUE"""),1.0)</f>
        <v>1</v>
      </c>
      <c r="V978" s="22">
        <f>IFERROR(__xludf.DUMMYFUNCTION("""COMPUTED_VALUE"""),-8129.4245999999985)</f>
        <v>-8129.4246</v>
      </c>
      <c r="W978" s="9" t="str">
        <f>IFERROR(__xludf.DUMMYFUNCTION("""COMPUTED_VALUE"""),"")</f>
        <v/>
      </c>
      <c r="X978" s="22" t="str">
        <f>IFERROR(__xludf.DUMMYFUNCTION("""COMPUTED_VALUE"""),"")</f>
        <v/>
      </c>
      <c r="Y978" s="22" t="str">
        <f>IFERROR(__xludf.DUMMYFUNCTION("""COMPUTED_VALUE"""),"")</f>
        <v/>
      </c>
      <c r="Z978" s="24" t="str">
        <f>IFERROR(__xludf.DUMMYFUNCTION("""COMPUTED_VALUE"""),"")</f>
        <v/>
      </c>
    </row>
    <row r="979">
      <c r="A979" s="5" t="str">
        <f>IFERROR(__xludf.DUMMYFUNCTION("""COMPUTED_VALUE"""),"")</f>
        <v/>
      </c>
      <c r="B979" s="5" t="str">
        <f>IFERROR(__xludf.DUMMYFUNCTION("""COMPUTED_VALUE"""),"79521")</f>
        <v>79521</v>
      </c>
      <c r="C979" s="9">
        <f>IFERROR(__xludf.DUMMYFUNCTION("""COMPUTED_VALUE"""),4.464100074E10)</f>
        <v>44641000740</v>
      </c>
      <c r="D979" s="90" t="str">
        <f>IFERROR(__xludf.DUMMYFUNCTION("""COMPUTED_VALUE"""),"0700.HK")</f>
        <v>0700.HK</v>
      </c>
      <c r="E979" s="193">
        <f>IFERROR(__xludf.DUMMYFUNCTION("""COMPUTED_VALUE"""),44641.0)</f>
        <v>44641</v>
      </c>
      <c r="F979" s="5" t="str">
        <f>IFERROR(__xludf.DUMMYFUNCTION("""COMPUTED_VALUE"""),"Stock")</f>
        <v>Stock</v>
      </c>
      <c r="G979" s="5" t="str">
        <f>IFERROR(__xludf.DUMMYFUNCTION("""COMPUTED_VALUE"""),"HKD")</f>
        <v>HKD</v>
      </c>
      <c r="H979" s="22">
        <f>IFERROR(__xludf.DUMMYFUNCTION("""COMPUTED_VALUE"""),-1000.0)</f>
        <v>-1000</v>
      </c>
      <c r="I979" s="194">
        <f>IFERROR(__xludf.DUMMYFUNCTION("""COMPUTED_VALUE"""),1.0)</f>
        <v>1</v>
      </c>
      <c r="J979" s="23">
        <f>IFERROR(__xludf.DUMMYFUNCTION("""COMPUTED_VALUE"""),372.4)</f>
        <v>372.4</v>
      </c>
      <c r="K979" s="5"/>
      <c r="L979" s="23">
        <f>IFERROR(__xludf.DUMMYFUNCTION("""COMPUTED_VALUE"""),373.6)</f>
        <v>373.6</v>
      </c>
      <c r="M979" s="195" t="str">
        <f>IFERROR(__xludf.DUMMYFUNCTION("""COMPUTED_VALUE"""),"Equity Key Stats")</f>
        <v>Equity Key Stats</v>
      </c>
      <c r="N979" s="5"/>
      <c r="O979" s="5"/>
      <c r="P979" s="142">
        <f>IFERROR(__xludf.DUMMYFUNCTION("""COMPUTED_VALUE"""),372400.0)</f>
        <v>372400</v>
      </c>
      <c r="Q979" s="5"/>
      <c r="R979" s="71">
        <f>IFERROR(__xludf.DUMMYFUNCTION("""COMPUTED_VALUE"""),373.6)</f>
        <v>373.6</v>
      </c>
      <c r="S979" s="142">
        <f>IFERROR(__xludf.DUMMYFUNCTION("""COMPUTED_VALUE"""),-373600.0)</f>
        <v>-373600</v>
      </c>
      <c r="T979" s="5">
        <f>IFERROR(__xludf.DUMMYFUNCTION("""COMPUTED_VALUE"""),2.0)</f>
        <v>2</v>
      </c>
      <c r="U979" s="5">
        <f>IFERROR(__xludf.DUMMYFUNCTION("""COMPUTED_VALUE"""),1.0)</f>
        <v>1</v>
      </c>
      <c r="V979" s="22">
        <f>IFERROR(__xludf.DUMMYFUNCTION("""COMPUTED_VALUE"""),-8600.0)</f>
        <v>-8600</v>
      </c>
      <c r="W979" s="9" t="str">
        <f>IFERROR(__xludf.DUMMYFUNCTION("""COMPUTED_VALUE"""),"")</f>
        <v/>
      </c>
      <c r="X979" s="22" t="str">
        <f>IFERROR(__xludf.DUMMYFUNCTION("""COMPUTED_VALUE"""),"")</f>
        <v/>
      </c>
      <c r="Y979" s="22" t="str">
        <f>IFERROR(__xludf.DUMMYFUNCTION("""COMPUTED_VALUE"""),"")</f>
        <v/>
      </c>
      <c r="Z979" s="24" t="str">
        <f>IFERROR(__xludf.DUMMYFUNCTION("""COMPUTED_VALUE"""),"")</f>
        <v/>
      </c>
    </row>
    <row r="980">
      <c r="A980" s="5" t="str">
        <f>IFERROR(__xludf.DUMMYFUNCTION("""COMPUTED_VALUE"""),"")</f>
        <v/>
      </c>
      <c r="B980" s="5" t="str">
        <f>IFERROR(__xludf.DUMMYFUNCTION("""COMPUTED_VALUE"""),"79521")</f>
        <v>79521</v>
      </c>
      <c r="C980" s="9">
        <f>IFERROR(__xludf.DUMMYFUNCTION("""COMPUTED_VALUE"""),4.4644000868E10)</f>
        <v>44644000868</v>
      </c>
      <c r="D980" s="90" t="str">
        <f>IFERROR(__xludf.DUMMYFUNCTION("""COMPUTED_VALUE"""),"000965.SZ")</f>
        <v>000965.SZ</v>
      </c>
      <c r="E980" s="193">
        <f>IFERROR(__xludf.DUMMYFUNCTION("""COMPUTED_VALUE"""),44644.0)</f>
        <v>44644</v>
      </c>
      <c r="F980" s="5" t="str">
        <f>IFERROR(__xludf.DUMMYFUNCTION("""COMPUTED_VALUE"""),"Stock")</f>
        <v>Stock</v>
      </c>
      <c r="G980" s="5" t="str">
        <f>IFERROR(__xludf.DUMMYFUNCTION("""COMPUTED_VALUE"""),"CNY")</f>
        <v>CNY</v>
      </c>
      <c r="H980" s="22">
        <f>IFERROR(__xludf.DUMMYFUNCTION("""COMPUTED_VALUE"""),50000.0)</f>
        <v>50000</v>
      </c>
      <c r="I980" s="194">
        <f>IFERROR(__xludf.DUMMYFUNCTION("""COMPUTED_VALUE"""),1.228618)</f>
        <v>1.228618</v>
      </c>
      <c r="J980" s="23">
        <f>IFERROR(__xludf.DUMMYFUNCTION("""COMPUTED_VALUE"""),5.76)</f>
        <v>5.76</v>
      </c>
      <c r="K980" s="5"/>
      <c r="L980" s="23">
        <f>IFERROR(__xludf.DUMMYFUNCTION("""COMPUTED_VALUE"""),8.44)</f>
        <v>8.44</v>
      </c>
      <c r="M980" s="195" t="str">
        <f>IFERROR(__xludf.DUMMYFUNCTION("""COMPUTED_VALUE"""),"Equity Key Stats")</f>
        <v>Equity Key Stats</v>
      </c>
      <c r="N980" s="5"/>
      <c r="O980" s="5"/>
      <c r="P980" s="142">
        <f>IFERROR(__xludf.DUMMYFUNCTION("""COMPUTED_VALUE"""),-353841.984)</f>
        <v>-353841.984</v>
      </c>
      <c r="Q980" s="5"/>
      <c r="R980" s="71">
        <f>IFERROR(__xludf.DUMMYFUNCTION("""COMPUTED_VALUE"""),8.44)</f>
        <v>8.44</v>
      </c>
      <c r="S980" s="142">
        <f>IFERROR(__xludf.DUMMYFUNCTION("""COMPUTED_VALUE"""),518476.796)</f>
        <v>518476.796</v>
      </c>
      <c r="T980" s="5">
        <f>IFERROR(__xludf.DUMMYFUNCTION("""COMPUTED_VALUE"""),2.0)</f>
        <v>2</v>
      </c>
      <c r="U980" s="5" t="str">
        <f>IFERROR(__xludf.DUMMYFUNCTION("""COMPUTED_VALUE"""),"")</f>
        <v/>
      </c>
      <c r="V980" s="22" t="str">
        <f>IFERROR(__xludf.DUMMYFUNCTION("""COMPUTED_VALUE"""),"")</f>
        <v/>
      </c>
      <c r="W980" s="9" t="str">
        <f>IFERROR(__xludf.DUMMYFUNCTION("""COMPUTED_VALUE"""),"")</f>
        <v/>
      </c>
      <c r="X980" s="22" t="str">
        <f>IFERROR(__xludf.DUMMYFUNCTION("""COMPUTED_VALUE"""),"")</f>
        <v/>
      </c>
      <c r="Y980" s="22" t="str">
        <f>IFERROR(__xludf.DUMMYFUNCTION("""COMPUTED_VALUE"""),"")</f>
        <v/>
      </c>
      <c r="Z980" s="24" t="str">
        <f>IFERROR(__xludf.DUMMYFUNCTION("""COMPUTED_VALUE"""),"")</f>
        <v/>
      </c>
    </row>
    <row r="981">
      <c r="A981" s="5" t="str">
        <f>IFERROR(__xludf.DUMMYFUNCTION("""COMPUTED_VALUE"""),"")</f>
        <v/>
      </c>
      <c r="B981" s="5" t="str">
        <f>IFERROR(__xludf.DUMMYFUNCTION("""COMPUTED_VALUE"""),"79521")</f>
        <v>79521</v>
      </c>
      <c r="C981" s="9">
        <f>IFERROR(__xludf.DUMMYFUNCTION("""COMPUTED_VALUE"""),4.4645000891E10)</f>
        <v>44645000891</v>
      </c>
      <c r="D981" s="90" t="str">
        <f>IFERROR(__xludf.DUMMYFUNCTION("""COMPUTED_VALUE"""),"000965.SZ")</f>
        <v>000965.SZ</v>
      </c>
      <c r="E981" s="193">
        <f>IFERROR(__xludf.DUMMYFUNCTION("""COMPUTED_VALUE"""),44645.0)</f>
        <v>44645</v>
      </c>
      <c r="F981" s="5" t="str">
        <f>IFERROR(__xludf.DUMMYFUNCTION("""COMPUTED_VALUE"""),"Stock")</f>
        <v>Stock</v>
      </c>
      <c r="G981" s="5" t="str">
        <f>IFERROR(__xludf.DUMMYFUNCTION("""COMPUTED_VALUE"""),"CNY")</f>
        <v>CNY</v>
      </c>
      <c r="H981" s="22">
        <f>IFERROR(__xludf.DUMMYFUNCTION("""COMPUTED_VALUE"""),-50000.0)</f>
        <v>-50000</v>
      </c>
      <c r="I981" s="194">
        <f>IFERROR(__xludf.DUMMYFUNCTION("""COMPUTED_VALUE"""),1.230306)</f>
        <v>1.230306</v>
      </c>
      <c r="J981" s="23">
        <f>IFERROR(__xludf.DUMMYFUNCTION("""COMPUTED_VALUE"""),6.34)</f>
        <v>6.34</v>
      </c>
      <c r="K981" s="5"/>
      <c r="L981" s="23">
        <f>IFERROR(__xludf.DUMMYFUNCTION("""COMPUTED_VALUE"""),8.44)</f>
        <v>8.44</v>
      </c>
      <c r="M981" s="195" t="str">
        <f>IFERROR(__xludf.DUMMYFUNCTION("""COMPUTED_VALUE"""),"Equity Key Stats")</f>
        <v>Equity Key Stats</v>
      </c>
      <c r="N981" s="5"/>
      <c r="O981" s="5"/>
      <c r="P981" s="142">
        <f>IFERROR(__xludf.DUMMYFUNCTION("""COMPUTED_VALUE"""),390007.002)</f>
        <v>390007.002</v>
      </c>
      <c r="Q981" s="5"/>
      <c r="R981" s="71">
        <f>IFERROR(__xludf.DUMMYFUNCTION("""COMPUTED_VALUE"""),8.44)</f>
        <v>8.44</v>
      </c>
      <c r="S981" s="142">
        <f>IFERROR(__xludf.DUMMYFUNCTION("""COMPUTED_VALUE"""),-519189.1319999999)</f>
        <v>-519189.132</v>
      </c>
      <c r="T981" s="5">
        <f>IFERROR(__xludf.DUMMYFUNCTION("""COMPUTED_VALUE"""),2.0)</f>
        <v>2</v>
      </c>
      <c r="U981" s="5">
        <f>IFERROR(__xludf.DUMMYFUNCTION("""COMPUTED_VALUE"""),1.0)</f>
        <v>1</v>
      </c>
      <c r="V981" s="22">
        <f>IFERROR(__xludf.DUMMYFUNCTION("""COMPUTED_VALUE"""),35452.68200000003)</f>
        <v>35452.682</v>
      </c>
      <c r="W981" s="9" t="str">
        <f>IFERROR(__xludf.DUMMYFUNCTION("""COMPUTED_VALUE"""),"")</f>
        <v/>
      </c>
      <c r="X981" s="22" t="str">
        <f>IFERROR(__xludf.DUMMYFUNCTION("""COMPUTED_VALUE"""),"")</f>
        <v/>
      </c>
      <c r="Y981" s="22" t="str">
        <f>IFERROR(__xludf.DUMMYFUNCTION("""COMPUTED_VALUE"""),"")</f>
        <v/>
      </c>
      <c r="Z981" s="24" t="str">
        <f>IFERROR(__xludf.DUMMYFUNCTION("""COMPUTED_VALUE"""),"")</f>
        <v/>
      </c>
    </row>
    <row r="982">
      <c r="A982" s="5" t="str">
        <f>IFERROR(__xludf.DUMMYFUNCTION("""COMPUTED_VALUE"""),"")</f>
        <v/>
      </c>
      <c r="B982" s="5" t="str">
        <f>IFERROR(__xludf.DUMMYFUNCTION("""COMPUTED_VALUE"""),"79521")</f>
        <v>79521</v>
      </c>
      <c r="C982" s="9">
        <f>IFERROR(__xludf.DUMMYFUNCTION("""COMPUTED_VALUE"""),4.4645000892E10)</f>
        <v>44645000892</v>
      </c>
      <c r="D982" s="90" t="str">
        <f>IFERROR(__xludf.DUMMYFUNCTION("""COMPUTED_VALUE"""),"000505.SZ")</f>
        <v>000505.SZ</v>
      </c>
      <c r="E982" s="193">
        <f>IFERROR(__xludf.DUMMYFUNCTION("""COMPUTED_VALUE"""),44645.0)</f>
        <v>44645</v>
      </c>
      <c r="F982" s="5" t="str">
        <f>IFERROR(__xludf.DUMMYFUNCTION("""COMPUTED_VALUE"""),"Stock")</f>
        <v>Stock</v>
      </c>
      <c r="G982" s="5" t="str">
        <f>IFERROR(__xludf.DUMMYFUNCTION("""COMPUTED_VALUE"""),"CNY")</f>
        <v>CNY</v>
      </c>
      <c r="H982" s="22">
        <f>IFERROR(__xludf.DUMMYFUNCTION("""COMPUTED_VALUE"""),30000.0)</f>
        <v>30000</v>
      </c>
      <c r="I982" s="194">
        <f>IFERROR(__xludf.DUMMYFUNCTION("""COMPUTED_VALUE"""),1.230306)</f>
        <v>1.230306</v>
      </c>
      <c r="J982" s="23">
        <f>IFERROR(__xludf.DUMMYFUNCTION("""COMPUTED_VALUE"""),10.54)</f>
        <v>10.54</v>
      </c>
      <c r="K982" s="5"/>
      <c r="L982" s="23">
        <f>IFERROR(__xludf.DUMMYFUNCTION("""COMPUTED_VALUE"""),11.42)</f>
        <v>11.42</v>
      </c>
      <c r="M982" s="195" t="str">
        <f>IFERROR(__xludf.DUMMYFUNCTION("""COMPUTED_VALUE"""),"Equity Key Stats")</f>
        <v>Equity Key Stats</v>
      </c>
      <c r="N982" s="5"/>
      <c r="O982" s="5"/>
      <c r="P982" s="142">
        <f>IFERROR(__xludf.DUMMYFUNCTION("""COMPUTED_VALUE"""),-389022.7572)</f>
        <v>-389022.7572</v>
      </c>
      <c r="Q982" s="5"/>
      <c r="R982" s="71">
        <f>IFERROR(__xludf.DUMMYFUNCTION("""COMPUTED_VALUE"""),11.42)</f>
        <v>11.42</v>
      </c>
      <c r="S982" s="142">
        <f>IFERROR(__xludf.DUMMYFUNCTION("""COMPUTED_VALUE"""),421502.8356)</f>
        <v>421502.8356</v>
      </c>
      <c r="T982" s="5">
        <f>IFERROR(__xludf.DUMMYFUNCTION("""COMPUTED_VALUE"""),2.0)</f>
        <v>2</v>
      </c>
      <c r="U982" s="5" t="str">
        <f>IFERROR(__xludf.DUMMYFUNCTION("""COMPUTED_VALUE"""),"")</f>
        <v/>
      </c>
      <c r="V982" s="22" t="str">
        <f>IFERROR(__xludf.DUMMYFUNCTION("""COMPUTED_VALUE"""),"")</f>
        <v/>
      </c>
      <c r="W982" s="9" t="str">
        <f>IFERROR(__xludf.DUMMYFUNCTION("""COMPUTED_VALUE"""),"")</f>
        <v/>
      </c>
      <c r="X982" s="22" t="str">
        <f>IFERROR(__xludf.DUMMYFUNCTION("""COMPUTED_VALUE"""),"")</f>
        <v/>
      </c>
      <c r="Y982" s="22" t="str">
        <f>IFERROR(__xludf.DUMMYFUNCTION("""COMPUTED_VALUE"""),"")</f>
        <v/>
      </c>
      <c r="Z982" s="24" t="str">
        <f>IFERROR(__xludf.DUMMYFUNCTION("""COMPUTED_VALUE"""),"")</f>
        <v/>
      </c>
    </row>
    <row r="983">
      <c r="A983" s="5" t="str">
        <f>IFERROR(__xludf.DUMMYFUNCTION("""COMPUTED_VALUE"""),"")</f>
        <v/>
      </c>
      <c r="B983" s="5" t="str">
        <f>IFERROR(__xludf.DUMMYFUNCTION("""COMPUTED_VALUE"""),"79521")</f>
        <v>79521</v>
      </c>
      <c r="C983" s="9">
        <f>IFERROR(__xludf.DUMMYFUNCTION("""COMPUTED_VALUE"""),4.4648000969E10)</f>
        <v>44648000969</v>
      </c>
      <c r="D983" s="90" t="str">
        <f>IFERROR(__xludf.DUMMYFUNCTION("""COMPUTED_VALUE"""),"000505.SZ")</f>
        <v>000505.SZ</v>
      </c>
      <c r="E983" s="193">
        <f>IFERROR(__xludf.DUMMYFUNCTION("""COMPUTED_VALUE"""),44648.0)</f>
        <v>44648</v>
      </c>
      <c r="F983" s="5" t="str">
        <f>IFERROR(__xludf.DUMMYFUNCTION("""COMPUTED_VALUE"""),"Stock")</f>
        <v>Stock</v>
      </c>
      <c r="G983" s="5" t="str">
        <f>IFERROR(__xludf.DUMMYFUNCTION("""COMPUTED_VALUE"""),"CNY")</f>
        <v>CNY</v>
      </c>
      <c r="H983" s="22">
        <f>IFERROR(__xludf.DUMMYFUNCTION("""COMPUTED_VALUE"""),-30000.0)</f>
        <v>-30000</v>
      </c>
      <c r="I983" s="194">
        <f>IFERROR(__xludf.DUMMYFUNCTION("""COMPUTED_VALUE"""),1.228493)</f>
        <v>1.228493</v>
      </c>
      <c r="J983" s="23">
        <f>IFERROR(__xludf.DUMMYFUNCTION("""COMPUTED_VALUE"""),11.59)</f>
        <v>11.59</v>
      </c>
      <c r="K983" s="5"/>
      <c r="L983" s="23">
        <f>IFERROR(__xludf.DUMMYFUNCTION("""COMPUTED_VALUE"""),11.42)</f>
        <v>11.42</v>
      </c>
      <c r="M983" s="195" t="str">
        <f>IFERROR(__xludf.DUMMYFUNCTION("""COMPUTED_VALUE"""),"Equity Key Stats")</f>
        <v>Equity Key Stats</v>
      </c>
      <c r="N983" s="5"/>
      <c r="O983" s="5"/>
      <c r="P983" s="142">
        <f>IFERROR(__xludf.DUMMYFUNCTION("""COMPUTED_VALUE"""),427147.0161)</f>
        <v>427147.0161</v>
      </c>
      <c r="Q983" s="5"/>
      <c r="R983" s="71">
        <f>IFERROR(__xludf.DUMMYFUNCTION("""COMPUTED_VALUE"""),11.42)</f>
        <v>11.42</v>
      </c>
      <c r="S983" s="142">
        <f>IFERROR(__xludf.DUMMYFUNCTION("""COMPUTED_VALUE"""),-420881.7018)</f>
        <v>-420881.7018</v>
      </c>
      <c r="T983" s="5">
        <f>IFERROR(__xludf.DUMMYFUNCTION("""COMPUTED_VALUE"""),2.0)</f>
        <v>2</v>
      </c>
      <c r="U983" s="5">
        <f>IFERROR(__xludf.DUMMYFUNCTION("""COMPUTED_VALUE"""),1.0)</f>
        <v>1</v>
      </c>
      <c r="V983" s="22">
        <f>IFERROR(__xludf.DUMMYFUNCTION("""COMPUTED_VALUE"""),38745.392700000026)</f>
        <v>38745.3927</v>
      </c>
      <c r="W983" s="9" t="str">
        <f>IFERROR(__xludf.DUMMYFUNCTION("""COMPUTED_VALUE"""),"")</f>
        <v/>
      </c>
      <c r="X983" s="22" t="str">
        <f>IFERROR(__xludf.DUMMYFUNCTION("""COMPUTED_VALUE"""),"")</f>
        <v/>
      </c>
      <c r="Y983" s="22" t="str">
        <f>IFERROR(__xludf.DUMMYFUNCTION("""COMPUTED_VALUE"""),"")</f>
        <v/>
      </c>
      <c r="Z983" s="24" t="str">
        <f>IFERROR(__xludf.DUMMYFUNCTION("""COMPUTED_VALUE"""),"")</f>
        <v/>
      </c>
    </row>
    <row r="984">
      <c r="A984" s="5" t="str">
        <f>IFERROR(__xludf.DUMMYFUNCTION("""COMPUTED_VALUE"""),"")</f>
        <v/>
      </c>
      <c r="B984" s="5" t="str">
        <f>IFERROR(__xludf.DUMMYFUNCTION("""COMPUTED_VALUE"""),"79521")</f>
        <v>79521</v>
      </c>
      <c r="C984" s="9">
        <f>IFERROR(__xludf.DUMMYFUNCTION("""COMPUTED_VALUE"""),4.4648000971E10)</f>
        <v>44648000971</v>
      </c>
      <c r="D984" s="90" t="str">
        <f>IFERROR(__xludf.DUMMYFUNCTION("""COMPUTED_VALUE"""),"000665.SZ")</f>
        <v>000665.SZ</v>
      </c>
      <c r="E984" s="193">
        <f>IFERROR(__xludf.DUMMYFUNCTION("""COMPUTED_VALUE"""),44648.0)</f>
        <v>44648</v>
      </c>
      <c r="F984" s="5" t="str">
        <f>IFERROR(__xludf.DUMMYFUNCTION("""COMPUTED_VALUE"""),"Stock")</f>
        <v>Stock</v>
      </c>
      <c r="G984" s="5" t="str">
        <f>IFERROR(__xludf.DUMMYFUNCTION("""COMPUTED_VALUE"""),"CNY")</f>
        <v>CNY</v>
      </c>
      <c r="H984" s="22">
        <f>IFERROR(__xludf.DUMMYFUNCTION("""COMPUTED_VALUE"""),45000.0)</f>
        <v>45000</v>
      </c>
      <c r="I984" s="194">
        <f>IFERROR(__xludf.DUMMYFUNCTION("""COMPUTED_VALUE"""),1.228493)</f>
        <v>1.228493</v>
      </c>
      <c r="J984" s="23">
        <f>IFERROR(__xludf.DUMMYFUNCTION("""COMPUTED_VALUE"""),8.76)</f>
        <v>8.76</v>
      </c>
      <c r="K984" s="5"/>
      <c r="L984" s="23">
        <f>IFERROR(__xludf.DUMMYFUNCTION("""COMPUTED_VALUE"""),8.03)</f>
        <v>8.03</v>
      </c>
      <c r="M984" s="195" t="str">
        <f>IFERROR(__xludf.DUMMYFUNCTION("""COMPUTED_VALUE"""),"Equity Key Stats")</f>
        <v>Equity Key Stats</v>
      </c>
      <c r="N984" s="5"/>
      <c r="O984" s="5"/>
      <c r="P984" s="142">
        <f>IFERROR(__xludf.DUMMYFUNCTION("""COMPUTED_VALUE"""),-484271.94060000003)</f>
        <v>-484271.9406</v>
      </c>
      <c r="Q984" s="5"/>
      <c r="R984" s="71">
        <f>IFERROR(__xludf.DUMMYFUNCTION("""COMPUTED_VALUE"""),8.03)</f>
        <v>8.03</v>
      </c>
      <c r="S984" s="142">
        <f>IFERROR(__xludf.DUMMYFUNCTION("""COMPUTED_VALUE"""),443915.94555)</f>
        <v>443915.9456</v>
      </c>
      <c r="T984" s="5">
        <f>IFERROR(__xludf.DUMMYFUNCTION("""COMPUTED_VALUE"""),2.0)</f>
        <v>2</v>
      </c>
      <c r="U984" s="5" t="str">
        <f>IFERROR(__xludf.DUMMYFUNCTION("""COMPUTED_VALUE"""),"")</f>
        <v/>
      </c>
      <c r="V984" s="22" t="str">
        <f>IFERROR(__xludf.DUMMYFUNCTION("""COMPUTED_VALUE"""),"")</f>
        <v/>
      </c>
      <c r="W984" s="9" t="str">
        <f>IFERROR(__xludf.DUMMYFUNCTION("""COMPUTED_VALUE"""),"")</f>
        <v/>
      </c>
      <c r="X984" s="22" t="str">
        <f>IFERROR(__xludf.DUMMYFUNCTION("""COMPUTED_VALUE"""),"")</f>
        <v/>
      </c>
      <c r="Y984" s="22" t="str">
        <f>IFERROR(__xludf.DUMMYFUNCTION("""COMPUTED_VALUE"""),"")</f>
        <v/>
      </c>
      <c r="Z984" s="24" t="str">
        <f>IFERROR(__xludf.DUMMYFUNCTION("""COMPUTED_VALUE"""),"")</f>
        <v/>
      </c>
    </row>
    <row r="985">
      <c r="A985" s="5" t="str">
        <f>IFERROR(__xludf.DUMMYFUNCTION("""COMPUTED_VALUE"""),"")</f>
        <v/>
      </c>
      <c r="B985" s="5" t="str">
        <f>IFERROR(__xludf.DUMMYFUNCTION("""COMPUTED_VALUE"""),"79521")</f>
        <v>79521</v>
      </c>
      <c r="C985" s="9">
        <f>IFERROR(__xludf.DUMMYFUNCTION("""COMPUTED_VALUE"""),4.4650001023E10)</f>
        <v>44650001023</v>
      </c>
      <c r="D985" s="90" t="str">
        <f>IFERROR(__xludf.DUMMYFUNCTION("""COMPUTED_VALUE"""),"000665.SZ")</f>
        <v>000665.SZ</v>
      </c>
      <c r="E985" s="193">
        <f>IFERROR(__xludf.DUMMYFUNCTION("""COMPUTED_VALUE"""),44650.0)</f>
        <v>44650</v>
      </c>
      <c r="F985" s="5" t="str">
        <f>IFERROR(__xludf.DUMMYFUNCTION("""COMPUTED_VALUE"""),"Stock")</f>
        <v>Stock</v>
      </c>
      <c r="G985" s="5" t="str">
        <f>IFERROR(__xludf.DUMMYFUNCTION("""COMPUTED_VALUE"""),"CNY")</f>
        <v>CNY</v>
      </c>
      <c r="H985" s="22">
        <f>IFERROR(__xludf.DUMMYFUNCTION("""COMPUTED_VALUE"""),-45000.0)</f>
        <v>-45000</v>
      </c>
      <c r="I985" s="194">
        <f>IFERROR(__xludf.DUMMYFUNCTION("""COMPUTED_VALUE"""),1.23338)</f>
        <v>1.23338</v>
      </c>
      <c r="J985" s="23">
        <f>IFERROR(__xludf.DUMMYFUNCTION("""COMPUTED_VALUE"""),9.24)</f>
        <v>9.24</v>
      </c>
      <c r="K985" s="5"/>
      <c r="L985" s="23">
        <f>IFERROR(__xludf.DUMMYFUNCTION("""COMPUTED_VALUE"""),8.03)</f>
        <v>8.03</v>
      </c>
      <c r="M985" s="195" t="str">
        <f>IFERROR(__xludf.DUMMYFUNCTION("""COMPUTED_VALUE"""),"Equity Key Stats")</f>
        <v>Equity Key Stats</v>
      </c>
      <c r="N985" s="5"/>
      <c r="O985" s="5"/>
      <c r="P985" s="142">
        <f>IFERROR(__xludf.DUMMYFUNCTION("""COMPUTED_VALUE"""),512839.404)</f>
        <v>512839.404</v>
      </c>
      <c r="Q985" s="5"/>
      <c r="R985" s="71">
        <f>IFERROR(__xludf.DUMMYFUNCTION("""COMPUTED_VALUE"""),8.03)</f>
        <v>8.03</v>
      </c>
      <c r="S985" s="142">
        <f>IFERROR(__xludf.DUMMYFUNCTION("""COMPUTED_VALUE"""),-445681.86299999995)</f>
        <v>-445681.863</v>
      </c>
      <c r="T985" s="5">
        <f>IFERROR(__xludf.DUMMYFUNCTION("""COMPUTED_VALUE"""),2.0)</f>
        <v>2</v>
      </c>
      <c r="U985" s="5">
        <f>IFERROR(__xludf.DUMMYFUNCTION("""COMPUTED_VALUE"""),1.0)</f>
        <v>1</v>
      </c>
      <c r="V985" s="22">
        <f>IFERROR(__xludf.DUMMYFUNCTION("""COMPUTED_VALUE"""),26801.54595)</f>
        <v>26801.54595</v>
      </c>
      <c r="W985" s="9" t="str">
        <f>IFERROR(__xludf.DUMMYFUNCTION("""COMPUTED_VALUE"""),"")</f>
        <v/>
      </c>
      <c r="X985" s="22" t="str">
        <f>IFERROR(__xludf.DUMMYFUNCTION("""COMPUTED_VALUE"""),"")</f>
        <v/>
      </c>
      <c r="Y985" s="22" t="str">
        <f>IFERROR(__xludf.DUMMYFUNCTION("""COMPUTED_VALUE"""),"")</f>
        <v/>
      </c>
      <c r="Z985" s="24" t="str">
        <f>IFERROR(__xludf.DUMMYFUNCTION("""COMPUTED_VALUE"""),"")</f>
        <v/>
      </c>
    </row>
    <row r="986">
      <c r="A986" s="5" t="str">
        <f>IFERROR(__xludf.DUMMYFUNCTION("""COMPUTED_VALUE"""),"")</f>
        <v/>
      </c>
      <c r="B986" s="5" t="str">
        <f>IFERROR(__xludf.DUMMYFUNCTION("""COMPUTED_VALUE"""),"79521")</f>
        <v>79521</v>
      </c>
      <c r="C986" s="9">
        <f>IFERROR(__xludf.DUMMYFUNCTION("""COMPUTED_VALUE"""),4.4657001168E10)</f>
        <v>44657001168</v>
      </c>
      <c r="D986" s="90" t="str">
        <f>IFERROR(__xludf.DUMMYFUNCTION("""COMPUTED_VALUE"""),"600533.SS")</f>
        <v>600533.SS</v>
      </c>
      <c r="E986" s="193">
        <f>IFERROR(__xludf.DUMMYFUNCTION("""COMPUTED_VALUE"""),44657.0)</f>
        <v>44657</v>
      </c>
      <c r="F986" s="5" t="str">
        <f>IFERROR(__xludf.DUMMYFUNCTION("""COMPUTED_VALUE"""),"Stock")</f>
        <v>Stock</v>
      </c>
      <c r="G986" s="5" t="str">
        <f>IFERROR(__xludf.DUMMYFUNCTION("""COMPUTED_VALUE"""),"CNY")</f>
        <v>CNY</v>
      </c>
      <c r="H986" s="22">
        <f>IFERROR(__xludf.DUMMYFUNCTION("""COMPUTED_VALUE"""),106200.0)</f>
        <v>106200</v>
      </c>
      <c r="I986" s="194">
        <f>IFERROR(__xludf.DUMMYFUNCTION("""COMPUTED_VALUE"""),1.232502)</f>
        <v>1.232502</v>
      </c>
      <c r="J986" s="23">
        <f>IFERROR(__xludf.DUMMYFUNCTION("""COMPUTED_VALUE"""),4.91)</f>
        <v>4.91</v>
      </c>
      <c r="K986" s="5"/>
      <c r="L986" s="23">
        <f>IFERROR(__xludf.DUMMYFUNCTION("""COMPUTED_VALUE"""),4.01)</f>
        <v>4.01</v>
      </c>
      <c r="M986" s="195" t="str">
        <f>IFERROR(__xludf.DUMMYFUNCTION("""COMPUTED_VALUE"""),"Equity Key Stats")</f>
        <v>Equity Key Stats</v>
      </c>
      <c r="N986" s="5"/>
      <c r="O986" s="5"/>
      <c r="P986" s="142">
        <f>IFERROR(__xludf.DUMMYFUNCTION("""COMPUTED_VALUE"""),-642678.307884)</f>
        <v>-642678.3079</v>
      </c>
      <c r="Q986" s="5"/>
      <c r="R986" s="71">
        <f>IFERROR(__xludf.DUMMYFUNCTION("""COMPUTED_VALUE"""),4.01)</f>
        <v>4.01</v>
      </c>
      <c r="S986" s="142">
        <f>IFERROR(__xludf.DUMMYFUNCTION("""COMPUTED_VALUE"""),524875.766724)</f>
        <v>524875.7667</v>
      </c>
      <c r="T986" s="5">
        <f>IFERROR(__xludf.DUMMYFUNCTION("""COMPUTED_VALUE"""),2.0)</f>
        <v>2</v>
      </c>
      <c r="U986" s="5" t="str">
        <f>IFERROR(__xludf.DUMMYFUNCTION("""COMPUTED_VALUE"""),"")</f>
        <v/>
      </c>
      <c r="V986" s="22" t="str">
        <f>IFERROR(__xludf.DUMMYFUNCTION("""COMPUTED_VALUE"""),"")</f>
        <v/>
      </c>
      <c r="W986" s="9" t="str">
        <f>IFERROR(__xludf.DUMMYFUNCTION("""COMPUTED_VALUE"""),"")</f>
        <v/>
      </c>
      <c r="X986" s="22" t="str">
        <f>IFERROR(__xludf.DUMMYFUNCTION("""COMPUTED_VALUE"""),"")</f>
        <v/>
      </c>
      <c r="Y986" s="22" t="str">
        <f>IFERROR(__xludf.DUMMYFUNCTION("""COMPUTED_VALUE"""),"")</f>
        <v/>
      </c>
      <c r="Z986" s="24" t="str">
        <f>IFERROR(__xludf.DUMMYFUNCTION("""COMPUTED_VALUE"""),"")</f>
        <v/>
      </c>
    </row>
    <row r="987">
      <c r="A987" s="5" t="str">
        <f>IFERROR(__xludf.DUMMYFUNCTION("""COMPUTED_VALUE"""),"")</f>
        <v/>
      </c>
      <c r="B987" s="5" t="str">
        <f>IFERROR(__xludf.DUMMYFUNCTION("""COMPUTED_VALUE"""),"79521")</f>
        <v>79521</v>
      </c>
      <c r="C987" s="9">
        <f>IFERROR(__xludf.DUMMYFUNCTION("""COMPUTED_VALUE"""),4.4658001201E10)</f>
        <v>44658001201</v>
      </c>
      <c r="D987" s="91" t="str">
        <f>IFERROR(__xludf.DUMMYFUNCTION("""COMPUTED_VALUE"""),"600533.SS")</f>
        <v>600533.SS</v>
      </c>
      <c r="E987" s="193">
        <f>IFERROR(__xludf.DUMMYFUNCTION("""COMPUTED_VALUE"""),44658.0)</f>
        <v>44658</v>
      </c>
      <c r="F987" s="5" t="str">
        <f>IFERROR(__xludf.DUMMYFUNCTION("""COMPUTED_VALUE"""),"Stock")</f>
        <v>Stock</v>
      </c>
      <c r="G987" s="5" t="str">
        <f>IFERROR(__xludf.DUMMYFUNCTION("""COMPUTED_VALUE"""),"CNY")</f>
        <v>CNY</v>
      </c>
      <c r="H987" s="22">
        <f>IFERROR(__xludf.DUMMYFUNCTION("""COMPUTED_VALUE"""),-106200.0)</f>
        <v>-106200</v>
      </c>
      <c r="I987" s="194">
        <f>IFERROR(__xludf.DUMMYFUNCTION("""COMPUTED_VALUE"""),1.232139)</f>
        <v>1.232139</v>
      </c>
      <c r="J987" s="23">
        <f>IFERROR(__xludf.DUMMYFUNCTION("""COMPUTED_VALUE"""),5.01)</f>
        <v>5.01</v>
      </c>
      <c r="K987" s="5"/>
      <c r="L987" s="23">
        <f>IFERROR(__xludf.DUMMYFUNCTION("""COMPUTED_VALUE"""),4.01)</f>
        <v>4.01</v>
      </c>
      <c r="M987" s="195" t="str">
        <f>IFERROR(__xludf.DUMMYFUNCTION("""COMPUTED_VALUE"""),"Equity Key Stats")</f>
        <v>Equity Key Stats</v>
      </c>
      <c r="N987" s="5"/>
      <c r="O987" s="5"/>
      <c r="P987" s="142">
        <f>IFERROR(__xludf.DUMMYFUNCTION("""COMPUTED_VALUE"""),655574.340618)</f>
        <v>655574.3406</v>
      </c>
      <c r="Q987" s="5"/>
      <c r="R987" s="71">
        <f>IFERROR(__xludf.DUMMYFUNCTION("""COMPUTED_VALUE"""),4.01)</f>
        <v>4.01</v>
      </c>
      <c r="S987" s="142">
        <f>IFERROR(__xludf.DUMMYFUNCTION("""COMPUTED_VALUE"""),-524721.178818)</f>
        <v>-524721.1788</v>
      </c>
      <c r="T987" s="5">
        <f>IFERROR(__xludf.DUMMYFUNCTION("""COMPUTED_VALUE"""),2.0)</f>
        <v>2</v>
      </c>
      <c r="U987" s="5">
        <f>IFERROR(__xludf.DUMMYFUNCTION("""COMPUTED_VALUE"""),1.0)</f>
        <v>1</v>
      </c>
      <c r="V987" s="22">
        <f>IFERROR(__xludf.DUMMYFUNCTION("""COMPUTED_VALUE"""),13050.62063999998)</f>
        <v>13050.62064</v>
      </c>
      <c r="W987" s="9" t="str">
        <f>IFERROR(__xludf.DUMMYFUNCTION("""COMPUTED_VALUE"""),"")</f>
        <v/>
      </c>
      <c r="X987" s="22" t="str">
        <f>IFERROR(__xludf.DUMMYFUNCTION("""COMPUTED_VALUE"""),"")</f>
        <v/>
      </c>
      <c r="Y987" s="22" t="str">
        <f>IFERROR(__xludf.DUMMYFUNCTION("""COMPUTED_VALUE"""),"")</f>
        <v/>
      </c>
      <c r="Z987" s="24" t="str">
        <f>IFERROR(__xludf.DUMMYFUNCTION("""COMPUTED_VALUE"""),"")</f>
        <v/>
      </c>
    </row>
    <row r="988">
      <c r="A988" s="5" t="str">
        <f>IFERROR(__xludf.DUMMYFUNCTION("""COMPUTED_VALUE"""),"")</f>
        <v/>
      </c>
      <c r="B988" s="5" t="str">
        <f>IFERROR(__xludf.DUMMYFUNCTION("""COMPUTED_VALUE"""),"79521")</f>
        <v>79521</v>
      </c>
      <c r="C988" s="9">
        <f>IFERROR(__xludf.DUMMYFUNCTION("""COMPUTED_VALUE"""),4.4658001207E10)</f>
        <v>44658001207</v>
      </c>
      <c r="D988" s="91" t="str">
        <f>IFERROR(__xludf.DUMMYFUNCTION("""COMPUTED_VALUE"""),"002205.SZ")</f>
        <v>002205.SZ</v>
      </c>
      <c r="E988" s="193">
        <f>IFERROR(__xludf.DUMMYFUNCTION("""COMPUTED_VALUE"""),44658.0)</f>
        <v>44658</v>
      </c>
      <c r="F988" s="5" t="str">
        <f>IFERROR(__xludf.DUMMYFUNCTION("""COMPUTED_VALUE"""),"Stock")</f>
        <v>Stock</v>
      </c>
      <c r="G988" s="5" t="str">
        <f>IFERROR(__xludf.DUMMYFUNCTION("""COMPUTED_VALUE"""),"CNY")</f>
        <v>CNY</v>
      </c>
      <c r="H988" s="22">
        <f>IFERROR(__xludf.DUMMYFUNCTION("""COMPUTED_VALUE"""),35000.0)</f>
        <v>35000</v>
      </c>
      <c r="I988" s="194">
        <f>IFERROR(__xludf.DUMMYFUNCTION("""COMPUTED_VALUE"""),1.232139)</f>
        <v>1.232139</v>
      </c>
      <c r="J988" s="23">
        <f>IFERROR(__xludf.DUMMYFUNCTION("""COMPUTED_VALUE"""),13.92)</f>
        <v>13.92</v>
      </c>
      <c r="K988" s="5"/>
      <c r="L988" s="23">
        <f>IFERROR(__xludf.DUMMYFUNCTION("""COMPUTED_VALUE"""),18.85)</f>
        <v>18.85</v>
      </c>
      <c r="M988" s="195" t="str">
        <f>IFERROR(__xludf.DUMMYFUNCTION("""COMPUTED_VALUE"""),"Equity Key Stats")</f>
        <v>Equity Key Stats</v>
      </c>
      <c r="N988" s="5"/>
      <c r="O988" s="5"/>
      <c r="P988" s="142">
        <f>IFERROR(__xludf.DUMMYFUNCTION("""COMPUTED_VALUE"""),-600298.1208)</f>
        <v>-600298.1208</v>
      </c>
      <c r="Q988" s="5"/>
      <c r="R988" s="71">
        <f>IFERROR(__xludf.DUMMYFUNCTION("""COMPUTED_VALUE"""),18.85)</f>
        <v>18.85</v>
      </c>
      <c r="S988" s="142">
        <f>IFERROR(__xludf.DUMMYFUNCTION("""COMPUTED_VALUE"""),812903.7052500001)</f>
        <v>812903.7053</v>
      </c>
      <c r="T988" s="5">
        <f>IFERROR(__xludf.DUMMYFUNCTION("""COMPUTED_VALUE"""),2.0)</f>
        <v>2</v>
      </c>
      <c r="U988" s="5" t="str">
        <f>IFERROR(__xludf.DUMMYFUNCTION("""COMPUTED_VALUE"""),"")</f>
        <v/>
      </c>
      <c r="V988" s="22" t="str">
        <f>IFERROR(__xludf.DUMMYFUNCTION("""COMPUTED_VALUE"""),"")</f>
        <v/>
      </c>
      <c r="W988" s="9" t="str">
        <f>IFERROR(__xludf.DUMMYFUNCTION("""COMPUTED_VALUE"""),"")</f>
        <v/>
      </c>
      <c r="X988" s="22" t="str">
        <f>IFERROR(__xludf.DUMMYFUNCTION("""COMPUTED_VALUE"""),"")</f>
        <v/>
      </c>
      <c r="Y988" s="22" t="str">
        <f>IFERROR(__xludf.DUMMYFUNCTION("""COMPUTED_VALUE"""),"")</f>
        <v/>
      </c>
      <c r="Z988" s="24" t="str">
        <f>IFERROR(__xludf.DUMMYFUNCTION("""COMPUTED_VALUE"""),"")</f>
        <v/>
      </c>
    </row>
    <row r="989">
      <c r="A989" s="5" t="str">
        <f>IFERROR(__xludf.DUMMYFUNCTION("""COMPUTED_VALUE"""),"")</f>
        <v/>
      </c>
      <c r="B989" s="5" t="str">
        <f>IFERROR(__xludf.DUMMYFUNCTION("""COMPUTED_VALUE"""),"79521")</f>
        <v>79521</v>
      </c>
      <c r="C989" s="9">
        <f>IFERROR(__xludf.DUMMYFUNCTION("""COMPUTED_VALUE"""),4.4659001247E10)</f>
        <v>44659001247</v>
      </c>
      <c r="D989" s="91" t="str">
        <f>IFERROR(__xludf.DUMMYFUNCTION("""COMPUTED_VALUE"""),"002205.SZ")</f>
        <v>002205.SZ</v>
      </c>
      <c r="E989" s="193">
        <f>IFERROR(__xludf.DUMMYFUNCTION("""COMPUTED_VALUE"""),44659.0)</f>
        <v>44659</v>
      </c>
      <c r="F989" s="5" t="str">
        <f>IFERROR(__xludf.DUMMYFUNCTION("""COMPUTED_VALUE"""),"Stock")</f>
        <v>Stock</v>
      </c>
      <c r="G989" s="5" t="str">
        <f>IFERROR(__xludf.DUMMYFUNCTION("""COMPUTED_VALUE"""),"CNY")</f>
        <v>CNY</v>
      </c>
      <c r="H989" s="22">
        <f>IFERROR(__xludf.DUMMYFUNCTION("""COMPUTED_VALUE"""),-35000.0)</f>
        <v>-35000</v>
      </c>
      <c r="I989" s="194">
        <f>IFERROR(__xludf.DUMMYFUNCTION("""COMPUTED_VALUE"""),1.23182)</f>
        <v>1.23182</v>
      </c>
      <c r="J989" s="23">
        <f>IFERROR(__xludf.DUMMYFUNCTION("""COMPUTED_VALUE"""),15.31)</f>
        <v>15.31</v>
      </c>
      <c r="K989" s="5"/>
      <c r="L989" s="23">
        <f>IFERROR(__xludf.DUMMYFUNCTION("""COMPUTED_VALUE"""),18.85)</f>
        <v>18.85</v>
      </c>
      <c r="M989" s="195" t="str">
        <f>IFERROR(__xludf.DUMMYFUNCTION("""COMPUTED_VALUE"""),"Equity Key Stats")</f>
        <v>Equity Key Stats</v>
      </c>
      <c r="N989" s="5"/>
      <c r="O989" s="5"/>
      <c r="P989" s="142">
        <f>IFERROR(__xludf.DUMMYFUNCTION("""COMPUTED_VALUE"""),660070.747)</f>
        <v>660070.747</v>
      </c>
      <c r="Q989" s="5"/>
      <c r="R989" s="71">
        <f>IFERROR(__xludf.DUMMYFUNCTION("""COMPUTED_VALUE"""),18.85)</f>
        <v>18.85</v>
      </c>
      <c r="S989" s="142">
        <f>IFERROR(__xludf.DUMMYFUNCTION("""COMPUTED_VALUE"""),-812693.245)</f>
        <v>-812693.245</v>
      </c>
      <c r="T989" s="5">
        <f>IFERROR(__xludf.DUMMYFUNCTION("""COMPUTED_VALUE"""),2.0)</f>
        <v>2</v>
      </c>
      <c r="U989" s="5">
        <f>IFERROR(__xludf.DUMMYFUNCTION("""COMPUTED_VALUE"""),1.0)</f>
        <v>1</v>
      </c>
      <c r="V989" s="22">
        <f>IFERROR(__xludf.DUMMYFUNCTION("""COMPUTED_VALUE"""),59983.08645000006)</f>
        <v>59983.08645</v>
      </c>
      <c r="W989" s="9" t="str">
        <f>IFERROR(__xludf.DUMMYFUNCTION("""COMPUTED_VALUE"""),"")</f>
        <v/>
      </c>
      <c r="X989" s="22" t="str">
        <f>IFERROR(__xludf.DUMMYFUNCTION("""COMPUTED_VALUE"""),"")</f>
        <v/>
      </c>
      <c r="Y989" s="22" t="str">
        <f>IFERROR(__xludf.DUMMYFUNCTION("""COMPUTED_VALUE"""),"")</f>
        <v/>
      </c>
      <c r="Z989" s="24" t="str">
        <f>IFERROR(__xludf.DUMMYFUNCTION("""COMPUTED_VALUE"""),"")</f>
        <v/>
      </c>
    </row>
    <row r="990">
      <c r="A990" s="5" t="str">
        <f>IFERROR(__xludf.DUMMYFUNCTION("""COMPUTED_VALUE"""),"")</f>
        <v/>
      </c>
      <c r="B990" s="5" t="str">
        <f>IFERROR(__xludf.DUMMYFUNCTION("""COMPUTED_VALUE"""),"79521")</f>
        <v>79521</v>
      </c>
      <c r="C990" s="9">
        <f>IFERROR(__xludf.DUMMYFUNCTION("""COMPUTED_VALUE"""),4.4662001344E10)</f>
        <v>44662001344</v>
      </c>
      <c r="D990" s="91" t="str">
        <f>IFERROR(__xludf.DUMMYFUNCTION("""COMPUTED_VALUE"""),"605089.SS")</f>
        <v>605089.SS</v>
      </c>
      <c r="E990" s="193">
        <f>IFERROR(__xludf.DUMMYFUNCTION("""COMPUTED_VALUE"""),44662.0)</f>
        <v>44662</v>
      </c>
      <c r="F990" s="5" t="str">
        <f>IFERROR(__xludf.DUMMYFUNCTION("""COMPUTED_VALUE"""),"Stock")</f>
        <v>Stock</v>
      </c>
      <c r="G990" s="5" t="str">
        <f>IFERROR(__xludf.DUMMYFUNCTION("""COMPUTED_VALUE"""),"CNY")</f>
        <v>CNY</v>
      </c>
      <c r="H990" s="22">
        <f>IFERROR(__xludf.DUMMYFUNCTION("""COMPUTED_VALUE"""),1500.0)</f>
        <v>1500</v>
      </c>
      <c r="I990" s="194">
        <f>IFERROR(__xludf.DUMMYFUNCTION("""COMPUTED_VALUE"""),1.230624)</f>
        <v>1.230624</v>
      </c>
      <c r="J990" s="23">
        <f>IFERROR(__xludf.DUMMYFUNCTION("""COMPUTED_VALUE"""),61.66)</f>
        <v>61.66</v>
      </c>
      <c r="K990" s="5"/>
      <c r="L990" s="23">
        <f>IFERROR(__xludf.DUMMYFUNCTION("""COMPUTED_VALUE"""),63.85)</f>
        <v>63.85</v>
      </c>
      <c r="M990" s="195" t="str">
        <f>IFERROR(__xludf.DUMMYFUNCTION("""COMPUTED_VALUE"""),"Equity Key Stats")</f>
        <v>Equity Key Stats</v>
      </c>
      <c r="N990" s="5"/>
      <c r="O990" s="5"/>
      <c r="P990" s="142">
        <f>IFERROR(__xludf.DUMMYFUNCTION("""COMPUTED_VALUE"""),-113820.41376)</f>
        <v>-113820.4138</v>
      </c>
      <c r="Q990" s="5"/>
      <c r="R990" s="71">
        <f>IFERROR(__xludf.DUMMYFUNCTION("""COMPUTED_VALUE"""),63.85)</f>
        <v>63.85</v>
      </c>
      <c r="S990" s="142">
        <f>IFERROR(__xludf.DUMMYFUNCTION("""COMPUTED_VALUE"""),117863.01359999999)</f>
        <v>117863.0136</v>
      </c>
      <c r="T990" s="5">
        <f>IFERROR(__xludf.DUMMYFUNCTION("""COMPUTED_VALUE"""),2.0)</f>
        <v>2</v>
      </c>
      <c r="U990" s="5" t="str">
        <f>IFERROR(__xludf.DUMMYFUNCTION("""COMPUTED_VALUE"""),"")</f>
        <v/>
      </c>
      <c r="V990" s="22" t="str">
        <f>IFERROR(__xludf.DUMMYFUNCTION("""COMPUTED_VALUE"""),"")</f>
        <v/>
      </c>
      <c r="W990" s="9" t="str">
        <f>IFERROR(__xludf.DUMMYFUNCTION("""COMPUTED_VALUE"""),"")</f>
        <v/>
      </c>
      <c r="X990" s="22" t="str">
        <f>IFERROR(__xludf.DUMMYFUNCTION("""COMPUTED_VALUE"""),"")</f>
        <v/>
      </c>
      <c r="Y990" s="22" t="str">
        <f>IFERROR(__xludf.DUMMYFUNCTION("""COMPUTED_VALUE"""),"")</f>
        <v/>
      </c>
      <c r="Z990" s="24" t="str">
        <f>IFERROR(__xludf.DUMMYFUNCTION("""COMPUTED_VALUE"""),"")</f>
        <v/>
      </c>
    </row>
    <row r="991">
      <c r="A991" s="5" t="str">
        <f>IFERROR(__xludf.DUMMYFUNCTION("""COMPUTED_VALUE"""),"")</f>
        <v/>
      </c>
      <c r="B991" s="5" t="str">
        <f>IFERROR(__xludf.DUMMYFUNCTION("""COMPUTED_VALUE"""),"79521")</f>
        <v>79521</v>
      </c>
      <c r="C991" s="9">
        <f>IFERROR(__xludf.DUMMYFUNCTION("""COMPUTED_VALUE"""),4.4664001412E10)</f>
        <v>44664001412</v>
      </c>
      <c r="D991" s="91" t="str">
        <f>IFERROR(__xludf.DUMMYFUNCTION("""COMPUTED_VALUE"""),"605089.SS")</f>
        <v>605089.SS</v>
      </c>
      <c r="E991" s="193">
        <f>IFERROR(__xludf.DUMMYFUNCTION("""COMPUTED_VALUE"""),44664.0)</f>
        <v>44664</v>
      </c>
      <c r="F991" s="5" t="str">
        <f>IFERROR(__xludf.DUMMYFUNCTION("""COMPUTED_VALUE"""),"Stock")</f>
        <v>Stock</v>
      </c>
      <c r="G991" s="5" t="str">
        <f>IFERROR(__xludf.DUMMYFUNCTION("""COMPUTED_VALUE"""),"CNY")</f>
        <v>CNY</v>
      </c>
      <c r="H991" s="22">
        <f>IFERROR(__xludf.DUMMYFUNCTION("""COMPUTED_VALUE"""),-1500.0)</f>
        <v>-1500</v>
      </c>
      <c r="I991" s="194">
        <f>IFERROR(__xludf.DUMMYFUNCTION("""COMPUTED_VALUE"""),1.231169)</f>
        <v>1.231169</v>
      </c>
      <c r="J991" s="23">
        <f>IFERROR(__xludf.DUMMYFUNCTION("""COMPUTED_VALUE"""),63.85)</f>
        <v>63.85</v>
      </c>
      <c r="K991" s="5"/>
      <c r="L991" s="23">
        <f>IFERROR(__xludf.DUMMYFUNCTION("""COMPUTED_VALUE"""),63.85)</f>
        <v>63.85</v>
      </c>
      <c r="M991" s="195" t="str">
        <f>IFERROR(__xludf.DUMMYFUNCTION("""COMPUTED_VALUE"""),"Equity Key Stats")</f>
        <v>Equity Key Stats</v>
      </c>
      <c r="N991" s="5"/>
      <c r="O991" s="5"/>
      <c r="P991" s="142">
        <f>IFERROR(__xludf.DUMMYFUNCTION("""COMPUTED_VALUE"""),117915.21097500001)</f>
        <v>117915.211</v>
      </c>
      <c r="Q991" s="5"/>
      <c r="R991" s="71">
        <f>IFERROR(__xludf.DUMMYFUNCTION("""COMPUTED_VALUE"""),63.85)</f>
        <v>63.85</v>
      </c>
      <c r="S991" s="142">
        <f>IFERROR(__xludf.DUMMYFUNCTION("""COMPUTED_VALUE"""),-117915.21097500001)</f>
        <v>-117915.211</v>
      </c>
      <c r="T991" s="5">
        <f>IFERROR(__xludf.DUMMYFUNCTION("""COMPUTED_VALUE"""),2.0)</f>
        <v>2</v>
      </c>
      <c r="U991" s="5">
        <f>IFERROR(__xludf.DUMMYFUNCTION("""COMPUTED_VALUE"""),1.0)</f>
        <v>1</v>
      </c>
      <c r="V991" s="22">
        <f>IFERROR(__xludf.DUMMYFUNCTION("""COMPUTED_VALUE"""),4042.5998399999953)</f>
        <v>4042.59984</v>
      </c>
      <c r="W991" s="9" t="str">
        <f>IFERROR(__xludf.DUMMYFUNCTION("""COMPUTED_VALUE"""),"")</f>
        <v/>
      </c>
      <c r="X991" s="22" t="str">
        <f>IFERROR(__xludf.DUMMYFUNCTION("""COMPUTED_VALUE"""),"")</f>
        <v/>
      </c>
      <c r="Y991" s="22" t="str">
        <f>IFERROR(__xludf.DUMMYFUNCTION("""COMPUTED_VALUE"""),"")</f>
        <v/>
      </c>
      <c r="Z991" s="24" t="str">
        <f>IFERROR(__xludf.DUMMYFUNCTION("""COMPUTED_VALUE"""),"")</f>
        <v/>
      </c>
    </row>
    <row r="992">
      <c r="A992" s="5" t="str">
        <f>IFERROR(__xludf.DUMMYFUNCTION("""COMPUTED_VALUE"""),"79521")</f>
        <v>79521</v>
      </c>
      <c r="B992" s="5" t="str">
        <f>IFERROR(__xludf.DUMMYFUNCTION("""COMPUTED_VALUE"""),"79521")</f>
        <v>79521</v>
      </c>
      <c r="C992" s="9">
        <f>IFERROR(__xludf.DUMMYFUNCTION("""COMPUTED_VALUE"""),4.4664001458E10)</f>
        <v>44664001458</v>
      </c>
      <c r="D992" s="91" t="str">
        <f>IFERROR(__xludf.DUMMYFUNCTION("""COMPUTED_VALUE"""),"000927.SZ")</f>
        <v>000927.SZ</v>
      </c>
      <c r="E992" s="193">
        <f>IFERROR(__xludf.DUMMYFUNCTION("""COMPUTED_VALUE"""),44664.0)</f>
        <v>44664</v>
      </c>
      <c r="F992" s="5" t="str">
        <f>IFERROR(__xludf.DUMMYFUNCTION("""COMPUTED_VALUE"""),"Stock")</f>
        <v>Stock</v>
      </c>
      <c r="G992" s="5" t="str">
        <f>IFERROR(__xludf.DUMMYFUNCTION("""COMPUTED_VALUE"""),"CNY")</f>
        <v>CNY</v>
      </c>
      <c r="H992" s="22">
        <f>IFERROR(__xludf.DUMMYFUNCTION("""COMPUTED_VALUE"""),50000.0)</f>
        <v>50000</v>
      </c>
      <c r="I992" s="194">
        <f>IFERROR(__xludf.DUMMYFUNCTION("""COMPUTED_VALUE"""),1.231169)</f>
        <v>1.231169</v>
      </c>
      <c r="J992" s="23">
        <f>IFERROR(__xludf.DUMMYFUNCTION("""COMPUTED_VALUE"""),4.27)</f>
        <v>4.27</v>
      </c>
      <c r="K992" s="5"/>
      <c r="L992" s="23">
        <f>IFERROR(__xludf.DUMMYFUNCTION("""COMPUTED_VALUE"""),4.27)</f>
        <v>4.27</v>
      </c>
      <c r="M992" s="195" t="str">
        <f>IFERROR(__xludf.DUMMYFUNCTION("""COMPUTED_VALUE"""),"Equity Key Stats")</f>
        <v>Equity Key Stats</v>
      </c>
      <c r="N992" s="5"/>
      <c r="O992" s="5"/>
      <c r="P992" s="142">
        <f>IFERROR(__xludf.DUMMYFUNCTION("""COMPUTED_VALUE"""),-262854.5815)</f>
        <v>-262854.5815</v>
      </c>
      <c r="Q992" s="5"/>
      <c r="R992" s="71">
        <f>IFERROR(__xludf.DUMMYFUNCTION("""COMPUTED_VALUE"""),4.27)</f>
        <v>4.27</v>
      </c>
      <c r="S992" s="142">
        <f>IFERROR(__xludf.DUMMYFUNCTION("""COMPUTED_VALUE"""),262854.5815)</f>
        <v>262854.5815</v>
      </c>
      <c r="T992" s="5">
        <f>IFERROR(__xludf.DUMMYFUNCTION("""COMPUTED_VALUE"""),1.0)</f>
        <v>1</v>
      </c>
      <c r="U992" s="5">
        <f>IFERROR(__xludf.DUMMYFUNCTION("""COMPUTED_VALUE"""),1.0)</f>
        <v>1</v>
      </c>
      <c r="V992" s="22">
        <f>IFERROR(__xludf.DUMMYFUNCTION("""COMPUTED_VALUE"""),0.0)</f>
        <v>0</v>
      </c>
      <c r="W992" s="9">
        <f>IFERROR(__xludf.DUMMYFUNCTION("""COMPUTED_VALUE"""),595884.1924550001)</f>
        <v>595884.1925</v>
      </c>
      <c r="X992" s="22">
        <f>IFERROR(__xludf.DUMMYFUNCTION("""COMPUTED_VALUE"""),265177.62782399997)</f>
        <v>265177.6278</v>
      </c>
      <c r="Y992" s="22">
        <f>IFERROR(__xludf.DUMMYFUNCTION("""COMPUTED_VALUE"""),0.0)</f>
        <v>0</v>
      </c>
      <c r="Z992" s="24">
        <f>IFERROR(__xludf.DUMMYFUNCTION("""COMPUTED_VALUE"""),0.19176838491000026)</f>
        <v>0.1917683849</v>
      </c>
    </row>
    <row r="993">
      <c r="A993" s="5" t="str">
        <f>IFERROR(__xludf.DUMMYFUNCTION("""COMPUTED_VALUE"""),"")</f>
        <v/>
      </c>
      <c r="B993" s="5" t="str">
        <f>IFERROR(__xludf.DUMMYFUNCTION("""COMPUTED_VALUE"""),"82124")</f>
        <v>82124</v>
      </c>
      <c r="C993" s="9">
        <f>IFERROR(__xludf.DUMMYFUNCTION("""COMPUTED_VALUE"""),4.459700002E10)</f>
        <v>44597000020</v>
      </c>
      <c r="D993" s="85" t="str">
        <f>IFERROR(__xludf.DUMMYFUNCTION("""COMPUTED_VALUE"""),"Cash")</f>
        <v>Cash</v>
      </c>
      <c r="E993" s="193">
        <f>IFERROR(__xludf.DUMMYFUNCTION("""COMPUTED_VALUE"""),44597.0)</f>
        <v>44597</v>
      </c>
      <c r="F993" s="5" t="str">
        <f>IFERROR(__xludf.DUMMYFUNCTION("""COMPUTED_VALUE"""),"Cash")</f>
        <v>Cash</v>
      </c>
      <c r="G993" s="5" t="str">
        <f>IFERROR(__xludf.DUMMYFUNCTION("""COMPUTED_VALUE"""),"HKD")</f>
        <v>HKD</v>
      </c>
      <c r="H993" s="22" t="str">
        <f>IFERROR(__xludf.DUMMYFUNCTION("""COMPUTED_VALUE"""),"")</f>
        <v/>
      </c>
      <c r="I993" s="194">
        <f>IFERROR(__xludf.DUMMYFUNCTION("""COMPUTED_VALUE"""),1.0)</f>
        <v>1</v>
      </c>
      <c r="J993" s="5">
        <f>IFERROR(__xludf.DUMMYFUNCTION("""COMPUTED_VALUE"""),1.0)</f>
        <v>1</v>
      </c>
      <c r="K993" s="5"/>
      <c r="L993" s="23">
        <f>IFERROR(__xludf.DUMMYFUNCTION("""COMPUTED_VALUE"""),1.0)</f>
        <v>1</v>
      </c>
      <c r="M993" s="25" t="str">
        <f>IFERROR(__xludf.DUMMYFUNCTION("""COMPUTED_VALUE"""),"")</f>
        <v/>
      </c>
      <c r="N993" s="5"/>
      <c r="O993" s="5"/>
      <c r="P993" s="142">
        <f>IFERROR(__xludf.DUMMYFUNCTION("""COMPUTED_VALUE"""),500000.0)</f>
        <v>500000</v>
      </c>
      <c r="Q993" s="5"/>
      <c r="R993" s="71">
        <f>IFERROR(__xludf.DUMMYFUNCTION("""COMPUTED_VALUE"""),1.0)</f>
        <v>1</v>
      </c>
      <c r="S993" s="142" t="str">
        <f>IFERROR(__xludf.DUMMYFUNCTION("""COMPUTED_VALUE"""),"")</f>
        <v/>
      </c>
      <c r="T993" s="5">
        <f>IFERROR(__xludf.DUMMYFUNCTION("""COMPUTED_VALUE"""),1.0)</f>
        <v>1</v>
      </c>
      <c r="U993" s="5">
        <f>IFERROR(__xludf.DUMMYFUNCTION("""COMPUTED_VALUE"""),1.0)</f>
        <v>1</v>
      </c>
      <c r="V993" s="22">
        <f>IFERROR(__xludf.DUMMYFUNCTION("""COMPUTED_VALUE"""),500000.0)</f>
        <v>500000</v>
      </c>
      <c r="W993" s="9" t="str">
        <f>IFERROR(__xludf.DUMMYFUNCTION("""COMPUTED_VALUE"""),"")</f>
        <v/>
      </c>
      <c r="X993" s="22" t="str">
        <f>IFERROR(__xludf.DUMMYFUNCTION("""COMPUTED_VALUE"""),"")</f>
        <v/>
      </c>
      <c r="Y993" s="22" t="str">
        <f>IFERROR(__xludf.DUMMYFUNCTION("""COMPUTED_VALUE"""),"")</f>
        <v/>
      </c>
      <c r="Z993" s="24" t="str">
        <f>IFERROR(__xludf.DUMMYFUNCTION("""COMPUTED_VALUE"""),"")</f>
        <v/>
      </c>
    </row>
    <row r="994">
      <c r="A994" s="5" t="str">
        <f>IFERROR(__xludf.DUMMYFUNCTION("""COMPUTED_VALUE"""),"")</f>
        <v/>
      </c>
      <c r="B994" s="5" t="str">
        <f>IFERROR(__xludf.DUMMYFUNCTION("""COMPUTED_VALUE"""),"82124")</f>
        <v>82124</v>
      </c>
      <c r="C994" s="9">
        <f>IFERROR(__xludf.DUMMYFUNCTION("""COMPUTED_VALUE"""),4.4608000216E10)</f>
        <v>44608000216</v>
      </c>
      <c r="D994" s="90" t="str">
        <f>IFERROR(__xludf.DUMMYFUNCTION("""COMPUTED_VALUE"""),"9988.HK")</f>
        <v>9988.HK</v>
      </c>
      <c r="E994" s="193">
        <f>IFERROR(__xludf.DUMMYFUNCTION("""COMPUTED_VALUE"""),44608.0)</f>
        <v>44608</v>
      </c>
      <c r="F994" s="5" t="str">
        <f>IFERROR(__xludf.DUMMYFUNCTION("""COMPUTED_VALUE"""),"Stock")</f>
        <v>Stock</v>
      </c>
      <c r="G994" s="5" t="str">
        <f>IFERROR(__xludf.DUMMYFUNCTION("""COMPUTED_VALUE"""),"HKD")</f>
        <v>HKD</v>
      </c>
      <c r="H994" s="22">
        <f>IFERROR(__xludf.DUMMYFUNCTION("""COMPUTED_VALUE"""),200.0)</f>
        <v>200</v>
      </c>
      <c r="I994" s="194">
        <f>IFERROR(__xludf.DUMMYFUNCTION("""COMPUTED_VALUE"""),1.0)</f>
        <v>1</v>
      </c>
      <c r="J994" s="23">
        <f>IFERROR(__xludf.DUMMYFUNCTION("""COMPUTED_VALUE"""),122.5)</f>
        <v>122.5</v>
      </c>
      <c r="K994" s="5"/>
      <c r="L994" s="23">
        <f>IFERROR(__xludf.DUMMYFUNCTION("""COMPUTED_VALUE"""),98.5)</f>
        <v>98.5</v>
      </c>
      <c r="M994" s="195" t="str">
        <f>IFERROR(__xludf.DUMMYFUNCTION("""COMPUTED_VALUE"""),"Equity Key Stats")</f>
        <v>Equity Key Stats</v>
      </c>
      <c r="N994" s="5"/>
      <c r="O994" s="5"/>
      <c r="P994" s="142">
        <f>IFERROR(__xludf.DUMMYFUNCTION("""COMPUTED_VALUE"""),-24500.0)</f>
        <v>-24500</v>
      </c>
      <c r="Q994" s="5"/>
      <c r="R994" s="71">
        <f>IFERROR(__xludf.DUMMYFUNCTION("""COMPUTED_VALUE"""),98.5)</f>
        <v>98.5</v>
      </c>
      <c r="S994" s="142">
        <f>IFERROR(__xludf.DUMMYFUNCTION("""COMPUTED_VALUE"""),19700.0)</f>
        <v>19700</v>
      </c>
      <c r="T994" s="5">
        <f>IFERROR(__xludf.DUMMYFUNCTION("""COMPUTED_VALUE"""),6.0)</f>
        <v>6</v>
      </c>
      <c r="U994" s="5" t="str">
        <f>IFERROR(__xludf.DUMMYFUNCTION("""COMPUTED_VALUE"""),"")</f>
        <v/>
      </c>
      <c r="V994" s="22" t="str">
        <f>IFERROR(__xludf.DUMMYFUNCTION("""COMPUTED_VALUE"""),"")</f>
        <v/>
      </c>
      <c r="W994" s="9" t="str">
        <f>IFERROR(__xludf.DUMMYFUNCTION("""COMPUTED_VALUE"""),"")</f>
        <v/>
      </c>
      <c r="X994" s="22" t="str">
        <f>IFERROR(__xludf.DUMMYFUNCTION("""COMPUTED_VALUE"""),"")</f>
        <v/>
      </c>
      <c r="Y994" s="22" t="str">
        <f>IFERROR(__xludf.DUMMYFUNCTION("""COMPUTED_VALUE"""),"")</f>
        <v/>
      </c>
      <c r="Z994" s="24" t="str">
        <f>IFERROR(__xludf.DUMMYFUNCTION("""COMPUTED_VALUE"""),"")</f>
        <v/>
      </c>
    </row>
    <row r="995">
      <c r="A995" s="5" t="str">
        <f>IFERROR(__xludf.DUMMYFUNCTION("""COMPUTED_VALUE"""),"")</f>
        <v/>
      </c>
      <c r="B995" s="5" t="str">
        <f>IFERROR(__xludf.DUMMYFUNCTION("""COMPUTED_VALUE"""),"82124")</f>
        <v>82124</v>
      </c>
      <c r="C995" s="9">
        <f>IFERROR(__xludf.DUMMYFUNCTION("""COMPUTED_VALUE"""),4.4613000293E10)</f>
        <v>44613000293</v>
      </c>
      <c r="D995" s="90" t="str">
        <f>IFERROR(__xludf.DUMMYFUNCTION("""COMPUTED_VALUE"""),"0941.HK")</f>
        <v>0941.HK</v>
      </c>
      <c r="E995" s="193">
        <f>IFERROR(__xludf.DUMMYFUNCTION("""COMPUTED_VALUE"""),44613.0)</f>
        <v>44613</v>
      </c>
      <c r="F995" s="5" t="str">
        <f>IFERROR(__xludf.DUMMYFUNCTION("""COMPUTED_VALUE"""),"Stock")</f>
        <v>Stock</v>
      </c>
      <c r="G995" s="5" t="str">
        <f>IFERROR(__xludf.DUMMYFUNCTION("""COMPUTED_VALUE"""),"HKD")</f>
        <v>HKD</v>
      </c>
      <c r="H995" s="22">
        <f>IFERROR(__xludf.DUMMYFUNCTION("""COMPUTED_VALUE"""),1000.0)</f>
        <v>1000</v>
      </c>
      <c r="I995" s="194">
        <f>IFERROR(__xludf.DUMMYFUNCTION("""COMPUTED_VALUE"""),1.0)</f>
        <v>1</v>
      </c>
      <c r="J995" s="23">
        <f>IFERROR(__xludf.DUMMYFUNCTION("""COMPUTED_VALUE"""),55.9)</f>
        <v>55.9</v>
      </c>
      <c r="K995" s="5"/>
      <c r="L995" s="23">
        <f>IFERROR(__xludf.DUMMYFUNCTION("""COMPUTED_VALUE"""),55.5)</f>
        <v>55.5</v>
      </c>
      <c r="M995" s="195" t="str">
        <f>IFERROR(__xludf.DUMMYFUNCTION("""COMPUTED_VALUE"""),"Equity Key Stats")</f>
        <v>Equity Key Stats</v>
      </c>
      <c r="N995" s="5"/>
      <c r="O995" s="5"/>
      <c r="P995" s="142">
        <f>IFERROR(__xludf.DUMMYFUNCTION("""COMPUTED_VALUE"""),-55900.0)</f>
        <v>-55900</v>
      </c>
      <c r="Q995" s="5"/>
      <c r="R995" s="71">
        <f>IFERROR(__xludf.DUMMYFUNCTION("""COMPUTED_VALUE"""),55.5)</f>
        <v>55.5</v>
      </c>
      <c r="S995" s="142">
        <f>IFERROR(__xludf.DUMMYFUNCTION("""COMPUTED_VALUE"""),55500.0)</f>
        <v>55500</v>
      </c>
      <c r="T995" s="5">
        <f>IFERROR(__xludf.DUMMYFUNCTION("""COMPUTED_VALUE"""),2.0)</f>
        <v>2</v>
      </c>
      <c r="U995" s="5" t="str">
        <f>IFERROR(__xludf.DUMMYFUNCTION("""COMPUTED_VALUE"""),"")</f>
        <v/>
      </c>
      <c r="V995" s="22" t="str">
        <f>IFERROR(__xludf.DUMMYFUNCTION("""COMPUTED_VALUE"""),"")</f>
        <v/>
      </c>
      <c r="W995" s="9" t="str">
        <f>IFERROR(__xludf.DUMMYFUNCTION("""COMPUTED_VALUE"""),"")</f>
        <v/>
      </c>
      <c r="X995" s="22" t="str">
        <f>IFERROR(__xludf.DUMMYFUNCTION("""COMPUTED_VALUE"""),"")</f>
        <v/>
      </c>
      <c r="Y995" s="22" t="str">
        <f>IFERROR(__xludf.DUMMYFUNCTION("""COMPUTED_VALUE"""),"")</f>
        <v/>
      </c>
      <c r="Z995" s="24" t="str">
        <f>IFERROR(__xludf.DUMMYFUNCTION("""COMPUTED_VALUE"""),"")</f>
        <v/>
      </c>
    </row>
    <row r="996">
      <c r="A996" s="5" t="str">
        <f>IFERROR(__xludf.DUMMYFUNCTION("""COMPUTED_VALUE"""),"")</f>
        <v/>
      </c>
      <c r="B996" s="5" t="str">
        <f>IFERROR(__xludf.DUMMYFUNCTION("""COMPUTED_VALUE"""),"82124")</f>
        <v>82124</v>
      </c>
      <c r="C996" s="9">
        <f>IFERROR(__xludf.DUMMYFUNCTION("""COMPUTED_VALUE"""),4.462100039E10)</f>
        <v>44621000390</v>
      </c>
      <c r="D996" s="90" t="str">
        <f>IFERROR(__xludf.DUMMYFUNCTION("""COMPUTED_VALUE"""),"9988.HK")</f>
        <v>9988.HK</v>
      </c>
      <c r="E996" s="193">
        <f>IFERROR(__xludf.DUMMYFUNCTION("""COMPUTED_VALUE"""),44621.0)</f>
        <v>44621</v>
      </c>
      <c r="F996" s="5" t="str">
        <f>IFERROR(__xludf.DUMMYFUNCTION("""COMPUTED_VALUE"""),"Stock")</f>
        <v>Stock</v>
      </c>
      <c r="G996" s="5" t="str">
        <f>IFERROR(__xludf.DUMMYFUNCTION("""COMPUTED_VALUE"""),"HKD")</f>
        <v>HKD</v>
      </c>
      <c r="H996" s="22">
        <f>IFERROR(__xludf.DUMMYFUNCTION("""COMPUTED_VALUE"""),0.0)</f>
        <v>0</v>
      </c>
      <c r="I996" s="194">
        <f>IFERROR(__xludf.DUMMYFUNCTION("""COMPUTED_VALUE"""),1.0)</f>
        <v>1</v>
      </c>
      <c r="J996" s="23">
        <f>IFERROR(__xludf.DUMMYFUNCTION("""COMPUTED_VALUE"""),0.0)</f>
        <v>0</v>
      </c>
      <c r="K996" s="5"/>
      <c r="L996" s="23">
        <f>IFERROR(__xludf.DUMMYFUNCTION("""COMPUTED_VALUE"""),98.5)</f>
        <v>98.5</v>
      </c>
      <c r="M996" s="195" t="str">
        <f>IFERROR(__xludf.DUMMYFUNCTION("""COMPUTED_VALUE"""),"Equity Key Stats")</f>
        <v>Equity Key Stats</v>
      </c>
      <c r="N996" s="5"/>
      <c r="O996" s="5"/>
      <c r="P996" s="142">
        <f>IFERROR(__xludf.DUMMYFUNCTION("""COMPUTED_VALUE"""),0.0)</f>
        <v>0</v>
      </c>
      <c r="Q996" s="5"/>
      <c r="R996" s="71">
        <f>IFERROR(__xludf.DUMMYFUNCTION("""COMPUTED_VALUE"""),98.5)</f>
        <v>98.5</v>
      </c>
      <c r="S996" s="142">
        <f>IFERROR(__xludf.DUMMYFUNCTION("""COMPUTED_VALUE"""),0.0)</f>
        <v>0</v>
      </c>
      <c r="T996" s="5">
        <f>IFERROR(__xludf.DUMMYFUNCTION("""COMPUTED_VALUE"""),6.0)</f>
        <v>6</v>
      </c>
      <c r="U996" s="5" t="str">
        <f>IFERROR(__xludf.DUMMYFUNCTION("""COMPUTED_VALUE"""),"")</f>
        <v/>
      </c>
      <c r="V996" s="22" t="str">
        <f>IFERROR(__xludf.DUMMYFUNCTION("""COMPUTED_VALUE"""),"")</f>
        <v/>
      </c>
      <c r="W996" s="9" t="str">
        <f>IFERROR(__xludf.DUMMYFUNCTION("""COMPUTED_VALUE"""),"")</f>
        <v/>
      </c>
      <c r="X996" s="22" t="str">
        <f>IFERROR(__xludf.DUMMYFUNCTION("""COMPUTED_VALUE"""),"")</f>
        <v/>
      </c>
      <c r="Y996" s="22" t="str">
        <f>IFERROR(__xludf.DUMMYFUNCTION("""COMPUTED_VALUE"""),"")</f>
        <v/>
      </c>
      <c r="Z996" s="24" t="str">
        <f>IFERROR(__xludf.DUMMYFUNCTION("""COMPUTED_VALUE"""),"")</f>
        <v/>
      </c>
    </row>
    <row r="997">
      <c r="A997" s="5" t="str">
        <f>IFERROR(__xludf.DUMMYFUNCTION("""COMPUTED_VALUE"""),"")</f>
        <v/>
      </c>
      <c r="B997" s="5" t="str">
        <f>IFERROR(__xludf.DUMMYFUNCTION("""COMPUTED_VALUE"""),"82124")</f>
        <v>82124</v>
      </c>
      <c r="C997" s="9">
        <f>IFERROR(__xludf.DUMMYFUNCTION("""COMPUTED_VALUE"""),4.4621000391E10)</f>
        <v>44621000391</v>
      </c>
      <c r="D997" s="90" t="str">
        <f>IFERROR(__xludf.DUMMYFUNCTION("""COMPUTED_VALUE"""),"2800.HK")</f>
        <v>2800.HK</v>
      </c>
      <c r="E997" s="193">
        <f>IFERROR(__xludf.DUMMYFUNCTION("""COMPUTED_VALUE"""),44621.0)</f>
        <v>44621</v>
      </c>
      <c r="F997" s="5" t="str">
        <f>IFERROR(__xludf.DUMMYFUNCTION("""COMPUTED_VALUE"""),"Stock")</f>
        <v>Stock</v>
      </c>
      <c r="G997" s="5" t="str">
        <f>IFERROR(__xludf.DUMMYFUNCTION("""COMPUTED_VALUE"""),"HKD")</f>
        <v>HKD</v>
      </c>
      <c r="H997" s="22">
        <f>IFERROR(__xludf.DUMMYFUNCTION("""COMPUTED_VALUE"""),0.0)</f>
        <v>0</v>
      </c>
      <c r="I997" s="194">
        <f>IFERROR(__xludf.DUMMYFUNCTION("""COMPUTED_VALUE"""),1.0)</f>
        <v>1</v>
      </c>
      <c r="J997" s="23">
        <f>IFERROR(__xludf.DUMMYFUNCTION("""COMPUTED_VALUE"""),0.0)</f>
        <v>0</v>
      </c>
      <c r="K997" s="5"/>
      <c r="L997" s="23">
        <f>IFERROR(__xludf.DUMMYFUNCTION("""COMPUTED_VALUE"""),21.58)</f>
        <v>21.58</v>
      </c>
      <c r="M997" s="195" t="str">
        <f>IFERROR(__xludf.DUMMYFUNCTION("""COMPUTED_VALUE"""),"Equity Key Stats")</f>
        <v>Equity Key Stats</v>
      </c>
      <c r="N997" s="5"/>
      <c r="O997" s="5"/>
      <c r="P997" s="142">
        <f>IFERROR(__xludf.DUMMYFUNCTION("""COMPUTED_VALUE"""),0.0)</f>
        <v>0</v>
      </c>
      <c r="Q997" s="5"/>
      <c r="R997" s="71">
        <f>IFERROR(__xludf.DUMMYFUNCTION("""COMPUTED_VALUE"""),21.58)</f>
        <v>21.58</v>
      </c>
      <c r="S997" s="142">
        <f>IFERROR(__xludf.DUMMYFUNCTION("""COMPUTED_VALUE"""),0.0)</f>
        <v>0</v>
      </c>
      <c r="T997" s="5">
        <f>IFERROR(__xludf.DUMMYFUNCTION("""COMPUTED_VALUE"""),5.0)</f>
        <v>5</v>
      </c>
      <c r="U997" s="5" t="str">
        <f>IFERROR(__xludf.DUMMYFUNCTION("""COMPUTED_VALUE"""),"")</f>
        <v/>
      </c>
      <c r="V997" s="22" t="str">
        <f>IFERROR(__xludf.DUMMYFUNCTION("""COMPUTED_VALUE"""),"")</f>
        <v/>
      </c>
      <c r="W997" s="9" t="str">
        <f>IFERROR(__xludf.DUMMYFUNCTION("""COMPUTED_VALUE"""),"")</f>
        <v/>
      </c>
      <c r="X997" s="22" t="str">
        <f>IFERROR(__xludf.DUMMYFUNCTION("""COMPUTED_VALUE"""),"")</f>
        <v/>
      </c>
      <c r="Y997" s="22" t="str">
        <f>IFERROR(__xludf.DUMMYFUNCTION("""COMPUTED_VALUE"""),"")</f>
        <v/>
      </c>
      <c r="Z997" s="24" t="str">
        <f>IFERROR(__xludf.DUMMYFUNCTION("""COMPUTED_VALUE"""),"")</f>
        <v/>
      </c>
    </row>
    <row r="998">
      <c r="A998" s="5" t="str">
        <f>IFERROR(__xludf.DUMMYFUNCTION("""COMPUTED_VALUE"""),"")</f>
        <v/>
      </c>
      <c r="B998" s="5" t="str">
        <f>IFERROR(__xludf.DUMMYFUNCTION("""COMPUTED_VALUE"""),"82124")</f>
        <v>82124</v>
      </c>
      <c r="C998" s="9">
        <f>IFERROR(__xludf.DUMMYFUNCTION("""COMPUTED_VALUE"""),4.4623000409E10)</f>
        <v>44623000409</v>
      </c>
      <c r="D998" s="90" t="str">
        <f>IFERROR(__xludf.DUMMYFUNCTION("""COMPUTED_VALUE"""),"9988.HK")</f>
        <v>9988.HK</v>
      </c>
      <c r="E998" s="193">
        <f>IFERROR(__xludf.DUMMYFUNCTION("""COMPUTED_VALUE"""),44623.0)</f>
        <v>44623</v>
      </c>
      <c r="F998" s="5" t="str">
        <f>IFERROR(__xludf.DUMMYFUNCTION("""COMPUTED_VALUE"""),"Stock")</f>
        <v>Stock</v>
      </c>
      <c r="G998" s="5" t="str">
        <f>IFERROR(__xludf.DUMMYFUNCTION("""COMPUTED_VALUE"""),"HKD")</f>
        <v>HKD</v>
      </c>
      <c r="H998" s="22">
        <f>IFERROR(__xludf.DUMMYFUNCTION("""COMPUTED_VALUE"""),300.0)</f>
        <v>300</v>
      </c>
      <c r="I998" s="194">
        <f>IFERROR(__xludf.DUMMYFUNCTION("""COMPUTED_VALUE"""),1.0)</f>
        <v>1</v>
      </c>
      <c r="J998" s="23">
        <f>IFERROR(__xludf.DUMMYFUNCTION("""COMPUTED_VALUE"""),104.4)</f>
        <v>104.4</v>
      </c>
      <c r="K998" s="5"/>
      <c r="L998" s="23">
        <f>IFERROR(__xludf.DUMMYFUNCTION("""COMPUTED_VALUE"""),98.5)</f>
        <v>98.5</v>
      </c>
      <c r="M998" s="195" t="str">
        <f>IFERROR(__xludf.DUMMYFUNCTION("""COMPUTED_VALUE"""),"Equity Key Stats")</f>
        <v>Equity Key Stats</v>
      </c>
      <c r="N998" s="5"/>
      <c r="O998" s="5"/>
      <c r="P998" s="142">
        <f>IFERROR(__xludf.DUMMYFUNCTION("""COMPUTED_VALUE"""),-31320.0)</f>
        <v>-31320</v>
      </c>
      <c r="Q998" s="5"/>
      <c r="R998" s="71">
        <f>IFERROR(__xludf.DUMMYFUNCTION("""COMPUTED_VALUE"""),98.5)</f>
        <v>98.5</v>
      </c>
      <c r="S998" s="142">
        <f>IFERROR(__xludf.DUMMYFUNCTION("""COMPUTED_VALUE"""),29550.0)</f>
        <v>29550</v>
      </c>
      <c r="T998" s="5">
        <f>IFERROR(__xludf.DUMMYFUNCTION("""COMPUTED_VALUE"""),6.0)</f>
        <v>6</v>
      </c>
      <c r="U998" s="5" t="str">
        <f>IFERROR(__xludf.DUMMYFUNCTION("""COMPUTED_VALUE"""),"")</f>
        <v/>
      </c>
      <c r="V998" s="22" t="str">
        <f>IFERROR(__xludf.DUMMYFUNCTION("""COMPUTED_VALUE"""),"")</f>
        <v/>
      </c>
      <c r="W998" s="9" t="str">
        <f>IFERROR(__xludf.DUMMYFUNCTION("""COMPUTED_VALUE"""),"")</f>
        <v/>
      </c>
      <c r="X998" s="22" t="str">
        <f>IFERROR(__xludf.DUMMYFUNCTION("""COMPUTED_VALUE"""),"")</f>
        <v/>
      </c>
      <c r="Y998" s="22" t="str">
        <f>IFERROR(__xludf.DUMMYFUNCTION("""COMPUTED_VALUE"""),"")</f>
        <v/>
      </c>
      <c r="Z998" s="24" t="str">
        <f>IFERROR(__xludf.DUMMYFUNCTION("""COMPUTED_VALUE"""),"")</f>
        <v/>
      </c>
    </row>
    <row r="999">
      <c r="A999" s="5" t="str">
        <f>IFERROR(__xludf.DUMMYFUNCTION("""COMPUTED_VALUE"""),"")</f>
        <v/>
      </c>
      <c r="B999" s="5" t="str">
        <f>IFERROR(__xludf.DUMMYFUNCTION("""COMPUTED_VALUE"""),"82124")</f>
        <v>82124</v>
      </c>
      <c r="C999" s="9">
        <f>IFERROR(__xludf.DUMMYFUNCTION("""COMPUTED_VALUE"""),4.462300041E10)</f>
        <v>44623000410</v>
      </c>
      <c r="D999" s="90" t="str">
        <f>IFERROR(__xludf.DUMMYFUNCTION("""COMPUTED_VALUE"""),"2800.HK")</f>
        <v>2800.HK</v>
      </c>
      <c r="E999" s="193">
        <f>IFERROR(__xludf.DUMMYFUNCTION("""COMPUTED_VALUE"""),44623.0)</f>
        <v>44623</v>
      </c>
      <c r="F999" s="5" t="str">
        <f>IFERROR(__xludf.DUMMYFUNCTION("""COMPUTED_VALUE"""),"Stock")</f>
        <v>Stock</v>
      </c>
      <c r="G999" s="5" t="str">
        <f>IFERROR(__xludf.DUMMYFUNCTION("""COMPUTED_VALUE"""),"HKD")</f>
        <v>HKD</v>
      </c>
      <c r="H999" s="22">
        <f>IFERROR(__xludf.DUMMYFUNCTION("""COMPUTED_VALUE"""),2000.0)</f>
        <v>2000</v>
      </c>
      <c r="I999" s="194">
        <f>IFERROR(__xludf.DUMMYFUNCTION("""COMPUTED_VALUE"""),1.0)</f>
        <v>1</v>
      </c>
      <c r="J999" s="23">
        <f>IFERROR(__xludf.DUMMYFUNCTION("""COMPUTED_VALUE"""),22.64)</f>
        <v>22.64</v>
      </c>
      <c r="K999" s="5"/>
      <c r="L999" s="23">
        <f>IFERROR(__xludf.DUMMYFUNCTION("""COMPUTED_VALUE"""),21.58)</f>
        <v>21.58</v>
      </c>
      <c r="M999" s="195" t="str">
        <f>IFERROR(__xludf.DUMMYFUNCTION("""COMPUTED_VALUE"""),"Equity Key Stats")</f>
        <v>Equity Key Stats</v>
      </c>
      <c r="N999" s="5"/>
      <c r="O999" s="5"/>
      <c r="P999" s="142">
        <f>IFERROR(__xludf.DUMMYFUNCTION("""COMPUTED_VALUE"""),-45280.0)</f>
        <v>-45280</v>
      </c>
      <c r="Q999" s="5"/>
      <c r="R999" s="71">
        <f>IFERROR(__xludf.DUMMYFUNCTION("""COMPUTED_VALUE"""),21.58)</f>
        <v>21.58</v>
      </c>
      <c r="S999" s="142">
        <f>IFERROR(__xludf.DUMMYFUNCTION("""COMPUTED_VALUE"""),43160.0)</f>
        <v>43160</v>
      </c>
      <c r="T999" s="5">
        <f>IFERROR(__xludf.DUMMYFUNCTION("""COMPUTED_VALUE"""),5.0)</f>
        <v>5</v>
      </c>
      <c r="U999" s="5" t="str">
        <f>IFERROR(__xludf.DUMMYFUNCTION("""COMPUTED_VALUE"""),"")</f>
        <v/>
      </c>
      <c r="V999" s="22" t="str">
        <f>IFERROR(__xludf.DUMMYFUNCTION("""COMPUTED_VALUE"""),"")</f>
        <v/>
      </c>
      <c r="W999" s="9" t="str">
        <f>IFERROR(__xludf.DUMMYFUNCTION("""COMPUTED_VALUE"""),"")</f>
        <v/>
      </c>
      <c r="X999" s="22" t="str">
        <f>IFERROR(__xludf.DUMMYFUNCTION("""COMPUTED_VALUE"""),"")</f>
        <v/>
      </c>
      <c r="Y999" s="22" t="str">
        <f>IFERROR(__xludf.DUMMYFUNCTION("""COMPUTED_VALUE"""),"")</f>
        <v/>
      </c>
      <c r="Z999" s="24" t="str">
        <f>IFERROR(__xludf.DUMMYFUNCTION("""COMPUTED_VALUE"""),"")</f>
        <v/>
      </c>
    </row>
    <row r="1000">
      <c r="A1000" s="5" t="str">
        <f>IFERROR(__xludf.DUMMYFUNCTION("""COMPUTED_VALUE"""),"")</f>
        <v/>
      </c>
      <c r="B1000" s="5" t="str">
        <f>IFERROR(__xludf.DUMMYFUNCTION("""COMPUTED_VALUE"""),"82124")</f>
        <v>82124</v>
      </c>
      <c r="C1000" s="9">
        <f>IFERROR(__xludf.DUMMYFUNCTION("""COMPUTED_VALUE"""),4.4624000428E10)</f>
        <v>44624000428</v>
      </c>
      <c r="D1000" s="90" t="str">
        <f>IFERROR(__xludf.DUMMYFUNCTION("""COMPUTED_VALUE"""),"0700.HK")</f>
        <v>0700.HK</v>
      </c>
      <c r="E1000" s="193">
        <f>IFERROR(__xludf.DUMMYFUNCTION("""COMPUTED_VALUE"""),44624.0)</f>
        <v>44624</v>
      </c>
      <c r="F1000" s="5" t="str">
        <f>IFERROR(__xludf.DUMMYFUNCTION("""COMPUTED_VALUE"""),"Stock")</f>
        <v>Stock</v>
      </c>
      <c r="G1000" s="5" t="str">
        <f>IFERROR(__xludf.DUMMYFUNCTION("""COMPUTED_VALUE"""),"HKD")</f>
        <v>HKD</v>
      </c>
      <c r="H1000" s="22">
        <f>IFERROR(__xludf.DUMMYFUNCTION("""COMPUTED_VALUE"""),100.0)</f>
        <v>100</v>
      </c>
      <c r="I1000" s="194">
        <f>IFERROR(__xludf.DUMMYFUNCTION("""COMPUTED_VALUE"""),1.0)</f>
        <v>1</v>
      </c>
      <c r="J1000" s="23">
        <f>IFERROR(__xludf.DUMMYFUNCTION("""COMPUTED_VALUE"""),403.2)</f>
        <v>403.2</v>
      </c>
      <c r="K1000" s="5"/>
      <c r="L1000" s="23">
        <f>IFERROR(__xludf.DUMMYFUNCTION("""COMPUTED_VALUE"""),373.6)</f>
        <v>373.6</v>
      </c>
      <c r="M1000" s="195" t="str">
        <f>IFERROR(__xludf.DUMMYFUNCTION("""COMPUTED_VALUE"""),"Equity Key Stats")</f>
        <v>Equity Key Stats</v>
      </c>
      <c r="N1000" s="5"/>
      <c r="O1000" s="5"/>
      <c r="P1000" s="142">
        <f>IFERROR(__xludf.DUMMYFUNCTION("""COMPUTED_VALUE"""),-40320.0)</f>
        <v>-40320</v>
      </c>
      <c r="Q1000" s="5"/>
      <c r="R1000" s="71">
        <f>IFERROR(__xludf.DUMMYFUNCTION("""COMPUTED_VALUE"""),373.6)</f>
        <v>373.6</v>
      </c>
      <c r="S1000" s="142">
        <f>IFERROR(__xludf.DUMMYFUNCTION("""COMPUTED_VALUE"""),37360.0)</f>
        <v>37360</v>
      </c>
      <c r="T1000" s="5">
        <f>IFERROR(__xludf.DUMMYFUNCTION("""COMPUTED_VALUE"""),1.0)</f>
        <v>1</v>
      </c>
      <c r="U1000" s="5">
        <f>IFERROR(__xludf.DUMMYFUNCTION("""COMPUTED_VALUE"""),1.0)</f>
        <v>1</v>
      </c>
      <c r="V1000" s="22">
        <f>IFERROR(__xludf.DUMMYFUNCTION("""COMPUTED_VALUE"""),-2960.0)</f>
        <v>-2960</v>
      </c>
      <c r="W1000" s="9" t="str">
        <f>IFERROR(__xludf.DUMMYFUNCTION("""COMPUTED_VALUE"""),"")</f>
        <v/>
      </c>
      <c r="X1000" s="22" t="str">
        <f>IFERROR(__xludf.DUMMYFUNCTION("""COMPUTED_VALUE"""),"")</f>
        <v/>
      </c>
      <c r="Y1000" s="22" t="str">
        <f>IFERROR(__xludf.DUMMYFUNCTION("""COMPUTED_VALUE"""),"")</f>
        <v/>
      </c>
      <c r="Z1000" s="24" t="str">
        <f>IFERROR(__xludf.DUMMYFUNCTION("""COMPUTED_VALUE"""),"")</f>
        <v/>
      </c>
    </row>
    <row r="1001">
      <c r="A1001" s="5" t="str">
        <f>IFERROR(__xludf.DUMMYFUNCTION("""COMPUTED_VALUE"""),"")</f>
        <v/>
      </c>
      <c r="B1001" s="5" t="str">
        <f>IFERROR(__xludf.DUMMYFUNCTION("""COMPUTED_VALUE"""),"82124")</f>
        <v>82124</v>
      </c>
      <c r="C1001" s="9">
        <f>IFERROR(__xludf.DUMMYFUNCTION("""COMPUTED_VALUE"""),4.4627000461E10)</f>
        <v>44627000461</v>
      </c>
      <c r="D1001" s="90" t="str">
        <f>IFERROR(__xludf.DUMMYFUNCTION("""COMPUTED_VALUE"""),"2800.HK")</f>
        <v>2800.HK</v>
      </c>
      <c r="E1001" s="193">
        <f>IFERROR(__xludf.DUMMYFUNCTION("""COMPUTED_VALUE"""),44627.0)</f>
        <v>44627</v>
      </c>
      <c r="F1001" s="5" t="str">
        <f>IFERROR(__xludf.DUMMYFUNCTION("""COMPUTED_VALUE"""),"Stock")</f>
        <v>Stock</v>
      </c>
      <c r="G1001" s="5" t="str">
        <f>IFERROR(__xludf.DUMMYFUNCTION("""COMPUTED_VALUE"""),"HKD")</f>
        <v>HKD</v>
      </c>
      <c r="H1001" s="22">
        <f>IFERROR(__xludf.DUMMYFUNCTION("""COMPUTED_VALUE"""),2000.0)</f>
        <v>2000</v>
      </c>
      <c r="I1001" s="194">
        <f>IFERROR(__xludf.DUMMYFUNCTION("""COMPUTED_VALUE"""),1.0)</f>
        <v>1</v>
      </c>
      <c r="J1001" s="23">
        <f>IFERROR(__xludf.DUMMYFUNCTION("""COMPUTED_VALUE"""),21.22)</f>
        <v>21.22</v>
      </c>
      <c r="K1001" s="5"/>
      <c r="L1001" s="23">
        <f>IFERROR(__xludf.DUMMYFUNCTION("""COMPUTED_VALUE"""),21.58)</f>
        <v>21.58</v>
      </c>
      <c r="M1001" s="195" t="str">
        <f>IFERROR(__xludf.DUMMYFUNCTION("""COMPUTED_VALUE"""),"Equity Key Stats")</f>
        <v>Equity Key Stats</v>
      </c>
      <c r="N1001" s="5"/>
      <c r="O1001" s="5"/>
      <c r="P1001" s="142">
        <f>IFERROR(__xludf.DUMMYFUNCTION("""COMPUTED_VALUE"""),-42440.0)</f>
        <v>-42440</v>
      </c>
      <c r="Q1001" s="5"/>
      <c r="R1001" s="71">
        <f>IFERROR(__xludf.DUMMYFUNCTION("""COMPUTED_VALUE"""),21.58)</f>
        <v>21.58</v>
      </c>
      <c r="S1001" s="142">
        <f>IFERROR(__xludf.DUMMYFUNCTION("""COMPUTED_VALUE"""),43160.0)</f>
        <v>43160</v>
      </c>
      <c r="T1001" s="5">
        <f>IFERROR(__xludf.DUMMYFUNCTION("""COMPUTED_VALUE"""),5.0)</f>
        <v>5</v>
      </c>
      <c r="U1001" s="5" t="str">
        <f>IFERROR(__xludf.DUMMYFUNCTION("""COMPUTED_VALUE"""),"")</f>
        <v/>
      </c>
      <c r="V1001" s="22" t="str">
        <f>IFERROR(__xludf.DUMMYFUNCTION("""COMPUTED_VALUE"""),"")</f>
        <v/>
      </c>
      <c r="W1001" s="9" t="str">
        <f>IFERROR(__xludf.DUMMYFUNCTION("""COMPUTED_VALUE"""),"")</f>
        <v/>
      </c>
      <c r="X1001" s="22" t="str">
        <f>IFERROR(__xludf.DUMMYFUNCTION("""COMPUTED_VALUE"""),"")</f>
        <v/>
      </c>
      <c r="Y1001" s="22" t="str">
        <f>IFERROR(__xludf.DUMMYFUNCTION("""COMPUTED_VALUE"""),"")</f>
        <v/>
      </c>
      <c r="Z1001" s="24" t="str">
        <f>IFERROR(__xludf.DUMMYFUNCTION("""COMPUTED_VALUE"""),"")</f>
        <v/>
      </c>
    </row>
    <row r="1002">
      <c r="A1002" s="5" t="str">
        <f>IFERROR(__xludf.DUMMYFUNCTION("""COMPUTED_VALUE"""),"")</f>
        <v/>
      </c>
      <c r="B1002" s="5" t="str">
        <f>IFERROR(__xludf.DUMMYFUNCTION("""COMPUTED_VALUE"""),"82124")</f>
        <v>82124</v>
      </c>
      <c r="C1002" s="9">
        <f>IFERROR(__xludf.DUMMYFUNCTION("""COMPUTED_VALUE"""),4.4630000517E10)</f>
        <v>44630000517</v>
      </c>
      <c r="D1002" s="90" t="str">
        <f>IFERROR(__xludf.DUMMYFUNCTION("""COMPUTED_VALUE"""),"0388.HK")</f>
        <v>0388.HK</v>
      </c>
      <c r="E1002" s="193">
        <f>IFERROR(__xludf.DUMMYFUNCTION("""COMPUTED_VALUE"""),44630.0)</f>
        <v>44630</v>
      </c>
      <c r="F1002" s="5" t="str">
        <f>IFERROR(__xludf.DUMMYFUNCTION("""COMPUTED_VALUE"""),"Stock")</f>
        <v>Stock</v>
      </c>
      <c r="G1002" s="5" t="str">
        <f>IFERROR(__xludf.DUMMYFUNCTION("""COMPUTED_VALUE"""),"HKD")</f>
        <v>HKD</v>
      </c>
      <c r="H1002" s="22">
        <f>IFERROR(__xludf.DUMMYFUNCTION("""COMPUTED_VALUE"""),200.0)</f>
        <v>200</v>
      </c>
      <c r="I1002" s="194">
        <f>IFERROR(__xludf.DUMMYFUNCTION("""COMPUTED_VALUE"""),1.0)</f>
        <v>1</v>
      </c>
      <c r="J1002" s="23">
        <f>IFERROR(__xludf.DUMMYFUNCTION("""COMPUTED_VALUE"""),329.0)</f>
        <v>329</v>
      </c>
      <c r="K1002" s="5"/>
      <c r="L1002" s="23">
        <f>IFERROR(__xludf.DUMMYFUNCTION("""COMPUTED_VALUE"""),340.8)</f>
        <v>340.8</v>
      </c>
      <c r="M1002" s="195" t="str">
        <f>IFERROR(__xludf.DUMMYFUNCTION("""COMPUTED_VALUE"""),"Equity Key Stats")</f>
        <v>Equity Key Stats</v>
      </c>
      <c r="N1002" s="5"/>
      <c r="O1002" s="5"/>
      <c r="P1002" s="142">
        <f>IFERROR(__xludf.DUMMYFUNCTION("""COMPUTED_VALUE"""),-65800.0)</f>
        <v>-65800</v>
      </c>
      <c r="Q1002" s="5"/>
      <c r="R1002" s="71">
        <f>IFERROR(__xludf.DUMMYFUNCTION("""COMPUTED_VALUE"""),340.8)</f>
        <v>340.8</v>
      </c>
      <c r="S1002" s="142">
        <f>IFERROR(__xludf.DUMMYFUNCTION("""COMPUTED_VALUE"""),68160.0)</f>
        <v>68160</v>
      </c>
      <c r="T1002" s="5">
        <f>IFERROR(__xludf.DUMMYFUNCTION("""COMPUTED_VALUE"""),1.0)</f>
        <v>1</v>
      </c>
      <c r="U1002" s="5">
        <f>IFERROR(__xludf.DUMMYFUNCTION("""COMPUTED_VALUE"""),1.0)</f>
        <v>1</v>
      </c>
      <c r="V1002" s="22">
        <f>IFERROR(__xludf.DUMMYFUNCTION("""COMPUTED_VALUE"""),2360.0)</f>
        <v>2360</v>
      </c>
      <c r="W1002" s="9" t="str">
        <f>IFERROR(__xludf.DUMMYFUNCTION("""COMPUTED_VALUE"""),"")</f>
        <v/>
      </c>
      <c r="X1002" s="22" t="str">
        <f>IFERROR(__xludf.DUMMYFUNCTION("""COMPUTED_VALUE"""),"")</f>
        <v/>
      </c>
      <c r="Y1002" s="22" t="str">
        <f>IFERROR(__xludf.DUMMYFUNCTION("""COMPUTED_VALUE"""),"")</f>
        <v/>
      </c>
      <c r="Z1002" s="24" t="str">
        <f>IFERROR(__xludf.DUMMYFUNCTION("""COMPUTED_VALUE"""),"")</f>
        <v/>
      </c>
    </row>
    <row r="1003">
      <c r="A1003" s="5" t="str">
        <f>IFERROR(__xludf.DUMMYFUNCTION("""COMPUTED_VALUE"""),"")</f>
        <v/>
      </c>
      <c r="B1003" s="5" t="str">
        <f>IFERROR(__xludf.DUMMYFUNCTION("""COMPUTED_VALUE"""),"82124")</f>
        <v>82124</v>
      </c>
      <c r="C1003" s="9">
        <f>IFERROR(__xludf.DUMMYFUNCTION("""COMPUTED_VALUE"""),4.4631000531E10)</f>
        <v>44631000531</v>
      </c>
      <c r="D1003" s="90" t="str">
        <f>IFERROR(__xludf.DUMMYFUNCTION("""COMPUTED_VALUE"""),"9988.HK")</f>
        <v>9988.HK</v>
      </c>
      <c r="E1003" s="193">
        <f>IFERROR(__xludf.DUMMYFUNCTION("""COMPUTED_VALUE"""),44631.0)</f>
        <v>44631</v>
      </c>
      <c r="F1003" s="5" t="str">
        <f>IFERROR(__xludf.DUMMYFUNCTION("""COMPUTED_VALUE"""),"Stock")</f>
        <v>Stock</v>
      </c>
      <c r="G1003" s="5" t="str">
        <f>IFERROR(__xludf.DUMMYFUNCTION("""COMPUTED_VALUE"""),"HKD")</f>
        <v>HKD</v>
      </c>
      <c r="H1003" s="22">
        <f>IFERROR(__xludf.DUMMYFUNCTION("""COMPUTED_VALUE"""),500.0)</f>
        <v>500</v>
      </c>
      <c r="I1003" s="194">
        <f>IFERROR(__xludf.DUMMYFUNCTION("""COMPUTED_VALUE"""),1.0)</f>
        <v>1</v>
      </c>
      <c r="J1003" s="23">
        <f>IFERROR(__xludf.DUMMYFUNCTION("""COMPUTED_VALUE"""),90.8)</f>
        <v>90.8</v>
      </c>
      <c r="K1003" s="5"/>
      <c r="L1003" s="23">
        <f>IFERROR(__xludf.DUMMYFUNCTION("""COMPUTED_VALUE"""),98.5)</f>
        <v>98.5</v>
      </c>
      <c r="M1003" s="195" t="str">
        <f>IFERROR(__xludf.DUMMYFUNCTION("""COMPUTED_VALUE"""),"Equity Key Stats")</f>
        <v>Equity Key Stats</v>
      </c>
      <c r="N1003" s="5"/>
      <c r="O1003" s="5"/>
      <c r="P1003" s="142">
        <f>IFERROR(__xludf.DUMMYFUNCTION("""COMPUTED_VALUE"""),-45400.0)</f>
        <v>-45400</v>
      </c>
      <c r="Q1003" s="5"/>
      <c r="R1003" s="71">
        <f>IFERROR(__xludf.DUMMYFUNCTION("""COMPUTED_VALUE"""),98.5)</f>
        <v>98.5</v>
      </c>
      <c r="S1003" s="142">
        <f>IFERROR(__xludf.DUMMYFUNCTION("""COMPUTED_VALUE"""),49250.0)</f>
        <v>49250</v>
      </c>
      <c r="T1003" s="5">
        <f>IFERROR(__xludf.DUMMYFUNCTION("""COMPUTED_VALUE"""),6.0)</f>
        <v>6</v>
      </c>
      <c r="U1003" s="5" t="str">
        <f>IFERROR(__xludf.DUMMYFUNCTION("""COMPUTED_VALUE"""),"")</f>
        <v/>
      </c>
      <c r="V1003" s="22" t="str">
        <f>IFERROR(__xludf.DUMMYFUNCTION("""COMPUTED_VALUE"""),"")</f>
        <v/>
      </c>
      <c r="W1003" s="9" t="str">
        <f>IFERROR(__xludf.DUMMYFUNCTION("""COMPUTED_VALUE"""),"")</f>
        <v/>
      </c>
      <c r="X1003" s="22" t="str">
        <f>IFERROR(__xludf.DUMMYFUNCTION("""COMPUTED_VALUE"""),"")</f>
        <v/>
      </c>
      <c r="Y1003" s="22" t="str">
        <f>IFERROR(__xludf.DUMMYFUNCTION("""COMPUTED_VALUE"""),"")</f>
        <v/>
      </c>
      <c r="Z1003" s="24" t="str">
        <f>IFERROR(__xludf.DUMMYFUNCTION("""COMPUTED_VALUE"""),"")</f>
        <v/>
      </c>
    </row>
    <row r="1004">
      <c r="A1004" s="5" t="str">
        <f>IFERROR(__xludf.DUMMYFUNCTION("""COMPUTED_VALUE"""),"")</f>
        <v/>
      </c>
      <c r="B1004" s="5" t="str">
        <f>IFERROR(__xludf.DUMMYFUNCTION("""COMPUTED_VALUE"""),"82124")</f>
        <v>82124</v>
      </c>
      <c r="C1004" s="9">
        <f>IFERROR(__xludf.DUMMYFUNCTION("""COMPUTED_VALUE"""),4.4642000785E10)</f>
        <v>44642000785</v>
      </c>
      <c r="D1004" s="90" t="str">
        <f>IFERROR(__xludf.DUMMYFUNCTION("""COMPUTED_VALUE"""),"9988.HK")</f>
        <v>9988.HK</v>
      </c>
      <c r="E1004" s="193">
        <f>IFERROR(__xludf.DUMMYFUNCTION("""COMPUTED_VALUE"""),44642.0)</f>
        <v>44642</v>
      </c>
      <c r="F1004" s="5" t="str">
        <f>IFERROR(__xludf.DUMMYFUNCTION("""COMPUTED_VALUE"""),"Stock")</f>
        <v>Stock</v>
      </c>
      <c r="G1004" s="5" t="str">
        <f>IFERROR(__xludf.DUMMYFUNCTION("""COMPUTED_VALUE"""),"HKD")</f>
        <v>HKD</v>
      </c>
      <c r="H1004" s="22">
        <f>IFERROR(__xludf.DUMMYFUNCTION("""COMPUTED_VALUE"""),200.0)</f>
        <v>200</v>
      </c>
      <c r="I1004" s="194">
        <f>IFERROR(__xludf.DUMMYFUNCTION("""COMPUTED_VALUE"""),1.0)</f>
        <v>1</v>
      </c>
      <c r="J1004" s="23">
        <f>IFERROR(__xludf.DUMMYFUNCTION("""COMPUTED_VALUE"""),110.2)</f>
        <v>110.2</v>
      </c>
      <c r="K1004" s="5"/>
      <c r="L1004" s="23">
        <f>IFERROR(__xludf.DUMMYFUNCTION("""COMPUTED_VALUE"""),98.5)</f>
        <v>98.5</v>
      </c>
      <c r="M1004" s="195" t="str">
        <f>IFERROR(__xludf.DUMMYFUNCTION("""COMPUTED_VALUE"""),"Equity Key Stats")</f>
        <v>Equity Key Stats</v>
      </c>
      <c r="N1004" s="5"/>
      <c r="O1004" s="5"/>
      <c r="P1004" s="142">
        <f>IFERROR(__xludf.DUMMYFUNCTION("""COMPUTED_VALUE"""),-22040.0)</f>
        <v>-22040</v>
      </c>
      <c r="Q1004" s="5"/>
      <c r="R1004" s="71">
        <f>IFERROR(__xludf.DUMMYFUNCTION("""COMPUTED_VALUE"""),98.5)</f>
        <v>98.5</v>
      </c>
      <c r="S1004" s="142">
        <f>IFERROR(__xludf.DUMMYFUNCTION("""COMPUTED_VALUE"""),19700.0)</f>
        <v>19700</v>
      </c>
      <c r="T1004" s="5">
        <f>IFERROR(__xludf.DUMMYFUNCTION("""COMPUTED_VALUE"""),6.0)</f>
        <v>6</v>
      </c>
      <c r="U1004" s="5" t="str">
        <f>IFERROR(__xludf.DUMMYFUNCTION("""COMPUTED_VALUE"""),"")</f>
        <v/>
      </c>
      <c r="V1004" s="22" t="str">
        <f>IFERROR(__xludf.DUMMYFUNCTION("""COMPUTED_VALUE"""),"")</f>
        <v/>
      </c>
      <c r="W1004" s="9" t="str">
        <f>IFERROR(__xludf.DUMMYFUNCTION("""COMPUTED_VALUE"""),"")</f>
        <v/>
      </c>
      <c r="X1004" s="22" t="str">
        <f>IFERROR(__xludf.DUMMYFUNCTION("""COMPUTED_VALUE"""),"")</f>
        <v/>
      </c>
      <c r="Y1004" s="22" t="str">
        <f>IFERROR(__xludf.DUMMYFUNCTION("""COMPUTED_VALUE"""),"")</f>
        <v/>
      </c>
      <c r="Z1004" s="24" t="str">
        <f>IFERROR(__xludf.DUMMYFUNCTION("""COMPUTED_VALUE"""),"")</f>
        <v/>
      </c>
    </row>
    <row r="1005">
      <c r="A1005" s="5" t="str">
        <f>IFERROR(__xludf.DUMMYFUNCTION("""COMPUTED_VALUE"""),"")</f>
        <v/>
      </c>
      <c r="B1005" s="5" t="str">
        <f>IFERROR(__xludf.DUMMYFUNCTION("""COMPUTED_VALUE"""),"82124")</f>
        <v>82124</v>
      </c>
      <c r="C1005" s="9">
        <f>IFERROR(__xludf.DUMMYFUNCTION("""COMPUTED_VALUE"""),4.4643000799E10)</f>
        <v>44643000799</v>
      </c>
      <c r="D1005" s="90" t="str">
        <f>IFERROR(__xludf.DUMMYFUNCTION("""COMPUTED_VALUE"""),"2800.HK")</f>
        <v>2800.HK</v>
      </c>
      <c r="E1005" s="193">
        <f>IFERROR(__xludf.DUMMYFUNCTION("""COMPUTED_VALUE"""),44643.0)</f>
        <v>44643</v>
      </c>
      <c r="F1005" s="5" t="str">
        <f>IFERROR(__xludf.DUMMYFUNCTION("""COMPUTED_VALUE"""),"Stock")</f>
        <v>Stock</v>
      </c>
      <c r="G1005" s="5" t="str">
        <f>IFERROR(__xludf.DUMMYFUNCTION("""COMPUTED_VALUE"""),"HKD")</f>
        <v>HKD</v>
      </c>
      <c r="H1005" s="22">
        <f>IFERROR(__xludf.DUMMYFUNCTION("""COMPUTED_VALUE"""),-2000.0)</f>
        <v>-2000</v>
      </c>
      <c r="I1005" s="194">
        <f>IFERROR(__xludf.DUMMYFUNCTION("""COMPUTED_VALUE"""),1.0)</f>
        <v>1</v>
      </c>
      <c r="J1005" s="23">
        <f>IFERROR(__xludf.DUMMYFUNCTION("""COMPUTED_VALUE"""),22.32)</f>
        <v>22.32</v>
      </c>
      <c r="K1005" s="5"/>
      <c r="L1005" s="23">
        <f>IFERROR(__xludf.DUMMYFUNCTION("""COMPUTED_VALUE"""),21.58)</f>
        <v>21.58</v>
      </c>
      <c r="M1005" s="195" t="str">
        <f>IFERROR(__xludf.DUMMYFUNCTION("""COMPUTED_VALUE"""),"Equity Key Stats")</f>
        <v>Equity Key Stats</v>
      </c>
      <c r="N1005" s="5"/>
      <c r="O1005" s="5"/>
      <c r="P1005" s="142">
        <f>IFERROR(__xludf.DUMMYFUNCTION("""COMPUTED_VALUE"""),44640.0)</f>
        <v>44640</v>
      </c>
      <c r="Q1005" s="5"/>
      <c r="R1005" s="71">
        <f>IFERROR(__xludf.DUMMYFUNCTION("""COMPUTED_VALUE"""),21.58)</f>
        <v>21.58</v>
      </c>
      <c r="S1005" s="142">
        <f>IFERROR(__xludf.DUMMYFUNCTION("""COMPUTED_VALUE"""),-43160.0)</f>
        <v>-43160</v>
      </c>
      <c r="T1005" s="5">
        <f>IFERROR(__xludf.DUMMYFUNCTION("""COMPUTED_VALUE"""),5.0)</f>
        <v>5</v>
      </c>
      <c r="U1005" s="5" t="str">
        <f>IFERROR(__xludf.DUMMYFUNCTION("""COMPUTED_VALUE"""),"")</f>
        <v/>
      </c>
      <c r="V1005" s="22" t="str">
        <f>IFERROR(__xludf.DUMMYFUNCTION("""COMPUTED_VALUE"""),"")</f>
        <v/>
      </c>
      <c r="W1005" s="9" t="str">
        <f>IFERROR(__xludf.DUMMYFUNCTION("""COMPUTED_VALUE"""),"")</f>
        <v/>
      </c>
      <c r="X1005" s="22" t="str">
        <f>IFERROR(__xludf.DUMMYFUNCTION("""COMPUTED_VALUE"""),"")</f>
        <v/>
      </c>
      <c r="Y1005" s="22" t="str">
        <f>IFERROR(__xludf.DUMMYFUNCTION("""COMPUTED_VALUE"""),"")</f>
        <v/>
      </c>
      <c r="Z1005" s="24" t="str">
        <f>IFERROR(__xludf.DUMMYFUNCTION("""COMPUTED_VALUE"""),"")</f>
        <v/>
      </c>
    </row>
    <row r="1006">
      <c r="A1006" s="5" t="str">
        <f>IFERROR(__xludf.DUMMYFUNCTION("""COMPUTED_VALUE"""),"")</f>
        <v/>
      </c>
      <c r="B1006" s="5" t="str">
        <f>IFERROR(__xludf.DUMMYFUNCTION("""COMPUTED_VALUE"""),"82124")</f>
        <v>82124</v>
      </c>
      <c r="C1006" s="9">
        <f>IFERROR(__xludf.DUMMYFUNCTION("""COMPUTED_VALUE"""),4.46430008E10)</f>
        <v>44643000800</v>
      </c>
      <c r="D1006" s="90" t="str">
        <f>IFERROR(__xludf.DUMMYFUNCTION("""COMPUTED_VALUE"""),"9988.HK")</f>
        <v>9988.HK</v>
      </c>
      <c r="E1006" s="193">
        <f>IFERROR(__xludf.DUMMYFUNCTION("""COMPUTED_VALUE"""),44643.0)</f>
        <v>44643</v>
      </c>
      <c r="F1006" s="5" t="str">
        <f>IFERROR(__xludf.DUMMYFUNCTION("""COMPUTED_VALUE"""),"Stock")</f>
        <v>Stock</v>
      </c>
      <c r="G1006" s="5" t="str">
        <f>IFERROR(__xludf.DUMMYFUNCTION("""COMPUTED_VALUE"""),"HKD")</f>
        <v>HKD</v>
      </c>
      <c r="H1006" s="22">
        <f>IFERROR(__xludf.DUMMYFUNCTION("""COMPUTED_VALUE"""),-400.0)</f>
        <v>-400</v>
      </c>
      <c r="I1006" s="194">
        <f>IFERROR(__xludf.DUMMYFUNCTION("""COMPUTED_VALUE"""),1.0)</f>
        <v>1</v>
      </c>
      <c r="J1006" s="23">
        <f>IFERROR(__xludf.DUMMYFUNCTION("""COMPUTED_VALUE"""),117.6)</f>
        <v>117.6</v>
      </c>
      <c r="K1006" s="5"/>
      <c r="L1006" s="23">
        <f>IFERROR(__xludf.DUMMYFUNCTION("""COMPUTED_VALUE"""),98.5)</f>
        <v>98.5</v>
      </c>
      <c r="M1006" s="195" t="str">
        <f>IFERROR(__xludf.DUMMYFUNCTION("""COMPUTED_VALUE"""),"Equity Key Stats")</f>
        <v>Equity Key Stats</v>
      </c>
      <c r="N1006" s="5"/>
      <c r="O1006" s="5"/>
      <c r="P1006" s="142">
        <f>IFERROR(__xludf.DUMMYFUNCTION("""COMPUTED_VALUE"""),47040.0)</f>
        <v>47040</v>
      </c>
      <c r="Q1006" s="5"/>
      <c r="R1006" s="71">
        <f>IFERROR(__xludf.DUMMYFUNCTION("""COMPUTED_VALUE"""),98.5)</f>
        <v>98.5</v>
      </c>
      <c r="S1006" s="142">
        <f>IFERROR(__xludf.DUMMYFUNCTION("""COMPUTED_VALUE"""),-39400.0)</f>
        <v>-39400</v>
      </c>
      <c r="T1006" s="5">
        <f>IFERROR(__xludf.DUMMYFUNCTION("""COMPUTED_VALUE"""),6.0)</f>
        <v>6</v>
      </c>
      <c r="U1006" s="5">
        <f>IFERROR(__xludf.DUMMYFUNCTION("""COMPUTED_VALUE"""),1.0)</f>
        <v>1</v>
      </c>
      <c r="V1006" s="22">
        <f>IFERROR(__xludf.DUMMYFUNCTION("""COMPUTED_VALUE"""),2580.0)</f>
        <v>2580</v>
      </c>
      <c r="W1006" s="9" t="str">
        <f>IFERROR(__xludf.DUMMYFUNCTION("""COMPUTED_VALUE"""),"")</f>
        <v/>
      </c>
      <c r="X1006" s="22" t="str">
        <f>IFERROR(__xludf.DUMMYFUNCTION("""COMPUTED_VALUE"""),"")</f>
        <v/>
      </c>
      <c r="Y1006" s="22" t="str">
        <f>IFERROR(__xludf.DUMMYFUNCTION("""COMPUTED_VALUE"""),"")</f>
        <v/>
      </c>
      <c r="Z1006" s="24" t="str">
        <f>IFERROR(__xludf.DUMMYFUNCTION("""COMPUTED_VALUE"""),"")</f>
        <v/>
      </c>
    </row>
    <row r="1007">
      <c r="A1007" s="5" t="str">
        <f>IFERROR(__xludf.DUMMYFUNCTION("""COMPUTED_VALUE"""),"")</f>
        <v/>
      </c>
      <c r="B1007" s="5" t="str">
        <f>IFERROR(__xludf.DUMMYFUNCTION("""COMPUTED_VALUE"""),"82124")</f>
        <v>82124</v>
      </c>
      <c r="C1007" s="9">
        <f>IFERROR(__xludf.DUMMYFUNCTION("""COMPUTED_VALUE"""),4.4644000871E10)</f>
        <v>44644000871</v>
      </c>
      <c r="D1007" s="90" t="str">
        <f>IFERROR(__xludf.DUMMYFUNCTION("""COMPUTED_VALUE"""),"0941.HK")</f>
        <v>0941.HK</v>
      </c>
      <c r="E1007" s="193">
        <f>IFERROR(__xludf.DUMMYFUNCTION("""COMPUTED_VALUE"""),44644.0)</f>
        <v>44644</v>
      </c>
      <c r="F1007" s="5" t="str">
        <f>IFERROR(__xludf.DUMMYFUNCTION("""COMPUTED_VALUE"""),"Stock")</f>
        <v>Stock</v>
      </c>
      <c r="G1007" s="5" t="str">
        <f>IFERROR(__xludf.DUMMYFUNCTION("""COMPUTED_VALUE"""),"HKD")</f>
        <v>HKD</v>
      </c>
      <c r="H1007" s="22">
        <f>IFERROR(__xludf.DUMMYFUNCTION("""COMPUTED_VALUE"""),-1000.0)</f>
        <v>-1000</v>
      </c>
      <c r="I1007" s="194">
        <f>IFERROR(__xludf.DUMMYFUNCTION("""COMPUTED_VALUE"""),1.0)</f>
        <v>1</v>
      </c>
      <c r="J1007" s="23">
        <f>IFERROR(__xludf.DUMMYFUNCTION("""COMPUTED_VALUE"""),56.0)</f>
        <v>56</v>
      </c>
      <c r="K1007" s="5"/>
      <c r="L1007" s="23">
        <f>IFERROR(__xludf.DUMMYFUNCTION("""COMPUTED_VALUE"""),55.5)</f>
        <v>55.5</v>
      </c>
      <c r="M1007" s="195" t="str">
        <f>IFERROR(__xludf.DUMMYFUNCTION("""COMPUTED_VALUE"""),"Equity Key Stats")</f>
        <v>Equity Key Stats</v>
      </c>
      <c r="N1007" s="5"/>
      <c r="O1007" s="5"/>
      <c r="P1007" s="142">
        <f>IFERROR(__xludf.DUMMYFUNCTION("""COMPUTED_VALUE"""),56000.0)</f>
        <v>56000</v>
      </c>
      <c r="Q1007" s="5"/>
      <c r="R1007" s="71">
        <f>IFERROR(__xludf.DUMMYFUNCTION("""COMPUTED_VALUE"""),55.5)</f>
        <v>55.5</v>
      </c>
      <c r="S1007" s="142">
        <f>IFERROR(__xludf.DUMMYFUNCTION("""COMPUTED_VALUE"""),-55500.0)</f>
        <v>-55500</v>
      </c>
      <c r="T1007" s="5">
        <f>IFERROR(__xludf.DUMMYFUNCTION("""COMPUTED_VALUE"""),2.0)</f>
        <v>2</v>
      </c>
      <c r="U1007" s="5">
        <f>IFERROR(__xludf.DUMMYFUNCTION("""COMPUTED_VALUE"""),1.0)</f>
        <v>1</v>
      </c>
      <c r="V1007" s="22">
        <f>IFERROR(__xludf.DUMMYFUNCTION("""COMPUTED_VALUE"""),100.0)</f>
        <v>100</v>
      </c>
      <c r="W1007" s="9" t="str">
        <f>IFERROR(__xludf.DUMMYFUNCTION("""COMPUTED_VALUE"""),"")</f>
        <v/>
      </c>
      <c r="X1007" s="22" t="str">
        <f>IFERROR(__xludf.DUMMYFUNCTION("""COMPUTED_VALUE"""),"")</f>
        <v/>
      </c>
      <c r="Y1007" s="22" t="str">
        <f>IFERROR(__xludf.DUMMYFUNCTION("""COMPUTED_VALUE"""),"")</f>
        <v/>
      </c>
      <c r="Z1007" s="24" t="str">
        <f>IFERROR(__xludf.DUMMYFUNCTION("""COMPUTED_VALUE"""),"")</f>
        <v/>
      </c>
    </row>
    <row r="1008">
      <c r="A1008" s="5" t="str">
        <f>IFERROR(__xludf.DUMMYFUNCTION("""COMPUTED_VALUE"""),"82124")</f>
        <v>82124</v>
      </c>
      <c r="B1008" s="5" t="str">
        <f>IFERROR(__xludf.DUMMYFUNCTION("""COMPUTED_VALUE"""),"82124")</f>
        <v>82124</v>
      </c>
      <c r="C1008" s="9">
        <f>IFERROR(__xludf.DUMMYFUNCTION("""COMPUTED_VALUE"""),4.4650001021E10)</f>
        <v>44650001021</v>
      </c>
      <c r="D1008" s="90" t="str">
        <f>IFERROR(__xludf.DUMMYFUNCTION("""COMPUTED_VALUE"""),"2800.HK")</f>
        <v>2800.HK</v>
      </c>
      <c r="E1008" s="193">
        <f>IFERROR(__xludf.DUMMYFUNCTION("""COMPUTED_VALUE"""),44650.0)</f>
        <v>44650</v>
      </c>
      <c r="F1008" s="5" t="str">
        <f>IFERROR(__xludf.DUMMYFUNCTION("""COMPUTED_VALUE"""),"Stock")</f>
        <v>Stock</v>
      </c>
      <c r="G1008" s="5" t="str">
        <f>IFERROR(__xludf.DUMMYFUNCTION("""COMPUTED_VALUE"""),"HKD")</f>
        <v>HKD</v>
      </c>
      <c r="H1008" s="22">
        <f>IFERROR(__xludf.DUMMYFUNCTION("""COMPUTED_VALUE"""),-2000.0)</f>
        <v>-2000</v>
      </c>
      <c r="I1008" s="194">
        <f>IFERROR(__xludf.DUMMYFUNCTION("""COMPUTED_VALUE"""),1.0)</f>
        <v>1</v>
      </c>
      <c r="J1008" s="23">
        <f>IFERROR(__xludf.DUMMYFUNCTION("""COMPUTED_VALUE"""),22.4)</f>
        <v>22.4</v>
      </c>
      <c r="K1008" s="5"/>
      <c r="L1008" s="23">
        <f>IFERROR(__xludf.DUMMYFUNCTION("""COMPUTED_VALUE"""),21.58)</f>
        <v>21.58</v>
      </c>
      <c r="M1008" s="195" t="str">
        <f>IFERROR(__xludf.DUMMYFUNCTION("""COMPUTED_VALUE"""),"Equity Key Stats")</f>
        <v>Equity Key Stats</v>
      </c>
      <c r="N1008" s="5"/>
      <c r="O1008" s="5"/>
      <c r="P1008" s="142">
        <f>IFERROR(__xludf.DUMMYFUNCTION("""COMPUTED_VALUE"""),44800.0)</f>
        <v>44800</v>
      </c>
      <c r="Q1008" s="5"/>
      <c r="R1008" s="71">
        <f>IFERROR(__xludf.DUMMYFUNCTION("""COMPUTED_VALUE"""),21.58)</f>
        <v>21.58</v>
      </c>
      <c r="S1008" s="142">
        <f>IFERROR(__xludf.DUMMYFUNCTION("""COMPUTED_VALUE"""),-43160.0)</f>
        <v>-43160</v>
      </c>
      <c r="T1008" s="5">
        <f>IFERROR(__xludf.DUMMYFUNCTION("""COMPUTED_VALUE"""),5.0)</f>
        <v>5</v>
      </c>
      <c r="U1008" s="5">
        <f>IFERROR(__xludf.DUMMYFUNCTION("""COMPUTED_VALUE"""),1.0)</f>
        <v>1</v>
      </c>
      <c r="V1008" s="22">
        <f>IFERROR(__xludf.DUMMYFUNCTION("""COMPUTED_VALUE"""),1720.0)</f>
        <v>1720</v>
      </c>
      <c r="W1008" s="9">
        <f>IFERROR(__xludf.DUMMYFUNCTION("""COMPUTED_VALUE"""),503800.0)</f>
        <v>503800</v>
      </c>
      <c r="X1008" s="22">
        <f>IFERROR(__xludf.DUMMYFUNCTION("""COMPUTED_VALUE"""),319480.0)</f>
        <v>319480</v>
      </c>
      <c r="Y1008" s="22">
        <f>IFERROR(__xludf.DUMMYFUNCTION("""COMPUTED_VALUE"""),0.0)</f>
        <v>0</v>
      </c>
      <c r="Z1008" s="24">
        <f>IFERROR(__xludf.DUMMYFUNCTION("""COMPUTED_VALUE"""),0.007600000000000051)</f>
        <v>0.0076</v>
      </c>
    </row>
    <row r="1009">
      <c r="A1009" s="5" t="str">
        <f>IFERROR(__xludf.DUMMYFUNCTION("""COMPUTED_VALUE"""),"82458")</f>
        <v>82458</v>
      </c>
      <c r="B1009" s="5" t="str">
        <f>IFERROR(__xludf.DUMMYFUNCTION("""COMPUTED_VALUE"""),"82458")</f>
        <v>82458</v>
      </c>
      <c r="C1009" s="9">
        <f>IFERROR(__xludf.DUMMYFUNCTION("""COMPUTED_VALUE"""),4.4597000056E10)</f>
        <v>44597000056</v>
      </c>
      <c r="D1009" s="85" t="str">
        <f>IFERROR(__xludf.DUMMYFUNCTION("""COMPUTED_VALUE"""),"Cash")</f>
        <v>Cash</v>
      </c>
      <c r="E1009" s="193">
        <f>IFERROR(__xludf.DUMMYFUNCTION("""COMPUTED_VALUE"""),44597.0)</f>
        <v>44597</v>
      </c>
      <c r="F1009" s="5" t="str">
        <f>IFERROR(__xludf.DUMMYFUNCTION("""COMPUTED_VALUE"""),"Cash")</f>
        <v>Cash</v>
      </c>
      <c r="G1009" s="5" t="str">
        <f>IFERROR(__xludf.DUMMYFUNCTION("""COMPUTED_VALUE"""),"HKD")</f>
        <v>HKD</v>
      </c>
      <c r="H1009" s="22" t="str">
        <f>IFERROR(__xludf.DUMMYFUNCTION("""COMPUTED_VALUE"""),"")</f>
        <v/>
      </c>
      <c r="I1009" s="194">
        <f>IFERROR(__xludf.DUMMYFUNCTION("""COMPUTED_VALUE"""),1.0)</f>
        <v>1</v>
      </c>
      <c r="J1009" s="5">
        <f>IFERROR(__xludf.DUMMYFUNCTION("""COMPUTED_VALUE"""),1.0)</f>
        <v>1</v>
      </c>
      <c r="K1009" s="5"/>
      <c r="L1009" s="23">
        <f>IFERROR(__xludf.DUMMYFUNCTION("""COMPUTED_VALUE"""),1.0)</f>
        <v>1</v>
      </c>
      <c r="M1009" s="25" t="str">
        <f>IFERROR(__xludf.DUMMYFUNCTION("""COMPUTED_VALUE"""),"")</f>
        <v/>
      </c>
      <c r="N1009" s="5"/>
      <c r="O1009" s="5"/>
      <c r="P1009" s="142">
        <f>IFERROR(__xludf.DUMMYFUNCTION("""COMPUTED_VALUE"""),500000.0)</f>
        <v>500000</v>
      </c>
      <c r="Q1009" s="5"/>
      <c r="R1009" s="71">
        <f>IFERROR(__xludf.DUMMYFUNCTION("""COMPUTED_VALUE"""),1.0)</f>
        <v>1</v>
      </c>
      <c r="S1009" s="142" t="str">
        <f>IFERROR(__xludf.DUMMYFUNCTION("""COMPUTED_VALUE"""),"")</f>
        <v/>
      </c>
      <c r="T1009" s="5">
        <f>IFERROR(__xludf.DUMMYFUNCTION("""COMPUTED_VALUE"""),1.0)</f>
        <v>1</v>
      </c>
      <c r="U1009" s="5">
        <f>IFERROR(__xludf.DUMMYFUNCTION("""COMPUTED_VALUE"""),1.0)</f>
        <v>1</v>
      </c>
      <c r="V1009" s="22">
        <f>IFERROR(__xludf.DUMMYFUNCTION("""COMPUTED_VALUE"""),500000.0)</f>
        <v>500000</v>
      </c>
      <c r="W1009" s="9">
        <f>IFERROR(__xludf.DUMMYFUNCTION("""COMPUTED_VALUE"""),500000.0)</f>
        <v>500000</v>
      </c>
      <c r="X1009" s="22">
        <f>IFERROR(__xludf.DUMMYFUNCTION("""COMPUTED_VALUE"""),500000.0)</f>
        <v>500000</v>
      </c>
      <c r="Y1009" s="22">
        <f>IFERROR(__xludf.DUMMYFUNCTION("""COMPUTED_VALUE"""),0.0)</f>
        <v>0</v>
      </c>
      <c r="Z1009" s="24">
        <f>IFERROR(__xludf.DUMMYFUNCTION("""COMPUTED_VALUE"""),0.0)</f>
        <v>0</v>
      </c>
    </row>
    <row r="1010">
      <c r="A1010" s="5" t="str">
        <f>IFERROR(__xludf.DUMMYFUNCTION("""COMPUTED_VALUE"""),"")</f>
        <v/>
      </c>
      <c r="B1010" s="5" t="str">
        <f>IFERROR(__xludf.DUMMYFUNCTION("""COMPUTED_VALUE"""),"82533")</f>
        <v>82533</v>
      </c>
      <c r="C1010" s="9">
        <f>IFERROR(__xludf.DUMMYFUNCTION("""COMPUTED_VALUE"""),4.4597000025E10)</f>
        <v>44597000025</v>
      </c>
      <c r="D1010" s="85" t="str">
        <f>IFERROR(__xludf.DUMMYFUNCTION("""COMPUTED_VALUE"""),"Cash")</f>
        <v>Cash</v>
      </c>
      <c r="E1010" s="193">
        <f>IFERROR(__xludf.DUMMYFUNCTION("""COMPUTED_VALUE"""),44597.0)</f>
        <v>44597</v>
      </c>
      <c r="F1010" s="5" t="str">
        <f>IFERROR(__xludf.DUMMYFUNCTION("""COMPUTED_VALUE"""),"Cash")</f>
        <v>Cash</v>
      </c>
      <c r="G1010" s="5" t="str">
        <f>IFERROR(__xludf.DUMMYFUNCTION("""COMPUTED_VALUE"""),"HKD")</f>
        <v>HKD</v>
      </c>
      <c r="H1010" s="22" t="str">
        <f>IFERROR(__xludf.DUMMYFUNCTION("""COMPUTED_VALUE"""),"")</f>
        <v/>
      </c>
      <c r="I1010" s="194">
        <f>IFERROR(__xludf.DUMMYFUNCTION("""COMPUTED_VALUE"""),1.0)</f>
        <v>1</v>
      </c>
      <c r="J1010" s="5">
        <f>IFERROR(__xludf.DUMMYFUNCTION("""COMPUTED_VALUE"""),1.0)</f>
        <v>1</v>
      </c>
      <c r="K1010" s="5"/>
      <c r="L1010" s="23">
        <f>IFERROR(__xludf.DUMMYFUNCTION("""COMPUTED_VALUE"""),1.0)</f>
        <v>1</v>
      </c>
      <c r="M1010" s="25" t="str">
        <f>IFERROR(__xludf.DUMMYFUNCTION("""COMPUTED_VALUE"""),"")</f>
        <v/>
      </c>
      <c r="N1010" s="5"/>
      <c r="O1010" s="5"/>
      <c r="P1010" s="142">
        <f>IFERROR(__xludf.DUMMYFUNCTION("""COMPUTED_VALUE"""),500000.0)</f>
        <v>500000</v>
      </c>
      <c r="Q1010" s="5"/>
      <c r="R1010" s="71">
        <f>IFERROR(__xludf.DUMMYFUNCTION("""COMPUTED_VALUE"""),1.0)</f>
        <v>1</v>
      </c>
      <c r="S1010" s="142" t="str">
        <f>IFERROR(__xludf.DUMMYFUNCTION("""COMPUTED_VALUE"""),"")</f>
        <v/>
      </c>
      <c r="T1010" s="5">
        <f>IFERROR(__xludf.DUMMYFUNCTION("""COMPUTED_VALUE"""),1.0)</f>
        <v>1</v>
      </c>
      <c r="U1010" s="5">
        <f>IFERROR(__xludf.DUMMYFUNCTION("""COMPUTED_VALUE"""),1.0)</f>
        <v>1</v>
      </c>
      <c r="V1010" s="22">
        <f>IFERROR(__xludf.DUMMYFUNCTION("""COMPUTED_VALUE"""),500000.0)</f>
        <v>500000</v>
      </c>
      <c r="W1010" s="9" t="str">
        <f>IFERROR(__xludf.DUMMYFUNCTION("""COMPUTED_VALUE"""),"")</f>
        <v/>
      </c>
      <c r="X1010" s="22" t="str">
        <f>IFERROR(__xludf.DUMMYFUNCTION("""COMPUTED_VALUE"""),"")</f>
        <v/>
      </c>
      <c r="Y1010" s="22" t="str">
        <f>IFERROR(__xludf.DUMMYFUNCTION("""COMPUTED_VALUE"""),"")</f>
        <v/>
      </c>
      <c r="Z1010" s="24" t="str">
        <f>IFERROR(__xludf.DUMMYFUNCTION("""COMPUTED_VALUE"""),"")</f>
        <v/>
      </c>
    </row>
    <row r="1011">
      <c r="A1011" s="5" t="str">
        <f>IFERROR(__xludf.DUMMYFUNCTION("""COMPUTED_VALUE"""),"")</f>
        <v/>
      </c>
      <c r="B1011" s="5" t="str">
        <f>IFERROR(__xludf.DUMMYFUNCTION("""COMPUTED_VALUE"""),"82533")</f>
        <v>82533</v>
      </c>
      <c r="C1011" s="9">
        <f>IFERROR(__xludf.DUMMYFUNCTION("""COMPUTED_VALUE"""),4.4634000573E10)</f>
        <v>44634000573</v>
      </c>
      <c r="D1011" s="87" t="str">
        <f>IFERROR(__xludf.DUMMYFUNCTION("""COMPUTED_VALUE"""),"BITO")</f>
        <v>BITO</v>
      </c>
      <c r="E1011" s="193">
        <f>IFERROR(__xludf.DUMMYFUNCTION("""COMPUTED_VALUE"""),44634.0)</f>
        <v>44634</v>
      </c>
      <c r="F1011" s="5" t="str">
        <f>IFERROR(__xludf.DUMMYFUNCTION("""COMPUTED_VALUE"""),"Stock")</f>
        <v>Stock</v>
      </c>
      <c r="G1011" s="5" t="str">
        <f>IFERROR(__xludf.DUMMYFUNCTION("""COMPUTED_VALUE"""),"USD")</f>
        <v>USD</v>
      </c>
      <c r="H1011" s="22">
        <f>IFERROR(__xludf.DUMMYFUNCTION("""COMPUTED_VALUE"""),1000.0)</f>
        <v>1000</v>
      </c>
      <c r="I1011" s="194">
        <f>IFERROR(__xludf.DUMMYFUNCTION("""COMPUTED_VALUE"""),7.82925)</f>
        <v>7.82925</v>
      </c>
      <c r="J1011" s="23">
        <f>IFERROR(__xludf.DUMMYFUNCTION("""COMPUTED_VALUE"""),24.32)</f>
        <v>24.32</v>
      </c>
      <c r="K1011" s="5"/>
      <c r="L1011" s="23">
        <f>IFERROR(__xludf.DUMMYFUNCTION("""COMPUTED_VALUE"""),25.68)</f>
        <v>25.68</v>
      </c>
      <c r="M1011" s="195" t="str">
        <f>IFERROR(__xludf.DUMMYFUNCTION("""COMPUTED_VALUE"""),"Equity Key Stats")</f>
        <v>Equity Key Stats</v>
      </c>
      <c r="N1011" s="5"/>
      <c r="O1011" s="5"/>
      <c r="P1011" s="142">
        <f>IFERROR(__xludf.DUMMYFUNCTION("""COMPUTED_VALUE"""),-190407.36000000002)</f>
        <v>-190407.36</v>
      </c>
      <c r="Q1011" s="5"/>
      <c r="R1011" s="71">
        <f>IFERROR(__xludf.DUMMYFUNCTION("""COMPUTED_VALUE"""),25.68)</f>
        <v>25.68</v>
      </c>
      <c r="S1011" s="142">
        <f>IFERROR(__xludf.DUMMYFUNCTION("""COMPUTED_VALUE"""),201055.13999999998)</f>
        <v>201055.14</v>
      </c>
      <c r="T1011" s="5">
        <f>IFERROR(__xludf.DUMMYFUNCTION("""COMPUTED_VALUE"""),1.0)</f>
        <v>1</v>
      </c>
      <c r="U1011" s="5">
        <f>IFERROR(__xludf.DUMMYFUNCTION("""COMPUTED_VALUE"""),1.0)</f>
        <v>1</v>
      </c>
      <c r="V1011" s="22">
        <f>IFERROR(__xludf.DUMMYFUNCTION("""COMPUTED_VALUE"""),10647.77999999997)</f>
        <v>10647.78</v>
      </c>
      <c r="W1011" s="9" t="str">
        <f>IFERROR(__xludf.DUMMYFUNCTION("""COMPUTED_VALUE"""),"")</f>
        <v/>
      </c>
      <c r="X1011" s="22" t="str">
        <f>IFERROR(__xludf.DUMMYFUNCTION("""COMPUTED_VALUE"""),"")</f>
        <v/>
      </c>
      <c r="Y1011" s="22" t="str">
        <f>IFERROR(__xludf.DUMMYFUNCTION("""COMPUTED_VALUE"""),"")</f>
        <v/>
      </c>
      <c r="Z1011" s="24" t="str">
        <f>IFERROR(__xludf.DUMMYFUNCTION("""COMPUTED_VALUE"""),"")</f>
        <v/>
      </c>
    </row>
    <row r="1012">
      <c r="A1012" s="5" t="str">
        <f>IFERROR(__xludf.DUMMYFUNCTION("""COMPUTED_VALUE"""),"")</f>
        <v/>
      </c>
      <c r="B1012" s="5" t="str">
        <f>IFERROR(__xludf.DUMMYFUNCTION("""COMPUTED_VALUE"""),"82533")</f>
        <v>82533</v>
      </c>
      <c r="C1012" s="9">
        <f>IFERROR(__xludf.DUMMYFUNCTION("""COMPUTED_VALUE"""),4.4634000575E10)</f>
        <v>44634000575</v>
      </c>
      <c r="D1012" s="87" t="str">
        <f>IFERROR(__xludf.DUMMYFUNCTION("""COMPUTED_VALUE"""),"TSLA220318C00005000")</f>
        <v>TSLA220318C00005000</v>
      </c>
      <c r="E1012" s="193">
        <f>IFERROR(__xludf.DUMMYFUNCTION("""COMPUTED_VALUE"""),44634.0)</f>
        <v>44634</v>
      </c>
      <c r="F1012" s="5" t="str">
        <f>IFERROR(__xludf.DUMMYFUNCTION("""COMPUTED_VALUE"""),"Option")</f>
        <v>Option</v>
      </c>
      <c r="G1012" s="5" t="str">
        <f>IFERROR(__xludf.DUMMYFUNCTION("""COMPUTED_VALUE"""),"USD")</f>
        <v>USD</v>
      </c>
      <c r="H1012" s="22" t="str">
        <f>IFERROR(__xludf.DUMMYFUNCTION("""COMPUTED_VALUE"""),"")</f>
        <v/>
      </c>
      <c r="I1012" s="194">
        <f>IFERROR(__xludf.DUMMYFUNCTION("""COMPUTED_VALUE"""),7.82925)</f>
        <v>7.82925</v>
      </c>
      <c r="J1012" s="23">
        <f>IFERROR(__xludf.DUMMYFUNCTION("""COMPUTED_VALUE"""),753.41)</f>
        <v>753.41</v>
      </c>
      <c r="K1012" s="5"/>
      <c r="L1012" s="23">
        <f>IFERROR(__xludf.DUMMYFUNCTION("""COMPUTED_VALUE"""),0.0)</f>
        <v>0</v>
      </c>
      <c r="M1012" s="25" t="str">
        <f>IFERROR(__xludf.DUMMYFUNCTION("""COMPUTED_VALUE"""),"")</f>
        <v/>
      </c>
      <c r="N1012" s="5"/>
      <c r="O1012" s="5"/>
      <c r="P1012" s="142">
        <f>IFERROR(__xludf.DUMMYFUNCTION("""COMPUTED_VALUE"""),0.0)</f>
        <v>0</v>
      </c>
      <c r="Q1012" s="5"/>
      <c r="R1012" s="71">
        <f>IFERROR(__xludf.DUMMYFUNCTION("""COMPUTED_VALUE"""),0.0)</f>
        <v>0</v>
      </c>
      <c r="S1012" s="142">
        <f>IFERROR(__xludf.DUMMYFUNCTION("""COMPUTED_VALUE"""),0.0)</f>
        <v>0</v>
      </c>
      <c r="T1012" s="5">
        <f>IFERROR(__xludf.DUMMYFUNCTION("""COMPUTED_VALUE"""),1.0)</f>
        <v>1</v>
      </c>
      <c r="U1012" s="5">
        <f>IFERROR(__xludf.DUMMYFUNCTION("""COMPUTED_VALUE"""),1.0)</f>
        <v>1</v>
      </c>
      <c r="V1012" s="22">
        <f>IFERROR(__xludf.DUMMYFUNCTION("""COMPUTED_VALUE"""),0.0)</f>
        <v>0</v>
      </c>
      <c r="W1012" s="9" t="str">
        <f>IFERROR(__xludf.DUMMYFUNCTION("""COMPUTED_VALUE"""),"")</f>
        <v/>
      </c>
      <c r="X1012" s="22" t="str">
        <f>IFERROR(__xludf.DUMMYFUNCTION("""COMPUTED_VALUE"""),"")</f>
        <v/>
      </c>
      <c r="Y1012" s="22" t="str">
        <f>IFERROR(__xludf.DUMMYFUNCTION("""COMPUTED_VALUE"""),"")</f>
        <v/>
      </c>
      <c r="Z1012" s="24" t="str">
        <f>IFERROR(__xludf.DUMMYFUNCTION("""COMPUTED_VALUE"""),"")</f>
        <v/>
      </c>
    </row>
    <row r="1013">
      <c r="A1013" s="5" t="str">
        <f>IFERROR(__xludf.DUMMYFUNCTION("""COMPUTED_VALUE"""),"")</f>
        <v/>
      </c>
      <c r="B1013" s="5" t="str">
        <f>IFERROR(__xludf.DUMMYFUNCTION("""COMPUTED_VALUE"""),"82533")</f>
        <v>82533</v>
      </c>
      <c r="C1013" s="9">
        <f>IFERROR(__xludf.DUMMYFUNCTION("""COMPUTED_VALUE"""),4.4645000918E10)</f>
        <v>44645000918</v>
      </c>
      <c r="D1013" s="87" t="str">
        <f>IFERROR(__xludf.DUMMYFUNCTION("""COMPUTED_VALUE"""),"COIN")</f>
        <v>COIN</v>
      </c>
      <c r="E1013" s="193">
        <f>IFERROR(__xludf.DUMMYFUNCTION("""COMPUTED_VALUE"""),44645.0)</f>
        <v>44645</v>
      </c>
      <c r="F1013" s="5" t="str">
        <f>IFERROR(__xludf.DUMMYFUNCTION("""COMPUTED_VALUE"""),"Stock")</f>
        <v>Stock</v>
      </c>
      <c r="G1013" s="5" t="str">
        <f>IFERROR(__xludf.DUMMYFUNCTION("""COMPUTED_VALUE"""),"USD")</f>
        <v>USD</v>
      </c>
      <c r="H1013" s="22">
        <f>IFERROR(__xludf.DUMMYFUNCTION("""COMPUTED_VALUE"""),50.0)</f>
        <v>50</v>
      </c>
      <c r="I1013" s="194">
        <f>IFERROR(__xludf.DUMMYFUNCTION("""COMPUTED_VALUE"""),7.82975)</f>
        <v>7.82975</v>
      </c>
      <c r="J1013" s="23">
        <f>IFERROR(__xludf.DUMMYFUNCTION("""COMPUTED_VALUE"""),186.71)</f>
        <v>186.71</v>
      </c>
      <c r="K1013" s="5"/>
      <c r="L1013" s="23">
        <f>IFERROR(__xludf.DUMMYFUNCTION("""COMPUTED_VALUE"""),154.79)</f>
        <v>154.79</v>
      </c>
      <c r="M1013" s="195" t="str">
        <f>IFERROR(__xludf.DUMMYFUNCTION("""COMPUTED_VALUE"""),"Equity Key Stats")</f>
        <v>Equity Key Stats</v>
      </c>
      <c r="N1013" s="5"/>
      <c r="O1013" s="5"/>
      <c r="P1013" s="142">
        <f>IFERROR(__xludf.DUMMYFUNCTION("""COMPUTED_VALUE"""),-73094.631125)</f>
        <v>-73094.63113</v>
      </c>
      <c r="Q1013" s="5"/>
      <c r="R1013" s="71">
        <f>IFERROR(__xludf.DUMMYFUNCTION("""COMPUTED_VALUE"""),154.79)</f>
        <v>154.79</v>
      </c>
      <c r="S1013" s="142">
        <f>IFERROR(__xludf.DUMMYFUNCTION("""COMPUTED_VALUE"""),60598.350125)</f>
        <v>60598.35013</v>
      </c>
      <c r="T1013" s="5">
        <f>IFERROR(__xludf.DUMMYFUNCTION("""COMPUTED_VALUE"""),1.0)</f>
        <v>1</v>
      </c>
      <c r="U1013" s="5">
        <f>IFERROR(__xludf.DUMMYFUNCTION("""COMPUTED_VALUE"""),1.0)</f>
        <v>1</v>
      </c>
      <c r="V1013" s="22">
        <f>IFERROR(__xludf.DUMMYFUNCTION("""COMPUTED_VALUE"""),-12496.281000000003)</f>
        <v>-12496.281</v>
      </c>
      <c r="W1013" s="9" t="str">
        <f>IFERROR(__xludf.DUMMYFUNCTION("""COMPUTED_VALUE"""),"")</f>
        <v/>
      </c>
      <c r="X1013" s="22" t="str">
        <f>IFERROR(__xludf.DUMMYFUNCTION("""COMPUTED_VALUE"""),"")</f>
        <v/>
      </c>
      <c r="Y1013" s="22" t="str">
        <f>IFERROR(__xludf.DUMMYFUNCTION("""COMPUTED_VALUE"""),"")</f>
        <v/>
      </c>
      <c r="Z1013" s="24" t="str">
        <f>IFERROR(__xludf.DUMMYFUNCTION("""COMPUTED_VALUE"""),"")</f>
        <v/>
      </c>
    </row>
    <row r="1014">
      <c r="A1014" s="5" t="str">
        <f>IFERROR(__xludf.DUMMYFUNCTION("""COMPUTED_VALUE"""),"")</f>
        <v/>
      </c>
      <c r="B1014" s="5" t="str">
        <f>IFERROR(__xludf.DUMMYFUNCTION("""COMPUTED_VALUE"""),"82533")</f>
        <v>82533</v>
      </c>
      <c r="C1014" s="9">
        <f>IFERROR(__xludf.DUMMYFUNCTION("""COMPUTED_VALUE"""),4.4645000927E10)</f>
        <v>44645000927</v>
      </c>
      <c r="D1014" s="87" t="str">
        <f>IFERROR(__xludf.DUMMYFUNCTION("""COMPUTED_VALUE"""),"SNDL")</f>
        <v>SNDL</v>
      </c>
      <c r="E1014" s="193">
        <f>IFERROR(__xludf.DUMMYFUNCTION("""COMPUTED_VALUE"""),44645.0)</f>
        <v>44645</v>
      </c>
      <c r="F1014" s="5" t="str">
        <f>IFERROR(__xludf.DUMMYFUNCTION("""COMPUTED_VALUE"""),"Stock")</f>
        <v>Stock</v>
      </c>
      <c r="G1014" s="5" t="str">
        <f>IFERROR(__xludf.DUMMYFUNCTION("""COMPUTED_VALUE"""),"USD")</f>
        <v>USD</v>
      </c>
      <c r="H1014" s="22">
        <f>IFERROR(__xludf.DUMMYFUNCTION("""COMPUTED_VALUE"""),35000.0)</f>
        <v>35000</v>
      </c>
      <c r="I1014" s="194">
        <f>IFERROR(__xludf.DUMMYFUNCTION("""COMPUTED_VALUE"""),7.82975)</f>
        <v>7.82975</v>
      </c>
      <c r="J1014" s="23">
        <f>IFERROR(__xludf.DUMMYFUNCTION("""COMPUTED_VALUE"""),0.81)</f>
        <v>0.81</v>
      </c>
      <c r="K1014" s="5"/>
      <c r="L1014" s="23">
        <f>IFERROR(__xludf.DUMMYFUNCTION("""COMPUTED_VALUE"""),0.5928)</f>
        <v>0.5928</v>
      </c>
      <c r="M1014" s="195" t="str">
        <f>IFERROR(__xludf.DUMMYFUNCTION("""COMPUTED_VALUE"""),"Equity Key Stats")</f>
        <v>Equity Key Stats</v>
      </c>
      <c r="N1014" s="5"/>
      <c r="O1014" s="5"/>
      <c r="P1014" s="142">
        <f>IFERROR(__xludf.DUMMYFUNCTION("""COMPUTED_VALUE"""),-221973.4125)</f>
        <v>-221973.4125</v>
      </c>
      <c r="Q1014" s="5"/>
      <c r="R1014" s="71">
        <f>IFERROR(__xludf.DUMMYFUNCTION("""COMPUTED_VALUE"""),0.5928)</f>
        <v>0.5928</v>
      </c>
      <c r="S1014" s="142">
        <f>IFERROR(__xludf.DUMMYFUNCTION("""COMPUTED_VALUE"""),162451.653)</f>
        <v>162451.653</v>
      </c>
      <c r="T1014" s="5">
        <f>IFERROR(__xludf.DUMMYFUNCTION("""COMPUTED_VALUE"""),2.0)</f>
        <v>2</v>
      </c>
      <c r="U1014" s="5" t="str">
        <f>IFERROR(__xludf.DUMMYFUNCTION("""COMPUTED_VALUE"""),"")</f>
        <v/>
      </c>
      <c r="V1014" s="22" t="str">
        <f>IFERROR(__xludf.DUMMYFUNCTION("""COMPUTED_VALUE"""),"")</f>
        <v/>
      </c>
      <c r="W1014" s="9" t="str">
        <f>IFERROR(__xludf.DUMMYFUNCTION("""COMPUTED_VALUE"""),"")</f>
        <v/>
      </c>
      <c r="X1014" s="22" t="str">
        <f>IFERROR(__xludf.DUMMYFUNCTION("""COMPUTED_VALUE"""),"")</f>
        <v/>
      </c>
      <c r="Y1014" s="22" t="str">
        <f>IFERROR(__xludf.DUMMYFUNCTION("""COMPUTED_VALUE"""),"")</f>
        <v/>
      </c>
      <c r="Z1014" s="24" t="str">
        <f>IFERROR(__xludf.DUMMYFUNCTION("""COMPUTED_VALUE"""),"")</f>
        <v/>
      </c>
    </row>
    <row r="1015">
      <c r="A1015" s="5" t="str">
        <f>IFERROR(__xludf.DUMMYFUNCTION("""COMPUTED_VALUE"""),"82533")</f>
        <v>82533</v>
      </c>
      <c r="B1015" s="5" t="str">
        <f>IFERROR(__xludf.DUMMYFUNCTION("""COMPUTED_VALUE"""),"82533")</f>
        <v>82533</v>
      </c>
      <c r="C1015" s="9">
        <f>IFERROR(__xludf.DUMMYFUNCTION("""COMPUTED_VALUE"""),4.4645000928E10)</f>
        <v>44645000928</v>
      </c>
      <c r="D1015" s="87" t="str">
        <f>IFERROR(__xludf.DUMMYFUNCTION("""COMPUTED_VALUE"""),"SNDL")</f>
        <v>SNDL</v>
      </c>
      <c r="E1015" s="193">
        <f>IFERROR(__xludf.DUMMYFUNCTION("""COMPUTED_VALUE"""),44645.0)</f>
        <v>44645</v>
      </c>
      <c r="F1015" s="5" t="str">
        <f>IFERROR(__xludf.DUMMYFUNCTION("""COMPUTED_VALUE"""),"Stock")</f>
        <v>Stock</v>
      </c>
      <c r="G1015" s="5" t="str">
        <f>IFERROR(__xludf.DUMMYFUNCTION("""COMPUTED_VALUE"""),"USD")</f>
        <v>USD</v>
      </c>
      <c r="H1015" s="22">
        <f>IFERROR(__xludf.DUMMYFUNCTION("""COMPUTED_VALUE"""),34999.0)</f>
        <v>34999</v>
      </c>
      <c r="I1015" s="194">
        <f>IFERROR(__xludf.DUMMYFUNCTION("""COMPUTED_VALUE"""),7.82975)</f>
        <v>7.82975</v>
      </c>
      <c r="J1015" s="23">
        <f>IFERROR(__xludf.DUMMYFUNCTION("""COMPUTED_VALUE"""),0.81)</f>
        <v>0.81</v>
      </c>
      <c r="K1015" s="5"/>
      <c r="L1015" s="23">
        <f>IFERROR(__xludf.DUMMYFUNCTION("""COMPUTED_VALUE"""),0.5928)</f>
        <v>0.5928</v>
      </c>
      <c r="M1015" s="195" t="str">
        <f>IFERROR(__xludf.DUMMYFUNCTION("""COMPUTED_VALUE"""),"Equity Key Stats")</f>
        <v>Equity Key Stats</v>
      </c>
      <c r="N1015" s="5"/>
      <c r="O1015" s="5"/>
      <c r="P1015" s="142">
        <f>IFERROR(__xludf.DUMMYFUNCTION("""COMPUTED_VALUE"""),-221967.0704025)</f>
        <v>-221967.0704</v>
      </c>
      <c r="Q1015" s="5"/>
      <c r="R1015" s="71">
        <f>IFERROR(__xludf.DUMMYFUNCTION("""COMPUTED_VALUE"""),0.5928)</f>
        <v>0.5928</v>
      </c>
      <c r="S1015" s="142">
        <f>IFERROR(__xludf.DUMMYFUNCTION("""COMPUTED_VALUE"""),162447.01152419997)</f>
        <v>162447.0115</v>
      </c>
      <c r="T1015" s="5">
        <f>IFERROR(__xludf.DUMMYFUNCTION("""COMPUTED_VALUE"""),2.0)</f>
        <v>2</v>
      </c>
      <c r="U1015" s="5">
        <f>IFERROR(__xludf.DUMMYFUNCTION("""COMPUTED_VALUE"""),1.0)</f>
        <v>1</v>
      </c>
      <c r="V1015" s="22">
        <f>IFERROR(__xludf.DUMMYFUNCTION("""COMPUTED_VALUE"""),-119041.8183783)</f>
        <v>-119041.8184</v>
      </c>
      <c r="W1015" s="9">
        <f>IFERROR(__xludf.DUMMYFUNCTION("""COMPUTED_VALUE"""),379109.68062169995)</f>
        <v>379109.6806</v>
      </c>
      <c r="X1015" s="22">
        <f>IFERROR(__xludf.DUMMYFUNCTION("""COMPUTED_VALUE"""),-207442.47402750005)</f>
        <v>-207442.474</v>
      </c>
      <c r="Y1015" s="22">
        <f>IFERROR(__xludf.DUMMYFUNCTION("""COMPUTED_VALUE"""),207442.47402750005)</f>
        <v>207442.474</v>
      </c>
      <c r="Z1015" s="24">
        <f>IFERROR(__xludf.DUMMYFUNCTION("""COMPUTED_VALUE"""),-0.24178063875660005)</f>
        <v>-0.2417806388</v>
      </c>
    </row>
    <row r="1016">
      <c r="A1016" s="5" t="str">
        <f>IFERROR(__xludf.DUMMYFUNCTION("""COMPUTED_VALUE"""),"83293")</f>
        <v>83293</v>
      </c>
      <c r="B1016" s="5" t="str">
        <f>IFERROR(__xludf.DUMMYFUNCTION("""COMPUTED_VALUE"""),"83293")</f>
        <v>83293</v>
      </c>
      <c r="C1016" s="9">
        <f>IFERROR(__xludf.DUMMYFUNCTION("""COMPUTED_VALUE"""),4.4597000033E10)</f>
        <v>44597000033</v>
      </c>
      <c r="D1016" s="85" t="str">
        <f>IFERROR(__xludf.DUMMYFUNCTION("""COMPUTED_VALUE"""),"Cash")</f>
        <v>Cash</v>
      </c>
      <c r="E1016" s="193">
        <f>IFERROR(__xludf.DUMMYFUNCTION("""COMPUTED_VALUE"""),44597.0)</f>
        <v>44597</v>
      </c>
      <c r="F1016" s="5" t="str">
        <f>IFERROR(__xludf.DUMMYFUNCTION("""COMPUTED_VALUE"""),"Cash")</f>
        <v>Cash</v>
      </c>
      <c r="G1016" s="5" t="str">
        <f>IFERROR(__xludf.DUMMYFUNCTION("""COMPUTED_VALUE"""),"HKD")</f>
        <v>HKD</v>
      </c>
      <c r="H1016" s="22" t="str">
        <f>IFERROR(__xludf.DUMMYFUNCTION("""COMPUTED_VALUE"""),"")</f>
        <v/>
      </c>
      <c r="I1016" s="194">
        <f>IFERROR(__xludf.DUMMYFUNCTION("""COMPUTED_VALUE"""),1.0)</f>
        <v>1</v>
      </c>
      <c r="J1016" s="5">
        <f>IFERROR(__xludf.DUMMYFUNCTION("""COMPUTED_VALUE"""),1.0)</f>
        <v>1</v>
      </c>
      <c r="K1016" s="5"/>
      <c r="L1016" s="23">
        <f>IFERROR(__xludf.DUMMYFUNCTION("""COMPUTED_VALUE"""),1.0)</f>
        <v>1</v>
      </c>
      <c r="M1016" s="25" t="str">
        <f>IFERROR(__xludf.DUMMYFUNCTION("""COMPUTED_VALUE"""),"")</f>
        <v/>
      </c>
      <c r="N1016" s="5"/>
      <c r="O1016" s="5"/>
      <c r="P1016" s="142">
        <f>IFERROR(__xludf.DUMMYFUNCTION("""COMPUTED_VALUE"""),500000.0)</f>
        <v>500000</v>
      </c>
      <c r="Q1016" s="5"/>
      <c r="R1016" s="71">
        <f>IFERROR(__xludf.DUMMYFUNCTION("""COMPUTED_VALUE"""),1.0)</f>
        <v>1</v>
      </c>
      <c r="S1016" s="142" t="str">
        <f>IFERROR(__xludf.DUMMYFUNCTION("""COMPUTED_VALUE"""),"")</f>
        <v/>
      </c>
      <c r="T1016" s="5">
        <f>IFERROR(__xludf.DUMMYFUNCTION("""COMPUTED_VALUE"""),1.0)</f>
        <v>1</v>
      </c>
      <c r="U1016" s="5">
        <f>IFERROR(__xludf.DUMMYFUNCTION("""COMPUTED_VALUE"""),1.0)</f>
        <v>1</v>
      </c>
      <c r="V1016" s="22">
        <f>IFERROR(__xludf.DUMMYFUNCTION("""COMPUTED_VALUE"""),500000.0)</f>
        <v>500000</v>
      </c>
      <c r="W1016" s="9">
        <f>IFERROR(__xludf.DUMMYFUNCTION("""COMPUTED_VALUE"""),500000.0)</f>
        <v>500000</v>
      </c>
      <c r="X1016" s="22">
        <f>IFERROR(__xludf.DUMMYFUNCTION("""COMPUTED_VALUE"""),500000.0)</f>
        <v>500000</v>
      </c>
      <c r="Y1016" s="22">
        <f>IFERROR(__xludf.DUMMYFUNCTION("""COMPUTED_VALUE"""),0.0)</f>
        <v>0</v>
      </c>
      <c r="Z1016" s="24">
        <f>IFERROR(__xludf.DUMMYFUNCTION("""COMPUTED_VALUE"""),0.0)</f>
        <v>0</v>
      </c>
    </row>
    <row r="1017">
      <c r="A1017" s="5" t="str">
        <f>IFERROR(__xludf.DUMMYFUNCTION("""COMPUTED_VALUE"""),"")</f>
        <v/>
      </c>
      <c r="B1017" s="5" t="str">
        <f>IFERROR(__xludf.DUMMYFUNCTION("""COMPUTED_VALUE"""),"83314")</f>
        <v>83314</v>
      </c>
      <c r="C1017" s="9">
        <f>IFERROR(__xludf.DUMMYFUNCTION("""COMPUTED_VALUE"""),4.4597000085E10)</f>
        <v>44597000085</v>
      </c>
      <c r="D1017" s="85" t="str">
        <f>IFERROR(__xludf.DUMMYFUNCTION("""COMPUTED_VALUE"""),"Cash")</f>
        <v>Cash</v>
      </c>
      <c r="E1017" s="193">
        <f>IFERROR(__xludf.DUMMYFUNCTION("""COMPUTED_VALUE"""),44597.0)</f>
        <v>44597</v>
      </c>
      <c r="F1017" s="5" t="str">
        <f>IFERROR(__xludf.DUMMYFUNCTION("""COMPUTED_VALUE"""),"Cash")</f>
        <v>Cash</v>
      </c>
      <c r="G1017" s="5" t="str">
        <f>IFERROR(__xludf.DUMMYFUNCTION("""COMPUTED_VALUE"""),"HKD")</f>
        <v>HKD</v>
      </c>
      <c r="H1017" s="22" t="str">
        <f>IFERROR(__xludf.DUMMYFUNCTION("""COMPUTED_VALUE"""),"")</f>
        <v/>
      </c>
      <c r="I1017" s="194">
        <f>IFERROR(__xludf.DUMMYFUNCTION("""COMPUTED_VALUE"""),1.0)</f>
        <v>1</v>
      </c>
      <c r="J1017" s="5">
        <f>IFERROR(__xludf.DUMMYFUNCTION("""COMPUTED_VALUE"""),1.0)</f>
        <v>1</v>
      </c>
      <c r="K1017" s="5"/>
      <c r="L1017" s="23">
        <f>IFERROR(__xludf.DUMMYFUNCTION("""COMPUTED_VALUE"""),1.0)</f>
        <v>1</v>
      </c>
      <c r="M1017" s="25" t="str">
        <f>IFERROR(__xludf.DUMMYFUNCTION("""COMPUTED_VALUE"""),"")</f>
        <v/>
      </c>
      <c r="N1017" s="5"/>
      <c r="O1017" s="5"/>
      <c r="P1017" s="142">
        <f>IFERROR(__xludf.DUMMYFUNCTION("""COMPUTED_VALUE"""),500000.0)</f>
        <v>500000</v>
      </c>
      <c r="Q1017" s="5"/>
      <c r="R1017" s="71">
        <f>IFERROR(__xludf.DUMMYFUNCTION("""COMPUTED_VALUE"""),1.0)</f>
        <v>1</v>
      </c>
      <c r="S1017" s="142" t="str">
        <f>IFERROR(__xludf.DUMMYFUNCTION("""COMPUTED_VALUE"""),"")</f>
        <v/>
      </c>
      <c r="T1017" s="5">
        <f>IFERROR(__xludf.DUMMYFUNCTION("""COMPUTED_VALUE"""),1.0)</f>
        <v>1</v>
      </c>
      <c r="U1017" s="5">
        <f>IFERROR(__xludf.DUMMYFUNCTION("""COMPUTED_VALUE"""),1.0)</f>
        <v>1</v>
      </c>
      <c r="V1017" s="22">
        <f>IFERROR(__xludf.DUMMYFUNCTION("""COMPUTED_VALUE"""),500000.0)</f>
        <v>500000</v>
      </c>
      <c r="W1017" s="9" t="str">
        <f>IFERROR(__xludf.DUMMYFUNCTION("""COMPUTED_VALUE"""),"")</f>
        <v/>
      </c>
      <c r="X1017" s="22" t="str">
        <f>IFERROR(__xludf.DUMMYFUNCTION("""COMPUTED_VALUE"""),"")</f>
        <v/>
      </c>
      <c r="Y1017" s="22" t="str">
        <f>IFERROR(__xludf.DUMMYFUNCTION("""COMPUTED_VALUE"""),"")</f>
        <v/>
      </c>
      <c r="Z1017" s="24" t="str">
        <f>IFERROR(__xludf.DUMMYFUNCTION("""COMPUTED_VALUE"""),"")</f>
        <v/>
      </c>
    </row>
    <row r="1018">
      <c r="A1018" s="5" t="str">
        <f>IFERROR(__xludf.DUMMYFUNCTION("""COMPUTED_VALUE"""),"")</f>
        <v/>
      </c>
      <c r="B1018" s="5" t="str">
        <f>IFERROR(__xludf.DUMMYFUNCTION("""COMPUTED_VALUE"""),"83314")</f>
        <v>83314</v>
      </c>
      <c r="C1018" s="9">
        <f>IFERROR(__xludf.DUMMYFUNCTION("""COMPUTED_VALUE"""),4.4664001481E10)</f>
        <v>44664001481</v>
      </c>
      <c r="D1018" s="85" t="str">
        <f>IFERROR(__xludf.DUMMYFUNCTION("""COMPUTED_VALUE"""),"FB")</f>
        <v>FB</v>
      </c>
      <c r="E1018" s="193">
        <f>IFERROR(__xludf.DUMMYFUNCTION("""COMPUTED_VALUE"""),44664.0)</f>
        <v>44664</v>
      </c>
      <c r="F1018" s="5" t="str">
        <f>IFERROR(__xludf.DUMMYFUNCTION("""COMPUTED_VALUE"""),"Stock")</f>
        <v>Stock</v>
      </c>
      <c r="G1018" s="5" t="str">
        <f>IFERROR(__xludf.DUMMYFUNCTION("""COMPUTED_VALUE"""),"USD")</f>
        <v>USD</v>
      </c>
      <c r="H1018" s="22">
        <f>IFERROR(__xludf.DUMMYFUNCTION("""COMPUTED_VALUE"""),10.0)</f>
        <v>10</v>
      </c>
      <c r="I1018" s="194">
        <f>IFERROR(__xludf.DUMMYFUNCTION("""COMPUTED_VALUE"""),7.83915)</f>
        <v>7.83915</v>
      </c>
      <c r="J1018" s="23">
        <f>IFERROR(__xludf.DUMMYFUNCTION("""COMPUTED_VALUE"""),214.99)</f>
        <v>214.99</v>
      </c>
      <c r="K1018" s="5"/>
      <c r="L1018" s="23">
        <f>IFERROR(__xludf.DUMMYFUNCTION("""COMPUTED_VALUE"""),214.99)</f>
        <v>214.99</v>
      </c>
      <c r="M1018" s="195" t="str">
        <f>IFERROR(__xludf.DUMMYFUNCTION("""COMPUTED_VALUE"""),"Equity Key Stats")</f>
        <v>Equity Key Stats</v>
      </c>
      <c r="N1018" s="5"/>
      <c r="O1018" s="5"/>
      <c r="P1018" s="142">
        <f>IFERROR(__xludf.DUMMYFUNCTION("""COMPUTED_VALUE"""),-16853.388585)</f>
        <v>-16853.38859</v>
      </c>
      <c r="Q1018" s="5"/>
      <c r="R1018" s="71">
        <f>IFERROR(__xludf.DUMMYFUNCTION("""COMPUTED_VALUE"""),214.99)</f>
        <v>214.99</v>
      </c>
      <c r="S1018" s="142">
        <f>IFERROR(__xludf.DUMMYFUNCTION("""COMPUTED_VALUE"""),16853.388585)</f>
        <v>16853.38859</v>
      </c>
      <c r="T1018" s="5">
        <f>IFERROR(__xludf.DUMMYFUNCTION("""COMPUTED_VALUE"""),1.0)</f>
        <v>1</v>
      </c>
      <c r="U1018" s="5">
        <f>IFERROR(__xludf.DUMMYFUNCTION("""COMPUTED_VALUE"""),1.0)</f>
        <v>1</v>
      </c>
      <c r="V1018" s="22">
        <f>IFERROR(__xludf.DUMMYFUNCTION("""COMPUTED_VALUE"""),0.0)</f>
        <v>0</v>
      </c>
      <c r="W1018" s="9" t="str">
        <f>IFERROR(__xludf.DUMMYFUNCTION("""COMPUTED_VALUE"""),"")</f>
        <v/>
      </c>
      <c r="X1018" s="22" t="str">
        <f>IFERROR(__xludf.DUMMYFUNCTION("""COMPUTED_VALUE"""),"")</f>
        <v/>
      </c>
      <c r="Y1018" s="22" t="str">
        <f>IFERROR(__xludf.DUMMYFUNCTION("""COMPUTED_VALUE"""),"")</f>
        <v/>
      </c>
      <c r="Z1018" s="24" t="str">
        <f>IFERROR(__xludf.DUMMYFUNCTION("""COMPUTED_VALUE"""),"")</f>
        <v/>
      </c>
    </row>
    <row r="1019">
      <c r="A1019" s="5" t="str">
        <f>IFERROR(__xludf.DUMMYFUNCTION("""COMPUTED_VALUE"""),"")</f>
        <v/>
      </c>
      <c r="B1019" s="5" t="str">
        <f>IFERROR(__xludf.DUMMYFUNCTION("""COMPUTED_VALUE"""),"83314")</f>
        <v>83314</v>
      </c>
      <c r="C1019" s="9">
        <f>IFERROR(__xludf.DUMMYFUNCTION("""COMPUTED_VALUE"""),4.4664001482E10)</f>
        <v>44664001482</v>
      </c>
      <c r="D1019" s="85" t="str">
        <f>IFERROR(__xludf.DUMMYFUNCTION("""COMPUTED_VALUE"""),"AMZN")</f>
        <v>AMZN</v>
      </c>
      <c r="E1019" s="193">
        <f>IFERROR(__xludf.DUMMYFUNCTION("""COMPUTED_VALUE"""),44664.0)</f>
        <v>44664</v>
      </c>
      <c r="F1019" s="5" t="str">
        <f>IFERROR(__xludf.DUMMYFUNCTION("""COMPUTED_VALUE"""),"Stock")</f>
        <v>Stock</v>
      </c>
      <c r="G1019" s="5" t="str">
        <f>IFERROR(__xludf.DUMMYFUNCTION("""COMPUTED_VALUE"""),"USD")</f>
        <v>USD</v>
      </c>
      <c r="H1019" s="22">
        <f>IFERROR(__xludf.DUMMYFUNCTION("""COMPUTED_VALUE"""),10.0)</f>
        <v>10</v>
      </c>
      <c r="I1019" s="194">
        <f>IFERROR(__xludf.DUMMYFUNCTION("""COMPUTED_VALUE"""),7.83915)</f>
        <v>7.83915</v>
      </c>
      <c r="J1019" s="23">
        <f>IFERROR(__xludf.DUMMYFUNCTION("""COMPUTED_VALUE"""),3110.82)</f>
        <v>3110.82</v>
      </c>
      <c r="K1019" s="5"/>
      <c r="L1019" s="23">
        <f>IFERROR(__xludf.DUMMYFUNCTION("""COMPUTED_VALUE"""),3110.82)</f>
        <v>3110.82</v>
      </c>
      <c r="M1019" s="195" t="str">
        <f>IFERROR(__xludf.DUMMYFUNCTION("""COMPUTED_VALUE"""),"Equity Key Stats")</f>
        <v>Equity Key Stats</v>
      </c>
      <c r="N1019" s="5"/>
      <c r="O1019" s="5"/>
      <c r="P1019" s="142">
        <f>IFERROR(__xludf.DUMMYFUNCTION("""COMPUTED_VALUE"""),-243861.84603000004)</f>
        <v>-243861.846</v>
      </c>
      <c r="Q1019" s="5"/>
      <c r="R1019" s="71">
        <f>IFERROR(__xludf.DUMMYFUNCTION("""COMPUTED_VALUE"""),3110.82)</f>
        <v>3110.82</v>
      </c>
      <c r="S1019" s="142">
        <f>IFERROR(__xludf.DUMMYFUNCTION("""COMPUTED_VALUE"""),243861.84603000004)</f>
        <v>243861.846</v>
      </c>
      <c r="T1019" s="5">
        <f>IFERROR(__xludf.DUMMYFUNCTION("""COMPUTED_VALUE"""),1.0)</f>
        <v>1</v>
      </c>
      <c r="U1019" s="5">
        <f>IFERROR(__xludf.DUMMYFUNCTION("""COMPUTED_VALUE"""),1.0)</f>
        <v>1</v>
      </c>
      <c r="V1019" s="22">
        <f>IFERROR(__xludf.DUMMYFUNCTION("""COMPUTED_VALUE"""),0.0)</f>
        <v>0</v>
      </c>
      <c r="W1019" s="9" t="str">
        <f>IFERROR(__xludf.DUMMYFUNCTION("""COMPUTED_VALUE"""),"")</f>
        <v/>
      </c>
      <c r="X1019" s="22" t="str">
        <f>IFERROR(__xludf.DUMMYFUNCTION("""COMPUTED_VALUE"""),"")</f>
        <v/>
      </c>
      <c r="Y1019" s="22" t="str">
        <f>IFERROR(__xludf.DUMMYFUNCTION("""COMPUTED_VALUE"""),"")</f>
        <v/>
      </c>
      <c r="Z1019" s="24" t="str">
        <f>IFERROR(__xludf.DUMMYFUNCTION("""COMPUTED_VALUE"""),"")</f>
        <v/>
      </c>
    </row>
    <row r="1020">
      <c r="A1020" s="5" t="str">
        <f>IFERROR(__xludf.DUMMYFUNCTION("""COMPUTED_VALUE"""),"83314")</f>
        <v>83314</v>
      </c>
      <c r="B1020" s="5" t="str">
        <f>IFERROR(__xludf.DUMMYFUNCTION("""COMPUTED_VALUE"""),"83314")</f>
        <v>83314</v>
      </c>
      <c r="C1020" s="9">
        <f>IFERROR(__xludf.DUMMYFUNCTION("""COMPUTED_VALUE"""),4.4664001483E10)</f>
        <v>44664001483</v>
      </c>
      <c r="D1020" s="85" t="str">
        <f>IFERROR(__xludf.DUMMYFUNCTION("""COMPUTED_VALUE"""),"TSLA")</f>
        <v>TSLA</v>
      </c>
      <c r="E1020" s="193">
        <f>IFERROR(__xludf.DUMMYFUNCTION("""COMPUTED_VALUE"""),44664.0)</f>
        <v>44664</v>
      </c>
      <c r="F1020" s="5" t="str">
        <f>IFERROR(__xludf.DUMMYFUNCTION("""COMPUTED_VALUE"""),"Stock")</f>
        <v>Stock</v>
      </c>
      <c r="G1020" s="5" t="str">
        <f>IFERROR(__xludf.DUMMYFUNCTION("""COMPUTED_VALUE"""),"USD")</f>
        <v>USD</v>
      </c>
      <c r="H1020" s="22">
        <f>IFERROR(__xludf.DUMMYFUNCTION("""COMPUTED_VALUE"""),10.0)</f>
        <v>10</v>
      </c>
      <c r="I1020" s="194">
        <f>IFERROR(__xludf.DUMMYFUNCTION("""COMPUTED_VALUE"""),7.83915)</f>
        <v>7.83915</v>
      </c>
      <c r="J1020" s="23">
        <f>IFERROR(__xludf.DUMMYFUNCTION("""COMPUTED_VALUE"""),1022.37)</f>
        <v>1022.37</v>
      </c>
      <c r="K1020" s="5"/>
      <c r="L1020" s="23">
        <f>IFERROR(__xludf.DUMMYFUNCTION("""COMPUTED_VALUE"""),1022.37)</f>
        <v>1022.37</v>
      </c>
      <c r="M1020" s="195" t="str">
        <f>IFERROR(__xludf.DUMMYFUNCTION("""COMPUTED_VALUE"""),"Equity Key Stats")</f>
        <v>Equity Key Stats</v>
      </c>
      <c r="N1020" s="5"/>
      <c r="O1020" s="5"/>
      <c r="P1020" s="142">
        <f>IFERROR(__xludf.DUMMYFUNCTION("""COMPUTED_VALUE"""),-80145.117855)</f>
        <v>-80145.11786</v>
      </c>
      <c r="Q1020" s="5"/>
      <c r="R1020" s="71">
        <f>IFERROR(__xludf.DUMMYFUNCTION("""COMPUTED_VALUE"""),1022.37)</f>
        <v>1022.37</v>
      </c>
      <c r="S1020" s="142">
        <f>IFERROR(__xludf.DUMMYFUNCTION("""COMPUTED_VALUE"""),80145.117855)</f>
        <v>80145.11786</v>
      </c>
      <c r="T1020" s="5">
        <f>IFERROR(__xludf.DUMMYFUNCTION("""COMPUTED_VALUE"""),1.0)</f>
        <v>1</v>
      </c>
      <c r="U1020" s="5">
        <f>IFERROR(__xludf.DUMMYFUNCTION("""COMPUTED_VALUE"""),1.0)</f>
        <v>1</v>
      </c>
      <c r="V1020" s="22">
        <f>IFERROR(__xludf.DUMMYFUNCTION("""COMPUTED_VALUE"""),0.0)</f>
        <v>0</v>
      </c>
      <c r="W1020" s="9">
        <f>IFERROR(__xludf.DUMMYFUNCTION("""COMPUTED_VALUE"""),500000.0)</f>
        <v>500000</v>
      </c>
      <c r="X1020" s="22">
        <f>IFERROR(__xludf.DUMMYFUNCTION("""COMPUTED_VALUE"""),159139.64752999996)</f>
        <v>159139.6475</v>
      </c>
      <c r="Y1020" s="22">
        <f>IFERROR(__xludf.DUMMYFUNCTION("""COMPUTED_VALUE"""),0.0)</f>
        <v>0</v>
      </c>
      <c r="Z1020" s="24">
        <f>IFERROR(__xludf.DUMMYFUNCTION("""COMPUTED_VALUE"""),0.0)</f>
        <v>0</v>
      </c>
    </row>
    <row r="1021">
      <c r="A1021" s="5" t="str">
        <f>IFERROR(__xludf.DUMMYFUNCTION("""COMPUTED_VALUE"""),"")</f>
        <v/>
      </c>
      <c r="B1021" s="5" t="str">
        <f>IFERROR(__xludf.DUMMYFUNCTION("""COMPUTED_VALUE"""),"84216")</f>
        <v>84216</v>
      </c>
      <c r="C1021" s="9">
        <f>IFERROR(__xludf.DUMMYFUNCTION("""COMPUTED_VALUE"""),4.4597000082E10)</f>
        <v>44597000082</v>
      </c>
      <c r="D1021" s="85" t="str">
        <f>IFERROR(__xludf.DUMMYFUNCTION("""COMPUTED_VALUE"""),"Cash")</f>
        <v>Cash</v>
      </c>
      <c r="E1021" s="193">
        <f>IFERROR(__xludf.DUMMYFUNCTION("""COMPUTED_VALUE"""),44597.0)</f>
        <v>44597</v>
      </c>
      <c r="F1021" s="5" t="str">
        <f>IFERROR(__xludf.DUMMYFUNCTION("""COMPUTED_VALUE"""),"Cash")</f>
        <v>Cash</v>
      </c>
      <c r="G1021" s="5" t="str">
        <f>IFERROR(__xludf.DUMMYFUNCTION("""COMPUTED_VALUE"""),"HKD")</f>
        <v>HKD</v>
      </c>
      <c r="H1021" s="22" t="str">
        <f>IFERROR(__xludf.DUMMYFUNCTION("""COMPUTED_VALUE"""),"")</f>
        <v/>
      </c>
      <c r="I1021" s="194">
        <f>IFERROR(__xludf.DUMMYFUNCTION("""COMPUTED_VALUE"""),1.0)</f>
        <v>1</v>
      </c>
      <c r="J1021" s="5">
        <f>IFERROR(__xludf.DUMMYFUNCTION("""COMPUTED_VALUE"""),1.0)</f>
        <v>1</v>
      </c>
      <c r="K1021" s="5"/>
      <c r="L1021" s="23">
        <f>IFERROR(__xludf.DUMMYFUNCTION("""COMPUTED_VALUE"""),1.0)</f>
        <v>1</v>
      </c>
      <c r="M1021" s="25" t="str">
        <f>IFERROR(__xludf.DUMMYFUNCTION("""COMPUTED_VALUE"""),"")</f>
        <v/>
      </c>
      <c r="N1021" s="5"/>
      <c r="O1021" s="5"/>
      <c r="P1021" s="142">
        <f>IFERROR(__xludf.DUMMYFUNCTION("""COMPUTED_VALUE"""),500000.0)</f>
        <v>500000</v>
      </c>
      <c r="Q1021" s="5"/>
      <c r="R1021" s="71">
        <f>IFERROR(__xludf.DUMMYFUNCTION("""COMPUTED_VALUE"""),1.0)</f>
        <v>1</v>
      </c>
      <c r="S1021" s="142" t="str">
        <f>IFERROR(__xludf.DUMMYFUNCTION("""COMPUTED_VALUE"""),"")</f>
        <v/>
      </c>
      <c r="T1021" s="5">
        <f>IFERROR(__xludf.DUMMYFUNCTION("""COMPUTED_VALUE"""),1.0)</f>
        <v>1</v>
      </c>
      <c r="U1021" s="5">
        <f>IFERROR(__xludf.DUMMYFUNCTION("""COMPUTED_VALUE"""),1.0)</f>
        <v>1</v>
      </c>
      <c r="V1021" s="22">
        <f>IFERROR(__xludf.DUMMYFUNCTION("""COMPUTED_VALUE"""),500000.0)</f>
        <v>500000</v>
      </c>
      <c r="W1021" s="9" t="str">
        <f>IFERROR(__xludf.DUMMYFUNCTION("""COMPUTED_VALUE"""),"")</f>
        <v/>
      </c>
      <c r="X1021" s="22" t="str">
        <f>IFERROR(__xludf.DUMMYFUNCTION("""COMPUTED_VALUE"""),"")</f>
        <v/>
      </c>
      <c r="Y1021" s="22" t="str">
        <f>IFERROR(__xludf.DUMMYFUNCTION("""COMPUTED_VALUE"""),"")</f>
        <v/>
      </c>
      <c r="Z1021" s="24" t="str">
        <f>IFERROR(__xludf.DUMMYFUNCTION("""COMPUTED_VALUE"""),"")</f>
        <v/>
      </c>
    </row>
    <row r="1022">
      <c r="A1022" s="5" t="str">
        <f>IFERROR(__xludf.DUMMYFUNCTION("""COMPUTED_VALUE"""),"")</f>
        <v/>
      </c>
      <c r="B1022" s="5" t="str">
        <f>IFERROR(__xludf.DUMMYFUNCTION("""COMPUTED_VALUE"""),"84216")</f>
        <v>84216</v>
      </c>
      <c r="C1022" s="9">
        <f>IFERROR(__xludf.DUMMYFUNCTION("""COMPUTED_VALUE"""),4.4662001372E10)</f>
        <v>44662001372</v>
      </c>
      <c r="D1022" s="85" t="str">
        <f>IFERROR(__xludf.DUMMYFUNCTION("""COMPUTED_VALUE"""),"TSLA")</f>
        <v>TSLA</v>
      </c>
      <c r="E1022" s="193">
        <f>IFERROR(__xludf.DUMMYFUNCTION("""COMPUTED_VALUE"""),44662.0)</f>
        <v>44662</v>
      </c>
      <c r="F1022" s="5" t="str">
        <f>IFERROR(__xludf.DUMMYFUNCTION("""COMPUTED_VALUE"""),"Stock")</f>
        <v>Stock</v>
      </c>
      <c r="G1022" s="5" t="str">
        <f>IFERROR(__xludf.DUMMYFUNCTION("""COMPUTED_VALUE"""),"USD")</f>
        <v>USD</v>
      </c>
      <c r="H1022" s="22">
        <f>IFERROR(__xludf.DUMMYFUNCTION("""COMPUTED_VALUE"""),10.0)</f>
        <v>10</v>
      </c>
      <c r="I1022" s="194">
        <f>IFERROR(__xludf.DUMMYFUNCTION("""COMPUTED_VALUE"""),7.83795)</f>
        <v>7.83795</v>
      </c>
      <c r="J1022" s="23">
        <f>IFERROR(__xludf.DUMMYFUNCTION("""COMPUTED_VALUE"""),975.93)</f>
        <v>975.93</v>
      </c>
      <c r="K1022" s="5"/>
      <c r="L1022" s="23">
        <f>IFERROR(__xludf.DUMMYFUNCTION("""COMPUTED_VALUE"""),1022.37)</f>
        <v>1022.37</v>
      </c>
      <c r="M1022" s="195" t="str">
        <f>IFERROR(__xludf.DUMMYFUNCTION("""COMPUTED_VALUE"""),"Equity Key Stats")</f>
        <v>Equity Key Stats</v>
      </c>
      <c r="N1022" s="5"/>
      <c r="O1022" s="5"/>
      <c r="P1022" s="142">
        <f>IFERROR(__xludf.DUMMYFUNCTION("""COMPUTED_VALUE"""),-76492.90543500001)</f>
        <v>-76492.90544</v>
      </c>
      <c r="Q1022" s="5"/>
      <c r="R1022" s="71">
        <f>IFERROR(__xludf.DUMMYFUNCTION("""COMPUTED_VALUE"""),1022.37)</f>
        <v>1022.37</v>
      </c>
      <c r="S1022" s="142">
        <f>IFERROR(__xludf.DUMMYFUNCTION("""COMPUTED_VALUE"""),80132.849415)</f>
        <v>80132.84942</v>
      </c>
      <c r="T1022" s="5">
        <f>IFERROR(__xludf.DUMMYFUNCTION("""COMPUTED_VALUE"""),1.0)</f>
        <v>1</v>
      </c>
      <c r="U1022" s="5">
        <f>IFERROR(__xludf.DUMMYFUNCTION("""COMPUTED_VALUE"""),1.0)</f>
        <v>1</v>
      </c>
      <c r="V1022" s="22">
        <f>IFERROR(__xludf.DUMMYFUNCTION("""COMPUTED_VALUE"""),3639.9439799999964)</f>
        <v>3639.94398</v>
      </c>
      <c r="W1022" s="9" t="str">
        <f>IFERROR(__xludf.DUMMYFUNCTION("""COMPUTED_VALUE"""),"")</f>
        <v/>
      </c>
      <c r="X1022" s="22" t="str">
        <f>IFERROR(__xludf.DUMMYFUNCTION("""COMPUTED_VALUE"""),"")</f>
        <v/>
      </c>
      <c r="Y1022" s="22" t="str">
        <f>IFERROR(__xludf.DUMMYFUNCTION("""COMPUTED_VALUE"""),"")</f>
        <v/>
      </c>
      <c r="Z1022" s="24" t="str">
        <f>IFERROR(__xludf.DUMMYFUNCTION("""COMPUTED_VALUE"""),"")</f>
        <v/>
      </c>
    </row>
    <row r="1023">
      <c r="A1023" s="5" t="str">
        <f>IFERROR(__xludf.DUMMYFUNCTION("""COMPUTED_VALUE"""),"")</f>
        <v/>
      </c>
      <c r="B1023" s="5" t="str">
        <f>IFERROR(__xludf.DUMMYFUNCTION("""COMPUTED_VALUE"""),"84216")</f>
        <v>84216</v>
      </c>
      <c r="C1023" s="9">
        <f>IFERROR(__xludf.DUMMYFUNCTION("""COMPUTED_VALUE"""),4.4662001373E10)</f>
        <v>44662001373</v>
      </c>
      <c r="D1023" s="85" t="str">
        <f>IFERROR(__xludf.DUMMYFUNCTION("""COMPUTED_VALUE"""),"TWTR")</f>
        <v>TWTR</v>
      </c>
      <c r="E1023" s="193">
        <f>IFERROR(__xludf.DUMMYFUNCTION("""COMPUTED_VALUE"""),44662.0)</f>
        <v>44662</v>
      </c>
      <c r="F1023" s="5" t="str">
        <f>IFERROR(__xludf.DUMMYFUNCTION("""COMPUTED_VALUE"""),"Stock")</f>
        <v>Stock</v>
      </c>
      <c r="G1023" s="5" t="str">
        <f>IFERROR(__xludf.DUMMYFUNCTION("""COMPUTED_VALUE"""),"USD")</f>
        <v>USD</v>
      </c>
      <c r="H1023" s="22">
        <f>IFERROR(__xludf.DUMMYFUNCTION("""COMPUTED_VALUE"""),1200.0)</f>
        <v>1200</v>
      </c>
      <c r="I1023" s="194">
        <f>IFERROR(__xludf.DUMMYFUNCTION("""COMPUTED_VALUE"""),7.83795)</f>
        <v>7.83795</v>
      </c>
      <c r="J1023" s="23">
        <f>IFERROR(__xludf.DUMMYFUNCTION("""COMPUTED_VALUE"""),47.01)</f>
        <v>47.01</v>
      </c>
      <c r="K1023" s="5"/>
      <c r="L1023" s="23">
        <f>IFERROR(__xludf.DUMMYFUNCTION("""COMPUTED_VALUE"""),45.85)</f>
        <v>45.85</v>
      </c>
      <c r="M1023" s="195" t="str">
        <f>IFERROR(__xludf.DUMMYFUNCTION("""COMPUTED_VALUE"""),"Equity Key Stats")</f>
        <v>Equity Key Stats</v>
      </c>
      <c r="N1023" s="5"/>
      <c r="O1023" s="5"/>
      <c r="P1023" s="142">
        <f>IFERROR(__xludf.DUMMYFUNCTION("""COMPUTED_VALUE"""),-442154.4354)</f>
        <v>-442154.4354</v>
      </c>
      <c r="Q1023" s="5"/>
      <c r="R1023" s="71">
        <f>IFERROR(__xludf.DUMMYFUNCTION("""COMPUTED_VALUE"""),45.85)</f>
        <v>45.85</v>
      </c>
      <c r="S1023" s="142">
        <f>IFERROR(__xludf.DUMMYFUNCTION("""COMPUTED_VALUE"""),431244.0090000001)</f>
        <v>431244.009</v>
      </c>
      <c r="T1023" s="5">
        <f>IFERROR(__xludf.DUMMYFUNCTION("""COMPUTED_VALUE"""),1.0)</f>
        <v>1</v>
      </c>
      <c r="U1023" s="5">
        <f>IFERROR(__xludf.DUMMYFUNCTION("""COMPUTED_VALUE"""),1.0)</f>
        <v>1</v>
      </c>
      <c r="V1023" s="22">
        <f>IFERROR(__xludf.DUMMYFUNCTION("""COMPUTED_VALUE"""),-10910.426399999938)</f>
        <v>-10910.4264</v>
      </c>
      <c r="W1023" s="9" t="str">
        <f>IFERROR(__xludf.DUMMYFUNCTION("""COMPUTED_VALUE"""),"")</f>
        <v/>
      </c>
      <c r="X1023" s="22" t="str">
        <f>IFERROR(__xludf.DUMMYFUNCTION("""COMPUTED_VALUE"""),"")</f>
        <v/>
      </c>
      <c r="Y1023" s="22" t="str">
        <f>IFERROR(__xludf.DUMMYFUNCTION("""COMPUTED_VALUE"""),"")</f>
        <v/>
      </c>
      <c r="Z1023" s="24" t="str">
        <f>IFERROR(__xludf.DUMMYFUNCTION("""COMPUTED_VALUE"""),"")</f>
        <v/>
      </c>
    </row>
    <row r="1024">
      <c r="A1024" s="5" t="str">
        <f>IFERROR(__xludf.DUMMYFUNCTION("""COMPUTED_VALUE"""),"")</f>
        <v/>
      </c>
      <c r="B1024" s="5" t="str">
        <f>IFERROR(__xludf.DUMMYFUNCTION("""COMPUTED_VALUE"""),"84216")</f>
        <v>84216</v>
      </c>
      <c r="C1024" s="9">
        <f>IFERROR(__xludf.DUMMYFUNCTION("""COMPUTED_VALUE"""),4.4662001374E10)</f>
        <v>44662001374</v>
      </c>
      <c r="D1024" s="85" t="str">
        <f>IFERROR(__xludf.DUMMYFUNCTION("""COMPUTED_VALUE"""),"AAPL")</f>
        <v>AAPL</v>
      </c>
      <c r="E1024" s="193">
        <f>IFERROR(__xludf.DUMMYFUNCTION("""COMPUTED_VALUE"""),44662.0)</f>
        <v>44662</v>
      </c>
      <c r="F1024" s="5" t="str">
        <f>IFERROR(__xludf.DUMMYFUNCTION("""COMPUTED_VALUE"""),"Stock")</f>
        <v>Stock</v>
      </c>
      <c r="G1024" s="5" t="str">
        <f>IFERROR(__xludf.DUMMYFUNCTION("""COMPUTED_VALUE"""),"USD")</f>
        <v>USD</v>
      </c>
      <c r="H1024" s="22">
        <f>IFERROR(__xludf.DUMMYFUNCTION("""COMPUTED_VALUE"""),10.0)</f>
        <v>10</v>
      </c>
      <c r="I1024" s="194">
        <f>IFERROR(__xludf.DUMMYFUNCTION("""COMPUTED_VALUE"""),7.83795)</f>
        <v>7.83795</v>
      </c>
      <c r="J1024" s="23">
        <f>IFERROR(__xludf.DUMMYFUNCTION("""COMPUTED_VALUE"""),165.75)</f>
        <v>165.75</v>
      </c>
      <c r="K1024" s="5"/>
      <c r="L1024" s="23">
        <f>IFERROR(__xludf.DUMMYFUNCTION("""COMPUTED_VALUE"""),170.4)</f>
        <v>170.4</v>
      </c>
      <c r="M1024" s="195" t="str">
        <f>IFERROR(__xludf.DUMMYFUNCTION("""COMPUTED_VALUE"""),"Equity Key Stats")</f>
        <v>Equity Key Stats</v>
      </c>
      <c r="N1024" s="5"/>
      <c r="O1024" s="5"/>
      <c r="P1024" s="142">
        <f>IFERROR(__xludf.DUMMYFUNCTION("""COMPUTED_VALUE"""),-12991.402125)</f>
        <v>-12991.40213</v>
      </c>
      <c r="Q1024" s="5"/>
      <c r="R1024" s="71">
        <f>IFERROR(__xludf.DUMMYFUNCTION("""COMPUTED_VALUE"""),170.4)</f>
        <v>170.4</v>
      </c>
      <c r="S1024" s="142">
        <f>IFERROR(__xludf.DUMMYFUNCTION("""COMPUTED_VALUE"""),13355.866800000002)</f>
        <v>13355.8668</v>
      </c>
      <c r="T1024" s="5">
        <f>IFERROR(__xludf.DUMMYFUNCTION("""COMPUTED_VALUE"""),1.0)</f>
        <v>1</v>
      </c>
      <c r="U1024" s="5">
        <f>IFERROR(__xludf.DUMMYFUNCTION("""COMPUTED_VALUE"""),1.0)</f>
        <v>1</v>
      </c>
      <c r="V1024" s="22">
        <f>IFERROR(__xludf.DUMMYFUNCTION("""COMPUTED_VALUE"""),364.4646750000011)</f>
        <v>364.464675</v>
      </c>
      <c r="W1024" s="9" t="str">
        <f>IFERROR(__xludf.DUMMYFUNCTION("""COMPUTED_VALUE"""),"")</f>
        <v/>
      </c>
      <c r="X1024" s="22" t="str">
        <f>IFERROR(__xludf.DUMMYFUNCTION("""COMPUTED_VALUE"""),"")</f>
        <v/>
      </c>
      <c r="Y1024" s="22" t="str">
        <f>IFERROR(__xludf.DUMMYFUNCTION("""COMPUTED_VALUE"""),"")</f>
        <v/>
      </c>
      <c r="Z1024" s="24" t="str">
        <f>IFERROR(__xludf.DUMMYFUNCTION("""COMPUTED_VALUE"""),"")</f>
        <v/>
      </c>
    </row>
    <row r="1025">
      <c r="A1025" s="5" t="str">
        <f>IFERROR(__xludf.DUMMYFUNCTION("""COMPUTED_VALUE"""),"")</f>
        <v/>
      </c>
      <c r="B1025" s="5" t="str">
        <f>IFERROR(__xludf.DUMMYFUNCTION("""COMPUTED_VALUE"""),"84216")</f>
        <v>84216</v>
      </c>
      <c r="C1025" s="9">
        <f>IFERROR(__xludf.DUMMYFUNCTION("""COMPUTED_VALUE"""),4.4663001375E10)</f>
        <v>44663001375</v>
      </c>
      <c r="D1025" s="91" t="str">
        <f>IFERROR(__xludf.DUMMYFUNCTION("""COMPUTED_VALUE"""),"9988.HK")</f>
        <v>9988.HK</v>
      </c>
      <c r="E1025" s="193">
        <f>IFERROR(__xludf.DUMMYFUNCTION("""COMPUTED_VALUE"""),44663.0)</f>
        <v>44663</v>
      </c>
      <c r="F1025" s="5" t="str">
        <f>IFERROR(__xludf.DUMMYFUNCTION("""COMPUTED_VALUE"""),"Stock")</f>
        <v>Stock</v>
      </c>
      <c r="G1025" s="5" t="str">
        <f>IFERROR(__xludf.DUMMYFUNCTION("""COMPUTED_VALUE"""),"HKD")</f>
        <v>HKD</v>
      </c>
      <c r="H1025" s="22">
        <f>IFERROR(__xludf.DUMMYFUNCTION("""COMPUTED_VALUE"""),600.0)</f>
        <v>600</v>
      </c>
      <c r="I1025" s="194">
        <f>IFERROR(__xludf.DUMMYFUNCTION("""COMPUTED_VALUE"""),1.0)</f>
        <v>1</v>
      </c>
      <c r="J1025" s="23">
        <f>IFERROR(__xludf.DUMMYFUNCTION("""COMPUTED_VALUE"""),99.0)</f>
        <v>99</v>
      </c>
      <c r="K1025" s="5"/>
      <c r="L1025" s="23">
        <f>IFERROR(__xludf.DUMMYFUNCTION("""COMPUTED_VALUE"""),98.5)</f>
        <v>98.5</v>
      </c>
      <c r="M1025" s="195" t="str">
        <f>IFERROR(__xludf.DUMMYFUNCTION("""COMPUTED_VALUE"""),"Equity Key Stats")</f>
        <v>Equity Key Stats</v>
      </c>
      <c r="N1025" s="5"/>
      <c r="O1025" s="5"/>
      <c r="P1025" s="142">
        <f>IFERROR(__xludf.DUMMYFUNCTION("""COMPUTED_VALUE"""),-59400.0)</f>
        <v>-59400</v>
      </c>
      <c r="Q1025" s="5"/>
      <c r="R1025" s="71">
        <f>IFERROR(__xludf.DUMMYFUNCTION("""COMPUTED_VALUE"""),98.5)</f>
        <v>98.5</v>
      </c>
      <c r="S1025" s="142">
        <f>IFERROR(__xludf.DUMMYFUNCTION("""COMPUTED_VALUE"""),59100.0)</f>
        <v>59100</v>
      </c>
      <c r="T1025" s="5">
        <f>IFERROR(__xludf.DUMMYFUNCTION("""COMPUTED_VALUE"""),2.0)</f>
        <v>2</v>
      </c>
      <c r="U1025" s="5" t="str">
        <f>IFERROR(__xludf.DUMMYFUNCTION("""COMPUTED_VALUE"""),"")</f>
        <v/>
      </c>
      <c r="V1025" s="22" t="str">
        <f>IFERROR(__xludf.DUMMYFUNCTION("""COMPUTED_VALUE"""),"")</f>
        <v/>
      </c>
      <c r="W1025" s="9" t="str">
        <f>IFERROR(__xludf.DUMMYFUNCTION("""COMPUTED_VALUE"""),"")</f>
        <v/>
      </c>
      <c r="X1025" s="22" t="str">
        <f>IFERROR(__xludf.DUMMYFUNCTION("""COMPUTED_VALUE"""),"")</f>
        <v/>
      </c>
      <c r="Y1025" s="22" t="str">
        <f>IFERROR(__xludf.DUMMYFUNCTION("""COMPUTED_VALUE"""),"")</f>
        <v/>
      </c>
      <c r="Z1025" s="24" t="str">
        <f>IFERROR(__xludf.DUMMYFUNCTION("""COMPUTED_VALUE"""),"")</f>
        <v/>
      </c>
    </row>
    <row r="1026">
      <c r="A1026" s="5" t="str">
        <f>IFERROR(__xludf.DUMMYFUNCTION("""COMPUTED_VALUE"""),"84216")</f>
        <v>84216</v>
      </c>
      <c r="B1026" s="5" t="str">
        <f>IFERROR(__xludf.DUMMYFUNCTION("""COMPUTED_VALUE"""),"84216")</f>
        <v>84216</v>
      </c>
      <c r="C1026" s="9">
        <f>IFERROR(__xludf.DUMMYFUNCTION("""COMPUTED_VALUE"""),4.4663001381E10)</f>
        <v>44663001381</v>
      </c>
      <c r="D1026" s="91" t="str">
        <f>IFERROR(__xludf.DUMMYFUNCTION("""COMPUTED_VALUE"""),"9988.HK")</f>
        <v>9988.HK</v>
      </c>
      <c r="E1026" s="193">
        <f>IFERROR(__xludf.DUMMYFUNCTION("""COMPUTED_VALUE"""),44663.0)</f>
        <v>44663</v>
      </c>
      <c r="F1026" s="5" t="str">
        <f>IFERROR(__xludf.DUMMYFUNCTION("""COMPUTED_VALUE"""),"Stock")</f>
        <v>Stock</v>
      </c>
      <c r="G1026" s="5" t="str">
        <f>IFERROR(__xludf.DUMMYFUNCTION("""COMPUTED_VALUE"""),"HKD")</f>
        <v>HKD</v>
      </c>
      <c r="H1026" s="22">
        <f>IFERROR(__xludf.DUMMYFUNCTION("""COMPUTED_VALUE"""),500.0)</f>
        <v>500</v>
      </c>
      <c r="I1026" s="194">
        <f>IFERROR(__xludf.DUMMYFUNCTION("""COMPUTED_VALUE"""),1.0)</f>
        <v>1</v>
      </c>
      <c r="J1026" s="23">
        <f>IFERROR(__xludf.DUMMYFUNCTION("""COMPUTED_VALUE"""),99.0)</f>
        <v>99</v>
      </c>
      <c r="K1026" s="5"/>
      <c r="L1026" s="23">
        <f>IFERROR(__xludf.DUMMYFUNCTION("""COMPUTED_VALUE"""),98.5)</f>
        <v>98.5</v>
      </c>
      <c r="M1026" s="195" t="str">
        <f>IFERROR(__xludf.DUMMYFUNCTION("""COMPUTED_VALUE"""),"Equity Key Stats")</f>
        <v>Equity Key Stats</v>
      </c>
      <c r="N1026" s="5"/>
      <c r="O1026" s="5"/>
      <c r="P1026" s="142">
        <f>IFERROR(__xludf.DUMMYFUNCTION("""COMPUTED_VALUE"""),-49500.0)</f>
        <v>-49500</v>
      </c>
      <c r="Q1026" s="5"/>
      <c r="R1026" s="71">
        <f>IFERROR(__xludf.DUMMYFUNCTION("""COMPUTED_VALUE"""),98.5)</f>
        <v>98.5</v>
      </c>
      <c r="S1026" s="142">
        <f>IFERROR(__xludf.DUMMYFUNCTION("""COMPUTED_VALUE"""),49250.0)</f>
        <v>49250</v>
      </c>
      <c r="T1026" s="5">
        <f>IFERROR(__xludf.DUMMYFUNCTION("""COMPUTED_VALUE"""),2.0)</f>
        <v>2</v>
      </c>
      <c r="U1026" s="5">
        <f>IFERROR(__xludf.DUMMYFUNCTION("""COMPUTED_VALUE"""),1.0)</f>
        <v>1</v>
      </c>
      <c r="V1026" s="22">
        <f>IFERROR(__xludf.DUMMYFUNCTION("""COMPUTED_VALUE"""),-550.0)</f>
        <v>-550</v>
      </c>
      <c r="W1026" s="9">
        <f>IFERROR(__xludf.DUMMYFUNCTION("""COMPUTED_VALUE"""),492543.98225500004)</f>
        <v>492543.9823</v>
      </c>
      <c r="X1026" s="22">
        <f>IFERROR(__xludf.DUMMYFUNCTION("""COMPUTED_VALUE"""),-140538.74295999997)</f>
        <v>-140538.743</v>
      </c>
      <c r="Y1026" s="22">
        <f>IFERROR(__xludf.DUMMYFUNCTION("""COMPUTED_VALUE"""),140538.74295999997)</f>
        <v>140538.743</v>
      </c>
      <c r="Z1026" s="24">
        <f>IFERROR(__xludf.DUMMYFUNCTION("""COMPUTED_VALUE"""),-0.014912035489999975)</f>
        <v>-0.01491203549</v>
      </c>
    </row>
    <row r="1027">
      <c r="A1027" s="5" t="str">
        <f>IFERROR(__xludf.DUMMYFUNCTION("""COMPUTED_VALUE"""),"89651")</f>
        <v>89651</v>
      </c>
      <c r="B1027" s="5" t="str">
        <f>IFERROR(__xludf.DUMMYFUNCTION("""COMPUTED_VALUE"""),"89651")</f>
        <v>89651</v>
      </c>
      <c r="C1027" s="9">
        <f>IFERROR(__xludf.DUMMYFUNCTION("""COMPUTED_VALUE"""),4.4597000051E10)</f>
        <v>44597000051</v>
      </c>
      <c r="D1027" s="85" t="str">
        <f>IFERROR(__xludf.DUMMYFUNCTION("""COMPUTED_VALUE"""),"Cash")</f>
        <v>Cash</v>
      </c>
      <c r="E1027" s="193">
        <f>IFERROR(__xludf.DUMMYFUNCTION("""COMPUTED_VALUE"""),44597.0)</f>
        <v>44597</v>
      </c>
      <c r="F1027" s="5" t="str">
        <f>IFERROR(__xludf.DUMMYFUNCTION("""COMPUTED_VALUE"""),"Cash")</f>
        <v>Cash</v>
      </c>
      <c r="G1027" s="5" t="str">
        <f>IFERROR(__xludf.DUMMYFUNCTION("""COMPUTED_VALUE"""),"HKD")</f>
        <v>HKD</v>
      </c>
      <c r="H1027" s="22" t="str">
        <f>IFERROR(__xludf.DUMMYFUNCTION("""COMPUTED_VALUE"""),"")</f>
        <v/>
      </c>
      <c r="I1027" s="194">
        <f>IFERROR(__xludf.DUMMYFUNCTION("""COMPUTED_VALUE"""),1.0)</f>
        <v>1</v>
      </c>
      <c r="J1027" s="5">
        <f>IFERROR(__xludf.DUMMYFUNCTION("""COMPUTED_VALUE"""),1.0)</f>
        <v>1</v>
      </c>
      <c r="K1027" s="5"/>
      <c r="L1027" s="23">
        <f>IFERROR(__xludf.DUMMYFUNCTION("""COMPUTED_VALUE"""),1.0)</f>
        <v>1</v>
      </c>
      <c r="M1027" s="25" t="str">
        <f>IFERROR(__xludf.DUMMYFUNCTION("""COMPUTED_VALUE"""),"")</f>
        <v/>
      </c>
      <c r="N1027" s="5"/>
      <c r="O1027" s="5"/>
      <c r="P1027" s="142">
        <f>IFERROR(__xludf.DUMMYFUNCTION("""COMPUTED_VALUE"""),500000.0)</f>
        <v>500000</v>
      </c>
      <c r="Q1027" s="5"/>
      <c r="R1027" s="71">
        <f>IFERROR(__xludf.DUMMYFUNCTION("""COMPUTED_VALUE"""),1.0)</f>
        <v>1</v>
      </c>
      <c r="S1027" s="142" t="str">
        <f>IFERROR(__xludf.DUMMYFUNCTION("""COMPUTED_VALUE"""),"")</f>
        <v/>
      </c>
      <c r="T1027" s="5">
        <f>IFERROR(__xludf.DUMMYFUNCTION("""COMPUTED_VALUE"""),1.0)</f>
        <v>1</v>
      </c>
      <c r="U1027" s="5">
        <f>IFERROR(__xludf.DUMMYFUNCTION("""COMPUTED_VALUE"""),1.0)</f>
        <v>1</v>
      </c>
      <c r="V1027" s="22">
        <f>IFERROR(__xludf.DUMMYFUNCTION("""COMPUTED_VALUE"""),500000.0)</f>
        <v>500000</v>
      </c>
      <c r="W1027" s="9">
        <f>IFERROR(__xludf.DUMMYFUNCTION("""COMPUTED_VALUE"""),500000.0)</f>
        <v>500000</v>
      </c>
      <c r="X1027" s="22">
        <f>IFERROR(__xludf.DUMMYFUNCTION("""COMPUTED_VALUE"""),500000.0)</f>
        <v>500000</v>
      </c>
      <c r="Y1027" s="22">
        <f>IFERROR(__xludf.DUMMYFUNCTION("""COMPUTED_VALUE"""),0.0)</f>
        <v>0</v>
      </c>
      <c r="Z1027" s="24">
        <f>IFERROR(__xludf.DUMMYFUNCTION("""COMPUTED_VALUE"""),0.0)</f>
        <v>0</v>
      </c>
    </row>
    <row r="1028">
      <c r="A1028" s="5" t="str">
        <f>IFERROR(__xludf.DUMMYFUNCTION("""COMPUTED_VALUE"""),"")</f>
        <v/>
      </c>
      <c r="B1028" s="5" t="str">
        <f>IFERROR(__xludf.DUMMYFUNCTION("""COMPUTED_VALUE"""),"89750")</f>
        <v>89750</v>
      </c>
      <c r="C1028" s="9">
        <f>IFERROR(__xludf.DUMMYFUNCTION("""COMPUTED_VALUE"""),4.459700006E10)</f>
        <v>44597000060</v>
      </c>
      <c r="D1028" s="85" t="str">
        <f>IFERROR(__xludf.DUMMYFUNCTION("""COMPUTED_VALUE"""),"Cash")</f>
        <v>Cash</v>
      </c>
      <c r="E1028" s="193">
        <f>IFERROR(__xludf.DUMMYFUNCTION("""COMPUTED_VALUE"""),44597.0)</f>
        <v>44597</v>
      </c>
      <c r="F1028" s="5" t="str">
        <f>IFERROR(__xludf.DUMMYFUNCTION("""COMPUTED_VALUE"""),"Cash")</f>
        <v>Cash</v>
      </c>
      <c r="G1028" s="5" t="str">
        <f>IFERROR(__xludf.DUMMYFUNCTION("""COMPUTED_VALUE"""),"HKD")</f>
        <v>HKD</v>
      </c>
      <c r="H1028" s="22" t="str">
        <f>IFERROR(__xludf.DUMMYFUNCTION("""COMPUTED_VALUE"""),"")</f>
        <v/>
      </c>
      <c r="I1028" s="194">
        <f>IFERROR(__xludf.DUMMYFUNCTION("""COMPUTED_VALUE"""),1.0)</f>
        <v>1</v>
      </c>
      <c r="J1028" s="5">
        <f>IFERROR(__xludf.DUMMYFUNCTION("""COMPUTED_VALUE"""),1.0)</f>
        <v>1</v>
      </c>
      <c r="K1028" s="5"/>
      <c r="L1028" s="23">
        <f>IFERROR(__xludf.DUMMYFUNCTION("""COMPUTED_VALUE"""),1.0)</f>
        <v>1</v>
      </c>
      <c r="M1028" s="25" t="str">
        <f>IFERROR(__xludf.DUMMYFUNCTION("""COMPUTED_VALUE"""),"")</f>
        <v/>
      </c>
      <c r="N1028" s="5"/>
      <c r="O1028" s="5"/>
      <c r="P1028" s="142">
        <f>IFERROR(__xludf.DUMMYFUNCTION("""COMPUTED_VALUE"""),500000.0)</f>
        <v>500000</v>
      </c>
      <c r="Q1028" s="5"/>
      <c r="R1028" s="71">
        <f>IFERROR(__xludf.DUMMYFUNCTION("""COMPUTED_VALUE"""),1.0)</f>
        <v>1</v>
      </c>
      <c r="S1028" s="142" t="str">
        <f>IFERROR(__xludf.DUMMYFUNCTION("""COMPUTED_VALUE"""),"")</f>
        <v/>
      </c>
      <c r="T1028" s="5">
        <f>IFERROR(__xludf.DUMMYFUNCTION("""COMPUTED_VALUE"""),1.0)</f>
        <v>1</v>
      </c>
      <c r="U1028" s="5">
        <f>IFERROR(__xludf.DUMMYFUNCTION("""COMPUTED_VALUE"""),1.0)</f>
        <v>1</v>
      </c>
      <c r="V1028" s="22">
        <f>IFERROR(__xludf.DUMMYFUNCTION("""COMPUTED_VALUE"""),500000.0)</f>
        <v>500000</v>
      </c>
      <c r="W1028" s="9" t="str">
        <f>IFERROR(__xludf.DUMMYFUNCTION("""COMPUTED_VALUE"""),"")</f>
        <v/>
      </c>
      <c r="X1028" s="22" t="str">
        <f>IFERROR(__xludf.DUMMYFUNCTION("""COMPUTED_VALUE"""),"")</f>
        <v/>
      </c>
      <c r="Y1028" s="22" t="str">
        <f>IFERROR(__xludf.DUMMYFUNCTION("""COMPUTED_VALUE"""),"")</f>
        <v/>
      </c>
      <c r="Z1028" s="24" t="str">
        <f>IFERROR(__xludf.DUMMYFUNCTION("""COMPUTED_VALUE"""),"")</f>
        <v/>
      </c>
    </row>
    <row r="1029">
      <c r="A1029" s="5" t="str">
        <f>IFERROR(__xludf.DUMMYFUNCTION("""COMPUTED_VALUE"""),"")</f>
        <v/>
      </c>
      <c r="B1029" s="5" t="str">
        <f>IFERROR(__xludf.DUMMYFUNCTION("""COMPUTED_VALUE"""),"89750")</f>
        <v>89750</v>
      </c>
      <c r="C1029" s="9">
        <f>IFERROR(__xludf.DUMMYFUNCTION("""COMPUTED_VALUE"""),4.4601000137E10)</f>
        <v>44601000137</v>
      </c>
      <c r="D1029" s="90" t="str">
        <f>IFERROR(__xludf.DUMMYFUNCTION("""COMPUTED_VALUE"""),"9698.HK")</f>
        <v>9698.HK</v>
      </c>
      <c r="E1029" s="193">
        <f>IFERROR(__xludf.DUMMYFUNCTION("""COMPUTED_VALUE"""),44601.0)</f>
        <v>44601</v>
      </c>
      <c r="F1029" s="5" t="str">
        <f>IFERROR(__xludf.DUMMYFUNCTION("""COMPUTED_VALUE"""),"Stock")</f>
        <v>Stock</v>
      </c>
      <c r="G1029" s="5" t="str">
        <f>IFERROR(__xludf.DUMMYFUNCTION("""COMPUTED_VALUE"""),"HKD")</f>
        <v>HKD</v>
      </c>
      <c r="H1029" s="22">
        <f>IFERROR(__xludf.DUMMYFUNCTION("""COMPUTED_VALUE"""),0.0)</f>
        <v>0</v>
      </c>
      <c r="I1029" s="194">
        <f>IFERROR(__xludf.DUMMYFUNCTION("""COMPUTED_VALUE"""),1.0)</f>
        <v>1</v>
      </c>
      <c r="J1029" s="23">
        <f>IFERROR(__xludf.DUMMYFUNCTION("""COMPUTED_VALUE"""),0.0)</f>
        <v>0</v>
      </c>
      <c r="K1029" s="5"/>
      <c r="L1029" s="23">
        <f>IFERROR(__xludf.DUMMYFUNCTION("""COMPUTED_VALUE"""),35.6)</f>
        <v>35.6</v>
      </c>
      <c r="M1029" s="195" t="str">
        <f>IFERROR(__xludf.DUMMYFUNCTION("""COMPUTED_VALUE"""),"Equity Key Stats")</f>
        <v>Equity Key Stats</v>
      </c>
      <c r="N1029" s="5"/>
      <c r="O1029" s="5"/>
      <c r="P1029" s="142">
        <f>IFERROR(__xludf.DUMMYFUNCTION("""COMPUTED_VALUE"""),0.0)</f>
        <v>0</v>
      </c>
      <c r="Q1029" s="5"/>
      <c r="R1029" s="71">
        <f>IFERROR(__xludf.DUMMYFUNCTION("""COMPUTED_VALUE"""),35.6)</f>
        <v>35.6</v>
      </c>
      <c r="S1029" s="142">
        <f>IFERROR(__xludf.DUMMYFUNCTION("""COMPUTED_VALUE"""),0.0)</f>
        <v>0</v>
      </c>
      <c r="T1029" s="5">
        <f>IFERROR(__xludf.DUMMYFUNCTION("""COMPUTED_VALUE"""),5.0)</f>
        <v>5</v>
      </c>
      <c r="U1029" s="5" t="str">
        <f>IFERROR(__xludf.DUMMYFUNCTION("""COMPUTED_VALUE"""),"")</f>
        <v/>
      </c>
      <c r="V1029" s="22" t="str">
        <f>IFERROR(__xludf.DUMMYFUNCTION("""COMPUTED_VALUE"""),"")</f>
        <v/>
      </c>
      <c r="W1029" s="9" t="str">
        <f>IFERROR(__xludf.DUMMYFUNCTION("""COMPUTED_VALUE"""),"")</f>
        <v/>
      </c>
      <c r="X1029" s="22" t="str">
        <f>IFERROR(__xludf.DUMMYFUNCTION("""COMPUTED_VALUE"""),"")</f>
        <v/>
      </c>
      <c r="Y1029" s="22" t="str">
        <f>IFERROR(__xludf.DUMMYFUNCTION("""COMPUTED_VALUE"""),"")</f>
        <v/>
      </c>
      <c r="Z1029" s="24" t="str">
        <f>IFERROR(__xludf.DUMMYFUNCTION("""COMPUTED_VALUE"""),"")</f>
        <v/>
      </c>
    </row>
    <row r="1030">
      <c r="A1030" s="5" t="str">
        <f>IFERROR(__xludf.DUMMYFUNCTION("""COMPUTED_VALUE"""),"")</f>
        <v/>
      </c>
      <c r="B1030" s="5" t="str">
        <f>IFERROR(__xludf.DUMMYFUNCTION("""COMPUTED_VALUE"""),"89750")</f>
        <v>89750</v>
      </c>
      <c r="C1030" s="9">
        <f>IFERROR(__xludf.DUMMYFUNCTION("""COMPUTED_VALUE"""),4.4601000138E10)</f>
        <v>44601000138</v>
      </c>
      <c r="D1030" s="90" t="str">
        <f>IFERROR(__xludf.DUMMYFUNCTION("""COMPUTED_VALUE"""),"3690.HK")</f>
        <v>3690.HK</v>
      </c>
      <c r="E1030" s="193">
        <f>IFERROR(__xludf.DUMMYFUNCTION("""COMPUTED_VALUE"""),44601.0)</f>
        <v>44601</v>
      </c>
      <c r="F1030" s="5" t="str">
        <f>IFERROR(__xludf.DUMMYFUNCTION("""COMPUTED_VALUE"""),"Stock")</f>
        <v>Stock</v>
      </c>
      <c r="G1030" s="5" t="str">
        <f>IFERROR(__xludf.DUMMYFUNCTION("""COMPUTED_VALUE"""),"HKD")</f>
        <v>HKD</v>
      </c>
      <c r="H1030" s="22">
        <f>IFERROR(__xludf.DUMMYFUNCTION("""COMPUTED_VALUE"""),500.0)</f>
        <v>500</v>
      </c>
      <c r="I1030" s="194">
        <f>IFERROR(__xludf.DUMMYFUNCTION("""COMPUTED_VALUE"""),1.0)</f>
        <v>1</v>
      </c>
      <c r="J1030" s="23">
        <f>IFERROR(__xludf.DUMMYFUNCTION("""COMPUTED_VALUE"""),229.2)</f>
        <v>229.2</v>
      </c>
      <c r="K1030" s="5"/>
      <c r="L1030" s="23">
        <f>IFERROR(__xludf.DUMMYFUNCTION("""COMPUTED_VALUE"""),154.1)</f>
        <v>154.1</v>
      </c>
      <c r="M1030" s="195" t="str">
        <f>IFERROR(__xludf.DUMMYFUNCTION("""COMPUTED_VALUE"""),"Equity Key Stats")</f>
        <v>Equity Key Stats</v>
      </c>
      <c r="N1030" s="5"/>
      <c r="O1030" s="5"/>
      <c r="P1030" s="142">
        <f>IFERROR(__xludf.DUMMYFUNCTION("""COMPUTED_VALUE"""),-114600.0)</f>
        <v>-114600</v>
      </c>
      <c r="Q1030" s="5"/>
      <c r="R1030" s="71">
        <f>IFERROR(__xludf.DUMMYFUNCTION("""COMPUTED_VALUE"""),154.1)</f>
        <v>154.1</v>
      </c>
      <c r="S1030" s="142">
        <f>IFERROR(__xludf.DUMMYFUNCTION("""COMPUTED_VALUE"""),77050.0)</f>
        <v>77050</v>
      </c>
      <c r="T1030" s="5">
        <f>IFERROR(__xludf.DUMMYFUNCTION("""COMPUTED_VALUE"""),4.0)</f>
        <v>4</v>
      </c>
      <c r="U1030" s="5" t="str">
        <f>IFERROR(__xludf.DUMMYFUNCTION("""COMPUTED_VALUE"""),"")</f>
        <v/>
      </c>
      <c r="V1030" s="22" t="str">
        <f>IFERROR(__xludf.DUMMYFUNCTION("""COMPUTED_VALUE"""),"")</f>
        <v/>
      </c>
      <c r="W1030" s="9" t="str">
        <f>IFERROR(__xludf.DUMMYFUNCTION("""COMPUTED_VALUE"""),"")</f>
        <v/>
      </c>
      <c r="X1030" s="22" t="str">
        <f>IFERROR(__xludf.DUMMYFUNCTION("""COMPUTED_VALUE"""),"")</f>
        <v/>
      </c>
      <c r="Y1030" s="22" t="str">
        <f>IFERROR(__xludf.DUMMYFUNCTION("""COMPUTED_VALUE"""),"")</f>
        <v/>
      </c>
      <c r="Z1030" s="24" t="str">
        <f>IFERROR(__xludf.DUMMYFUNCTION("""COMPUTED_VALUE"""),"")</f>
        <v/>
      </c>
    </row>
    <row r="1031">
      <c r="A1031" s="5" t="str">
        <f>IFERROR(__xludf.DUMMYFUNCTION("""COMPUTED_VALUE"""),"")</f>
        <v/>
      </c>
      <c r="B1031" s="5" t="str">
        <f>IFERROR(__xludf.DUMMYFUNCTION("""COMPUTED_VALUE"""),"89750")</f>
        <v>89750</v>
      </c>
      <c r="C1031" s="9">
        <f>IFERROR(__xludf.DUMMYFUNCTION("""COMPUTED_VALUE"""),4.4601000139E10)</f>
        <v>44601000139</v>
      </c>
      <c r="D1031" s="90" t="str">
        <f>IFERROR(__xludf.DUMMYFUNCTION("""COMPUTED_VALUE"""),"9698.HK")</f>
        <v>9698.HK</v>
      </c>
      <c r="E1031" s="193">
        <f>IFERROR(__xludf.DUMMYFUNCTION("""COMPUTED_VALUE"""),44601.0)</f>
        <v>44601</v>
      </c>
      <c r="F1031" s="5" t="str">
        <f>IFERROR(__xludf.DUMMYFUNCTION("""COMPUTED_VALUE"""),"Stock")</f>
        <v>Stock</v>
      </c>
      <c r="G1031" s="5" t="str">
        <f>IFERROR(__xludf.DUMMYFUNCTION("""COMPUTED_VALUE"""),"HKD")</f>
        <v>HKD</v>
      </c>
      <c r="H1031" s="22">
        <f>IFERROR(__xludf.DUMMYFUNCTION("""COMPUTED_VALUE"""),10000.0)</f>
        <v>10000</v>
      </c>
      <c r="I1031" s="194">
        <f>IFERROR(__xludf.DUMMYFUNCTION("""COMPUTED_VALUE"""),1.0)</f>
        <v>1</v>
      </c>
      <c r="J1031" s="23">
        <f>IFERROR(__xludf.DUMMYFUNCTION("""COMPUTED_VALUE"""),38.75)</f>
        <v>38.75</v>
      </c>
      <c r="K1031" s="5"/>
      <c r="L1031" s="23">
        <f>IFERROR(__xludf.DUMMYFUNCTION("""COMPUTED_VALUE"""),35.6)</f>
        <v>35.6</v>
      </c>
      <c r="M1031" s="195" t="str">
        <f>IFERROR(__xludf.DUMMYFUNCTION("""COMPUTED_VALUE"""),"Equity Key Stats")</f>
        <v>Equity Key Stats</v>
      </c>
      <c r="N1031" s="5"/>
      <c r="O1031" s="5"/>
      <c r="P1031" s="142">
        <f>IFERROR(__xludf.DUMMYFUNCTION("""COMPUTED_VALUE"""),-387500.0)</f>
        <v>-387500</v>
      </c>
      <c r="Q1031" s="5"/>
      <c r="R1031" s="71">
        <f>IFERROR(__xludf.DUMMYFUNCTION("""COMPUTED_VALUE"""),35.6)</f>
        <v>35.6</v>
      </c>
      <c r="S1031" s="142">
        <f>IFERROR(__xludf.DUMMYFUNCTION("""COMPUTED_VALUE"""),356000.0)</f>
        <v>356000</v>
      </c>
      <c r="T1031" s="5">
        <f>IFERROR(__xludf.DUMMYFUNCTION("""COMPUTED_VALUE"""),5.0)</f>
        <v>5</v>
      </c>
      <c r="U1031" s="5" t="str">
        <f>IFERROR(__xludf.DUMMYFUNCTION("""COMPUTED_VALUE"""),"")</f>
        <v/>
      </c>
      <c r="V1031" s="22" t="str">
        <f>IFERROR(__xludf.DUMMYFUNCTION("""COMPUTED_VALUE"""),"")</f>
        <v/>
      </c>
      <c r="W1031" s="9" t="str">
        <f>IFERROR(__xludf.DUMMYFUNCTION("""COMPUTED_VALUE"""),"")</f>
        <v/>
      </c>
      <c r="X1031" s="22" t="str">
        <f>IFERROR(__xludf.DUMMYFUNCTION("""COMPUTED_VALUE"""),"")</f>
        <v/>
      </c>
      <c r="Y1031" s="22" t="str">
        <f>IFERROR(__xludf.DUMMYFUNCTION("""COMPUTED_VALUE"""),"")</f>
        <v/>
      </c>
      <c r="Z1031" s="24" t="str">
        <f>IFERROR(__xludf.DUMMYFUNCTION("""COMPUTED_VALUE"""),"")</f>
        <v/>
      </c>
    </row>
    <row r="1032">
      <c r="A1032" s="5" t="str">
        <f>IFERROR(__xludf.DUMMYFUNCTION("""COMPUTED_VALUE"""),"")</f>
        <v/>
      </c>
      <c r="B1032" s="5" t="str">
        <f>IFERROR(__xludf.DUMMYFUNCTION("""COMPUTED_VALUE"""),"89750")</f>
        <v>89750</v>
      </c>
      <c r="C1032" s="9">
        <f>IFERROR(__xludf.DUMMYFUNCTION("""COMPUTED_VALUE"""),4.4602000151E10)</f>
        <v>44602000151</v>
      </c>
      <c r="D1032" s="90" t="str">
        <f>IFERROR(__xludf.DUMMYFUNCTION("""COMPUTED_VALUE"""),"3690.HK")</f>
        <v>3690.HK</v>
      </c>
      <c r="E1032" s="193">
        <f>IFERROR(__xludf.DUMMYFUNCTION("""COMPUTED_VALUE"""),44602.0)</f>
        <v>44602</v>
      </c>
      <c r="F1032" s="5" t="str">
        <f>IFERROR(__xludf.DUMMYFUNCTION("""COMPUTED_VALUE"""),"Stock")</f>
        <v>Stock</v>
      </c>
      <c r="G1032" s="5" t="str">
        <f>IFERROR(__xludf.DUMMYFUNCTION("""COMPUTED_VALUE"""),"HKD")</f>
        <v>HKD</v>
      </c>
      <c r="H1032" s="22">
        <f>IFERROR(__xludf.DUMMYFUNCTION("""COMPUTED_VALUE"""),-500.0)</f>
        <v>-500</v>
      </c>
      <c r="I1032" s="194">
        <f>IFERROR(__xludf.DUMMYFUNCTION("""COMPUTED_VALUE"""),1.0)</f>
        <v>1</v>
      </c>
      <c r="J1032" s="23">
        <f>IFERROR(__xludf.DUMMYFUNCTION("""COMPUTED_VALUE"""),233.0)</f>
        <v>233</v>
      </c>
      <c r="K1032" s="5"/>
      <c r="L1032" s="23">
        <f>IFERROR(__xludf.DUMMYFUNCTION("""COMPUTED_VALUE"""),154.1)</f>
        <v>154.1</v>
      </c>
      <c r="M1032" s="195" t="str">
        <f>IFERROR(__xludf.DUMMYFUNCTION("""COMPUTED_VALUE"""),"Equity Key Stats")</f>
        <v>Equity Key Stats</v>
      </c>
      <c r="N1032" s="5"/>
      <c r="O1032" s="5"/>
      <c r="P1032" s="142">
        <f>IFERROR(__xludf.DUMMYFUNCTION("""COMPUTED_VALUE"""),116500.0)</f>
        <v>116500</v>
      </c>
      <c r="Q1032" s="5"/>
      <c r="R1032" s="71">
        <f>IFERROR(__xludf.DUMMYFUNCTION("""COMPUTED_VALUE"""),154.1)</f>
        <v>154.1</v>
      </c>
      <c r="S1032" s="142">
        <f>IFERROR(__xludf.DUMMYFUNCTION("""COMPUTED_VALUE"""),-77050.0)</f>
        <v>-77050</v>
      </c>
      <c r="T1032" s="5">
        <f>IFERROR(__xludf.DUMMYFUNCTION("""COMPUTED_VALUE"""),4.0)</f>
        <v>4</v>
      </c>
      <c r="U1032" s="5" t="str">
        <f>IFERROR(__xludf.DUMMYFUNCTION("""COMPUTED_VALUE"""),"")</f>
        <v/>
      </c>
      <c r="V1032" s="22" t="str">
        <f>IFERROR(__xludf.DUMMYFUNCTION("""COMPUTED_VALUE"""),"")</f>
        <v/>
      </c>
      <c r="W1032" s="9" t="str">
        <f>IFERROR(__xludf.DUMMYFUNCTION("""COMPUTED_VALUE"""),"")</f>
        <v/>
      </c>
      <c r="X1032" s="22" t="str">
        <f>IFERROR(__xludf.DUMMYFUNCTION("""COMPUTED_VALUE"""),"")</f>
        <v/>
      </c>
      <c r="Y1032" s="22" t="str">
        <f>IFERROR(__xludf.DUMMYFUNCTION("""COMPUTED_VALUE"""),"")</f>
        <v/>
      </c>
      <c r="Z1032" s="24" t="str">
        <f>IFERROR(__xludf.DUMMYFUNCTION("""COMPUTED_VALUE"""),"")</f>
        <v/>
      </c>
    </row>
    <row r="1033">
      <c r="A1033" s="5" t="str">
        <f>IFERROR(__xludf.DUMMYFUNCTION("""COMPUTED_VALUE"""),"")</f>
        <v/>
      </c>
      <c r="B1033" s="5" t="str">
        <f>IFERROR(__xludf.DUMMYFUNCTION("""COMPUTED_VALUE"""),"89750")</f>
        <v>89750</v>
      </c>
      <c r="C1033" s="9">
        <f>IFERROR(__xludf.DUMMYFUNCTION("""COMPUTED_VALUE"""),4.4603000165E10)</f>
        <v>44603000165</v>
      </c>
      <c r="D1033" s="90" t="str">
        <f>IFERROR(__xludf.DUMMYFUNCTION("""COMPUTED_VALUE"""),"2269.HK")</f>
        <v>2269.HK</v>
      </c>
      <c r="E1033" s="193">
        <f>IFERROR(__xludf.DUMMYFUNCTION("""COMPUTED_VALUE"""),44603.0)</f>
        <v>44603</v>
      </c>
      <c r="F1033" s="5" t="str">
        <f>IFERROR(__xludf.DUMMYFUNCTION("""COMPUTED_VALUE"""),"Stock")</f>
        <v>Stock</v>
      </c>
      <c r="G1033" s="5" t="str">
        <f>IFERROR(__xludf.DUMMYFUNCTION("""COMPUTED_VALUE"""),"HKD")</f>
        <v>HKD</v>
      </c>
      <c r="H1033" s="22">
        <f>IFERROR(__xludf.DUMMYFUNCTION("""COMPUTED_VALUE"""),0.0)</f>
        <v>0</v>
      </c>
      <c r="I1033" s="194">
        <f>IFERROR(__xludf.DUMMYFUNCTION("""COMPUTED_VALUE"""),1.0)</f>
        <v>1</v>
      </c>
      <c r="J1033" s="23">
        <f>IFERROR(__xludf.DUMMYFUNCTION("""COMPUTED_VALUE"""),0.0)</f>
        <v>0</v>
      </c>
      <c r="K1033" s="5"/>
      <c r="L1033" s="23">
        <f>IFERROR(__xludf.DUMMYFUNCTION("""COMPUTED_VALUE"""),61.4)</f>
        <v>61.4</v>
      </c>
      <c r="M1033" s="195" t="str">
        <f>IFERROR(__xludf.DUMMYFUNCTION("""COMPUTED_VALUE"""),"Equity Key Stats")</f>
        <v>Equity Key Stats</v>
      </c>
      <c r="N1033" s="5"/>
      <c r="O1033" s="5"/>
      <c r="P1033" s="142">
        <f>IFERROR(__xludf.DUMMYFUNCTION("""COMPUTED_VALUE"""),0.0)</f>
        <v>0</v>
      </c>
      <c r="Q1033" s="5"/>
      <c r="R1033" s="71">
        <f>IFERROR(__xludf.DUMMYFUNCTION("""COMPUTED_VALUE"""),61.4)</f>
        <v>61.4</v>
      </c>
      <c r="S1033" s="142">
        <f>IFERROR(__xludf.DUMMYFUNCTION("""COMPUTED_VALUE"""),0.0)</f>
        <v>0</v>
      </c>
      <c r="T1033" s="5">
        <f>IFERROR(__xludf.DUMMYFUNCTION("""COMPUTED_VALUE"""),1.0)</f>
        <v>1</v>
      </c>
      <c r="U1033" s="5">
        <f>IFERROR(__xludf.DUMMYFUNCTION("""COMPUTED_VALUE"""),1.0)</f>
        <v>1</v>
      </c>
      <c r="V1033" s="22">
        <f>IFERROR(__xludf.DUMMYFUNCTION("""COMPUTED_VALUE"""),0.0)</f>
        <v>0</v>
      </c>
      <c r="W1033" s="9" t="str">
        <f>IFERROR(__xludf.DUMMYFUNCTION("""COMPUTED_VALUE"""),"")</f>
        <v/>
      </c>
      <c r="X1033" s="22" t="str">
        <f>IFERROR(__xludf.DUMMYFUNCTION("""COMPUTED_VALUE"""),"")</f>
        <v/>
      </c>
      <c r="Y1033" s="22" t="str">
        <f>IFERROR(__xludf.DUMMYFUNCTION("""COMPUTED_VALUE"""),"")</f>
        <v/>
      </c>
      <c r="Z1033" s="24" t="str">
        <f>IFERROR(__xludf.DUMMYFUNCTION("""COMPUTED_VALUE"""),"")</f>
        <v/>
      </c>
    </row>
    <row r="1034">
      <c r="A1034" s="5" t="str">
        <f>IFERROR(__xludf.DUMMYFUNCTION("""COMPUTED_VALUE"""),"")</f>
        <v/>
      </c>
      <c r="B1034" s="5" t="str">
        <f>IFERROR(__xludf.DUMMYFUNCTION("""COMPUTED_VALUE"""),"89750")</f>
        <v>89750</v>
      </c>
      <c r="C1034" s="9">
        <f>IFERROR(__xludf.DUMMYFUNCTION("""COMPUTED_VALUE"""),4.4607000208E10)</f>
        <v>44607000208</v>
      </c>
      <c r="D1034" s="87" t="str">
        <f>IFERROR(__xludf.DUMMYFUNCTION("""COMPUTED_VALUE"""),"UVXY")</f>
        <v>UVXY</v>
      </c>
      <c r="E1034" s="193">
        <f>IFERROR(__xludf.DUMMYFUNCTION("""COMPUTED_VALUE"""),44607.0)</f>
        <v>44607</v>
      </c>
      <c r="F1034" s="5" t="str">
        <f>IFERROR(__xludf.DUMMYFUNCTION("""COMPUTED_VALUE"""),"Stock")</f>
        <v>Stock</v>
      </c>
      <c r="G1034" s="5" t="str">
        <f>IFERROR(__xludf.DUMMYFUNCTION("""COMPUTED_VALUE"""),"USD")</f>
        <v>USD</v>
      </c>
      <c r="H1034" s="22">
        <f>IFERROR(__xludf.DUMMYFUNCTION("""COMPUTED_VALUE"""),500.0)</f>
        <v>500</v>
      </c>
      <c r="I1034" s="194">
        <f>IFERROR(__xludf.DUMMYFUNCTION("""COMPUTED_VALUE"""),7.801355)</f>
        <v>7.801355</v>
      </c>
      <c r="J1034" s="23">
        <f>IFERROR(__xludf.DUMMYFUNCTION("""COMPUTED_VALUE"""),14.89)</f>
        <v>14.89</v>
      </c>
      <c r="K1034" s="5"/>
      <c r="L1034" s="23">
        <f>IFERROR(__xludf.DUMMYFUNCTION("""COMPUTED_VALUE"""),12.93)</f>
        <v>12.93</v>
      </c>
      <c r="M1034" s="195" t="str">
        <f>IFERROR(__xludf.DUMMYFUNCTION("""COMPUTED_VALUE"""),"Equity Key Stats")</f>
        <v>Equity Key Stats</v>
      </c>
      <c r="N1034" s="5"/>
      <c r="O1034" s="5"/>
      <c r="P1034" s="142">
        <f>IFERROR(__xludf.DUMMYFUNCTION("""COMPUTED_VALUE"""),-58081.087975)</f>
        <v>-58081.08798</v>
      </c>
      <c r="Q1034" s="5"/>
      <c r="R1034" s="71">
        <f>IFERROR(__xludf.DUMMYFUNCTION("""COMPUTED_VALUE"""),12.93)</f>
        <v>12.93</v>
      </c>
      <c r="S1034" s="142">
        <f>IFERROR(__xludf.DUMMYFUNCTION("""COMPUTED_VALUE"""),50435.760075)</f>
        <v>50435.76008</v>
      </c>
      <c r="T1034" s="5">
        <f>IFERROR(__xludf.DUMMYFUNCTION("""COMPUTED_VALUE"""),3.0)</f>
        <v>3</v>
      </c>
      <c r="U1034" s="5" t="str">
        <f>IFERROR(__xludf.DUMMYFUNCTION("""COMPUTED_VALUE"""),"")</f>
        <v/>
      </c>
      <c r="V1034" s="22" t="str">
        <f>IFERROR(__xludf.DUMMYFUNCTION("""COMPUTED_VALUE"""),"")</f>
        <v/>
      </c>
      <c r="W1034" s="9" t="str">
        <f>IFERROR(__xludf.DUMMYFUNCTION("""COMPUTED_VALUE"""),"")</f>
        <v/>
      </c>
      <c r="X1034" s="22" t="str">
        <f>IFERROR(__xludf.DUMMYFUNCTION("""COMPUTED_VALUE"""),"")</f>
        <v/>
      </c>
      <c r="Y1034" s="22" t="str">
        <f>IFERROR(__xludf.DUMMYFUNCTION("""COMPUTED_VALUE"""),"")</f>
        <v/>
      </c>
      <c r="Z1034" s="24" t="str">
        <f>IFERROR(__xludf.DUMMYFUNCTION("""COMPUTED_VALUE"""),"")</f>
        <v/>
      </c>
    </row>
    <row r="1035">
      <c r="A1035" s="5" t="str">
        <f>IFERROR(__xludf.DUMMYFUNCTION("""COMPUTED_VALUE"""),"")</f>
        <v/>
      </c>
      <c r="B1035" s="5" t="str">
        <f>IFERROR(__xludf.DUMMYFUNCTION("""COMPUTED_VALUE"""),"89750")</f>
        <v>89750</v>
      </c>
      <c r="C1035" s="9">
        <f>IFERROR(__xludf.DUMMYFUNCTION("""COMPUTED_VALUE"""),4.4608000214E10)</f>
        <v>44608000214</v>
      </c>
      <c r="D1035" s="90" t="str">
        <f>IFERROR(__xludf.DUMMYFUNCTION("""COMPUTED_VALUE"""),"9698.HK")</f>
        <v>9698.HK</v>
      </c>
      <c r="E1035" s="193">
        <f>IFERROR(__xludf.DUMMYFUNCTION("""COMPUTED_VALUE"""),44608.0)</f>
        <v>44608</v>
      </c>
      <c r="F1035" s="5" t="str">
        <f>IFERROR(__xludf.DUMMYFUNCTION("""COMPUTED_VALUE"""),"Stock")</f>
        <v>Stock</v>
      </c>
      <c r="G1035" s="5" t="str">
        <f>IFERROR(__xludf.DUMMYFUNCTION("""COMPUTED_VALUE"""),"HKD")</f>
        <v>HKD</v>
      </c>
      <c r="H1035" s="22">
        <f>IFERROR(__xludf.DUMMYFUNCTION("""COMPUTED_VALUE"""),-9500.0)</f>
        <v>-9500</v>
      </c>
      <c r="I1035" s="194">
        <f>IFERROR(__xludf.DUMMYFUNCTION("""COMPUTED_VALUE"""),1.0)</f>
        <v>1</v>
      </c>
      <c r="J1035" s="23">
        <f>IFERROR(__xludf.DUMMYFUNCTION("""COMPUTED_VALUE"""),44.5)</f>
        <v>44.5</v>
      </c>
      <c r="K1035" s="5"/>
      <c r="L1035" s="23">
        <f>IFERROR(__xludf.DUMMYFUNCTION("""COMPUTED_VALUE"""),35.6)</f>
        <v>35.6</v>
      </c>
      <c r="M1035" s="195" t="str">
        <f>IFERROR(__xludf.DUMMYFUNCTION("""COMPUTED_VALUE"""),"Equity Key Stats")</f>
        <v>Equity Key Stats</v>
      </c>
      <c r="N1035" s="5"/>
      <c r="O1035" s="5"/>
      <c r="P1035" s="142">
        <f>IFERROR(__xludf.DUMMYFUNCTION("""COMPUTED_VALUE"""),422750.0)</f>
        <v>422750</v>
      </c>
      <c r="Q1035" s="5"/>
      <c r="R1035" s="71">
        <f>IFERROR(__xludf.DUMMYFUNCTION("""COMPUTED_VALUE"""),35.6)</f>
        <v>35.6</v>
      </c>
      <c r="S1035" s="142">
        <f>IFERROR(__xludf.DUMMYFUNCTION("""COMPUTED_VALUE"""),-338200.0)</f>
        <v>-338200</v>
      </c>
      <c r="T1035" s="5">
        <f>IFERROR(__xludf.DUMMYFUNCTION("""COMPUTED_VALUE"""),5.0)</f>
        <v>5</v>
      </c>
      <c r="U1035" s="5" t="str">
        <f>IFERROR(__xludf.DUMMYFUNCTION("""COMPUTED_VALUE"""),"")</f>
        <v/>
      </c>
      <c r="V1035" s="22" t="str">
        <f>IFERROR(__xludf.DUMMYFUNCTION("""COMPUTED_VALUE"""),"")</f>
        <v/>
      </c>
      <c r="W1035" s="9" t="str">
        <f>IFERROR(__xludf.DUMMYFUNCTION("""COMPUTED_VALUE"""),"")</f>
        <v/>
      </c>
      <c r="X1035" s="22" t="str">
        <f>IFERROR(__xludf.DUMMYFUNCTION("""COMPUTED_VALUE"""),"")</f>
        <v/>
      </c>
      <c r="Y1035" s="22" t="str">
        <f>IFERROR(__xludf.DUMMYFUNCTION("""COMPUTED_VALUE"""),"")</f>
        <v/>
      </c>
      <c r="Z1035" s="24" t="str">
        <f>IFERROR(__xludf.DUMMYFUNCTION("""COMPUTED_VALUE"""),"")</f>
        <v/>
      </c>
    </row>
    <row r="1036">
      <c r="A1036" s="5" t="str">
        <f>IFERROR(__xludf.DUMMYFUNCTION("""COMPUTED_VALUE"""),"")</f>
        <v/>
      </c>
      <c r="B1036" s="5" t="str">
        <f>IFERROR(__xludf.DUMMYFUNCTION("""COMPUTED_VALUE"""),"89750")</f>
        <v>89750</v>
      </c>
      <c r="C1036" s="9">
        <f>IFERROR(__xludf.DUMMYFUNCTION("""COMPUTED_VALUE"""),4.4609000234E10)</f>
        <v>44609000234</v>
      </c>
      <c r="D1036" s="90" t="str">
        <f>IFERROR(__xludf.DUMMYFUNCTION("""COMPUTED_VALUE"""),"6969.HK")</f>
        <v>6969.HK</v>
      </c>
      <c r="E1036" s="193">
        <f>IFERROR(__xludf.DUMMYFUNCTION("""COMPUTED_VALUE"""),44609.0)</f>
        <v>44609</v>
      </c>
      <c r="F1036" s="5" t="str">
        <f>IFERROR(__xludf.DUMMYFUNCTION("""COMPUTED_VALUE"""),"Stock")</f>
        <v>Stock</v>
      </c>
      <c r="G1036" s="5" t="str">
        <f>IFERROR(__xludf.DUMMYFUNCTION("""COMPUTED_VALUE"""),"HKD")</f>
        <v>HKD</v>
      </c>
      <c r="H1036" s="22">
        <f>IFERROR(__xludf.DUMMYFUNCTION("""COMPUTED_VALUE"""),1000.0)</f>
        <v>1000</v>
      </c>
      <c r="I1036" s="194">
        <f>IFERROR(__xludf.DUMMYFUNCTION("""COMPUTED_VALUE"""),1.0)</f>
        <v>1</v>
      </c>
      <c r="J1036" s="23">
        <f>IFERROR(__xludf.DUMMYFUNCTION("""COMPUTED_VALUE"""),36.0)</f>
        <v>36</v>
      </c>
      <c r="K1036" s="5"/>
      <c r="L1036" s="23">
        <f>IFERROR(__xludf.DUMMYFUNCTION("""COMPUTED_VALUE"""),16.64)</f>
        <v>16.64</v>
      </c>
      <c r="M1036" s="195" t="str">
        <f>IFERROR(__xludf.DUMMYFUNCTION("""COMPUTED_VALUE"""),"Equity Key Stats")</f>
        <v>Equity Key Stats</v>
      </c>
      <c r="N1036" s="5"/>
      <c r="O1036" s="5"/>
      <c r="P1036" s="142">
        <f>IFERROR(__xludf.DUMMYFUNCTION("""COMPUTED_VALUE"""),-36000.0)</f>
        <v>-36000</v>
      </c>
      <c r="Q1036" s="5"/>
      <c r="R1036" s="71">
        <f>IFERROR(__xludf.DUMMYFUNCTION("""COMPUTED_VALUE"""),16.64)</f>
        <v>16.64</v>
      </c>
      <c r="S1036" s="142">
        <f>IFERROR(__xludf.DUMMYFUNCTION("""COMPUTED_VALUE"""),16640.0)</f>
        <v>16640</v>
      </c>
      <c r="T1036" s="5">
        <f>IFERROR(__xludf.DUMMYFUNCTION("""COMPUTED_VALUE"""),3.0)</f>
        <v>3</v>
      </c>
      <c r="U1036" s="5" t="str">
        <f>IFERROR(__xludf.DUMMYFUNCTION("""COMPUTED_VALUE"""),"")</f>
        <v/>
      </c>
      <c r="V1036" s="22" t="str">
        <f>IFERROR(__xludf.DUMMYFUNCTION("""COMPUTED_VALUE"""),"")</f>
        <v/>
      </c>
      <c r="W1036" s="9" t="str">
        <f>IFERROR(__xludf.DUMMYFUNCTION("""COMPUTED_VALUE"""),"")</f>
        <v/>
      </c>
      <c r="X1036" s="22" t="str">
        <f>IFERROR(__xludf.DUMMYFUNCTION("""COMPUTED_VALUE"""),"")</f>
        <v/>
      </c>
      <c r="Y1036" s="22" t="str">
        <f>IFERROR(__xludf.DUMMYFUNCTION("""COMPUTED_VALUE"""),"")</f>
        <v/>
      </c>
      <c r="Z1036" s="24" t="str">
        <f>IFERROR(__xludf.DUMMYFUNCTION("""COMPUTED_VALUE"""),"")</f>
        <v/>
      </c>
    </row>
    <row r="1037">
      <c r="A1037" s="5" t="str">
        <f>IFERROR(__xludf.DUMMYFUNCTION("""COMPUTED_VALUE"""),"")</f>
        <v/>
      </c>
      <c r="B1037" s="5" t="str">
        <f>IFERROR(__xludf.DUMMYFUNCTION("""COMPUTED_VALUE"""),"89750")</f>
        <v>89750</v>
      </c>
      <c r="C1037" s="9">
        <f>IFERROR(__xludf.DUMMYFUNCTION("""COMPUTED_VALUE"""),4.4610000263E10)</f>
        <v>44610000263</v>
      </c>
      <c r="D1037" s="90" t="str">
        <f>IFERROR(__xludf.DUMMYFUNCTION("""COMPUTED_VALUE"""),"6969.HK")</f>
        <v>6969.HK</v>
      </c>
      <c r="E1037" s="193">
        <f>IFERROR(__xludf.DUMMYFUNCTION("""COMPUTED_VALUE"""),44610.0)</f>
        <v>44610</v>
      </c>
      <c r="F1037" s="5" t="str">
        <f>IFERROR(__xludf.DUMMYFUNCTION("""COMPUTED_VALUE"""),"Stock")</f>
        <v>Stock</v>
      </c>
      <c r="G1037" s="5" t="str">
        <f>IFERROR(__xludf.DUMMYFUNCTION("""COMPUTED_VALUE"""),"HKD")</f>
        <v>HKD</v>
      </c>
      <c r="H1037" s="22">
        <f>IFERROR(__xludf.DUMMYFUNCTION("""COMPUTED_VALUE"""),1000.0)</f>
        <v>1000</v>
      </c>
      <c r="I1037" s="194">
        <f>IFERROR(__xludf.DUMMYFUNCTION("""COMPUTED_VALUE"""),1.0)</f>
        <v>1</v>
      </c>
      <c r="J1037" s="23">
        <f>IFERROR(__xludf.DUMMYFUNCTION("""COMPUTED_VALUE"""),35.5)</f>
        <v>35.5</v>
      </c>
      <c r="K1037" s="5"/>
      <c r="L1037" s="23">
        <f>IFERROR(__xludf.DUMMYFUNCTION("""COMPUTED_VALUE"""),16.64)</f>
        <v>16.64</v>
      </c>
      <c r="M1037" s="195" t="str">
        <f>IFERROR(__xludf.DUMMYFUNCTION("""COMPUTED_VALUE"""),"Equity Key Stats")</f>
        <v>Equity Key Stats</v>
      </c>
      <c r="N1037" s="5"/>
      <c r="O1037" s="5"/>
      <c r="P1037" s="142">
        <f>IFERROR(__xludf.DUMMYFUNCTION("""COMPUTED_VALUE"""),-35500.0)</f>
        <v>-35500</v>
      </c>
      <c r="Q1037" s="5"/>
      <c r="R1037" s="71">
        <f>IFERROR(__xludf.DUMMYFUNCTION("""COMPUTED_VALUE"""),16.64)</f>
        <v>16.64</v>
      </c>
      <c r="S1037" s="142">
        <f>IFERROR(__xludf.DUMMYFUNCTION("""COMPUTED_VALUE"""),16640.0)</f>
        <v>16640</v>
      </c>
      <c r="T1037" s="5">
        <f>IFERROR(__xludf.DUMMYFUNCTION("""COMPUTED_VALUE"""),3.0)</f>
        <v>3</v>
      </c>
      <c r="U1037" s="5" t="str">
        <f>IFERROR(__xludf.DUMMYFUNCTION("""COMPUTED_VALUE"""),"")</f>
        <v/>
      </c>
      <c r="V1037" s="22" t="str">
        <f>IFERROR(__xludf.DUMMYFUNCTION("""COMPUTED_VALUE"""),"")</f>
        <v/>
      </c>
      <c r="W1037" s="9" t="str">
        <f>IFERROR(__xludf.DUMMYFUNCTION("""COMPUTED_VALUE"""),"")</f>
        <v/>
      </c>
      <c r="X1037" s="22" t="str">
        <f>IFERROR(__xludf.DUMMYFUNCTION("""COMPUTED_VALUE"""),"")</f>
        <v/>
      </c>
      <c r="Y1037" s="22" t="str">
        <f>IFERROR(__xludf.DUMMYFUNCTION("""COMPUTED_VALUE"""),"")</f>
        <v/>
      </c>
      <c r="Z1037" s="24" t="str">
        <f>IFERROR(__xludf.DUMMYFUNCTION("""COMPUTED_VALUE"""),"")</f>
        <v/>
      </c>
    </row>
    <row r="1038">
      <c r="A1038" s="5" t="str">
        <f>IFERROR(__xludf.DUMMYFUNCTION("""COMPUTED_VALUE"""),"")</f>
        <v/>
      </c>
      <c r="B1038" s="5" t="str">
        <f>IFERROR(__xludf.DUMMYFUNCTION("""COMPUTED_VALUE"""),"89750")</f>
        <v>89750</v>
      </c>
      <c r="C1038" s="9">
        <f>IFERROR(__xludf.DUMMYFUNCTION("""COMPUTED_VALUE"""),4.4610000279E10)</f>
        <v>44610000279</v>
      </c>
      <c r="D1038" s="87" t="str">
        <f>IFERROR(__xludf.DUMMYFUNCTION("""COMPUTED_VALUE"""),"SOFI")</f>
        <v>SOFI</v>
      </c>
      <c r="E1038" s="193">
        <f>IFERROR(__xludf.DUMMYFUNCTION("""COMPUTED_VALUE"""),44610.0)</f>
        <v>44610</v>
      </c>
      <c r="F1038" s="5" t="str">
        <f>IFERROR(__xludf.DUMMYFUNCTION("""COMPUTED_VALUE"""),"Stock")</f>
        <v>Stock</v>
      </c>
      <c r="G1038" s="5" t="str">
        <f>IFERROR(__xludf.DUMMYFUNCTION("""COMPUTED_VALUE"""),"USD")</f>
        <v>USD</v>
      </c>
      <c r="H1038" s="22">
        <f>IFERROR(__xludf.DUMMYFUNCTION("""COMPUTED_VALUE"""),50.0)</f>
        <v>50</v>
      </c>
      <c r="I1038" s="194">
        <f>IFERROR(__xludf.DUMMYFUNCTION("""COMPUTED_VALUE"""),7.80051)</f>
        <v>7.80051</v>
      </c>
      <c r="J1038" s="23">
        <f>IFERROR(__xludf.DUMMYFUNCTION("""COMPUTED_VALUE"""),11.39)</f>
        <v>11.39</v>
      </c>
      <c r="K1038" s="5"/>
      <c r="L1038" s="23">
        <f>IFERROR(__xludf.DUMMYFUNCTION("""COMPUTED_VALUE"""),7.61)</f>
        <v>7.61</v>
      </c>
      <c r="M1038" s="195" t="str">
        <f>IFERROR(__xludf.DUMMYFUNCTION("""COMPUTED_VALUE"""),"Equity Key Stats")</f>
        <v>Equity Key Stats</v>
      </c>
      <c r="N1038" s="5"/>
      <c r="O1038" s="5"/>
      <c r="P1038" s="142">
        <f>IFERROR(__xludf.DUMMYFUNCTION("""COMPUTED_VALUE"""),-4442.390445000001)</f>
        <v>-4442.390445</v>
      </c>
      <c r="Q1038" s="5"/>
      <c r="R1038" s="71">
        <f>IFERROR(__xludf.DUMMYFUNCTION("""COMPUTED_VALUE"""),7.61)</f>
        <v>7.61</v>
      </c>
      <c r="S1038" s="142">
        <f>IFERROR(__xludf.DUMMYFUNCTION("""COMPUTED_VALUE"""),2968.0940550000005)</f>
        <v>2968.094055</v>
      </c>
      <c r="T1038" s="5">
        <f>IFERROR(__xludf.DUMMYFUNCTION("""COMPUTED_VALUE"""),4.0)</f>
        <v>4</v>
      </c>
      <c r="U1038" s="5" t="str">
        <f>IFERROR(__xludf.DUMMYFUNCTION("""COMPUTED_VALUE"""),"")</f>
        <v/>
      </c>
      <c r="V1038" s="22" t="str">
        <f>IFERROR(__xludf.DUMMYFUNCTION("""COMPUTED_VALUE"""),"")</f>
        <v/>
      </c>
      <c r="W1038" s="9" t="str">
        <f>IFERROR(__xludf.DUMMYFUNCTION("""COMPUTED_VALUE"""),"")</f>
        <v/>
      </c>
      <c r="X1038" s="22" t="str">
        <f>IFERROR(__xludf.DUMMYFUNCTION("""COMPUTED_VALUE"""),"")</f>
        <v/>
      </c>
      <c r="Y1038" s="22" t="str">
        <f>IFERROR(__xludf.DUMMYFUNCTION("""COMPUTED_VALUE"""),"")</f>
        <v/>
      </c>
      <c r="Z1038" s="24" t="str">
        <f>IFERROR(__xludf.DUMMYFUNCTION("""COMPUTED_VALUE"""),"")</f>
        <v/>
      </c>
    </row>
    <row r="1039">
      <c r="A1039" s="5" t="str">
        <f>IFERROR(__xludf.DUMMYFUNCTION("""COMPUTED_VALUE"""),"")</f>
        <v/>
      </c>
      <c r="B1039" s="5" t="str">
        <f>IFERROR(__xludf.DUMMYFUNCTION("""COMPUTED_VALUE"""),"89750")</f>
        <v>89750</v>
      </c>
      <c r="C1039" s="9">
        <f>IFERROR(__xludf.DUMMYFUNCTION("""COMPUTED_VALUE"""),4.461000028E10)</f>
        <v>44610000280</v>
      </c>
      <c r="D1039" s="87" t="str">
        <f>IFERROR(__xludf.DUMMYFUNCTION("""COMPUTED_VALUE"""),"UVXY")</f>
        <v>UVXY</v>
      </c>
      <c r="E1039" s="193">
        <f>IFERROR(__xludf.DUMMYFUNCTION("""COMPUTED_VALUE"""),44610.0)</f>
        <v>44610</v>
      </c>
      <c r="F1039" s="5" t="str">
        <f>IFERROR(__xludf.DUMMYFUNCTION("""COMPUTED_VALUE"""),"Stock")</f>
        <v>Stock</v>
      </c>
      <c r="G1039" s="5" t="str">
        <f>IFERROR(__xludf.DUMMYFUNCTION("""COMPUTED_VALUE"""),"USD")</f>
        <v>USD</v>
      </c>
      <c r="H1039" s="22">
        <f>IFERROR(__xludf.DUMMYFUNCTION("""COMPUTED_VALUE"""),-450.0)</f>
        <v>-450</v>
      </c>
      <c r="I1039" s="194">
        <f>IFERROR(__xludf.DUMMYFUNCTION("""COMPUTED_VALUE"""),7.80051)</f>
        <v>7.80051</v>
      </c>
      <c r="J1039" s="23">
        <f>IFERROR(__xludf.DUMMYFUNCTION("""COMPUTED_VALUE"""),17.005)</f>
        <v>17.005</v>
      </c>
      <c r="K1039" s="5"/>
      <c r="L1039" s="23">
        <f>IFERROR(__xludf.DUMMYFUNCTION("""COMPUTED_VALUE"""),12.93)</f>
        <v>12.93</v>
      </c>
      <c r="M1039" s="195" t="str">
        <f>IFERROR(__xludf.DUMMYFUNCTION("""COMPUTED_VALUE"""),"Equity Key Stats")</f>
        <v>Equity Key Stats</v>
      </c>
      <c r="N1039" s="5"/>
      <c r="O1039" s="5"/>
      <c r="P1039" s="142">
        <f>IFERROR(__xludf.DUMMYFUNCTION("""COMPUTED_VALUE"""),59691.452647499995)</f>
        <v>59691.45265</v>
      </c>
      <c r="Q1039" s="5"/>
      <c r="R1039" s="71">
        <f>IFERROR(__xludf.DUMMYFUNCTION("""COMPUTED_VALUE"""),12.93)</f>
        <v>12.93</v>
      </c>
      <c r="S1039" s="142">
        <f>IFERROR(__xludf.DUMMYFUNCTION("""COMPUTED_VALUE"""),-45387.267434999994)</f>
        <v>-45387.26744</v>
      </c>
      <c r="T1039" s="5">
        <f>IFERROR(__xludf.DUMMYFUNCTION("""COMPUTED_VALUE"""),3.0)</f>
        <v>3</v>
      </c>
      <c r="U1039" s="5" t="str">
        <f>IFERROR(__xludf.DUMMYFUNCTION("""COMPUTED_VALUE"""),"")</f>
        <v/>
      </c>
      <c r="V1039" s="22" t="str">
        <f>IFERROR(__xludf.DUMMYFUNCTION("""COMPUTED_VALUE"""),"")</f>
        <v/>
      </c>
      <c r="W1039" s="9" t="str">
        <f>IFERROR(__xludf.DUMMYFUNCTION("""COMPUTED_VALUE"""),"")</f>
        <v/>
      </c>
      <c r="X1039" s="22" t="str">
        <f>IFERROR(__xludf.DUMMYFUNCTION("""COMPUTED_VALUE"""),"")</f>
        <v/>
      </c>
      <c r="Y1039" s="22" t="str">
        <f>IFERROR(__xludf.DUMMYFUNCTION("""COMPUTED_VALUE"""),"")</f>
        <v/>
      </c>
      <c r="Z1039" s="24" t="str">
        <f>IFERROR(__xludf.DUMMYFUNCTION("""COMPUTED_VALUE"""),"")</f>
        <v/>
      </c>
    </row>
    <row r="1040">
      <c r="A1040" s="5" t="str">
        <f>IFERROR(__xludf.DUMMYFUNCTION("""COMPUTED_VALUE"""),"")</f>
        <v/>
      </c>
      <c r="B1040" s="5" t="str">
        <f>IFERROR(__xludf.DUMMYFUNCTION("""COMPUTED_VALUE"""),"89750")</f>
        <v>89750</v>
      </c>
      <c r="C1040" s="9">
        <f>IFERROR(__xludf.DUMMYFUNCTION("""COMPUTED_VALUE"""),4.4610000281E10)</f>
        <v>44610000281</v>
      </c>
      <c r="D1040" s="87" t="str">
        <f>IFERROR(__xludf.DUMMYFUNCTION("""COMPUTED_VALUE"""),"SOXL")</f>
        <v>SOXL</v>
      </c>
      <c r="E1040" s="193">
        <f>IFERROR(__xludf.DUMMYFUNCTION("""COMPUTED_VALUE"""),44610.0)</f>
        <v>44610</v>
      </c>
      <c r="F1040" s="5" t="str">
        <f>IFERROR(__xludf.DUMMYFUNCTION("""COMPUTED_VALUE"""),"Stock")</f>
        <v>Stock</v>
      </c>
      <c r="G1040" s="5" t="str">
        <f>IFERROR(__xludf.DUMMYFUNCTION("""COMPUTED_VALUE"""),"USD")</f>
        <v>USD</v>
      </c>
      <c r="H1040" s="22">
        <f>IFERROR(__xludf.DUMMYFUNCTION("""COMPUTED_VALUE"""),20.0)</f>
        <v>20</v>
      </c>
      <c r="I1040" s="194">
        <f>IFERROR(__xludf.DUMMYFUNCTION("""COMPUTED_VALUE"""),7.80051)</f>
        <v>7.80051</v>
      </c>
      <c r="J1040" s="23">
        <f>IFERROR(__xludf.DUMMYFUNCTION("""COMPUTED_VALUE"""),39.63)</f>
        <v>39.63</v>
      </c>
      <c r="K1040" s="5"/>
      <c r="L1040" s="23">
        <f>IFERROR(__xludf.DUMMYFUNCTION("""COMPUTED_VALUE"""),28.05)</f>
        <v>28.05</v>
      </c>
      <c r="M1040" s="195" t="str">
        <f>IFERROR(__xludf.DUMMYFUNCTION("""COMPUTED_VALUE"""),"Equity Key Stats")</f>
        <v>Equity Key Stats</v>
      </c>
      <c r="N1040" s="5"/>
      <c r="O1040" s="5"/>
      <c r="P1040" s="142">
        <f>IFERROR(__xludf.DUMMYFUNCTION("""COMPUTED_VALUE"""),-6182.684226)</f>
        <v>-6182.684226</v>
      </c>
      <c r="Q1040" s="5"/>
      <c r="R1040" s="71">
        <f>IFERROR(__xludf.DUMMYFUNCTION("""COMPUTED_VALUE"""),28.05)</f>
        <v>28.05</v>
      </c>
      <c r="S1040" s="142">
        <f>IFERROR(__xludf.DUMMYFUNCTION("""COMPUTED_VALUE"""),4376.08611)</f>
        <v>4376.08611</v>
      </c>
      <c r="T1040" s="5">
        <f>IFERROR(__xludf.DUMMYFUNCTION("""COMPUTED_VALUE"""),4.0)</f>
        <v>4</v>
      </c>
      <c r="U1040" s="5" t="str">
        <f>IFERROR(__xludf.DUMMYFUNCTION("""COMPUTED_VALUE"""),"")</f>
        <v/>
      </c>
      <c r="V1040" s="22" t="str">
        <f>IFERROR(__xludf.DUMMYFUNCTION("""COMPUTED_VALUE"""),"")</f>
        <v/>
      </c>
      <c r="W1040" s="9" t="str">
        <f>IFERROR(__xludf.DUMMYFUNCTION("""COMPUTED_VALUE"""),"")</f>
        <v/>
      </c>
      <c r="X1040" s="22" t="str">
        <f>IFERROR(__xludf.DUMMYFUNCTION("""COMPUTED_VALUE"""),"")</f>
        <v/>
      </c>
      <c r="Y1040" s="22" t="str">
        <f>IFERROR(__xludf.DUMMYFUNCTION("""COMPUTED_VALUE"""),"")</f>
        <v/>
      </c>
      <c r="Z1040" s="24" t="str">
        <f>IFERROR(__xludf.DUMMYFUNCTION("""COMPUTED_VALUE"""),"")</f>
        <v/>
      </c>
    </row>
    <row r="1041">
      <c r="A1041" s="5" t="str">
        <f>IFERROR(__xludf.DUMMYFUNCTION("""COMPUTED_VALUE"""),"")</f>
        <v/>
      </c>
      <c r="B1041" s="5" t="str">
        <f>IFERROR(__xludf.DUMMYFUNCTION("""COMPUTED_VALUE"""),"89750")</f>
        <v>89750</v>
      </c>
      <c r="C1041" s="9">
        <f>IFERROR(__xludf.DUMMYFUNCTION("""COMPUTED_VALUE"""),4.4613000295E10)</f>
        <v>44613000295</v>
      </c>
      <c r="D1041" s="90" t="str">
        <f>IFERROR(__xludf.DUMMYFUNCTION("""COMPUTED_VALUE"""),"9698.HK")</f>
        <v>9698.HK</v>
      </c>
      <c r="E1041" s="193">
        <f>IFERROR(__xludf.DUMMYFUNCTION("""COMPUTED_VALUE"""),44613.0)</f>
        <v>44613</v>
      </c>
      <c r="F1041" s="5" t="str">
        <f>IFERROR(__xludf.DUMMYFUNCTION("""COMPUTED_VALUE"""),"Stock")</f>
        <v>Stock</v>
      </c>
      <c r="G1041" s="5" t="str">
        <f>IFERROR(__xludf.DUMMYFUNCTION("""COMPUTED_VALUE"""),"HKD")</f>
        <v>HKD</v>
      </c>
      <c r="H1041" s="22">
        <f>IFERROR(__xludf.DUMMYFUNCTION("""COMPUTED_VALUE"""),1500.0)</f>
        <v>1500</v>
      </c>
      <c r="I1041" s="194">
        <f>IFERROR(__xludf.DUMMYFUNCTION("""COMPUTED_VALUE"""),1.0)</f>
        <v>1</v>
      </c>
      <c r="J1041" s="23">
        <f>IFERROR(__xludf.DUMMYFUNCTION("""COMPUTED_VALUE"""),42.25)</f>
        <v>42.25</v>
      </c>
      <c r="K1041" s="5"/>
      <c r="L1041" s="23">
        <f>IFERROR(__xludf.DUMMYFUNCTION("""COMPUTED_VALUE"""),35.6)</f>
        <v>35.6</v>
      </c>
      <c r="M1041" s="195" t="str">
        <f>IFERROR(__xludf.DUMMYFUNCTION("""COMPUTED_VALUE"""),"Equity Key Stats")</f>
        <v>Equity Key Stats</v>
      </c>
      <c r="N1041" s="5"/>
      <c r="O1041" s="5"/>
      <c r="P1041" s="142">
        <f>IFERROR(__xludf.DUMMYFUNCTION("""COMPUTED_VALUE"""),-63375.0)</f>
        <v>-63375</v>
      </c>
      <c r="Q1041" s="5"/>
      <c r="R1041" s="71">
        <f>IFERROR(__xludf.DUMMYFUNCTION("""COMPUTED_VALUE"""),35.6)</f>
        <v>35.6</v>
      </c>
      <c r="S1041" s="142">
        <f>IFERROR(__xludf.DUMMYFUNCTION("""COMPUTED_VALUE"""),53400.0)</f>
        <v>53400</v>
      </c>
      <c r="T1041" s="5">
        <f>IFERROR(__xludf.DUMMYFUNCTION("""COMPUTED_VALUE"""),5.0)</f>
        <v>5</v>
      </c>
      <c r="U1041" s="5" t="str">
        <f>IFERROR(__xludf.DUMMYFUNCTION("""COMPUTED_VALUE"""),"")</f>
        <v/>
      </c>
      <c r="V1041" s="22" t="str">
        <f>IFERROR(__xludf.DUMMYFUNCTION("""COMPUTED_VALUE"""),"")</f>
        <v/>
      </c>
      <c r="W1041" s="9" t="str">
        <f>IFERROR(__xludf.DUMMYFUNCTION("""COMPUTED_VALUE"""),"")</f>
        <v/>
      </c>
      <c r="X1041" s="22" t="str">
        <f>IFERROR(__xludf.DUMMYFUNCTION("""COMPUTED_VALUE"""),"")</f>
        <v/>
      </c>
      <c r="Y1041" s="22" t="str">
        <f>IFERROR(__xludf.DUMMYFUNCTION("""COMPUTED_VALUE"""),"")</f>
        <v/>
      </c>
      <c r="Z1041" s="24" t="str">
        <f>IFERROR(__xludf.DUMMYFUNCTION("""COMPUTED_VALUE"""),"")</f>
        <v/>
      </c>
    </row>
    <row r="1042">
      <c r="A1042" s="5" t="str">
        <f>IFERROR(__xludf.DUMMYFUNCTION("""COMPUTED_VALUE"""),"")</f>
        <v/>
      </c>
      <c r="B1042" s="5" t="str">
        <f>IFERROR(__xludf.DUMMYFUNCTION("""COMPUTED_VALUE"""),"89750")</f>
        <v>89750</v>
      </c>
      <c r="C1042" s="9">
        <f>IFERROR(__xludf.DUMMYFUNCTION("""COMPUTED_VALUE"""),4.4614000296E10)</f>
        <v>44614000296</v>
      </c>
      <c r="D1042" s="87" t="str">
        <f>IFERROR(__xludf.DUMMYFUNCTION("""COMPUTED_VALUE"""),"UVXY")</f>
        <v>UVXY</v>
      </c>
      <c r="E1042" s="193">
        <f>IFERROR(__xludf.DUMMYFUNCTION("""COMPUTED_VALUE"""),44614.0)</f>
        <v>44614</v>
      </c>
      <c r="F1042" s="5" t="str">
        <f>IFERROR(__xludf.DUMMYFUNCTION("""COMPUTED_VALUE"""),"Stock")</f>
        <v>Stock</v>
      </c>
      <c r="G1042" s="5" t="str">
        <f>IFERROR(__xludf.DUMMYFUNCTION("""COMPUTED_VALUE"""),"USD")</f>
        <v>USD</v>
      </c>
      <c r="H1042" s="22">
        <f>IFERROR(__xludf.DUMMYFUNCTION("""COMPUTED_VALUE"""),-50.0)</f>
        <v>-50</v>
      </c>
      <c r="I1042" s="194">
        <f>IFERROR(__xludf.DUMMYFUNCTION("""COMPUTED_VALUE"""),7.80175)</f>
        <v>7.80175</v>
      </c>
      <c r="J1042" s="23">
        <f>IFERROR(__xludf.DUMMYFUNCTION("""COMPUTED_VALUE"""),16.82)</f>
        <v>16.82</v>
      </c>
      <c r="K1042" s="5"/>
      <c r="L1042" s="23">
        <f>IFERROR(__xludf.DUMMYFUNCTION("""COMPUTED_VALUE"""),12.93)</f>
        <v>12.93</v>
      </c>
      <c r="M1042" s="195" t="str">
        <f>IFERROR(__xludf.DUMMYFUNCTION("""COMPUTED_VALUE"""),"Equity Key Stats")</f>
        <v>Equity Key Stats</v>
      </c>
      <c r="N1042" s="5"/>
      <c r="O1042" s="5"/>
      <c r="P1042" s="142">
        <f>IFERROR(__xludf.DUMMYFUNCTION("""COMPUTED_VALUE"""),6561.271750000001)</f>
        <v>6561.27175</v>
      </c>
      <c r="Q1042" s="5"/>
      <c r="R1042" s="71">
        <f>IFERROR(__xludf.DUMMYFUNCTION("""COMPUTED_VALUE"""),12.93)</f>
        <v>12.93</v>
      </c>
      <c r="S1042" s="142">
        <f>IFERROR(__xludf.DUMMYFUNCTION("""COMPUTED_VALUE"""),-5043.831375000001)</f>
        <v>-5043.831375</v>
      </c>
      <c r="T1042" s="5">
        <f>IFERROR(__xludf.DUMMYFUNCTION("""COMPUTED_VALUE"""),3.0)</f>
        <v>3</v>
      </c>
      <c r="U1042" s="5">
        <f>IFERROR(__xludf.DUMMYFUNCTION("""COMPUTED_VALUE"""),1.0)</f>
        <v>1</v>
      </c>
      <c r="V1042" s="22">
        <f>IFERROR(__xludf.DUMMYFUNCTION("""COMPUTED_VALUE"""),8176.297687499997)</f>
        <v>8176.297688</v>
      </c>
      <c r="W1042" s="9" t="str">
        <f>IFERROR(__xludf.DUMMYFUNCTION("""COMPUTED_VALUE"""),"")</f>
        <v/>
      </c>
      <c r="X1042" s="22" t="str">
        <f>IFERROR(__xludf.DUMMYFUNCTION("""COMPUTED_VALUE"""),"")</f>
        <v/>
      </c>
      <c r="Y1042" s="22" t="str">
        <f>IFERROR(__xludf.DUMMYFUNCTION("""COMPUTED_VALUE"""),"")</f>
        <v/>
      </c>
      <c r="Z1042" s="24" t="str">
        <f>IFERROR(__xludf.DUMMYFUNCTION("""COMPUTED_VALUE"""),"")</f>
        <v/>
      </c>
    </row>
    <row r="1043">
      <c r="A1043" s="5" t="str">
        <f>IFERROR(__xludf.DUMMYFUNCTION("""COMPUTED_VALUE"""),"")</f>
        <v/>
      </c>
      <c r="B1043" s="5" t="str">
        <f>IFERROR(__xludf.DUMMYFUNCTION("""COMPUTED_VALUE"""),"89750")</f>
        <v>89750</v>
      </c>
      <c r="C1043" s="9">
        <f>IFERROR(__xludf.DUMMYFUNCTION("""COMPUTED_VALUE"""),4.4614000297E10)</f>
        <v>44614000297</v>
      </c>
      <c r="D1043" s="87" t="str">
        <f>IFERROR(__xludf.DUMMYFUNCTION("""COMPUTED_VALUE"""),"SOFI")</f>
        <v>SOFI</v>
      </c>
      <c r="E1043" s="193">
        <f>IFERROR(__xludf.DUMMYFUNCTION("""COMPUTED_VALUE"""),44614.0)</f>
        <v>44614</v>
      </c>
      <c r="F1043" s="5" t="str">
        <f>IFERROR(__xludf.DUMMYFUNCTION("""COMPUTED_VALUE"""),"Stock")</f>
        <v>Stock</v>
      </c>
      <c r="G1043" s="5" t="str">
        <f>IFERROR(__xludf.DUMMYFUNCTION("""COMPUTED_VALUE"""),"USD")</f>
        <v>USD</v>
      </c>
      <c r="H1043" s="22">
        <f>IFERROR(__xludf.DUMMYFUNCTION("""COMPUTED_VALUE"""),20.0)</f>
        <v>20</v>
      </c>
      <c r="I1043" s="194">
        <f>IFERROR(__xludf.DUMMYFUNCTION("""COMPUTED_VALUE"""),7.80175)</f>
        <v>7.80175</v>
      </c>
      <c r="J1043" s="23">
        <f>IFERROR(__xludf.DUMMYFUNCTION("""COMPUTED_VALUE"""),10.26)</f>
        <v>10.26</v>
      </c>
      <c r="K1043" s="5"/>
      <c r="L1043" s="23">
        <f>IFERROR(__xludf.DUMMYFUNCTION("""COMPUTED_VALUE"""),7.61)</f>
        <v>7.61</v>
      </c>
      <c r="M1043" s="195" t="str">
        <f>IFERROR(__xludf.DUMMYFUNCTION("""COMPUTED_VALUE"""),"Equity Key Stats")</f>
        <v>Equity Key Stats</v>
      </c>
      <c r="N1043" s="5"/>
      <c r="O1043" s="5"/>
      <c r="P1043" s="142">
        <f>IFERROR(__xludf.DUMMYFUNCTION("""COMPUTED_VALUE"""),-1600.9190999999998)</f>
        <v>-1600.9191</v>
      </c>
      <c r="Q1043" s="5"/>
      <c r="R1043" s="71">
        <f>IFERROR(__xludf.DUMMYFUNCTION("""COMPUTED_VALUE"""),7.61)</f>
        <v>7.61</v>
      </c>
      <c r="S1043" s="142">
        <f>IFERROR(__xludf.DUMMYFUNCTION("""COMPUTED_VALUE"""),1187.42635)</f>
        <v>1187.42635</v>
      </c>
      <c r="T1043" s="5">
        <f>IFERROR(__xludf.DUMMYFUNCTION("""COMPUTED_VALUE"""),4.0)</f>
        <v>4</v>
      </c>
      <c r="U1043" s="5" t="str">
        <f>IFERROR(__xludf.DUMMYFUNCTION("""COMPUTED_VALUE"""),"")</f>
        <v/>
      </c>
      <c r="V1043" s="22" t="str">
        <f>IFERROR(__xludf.DUMMYFUNCTION("""COMPUTED_VALUE"""),"")</f>
        <v/>
      </c>
      <c r="W1043" s="9" t="str">
        <f>IFERROR(__xludf.DUMMYFUNCTION("""COMPUTED_VALUE"""),"")</f>
        <v/>
      </c>
      <c r="X1043" s="22" t="str">
        <f>IFERROR(__xludf.DUMMYFUNCTION("""COMPUTED_VALUE"""),"")</f>
        <v/>
      </c>
      <c r="Y1043" s="22" t="str">
        <f>IFERROR(__xludf.DUMMYFUNCTION("""COMPUTED_VALUE"""),"")</f>
        <v/>
      </c>
      <c r="Z1043" s="24" t="str">
        <f>IFERROR(__xludf.DUMMYFUNCTION("""COMPUTED_VALUE"""),"")</f>
        <v/>
      </c>
    </row>
    <row r="1044">
      <c r="A1044" s="5" t="str">
        <f>IFERROR(__xludf.DUMMYFUNCTION("""COMPUTED_VALUE"""),"")</f>
        <v/>
      </c>
      <c r="B1044" s="5" t="str">
        <f>IFERROR(__xludf.DUMMYFUNCTION("""COMPUTED_VALUE"""),"89750")</f>
        <v>89750</v>
      </c>
      <c r="C1044" s="9">
        <f>IFERROR(__xludf.DUMMYFUNCTION("""COMPUTED_VALUE"""),4.4614000298E10)</f>
        <v>44614000298</v>
      </c>
      <c r="D1044" s="87" t="str">
        <f>IFERROR(__xludf.DUMMYFUNCTION("""COMPUTED_VALUE"""),"NU")</f>
        <v>NU</v>
      </c>
      <c r="E1044" s="193">
        <f>IFERROR(__xludf.DUMMYFUNCTION("""COMPUTED_VALUE"""),44614.0)</f>
        <v>44614</v>
      </c>
      <c r="F1044" s="5" t="str">
        <f>IFERROR(__xludf.DUMMYFUNCTION("""COMPUTED_VALUE"""),"Stock")</f>
        <v>Stock</v>
      </c>
      <c r="G1044" s="5" t="str">
        <f>IFERROR(__xludf.DUMMYFUNCTION("""COMPUTED_VALUE"""),"USD")</f>
        <v>USD</v>
      </c>
      <c r="H1044" s="22">
        <f>IFERROR(__xludf.DUMMYFUNCTION("""COMPUTED_VALUE"""),20.0)</f>
        <v>20</v>
      </c>
      <c r="I1044" s="194">
        <f>IFERROR(__xludf.DUMMYFUNCTION("""COMPUTED_VALUE"""),7.80175)</f>
        <v>7.80175</v>
      </c>
      <c r="J1044" s="23">
        <f>IFERROR(__xludf.DUMMYFUNCTION("""COMPUTED_VALUE"""),8.8)</f>
        <v>8.8</v>
      </c>
      <c r="K1044" s="5"/>
      <c r="L1044" s="23">
        <f>IFERROR(__xludf.DUMMYFUNCTION("""COMPUTED_VALUE"""),7.17)</f>
        <v>7.17</v>
      </c>
      <c r="M1044" s="195" t="str">
        <f>IFERROR(__xludf.DUMMYFUNCTION("""COMPUTED_VALUE"""),"Equity Key Stats")</f>
        <v>Equity Key Stats</v>
      </c>
      <c r="N1044" s="5"/>
      <c r="O1044" s="5"/>
      <c r="P1044" s="142">
        <f>IFERROR(__xludf.DUMMYFUNCTION("""COMPUTED_VALUE"""),-1373.1080000000002)</f>
        <v>-1373.108</v>
      </c>
      <c r="Q1044" s="5"/>
      <c r="R1044" s="71">
        <f>IFERROR(__xludf.DUMMYFUNCTION("""COMPUTED_VALUE"""),7.17)</f>
        <v>7.17</v>
      </c>
      <c r="S1044" s="142">
        <f>IFERROR(__xludf.DUMMYFUNCTION("""COMPUTED_VALUE"""),1118.7709499999999)</f>
        <v>1118.77095</v>
      </c>
      <c r="T1044" s="5">
        <f>IFERROR(__xludf.DUMMYFUNCTION("""COMPUTED_VALUE"""),3.0)</f>
        <v>3</v>
      </c>
      <c r="U1044" s="5" t="str">
        <f>IFERROR(__xludf.DUMMYFUNCTION("""COMPUTED_VALUE"""),"")</f>
        <v/>
      </c>
      <c r="V1044" s="22" t="str">
        <f>IFERROR(__xludf.DUMMYFUNCTION("""COMPUTED_VALUE"""),"")</f>
        <v/>
      </c>
      <c r="W1044" s="9" t="str">
        <f>IFERROR(__xludf.DUMMYFUNCTION("""COMPUTED_VALUE"""),"")</f>
        <v/>
      </c>
      <c r="X1044" s="22" t="str">
        <f>IFERROR(__xludf.DUMMYFUNCTION("""COMPUTED_VALUE"""),"")</f>
        <v/>
      </c>
      <c r="Y1044" s="22" t="str">
        <f>IFERROR(__xludf.DUMMYFUNCTION("""COMPUTED_VALUE"""),"")</f>
        <v/>
      </c>
      <c r="Z1044" s="24" t="str">
        <f>IFERROR(__xludf.DUMMYFUNCTION("""COMPUTED_VALUE"""),"")</f>
        <v/>
      </c>
    </row>
    <row r="1045">
      <c r="A1045" s="5" t="str">
        <f>IFERROR(__xludf.DUMMYFUNCTION("""COMPUTED_VALUE"""),"")</f>
        <v/>
      </c>
      <c r="B1045" s="5" t="str">
        <f>IFERROR(__xludf.DUMMYFUNCTION("""COMPUTED_VALUE"""),"89750")</f>
        <v>89750</v>
      </c>
      <c r="C1045" s="9">
        <f>IFERROR(__xludf.DUMMYFUNCTION("""COMPUTED_VALUE"""),4.4614000299E10)</f>
        <v>44614000299</v>
      </c>
      <c r="D1045" s="87" t="str">
        <f>IFERROR(__xludf.DUMMYFUNCTION("""COMPUTED_VALUE"""),"YINN")</f>
        <v>YINN</v>
      </c>
      <c r="E1045" s="193">
        <f>IFERROR(__xludf.DUMMYFUNCTION("""COMPUTED_VALUE"""),44614.0)</f>
        <v>44614</v>
      </c>
      <c r="F1045" s="5" t="str">
        <f>IFERROR(__xludf.DUMMYFUNCTION("""COMPUTED_VALUE"""),"Stock")</f>
        <v>Stock</v>
      </c>
      <c r="G1045" s="5" t="str">
        <f>IFERROR(__xludf.DUMMYFUNCTION("""COMPUTED_VALUE"""),"USD")</f>
        <v>USD</v>
      </c>
      <c r="H1045" s="22">
        <f>IFERROR(__xludf.DUMMYFUNCTION("""COMPUTED_VALUE"""),50.0)</f>
        <v>50</v>
      </c>
      <c r="I1045" s="194">
        <f>IFERROR(__xludf.DUMMYFUNCTION("""COMPUTED_VALUE"""),7.80175)</f>
        <v>7.80175</v>
      </c>
      <c r="J1045" s="23">
        <f>IFERROR(__xludf.DUMMYFUNCTION("""COMPUTED_VALUE"""),7.5)</f>
        <v>7.5</v>
      </c>
      <c r="K1045" s="5"/>
      <c r="L1045" s="23">
        <f>IFERROR(__xludf.DUMMYFUNCTION("""COMPUTED_VALUE"""),4.54)</f>
        <v>4.54</v>
      </c>
      <c r="M1045" s="195" t="str">
        <f>IFERROR(__xludf.DUMMYFUNCTION("""COMPUTED_VALUE"""),"Equity Key Stats")</f>
        <v>Equity Key Stats</v>
      </c>
      <c r="N1045" s="5"/>
      <c r="O1045" s="5"/>
      <c r="P1045" s="142">
        <f>IFERROR(__xludf.DUMMYFUNCTION("""COMPUTED_VALUE"""),-2925.6562500000005)</f>
        <v>-2925.65625</v>
      </c>
      <c r="Q1045" s="5"/>
      <c r="R1045" s="71">
        <f>IFERROR(__xludf.DUMMYFUNCTION("""COMPUTED_VALUE"""),4.54)</f>
        <v>4.54</v>
      </c>
      <c r="S1045" s="142">
        <f>IFERROR(__xludf.DUMMYFUNCTION("""COMPUTED_VALUE"""),1770.9972500000001)</f>
        <v>1770.99725</v>
      </c>
      <c r="T1045" s="5">
        <f>IFERROR(__xludf.DUMMYFUNCTION("""COMPUTED_VALUE"""),3.0)</f>
        <v>3</v>
      </c>
      <c r="U1045" s="5" t="str">
        <f>IFERROR(__xludf.DUMMYFUNCTION("""COMPUTED_VALUE"""),"")</f>
        <v/>
      </c>
      <c r="V1045" s="22" t="str">
        <f>IFERROR(__xludf.DUMMYFUNCTION("""COMPUTED_VALUE"""),"")</f>
        <v/>
      </c>
      <c r="W1045" s="9" t="str">
        <f>IFERROR(__xludf.DUMMYFUNCTION("""COMPUTED_VALUE"""),"")</f>
        <v/>
      </c>
      <c r="X1045" s="22" t="str">
        <f>IFERROR(__xludf.DUMMYFUNCTION("""COMPUTED_VALUE"""),"")</f>
        <v/>
      </c>
      <c r="Y1045" s="22" t="str">
        <f>IFERROR(__xludf.DUMMYFUNCTION("""COMPUTED_VALUE"""),"")</f>
        <v/>
      </c>
      <c r="Z1045" s="24" t="str">
        <f>IFERROR(__xludf.DUMMYFUNCTION("""COMPUTED_VALUE"""),"")</f>
        <v/>
      </c>
    </row>
    <row r="1046">
      <c r="A1046" s="5" t="str">
        <f>IFERROR(__xludf.DUMMYFUNCTION("""COMPUTED_VALUE"""),"")</f>
        <v/>
      </c>
      <c r="B1046" s="5" t="str">
        <f>IFERROR(__xludf.DUMMYFUNCTION("""COMPUTED_VALUE"""),"89750")</f>
        <v>89750</v>
      </c>
      <c r="C1046" s="9">
        <f>IFERROR(__xludf.DUMMYFUNCTION("""COMPUTED_VALUE"""),4.46140003E10)</f>
        <v>44614000300</v>
      </c>
      <c r="D1046" s="87" t="str">
        <f>IFERROR(__xludf.DUMMYFUNCTION("""COMPUTED_VALUE"""),"FUTU220225C00041500")</f>
        <v>FUTU220225C00041500</v>
      </c>
      <c r="E1046" s="193">
        <f>IFERROR(__xludf.DUMMYFUNCTION("""COMPUTED_VALUE"""),44614.0)</f>
        <v>44614</v>
      </c>
      <c r="F1046" s="5" t="str">
        <f>IFERROR(__xludf.DUMMYFUNCTION("""COMPUTED_VALUE"""),"Option")</f>
        <v>Option</v>
      </c>
      <c r="G1046" s="5" t="str">
        <f>IFERROR(__xludf.DUMMYFUNCTION("""COMPUTED_VALUE"""),"USD")</f>
        <v>USD</v>
      </c>
      <c r="H1046" s="22">
        <f>IFERROR(__xludf.DUMMYFUNCTION("""COMPUTED_VALUE"""),0.0)</f>
        <v>0</v>
      </c>
      <c r="I1046" s="194">
        <f>IFERROR(__xludf.DUMMYFUNCTION("""COMPUTED_VALUE"""),7.80175)</f>
        <v>7.80175</v>
      </c>
      <c r="J1046" s="23">
        <f>IFERROR(__xludf.DUMMYFUNCTION("""COMPUTED_VALUE"""),0.0)</f>
        <v>0</v>
      </c>
      <c r="K1046" s="5"/>
      <c r="L1046" s="23">
        <f>IFERROR(__xludf.DUMMYFUNCTION("""COMPUTED_VALUE"""),0.0)</f>
        <v>0</v>
      </c>
      <c r="M1046" s="25" t="str">
        <f>IFERROR(__xludf.DUMMYFUNCTION("""COMPUTED_VALUE"""),"")</f>
        <v/>
      </c>
      <c r="N1046" s="5"/>
      <c r="O1046" s="5"/>
      <c r="P1046" s="142">
        <f>IFERROR(__xludf.DUMMYFUNCTION("""COMPUTED_VALUE"""),0.0)</f>
        <v>0</v>
      </c>
      <c r="Q1046" s="5"/>
      <c r="R1046" s="71">
        <f>IFERROR(__xludf.DUMMYFUNCTION("""COMPUTED_VALUE"""),0.0)</f>
        <v>0</v>
      </c>
      <c r="S1046" s="142">
        <f>IFERROR(__xludf.DUMMYFUNCTION("""COMPUTED_VALUE"""),0.0)</f>
        <v>0</v>
      </c>
      <c r="T1046" s="5">
        <f>IFERROR(__xludf.DUMMYFUNCTION("""COMPUTED_VALUE"""),2.0)</f>
        <v>2</v>
      </c>
      <c r="U1046" s="5" t="str">
        <f>IFERROR(__xludf.DUMMYFUNCTION("""COMPUTED_VALUE"""),"")</f>
        <v/>
      </c>
      <c r="V1046" s="22" t="str">
        <f>IFERROR(__xludf.DUMMYFUNCTION("""COMPUTED_VALUE"""),"")</f>
        <v/>
      </c>
      <c r="W1046" s="9" t="str">
        <f>IFERROR(__xludf.DUMMYFUNCTION("""COMPUTED_VALUE"""),"")</f>
        <v/>
      </c>
      <c r="X1046" s="22" t="str">
        <f>IFERROR(__xludf.DUMMYFUNCTION("""COMPUTED_VALUE"""),"")</f>
        <v/>
      </c>
      <c r="Y1046" s="22" t="str">
        <f>IFERROR(__xludf.DUMMYFUNCTION("""COMPUTED_VALUE"""),"")</f>
        <v/>
      </c>
      <c r="Z1046" s="24" t="str">
        <f>IFERROR(__xludf.DUMMYFUNCTION("""COMPUTED_VALUE"""),"")</f>
        <v/>
      </c>
    </row>
    <row r="1047">
      <c r="A1047" s="5" t="str">
        <f>IFERROR(__xludf.DUMMYFUNCTION("""COMPUTED_VALUE"""),"")</f>
        <v/>
      </c>
      <c r="B1047" s="5" t="str">
        <f>IFERROR(__xludf.DUMMYFUNCTION("""COMPUTED_VALUE"""),"89750")</f>
        <v>89750</v>
      </c>
      <c r="C1047" s="9">
        <f>IFERROR(__xludf.DUMMYFUNCTION("""COMPUTED_VALUE"""),4.4614000301E10)</f>
        <v>44614000301</v>
      </c>
      <c r="D1047" s="87" t="str">
        <f>IFERROR(__xludf.DUMMYFUNCTION("""COMPUTED_VALUE"""),"TCEHY")</f>
        <v>TCEHY</v>
      </c>
      <c r="E1047" s="193">
        <f>IFERROR(__xludf.DUMMYFUNCTION("""COMPUTED_VALUE"""),44614.0)</f>
        <v>44614</v>
      </c>
      <c r="F1047" s="5" t="str">
        <f>IFERROR(__xludf.DUMMYFUNCTION("""COMPUTED_VALUE"""),"Stock")</f>
        <v>Stock</v>
      </c>
      <c r="G1047" s="5" t="str">
        <f>IFERROR(__xludf.DUMMYFUNCTION("""COMPUTED_VALUE"""),"USD")</f>
        <v>USD</v>
      </c>
      <c r="H1047" s="22">
        <f>IFERROR(__xludf.DUMMYFUNCTION("""COMPUTED_VALUE"""),400.0)</f>
        <v>400</v>
      </c>
      <c r="I1047" s="194">
        <f>IFERROR(__xludf.DUMMYFUNCTION("""COMPUTED_VALUE"""),7.80175)</f>
        <v>7.80175</v>
      </c>
      <c r="J1047" s="23">
        <f>IFERROR(__xludf.DUMMYFUNCTION("""COMPUTED_VALUE"""),56.34)</f>
        <v>56.34</v>
      </c>
      <c r="K1047" s="5"/>
      <c r="L1047" s="23">
        <f>IFERROR(__xludf.DUMMYFUNCTION("""COMPUTED_VALUE"""),48.03)</f>
        <v>48.03</v>
      </c>
      <c r="M1047" s="195" t="str">
        <f>IFERROR(__xludf.DUMMYFUNCTION("""COMPUTED_VALUE"""),"Equity Key Stats")</f>
        <v>Equity Key Stats</v>
      </c>
      <c r="N1047" s="5"/>
      <c r="O1047" s="5"/>
      <c r="P1047" s="142">
        <f>IFERROR(__xludf.DUMMYFUNCTION("""COMPUTED_VALUE"""),-175820.238)</f>
        <v>-175820.238</v>
      </c>
      <c r="Q1047" s="5"/>
      <c r="R1047" s="71">
        <f>IFERROR(__xludf.DUMMYFUNCTION("""COMPUTED_VALUE"""),48.03)</f>
        <v>48.03</v>
      </c>
      <c r="S1047" s="142">
        <f>IFERROR(__xludf.DUMMYFUNCTION("""COMPUTED_VALUE"""),149887.22100000002)</f>
        <v>149887.221</v>
      </c>
      <c r="T1047" s="5">
        <f>IFERROR(__xludf.DUMMYFUNCTION("""COMPUTED_VALUE"""),5.0)</f>
        <v>5</v>
      </c>
      <c r="U1047" s="5" t="str">
        <f>IFERROR(__xludf.DUMMYFUNCTION("""COMPUTED_VALUE"""),"")</f>
        <v/>
      </c>
      <c r="V1047" s="22" t="str">
        <f>IFERROR(__xludf.DUMMYFUNCTION("""COMPUTED_VALUE"""),"")</f>
        <v/>
      </c>
      <c r="W1047" s="9" t="str">
        <f>IFERROR(__xludf.DUMMYFUNCTION("""COMPUTED_VALUE"""),"")</f>
        <v/>
      </c>
      <c r="X1047" s="22" t="str">
        <f>IFERROR(__xludf.DUMMYFUNCTION("""COMPUTED_VALUE"""),"")</f>
        <v/>
      </c>
      <c r="Y1047" s="22" t="str">
        <f>IFERROR(__xludf.DUMMYFUNCTION("""COMPUTED_VALUE"""),"")</f>
        <v/>
      </c>
      <c r="Z1047" s="24" t="str">
        <f>IFERROR(__xludf.DUMMYFUNCTION("""COMPUTED_VALUE"""),"")</f>
        <v/>
      </c>
    </row>
    <row r="1048">
      <c r="A1048" s="5" t="str">
        <f>IFERROR(__xludf.DUMMYFUNCTION("""COMPUTED_VALUE"""),"")</f>
        <v/>
      </c>
      <c r="B1048" s="5" t="str">
        <f>IFERROR(__xludf.DUMMYFUNCTION("""COMPUTED_VALUE"""),"89750")</f>
        <v>89750</v>
      </c>
      <c r="C1048" s="9">
        <f>IFERROR(__xludf.DUMMYFUNCTION("""COMPUTED_VALUE"""),4.4615000302E10)</f>
        <v>44615000302</v>
      </c>
      <c r="D1048" s="87" t="str">
        <f>IFERROR(__xludf.DUMMYFUNCTION("""COMPUTED_VALUE"""),"FUTU220225C00041500")</f>
        <v>FUTU220225C00041500</v>
      </c>
      <c r="E1048" s="193">
        <f>IFERROR(__xludf.DUMMYFUNCTION("""COMPUTED_VALUE"""),44615.0)</f>
        <v>44615</v>
      </c>
      <c r="F1048" s="5" t="str">
        <f>IFERROR(__xludf.DUMMYFUNCTION("""COMPUTED_VALUE"""),"Option")</f>
        <v>Option</v>
      </c>
      <c r="G1048" s="5" t="str">
        <f>IFERROR(__xludf.DUMMYFUNCTION("""COMPUTED_VALUE"""),"USD")</f>
        <v>USD</v>
      </c>
      <c r="H1048" s="22" t="str">
        <f>IFERROR(__xludf.DUMMYFUNCTION("""COMPUTED_VALUE"""),"")</f>
        <v/>
      </c>
      <c r="I1048" s="194">
        <f>IFERROR(__xludf.DUMMYFUNCTION("""COMPUTED_VALUE"""),7.80545)</f>
        <v>7.80545</v>
      </c>
      <c r="J1048" s="23">
        <f>IFERROR(__xludf.DUMMYFUNCTION("""COMPUTED_VALUE"""),0.49)</f>
        <v>0.49</v>
      </c>
      <c r="K1048" s="5"/>
      <c r="L1048" s="23">
        <f>IFERROR(__xludf.DUMMYFUNCTION("""COMPUTED_VALUE"""),0.0)</f>
        <v>0</v>
      </c>
      <c r="M1048" s="25" t="str">
        <f>IFERROR(__xludf.DUMMYFUNCTION("""COMPUTED_VALUE"""),"")</f>
        <v/>
      </c>
      <c r="N1048" s="5"/>
      <c r="O1048" s="5"/>
      <c r="P1048" s="142">
        <f>IFERROR(__xludf.DUMMYFUNCTION("""COMPUTED_VALUE"""),0.0)</f>
        <v>0</v>
      </c>
      <c r="Q1048" s="5"/>
      <c r="R1048" s="71">
        <f>IFERROR(__xludf.DUMMYFUNCTION("""COMPUTED_VALUE"""),0.0)</f>
        <v>0</v>
      </c>
      <c r="S1048" s="142">
        <f>IFERROR(__xludf.DUMMYFUNCTION("""COMPUTED_VALUE"""),0.0)</f>
        <v>0</v>
      </c>
      <c r="T1048" s="5">
        <f>IFERROR(__xludf.DUMMYFUNCTION("""COMPUTED_VALUE"""),2.0)</f>
        <v>2</v>
      </c>
      <c r="U1048" s="5">
        <f>IFERROR(__xludf.DUMMYFUNCTION("""COMPUTED_VALUE"""),1.0)</f>
        <v>1</v>
      </c>
      <c r="V1048" s="22">
        <f>IFERROR(__xludf.DUMMYFUNCTION("""COMPUTED_VALUE"""),0.0)</f>
        <v>0</v>
      </c>
      <c r="W1048" s="9" t="str">
        <f>IFERROR(__xludf.DUMMYFUNCTION("""COMPUTED_VALUE"""),"")</f>
        <v/>
      </c>
      <c r="X1048" s="22" t="str">
        <f>IFERROR(__xludf.DUMMYFUNCTION("""COMPUTED_VALUE"""),"")</f>
        <v/>
      </c>
      <c r="Y1048" s="22" t="str">
        <f>IFERROR(__xludf.DUMMYFUNCTION("""COMPUTED_VALUE"""),"")</f>
        <v/>
      </c>
      <c r="Z1048" s="24" t="str">
        <f>IFERROR(__xludf.DUMMYFUNCTION("""COMPUTED_VALUE"""),"")</f>
        <v/>
      </c>
    </row>
    <row r="1049">
      <c r="A1049" s="5" t="str">
        <f>IFERROR(__xludf.DUMMYFUNCTION("""COMPUTED_VALUE"""),"")</f>
        <v/>
      </c>
      <c r="B1049" s="5" t="str">
        <f>IFERROR(__xludf.DUMMYFUNCTION("""COMPUTED_VALUE"""),"89750")</f>
        <v>89750</v>
      </c>
      <c r="C1049" s="9">
        <f>IFERROR(__xludf.DUMMYFUNCTION("""COMPUTED_VALUE"""),4.4617000344E10)</f>
        <v>44617000344</v>
      </c>
      <c r="D1049" s="87" t="str">
        <f>IFERROR(__xludf.DUMMYFUNCTION("""COMPUTED_VALUE"""),"SPXL220318C00080000")</f>
        <v>SPXL220318C00080000</v>
      </c>
      <c r="E1049" s="193">
        <f>IFERROR(__xludf.DUMMYFUNCTION("""COMPUTED_VALUE"""),44617.0)</f>
        <v>44617</v>
      </c>
      <c r="F1049" s="5" t="str">
        <f>IFERROR(__xludf.DUMMYFUNCTION("""COMPUTED_VALUE"""),"Option")</f>
        <v>Option</v>
      </c>
      <c r="G1049" s="5" t="str">
        <f>IFERROR(__xludf.DUMMYFUNCTION("""COMPUTED_VALUE"""),"USD")</f>
        <v>USD</v>
      </c>
      <c r="H1049" s="22">
        <f>IFERROR(__xludf.DUMMYFUNCTION("""COMPUTED_VALUE"""),10.0)</f>
        <v>10</v>
      </c>
      <c r="I1049" s="194">
        <f>IFERROR(__xludf.DUMMYFUNCTION("""COMPUTED_VALUE"""),7.808395)</f>
        <v>7.808395</v>
      </c>
      <c r="J1049" s="23">
        <f>IFERROR(__xludf.DUMMYFUNCTION("""COMPUTED_VALUE"""),17.9)</f>
        <v>17.9</v>
      </c>
      <c r="K1049" s="5"/>
      <c r="L1049" s="23">
        <f>IFERROR(__xludf.DUMMYFUNCTION("""COMPUTED_VALUE"""),0.0)</f>
        <v>0</v>
      </c>
      <c r="M1049" s="25" t="str">
        <f>IFERROR(__xludf.DUMMYFUNCTION("""COMPUTED_VALUE"""),"")</f>
        <v/>
      </c>
      <c r="N1049" s="5"/>
      <c r="O1049" s="5"/>
      <c r="P1049" s="142">
        <f>IFERROR(__xludf.DUMMYFUNCTION("""COMPUTED_VALUE"""),-139770.27049999998)</f>
        <v>-139770.2705</v>
      </c>
      <c r="Q1049" s="5"/>
      <c r="R1049" s="71">
        <f>IFERROR(__xludf.DUMMYFUNCTION("""COMPUTED_VALUE"""),0.0)</f>
        <v>0</v>
      </c>
      <c r="S1049" s="142">
        <f>IFERROR(__xludf.DUMMYFUNCTION("""COMPUTED_VALUE"""),0.0)</f>
        <v>0</v>
      </c>
      <c r="T1049" s="5">
        <f>IFERROR(__xludf.DUMMYFUNCTION("""COMPUTED_VALUE"""),4.0)</f>
        <v>4</v>
      </c>
      <c r="U1049" s="5" t="str">
        <f>IFERROR(__xludf.DUMMYFUNCTION("""COMPUTED_VALUE"""),"")</f>
        <v/>
      </c>
      <c r="V1049" s="22" t="str">
        <f>IFERROR(__xludf.DUMMYFUNCTION("""COMPUTED_VALUE"""),"")</f>
        <v/>
      </c>
      <c r="W1049" s="9" t="str">
        <f>IFERROR(__xludf.DUMMYFUNCTION("""COMPUTED_VALUE"""),"")</f>
        <v/>
      </c>
      <c r="X1049" s="22" t="str">
        <f>IFERROR(__xludf.DUMMYFUNCTION("""COMPUTED_VALUE"""),"")</f>
        <v/>
      </c>
      <c r="Y1049" s="22" t="str">
        <f>IFERROR(__xludf.DUMMYFUNCTION("""COMPUTED_VALUE"""),"")</f>
        <v/>
      </c>
      <c r="Z1049" s="24" t="str">
        <f>IFERROR(__xludf.DUMMYFUNCTION("""COMPUTED_VALUE"""),"")</f>
        <v/>
      </c>
    </row>
    <row r="1050">
      <c r="A1050" s="5" t="str">
        <f>IFERROR(__xludf.DUMMYFUNCTION("""COMPUTED_VALUE"""),"")</f>
        <v/>
      </c>
      <c r="B1050" s="5" t="str">
        <f>IFERROR(__xludf.DUMMYFUNCTION("""COMPUTED_VALUE"""),"89750")</f>
        <v>89750</v>
      </c>
      <c r="C1050" s="9">
        <f>IFERROR(__xludf.DUMMYFUNCTION("""COMPUTED_VALUE"""),4.4617000345E10)</f>
        <v>44617000345</v>
      </c>
      <c r="D1050" s="90" t="str">
        <f>IFERROR(__xludf.DUMMYFUNCTION("""COMPUTED_VALUE"""),"9698.HK")</f>
        <v>9698.HK</v>
      </c>
      <c r="E1050" s="193">
        <f>IFERROR(__xludf.DUMMYFUNCTION("""COMPUTED_VALUE"""),44617.0)</f>
        <v>44617</v>
      </c>
      <c r="F1050" s="5" t="str">
        <f>IFERROR(__xludf.DUMMYFUNCTION("""COMPUTED_VALUE"""),"Stock")</f>
        <v>Stock</v>
      </c>
      <c r="G1050" s="5" t="str">
        <f>IFERROR(__xludf.DUMMYFUNCTION("""COMPUTED_VALUE"""),"HKD")</f>
        <v>HKD</v>
      </c>
      <c r="H1050" s="22">
        <f>IFERROR(__xludf.DUMMYFUNCTION("""COMPUTED_VALUE"""),-2000.0)</f>
        <v>-2000</v>
      </c>
      <c r="I1050" s="194">
        <f>IFERROR(__xludf.DUMMYFUNCTION("""COMPUTED_VALUE"""),1.0)</f>
        <v>1</v>
      </c>
      <c r="J1050" s="23">
        <f>IFERROR(__xludf.DUMMYFUNCTION("""COMPUTED_VALUE"""),42.55)</f>
        <v>42.55</v>
      </c>
      <c r="K1050" s="5"/>
      <c r="L1050" s="23">
        <f>IFERROR(__xludf.DUMMYFUNCTION("""COMPUTED_VALUE"""),35.6)</f>
        <v>35.6</v>
      </c>
      <c r="M1050" s="195" t="str">
        <f>IFERROR(__xludf.DUMMYFUNCTION("""COMPUTED_VALUE"""),"Equity Key Stats")</f>
        <v>Equity Key Stats</v>
      </c>
      <c r="N1050" s="5"/>
      <c r="O1050" s="5"/>
      <c r="P1050" s="142">
        <f>IFERROR(__xludf.DUMMYFUNCTION("""COMPUTED_VALUE"""),85100.0)</f>
        <v>85100</v>
      </c>
      <c r="Q1050" s="5"/>
      <c r="R1050" s="71">
        <f>IFERROR(__xludf.DUMMYFUNCTION("""COMPUTED_VALUE"""),35.6)</f>
        <v>35.6</v>
      </c>
      <c r="S1050" s="142">
        <f>IFERROR(__xludf.DUMMYFUNCTION("""COMPUTED_VALUE"""),-71200.0)</f>
        <v>-71200</v>
      </c>
      <c r="T1050" s="5">
        <f>IFERROR(__xludf.DUMMYFUNCTION("""COMPUTED_VALUE"""),5.0)</f>
        <v>5</v>
      </c>
      <c r="U1050" s="5">
        <f>IFERROR(__xludf.DUMMYFUNCTION("""COMPUTED_VALUE"""),1.0)</f>
        <v>1</v>
      </c>
      <c r="V1050" s="22">
        <f>IFERROR(__xludf.DUMMYFUNCTION("""COMPUTED_VALUE"""),56975.0)</f>
        <v>56975</v>
      </c>
      <c r="W1050" s="9" t="str">
        <f>IFERROR(__xludf.DUMMYFUNCTION("""COMPUTED_VALUE"""),"")</f>
        <v/>
      </c>
      <c r="X1050" s="22" t="str">
        <f>IFERROR(__xludf.DUMMYFUNCTION("""COMPUTED_VALUE"""),"")</f>
        <v/>
      </c>
      <c r="Y1050" s="22" t="str">
        <f>IFERROR(__xludf.DUMMYFUNCTION("""COMPUTED_VALUE"""),"")</f>
        <v/>
      </c>
      <c r="Z1050" s="24" t="str">
        <f>IFERROR(__xludf.DUMMYFUNCTION("""COMPUTED_VALUE"""),"")</f>
        <v/>
      </c>
    </row>
    <row r="1051">
      <c r="A1051" s="5" t="str">
        <f>IFERROR(__xludf.DUMMYFUNCTION("""COMPUTED_VALUE"""),"")</f>
        <v/>
      </c>
      <c r="B1051" s="5" t="str">
        <f>IFERROR(__xludf.DUMMYFUNCTION("""COMPUTED_VALUE"""),"89750")</f>
        <v>89750</v>
      </c>
      <c r="C1051" s="9">
        <f>IFERROR(__xludf.DUMMYFUNCTION("""COMPUTED_VALUE"""),4.4617000346E10)</f>
        <v>44617000346</v>
      </c>
      <c r="D1051" s="90" t="str">
        <f>IFERROR(__xludf.DUMMYFUNCTION("""COMPUTED_VALUE"""),"6969.HK")</f>
        <v>6969.HK</v>
      </c>
      <c r="E1051" s="193">
        <f>IFERROR(__xludf.DUMMYFUNCTION("""COMPUTED_VALUE"""),44617.0)</f>
        <v>44617</v>
      </c>
      <c r="F1051" s="5" t="str">
        <f>IFERROR(__xludf.DUMMYFUNCTION("""COMPUTED_VALUE"""),"Stock")</f>
        <v>Stock</v>
      </c>
      <c r="G1051" s="5" t="str">
        <f>IFERROR(__xludf.DUMMYFUNCTION("""COMPUTED_VALUE"""),"HKD")</f>
        <v>HKD</v>
      </c>
      <c r="H1051" s="22">
        <f>IFERROR(__xludf.DUMMYFUNCTION("""COMPUTED_VALUE"""),2000.0)</f>
        <v>2000</v>
      </c>
      <c r="I1051" s="194">
        <f>IFERROR(__xludf.DUMMYFUNCTION("""COMPUTED_VALUE"""),1.0)</f>
        <v>1</v>
      </c>
      <c r="J1051" s="23">
        <f>IFERROR(__xludf.DUMMYFUNCTION("""COMPUTED_VALUE"""),28.95)</f>
        <v>28.95</v>
      </c>
      <c r="K1051" s="5"/>
      <c r="L1051" s="23">
        <f>IFERROR(__xludf.DUMMYFUNCTION("""COMPUTED_VALUE"""),16.64)</f>
        <v>16.64</v>
      </c>
      <c r="M1051" s="195" t="str">
        <f>IFERROR(__xludf.DUMMYFUNCTION("""COMPUTED_VALUE"""),"Equity Key Stats")</f>
        <v>Equity Key Stats</v>
      </c>
      <c r="N1051" s="5"/>
      <c r="O1051" s="5"/>
      <c r="P1051" s="142">
        <f>IFERROR(__xludf.DUMMYFUNCTION("""COMPUTED_VALUE"""),-57900.0)</f>
        <v>-57900</v>
      </c>
      <c r="Q1051" s="5"/>
      <c r="R1051" s="71">
        <f>IFERROR(__xludf.DUMMYFUNCTION("""COMPUTED_VALUE"""),16.64)</f>
        <v>16.64</v>
      </c>
      <c r="S1051" s="142">
        <f>IFERROR(__xludf.DUMMYFUNCTION("""COMPUTED_VALUE"""),33280.0)</f>
        <v>33280</v>
      </c>
      <c r="T1051" s="5">
        <f>IFERROR(__xludf.DUMMYFUNCTION("""COMPUTED_VALUE"""),3.0)</f>
        <v>3</v>
      </c>
      <c r="U1051" s="5">
        <f>IFERROR(__xludf.DUMMYFUNCTION("""COMPUTED_VALUE"""),1.0)</f>
        <v>1</v>
      </c>
      <c r="V1051" s="22">
        <f>IFERROR(__xludf.DUMMYFUNCTION("""COMPUTED_VALUE"""),-62840.0)</f>
        <v>-62840</v>
      </c>
      <c r="W1051" s="9" t="str">
        <f>IFERROR(__xludf.DUMMYFUNCTION("""COMPUTED_VALUE"""),"")</f>
        <v/>
      </c>
      <c r="X1051" s="22" t="str">
        <f>IFERROR(__xludf.DUMMYFUNCTION("""COMPUTED_VALUE"""),"")</f>
        <v/>
      </c>
      <c r="Y1051" s="22" t="str">
        <f>IFERROR(__xludf.DUMMYFUNCTION("""COMPUTED_VALUE"""),"")</f>
        <v/>
      </c>
      <c r="Z1051" s="24" t="str">
        <f>IFERROR(__xludf.DUMMYFUNCTION("""COMPUTED_VALUE"""),"")</f>
        <v/>
      </c>
    </row>
    <row r="1052">
      <c r="A1052" s="5" t="str">
        <f>IFERROR(__xludf.DUMMYFUNCTION("""COMPUTED_VALUE"""),"")</f>
        <v/>
      </c>
      <c r="B1052" s="5" t="str">
        <f>IFERROR(__xludf.DUMMYFUNCTION("""COMPUTED_VALUE"""),"89750")</f>
        <v>89750</v>
      </c>
      <c r="C1052" s="9">
        <f>IFERROR(__xludf.DUMMYFUNCTION("""COMPUTED_VALUE"""),4.4617000355E10)</f>
        <v>44617000355</v>
      </c>
      <c r="D1052" s="87" t="str">
        <f>IFERROR(__xludf.DUMMYFUNCTION("""COMPUTED_VALUE"""),"FTCH220318P00017500")</f>
        <v>FTCH220318P00017500</v>
      </c>
      <c r="E1052" s="193">
        <f>IFERROR(__xludf.DUMMYFUNCTION("""COMPUTED_VALUE"""),44617.0)</f>
        <v>44617</v>
      </c>
      <c r="F1052" s="5" t="str">
        <f>IFERROR(__xludf.DUMMYFUNCTION("""COMPUTED_VALUE"""),"Option")</f>
        <v>Option</v>
      </c>
      <c r="G1052" s="5" t="str">
        <f>IFERROR(__xludf.DUMMYFUNCTION("""COMPUTED_VALUE"""),"USD")</f>
        <v>USD</v>
      </c>
      <c r="H1052" s="22">
        <f>IFERROR(__xludf.DUMMYFUNCTION("""COMPUTED_VALUE"""),50.0)</f>
        <v>50</v>
      </c>
      <c r="I1052" s="194">
        <f>IFERROR(__xludf.DUMMYFUNCTION("""COMPUTED_VALUE"""),7.808395)</f>
        <v>7.808395</v>
      </c>
      <c r="J1052" s="23">
        <f>IFERROR(__xludf.DUMMYFUNCTION("""COMPUTED_VALUE"""),0.6)</f>
        <v>0.6</v>
      </c>
      <c r="K1052" s="5"/>
      <c r="L1052" s="23">
        <f>IFERROR(__xludf.DUMMYFUNCTION("""COMPUTED_VALUE"""),0.0)</f>
        <v>0</v>
      </c>
      <c r="M1052" s="25" t="str">
        <f>IFERROR(__xludf.DUMMYFUNCTION("""COMPUTED_VALUE"""),"")</f>
        <v/>
      </c>
      <c r="N1052" s="5"/>
      <c r="O1052" s="5"/>
      <c r="P1052" s="142">
        <f>IFERROR(__xludf.DUMMYFUNCTION("""COMPUTED_VALUE"""),-23425.184999999998)</f>
        <v>-23425.185</v>
      </c>
      <c r="Q1052" s="5"/>
      <c r="R1052" s="71">
        <f>IFERROR(__xludf.DUMMYFUNCTION("""COMPUTED_VALUE"""),0.0)</f>
        <v>0</v>
      </c>
      <c r="S1052" s="142">
        <f>IFERROR(__xludf.DUMMYFUNCTION("""COMPUTED_VALUE"""),0.0)</f>
        <v>0</v>
      </c>
      <c r="T1052" s="5">
        <f>IFERROR(__xludf.DUMMYFUNCTION("""COMPUTED_VALUE"""),3.0)</f>
        <v>3</v>
      </c>
      <c r="U1052" s="5" t="str">
        <f>IFERROR(__xludf.DUMMYFUNCTION("""COMPUTED_VALUE"""),"")</f>
        <v/>
      </c>
      <c r="V1052" s="22" t="str">
        <f>IFERROR(__xludf.DUMMYFUNCTION("""COMPUTED_VALUE"""),"")</f>
        <v/>
      </c>
      <c r="W1052" s="9" t="str">
        <f>IFERROR(__xludf.DUMMYFUNCTION("""COMPUTED_VALUE"""),"")</f>
        <v/>
      </c>
      <c r="X1052" s="22" t="str">
        <f>IFERROR(__xludf.DUMMYFUNCTION("""COMPUTED_VALUE"""),"")</f>
        <v/>
      </c>
      <c r="Y1052" s="22" t="str">
        <f>IFERROR(__xludf.DUMMYFUNCTION("""COMPUTED_VALUE"""),"")</f>
        <v/>
      </c>
      <c r="Z1052" s="24" t="str">
        <f>IFERROR(__xludf.DUMMYFUNCTION("""COMPUTED_VALUE"""),"")</f>
        <v/>
      </c>
    </row>
    <row r="1053">
      <c r="A1053" s="5" t="str">
        <f>IFERROR(__xludf.DUMMYFUNCTION("""COMPUTED_VALUE"""),"")</f>
        <v/>
      </c>
      <c r="B1053" s="5" t="str">
        <f>IFERROR(__xludf.DUMMYFUNCTION("""COMPUTED_VALUE"""),"89750")</f>
        <v>89750</v>
      </c>
      <c r="C1053" s="9">
        <f>IFERROR(__xludf.DUMMYFUNCTION("""COMPUTED_VALUE"""),4.4617000356E10)</f>
        <v>44617000356</v>
      </c>
      <c r="D1053" s="87" t="str">
        <f>IFERROR(__xludf.DUMMYFUNCTION("""COMPUTED_VALUE"""),"SOFI")</f>
        <v>SOFI</v>
      </c>
      <c r="E1053" s="193">
        <f>IFERROR(__xludf.DUMMYFUNCTION("""COMPUTED_VALUE"""),44617.0)</f>
        <v>44617</v>
      </c>
      <c r="F1053" s="5" t="str">
        <f>IFERROR(__xludf.DUMMYFUNCTION("""COMPUTED_VALUE"""),"Stock")</f>
        <v>Stock</v>
      </c>
      <c r="G1053" s="5" t="str">
        <f>IFERROR(__xludf.DUMMYFUNCTION("""COMPUTED_VALUE"""),"USD")</f>
        <v>USD</v>
      </c>
      <c r="H1053" s="22">
        <f>IFERROR(__xludf.DUMMYFUNCTION("""COMPUTED_VALUE"""),30.0)</f>
        <v>30</v>
      </c>
      <c r="I1053" s="194">
        <f>IFERROR(__xludf.DUMMYFUNCTION("""COMPUTED_VALUE"""),7.808395)</f>
        <v>7.808395</v>
      </c>
      <c r="J1053" s="23">
        <f>IFERROR(__xludf.DUMMYFUNCTION("""COMPUTED_VALUE"""),10.67)</f>
        <v>10.67</v>
      </c>
      <c r="K1053" s="5"/>
      <c r="L1053" s="23">
        <f>IFERROR(__xludf.DUMMYFUNCTION("""COMPUTED_VALUE"""),7.61)</f>
        <v>7.61</v>
      </c>
      <c r="M1053" s="195" t="str">
        <f>IFERROR(__xludf.DUMMYFUNCTION("""COMPUTED_VALUE"""),"Equity Key Stats")</f>
        <v>Equity Key Stats</v>
      </c>
      <c r="N1053" s="5"/>
      <c r="O1053" s="5"/>
      <c r="P1053" s="142">
        <f>IFERROR(__xludf.DUMMYFUNCTION("""COMPUTED_VALUE"""),-2499.4672395)</f>
        <v>-2499.46724</v>
      </c>
      <c r="Q1053" s="5"/>
      <c r="R1053" s="71">
        <f>IFERROR(__xludf.DUMMYFUNCTION("""COMPUTED_VALUE"""),7.61)</f>
        <v>7.61</v>
      </c>
      <c r="S1053" s="142">
        <f>IFERROR(__xludf.DUMMYFUNCTION("""COMPUTED_VALUE"""),1782.6565785)</f>
        <v>1782.656579</v>
      </c>
      <c r="T1053" s="5">
        <f>IFERROR(__xludf.DUMMYFUNCTION("""COMPUTED_VALUE"""),4.0)</f>
        <v>4</v>
      </c>
      <c r="U1053" s="5" t="str">
        <f>IFERROR(__xludf.DUMMYFUNCTION("""COMPUTED_VALUE"""),"")</f>
        <v/>
      </c>
      <c r="V1053" s="22" t="str">
        <f>IFERROR(__xludf.DUMMYFUNCTION("""COMPUTED_VALUE"""),"")</f>
        <v/>
      </c>
      <c r="W1053" s="9" t="str">
        <f>IFERROR(__xludf.DUMMYFUNCTION("""COMPUTED_VALUE"""),"")</f>
        <v/>
      </c>
      <c r="X1053" s="22" t="str">
        <f>IFERROR(__xludf.DUMMYFUNCTION("""COMPUTED_VALUE"""),"")</f>
        <v/>
      </c>
      <c r="Y1053" s="22" t="str">
        <f>IFERROR(__xludf.DUMMYFUNCTION("""COMPUTED_VALUE"""),"")</f>
        <v/>
      </c>
      <c r="Z1053" s="24" t="str">
        <f>IFERROR(__xludf.DUMMYFUNCTION("""COMPUTED_VALUE"""),"")</f>
        <v/>
      </c>
    </row>
    <row r="1054">
      <c r="A1054" s="5" t="str">
        <f>IFERROR(__xludf.DUMMYFUNCTION("""COMPUTED_VALUE"""),"")</f>
        <v/>
      </c>
      <c r="B1054" s="5" t="str">
        <f>IFERROR(__xludf.DUMMYFUNCTION("""COMPUTED_VALUE"""),"89750")</f>
        <v>89750</v>
      </c>
      <c r="C1054" s="9">
        <f>IFERROR(__xludf.DUMMYFUNCTION("""COMPUTED_VALUE"""),4.4617000357E10)</f>
        <v>44617000357</v>
      </c>
      <c r="D1054" s="87" t="str">
        <f>IFERROR(__xludf.DUMMYFUNCTION("""COMPUTED_VALUE"""),"NU")</f>
        <v>NU</v>
      </c>
      <c r="E1054" s="193">
        <f>IFERROR(__xludf.DUMMYFUNCTION("""COMPUTED_VALUE"""),44617.0)</f>
        <v>44617</v>
      </c>
      <c r="F1054" s="5" t="str">
        <f>IFERROR(__xludf.DUMMYFUNCTION("""COMPUTED_VALUE"""),"Stock")</f>
        <v>Stock</v>
      </c>
      <c r="G1054" s="5" t="str">
        <f>IFERROR(__xludf.DUMMYFUNCTION("""COMPUTED_VALUE"""),"USD")</f>
        <v>USD</v>
      </c>
      <c r="H1054" s="22">
        <f>IFERROR(__xludf.DUMMYFUNCTION("""COMPUTED_VALUE"""),70.0)</f>
        <v>70</v>
      </c>
      <c r="I1054" s="194">
        <f>IFERROR(__xludf.DUMMYFUNCTION("""COMPUTED_VALUE"""),7.808395)</f>
        <v>7.808395</v>
      </c>
      <c r="J1054" s="23">
        <f>IFERROR(__xludf.DUMMYFUNCTION("""COMPUTED_VALUE"""),7.78)</f>
        <v>7.78</v>
      </c>
      <c r="K1054" s="5"/>
      <c r="L1054" s="23">
        <f>IFERROR(__xludf.DUMMYFUNCTION("""COMPUTED_VALUE"""),7.17)</f>
        <v>7.17</v>
      </c>
      <c r="M1054" s="195" t="str">
        <f>IFERROR(__xludf.DUMMYFUNCTION("""COMPUTED_VALUE"""),"Equity Key Stats")</f>
        <v>Equity Key Stats</v>
      </c>
      <c r="N1054" s="5"/>
      <c r="O1054" s="5"/>
      <c r="P1054" s="142">
        <f>IFERROR(__xludf.DUMMYFUNCTION("""COMPUTED_VALUE"""),-4252.451917)</f>
        <v>-4252.451917</v>
      </c>
      <c r="Q1054" s="5"/>
      <c r="R1054" s="71">
        <f>IFERROR(__xludf.DUMMYFUNCTION("""COMPUTED_VALUE"""),7.17)</f>
        <v>7.17</v>
      </c>
      <c r="S1054" s="142">
        <f>IFERROR(__xludf.DUMMYFUNCTION("""COMPUTED_VALUE"""),3919.0334505000005)</f>
        <v>3919.033451</v>
      </c>
      <c r="T1054" s="5">
        <f>IFERROR(__xludf.DUMMYFUNCTION("""COMPUTED_VALUE"""),3.0)</f>
        <v>3</v>
      </c>
      <c r="U1054" s="5" t="str">
        <f>IFERROR(__xludf.DUMMYFUNCTION("""COMPUTED_VALUE"""),"")</f>
        <v/>
      </c>
      <c r="V1054" s="22" t="str">
        <f>IFERROR(__xludf.DUMMYFUNCTION("""COMPUTED_VALUE"""),"")</f>
        <v/>
      </c>
      <c r="W1054" s="9" t="str">
        <f>IFERROR(__xludf.DUMMYFUNCTION("""COMPUTED_VALUE"""),"")</f>
        <v/>
      </c>
      <c r="X1054" s="22" t="str">
        <f>IFERROR(__xludf.DUMMYFUNCTION("""COMPUTED_VALUE"""),"")</f>
        <v/>
      </c>
      <c r="Y1054" s="22" t="str">
        <f>IFERROR(__xludf.DUMMYFUNCTION("""COMPUTED_VALUE"""),"")</f>
        <v/>
      </c>
      <c r="Z1054" s="24" t="str">
        <f>IFERROR(__xludf.DUMMYFUNCTION("""COMPUTED_VALUE"""),"")</f>
        <v/>
      </c>
    </row>
    <row r="1055">
      <c r="A1055" s="5" t="str">
        <f>IFERROR(__xludf.DUMMYFUNCTION("""COMPUTED_VALUE"""),"")</f>
        <v/>
      </c>
      <c r="B1055" s="5" t="str">
        <f>IFERROR(__xludf.DUMMYFUNCTION("""COMPUTED_VALUE"""),"89750")</f>
        <v>89750</v>
      </c>
      <c r="C1055" s="9">
        <f>IFERROR(__xludf.DUMMYFUNCTION("""COMPUTED_VALUE"""),4.4617000358E10)</f>
        <v>44617000358</v>
      </c>
      <c r="D1055" s="87" t="str">
        <f>IFERROR(__xludf.DUMMYFUNCTION("""COMPUTED_VALUE"""),"YINN")</f>
        <v>YINN</v>
      </c>
      <c r="E1055" s="193">
        <f>IFERROR(__xludf.DUMMYFUNCTION("""COMPUTED_VALUE"""),44617.0)</f>
        <v>44617</v>
      </c>
      <c r="F1055" s="5" t="str">
        <f>IFERROR(__xludf.DUMMYFUNCTION("""COMPUTED_VALUE"""),"Stock")</f>
        <v>Stock</v>
      </c>
      <c r="G1055" s="5" t="str">
        <f>IFERROR(__xludf.DUMMYFUNCTION("""COMPUTED_VALUE"""),"USD")</f>
        <v>USD</v>
      </c>
      <c r="H1055" s="22">
        <f>IFERROR(__xludf.DUMMYFUNCTION("""COMPUTED_VALUE"""),50.0)</f>
        <v>50</v>
      </c>
      <c r="I1055" s="194">
        <f>IFERROR(__xludf.DUMMYFUNCTION("""COMPUTED_VALUE"""),7.808395)</f>
        <v>7.808395</v>
      </c>
      <c r="J1055" s="23">
        <f>IFERROR(__xludf.DUMMYFUNCTION("""COMPUTED_VALUE"""),7.16)</f>
        <v>7.16</v>
      </c>
      <c r="K1055" s="5"/>
      <c r="L1055" s="23">
        <f>IFERROR(__xludf.DUMMYFUNCTION("""COMPUTED_VALUE"""),4.54)</f>
        <v>4.54</v>
      </c>
      <c r="M1055" s="195" t="str">
        <f>IFERROR(__xludf.DUMMYFUNCTION("""COMPUTED_VALUE"""),"Equity Key Stats")</f>
        <v>Equity Key Stats</v>
      </c>
      <c r="N1055" s="5"/>
      <c r="O1055" s="5"/>
      <c r="P1055" s="142">
        <f>IFERROR(__xludf.DUMMYFUNCTION("""COMPUTED_VALUE"""),-2795.4054100000003)</f>
        <v>-2795.40541</v>
      </c>
      <c r="Q1055" s="5"/>
      <c r="R1055" s="71">
        <f>IFERROR(__xludf.DUMMYFUNCTION("""COMPUTED_VALUE"""),4.54)</f>
        <v>4.54</v>
      </c>
      <c r="S1055" s="142">
        <f>IFERROR(__xludf.DUMMYFUNCTION("""COMPUTED_VALUE"""),1772.5056650000001)</f>
        <v>1772.505665</v>
      </c>
      <c r="T1055" s="5">
        <f>IFERROR(__xludf.DUMMYFUNCTION("""COMPUTED_VALUE"""),3.0)</f>
        <v>3</v>
      </c>
      <c r="U1055" s="5" t="str">
        <f>IFERROR(__xludf.DUMMYFUNCTION("""COMPUTED_VALUE"""),"")</f>
        <v/>
      </c>
      <c r="V1055" s="22" t="str">
        <f>IFERROR(__xludf.DUMMYFUNCTION("""COMPUTED_VALUE"""),"")</f>
        <v/>
      </c>
      <c r="W1055" s="9" t="str">
        <f>IFERROR(__xludf.DUMMYFUNCTION("""COMPUTED_VALUE"""),"")</f>
        <v/>
      </c>
      <c r="X1055" s="22" t="str">
        <f>IFERROR(__xludf.DUMMYFUNCTION("""COMPUTED_VALUE"""),"")</f>
        <v/>
      </c>
      <c r="Y1055" s="22" t="str">
        <f>IFERROR(__xludf.DUMMYFUNCTION("""COMPUTED_VALUE"""),"")</f>
        <v/>
      </c>
      <c r="Z1055" s="24" t="str">
        <f>IFERROR(__xludf.DUMMYFUNCTION("""COMPUTED_VALUE"""),"")</f>
        <v/>
      </c>
    </row>
    <row r="1056">
      <c r="A1056" s="5" t="str">
        <f>IFERROR(__xludf.DUMMYFUNCTION("""COMPUTED_VALUE"""),"")</f>
        <v/>
      </c>
      <c r="B1056" s="5" t="str">
        <f>IFERROR(__xludf.DUMMYFUNCTION("""COMPUTED_VALUE"""),"89750")</f>
        <v>89750</v>
      </c>
      <c r="C1056" s="9">
        <f>IFERROR(__xludf.DUMMYFUNCTION("""COMPUTED_VALUE"""),4.4620000384E10)</f>
        <v>44620000384</v>
      </c>
      <c r="D1056" s="87" t="str">
        <f>IFERROR(__xludf.DUMMYFUNCTION("""COMPUTED_VALUE"""),"SOXL")</f>
        <v>SOXL</v>
      </c>
      <c r="E1056" s="193">
        <f>IFERROR(__xludf.DUMMYFUNCTION("""COMPUTED_VALUE"""),44620.0)</f>
        <v>44620</v>
      </c>
      <c r="F1056" s="5" t="str">
        <f>IFERROR(__xludf.DUMMYFUNCTION("""COMPUTED_VALUE"""),"Stock")</f>
        <v>Stock</v>
      </c>
      <c r="G1056" s="5" t="str">
        <f>IFERROR(__xludf.DUMMYFUNCTION("""COMPUTED_VALUE"""),"USD")</f>
        <v>USD</v>
      </c>
      <c r="H1056" s="22">
        <f>IFERROR(__xludf.DUMMYFUNCTION("""COMPUTED_VALUE"""),-20.0)</f>
        <v>-20</v>
      </c>
      <c r="I1056" s="194">
        <f>IFERROR(__xludf.DUMMYFUNCTION("""COMPUTED_VALUE"""),7.81345)</f>
        <v>7.81345</v>
      </c>
      <c r="J1056" s="23">
        <f>IFERROR(__xludf.DUMMYFUNCTION("""COMPUTED_VALUE"""),41.01)</f>
        <v>41.01</v>
      </c>
      <c r="K1056" s="5"/>
      <c r="L1056" s="23">
        <f>IFERROR(__xludf.DUMMYFUNCTION("""COMPUTED_VALUE"""),28.05)</f>
        <v>28.05</v>
      </c>
      <c r="M1056" s="195" t="str">
        <f>IFERROR(__xludf.DUMMYFUNCTION("""COMPUTED_VALUE"""),"Equity Key Stats")</f>
        <v>Equity Key Stats</v>
      </c>
      <c r="N1056" s="5"/>
      <c r="O1056" s="5"/>
      <c r="P1056" s="142">
        <f>IFERROR(__xludf.DUMMYFUNCTION("""COMPUTED_VALUE"""),6408.59169)</f>
        <v>6408.59169</v>
      </c>
      <c r="Q1056" s="5"/>
      <c r="R1056" s="71">
        <f>IFERROR(__xludf.DUMMYFUNCTION("""COMPUTED_VALUE"""),28.05)</f>
        <v>28.05</v>
      </c>
      <c r="S1056" s="142">
        <f>IFERROR(__xludf.DUMMYFUNCTION("""COMPUTED_VALUE"""),-4383.345450000001)</f>
        <v>-4383.34545</v>
      </c>
      <c r="T1056" s="5">
        <f>IFERROR(__xludf.DUMMYFUNCTION("""COMPUTED_VALUE"""),4.0)</f>
        <v>4</v>
      </c>
      <c r="U1056" s="5" t="str">
        <f>IFERROR(__xludf.DUMMYFUNCTION("""COMPUTED_VALUE"""),"")</f>
        <v/>
      </c>
      <c r="V1056" s="22" t="str">
        <f>IFERROR(__xludf.DUMMYFUNCTION("""COMPUTED_VALUE"""),"")</f>
        <v/>
      </c>
      <c r="W1056" s="9" t="str">
        <f>IFERROR(__xludf.DUMMYFUNCTION("""COMPUTED_VALUE"""),"")</f>
        <v/>
      </c>
      <c r="X1056" s="22" t="str">
        <f>IFERROR(__xludf.DUMMYFUNCTION("""COMPUTED_VALUE"""),"")</f>
        <v/>
      </c>
      <c r="Y1056" s="22" t="str">
        <f>IFERROR(__xludf.DUMMYFUNCTION("""COMPUTED_VALUE"""),"")</f>
        <v/>
      </c>
      <c r="Z1056" s="24" t="str">
        <f>IFERROR(__xludf.DUMMYFUNCTION("""COMPUTED_VALUE"""),"")</f>
        <v/>
      </c>
    </row>
    <row r="1057">
      <c r="A1057" s="5" t="str">
        <f>IFERROR(__xludf.DUMMYFUNCTION("""COMPUTED_VALUE"""),"")</f>
        <v/>
      </c>
      <c r="B1057" s="5" t="str">
        <f>IFERROR(__xludf.DUMMYFUNCTION("""COMPUTED_VALUE"""),"89750")</f>
        <v>89750</v>
      </c>
      <c r="C1057" s="9">
        <f>IFERROR(__xludf.DUMMYFUNCTION("""COMPUTED_VALUE"""),4.4620000385E10)</f>
        <v>44620000385</v>
      </c>
      <c r="D1057" s="87" t="str">
        <f>IFERROR(__xludf.DUMMYFUNCTION("""COMPUTED_VALUE"""),"SBRCY")</f>
        <v>SBRCY</v>
      </c>
      <c r="E1057" s="193">
        <f>IFERROR(__xludf.DUMMYFUNCTION("""COMPUTED_VALUE"""),44620.0)</f>
        <v>44620</v>
      </c>
      <c r="F1057" s="5" t="str">
        <f>IFERROR(__xludf.DUMMYFUNCTION("""COMPUTED_VALUE"""),"Stock")</f>
        <v>Stock</v>
      </c>
      <c r="G1057" s="5" t="str">
        <f>IFERROR(__xludf.DUMMYFUNCTION("""COMPUTED_VALUE"""),"USD")</f>
        <v>USD</v>
      </c>
      <c r="H1057" s="22">
        <f>IFERROR(__xludf.DUMMYFUNCTION("""COMPUTED_VALUE"""),5000.0)</f>
        <v>5000</v>
      </c>
      <c r="I1057" s="194">
        <f>IFERROR(__xludf.DUMMYFUNCTION("""COMPUTED_VALUE"""),7.81345)</f>
        <v>7.81345</v>
      </c>
      <c r="J1057" s="23">
        <f>IFERROR(__xludf.DUMMYFUNCTION("""COMPUTED_VALUE"""),1.25)</f>
        <v>1.25</v>
      </c>
      <c r="K1057" s="5"/>
      <c r="L1057" s="23">
        <f>IFERROR(__xludf.DUMMYFUNCTION("""COMPUTED_VALUE"""),0.52)</f>
        <v>0.52</v>
      </c>
      <c r="M1057" s="195" t="str">
        <f>IFERROR(__xludf.DUMMYFUNCTION("""COMPUTED_VALUE"""),"Equity Key Stats")</f>
        <v>Equity Key Stats</v>
      </c>
      <c r="N1057" s="5"/>
      <c r="O1057" s="5"/>
      <c r="P1057" s="142">
        <f>IFERROR(__xludf.DUMMYFUNCTION("""COMPUTED_VALUE"""),-48834.0625)</f>
        <v>-48834.0625</v>
      </c>
      <c r="Q1057" s="5"/>
      <c r="R1057" s="71">
        <f>IFERROR(__xludf.DUMMYFUNCTION("""COMPUTED_VALUE"""),0.52)</f>
        <v>0.52</v>
      </c>
      <c r="S1057" s="142">
        <f>IFERROR(__xludf.DUMMYFUNCTION("""COMPUTED_VALUE"""),20314.97)</f>
        <v>20314.97</v>
      </c>
      <c r="T1057" s="5">
        <f>IFERROR(__xludf.DUMMYFUNCTION("""COMPUTED_VALUE"""),2.0)</f>
        <v>2</v>
      </c>
      <c r="U1057" s="5" t="str">
        <f>IFERROR(__xludf.DUMMYFUNCTION("""COMPUTED_VALUE"""),"")</f>
        <v/>
      </c>
      <c r="V1057" s="22" t="str">
        <f>IFERROR(__xludf.DUMMYFUNCTION("""COMPUTED_VALUE"""),"")</f>
        <v/>
      </c>
      <c r="W1057" s="9" t="str">
        <f>IFERROR(__xludf.DUMMYFUNCTION("""COMPUTED_VALUE"""),"")</f>
        <v/>
      </c>
      <c r="X1057" s="22" t="str">
        <f>IFERROR(__xludf.DUMMYFUNCTION("""COMPUTED_VALUE"""),"")</f>
        <v/>
      </c>
      <c r="Y1057" s="22" t="str">
        <f>IFERROR(__xludf.DUMMYFUNCTION("""COMPUTED_VALUE"""),"")</f>
        <v/>
      </c>
      <c r="Z1057" s="24" t="str">
        <f>IFERROR(__xludf.DUMMYFUNCTION("""COMPUTED_VALUE"""),"")</f>
        <v/>
      </c>
    </row>
    <row r="1058">
      <c r="A1058" s="5" t="str">
        <f>IFERROR(__xludf.DUMMYFUNCTION("""COMPUTED_VALUE"""),"")</f>
        <v/>
      </c>
      <c r="B1058" s="5" t="str">
        <f>IFERROR(__xludf.DUMMYFUNCTION("""COMPUTED_VALUE"""),"89750")</f>
        <v>89750</v>
      </c>
      <c r="C1058" s="9">
        <f>IFERROR(__xludf.DUMMYFUNCTION("""COMPUTED_VALUE"""),4.4620000386E10)</f>
        <v>44620000386</v>
      </c>
      <c r="D1058" s="87" t="str">
        <f>IFERROR(__xludf.DUMMYFUNCTION("""COMPUTED_VALUE"""),"FTCH220318P00017500")</f>
        <v>FTCH220318P00017500</v>
      </c>
      <c r="E1058" s="193">
        <f>IFERROR(__xludf.DUMMYFUNCTION("""COMPUTED_VALUE"""),44620.0)</f>
        <v>44620</v>
      </c>
      <c r="F1058" s="5" t="str">
        <f>IFERROR(__xludf.DUMMYFUNCTION("""COMPUTED_VALUE"""),"Option")</f>
        <v>Option</v>
      </c>
      <c r="G1058" s="5" t="str">
        <f>IFERROR(__xludf.DUMMYFUNCTION("""COMPUTED_VALUE"""),"USD")</f>
        <v>USD</v>
      </c>
      <c r="H1058" s="22">
        <f>IFERROR(__xludf.DUMMYFUNCTION("""COMPUTED_VALUE"""),50.0)</f>
        <v>50</v>
      </c>
      <c r="I1058" s="194">
        <f>IFERROR(__xludf.DUMMYFUNCTION("""COMPUTED_VALUE"""),7.81345)</f>
        <v>7.81345</v>
      </c>
      <c r="J1058" s="23">
        <f>IFERROR(__xludf.DUMMYFUNCTION("""COMPUTED_VALUE"""),1.03)</f>
        <v>1.03</v>
      </c>
      <c r="K1058" s="5"/>
      <c r="L1058" s="23">
        <f>IFERROR(__xludf.DUMMYFUNCTION("""COMPUTED_VALUE"""),0.0)</f>
        <v>0</v>
      </c>
      <c r="M1058" s="25" t="str">
        <f>IFERROR(__xludf.DUMMYFUNCTION("""COMPUTED_VALUE"""),"")</f>
        <v/>
      </c>
      <c r="N1058" s="5"/>
      <c r="O1058" s="5"/>
      <c r="P1058" s="142">
        <f>IFERROR(__xludf.DUMMYFUNCTION("""COMPUTED_VALUE"""),-40239.267499999994)</f>
        <v>-40239.2675</v>
      </c>
      <c r="Q1058" s="5"/>
      <c r="R1058" s="71">
        <f>IFERROR(__xludf.DUMMYFUNCTION("""COMPUTED_VALUE"""),0.0)</f>
        <v>0</v>
      </c>
      <c r="S1058" s="142">
        <f>IFERROR(__xludf.DUMMYFUNCTION("""COMPUTED_VALUE"""),0.0)</f>
        <v>0</v>
      </c>
      <c r="T1058" s="5">
        <f>IFERROR(__xludf.DUMMYFUNCTION("""COMPUTED_VALUE"""),3.0)</f>
        <v>3</v>
      </c>
      <c r="U1058" s="5" t="str">
        <f>IFERROR(__xludf.DUMMYFUNCTION("""COMPUTED_VALUE"""),"")</f>
        <v/>
      </c>
      <c r="V1058" s="22" t="str">
        <f>IFERROR(__xludf.DUMMYFUNCTION("""COMPUTED_VALUE"""),"")</f>
        <v/>
      </c>
      <c r="W1058" s="9" t="str">
        <f>IFERROR(__xludf.DUMMYFUNCTION("""COMPUTED_VALUE"""),"")</f>
        <v/>
      </c>
      <c r="X1058" s="22" t="str">
        <f>IFERROR(__xludf.DUMMYFUNCTION("""COMPUTED_VALUE"""),"")</f>
        <v/>
      </c>
      <c r="Y1058" s="22" t="str">
        <f>IFERROR(__xludf.DUMMYFUNCTION("""COMPUTED_VALUE"""),"")</f>
        <v/>
      </c>
      <c r="Z1058" s="24" t="str">
        <f>IFERROR(__xludf.DUMMYFUNCTION("""COMPUTED_VALUE"""),"")</f>
        <v/>
      </c>
    </row>
    <row r="1059">
      <c r="A1059" s="5" t="str">
        <f>IFERROR(__xludf.DUMMYFUNCTION("""COMPUTED_VALUE"""),"")</f>
        <v/>
      </c>
      <c r="B1059" s="5" t="str">
        <f>IFERROR(__xludf.DUMMYFUNCTION("""COMPUTED_VALUE"""),"89750")</f>
        <v>89750</v>
      </c>
      <c r="C1059" s="9">
        <f>IFERROR(__xludf.DUMMYFUNCTION("""COMPUTED_VALUE"""),4.4620000387E10)</f>
        <v>44620000387</v>
      </c>
      <c r="D1059" s="87" t="str">
        <f>IFERROR(__xludf.DUMMYFUNCTION("""COMPUTED_VALUE"""),"SPXL220318C00080000")</f>
        <v>SPXL220318C00080000</v>
      </c>
      <c r="E1059" s="193">
        <f>IFERROR(__xludf.DUMMYFUNCTION("""COMPUTED_VALUE"""),44620.0)</f>
        <v>44620</v>
      </c>
      <c r="F1059" s="5" t="str">
        <f>IFERROR(__xludf.DUMMYFUNCTION("""COMPUTED_VALUE"""),"Option")</f>
        <v>Option</v>
      </c>
      <c r="G1059" s="5" t="str">
        <f>IFERROR(__xludf.DUMMYFUNCTION("""COMPUTED_VALUE"""),"USD")</f>
        <v>USD</v>
      </c>
      <c r="H1059" s="22">
        <f>IFERROR(__xludf.DUMMYFUNCTION("""COMPUTED_VALUE"""),-2.0)</f>
        <v>-2</v>
      </c>
      <c r="I1059" s="194">
        <f>IFERROR(__xludf.DUMMYFUNCTION("""COMPUTED_VALUE"""),7.81345)</f>
        <v>7.81345</v>
      </c>
      <c r="J1059" s="23">
        <f>IFERROR(__xludf.DUMMYFUNCTION("""COMPUTED_VALUE"""),17.9)</f>
        <v>17.9</v>
      </c>
      <c r="K1059" s="5"/>
      <c r="L1059" s="23">
        <f>IFERROR(__xludf.DUMMYFUNCTION("""COMPUTED_VALUE"""),0.0)</f>
        <v>0</v>
      </c>
      <c r="M1059" s="25" t="str">
        <f>IFERROR(__xludf.DUMMYFUNCTION("""COMPUTED_VALUE"""),"")</f>
        <v/>
      </c>
      <c r="N1059" s="5"/>
      <c r="O1059" s="5"/>
      <c r="P1059" s="142">
        <f>IFERROR(__xludf.DUMMYFUNCTION("""COMPUTED_VALUE"""),27972.150999999998)</f>
        <v>27972.151</v>
      </c>
      <c r="Q1059" s="5"/>
      <c r="R1059" s="71">
        <f>IFERROR(__xludf.DUMMYFUNCTION("""COMPUTED_VALUE"""),0.0)</f>
        <v>0</v>
      </c>
      <c r="S1059" s="142">
        <f>IFERROR(__xludf.DUMMYFUNCTION("""COMPUTED_VALUE"""),0.0)</f>
        <v>0</v>
      </c>
      <c r="T1059" s="5">
        <f>IFERROR(__xludf.DUMMYFUNCTION("""COMPUTED_VALUE"""),4.0)</f>
        <v>4</v>
      </c>
      <c r="U1059" s="5" t="str">
        <f>IFERROR(__xludf.DUMMYFUNCTION("""COMPUTED_VALUE"""),"")</f>
        <v/>
      </c>
      <c r="V1059" s="22" t="str">
        <f>IFERROR(__xludf.DUMMYFUNCTION("""COMPUTED_VALUE"""),"")</f>
        <v/>
      </c>
      <c r="W1059" s="9" t="str">
        <f>IFERROR(__xludf.DUMMYFUNCTION("""COMPUTED_VALUE"""),"")</f>
        <v/>
      </c>
      <c r="X1059" s="22" t="str">
        <f>IFERROR(__xludf.DUMMYFUNCTION("""COMPUTED_VALUE"""),"")</f>
        <v/>
      </c>
      <c r="Y1059" s="22" t="str">
        <f>IFERROR(__xludf.DUMMYFUNCTION("""COMPUTED_VALUE"""),"")</f>
        <v/>
      </c>
      <c r="Z1059" s="24" t="str">
        <f>IFERROR(__xludf.DUMMYFUNCTION("""COMPUTED_VALUE"""),"")</f>
        <v/>
      </c>
    </row>
    <row r="1060">
      <c r="A1060" s="5" t="str">
        <f>IFERROR(__xludf.DUMMYFUNCTION("""COMPUTED_VALUE"""),"")</f>
        <v/>
      </c>
      <c r="B1060" s="5" t="str">
        <f>IFERROR(__xludf.DUMMYFUNCTION("""COMPUTED_VALUE"""),"89750")</f>
        <v>89750</v>
      </c>
      <c r="C1060" s="9">
        <f>IFERROR(__xludf.DUMMYFUNCTION("""COMPUTED_VALUE"""),4.4621000394E10)</f>
        <v>44621000394</v>
      </c>
      <c r="D1060" s="87" t="str">
        <f>IFERROR(__xludf.DUMMYFUNCTION("""COMPUTED_VALUE"""),"SPXL220318C00080000")</f>
        <v>SPXL220318C00080000</v>
      </c>
      <c r="E1060" s="193">
        <f>IFERROR(__xludf.DUMMYFUNCTION("""COMPUTED_VALUE"""),44621.0)</f>
        <v>44621</v>
      </c>
      <c r="F1060" s="5" t="str">
        <f>IFERROR(__xludf.DUMMYFUNCTION("""COMPUTED_VALUE"""),"Option")</f>
        <v>Option</v>
      </c>
      <c r="G1060" s="5" t="str">
        <f>IFERROR(__xludf.DUMMYFUNCTION("""COMPUTED_VALUE"""),"USD")</f>
        <v>USD</v>
      </c>
      <c r="H1060" s="22">
        <f>IFERROR(__xludf.DUMMYFUNCTION("""COMPUTED_VALUE"""),-6.0)</f>
        <v>-6</v>
      </c>
      <c r="I1060" s="194">
        <f>IFERROR(__xludf.DUMMYFUNCTION("""COMPUTED_VALUE"""),7.815805)</f>
        <v>7.815805</v>
      </c>
      <c r="J1060" s="23">
        <f>IFERROR(__xludf.DUMMYFUNCTION("""COMPUTED_VALUE"""),17.9)</f>
        <v>17.9</v>
      </c>
      <c r="K1060" s="5"/>
      <c r="L1060" s="23">
        <f>IFERROR(__xludf.DUMMYFUNCTION("""COMPUTED_VALUE"""),0.0)</f>
        <v>0</v>
      </c>
      <c r="M1060" s="25" t="str">
        <f>IFERROR(__xludf.DUMMYFUNCTION("""COMPUTED_VALUE"""),"")</f>
        <v/>
      </c>
      <c r="N1060" s="5"/>
      <c r="O1060" s="5"/>
      <c r="P1060" s="142">
        <f>IFERROR(__xludf.DUMMYFUNCTION("""COMPUTED_VALUE"""),83941.74569999998)</f>
        <v>83941.7457</v>
      </c>
      <c r="Q1060" s="5"/>
      <c r="R1060" s="71">
        <f>IFERROR(__xludf.DUMMYFUNCTION("""COMPUTED_VALUE"""),0.0)</f>
        <v>0</v>
      </c>
      <c r="S1060" s="142">
        <f>IFERROR(__xludf.DUMMYFUNCTION("""COMPUTED_VALUE"""),0.0)</f>
        <v>0</v>
      </c>
      <c r="T1060" s="5">
        <f>IFERROR(__xludf.DUMMYFUNCTION("""COMPUTED_VALUE"""),4.0)</f>
        <v>4</v>
      </c>
      <c r="U1060" s="5" t="str">
        <f>IFERROR(__xludf.DUMMYFUNCTION("""COMPUTED_VALUE"""),"")</f>
        <v/>
      </c>
      <c r="V1060" s="22" t="str">
        <f>IFERROR(__xludf.DUMMYFUNCTION("""COMPUTED_VALUE"""),"")</f>
        <v/>
      </c>
      <c r="W1060" s="9" t="str">
        <f>IFERROR(__xludf.DUMMYFUNCTION("""COMPUTED_VALUE"""),"")</f>
        <v/>
      </c>
      <c r="X1060" s="22" t="str">
        <f>IFERROR(__xludf.DUMMYFUNCTION("""COMPUTED_VALUE"""),"")</f>
        <v/>
      </c>
      <c r="Y1060" s="22" t="str">
        <f>IFERROR(__xludf.DUMMYFUNCTION("""COMPUTED_VALUE"""),"")</f>
        <v/>
      </c>
      <c r="Z1060" s="24" t="str">
        <f>IFERROR(__xludf.DUMMYFUNCTION("""COMPUTED_VALUE"""),"")</f>
        <v/>
      </c>
    </row>
    <row r="1061">
      <c r="A1061" s="5" t="str">
        <f>IFERROR(__xludf.DUMMYFUNCTION("""COMPUTED_VALUE"""),"")</f>
        <v/>
      </c>
      <c r="B1061" s="5" t="str">
        <f>IFERROR(__xludf.DUMMYFUNCTION("""COMPUTED_VALUE"""),"89750")</f>
        <v>89750</v>
      </c>
      <c r="C1061" s="9">
        <f>IFERROR(__xludf.DUMMYFUNCTION("""COMPUTED_VALUE"""),4.4621000397E10)</f>
        <v>44621000397</v>
      </c>
      <c r="D1061" s="87" t="str">
        <f>IFERROR(__xludf.DUMMYFUNCTION("""COMPUTED_VALUE"""),"SOFI")</f>
        <v>SOFI</v>
      </c>
      <c r="E1061" s="193">
        <f>IFERROR(__xludf.DUMMYFUNCTION("""COMPUTED_VALUE"""),44621.0)</f>
        <v>44621</v>
      </c>
      <c r="F1061" s="5" t="str">
        <f>IFERROR(__xludf.DUMMYFUNCTION("""COMPUTED_VALUE"""),"Stock")</f>
        <v>Stock</v>
      </c>
      <c r="G1061" s="5" t="str">
        <f>IFERROR(__xludf.DUMMYFUNCTION("""COMPUTED_VALUE"""),"USD")</f>
        <v>USD</v>
      </c>
      <c r="H1061" s="22">
        <f>IFERROR(__xludf.DUMMYFUNCTION("""COMPUTED_VALUE"""),-100.0)</f>
        <v>-100</v>
      </c>
      <c r="I1061" s="194">
        <f>IFERROR(__xludf.DUMMYFUNCTION("""COMPUTED_VALUE"""),7.815805)</f>
        <v>7.815805</v>
      </c>
      <c r="J1061" s="23">
        <f>IFERROR(__xludf.DUMMYFUNCTION("""COMPUTED_VALUE"""),11.2)</f>
        <v>11.2</v>
      </c>
      <c r="K1061" s="5"/>
      <c r="L1061" s="23">
        <f>IFERROR(__xludf.DUMMYFUNCTION("""COMPUTED_VALUE"""),7.61)</f>
        <v>7.61</v>
      </c>
      <c r="M1061" s="195" t="str">
        <f>IFERROR(__xludf.DUMMYFUNCTION("""COMPUTED_VALUE"""),"Equity Key Stats")</f>
        <v>Equity Key Stats</v>
      </c>
      <c r="N1061" s="5"/>
      <c r="O1061" s="5"/>
      <c r="P1061" s="142">
        <f>IFERROR(__xludf.DUMMYFUNCTION("""COMPUTED_VALUE"""),8753.7016)</f>
        <v>8753.7016</v>
      </c>
      <c r="Q1061" s="5"/>
      <c r="R1061" s="71">
        <f>IFERROR(__xludf.DUMMYFUNCTION("""COMPUTED_VALUE"""),7.61)</f>
        <v>7.61</v>
      </c>
      <c r="S1061" s="142">
        <f>IFERROR(__xludf.DUMMYFUNCTION("""COMPUTED_VALUE"""),-5947.827605)</f>
        <v>-5947.827605</v>
      </c>
      <c r="T1061" s="5">
        <f>IFERROR(__xludf.DUMMYFUNCTION("""COMPUTED_VALUE"""),4.0)</f>
        <v>4</v>
      </c>
      <c r="U1061" s="5">
        <f>IFERROR(__xludf.DUMMYFUNCTION("""COMPUTED_VALUE"""),1.0)</f>
        <v>1</v>
      </c>
      <c r="V1061" s="22">
        <f>IFERROR(__xludf.DUMMYFUNCTION("""COMPUTED_VALUE"""),201.27419399999872)</f>
        <v>201.274194</v>
      </c>
      <c r="W1061" s="9" t="str">
        <f>IFERROR(__xludf.DUMMYFUNCTION("""COMPUTED_VALUE"""),"")</f>
        <v/>
      </c>
      <c r="X1061" s="22" t="str">
        <f>IFERROR(__xludf.DUMMYFUNCTION("""COMPUTED_VALUE"""),"")</f>
        <v/>
      </c>
      <c r="Y1061" s="22" t="str">
        <f>IFERROR(__xludf.DUMMYFUNCTION("""COMPUTED_VALUE"""),"")</f>
        <v/>
      </c>
      <c r="Z1061" s="24" t="str">
        <f>IFERROR(__xludf.DUMMYFUNCTION("""COMPUTED_VALUE"""),"")</f>
        <v/>
      </c>
    </row>
    <row r="1062">
      <c r="A1062" s="5" t="str">
        <f>IFERROR(__xludf.DUMMYFUNCTION("""COMPUTED_VALUE"""),"")</f>
        <v/>
      </c>
      <c r="B1062" s="5" t="str">
        <f>IFERROR(__xludf.DUMMYFUNCTION("""COMPUTED_VALUE"""),"89750")</f>
        <v>89750</v>
      </c>
      <c r="C1062" s="9">
        <f>IFERROR(__xludf.DUMMYFUNCTION("""COMPUTED_VALUE"""),4.4621000398E10)</f>
        <v>44621000398</v>
      </c>
      <c r="D1062" s="87" t="str">
        <f>IFERROR(__xludf.DUMMYFUNCTION("""COMPUTED_VALUE"""),"NU")</f>
        <v>NU</v>
      </c>
      <c r="E1062" s="193">
        <f>IFERROR(__xludf.DUMMYFUNCTION("""COMPUTED_VALUE"""),44621.0)</f>
        <v>44621</v>
      </c>
      <c r="F1062" s="5" t="str">
        <f>IFERROR(__xludf.DUMMYFUNCTION("""COMPUTED_VALUE"""),"Stock")</f>
        <v>Stock</v>
      </c>
      <c r="G1062" s="5" t="str">
        <f>IFERROR(__xludf.DUMMYFUNCTION("""COMPUTED_VALUE"""),"USD")</f>
        <v>USD</v>
      </c>
      <c r="H1062" s="22">
        <f>IFERROR(__xludf.DUMMYFUNCTION("""COMPUTED_VALUE"""),-90.0)</f>
        <v>-90</v>
      </c>
      <c r="I1062" s="194">
        <f>IFERROR(__xludf.DUMMYFUNCTION("""COMPUTED_VALUE"""),7.815805)</f>
        <v>7.815805</v>
      </c>
      <c r="J1062" s="23">
        <f>IFERROR(__xludf.DUMMYFUNCTION("""COMPUTED_VALUE"""),7.92)</f>
        <v>7.92</v>
      </c>
      <c r="K1062" s="5"/>
      <c r="L1062" s="23">
        <f>IFERROR(__xludf.DUMMYFUNCTION("""COMPUTED_VALUE"""),7.17)</f>
        <v>7.17</v>
      </c>
      <c r="M1062" s="195" t="str">
        <f>IFERROR(__xludf.DUMMYFUNCTION("""COMPUTED_VALUE"""),"Equity Key Stats")</f>
        <v>Equity Key Stats</v>
      </c>
      <c r="N1062" s="5"/>
      <c r="O1062" s="5"/>
      <c r="P1062" s="142">
        <f>IFERROR(__xludf.DUMMYFUNCTION("""COMPUTED_VALUE"""),5571.105804)</f>
        <v>5571.105804</v>
      </c>
      <c r="Q1062" s="5"/>
      <c r="R1062" s="71">
        <f>IFERROR(__xludf.DUMMYFUNCTION("""COMPUTED_VALUE"""),7.17)</f>
        <v>7.17</v>
      </c>
      <c r="S1062" s="142">
        <f>IFERROR(__xludf.DUMMYFUNCTION("""COMPUTED_VALUE"""),-5043.5389665)</f>
        <v>-5043.538967</v>
      </c>
      <c r="T1062" s="5">
        <f>IFERROR(__xludf.DUMMYFUNCTION("""COMPUTED_VALUE"""),3.0)</f>
        <v>3</v>
      </c>
      <c r="U1062" s="5">
        <f>IFERROR(__xludf.DUMMYFUNCTION("""COMPUTED_VALUE"""),1.0)</f>
        <v>1</v>
      </c>
      <c r="V1062" s="22">
        <f>IFERROR(__xludf.DUMMYFUNCTION("""COMPUTED_VALUE"""),-60.188679000000775)</f>
        <v>-60.188679</v>
      </c>
      <c r="W1062" s="9" t="str">
        <f>IFERROR(__xludf.DUMMYFUNCTION("""COMPUTED_VALUE"""),"")</f>
        <v/>
      </c>
      <c r="X1062" s="22" t="str">
        <f>IFERROR(__xludf.DUMMYFUNCTION("""COMPUTED_VALUE"""),"")</f>
        <v/>
      </c>
      <c r="Y1062" s="22" t="str">
        <f>IFERROR(__xludf.DUMMYFUNCTION("""COMPUTED_VALUE"""),"")</f>
        <v/>
      </c>
      <c r="Z1062" s="24" t="str">
        <f>IFERROR(__xludf.DUMMYFUNCTION("""COMPUTED_VALUE"""),"")</f>
        <v/>
      </c>
    </row>
    <row r="1063">
      <c r="A1063" s="5" t="str">
        <f>IFERROR(__xludf.DUMMYFUNCTION("""COMPUTED_VALUE"""),"")</f>
        <v/>
      </c>
      <c r="B1063" s="5" t="str">
        <f>IFERROR(__xludf.DUMMYFUNCTION("""COMPUTED_VALUE"""),"89750")</f>
        <v>89750</v>
      </c>
      <c r="C1063" s="9">
        <f>IFERROR(__xludf.DUMMYFUNCTION("""COMPUTED_VALUE"""),4.4621000399E10)</f>
        <v>44621000399</v>
      </c>
      <c r="D1063" s="87" t="str">
        <f>IFERROR(__xludf.DUMMYFUNCTION("""COMPUTED_VALUE"""),"FTCH220318P00017500")</f>
        <v>FTCH220318P00017500</v>
      </c>
      <c r="E1063" s="193">
        <f>IFERROR(__xludf.DUMMYFUNCTION("""COMPUTED_VALUE"""),44621.0)</f>
        <v>44621</v>
      </c>
      <c r="F1063" s="5" t="str">
        <f>IFERROR(__xludf.DUMMYFUNCTION("""COMPUTED_VALUE"""),"Option")</f>
        <v>Option</v>
      </c>
      <c r="G1063" s="5" t="str">
        <f>IFERROR(__xludf.DUMMYFUNCTION("""COMPUTED_VALUE"""),"USD")</f>
        <v>USD</v>
      </c>
      <c r="H1063" s="22">
        <f>IFERROR(__xludf.DUMMYFUNCTION("""COMPUTED_VALUE"""),-100.0)</f>
        <v>-100</v>
      </c>
      <c r="I1063" s="194">
        <f>IFERROR(__xludf.DUMMYFUNCTION("""COMPUTED_VALUE"""),7.815805)</f>
        <v>7.815805</v>
      </c>
      <c r="J1063" s="23">
        <f>IFERROR(__xludf.DUMMYFUNCTION("""COMPUTED_VALUE"""),1.75)</f>
        <v>1.75</v>
      </c>
      <c r="K1063" s="5"/>
      <c r="L1063" s="23">
        <f>IFERROR(__xludf.DUMMYFUNCTION("""COMPUTED_VALUE"""),0.0)</f>
        <v>0</v>
      </c>
      <c r="M1063" s="25" t="str">
        <f>IFERROR(__xludf.DUMMYFUNCTION("""COMPUTED_VALUE"""),"")</f>
        <v/>
      </c>
      <c r="N1063" s="5"/>
      <c r="O1063" s="5"/>
      <c r="P1063" s="142">
        <f>IFERROR(__xludf.DUMMYFUNCTION("""COMPUTED_VALUE"""),136776.5875)</f>
        <v>136776.5875</v>
      </c>
      <c r="Q1063" s="5"/>
      <c r="R1063" s="71">
        <f>IFERROR(__xludf.DUMMYFUNCTION("""COMPUTED_VALUE"""),0.0)</f>
        <v>0</v>
      </c>
      <c r="S1063" s="142">
        <f>IFERROR(__xludf.DUMMYFUNCTION("""COMPUTED_VALUE"""),0.0)</f>
        <v>0</v>
      </c>
      <c r="T1063" s="5">
        <f>IFERROR(__xludf.DUMMYFUNCTION("""COMPUTED_VALUE"""),3.0)</f>
        <v>3</v>
      </c>
      <c r="U1063" s="5">
        <f>IFERROR(__xludf.DUMMYFUNCTION("""COMPUTED_VALUE"""),1.0)</f>
        <v>1</v>
      </c>
      <c r="V1063" s="22">
        <f>IFERROR(__xludf.DUMMYFUNCTION("""COMPUTED_VALUE"""),73112.13500000001)</f>
        <v>73112.135</v>
      </c>
      <c r="W1063" s="9" t="str">
        <f>IFERROR(__xludf.DUMMYFUNCTION("""COMPUTED_VALUE"""),"")</f>
        <v/>
      </c>
      <c r="X1063" s="22" t="str">
        <f>IFERROR(__xludf.DUMMYFUNCTION("""COMPUTED_VALUE"""),"")</f>
        <v/>
      </c>
      <c r="Y1063" s="22" t="str">
        <f>IFERROR(__xludf.DUMMYFUNCTION("""COMPUTED_VALUE"""),"")</f>
        <v/>
      </c>
      <c r="Z1063" s="24" t="str">
        <f>IFERROR(__xludf.DUMMYFUNCTION("""COMPUTED_VALUE"""),"")</f>
        <v/>
      </c>
    </row>
    <row r="1064">
      <c r="A1064" s="5" t="str">
        <f>IFERROR(__xludf.DUMMYFUNCTION("""COMPUTED_VALUE"""),"")</f>
        <v/>
      </c>
      <c r="B1064" s="5" t="str">
        <f>IFERROR(__xludf.DUMMYFUNCTION("""COMPUTED_VALUE"""),"89750")</f>
        <v>89750</v>
      </c>
      <c r="C1064" s="9">
        <f>IFERROR(__xludf.DUMMYFUNCTION("""COMPUTED_VALUE"""),4.46220004E10)</f>
        <v>44622000400</v>
      </c>
      <c r="D1064" s="87" t="str">
        <f>IFERROR(__xludf.DUMMYFUNCTION("""COMPUTED_VALUE"""),"SOXL")</f>
        <v>SOXL</v>
      </c>
      <c r="E1064" s="193">
        <f>IFERROR(__xludf.DUMMYFUNCTION("""COMPUTED_VALUE"""),44622.0)</f>
        <v>44622</v>
      </c>
      <c r="F1064" s="5" t="str">
        <f>IFERROR(__xludf.DUMMYFUNCTION("""COMPUTED_VALUE"""),"Stock")</f>
        <v>Stock</v>
      </c>
      <c r="G1064" s="5" t="str">
        <f>IFERROR(__xludf.DUMMYFUNCTION("""COMPUTED_VALUE"""),"USD")</f>
        <v>USD</v>
      </c>
      <c r="H1064" s="22">
        <f>IFERROR(__xludf.DUMMYFUNCTION("""COMPUTED_VALUE"""),100.0)</f>
        <v>100</v>
      </c>
      <c r="I1064" s="194">
        <f>IFERROR(__xludf.DUMMYFUNCTION("""COMPUTED_VALUE"""),7.81395)</f>
        <v>7.81395</v>
      </c>
      <c r="J1064" s="23">
        <f>IFERROR(__xludf.DUMMYFUNCTION("""COMPUTED_VALUE"""),36.58)</f>
        <v>36.58</v>
      </c>
      <c r="K1064" s="5"/>
      <c r="L1064" s="23">
        <f>IFERROR(__xludf.DUMMYFUNCTION("""COMPUTED_VALUE"""),28.05)</f>
        <v>28.05</v>
      </c>
      <c r="M1064" s="195" t="str">
        <f>IFERROR(__xludf.DUMMYFUNCTION("""COMPUTED_VALUE"""),"Equity Key Stats")</f>
        <v>Equity Key Stats</v>
      </c>
      <c r="N1064" s="5"/>
      <c r="O1064" s="5"/>
      <c r="P1064" s="142">
        <f>IFERROR(__xludf.DUMMYFUNCTION("""COMPUTED_VALUE"""),-28583.429099999998)</f>
        <v>-28583.4291</v>
      </c>
      <c r="Q1064" s="5"/>
      <c r="R1064" s="71">
        <f>IFERROR(__xludf.DUMMYFUNCTION("""COMPUTED_VALUE"""),28.05)</f>
        <v>28.05</v>
      </c>
      <c r="S1064" s="142">
        <f>IFERROR(__xludf.DUMMYFUNCTION("""COMPUTED_VALUE"""),21918.12975)</f>
        <v>21918.12975</v>
      </c>
      <c r="T1064" s="5">
        <f>IFERROR(__xludf.DUMMYFUNCTION("""COMPUTED_VALUE"""),4.0)</f>
        <v>4</v>
      </c>
      <c r="U1064" s="5" t="str">
        <f>IFERROR(__xludf.DUMMYFUNCTION("""COMPUTED_VALUE"""),"")</f>
        <v/>
      </c>
      <c r="V1064" s="22" t="str">
        <f>IFERROR(__xludf.DUMMYFUNCTION("""COMPUTED_VALUE"""),"")</f>
        <v/>
      </c>
      <c r="W1064" s="9" t="str">
        <f>IFERROR(__xludf.DUMMYFUNCTION("""COMPUTED_VALUE"""),"")</f>
        <v/>
      </c>
      <c r="X1064" s="22" t="str">
        <f>IFERROR(__xludf.DUMMYFUNCTION("""COMPUTED_VALUE"""),"")</f>
        <v/>
      </c>
      <c r="Y1064" s="22" t="str">
        <f>IFERROR(__xludf.DUMMYFUNCTION("""COMPUTED_VALUE"""),"")</f>
        <v/>
      </c>
      <c r="Z1064" s="24" t="str">
        <f>IFERROR(__xludf.DUMMYFUNCTION("""COMPUTED_VALUE"""),"")</f>
        <v/>
      </c>
    </row>
    <row r="1065">
      <c r="A1065" s="5" t="str">
        <f>IFERROR(__xludf.DUMMYFUNCTION("""COMPUTED_VALUE"""),"")</f>
        <v/>
      </c>
      <c r="B1065" s="5" t="str">
        <f>IFERROR(__xludf.DUMMYFUNCTION("""COMPUTED_VALUE"""),"89750")</f>
        <v>89750</v>
      </c>
      <c r="C1065" s="9">
        <f>IFERROR(__xludf.DUMMYFUNCTION("""COMPUTED_VALUE"""),4.4622000401E10)</f>
        <v>44622000401</v>
      </c>
      <c r="D1065" s="90" t="str">
        <f>IFERROR(__xludf.DUMMYFUNCTION("""COMPUTED_VALUE"""),"9988.HK")</f>
        <v>9988.HK</v>
      </c>
      <c r="E1065" s="193">
        <f>IFERROR(__xludf.DUMMYFUNCTION("""COMPUTED_VALUE"""),44622.0)</f>
        <v>44622</v>
      </c>
      <c r="F1065" s="5" t="str">
        <f>IFERROR(__xludf.DUMMYFUNCTION("""COMPUTED_VALUE"""),"Stock")</f>
        <v>Stock</v>
      </c>
      <c r="G1065" s="5" t="str">
        <f>IFERROR(__xludf.DUMMYFUNCTION("""COMPUTED_VALUE"""),"HKD")</f>
        <v>HKD</v>
      </c>
      <c r="H1065" s="22">
        <f>IFERROR(__xludf.DUMMYFUNCTION("""COMPUTED_VALUE"""),1000.0)</f>
        <v>1000</v>
      </c>
      <c r="I1065" s="194">
        <f>IFERROR(__xludf.DUMMYFUNCTION("""COMPUTED_VALUE"""),1.0)</f>
        <v>1</v>
      </c>
      <c r="J1065" s="23">
        <f>IFERROR(__xludf.DUMMYFUNCTION("""COMPUTED_VALUE"""),103.9)</f>
        <v>103.9</v>
      </c>
      <c r="K1065" s="5"/>
      <c r="L1065" s="23">
        <f>IFERROR(__xludf.DUMMYFUNCTION("""COMPUTED_VALUE"""),98.5)</f>
        <v>98.5</v>
      </c>
      <c r="M1065" s="195" t="str">
        <f>IFERROR(__xludf.DUMMYFUNCTION("""COMPUTED_VALUE"""),"Equity Key Stats")</f>
        <v>Equity Key Stats</v>
      </c>
      <c r="N1065" s="5"/>
      <c r="O1065" s="5"/>
      <c r="P1065" s="142">
        <f>IFERROR(__xludf.DUMMYFUNCTION("""COMPUTED_VALUE"""),-103900.0)</f>
        <v>-103900</v>
      </c>
      <c r="Q1065" s="5"/>
      <c r="R1065" s="71">
        <f>IFERROR(__xludf.DUMMYFUNCTION("""COMPUTED_VALUE"""),98.5)</f>
        <v>98.5</v>
      </c>
      <c r="S1065" s="142">
        <f>IFERROR(__xludf.DUMMYFUNCTION("""COMPUTED_VALUE"""),98500.0)</f>
        <v>98500</v>
      </c>
      <c r="T1065" s="5">
        <f>IFERROR(__xludf.DUMMYFUNCTION("""COMPUTED_VALUE"""),2.0)</f>
        <v>2</v>
      </c>
      <c r="U1065" s="5" t="str">
        <f>IFERROR(__xludf.DUMMYFUNCTION("""COMPUTED_VALUE"""),"")</f>
        <v/>
      </c>
      <c r="V1065" s="22" t="str">
        <f>IFERROR(__xludf.DUMMYFUNCTION("""COMPUTED_VALUE"""),"")</f>
        <v/>
      </c>
      <c r="W1065" s="9" t="str">
        <f>IFERROR(__xludf.DUMMYFUNCTION("""COMPUTED_VALUE"""),"")</f>
        <v/>
      </c>
      <c r="X1065" s="22" t="str">
        <f>IFERROR(__xludf.DUMMYFUNCTION("""COMPUTED_VALUE"""),"")</f>
        <v/>
      </c>
      <c r="Y1065" s="22" t="str">
        <f>IFERROR(__xludf.DUMMYFUNCTION("""COMPUTED_VALUE"""),"")</f>
        <v/>
      </c>
      <c r="Z1065" s="24" t="str">
        <f>IFERROR(__xludf.DUMMYFUNCTION("""COMPUTED_VALUE"""),"")</f>
        <v/>
      </c>
    </row>
    <row r="1066">
      <c r="A1066" s="5" t="str">
        <f>IFERROR(__xludf.DUMMYFUNCTION("""COMPUTED_VALUE"""),"")</f>
        <v/>
      </c>
      <c r="B1066" s="5" t="str">
        <f>IFERROR(__xludf.DUMMYFUNCTION("""COMPUTED_VALUE"""),"89750")</f>
        <v>89750</v>
      </c>
      <c r="C1066" s="9">
        <f>IFERROR(__xludf.DUMMYFUNCTION("""COMPUTED_VALUE"""),4.4622000407E10)</f>
        <v>44622000407</v>
      </c>
      <c r="D1066" s="87" t="str">
        <f>IFERROR(__xludf.DUMMYFUNCTION("""COMPUTED_VALUE"""),"SPXL220318C00080000")</f>
        <v>SPXL220318C00080000</v>
      </c>
      <c r="E1066" s="193">
        <f>IFERROR(__xludf.DUMMYFUNCTION("""COMPUTED_VALUE"""),44622.0)</f>
        <v>44622</v>
      </c>
      <c r="F1066" s="5" t="str">
        <f>IFERROR(__xludf.DUMMYFUNCTION("""COMPUTED_VALUE"""),"Option")</f>
        <v>Option</v>
      </c>
      <c r="G1066" s="5" t="str">
        <f>IFERROR(__xludf.DUMMYFUNCTION("""COMPUTED_VALUE"""),"USD")</f>
        <v>USD</v>
      </c>
      <c r="H1066" s="22">
        <f>IFERROR(__xludf.DUMMYFUNCTION("""COMPUTED_VALUE"""),-2.0)</f>
        <v>-2</v>
      </c>
      <c r="I1066" s="194">
        <f>IFERROR(__xludf.DUMMYFUNCTION("""COMPUTED_VALUE"""),7.81395)</f>
        <v>7.81395</v>
      </c>
      <c r="J1066" s="23">
        <f>IFERROR(__xludf.DUMMYFUNCTION("""COMPUTED_VALUE"""),27.91)</f>
        <v>27.91</v>
      </c>
      <c r="K1066" s="5"/>
      <c r="L1066" s="23">
        <f>IFERROR(__xludf.DUMMYFUNCTION("""COMPUTED_VALUE"""),0.0)</f>
        <v>0</v>
      </c>
      <c r="M1066" s="25" t="str">
        <f>IFERROR(__xludf.DUMMYFUNCTION("""COMPUTED_VALUE"""),"")</f>
        <v/>
      </c>
      <c r="N1066" s="5"/>
      <c r="O1066" s="5"/>
      <c r="P1066" s="142">
        <f>IFERROR(__xludf.DUMMYFUNCTION("""COMPUTED_VALUE"""),43617.4689)</f>
        <v>43617.4689</v>
      </c>
      <c r="Q1066" s="5"/>
      <c r="R1066" s="71">
        <f>IFERROR(__xludf.DUMMYFUNCTION("""COMPUTED_VALUE"""),0.0)</f>
        <v>0</v>
      </c>
      <c r="S1066" s="142">
        <f>IFERROR(__xludf.DUMMYFUNCTION("""COMPUTED_VALUE"""),0.0)</f>
        <v>0</v>
      </c>
      <c r="T1066" s="5">
        <f>IFERROR(__xludf.DUMMYFUNCTION("""COMPUTED_VALUE"""),4.0)</f>
        <v>4</v>
      </c>
      <c r="U1066" s="5">
        <f>IFERROR(__xludf.DUMMYFUNCTION("""COMPUTED_VALUE"""),1.0)</f>
        <v>1</v>
      </c>
      <c r="V1066" s="22">
        <f>IFERROR(__xludf.DUMMYFUNCTION("""COMPUTED_VALUE"""),15761.095099999999)</f>
        <v>15761.0951</v>
      </c>
      <c r="W1066" s="9" t="str">
        <f>IFERROR(__xludf.DUMMYFUNCTION("""COMPUTED_VALUE"""),"")</f>
        <v/>
      </c>
      <c r="X1066" s="22" t="str">
        <f>IFERROR(__xludf.DUMMYFUNCTION("""COMPUTED_VALUE"""),"")</f>
        <v/>
      </c>
      <c r="Y1066" s="22" t="str">
        <f>IFERROR(__xludf.DUMMYFUNCTION("""COMPUTED_VALUE"""),"")</f>
        <v/>
      </c>
      <c r="Z1066" s="24" t="str">
        <f>IFERROR(__xludf.DUMMYFUNCTION("""COMPUTED_VALUE"""),"")</f>
        <v/>
      </c>
    </row>
    <row r="1067">
      <c r="A1067" s="5" t="str">
        <f>IFERROR(__xludf.DUMMYFUNCTION("""COMPUTED_VALUE"""),"")</f>
        <v/>
      </c>
      <c r="B1067" s="5" t="str">
        <f>IFERROR(__xludf.DUMMYFUNCTION("""COMPUTED_VALUE"""),"89750")</f>
        <v>89750</v>
      </c>
      <c r="C1067" s="9">
        <f>IFERROR(__xludf.DUMMYFUNCTION("""COMPUTED_VALUE"""),4.4622000408E10)</f>
        <v>44622000408</v>
      </c>
      <c r="D1067" s="87" t="str">
        <f>IFERROR(__xludf.DUMMYFUNCTION("""COMPUTED_VALUE"""),"SOXL")</f>
        <v>SOXL</v>
      </c>
      <c r="E1067" s="193">
        <f>IFERROR(__xludf.DUMMYFUNCTION("""COMPUTED_VALUE"""),44622.0)</f>
        <v>44622</v>
      </c>
      <c r="F1067" s="5" t="str">
        <f>IFERROR(__xludf.DUMMYFUNCTION("""COMPUTED_VALUE"""),"Stock")</f>
        <v>Stock</v>
      </c>
      <c r="G1067" s="5" t="str">
        <f>IFERROR(__xludf.DUMMYFUNCTION("""COMPUTED_VALUE"""),"USD")</f>
        <v>USD</v>
      </c>
      <c r="H1067" s="22">
        <f>IFERROR(__xludf.DUMMYFUNCTION("""COMPUTED_VALUE"""),-100.0)</f>
        <v>-100</v>
      </c>
      <c r="I1067" s="194">
        <f>IFERROR(__xludf.DUMMYFUNCTION("""COMPUTED_VALUE"""),7.81395)</f>
        <v>7.81395</v>
      </c>
      <c r="J1067" s="23">
        <f>IFERROR(__xludf.DUMMYFUNCTION("""COMPUTED_VALUE"""),40.12)</f>
        <v>40.12</v>
      </c>
      <c r="K1067" s="5"/>
      <c r="L1067" s="23">
        <f>IFERROR(__xludf.DUMMYFUNCTION("""COMPUTED_VALUE"""),28.05)</f>
        <v>28.05</v>
      </c>
      <c r="M1067" s="195" t="str">
        <f>IFERROR(__xludf.DUMMYFUNCTION("""COMPUTED_VALUE"""),"Equity Key Stats")</f>
        <v>Equity Key Stats</v>
      </c>
      <c r="N1067" s="5"/>
      <c r="O1067" s="5"/>
      <c r="P1067" s="142">
        <f>IFERROR(__xludf.DUMMYFUNCTION("""COMPUTED_VALUE"""),31349.567399999996)</f>
        <v>31349.5674</v>
      </c>
      <c r="Q1067" s="5"/>
      <c r="R1067" s="71">
        <f>IFERROR(__xludf.DUMMYFUNCTION("""COMPUTED_VALUE"""),28.05)</f>
        <v>28.05</v>
      </c>
      <c r="S1067" s="142">
        <f>IFERROR(__xludf.DUMMYFUNCTION("""COMPUTED_VALUE"""),-21918.12975)</f>
        <v>-21918.12975</v>
      </c>
      <c r="T1067" s="5">
        <f>IFERROR(__xludf.DUMMYFUNCTION("""COMPUTED_VALUE"""),4.0)</f>
        <v>4</v>
      </c>
      <c r="U1067" s="5">
        <f>IFERROR(__xludf.DUMMYFUNCTION("""COMPUTED_VALUE"""),1.0)</f>
        <v>1</v>
      </c>
      <c r="V1067" s="22">
        <f>IFERROR(__xludf.DUMMYFUNCTION("""COMPUTED_VALUE"""),2984.786423999998)</f>
        <v>2984.786424</v>
      </c>
      <c r="W1067" s="9" t="str">
        <f>IFERROR(__xludf.DUMMYFUNCTION("""COMPUTED_VALUE"""),"")</f>
        <v/>
      </c>
      <c r="X1067" s="22" t="str">
        <f>IFERROR(__xludf.DUMMYFUNCTION("""COMPUTED_VALUE"""),"")</f>
        <v/>
      </c>
      <c r="Y1067" s="22" t="str">
        <f>IFERROR(__xludf.DUMMYFUNCTION("""COMPUTED_VALUE"""),"")</f>
        <v/>
      </c>
      <c r="Z1067" s="24" t="str">
        <f>IFERROR(__xludf.DUMMYFUNCTION("""COMPUTED_VALUE"""),"")</f>
        <v/>
      </c>
    </row>
    <row r="1068">
      <c r="A1068" s="5" t="str">
        <f>IFERROR(__xludf.DUMMYFUNCTION("""COMPUTED_VALUE"""),"")</f>
        <v/>
      </c>
      <c r="B1068" s="5" t="str">
        <f>IFERROR(__xludf.DUMMYFUNCTION("""COMPUTED_VALUE"""),"89750")</f>
        <v>89750</v>
      </c>
      <c r="C1068" s="9">
        <f>IFERROR(__xludf.DUMMYFUNCTION("""COMPUTED_VALUE"""),4.4623000421E10)</f>
        <v>44623000421</v>
      </c>
      <c r="D1068" s="87" t="str">
        <f>IFERROR(__xludf.DUMMYFUNCTION("""COMPUTED_VALUE"""),"TQQQ220311P00057500")</f>
        <v>TQQQ220311P00057500</v>
      </c>
      <c r="E1068" s="193">
        <f>IFERROR(__xludf.DUMMYFUNCTION("""COMPUTED_VALUE"""),44623.0)</f>
        <v>44623</v>
      </c>
      <c r="F1068" s="5" t="str">
        <f>IFERROR(__xludf.DUMMYFUNCTION("""COMPUTED_VALUE"""),"Option")</f>
        <v>Option</v>
      </c>
      <c r="G1068" s="5" t="str">
        <f>IFERROR(__xludf.DUMMYFUNCTION("""COMPUTED_VALUE"""),"USD")</f>
        <v>USD</v>
      </c>
      <c r="H1068" s="22">
        <f>IFERROR(__xludf.DUMMYFUNCTION("""COMPUTED_VALUE"""),10.0)</f>
        <v>10</v>
      </c>
      <c r="I1068" s="194">
        <f>IFERROR(__xludf.DUMMYFUNCTION("""COMPUTED_VALUE"""),7.81585)</f>
        <v>7.81585</v>
      </c>
      <c r="J1068" s="23">
        <f>IFERROR(__xludf.DUMMYFUNCTION("""COMPUTED_VALUE"""),6.54)</f>
        <v>6.54</v>
      </c>
      <c r="K1068" s="5"/>
      <c r="L1068" s="23">
        <f>IFERROR(__xludf.DUMMYFUNCTION("""COMPUTED_VALUE"""),0.0)</f>
        <v>0</v>
      </c>
      <c r="M1068" s="25" t="str">
        <f>IFERROR(__xludf.DUMMYFUNCTION("""COMPUTED_VALUE"""),"")</f>
        <v/>
      </c>
      <c r="N1068" s="5"/>
      <c r="O1068" s="5"/>
      <c r="P1068" s="142">
        <f>IFERROR(__xludf.DUMMYFUNCTION("""COMPUTED_VALUE"""),-51115.65900000001)</f>
        <v>-51115.659</v>
      </c>
      <c r="Q1068" s="5"/>
      <c r="R1068" s="71">
        <f>IFERROR(__xludf.DUMMYFUNCTION("""COMPUTED_VALUE"""),0.0)</f>
        <v>0</v>
      </c>
      <c r="S1068" s="142">
        <f>IFERROR(__xludf.DUMMYFUNCTION("""COMPUTED_VALUE"""),0.0)</f>
        <v>0</v>
      </c>
      <c r="T1068" s="5">
        <f>IFERROR(__xludf.DUMMYFUNCTION("""COMPUTED_VALUE"""),3.0)</f>
        <v>3</v>
      </c>
      <c r="U1068" s="5" t="str">
        <f>IFERROR(__xludf.DUMMYFUNCTION("""COMPUTED_VALUE"""),"")</f>
        <v/>
      </c>
      <c r="V1068" s="22" t="str">
        <f>IFERROR(__xludf.DUMMYFUNCTION("""COMPUTED_VALUE"""),"")</f>
        <v/>
      </c>
      <c r="W1068" s="9" t="str">
        <f>IFERROR(__xludf.DUMMYFUNCTION("""COMPUTED_VALUE"""),"")</f>
        <v/>
      </c>
      <c r="X1068" s="22" t="str">
        <f>IFERROR(__xludf.DUMMYFUNCTION("""COMPUTED_VALUE"""),"")</f>
        <v/>
      </c>
      <c r="Y1068" s="22" t="str">
        <f>IFERROR(__xludf.DUMMYFUNCTION("""COMPUTED_VALUE"""),"")</f>
        <v/>
      </c>
      <c r="Z1068" s="24" t="str">
        <f>IFERROR(__xludf.DUMMYFUNCTION("""COMPUTED_VALUE"""),"")</f>
        <v/>
      </c>
    </row>
    <row r="1069">
      <c r="A1069" s="5" t="str">
        <f>IFERROR(__xludf.DUMMYFUNCTION("""COMPUTED_VALUE"""),"")</f>
        <v/>
      </c>
      <c r="B1069" s="5" t="str">
        <f>IFERROR(__xludf.DUMMYFUNCTION("""COMPUTED_VALUE"""),"89750")</f>
        <v>89750</v>
      </c>
      <c r="C1069" s="9">
        <f>IFERROR(__xludf.DUMMYFUNCTION("""COMPUTED_VALUE"""),4.4623000422E10)</f>
        <v>44623000422</v>
      </c>
      <c r="D1069" s="87" t="str">
        <f>IFERROR(__xludf.DUMMYFUNCTION("""COMPUTED_VALUE"""),"RLX220414C00005000")</f>
        <v>RLX220414C00005000</v>
      </c>
      <c r="E1069" s="193">
        <f>IFERROR(__xludf.DUMMYFUNCTION("""COMPUTED_VALUE"""),44623.0)</f>
        <v>44623</v>
      </c>
      <c r="F1069" s="5" t="str">
        <f>IFERROR(__xludf.DUMMYFUNCTION("""COMPUTED_VALUE"""),"Option")</f>
        <v>Option</v>
      </c>
      <c r="G1069" s="5" t="str">
        <f>IFERROR(__xludf.DUMMYFUNCTION("""COMPUTED_VALUE"""),"USD")</f>
        <v>USD</v>
      </c>
      <c r="H1069" s="22">
        <f>IFERROR(__xludf.DUMMYFUNCTION("""COMPUTED_VALUE"""),1000.0)</f>
        <v>1000</v>
      </c>
      <c r="I1069" s="194">
        <f>IFERROR(__xludf.DUMMYFUNCTION("""COMPUTED_VALUE"""),7.81585)</f>
        <v>7.81585</v>
      </c>
      <c r="J1069" s="23">
        <f>IFERROR(__xludf.DUMMYFUNCTION("""COMPUTED_VALUE"""),0.09)</f>
        <v>0.09</v>
      </c>
      <c r="K1069" s="5"/>
      <c r="L1069" s="23">
        <f>IFERROR(__xludf.DUMMYFUNCTION("""COMPUTED_VALUE"""),0.03)</f>
        <v>0.03</v>
      </c>
      <c r="M1069" s="25" t="str">
        <f>IFERROR(__xludf.DUMMYFUNCTION("""COMPUTED_VALUE"""),"")</f>
        <v/>
      </c>
      <c r="N1069" s="5"/>
      <c r="O1069" s="5"/>
      <c r="P1069" s="142">
        <f>IFERROR(__xludf.DUMMYFUNCTION("""COMPUTED_VALUE"""),-70342.65000000001)</f>
        <v>-70342.65</v>
      </c>
      <c r="Q1069" s="5"/>
      <c r="R1069" s="71">
        <f>IFERROR(__xludf.DUMMYFUNCTION("""COMPUTED_VALUE"""),0.03)</f>
        <v>0.03</v>
      </c>
      <c r="S1069" s="142">
        <f>IFERROR(__xludf.DUMMYFUNCTION("""COMPUTED_VALUE"""),23447.550000000003)</f>
        <v>23447.55</v>
      </c>
      <c r="T1069" s="5">
        <f>IFERROR(__xludf.DUMMYFUNCTION("""COMPUTED_VALUE"""),2.0)</f>
        <v>2</v>
      </c>
      <c r="U1069" s="5" t="str">
        <f>IFERROR(__xludf.DUMMYFUNCTION("""COMPUTED_VALUE"""),"")</f>
        <v/>
      </c>
      <c r="V1069" s="22" t="str">
        <f>IFERROR(__xludf.DUMMYFUNCTION("""COMPUTED_VALUE"""),"")</f>
        <v/>
      </c>
      <c r="W1069" s="9" t="str">
        <f>IFERROR(__xludf.DUMMYFUNCTION("""COMPUTED_VALUE"""),"")</f>
        <v/>
      </c>
      <c r="X1069" s="22" t="str">
        <f>IFERROR(__xludf.DUMMYFUNCTION("""COMPUTED_VALUE"""),"")</f>
        <v/>
      </c>
      <c r="Y1069" s="22" t="str">
        <f>IFERROR(__xludf.DUMMYFUNCTION("""COMPUTED_VALUE"""),"")</f>
        <v/>
      </c>
      <c r="Z1069" s="24" t="str">
        <f>IFERROR(__xludf.DUMMYFUNCTION("""COMPUTED_VALUE"""),"")</f>
        <v/>
      </c>
    </row>
    <row r="1070">
      <c r="A1070" s="5" t="str">
        <f>IFERROR(__xludf.DUMMYFUNCTION("""COMPUTED_VALUE"""),"")</f>
        <v/>
      </c>
      <c r="B1070" s="5" t="str">
        <f>IFERROR(__xludf.DUMMYFUNCTION("""COMPUTED_VALUE"""),"89750")</f>
        <v>89750</v>
      </c>
      <c r="C1070" s="9">
        <f>IFERROR(__xludf.DUMMYFUNCTION("""COMPUTED_VALUE"""),4.4623000423E10)</f>
        <v>44623000423</v>
      </c>
      <c r="D1070" s="87" t="str">
        <f>IFERROR(__xludf.DUMMYFUNCTION("""COMPUTED_VALUE"""),"TQQQ220311P00057500")</f>
        <v>TQQQ220311P00057500</v>
      </c>
      <c r="E1070" s="193">
        <f>IFERROR(__xludf.DUMMYFUNCTION("""COMPUTED_VALUE"""),44623.0)</f>
        <v>44623</v>
      </c>
      <c r="F1070" s="5" t="str">
        <f>IFERROR(__xludf.DUMMYFUNCTION("""COMPUTED_VALUE"""),"Option")</f>
        <v>Option</v>
      </c>
      <c r="G1070" s="5" t="str">
        <f>IFERROR(__xludf.DUMMYFUNCTION("""COMPUTED_VALUE"""),"USD")</f>
        <v>USD</v>
      </c>
      <c r="H1070" s="22">
        <f>IFERROR(__xludf.DUMMYFUNCTION("""COMPUTED_VALUE"""),0.0)</f>
        <v>0</v>
      </c>
      <c r="I1070" s="194">
        <f>IFERROR(__xludf.DUMMYFUNCTION("""COMPUTED_VALUE"""),7.81585)</f>
        <v>7.81585</v>
      </c>
      <c r="J1070" s="23">
        <f>IFERROR(__xludf.DUMMYFUNCTION("""COMPUTED_VALUE"""),0.0)</f>
        <v>0</v>
      </c>
      <c r="K1070" s="5"/>
      <c r="L1070" s="23">
        <f>IFERROR(__xludf.DUMMYFUNCTION("""COMPUTED_VALUE"""),0.0)</f>
        <v>0</v>
      </c>
      <c r="M1070" s="25" t="str">
        <f>IFERROR(__xludf.DUMMYFUNCTION("""COMPUTED_VALUE"""),"")</f>
        <v/>
      </c>
      <c r="N1070" s="5"/>
      <c r="O1070" s="5"/>
      <c r="P1070" s="142">
        <f>IFERROR(__xludf.DUMMYFUNCTION("""COMPUTED_VALUE"""),0.0)</f>
        <v>0</v>
      </c>
      <c r="Q1070" s="5"/>
      <c r="R1070" s="71">
        <f>IFERROR(__xludf.DUMMYFUNCTION("""COMPUTED_VALUE"""),0.0)</f>
        <v>0</v>
      </c>
      <c r="S1070" s="142">
        <f>IFERROR(__xludf.DUMMYFUNCTION("""COMPUTED_VALUE"""),0.0)</f>
        <v>0</v>
      </c>
      <c r="T1070" s="5">
        <f>IFERROR(__xludf.DUMMYFUNCTION("""COMPUTED_VALUE"""),3.0)</f>
        <v>3</v>
      </c>
      <c r="U1070" s="5" t="str">
        <f>IFERROR(__xludf.DUMMYFUNCTION("""COMPUTED_VALUE"""),"")</f>
        <v/>
      </c>
      <c r="V1070" s="22" t="str">
        <f>IFERROR(__xludf.DUMMYFUNCTION("""COMPUTED_VALUE"""),"")</f>
        <v/>
      </c>
      <c r="W1070" s="9" t="str">
        <f>IFERROR(__xludf.DUMMYFUNCTION("""COMPUTED_VALUE"""),"")</f>
        <v/>
      </c>
      <c r="X1070" s="22" t="str">
        <f>IFERROR(__xludf.DUMMYFUNCTION("""COMPUTED_VALUE"""),"")</f>
        <v/>
      </c>
      <c r="Y1070" s="22" t="str">
        <f>IFERROR(__xludf.DUMMYFUNCTION("""COMPUTED_VALUE"""),"")</f>
        <v/>
      </c>
      <c r="Z1070" s="24" t="str">
        <f>IFERROR(__xludf.DUMMYFUNCTION("""COMPUTED_VALUE"""),"")</f>
        <v/>
      </c>
    </row>
    <row r="1071">
      <c r="A1071" s="5" t="str">
        <f>IFERROR(__xludf.DUMMYFUNCTION("""COMPUTED_VALUE"""),"")</f>
        <v/>
      </c>
      <c r="B1071" s="5" t="str">
        <f>IFERROR(__xludf.DUMMYFUNCTION("""COMPUTED_VALUE"""),"89750")</f>
        <v>89750</v>
      </c>
      <c r="C1071" s="9">
        <f>IFERROR(__xludf.DUMMYFUNCTION("""COMPUTED_VALUE"""),4.4623000424E10)</f>
        <v>44623000424</v>
      </c>
      <c r="D1071" s="87" t="str">
        <f>IFERROR(__xludf.DUMMYFUNCTION("""COMPUTED_VALUE"""),"TCEHY")</f>
        <v>TCEHY</v>
      </c>
      <c r="E1071" s="193">
        <f>IFERROR(__xludf.DUMMYFUNCTION("""COMPUTED_VALUE"""),44623.0)</f>
        <v>44623</v>
      </c>
      <c r="F1071" s="5" t="str">
        <f>IFERROR(__xludf.DUMMYFUNCTION("""COMPUTED_VALUE"""),"Stock")</f>
        <v>Stock</v>
      </c>
      <c r="G1071" s="5" t="str">
        <f>IFERROR(__xludf.DUMMYFUNCTION("""COMPUTED_VALUE"""),"USD")</f>
        <v>USD</v>
      </c>
      <c r="H1071" s="22">
        <f>IFERROR(__xludf.DUMMYFUNCTION("""COMPUTED_VALUE"""),-50.0)</f>
        <v>-50</v>
      </c>
      <c r="I1071" s="194">
        <f>IFERROR(__xludf.DUMMYFUNCTION("""COMPUTED_VALUE"""),7.81585)</f>
        <v>7.81585</v>
      </c>
      <c r="J1071" s="23">
        <f>IFERROR(__xludf.DUMMYFUNCTION("""COMPUTED_VALUE"""),52.2)</f>
        <v>52.2</v>
      </c>
      <c r="K1071" s="5"/>
      <c r="L1071" s="23">
        <f>IFERROR(__xludf.DUMMYFUNCTION("""COMPUTED_VALUE"""),48.03)</f>
        <v>48.03</v>
      </c>
      <c r="M1071" s="195" t="str">
        <f>IFERROR(__xludf.DUMMYFUNCTION("""COMPUTED_VALUE"""),"Equity Key Stats")</f>
        <v>Equity Key Stats</v>
      </c>
      <c r="N1071" s="5"/>
      <c r="O1071" s="5"/>
      <c r="P1071" s="142">
        <f>IFERROR(__xludf.DUMMYFUNCTION("""COMPUTED_VALUE"""),20399.3685)</f>
        <v>20399.3685</v>
      </c>
      <c r="Q1071" s="5"/>
      <c r="R1071" s="71">
        <f>IFERROR(__xludf.DUMMYFUNCTION("""COMPUTED_VALUE"""),48.03)</f>
        <v>48.03</v>
      </c>
      <c r="S1071" s="142">
        <f>IFERROR(__xludf.DUMMYFUNCTION("""COMPUTED_VALUE"""),-18769.763775000003)</f>
        <v>-18769.76378</v>
      </c>
      <c r="T1071" s="5">
        <f>IFERROR(__xludf.DUMMYFUNCTION("""COMPUTED_VALUE"""),5.0)</f>
        <v>5</v>
      </c>
      <c r="U1071" s="5" t="str">
        <f>IFERROR(__xludf.DUMMYFUNCTION("""COMPUTED_VALUE"""),"")</f>
        <v/>
      </c>
      <c r="V1071" s="22" t="str">
        <f>IFERROR(__xludf.DUMMYFUNCTION("""COMPUTED_VALUE"""),"")</f>
        <v/>
      </c>
      <c r="W1071" s="9" t="str">
        <f>IFERROR(__xludf.DUMMYFUNCTION("""COMPUTED_VALUE"""),"")</f>
        <v/>
      </c>
      <c r="X1071" s="22" t="str">
        <f>IFERROR(__xludf.DUMMYFUNCTION("""COMPUTED_VALUE"""),"")</f>
        <v/>
      </c>
      <c r="Y1071" s="22" t="str">
        <f>IFERROR(__xludf.DUMMYFUNCTION("""COMPUTED_VALUE"""),"")</f>
        <v/>
      </c>
      <c r="Z1071" s="24" t="str">
        <f>IFERROR(__xludf.DUMMYFUNCTION("""COMPUTED_VALUE"""),"")</f>
        <v/>
      </c>
    </row>
    <row r="1072">
      <c r="A1072" s="5" t="str">
        <f>IFERROR(__xludf.DUMMYFUNCTION("""COMPUTED_VALUE"""),"")</f>
        <v/>
      </c>
      <c r="B1072" s="5" t="str">
        <f>IFERROR(__xludf.DUMMYFUNCTION("""COMPUTED_VALUE"""),"89750")</f>
        <v>89750</v>
      </c>
      <c r="C1072" s="9">
        <f>IFERROR(__xludf.DUMMYFUNCTION("""COMPUTED_VALUE"""),4.4624000441E10)</f>
        <v>44624000441</v>
      </c>
      <c r="D1072" s="87" t="str">
        <f>IFERROR(__xludf.DUMMYFUNCTION("""COMPUTED_VALUE"""),"TQQQ220311P00057500")</f>
        <v>TQQQ220311P00057500</v>
      </c>
      <c r="E1072" s="193">
        <f>IFERROR(__xludf.DUMMYFUNCTION("""COMPUTED_VALUE"""),44624.0)</f>
        <v>44624</v>
      </c>
      <c r="F1072" s="5" t="str">
        <f>IFERROR(__xludf.DUMMYFUNCTION("""COMPUTED_VALUE"""),"Option")</f>
        <v>Option</v>
      </c>
      <c r="G1072" s="5" t="str">
        <f>IFERROR(__xludf.DUMMYFUNCTION("""COMPUTED_VALUE"""),"USD")</f>
        <v>USD</v>
      </c>
      <c r="H1072" s="22">
        <f>IFERROR(__xludf.DUMMYFUNCTION("""COMPUTED_VALUE"""),-10.0)</f>
        <v>-10</v>
      </c>
      <c r="I1072" s="194">
        <f>IFERROR(__xludf.DUMMYFUNCTION("""COMPUTED_VALUE"""),7.81428)</f>
        <v>7.81428</v>
      </c>
      <c r="J1072" s="23">
        <f>IFERROR(__xludf.DUMMYFUNCTION("""COMPUTED_VALUE"""),9.5)</f>
        <v>9.5</v>
      </c>
      <c r="K1072" s="5"/>
      <c r="L1072" s="23">
        <f>IFERROR(__xludf.DUMMYFUNCTION("""COMPUTED_VALUE"""),0.0)</f>
        <v>0</v>
      </c>
      <c r="M1072" s="25" t="str">
        <f>IFERROR(__xludf.DUMMYFUNCTION("""COMPUTED_VALUE"""),"")</f>
        <v/>
      </c>
      <c r="N1072" s="5"/>
      <c r="O1072" s="5"/>
      <c r="P1072" s="142">
        <f>IFERROR(__xludf.DUMMYFUNCTION("""COMPUTED_VALUE"""),74235.65999999999)</f>
        <v>74235.66</v>
      </c>
      <c r="Q1072" s="5"/>
      <c r="R1072" s="71">
        <f>IFERROR(__xludf.DUMMYFUNCTION("""COMPUTED_VALUE"""),0.0)</f>
        <v>0</v>
      </c>
      <c r="S1072" s="142">
        <f>IFERROR(__xludf.DUMMYFUNCTION("""COMPUTED_VALUE"""),0.0)</f>
        <v>0</v>
      </c>
      <c r="T1072" s="5">
        <f>IFERROR(__xludf.DUMMYFUNCTION("""COMPUTED_VALUE"""),3.0)</f>
        <v>3</v>
      </c>
      <c r="U1072" s="5">
        <f>IFERROR(__xludf.DUMMYFUNCTION("""COMPUTED_VALUE"""),1.0)</f>
        <v>1</v>
      </c>
      <c r="V1072" s="22">
        <f>IFERROR(__xludf.DUMMYFUNCTION("""COMPUTED_VALUE"""),23120.000999999982)</f>
        <v>23120.001</v>
      </c>
      <c r="W1072" s="9" t="str">
        <f>IFERROR(__xludf.DUMMYFUNCTION("""COMPUTED_VALUE"""),"")</f>
        <v/>
      </c>
      <c r="X1072" s="22" t="str">
        <f>IFERROR(__xludf.DUMMYFUNCTION("""COMPUTED_VALUE"""),"")</f>
        <v/>
      </c>
      <c r="Y1072" s="22" t="str">
        <f>IFERROR(__xludf.DUMMYFUNCTION("""COMPUTED_VALUE"""),"")</f>
        <v/>
      </c>
      <c r="Z1072" s="24" t="str">
        <f>IFERROR(__xludf.DUMMYFUNCTION("""COMPUTED_VALUE"""),"")</f>
        <v/>
      </c>
    </row>
    <row r="1073">
      <c r="A1073" s="5" t="str">
        <f>IFERROR(__xludf.DUMMYFUNCTION("""COMPUTED_VALUE"""),"")</f>
        <v/>
      </c>
      <c r="B1073" s="5" t="str">
        <f>IFERROR(__xludf.DUMMYFUNCTION("""COMPUTED_VALUE"""),"89750")</f>
        <v>89750</v>
      </c>
      <c r="C1073" s="9">
        <f>IFERROR(__xludf.DUMMYFUNCTION("""COMPUTED_VALUE"""),4.4624000442E10)</f>
        <v>44624000442</v>
      </c>
      <c r="D1073" s="87" t="str">
        <f>IFERROR(__xludf.DUMMYFUNCTION("""COMPUTED_VALUE"""),"MARA220401P00016000")</f>
        <v>MARA220401P00016000</v>
      </c>
      <c r="E1073" s="193">
        <f>IFERROR(__xludf.DUMMYFUNCTION("""COMPUTED_VALUE"""),44624.0)</f>
        <v>44624</v>
      </c>
      <c r="F1073" s="5" t="str">
        <f>IFERROR(__xludf.DUMMYFUNCTION("""COMPUTED_VALUE"""),"Option")</f>
        <v>Option</v>
      </c>
      <c r="G1073" s="5" t="str">
        <f>IFERROR(__xludf.DUMMYFUNCTION("""COMPUTED_VALUE"""),"USD")</f>
        <v>USD</v>
      </c>
      <c r="H1073" s="22">
        <f>IFERROR(__xludf.DUMMYFUNCTION("""COMPUTED_VALUE"""),100.0)</f>
        <v>100</v>
      </c>
      <c r="I1073" s="194">
        <f>IFERROR(__xludf.DUMMYFUNCTION("""COMPUTED_VALUE"""),7.81428)</f>
        <v>7.81428</v>
      </c>
      <c r="J1073" s="23">
        <f>IFERROR(__xludf.DUMMYFUNCTION("""COMPUTED_VALUE"""),0.36)</f>
        <v>0.36</v>
      </c>
      <c r="K1073" s="5"/>
      <c r="L1073" s="23">
        <f>IFERROR(__xludf.DUMMYFUNCTION("""COMPUTED_VALUE"""),0.0)</f>
        <v>0</v>
      </c>
      <c r="M1073" s="25" t="str">
        <f>IFERROR(__xludf.DUMMYFUNCTION("""COMPUTED_VALUE"""),"")</f>
        <v/>
      </c>
      <c r="N1073" s="5"/>
      <c r="O1073" s="5"/>
      <c r="P1073" s="142">
        <f>IFERROR(__xludf.DUMMYFUNCTION("""COMPUTED_VALUE"""),-28131.408)</f>
        <v>-28131.408</v>
      </c>
      <c r="Q1073" s="5"/>
      <c r="R1073" s="71">
        <f>IFERROR(__xludf.DUMMYFUNCTION("""COMPUTED_VALUE"""),0.0)</f>
        <v>0</v>
      </c>
      <c r="S1073" s="142">
        <f>IFERROR(__xludf.DUMMYFUNCTION("""COMPUTED_VALUE"""),0.0)</f>
        <v>0</v>
      </c>
      <c r="T1073" s="5">
        <f>IFERROR(__xludf.DUMMYFUNCTION("""COMPUTED_VALUE"""),2.0)</f>
        <v>2</v>
      </c>
      <c r="U1073" s="5" t="str">
        <f>IFERROR(__xludf.DUMMYFUNCTION("""COMPUTED_VALUE"""),"")</f>
        <v/>
      </c>
      <c r="V1073" s="22" t="str">
        <f>IFERROR(__xludf.DUMMYFUNCTION("""COMPUTED_VALUE"""),"")</f>
        <v/>
      </c>
      <c r="W1073" s="9" t="str">
        <f>IFERROR(__xludf.DUMMYFUNCTION("""COMPUTED_VALUE"""),"")</f>
        <v/>
      </c>
      <c r="X1073" s="22" t="str">
        <f>IFERROR(__xludf.DUMMYFUNCTION("""COMPUTED_VALUE"""),"")</f>
        <v/>
      </c>
      <c r="Y1073" s="22" t="str">
        <f>IFERROR(__xludf.DUMMYFUNCTION("""COMPUTED_VALUE"""),"")</f>
        <v/>
      </c>
      <c r="Z1073" s="24" t="str">
        <f>IFERROR(__xludf.DUMMYFUNCTION("""COMPUTED_VALUE"""),"")</f>
        <v/>
      </c>
    </row>
    <row r="1074">
      <c r="A1074" s="5" t="str">
        <f>IFERROR(__xludf.DUMMYFUNCTION("""COMPUTED_VALUE"""),"")</f>
        <v/>
      </c>
      <c r="B1074" s="5" t="str">
        <f>IFERROR(__xludf.DUMMYFUNCTION("""COMPUTED_VALUE"""),"89750")</f>
        <v>89750</v>
      </c>
      <c r="C1074" s="9">
        <f>IFERROR(__xludf.DUMMYFUNCTION("""COMPUTED_VALUE"""),4.4624000444E10)</f>
        <v>44624000444</v>
      </c>
      <c r="D1074" s="87" t="str">
        <f>IFERROR(__xludf.DUMMYFUNCTION("""COMPUTED_VALUE"""),"NU220414C00009000")</f>
        <v>NU220414C00009000</v>
      </c>
      <c r="E1074" s="193">
        <f>IFERROR(__xludf.DUMMYFUNCTION("""COMPUTED_VALUE"""),44624.0)</f>
        <v>44624</v>
      </c>
      <c r="F1074" s="5" t="str">
        <f>IFERROR(__xludf.DUMMYFUNCTION("""COMPUTED_VALUE"""),"Option")</f>
        <v>Option</v>
      </c>
      <c r="G1074" s="5" t="str">
        <f>IFERROR(__xludf.DUMMYFUNCTION("""COMPUTED_VALUE"""),"USD")</f>
        <v>USD</v>
      </c>
      <c r="H1074" s="22">
        <f>IFERROR(__xludf.DUMMYFUNCTION("""COMPUTED_VALUE"""),200.0)</f>
        <v>200</v>
      </c>
      <c r="I1074" s="194">
        <f>IFERROR(__xludf.DUMMYFUNCTION("""COMPUTED_VALUE"""),7.81428)</f>
        <v>7.81428</v>
      </c>
      <c r="J1074" s="23">
        <f>IFERROR(__xludf.DUMMYFUNCTION("""COMPUTED_VALUE"""),0.24)</f>
        <v>0.24</v>
      </c>
      <c r="K1074" s="5"/>
      <c r="L1074" s="23">
        <f>IFERROR(__xludf.DUMMYFUNCTION("""COMPUTED_VALUE"""),0.05)</f>
        <v>0.05</v>
      </c>
      <c r="M1074" s="25" t="str">
        <f>IFERROR(__xludf.DUMMYFUNCTION("""COMPUTED_VALUE"""),"")</f>
        <v/>
      </c>
      <c r="N1074" s="5"/>
      <c r="O1074" s="5"/>
      <c r="P1074" s="142">
        <f>IFERROR(__xludf.DUMMYFUNCTION("""COMPUTED_VALUE"""),-37508.544)</f>
        <v>-37508.544</v>
      </c>
      <c r="Q1074" s="5"/>
      <c r="R1074" s="71">
        <f>IFERROR(__xludf.DUMMYFUNCTION("""COMPUTED_VALUE"""),0.05)</f>
        <v>0.05</v>
      </c>
      <c r="S1074" s="142">
        <f>IFERROR(__xludf.DUMMYFUNCTION("""COMPUTED_VALUE"""),7814.280000000001)</f>
        <v>7814.28</v>
      </c>
      <c r="T1074" s="5">
        <f>IFERROR(__xludf.DUMMYFUNCTION("""COMPUTED_VALUE"""),2.0)</f>
        <v>2</v>
      </c>
      <c r="U1074" s="5" t="str">
        <f>IFERROR(__xludf.DUMMYFUNCTION("""COMPUTED_VALUE"""),"")</f>
        <v/>
      </c>
      <c r="V1074" s="22" t="str">
        <f>IFERROR(__xludf.DUMMYFUNCTION("""COMPUTED_VALUE"""),"")</f>
        <v/>
      </c>
      <c r="W1074" s="9" t="str">
        <f>IFERROR(__xludf.DUMMYFUNCTION("""COMPUTED_VALUE"""),"")</f>
        <v/>
      </c>
      <c r="X1074" s="22" t="str">
        <f>IFERROR(__xludf.DUMMYFUNCTION("""COMPUTED_VALUE"""),"")</f>
        <v/>
      </c>
      <c r="Y1074" s="22" t="str">
        <f>IFERROR(__xludf.DUMMYFUNCTION("""COMPUTED_VALUE"""),"")</f>
        <v/>
      </c>
      <c r="Z1074" s="24" t="str">
        <f>IFERROR(__xludf.DUMMYFUNCTION("""COMPUTED_VALUE"""),"")</f>
        <v/>
      </c>
    </row>
    <row r="1075">
      <c r="A1075" s="5" t="str">
        <f>IFERROR(__xludf.DUMMYFUNCTION("""COMPUTED_VALUE"""),"")</f>
        <v/>
      </c>
      <c r="B1075" s="5" t="str">
        <f>IFERROR(__xludf.DUMMYFUNCTION("""COMPUTED_VALUE"""),"89750")</f>
        <v>89750</v>
      </c>
      <c r="C1075" s="9">
        <f>IFERROR(__xludf.DUMMYFUNCTION("""COMPUTED_VALUE"""),4.4627000472E10)</f>
        <v>44627000472</v>
      </c>
      <c r="D1075" s="87" t="str">
        <f>IFERROR(__xludf.DUMMYFUNCTION("""COMPUTED_VALUE"""),"MARA220401P00016000")</f>
        <v>MARA220401P00016000</v>
      </c>
      <c r="E1075" s="193">
        <f>IFERROR(__xludf.DUMMYFUNCTION("""COMPUTED_VALUE"""),44627.0)</f>
        <v>44627</v>
      </c>
      <c r="F1075" s="5" t="str">
        <f>IFERROR(__xludf.DUMMYFUNCTION("""COMPUTED_VALUE"""),"Option")</f>
        <v>Option</v>
      </c>
      <c r="G1075" s="5" t="str">
        <f>IFERROR(__xludf.DUMMYFUNCTION("""COMPUTED_VALUE"""),"USD")</f>
        <v>USD</v>
      </c>
      <c r="H1075" s="22">
        <f>IFERROR(__xludf.DUMMYFUNCTION("""COMPUTED_VALUE"""),-100.0)</f>
        <v>-100</v>
      </c>
      <c r="I1075" s="194">
        <f>IFERROR(__xludf.DUMMYFUNCTION("""COMPUTED_VALUE"""),7.81855)</f>
        <v>7.81855</v>
      </c>
      <c r="J1075" s="23">
        <f>IFERROR(__xludf.DUMMYFUNCTION("""COMPUTED_VALUE"""),0.74)</f>
        <v>0.74</v>
      </c>
      <c r="K1075" s="5"/>
      <c r="L1075" s="23">
        <f>IFERROR(__xludf.DUMMYFUNCTION("""COMPUTED_VALUE"""),0.0)</f>
        <v>0</v>
      </c>
      <c r="M1075" s="25" t="str">
        <f>IFERROR(__xludf.DUMMYFUNCTION("""COMPUTED_VALUE"""),"")</f>
        <v/>
      </c>
      <c r="N1075" s="5"/>
      <c r="O1075" s="5"/>
      <c r="P1075" s="142">
        <f>IFERROR(__xludf.DUMMYFUNCTION("""COMPUTED_VALUE"""),57857.270000000004)</f>
        <v>57857.27</v>
      </c>
      <c r="Q1075" s="5"/>
      <c r="R1075" s="71">
        <f>IFERROR(__xludf.DUMMYFUNCTION("""COMPUTED_VALUE"""),0.0)</f>
        <v>0</v>
      </c>
      <c r="S1075" s="142">
        <f>IFERROR(__xludf.DUMMYFUNCTION("""COMPUTED_VALUE"""),0.0)</f>
        <v>0</v>
      </c>
      <c r="T1075" s="5">
        <f>IFERROR(__xludf.DUMMYFUNCTION("""COMPUTED_VALUE"""),2.0)</f>
        <v>2</v>
      </c>
      <c r="U1075" s="5">
        <f>IFERROR(__xludf.DUMMYFUNCTION("""COMPUTED_VALUE"""),1.0)</f>
        <v>1</v>
      </c>
      <c r="V1075" s="22">
        <f>IFERROR(__xludf.DUMMYFUNCTION("""COMPUTED_VALUE"""),29725.862000000005)</f>
        <v>29725.862</v>
      </c>
      <c r="W1075" s="9" t="str">
        <f>IFERROR(__xludf.DUMMYFUNCTION("""COMPUTED_VALUE"""),"")</f>
        <v/>
      </c>
      <c r="X1075" s="22" t="str">
        <f>IFERROR(__xludf.DUMMYFUNCTION("""COMPUTED_VALUE"""),"")</f>
        <v/>
      </c>
      <c r="Y1075" s="22" t="str">
        <f>IFERROR(__xludf.DUMMYFUNCTION("""COMPUTED_VALUE"""),"")</f>
        <v/>
      </c>
      <c r="Z1075" s="24" t="str">
        <f>IFERROR(__xludf.DUMMYFUNCTION("""COMPUTED_VALUE"""),"")</f>
        <v/>
      </c>
    </row>
    <row r="1076">
      <c r="A1076" s="5" t="str">
        <f>IFERROR(__xludf.DUMMYFUNCTION("""COMPUTED_VALUE"""),"")</f>
        <v/>
      </c>
      <c r="B1076" s="5" t="str">
        <f>IFERROR(__xludf.DUMMYFUNCTION("""COMPUTED_VALUE"""),"89750")</f>
        <v>89750</v>
      </c>
      <c r="C1076" s="9">
        <f>IFERROR(__xludf.DUMMYFUNCTION("""COMPUTED_VALUE"""),4.4627000473E10)</f>
        <v>44627000473</v>
      </c>
      <c r="D1076" s="87" t="str">
        <f>IFERROR(__xludf.DUMMYFUNCTION("""COMPUTED_VALUE"""),"NU220414C00009000")</f>
        <v>NU220414C00009000</v>
      </c>
      <c r="E1076" s="193">
        <f>IFERROR(__xludf.DUMMYFUNCTION("""COMPUTED_VALUE"""),44627.0)</f>
        <v>44627</v>
      </c>
      <c r="F1076" s="5" t="str">
        <f>IFERROR(__xludf.DUMMYFUNCTION("""COMPUTED_VALUE"""),"Option")</f>
        <v>Option</v>
      </c>
      <c r="G1076" s="5" t="str">
        <f>IFERROR(__xludf.DUMMYFUNCTION("""COMPUTED_VALUE"""),"USD")</f>
        <v>USD</v>
      </c>
      <c r="H1076" s="22">
        <f>IFERROR(__xludf.DUMMYFUNCTION("""COMPUTED_VALUE"""),0.0)</f>
        <v>0</v>
      </c>
      <c r="I1076" s="194">
        <f>IFERROR(__xludf.DUMMYFUNCTION("""COMPUTED_VALUE"""),7.81855)</f>
        <v>7.81855</v>
      </c>
      <c r="J1076" s="23">
        <f>IFERROR(__xludf.DUMMYFUNCTION("""COMPUTED_VALUE"""),0.0)</f>
        <v>0</v>
      </c>
      <c r="K1076" s="5"/>
      <c r="L1076" s="23">
        <f>IFERROR(__xludf.DUMMYFUNCTION("""COMPUTED_VALUE"""),0.05)</f>
        <v>0.05</v>
      </c>
      <c r="M1076" s="25" t="str">
        <f>IFERROR(__xludf.DUMMYFUNCTION("""COMPUTED_VALUE"""),"")</f>
        <v/>
      </c>
      <c r="N1076" s="5"/>
      <c r="O1076" s="5"/>
      <c r="P1076" s="142">
        <f>IFERROR(__xludf.DUMMYFUNCTION("""COMPUTED_VALUE"""),0.0)</f>
        <v>0</v>
      </c>
      <c r="Q1076" s="5"/>
      <c r="R1076" s="71">
        <f>IFERROR(__xludf.DUMMYFUNCTION("""COMPUTED_VALUE"""),0.05)</f>
        <v>0.05</v>
      </c>
      <c r="S1076" s="142">
        <f>IFERROR(__xludf.DUMMYFUNCTION("""COMPUTED_VALUE"""),0.0)</f>
        <v>0</v>
      </c>
      <c r="T1076" s="5">
        <f>IFERROR(__xludf.DUMMYFUNCTION("""COMPUTED_VALUE"""),2.0)</f>
        <v>2</v>
      </c>
      <c r="U1076" s="5">
        <f>IFERROR(__xludf.DUMMYFUNCTION("""COMPUTED_VALUE"""),1.0)</f>
        <v>1</v>
      </c>
      <c r="V1076" s="22">
        <f>IFERROR(__xludf.DUMMYFUNCTION("""COMPUTED_VALUE"""),-29694.264000000003)</f>
        <v>-29694.264</v>
      </c>
      <c r="W1076" s="9" t="str">
        <f>IFERROR(__xludf.DUMMYFUNCTION("""COMPUTED_VALUE"""),"")</f>
        <v/>
      </c>
      <c r="X1076" s="22" t="str">
        <f>IFERROR(__xludf.DUMMYFUNCTION("""COMPUTED_VALUE"""),"")</f>
        <v/>
      </c>
      <c r="Y1076" s="22" t="str">
        <f>IFERROR(__xludf.DUMMYFUNCTION("""COMPUTED_VALUE"""),"")</f>
        <v/>
      </c>
      <c r="Z1076" s="24" t="str">
        <f>IFERROR(__xludf.DUMMYFUNCTION("""COMPUTED_VALUE"""),"")</f>
        <v/>
      </c>
    </row>
    <row r="1077">
      <c r="A1077" s="5" t="str">
        <f>IFERROR(__xludf.DUMMYFUNCTION("""COMPUTED_VALUE"""),"")</f>
        <v/>
      </c>
      <c r="B1077" s="5" t="str">
        <f>IFERROR(__xludf.DUMMYFUNCTION("""COMPUTED_VALUE"""),"89750")</f>
        <v>89750</v>
      </c>
      <c r="C1077" s="9">
        <f>IFERROR(__xludf.DUMMYFUNCTION("""COMPUTED_VALUE"""),4.4627000474E10)</f>
        <v>44627000474</v>
      </c>
      <c r="D1077" s="87" t="str">
        <f>IFERROR(__xludf.DUMMYFUNCTION("""COMPUTED_VALUE"""),"RLX220414C00005000")</f>
        <v>RLX220414C00005000</v>
      </c>
      <c r="E1077" s="193">
        <f>IFERROR(__xludf.DUMMYFUNCTION("""COMPUTED_VALUE"""),44627.0)</f>
        <v>44627</v>
      </c>
      <c r="F1077" s="5" t="str">
        <f>IFERROR(__xludf.DUMMYFUNCTION("""COMPUTED_VALUE"""),"Option")</f>
        <v>Option</v>
      </c>
      <c r="G1077" s="5" t="str">
        <f>IFERROR(__xludf.DUMMYFUNCTION("""COMPUTED_VALUE"""),"USD")</f>
        <v>USD</v>
      </c>
      <c r="H1077" s="22">
        <f>IFERROR(__xludf.DUMMYFUNCTION("""COMPUTED_VALUE"""),-1000.0)</f>
        <v>-1000</v>
      </c>
      <c r="I1077" s="194">
        <f>IFERROR(__xludf.DUMMYFUNCTION("""COMPUTED_VALUE"""),7.81855)</f>
        <v>7.81855</v>
      </c>
      <c r="J1077" s="23">
        <f>IFERROR(__xludf.DUMMYFUNCTION("""COMPUTED_VALUE"""),0.08)</f>
        <v>0.08</v>
      </c>
      <c r="K1077" s="5"/>
      <c r="L1077" s="23">
        <f>IFERROR(__xludf.DUMMYFUNCTION("""COMPUTED_VALUE"""),0.03)</f>
        <v>0.03</v>
      </c>
      <c r="M1077" s="25" t="str">
        <f>IFERROR(__xludf.DUMMYFUNCTION("""COMPUTED_VALUE"""),"")</f>
        <v/>
      </c>
      <c r="N1077" s="5"/>
      <c r="O1077" s="5"/>
      <c r="P1077" s="142">
        <f>IFERROR(__xludf.DUMMYFUNCTION("""COMPUTED_VALUE"""),62548.4)</f>
        <v>62548.4</v>
      </c>
      <c r="Q1077" s="5"/>
      <c r="R1077" s="71">
        <f>IFERROR(__xludf.DUMMYFUNCTION("""COMPUTED_VALUE"""),0.03)</f>
        <v>0.03</v>
      </c>
      <c r="S1077" s="142">
        <f>IFERROR(__xludf.DUMMYFUNCTION("""COMPUTED_VALUE"""),-23455.65)</f>
        <v>-23455.65</v>
      </c>
      <c r="T1077" s="5">
        <f>IFERROR(__xludf.DUMMYFUNCTION("""COMPUTED_VALUE"""),2.0)</f>
        <v>2</v>
      </c>
      <c r="U1077" s="5">
        <f>IFERROR(__xludf.DUMMYFUNCTION("""COMPUTED_VALUE"""),1.0)</f>
        <v>1</v>
      </c>
      <c r="V1077" s="22">
        <f>IFERROR(__xludf.DUMMYFUNCTION("""COMPUTED_VALUE"""),-7802.350000000006)</f>
        <v>-7802.35</v>
      </c>
      <c r="W1077" s="9" t="str">
        <f>IFERROR(__xludf.DUMMYFUNCTION("""COMPUTED_VALUE"""),"")</f>
        <v/>
      </c>
      <c r="X1077" s="22" t="str">
        <f>IFERROR(__xludf.DUMMYFUNCTION("""COMPUTED_VALUE"""),"")</f>
        <v/>
      </c>
      <c r="Y1077" s="22" t="str">
        <f>IFERROR(__xludf.DUMMYFUNCTION("""COMPUTED_VALUE"""),"")</f>
        <v/>
      </c>
      <c r="Z1077" s="24" t="str">
        <f>IFERROR(__xludf.DUMMYFUNCTION("""COMPUTED_VALUE"""),"")</f>
        <v/>
      </c>
    </row>
    <row r="1078">
      <c r="A1078" s="5" t="str">
        <f>IFERROR(__xludf.DUMMYFUNCTION("""COMPUTED_VALUE"""),"")</f>
        <v/>
      </c>
      <c r="B1078" s="5" t="str">
        <f>IFERROR(__xludf.DUMMYFUNCTION("""COMPUTED_VALUE"""),"89750")</f>
        <v>89750</v>
      </c>
      <c r="C1078" s="9">
        <f>IFERROR(__xludf.DUMMYFUNCTION("""COMPUTED_VALUE"""),4.4627000475E10)</f>
        <v>44627000475</v>
      </c>
      <c r="D1078" s="87" t="str">
        <f>IFERROR(__xludf.DUMMYFUNCTION("""COMPUTED_VALUE"""),"YINN")</f>
        <v>YINN</v>
      </c>
      <c r="E1078" s="193">
        <f>IFERROR(__xludf.DUMMYFUNCTION("""COMPUTED_VALUE"""),44627.0)</f>
        <v>44627</v>
      </c>
      <c r="F1078" s="5" t="str">
        <f>IFERROR(__xludf.DUMMYFUNCTION("""COMPUTED_VALUE"""),"Stock")</f>
        <v>Stock</v>
      </c>
      <c r="G1078" s="5" t="str">
        <f>IFERROR(__xludf.DUMMYFUNCTION("""COMPUTED_VALUE"""),"USD")</f>
        <v>USD</v>
      </c>
      <c r="H1078" s="22">
        <f>IFERROR(__xludf.DUMMYFUNCTION("""COMPUTED_VALUE"""),-100.0)</f>
        <v>-100</v>
      </c>
      <c r="I1078" s="194">
        <f>IFERROR(__xludf.DUMMYFUNCTION("""COMPUTED_VALUE"""),7.81855)</f>
        <v>7.81855</v>
      </c>
      <c r="J1078" s="23">
        <f>IFERROR(__xludf.DUMMYFUNCTION("""COMPUTED_VALUE"""),5.19)</f>
        <v>5.19</v>
      </c>
      <c r="K1078" s="5"/>
      <c r="L1078" s="23">
        <f>IFERROR(__xludf.DUMMYFUNCTION("""COMPUTED_VALUE"""),4.54)</f>
        <v>4.54</v>
      </c>
      <c r="M1078" s="195" t="str">
        <f>IFERROR(__xludf.DUMMYFUNCTION("""COMPUTED_VALUE"""),"Equity Key Stats")</f>
        <v>Equity Key Stats</v>
      </c>
      <c r="N1078" s="5"/>
      <c r="O1078" s="5"/>
      <c r="P1078" s="142">
        <f>IFERROR(__xludf.DUMMYFUNCTION("""COMPUTED_VALUE"""),4057.82745)</f>
        <v>4057.82745</v>
      </c>
      <c r="Q1078" s="5"/>
      <c r="R1078" s="71">
        <f>IFERROR(__xludf.DUMMYFUNCTION("""COMPUTED_VALUE"""),4.54)</f>
        <v>4.54</v>
      </c>
      <c r="S1078" s="142">
        <f>IFERROR(__xludf.DUMMYFUNCTION("""COMPUTED_VALUE"""),-3549.6217)</f>
        <v>-3549.6217</v>
      </c>
      <c r="T1078" s="5">
        <f>IFERROR(__xludf.DUMMYFUNCTION("""COMPUTED_VALUE"""),3.0)</f>
        <v>3</v>
      </c>
      <c r="U1078" s="5">
        <f>IFERROR(__xludf.DUMMYFUNCTION("""COMPUTED_VALUE"""),1.0)</f>
        <v>1</v>
      </c>
      <c r="V1078" s="22">
        <f>IFERROR(__xludf.DUMMYFUNCTION("""COMPUTED_VALUE"""),-1669.352995000001)</f>
        <v>-1669.352995</v>
      </c>
      <c r="W1078" s="9" t="str">
        <f>IFERROR(__xludf.DUMMYFUNCTION("""COMPUTED_VALUE"""),"")</f>
        <v/>
      </c>
      <c r="X1078" s="22" t="str">
        <f>IFERROR(__xludf.DUMMYFUNCTION("""COMPUTED_VALUE"""),"")</f>
        <v/>
      </c>
      <c r="Y1078" s="22" t="str">
        <f>IFERROR(__xludf.DUMMYFUNCTION("""COMPUTED_VALUE"""),"")</f>
        <v/>
      </c>
      <c r="Z1078" s="24" t="str">
        <f>IFERROR(__xludf.DUMMYFUNCTION("""COMPUTED_VALUE"""),"")</f>
        <v/>
      </c>
    </row>
    <row r="1079">
      <c r="A1079" s="5" t="str">
        <f>IFERROR(__xludf.DUMMYFUNCTION("""COMPUTED_VALUE"""),"")</f>
        <v/>
      </c>
      <c r="B1079" s="5" t="str">
        <f>IFERROR(__xludf.DUMMYFUNCTION("""COMPUTED_VALUE"""),"89750")</f>
        <v>89750</v>
      </c>
      <c r="C1079" s="9">
        <f>IFERROR(__xludf.DUMMYFUNCTION("""COMPUTED_VALUE"""),4.4628000488E10)</f>
        <v>44628000488</v>
      </c>
      <c r="D1079" s="87" t="str">
        <f>IFERROR(__xludf.DUMMYFUNCTION("""COMPUTED_VALUE"""),"NU220318C00005000")</f>
        <v>NU220318C00005000</v>
      </c>
      <c r="E1079" s="193">
        <f>IFERROR(__xludf.DUMMYFUNCTION("""COMPUTED_VALUE"""),44628.0)</f>
        <v>44628</v>
      </c>
      <c r="F1079" s="5" t="str">
        <f>IFERROR(__xludf.DUMMYFUNCTION("""COMPUTED_VALUE"""),"Option")</f>
        <v>Option</v>
      </c>
      <c r="G1079" s="5" t="str">
        <f>IFERROR(__xludf.DUMMYFUNCTION("""COMPUTED_VALUE"""),"USD")</f>
        <v>USD</v>
      </c>
      <c r="H1079" s="22">
        <f>IFERROR(__xludf.DUMMYFUNCTION("""COMPUTED_VALUE"""),100.0)</f>
        <v>100</v>
      </c>
      <c r="I1079" s="194">
        <f>IFERROR(__xludf.DUMMYFUNCTION("""COMPUTED_VALUE"""),7.818975)</f>
        <v>7.818975</v>
      </c>
      <c r="J1079" s="23">
        <f>IFERROR(__xludf.DUMMYFUNCTION("""COMPUTED_VALUE"""),1.85)</f>
        <v>1.85</v>
      </c>
      <c r="K1079" s="5"/>
      <c r="L1079" s="23">
        <f>IFERROR(__xludf.DUMMYFUNCTION("""COMPUTED_VALUE"""),0.0)</f>
        <v>0</v>
      </c>
      <c r="M1079" s="25" t="str">
        <f>IFERROR(__xludf.DUMMYFUNCTION("""COMPUTED_VALUE"""),"")</f>
        <v/>
      </c>
      <c r="N1079" s="5"/>
      <c r="O1079" s="5"/>
      <c r="P1079" s="142">
        <f>IFERROR(__xludf.DUMMYFUNCTION("""COMPUTED_VALUE"""),-144651.0375)</f>
        <v>-144651.0375</v>
      </c>
      <c r="Q1079" s="5"/>
      <c r="R1079" s="71">
        <f>IFERROR(__xludf.DUMMYFUNCTION("""COMPUTED_VALUE"""),0.0)</f>
        <v>0</v>
      </c>
      <c r="S1079" s="142">
        <f>IFERROR(__xludf.DUMMYFUNCTION("""COMPUTED_VALUE"""),0.0)</f>
        <v>0</v>
      </c>
      <c r="T1079" s="5">
        <f>IFERROR(__xludf.DUMMYFUNCTION("""COMPUTED_VALUE"""),2.0)</f>
        <v>2</v>
      </c>
      <c r="U1079" s="5" t="str">
        <f>IFERROR(__xludf.DUMMYFUNCTION("""COMPUTED_VALUE"""),"")</f>
        <v/>
      </c>
      <c r="V1079" s="22" t="str">
        <f>IFERROR(__xludf.DUMMYFUNCTION("""COMPUTED_VALUE"""),"")</f>
        <v/>
      </c>
      <c r="W1079" s="9" t="str">
        <f>IFERROR(__xludf.DUMMYFUNCTION("""COMPUTED_VALUE"""),"")</f>
        <v/>
      </c>
      <c r="X1079" s="22" t="str">
        <f>IFERROR(__xludf.DUMMYFUNCTION("""COMPUTED_VALUE"""),"")</f>
        <v/>
      </c>
      <c r="Y1079" s="22" t="str">
        <f>IFERROR(__xludf.DUMMYFUNCTION("""COMPUTED_VALUE"""),"")</f>
        <v/>
      </c>
      <c r="Z1079" s="24" t="str">
        <f>IFERROR(__xludf.DUMMYFUNCTION("""COMPUTED_VALUE"""),"")</f>
        <v/>
      </c>
    </row>
    <row r="1080">
      <c r="A1080" s="5" t="str">
        <f>IFERROR(__xludf.DUMMYFUNCTION("""COMPUTED_VALUE"""),"")</f>
        <v/>
      </c>
      <c r="B1080" s="5" t="str">
        <f>IFERROR(__xludf.DUMMYFUNCTION("""COMPUTED_VALUE"""),"89750")</f>
        <v>89750</v>
      </c>
      <c r="C1080" s="9">
        <f>IFERROR(__xludf.DUMMYFUNCTION("""COMPUTED_VALUE"""),4.4630000521E10)</f>
        <v>44630000521</v>
      </c>
      <c r="D1080" s="90" t="str">
        <f>IFERROR(__xludf.DUMMYFUNCTION("""COMPUTED_VALUE"""),"9988.HK")</f>
        <v>9988.HK</v>
      </c>
      <c r="E1080" s="193">
        <f>IFERROR(__xludf.DUMMYFUNCTION("""COMPUTED_VALUE"""),44630.0)</f>
        <v>44630</v>
      </c>
      <c r="F1080" s="5" t="str">
        <f>IFERROR(__xludf.DUMMYFUNCTION("""COMPUTED_VALUE"""),"Stock")</f>
        <v>Stock</v>
      </c>
      <c r="G1080" s="5" t="str">
        <f>IFERROR(__xludf.DUMMYFUNCTION("""COMPUTED_VALUE"""),"HKD")</f>
        <v>HKD</v>
      </c>
      <c r="H1080" s="22">
        <f>IFERROR(__xludf.DUMMYFUNCTION("""COMPUTED_VALUE"""),-1000.0)</f>
        <v>-1000</v>
      </c>
      <c r="I1080" s="194">
        <f>IFERROR(__xludf.DUMMYFUNCTION("""COMPUTED_VALUE"""),1.0)</f>
        <v>1</v>
      </c>
      <c r="J1080" s="23">
        <f>IFERROR(__xludf.DUMMYFUNCTION("""COMPUTED_VALUE"""),96.1)</f>
        <v>96.1</v>
      </c>
      <c r="K1080" s="5"/>
      <c r="L1080" s="23">
        <f>IFERROR(__xludf.DUMMYFUNCTION("""COMPUTED_VALUE"""),98.5)</f>
        <v>98.5</v>
      </c>
      <c r="M1080" s="195" t="str">
        <f>IFERROR(__xludf.DUMMYFUNCTION("""COMPUTED_VALUE"""),"Equity Key Stats")</f>
        <v>Equity Key Stats</v>
      </c>
      <c r="N1080" s="5"/>
      <c r="O1080" s="5"/>
      <c r="P1080" s="142">
        <f>IFERROR(__xludf.DUMMYFUNCTION("""COMPUTED_VALUE"""),96100.0)</f>
        <v>96100</v>
      </c>
      <c r="Q1080" s="5"/>
      <c r="R1080" s="71">
        <f>IFERROR(__xludf.DUMMYFUNCTION("""COMPUTED_VALUE"""),98.5)</f>
        <v>98.5</v>
      </c>
      <c r="S1080" s="142">
        <f>IFERROR(__xludf.DUMMYFUNCTION("""COMPUTED_VALUE"""),-98500.0)</f>
        <v>-98500</v>
      </c>
      <c r="T1080" s="5">
        <f>IFERROR(__xludf.DUMMYFUNCTION("""COMPUTED_VALUE"""),2.0)</f>
        <v>2</v>
      </c>
      <c r="U1080" s="5">
        <f>IFERROR(__xludf.DUMMYFUNCTION("""COMPUTED_VALUE"""),1.0)</f>
        <v>1</v>
      </c>
      <c r="V1080" s="22">
        <f>IFERROR(__xludf.DUMMYFUNCTION("""COMPUTED_VALUE"""),-7800.0)</f>
        <v>-7800</v>
      </c>
      <c r="W1080" s="9" t="str">
        <f>IFERROR(__xludf.DUMMYFUNCTION("""COMPUTED_VALUE"""),"")</f>
        <v/>
      </c>
      <c r="X1080" s="22" t="str">
        <f>IFERROR(__xludf.DUMMYFUNCTION("""COMPUTED_VALUE"""),"")</f>
        <v/>
      </c>
      <c r="Y1080" s="22" t="str">
        <f>IFERROR(__xludf.DUMMYFUNCTION("""COMPUTED_VALUE"""),"")</f>
        <v/>
      </c>
      <c r="Z1080" s="24" t="str">
        <f>IFERROR(__xludf.DUMMYFUNCTION("""COMPUTED_VALUE"""),"")</f>
        <v/>
      </c>
    </row>
    <row r="1081">
      <c r="A1081" s="5" t="str">
        <f>IFERROR(__xludf.DUMMYFUNCTION("""COMPUTED_VALUE"""),"")</f>
        <v/>
      </c>
      <c r="B1081" s="5" t="str">
        <f>IFERROR(__xludf.DUMMYFUNCTION("""COMPUTED_VALUE"""),"89750")</f>
        <v>89750</v>
      </c>
      <c r="C1081" s="9">
        <f>IFERROR(__xludf.DUMMYFUNCTION("""COMPUTED_VALUE"""),4.4630000529E10)</f>
        <v>44630000529</v>
      </c>
      <c r="D1081" s="87" t="str">
        <f>IFERROR(__xludf.DUMMYFUNCTION("""COMPUTED_VALUE"""),"NU220318C00005000")</f>
        <v>NU220318C00005000</v>
      </c>
      <c r="E1081" s="193">
        <f>IFERROR(__xludf.DUMMYFUNCTION("""COMPUTED_VALUE"""),44630.0)</f>
        <v>44630</v>
      </c>
      <c r="F1081" s="5" t="str">
        <f>IFERROR(__xludf.DUMMYFUNCTION("""COMPUTED_VALUE"""),"Option")</f>
        <v>Option</v>
      </c>
      <c r="G1081" s="5" t="str">
        <f>IFERROR(__xludf.DUMMYFUNCTION("""COMPUTED_VALUE"""),"USD")</f>
        <v>USD</v>
      </c>
      <c r="H1081" s="22">
        <f>IFERROR(__xludf.DUMMYFUNCTION("""COMPUTED_VALUE"""),-100.0)</f>
        <v>-100</v>
      </c>
      <c r="I1081" s="194">
        <f>IFERROR(__xludf.DUMMYFUNCTION("""COMPUTED_VALUE"""),7.82295)</f>
        <v>7.82295</v>
      </c>
      <c r="J1081" s="23">
        <f>IFERROR(__xludf.DUMMYFUNCTION("""COMPUTED_VALUE"""),2.15)</f>
        <v>2.15</v>
      </c>
      <c r="K1081" s="5"/>
      <c r="L1081" s="23">
        <f>IFERROR(__xludf.DUMMYFUNCTION("""COMPUTED_VALUE"""),0.0)</f>
        <v>0</v>
      </c>
      <c r="M1081" s="25" t="str">
        <f>IFERROR(__xludf.DUMMYFUNCTION("""COMPUTED_VALUE"""),"")</f>
        <v/>
      </c>
      <c r="N1081" s="5"/>
      <c r="O1081" s="5"/>
      <c r="P1081" s="142">
        <f>IFERROR(__xludf.DUMMYFUNCTION("""COMPUTED_VALUE"""),168193.425)</f>
        <v>168193.425</v>
      </c>
      <c r="Q1081" s="5"/>
      <c r="R1081" s="71">
        <f>IFERROR(__xludf.DUMMYFUNCTION("""COMPUTED_VALUE"""),0.0)</f>
        <v>0</v>
      </c>
      <c r="S1081" s="142">
        <f>IFERROR(__xludf.DUMMYFUNCTION("""COMPUTED_VALUE"""),0.0)</f>
        <v>0</v>
      </c>
      <c r="T1081" s="5">
        <f>IFERROR(__xludf.DUMMYFUNCTION("""COMPUTED_VALUE"""),2.0)</f>
        <v>2</v>
      </c>
      <c r="U1081" s="5">
        <f>IFERROR(__xludf.DUMMYFUNCTION("""COMPUTED_VALUE"""),1.0)</f>
        <v>1</v>
      </c>
      <c r="V1081" s="22">
        <f>IFERROR(__xludf.DUMMYFUNCTION("""COMPUTED_VALUE"""),23542.387499999983)</f>
        <v>23542.3875</v>
      </c>
      <c r="W1081" s="9" t="str">
        <f>IFERROR(__xludf.DUMMYFUNCTION("""COMPUTED_VALUE"""),"")</f>
        <v/>
      </c>
      <c r="X1081" s="22" t="str">
        <f>IFERROR(__xludf.DUMMYFUNCTION("""COMPUTED_VALUE"""),"")</f>
        <v/>
      </c>
      <c r="Y1081" s="22" t="str">
        <f>IFERROR(__xludf.DUMMYFUNCTION("""COMPUTED_VALUE"""),"")</f>
        <v/>
      </c>
      <c r="Z1081" s="24" t="str">
        <f>IFERROR(__xludf.DUMMYFUNCTION("""COMPUTED_VALUE"""),"")</f>
        <v/>
      </c>
    </row>
    <row r="1082">
      <c r="A1082" s="5" t="str">
        <f>IFERROR(__xludf.DUMMYFUNCTION("""COMPUTED_VALUE"""),"")</f>
        <v/>
      </c>
      <c r="B1082" s="5" t="str">
        <f>IFERROR(__xludf.DUMMYFUNCTION("""COMPUTED_VALUE"""),"89750")</f>
        <v>89750</v>
      </c>
      <c r="C1082" s="9">
        <f>IFERROR(__xludf.DUMMYFUNCTION("""COMPUTED_VALUE"""),4.463000053E10)</f>
        <v>44630000530</v>
      </c>
      <c r="D1082" s="87" t="str">
        <f>IFERROR(__xludf.DUMMYFUNCTION("""COMPUTED_VALUE"""),"TQQQ220408P00056000")</f>
        <v>TQQQ220408P00056000</v>
      </c>
      <c r="E1082" s="193">
        <f>IFERROR(__xludf.DUMMYFUNCTION("""COMPUTED_VALUE"""),44630.0)</f>
        <v>44630</v>
      </c>
      <c r="F1082" s="5" t="str">
        <f>IFERROR(__xludf.DUMMYFUNCTION("""COMPUTED_VALUE"""),"Option")</f>
        <v>Option</v>
      </c>
      <c r="G1082" s="5" t="str">
        <f>IFERROR(__xludf.DUMMYFUNCTION("""COMPUTED_VALUE"""),"USD")</f>
        <v>USD</v>
      </c>
      <c r="H1082" s="22">
        <f>IFERROR(__xludf.DUMMYFUNCTION("""COMPUTED_VALUE"""),20.0)</f>
        <v>20</v>
      </c>
      <c r="I1082" s="194">
        <f>IFERROR(__xludf.DUMMYFUNCTION("""COMPUTED_VALUE"""),7.82295)</f>
        <v>7.82295</v>
      </c>
      <c r="J1082" s="23">
        <f>IFERROR(__xludf.DUMMYFUNCTION("""COMPUTED_VALUE"""),8.33)</f>
        <v>8.33</v>
      </c>
      <c r="K1082" s="5"/>
      <c r="L1082" s="23">
        <f>IFERROR(__xludf.DUMMYFUNCTION("""COMPUTED_VALUE"""),4.4)</f>
        <v>4.4</v>
      </c>
      <c r="M1082" s="25" t="str">
        <f>IFERROR(__xludf.DUMMYFUNCTION("""COMPUTED_VALUE"""),"")</f>
        <v/>
      </c>
      <c r="N1082" s="5"/>
      <c r="O1082" s="5"/>
      <c r="P1082" s="142">
        <f>IFERROR(__xludf.DUMMYFUNCTION("""COMPUTED_VALUE"""),-130330.34700000001)</f>
        <v>-130330.347</v>
      </c>
      <c r="Q1082" s="5"/>
      <c r="R1082" s="71">
        <f>IFERROR(__xludf.DUMMYFUNCTION("""COMPUTED_VALUE"""),4.4)</f>
        <v>4.4</v>
      </c>
      <c r="S1082" s="142">
        <f>IFERROR(__xludf.DUMMYFUNCTION("""COMPUTED_VALUE"""),68841.96)</f>
        <v>68841.96</v>
      </c>
      <c r="T1082" s="5">
        <f>IFERROR(__xludf.DUMMYFUNCTION("""COMPUTED_VALUE"""),2.0)</f>
        <v>2</v>
      </c>
      <c r="U1082" s="5" t="str">
        <f>IFERROR(__xludf.DUMMYFUNCTION("""COMPUTED_VALUE"""),"")</f>
        <v/>
      </c>
      <c r="V1082" s="22" t="str">
        <f>IFERROR(__xludf.DUMMYFUNCTION("""COMPUTED_VALUE"""),"")</f>
        <v/>
      </c>
      <c r="W1082" s="9" t="str">
        <f>IFERROR(__xludf.DUMMYFUNCTION("""COMPUTED_VALUE"""),"")</f>
        <v/>
      </c>
      <c r="X1082" s="22" t="str">
        <f>IFERROR(__xludf.DUMMYFUNCTION("""COMPUTED_VALUE"""),"")</f>
        <v/>
      </c>
      <c r="Y1082" s="22" t="str">
        <f>IFERROR(__xludf.DUMMYFUNCTION("""COMPUTED_VALUE"""),"")</f>
        <v/>
      </c>
      <c r="Z1082" s="24" t="str">
        <f>IFERROR(__xludf.DUMMYFUNCTION("""COMPUTED_VALUE"""),"")</f>
        <v/>
      </c>
    </row>
    <row r="1083">
      <c r="A1083" s="5" t="str">
        <f>IFERROR(__xludf.DUMMYFUNCTION("""COMPUTED_VALUE"""),"")</f>
        <v/>
      </c>
      <c r="B1083" s="5" t="str">
        <f>IFERROR(__xludf.DUMMYFUNCTION("""COMPUTED_VALUE"""),"89750")</f>
        <v>89750</v>
      </c>
      <c r="C1083" s="9">
        <f>IFERROR(__xludf.DUMMYFUNCTION("""COMPUTED_VALUE"""),4.4634000545E10)</f>
        <v>44634000545</v>
      </c>
      <c r="D1083" s="90" t="str">
        <f>IFERROR(__xludf.DUMMYFUNCTION("""COMPUTED_VALUE"""),"3690.HK")</f>
        <v>3690.HK</v>
      </c>
      <c r="E1083" s="193">
        <f>IFERROR(__xludf.DUMMYFUNCTION("""COMPUTED_VALUE"""),44634.0)</f>
        <v>44634</v>
      </c>
      <c r="F1083" s="5" t="str">
        <f>IFERROR(__xludf.DUMMYFUNCTION("""COMPUTED_VALUE"""),"Stock")</f>
        <v>Stock</v>
      </c>
      <c r="G1083" s="5" t="str">
        <f>IFERROR(__xludf.DUMMYFUNCTION("""COMPUTED_VALUE"""),"HKD")</f>
        <v>HKD</v>
      </c>
      <c r="H1083" s="22">
        <f>IFERROR(__xludf.DUMMYFUNCTION("""COMPUTED_VALUE"""),500.0)</f>
        <v>500</v>
      </c>
      <c r="I1083" s="194">
        <f>IFERROR(__xludf.DUMMYFUNCTION("""COMPUTED_VALUE"""),1.0)</f>
        <v>1</v>
      </c>
      <c r="J1083" s="23">
        <f>IFERROR(__xludf.DUMMYFUNCTION("""COMPUTED_VALUE"""),112.6)</f>
        <v>112.6</v>
      </c>
      <c r="K1083" s="5"/>
      <c r="L1083" s="23">
        <f>IFERROR(__xludf.DUMMYFUNCTION("""COMPUTED_VALUE"""),154.1)</f>
        <v>154.1</v>
      </c>
      <c r="M1083" s="195" t="str">
        <f>IFERROR(__xludf.DUMMYFUNCTION("""COMPUTED_VALUE"""),"Equity Key Stats")</f>
        <v>Equity Key Stats</v>
      </c>
      <c r="N1083" s="5"/>
      <c r="O1083" s="5"/>
      <c r="P1083" s="142">
        <f>IFERROR(__xludf.DUMMYFUNCTION("""COMPUTED_VALUE"""),-56300.0)</f>
        <v>-56300</v>
      </c>
      <c r="Q1083" s="5"/>
      <c r="R1083" s="71">
        <f>IFERROR(__xludf.DUMMYFUNCTION("""COMPUTED_VALUE"""),154.1)</f>
        <v>154.1</v>
      </c>
      <c r="S1083" s="142">
        <f>IFERROR(__xludf.DUMMYFUNCTION("""COMPUTED_VALUE"""),77050.0)</f>
        <v>77050</v>
      </c>
      <c r="T1083" s="5">
        <f>IFERROR(__xludf.DUMMYFUNCTION("""COMPUTED_VALUE"""),4.0)</f>
        <v>4</v>
      </c>
      <c r="U1083" s="5" t="str">
        <f>IFERROR(__xludf.DUMMYFUNCTION("""COMPUTED_VALUE"""),"")</f>
        <v/>
      </c>
      <c r="V1083" s="22" t="str">
        <f>IFERROR(__xludf.DUMMYFUNCTION("""COMPUTED_VALUE"""),"")</f>
        <v/>
      </c>
      <c r="W1083" s="9" t="str">
        <f>IFERROR(__xludf.DUMMYFUNCTION("""COMPUTED_VALUE"""),"")</f>
        <v/>
      </c>
      <c r="X1083" s="22" t="str">
        <f>IFERROR(__xludf.DUMMYFUNCTION("""COMPUTED_VALUE"""),"")</f>
        <v/>
      </c>
      <c r="Y1083" s="22" t="str">
        <f>IFERROR(__xludf.DUMMYFUNCTION("""COMPUTED_VALUE"""),"")</f>
        <v/>
      </c>
      <c r="Z1083" s="24" t="str">
        <f>IFERROR(__xludf.DUMMYFUNCTION("""COMPUTED_VALUE"""),"")</f>
        <v/>
      </c>
    </row>
    <row r="1084">
      <c r="A1084" s="5" t="str">
        <f>IFERROR(__xludf.DUMMYFUNCTION("""COMPUTED_VALUE"""),"")</f>
        <v/>
      </c>
      <c r="B1084" s="5" t="str">
        <f>IFERROR(__xludf.DUMMYFUNCTION("""COMPUTED_VALUE"""),"89750")</f>
        <v>89750</v>
      </c>
      <c r="C1084" s="9">
        <f>IFERROR(__xludf.DUMMYFUNCTION("""COMPUTED_VALUE"""),4.4634000546E10)</f>
        <v>44634000546</v>
      </c>
      <c r="D1084" s="90" t="str">
        <f>IFERROR(__xludf.DUMMYFUNCTION("""COMPUTED_VALUE"""),"0708.HK")</f>
        <v>0708.HK</v>
      </c>
      <c r="E1084" s="193">
        <f>IFERROR(__xludf.DUMMYFUNCTION("""COMPUTED_VALUE"""),44634.0)</f>
        <v>44634</v>
      </c>
      <c r="F1084" s="5" t="str">
        <f>IFERROR(__xludf.DUMMYFUNCTION("""COMPUTED_VALUE"""),"Stock")</f>
        <v>Stock</v>
      </c>
      <c r="G1084" s="5" t="str">
        <f>IFERROR(__xludf.DUMMYFUNCTION("""COMPUTED_VALUE"""),"HKD")</f>
        <v>HKD</v>
      </c>
      <c r="H1084" s="22">
        <f>IFERROR(__xludf.DUMMYFUNCTION("""COMPUTED_VALUE"""),20000.0)</f>
        <v>20000</v>
      </c>
      <c r="I1084" s="194">
        <f>IFERROR(__xludf.DUMMYFUNCTION("""COMPUTED_VALUE"""),1.0)</f>
        <v>1</v>
      </c>
      <c r="J1084" s="23">
        <f>IFERROR(__xludf.DUMMYFUNCTION("""COMPUTED_VALUE"""),2.99)</f>
        <v>2.99</v>
      </c>
      <c r="K1084" s="5"/>
      <c r="L1084" s="23">
        <f>IFERROR(__xludf.DUMMYFUNCTION("""COMPUTED_VALUE"""),3.2)</f>
        <v>3.2</v>
      </c>
      <c r="M1084" s="195" t="str">
        <f>IFERROR(__xludf.DUMMYFUNCTION("""COMPUTED_VALUE"""),"Equity Key Stats")</f>
        <v>Equity Key Stats</v>
      </c>
      <c r="N1084" s="5"/>
      <c r="O1084" s="5"/>
      <c r="P1084" s="142">
        <f>IFERROR(__xludf.DUMMYFUNCTION("""COMPUTED_VALUE"""),-59800.00000000001)</f>
        <v>-59800</v>
      </c>
      <c r="Q1084" s="5"/>
      <c r="R1084" s="71">
        <f>IFERROR(__xludf.DUMMYFUNCTION("""COMPUTED_VALUE"""),3.2)</f>
        <v>3.2</v>
      </c>
      <c r="S1084" s="142">
        <f>IFERROR(__xludf.DUMMYFUNCTION("""COMPUTED_VALUE"""),64000.0)</f>
        <v>64000</v>
      </c>
      <c r="T1084" s="5">
        <f>IFERROR(__xludf.DUMMYFUNCTION("""COMPUTED_VALUE"""),1.0)</f>
        <v>1</v>
      </c>
      <c r="U1084" s="5">
        <f>IFERROR(__xludf.DUMMYFUNCTION("""COMPUTED_VALUE"""),1.0)</f>
        <v>1</v>
      </c>
      <c r="V1084" s="22">
        <f>IFERROR(__xludf.DUMMYFUNCTION("""COMPUTED_VALUE"""),4199.999999999993)</f>
        <v>4200</v>
      </c>
      <c r="W1084" s="9" t="str">
        <f>IFERROR(__xludf.DUMMYFUNCTION("""COMPUTED_VALUE"""),"")</f>
        <v/>
      </c>
      <c r="X1084" s="22" t="str">
        <f>IFERROR(__xludf.DUMMYFUNCTION("""COMPUTED_VALUE"""),"")</f>
        <v/>
      </c>
      <c r="Y1084" s="22" t="str">
        <f>IFERROR(__xludf.DUMMYFUNCTION("""COMPUTED_VALUE"""),"")</f>
        <v/>
      </c>
      <c r="Z1084" s="24" t="str">
        <f>IFERROR(__xludf.DUMMYFUNCTION("""COMPUTED_VALUE"""),"")</f>
        <v/>
      </c>
    </row>
    <row r="1085">
      <c r="A1085" s="5" t="str">
        <f>IFERROR(__xludf.DUMMYFUNCTION("""COMPUTED_VALUE"""),"")</f>
        <v/>
      </c>
      <c r="B1085" s="5" t="str">
        <f>IFERROR(__xludf.DUMMYFUNCTION("""COMPUTED_VALUE"""),"89750")</f>
        <v>89750</v>
      </c>
      <c r="C1085" s="9">
        <f>IFERROR(__xludf.DUMMYFUNCTION("""COMPUTED_VALUE"""),4.4634000566E10)</f>
        <v>44634000566</v>
      </c>
      <c r="D1085" s="87" t="str">
        <f>IFERROR(__xludf.DUMMYFUNCTION("""COMPUTED_VALUE"""),"TCEHY")</f>
        <v>TCEHY</v>
      </c>
      <c r="E1085" s="193">
        <f>IFERROR(__xludf.DUMMYFUNCTION("""COMPUTED_VALUE"""),44634.0)</f>
        <v>44634</v>
      </c>
      <c r="F1085" s="5" t="str">
        <f>IFERROR(__xludf.DUMMYFUNCTION("""COMPUTED_VALUE"""),"Stock")</f>
        <v>Stock</v>
      </c>
      <c r="G1085" s="5" t="str">
        <f>IFERROR(__xludf.DUMMYFUNCTION("""COMPUTED_VALUE"""),"USD")</f>
        <v>USD</v>
      </c>
      <c r="H1085" s="22">
        <f>IFERROR(__xludf.DUMMYFUNCTION("""COMPUTED_VALUE"""),100.0)</f>
        <v>100</v>
      </c>
      <c r="I1085" s="194">
        <f>IFERROR(__xludf.DUMMYFUNCTION("""COMPUTED_VALUE"""),7.82925)</f>
        <v>7.82925</v>
      </c>
      <c r="J1085" s="23">
        <f>IFERROR(__xludf.DUMMYFUNCTION("""COMPUTED_VALUE"""),40.76)</f>
        <v>40.76</v>
      </c>
      <c r="K1085" s="5"/>
      <c r="L1085" s="23">
        <f>IFERROR(__xludf.DUMMYFUNCTION("""COMPUTED_VALUE"""),48.03)</f>
        <v>48.03</v>
      </c>
      <c r="M1085" s="195" t="str">
        <f>IFERROR(__xludf.DUMMYFUNCTION("""COMPUTED_VALUE"""),"Equity Key Stats")</f>
        <v>Equity Key Stats</v>
      </c>
      <c r="N1085" s="5"/>
      <c r="O1085" s="5"/>
      <c r="P1085" s="142">
        <f>IFERROR(__xludf.DUMMYFUNCTION("""COMPUTED_VALUE"""),-31912.022999999997)</f>
        <v>-31912.023</v>
      </c>
      <c r="Q1085" s="5"/>
      <c r="R1085" s="71">
        <f>IFERROR(__xludf.DUMMYFUNCTION("""COMPUTED_VALUE"""),48.03)</f>
        <v>48.03</v>
      </c>
      <c r="S1085" s="142">
        <f>IFERROR(__xludf.DUMMYFUNCTION("""COMPUTED_VALUE"""),37603.88775)</f>
        <v>37603.88775</v>
      </c>
      <c r="T1085" s="5">
        <f>IFERROR(__xludf.DUMMYFUNCTION("""COMPUTED_VALUE"""),5.0)</f>
        <v>5</v>
      </c>
      <c r="U1085" s="5" t="str">
        <f>IFERROR(__xludf.DUMMYFUNCTION("""COMPUTED_VALUE"""),"")</f>
        <v/>
      </c>
      <c r="V1085" s="22" t="str">
        <f>IFERROR(__xludf.DUMMYFUNCTION("""COMPUTED_VALUE"""),"")</f>
        <v/>
      </c>
      <c r="W1085" s="9" t="str">
        <f>IFERROR(__xludf.DUMMYFUNCTION("""COMPUTED_VALUE"""),"")</f>
        <v/>
      </c>
      <c r="X1085" s="22" t="str">
        <f>IFERROR(__xludf.DUMMYFUNCTION("""COMPUTED_VALUE"""),"")</f>
        <v/>
      </c>
      <c r="Y1085" s="22" t="str">
        <f>IFERROR(__xludf.DUMMYFUNCTION("""COMPUTED_VALUE"""),"")</f>
        <v/>
      </c>
      <c r="Z1085" s="24" t="str">
        <f>IFERROR(__xludf.DUMMYFUNCTION("""COMPUTED_VALUE"""),"")</f>
        <v/>
      </c>
    </row>
    <row r="1086">
      <c r="A1086" s="5" t="str">
        <f>IFERROR(__xludf.DUMMYFUNCTION("""COMPUTED_VALUE"""),"")</f>
        <v/>
      </c>
      <c r="B1086" s="5" t="str">
        <f>IFERROR(__xludf.DUMMYFUNCTION("""COMPUTED_VALUE"""),"89750")</f>
        <v>89750</v>
      </c>
      <c r="C1086" s="9">
        <f>IFERROR(__xludf.DUMMYFUNCTION("""COMPUTED_VALUE"""),4.463500062E10)</f>
        <v>44635000620</v>
      </c>
      <c r="D1086" s="87" t="str">
        <f>IFERROR(__xludf.DUMMYFUNCTION("""COMPUTED_VALUE"""),"TQQQ220408P00056000")</f>
        <v>TQQQ220408P00056000</v>
      </c>
      <c r="E1086" s="193">
        <f>IFERROR(__xludf.DUMMYFUNCTION("""COMPUTED_VALUE"""),44635.0)</f>
        <v>44635</v>
      </c>
      <c r="F1086" s="5" t="str">
        <f>IFERROR(__xludf.DUMMYFUNCTION("""COMPUTED_VALUE"""),"Option")</f>
        <v>Option</v>
      </c>
      <c r="G1086" s="5" t="str">
        <f>IFERROR(__xludf.DUMMYFUNCTION("""COMPUTED_VALUE"""),"USD")</f>
        <v>USD</v>
      </c>
      <c r="H1086" s="22">
        <f>IFERROR(__xludf.DUMMYFUNCTION("""COMPUTED_VALUE"""),-20.0)</f>
        <v>-20</v>
      </c>
      <c r="I1086" s="194">
        <f>IFERROR(__xludf.DUMMYFUNCTION("""COMPUTED_VALUE"""),7.82695)</f>
        <v>7.82695</v>
      </c>
      <c r="J1086" s="23">
        <f>IFERROR(__xludf.DUMMYFUNCTION("""COMPUTED_VALUE"""),13.51)</f>
        <v>13.51</v>
      </c>
      <c r="K1086" s="5"/>
      <c r="L1086" s="23">
        <f>IFERROR(__xludf.DUMMYFUNCTION("""COMPUTED_VALUE"""),4.4)</f>
        <v>4.4</v>
      </c>
      <c r="M1086" s="25" t="str">
        <f>IFERROR(__xludf.DUMMYFUNCTION("""COMPUTED_VALUE"""),"")</f>
        <v/>
      </c>
      <c r="N1086" s="5"/>
      <c r="O1086" s="5"/>
      <c r="P1086" s="142">
        <f>IFERROR(__xludf.DUMMYFUNCTION("""COMPUTED_VALUE"""),211484.18899999995)</f>
        <v>211484.189</v>
      </c>
      <c r="Q1086" s="5"/>
      <c r="R1086" s="71">
        <f>IFERROR(__xludf.DUMMYFUNCTION("""COMPUTED_VALUE"""),4.4)</f>
        <v>4.4</v>
      </c>
      <c r="S1086" s="142">
        <f>IFERROR(__xludf.DUMMYFUNCTION("""COMPUTED_VALUE"""),-68877.16)</f>
        <v>-68877.16</v>
      </c>
      <c r="T1086" s="5">
        <f>IFERROR(__xludf.DUMMYFUNCTION("""COMPUTED_VALUE"""),2.0)</f>
        <v>2</v>
      </c>
      <c r="U1086" s="5">
        <f>IFERROR(__xludf.DUMMYFUNCTION("""COMPUTED_VALUE"""),1.0)</f>
        <v>1</v>
      </c>
      <c r="V1086" s="22">
        <f>IFERROR(__xludf.DUMMYFUNCTION("""COMPUTED_VALUE"""),81118.64199999995)</f>
        <v>81118.642</v>
      </c>
      <c r="W1086" s="9" t="str">
        <f>IFERROR(__xludf.DUMMYFUNCTION("""COMPUTED_VALUE"""),"")</f>
        <v/>
      </c>
      <c r="X1086" s="22" t="str">
        <f>IFERROR(__xludf.DUMMYFUNCTION("""COMPUTED_VALUE"""),"")</f>
        <v/>
      </c>
      <c r="Y1086" s="22" t="str">
        <f>IFERROR(__xludf.DUMMYFUNCTION("""COMPUTED_VALUE"""),"")</f>
        <v/>
      </c>
      <c r="Z1086" s="24" t="str">
        <f>IFERROR(__xludf.DUMMYFUNCTION("""COMPUTED_VALUE"""),"")</f>
        <v/>
      </c>
    </row>
    <row r="1087">
      <c r="A1087" s="5" t="str">
        <f>IFERROR(__xludf.DUMMYFUNCTION("""COMPUTED_VALUE"""),"")</f>
        <v/>
      </c>
      <c r="B1087" s="5" t="str">
        <f>IFERROR(__xludf.DUMMYFUNCTION("""COMPUTED_VALUE"""),"89750")</f>
        <v>89750</v>
      </c>
      <c r="C1087" s="9">
        <f>IFERROR(__xludf.DUMMYFUNCTION("""COMPUTED_VALUE"""),4.4635000625E10)</f>
        <v>44635000625</v>
      </c>
      <c r="D1087" s="87" t="str">
        <f>IFERROR(__xludf.DUMMYFUNCTION("""COMPUTED_VALUE"""),"OXY220318P00065000")</f>
        <v>OXY220318P00065000</v>
      </c>
      <c r="E1087" s="193">
        <f>IFERROR(__xludf.DUMMYFUNCTION("""COMPUTED_VALUE"""),44635.0)</f>
        <v>44635</v>
      </c>
      <c r="F1087" s="5" t="str">
        <f>IFERROR(__xludf.DUMMYFUNCTION("""COMPUTED_VALUE"""),"Option")</f>
        <v>Option</v>
      </c>
      <c r="G1087" s="5" t="str">
        <f>IFERROR(__xludf.DUMMYFUNCTION("""COMPUTED_VALUE"""),"USD")</f>
        <v>USD</v>
      </c>
      <c r="H1087" s="22">
        <f>IFERROR(__xludf.DUMMYFUNCTION("""COMPUTED_VALUE"""),2.0)</f>
        <v>2</v>
      </c>
      <c r="I1087" s="194">
        <f>IFERROR(__xludf.DUMMYFUNCTION("""COMPUTED_VALUE"""),7.82695)</f>
        <v>7.82695</v>
      </c>
      <c r="J1087" s="23">
        <f>IFERROR(__xludf.DUMMYFUNCTION("""COMPUTED_VALUE"""),7.65)</f>
        <v>7.65</v>
      </c>
      <c r="K1087" s="5"/>
      <c r="L1087" s="23">
        <f>IFERROR(__xludf.DUMMYFUNCTION("""COMPUTED_VALUE"""),0.0)</f>
        <v>0</v>
      </c>
      <c r="M1087" s="25" t="str">
        <f>IFERROR(__xludf.DUMMYFUNCTION("""COMPUTED_VALUE"""),"")</f>
        <v/>
      </c>
      <c r="N1087" s="5"/>
      <c r="O1087" s="5"/>
      <c r="P1087" s="142">
        <f>IFERROR(__xludf.DUMMYFUNCTION("""COMPUTED_VALUE"""),-11975.2335)</f>
        <v>-11975.2335</v>
      </c>
      <c r="Q1087" s="5"/>
      <c r="R1087" s="71">
        <f>IFERROR(__xludf.DUMMYFUNCTION("""COMPUTED_VALUE"""),0.0)</f>
        <v>0</v>
      </c>
      <c r="S1087" s="142">
        <f>IFERROR(__xludf.DUMMYFUNCTION("""COMPUTED_VALUE"""),0.0)</f>
        <v>0</v>
      </c>
      <c r="T1087" s="5">
        <f>IFERROR(__xludf.DUMMYFUNCTION("""COMPUTED_VALUE"""),2.0)</f>
        <v>2</v>
      </c>
      <c r="U1087" s="5" t="str">
        <f>IFERROR(__xludf.DUMMYFUNCTION("""COMPUTED_VALUE"""),"")</f>
        <v/>
      </c>
      <c r="V1087" s="22" t="str">
        <f>IFERROR(__xludf.DUMMYFUNCTION("""COMPUTED_VALUE"""),"")</f>
        <v/>
      </c>
      <c r="W1087" s="9" t="str">
        <f>IFERROR(__xludf.DUMMYFUNCTION("""COMPUTED_VALUE"""),"")</f>
        <v/>
      </c>
      <c r="X1087" s="22" t="str">
        <f>IFERROR(__xludf.DUMMYFUNCTION("""COMPUTED_VALUE"""),"")</f>
        <v/>
      </c>
      <c r="Y1087" s="22" t="str">
        <f>IFERROR(__xludf.DUMMYFUNCTION("""COMPUTED_VALUE"""),"")</f>
        <v/>
      </c>
      <c r="Z1087" s="24" t="str">
        <f>IFERROR(__xludf.DUMMYFUNCTION("""COMPUTED_VALUE"""),"")</f>
        <v/>
      </c>
    </row>
    <row r="1088">
      <c r="A1088" s="5" t="str">
        <f>IFERROR(__xludf.DUMMYFUNCTION("""COMPUTED_VALUE"""),"")</f>
        <v/>
      </c>
      <c r="B1088" s="5" t="str">
        <f>IFERROR(__xludf.DUMMYFUNCTION("""COMPUTED_VALUE"""),"89750")</f>
        <v>89750</v>
      </c>
      <c r="C1088" s="9">
        <f>IFERROR(__xludf.DUMMYFUNCTION("""COMPUTED_VALUE"""),4.4635000626E10)</f>
        <v>44635000626</v>
      </c>
      <c r="D1088" s="87" t="str">
        <f>IFERROR(__xludf.DUMMYFUNCTION("""COMPUTED_VALUE"""),"SBRCY")</f>
        <v>SBRCY</v>
      </c>
      <c r="E1088" s="193">
        <f>IFERROR(__xludf.DUMMYFUNCTION("""COMPUTED_VALUE"""),44635.0)</f>
        <v>44635</v>
      </c>
      <c r="F1088" s="5" t="str">
        <f>IFERROR(__xludf.DUMMYFUNCTION("""COMPUTED_VALUE"""),"Stock")</f>
        <v>Stock</v>
      </c>
      <c r="G1088" s="5" t="str">
        <f>IFERROR(__xludf.DUMMYFUNCTION("""COMPUTED_VALUE"""),"USD")</f>
        <v>USD</v>
      </c>
      <c r="H1088" s="22">
        <f>IFERROR(__xludf.DUMMYFUNCTION("""COMPUTED_VALUE"""),5000.0)</f>
        <v>5000</v>
      </c>
      <c r="I1088" s="194">
        <f>IFERROR(__xludf.DUMMYFUNCTION("""COMPUTED_VALUE"""),7.82695)</f>
        <v>7.82695</v>
      </c>
      <c r="J1088" s="23">
        <f>IFERROR(__xludf.DUMMYFUNCTION("""COMPUTED_VALUE"""),0.52)</f>
        <v>0.52</v>
      </c>
      <c r="K1088" s="5"/>
      <c r="L1088" s="23">
        <f>IFERROR(__xludf.DUMMYFUNCTION("""COMPUTED_VALUE"""),0.52)</f>
        <v>0.52</v>
      </c>
      <c r="M1088" s="195" t="str">
        <f>IFERROR(__xludf.DUMMYFUNCTION("""COMPUTED_VALUE"""),"Equity Key Stats")</f>
        <v>Equity Key Stats</v>
      </c>
      <c r="N1088" s="5"/>
      <c r="O1088" s="5"/>
      <c r="P1088" s="142">
        <f>IFERROR(__xludf.DUMMYFUNCTION("""COMPUTED_VALUE"""),-20350.07)</f>
        <v>-20350.07</v>
      </c>
      <c r="Q1088" s="5"/>
      <c r="R1088" s="71">
        <f>IFERROR(__xludf.DUMMYFUNCTION("""COMPUTED_VALUE"""),0.52)</f>
        <v>0.52</v>
      </c>
      <c r="S1088" s="142">
        <f>IFERROR(__xludf.DUMMYFUNCTION("""COMPUTED_VALUE"""),20350.07)</f>
        <v>20350.07</v>
      </c>
      <c r="T1088" s="5">
        <f>IFERROR(__xludf.DUMMYFUNCTION("""COMPUTED_VALUE"""),2.0)</f>
        <v>2</v>
      </c>
      <c r="U1088" s="5">
        <f>IFERROR(__xludf.DUMMYFUNCTION("""COMPUTED_VALUE"""),1.0)</f>
        <v>1</v>
      </c>
      <c r="V1088" s="22">
        <f>IFERROR(__xludf.DUMMYFUNCTION("""COMPUTED_VALUE"""),-28519.092500000006)</f>
        <v>-28519.0925</v>
      </c>
      <c r="W1088" s="9" t="str">
        <f>IFERROR(__xludf.DUMMYFUNCTION("""COMPUTED_VALUE"""),"")</f>
        <v/>
      </c>
      <c r="X1088" s="22" t="str">
        <f>IFERROR(__xludf.DUMMYFUNCTION("""COMPUTED_VALUE"""),"")</f>
        <v/>
      </c>
      <c r="Y1088" s="22" t="str">
        <f>IFERROR(__xludf.DUMMYFUNCTION("""COMPUTED_VALUE"""),"")</f>
        <v/>
      </c>
      <c r="Z1088" s="24" t="str">
        <f>IFERROR(__xludf.DUMMYFUNCTION("""COMPUTED_VALUE"""),"")</f>
        <v/>
      </c>
    </row>
    <row r="1089">
      <c r="A1089" s="5" t="str">
        <f>IFERROR(__xludf.DUMMYFUNCTION("""COMPUTED_VALUE"""),"")</f>
        <v/>
      </c>
      <c r="B1089" s="5" t="str">
        <f>IFERROR(__xludf.DUMMYFUNCTION("""COMPUTED_VALUE"""),"89750")</f>
        <v>89750</v>
      </c>
      <c r="C1089" s="9">
        <f>IFERROR(__xludf.DUMMYFUNCTION("""COMPUTED_VALUE"""),4.4635000627E10)</f>
        <v>44635000627</v>
      </c>
      <c r="D1089" s="87" t="str">
        <f>IFERROR(__xludf.DUMMYFUNCTION("""COMPUTED_VALUE"""),"NU220414C00006000")</f>
        <v>NU220414C00006000</v>
      </c>
      <c r="E1089" s="193">
        <f>IFERROR(__xludf.DUMMYFUNCTION("""COMPUTED_VALUE"""),44635.0)</f>
        <v>44635</v>
      </c>
      <c r="F1089" s="5" t="str">
        <f>IFERROR(__xludf.DUMMYFUNCTION("""COMPUTED_VALUE"""),"Option")</f>
        <v>Option</v>
      </c>
      <c r="G1089" s="5" t="str">
        <f>IFERROR(__xludf.DUMMYFUNCTION("""COMPUTED_VALUE"""),"USD")</f>
        <v>USD</v>
      </c>
      <c r="H1089" s="22">
        <f>IFERROR(__xludf.DUMMYFUNCTION("""COMPUTED_VALUE"""),2.0)</f>
        <v>2</v>
      </c>
      <c r="I1089" s="194">
        <f>IFERROR(__xludf.DUMMYFUNCTION("""COMPUTED_VALUE"""),7.82695)</f>
        <v>7.82695</v>
      </c>
      <c r="J1089" s="23">
        <f>IFERROR(__xludf.DUMMYFUNCTION("""COMPUTED_VALUE"""),0.58)</f>
        <v>0.58</v>
      </c>
      <c r="K1089" s="5"/>
      <c r="L1089" s="23">
        <f>IFERROR(__xludf.DUMMYFUNCTION("""COMPUTED_VALUE"""),1.15)</f>
        <v>1.15</v>
      </c>
      <c r="M1089" s="25" t="str">
        <f>IFERROR(__xludf.DUMMYFUNCTION("""COMPUTED_VALUE"""),"")</f>
        <v/>
      </c>
      <c r="N1089" s="5"/>
      <c r="O1089" s="5"/>
      <c r="P1089" s="142">
        <f>IFERROR(__xludf.DUMMYFUNCTION("""COMPUTED_VALUE"""),-907.9262)</f>
        <v>-907.9262</v>
      </c>
      <c r="Q1089" s="5"/>
      <c r="R1089" s="71">
        <f>IFERROR(__xludf.DUMMYFUNCTION("""COMPUTED_VALUE"""),1.15)</f>
        <v>1.15</v>
      </c>
      <c r="S1089" s="142">
        <f>IFERROR(__xludf.DUMMYFUNCTION("""COMPUTED_VALUE"""),1800.1984999999997)</f>
        <v>1800.1985</v>
      </c>
      <c r="T1089" s="5">
        <f>IFERROR(__xludf.DUMMYFUNCTION("""COMPUTED_VALUE"""),2.0)</f>
        <v>2</v>
      </c>
      <c r="U1089" s="5" t="str">
        <f>IFERROR(__xludf.DUMMYFUNCTION("""COMPUTED_VALUE"""),"")</f>
        <v/>
      </c>
      <c r="V1089" s="22" t="str">
        <f>IFERROR(__xludf.DUMMYFUNCTION("""COMPUTED_VALUE"""),"")</f>
        <v/>
      </c>
      <c r="W1089" s="9" t="str">
        <f>IFERROR(__xludf.DUMMYFUNCTION("""COMPUTED_VALUE"""),"")</f>
        <v/>
      </c>
      <c r="X1089" s="22" t="str">
        <f>IFERROR(__xludf.DUMMYFUNCTION("""COMPUTED_VALUE"""),"")</f>
        <v/>
      </c>
      <c r="Y1089" s="22" t="str">
        <f>IFERROR(__xludf.DUMMYFUNCTION("""COMPUTED_VALUE"""),"")</f>
        <v/>
      </c>
      <c r="Z1089" s="24" t="str">
        <f>IFERROR(__xludf.DUMMYFUNCTION("""COMPUTED_VALUE"""),"")</f>
        <v/>
      </c>
    </row>
    <row r="1090">
      <c r="A1090" s="5" t="str">
        <f>IFERROR(__xludf.DUMMYFUNCTION("""COMPUTED_VALUE"""),"")</f>
        <v/>
      </c>
      <c r="B1090" s="5" t="str">
        <f>IFERROR(__xludf.DUMMYFUNCTION("""COMPUTED_VALUE"""),"89750")</f>
        <v>89750</v>
      </c>
      <c r="C1090" s="9">
        <f>IFERROR(__xludf.DUMMYFUNCTION("""COMPUTED_VALUE"""),4.4636000647E10)</f>
        <v>44636000647</v>
      </c>
      <c r="D1090" s="90" t="str">
        <f>IFERROR(__xludf.DUMMYFUNCTION("""COMPUTED_VALUE"""),"3833.HK")</f>
        <v>3833.HK</v>
      </c>
      <c r="E1090" s="193">
        <f>IFERROR(__xludf.DUMMYFUNCTION("""COMPUTED_VALUE"""),44636.0)</f>
        <v>44636</v>
      </c>
      <c r="F1090" s="5" t="str">
        <f>IFERROR(__xludf.DUMMYFUNCTION("""COMPUTED_VALUE"""),"Stock")</f>
        <v>Stock</v>
      </c>
      <c r="G1090" s="5" t="str">
        <f>IFERROR(__xludf.DUMMYFUNCTION("""COMPUTED_VALUE"""),"HKD")</f>
        <v>HKD</v>
      </c>
      <c r="H1090" s="22">
        <f>IFERROR(__xludf.DUMMYFUNCTION("""COMPUTED_VALUE"""),100000.0)</f>
        <v>100000</v>
      </c>
      <c r="I1090" s="194">
        <f>IFERROR(__xludf.DUMMYFUNCTION("""COMPUTED_VALUE"""),1.0)</f>
        <v>1</v>
      </c>
      <c r="J1090" s="23">
        <f>IFERROR(__xludf.DUMMYFUNCTION("""COMPUTED_VALUE"""),1.39)</f>
        <v>1.39</v>
      </c>
      <c r="K1090" s="5"/>
      <c r="L1090" s="23">
        <f>IFERROR(__xludf.DUMMYFUNCTION("""COMPUTED_VALUE"""),1.39)</f>
        <v>1.39</v>
      </c>
      <c r="M1090" s="195" t="str">
        <f>IFERROR(__xludf.DUMMYFUNCTION("""COMPUTED_VALUE"""),"Equity Key Stats")</f>
        <v>Equity Key Stats</v>
      </c>
      <c r="N1090" s="5"/>
      <c r="O1090" s="5"/>
      <c r="P1090" s="142">
        <f>IFERROR(__xludf.DUMMYFUNCTION("""COMPUTED_VALUE"""),-139000.0)</f>
        <v>-139000</v>
      </c>
      <c r="Q1090" s="5"/>
      <c r="R1090" s="71">
        <f>IFERROR(__xludf.DUMMYFUNCTION("""COMPUTED_VALUE"""),1.39)</f>
        <v>1.39</v>
      </c>
      <c r="S1090" s="142">
        <f>IFERROR(__xludf.DUMMYFUNCTION("""COMPUTED_VALUE"""),139000.0)</f>
        <v>139000</v>
      </c>
      <c r="T1090" s="5">
        <f>IFERROR(__xludf.DUMMYFUNCTION("""COMPUTED_VALUE"""),1.0)</f>
        <v>1</v>
      </c>
      <c r="U1090" s="5">
        <f>IFERROR(__xludf.DUMMYFUNCTION("""COMPUTED_VALUE"""),1.0)</f>
        <v>1</v>
      </c>
      <c r="V1090" s="22">
        <f>IFERROR(__xludf.DUMMYFUNCTION("""COMPUTED_VALUE"""),0.0)</f>
        <v>0</v>
      </c>
      <c r="W1090" s="9" t="str">
        <f>IFERROR(__xludf.DUMMYFUNCTION("""COMPUTED_VALUE"""),"")</f>
        <v/>
      </c>
      <c r="X1090" s="22" t="str">
        <f>IFERROR(__xludf.DUMMYFUNCTION("""COMPUTED_VALUE"""),"")</f>
        <v/>
      </c>
      <c r="Y1090" s="22" t="str">
        <f>IFERROR(__xludf.DUMMYFUNCTION("""COMPUTED_VALUE"""),"")</f>
        <v/>
      </c>
      <c r="Z1090" s="24" t="str">
        <f>IFERROR(__xludf.DUMMYFUNCTION("""COMPUTED_VALUE"""),"")</f>
        <v/>
      </c>
    </row>
    <row r="1091">
      <c r="A1091" s="5" t="str">
        <f>IFERROR(__xludf.DUMMYFUNCTION("""COMPUTED_VALUE"""),"")</f>
        <v/>
      </c>
      <c r="B1091" s="5" t="str">
        <f>IFERROR(__xludf.DUMMYFUNCTION("""COMPUTED_VALUE"""),"89750")</f>
        <v>89750</v>
      </c>
      <c r="C1091" s="9">
        <f>IFERROR(__xludf.DUMMYFUNCTION("""COMPUTED_VALUE"""),4.4637000684E10)</f>
        <v>44637000684</v>
      </c>
      <c r="D1091" s="87" t="str">
        <f>IFERROR(__xludf.DUMMYFUNCTION("""COMPUTED_VALUE"""),"OXY220318P00065000")</f>
        <v>OXY220318P00065000</v>
      </c>
      <c r="E1091" s="193">
        <f>IFERROR(__xludf.DUMMYFUNCTION("""COMPUTED_VALUE"""),44637.0)</f>
        <v>44637</v>
      </c>
      <c r="F1091" s="5" t="str">
        <f>IFERROR(__xludf.DUMMYFUNCTION("""COMPUTED_VALUE"""),"Option")</f>
        <v>Option</v>
      </c>
      <c r="G1091" s="5" t="str">
        <f>IFERROR(__xludf.DUMMYFUNCTION("""COMPUTED_VALUE"""),"USD")</f>
        <v>USD</v>
      </c>
      <c r="H1091" s="22">
        <f>IFERROR(__xludf.DUMMYFUNCTION("""COMPUTED_VALUE"""),-2.0)</f>
        <v>-2</v>
      </c>
      <c r="I1091" s="194">
        <f>IFERROR(__xludf.DUMMYFUNCTION("""COMPUTED_VALUE"""),7.81854)</f>
        <v>7.81854</v>
      </c>
      <c r="J1091" s="23">
        <f>IFERROR(__xludf.DUMMYFUNCTION("""COMPUTED_VALUE"""),7.65)</f>
        <v>7.65</v>
      </c>
      <c r="K1091" s="5"/>
      <c r="L1091" s="23">
        <f>IFERROR(__xludf.DUMMYFUNCTION("""COMPUTED_VALUE"""),0.0)</f>
        <v>0</v>
      </c>
      <c r="M1091" s="25" t="str">
        <f>IFERROR(__xludf.DUMMYFUNCTION("""COMPUTED_VALUE"""),"")</f>
        <v/>
      </c>
      <c r="N1091" s="5"/>
      <c r="O1091" s="5"/>
      <c r="P1091" s="142">
        <f>IFERROR(__xludf.DUMMYFUNCTION("""COMPUTED_VALUE"""),11962.3662)</f>
        <v>11962.3662</v>
      </c>
      <c r="Q1091" s="5"/>
      <c r="R1091" s="71">
        <f>IFERROR(__xludf.DUMMYFUNCTION("""COMPUTED_VALUE"""),0.0)</f>
        <v>0</v>
      </c>
      <c r="S1091" s="142">
        <f>IFERROR(__xludf.DUMMYFUNCTION("""COMPUTED_VALUE"""),0.0)</f>
        <v>0</v>
      </c>
      <c r="T1091" s="5">
        <f>IFERROR(__xludf.DUMMYFUNCTION("""COMPUTED_VALUE"""),2.0)</f>
        <v>2</v>
      </c>
      <c r="U1091" s="5">
        <f>IFERROR(__xludf.DUMMYFUNCTION("""COMPUTED_VALUE"""),1.0)</f>
        <v>1</v>
      </c>
      <c r="V1091" s="22">
        <f>IFERROR(__xludf.DUMMYFUNCTION("""COMPUTED_VALUE"""),-12.867299999999886)</f>
        <v>-12.8673</v>
      </c>
      <c r="W1091" s="9" t="str">
        <f>IFERROR(__xludf.DUMMYFUNCTION("""COMPUTED_VALUE"""),"")</f>
        <v/>
      </c>
      <c r="X1091" s="22" t="str">
        <f>IFERROR(__xludf.DUMMYFUNCTION("""COMPUTED_VALUE"""),"")</f>
        <v/>
      </c>
      <c r="Y1091" s="22" t="str">
        <f>IFERROR(__xludf.DUMMYFUNCTION("""COMPUTED_VALUE"""),"")</f>
        <v/>
      </c>
      <c r="Z1091" s="24" t="str">
        <f>IFERROR(__xludf.DUMMYFUNCTION("""COMPUTED_VALUE"""),"")</f>
        <v/>
      </c>
    </row>
    <row r="1092">
      <c r="A1092" s="5" t="str">
        <f>IFERROR(__xludf.DUMMYFUNCTION("""COMPUTED_VALUE"""),"")</f>
        <v/>
      </c>
      <c r="B1092" s="5" t="str">
        <f>IFERROR(__xludf.DUMMYFUNCTION("""COMPUTED_VALUE"""),"89750")</f>
        <v>89750</v>
      </c>
      <c r="C1092" s="9">
        <f>IFERROR(__xludf.DUMMYFUNCTION("""COMPUTED_VALUE"""),4.4643000841E10)</f>
        <v>44643000841</v>
      </c>
      <c r="D1092" s="87" t="str">
        <f>IFERROR(__xludf.DUMMYFUNCTION("""COMPUTED_VALUE"""),"NU220414C00006000")</f>
        <v>NU220414C00006000</v>
      </c>
      <c r="E1092" s="193">
        <f>IFERROR(__xludf.DUMMYFUNCTION("""COMPUTED_VALUE"""),44643.0)</f>
        <v>44643</v>
      </c>
      <c r="F1092" s="5" t="str">
        <f>IFERROR(__xludf.DUMMYFUNCTION("""COMPUTED_VALUE"""),"Option")</f>
        <v>Option</v>
      </c>
      <c r="G1092" s="5" t="str">
        <f>IFERROR(__xludf.DUMMYFUNCTION("""COMPUTED_VALUE"""),"USD")</f>
        <v>USD</v>
      </c>
      <c r="H1092" s="22">
        <f>IFERROR(__xludf.DUMMYFUNCTION("""COMPUTED_VALUE"""),-2.0)</f>
        <v>-2</v>
      </c>
      <c r="I1092" s="194">
        <f>IFERROR(__xludf.DUMMYFUNCTION("""COMPUTED_VALUE"""),7.823645)</f>
        <v>7.823645</v>
      </c>
      <c r="J1092" s="23">
        <f>IFERROR(__xludf.DUMMYFUNCTION("""COMPUTED_VALUE"""),2.1)</f>
        <v>2.1</v>
      </c>
      <c r="K1092" s="5"/>
      <c r="L1092" s="23">
        <f>IFERROR(__xludf.DUMMYFUNCTION("""COMPUTED_VALUE"""),1.15)</f>
        <v>1.15</v>
      </c>
      <c r="M1092" s="25" t="str">
        <f>IFERROR(__xludf.DUMMYFUNCTION("""COMPUTED_VALUE"""),"")</f>
        <v/>
      </c>
      <c r="N1092" s="5"/>
      <c r="O1092" s="5"/>
      <c r="P1092" s="142">
        <f>IFERROR(__xludf.DUMMYFUNCTION("""COMPUTED_VALUE"""),3285.9309000000003)</f>
        <v>3285.9309</v>
      </c>
      <c r="Q1092" s="5"/>
      <c r="R1092" s="71">
        <f>IFERROR(__xludf.DUMMYFUNCTION("""COMPUTED_VALUE"""),1.15)</f>
        <v>1.15</v>
      </c>
      <c r="S1092" s="142">
        <f>IFERROR(__xludf.DUMMYFUNCTION("""COMPUTED_VALUE"""),-1799.43835)</f>
        <v>-1799.43835</v>
      </c>
      <c r="T1092" s="5">
        <f>IFERROR(__xludf.DUMMYFUNCTION("""COMPUTED_VALUE"""),2.0)</f>
        <v>2</v>
      </c>
      <c r="U1092" s="5">
        <f>IFERROR(__xludf.DUMMYFUNCTION("""COMPUTED_VALUE"""),1.0)</f>
        <v>1</v>
      </c>
      <c r="V1092" s="22">
        <f>IFERROR(__xludf.DUMMYFUNCTION("""COMPUTED_VALUE"""),2378.7648500000005)</f>
        <v>2378.76485</v>
      </c>
      <c r="W1092" s="9" t="str">
        <f>IFERROR(__xludf.DUMMYFUNCTION("""COMPUTED_VALUE"""),"")</f>
        <v/>
      </c>
      <c r="X1092" s="22" t="str">
        <f>IFERROR(__xludf.DUMMYFUNCTION("""COMPUTED_VALUE"""),"")</f>
        <v/>
      </c>
      <c r="Y1092" s="22" t="str">
        <f>IFERROR(__xludf.DUMMYFUNCTION("""COMPUTED_VALUE"""),"")</f>
        <v/>
      </c>
      <c r="Z1092" s="24" t="str">
        <f>IFERROR(__xludf.DUMMYFUNCTION("""COMPUTED_VALUE"""),"")</f>
        <v/>
      </c>
    </row>
    <row r="1093">
      <c r="A1093" s="5" t="str">
        <f>IFERROR(__xludf.DUMMYFUNCTION("""COMPUTED_VALUE"""),"")</f>
        <v/>
      </c>
      <c r="B1093" s="5" t="str">
        <f>IFERROR(__xludf.DUMMYFUNCTION("""COMPUTED_VALUE"""),"89750")</f>
        <v>89750</v>
      </c>
      <c r="C1093" s="9">
        <f>IFERROR(__xludf.DUMMYFUNCTION("""COMPUTED_VALUE"""),4.4643000842E10)</f>
        <v>44643000842</v>
      </c>
      <c r="D1093" s="87" t="str">
        <f>IFERROR(__xludf.DUMMYFUNCTION("""COMPUTED_VALUE"""),"TCEHY")</f>
        <v>TCEHY</v>
      </c>
      <c r="E1093" s="193">
        <f>IFERROR(__xludf.DUMMYFUNCTION("""COMPUTED_VALUE"""),44643.0)</f>
        <v>44643</v>
      </c>
      <c r="F1093" s="5" t="str">
        <f>IFERROR(__xludf.DUMMYFUNCTION("""COMPUTED_VALUE"""),"Stock")</f>
        <v>Stock</v>
      </c>
      <c r="G1093" s="5" t="str">
        <f>IFERROR(__xludf.DUMMYFUNCTION("""COMPUTED_VALUE"""),"USD")</f>
        <v>USD</v>
      </c>
      <c r="H1093" s="22">
        <f>IFERROR(__xludf.DUMMYFUNCTION("""COMPUTED_VALUE"""),-100.0)</f>
        <v>-100</v>
      </c>
      <c r="I1093" s="194">
        <f>IFERROR(__xludf.DUMMYFUNCTION("""COMPUTED_VALUE"""),7.823645)</f>
        <v>7.823645</v>
      </c>
      <c r="J1093" s="23">
        <f>IFERROR(__xludf.DUMMYFUNCTION("""COMPUTED_VALUE"""),47.86)</f>
        <v>47.86</v>
      </c>
      <c r="K1093" s="5"/>
      <c r="L1093" s="23">
        <f>IFERROR(__xludf.DUMMYFUNCTION("""COMPUTED_VALUE"""),48.03)</f>
        <v>48.03</v>
      </c>
      <c r="M1093" s="195" t="str">
        <f>IFERROR(__xludf.DUMMYFUNCTION("""COMPUTED_VALUE"""),"Equity Key Stats")</f>
        <v>Equity Key Stats</v>
      </c>
      <c r="N1093" s="5"/>
      <c r="O1093" s="5"/>
      <c r="P1093" s="142">
        <f>IFERROR(__xludf.DUMMYFUNCTION("""COMPUTED_VALUE"""),37443.96497)</f>
        <v>37443.96497</v>
      </c>
      <c r="Q1093" s="5"/>
      <c r="R1093" s="71">
        <f>IFERROR(__xludf.DUMMYFUNCTION("""COMPUTED_VALUE"""),48.03)</f>
        <v>48.03</v>
      </c>
      <c r="S1093" s="142">
        <f>IFERROR(__xludf.DUMMYFUNCTION("""COMPUTED_VALUE"""),-37576.966935000004)</f>
        <v>-37576.96694</v>
      </c>
      <c r="T1093" s="5">
        <f>IFERROR(__xludf.DUMMYFUNCTION("""COMPUTED_VALUE"""),5.0)</f>
        <v>5</v>
      </c>
      <c r="U1093" s="5" t="str">
        <f>IFERROR(__xludf.DUMMYFUNCTION("""COMPUTED_VALUE"""),"")</f>
        <v/>
      </c>
      <c r="V1093" s="22" t="str">
        <f>IFERROR(__xludf.DUMMYFUNCTION("""COMPUTED_VALUE"""),"")</f>
        <v/>
      </c>
      <c r="W1093" s="9" t="str">
        <f>IFERROR(__xludf.DUMMYFUNCTION("""COMPUTED_VALUE"""),"")</f>
        <v/>
      </c>
      <c r="X1093" s="22" t="str">
        <f>IFERROR(__xludf.DUMMYFUNCTION("""COMPUTED_VALUE"""),"")</f>
        <v/>
      </c>
      <c r="Y1093" s="22" t="str">
        <f>IFERROR(__xludf.DUMMYFUNCTION("""COMPUTED_VALUE"""),"")</f>
        <v/>
      </c>
      <c r="Z1093" s="24" t="str">
        <f>IFERROR(__xludf.DUMMYFUNCTION("""COMPUTED_VALUE"""),"")</f>
        <v/>
      </c>
    </row>
    <row r="1094">
      <c r="A1094" s="5" t="str">
        <f>IFERROR(__xludf.DUMMYFUNCTION("""COMPUTED_VALUE"""),"")</f>
        <v/>
      </c>
      <c r="B1094" s="5" t="str">
        <f>IFERROR(__xludf.DUMMYFUNCTION("""COMPUTED_VALUE"""),"89750")</f>
        <v>89750</v>
      </c>
      <c r="C1094" s="9">
        <f>IFERROR(__xludf.DUMMYFUNCTION("""COMPUTED_VALUE"""),4.464500094E10)</f>
        <v>44645000940</v>
      </c>
      <c r="D1094" s="87" t="str">
        <f>IFERROR(__xludf.DUMMYFUNCTION("""COMPUTED_VALUE"""),"ARKF220408P00028500")</f>
        <v>ARKF220408P00028500</v>
      </c>
      <c r="E1094" s="193">
        <f>IFERROR(__xludf.DUMMYFUNCTION("""COMPUTED_VALUE"""),44645.0)</f>
        <v>44645</v>
      </c>
      <c r="F1094" s="5" t="str">
        <f>IFERROR(__xludf.DUMMYFUNCTION("""COMPUTED_VALUE"""),"Option")</f>
        <v>Option</v>
      </c>
      <c r="G1094" s="5" t="str">
        <f>IFERROR(__xludf.DUMMYFUNCTION("""COMPUTED_VALUE"""),"USD")</f>
        <v>USD</v>
      </c>
      <c r="H1094" s="22">
        <f>IFERROR(__xludf.DUMMYFUNCTION("""COMPUTED_VALUE"""),100.0)</f>
        <v>100</v>
      </c>
      <c r="I1094" s="194">
        <f>IFERROR(__xludf.DUMMYFUNCTION("""COMPUTED_VALUE"""),7.82975)</f>
        <v>7.82975</v>
      </c>
      <c r="J1094" s="23">
        <f>IFERROR(__xludf.DUMMYFUNCTION("""COMPUTED_VALUE"""),0.8)</f>
        <v>0.8</v>
      </c>
      <c r="K1094" s="5"/>
      <c r="L1094" s="23">
        <f>IFERROR(__xludf.DUMMYFUNCTION("""COMPUTED_VALUE"""),1.6)</f>
        <v>1.6</v>
      </c>
      <c r="M1094" s="25" t="str">
        <f>IFERROR(__xludf.DUMMYFUNCTION("""COMPUTED_VALUE"""),"")</f>
        <v/>
      </c>
      <c r="N1094" s="5"/>
      <c r="O1094" s="5"/>
      <c r="P1094" s="142">
        <f>IFERROR(__xludf.DUMMYFUNCTION("""COMPUTED_VALUE"""),-62638.000000000015)</f>
        <v>-62638</v>
      </c>
      <c r="Q1094" s="5"/>
      <c r="R1094" s="71">
        <f>IFERROR(__xludf.DUMMYFUNCTION("""COMPUTED_VALUE"""),1.6)</f>
        <v>1.6</v>
      </c>
      <c r="S1094" s="142">
        <f>IFERROR(__xludf.DUMMYFUNCTION("""COMPUTED_VALUE"""),125276.00000000003)</f>
        <v>125276</v>
      </c>
      <c r="T1094" s="5">
        <f>IFERROR(__xludf.DUMMYFUNCTION("""COMPUTED_VALUE"""),2.0)</f>
        <v>2</v>
      </c>
      <c r="U1094" s="5" t="str">
        <f>IFERROR(__xludf.DUMMYFUNCTION("""COMPUTED_VALUE"""),"")</f>
        <v/>
      </c>
      <c r="V1094" s="22" t="str">
        <f>IFERROR(__xludf.DUMMYFUNCTION("""COMPUTED_VALUE"""),"")</f>
        <v/>
      </c>
      <c r="W1094" s="9" t="str">
        <f>IFERROR(__xludf.DUMMYFUNCTION("""COMPUTED_VALUE"""),"")</f>
        <v/>
      </c>
      <c r="X1094" s="22" t="str">
        <f>IFERROR(__xludf.DUMMYFUNCTION("""COMPUTED_VALUE"""),"")</f>
        <v/>
      </c>
      <c r="Y1094" s="22" t="str">
        <f>IFERROR(__xludf.DUMMYFUNCTION("""COMPUTED_VALUE"""),"")</f>
        <v/>
      </c>
      <c r="Z1094" s="24" t="str">
        <f>IFERROR(__xludf.DUMMYFUNCTION("""COMPUTED_VALUE"""),"")</f>
        <v/>
      </c>
    </row>
    <row r="1095">
      <c r="A1095" s="5" t="str">
        <f>IFERROR(__xludf.DUMMYFUNCTION("""COMPUTED_VALUE"""),"")</f>
        <v/>
      </c>
      <c r="B1095" s="5" t="str">
        <f>IFERROR(__xludf.DUMMYFUNCTION("""COMPUTED_VALUE"""),"89750")</f>
        <v>89750</v>
      </c>
      <c r="C1095" s="9">
        <f>IFERROR(__xludf.DUMMYFUNCTION("""COMPUTED_VALUE"""),4.4649001013E10)</f>
        <v>44649001013</v>
      </c>
      <c r="D1095" s="87" t="str">
        <f>IFERROR(__xludf.DUMMYFUNCTION("""COMPUTED_VALUE"""),"ARKF220408P00028500")</f>
        <v>ARKF220408P00028500</v>
      </c>
      <c r="E1095" s="193">
        <f>IFERROR(__xludf.DUMMYFUNCTION("""COMPUTED_VALUE"""),44649.0)</f>
        <v>44649</v>
      </c>
      <c r="F1095" s="5" t="str">
        <f>IFERROR(__xludf.DUMMYFUNCTION("""COMPUTED_VALUE"""),"Option")</f>
        <v>Option</v>
      </c>
      <c r="G1095" s="5" t="str">
        <f>IFERROR(__xludf.DUMMYFUNCTION("""COMPUTED_VALUE"""),"USD")</f>
        <v>USD</v>
      </c>
      <c r="H1095" s="22">
        <f>IFERROR(__xludf.DUMMYFUNCTION("""COMPUTED_VALUE"""),0.0)</f>
        <v>0</v>
      </c>
      <c r="I1095" s="194">
        <f>IFERROR(__xludf.DUMMYFUNCTION("""COMPUTED_VALUE"""),7.827315)</f>
        <v>7.827315</v>
      </c>
      <c r="J1095" s="23">
        <f>IFERROR(__xludf.DUMMYFUNCTION("""COMPUTED_VALUE"""),0.0)</f>
        <v>0</v>
      </c>
      <c r="K1095" s="5"/>
      <c r="L1095" s="23">
        <f>IFERROR(__xludf.DUMMYFUNCTION("""COMPUTED_VALUE"""),1.6)</f>
        <v>1.6</v>
      </c>
      <c r="M1095" s="25" t="str">
        <f>IFERROR(__xludf.DUMMYFUNCTION("""COMPUTED_VALUE"""),"")</f>
        <v/>
      </c>
      <c r="N1095" s="5"/>
      <c r="O1095" s="5"/>
      <c r="P1095" s="142">
        <f>IFERROR(__xludf.DUMMYFUNCTION("""COMPUTED_VALUE"""),0.0)</f>
        <v>0</v>
      </c>
      <c r="Q1095" s="5"/>
      <c r="R1095" s="71">
        <f>IFERROR(__xludf.DUMMYFUNCTION("""COMPUTED_VALUE"""),1.6)</f>
        <v>1.6</v>
      </c>
      <c r="S1095" s="142">
        <f>IFERROR(__xludf.DUMMYFUNCTION("""COMPUTED_VALUE"""),0.0)</f>
        <v>0</v>
      </c>
      <c r="T1095" s="5">
        <f>IFERROR(__xludf.DUMMYFUNCTION("""COMPUTED_VALUE"""),2.0)</f>
        <v>2</v>
      </c>
      <c r="U1095" s="5">
        <f>IFERROR(__xludf.DUMMYFUNCTION("""COMPUTED_VALUE"""),1.0)</f>
        <v>1</v>
      </c>
      <c r="V1095" s="22">
        <f>IFERROR(__xludf.DUMMYFUNCTION("""COMPUTED_VALUE"""),62638.000000000015)</f>
        <v>62638</v>
      </c>
      <c r="W1095" s="9" t="str">
        <f>IFERROR(__xludf.DUMMYFUNCTION("""COMPUTED_VALUE"""),"")</f>
        <v/>
      </c>
      <c r="X1095" s="22" t="str">
        <f>IFERROR(__xludf.DUMMYFUNCTION("""COMPUTED_VALUE"""),"")</f>
        <v/>
      </c>
      <c r="Y1095" s="22" t="str">
        <f>IFERROR(__xludf.DUMMYFUNCTION("""COMPUTED_VALUE"""),"")</f>
        <v/>
      </c>
      <c r="Z1095" s="24" t="str">
        <f>IFERROR(__xludf.DUMMYFUNCTION("""COMPUTED_VALUE"""),"")</f>
        <v/>
      </c>
    </row>
    <row r="1096">
      <c r="A1096" s="5" t="str">
        <f>IFERROR(__xludf.DUMMYFUNCTION("""COMPUTED_VALUE"""),"")</f>
        <v/>
      </c>
      <c r="B1096" s="5" t="str">
        <f>IFERROR(__xludf.DUMMYFUNCTION("""COMPUTED_VALUE"""),"89750")</f>
        <v>89750</v>
      </c>
      <c r="C1096" s="9">
        <f>IFERROR(__xludf.DUMMYFUNCTION("""COMPUTED_VALUE"""),4.4649001014E10)</f>
        <v>44649001014</v>
      </c>
      <c r="D1096" s="87" t="str">
        <f>IFERROR(__xludf.DUMMYFUNCTION("""COMPUTED_VALUE"""),"TCEHY")</f>
        <v>TCEHY</v>
      </c>
      <c r="E1096" s="193">
        <f>IFERROR(__xludf.DUMMYFUNCTION("""COMPUTED_VALUE"""),44649.0)</f>
        <v>44649</v>
      </c>
      <c r="F1096" s="5" t="str">
        <f>IFERROR(__xludf.DUMMYFUNCTION("""COMPUTED_VALUE"""),"Stock")</f>
        <v>Stock</v>
      </c>
      <c r="G1096" s="5" t="str">
        <f>IFERROR(__xludf.DUMMYFUNCTION("""COMPUTED_VALUE"""),"USD")</f>
        <v>USD</v>
      </c>
      <c r="H1096" s="22">
        <f>IFERROR(__xludf.DUMMYFUNCTION("""COMPUTED_VALUE"""),-50.0)</f>
        <v>-50</v>
      </c>
      <c r="I1096" s="194">
        <f>IFERROR(__xludf.DUMMYFUNCTION("""COMPUTED_VALUE"""),7.827315)</f>
        <v>7.827315</v>
      </c>
      <c r="J1096" s="23">
        <f>IFERROR(__xludf.DUMMYFUNCTION("""COMPUTED_VALUE"""),49.38)</f>
        <v>49.38</v>
      </c>
      <c r="K1096" s="5"/>
      <c r="L1096" s="23">
        <f>IFERROR(__xludf.DUMMYFUNCTION("""COMPUTED_VALUE"""),48.03)</f>
        <v>48.03</v>
      </c>
      <c r="M1096" s="195" t="str">
        <f>IFERROR(__xludf.DUMMYFUNCTION("""COMPUTED_VALUE"""),"Equity Key Stats")</f>
        <v>Equity Key Stats</v>
      </c>
      <c r="N1096" s="5"/>
      <c r="O1096" s="5"/>
      <c r="P1096" s="142">
        <f>IFERROR(__xludf.DUMMYFUNCTION("""COMPUTED_VALUE"""),19325.640735)</f>
        <v>19325.64074</v>
      </c>
      <c r="Q1096" s="5"/>
      <c r="R1096" s="71">
        <f>IFERROR(__xludf.DUMMYFUNCTION("""COMPUTED_VALUE"""),48.03)</f>
        <v>48.03</v>
      </c>
      <c r="S1096" s="142">
        <f>IFERROR(__xludf.DUMMYFUNCTION("""COMPUTED_VALUE"""),-18797.2969725)</f>
        <v>-18797.29697</v>
      </c>
      <c r="T1096" s="5">
        <f>IFERROR(__xludf.DUMMYFUNCTION("""COMPUTED_VALUE"""),5.0)</f>
        <v>5</v>
      </c>
      <c r="U1096" s="5">
        <f>IFERROR(__xludf.DUMMYFUNCTION("""COMPUTED_VALUE"""),1.0)</f>
        <v>1</v>
      </c>
      <c r="V1096" s="22">
        <f>IFERROR(__xludf.DUMMYFUNCTION("""COMPUTED_VALUE"""),-18216.205727499982)</f>
        <v>-18216.20573</v>
      </c>
      <c r="W1096" s="9" t="str">
        <f>IFERROR(__xludf.DUMMYFUNCTION("""COMPUTED_VALUE"""),"")</f>
        <v/>
      </c>
      <c r="X1096" s="22" t="str">
        <f>IFERROR(__xludf.DUMMYFUNCTION("""COMPUTED_VALUE"""),"")</f>
        <v/>
      </c>
      <c r="Y1096" s="22" t="str">
        <f>IFERROR(__xludf.DUMMYFUNCTION("""COMPUTED_VALUE"""),"")</f>
        <v/>
      </c>
      <c r="Z1096" s="24" t="str">
        <f>IFERROR(__xludf.DUMMYFUNCTION("""COMPUTED_VALUE"""),"")</f>
        <v/>
      </c>
    </row>
    <row r="1097">
      <c r="A1097" s="5" t="str">
        <f>IFERROR(__xludf.DUMMYFUNCTION("""COMPUTED_VALUE"""),"")</f>
        <v/>
      </c>
      <c r="B1097" s="5" t="str">
        <f>IFERROR(__xludf.DUMMYFUNCTION("""COMPUTED_VALUE"""),"89750")</f>
        <v>89750</v>
      </c>
      <c r="C1097" s="9">
        <f>IFERROR(__xludf.DUMMYFUNCTION("""COMPUTED_VALUE"""),4.4650001029E10)</f>
        <v>44650001029</v>
      </c>
      <c r="D1097" s="90" t="str">
        <f>IFERROR(__xludf.DUMMYFUNCTION("""COMPUTED_VALUE"""),"3690.HK")</f>
        <v>3690.HK</v>
      </c>
      <c r="E1097" s="193">
        <f>IFERROR(__xludf.DUMMYFUNCTION("""COMPUTED_VALUE"""),44650.0)</f>
        <v>44650</v>
      </c>
      <c r="F1097" s="5" t="str">
        <f>IFERROR(__xludf.DUMMYFUNCTION("""COMPUTED_VALUE"""),"Stock")</f>
        <v>Stock</v>
      </c>
      <c r="G1097" s="5" t="str">
        <f>IFERROR(__xludf.DUMMYFUNCTION("""COMPUTED_VALUE"""),"HKD")</f>
        <v>HKD</v>
      </c>
      <c r="H1097" s="22">
        <f>IFERROR(__xludf.DUMMYFUNCTION("""COMPUTED_VALUE"""),-500.0)</f>
        <v>-500</v>
      </c>
      <c r="I1097" s="194">
        <f>IFERROR(__xludf.DUMMYFUNCTION("""COMPUTED_VALUE"""),1.0)</f>
        <v>1</v>
      </c>
      <c r="J1097" s="23">
        <f>IFERROR(__xludf.DUMMYFUNCTION("""COMPUTED_VALUE"""),160.1)</f>
        <v>160.1</v>
      </c>
      <c r="K1097" s="5"/>
      <c r="L1097" s="23">
        <f>IFERROR(__xludf.DUMMYFUNCTION("""COMPUTED_VALUE"""),154.1)</f>
        <v>154.1</v>
      </c>
      <c r="M1097" s="195" t="str">
        <f>IFERROR(__xludf.DUMMYFUNCTION("""COMPUTED_VALUE"""),"Equity Key Stats")</f>
        <v>Equity Key Stats</v>
      </c>
      <c r="N1097" s="5"/>
      <c r="O1097" s="5"/>
      <c r="P1097" s="142">
        <f>IFERROR(__xludf.DUMMYFUNCTION("""COMPUTED_VALUE"""),80050.0)</f>
        <v>80050</v>
      </c>
      <c r="Q1097" s="5"/>
      <c r="R1097" s="71">
        <f>IFERROR(__xludf.DUMMYFUNCTION("""COMPUTED_VALUE"""),154.1)</f>
        <v>154.1</v>
      </c>
      <c r="S1097" s="142">
        <f>IFERROR(__xludf.DUMMYFUNCTION("""COMPUTED_VALUE"""),-77050.0)</f>
        <v>-77050</v>
      </c>
      <c r="T1097" s="5">
        <f>IFERROR(__xludf.DUMMYFUNCTION("""COMPUTED_VALUE"""),4.0)</f>
        <v>4</v>
      </c>
      <c r="U1097" s="5">
        <f>IFERROR(__xludf.DUMMYFUNCTION("""COMPUTED_VALUE"""),1.0)</f>
        <v>1</v>
      </c>
      <c r="V1097" s="22">
        <f>IFERROR(__xludf.DUMMYFUNCTION("""COMPUTED_VALUE"""),25650.0)</f>
        <v>25650</v>
      </c>
      <c r="W1097" s="9" t="str">
        <f>IFERROR(__xludf.DUMMYFUNCTION("""COMPUTED_VALUE"""),"")</f>
        <v/>
      </c>
      <c r="X1097" s="22" t="str">
        <f>IFERROR(__xludf.DUMMYFUNCTION("""COMPUTED_VALUE"""),"")</f>
        <v/>
      </c>
      <c r="Y1097" s="22" t="str">
        <f>IFERROR(__xludf.DUMMYFUNCTION("""COMPUTED_VALUE"""),"")</f>
        <v/>
      </c>
      <c r="Z1097" s="24" t="str">
        <f>IFERROR(__xludf.DUMMYFUNCTION("""COMPUTED_VALUE"""),"")</f>
        <v/>
      </c>
    </row>
    <row r="1098">
      <c r="A1098" s="5" t="str">
        <f>IFERROR(__xludf.DUMMYFUNCTION("""COMPUTED_VALUE"""),"")</f>
        <v/>
      </c>
      <c r="B1098" s="5" t="str">
        <f>IFERROR(__xludf.DUMMYFUNCTION("""COMPUTED_VALUE"""),"89750")</f>
        <v>89750</v>
      </c>
      <c r="C1098" s="9">
        <f>IFERROR(__xludf.DUMMYFUNCTION("""COMPUTED_VALUE"""),4.4650001038E10)</f>
        <v>44650001038</v>
      </c>
      <c r="D1098" s="87" t="str">
        <f>IFERROR(__xludf.DUMMYFUNCTION("""COMPUTED_VALUE"""),"ASML220422P00680000")</f>
        <v>ASML220422P00680000</v>
      </c>
      <c r="E1098" s="193">
        <f>IFERROR(__xludf.DUMMYFUNCTION("""COMPUTED_VALUE"""),44650.0)</f>
        <v>44650</v>
      </c>
      <c r="F1098" s="5" t="str">
        <f>IFERROR(__xludf.DUMMYFUNCTION("""COMPUTED_VALUE"""),"Option")</f>
        <v>Option</v>
      </c>
      <c r="G1098" s="5" t="str">
        <f>IFERROR(__xludf.DUMMYFUNCTION("""COMPUTED_VALUE"""),"USD")</f>
        <v>USD</v>
      </c>
      <c r="H1098" s="22" t="str">
        <f>IFERROR(__xludf.DUMMYFUNCTION("""COMPUTED_VALUE"""),"")</f>
        <v/>
      </c>
      <c r="I1098" s="194">
        <f>IFERROR(__xludf.DUMMYFUNCTION("""COMPUTED_VALUE"""),7.82725)</f>
        <v>7.82725</v>
      </c>
      <c r="J1098" s="23">
        <f>IFERROR(__xludf.DUMMYFUNCTION("""COMPUTED_VALUE"""),15.95)</f>
        <v>15.95</v>
      </c>
      <c r="K1098" s="5"/>
      <c r="L1098" s="23">
        <f>IFERROR(__xludf.DUMMYFUNCTION("""COMPUTED_VALUE"""),65.84)</f>
        <v>65.84</v>
      </c>
      <c r="M1098" s="25" t="str">
        <f>IFERROR(__xludf.DUMMYFUNCTION("""COMPUTED_VALUE"""),"")</f>
        <v/>
      </c>
      <c r="N1098" s="5"/>
      <c r="O1098" s="5"/>
      <c r="P1098" s="142">
        <f>IFERROR(__xludf.DUMMYFUNCTION("""COMPUTED_VALUE"""),0.0)</f>
        <v>0</v>
      </c>
      <c r="Q1098" s="5"/>
      <c r="R1098" s="71">
        <f>IFERROR(__xludf.DUMMYFUNCTION("""COMPUTED_VALUE"""),65.84)</f>
        <v>65.84</v>
      </c>
      <c r="S1098" s="142">
        <f>IFERROR(__xludf.DUMMYFUNCTION("""COMPUTED_VALUE"""),0.0)</f>
        <v>0</v>
      </c>
      <c r="T1098" s="5">
        <f>IFERROR(__xludf.DUMMYFUNCTION("""COMPUTED_VALUE"""),6.0)</f>
        <v>6</v>
      </c>
      <c r="U1098" s="5" t="str">
        <f>IFERROR(__xludf.DUMMYFUNCTION("""COMPUTED_VALUE"""),"")</f>
        <v/>
      </c>
      <c r="V1098" s="22" t="str">
        <f>IFERROR(__xludf.DUMMYFUNCTION("""COMPUTED_VALUE"""),"")</f>
        <v/>
      </c>
      <c r="W1098" s="9" t="str">
        <f>IFERROR(__xludf.DUMMYFUNCTION("""COMPUTED_VALUE"""),"")</f>
        <v/>
      </c>
      <c r="X1098" s="22" t="str">
        <f>IFERROR(__xludf.DUMMYFUNCTION("""COMPUTED_VALUE"""),"")</f>
        <v/>
      </c>
      <c r="Y1098" s="22" t="str">
        <f>IFERROR(__xludf.DUMMYFUNCTION("""COMPUTED_VALUE"""),"")</f>
        <v/>
      </c>
      <c r="Z1098" s="24" t="str">
        <f>IFERROR(__xludf.DUMMYFUNCTION("""COMPUTED_VALUE"""),"")</f>
        <v/>
      </c>
    </row>
    <row r="1099">
      <c r="A1099" s="5" t="str">
        <f>IFERROR(__xludf.DUMMYFUNCTION("""COMPUTED_VALUE"""),"")</f>
        <v/>
      </c>
      <c r="B1099" s="5" t="str">
        <f>IFERROR(__xludf.DUMMYFUNCTION("""COMPUTED_VALUE"""),"89750")</f>
        <v>89750</v>
      </c>
      <c r="C1099" s="9">
        <f>IFERROR(__xludf.DUMMYFUNCTION("""COMPUTED_VALUE"""),4.4651001047E10)</f>
        <v>44651001047</v>
      </c>
      <c r="D1099" s="87" t="str">
        <f>IFERROR(__xludf.DUMMYFUNCTION("""COMPUTED_VALUE"""),"ASML220422P00680000")</f>
        <v>ASML220422P00680000</v>
      </c>
      <c r="E1099" s="193">
        <f>IFERROR(__xludf.DUMMYFUNCTION("""COMPUTED_VALUE"""),44651.0)</f>
        <v>44651</v>
      </c>
      <c r="F1099" s="5" t="str">
        <f>IFERROR(__xludf.DUMMYFUNCTION("""COMPUTED_VALUE"""),"Option")</f>
        <v>Option</v>
      </c>
      <c r="G1099" s="5" t="str">
        <f>IFERROR(__xludf.DUMMYFUNCTION("""COMPUTED_VALUE"""),"USD")</f>
        <v>USD</v>
      </c>
      <c r="H1099" s="22">
        <f>IFERROR(__xludf.DUMMYFUNCTION("""COMPUTED_VALUE"""),10.0)</f>
        <v>10</v>
      </c>
      <c r="I1099" s="194">
        <f>IFERROR(__xludf.DUMMYFUNCTION("""COMPUTED_VALUE"""),7.83335)</f>
        <v>7.83335</v>
      </c>
      <c r="J1099" s="23">
        <f>IFERROR(__xludf.DUMMYFUNCTION("""COMPUTED_VALUE"""),15.95)</f>
        <v>15.95</v>
      </c>
      <c r="K1099" s="5"/>
      <c r="L1099" s="23">
        <f>IFERROR(__xludf.DUMMYFUNCTION("""COMPUTED_VALUE"""),65.84)</f>
        <v>65.84</v>
      </c>
      <c r="M1099" s="25" t="str">
        <f>IFERROR(__xludf.DUMMYFUNCTION("""COMPUTED_VALUE"""),"")</f>
        <v/>
      </c>
      <c r="N1099" s="5"/>
      <c r="O1099" s="5"/>
      <c r="P1099" s="142">
        <f>IFERROR(__xludf.DUMMYFUNCTION("""COMPUTED_VALUE"""),-124941.93249999998)</f>
        <v>-124941.9325</v>
      </c>
      <c r="Q1099" s="5"/>
      <c r="R1099" s="71">
        <f>IFERROR(__xludf.DUMMYFUNCTION("""COMPUTED_VALUE"""),65.84)</f>
        <v>65.84</v>
      </c>
      <c r="S1099" s="142">
        <f>IFERROR(__xludf.DUMMYFUNCTION("""COMPUTED_VALUE"""),515747.764)</f>
        <v>515747.764</v>
      </c>
      <c r="T1099" s="5">
        <f>IFERROR(__xludf.DUMMYFUNCTION("""COMPUTED_VALUE"""),6.0)</f>
        <v>6</v>
      </c>
      <c r="U1099" s="5" t="str">
        <f>IFERROR(__xludf.DUMMYFUNCTION("""COMPUTED_VALUE"""),"")</f>
        <v/>
      </c>
      <c r="V1099" s="22" t="str">
        <f>IFERROR(__xludf.DUMMYFUNCTION("""COMPUTED_VALUE"""),"")</f>
        <v/>
      </c>
      <c r="W1099" s="9" t="str">
        <f>IFERROR(__xludf.DUMMYFUNCTION("""COMPUTED_VALUE"""),"")</f>
        <v/>
      </c>
      <c r="X1099" s="22" t="str">
        <f>IFERROR(__xludf.DUMMYFUNCTION("""COMPUTED_VALUE"""),"")</f>
        <v/>
      </c>
      <c r="Y1099" s="22" t="str">
        <f>IFERROR(__xludf.DUMMYFUNCTION("""COMPUTED_VALUE"""),"")</f>
        <v/>
      </c>
      <c r="Z1099" s="24" t="str">
        <f>IFERROR(__xludf.DUMMYFUNCTION("""COMPUTED_VALUE"""),"")</f>
        <v/>
      </c>
    </row>
    <row r="1100">
      <c r="A1100" s="5" t="str">
        <f>IFERROR(__xludf.DUMMYFUNCTION("""COMPUTED_VALUE"""),"")</f>
        <v/>
      </c>
      <c r="B1100" s="5" t="str">
        <f>IFERROR(__xludf.DUMMYFUNCTION("""COMPUTED_VALUE"""),"89750")</f>
        <v>89750</v>
      </c>
      <c r="C1100" s="9">
        <f>IFERROR(__xludf.DUMMYFUNCTION("""COMPUTED_VALUE"""),4.4652001105E10)</f>
        <v>44652001105</v>
      </c>
      <c r="D1100" s="87" t="str">
        <f>IFERROR(__xludf.DUMMYFUNCTION("""COMPUTED_VALUE"""),"ASML220422P00680000")</f>
        <v>ASML220422P00680000</v>
      </c>
      <c r="E1100" s="193">
        <f>IFERROR(__xludf.DUMMYFUNCTION("""COMPUTED_VALUE"""),44652.0)</f>
        <v>44652</v>
      </c>
      <c r="F1100" s="5" t="str">
        <f>IFERROR(__xludf.DUMMYFUNCTION("""COMPUTED_VALUE"""),"Option")</f>
        <v>Option</v>
      </c>
      <c r="G1100" s="5" t="str">
        <f>IFERROR(__xludf.DUMMYFUNCTION("""COMPUTED_VALUE"""),"USD")</f>
        <v>USD</v>
      </c>
      <c r="H1100" s="22">
        <f>IFERROR(__xludf.DUMMYFUNCTION("""COMPUTED_VALUE"""),-5.0)</f>
        <v>-5</v>
      </c>
      <c r="I1100" s="194">
        <f>IFERROR(__xludf.DUMMYFUNCTION("""COMPUTED_VALUE"""),7.833725)</f>
        <v>7.833725</v>
      </c>
      <c r="J1100" s="23">
        <f>IFERROR(__xludf.DUMMYFUNCTION("""COMPUTED_VALUE"""),28.07)</f>
        <v>28.07</v>
      </c>
      <c r="K1100" s="5"/>
      <c r="L1100" s="23">
        <f>IFERROR(__xludf.DUMMYFUNCTION("""COMPUTED_VALUE"""),65.84)</f>
        <v>65.84</v>
      </c>
      <c r="M1100" s="25" t="str">
        <f>IFERROR(__xludf.DUMMYFUNCTION("""COMPUTED_VALUE"""),"")</f>
        <v/>
      </c>
      <c r="N1100" s="5"/>
      <c r="O1100" s="5"/>
      <c r="P1100" s="142">
        <f>IFERROR(__xludf.DUMMYFUNCTION("""COMPUTED_VALUE"""),109946.330375)</f>
        <v>109946.3304</v>
      </c>
      <c r="Q1100" s="5"/>
      <c r="R1100" s="71">
        <f>IFERROR(__xludf.DUMMYFUNCTION("""COMPUTED_VALUE"""),65.84)</f>
        <v>65.84</v>
      </c>
      <c r="S1100" s="142">
        <f>IFERROR(__xludf.DUMMYFUNCTION("""COMPUTED_VALUE"""),-257886.227)</f>
        <v>-257886.227</v>
      </c>
      <c r="T1100" s="5">
        <f>IFERROR(__xludf.DUMMYFUNCTION("""COMPUTED_VALUE"""),6.0)</f>
        <v>6</v>
      </c>
      <c r="U1100" s="5" t="str">
        <f>IFERROR(__xludf.DUMMYFUNCTION("""COMPUTED_VALUE"""),"")</f>
        <v/>
      </c>
      <c r="V1100" s="22" t="str">
        <f>IFERROR(__xludf.DUMMYFUNCTION("""COMPUTED_VALUE"""),"")</f>
        <v/>
      </c>
      <c r="W1100" s="9" t="str">
        <f>IFERROR(__xludf.DUMMYFUNCTION("""COMPUTED_VALUE"""),"")</f>
        <v/>
      </c>
      <c r="X1100" s="22" t="str">
        <f>IFERROR(__xludf.DUMMYFUNCTION("""COMPUTED_VALUE"""),"")</f>
        <v/>
      </c>
      <c r="Y1100" s="22" t="str">
        <f>IFERROR(__xludf.DUMMYFUNCTION("""COMPUTED_VALUE"""),"")</f>
        <v/>
      </c>
      <c r="Z1100" s="24" t="str">
        <f>IFERROR(__xludf.DUMMYFUNCTION("""COMPUTED_VALUE"""),"")</f>
        <v/>
      </c>
    </row>
    <row r="1101">
      <c r="A1101" s="5" t="str">
        <f>IFERROR(__xludf.DUMMYFUNCTION("""COMPUTED_VALUE"""),"")</f>
        <v/>
      </c>
      <c r="B1101" s="5" t="str">
        <f>IFERROR(__xludf.DUMMYFUNCTION("""COMPUTED_VALUE"""),"89750")</f>
        <v>89750</v>
      </c>
      <c r="C1101" s="9">
        <f>IFERROR(__xludf.DUMMYFUNCTION("""COMPUTED_VALUE"""),4.4652001107E10)</f>
        <v>44652001107</v>
      </c>
      <c r="D1101" s="87" t="str">
        <f>IFERROR(__xludf.DUMMYFUNCTION("""COMPUTED_VALUE"""),"ARKF220414P00027500")</f>
        <v>ARKF220414P00027500</v>
      </c>
      <c r="E1101" s="193">
        <f>IFERROR(__xludf.DUMMYFUNCTION("""COMPUTED_VALUE"""),44652.0)</f>
        <v>44652</v>
      </c>
      <c r="F1101" s="5" t="str">
        <f>IFERROR(__xludf.DUMMYFUNCTION("""COMPUTED_VALUE"""),"Option")</f>
        <v>Option</v>
      </c>
      <c r="G1101" s="5" t="str">
        <f>IFERROR(__xludf.DUMMYFUNCTION("""COMPUTED_VALUE"""),"USD")</f>
        <v>USD</v>
      </c>
      <c r="H1101" s="22">
        <f>IFERROR(__xludf.DUMMYFUNCTION("""COMPUTED_VALUE"""),400.0)</f>
        <v>400</v>
      </c>
      <c r="I1101" s="194">
        <f>IFERROR(__xludf.DUMMYFUNCTION("""COMPUTED_VALUE"""),7.833725)</f>
        <v>7.833725</v>
      </c>
      <c r="J1101" s="23">
        <f>IFERROR(__xludf.DUMMYFUNCTION("""COMPUTED_VALUE"""),0.29)</f>
        <v>0.29</v>
      </c>
      <c r="K1101" s="5"/>
      <c r="L1101" s="23">
        <f>IFERROR(__xludf.DUMMYFUNCTION("""COMPUTED_VALUE"""),1.3)</f>
        <v>1.3</v>
      </c>
      <c r="M1101" s="25" t="str">
        <f>IFERROR(__xludf.DUMMYFUNCTION("""COMPUTED_VALUE"""),"")</f>
        <v/>
      </c>
      <c r="N1101" s="5"/>
      <c r="O1101" s="5"/>
      <c r="P1101" s="142">
        <f>IFERROR(__xludf.DUMMYFUNCTION("""COMPUTED_VALUE"""),-90871.20999999999)</f>
        <v>-90871.21</v>
      </c>
      <c r="Q1101" s="5"/>
      <c r="R1101" s="71">
        <f>IFERROR(__xludf.DUMMYFUNCTION("""COMPUTED_VALUE"""),1.3)</f>
        <v>1.3</v>
      </c>
      <c r="S1101" s="142">
        <f>IFERROR(__xludf.DUMMYFUNCTION("""COMPUTED_VALUE"""),407353.7)</f>
        <v>407353.7</v>
      </c>
      <c r="T1101" s="5">
        <f>IFERROR(__xludf.DUMMYFUNCTION("""COMPUTED_VALUE"""),2.0)</f>
        <v>2</v>
      </c>
      <c r="U1101" s="5" t="str">
        <f>IFERROR(__xludf.DUMMYFUNCTION("""COMPUTED_VALUE"""),"")</f>
        <v/>
      </c>
      <c r="V1101" s="22" t="str">
        <f>IFERROR(__xludf.DUMMYFUNCTION("""COMPUTED_VALUE"""),"")</f>
        <v/>
      </c>
      <c r="W1101" s="9" t="str">
        <f>IFERROR(__xludf.DUMMYFUNCTION("""COMPUTED_VALUE"""),"")</f>
        <v/>
      </c>
      <c r="X1101" s="22" t="str">
        <f>IFERROR(__xludf.DUMMYFUNCTION("""COMPUTED_VALUE"""),"")</f>
        <v/>
      </c>
      <c r="Y1101" s="22" t="str">
        <f>IFERROR(__xludf.DUMMYFUNCTION("""COMPUTED_VALUE"""),"")</f>
        <v/>
      </c>
      <c r="Z1101" s="24" t="str">
        <f>IFERROR(__xludf.DUMMYFUNCTION("""COMPUTED_VALUE"""),"")</f>
        <v/>
      </c>
    </row>
    <row r="1102">
      <c r="A1102" s="5" t="str">
        <f>IFERROR(__xludf.DUMMYFUNCTION("""COMPUTED_VALUE"""),"")</f>
        <v/>
      </c>
      <c r="B1102" s="5" t="str">
        <f>IFERROR(__xludf.DUMMYFUNCTION("""COMPUTED_VALUE"""),"89750")</f>
        <v>89750</v>
      </c>
      <c r="C1102" s="9">
        <f>IFERROR(__xludf.DUMMYFUNCTION("""COMPUTED_VALUE"""),4.4655001132E10)</f>
        <v>44655001132</v>
      </c>
      <c r="D1102" s="87" t="str">
        <f>IFERROR(__xludf.DUMMYFUNCTION("""COMPUTED_VALUE"""),"ASML220422P00680000")</f>
        <v>ASML220422P00680000</v>
      </c>
      <c r="E1102" s="193">
        <f>IFERROR(__xludf.DUMMYFUNCTION("""COMPUTED_VALUE"""),44655.0)</f>
        <v>44655</v>
      </c>
      <c r="F1102" s="5" t="str">
        <f>IFERROR(__xludf.DUMMYFUNCTION("""COMPUTED_VALUE"""),"Option")</f>
        <v>Option</v>
      </c>
      <c r="G1102" s="5" t="str">
        <f>IFERROR(__xludf.DUMMYFUNCTION("""COMPUTED_VALUE"""),"USD")</f>
        <v>USD</v>
      </c>
      <c r="H1102" s="22">
        <f>IFERROR(__xludf.DUMMYFUNCTION("""COMPUTED_VALUE"""),-5.0)</f>
        <v>-5</v>
      </c>
      <c r="I1102" s="194">
        <f>IFERROR(__xludf.DUMMYFUNCTION("""COMPUTED_VALUE"""),7.834585)</f>
        <v>7.834585</v>
      </c>
      <c r="J1102" s="23">
        <f>IFERROR(__xludf.DUMMYFUNCTION("""COMPUTED_VALUE"""),28.07)</f>
        <v>28.07</v>
      </c>
      <c r="K1102" s="5"/>
      <c r="L1102" s="23">
        <f>IFERROR(__xludf.DUMMYFUNCTION("""COMPUTED_VALUE"""),65.84)</f>
        <v>65.84</v>
      </c>
      <c r="M1102" s="25" t="str">
        <f>IFERROR(__xludf.DUMMYFUNCTION("""COMPUTED_VALUE"""),"")</f>
        <v/>
      </c>
      <c r="N1102" s="5"/>
      <c r="O1102" s="5"/>
      <c r="P1102" s="142">
        <f>IFERROR(__xludf.DUMMYFUNCTION("""COMPUTED_VALUE"""),109958.400475)</f>
        <v>109958.4005</v>
      </c>
      <c r="Q1102" s="5"/>
      <c r="R1102" s="71">
        <f>IFERROR(__xludf.DUMMYFUNCTION("""COMPUTED_VALUE"""),65.84)</f>
        <v>65.84</v>
      </c>
      <c r="S1102" s="142">
        <f>IFERROR(__xludf.DUMMYFUNCTION("""COMPUTED_VALUE"""),-257914.5382)</f>
        <v>-257914.5382</v>
      </c>
      <c r="T1102" s="5">
        <f>IFERROR(__xludf.DUMMYFUNCTION("""COMPUTED_VALUE"""),6.0)</f>
        <v>6</v>
      </c>
      <c r="U1102" s="5" t="str">
        <f>IFERROR(__xludf.DUMMYFUNCTION("""COMPUTED_VALUE"""),"")</f>
        <v/>
      </c>
      <c r="V1102" s="22" t="str">
        <f>IFERROR(__xludf.DUMMYFUNCTION("""COMPUTED_VALUE"""),"")</f>
        <v/>
      </c>
      <c r="W1102" s="9" t="str">
        <f>IFERROR(__xludf.DUMMYFUNCTION("""COMPUTED_VALUE"""),"")</f>
        <v/>
      </c>
      <c r="X1102" s="22" t="str">
        <f>IFERROR(__xludf.DUMMYFUNCTION("""COMPUTED_VALUE"""),"")</f>
        <v/>
      </c>
      <c r="Y1102" s="22" t="str">
        <f>IFERROR(__xludf.DUMMYFUNCTION("""COMPUTED_VALUE"""),"")</f>
        <v/>
      </c>
      <c r="Z1102" s="24" t="str">
        <f>IFERROR(__xludf.DUMMYFUNCTION("""COMPUTED_VALUE"""),"")</f>
        <v/>
      </c>
    </row>
    <row r="1103">
      <c r="A1103" s="5" t="str">
        <f>IFERROR(__xludf.DUMMYFUNCTION("""COMPUTED_VALUE"""),"")</f>
        <v/>
      </c>
      <c r="B1103" s="5" t="str">
        <f>IFERROR(__xludf.DUMMYFUNCTION("""COMPUTED_VALUE"""),"89750")</f>
        <v>89750</v>
      </c>
      <c r="C1103" s="9">
        <f>IFERROR(__xludf.DUMMYFUNCTION("""COMPUTED_VALUE"""),4.4655001133E10)</f>
        <v>44655001133</v>
      </c>
      <c r="D1103" s="87" t="str">
        <f>IFERROR(__xludf.DUMMYFUNCTION("""COMPUTED_VALUE"""),"ARKF220414P00027500")</f>
        <v>ARKF220414P00027500</v>
      </c>
      <c r="E1103" s="193">
        <f>IFERROR(__xludf.DUMMYFUNCTION("""COMPUTED_VALUE"""),44655.0)</f>
        <v>44655</v>
      </c>
      <c r="F1103" s="5" t="str">
        <f>IFERROR(__xludf.DUMMYFUNCTION("""COMPUTED_VALUE"""),"Option")</f>
        <v>Option</v>
      </c>
      <c r="G1103" s="5" t="str">
        <f>IFERROR(__xludf.DUMMYFUNCTION("""COMPUTED_VALUE"""),"USD")</f>
        <v>USD</v>
      </c>
      <c r="H1103" s="22">
        <f>IFERROR(__xludf.DUMMYFUNCTION("""COMPUTED_VALUE"""),-400.0)</f>
        <v>-400</v>
      </c>
      <c r="I1103" s="194">
        <f>IFERROR(__xludf.DUMMYFUNCTION("""COMPUTED_VALUE"""),7.834585)</f>
        <v>7.834585</v>
      </c>
      <c r="J1103" s="23">
        <f>IFERROR(__xludf.DUMMYFUNCTION("""COMPUTED_VALUE"""),0.29)</f>
        <v>0.29</v>
      </c>
      <c r="K1103" s="5"/>
      <c r="L1103" s="23">
        <f>IFERROR(__xludf.DUMMYFUNCTION("""COMPUTED_VALUE"""),1.3)</f>
        <v>1.3</v>
      </c>
      <c r="M1103" s="25" t="str">
        <f>IFERROR(__xludf.DUMMYFUNCTION("""COMPUTED_VALUE"""),"")</f>
        <v/>
      </c>
      <c r="N1103" s="5"/>
      <c r="O1103" s="5"/>
      <c r="P1103" s="142">
        <f>IFERROR(__xludf.DUMMYFUNCTION("""COMPUTED_VALUE"""),90881.18599999999)</f>
        <v>90881.186</v>
      </c>
      <c r="Q1103" s="5"/>
      <c r="R1103" s="71">
        <f>IFERROR(__xludf.DUMMYFUNCTION("""COMPUTED_VALUE"""),1.3)</f>
        <v>1.3</v>
      </c>
      <c r="S1103" s="142">
        <f>IFERROR(__xludf.DUMMYFUNCTION("""COMPUTED_VALUE"""),-407398.42)</f>
        <v>-407398.42</v>
      </c>
      <c r="T1103" s="5">
        <f>IFERROR(__xludf.DUMMYFUNCTION("""COMPUTED_VALUE"""),2.0)</f>
        <v>2</v>
      </c>
      <c r="U1103" s="5">
        <f>IFERROR(__xludf.DUMMYFUNCTION("""COMPUTED_VALUE"""),1.0)</f>
        <v>1</v>
      </c>
      <c r="V1103" s="22">
        <f>IFERROR(__xludf.DUMMYFUNCTION("""COMPUTED_VALUE"""),-34.74399999997695)</f>
        <v>-34.744</v>
      </c>
      <c r="W1103" s="9" t="str">
        <f>IFERROR(__xludf.DUMMYFUNCTION("""COMPUTED_VALUE"""),"")</f>
        <v/>
      </c>
      <c r="X1103" s="22" t="str">
        <f>IFERROR(__xludf.DUMMYFUNCTION("""COMPUTED_VALUE"""),"")</f>
        <v/>
      </c>
      <c r="Y1103" s="22" t="str">
        <f>IFERROR(__xludf.DUMMYFUNCTION("""COMPUTED_VALUE"""),"")</f>
        <v/>
      </c>
      <c r="Z1103" s="24" t="str">
        <f>IFERROR(__xludf.DUMMYFUNCTION("""COMPUTED_VALUE"""),"")</f>
        <v/>
      </c>
    </row>
    <row r="1104">
      <c r="A1104" s="5" t="str">
        <f>IFERROR(__xludf.DUMMYFUNCTION("""COMPUTED_VALUE"""),"")</f>
        <v/>
      </c>
      <c r="B1104" s="5" t="str">
        <f>IFERROR(__xludf.DUMMYFUNCTION("""COMPUTED_VALUE"""),"89750")</f>
        <v>89750</v>
      </c>
      <c r="C1104" s="9">
        <f>IFERROR(__xludf.DUMMYFUNCTION("""COMPUTED_VALUE"""),4.4656001148E10)</f>
        <v>44656001148</v>
      </c>
      <c r="D1104" s="87" t="str">
        <f>IFERROR(__xludf.DUMMYFUNCTION("""COMPUTED_VALUE"""),"ASML220429P00660000")</f>
        <v>ASML220429P00660000</v>
      </c>
      <c r="E1104" s="193">
        <f>IFERROR(__xludf.DUMMYFUNCTION("""COMPUTED_VALUE"""),44656.0)</f>
        <v>44656</v>
      </c>
      <c r="F1104" s="5" t="str">
        <f>IFERROR(__xludf.DUMMYFUNCTION("""COMPUTED_VALUE"""),"Option")</f>
        <v>Option</v>
      </c>
      <c r="G1104" s="5" t="str">
        <f>IFERROR(__xludf.DUMMYFUNCTION("""COMPUTED_VALUE"""),"USD")</f>
        <v>USD</v>
      </c>
      <c r="H1104" s="22">
        <f>IFERROR(__xludf.DUMMYFUNCTION("""COMPUTED_VALUE"""),0.0)</f>
        <v>0</v>
      </c>
      <c r="I1104" s="194">
        <f>IFERROR(__xludf.DUMMYFUNCTION("""COMPUTED_VALUE"""),7.83386)</f>
        <v>7.83386</v>
      </c>
      <c r="J1104" s="23">
        <f>IFERROR(__xludf.DUMMYFUNCTION("""COMPUTED_VALUE"""),0.0)</f>
        <v>0</v>
      </c>
      <c r="K1104" s="5"/>
      <c r="L1104" s="23">
        <f>IFERROR(__xludf.DUMMYFUNCTION("""COMPUTED_VALUE"""),57.77)</f>
        <v>57.77</v>
      </c>
      <c r="M1104" s="25" t="str">
        <f>IFERROR(__xludf.DUMMYFUNCTION("""COMPUTED_VALUE"""),"")</f>
        <v/>
      </c>
      <c r="N1104" s="5"/>
      <c r="O1104" s="5"/>
      <c r="P1104" s="142">
        <f>IFERROR(__xludf.DUMMYFUNCTION("""COMPUTED_VALUE"""),0.0)</f>
        <v>0</v>
      </c>
      <c r="Q1104" s="5"/>
      <c r="R1104" s="71">
        <f>IFERROR(__xludf.DUMMYFUNCTION("""COMPUTED_VALUE"""),57.77)</f>
        <v>57.77</v>
      </c>
      <c r="S1104" s="142">
        <f>IFERROR(__xludf.DUMMYFUNCTION("""COMPUTED_VALUE"""),0.0)</f>
        <v>0</v>
      </c>
      <c r="T1104" s="5">
        <f>IFERROR(__xludf.DUMMYFUNCTION("""COMPUTED_VALUE"""),1.0)</f>
        <v>1</v>
      </c>
      <c r="U1104" s="5">
        <f>IFERROR(__xludf.DUMMYFUNCTION("""COMPUTED_VALUE"""),1.0)</f>
        <v>1</v>
      </c>
      <c r="V1104" s="22">
        <f>IFERROR(__xludf.DUMMYFUNCTION("""COMPUTED_VALUE"""),0.0)</f>
        <v>0</v>
      </c>
      <c r="W1104" s="9" t="str">
        <f>IFERROR(__xludf.DUMMYFUNCTION("""COMPUTED_VALUE"""),"")</f>
        <v/>
      </c>
      <c r="X1104" s="22" t="str">
        <f>IFERROR(__xludf.DUMMYFUNCTION("""COMPUTED_VALUE"""),"")</f>
        <v/>
      </c>
      <c r="Y1104" s="22" t="str">
        <f>IFERROR(__xludf.DUMMYFUNCTION("""COMPUTED_VALUE"""),"")</f>
        <v/>
      </c>
      <c r="Z1104" s="24" t="str">
        <f>IFERROR(__xludf.DUMMYFUNCTION("""COMPUTED_VALUE"""),"")</f>
        <v/>
      </c>
    </row>
    <row r="1105">
      <c r="A1105" s="5" t="str">
        <f>IFERROR(__xludf.DUMMYFUNCTION("""COMPUTED_VALUE"""),"")</f>
        <v/>
      </c>
      <c r="B1105" s="5" t="str">
        <f>IFERROR(__xludf.DUMMYFUNCTION("""COMPUTED_VALUE"""),"89750")</f>
        <v>89750</v>
      </c>
      <c r="C1105" s="9">
        <f>IFERROR(__xludf.DUMMYFUNCTION("""COMPUTED_VALUE"""),4.4657001156E10)</f>
        <v>44657001156</v>
      </c>
      <c r="D1105" s="87" t="str">
        <f>IFERROR(__xludf.DUMMYFUNCTION("""COMPUTED_VALUE"""),"ASML220422P00680000")</f>
        <v>ASML220422P00680000</v>
      </c>
      <c r="E1105" s="193">
        <f>IFERROR(__xludf.DUMMYFUNCTION("""COMPUTED_VALUE"""),44657.0)</f>
        <v>44657</v>
      </c>
      <c r="F1105" s="5" t="str">
        <f>IFERROR(__xludf.DUMMYFUNCTION("""COMPUTED_VALUE"""),"Option")</f>
        <v>Option</v>
      </c>
      <c r="G1105" s="5" t="str">
        <f>IFERROR(__xludf.DUMMYFUNCTION("""COMPUTED_VALUE"""),"USD")</f>
        <v>USD</v>
      </c>
      <c r="H1105" s="22">
        <f>IFERROR(__xludf.DUMMYFUNCTION("""COMPUTED_VALUE"""),10.0)</f>
        <v>10</v>
      </c>
      <c r="I1105" s="194">
        <f>IFERROR(__xludf.DUMMYFUNCTION("""COMPUTED_VALUE"""),7.837775)</f>
        <v>7.837775</v>
      </c>
      <c r="J1105" s="23">
        <f>IFERROR(__xludf.DUMMYFUNCTION("""COMPUTED_VALUE"""),28.07)</f>
        <v>28.07</v>
      </c>
      <c r="K1105" s="5"/>
      <c r="L1105" s="23">
        <f>IFERROR(__xludf.DUMMYFUNCTION("""COMPUTED_VALUE"""),65.84)</f>
        <v>65.84</v>
      </c>
      <c r="M1105" s="25" t="str">
        <f>IFERROR(__xludf.DUMMYFUNCTION("""COMPUTED_VALUE"""),"")</f>
        <v/>
      </c>
      <c r="N1105" s="5"/>
      <c r="O1105" s="5"/>
      <c r="P1105" s="142">
        <f>IFERROR(__xludf.DUMMYFUNCTION("""COMPUTED_VALUE"""),-220006.34425)</f>
        <v>-220006.3443</v>
      </c>
      <c r="Q1105" s="5"/>
      <c r="R1105" s="71">
        <f>IFERROR(__xludf.DUMMYFUNCTION("""COMPUTED_VALUE"""),65.84)</f>
        <v>65.84</v>
      </c>
      <c r="S1105" s="142">
        <f>IFERROR(__xludf.DUMMYFUNCTION("""COMPUTED_VALUE"""),516039.10599999997)</f>
        <v>516039.106</v>
      </c>
      <c r="T1105" s="5">
        <f>IFERROR(__xludf.DUMMYFUNCTION("""COMPUTED_VALUE"""),6.0)</f>
        <v>6</v>
      </c>
      <c r="U1105" s="5" t="str">
        <f>IFERROR(__xludf.DUMMYFUNCTION("""COMPUTED_VALUE"""),"")</f>
        <v/>
      </c>
      <c r="V1105" s="22" t="str">
        <f>IFERROR(__xludf.DUMMYFUNCTION("""COMPUTED_VALUE"""),"")</f>
        <v/>
      </c>
      <c r="W1105" s="9" t="str">
        <f>IFERROR(__xludf.DUMMYFUNCTION("""COMPUTED_VALUE"""),"")</f>
        <v/>
      </c>
      <c r="X1105" s="22" t="str">
        <f>IFERROR(__xludf.DUMMYFUNCTION("""COMPUTED_VALUE"""),"")</f>
        <v/>
      </c>
      <c r="Y1105" s="22" t="str">
        <f>IFERROR(__xludf.DUMMYFUNCTION("""COMPUTED_VALUE"""),"")</f>
        <v/>
      </c>
      <c r="Z1105" s="24" t="str">
        <f>IFERROR(__xludf.DUMMYFUNCTION("""COMPUTED_VALUE"""),"")</f>
        <v/>
      </c>
    </row>
    <row r="1106">
      <c r="A1106" s="5" t="str">
        <f>IFERROR(__xludf.DUMMYFUNCTION("""COMPUTED_VALUE"""),"")</f>
        <v/>
      </c>
      <c r="B1106" s="5" t="str">
        <f>IFERROR(__xludf.DUMMYFUNCTION("""COMPUTED_VALUE"""),"89750")</f>
        <v>89750</v>
      </c>
      <c r="C1106" s="9">
        <f>IFERROR(__xludf.DUMMYFUNCTION("""COMPUTED_VALUE"""),4.4659001294E10)</f>
        <v>44659001294</v>
      </c>
      <c r="D1106" s="85" t="str">
        <f>IFERROR(__xludf.DUMMYFUNCTION("""COMPUTED_VALUE"""),"ASML220422P00680000")</f>
        <v>ASML220422P00680000</v>
      </c>
      <c r="E1106" s="193">
        <f>IFERROR(__xludf.DUMMYFUNCTION("""COMPUTED_VALUE"""),44659.0)</f>
        <v>44659</v>
      </c>
      <c r="F1106" s="5" t="str">
        <f>IFERROR(__xludf.DUMMYFUNCTION("""COMPUTED_VALUE"""),"Option")</f>
        <v>Option</v>
      </c>
      <c r="G1106" s="5" t="str">
        <f>IFERROR(__xludf.DUMMYFUNCTION("""COMPUTED_VALUE"""),"USD")</f>
        <v>USD</v>
      </c>
      <c r="H1106" s="22">
        <f>IFERROR(__xludf.DUMMYFUNCTION("""COMPUTED_VALUE"""),-10.0)</f>
        <v>-10</v>
      </c>
      <c r="I1106" s="194">
        <f>IFERROR(__xludf.DUMMYFUNCTION("""COMPUTED_VALUE"""),7.839265)</f>
        <v>7.839265</v>
      </c>
      <c r="J1106" s="23">
        <f>IFERROR(__xludf.DUMMYFUNCTION("""COMPUTED_VALUE"""),65.84)</f>
        <v>65.84</v>
      </c>
      <c r="K1106" s="5"/>
      <c r="L1106" s="23">
        <f>IFERROR(__xludf.DUMMYFUNCTION("""COMPUTED_VALUE"""),65.84)</f>
        <v>65.84</v>
      </c>
      <c r="M1106" s="25" t="str">
        <f>IFERROR(__xludf.DUMMYFUNCTION("""COMPUTED_VALUE"""),"")</f>
        <v/>
      </c>
      <c r="N1106" s="5"/>
      <c r="O1106" s="5"/>
      <c r="P1106" s="142">
        <f>IFERROR(__xludf.DUMMYFUNCTION("""COMPUTED_VALUE"""),516137.2076000001)</f>
        <v>516137.2076</v>
      </c>
      <c r="Q1106" s="5"/>
      <c r="R1106" s="71">
        <f>IFERROR(__xludf.DUMMYFUNCTION("""COMPUTED_VALUE"""),65.84)</f>
        <v>65.84</v>
      </c>
      <c r="S1106" s="142">
        <f>IFERROR(__xludf.DUMMYFUNCTION("""COMPUTED_VALUE"""),-516137.2076000001)</f>
        <v>-516137.2076</v>
      </c>
      <c r="T1106" s="5">
        <f>IFERROR(__xludf.DUMMYFUNCTION("""COMPUTED_VALUE"""),6.0)</f>
        <v>6</v>
      </c>
      <c r="U1106" s="5">
        <f>IFERROR(__xludf.DUMMYFUNCTION("""COMPUTED_VALUE"""),1.0)</f>
        <v>1</v>
      </c>
      <c r="V1106" s="22">
        <f>IFERROR(__xludf.DUMMYFUNCTION("""COMPUTED_VALUE"""),390942.5589)</f>
        <v>390942.5589</v>
      </c>
      <c r="W1106" s="9" t="str">
        <f>IFERROR(__xludf.DUMMYFUNCTION("""COMPUTED_VALUE"""),"")</f>
        <v/>
      </c>
      <c r="X1106" s="22" t="str">
        <f>IFERROR(__xludf.DUMMYFUNCTION("""COMPUTED_VALUE"""),"")</f>
        <v/>
      </c>
      <c r="Y1106" s="22" t="str">
        <f>IFERROR(__xludf.DUMMYFUNCTION("""COMPUTED_VALUE"""),"")</f>
        <v/>
      </c>
      <c r="Z1106" s="24" t="str">
        <f>IFERROR(__xludf.DUMMYFUNCTION("""COMPUTED_VALUE"""),"")</f>
        <v/>
      </c>
    </row>
    <row r="1107">
      <c r="A1107" s="5" t="str">
        <f>IFERROR(__xludf.DUMMYFUNCTION("""COMPUTED_VALUE"""),"")</f>
        <v/>
      </c>
      <c r="B1107" s="5" t="str">
        <f>IFERROR(__xludf.DUMMYFUNCTION("""COMPUTED_VALUE"""),"89750")</f>
        <v>89750</v>
      </c>
      <c r="C1107" s="9">
        <f>IFERROR(__xludf.DUMMYFUNCTION("""COMPUTED_VALUE"""),4.4663001363E10)</f>
        <v>44663001363</v>
      </c>
      <c r="D1107" s="85" t="str">
        <f>IFERROR(__xludf.DUMMYFUNCTION("""COMPUTED_VALUE"""),"^HSI")</f>
        <v>^HSI</v>
      </c>
      <c r="E1107" s="193">
        <f>IFERROR(__xludf.DUMMYFUNCTION("""COMPUTED_VALUE"""),44663.0)</f>
        <v>44663</v>
      </c>
      <c r="F1107" s="5" t="str">
        <f>IFERROR(__xludf.DUMMYFUNCTION("""COMPUTED_VALUE"""),"Stock")</f>
        <v>Stock</v>
      </c>
      <c r="G1107" s="5" t="str">
        <f>IFERROR(__xludf.DUMMYFUNCTION("""COMPUTED_VALUE"""),"HKD")</f>
        <v>HKD</v>
      </c>
      <c r="H1107" s="22">
        <f>IFERROR(__xludf.DUMMYFUNCTION("""COMPUTED_VALUE"""),1.0)</f>
        <v>1</v>
      </c>
      <c r="I1107" s="194">
        <f>IFERROR(__xludf.DUMMYFUNCTION("""COMPUTED_VALUE"""),1.0)</f>
        <v>1</v>
      </c>
      <c r="J1107" s="23">
        <f>IFERROR(__xludf.DUMMYFUNCTION("""COMPUTED_VALUE"""),21319.13)</f>
        <v>21319.13</v>
      </c>
      <c r="K1107" s="5"/>
      <c r="L1107" s="23">
        <f>IFERROR(__xludf.DUMMYFUNCTION("""COMPUTED_VALUE"""),21374.37)</f>
        <v>21374.37</v>
      </c>
      <c r="M1107" s="195" t="str">
        <f>IFERROR(__xludf.DUMMYFUNCTION("""COMPUTED_VALUE"""),"Equity Key Stats")</f>
        <v>Equity Key Stats</v>
      </c>
      <c r="N1107" s="5"/>
      <c r="O1107" s="5"/>
      <c r="P1107" s="142">
        <f>IFERROR(__xludf.DUMMYFUNCTION("""COMPUTED_VALUE"""),-21319.13)</f>
        <v>-21319.13</v>
      </c>
      <c r="Q1107" s="5"/>
      <c r="R1107" s="71">
        <f>IFERROR(__xludf.DUMMYFUNCTION("""COMPUTED_VALUE"""),21374.37)</f>
        <v>21374.37</v>
      </c>
      <c r="S1107" s="142">
        <f>IFERROR(__xludf.DUMMYFUNCTION("""COMPUTED_VALUE"""),21374.37)</f>
        <v>21374.37</v>
      </c>
      <c r="T1107" s="5">
        <f>IFERROR(__xludf.DUMMYFUNCTION("""COMPUTED_VALUE"""),1.0)</f>
        <v>1</v>
      </c>
      <c r="U1107" s="5">
        <f>IFERROR(__xludf.DUMMYFUNCTION("""COMPUTED_VALUE"""),1.0)</f>
        <v>1</v>
      </c>
      <c r="V1107" s="22">
        <f>IFERROR(__xludf.DUMMYFUNCTION("""COMPUTED_VALUE"""),55.23999999999796)</f>
        <v>55.24</v>
      </c>
      <c r="W1107" s="9" t="str">
        <f>IFERROR(__xludf.DUMMYFUNCTION("""COMPUTED_VALUE"""),"")</f>
        <v/>
      </c>
      <c r="X1107" s="22" t="str">
        <f>IFERROR(__xludf.DUMMYFUNCTION("""COMPUTED_VALUE"""),"")</f>
        <v/>
      </c>
      <c r="Y1107" s="22" t="str">
        <f>IFERROR(__xludf.DUMMYFUNCTION("""COMPUTED_VALUE"""),"")</f>
        <v/>
      </c>
      <c r="Z1107" s="24" t="str">
        <f>IFERROR(__xludf.DUMMYFUNCTION("""COMPUTED_VALUE"""),"")</f>
        <v/>
      </c>
    </row>
    <row r="1108">
      <c r="A1108" s="5" t="str">
        <f>IFERROR(__xludf.DUMMYFUNCTION("""COMPUTED_VALUE"""),"89750")</f>
        <v>89750</v>
      </c>
      <c r="B1108" s="5" t="str">
        <f>IFERROR(__xludf.DUMMYFUNCTION("""COMPUTED_VALUE"""),"89750")</f>
        <v>89750</v>
      </c>
      <c r="C1108" s="9">
        <f>IFERROR(__xludf.DUMMYFUNCTION("""COMPUTED_VALUE"""),4.4663001437E10)</f>
        <v>44663001437</v>
      </c>
      <c r="D1108" s="85" t="str">
        <f>IFERROR(__xludf.DUMMYFUNCTION("""COMPUTED_VALUE"""),"MARA")</f>
        <v>MARA</v>
      </c>
      <c r="E1108" s="193">
        <f>IFERROR(__xludf.DUMMYFUNCTION("""COMPUTED_VALUE"""),44663.0)</f>
        <v>44663</v>
      </c>
      <c r="F1108" s="5" t="str">
        <f>IFERROR(__xludf.DUMMYFUNCTION("""COMPUTED_VALUE"""),"Stock")</f>
        <v>Stock</v>
      </c>
      <c r="G1108" s="5" t="str">
        <f>IFERROR(__xludf.DUMMYFUNCTION("""COMPUTED_VALUE"""),"USD")</f>
        <v>USD</v>
      </c>
      <c r="H1108" s="22">
        <f>IFERROR(__xludf.DUMMYFUNCTION("""COMPUTED_VALUE"""),200.0)</f>
        <v>200</v>
      </c>
      <c r="I1108" s="194">
        <f>IFERROR(__xludf.DUMMYFUNCTION("""COMPUTED_VALUE"""),7.83775)</f>
        <v>7.83775</v>
      </c>
      <c r="J1108" s="23">
        <f>IFERROR(__xludf.DUMMYFUNCTION("""COMPUTED_VALUE"""),21.16)</f>
        <v>21.16</v>
      </c>
      <c r="K1108" s="5"/>
      <c r="L1108" s="23">
        <f>IFERROR(__xludf.DUMMYFUNCTION("""COMPUTED_VALUE"""),22.3)</f>
        <v>22.3</v>
      </c>
      <c r="M1108" s="195" t="str">
        <f>IFERROR(__xludf.DUMMYFUNCTION("""COMPUTED_VALUE"""),"Equity Key Stats")</f>
        <v>Equity Key Stats</v>
      </c>
      <c r="N1108" s="5"/>
      <c r="O1108" s="5"/>
      <c r="P1108" s="142">
        <f>IFERROR(__xludf.DUMMYFUNCTION("""COMPUTED_VALUE"""),-33169.358)</f>
        <v>-33169.358</v>
      </c>
      <c r="Q1108" s="5"/>
      <c r="R1108" s="71">
        <f>IFERROR(__xludf.DUMMYFUNCTION("""COMPUTED_VALUE"""),22.3)</f>
        <v>22.3</v>
      </c>
      <c r="S1108" s="142">
        <f>IFERROR(__xludf.DUMMYFUNCTION("""COMPUTED_VALUE"""),34956.365)</f>
        <v>34956.365</v>
      </c>
      <c r="T1108" s="5">
        <f>IFERROR(__xludf.DUMMYFUNCTION("""COMPUTED_VALUE"""),1.0)</f>
        <v>1</v>
      </c>
      <c r="U1108" s="5">
        <f>IFERROR(__xludf.DUMMYFUNCTION("""COMPUTED_VALUE"""),1.0)</f>
        <v>1</v>
      </c>
      <c r="V1108" s="22">
        <f>IFERROR(__xludf.DUMMYFUNCTION("""COMPUTED_VALUE"""),1787.0069999999978)</f>
        <v>1787.007</v>
      </c>
      <c r="W1108" s="9">
        <f>IFERROR(__xludf.DUMMYFUNCTION("""COMPUTED_VALUE"""),1145719.986454)</f>
        <v>1145719.986</v>
      </c>
      <c r="X1108" s="22">
        <f>IFERROR(__xludf.DUMMYFUNCTION("""COMPUTED_VALUE"""),404876.817484)</f>
        <v>404876.8175</v>
      </c>
      <c r="Y1108" s="22">
        <f>IFERROR(__xludf.DUMMYFUNCTION("""COMPUTED_VALUE"""),0.0)</f>
        <v>0</v>
      </c>
      <c r="Z1108" s="24">
        <f>IFERROR(__xludf.DUMMYFUNCTION("""COMPUTED_VALUE"""),1.291439972908)</f>
        <v>1.291439973</v>
      </c>
    </row>
    <row r="1109">
      <c r="A1109" s="5" t="str">
        <f>IFERROR(__xludf.DUMMYFUNCTION("""COMPUTED_VALUE"""),"")</f>
        <v/>
      </c>
      <c r="B1109" s="5" t="str">
        <f>IFERROR(__xludf.DUMMYFUNCTION("""COMPUTED_VALUE"""),"89833")</f>
        <v>89833</v>
      </c>
      <c r="C1109" s="9">
        <f>IFERROR(__xludf.DUMMYFUNCTION("""COMPUTED_VALUE"""),4.4597000057E10)</f>
        <v>44597000057</v>
      </c>
      <c r="D1109" s="85" t="str">
        <f>IFERROR(__xludf.DUMMYFUNCTION("""COMPUTED_VALUE"""),"Cash")</f>
        <v>Cash</v>
      </c>
      <c r="E1109" s="193">
        <f>IFERROR(__xludf.DUMMYFUNCTION("""COMPUTED_VALUE"""),44597.0)</f>
        <v>44597</v>
      </c>
      <c r="F1109" s="5" t="str">
        <f>IFERROR(__xludf.DUMMYFUNCTION("""COMPUTED_VALUE"""),"Cash")</f>
        <v>Cash</v>
      </c>
      <c r="G1109" s="5" t="str">
        <f>IFERROR(__xludf.DUMMYFUNCTION("""COMPUTED_VALUE"""),"HKD")</f>
        <v>HKD</v>
      </c>
      <c r="H1109" s="22" t="str">
        <f>IFERROR(__xludf.DUMMYFUNCTION("""COMPUTED_VALUE"""),"")</f>
        <v/>
      </c>
      <c r="I1109" s="194">
        <f>IFERROR(__xludf.DUMMYFUNCTION("""COMPUTED_VALUE"""),1.0)</f>
        <v>1</v>
      </c>
      <c r="J1109" s="5">
        <f>IFERROR(__xludf.DUMMYFUNCTION("""COMPUTED_VALUE"""),1.0)</f>
        <v>1</v>
      </c>
      <c r="K1109" s="5"/>
      <c r="L1109" s="23">
        <f>IFERROR(__xludf.DUMMYFUNCTION("""COMPUTED_VALUE"""),1.0)</f>
        <v>1</v>
      </c>
      <c r="M1109" s="25" t="str">
        <f>IFERROR(__xludf.DUMMYFUNCTION("""COMPUTED_VALUE"""),"")</f>
        <v/>
      </c>
      <c r="N1109" s="5"/>
      <c r="O1109" s="5"/>
      <c r="P1109" s="142">
        <f>IFERROR(__xludf.DUMMYFUNCTION("""COMPUTED_VALUE"""),500000.0)</f>
        <v>500000</v>
      </c>
      <c r="Q1109" s="5"/>
      <c r="R1109" s="71">
        <f>IFERROR(__xludf.DUMMYFUNCTION("""COMPUTED_VALUE"""),1.0)</f>
        <v>1</v>
      </c>
      <c r="S1109" s="142" t="str">
        <f>IFERROR(__xludf.DUMMYFUNCTION("""COMPUTED_VALUE"""),"")</f>
        <v/>
      </c>
      <c r="T1109" s="5">
        <f>IFERROR(__xludf.DUMMYFUNCTION("""COMPUTED_VALUE"""),1.0)</f>
        <v>1</v>
      </c>
      <c r="U1109" s="5">
        <f>IFERROR(__xludf.DUMMYFUNCTION("""COMPUTED_VALUE"""),1.0)</f>
        <v>1</v>
      </c>
      <c r="V1109" s="22">
        <f>IFERROR(__xludf.DUMMYFUNCTION("""COMPUTED_VALUE"""),500000.0)</f>
        <v>500000</v>
      </c>
      <c r="W1109" s="9" t="str">
        <f>IFERROR(__xludf.DUMMYFUNCTION("""COMPUTED_VALUE"""),"")</f>
        <v/>
      </c>
      <c r="X1109" s="22" t="str">
        <f>IFERROR(__xludf.DUMMYFUNCTION("""COMPUTED_VALUE"""),"")</f>
        <v/>
      </c>
      <c r="Y1109" s="22" t="str">
        <f>IFERROR(__xludf.DUMMYFUNCTION("""COMPUTED_VALUE"""),"")</f>
        <v/>
      </c>
      <c r="Z1109" s="24" t="str">
        <f>IFERROR(__xludf.DUMMYFUNCTION("""COMPUTED_VALUE"""),"")</f>
        <v/>
      </c>
    </row>
    <row r="1110">
      <c r="A1110" s="5" t="str">
        <f>IFERROR(__xludf.DUMMYFUNCTION("""COMPUTED_VALUE"""),"")</f>
        <v/>
      </c>
      <c r="B1110" s="5" t="str">
        <f>IFERROR(__xludf.DUMMYFUNCTION("""COMPUTED_VALUE"""),"89833")</f>
        <v>89833</v>
      </c>
      <c r="C1110" s="9">
        <f>IFERROR(__xludf.DUMMYFUNCTION("""COMPUTED_VALUE"""),4.4648000923E10)</f>
        <v>44648000923</v>
      </c>
      <c r="D1110" s="90" t="str">
        <f>IFERROR(__xludf.DUMMYFUNCTION("""COMPUTED_VALUE"""),"0700.HK")</f>
        <v>0700.HK</v>
      </c>
      <c r="E1110" s="193">
        <f>IFERROR(__xludf.DUMMYFUNCTION("""COMPUTED_VALUE"""),44648.0)</f>
        <v>44648</v>
      </c>
      <c r="F1110" s="5" t="str">
        <f>IFERROR(__xludf.DUMMYFUNCTION("""COMPUTED_VALUE"""),"Stock")</f>
        <v>Stock</v>
      </c>
      <c r="G1110" s="5" t="str">
        <f>IFERROR(__xludf.DUMMYFUNCTION("""COMPUTED_VALUE"""),"HKD")</f>
        <v>HKD</v>
      </c>
      <c r="H1110" s="22">
        <f>IFERROR(__xludf.DUMMYFUNCTION("""COMPUTED_VALUE"""),400.0)</f>
        <v>400</v>
      </c>
      <c r="I1110" s="194">
        <f>IFERROR(__xludf.DUMMYFUNCTION("""COMPUTED_VALUE"""),1.0)</f>
        <v>1</v>
      </c>
      <c r="J1110" s="23">
        <f>IFERROR(__xludf.DUMMYFUNCTION("""COMPUTED_VALUE"""),366.4)</f>
        <v>366.4</v>
      </c>
      <c r="K1110" s="5"/>
      <c r="L1110" s="23">
        <f>IFERROR(__xludf.DUMMYFUNCTION("""COMPUTED_VALUE"""),373.6)</f>
        <v>373.6</v>
      </c>
      <c r="M1110" s="195" t="str">
        <f>IFERROR(__xludf.DUMMYFUNCTION("""COMPUTED_VALUE"""),"Equity Key Stats")</f>
        <v>Equity Key Stats</v>
      </c>
      <c r="N1110" s="5"/>
      <c r="O1110" s="5"/>
      <c r="P1110" s="142">
        <f>IFERROR(__xludf.DUMMYFUNCTION("""COMPUTED_VALUE"""),-146560.0)</f>
        <v>-146560</v>
      </c>
      <c r="Q1110" s="5"/>
      <c r="R1110" s="71">
        <f>IFERROR(__xludf.DUMMYFUNCTION("""COMPUTED_VALUE"""),373.6)</f>
        <v>373.6</v>
      </c>
      <c r="S1110" s="142">
        <f>IFERROR(__xludf.DUMMYFUNCTION("""COMPUTED_VALUE"""),149440.0)</f>
        <v>149440</v>
      </c>
      <c r="T1110" s="5">
        <f>IFERROR(__xludf.DUMMYFUNCTION("""COMPUTED_VALUE"""),2.0)</f>
        <v>2</v>
      </c>
      <c r="U1110" s="5" t="str">
        <f>IFERROR(__xludf.DUMMYFUNCTION("""COMPUTED_VALUE"""),"")</f>
        <v/>
      </c>
      <c r="V1110" s="22" t="str">
        <f>IFERROR(__xludf.DUMMYFUNCTION("""COMPUTED_VALUE"""),"")</f>
        <v/>
      </c>
      <c r="W1110" s="9" t="str">
        <f>IFERROR(__xludf.DUMMYFUNCTION("""COMPUTED_VALUE"""),"")</f>
        <v/>
      </c>
      <c r="X1110" s="22" t="str">
        <f>IFERROR(__xludf.DUMMYFUNCTION("""COMPUTED_VALUE"""),"")</f>
        <v/>
      </c>
      <c r="Y1110" s="22" t="str">
        <f>IFERROR(__xludf.DUMMYFUNCTION("""COMPUTED_VALUE"""),"")</f>
        <v/>
      </c>
      <c r="Z1110" s="24" t="str">
        <f>IFERROR(__xludf.DUMMYFUNCTION("""COMPUTED_VALUE"""),"")</f>
        <v/>
      </c>
    </row>
    <row r="1111">
      <c r="A1111" s="5" t="str">
        <f>IFERROR(__xludf.DUMMYFUNCTION("""COMPUTED_VALUE"""),"")</f>
        <v/>
      </c>
      <c r="B1111" s="5" t="str">
        <f>IFERROR(__xludf.DUMMYFUNCTION("""COMPUTED_VALUE"""),"89833")</f>
        <v>89833</v>
      </c>
      <c r="C1111" s="9">
        <f>IFERROR(__xludf.DUMMYFUNCTION("""COMPUTED_VALUE"""),4.4651001032E10)</f>
        <v>44651001032</v>
      </c>
      <c r="D1111" s="90" t="str">
        <f>IFERROR(__xludf.DUMMYFUNCTION("""COMPUTED_VALUE"""),"0700.HK")</f>
        <v>0700.HK</v>
      </c>
      <c r="E1111" s="193">
        <f>IFERROR(__xludf.DUMMYFUNCTION("""COMPUTED_VALUE"""),44651.0)</f>
        <v>44651</v>
      </c>
      <c r="F1111" s="5" t="str">
        <f>IFERROR(__xludf.DUMMYFUNCTION("""COMPUTED_VALUE"""),"Stock")</f>
        <v>Stock</v>
      </c>
      <c r="G1111" s="5" t="str">
        <f>IFERROR(__xludf.DUMMYFUNCTION("""COMPUTED_VALUE"""),"HKD")</f>
        <v>HKD</v>
      </c>
      <c r="H1111" s="22">
        <f>IFERROR(__xludf.DUMMYFUNCTION("""COMPUTED_VALUE"""),-400.0)</f>
        <v>-400</v>
      </c>
      <c r="I1111" s="194">
        <f>IFERROR(__xludf.DUMMYFUNCTION("""COMPUTED_VALUE"""),1.0)</f>
        <v>1</v>
      </c>
      <c r="J1111" s="23">
        <f>IFERROR(__xludf.DUMMYFUNCTION("""COMPUTED_VALUE"""),374.2)</f>
        <v>374.2</v>
      </c>
      <c r="K1111" s="5"/>
      <c r="L1111" s="23">
        <f>IFERROR(__xludf.DUMMYFUNCTION("""COMPUTED_VALUE"""),373.6)</f>
        <v>373.6</v>
      </c>
      <c r="M1111" s="195" t="str">
        <f>IFERROR(__xludf.DUMMYFUNCTION("""COMPUTED_VALUE"""),"Equity Key Stats")</f>
        <v>Equity Key Stats</v>
      </c>
      <c r="N1111" s="5"/>
      <c r="O1111" s="5"/>
      <c r="P1111" s="142">
        <f>IFERROR(__xludf.DUMMYFUNCTION("""COMPUTED_VALUE"""),149680.0)</f>
        <v>149680</v>
      </c>
      <c r="Q1111" s="5"/>
      <c r="R1111" s="71">
        <f>IFERROR(__xludf.DUMMYFUNCTION("""COMPUTED_VALUE"""),373.6)</f>
        <v>373.6</v>
      </c>
      <c r="S1111" s="142">
        <f>IFERROR(__xludf.DUMMYFUNCTION("""COMPUTED_VALUE"""),-149440.0)</f>
        <v>-149440</v>
      </c>
      <c r="T1111" s="5">
        <f>IFERROR(__xludf.DUMMYFUNCTION("""COMPUTED_VALUE"""),2.0)</f>
        <v>2</v>
      </c>
      <c r="U1111" s="5">
        <f>IFERROR(__xludf.DUMMYFUNCTION("""COMPUTED_VALUE"""),1.0)</f>
        <v>1</v>
      </c>
      <c r="V1111" s="22">
        <f>IFERROR(__xludf.DUMMYFUNCTION("""COMPUTED_VALUE"""),3120.0)</f>
        <v>3120</v>
      </c>
      <c r="W1111" s="9" t="str">
        <f>IFERROR(__xludf.DUMMYFUNCTION("""COMPUTED_VALUE"""),"")</f>
        <v/>
      </c>
      <c r="X1111" s="22" t="str">
        <f>IFERROR(__xludf.DUMMYFUNCTION("""COMPUTED_VALUE"""),"")</f>
        <v/>
      </c>
      <c r="Y1111" s="22" t="str">
        <f>IFERROR(__xludf.DUMMYFUNCTION("""COMPUTED_VALUE"""),"")</f>
        <v/>
      </c>
      <c r="Z1111" s="24" t="str">
        <f>IFERROR(__xludf.DUMMYFUNCTION("""COMPUTED_VALUE"""),"")</f>
        <v/>
      </c>
    </row>
    <row r="1112">
      <c r="A1112" s="5" t="str">
        <f>IFERROR(__xludf.DUMMYFUNCTION("""COMPUTED_VALUE"""),"")</f>
        <v/>
      </c>
      <c r="B1112" s="5" t="str">
        <f>IFERROR(__xludf.DUMMYFUNCTION("""COMPUTED_VALUE"""),"89833")</f>
        <v>89833</v>
      </c>
      <c r="C1112" s="9">
        <f>IFERROR(__xludf.DUMMYFUNCTION("""COMPUTED_VALUE"""),4.4658001182E10)</f>
        <v>44658001182</v>
      </c>
      <c r="D1112" s="90" t="str">
        <f>IFERROR(__xludf.DUMMYFUNCTION("""COMPUTED_VALUE"""),"0883.HK")</f>
        <v>0883.HK</v>
      </c>
      <c r="E1112" s="193">
        <f>IFERROR(__xludf.DUMMYFUNCTION("""COMPUTED_VALUE"""),44658.0)</f>
        <v>44658</v>
      </c>
      <c r="F1112" s="5" t="str">
        <f>IFERROR(__xludf.DUMMYFUNCTION("""COMPUTED_VALUE"""),"Stock")</f>
        <v>Stock</v>
      </c>
      <c r="G1112" s="5" t="str">
        <f>IFERROR(__xludf.DUMMYFUNCTION("""COMPUTED_VALUE"""),"HKD")</f>
        <v>HKD</v>
      </c>
      <c r="H1112" s="22">
        <f>IFERROR(__xludf.DUMMYFUNCTION("""COMPUTED_VALUE"""),15000.0)</f>
        <v>15000</v>
      </c>
      <c r="I1112" s="194">
        <f>IFERROR(__xludf.DUMMYFUNCTION("""COMPUTED_VALUE"""),1.0)</f>
        <v>1</v>
      </c>
      <c r="J1112" s="23">
        <f>IFERROR(__xludf.DUMMYFUNCTION("""COMPUTED_VALUE"""),11.36)</f>
        <v>11.36</v>
      </c>
      <c r="K1112" s="5"/>
      <c r="L1112" s="23">
        <f>IFERROR(__xludf.DUMMYFUNCTION("""COMPUTED_VALUE"""),11.46)</f>
        <v>11.46</v>
      </c>
      <c r="M1112" s="195" t="str">
        <f>IFERROR(__xludf.DUMMYFUNCTION("""COMPUTED_VALUE"""),"Equity Key Stats")</f>
        <v>Equity Key Stats</v>
      </c>
      <c r="N1112" s="5"/>
      <c r="O1112" s="5"/>
      <c r="P1112" s="142">
        <f>IFERROR(__xludf.DUMMYFUNCTION("""COMPUTED_VALUE"""),-170400.0)</f>
        <v>-170400</v>
      </c>
      <c r="Q1112" s="5"/>
      <c r="R1112" s="71">
        <f>IFERROR(__xludf.DUMMYFUNCTION("""COMPUTED_VALUE"""),11.46)</f>
        <v>11.46</v>
      </c>
      <c r="S1112" s="142">
        <f>IFERROR(__xludf.DUMMYFUNCTION("""COMPUTED_VALUE"""),171900.0)</f>
        <v>171900</v>
      </c>
      <c r="T1112" s="5">
        <f>IFERROR(__xludf.DUMMYFUNCTION("""COMPUTED_VALUE"""),2.0)</f>
        <v>2</v>
      </c>
      <c r="U1112" s="5" t="str">
        <f>IFERROR(__xludf.DUMMYFUNCTION("""COMPUTED_VALUE"""),"")</f>
        <v/>
      </c>
      <c r="V1112" s="22" t="str">
        <f>IFERROR(__xludf.DUMMYFUNCTION("""COMPUTED_VALUE"""),"")</f>
        <v/>
      </c>
      <c r="W1112" s="9" t="str">
        <f>IFERROR(__xludf.DUMMYFUNCTION("""COMPUTED_VALUE"""),"")</f>
        <v/>
      </c>
      <c r="X1112" s="22" t="str">
        <f>IFERROR(__xludf.DUMMYFUNCTION("""COMPUTED_VALUE"""),"")</f>
        <v/>
      </c>
      <c r="Y1112" s="22" t="str">
        <f>IFERROR(__xludf.DUMMYFUNCTION("""COMPUTED_VALUE"""),"")</f>
        <v/>
      </c>
      <c r="Z1112" s="24" t="str">
        <f>IFERROR(__xludf.DUMMYFUNCTION("""COMPUTED_VALUE"""),"")</f>
        <v/>
      </c>
    </row>
    <row r="1113">
      <c r="A1113" s="5" t="str">
        <f>IFERROR(__xludf.DUMMYFUNCTION("""COMPUTED_VALUE"""),"")</f>
        <v/>
      </c>
      <c r="B1113" s="5" t="str">
        <f>IFERROR(__xludf.DUMMYFUNCTION("""COMPUTED_VALUE"""),"89833")</f>
        <v>89833</v>
      </c>
      <c r="C1113" s="9">
        <f>IFERROR(__xludf.DUMMYFUNCTION("""COMPUTED_VALUE"""),4.4658001213E10)</f>
        <v>44658001213</v>
      </c>
      <c r="D1113" s="85" t="str">
        <f>IFERROR(__xludf.DUMMYFUNCTION("""COMPUTED_VALUE"""),"OXY")</f>
        <v>OXY</v>
      </c>
      <c r="E1113" s="193">
        <f>IFERROR(__xludf.DUMMYFUNCTION("""COMPUTED_VALUE"""),44658.0)</f>
        <v>44658</v>
      </c>
      <c r="F1113" s="5" t="str">
        <f>IFERROR(__xludf.DUMMYFUNCTION("""COMPUTED_VALUE"""),"Stock")</f>
        <v>Stock</v>
      </c>
      <c r="G1113" s="5" t="str">
        <f>IFERROR(__xludf.DUMMYFUNCTION("""COMPUTED_VALUE"""),"USD")</f>
        <v>USD</v>
      </c>
      <c r="H1113" s="22">
        <f>IFERROR(__xludf.DUMMYFUNCTION("""COMPUTED_VALUE"""),500.0)</f>
        <v>500</v>
      </c>
      <c r="I1113" s="194">
        <f>IFERROR(__xludf.DUMMYFUNCTION("""COMPUTED_VALUE"""),7.836645)</f>
        <v>7.836645</v>
      </c>
      <c r="J1113" s="23">
        <f>IFERROR(__xludf.DUMMYFUNCTION("""COMPUTED_VALUE"""),57.66)</f>
        <v>57.66</v>
      </c>
      <c r="K1113" s="5"/>
      <c r="L1113" s="23">
        <f>IFERROR(__xludf.DUMMYFUNCTION("""COMPUTED_VALUE"""),59.62)</f>
        <v>59.62</v>
      </c>
      <c r="M1113" s="195" t="str">
        <f>IFERROR(__xludf.DUMMYFUNCTION("""COMPUTED_VALUE"""),"Equity Key Stats")</f>
        <v>Equity Key Stats</v>
      </c>
      <c r="N1113" s="5"/>
      <c r="O1113" s="5"/>
      <c r="P1113" s="142">
        <f>IFERROR(__xludf.DUMMYFUNCTION("""COMPUTED_VALUE"""),-225930.47534999996)</f>
        <v>-225930.4754</v>
      </c>
      <c r="Q1113" s="5"/>
      <c r="R1113" s="71">
        <f>IFERROR(__xludf.DUMMYFUNCTION("""COMPUTED_VALUE"""),59.62)</f>
        <v>59.62</v>
      </c>
      <c r="S1113" s="142">
        <f>IFERROR(__xludf.DUMMYFUNCTION("""COMPUTED_VALUE"""),233610.38744999998)</f>
        <v>233610.3875</v>
      </c>
      <c r="T1113" s="5">
        <f>IFERROR(__xludf.DUMMYFUNCTION("""COMPUTED_VALUE"""),3.0)</f>
        <v>3</v>
      </c>
      <c r="U1113" s="5" t="str">
        <f>IFERROR(__xludf.DUMMYFUNCTION("""COMPUTED_VALUE"""),"")</f>
        <v/>
      </c>
      <c r="V1113" s="22" t="str">
        <f>IFERROR(__xludf.DUMMYFUNCTION("""COMPUTED_VALUE"""),"")</f>
        <v/>
      </c>
      <c r="W1113" s="9" t="str">
        <f>IFERROR(__xludf.DUMMYFUNCTION("""COMPUTED_VALUE"""),"")</f>
        <v/>
      </c>
      <c r="X1113" s="22" t="str">
        <f>IFERROR(__xludf.DUMMYFUNCTION("""COMPUTED_VALUE"""),"")</f>
        <v/>
      </c>
      <c r="Y1113" s="22" t="str">
        <f>IFERROR(__xludf.DUMMYFUNCTION("""COMPUTED_VALUE"""),"")</f>
        <v/>
      </c>
      <c r="Z1113" s="24" t="str">
        <f>IFERROR(__xludf.DUMMYFUNCTION("""COMPUTED_VALUE"""),"")</f>
        <v/>
      </c>
    </row>
    <row r="1114">
      <c r="A1114" s="5" t="str">
        <f>IFERROR(__xludf.DUMMYFUNCTION("""COMPUTED_VALUE"""),"")</f>
        <v/>
      </c>
      <c r="B1114" s="5" t="str">
        <f>IFERROR(__xludf.DUMMYFUNCTION("""COMPUTED_VALUE"""),"89833")</f>
        <v>89833</v>
      </c>
      <c r="C1114" s="9">
        <f>IFERROR(__xludf.DUMMYFUNCTION("""COMPUTED_VALUE"""),4.4658001235E10)</f>
        <v>44658001235</v>
      </c>
      <c r="D1114" s="85" t="str">
        <f>IFERROR(__xludf.DUMMYFUNCTION("""COMPUTED_VALUE"""),"BILI")</f>
        <v>BILI</v>
      </c>
      <c r="E1114" s="193">
        <f>IFERROR(__xludf.DUMMYFUNCTION("""COMPUTED_VALUE"""),44658.0)</f>
        <v>44658</v>
      </c>
      <c r="F1114" s="5" t="str">
        <f>IFERROR(__xludf.DUMMYFUNCTION("""COMPUTED_VALUE"""),"Stock")</f>
        <v>Stock</v>
      </c>
      <c r="G1114" s="5" t="str">
        <f>IFERROR(__xludf.DUMMYFUNCTION("""COMPUTED_VALUE"""),"USD")</f>
        <v>USD</v>
      </c>
      <c r="H1114" s="22">
        <f>IFERROR(__xludf.DUMMYFUNCTION("""COMPUTED_VALUE"""),100.0)</f>
        <v>100</v>
      </c>
      <c r="I1114" s="194">
        <f>IFERROR(__xludf.DUMMYFUNCTION("""COMPUTED_VALUE"""),7.836645)</f>
        <v>7.836645</v>
      </c>
      <c r="J1114" s="23">
        <f>IFERROR(__xludf.DUMMYFUNCTION("""COMPUTED_VALUE"""),27.61)</f>
        <v>27.61</v>
      </c>
      <c r="K1114" s="5"/>
      <c r="L1114" s="23">
        <f>IFERROR(__xludf.DUMMYFUNCTION("""COMPUTED_VALUE"""),26.24)</f>
        <v>26.24</v>
      </c>
      <c r="M1114" s="195" t="str">
        <f>IFERROR(__xludf.DUMMYFUNCTION("""COMPUTED_VALUE"""),"Equity Key Stats")</f>
        <v>Equity Key Stats</v>
      </c>
      <c r="N1114" s="5"/>
      <c r="O1114" s="5"/>
      <c r="P1114" s="142">
        <f>IFERROR(__xludf.DUMMYFUNCTION("""COMPUTED_VALUE"""),-21636.976844999997)</f>
        <v>-21636.97685</v>
      </c>
      <c r="Q1114" s="5"/>
      <c r="R1114" s="71">
        <f>IFERROR(__xludf.DUMMYFUNCTION("""COMPUTED_VALUE"""),26.24)</f>
        <v>26.24</v>
      </c>
      <c r="S1114" s="142">
        <f>IFERROR(__xludf.DUMMYFUNCTION("""COMPUTED_VALUE"""),20563.35648)</f>
        <v>20563.35648</v>
      </c>
      <c r="T1114" s="5">
        <f>IFERROR(__xludf.DUMMYFUNCTION("""COMPUTED_VALUE"""),1.0)</f>
        <v>1</v>
      </c>
      <c r="U1114" s="5">
        <f>IFERROR(__xludf.DUMMYFUNCTION("""COMPUTED_VALUE"""),1.0)</f>
        <v>1</v>
      </c>
      <c r="V1114" s="22">
        <f>IFERROR(__xludf.DUMMYFUNCTION("""COMPUTED_VALUE"""),-1073.6203649999989)</f>
        <v>-1073.620365</v>
      </c>
      <c r="W1114" s="9" t="str">
        <f>IFERROR(__xludf.DUMMYFUNCTION("""COMPUTED_VALUE"""),"")</f>
        <v/>
      </c>
      <c r="X1114" s="22" t="str">
        <f>IFERROR(__xludf.DUMMYFUNCTION("""COMPUTED_VALUE"""),"")</f>
        <v/>
      </c>
      <c r="Y1114" s="22" t="str">
        <f>IFERROR(__xludf.DUMMYFUNCTION("""COMPUTED_VALUE"""),"")</f>
        <v/>
      </c>
      <c r="Z1114" s="24" t="str">
        <f>IFERROR(__xludf.DUMMYFUNCTION("""COMPUTED_VALUE"""),"")</f>
        <v/>
      </c>
    </row>
    <row r="1115">
      <c r="A1115" s="5" t="str">
        <f>IFERROR(__xludf.DUMMYFUNCTION("""COMPUTED_VALUE"""),"")</f>
        <v/>
      </c>
      <c r="B1115" s="5" t="str">
        <f>IFERROR(__xludf.DUMMYFUNCTION("""COMPUTED_VALUE"""),"89833")</f>
        <v>89833</v>
      </c>
      <c r="C1115" s="9">
        <f>IFERROR(__xludf.DUMMYFUNCTION("""COMPUTED_VALUE"""),4.4660001267E10)</f>
        <v>44660001267</v>
      </c>
      <c r="D1115" s="91" t="str">
        <f>IFERROR(__xludf.DUMMYFUNCTION("""COMPUTED_VALUE"""),"0883.HK")</f>
        <v>0883.HK</v>
      </c>
      <c r="E1115" s="193">
        <f>IFERROR(__xludf.DUMMYFUNCTION("""COMPUTED_VALUE"""),44660.0)</f>
        <v>44660</v>
      </c>
      <c r="F1115" s="5" t="str">
        <f>IFERROR(__xludf.DUMMYFUNCTION("""COMPUTED_VALUE"""),"Stock")</f>
        <v>Stock</v>
      </c>
      <c r="G1115" s="5" t="str">
        <f>IFERROR(__xludf.DUMMYFUNCTION("""COMPUTED_VALUE"""),"HKD")</f>
        <v>HKD</v>
      </c>
      <c r="H1115" s="22">
        <f>IFERROR(__xludf.DUMMYFUNCTION("""COMPUTED_VALUE"""),-15000.0)</f>
        <v>-15000</v>
      </c>
      <c r="I1115" s="194">
        <f>IFERROR(__xludf.DUMMYFUNCTION("""COMPUTED_VALUE"""),1.0)</f>
        <v>1</v>
      </c>
      <c r="J1115" s="23">
        <f>IFERROR(__xludf.DUMMYFUNCTION("""COMPUTED_VALUE"""),11.16)</f>
        <v>11.16</v>
      </c>
      <c r="K1115" s="5"/>
      <c r="L1115" s="23">
        <f>IFERROR(__xludf.DUMMYFUNCTION("""COMPUTED_VALUE"""),11.46)</f>
        <v>11.46</v>
      </c>
      <c r="M1115" s="195" t="str">
        <f>IFERROR(__xludf.DUMMYFUNCTION("""COMPUTED_VALUE"""),"Equity Key Stats")</f>
        <v>Equity Key Stats</v>
      </c>
      <c r="N1115" s="5"/>
      <c r="O1115" s="5"/>
      <c r="P1115" s="142">
        <f>IFERROR(__xludf.DUMMYFUNCTION("""COMPUTED_VALUE"""),167400.0)</f>
        <v>167400</v>
      </c>
      <c r="Q1115" s="5"/>
      <c r="R1115" s="71">
        <f>IFERROR(__xludf.DUMMYFUNCTION("""COMPUTED_VALUE"""),11.46)</f>
        <v>11.46</v>
      </c>
      <c r="S1115" s="142">
        <f>IFERROR(__xludf.DUMMYFUNCTION("""COMPUTED_VALUE"""),-171900.0)</f>
        <v>-171900</v>
      </c>
      <c r="T1115" s="5">
        <f>IFERROR(__xludf.DUMMYFUNCTION("""COMPUTED_VALUE"""),2.0)</f>
        <v>2</v>
      </c>
      <c r="U1115" s="5">
        <f>IFERROR(__xludf.DUMMYFUNCTION("""COMPUTED_VALUE"""),1.0)</f>
        <v>1</v>
      </c>
      <c r="V1115" s="22">
        <f>IFERROR(__xludf.DUMMYFUNCTION("""COMPUTED_VALUE"""),-3000.0)</f>
        <v>-3000</v>
      </c>
      <c r="W1115" s="9" t="str">
        <f>IFERROR(__xludf.DUMMYFUNCTION("""COMPUTED_VALUE"""),"")</f>
        <v/>
      </c>
      <c r="X1115" s="22" t="str">
        <f>IFERROR(__xludf.DUMMYFUNCTION("""COMPUTED_VALUE"""),"")</f>
        <v/>
      </c>
      <c r="Y1115" s="22" t="str">
        <f>IFERROR(__xludf.DUMMYFUNCTION("""COMPUTED_VALUE"""),"")</f>
        <v/>
      </c>
      <c r="Z1115" s="24" t="str">
        <f>IFERROR(__xludf.DUMMYFUNCTION("""COMPUTED_VALUE"""),"")</f>
        <v/>
      </c>
    </row>
    <row r="1116">
      <c r="A1116" s="5" t="str">
        <f>IFERROR(__xludf.DUMMYFUNCTION("""COMPUTED_VALUE"""),"")</f>
        <v/>
      </c>
      <c r="B1116" s="5" t="str">
        <f>IFERROR(__xludf.DUMMYFUNCTION("""COMPUTED_VALUE"""),"89833")</f>
        <v>89833</v>
      </c>
      <c r="C1116" s="9">
        <f>IFERROR(__xludf.DUMMYFUNCTION("""COMPUTED_VALUE"""),4.4662001362E10)</f>
        <v>44662001362</v>
      </c>
      <c r="D1116" s="85" t="str">
        <f>IFERROR(__xludf.DUMMYFUNCTION("""COMPUTED_VALUE"""),"OXY")</f>
        <v>OXY</v>
      </c>
      <c r="E1116" s="193">
        <f>IFERROR(__xludf.DUMMYFUNCTION("""COMPUTED_VALUE"""),44662.0)</f>
        <v>44662</v>
      </c>
      <c r="F1116" s="5" t="str">
        <f>IFERROR(__xludf.DUMMYFUNCTION("""COMPUTED_VALUE"""),"Stock")</f>
        <v>Stock</v>
      </c>
      <c r="G1116" s="5" t="str">
        <f>IFERROR(__xludf.DUMMYFUNCTION("""COMPUTED_VALUE"""),"USD")</f>
        <v>USD</v>
      </c>
      <c r="H1116" s="22">
        <f>IFERROR(__xludf.DUMMYFUNCTION("""COMPUTED_VALUE"""),-500.0)</f>
        <v>-500</v>
      </c>
      <c r="I1116" s="194">
        <f>IFERROR(__xludf.DUMMYFUNCTION("""COMPUTED_VALUE"""),7.83795)</f>
        <v>7.83795</v>
      </c>
      <c r="J1116" s="23">
        <f>IFERROR(__xludf.DUMMYFUNCTION("""COMPUTED_VALUE"""),57.92)</f>
        <v>57.92</v>
      </c>
      <c r="K1116" s="5"/>
      <c r="L1116" s="23">
        <f>IFERROR(__xludf.DUMMYFUNCTION("""COMPUTED_VALUE"""),59.62)</f>
        <v>59.62</v>
      </c>
      <c r="M1116" s="195" t="str">
        <f>IFERROR(__xludf.DUMMYFUNCTION("""COMPUTED_VALUE"""),"Equity Key Stats")</f>
        <v>Equity Key Stats</v>
      </c>
      <c r="N1116" s="5"/>
      <c r="O1116" s="5"/>
      <c r="P1116" s="142">
        <f>IFERROR(__xludf.DUMMYFUNCTION("""COMPUTED_VALUE"""),226987.032)</f>
        <v>226987.032</v>
      </c>
      <c r="Q1116" s="5"/>
      <c r="R1116" s="71">
        <f>IFERROR(__xludf.DUMMYFUNCTION("""COMPUTED_VALUE"""),59.62)</f>
        <v>59.62</v>
      </c>
      <c r="S1116" s="142">
        <f>IFERROR(__xludf.DUMMYFUNCTION("""COMPUTED_VALUE"""),-233649.28949999998)</f>
        <v>-233649.2895</v>
      </c>
      <c r="T1116" s="5">
        <f>IFERROR(__xludf.DUMMYFUNCTION("""COMPUTED_VALUE"""),3.0)</f>
        <v>3</v>
      </c>
      <c r="U1116" s="5" t="str">
        <f>IFERROR(__xludf.DUMMYFUNCTION("""COMPUTED_VALUE"""),"")</f>
        <v/>
      </c>
      <c r="V1116" s="22" t="str">
        <f>IFERROR(__xludf.DUMMYFUNCTION("""COMPUTED_VALUE"""),"")</f>
        <v/>
      </c>
      <c r="W1116" s="9" t="str">
        <f>IFERROR(__xludf.DUMMYFUNCTION("""COMPUTED_VALUE"""),"")</f>
        <v/>
      </c>
      <c r="X1116" s="22" t="str">
        <f>IFERROR(__xludf.DUMMYFUNCTION("""COMPUTED_VALUE"""),"")</f>
        <v/>
      </c>
      <c r="Y1116" s="22" t="str">
        <f>IFERROR(__xludf.DUMMYFUNCTION("""COMPUTED_VALUE"""),"")</f>
        <v/>
      </c>
      <c r="Z1116" s="24" t="str">
        <f>IFERROR(__xludf.DUMMYFUNCTION("""COMPUTED_VALUE"""),"")</f>
        <v/>
      </c>
    </row>
    <row r="1117">
      <c r="A1117" s="5" t="str">
        <f>IFERROR(__xludf.DUMMYFUNCTION("""COMPUTED_VALUE"""),"89833")</f>
        <v>89833</v>
      </c>
      <c r="B1117" s="5" t="str">
        <f>IFERROR(__xludf.DUMMYFUNCTION("""COMPUTED_VALUE"""),"89833")</f>
        <v>89833</v>
      </c>
      <c r="C1117" s="9">
        <f>IFERROR(__xludf.DUMMYFUNCTION("""COMPUTED_VALUE"""),4.4663001431E10)</f>
        <v>44663001431</v>
      </c>
      <c r="D1117" s="85" t="str">
        <f>IFERROR(__xludf.DUMMYFUNCTION("""COMPUTED_VALUE"""),"OXY")</f>
        <v>OXY</v>
      </c>
      <c r="E1117" s="193">
        <f>IFERROR(__xludf.DUMMYFUNCTION("""COMPUTED_VALUE"""),44663.0)</f>
        <v>44663</v>
      </c>
      <c r="F1117" s="5" t="str">
        <f>IFERROR(__xludf.DUMMYFUNCTION("""COMPUTED_VALUE"""),"Stock")</f>
        <v>Stock</v>
      </c>
      <c r="G1117" s="5" t="str">
        <f>IFERROR(__xludf.DUMMYFUNCTION("""COMPUTED_VALUE"""),"USD")</f>
        <v>USD</v>
      </c>
      <c r="H1117" s="22">
        <f>IFERROR(__xludf.DUMMYFUNCTION("""COMPUTED_VALUE"""),-500.0)</f>
        <v>-500</v>
      </c>
      <c r="I1117" s="194">
        <f>IFERROR(__xludf.DUMMYFUNCTION("""COMPUTED_VALUE"""),7.83775)</f>
        <v>7.83775</v>
      </c>
      <c r="J1117" s="23">
        <f>IFERROR(__xludf.DUMMYFUNCTION("""COMPUTED_VALUE"""),59.14)</f>
        <v>59.14</v>
      </c>
      <c r="K1117" s="5"/>
      <c r="L1117" s="23">
        <f>IFERROR(__xludf.DUMMYFUNCTION("""COMPUTED_VALUE"""),59.62)</f>
        <v>59.62</v>
      </c>
      <c r="M1117" s="195" t="str">
        <f>IFERROR(__xludf.DUMMYFUNCTION("""COMPUTED_VALUE"""),"Equity Key Stats")</f>
        <v>Equity Key Stats</v>
      </c>
      <c r="N1117" s="5"/>
      <c r="O1117" s="5"/>
      <c r="P1117" s="142">
        <f>IFERROR(__xludf.DUMMYFUNCTION("""COMPUTED_VALUE"""),231762.26750000002)</f>
        <v>231762.2675</v>
      </c>
      <c r="Q1117" s="5"/>
      <c r="R1117" s="71">
        <f>IFERROR(__xludf.DUMMYFUNCTION("""COMPUTED_VALUE"""),59.62)</f>
        <v>59.62</v>
      </c>
      <c r="S1117" s="142">
        <f>IFERROR(__xludf.DUMMYFUNCTION("""COMPUTED_VALUE"""),-233643.32749999998)</f>
        <v>-233643.3275</v>
      </c>
      <c r="T1117" s="5">
        <f>IFERROR(__xludf.DUMMYFUNCTION("""COMPUTED_VALUE"""),3.0)</f>
        <v>3</v>
      </c>
      <c r="U1117" s="5">
        <f>IFERROR(__xludf.DUMMYFUNCTION("""COMPUTED_VALUE"""),1.0)</f>
        <v>1</v>
      </c>
      <c r="V1117" s="22">
        <f>IFERROR(__xludf.DUMMYFUNCTION("""COMPUTED_VALUE"""),-863.4053999999305)</f>
        <v>-863.4054</v>
      </c>
      <c r="W1117" s="9">
        <f>IFERROR(__xludf.DUMMYFUNCTION("""COMPUTED_VALUE"""),498182.9742350001)</f>
        <v>498182.9742</v>
      </c>
      <c r="X1117" s="22">
        <f>IFERROR(__xludf.DUMMYFUNCTION("""COMPUTED_VALUE"""),247777.312305)</f>
        <v>247777.3123</v>
      </c>
      <c r="Y1117" s="22">
        <f>IFERROR(__xludf.DUMMYFUNCTION("""COMPUTED_VALUE"""),0.0)</f>
        <v>0</v>
      </c>
      <c r="Z1117" s="24">
        <f>IFERROR(__xludf.DUMMYFUNCTION("""COMPUTED_VALUE"""),-0.003634051529999849)</f>
        <v>-0.00363405153</v>
      </c>
    </row>
    <row r="1118">
      <c r="A1118" s="5" t="str">
        <f>IFERROR(__xludf.DUMMYFUNCTION("""COMPUTED_VALUE"""),"")</f>
        <v/>
      </c>
      <c r="B1118" s="5" t="str">
        <f>IFERROR(__xludf.DUMMYFUNCTION("""COMPUTED_VALUE"""),"89845")</f>
        <v>89845</v>
      </c>
      <c r="C1118" s="9">
        <f>IFERROR(__xludf.DUMMYFUNCTION("""COMPUTED_VALUE"""),4.4597000045E10)</f>
        <v>44597000045</v>
      </c>
      <c r="D1118" s="85" t="str">
        <f>IFERROR(__xludf.DUMMYFUNCTION("""COMPUTED_VALUE"""),"Cash")</f>
        <v>Cash</v>
      </c>
      <c r="E1118" s="193">
        <f>IFERROR(__xludf.DUMMYFUNCTION("""COMPUTED_VALUE"""),44597.0)</f>
        <v>44597</v>
      </c>
      <c r="F1118" s="5" t="str">
        <f>IFERROR(__xludf.DUMMYFUNCTION("""COMPUTED_VALUE"""),"Cash")</f>
        <v>Cash</v>
      </c>
      <c r="G1118" s="5" t="str">
        <f>IFERROR(__xludf.DUMMYFUNCTION("""COMPUTED_VALUE"""),"HKD")</f>
        <v>HKD</v>
      </c>
      <c r="H1118" s="22" t="str">
        <f>IFERROR(__xludf.DUMMYFUNCTION("""COMPUTED_VALUE"""),"")</f>
        <v/>
      </c>
      <c r="I1118" s="194">
        <f>IFERROR(__xludf.DUMMYFUNCTION("""COMPUTED_VALUE"""),1.0)</f>
        <v>1</v>
      </c>
      <c r="J1118" s="5">
        <f>IFERROR(__xludf.DUMMYFUNCTION("""COMPUTED_VALUE"""),1.0)</f>
        <v>1</v>
      </c>
      <c r="K1118" s="5"/>
      <c r="L1118" s="23">
        <f>IFERROR(__xludf.DUMMYFUNCTION("""COMPUTED_VALUE"""),1.0)</f>
        <v>1</v>
      </c>
      <c r="M1118" s="25" t="str">
        <f>IFERROR(__xludf.DUMMYFUNCTION("""COMPUTED_VALUE"""),"")</f>
        <v/>
      </c>
      <c r="N1118" s="5"/>
      <c r="O1118" s="5"/>
      <c r="P1118" s="142">
        <f>IFERROR(__xludf.DUMMYFUNCTION("""COMPUTED_VALUE"""),500000.0)</f>
        <v>500000</v>
      </c>
      <c r="Q1118" s="5"/>
      <c r="R1118" s="71">
        <f>IFERROR(__xludf.DUMMYFUNCTION("""COMPUTED_VALUE"""),1.0)</f>
        <v>1</v>
      </c>
      <c r="S1118" s="142" t="str">
        <f>IFERROR(__xludf.DUMMYFUNCTION("""COMPUTED_VALUE"""),"")</f>
        <v/>
      </c>
      <c r="T1118" s="5">
        <f>IFERROR(__xludf.DUMMYFUNCTION("""COMPUTED_VALUE"""),1.0)</f>
        <v>1</v>
      </c>
      <c r="U1118" s="5">
        <f>IFERROR(__xludf.DUMMYFUNCTION("""COMPUTED_VALUE"""),1.0)</f>
        <v>1</v>
      </c>
      <c r="V1118" s="22">
        <f>IFERROR(__xludf.DUMMYFUNCTION("""COMPUTED_VALUE"""),500000.0)</f>
        <v>500000</v>
      </c>
      <c r="W1118" s="9" t="str">
        <f>IFERROR(__xludf.DUMMYFUNCTION("""COMPUTED_VALUE"""),"")</f>
        <v/>
      </c>
      <c r="X1118" s="22" t="str">
        <f>IFERROR(__xludf.DUMMYFUNCTION("""COMPUTED_VALUE"""),"")</f>
        <v/>
      </c>
      <c r="Y1118" s="22" t="str">
        <f>IFERROR(__xludf.DUMMYFUNCTION("""COMPUTED_VALUE"""),"")</f>
        <v/>
      </c>
      <c r="Z1118" s="24" t="str">
        <f>IFERROR(__xludf.DUMMYFUNCTION("""COMPUTED_VALUE"""),"")</f>
        <v/>
      </c>
    </row>
    <row r="1119">
      <c r="A1119" s="5" t="str">
        <f>IFERROR(__xludf.DUMMYFUNCTION("""COMPUTED_VALUE"""),"")</f>
        <v/>
      </c>
      <c r="B1119" s="5" t="str">
        <f>IFERROR(__xludf.DUMMYFUNCTION("""COMPUTED_VALUE"""),"89845")</f>
        <v>89845</v>
      </c>
      <c r="C1119" s="9">
        <f>IFERROR(__xludf.DUMMYFUNCTION("""COMPUTED_VALUE"""),4.4638000696E10)</f>
        <v>44638000696</v>
      </c>
      <c r="D1119" s="87" t="str">
        <f>IFERROR(__xludf.DUMMYFUNCTION("""COMPUTED_VALUE"""),"ASML")</f>
        <v>ASML</v>
      </c>
      <c r="E1119" s="193">
        <f>IFERROR(__xludf.DUMMYFUNCTION("""COMPUTED_VALUE"""),44638.0)</f>
        <v>44638</v>
      </c>
      <c r="F1119" s="5" t="str">
        <f>IFERROR(__xludf.DUMMYFUNCTION("""COMPUTED_VALUE"""),"Stock")</f>
        <v>Stock</v>
      </c>
      <c r="G1119" s="5" t="str">
        <f>IFERROR(__xludf.DUMMYFUNCTION("""COMPUTED_VALUE"""),"USD")</f>
        <v>USD</v>
      </c>
      <c r="H1119" s="22">
        <f>IFERROR(__xludf.DUMMYFUNCTION("""COMPUTED_VALUE"""),0.0)</f>
        <v>0</v>
      </c>
      <c r="I1119" s="194">
        <f>IFERROR(__xludf.DUMMYFUNCTION("""COMPUTED_VALUE"""),7.82495)</f>
        <v>7.82495</v>
      </c>
      <c r="J1119" s="23">
        <f>IFERROR(__xludf.DUMMYFUNCTION("""COMPUTED_VALUE"""),0.0)</f>
        <v>0</v>
      </c>
      <c r="K1119" s="5"/>
      <c r="L1119" s="23">
        <f>IFERROR(__xludf.DUMMYFUNCTION("""COMPUTED_VALUE"""),612.76)</f>
        <v>612.76</v>
      </c>
      <c r="M1119" s="195" t="str">
        <f>IFERROR(__xludf.DUMMYFUNCTION("""COMPUTED_VALUE"""),"Equity Key Stats")</f>
        <v>Equity Key Stats</v>
      </c>
      <c r="N1119" s="5"/>
      <c r="O1119" s="5"/>
      <c r="P1119" s="142">
        <f>IFERROR(__xludf.DUMMYFUNCTION("""COMPUTED_VALUE"""),0.0)</f>
        <v>0</v>
      </c>
      <c r="Q1119" s="5"/>
      <c r="R1119" s="71">
        <f>IFERROR(__xludf.DUMMYFUNCTION("""COMPUTED_VALUE"""),612.76)</f>
        <v>612.76</v>
      </c>
      <c r="S1119" s="142">
        <f>IFERROR(__xludf.DUMMYFUNCTION("""COMPUTED_VALUE"""),0.0)</f>
        <v>0</v>
      </c>
      <c r="T1119" s="5">
        <f>IFERROR(__xludf.DUMMYFUNCTION("""COMPUTED_VALUE"""),4.0)</f>
        <v>4</v>
      </c>
      <c r="U1119" s="5" t="str">
        <f>IFERROR(__xludf.DUMMYFUNCTION("""COMPUTED_VALUE"""),"")</f>
        <v/>
      </c>
      <c r="V1119" s="22" t="str">
        <f>IFERROR(__xludf.DUMMYFUNCTION("""COMPUTED_VALUE"""),"")</f>
        <v/>
      </c>
      <c r="W1119" s="9" t="str">
        <f>IFERROR(__xludf.DUMMYFUNCTION("""COMPUTED_VALUE"""),"")</f>
        <v/>
      </c>
      <c r="X1119" s="22" t="str">
        <f>IFERROR(__xludf.DUMMYFUNCTION("""COMPUTED_VALUE"""),"")</f>
        <v/>
      </c>
      <c r="Y1119" s="22" t="str">
        <f>IFERROR(__xludf.DUMMYFUNCTION("""COMPUTED_VALUE"""),"")</f>
        <v/>
      </c>
      <c r="Z1119" s="24" t="str">
        <f>IFERROR(__xludf.DUMMYFUNCTION("""COMPUTED_VALUE"""),"")</f>
        <v/>
      </c>
    </row>
    <row r="1120">
      <c r="A1120" s="5" t="str">
        <f>IFERROR(__xludf.DUMMYFUNCTION("""COMPUTED_VALUE"""),"")</f>
        <v/>
      </c>
      <c r="B1120" s="5" t="str">
        <f>IFERROR(__xludf.DUMMYFUNCTION("""COMPUTED_VALUE"""),"89845")</f>
        <v>89845</v>
      </c>
      <c r="C1120" s="9">
        <f>IFERROR(__xludf.DUMMYFUNCTION("""COMPUTED_VALUE"""),4.4638000698E10)</f>
        <v>44638000698</v>
      </c>
      <c r="D1120" s="87" t="str">
        <f>IFERROR(__xludf.DUMMYFUNCTION("""COMPUTED_VALUE"""),"ASML")</f>
        <v>ASML</v>
      </c>
      <c r="E1120" s="193">
        <f>IFERROR(__xludf.DUMMYFUNCTION("""COMPUTED_VALUE"""),44638.0)</f>
        <v>44638</v>
      </c>
      <c r="F1120" s="5" t="str">
        <f>IFERROR(__xludf.DUMMYFUNCTION("""COMPUTED_VALUE"""),"Stock")</f>
        <v>Stock</v>
      </c>
      <c r="G1120" s="5" t="str">
        <f>IFERROR(__xludf.DUMMYFUNCTION("""COMPUTED_VALUE"""),"USD")</f>
        <v>USD</v>
      </c>
      <c r="H1120" s="22">
        <f>IFERROR(__xludf.DUMMYFUNCTION("""COMPUTED_VALUE"""),0.0)</f>
        <v>0</v>
      </c>
      <c r="I1120" s="194">
        <f>IFERROR(__xludf.DUMMYFUNCTION("""COMPUTED_VALUE"""),7.82495)</f>
        <v>7.82495</v>
      </c>
      <c r="J1120" s="23">
        <f>IFERROR(__xludf.DUMMYFUNCTION("""COMPUTED_VALUE"""),0.0)</f>
        <v>0</v>
      </c>
      <c r="K1120" s="5"/>
      <c r="L1120" s="23">
        <f>IFERROR(__xludf.DUMMYFUNCTION("""COMPUTED_VALUE"""),612.76)</f>
        <v>612.76</v>
      </c>
      <c r="M1120" s="195" t="str">
        <f>IFERROR(__xludf.DUMMYFUNCTION("""COMPUTED_VALUE"""),"Equity Key Stats")</f>
        <v>Equity Key Stats</v>
      </c>
      <c r="N1120" s="5"/>
      <c r="O1120" s="5"/>
      <c r="P1120" s="142">
        <f>IFERROR(__xludf.DUMMYFUNCTION("""COMPUTED_VALUE"""),0.0)</f>
        <v>0</v>
      </c>
      <c r="Q1120" s="5"/>
      <c r="R1120" s="71">
        <f>IFERROR(__xludf.DUMMYFUNCTION("""COMPUTED_VALUE"""),612.76)</f>
        <v>612.76</v>
      </c>
      <c r="S1120" s="142">
        <f>IFERROR(__xludf.DUMMYFUNCTION("""COMPUTED_VALUE"""),0.0)</f>
        <v>0</v>
      </c>
      <c r="T1120" s="5">
        <f>IFERROR(__xludf.DUMMYFUNCTION("""COMPUTED_VALUE"""),4.0)</f>
        <v>4</v>
      </c>
      <c r="U1120" s="5" t="str">
        <f>IFERROR(__xludf.DUMMYFUNCTION("""COMPUTED_VALUE"""),"")</f>
        <v/>
      </c>
      <c r="V1120" s="22" t="str">
        <f>IFERROR(__xludf.DUMMYFUNCTION("""COMPUTED_VALUE"""),"")</f>
        <v/>
      </c>
      <c r="W1120" s="9" t="str">
        <f>IFERROR(__xludf.DUMMYFUNCTION("""COMPUTED_VALUE"""),"")</f>
        <v/>
      </c>
      <c r="X1120" s="22" t="str">
        <f>IFERROR(__xludf.DUMMYFUNCTION("""COMPUTED_VALUE"""),"")</f>
        <v/>
      </c>
      <c r="Y1120" s="22" t="str">
        <f>IFERROR(__xludf.DUMMYFUNCTION("""COMPUTED_VALUE"""),"")</f>
        <v/>
      </c>
      <c r="Z1120" s="24" t="str">
        <f>IFERROR(__xludf.DUMMYFUNCTION("""COMPUTED_VALUE"""),"")</f>
        <v/>
      </c>
    </row>
    <row r="1121">
      <c r="A1121" s="5" t="str">
        <f>IFERROR(__xludf.DUMMYFUNCTION("""COMPUTED_VALUE"""),"")</f>
        <v/>
      </c>
      <c r="B1121" s="5" t="str">
        <f>IFERROR(__xludf.DUMMYFUNCTION("""COMPUTED_VALUE"""),"89845")</f>
        <v>89845</v>
      </c>
      <c r="C1121" s="9">
        <f>IFERROR(__xludf.DUMMYFUNCTION("""COMPUTED_VALUE"""),4.4638000701E10)</f>
        <v>44638000701</v>
      </c>
      <c r="D1121" s="87" t="str">
        <f>IFERROR(__xludf.DUMMYFUNCTION("""COMPUTED_VALUE"""),"ASML")</f>
        <v>ASML</v>
      </c>
      <c r="E1121" s="193">
        <f>IFERROR(__xludf.DUMMYFUNCTION("""COMPUTED_VALUE"""),44638.0)</f>
        <v>44638</v>
      </c>
      <c r="F1121" s="5" t="str">
        <f>IFERROR(__xludf.DUMMYFUNCTION("""COMPUTED_VALUE"""),"Stock")</f>
        <v>Stock</v>
      </c>
      <c r="G1121" s="5" t="str">
        <f>IFERROR(__xludf.DUMMYFUNCTION("""COMPUTED_VALUE"""),"USD")</f>
        <v>USD</v>
      </c>
      <c r="H1121" s="22">
        <f>IFERROR(__xludf.DUMMYFUNCTION("""COMPUTED_VALUE"""),0.0)</f>
        <v>0</v>
      </c>
      <c r="I1121" s="194">
        <f>IFERROR(__xludf.DUMMYFUNCTION("""COMPUTED_VALUE"""),7.82495)</f>
        <v>7.82495</v>
      </c>
      <c r="J1121" s="23">
        <f>IFERROR(__xludf.DUMMYFUNCTION("""COMPUTED_VALUE"""),0.0)</f>
        <v>0</v>
      </c>
      <c r="K1121" s="5"/>
      <c r="L1121" s="23">
        <f>IFERROR(__xludf.DUMMYFUNCTION("""COMPUTED_VALUE"""),612.76)</f>
        <v>612.76</v>
      </c>
      <c r="M1121" s="195" t="str">
        <f>IFERROR(__xludf.DUMMYFUNCTION("""COMPUTED_VALUE"""),"Equity Key Stats")</f>
        <v>Equity Key Stats</v>
      </c>
      <c r="N1121" s="5"/>
      <c r="O1121" s="5"/>
      <c r="P1121" s="142">
        <f>IFERROR(__xludf.DUMMYFUNCTION("""COMPUTED_VALUE"""),0.0)</f>
        <v>0</v>
      </c>
      <c r="Q1121" s="5"/>
      <c r="R1121" s="71">
        <f>IFERROR(__xludf.DUMMYFUNCTION("""COMPUTED_VALUE"""),612.76)</f>
        <v>612.76</v>
      </c>
      <c r="S1121" s="142">
        <f>IFERROR(__xludf.DUMMYFUNCTION("""COMPUTED_VALUE"""),0.0)</f>
        <v>0</v>
      </c>
      <c r="T1121" s="5">
        <f>IFERROR(__xludf.DUMMYFUNCTION("""COMPUTED_VALUE"""),4.0)</f>
        <v>4</v>
      </c>
      <c r="U1121" s="5" t="str">
        <f>IFERROR(__xludf.DUMMYFUNCTION("""COMPUTED_VALUE"""),"")</f>
        <v/>
      </c>
      <c r="V1121" s="22" t="str">
        <f>IFERROR(__xludf.DUMMYFUNCTION("""COMPUTED_VALUE"""),"")</f>
        <v/>
      </c>
      <c r="W1121" s="9" t="str">
        <f>IFERROR(__xludf.DUMMYFUNCTION("""COMPUTED_VALUE"""),"")</f>
        <v/>
      </c>
      <c r="X1121" s="22" t="str">
        <f>IFERROR(__xludf.DUMMYFUNCTION("""COMPUTED_VALUE"""),"")</f>
        <v/>
      </c>
      <c r="Y1121" s="22" t="str">
        <f>IFERROR(__xludf.DUMMYFUNCTION("""COMPUTED_VALUE"""),"")</f>
        <v/>
      </c>
      <c r="Z1121" s="24" t="str">
        <f>IFERROR(__xludf.DUMMYFUNCTION("""COMPUTED_VALUE"""),"")</f>
        <v/>
      </c>
    </row>
    <row r="1122">
      <c r="A1122" s="5" t="str">
        <f>IFERROR(__xludf.DUMMYFUNCTION("""COMPUTED_VALUE"""),"")</f>
        <v/>
      </c>
      <c r="B1122" s="5" t="str">
        <f>IFERROR(__xludf.DUMMYFUNCTION("""COMPUTED_VALUE"""),"89845")</f>
        <v>89845</v>
      </c>
      <c r="C1122" s="9">
        <f>IFERROR(__xludf.DUMMYFUNCTION("""COMPUTED_VALUE"""),4.4642000794E10)</f>
        <v>44642000794</v>
      </c>
      <c r="D1122" s="87" t="str">
        <f>IFERROR(__xludf.DUMMYFUNCTION("""COMPUTED_VALUE"""),"ASML")</f>
        <v>ASML</v>
      </c>
      <c r="E1122" s="193">
        <f>IFERROR(__xludf.DUMMYFUNCTION("""COMPUTED_VALUE"""),44642.0)</f>
        <v>44642</v>
      </c>
      <c r="F1122" s="5" t="str">
        <f>IFERROR(__xludf.DUMMYFUNCTION("""COMPUTED_VALUE"""),"Stock")</f>
        <v>Stock</v>
      </c>
      <c r="G1122" s="5" t="str">
        <f>IFERROR(__xludf.DUMMYFUNCTION("""COMPUTED_VALUE"""),"USD")</f>
        <v>USD</v>
      </c>
      <c r="H1122" s="22" t="str">
        <f>IFERROR(__xludf.DUMMYFUNCTION("""COMPUTED_VALUE"""),"")</f>
        <v/>
      </c>
      <c r="I1122" s="194">
        <f>IFERROR(__xludf.DUMMYFUNCTION("""COMPUTED_VALUE"""),7.82695)</f>
        <v>7.82695</v>
      </c>
      <c r="J1122" s="23">
        <f>IFERROR(__xludf.DUMMYFUNCTION("""COMPUTED_VALUE"""),688.74)</f>
        <v>688.74</v>
      </c>
      <c r="K1122" s="5"/>
      <c r="L1122" s="23">
        <f>IFERROR(__xludf.DUMMYFUNCTION("""COMPUTED_VALUE"""),612.76)</f>
        <v>612.76</v>
      </c>
      <c r="M1122" s="195" t="str">
        <f>IFERROR(__xludf.DUMMYFUNCTION("""COMPUTED_VALUE"""),"Equity Key Stats")</f>
        <v>Equity Key Stats</v>
      </c>
      <c r="N1122" s="5"/>
      <c r="O1122" s="5"/>
      <c r="P1122" s="142">
        <f>IFERROR(__xludf.DUMMYFUNCTION("""COMPUTED_VALUE"""),0.0)</f>
        <v>0</v>
      </c>
      <c r="Q1122" s="5"/>
      <c r="R1122" s="71">
        <f>IFERROR(__xludf.DUMMYFUNCTION("""COMPUTED_VALUE"""),612.76)</f>
        <v>612.76</v>
      </c>
      <c r="S1122" s="142">
        <f>IFERROR(__xludf.DUMMYFUNCTION("""COMPUTED_VALUE"""),0.0)</f>
        <v>0</v>
      </c>
      <c r="T1122" s="5">
        <f>IFERROR(__xludf.DUMMYFUNCTION("""COMPUTED_VALUE"""),4.0)</f>
        <v>4</v>
      </c>
      <c r="U1122" s="5">
        <f>IFERROR(__xludf.DUMMYFUNCTION("""COMPUTED_VALUE"""),1.0)</f>
        <v>1</v>
      </c>
      <c r="V1122" s="22">
        <f>IFERROR(__xludf.DUMMYFUNCTION("""COMPUTED_VALUE"""),0.0)</f>
        <v>0</v>
      </c>
      <c r="W1122" s="9" t="str">
        <f>IFERROR(__xludf.DUMMYFUNCTION("""COMPUTED_VALUE"""),"")</f>
        <v/>
      </c>
      <c r="X1122" s="22" t="str">
        <f>IFERROR(__xludf.DUMMYFUNCTION("""COMPUTED_VALUE"""),"")</f>
        <v/>
      </c>
      <c r="Y1122" s="22" t="str">
        <f>IFERROR(__xludf.DUMMYFUNCTION("""COMPUTED_VALUE"""),"")</f>
        <v/>
      </c>
      <c r="Z1122" s="24" t="str">
        <f>IFERROR(__xludf.DUMMYFUNCTION("""COMPUTED_VALUE"""),"")</f>
        <v/>
      </c>
    </row>
    <row r="1123">
      <c r="A1123" s="5" t="str">
        <f>IFERROR(__xludf.DUMMYFUNCTION("""COMPUTED_VALUE"""),"")</f>
        <v/>
      </c>
      <c r="B1123" s="5" t="str">
        <f>IFERROR(__xludf.DUMMYFUNCTION("""COMPUTED_VALUE"""),"89845")</f>
        <v>89845</v>
      </c>
      <c r="C1123" s="9">
        <f>IFERROR(__xludf.DUMMYFUNCTION("""COMPUTED_VALUE"""),4.4645000915E10)</f>
        <v>44645000915</v>
      </c>
      <c r="D1123" s="87" t="str">
        <f>IFERROR(__xludf.DUMMYFUNCTION("""COMPUTED_VALUE"""),"AAPL")</f>
        <v>AAPL</v>
      </c>
      <c r="E1123" s="193">
        <f>IFERROR(__xludf.DUMMYFUNCTION("""COMPUTED_VALUE"""),44645.0)</f>
        <v>44645</v>
      </c>
      <c r="F1123" s="5" t="str">
        <f>IFERROR(__xludf.DUMMYFUNCTION("""COMPUTED_VALUE"""),"Stock")</f>
        <v>Stock</v>
      </c>
      <c r="G1123" s="5" t="str">
        <f>IFERROR(__xludf.DUMMYFUNCTION("""COMPUTED_VALUE"""),"USD")</f>
        <v>USD</v>
      </c>
      <c r="H1123" s="22">
        <f>IFERROR(__xludf.DUMMYFUNCTION("""COMPUTED_VALUE"""),100.0)</f>
        <v>100</v>
      </c>
      <c r="I1123" s="194">
        <f>IFERROR(__xludf.DUMMYFUNCTION("""COMPUTED_VALUE"""),7.82975)</f>
        <v>7.82975</v>
      </c>
      <c r="J1123" s="23">
        <f>IFERROR(__xludf.DUMMYFUNCTION("""COMPUTED_VALUE"""),174.72)</f>
        <v>174.72</v>
      </c>
      <c r="K1123" s="5"/>
      <c r="L1123" s="23">
        <f>IFERROR(__xludf.DUMMYFUNCTION("""COMPUTED_VALUE"""),170.4)</f>
        <v>170.4</v>
      </c>
      <c r="M1123" s="195" t="str">
        <f>IFERROR(__xludf.DUMMYFUNCTION("""COMPUTED_VALUE"""),"Equity Key Stats")</f>
        <v>Equity Key Stats</v>
      </c>
      <c r="N1123" s="5"/>
      <c r="O1123" s="5"/>
      <c r="P1123" s="142">
        <f>IFERROR(__xludf.DUMMYFUNCTION("""COMPUTED_VALUE"""),-136801.392)</f>
        <v>-136801.392</v>
      </c>
      <c r="Q1123" s="5"/>
      <c r="R1123" s="71">
        <f>IFERROR(__xludf.DUMMYFUNCTION("""COMPUTED_VALUE"""),170.4)</f>
        <v>170.4</v>
      </c>
      <c r="S1123" s="142">
        <f>IFERROR(__xludf.DUMMYFUNCTION("""COMPUTED_VALUE"""),133418.94)</f>
        <v>133418.94</v>
      </c>
      <c r="T1123" s="5">
        <f>IFERROR(__xludf.DUMMYFUNCTION("""COMPUTED_VALUE"""),1.0)</f>
        <v>1</v>
      </c>
      <c r="U1123" s="5">
        <f>IFERROR(__xludf.DUMMYFUNCTION("""COMPUTED_VALUE"""),1.0)</f>
        <v>1</v>
      </c>
      <c r="V1123" s="22">
        <f>IFERROR(__xludf.DUMMYFUNCTION("""COMPUTED_VALUE"""),-3382.45199999999)</f>
        <v>-3382.452</v>
      </c>
      <c r="W1123" s="9" t="str">
        <f>IFERROR(__xludf.DUMMYFUNCTION("""COMPUTED_VALUE"""),"")</f>
        <v/>
      </c>
      <c r="X1123" s="22" t="str">
        <f>IFERROR(__xludf.DUMMYFUNCTION("""COMPUTED_VALUE"""),"")</f>
        <v/>
      </c>
      <c r="Y1123" s="22" t="str">
        <f>IFERROR(__xludf.DUMMYFUNCTION("""COMPUTED_VALUE"""),"")</f>
        <v/>
      </c>
      <c r="Z1123" s="24" t="str">
        <f>IFERROR(__xludf.DUMMYFUNCTION("""COMPUTED_VALUE"""),"")</f>
        <v/>
      </c>
    </row>
    <row r="1124">
      <c r="A1124" s="5" t="str">
        <f>IFERROR(__xludf.DUMMYFUNCTION("""COMPUTED_VALUE"""),"")</f>
        <v/>
      </c>
      <c r="B1124" s="5" t="str">
        <f>IFERROR(__xludf.DUMMYFUNCTION("""COMPUTED_VALUE"""),"89845")</f>
        <v>89845</v>
      </c>
      <c r="C1124" s="9">
        <f>IFERROR(__xludf.DUMMYFUNCTION("""COMPUTED_VALUE"""),4.4645000917E10)</f>
        <v>44645000917</v>
      </c>
      <c r="D1124" s="87" t="str">
        <f>IFERROR(__xludf.DUMMYFUNCTION("""COMPUTED_VALUE"""),"TSLA")</f>
        <v>TSLA</v>
      </c>
      <c r="E1124" s="193">
        <f>IFERROR(__xludf.DUMMYFUNCTION("""COMPUTED_VALUE"""),44645.0)</f>
        <v>44645</v>
      </c>
      <c r="F1124" s="5" t="str">
        <f>IFERROR(__xludf.DUMMYFUNCTION("""COMPUTED_VALUE"""),"Stock")</f>
        <v>Stock</v>
      </c>
      <c r="G1124" s="5" t="str">
        <f>IFERROR(__xludf.DUMMYFUNCTION("""COMPUTED_VALUE"""),"USD")</f>
        <v>USD</v>
      </c>
      <c r="H1124" s="22" t="str">
        <f>IFERROR(__xludf.DUMMYFUNCTION("""COMPUTED_VALUE"""),"")</f>
        <v/>
      </c>
      <c r="I1124" s="194">
        <f>IFERROR(__xludf.DUMMYFUNCTION("""COMPUTED_VALUE"""),7.82975)</f>
        <v>7.82975</v>
      </c>
      <c r="J1124" s="23">
        <f>IFERROR(__xludf.DUMMYFUNCTION("""COMPUTED_VALUE"""),1010.64)</f>
        <v>1010.64</v>
      </c>
      <c r="K1124" s="5"/>
      <c r="L1124" s="23">
        <f>IFERROR(__xludf.DUMMYFUNCTION("""COMPUTED_VALUE"""),1022.37)</f>
        <v>1022.37</v>
      </c>
      <c r="M1124" s="195" t="str">
        <f>IFERROR(__xludf.DUMMYFUNCTION("""COMPUTED_VALUE"""),"Equity Key Stats")</f>
        <v>Equity Key Stats</v>
      </c>
      <c r="N1124" s="5"/>
      <c r="O1124" s="5"/>
      <c r="P1124" s="142">
        <f>IFERROR(__xludf.DUMMYFUNCTION("""COMPUTED_VALUE"""),0.0)</f>
        <v>0</v>
      </c>
      <c r="Q1124" s="5"/>
      <c r="R1124" s="71">
        <f>IFERROR(__xludf.DUMMYFUNCTION("""COMPUTED_VALUE"""),1022.37)</f>
        <v>1022.37</v>
      </c>
      <c r="S1124" s="142">
        <f>IFERROR(__xludf.DUMMYFUNCTION("""COMPUTED_VALUE"""),0.0)</f>
        <v>0</v>
      </c>
      <c r="T1124" s="5">
        <f>IFERROR(__xludf.DUMMYFUNCTION("""COMPUTED_VALUE"""),1.0)</f>
        <v>1</v>
      </c>
      <c r="U1124" s="5">
        <f>IFERROR(__xludf.DUMMYFUNCTION("""COMPUTED_VALUE"""),1.0)</f>
        <v>1</v>
      </c>
      <c r="V1124" s="22">
        <f>IFERROR(__xludf.DUMMYFUNCTION("""COMPUTED_VALUE"""),0.0)</f>
        <v>0</v>
      </c>
      <c r="W1124" s="9" t="str">
        <f>IFERROR(__xludf.DUMMYFUNCTION("""COMPUTED_VALUE"""),"")</f>
        <v/>
      </c>
      <c r="X1124" s="22" t="str">
        <f>IFERROR(__xludf.DUMMYFUNCTION("""COMPUTED_VALUE"""),"")</f>
        <v/>
      </c>
      <c r="Y1124" s="22" t="str">
        <f>IFERROR(__xludf.DUMMYFUNCTION("""COMPUTED_VALUE"""),"")</f>
        <v/>
      </c>
      <c r="Z1124" s="24" t="str">
        <f>IFERROR(__xludf.DUMMYFUNCTION("""COMPUTED_VALUE"""),"")</f>
        <v/>
      </c>
    </row>
    <row r="1125">
      <c r="A1125" s="5" t="str">
        <f>IFERROR(__xludf.DUMMYFUNCTION("""COMPUTED_VALUE"""),"")</f>
        <v/>
      </c>
      <c r="B1125" s="5" t="str">
        <f>IFERROR(__xludf.DUMMYFUNCTION("""COMPUTED_VALUE"""),"89845")</f>
        <v>89845</v>
      </c>
      <c r="C1125" s="9">
        <f>IFERROR(__xludf.DUMMYFUNCTION("""COMPUTED_VALUE"""),4.4660001266E10)</f>
        <v>44660001266</v>
      </c>
      <c r="D1125" s="91" t="str">
        <f>IFERROR(__xludf.DUMMYFUNCTION("""COMPUTED_VALUE"""),"9939.HK")</f>
        <v>9939.HK</v>
      </c>
      <c r="E1125" s="193">
        <f>IFERROR(__xludf.DUMMYFUNCTION("""COMPUTED_VALUE"""),44660.0)</f>
        <v>44660</v>
      </c>
      <c r="F1125" s="5" t="str">
        <f>IFERROR(__xludf.DUMMYFUNCTION("""COMPUTED_VALUE"""),"Stock")</f>
        <v>Stock</v>
      </c>
      <c r="G1125" s="5" t="str">
        <f>IFERROR(__xludf.DUMMYFUNCTION("""COMPUTED_VALUE"""),"HKD")</f>
        <v>HKD</v>
      </c>
      <c r="H1125" s="22">
        <f>IFERROR(__xludf.DUMMYFUNCTION("""COMPUTED_VALUE"""),500.0)</f>
        <v>500</v>
      </c>
      <c r="I1125" s="194">
        <f>IFERROR(__xludf.DUMMYFUNCTION("""COMPUTED_VALUE"""),1.0)</f>
        <v>1</v>
      </c>
      <c r="J1125" s="23">
        <f>IFERROR(__xludf.DUMMYFUNCTION("""COMPUTED_VALUE"""),27.3)</f>
        <v>27.3</v>
      </c>
      <c r="K1125" s="5"/>
      <c r="L1125" s="23">
        <f>IFERROR(__xludf.DUMMYFUNCTION("""COMPUTED_VALUE"""),28.15)</f>
        <v>28.15</v>
      </c>
      <c r="M1125" s="195" t="str">
        <f>IFERROR(__xludf.DUMMYFUNCTION("""COMPUTED_VALUE"""),"Equity Key Stats")</f>
        <v>Equity Key Stats</v>
      </c>
      <c r="N1125" s="5"/>
      <c r="O1125" s="5"/>
      <c r="P1125" s="142">
        <f>IFERROR(__xludf.DUMMYFUNCTION("""COMPUTED_VALUE"""),-13650.0)</f>
        <v>-13650</v>
      </c>
      <c r="Q1125" s="5"/>
      <c r="R1125" s="71">
        <f>IFERROR(__xludf.DUMMYFUNCTION("""COMPUTED_VALUE"""),28.15)</f>
        <v>28.15</v>
      </c>
      <c r="S1125" s="142">
        <f>IFERROR(__xludf.DUMMYFUNCTION("""COMPUTED_VALUE"""),14075.0)</f>
        <v>14075</v>
      </c>
      <c r="T1125" s="5">
        <f>IFERROR(__xludf.DUMMYFUNCTION("""COMPUTED_VALUE"""),1.0)</f>
        <v>1</v>
      </c>
      <c r="U1125" s="5">
        <f>IFERROR(__xludf.DUMMYFUNCTION("""COMPUTED_VALUE"""),1.0)</f>
        <v>1</v>
      </c>
      <c r="V1125" s="22">
        <f>IFERROR(__xludf.DUMMYFUNCTION("""COMPUTED_VALUE"""),425.0)</f>
        <v>425</v>
      </c>
      <c r="W1125" s="9" t="str">
        <f>IFERROR(__xludf.DUMMYFUNCTION("""COMPUTED_VALUE"""),"")</f>
        <v/>
      </c>
      <c r="X1125" s="22" t="str">
        <f>IFERROR(__xludf.DUMMYFUNCTION("""COMPUTED_VALUE"""),"")</f>
        <v/>
      </c>
      <c r="Y1125" s="22" t="str">
        <f>IFERROR(__xludf.DUMMYFUNCTION("""COMPUTED_VALUE"""),"")</f>
        <v/>
      </c>
      <c r="Z1125" s="24" t="str">
        <f>IFERROR(__xludf.DUMMYFUNCTION("""COMPUTED_VALUE"""),"")</f>
        <v/>
      </c>
    </row>
    <row r="1126">
      <c r="A1126" s="5" t="str">
        <f>IFERROR(__xludf.DUMMYFUNCTION("""COMPUTED_VALUE"""),"89845")</f>
        <v>89845</v>
      </c>
      <c r="B1126" s="5" t="str">
        <f>IFERROR(__xludf.DUMMYFUNCTION("""COMPUTED_VALUE"""),"89845")</f>
        <v>89845</v>
      </c>
      <c r="C1126" s="9">
        <f>IFERROR(__xludf.DUMMYFUNCTION("""COMPUTED_VALUE"""),4.4663001401E10)</f>
        <v>44663001401</v>
      </c>
      <c r="D1126" s="85" t="str">
        <f>IFERROR(__xludf.DUMMYFUNCTION("""COMPUTED_VALUE"""),"TWTR")</f>
        <v>TWTR</v>
      </c>
      <c r="E1126" s="193">
        <f>IFERROR(__xludf.DUMMYFUNCTION("""COMPUTED_VALUE"""),44663.0)</f>
        <v>44663</v>
      </c>
      <c r="F1126" s="5" t="str">
        <f>IFERROR(__xludf.DUMMYFUNCTION("""COMPUTED_VALUE"""),"Stock")</f>
        <v>Stock</v>
      </c>
      <c r="G1126" s="5" t="str">
        <f>IFERROR(__xludf.DUMMYFUNCTION("""COMPUTED_VALUE"""),"USD")</f>
        <v>USD</v>
      </c>
      <c r="H1126" s="22">
        <f>IFERROR(__xludf.DUMMYFUNCTION("""COMPUTED_VALUE"""),200.0)</f>
        <v>200</v>
      </c>
      <c r="I1126" s="194">
        <f>IFERROR(__xludf.DUMMYFUNCTION("""COMPUTED_VALUE"""),7.83775)</f>
        <v>7.83775</v>
      </c>
      <c r="J1126" s="23">
        <f>IFERROR(__xludf.DUMMYFUNCTION("""COMPUTED_VALUE"""),44.48)</f>
        <v>44.48</v>
      </c>
      <c r="K1126" s="5"/>
      <c r="L1126" s="23">
        <f>IFERROR(__xludf.DUMMYFUNCTION("""COMPUTED_VALUE"""),45.85)</f>
        <v>45.85</v>
      </c>
      <c r="M1126" s="195" t="str">
        <f>IFERROR(__xludf.DUMMYFUNCTION("""COMPUTED_VALUE"""),"Equity Key Stats")</f>
        <v>Equity Key Stats</v>
      </c>
      <c r="N1126" s="5"/>
      <c r="O1126" s="5"/>
      <c r="P1126" s="142">
        <f>IFERROR(__xludf.DUMMYFUNCTION("""COMPUTED_VALUE"""),-69724.624)</f>
        <v>-69724.624</v>
      </c>
      <c r="Q1126" s="5"/>
      <c r="R1126" s="71">
        <f>IFERROR(__xludf.DUMMYFUNCTION("""COMPUTED_VALUE"""),45.85)</f>
        <v>45.85</v>
      </c>
      <c r="S1126" s="142">
        <f>IFERROR(__xludf.DUMMYFUNCTION("""COMPUTED_VALUE"""),71872.1675)</f>
        <v>71872.1675</v>
      </c>
      <c r="T1126" s="5">
        <f>IFERROR(__xludf.DUMMYFUNCTION("""COMPUTED_VALUE"""),1.0)</f>
        <v>1</v>
      </c>
      <c r="U1126" s="5">
        <f>IFERROR(__xludf.DUMMYFUNCTION("""COMPUTED_VALUE"""),1.0)</f>
        <v>1</v>
      </c>
      <c r="V1126" s="22">
        <f>IFERROR(__xludf.DUMMYFUNCTION("""COMPUTED_VALUE"""),2147.5434999999998)</f>
        <v>2147.5435</v>
      </c>
      <c r="W1126" s="9">
        <f>IFERROR(__xludf.DUMMYFUNCTION("""COMPUTED_VALUE"""),499190.0915)</f>
        <v>499190.0915</v>
      </c>
      <c r="X1126" s="22">
        <f>IFERROR(__xludf.DUMMYFUNCTION("""COMPUTED_VALUE"""),279823.984)</f>
        <v>279823.984</v>
      </c>
      <c r="Y1126" s="22">
        <f>IFERROR(__xludf.DUMMYFUNCTION("""COMPUTED_VALUE"""),0.0)</f>
        <v>0</v>
      </c>
      <c r="Z1126" s="24">
        <f>IFERROR(__xludf.DUMMYFUNCTION("""COMPUTED_VALUE"""),-0.0016198170000000234)</f>
        <v>-0.001619817</v>
      </c>
    </row>
    <row r="1127">
      <c r="A1127" s="5" t="str">
        <f>IFERROR(__xludf.DUMMYFUNCTION("""COMPUTED_VALUE"""),"")</f>
        <v/>
      </c>
      <c r="B1127" s="5" t="str">
        <f>IFERROR(__xludf.DUMMYFUNCTION("""COMPUTED_VALUE"""),"95516")</f>
        <v>95516</v>
      </c>
      <c r="C1127" s="9">
        <f>IFERROR(__xludf.DUMMYFUNCTION("""COMPUTED_VALUE"""),4.4597000036E10)</f>
        <v>44597000036</v>
      </c>
      <c r="D1127" s="85" t="str">
        <f>IFERROR(__xludf.DUMMYFUNCTION("""COMPUTED_VALUE"""),"Cash")</f>
        <v>Cash</v>
      </c>
      <c r="E1127" s="193">
        <f>IFERROR(__xludf.DUMMYFUNCTION("""COMPUTED_VALUE"""),44597.0)</f>
        <v>44597</v>
      </c>
      <c r="F1127" s="5" t="str">
        <f>IFERROR(__xludf.DUMMYFUNCTION("""COMPUTED_VALUE"""),"Cash")</f>
        <v>Cash</v>
      </c>
      <c r="G1127" s="5" t="str">
        <f>IFERROR(__xludf.DUMMYFUNCTION("""COMPUTED_VALUE"""),"HKD")</f>
        <v>HKD</v>
      </c>
      <c r="H1127" s="22" t="str">
        <f>IFERROR(__xludf.DUMMYFUNCTION("""COMPUTED_VALUE"""),"")</f>
        <v/>
      </c>
      <c r="I1127" s="194">
        <f>IFERROR(__xludf.DUMMYFUNCTION("""COMPUTED_VALUE"""),1.0)</f>
        <v>1</v>
      </c>
      <c r="J1127" s="5">
        <f>IFERROR(__xludf.DUMMYFUNCTION("""COMPUTED_VALUE"""),1.0)</f>
        <v>1</v>
      </c>
      <c r="K1127" s="5"/>
      <c r="L1127" s="23">
        <f>IFERROR(__xludf.DUMMYFUNCTION("""COMPUTED_VALUE"""),1.0)</f>
        <v>1</v>
      </c>
      <c r="M1127" s="25" t="str">
        <f>IFERROR(__xludf.DUMMYFUNCTION("""COMPUTED_VALUE"""),"")</f>
        <v/>
      </c>
      <c r="N1127" s="5"/>
      <c r="O1127" s="5"/>
      <c r="P1127" s="142">
        <f>IFERROR(__xludf.DUMMYFUNCTION("""COMPUTED_VALUE"""),500000.0)</f>
        <v>500000</v>
      </c>
      <c r="Q1127" s="5"/>
      <c r="R1127" s="71">
        <f>IFERROR(__xludf.DUMMYFUNCTION("""COMPUTED_VALUE"""),1.0)</f>
        <v>1</v>
      </c>
      <c r="S1127" s="142" t="str">
        <f>IFERROR(__xludf.DUMMYFUNCTION("""COMPUTED_VALUE"""),"")</f>
        <v/>
      </c>
      <c r="T1127" s="5">
        <f>IFERROR(__xludf.DUMMYFUNCTION("""COMPUTED_VALUE"""),1.0)</f>
        <v>1</v>
      </c>
      <c r="U1127" s="5">
        <f>IFERROR(__xludf.DUMMYFUNCTION("""COMPUTED_VALUE"""),1.0)</f>
        <v>1</v>
      </c>
      <c r="V1127" s="22">
        <f>IFERROR(__xludf.DUMMYFUNCTION("""COMPUTED_VALUE"""),500000.0)</f>
        <v>500000</v>
      </c>
      <c r="W1127" s="9" t="str">
        <f>IFERROR(__xludf.DUMMYFUNCTION("""COMPUTED_VALUE"""),"")</f>
        <v/>
      </c>
      <c r="X1127" s="22" t="str">
        <f>IFERROR(__xludf.DUMMYFUNCTION("""COMPUTED_VALUE"""),"")</f>
        <v/>
      </c>
      <c r="Y1127" s="22" t="str">
        <f>IFERROR(__xludf.DUMMYFUNCTION("""COMPUTED_VALUE"""),"")</f>
        <v/>
      </c>
      <c r="Z1127" s="24" t="str">
        <f>IFERROR(__xludf.DUMMYFUNCTION("""COMPUTED_VALUE"""),"")</f>
        <v/>
      </c>
    </row>
    <row r="1128">
      <c r="A1128" s="5" t="str">
        <f>IFERROR(__xludf.DUMMYFUNCTION("""COMPUTED_VALUE"""),"")</f>
        <v/>
      </c>
      <c r="B1128" s="5" t="str">
        <f>IFERROR(__xludf.DUMMYFUNCTION("""COMPUTED_VALUE"""),"95516")</f>
        <v>95516</v>
      </c>
      <c r="C1128" s="9">
        <f>IFERROR(__xludf.DUMMYFUNCTION("""COMPUTED_VALUE"""),4.4637000648E10)</f>
        <v>44637000648</v>
      </c>
      <c r="D1128" s="90" t="str">
        <f>IFERROR(__xludf.DUMMYFUNCTION("""COMPUTED_VALUE"""),"0968.HK")</f>
        <v>0968.HK</v>
      </c>
      <c r="E1128" s="193">
        <f>IFERROR(__xludf.DUMMYFUNCTION("""COMPUTED_VALUE"""),44637.0)</f>
        <v>44637</v>
      </c>
      <c r="F1128" s="5" t="str">
        <f>IFERROR(__xludf.DUMMYFUNCTION("""COMPUTED_VALUE"""),"Stock")</f>
        <v>Stock</v>
      </c>
      <c r="G1128" s="5" t="str">
        <f>IFERROR(__xludf.DUMMYFUNCTION("""COMPUTED_VALUE"""),"HKD")</f>
        <v>HKD</v>
      </c>
      <c r="H1128" s="22">
        <f>IFERROR(__xludf.DUMMYFUNCTION("""COMPUTED_VALUE"""),10000.0)</f>
        <v>10000</v>
      </c>
      <c r="I1128" s="194">
        <f>IFERROR(__xludf.DUMMYFUNCTION("""COMPUTED_VALUE"""),1.0)</f>
        <v>1</v>
      </c>
      <c r="J1128" s="23">
        <f>IFERROR(__xludf.DUMMYFUNCTION("""COMPUTED_VALUE"""),14.0)</f>
        <v>14</v>
      </c>
      <c r="K1128" s="5"/>
      <c r="L1128" s="23">
        <f>IFERROR(__xludf.DUMMYFUNCTION("""COMPUTED_VALUE"""),13.62)</f>
        <v>13.62</v>
      </c>
      <c r="M1128" s="195" t="str">
        <f>IFERROR(__xludf.DUMMYFUNCTION("""COMPUTED_VALUE"""),"Equity Key Stats")</f>
        <v>Equity Key Stats</v>
      </c>
      <c r="N1128" s="5"/>
      <c r="O1128" s="5"/>
      <c r="P1128" s="142">
        <f>IFERROR(__xludf.DUMMYFUNCTION("""COMPUTED_VALUE"""),-140000.0)</f>
        <v>-140000</v>
      </c>
      <c r="Q1128" s="5"/>
      <c r="R1128" s="71">
        <f>IFERROR(__xludf.DUMMYFUNCTION("""COMPUTED_VALUE"""),13.62)</f>
        <v>13.62</v>
      </c>
      <c r="S1128" s="142">
        <f>IFERROR(__xludf.DUMMYFUNCTION("""COMPUTED_VALUE"""),136200.0)</f>
        <v>136200</v>
      </c>
      <c r="T1128" s="5">
        <f>IFERROR(__xludf.DUMMYFUNCTION("""COMPUTED_VALUE"""),2.0)</f>
        <v>2</v>
      </c>
      <c r="U1128" s="5" t="str">
        <f>IFERROR(__xludf.DUMMYFUNCTION("""COMPUTED_VALUE"""),"")</f>
        <v/>
      </c>
      <c r="V1128" s="22" t="str">
        <f>IFERROR(__xludf.DUMMYFUNCTION("""COMPUTED_VALUE"""),"")</f>
        <v/>
      </c>
      <c r="W1128" s="9" t="str">
        <f>IFERROR(__xludf.DUMMYFUNCTION("""COMPUTED_VALUE"""),"")</f>
        <v/>
      </c>
      <c r="X1128" s="22" t="str">
        <f>IFERROR(__xludf.DUMMYFUNCTION("""COMPUTED_VALUE"""),"")</f>
        <v/>
      </c>
      <c r="Y1128" s="22" t="str">
        <f>IFERROR(__xludf.DUMMYFUNCTION("""COMPUTED_VALUE"""),"")</f>
        <v/>
      </c>
      <c r="Z1128" s="24" t="str">
        <f>IFERROR(__xludf.DUMMYFUNCTION("""COMPUTED_VALUE"""),"")</f>
        <v/>
      </c>
    </row>
    <row r="1129">
      <c r="A1129" s="5" t="str">
        <f>IFERROR(__xludf.DUMMYFUNCTION("""COMPUTED_VALUE"""),"")</f>
        <v/>
      </c>
      <c r="B1129" s="5" t="str">
        <f>IFERROR(__xludf.DUMMYFUNCTION("""COMPUTED_VALUE"""),"95516")</f>
        <v>95516</v>
      </c>
      <c r="C1129" s="9">
        <f>IFERROR(__xludf.DUMMYFUNCTION("""COMPUTED_VALUE"""),4.463700065E10)</f>
        <v>44637000650</v>
      </c>
      <c r="D1129" s="90" t="str">
        <f>IFERROR(__xludf.DUMMYFUNCTION("""COMPUTED_VALUE"""),"3800.HK")</f>
        <v>3800.HK</v>
      </c>
      <c r="E1129" s="193">
        <f>IFERROR(__xludf.DUMMYFUNCTION("""COMPUTED_VALUE"""),44637.0)</f>
        <v>44637</v>
      </c>
      <c r="F1129" s="5" t="str">
        <f>IFERROR(__xludf.DUMMYFUNCTION("""COMPUTED_VALUE"""),"Stock")</f>
        <v>Stock</v>
      </c>
      <c r="G1129" s="5" t="str">
        <f>IFERROR(__xludf.DUMMYFUNCTION("""COMPUTED_VALUE"""),"HKD")</f>
        <v>HKD</v>
      </c>
      <c r="H1129" s="22">
        <f>IFERROR(__xludf.DUMMYFUNCTION("""COMPUTED_VALUE"""),10000.0)</f>
        <v>10000</v>
      </c>
      <c r="I1129" s="194">
        <f>IFERROR(__xludf.DUMMYFUNCTION("""COMPUTED_VALUE"""),1.0)</f>
        <v>1</v>
      </c>
      <c r="J1129" s="23">
        <f>IFERROR(__xludf.DUMMYFUNCTION("""COMPUTED_VALUE"""),2.54)</f>
        <v>2.54</v>
      </c>
      <c r="K1129" s="5"/>
      <c r="L1129" s="23">
        <f>IFERROR(__xludf.DUMMYFUNCTION("""COMPUTED_VALUE"""),2.51)</f>
        <v>2.51</v>
      </c>
      <c r="M1129" s="195" t="str">
        <f>IFERROR(__xludf.DUMMYFUNCTION("""COMPUTED_VALUE"""),"Equity Key Stats")</f>
        <v>Equity Key Stats</v>
      </c>
      <c r="N1129" s="5"/>
      <c r="O1129" s="5"/>
      <c r="P1129" s="142">
        <f>IFERROR(__xludf.DUMMYFUNCTION("""COMPUTED_VALUE"""),-25400.0)</f>
        <v>-25400</v>
      </c>
      <c r="Q1129" s="5"/>
      <c r="R1129" s="71">
        <f>IFERROR(__xludf.DUMMYFUNCTION("""COMPUTED_VALUE"""),2.51)</f>
        <v>2.51</v>
      </c>
      <c r="S1129" s="142">
        <f>IFERROR(__xludf.DUMMYFUNCTION("""COMPUTED_VALUE"""),25099.999999999996)</f>
        <v>25100</v>
      </c>
      <c r="T1129" s="5">
        <f>IFERROR(__xludf.DUMMYFUNCTION("""COMPUTED_VALUE"""),1.0)</f>
        <v>1</v>
      </c>
      <c r="U1129" s="5">
        <f>IFERROR(__xludf.DUMMYFUNCTION("""COMPUTED_VALUE"""),1.0)</f>
        <v>1</v>
      </c>
      <c r="V1129" s="22">
        <f>IFERROR(__xludf.DUMMYFUNCTION("""COMPUTED_VALUE"""),-300.00000000000364)</f>
        <v>-300</v>
      </c>
      <c r="W1129" s="9" t="str">
        <f>IFERROR(__xludf.DUMMYFUNCTION("""COMPUTED_VALUE"""),"")</f>
        <v/>
      </c>
      <c r="X1129" s="22" t="str">
        <f>IFERROR(__xludf.DUMMYFUNCTION("""COMPUTED_VALUE"""),"")</f>
        <v/>
      </c>
      <c r="Y1129" s="22" t="str">
        <f>IFERROR(__xludf.DUMMYFUNCTION("""COMPUTED_VALUE"""),"")</f>
        <v/>
      </c>
      <c r="Z1129" s="24" t="str">
        <f>IFERROR(__xludf.DUMMYFUNCTION("""COMPUTED_VALUE"""),"")</f>
        <v/>
      </c>
    </row>
    <row r="1130">
      <c r="A1130" s="5" t="str">
        <f>IFERROR(__xludf.DUMMYFUNCTION("""COMPUTED_VALUE"""),"")</f>
        <v/>
      </c>
      <c r="B1130" s="5" t="str">
        <f>IFERROR(__xludf.DUMMYFUNCTION("""COMPUTED_VALUE"""),"95516")</f>
        <v>95516</v>
      </c>
      <c r="C1130" s="9">
        <f>IFERROR(__xludf.DUMMYFUNCTION("""COMPUTED_VALUE"""),4.4637000651E10)</f>
        <v>44637000651</v>
      </c>
      <c r="D1130" s="90" t="str">
        <f>IFERROR(__xludf.DUMMYFUNCTION("""COMPUTED_VALUE"""),"0175.HK")</f>
        <v>0175.HK</v>
      </c>
      <c r="E1130" s="193">
        <f>IFERROR(__xludf.DUMMYFUNCTION("""COMPUTED_VALUE"""),44637.0)</f>
        <v>44637</v>
      </c>
      <c r="F1130" s="5" t="str">
        <f>IFERROR(__xludf.DUMMYFUNCTION("""COMPUTED_VALUE"""),"Stock")</f>
        <v>Stock</v>
      </c>
      <c r="G1130" s="5" t="str">
        <f>IFERROR(__xludf.DUMMYFUNCTION("""COMPUTED_VALUE"""),"HKD")</f>
        <v>HKD</v>
      </c>
      <c r="H1130" s="22">
        <f>IFERROR(__xludf.DUMMYFUNCTION("""COMPUTED_VALUE"""),5000.0)</f>
        <v>5000</v>
      </c>
      <c r="I1130" s="194">
        <f>IFERROR(__xludf.DUMMYFUNCTION("""COMPUTED_VALUE"""),1.0)</f>
        <v>1</v>
      </c>
      <c r="J1130" s="23">
        <f>IFERROR(__xludf.DUMMYFUNCTION("""COMPUTED_VALUE"""),11.6)</f>
        <v>11.6</v>
      </c>
      <c r="K1130" s="5"/>
      <c r="L1130" s="23">
        <f>IFERROR(__xludf.DUMMYFUNCTION("""COMPUTED_VALUE"""),11.22)</f>
        <v>11.22</v>
      </c>
      <c r="M1130" s="195" t="str">
        <f>IFERROR(__xludf.DUMMYFUNCTION("""COMPUTED_VALUE"""),"Equity Key Stats")</f>
        <v>Equity Key Stats</v>
      </c>
      <c r="N1130" s="5"/>
      <c r="O1130" s="5"/>
      <c r="P1130" s="142">
        <f>IFERROR(__xludf.DUMMYFUNCTION("""COMPUTED_VALUE"""),-58000.0)</f>
        <v>-58000</v>
      </c>
      <c r="Q1130" s="5"/>
      <c r="R1130" s="71">
        <f>IFERROR(__xludf.DUMMYFUNCTION("""COMPUTED_VALUE"""),11.22)</f>
        <v>11.22</v>
      </c>
      <c r="S1130" s="142">
        <f>IFERROR(__xludf.DUMMYFUNCTION("""COMPUTED_VALUE"""),56100.0)</f>
        <v>56100</v>
      </c>
      <c r="T1130" s="5">
        <f>IFERROR(__xludf.DUMMYFUNCTION("""COMPUTED_VALUE"""),1.0)</f>
        <v>1</v>
      </c>
      <c r="U1130" s="5">
        <f>IFERROR(__xludf.DUMMYFUNCTION("""COMPUTED_VALUE"""),1.0)</f>
        <v>1</v>
      </c>
      <c r="V1130" s="22">
        <f>IFERROR(__xludf.DUMMYFUNCTION("""COMPUTED_VALUE"""),-1900.0)</f>
        <v>-1900</v>
      </c>
      <c r="W1130" s="9" t="str">
        <f>IFERROR(__xludf.DUMMYFUNCTION("""COMPUTED_VALUE"""),"")</f>
        <v/>
      </c>
      <c r="X1130" s="22" t="str">
        <f>IFERROR(__xludf.DUMMYFUNCTION("""COMPUTED_VALUE"""),"")</f>
        <v/>
      </c>
      <c r="Y1130" s="22" t="str">
        <f>IFERROR(__xludf.DUMMYFUNCTION("""COMPUTED_VALUE"""),"")</f>
        <v/>
      </c>
      <c r="Z1130" s="24" t="str">
        <f>IFERROR(__xludf.DUMMYFUNCTION("""COMPUTED_VALUE"""),"")</f>
        <v/>
      </c>
    </row>
    <row r="1131">
      <c r="A1131" s="5" t="str">
        <f>IFERROR(__xludf.DUMMYFUNCTION("""COMPUTED_VALUE"""),"")</f>
        <v/>
      </c>
      <c r="B1131" s="5" t="str">
        <f>IFERROR(__xludf.DUMMYFUNCTION("""COMPUTED_VALUE"""),"95516")</f>
        <v>95516</v>
      </c>
      <c r="C1131" s="9">
        <f>IFERROR(__xludf.DUMMYFUNCTION("""COMPUTED_VALUE"""),4.4637000652E10)</f>
        <v>44637000652</v>
      </c>
      <c r="D1131" s="90" t="str">
        <f>IFERROR(__xludf.DUMMYFUNCTION("""COMPUTED_VALUE"""),"9988.HK")</f>
        <v>9988.HK</v>
      </c>
      <c r="E1131" s="193">
        <f>IFERROR(__xludf.DUMMYFUNCTION("""COMPUTED_VALUE"""),44637.0)</f>
        <v>44637</v>
      </c>
      <c r="F1131" s="5" t="str">
        <f>IFERROR(__xludf.DUMMYFUNCTION("""COMPUTED_VALUE"""),"Stock")</f>
        <v>Stock</v>
      </c>
      <c r="G1131" s="5" t="str">
        <f>IFERROR(__xludf.DUMMYFUNCTION("""COMPUTED_VALUE"""),"HKD")</f>
        <v>HKD</v>
      </c>
      <c r="H1131" s="22">
        <f>IFERROR(__xludf.DUMMYFUNCTION("""COMPUTED_VALUE"""),500.0)</f>
        <v>500</v>
      </c>
      <c r="I1131" s="194">
        <f>IFERROR(__xludf.DUMMYFUNCTION("""COMPUTED_VALUE"""),1.0)</f>
        <v>1</v>
      </c>
      <c r="J1131" s="23">
        <f>IFERROR(__xludf.DUMMYFUNCTION("""COMPUTED_VALUE"""),102.0)</f>
        <v>102</v>
      </c>
      <c r="K1131" s="5"/>
      <c r="L1131" s="23">
        <f>IFERROR(__xludf.DUMMYFUNCTION("""COMPUTED_VALUE"""),98.5)</f>
        <v>98.5</v>
      </c>
      <c r="M1131" s="195" t="str">
        <f>IFERROR(__xludf.DUMMYFUNCTION("""COMPUTED_VALUE"""),"Equity Key Stats")</f>
        <v>Equity Key Stats</v>
      </c>
      <c r="N1131" s="5"/>
      <c r="O1131" s="5"/>
      <c r="P1131" s="142">
        <f>IFERROR(__xludf.DUMMYFUNCTION("""COMPUTED_VALUE"""),-51000.0)</f>
        <v>-51000</v>
      </c>
      <c r="Q1131" s="5"/>
      <c r="R1131" s="71">
        <f>IFERROR(__xludf.DUMMYFUNCTION("""COMPUTED_VALUE"""),98.5)</f>
        <v>98.5</v>
      </c>
      <c r="S1131" s="142">
        <f>IFERROR(__xludf.DUMMYFUNCTION("""COMPUTED_VALUE"""),49250.0)</f>
        <v>49250</v>
      </c>
      <c r="T1131" s="5">
        <f>IFERROR(__xludf.DUMMYFUNCTION("""COMPUTED_VALUE"""),2.0)</f>
        <v>2</v>
      </c>
      <c r="U1131" s="5" t="str">
        <f>IFERROR(__xludf.DUMMYFUNCTION("""COMPUTED_VALUE"""),"")</f>
        <v/>
      </c>
      <c r="V1131" s="22" t="str">
        <f>IFERROR(__xludf.DUMMYFUNCTION("""COMPUTED_VALUE"""),"")</f>
        <v/>
      </c>
      <c r="W1131" s="9" t="str">
        <f>IFERROR(__xludf.DUMMYFUNCTION("""COMPUTED_VALUE"""),"")</f>
        <v/>
      </c>
      <c r="X1131" s="22" t="str">
        <f>IFERROR(__xludf.DUMMYFUNCTION("""COMPUTED_VALUE"""),"")</f>
        <v/>
      </c>
      <c r="Y1131" s="22" t="str">
        <f>IFERROR(__xludf.DUMMYFUNCTION("""COMPUTED_VALUE"""),"")</f>
        <v/>
      </c>
      <c r="Z1131" s="24" t="str">
        <f>IFERROR(__xludf.DUMMYFUNCTION("""COMPUTED_VALUE"""),"")</f>
        <v/>
      </c>
    </row>
    <row r="1132">
      <c r="A1132" s="5" t="str">
        <f>IFERROR(__xludf.DUMMYFUNCTION("""COMPUTED_VALUE"""),"")</f>
        <v/>
      </c>
      <c r="B1132" s="5" t="str">
        <f>IFERROR(__xludf.DUMMYFUNCTION("""COMPUTED_VALUE"""),"95516")</f>
        <v>95516</v>
      </c>
      <c r="C1132" s="9">
        <f>IFERROR(__xludf.DUMMYFUNCTION("""COMPUTED_VALUE"""),4.4637000653E10)</f>
        <v>44637000653</v>
      </c>
      <c r="D1132" s="90" t="str">
        <f>IFERROR(__xludf.DUMMYFUNCTION("""COMPUTED_VALUE"""),"9999.HK")</f>
        <v>9999.HK</v>
      </c>
      <c r="E1132" s="193">
        <f>IFERROR(__xludf.DUMMYFUNCTION("""COMPUTED_VALUE"""),44637.0)</f>
        <v>44637</v>
      </c>
      <c r="F1132" s="5" t="str">
        <f>IFERROR(__xludf.DUMMYFUNCTION("""COMPUTED_VALUE"""),"Stock")</f>
        <v>Stock</v>
      </c>
      <c r="G1132" s="5" t="str">
        <f>IFERROR(__xludf.DUMMYFUNCTION("""COMPUTED_VALUE"""),"HKD")</f>
        <v>HKD</v>
      </c>
      <c r="H1132" s="22">
        <f>IFERROR(__xludf.DUMMYFUNCTION("""COMPUTED_VALUE"""),500.0)</f>
        <v>500</v>
      </c>
      <c r="I1132" s="194">
        <f>IFERROR(__xludf.DUMMYFUNCTION("""COMPUTED_VALUE"""),1.0)</f>
        <v>1</v>
      </c>
      <c r="J1132" s="23">
        <f>IFERROR(__xludf.DUMMYFUNCTION("""COMPUTED_VALUE"""),142.3)</f>
        <v>142.3</v>
      </c>
      <c r="K1132" s="5"/>
      <c r="L1132" s="23">
        <f>IFERROR(__xludf.DUMMYFUNCTION("""COMPUTED_VALUE"""),149.2)</f>
        <v>149.2</v>
      </c>
      <c r="M1132" s="195" t="str">
        <f>IFERROR(__xludf.DUMMYFUNCTION("""COMPUTED_VALUE"""),"Equity Key Stats")</f>
        <v>Equity Key Stats</v>
      </c>
      <c r="N1132" s="5"/>
      <c r="O1132" s="5"/>
      <c r="P1132" s="142">
        <f>IFERROR(__xludf.DUMMYFUNCTION("""COMPUTED_VALUE"""),-71150.0)</f>
        <v>-71150</v>
      </c>
      <c r="Q1132" s="5"/>
      <c r="R1132" s="71">
        <f>IFERROR(__xludf.DUMMYFUNCTION("""COMPUTED_VALUE"""),149.2)</f>
        <v>149.2</v>
      </c>
      <c r="S1132" s="142">
        <f>IFERROR(__xludf.DUMMYFUNCTION("""COMPUTED_VALUE"""),74600.0)</f>
        <v>74600</v>
      </c>
      <c r="T1132" s="5">
        <f>IFERROR(__xludf.DUMMYFUNCTION("""COMPUTED_VALUE"""),2.0)</f>
        <v>2</v>
      </c>
      <c r="U1132" s="5" t="str">
        <f>IFERROR(__xludf.DUMMYFUNCTION("""COMPUTED_VALUE"""),"")</f>
        <v/>
      </c>
      <c r="V1132" s="22" t="str">
        <f>IFERROR(__xludf.DUMMYFUNCTION("""COMPUTED_VALUE"""),"")</f>
        <v/>
      </c>
      <c r="W1132" s="9" t="str">
        <f>IFERROR(__xludf.DUMMYFUNCTION("""COMPUTED_VALUE"""),"")</f>
        <v/>
      </c>
      <c r="X1132" s="22" t="str">
        <f>IFERROR(__xludf.DUMMYFUNCTION("""COMPUTED_VALUE"""),"")</f>
        <v/>
      </c>
      <c r="Y1132" s="22" t="str">
        <f>IFERROR(__xludf.DUMMYFUNCTION("""COMPUTED_VALUE"""),"")</f>
        <v/>
      </c>
      <c r="Z1132" s="24" t="str">
        <f>IFERROR(__xludf.DUMMYFUNCTION("""COMPUTED_VALUE"""),"")</f>
        <v/>
      </c>
    </row>
    <row r="1133">
      <c r="A1133" s="5" t="str">
        <f>IFERROR(__xludf.DUMMYFUNCTION("""COMPUTED_VALUE"""),"")</f>
        <v/>
      </c>
      <c r="B1133" s="5" t="str">
        <f>IFERROR(__xludf.DUMMYFUNCTION("""COMPUTED_VALUE"""),"95516")</f>
        <v>95516</v>
      </c>
      <c r="C1133" s="9">
        <f>IFERROR(__xludf.DUMMYFUNCTION("""COMPUTED_VALUE"""),4.4641000754E10)</f>
        <v>44641000754</v>
      </c>
      <c r="D1133" s="90" t="str">
        <f>IFERROR(__xludf.DUMMYFUNCTION("""COMPUTED_VALUE"""),"9988.HK")</f>
        <v>9988.HK</v>
      </c>
      <c r="E1133" s="193">
        <f>IFERROR(__xludf.DUMMYFUNCTION("""COMPUTED_VALUE"""),44641.0)</f>
        <v>44641</v>
      </c>
      <c r="F1133" s="5" t="str">
        <f>IFERROR(__xludf.DUMMYFUNCTION("""COMPUTED_VALUE"""),"Stock")</f>
        <v>Stock</v>
      </c>
      <c r="G1133" s="5" t="str">
        <f>IFERROR(__xludf.DUMMYFUNCTION("""COMPUTED_VALUE"""),"HKD")</f>
        <v>HKD</v>
      </c>
      <c r="H1133" s="22">
        <f>IFERROR(__xludf.DUMMYFUNCTION("""COMPUTED_VALUE"""),1500.0)</f>
        <v>1500</v>
      </c>
      <c r="I1133" s="194">
        <f>IFERROR(__xludf.DUMMYFUNCTION("""COMPUTED_VALUE"""),1.0)</f>
        <v>1</v>
      </c>
      <c r="J1133" s="23">
        <f>IFERROR(__xludf.DUMMYFUNCTION("""COMPUTED_VALUE"""),99.1)</f>
        <v>99.1</v>
      </c>
      <c r="K1133" s="5"/>
      <c r="L1133" s="23">
        <f>IFERROR(__xludf.DUMMYFUNCTION("""COMPUTED_VALUE"""),98.5)</f>
        <v>98.5</v>
      </c>
      <c r="M1133" s="195" t="str">
        <f>IFERROR(__xludf.DUMMYFUNCTION("""COMPUTED_VALUE"""),"Equity Key Stats")</f>
        <v>Equity Key Stats</v>
      </c>
      <c r="N1133" s="5"/>
      <c r="O1133" s="5"/>
      <c r="P1133" s="142">
        <f>IFERROR(__xludf.DUMMYFUNCTION("""COMPUTED_VALUE"""),-148650.0)</f>
        <v>-148650</v>
      </c>
      <c r="Q1133" s="5"/>
      <c r="R1133" s="71">
        <f>IFERROR(__xludf.DUMMYFUNCTION("""COMPUTED_VALUE"""),98.5)</f>
        <v>98.5</v>
      </c>
      <c r="S1133" s="142">
        <f>IFERROR(__xludf.DUMMYFUNCTION("""COMPUTED_VALUE"""),147750.0)</f>
        <v>147750</v>
      </c>
      <c r="T1133" s="5">
        <f>IFERROR(__xludf.DUMMYFUNCTION("""COMPUTED_VALUE"""),2.0)</f>
        <v>2</v>
      </c>
      <c r="U1133" s="5">
        <f>IFERROR(__xludf.DUMMYFUNCTION("""COMPUTED_VALUE"""),1.0)</f>
        <v>1</v>
      </c>
      <c r="V1133" s="22">
        <f>IFERROR(__xludf.DUMMYFUNCTION("""COMPUTED_VALUE"""),-2650.0)</f>
        <v>-2650</v>
      </c>
      <c r="W1133" s="9" t="str">
        <f>IFERROR(__xludf.DUMMYFUNCTION("""COMPUTED_VALUE"""),"")</f>
        <v/>
      </c>
      <c r="X1133" s="22" t="str">
        <f>IFERROR(__xludf.DUMMYFUNCTION("""COMPUTED_VALUE"""),"")</f>
        <v/>
      </c>
      <c r="Y1133" s="22" t="str">
        <f>IFERROR(__xludf.DUMMYFUNCTION("""COMPUTED_VALUE"""),"")</f>
        <v/>
      </c>
      <c r="Z1133" s="24" t="str">
        <f>IFERROR(__xludf.DUMMYFUNCTION("""COMPUTED_VALUE"""),"")</f>
        <v/>
      </c>
    </row>
    <row r="1134">
      <c r="A1134" s="5" t="str">
        <f>IFERROR(__xludf.DUMMYFUNCTION("""COMPUTED_VALUE"""),"")</f>
        <v/>
      </c>
      <c r="B1134" s="5" t="str">
        <f>IFERROR(__xludf.DUMMYFUNCTION("""COMPUTED_VALUE"""),"95516")</f>
        <v>95516</v>
      </c>
      <c r="C1134" s="9">
        <f>IFERROR(__xludf.DUMMYFUNCTION("""COMPUTED_VALUE"""),4.464400084E10)</f>
        <v>44644000840</v>
      </c>
      <c r="D1134" s="90" t="str">
        <f>IFERROR(__xludf.DUMMYFUNCTION("""COMPUTED_VALUE"""),"0968.HK")</f>
        <v>0968.HK</v>
      </c>
      <c r="E1134" s="193">
        <f>IFERROR(__xludf.DUMMYFUNCTION("""COMPUTED_VALUE"""),44644.0)</f>
        <v>44644</v>
      </c>
      <c r="F1134" s="5" t="str">
        <f>IFERROR(__xludf.DUMMYFUNCTION("""COMPUTED_VALUE"""),"Stock")</f>
        <v>Stock</v>
      </c>
      <c r="G1134" s="5" t="str">
        <f>IFERROR(__xludf.DUMMYFUNCTION("""COMPUTED_VALUE"""),"HKD")</f>
        <v>HKD</v>
      </c>
      <c r="H1134" s="22">
        <f>IFERROR(__xludf.DUMMYFUNCTION("""COMPUTED_VALUE"""),-10000.0)</f>
        <v>-10000</v>
      </c>
      <c r="I1134" s="194">
        <f>IFERROR(__xludf.DUMMYFUNCTION("""COMPUTED_VALUE"""),1.0)</f>
        <v>1</v>
      </c>
      <c r="J1134" s="23">
        <f>IFERROR(__xludf.DUMMYFUNCTION("""COMPUTED_VALUE"""),13.94)</f>
        <v>13.94</v>
      </c>
      <c r="K1134" s="5"/>
      <c r="L1134" s="23">
        <f>IFERROR(__xludf.DUMMYFUNCTION("""COMPUTED_VALUE"""),13.62)</f>
        <v>13.62</v>
      </c>
      <c r="M1134" s="195" t="str">
        <f>IFERROR(__xludf.DUMMYFUNCTION("""COMPUTED_VALUE"""),"Equity Key Stats")</f>
        <v>Equity Key Stats</v>
      </c>
      <c r="N1134" s="5"/>
      <c r="O1134" s="5"/>
      <c r="P1134" s="142">
        <f>IFERROR(__xludf.DUMMYFUNCTION("""COMPUTED_VALUE"""),139400.0)</f>
        <v>139400</v>
      </c>
      <c r="Q1134" s="5"/>
      <c r="R1134" s="71">
        <f>IFERROR(__xludf.DUMMYFUNCTION("""COMPUTED_VALUE"""),13.62)</f>
        <v>13.62</v>
      </c>
      <c r="S1134" s="142">
        <f>IFERROR(__xludf.DUMMYFUNCTION("""COMPUTED_VALUE"""),-136200.0)</f>
        <v>-136200</v>
      </c>
      <c r="T1134" s="5">
        <f>IFERROR(__xludf.DUMMYFUNCTION("""COMPUTED_VALUE"""),2.0)</f>
        <v>2</v>
      </c>
      <c r="U1134" s="5">
        <f>IFERROR(__xludf.DUMMYFUNCTION("""COMPUTED_VALUE"""),1.0)</f>
        <v>1</v>
      </c>
      <c r="V1134" s="22">
        <f>IFERROR(__xludf.DUMMYFUNCTION("""COMPUTED_VALUE"""),-600.0)</f>
        <v>-600</v>
      </c>
      <c r="W1134" s="9" t="str">
        <f>IFERROR(__xludf.DUMMYFUNCTION("""COMPUTED_VALUE"""),"")</f>
        <v/>
      </c>
      <c r="X1134" s="22" t="str">
        <f>IFERROR(__xludf.DUMMYFUNCTION("""COMPUTED_VALUE"""),"")</f>
        <v/>
      </c>
      <c r="Y1134" s="22" t="str">
        <f>IFERROR(__xludf.DUMMYFUNCTION("""COMPUTED_VALUE"""),"")</f>
        <v/>
      </c>
      <c r="Z1134" s="24" t="str">
        <f>IFERROR(__xludf.DUMMYFUNCTION("""COMPUTED_VALUE"""),"")</f>
        <v/>
      </c>
    </row>
    <row r="1135">
      <c r="A1135" s="5" t="str">
        <f>IFERROR(__xludf.DUMMYFUNCTION("""COMPUTED_VALUE"""),"")</f>
        <v/>
      </c>
      <c r="B1135" s="5" t="str">
        <f>IFERROR(__xludf.DUMMYFUNCTION("""COMPUTED_VALUE"""),"95516")</f>
        <v>95516</v>
      </c>
      <c r="C1135" s="9">
        <f>IFERROR(__xludf.DUMMYFUNCTION("""COMPUTED_VALUE"""),4.4648000934E10)</f>
        <v>44648000934</v>
      </c>
      <c r="D1135" s="90" t="str">
        <f>IFERROR(__xludf.DUMMYFUNCTION("""COMPUTED_VALUE"""),"1919.HK")</f>
        <v>1919.HK</v>
      </c>
      <c r="E1135" s="193">
        <f>IFERROR(__xludf.DUMMYFUNCTION("""COMPUTED_VALUE"""),44648.0)</f>
        <v>44648</v>
      </c>
      <c r="F1135" s="5" t="str">
        <f>IFERROR(__xludf.DUMMYFUNCTION("""COMPUTED_VALUE"""),"Stock")</f>
        <v>Stock</v>
      </c>
      <c r="G1135" s="5" t="str">
        <f>IFERROR(__xludf.DUMMYFUNCTION("""COMPUTED_VALUE"""),"HKD")</f>
        <v>HKD</v>
      </c>
      <c r="H1135" s="22">
        <f>IFERROR(__xludf.DUMMYFUNCTION("""COMPUTED_VALUE"""),10000.0)</f>
        <v>10000</v>
      </c>
      <c r="I1135" s="194">
        <f>IFERROR(__xludf.DUMMYFUNCTION("""COMPUTED_VALUE"""),1.0)</f>
        <v>1</v>
      </c>
      <c r="J1135" s="23">
        <f>IFERROR(__xludf.DUMMYFUNCTION("""COMPUTED_VALUE"""),13.72)</f>
        <v>13.72</v>
      </c>
      <c r="K1135" s="5"/>
      <c r="L1135" s="23">
        <f>IFERROR(__xludf.DUMMYFUNCTION("""COMPUTED_VALUE"""),12.78)</f>
        <v>12.78</v>
      </c>
      <c r="M1135" s="195" t="str">
        <f>IFERROR(__xludf.DUMMYFUNCTION("""COMPUTED_VALUE"""),"Equity Key Stats")</f>
        <v>Equity Key Stats</v>
      </c>
      <c r="N1135" s="5"/>
      <c r="O1135" s="5"/>
      <c r="P1135" s="142">
        <f>IFERROR(__xludf.DUMMYFUNCTION("""COMPUTED_VALUE"""),-137200.0)</f>
        <v>-137200</v>
      </c>
      <c r="Q1135" s="5"/>
      <c r="R1135" s="71">
        <f>IFERROR(__xludf.DUMMYFUNCTION("""COMPUTED_VALUE"""),12.78)</f>
        <v>12.78</v>
      </c>
      <c r="S1135" s="142">
        <f>IFERROR(__xludf.DUMMYFUNCTION("""COMPUTED_VALUE"""),127800.0)</f>
        <v>127800</v>
      </c>
      <c r="T1135" s="5">
        <f>IFERROR(__xludf.DUMMYFUNCTION("""COMPUTED_VALUE"""),2.0)</f>
        <v>2</v>
      </c>
      <c r="U1135" s="5" t="str">
        <f>IFERROR(__xludf.DUMMYFUNCTION("""COMPUTED_VALUE"""),"")</f>
        <v/>
      </c>
      <c r="V1135" s="22" t="str">
        <f>IFERROR(__xludf.DUMMYFUNCTION("""COMPUTED_VALUE"""),"")</f>
        <v/>
      </c>
      <c r="W1135" s="9" t="str">
        <f>IFERROR(__xludf.DUMMYFUNCTION("""COMPUTED_VALUE"""),"")</f>
        <v/>
      </c>
      <c r="X1135" s="22" t="str">
        <f>IFERROR(__xludf.DUMMYFUNCTION("""COMPUTED_VALUE"""),"")</f>
        <v/>
      </c>
      <c r="Y1135" s="22" t="str">
        <f>IFERROR(__xludf.DUMMYFUNCTION("""COMPUTED_VALUE"""),"")</f>
        <v/>
      </c>
      <c r="Z1135" s="24" t="str">
        <f>IFERROR(__xludf.DUMMYFUNCTION("""COMPUTED_VALUE"""),"")</f>
        <v/>
      </c>
    </row>
    <row r="1136">
      <c r="A1136" s="5" t="str">
        <f>IFERROR(__xludf.DUMMYFUNCTION("""COMPUTED_VALUE"""),"")</f>
        <v/>
      </c>
      <c r="B1136" s="5" t="str">
        <f>IFERROR(__xludf.DUMMYFUNCTION("""COMPUTED_VALUE"""),"95516")</f>
        <v>95516</v>
      </c>
      <c r="C1136" s="9">
        <f>IFERROR(__xludf.DUMMYFUNCTION("""COMPUTED_VALUE"""),4.4653001104E10)</f>
        <v>44653001104</v>
      </c>
      <c r="D1136" s="90" t="str">
        <f>IFERROR(__xludf.DUMMYFUNCTION("""COMPUTED_VALUE"""),"9999.HK")</f>
        <v>9999.HK</v>
      </c>
      <c r="E1136" s="193">
        <f>IFERROR(__xludf.DUMMYFUNCTION("""COMPUTED_VALUE"""),44653.0)</f>
        <v>44653</v>
      </c>
      <c r="F1136" s="5" t="str">
        <f>IFERROR(__xludf.DUMMYFUNCTION("""COMPUTED_VALUE"""),"Stock")</f>
        <v>Stock</v>
      </c>
      <c r="G1136" s="5" t="str">
        <f>IFERROR(__xludf.DUMMYFUNCTION("""COMPUTED_VALUE"""),"HKD")</f>
        <v>HKD</v>
      </c>
      <c r="H1136" s="22">
        <f>IFERROR(__xludf.DUMMYFUNCTION("""COMPUTED_VALUE"""),-500.0)</f>
        <v>-500</v>
      </c>
      <c r="I1136" s="194">
        <f>IFERROR(__xludf.DUMMYFUNCTION("""COMPUTED_VALUE"""),1.0)</f>
        <v>1</v>
      </c>
      <c r="J1136" s="23">
        <f>IFERROR(__xludf.DUMMYFUNCTION("""COMPUTED_VALUE"""),156.3)</f>
        <v>156.3</v>
      </c>
      <c r="K1136" s="5"/>
      <c r="L1136" s="23">
        <f>IFERROR(__xludf.DUMMYFUNCTION("""COMPUTED_VALUE"""),149.2)</f>
        <v>149.2</v>
      </c>
      <c r="M1136" s="195" t="str">
        <f>IFERROR(__xludf.DUMMYFUNCTION("""COMPUTED_VALUE"""),"Equity Key Stats")</f>
        <v>Equity Key Stats</v>
      </c>
      <c r="N1136" s="5"/>
      <c r="O1136" s="5"/>
      <c r="P1136" s="142">
        <f>IFERROR(__xludf.DUMMYFUNCTION("""COMPUTED_VALUE"""),78150.0)</f>
        <v>78150</v>
      </c>
      <c r="Q1136" s="5"/>
      <c r="R1136" s="71">
        <f>IFERROR(__xludf.DUMMYFUNCTION("""COMPUTED_VALUE"""),149.2)</f>
        <v>149.2</v>
      </c>
      <c r="S1136" s="142">
        <f>IFERROR(__xludf.DUMMYFUNCTION("""COMPUTED_VALUE"""),-74600.0)</f>
        <v>-74600</v>
      </c>
      <c r="T1136" s="5">
        <f>IFERROR(__xludf.DUMMYFUNCTION("""COMPUTED_VALUE"""),2.0)</f>
        <v>2</v>
      </c>
      <c r="U1136" s="5">
        <f>IFERROR(__xludf.DUMMYFUNCTION("""COMPUTED_VALUE"""),1.0)</f>
        <v>1</v>
      </c>
      <c r="V1136" s="22">
        <f>IFERROR(__xludf.DUMMYFUNCTION("""COMPUTED_VALUE"""),7000.0)</f>
        <v>7000</v>
      </c>
      <c r="W1136" s="9" t="str">
        <f>IFERROR(__xludf.DUMMYFUNCTION("""COMPUTED_VALUE"""),"")</f>
        <v/>
      </c>
      <c r="X1136" s="22" t="str">
        <f>IFERROR(__xludf.DUMMYFUNCTION("""COMPUTED_VALUE"""),"")</f>
        <v/>
      </c>
      <c r="Y1136" s="22" t="str">
        <f>IFERROR(__xludf.DUMMYFUNCTION("""COMPUTED_VALUE"""),"")</f>
        <v/>
      </c>
      <c r="Z1136" s="24" t="str">
        <f>IFERROR(__xludf.DUMMYFUNCTION("""COMPUTED_VALUE"""),"")</f>
        <v/>
      </c>
    </row>
    <row r="1137">
      <c r="A1137" s="5" t="str">
        <f>IFERROR(__xludf.DUMMYFUNCTION("""COMPUTED_VALUE"""),"95516")</f>
        <v>95516</v>
      </c>
      <c r="B1137" s="5" t="str">
        <f>IFERROR(__xludf.DUMMYFUNCTION("""COMPUTED_VALUE"""),"95516")</f>
        <v>95516</v>
      </c>
      <c r="C1137" s="9">
        <f>IFERROR(__xludf.DUMMYFUNCTION("""COMPUTED_VALUE"""),4.4657001157E10)</f>
        <v>44657001157</v>
      </c>
      <c r="D1137" s="90" t="str">
        <f>IFERROR(__xludf.DUMMYFUNCTION("""COMPUTED_VALUE"""),"1919.HK")</f>
        <v>1919.HK</v>
      </c>
      <c r="E1137" s="193">
        <f>IFERROR(__xludf.DUMMYFUNCTION("""COMPUTED_VALUE"""),44657.0)</f>
        <v>44657</v>
      </c>
      <c r="F1137" s="5" t="str">
        <f>IFERROR(__xludf.DUMMYFUNCTION("""COMPUTED_VALUE"""),"Stock")</f>
        <v>Stock</v>
      </c>
      <c r="G1137" s="5" t="str">
        <f>IFERROR(__xludf.DUMMYFUNCTION("""COMPUTED_VALUE"""),"HKD")</f>
        <v>HKD</v>
      </c>
      <c r="H1137" s="22">
        <f>IFERROR(__xludf.DUMMYFUNCTION("""COMPUTED_VALUE"""),5500.0)</f>
        <v>5500</v>
      </c>
      <c r="I1137" s="194">
        <f>IFERROR(__xludf.DUMMYFUNCTION("""COMPUTED_VALUE"""),1.0)</f>
        <v>1</v>
      </c>
      <c r="J1137" s="23">
        <f>IFERROR(__xludf.DUMMYFUNCTION("""COMPUTED_VALUE"""),13.58)</f>
        <v>13.58</v>
      </c>
      <c r="K1137" s="5"/>
      <c r="L1137" s="23">
        <f>IFERROR(__xludf.DUMMYFUNCTION("""COMPUTED_VALUE"""),12.78)</f>
        <v>12.78</v>
      </c>
      <c r="M1137" s="195" t="str">
        <f>IFERROR(__xludf.DUMMYFUNCTION("""COMPUTED_VALUE"""),"Equity Key Stats")</f>
        <v>Equity Key Stats</v>
      </c>
      <c r="N1137" s="5"/>
      <c r="O1137" s="5"/>
      <c r="P1137" s="142">
        <f>IFERROR(__xludf.DUMMYFUNCTION("""COMPUTED_VALUE"""),-74690.0)</f>
        <v>-74690</v>
      </c>
      <c r="Q1137" s="5"/>
      <c r="R1137" s="71">
        <f>IFERROR(__xludf.DUMMYFUNCTION("""COMPUTED_VALUE"""),12.78)</f>
        <v>12.78</v>
      </c>
      <c r="S1137" s="142">
        <f>IFERROR(__xludf.DUMMYFUNCTION("""COMPUTED_VALUE"""),70290.0)</f>
        <v>70290</v>
      </c>
      <c r="T1137" s="5">
        <f>IFERROR(__xludf.DUMMYFUNCTION("""COMPUTED_VALUE"""),2.0)</f>
        <v>2</v>
      </c>
      <c r="U1137" s="5">
        <f>IFERROR(__xludf.DUMMYFUNCTION("""COMPUTED_VALUE"""),1.0)</f>
        <v>1</v>
      </c>
      <c r="V1137" s="22">
        <f>IFERROR(__xludf.DUMMYFUNCTION("""COMPUTED_VALUE"""),-13800.0)</f>
        <v>-13800</v>
      </c>
      <c r="W1137" s="9">
        <f>IFERROR(__xludf.DUMMYFUNCTION("""COMPUTED_VALUE"""),487750.0)</f>
        <v>487750</v>
      </c>
      <c r="X1137" s="22">
        <f>IFERROR(__xludf.DUMMYFUNCTION("""COMPUTED_VALUE"""),11460.0)</f>
        <v>11460</v>
      </c>
      <c r="Y1137" s="22">
        <f>IFERROR(__xludf.DUMMYFUNCTION("""COMPUTED_VALUE"""),0.0)</f>
        <v>0</v>
      </c>
      <c r="Z1137" s="24">
        <f>IFERROR(__xludf.DUMMYFUNCTION("""COMPUTED_VALUE"""),-0.024499999999999966)</f>
        <v>-0.0245</v>
      </c>
    </row>
    <row r="1138">
      <c r="A1138" s="5" t="str">
        <f>IFERROR(__xludf.DUMMYFUNCTION("""COMPUTED_VALUE"""),"97316")</f>
        <v>97316</v>
      </c>
      <c r="B1138" s="5" t="str">
        <f>IFERROR(__xludf.DUMMYFUNCTION("""COMPUTED_VALUE"""),"97316")</f>
        <v>97316</v>
      </c>
      <c r="C1138" s="9">
        <f>IFERROR(__xludf.DUMMYFUNCTION("""COMPUTED_VALUE"""),4.4597000014E10)</f>
        <v>44597000014</v>
      </c>
      <c r="D1138" s="85" t="str">
        <f>IFERROR(__xludf.DUMMYFUNCTION("""COMPUTED_VALUE"""),"Cash")</f>
        <v>Cash</v>
      </c>
      <c r="E1138" s="193">
        <f>IFERROR(__xludf.DUMMYFUNCTION("""COMPUTED_VALUE"""),44597.0)</f>
        <v>44597</v>
      </c>
      <c r="F1138" s="5" t="str">
        <f>IFERROR(__xludf.DUMMYFUNCTION("""COMPUTED_VALUE"""),"Cash")</f>
        <v>Cash</v>
      </c>
      <c r="G1138" s="5" t="str">
        <f>IFERROR(__xludf.DUMMYFUNCTION("""COMPUTED_VALUE"""),"HKD")</f>
        <v>HKD</v>
      </c>
      <c r="H1138" s="22" t="str">
        <f>IFERROR(__xludf.DUMMYFUNCTION("""COMPUTED_VALUE"""),"")</f>
        <v/>
      </c>
      <c r="I1138" s="194">
        <f>IFERROR(__xludf.DUMMYFUNCTION("""COMPUTED_VALUE"""),1.0)</f>
        <v>1</v>
      </c>
      <c r="J1138" s="5">
        <f>IFERROR(__xludf.DUMMYFUNCTION("""COMPUTED_VALUE"""),1.0)</f>
        <v>1</v>
      </c>
      <c r="K1138" s="5"/>
      <c r="L1138" s="23">
        <f>IFERROR(__xludf.DUMMYFUNCTION("""COMPUTED_VALUE"""),1.0)</f>
        <v>1</v>
      </c>
      <c r="M1138" s="25" t="str">
        <f>IFERROR(__xludf.DUMMYFUNCTION("""COMPUTED_VALUE"""),"")</f>
        <v/>
      </c>
      <c r="N1138" s="5"/>
      <c r="O1138" s="5"/>
      <c r="P1138" s="142">
        <f>IFERROR(__xludf.DUMMYFUNCTION("""COMPUTED_VALUE"""),500000.0)</f>
        <v>500000</v>
      </c>
      <c r="Q1138" s="5"/>
      <c r="R1138" s="71">
        <f>IFERROR(__xludf.DUMMYFUNCTION("""COMPUTED_VALUE"""),1.0)</f>
        <v>1</v>
      </c>
      <c r="S1138" s="142" t="str">
        <f>IFERROR(__xludf.DUMMYFUNCTION("""COMPUTED_VALUE"""),"")</f>
        <v/>
      </c>
      <c r="T1138" s="5">
        <f>IFERROR(__xludf.DUMMYFUNCTION("""COMPUTED_VALUE"""),1.0)</f>
        <v>1</v>
      </c>
      <c r="U1138" s="5">
        <f>IFERROR(__xludf.DUMMYFUNCTION("""COMPUTED_VALUE"""),1.0)</f>
        <v>1</v>
      </c>
      <c r="V1138" s="22">
        <f>IFERROR(__xludf.DUMMYFUNCTION("""COMPUTED_VALUE"""),500000.0)</f>
        <v>500000</v>
      </c>
      <c r="W1138" s="9">
        <f>IFERROR(__xludf.DUMMYFUNCTION("""COMPUTED_VALUE"""),500000.0)</f>
        <v>500000</v>
      </c>
      <c r="X1138" s="22">
        <f>IFERROR(__xludf.DUMMYFUNCTION("""COMPUTED_VALUE"""),500000.0)</f>
        <v>500000</v>
      </c>
      <c r="Y1138" s="22">
        <f>IFERROR(__xludf.DUMMYFUNCTION("""COMPUTED_VALUE"""),0.0)</f>
        <v>0</v>
      </c>
      <c r="Z1138" s="24">
        <f>IFERROR(__xludf.DUMMYFUNCTION("""COMPUTED_VALUE"""),0.0)</f>
        <v>0</v>
      </c>
    </row>
    <row r="1139">
      <c r="A1139" s="5" t="str">
        <f>IFERROR(__xludf.DUMMYFUNCTION("""COMPUTED_VALUE"""),"C0007")</f>
        <v>C0007</v>
      </c>
      <c r="B1139" s="5" t="str">
        <f>IFERROR(__xludf.DUMMYFUNCTION("""COMPUTED_VALUE"""),"C0007")</f>
        <v>C0007</v>
      </c>
      <c r="C1139" s="9">
        <f>IFERROR(__xludf.DUMMYFUNCTION("""COMPUTED_VALUE"""),4.4562000008E10)</f>
        <v>44562000008</v>
      </c>
      <c r="D1139" s="85" t="str">
        <f>IFERROR(__xludf.DUMMYFUNCTION("""COMPUTED_VALUE"""),"Cash")</f>
        <v>Cash</v>
      </c>
      <c r="E1139" s="193">
        <f>IFERROR(__xludf.DUMMYFUNCTION("""COMPUTED_VALUE"""),44562.0)</f>
        <v>44562</v>
      </c>
      <c r="F1139" s="5" t="str">
        <f>IFERROR(__xludf.DUMMYFUNCTION("""COMPUTED_VALUE"""),"Cash")</f>
        <v>Cash</v>
      </c>
      <c r="G1139" s="5" t="str">
        <f>IFERROR(__xludf.DUMMYFUNCTION("""COMPUTED_VALUE"""),"HKD")</f>
        <v>HKD</v>
      </c>
      <c r="H1139" s="22" t="str">
        <f>IFERROR(__xludf.DUMMYFUNCTION("""COMPUTED_VALUE"""),"")</f>
        <v/>
      </c>
      <c r="I1139" s="194">
        <f>IFERROR(__xludf.DUMMYFUNCTION("""COMPUTED_VALUE"""),1.0)</f>
        <v>1</v>
      </c>
      <c r="J1139" s="5">
        <f>IFERROR(__xludf.DUMMYFUNCTION("""COMPUTED_VALUE"""),1.0)</f>
        <v>1</v>
      </c>
      <c r="K1139" s="5"/>
      <c r="L1139" s="23">
        <f>IFERROR(__xludf.DUMMYFUNCTION("""COMPUTED_VALUE"""),1.0)</f>
        <v>1</v>
      </c>
      <c r="M1139" s="25" t="str">
        <f>IFERROR(__xludf.DUMMYFUNCTION("""COMPUTED_VALUE"""),"")</f>
        <v/>
      </c>
      <c r="N1139" s="5"/>
      <c r="O1139" s="5"/>
      <c r="P1139" s="142">
        <f>IFERROR(__xludf.DUMMYFUNCTION("""COMPUTED_VALUE"""),500000.0)</f>
        <v>500000</v>
      </c>
      <c r="Q1139" s="5"/>
      <c r="R1139" s="71">
        <f>IFERROR(__xludf.DUMMYFUNCTION("""COMPUTED_VALUE"""),1.0)</f>
        <v>1</v>
      </c>
      <c r="S1139" s="142" t="str">
        <f>IFERROR(__xludf.DUMMYFUNCTION("""COMPUTED_VALUE"""),"")</f>
        <v/>
      </c>
      <c r="T1139" s="5">
        <f>IFERROR(__xludf.DUMMYFUNCTION("""COMPUTED_VALUE"""),1.0)</f>
        <v>1</v>
      </c>
      <c r="U1139" s="5">
        <f>IFERROR(__xludf.DUMMYFUNCTION("""COMPUTED_VALUE"""),1.0)</f>
        <v>1</v>
      </c>
      <c r="V1139" s="22">
        <f>IFERROR(__xludf.DUMMYFUNCTION("""COMPUTED_VALUE"""),500000.0)</f>
        <v>500000</v>
      </c>
      <c r="W1139" s="9">
        <f>IFERROR(__xludf.DUMMYFUNCTION("""COMPUTED_VALUE"""),500000.0)</f>
        <v>500000</v>
      </c>
      <c r="X1139" s="22">
        <f>IFERROR(__xludf.DUMMYFUNCTION("""COMPUTED_VALUE"""),500000.0)</f>
        <v>500000</v>
      </c>
      <c r="Y1139" s="22">
        <f>IFERROR(__xludf.DUMMYFUNCTION("""COMPUTED_VALUE"""),0.0)</f>
        <v>0</v>
      </c>
      <c r="Z1139" s="24">
        <f>IFERROR(__xludf.DUMMYFUNCTION("""COMPUTED_VALUE"""),0.0)</f>
        <v>0</v>
      </c>
    </row>
    <row r="1140">
      <c r="A1140" s="5" t="str">
        <f>IFERROR(__xludf.DUMMYFUNCTION("""COMPUTED_VALUE"""),"")</f>
        <v/>
      </c>
      <c r="B1140" s="5" t="str">
        <f>IFERROR(__xludf.DUMMYFUNCTION("""COMPUTED_VALUE"""),"MONKEY")</f>
        <v>MONKEY</v>
      </c>
      <c r="C1140" s="9">
        <f>IFERROR(__xludf.DUMMYFUNCTION("""COMPUTED_VALUE"""),4.4562000007E10)</f>
        <v>44562000007</v>
      </c>
      <c r="D1140" s="85" t="str">
        <f>IFERROR(__xludf.DUMMYFUNCTION("""COMPUTED_VALUE"""),"Cash")</f>
        <v>Cash</v>
      </c>
      <c r="E1140" s="193">
        <f>IFERROR(__xludf.DUMMYFUNCTION("""COMPUTED_VALUE"""),44562.0)</f>
        <v>44562</v>
      </c>
      <c r="F1140" s="5" t="str">
        <f>IFERROR(__xludf.DUMMYFUNCTION("""COMPUTED_VALUE"""),"Cash")</f>
        <v>Cash</v>
      </c>
      <c r="G1140" s="5" t="str">
        <f>IFERROR(__xludf.DUMMYFUNCTION("""COMPUTED_VALUE"""),"HKD")</f>
        <v>HKD</v>
      </c>
      <c r="H1140" s="22" t="str">
        <f>IFERROR(__xludf.DUMMYFUNCTION("""COMPUTED_VALUE"""),"")</f>
        <v/>
      </c>
      <c r="I1140" s="194">
        <f>IFERROR(__xludf.DUMMYFUNCTION("""COMPUTED_VALUE"""),1.0)</f>
        <v>1</v>
      </c>
      <c r="J1140" s="5">
        <f>IFERROR(__xludf.DUMMYFUNCTION("""COMPUTED_VALUE"""),1.0)</f>
        <v>1</v>
      </c>
      <c r="K1140" s="5"/>
      <c r="L1140" s="23">
        <f>IFERROR(__xludf.DUMMYFUNCTION("""COMPUTED_VALUE"""),1.0)</f>
        <v>1</v>
      </c>
      <c r="M1140" s="25" t="str">
        <f>IFERROR(__xludf.DUMMYFUNCTION("""COMPUTED_VALUE"""),"")</f>
        <v/>
      </c>
      <c r="N1140" s="5"/>
      <c r="O1140" s="5"/>
      <c r="P1140" s="142">
        <f>IFERROR(__xludf.DUMMYFUNCTION("""COMPUTED_VALUE"""),500000.0)</f>
        <v>500000</v>
      </c>
      <c r="Q1140" s="5"/>
      <c r="R1140" s="71">
        <f>IFERROR(__xludf.DUMMYFUNCTION("""COMPUTED_VALUE"""),1.0)</f>
        <v>1</v>
      </c>
      <c r="S1140" s="142" t="str">
        <f>IFERROR(__xludf.DUMMYFUNCTION("""COMPUTED_VALUE"""),"")</f>
        <v/>
      </c>
      <c r="T1140" s="5">
        <f>IFERROR(__xludf.DUMMYFUNCTION("""COMPUTED_VALUE"""),1.0)</f>
        <v>1</v>
      </c>
      <c r="U1140" s="5">
        <f>IFERROR(__xludf.DUMMYFUNCTION("""COMPUTED_VALUE"""),1.0)</f>
        <v>1</v>
      </c>
      <c r="V1140" s="22">
        <f>IFERROR(__xludf.DUMMYFUNCTION("""COMPUTED_VALUE"""),500000.0)</f>
        <v>500000</v>
      </c>
      <c r="W1140" s="9" t="str">
        <f>IFERROR(__xludf.DUMMYFUNCTION("""COMPUTED_VALUE"""),"")</f>
        <v/>
      </c>
      <c r="X1140" s="22" t="str">
        <f>IFERROR(__xludf.DUMMYFUNCTION("""COMPUTED_VALUE"""),"")</f>
        <v/>
      </c>
      <c r="Y1140" s="22" t="str">
        <f>IFERROR(__xludf.DUMMYFUNCTION("""COMPUTED_VALUE"""),"")</f>
        <v/>
      </c>
      <c r="Z1140" s="24" t="str">
        <f>IFERROR(__xludf.DUMMYFUNCTION("""COMPUTED_VALUE"""),"")</f>
        <v/>
      </c>
    </row>
    <row r="1141">
      <c r="A1141" s="5" t="str">
        <f>IFERROR(__xludf.DUMMYFUNCTION("""COMPUTED_VALUE"""),"")</f>
        <v/>
      </c>
      <c r="B1141" s="5" t="str">
        <f>IFERROR(__xludf.DUMMYFUNCTION("""COMPUTED_VALUE"""),"MONKEY")</f>
        <v>MONKEY</v>
      </c>
      <c r="C1141" s="9">
        <f>IFERROR(__xludf.DUMMYFUNCTION("""COMPUTED_VALUE"""),4.4595000011E10)</f>
        <v>44595000011</v>
      </c>
      <c r="D1141" s="87" t="str">
        <f>IFERROR(__xludf.DUMMYFUNCTION("""COMPUTED_VALUE"""),"AMZN")</f>
        <v>AMZN</v>
      </c>
      <c r="E1141" s="193">
        <f>IFERROR(__xludf.DUMMYFUNCTION("""COMPUTED_VALUE"""),44595.0)</f>
        <v>44595</v>
      </c>
      <c r="F1141" s="5" t="str">
        <f>IFERROR(__xludf.DUMMYFUNCTION("""COMPUTED_VALUE"""),"Stock")</f>
        <v>Stock</v>
      </c>
      <c r="G1141" s="5" t="str">
        <f>IFERROR(__xludf.DUMMYFUNCTION("""COMPUTED_VALUE"""),"USD")</f>
        <v>USD</v>
      </c>
      <c r="H1141" s="22">
        <f>IFERROR(__xludf.DUMMYFUNCTION("""COMPUTED_VALUE"""),1.0)</f>
        <v>1</v>
      </c>
      <c r="I1141" s="194">
        <f>IFERROR(__xludf.DUMMYFUNCTION("""COMPUTED_VALUE"""),7.79325)</f>
        <v>7.79325</v>
      </c>
      <c r="J1141" s="23">
        <f>IFERROR(__xludf.DUMMYFUNCTION("""COMPUTED_VALUE"""),2776.91)</f>
        <v>2776.91</v>
      </c>
      <c r="K1141" s="5"/>
      <c r="L1141" s="23">
        <f>IFERROR(__xludf.DUMMYFUNCTION("""COMPUTED_VALUE"""),3110.82)</f>
        <v>3110.82</v>
      </c>
      <c r="M1141" s="195" t="str">
        <f>IFERROR(__xludf.DUMMYFUNCTION("""COMPUTED_VALUE"""),"Equity Key Stats")</f>
        <v>Equity Key Stats</v>
      </c>
      <c r="N1141" s="5"/>
      <c r="O1141" s="5"/>
      <c r="P1141" s="142">
        <f>IFERROR(__xludf.DUMMYFUNCTION("""COMPUTED_VALUE"""),-21641.153857499998)</f>
        <v>-21641.15386</v>
      </c>
      <c r="Q1141" s="5"/>
      <c r="R1141" s="71">
        <f>IFERROR(__xludf.DUMMYFUNCTION("""COMPUTED_VALUE"""),3110.82)</f>
        <v>3110.82</v>
      </c>
      <c r="S1141" s="142">
        <f>IFERROR(__xludf.DUMMYFUNCTION("""COMPUTED_VALUE"""),24243.397965)</f>
        <v>24243.39797</v>
      </c>
      <c r="T1141" s="5">
        <f>IFERROR(__xludf.DUMMYFUNCTION("""COMPUTED_VALUE"""),1.0)</f>
        <v>1</v>
      </c>
      <c r="U1141" s="5">
        <f>IFERROR(__xludf.DUMMYFUNCTION("""COMPUTED_VALUE"""),1.0)</f>
        <v>1</v>
      </c>
      <c r="V1141" s="22">
        <f>IFERROR(__xludf.DUMMYFUNCTION("""COMPUTED_VALUE"""),2602.2441075000024)</f>
        <v>2602.244108</v>
      </c>
      <c r="W1141" s="9" t="str">
        <f>IFERROR(__xludf.DUMMYFUNCTION("""COMPUTED_VALUE"""),"")</f>
        <v/>
      </c>
      <c r="X1141" s="22" t="str">
        <f>IFERROR(__xludf.DUMMYFUNCTION("""COMPUTED_VALUE"""),"")</f>
        <v/>
      </c>
      <c r="Y1141" s="22" t="str">
        <f>IFERROR(__xludf.DUMMYFUNCTION("""COMPUTED_VALUE"""),"")</f>
        <v/>
      </c>
      <c r="Z1141" s="24" t="str">
        <f>IFERROR(__xludf.DUMMYFUNCTION("""COMPUTED_VALUE"""),"")</f>
        <v/>
      </c>
    </row>
    <row r="1142">
      <c r="A1142" s="5" t="str">
        <f>IFERROR(__xludf.DUMMYFUNCTION("""COMPUTED_VALUE"""),"")</f>
        <v/>
      </c>
      <c r="B1142" s="5" t="str">
        <f>IFERROR(__xludf.DUMMYFUNCTION("""COMPUTED_VALUE"""),"MONKEY")</f>
        <v>MONKEY</v>
      </c>
      <c r="C1142" s="9">
        <f>IFERROR(__xludf.DUMMYFUNCTION("""COMPUTED_VALUE"""),4.4610000252E10)</f>
        <v>44610000252</v>
      </c>
      <c r="D1142" s="90" t="str">
        <f>IFERROR(__xludf.DUMMYFUNCTION("""COMPUTED_VALUE"""),"9961.HK")</f>
        <v>9961.HK</v>
      </c>
      <c r="E1142" s="193">
        <f>IFERROR(__xludf.DUMMYFUNCTION("""COMPUTED_VALUE"""),44610.0)</f>
        <v>44610</v>
      </c>
      <c r="F1142" s="5" t="str">
        <f>IFERROR(__xludf.DUMMYFUNCTION("""COMPUTED_VALUE"""),"Stock")</f>
        <v>Stock</v>
      </c>
      <c r="G1142" s="5" t="str">
        <f>IFERROR(__xludf.DUMMYFUNCTION("""COMPUTED_VALUE"""),"HKD")</f>
        <v>HKD</v>
      </c>
      <c r="H1142" s="22">
        <f>IFERROR(__xludf.DUMMYFUNCTION("""COMPUTED_VALUE"""),30.0)</f>
        <v>30</v>
      </c>
      <c r="I1142" s="194">
        <f>IFERROR(__xludf.DUMMYFUNCTION("""COMPUTED_VALUE"""),1.0)</f>
        <v>1</v>
      </c>
      <c r="J1142" s="23">
        <f>IFERROR(__xludf.DUMMYFUNCTION("""COMPUTED_VALUE"""),232.8)</f>
        <v>232.8</v>
      </c>
      <c r="K1142" s="5"/>
      <c r="L1142" s="23">
        <f>IFERROR(__xludf.DUMMYFUNCTION("""COMPUTED_VALUE"""),180.7)</f>
        <v>180.7</v>
      </c>
      <c r="M1142" s="195" t="str">
        <f>IFERROR(__xludf.DUMMYFUNCTION("""COMPUTED_VALUE"""),"Equity Key Stats")</f>
        <v>Equity Key Stats</v>
      </c>
      <c r="N1142" s="5"/>
      <c r="O1142" s="5"/>
      <c r="P1142" s="142">
        <f>IFERROR(__xludf.DUMMYFUNCTION("""COMPUTED_VALUE"""),-6984.0)</f>
        <v>-6984</v>
      </c>
      <c r="Q1142" s="5"/>
      <c r="R1142" s="71">
        <f>IFERROR(__xludf.DUMMYFUNCTION("""COMPUTED_VALUE"""),180.7)</f>
        <v>180.7</v>
      </c>
      <c r="S1142" s="142">
        <f>IFERROR(__xludf.DUMMYFUNCTION("""COMPUTED_VALUE"""),5421.0)</f>
        <v>5421</v>
      </c>
      <c r="T1142" s="5">
        <f>IFERROR(__xludf.DUMMYFUNCTION("""COMPUTED_VALUE"""),1.0)</f>
        <v>1</v>
      </c>
      <c r="U1142" s="5">
        <f>IFERROR(__xludf.DUMMYFUNCTION("""COMPUTED_VALUE"""),1.0)</f>
        <v>1</v>
      </c>
      <c r="V1142" s="22">
        <f>IFERROR(__xludf.DUMMYFUNCTION("""COMPUTED_VALUE"""),-1563.0)</f>
        <v>-1563</v>
      </c>
      <c r="W1142" s="9" t="str">
        <f>IFERROR(__xludf.DUMMYFUNCTION("""COMPUTED_VALUE"""),"")</f>
        <v/>
      </c>
      <c r="X1142" s="22" t="str">
        <f>IFERROR(__xludf.DUMMYFUNCTION("""COMPUTED_VALUE"""),"")</f>
        <v/>
      </c>
      <c r="Y1142" s="22" t="str">
        <f>IFERROR(__xludf.DUMMYFUNCTION("""COMPUTED_VALUE"""),"")</f>
        <v/>
      </c>
      <c r="Z1142" s="24" t="str">
        <f>IFERROR(__xludf.DUMMYFUNCTION("""COMPUTED_VALUE"""),"")</f>
        <v/>
      </c>
    </row>
    <row r="1143">
      <c r="A1143" s="5" t="str">
        <f>IFERROR(__xludf.DUMMYFUNCTION("""COMPUTED_VALUE"""),"")</f>
        <v/>
      </c>
      <c r="B1143" s="5" t="str">
        <f>IFERROR(__xludf.DUMMYFUNCTION("""COMPUTED_VALUE"""),"MONKEY")</f>
        <v>MONKEY</v>
      </c>
      <c r="C1143" s="9">
        <f>IFERROR(__xludf.DUMMYFUNCTION("""COMPUTED_VALUE"""),4.4610000253E10)</f>
        <v>44610000253</v>
      </c>
      <c r="D1143" s="90" t="str">
        <f>IFERROR(__xludf.DUMMYFUNCTION("""COMPUTED_VALUE"""),"9999.HK")</f>
        <v>9999.HK</v>
      </c>
      <c r="E1143" s="193">
        <f>IFERROR(__xludf.DUMMYFUNCTION("""COMPUTED_VALUE"""),44610.0)</f>
        <v>44610</v>
      </c>
      <c r="F1143" s="5" t="str">
        <f>IFERROR(__xludf.DUMMYFUNCTION("""COMPUTED_VALUE"""),"Stock")</f>
        <v>Stock</v>
      </c>
      <c r="G1143" s="5" t="str">
        <f>IFERROR(__xludf.DUMMYFUNCTION("""COMPUTED_VALUE"""),"HKD")</f>
        <v>HKD</v>
      </c>
      <c r="H1143" s="22">
        <f>IFERROR(__xludf.DUMMYFUNCTION("""COMPUTED_VALUE"""),40.0)</f>
        <v>40</v>
      </c>
      <c r="I1143" s="194">
        <f>IFERROR(__xludf.DUMMYFUNCTION("""COMPUTED_VALUE"""),1.0)</f>
        <v>1</v>
      </c>
      <c r="J1143" s="23">
        <f>IFERROR(__xludf.DUMMYFUNCTION("""COMPUTED_VALUE"""),156.7)</f>
        <v>156.7</v>
      </c>
      <c r="K1143" s="5"/>
      <c r="L1143" s="23">
        <f>IFERROR(__xludf.DUMMYFUNCTION("""COMPUTED_VALUE"""),149.2)</f>
        <v>149.2</v>
      </c>
      <c r="M1143" s="195" t="str">
        <f>IFERROR(__xludf.DUMMYFUNCTION("""COMPUTED_VALUE"""),"Equity Key Stats")</f>
        <v>Equity Key Stats</v>
      </c>
      <c r="N1143" s="5"/>
      <c r="O1143" s="5"/>
      <c r="P1143" s="142">
        <f>IFERROR(__xludf.DUMMYFUNCTION("""COMPUTED_VALUE"""),-6268.0)</f>
        <v>-6268</v>
      </c>
      <c r="Q1143" s="5"/>
      <c r="R1143" s="71">
        <f>IFERROR(__xludf.DUMMYFUNCTION("""COMPUTED_VALUE"""),149.2)</f>
        <v>149.2</v>
      </c>
      <c r="S1143" s="142">
        <f>IFERROR(__xludf.DUMMYFUNCTION("""COMPUTED_VALUE"""),5968.0)</f>
        <v>5968</v>
      </c>
      <c r="T1143" s="5">
        <f>IFERROR(__xludf.DUMMYFUNCTION("""COMPUTED_VALUE"""),1.0)</f>
        <v>1</v>
      </c>
      <c r="U1143" s="5">
        <f>IFERROR(__xludf.DUMMYFUNCTION("""COMPUTED_VALUE"""),1.0)</f>
        <v>1</v>
      </c>
      <c r="V1143" s="22">
        <f>IFERROR(__xludf.DUMMYFUNCTION("""COMPUTED_VALUE"""),-300.0)</f>
        <v>-300</v>
      </c>
      <c r="W1143" s="9" t="str">
        <f>IFERROR(__xludf.DUMMYFUNCTION("""COMPUTED_VALUE"""),"")</f>
        <v/>
      </c>
      <c r="X1143" s="22" t="str">
        <f>IFERROR(__xludf.DUMMYFUNCTION("""COMPUTED_VALUE"""),"")</f>
        <v/>
      </c>
      <c r="Y1143" s="22" t="str">
        <f>IFERROR(__xludf.DUMMYFUNCTION("""COMPUTED_VALUE"""),"")</f>
        <v/>
      </c>
      <c r="Z1143" s="24" t="str">
        <f>IFERROR(__xludf.DUMMYFUNCTION("""COMPUTED_VALUE"""),"")</f>
        <v/>
      </c>
    </row>
    <row r="1144">
      <c r="A1144" s="5" t="str">
        <f>IFERROR(__xludf.DUMMYFUNCTION("""COMPUTED_VALUE"""),"")</f>
        <v/>
      </c>
      <c r="B1144" s="5" t="str">
        <f>IFERROR(__xludf.DUMMYFUNCTION("""COMPUTED_VALUE"""),"MONKEY")</f>
        <v>MONKEY</v>
      </c>
      <c r="C1144" s="9">
        <f>IFERROR(__xludf.DUMMYFUNCTION("""COMPUTED_VALUE"""),4.4610000254E10)</f>
        <v>44610000254</v>
      </c>
      <c r="D1144" s="90" t="str">
        <f>IFERROR(__xludf.DUMMYFUNCTION("""COMPUTED_VALUE"""),"0909.HK")</f>
        <v>0909.HK</v>
      </c>
      <c r="E1144" s="193">
        <f>IFERROR(__xludf.DUMMYFUNCTION("""COMPUTED_VALUE"""),44610.0)</f>
        <v>44610</v>
      </c>
      <c r="F1144" s="5" t="str">
        <f>IFERROR(__xludf.DUMMYFUNCTION("""COMPUTED_VALUE"""),"Stock")</f>
        <v>Stock</v>
      </c>
      <c r="G1144" s="5" t="str">
        <f>IFERROR(__xludf.DUMMYFUNCTION("""COMPUTED_VALUE"""),"HKD")</f>
        <v>HKD</v>
      </c>
      <c r="H1144" s="22">
        <f>IFERROR(__xludf.DUMMYFUNCTION("""COMPUTED_VALUE"""),360.0)</f>
        <v>360</v>
      </c>
      <c r="I1144" s="194">
        <f>IFERROR(__xludf.DUMMYFUNCTION("""COMPUTED_VALUE"""),1.0)</f>
        <v>1</v>
      </c>
      <c r="J1144" s="23">
        <f>IFERROR(__xludf.DUMMYFUNCTION("""COMPUTED_VALUE"""),17.62)</f>
        <v>17.62</v>
      </c>
      <c r="K1144" s="5"/>
      <c r="L1144" s="23">
        <f>IFERROR(__xludf.DUMMYFUNCTION("""COMPUTED_VALUE"""),9.71)</f>
        <v>9.71</v>
      </c>
      <c r="M1144" s="195" t="str">
        <f>IFERROR(__xludf.DUMMYFUNCTION("""COMPUTED_VALUE"""),"Equity Key Stats")</f>
        <v>Equity Key Stats</v>
      </c>
      <c r="N1144" s="5"/>
      <c r="O1144" s="5"/>
      <c r="P1144" s="142">
        <f>IFERROR(__xludf.DUMMYFUNCTION("""COMPUTED_VALUE"""),-6343.200000000001)</f>
        <v>-6343.2</v>
      </c>
      <c r="Q1144" s="5"/>
      <c r="R1144" s="71">
        <f>IFERROR(__xludf.DUMMYFUNCTION("""COMPUTED_VALUE"""),9.71)</f>
        <v>9.71</v>
      </c>
      <c r="S1144" s="142">
        <f>IFERROR(__xludf.DUMMYFUNCTION("""COMPUTED_VALUE"""),3495.6000000000004)</f>
        <v>3495.6</v>
      </c>
      <c r="T1144" s="5">
        <f>IFERROR(__xludf.DUMMYFUNCTION("""COMPUTED_VALUE"""),1.0)</f>
        <v>1</v>
      </c>
      <c r="U1144" s="5">
        <f>IFERROR(__xludf.DUMMYFUNCTION("""COMPUTED_VALUE"""),1.0)</f>
        <v>1</v>
      </c>
      <c r="V1144" s="22">
        <f>IFERROR(__xludf.DUMMYFUNCTION("""COMPUTED_VALUE"""),-2847.6000000000004)</f>
        <v>-2847.6</v>
      </c>
      <c r="W1144" s="9" t="str">
        <f>IFERROR(__xludf.DUMMYFUNCTION("""COMPUTED_VALUE"""),"")</f>
        <v/>
      </c>
      <c r="X1144" s="22" t="str">
        <f>IFERROR(__xludf.DUMMYFUNCTION("""COMPUTED_VALUE"""),"")</f>
        <v/>
      </c>
      <c r="Y1144" s="22" t="str">
        <f>IFERROR(__xludf.DUMMYFUNCTION("""COMPUTED_VALUE"""),"")</f>
        <v/>
      </c>
      <c r="Z1144" s="24" t="str">
        <f>IFERROR(__xludf.DUMMYFUNCTION("""COMPUTED_VALUE"""),"")</f>
        <v/>
      </c>
    </row>
    <row r="1145">
      <c r="A1145" s="5" t="str">
        <f>IFERROR(__xludf.DUMMYFUNCTION("""COMPUTED_VALUE"""),"")</f>
        <v/>
      </c>
      <c r="B1145" s="5" t="str">
        <f>IFERROR(__xludf.DUMMYFUNCTION("""COMPUTED_VALUE"""),"MONKEY")</f>
        <v>MONKEY</v>
      </c>
      <c r="C1145" s="9">
        <f>IFERROR(__xludf.DUMMYFUNCTION("""COMPUTED_VALUE"""),4.4610000255E10)</f>
        <v>44610000255</v>
      </c>
      <c r="D1145" s="87" t="str">
        <f>IFERROR(__xludf.DUMMYFUNCTION("""COMPUTED_VALUE"""),"PANW")</f>
        <v>PANW</v>
      </c>
      <c r="E1145" s="193">
        <f>IFERROR(__xludf.DUMMYFUNCTION("""COMPUTED_VALUE"""),44610.0)</f>
        <v>44610</v>
      </c>
      <c r="F1145" s="5" t="str">
        <f>IFERROR(__xludf.DUMMYFUNCTION("""COMPUTED_VALUE"""),"Stock")</f>
        <v>Stock</v>
      </c>
      <c r="G1145" s="5" t="str">
        <f>IFERROR(__xludf.DUMMYFUNCTION("""COMPUTED_VALUE"""),"USD")</f>
        <v>USD</v>
      </c>
      <c r="H1145" s="22">
        <f>IFERROR(__xludf.DUMMYFUNCTION("""COMPUTED_VALUE"""),10.0)</f>
        <v>10</v>
      </c>
      <c r="I1145" s="194">
        <f>IFERROR(__xludf.DUMMYFUNCTION("""COMPUTED_VALUE"""),7.80051)</f>
        <v>7.80051</v>
      </c>
      <c r="J1145" s="23">
        <f>IFERROR(__xludf.DUMMYFUNCTION("""COMPUTED_VALUE"""),482.17)</f>
        <v>482.17</v>
      </c>
      <c r="K1145" s="5"/>
      <c r="L1145" s="23">
        <f>IFERROR(__xludf.DUMMYFUNCTION("""COMPUTED_VALUE"""),629.01)</f>
        <v>629.01</v>
      </c>
      <c r="M1145" s="195" t="str">
        <f>IFERROR(__xludf.DUMMYFUNCTION("""COMPUTED_VALUE"""),"Equity Key Stats")</f>
        <v>Equity Key Stats</v>
      </c>
      <c r="N1145" s="5"/>
      <c r="O1145" s="5"/>
      <c r="P1145" s="142">
        <f>IFERROR(__xludf.DUMMYFUNCTION("""COMPUTED_VALUE"""),-37611.719067)</f>
        <v>-37611.71907</v>
      </c>
      <c r="Q1145" s="5"/>
      <c r="R1145" s="71">
        <f>IFERROR(__xludf.DUMMYFUNCTION("""COMPUTED_VALUE"""),629.01)</f>
        <v>629.01</v>
      </c>
      <c r="S1145" s="142">
        <f>IFERROR(__xludf.DUMMYFUNCTION("""COMPUTED_VALUE"""),49065.987950999996)</f>
        <v>49065.98795</v>
      </c>
      <c r="T1145" s="5">
        <f>IFERROR(__xludf.DUMMYFUNCTION("""COMPUTED_VALUE"""),1.0)</f>
        <v>1</v>
      </c>
      <c r="U1145" s="5">
        <f>IFERROR(__xludf.DUMMYFUNCTION("""COMPUTED_VALUE"""),1.0)</f>
        <v>1</v>
      </c>
      <c r="V1145" s="22">
        <f>IFERROR(__xludf.DUMMYFUNCTION("""COMPUTED_VALUE"""),11454.268883999997)</f>
        <v>11454.26888</v>
      </c>
      <c r="W1145" s="9" t="str">
        <f>IFERROR(__xludf.DUMMYFUNCTION("""COMPUTED_VALUE"""),"")</f>
        <v/>
      </c>
      <c r="X1145" s="22" t="str">
        <f>IFERROR(__xludf.DUMMYFUNCTION("""COMPUTED_VALUE"""),"")</f>
        <v/>
      </c>
      <c r="Y1145" s="22" t="str">
        <f>IFERROR(__xludf.DUMMYFUNCTION("""COMPUTED_VALUE"""),"")</f>
        <v/>
      </c>
      <c r="Z1145" s="24" t="str">
        <f>IFERROR(__xludf.DUMMYFUNCTION("""COMPUTED_VALUE"""),"")</f>
        <v/>
      </c>
    </row>
    <row r="1146">
      <c r="A1146" s="5" t="str">
        <f>IFERROR(__xludf.DUMMYFUNCTION("""COMPUTED_VALUE"""),"")</f>
        <v/>
      </c>
      <c r="B1146" s="5" t="str">
        <f>IFERROR(__xludf.DUMMYFUNCTION("""COMPUTED_VALUE"""),"MONKEY")</f>
        <v>MONKEY</v>
      </c>
      <c r="C1146" s="9">
        <f>IFERROR(__xludf.DUMMYFUNCTION("""COMPUTED_VALUE"""),4.4610000256E10)</f>
        <v>44610000256</v>
      </c>
      <c r="D1146" s="87" t="str">
        <f>IFERROR(__xludf.DUMMYFUNCTION("""COMPUTED_VALUE"""),"TEAM")</f>
        <v>TEAM</v>
      </c>
      <c r="E1146" s="193">
        <f>IFERROR(__xludf.DUMMYFUNCTION("""COMPUTED_VALUE"""),44610.0)</f>
        <v>44610</v>
      </c>
      <c r="F1146" s="5" t="str">
        <f>IFERROR(__xludf.DUMMYFUNCTION("""COMPUTED_VALUE"""),"Stock")</f>
        <v>Stock</v>
      </c>
      <c r="G1146" s="5" t="str">
        <f>IFERROR(__xludf.DUMMYFUNCTION("""COMPUTED_VALUE"""),"USD")</f>
        <v>USD</v>
      </c>
      <c r="H1146" s="22">
        <f>IFERROR(__xludf.DUMMYFUNCTION("""COMPUTED_VALUE"""),20.0)</f>
        <v>20</v>
      </c>
      <c r="I1146" s="194">
        <f>IFERROR(__xludf.DUMMYFUNCTION("""COMPUTED_VALUE"""),7.80051)</f>
        <v>7.80051</v>
      </c>
      <c r="J1146" s="23">
        <f>IFERROR(__xludf.DUMMYFUNCTION("""COMPUTED_VALUE"""),298.07)</f>
        <v>298.07</v>
      </c>
      <c r="K1146" s="5"/>
      <c r="L1146" s="23">
        <f>IFERROR(__xludf.DUMMYFUNCTION("""COMPUTED_VALUE"""),280.33)</f>
        <v>280.33</v>
      </c>
      <c r="M1146" s="195" t="str">
        <f>IFERROR(__xludf.DUMMYFUNCTION("""COMPUTED_VALUE"""),"Equity Key Stats")</f>
        <v>Equity Key Stats</v>
      </c>
      <c r="N1146" s="5"/>
      <c r="O1146" s="5"/>
      <c r="P1146" s="142">
        <f>IFERROR(__xludf.DUMMYFUNCTION("""COMPUTED_VALUE"""),-46501.960313999996)</f>
        <v>-46501.96031</v>
      </c>
      <c r="Q1146" s="5"/>
      <c r="R1146" s="71">
        <f>IFERROR(__xludf.DUMMYFUNCTION("""COMPUTED_VALUE"""),280.33)</f>
        <v>280.33</v>
      </c>
      <c r="S1146" s="142">
        <f>IFERROR(__xludf.DUMMYFUNCTION("""COMPUTED_VALUE"""),43734.339366)</f>
        <v>43734.33937</v>
      </c>
      <c r="T1146" s="5">
        <f>IFERROR(__xludf.DUMMYFUNCTION("""COMPUTED_VALUE"""),1.0)</f>
        <v>1</v>
      </c>
      <c r="U1146" s="5">
        <f>IFERROR(__xludf.DUMMYFUNCTION("""COMPUTED_VALUE"""),1.0)</f>
        <v>1</v>
      </c>
      <c r="V1146" s="22">
        <f>IFERROR(__xludf.DUMMYFUNCTION("""COMPUTED_VALUE"""),-2767.620947999996)</f>
        <v>-2767.620948</v>
      </c>
      <c r="W1146" s="9" t="str">
        <f>IFERROR(__xludf.DUMMYFUNCTION("""COMPUTED_VALUE"""),"")</f>
        <v/>
      </c>
      <c r="X1146" s="22" t="str">
        <f>IFERROR(__xludf.DUMMYFUNCTION("""COMPUTED_VALUE"""),"")</f>
        <v/>
      </c>
      <c r="Y1146" s="22" t="str">
        <f>IFERROR(__xludf.DUMMYFUNCTION("""COMPUTED_VALUE"""),"")</f>
        <v/>
      </c>
      <c r="Z1146" s="24" t="str">
        <f>IFERROR(__xludf.DUMMYFUNCTION("""COMPUTED_VALUE"""),"")</f>
        <v/>
      </c>
    </row>
    <row r="1147">
      <c r="A1147" s="5" t="str">
        <f>IFERROR(__xludf.DUMMYFUNCTION("""COMPUTED_VALUE"""),"")</f>
        <v/>
      </c>
      <c r="B1147" s="5" t="str">
        <f>IFERROR(__xludf.DUMMYFUNCTION("""COMPUTED_VALUE"""),"MONKEY")</f>
        <v>MONKEY</v>
      </c>
      <c r="C1147" s="9">
        <f>IFERROR(__xludf.DUMMYFUNCTION("""COMPUTED_VALUE"""),4.4610000257E10)</f>
        <v>44610000257</v>
      </c>
      <c r="D1147" s="87" t="str">
        <f>IFERROR(__xludf.DUMMYFUNCTION("""COMPUTED_VALUE"""),"ATVI")</f>
        <v>ATVI</v>
      </c>
      <c r="E1147" s="193">
        <f>IFERROR(__xludf.DUMMYFUNCTION("""COMPUTED_VALUE"""),44610.0)</f>
        <v>44610</v>
      </c>
      <c r="F1147" s="5" t="str">
        <f>IFERROR(__xludf.DUMMYFUNCTION("""COMPUTED_VALUE"""),"Stock")</f>
        <v>Stock</v>
      </c>
      <c r="G1147" s="5" t="str">
        <f>IFERROR(__xludf.DUMMYFUNCTION("""COMPUTED_VALUE"""),"USD")</f>
        <v>USD</v>
      </c>
      <c r="H1147" s="22">
        <f>IFERROR(__xludf.DUMMYFUNCTION("""COMPUTED_VALUE"""),80.0)</f>
        <v>80</v>
      </c>
      <c r="I1147" s="194">
        <f>IFERROR(__xludf.DUMMYFUNCTION("""COMPUTED_VALUE"""),7.80051)</f>
        <v>7.80051</v>
      </c>
      <c r="J1147" s="23">
        <f>IFERROR(__xludf.DUMMYFUNCTION("""COMPUTED_VALUE"""),81.05)</f>
        <v>81.05</v>
      </c>
      <c r="K1147" s="5"/>
      <c r="L1147" s="23">
        <f>IFERROR(__xludf.DUMMYFUNCTION("""COMPUTED_VALUE"""),79.1)</f>
        <v>79.1</v>
      </c>
      <c r="M1147" s="195" t="str">
        <f>IFERROR(__xludf.DUMMYFUNCTION("""COMPUTED_VALUE"""),"Equity Key Stats")</f>
        <v>Equity Key Stats</v>
      </c>
      <c r="N1147" s="5"/>
      <c r="O1147" s="5"/>
      <c r="P1147" s="142">
        <f>IFERROR(__xludf.DUMMYFUNCTION("""COMPUTED_VALUE"""),-50578.506839999995)</f>
        <v>-50578.50684</v>
      </c>
      <c r="Q1147" s="5"/>
      <c r="R1147" s="71">
        <f>IFERROR(__xludf.DUMMYFUNCTION("""COMPUTED_VALUE"""),79.1)</f>
        <v>79.1</v>
      </c>
      <c r="S1147" s="142">
        <f>IFERROR(__xludf.DUMMYFUNCTION("""COMPUTED_VALUE"""),49361.62727999999)</f>
        <v>49361.62728</v>
      </c>
      <c r="T1147" s="5">
        <f>IFERROR(__xludf.DUMMYFUNCTION("""COMPUTED_VALUE"""),1.0)</f>
        <v>1</v>
      </c>
      <c r="U1147" s="5">
        <f>IFERROR(__xludf.DUMMYFUNCTION("""COMPUTED_VALUE"""),1.0)</f>
        <v>1</v>
      </c>
      <c r="V1147" s="22">
        <f>IFERROR(__xludf.DUMMYFUNCTION("""COMPUTED_VALUE"""),-1216.8795600000012)</f>
        <v>-1216.87956</v>
      </c>
      <c r="W1147" s="9" t="str">
        <f>IFERROR(__xludf.DUMMYFUNCTION("""COMPUTED_VALUE"""),"")</f>
        <v/>
      </c>
      <c r="X1147" s="22" t="str">
        <f>IFERROR(__xludf.DUMMYFUNCTION("""COMPUTED_VALUE"""),"")</f>
        <v/>
      </c>
      <c r="Y1147" s="22" t="str">
        <f>IFERROR(__xludf.DUMMYFUNCTION("""COMPUTED_VALUE"""),"")</f>
        <v/>
      </c>
      <c r="Z1147" s="24" t="str">
        <f>IFERROR(__xludf.DUMMYFUNCTION("""COMPUTED_VALUE"""),"")</f>
        <v/>
      </c>
    </row>
    <row r="1148">
      <c r="A1148" s="5" t="str">
        <f>IFERROR(__xludf.DUMMYFUNCTION("""COMPUTED_VALUE"""),"")</f>
        <v/>
      </c>
      <c r="B1148" s="5" t="str">
        <f>IFERROR(__xludf.DUMMYFUNCTION("""COMPUTED_VALUE"""),"MONKEY")</f>
        <v>MONKEY</v>
      </c>
      <c r="C1148" s="9">
        <f>IFERROR(__xludf.DUMMYFUNCTION("""COMPUTED_VALUE"""),4.4610000258E10)</f>
        <v>44610000258</v>
      </c>
      <c r="D1148" s="87" t="str">
        <f>IFERROR(__xludf.DUMMYFUNCTION("""COMPUTED_VALUE"""),"AMGN")</f>
        <v>AMGN</v>
      </c>
      <c r="E1148" s="193">
        <f>IFERROR(__xludf.DUMMYFUNCTION("""COMPUTED_VALUE"""),44610.0)</f>
        <v>44610</v>
      </c>
      <c r="F1148" s="5" t="str">
        <f>IFERROR(__xludf.DUMMYFUNCTION("""COMPUTED_VALUE"""),"Stock")</f>
        <v>Stock</v>
      </c>
      <c r="G1148" s="5" t="str">
        <f>IFERROR(__xludf.DUMMYFUNCTION("""COMPUTED_VALUE"""),"USD")</f>
        <v>USD</v>
      </c>
      <c r="H1148" s="22">
        <f>IFERROR(__xludf.DUMMYFUNCTION("""COMPUTED_VALUE"""),30.0)</f>
        <v>30</v>
      </c>
      <c r="I1148" s="194">
        <f>IFERROR(__xludf.DUMMYFUNCTION("""COMPUTED_VALUE"""),7.80051)</f>
        <v>7.80051</v>
      </c>
      <c r="J1148" s="23">
        <f>IFERROR(__xludf.DUMMYFUNCTION("""COMPUTED_VALUE"""),220.77)</f>
        <v>220.77</v>
      </c>
      <c r="K1148" s="5"/>
      <c r="L1148" s="23">
        <f>IFERROR(__xludf.DUMMYFUNCTION("""COMPUTED_VALUE"""),253.51)</f>
        <v>253.51</v>
      </c>
      <c r="M1148" s="195" t="str">
        <f>IFERROR(__xludf.DUMMYFUNCTION("""COMPUTED_VALUE"""),"Equity Key Stats")</f>
        <v>Equity Key Stats</v>
      </c>
      <c r="N1148" s="5"/>
      <c r="O1148" s="5"/>
      <c r="P1148" s="142">
        <f>IFERROR(__xludf.DUMMYFUNCTION("""COMPUTED_VALUE"""),-51663.557781)</f>
        <v>-51663.55778</v>
      </c>
      <c r="Q1148" s="5"/>
      <c r="R1148" s="71">
        <f>IFERROR(__xludf.DUMMYFUNCTION("""COMPUTED_VALUE"""),253.51)</f>
        <v>253.51</v>
      </c>
      <c r="S1148" s="142">
        <f>IFERROR(__xludf.DUMMYFUNCTION("""COMPUTED_VALUE"""),59325.218703)</f>
        <v>59325.2187</v>
      </c>
      <c r="T1148" s="5">
        <f>IFERROR(__xludf.DUMMYFUNCTION("""COMPUTED_VALUE"""),1.0)</f>
        <v>1</v>
      </c>
      <c r="U1148" s="5">
        <f>IFERROR(__xludf.DUMMYFUNCTION("""COMPUTED_VALUE"""),1.0)</f>
        <v>1</v>
      </c>
      <c r="V1148" s="22">
        <f>IFERROR(__xludf.DUMMYFUNCTION("""COMPUTED_VALUE"""),7661.6609219999955)</f>
        <v>7661.660922</v>
      </c>
      <c r="W1148" s="9" t="str">
        <f>IFERROR(__xludf.DUMMYFUNCTION("""COMPUTED_VALUE"""),"")</f>
        <v/>
      </c>
      <c r="X1148" s="22" t="str">
        <f>IFERROR(__xludf.DUMMYFUNCTION("""COMPUTED_VALUE"""),"")</f>
        <v/>
      </c>
      <c r="Y1148" s="22" t="str">
        <f>IFERROR(__xludf.DUMMYFUNCTION("""COMPUTED_VALUE"""),"")</f>
        <v/>
      </c>
      <c r="Z1148" s="24" t="str">
        <f>IFERROR(__xludf.DUMMYFUNCTION("""COMPUTED_VALUE"""),"")</f>
        <v/>
      </c>
    </row>
    <row r="1149">
      <c r="A1149" s="5" t="str">
        <f>IFERROR(__xludf.DUMMYFUNCTION("""COMPUTED_VALUE"""),"")</f>
        <v/>
      </c>
      <c r="B1149" s="5" t="str">
        <f>IFERROR(__xludf.DUMMYFUNCTION("""COMPUTED_VALUE"""),"MONKEY")</f>
        <v>MONKEY</v>
      </c>
      <c r="C1149" s="9">
        <f>IFERROR(__xludf.DUMMYFUNCTION("""COMPUTED_VALUE"""),4.4610000259E10)</f>
        <v>44610000259</v>
      </c>
      <c r="D1149" s="87" t="str">
        <f>IFERROR(__xludf.DUMMYFUNCTION("""COMPUTED_VALUE"""),"LCID")</f>
        <v>LCID</v>
      </c>
      <c r="E1149" s="193">
        <f>IFERROR(__xludf.DUMMYFUNCTION("""COMPUTED_VALUE"""),44610.0)</f>
        <v>44610</v>
      </c>
      <c r="F1149" s="5" t="str">
        <f>IFERROR(__xludf.DUMMYFUNCTION("""COMPUTED_VALUE"""),"Stock")</f>
        <v>Stock</v>
      </c>
      <c r="G1149" s="5" t="str">
        <f>IFERROR(__xludf.DUMMYFUNCTION("""COMPUTED_VALUE"""),"USD")</f>
        <v>USD</v>
      </c>
      <c r="H1149" s="22">
        <f>IFERROR(__xludf.DUMMYFUNCTION("""COMPUTED_VALUE"""),230.0)</f>
        <v>230</v>
      </c>
      <c r="I1149" s="194">
        <f>IFERROR(__xludf.DUMMYFUNCTION("""COMPUTED_VALUE"""),7.80051)</f>
        <v>7.80051</v>
      </c>
      <c r="J1149" s="23">
        <f>IFERROR(__xludf.DUMMYFUNCTION("""COMPUTED_VALUE"""),26.59)</f>
        <v>26.59</v>
      </c>
      <c r="K1149" s="5"/>
      <c r="L1149" s="23">
        <f>IFERROR(__xludf.DUMMYFUNCTION("""COMPUTED_VALUE"""),22.05)</f>
        <v>22.05</v>
      </c>
      <c r="M1149" s="195" t="str">
        <f>IFERROR(__xludf.DUMMYFUNCTION("""COMPUTED_VALUE"""),"Equity Key Stats")</f>
        <v>Equity Key Stats</v>
      </c>
      <c r="N1149" s="5"/>
      <c r="O1149" s="5"/>
      <c r="P1149" s="142">
        <f>IFERROR(__xludf.DUMMYFUNCTION("""COMPUTED_VALUE"""),-47705.579007)</f>
        <v>-47705.57901</v>
      </c>
      <c r="Q1149" s="5"/>
      <c r="R1149" s="71">
        <f>IFERROR(__xludf.DUMMYFUNCTION("""COMPUTED_VALUE"""),22.05)</f>
        <v>22.05</v>
      </c>
      <c r="S1149" s="142">
        <f>IFERROR(__xludf.DUMMYFUNCTION("""COMPUTED_VALUE"""),39560.286465000005)</f>
        <v>39560.28647</v>
      </c>
      <c r="T1149" s="5">
        <f>IFERROR(__xludf.DUMMYFUNCTION("""COMPUTED_VALUE"""),1.0)</f>
        <v>1</v>
      </c>
      <c r="U1149" s="5">
        <f>IFERROR(__xludf.DUMMYFUNCTION("""COMPUTED_VALUE"""),1.0)</f>
        <v>1</v>
      </c>
      <c r="V1149" s="22">
        <f>IFERROR(__xludf.DUMMYFUNCTION("""COMPUTED_VALUE"""),-8145.292541999996)</f>
        <v>-8145.292542</v>
      </c>
      <c r="W1149" s="9" t="str">
        <f>IFERROR(__xludf.DUMMYFUNCTION("""COMPUTED_VALUE"""),"")</f>
        <v/>
      </c>
      <c r="X1149" s="22" t="str">
        <f>IFERROR(__xludf.DUMMYFUNCTION("""COMPUTED_VALUE"""),"")</f>
        <v/>
      </c>
      <c r="Y1149" s="22" t="str">
        <f>IFERROR(__xludf.DUMMYFUNCTION("""COMPUTED_VALUE"""),"")</f>
        <v/>
      </c>
      <c r="Z1149" s="24" t="str">
        <f>IFERROR(__xludf.DUMMYFUNCTION("""COMPUTED_VALUE"""),"")</f>
        <v/>
      </c>
    </row>
    <row r="1150">
      <c r="A1150" s="5" t="str">
        <f>IFERROR(__xludf.DUMMYFUNCTION("""COMPUTED_VALUE"""),"")</f>
        <v/>
      </c>
      <c r="B1150" s="5" t="str">
        <f>IFERROR(__xludf.DUMMYFUNCTION("""COMPUTED_VALUE"""),"MONKEY")</f>
        <v>MONKEY</v>
      </c>
      <c r="C1150" s="9">
        <f>IFERROR(__xludf.DUMMYFUNCTION("""COMPUTED_VALUE"""),4.461000026E10)</f>
        <v>44610000260</v>
      </c>
      <c r="D1150" s="87" t="str">
        <f>IFERROR(__xludf.DUMMYFUNCTION("""COMPUTED_VALUE"""),"SNPS")</f>
        <v>SNPS</v>
      </c>
      <c r="E1150" s="193">
        <f>IFERROR(__xludf.DUMMYFUNCTION("""COMPUTED_VALUE"""),44610.0)</f>
        <v>44610</v>
      </c>
      <c r="F1150" s="5" t="str">
        <f>IFERROR(__xludf.DUMMYFUNCTION("""COMPUTED_VALUE"""),"Stock")</f>
        <v>Stock</v>
      </c>
      <c r="G1150" s="5" t="str">
        <f>IFERROR(__xludf.DUMMYFUNCTION("""COMPUTED_VALUE"""),"USD")</f>
        <v>USD</v>
      </c>
      <c r="H1150" s="22">
        <f>IFERROR(__xludf.DUMMYFUNCTION("""COMPUTED_VALUE"""),20.0)</f>
        <v>20</v>
      </c>
      <c r="I1150" s="194">
        <f>IFERROR(__xludf.DUMMYFUNCTION("""COMPUTED_VALUE"""),7.80051)</f>
        <v>7.80051</v>
      </c>
      <c r="J1150" s="23">
        <f>IFERROR(__xludf.DUMMYFUNCTION("""COMPUTED_VALUE"""),287.63)</f>
        <v>287.63</v>
      </c>
      <c r="K1150" s="5"/>
      <c r="L1150" s="23">
        <f>IFERROR(__xludf.DUMMYFUNCTION("""COMPUTED_VALUE"""),306.72)</f>
        <v>306.72</v>
      </c>
      <c r="M1150" s="195" t="str">
        <f>IFERROR(__xludf.DUMMYFUNCTION("""COMPUTED_VALUE"""),"Equity Key Stats")</f>
        <v>Equity Key Stats</v>
      </c>
      <c r="N1150" s="5"/>
      <c r="O1150" s="5"/>
      <c r="P1150" s="142">
        <f>IFERROR(__xludf.DUMMYFUNCTION("""COMPUTED_VALUE"""),-44873.213826)</f>
        <v>-44873.21383</v>
      </c>
      <c r="Q1150" s="5"/>
      <c r="R1150" s="71">
        <f>IFERROR(__xludf.DUMMYFUNCTION("""COMPUTED_VALUE"""),306.72)</f>
        <v>306.72</v>
      </c>
      <c r="S1150" s="142">
        <f>IFERROR(__xludf.DUMMYFUNCTION("""COMPUTED_VALUE"""),47851.448544000006)</f>
        <v>47851.44854</v>
      </c>
      <c r="T1150" s="5">
        <f>IFERROR(__xludf.DUMMYFUNCTION("""COMPUTED_VALUE"""),1.0)</f>
        <v>1</v>
      </c>
      <c r="U1150" s="5">
        <f>IFERROR(__xludf.DUMMYFUNCTION("""COMPUTED_VALUE"""),1.0)</f>
        <v>1</v>
      </c>
      <c r="V1150" s="22">
        <f>IFERROR(__xludf.DUMMYFUNCTION("""COMPUTED_VALUE"""),2978.234718000007)</f>
        <v>2978.234718</v>
      </c>
      <c r="W1150" s="9" t="str">
        <f>IFERROR(__xludf.DUMMYFUNCTION("""COMPUTED_VALUE"""),"")</f>
        <v/>
      </c>
      <c r="X1150" s="22" t="str">
        <f>IFERROR(__xludf.DUMMYFUNCTION("""COMPUTED_VALUE"""),"")</f>
        <v/>
      </c>
      <c r="Y1150" s="22" t="str">
        <f>IFERROR(__xludf.DUMMYFUNCTION("""COMPUTED_VALUE"""),"")</f>
        <v/>
      </c>
      <c r="Z1150" s="24" t="str">
        <f>IFERROR(__xludf.DUMMYFUNCTION("""COMPUTED_VALUE"""),"")</f>
        <v/>
      </c>
    </row>
    <row r="1151">
      <c r="A1151" s="5" t="str">
        <f>IFERROR(__xludf.DUMMYFUNCTION("""COMPUTED_VALUE"""),"MONKEY")</f>
        <v>MONKEY</v>
      </c>
      <c r="B1151" s="5" t="str">
        <f>IFERROR(__xludf.DUMMYFUNCTION("""COMPUTED_VALUE"""),"MONKEY")</f>
        <v>MONKEY</v>
      </c>
      <c r="C1151" s="9">
        <f>IFERROR(__xludf.DUMMYFUNCTION("""COMPUTED_VALUE"""),4.4610000261E10)</f>
        <v>44610000261</v>
      </c>
      <c r="D1151" s="87" t="str">
        <f>IFERROR(__xludf.DUMMYFUNCTION("""COMPUTED_VALUE"""),"TMUS")</f>
        <v>TMUS</v>
      </c>
      <c r="E1151" s="193">
        <f>IFERROR(__xludf.DUMMYFUNCTION("""COMPUTED_VALUE"""),44610.0)</f>
        <v>44610</v>
      </c>
      <c r="F1151" s="5" t="str">
        <f>IFERROR(__xludf.DUMMYFUNCTION("""COMPUTED_VALUE"""),"Stock")</f>
        <v>Stock</v>
      </c>
      <c r="G1151" s="5" t="str">
        <f>IFERROR(__xludf.DUMMYFUNCTION("""COMPUTED_VALUE"""),"USD")</f>
        <v>USD</v>
      </c>
      <c r="H1151" s="22">
        <f>IFERROR(__xludf.DUMMYFUNCTION("""COMPUTED_VALUE"""),50.0)</f>
        <v>50</v>
      </c>
      <c r="I1151" s="194">
        <f>IFERROR(__xludf.DUMMYFUNCTION("""COMPUTED_VALUE"""),7.80051)</f>
        <v>7.80051</v>
      </c>
      <c r="J1151" s="23">
        <f>IFERROR(__xludf.DUMMYFUNCTION("""COMPUTED_VALUE"""),123.98)</f>
        <v>123.98</v>
      </c>
      <c r="K1151" s="5"/>
      <c r="L1151" s="23">
        <f>IFERROR(__xludf.DUMMYFUNCTION("""COMPUTED_VALUE"""),134.85)</f>
        <v>134.85</v>
      </c>
      <c r="M1151" s="195" t="str">
        <f>IFERROR(__xludf.DUMMYFUNCTION("""COMPUTED_VALUE"""),"Equity Key Stats")</f>
        <v>Equity Key Stats</v>
      </c>
      <c r="N1151" s="5"/>
      <c r="O1151" s="5"/>
      <c r="P1151" s="142">
        <f>IFERROR(__xludf.DUMMYFUNCTION("""COMPUTED_VALUE"""),-48355.36149)</f>
        <v>-48355.36149</v>
      </c>
      <c r="Q1151" s="5"/>
      <c r="R1151" s="71">
        <f>IFERROR(__xludf.DUMMYFUNCTION("""COMPUTED_VALUE"""),134.85)</f>
        <v>134.85</v>
      </c>
      <c r="S1151" s="142">
        <f>IFERROR(__xludf.DUMMYFUNCTION("""COMPUTED_VALUE"""),52594.938675)</f>
        <v>52594.93868</v>
      </c>
      <c r="T1151" s="5">
        <f>IFERROR(__xludf.DUMMYFUNCTION("""COMPUTED_VALUE"""),1.0)</f>
        <v>1</v>
      </c>
      <c r="U1151" s="5">
        <f>IFERROR(__xludf.DUMMYFUNCTION("""COMPUTED_VALUE"""),1.0)</f>
        <v>1</v>
      </c>
      <c r="V1151" s="22">
        <f>IFERROR(__xludf.DUMMYFUNCTION("""COMPUTED_VALUE"""),4239.577184999995)</f>
        <v>4239.577185</v>
      </c>
      <c r="W1151" s="9">
        <f>IFERROR(__xludf.DUMMYFUNCTION("""COMPUTED_VALUE"""),512095.5927665001)</f>
        <v>512095.5928</v>
      </c>
      <c r="X1151" s="22">
        <f>IFERROR(__xludf.DUMMYFUNCTION("""COMPUTED_VALUE"""),131473.7478175)</f>
        <v>131473.7478</v>
      </c>
      <c r="Y1151" s="22">
        <f>IFERROR(__xludf.DUMMYFUNCTION("""COMPUTED_VALUE"""),0.0)</f>
        <v>0</v>
      </c>
      <c r="Z1151" s="24">
        <f>IFERROR(__xludf.DUMMYFUNCTION("""COMPUTED_VALUE"""),0.024191185533000148)</f>
        <v>0.02419118553</v>
      </c>
    </row>
    <row r="1152">
      <c r="A1152" s="5" t="str">
        <f>IFERROR(__xludf.DUMMYFUNCTION("""COMPUTED_VALUE"""),"")</f>
        <v/>
      </c>
      <c r="B1152" s="5" t="str">
        <f>IFERROR(__xludf.DUMMYFUNCTION("""COMPUTED_VALUE"""),"Steve")</f>
        <v>Steve</v>
      </c>
      <c r="C1152" s="9">
        <f>IFERROR(__xludf.DUMMYFUNCTION("""COMPUTED_VALUE"""),4.4562000006E10)</f>
        <v>44562000006</v>
      </c>
      <c r="D1152" s="85" t="str">
        <f>IFERROR(__xludf.DUMMYFUNCTION("""COMPUTED_VALUE"""),"Cash")</f>
        <v>Cash</v>
      </c>
      <c r="E1152" s="193">
        <f>IFERROR(__xludf.DUMMYFUNCTION("""COMPUTED_VALUE"""),44562.0)</f>
        <v>44562</v>
      </c>
      <c r="F1152" s="5" t="str">
        <f>IFERROR(__xludf.DUMMYFUNCTION("""COMPUTED_VALUE"""),"Cash")</f>
        <v>Cash</v>
      </c>
      <c r="G1152" s="5" t="str">
        <f>IFERROR(__xludf.DUMMYFUNCTION("""COMPUTED_VALUE"""),"HKD")</f>
        <v>HKD</v>
      </c>
      <c r="H1152" s="22" t="str">
        <f>IFERROR(__xludf.DUMMYFUNCTION("""COMPUTED_VALUE"""),"")</f>
        <v/>
      </c>
      <c r="I1152" s="194">
        <f>IFERROR(__xludf.DUMMYFUNCTION("""COMPUTED_VALUE"""),1.0)</f>
        <v>1</v>
      </c>
      <c r="J1152" s="5">
        <f>IFERROR(__xludf.DUMMYFUNCTION("""COMPUTED_VALUE"""),1.0)</f>
        <v>1</v>
      </c>
      <c r="K1152" s="5"/>
      <c r="L1152" s="23">
        <f>IFERROR(__xludf.DUMMYFUNCTION("""COMPUTED_VALUE"""),1.0)</f>
        <v>1</v>
      </c>
      <c r="M1152" s="25" t="str">
        <f>IFERROR(__xludf.DUMMYFUNCTION("""COMPUTED_VALUE"""),"")</f>
        <v/>
      </c>
      <c r="N1152" s="5"/>
      <c r="O1152" s="5"/>
      <c r="P1152" s="142">
        <f>IFERROR(__xludf.DUMMYFUNCTION("""COMPUTED_VALUE"""),500000.0)</f>
        <v>500000</v>
      </c>
      <c r="Q1152" s="5"/>
      <c r="R1152" s="71">
        <f>IFERROR(__xludf.DUMMYFUNCTION("""COMPUTED_VALUE"""),1.0)</f>
        <v>1</v>
      </c>
      <c r="S1152" s="142" t="str">
        <f>IFERROR(__xludf.DUMMYFUNCTION("""COMPUTED_VALUE"""),"")</f>
        <v/>
      </c>
      <c r="T1152" s="5">
        <f>IFERROR(__xludf.DUMMYFUNCTION("""COMPUTED_VALUE"""),1.0)</f>
        <v>1</v>
      </c>
      <c r="U1152" s="5">
        <f>IFERROR(__xludf.DUMMYFUNCTION("""COMPUTED_VALUE"""),1.0)</f>
        <v>1</v>
      </c>
      <c r="V1152" s="22">
        <f>IFERROR(__xludf.DUMMYFUNCTION("""COMPUTED_VALUE"""),500000.0)</f>
        <v>500000</v>
      </c>
      <c r="W1152" s="9" t="str">
        <f>IFERROR(__xludf.DUMMYFUNCTION("""COMPUTED_VALUE"""),"")</f>
        <v/>
      </c>
      <c r="X1152" s="22" t="str">
        <f>IFERROR(__xludf.DUMMYFUNCTION("""COMPUTED_VALUE"""),"")</f>
        <v/>
      </c>
      <c r="Y1152" s="22" t="str">
        <f>IFERROR(__xludf.DUMMYFUNCTION("""COMPUTED_VALUE"""),"")</f>
        <v/>
      </c>
      <c r="Z1152" s="24" t="str">
        <f>IFERROR(__xludf.DUMMYFUNCTION("""COMPUTED_VALUE"""),"")</f>
        <v/>
      </c>
    </row>
    <row r="1153">
      <c r="A1153" s="5" t="str">
        <f>IFERROR(__xludf.DUMMYFUNCTION("""COMPUTED_VALUE"""),"Steve")</f>
        <v>Steve</v>
      </c>
      <c r="B1153" s="5" t="str">
        <f>IFERROR(__xludf.DUMMYFUNCTION("""COMPUTED_VALUE"""),"Steve")</f>
        <v>Steve</v>
      </c>
      <c r="C1153" s="9">
        <f>IFERROR(__xludf.DUMMYFUNCTION("""COMPUTED_VALUE"""),4.459500001E10)</f>
        <v>44595000010</v>
      </c>
      <c r="D1153" s="87" t="str">
        <f>IFERROR(__xludf.DUMMYFUNCTION("""COMPUTED_VALUE"""),"AMZN")</f>
        <v>AMZN</v>
      </c>
      <c r="E1153" s="193">
        <f>IFERROR(__xludf.DUMMYFUNCTION("""COMPUTED_VALUE"""),44595.0)</f>
        <v>44595</v>
      </c>
      <c r="F1153" s="5" t="str">
        <f>IFERROR(__xludf.DUMMYFUNCTION("""COMPUTED_VALUE"""),"Stock")</f>
        <v>Stock</v>
      </c>
      <c r="G1153" s="5" t="str">
        <f>IFERROR(__xludf.DUMMYFUNCTION("""COMPUTED_VALUE"""),"USD")</f>
        <v>USD</v>
      </c>
      <c r="H1153" s="22">
        <f>IFERROR(__xludf.DUMMYFUNCTION("""COMPUTED_VALUE"""),1.0)</f>
        <v>1</v>
      </c>
      <c r="I1153" s="194">
        <f>IFERROR(__xludf.DUMMYFUNCTION("""COMPUTED_VALUE"""),7.79325)</f>
        <v>7.79325</v>
      </c>
      <c r="J1153" s="23">
        <f>IFERROR(__xludf.DUMMYFUNCTION("""COMPUTED_VALUE"""),2776.91)</f>
        <v>2776.91</v>
      </c>
      <c r="K1153" s="5"/>
      <c r="L1153" s="23">
        <f>IFERROR(__xludf.DUMMYFUNCTION("""COMPUTED_VALUE"""),3110.82)</f>
        <v>3110.82</v>
      </c>
      <c r="M1153" s="195" t="str">
        <f>IFERROR(__xludf.DUMMYFUNCTION("""COMPUTED_VALUE"""),"Equity Key Stats")</f>
        <v>Equity Key Stats</v>
      </c>
      <c r="N1153" s="5"/>
      <c r="O1153" s="5"/>
      <c r="P1153" s="142">
        <f>IFERROR(__xludf.DUMMYFUNCTION("""COMPUTED_VALUE"""),-21641.153857499998)</f>
        <v>-21641.15386</v>
      </c>
      <c r="Q1153" s="5"/>
      <c r="R1153" s="71">
        <f>IFERROR(__xludf.DUMMYFUNCTION("""COMPUTED_VALUE"""),3110.82)</f>
        <v>3110.82</v>
      </c>
      <c r="S1153" s="142">
        <f>IFERROR(__xludf.DUMMYFUNCTION("""COMPUTED_VALUE"""),24243.397965)</f>
        <v>24243.39797</v>
      </c>
      <c r="T1153" s="5">
        <f>IFERROR(__xludf.DUMMYFUNCTION("""COMPUTED_VALUE"""),1.0)</f>
        <v>1</v>
      </c>
      <c r="U1153" s="5">
        <f>IFERROR(__xludf.DUMMYFUNCTION("""COMPUTED_VALUE"""),1.0)</f>
        <v>1</v>
      </c>
      <c r="V1153" s="22">
        <f>IFERROR(__xludf.DUMMYFUNCTION("""COMPUTED_VALUE"""),2602.2441075000024)</f>
        <v>2602.244108</v>
      </c>
      <c r="W1153" s="9">
        <f>IFERROR(__xludf.DUMMYFUNCTION("""COMPUTED_VALUE"""),502602.2441075)</f>
        <v>502602.2441</v>
      </c>
      <c r="X1153" s="22">
        <f>IFERROR(__xludf.DUMMYFUNCTION("""COMPUTED_VALUE"""),478358.8461425)</f>
        <v>478358.8461</v>
      </c>
      <c r="Y1153" s="22">
        <f>IFERROR(__xludf.DUMMYFUNCTION("""COMPUTED_VALUE"""),0.0)</f>
        <v>0</v>
      </c>
      <c r="Z1153" s="24">
        <f>IFERROR(__xludf.DUMMYFUNCTION("""COMPUTED_VALUE"""),0.005204488214999969)</f>
        <v>0.005204488215</v>
      </c>
    </row>
    <row r="1154">
      <c r="A1154" s="5" t="str">
        <f>IFERROR(__xludf.DUMMYFUNCTION("""COMPUTED_VALUE"""),"")</f>
        <v/>
      </c>
      <c r="B1154" s="5" t="str">
        <f>IFERROR(__xludf.DUMMYFUNCTION("""COMPUTED_VALUE"""),"TraderX")</f>
        <v>TraderX</v>
      </c>
      <c r="C1154" s="9">
        <f>IFERROR(__xludf.DUMMYFUNCTION("""COMPUTED_VALUE"""),4.4562000005E10)</f>
        <v>44562000005</v>
      </c>
      <c r="D1154" s="85" t="str">
        <f>IFERROR(__xludf.DUMMYFUNCTION("""COMPUTED_VALUE"""),"Cash")</f>
        <v>Cash</v>
      </c>
      <c r="E1154" s="193">
        <f>IFERROR(__xludf.DUMMYFUNCTION("""COMPUTED_VALUE"""),44562.0)</f>
        <v>44562</v>
      </c>
      <c r="F1154" s="5" t="str">
        <f>IFERROR(__xludf.DUMMYFUNCTION("""COMPUTED_VALUE"""),"Cash")</f>
        <v>Cash</v>
      </c>
      <c r="G1154" s="5" t="str">
        <f>IFERROR(__xludf.DUMMYFUNCTION("""COMPUTED_VALUE"""),"HKD")</f>
        <v>HKD</v>
      </c>
      <c r="H1154" s="22" t="str">
        <f>IFERROR(__xludf.DUMMYFUNCTION("""COMPUTED_VALUE"""),"")</f>
        <v/>
      </c>
      <c r="I1154" s="194">
        <f>IFERROR(__xludf.DUMMYFUNCTION("""COMPUTED_VALUE"""),1.0)</f>
        <v>1</v>
      </c>
      <c r="J1154" s="5">
        <f>IFERROR(__xludf.DUMMYFUNCTION("""COMPUTED_VALUE"""),1.0)</f>
        <v>1</v>
      </c>
      <c r="K1154" s="5"/>
      <c r="L1154" s="23">
        <f>IFERROR(__xludf.DUMMYFUNCTION("""COMPUTED_VALUE"""),1.0)</f>
        <v>1</v>
      </c>
      <c r="M1154" s="25" t="str">
        <f>IFERROR(__xludf.DUMMYFUNCTION("""COMPUTED_VALUE"""),"")</f>
        <v/>
      </c>
      <c r="N1154" s="5"/>
      <c r="O1154" s="5"/>
      <c r="P1154" s="142">
        <f>IFERROR(__xludf.DUMMYFUNCTION("""COMPUTED_VALUE"""),500000.0)</f>
        <v>500000</v>
      </c>
      <c r="Q1154" s="5"/>
      <c r="R1154" s="71">
        <f>IFERROR(__xludf.DUMMYFUNCTION("""COMPUTED_VALUE"""),1.0)</f>
        <v>1</v>
      </c>
      <c r="S1154" s="142" t="str">
        <f>IFERROR(__xludf.DUMMYFUNCTION("""COMPUTED_VALUE"""),"")</f>
        <v/>
      </c>
      <c r="T1154" s="5">
        <f>IFERROR(__xludf.DUMMYFUNCTION("""COMPUTED_VALUE"""),1.0)</f>
        <v>1</v>
      </c>
      <c r="U1154" s="5">
        <f>IFERROR(__xludf.DUMMYFUNCTION("""COMPUTED_VALUE"""),1.0)</f>
        <v>1</v>
      </c>
      <c r="V1154" s="22">
        <f>IFERROR(__xludf.DUMMYFUNCTION("""COMPUTED_VALUE"""),500000.0)</f>
        <v>500000</v>
      </c>
      <c r="W1154" s="9" t="str">
        <f>IFERROR(__xludf.DUMMYFUNCTION("""COMPUTED_VALUE"""),"")</f>
        <v/>
      </c>
      <c r="X1154" s="22" t="str">
        <f>IFERROR(__xludf.DUMMYFUNCTION("""COMPUTED_VALUE"""),"")</f>
        <v/>
      </c>
      <c r="Y1154" s="22" t="str">
        <f>IFERROR(__xludf.DUMMYFUNCTION("""COMPUTED_VALUE"""),"")</f>
        <v/>
      </c>
      <c r="Z1154" s="24" t="str">
        <f>IFERROR(__xludf.DUMMYFUNCTION("""COMPUTED_VALUE"""),"")</f>
        <v/>
      </c>
    </row>
    <row r="1155">
      <c r="A1155" s="5" t="str">
        <f>IFERROR(__xludf.DUMMYFUNCTION("""COMPUTED_VALUE"""),"")</f>
        <v/>
      </c>
      <c r="B1155" s="5" t="str">
        <f>IFERROR(__xludf.DUMMYFUNCTION("""COMPUTED_VALUE"""),"TraderX")</f>
        <v>TraderX</v>
      </c>
      <c r="C1155" s="9">
        <f>IFERROR(__xludf.DUMMYFUNCTION("""COMPUTED_VALUE"""),4.4595000009E10)</f>
        <v>44595000009</v>
      </c>
      <c r="D1155" s="87" t="str">
        <f>IFERROR(__xludf.DUMMYFUNCTION("""COMPUTED_VALUE"""),"1m")</f>
        <v>1m</v>
      </c>
      <c r="E1155" s="193">
        <f>IFERROR(__xludf.DUMMYFUNCTION("""COMPUTED_VALUE"""),44595.0)</f>
        <v>44595</v>
      </c>
      <c r="F1155" s="5" t="str">
        <f>IFERROR(__xludf.DUMMYFUNCTION("""COMPUTED_VALUE"""),"Time Deposit")</f>
        <v>Time Deposit</v>
      </c>
      <c r="G1155" s="5" t="str">
        <f>IFERROR(__xludf.DUMMYFUNCTION("""COMPUTED_VALUE"""),"HKD")</f>
        <v>HKD</v>
      </c>
      <c r="H1155" s="22">
        <f>IFERROR(__xludf.DUMMYFUNCTION("""COMPUTED_VALUE"""),1000.0)</f>
        <v>1000</v>
      </c>
      <c r="I1155" s="194">
        <f>IFERROR(__xludf.DUMMYFUNCTION("""COMPUTED_VALUE"""),1.0)</f>
        <v>1</v>
      </c>
      <c r="J1155" s="5">
        <f>IFERROR(__xludf.DUMMYFUNCTION("""COMPUTED_VALUE"""),1.0)</f>
        <v>1</v>
      </c>
      <c r="K1155" s="5"/>
      <c r="L1155" s="23">
        <f>IFERROR(__xludf.DUMMYFUNCTION("""COMPUTED_VALUE"""),1.0)</f>
        <v>1</v>
      </c>
      <c r="M1155" s="25" t="str">
        <f>IFERROR(__xludf.DUMMYFUNCTION("""COMPUTED_VALUE"""),"")</f>
        <v/>
      </c>
      <c r="N1155" s="5"/>
      <c r="O1155" s="5"/>
      <c r="P1155" s="142">
        <f>IFERROR(__xludf.DUMMYFUNCTION("""COMPUTED_VALUE"""),-1000.0)</f>
        <v>-1000</v>
      </c>
      <c r="Q1155" s="5"/>
      <c r="R1155" s="71">
        <f>IFERROR(__xludf.DUMMYFUNCTION("""COMPUTED_VALUE"""),1.0)</f>
        <v>1</v>
      </c>
      <c r="S1155" s="142">
        <f>IFERROR(__xludf.DUMMYFUNCTION("""COMPUTED_VALUE"""),1000.0)</f>
        <v>1000</v>
      </c>
      <c r="T1155" s="5">
        <f>IFERROR(__xludf.DUMMYFUNCTION("""COMPUTED_VALUE"""),1.0)</f>
        <v>1</v>
      </c>
      <c r="U1155" s="5">
        <f>IFERROR(__xludf.DUMMYFUNCTION("""COMPUTED_VALUE"""),1.0)</f>
        <v>1</v>
      </c>
      <c r="V1155" s="22">
        <f>IFERROR(__xludf.DUMMYFUNCTION("""COMPUTED_VALUE"""),0.0)</f>
        <v>0</v>
      </c>
      <c r="W1155" s="9" t="str">
        <f>IFERROR(__xludf.DUMMYFUNCTION("""COMPUTED_VALUE"""),"")</f>
        <v/>
      </c>
      <c r="X1155" s="22" t="str">
        <f>IFERROR(__xludf.DUMMYFUNCTION("""COMPUTED_VALUE"""),"")</f>
        <v/>
      </c>
      <c r="Y1155" s="22" t="str">
        <f>IFERROR(__xludf.DUMMYFUNCTION("""COMPUTED_VALUE"""),"")</f>
        <v/>
      </c>
      <c r="Z1155" s="24" t="str">
        <f>IFERROR(__xludf.DUMMYFUNCTION("""COMPUTED_VALUE"""),"")</f>
        <v/>
      </c>
    </row>
    <row r="1156">
      <c r="A1156" s="5" t="str">
        <f>IFERROR(__xludf.DUMMYFUNCTION("""COMPUTED_VALUE"""),"")</f>
        <v/>
      </c>
      <c r="B1156" s="5" t="str">
        <f>IFERROR(__xludf.DUMMYFUNCTION("""COMPUTED_VALUE"""),"TraderX")</f>
        <v>TraderX</v>
      </c>
      <c r="C1156" s="9">
        <f>IFERROR(__xludf.DUMMYFUNCTION("""COMPUTED_VALUE"""),4.4609000244E10)</f>
        <v>44609000244</v>
      </c>
      <c r="D1156" s="87" t="str">
        <f>IFERROR(__xludf.DUMMYFUNCTION("""COMPUTED_VALUE"""),"SPXW220218P04300000")</f>
        <v>SPXW220218P04300000</v>
      </c>
      <c r="E1156" s="193">
        <f>IFERROR(__xludf.DUMMYFUNCTION("""COMPUTED_VALUE"""),44609.0)</f>
        <v>44609</v>
      </c>
      <c r="F1156" s="5" t="str">
        <f>IFERROR(__xludf.DUMMYFUNCTION("""COMPUTED_VALUE"""),"Option")</f>
        <v>Option</v>
      </c>
      <c r="G1156" s="5" t="str">
        <f>IFERROR(__xludf.DUMMYFUNCTION("""COMPUTED_VALUE"""),"USD")</f>
        <v>USD</v>
      </c>
      <c r="H1156" s="22">
        <f>IFERROR(__xludf.DUMMYFUNCTION("""COMPUTED_VALUE"""),-8.0)</f>
        <v>-8</v>
      </c>
      <c r="I1156" s="194">
        <f>IFERROR(__xludf.DUMMYFUNCTION("""COMPUTED_VALUE"""),7.799115)</f>
        <v>7.799115</v>
      </c>
      <c r="J1156" s="23">
        <f>IFERROR(__xludf.DUMMYFUNCTION("""COMPUTED_VALUE"""),5.25)</f>
        <v>5.25</v>
      </c>
      <c r="K1156" s="5"/>
      <c r="L1156" s="23">
        <f>IFERROR(__xludf.DUMMYFUNCTION("""COMPUTED_VALUE"""),0.0)</f>
        <v>0</v>
      </c>
      <c r="M1156" s="25" t="str">
        <f>IFERROR(__xludf.DUMMYFUNCTION("""COMPUTED_VALUE"""),"")</f>
        <v/>
      </c>
      <c r="N1156" s="5"/>
      <c r="O1156" s="5"/>
      <c r="P1156" s="142">
        <f>IFERROR(__xludf.DUMMYFUNCTION("""COMPUTED_VALUE"""),32756.282999999996)</f>
        <v>32756.283</v>
      </c>
      <c r="Q1156" s="5"/>
      <c r="R1156" s="71">
        <f>IFERROR(__xludf.DUMMYFUNCTION("""COMPUTED_VALUE"""),0.0)</f>
        <v>0</v>
      </c>
      <c r="S1156" s="142">
        <f>IFERROR(__xludf.DUMMYFUNCTION("""COMPUTED_VALUE"""),0.0)</f>
        <v>0</v>
      </c>
      <c r="T1156" s="5">
        <f>IFERROR(__xludf.DUMMYFUNCTION("""COMPUTED_VALUE"""),2.0)</f>
        <v>2</v>
      </c>
      <c r="U1156" s="5" t="str">
        <f>IFERROR(__xludf.DUMMYFUNCTION("""COMPUTED_VALUE"""),"")</f>
        <v/>
      </c>
      <c r="V1156" s="22" t="str">
        <f>IFERROR(__xludf.DUMMYFUNCTION("""COMPUTED_VALUE"""),"")</f>
        <v/>
      </c>
      <c r="W1156" s="9" t="str">
        <f>IFERROR(__xludf.DUMMYFUNCTION("""COMPUTED_VALUE"""),"")</f>
        <v/>
      </c>
      <c r="X1156" s="22" t="str">
        <f>IFERROR(__xludf.DUMMYFUNCTION("""COMPUTED_VALUE"""),"")</f>
        <v/>
      </c>
      <c r="Y1156" s="22" t="str">
        <f>IFERROR(__xludf.DUMMYFUNCTION("""COMPUTED_VALUE"""),"")</f>
        <v/>
      </c>
      <c r="Z1156" s="24" t="str">
        <f>IFERROR(__xludf.DUMMYFUNCTION("""COMPUTED_VALUE"""),"")</f>
        <v/>
      </c>
    </row>
    <row r="1157">
      <c r="A1157" s="5" t="str">
        <f>IFERROR(__xludf.DUMMYFUNCTION("""COMPUTED_VALUE"""),"")</f>
        <v/>
      </c>
      <c r="B1157" s="5" t="str">
        <f>IFERROR(__xludf.DUMMYFUNCTION("""COMPUTED_VALUE"""),"TraderX")</f>
        <v>TraderX</v>
      </c>
      <c r="C1157" s="9">
        <f>IFERROR(__xludf.DUMMYFUNCTION("""COMPUTED_VALUE"""),4.4609000245E10)</f>
        <v>44609000245</v>
      </c>
      <c r="D1157" s="87" t="str">
        <f>IFERROR(__xludf.DUMMYFUNCTION("""COMPUTED_VALUE"""),"SPX220218P04220000")</f>
        <v>SPX220218P04220000</v>
      </c>
      <c r="E1157" s="193">
        <f>IFERROR(__xludf.DUMMYFUNCTION("""COMPUTED_VALUE"""),44609.0)</f>
        <v>44609</v>
      </c>
      <c r="F1157" s="5" t="str">
        <f>IFERROR(__xludf.DUMMYFUNCTION("""COMPUTED_VALUE"""),"Option")</f>
        <v>Option</v>
      </c>
      <c r="G1157" s="5" t="str">
        <f>IFERROR(__xludf.DUMMYFUNCTION("""COMPUTED_VALUE"""),"USD")</f>
        <v>USD</v>
      </c>
      <c r="H1157" s="22">
        <f>IFERROR(__xludf.DUMMYFUNCTION("""COMPUTED_VALUE"""),8.0)</f>
        <v>8</v>
      </c>
      <c r="I1157" s="194">
        <f>IFERROR(__xludf.DUMMYFUNCTION("""COMPUTED_VALUE"""),7.799115)</f>
        <v>7.799115</v>
      </c>
      <c r="J1157" s="23">
        <f>IFERROR(__xludf.DUMMYFUNCTION("""COMPUTED_VALUE"""),0.3)</f>
        <v>0.3</v>
      </c>
      <c r="K1157" s="5"/>
      <c r="L1157" s="23">
        <f>IFERROR(__xludf.DUMMYFUNCTION("""COMPUTED_VALUE"""),0.0)</f>
        <v>0</v>
      </c>
      <c r="M1157" s="25" t="str">
        <f>IFERROR(__xludf.DUMMYFUNCTION("""COMPUTED_VALUE"""),"")</f>
        <v/>
      </c>
      <c r="N1157" s="5"/>
      <c r="O1157" s="5"/>
      <c r="P1157" s="142">
        <f>IFERROR(__xludf.DUMMYFUNCTION("""COMPUTED_VALUE"""),-1871.7875999999997)</f>
        <v>-1871.7876</v>
      </c>
      <c r="Q1157" s="5"/>
      <c r="R1157" s="71">
        <f>IFERROR(__xludf.DUMMYFUNCTION("""COMPUTED_VALUE"""),0.0)</f>
        <v>0</v>
      </c>
      <c r="S1157" s="142">
        <f>IFERROR(__xludf.DUMMYFUNCTION("""COMPUTED_VALUE"""),0.0)</f>
        <v>0</v>
      </c>
      <c r="T1157" s="5">
        <f>IFERROR(__xludf.DUMMYFUNCTION("""COMPUTED_VALUE"""),2.0)</f>
        <v>2</v>
      </c>
      <c r="U1157" s="5" t="str">
        <f>IFERROR(__xludf.DUMMYFUNCTION("""COMPUTED_VALUE"""),"")</f>
        <v/>
      </c>
      <c r="V1157" s="22" t="str">
        <f>IFERROR(__xludf.DUMMYFUNCTION("""COMPUTED_VALUE"""),"")</f>
        <v/>
      </c>
      <c r="W1157" s="9" t="str">
        <f>IFERROR(__xludf.DUMMYFUNCTION("""COMPUTED_VALUE"""),"")</f>
        <v/>
      </c>
      <c r="X1157" s="22" t="str">
        <f>IFERROR(__xludf.DUMMYFUNCTION("""COMPUTED_VALUE"""),"")</f>
        <v/>
      </c>
      <c r="Y1157" s="22" t="str">
        <f>IFERROR(__xludf.DUMMYFUNCTION("""COMPUTED_VALUE"""),"")</f>
        <v/>
      </c>
      <c r="Z1157" s="24" t="str">
        <f>IFERROR(__xludf.DUMMYFUNCTION("""COMPUTED_VALUE"""),"")</f>
        <v/>
      </c>
    </row>
    <row r="1158">
      <c r="A1158" s="5" t="str">
        <f>IFERROR(__xludf.DUMMYFUNCTION("""COMPUTED_VALUE"""),"")</f>
        <v/>
      </c>
      <c r="B1158" s="5" t="str">
        <f>IFERROR(__xludf.DUMMYFUNCTION("""COMPUTED_VALUE"""),"TraderX")</f>
        <v>TraderX</v>
      </c>
      <c r="C1158" s="9">
        <f>IFERROR(__xludf.DUMMYFUNCTION("""COMPUTED_VALUE"""),4.4611000284E10)</f>
        <v>44611000284</v>
      </c>
      <c r="D1158" s="87" t="str">
        <f>IFERROR(__xludf.DUMMYFUNCTION("""COMPUTED_VALUE"""),"SPXW220218P04300000")</f>
        <v>SPXW220218P04300000</v>
      </c>
      <c r="E1158" s="193">
        <f>IFERROR(__xludf.DUMMYFUNCTION("""COMPUTED_VALUE"""),44611.0)</f>
        <v>44611</v>
      </c>
      <c r="F1158" s="5" t="str">
        <f>IFERROR(__xludf.DUMMYFUNCTION("""COMPUTED_VALUE"""),"Option")</f>
        <v>Option</v>
      </c>
      <c r="G1158" s="5" t="str">
        <f>IFERROR(__xludf.DUMMYFUNCTION("""COMPUTED_VALUE"""),"USD")</f>
        <v>USD</v>
      </c>
      <c r="H1158" s="22">
        <f>IFERROR(__xludf.DUMMYFUNCTION("""COMPUTED_VALUE"""),0.0)</f>
        <v>0</v>
      </c>
      <c r="I1158" s="194">
        <f>IFERROR(__xludf.DUMMYFUNCTION("""COMPUTED_VALUE"""),7.80051)</f>
        <v>7.80051</v>
      </c>
      <c r="J1158" s="23">
        <f>IFERROR(__xludf.DUMMYFUNCTION("""COMPUTED_VALUE"""),0.0)</f>
        <v>0</v>
      </c>
      <c r="K1158" s="5"/>
      <c r="L1158" s="23">
        <f>IFERROR(__xludf.DUMMYFUNCTION("""COMPUTED_VALUE"""),0.0)</f>
        <v>0</v>
      </c>
      <c r="M1158" s="25" t="str">
        <f>IFERROR(__xludf.DUMMYFUNCTION("""COMPUTED_VALUE"""),"")</f>
        <v/>
      </c>
      <c r="N1158" s="5"/>
      <c r="O1158" s="5"/>
      <c r="P1158" s="142">
        <f>IFERROR(__xludf.DUMMYFUNCTION("""COMPUTED_VALUE"""),0.0)</f>
        <v>0</v>
      </c>
      <c r="Q1158" s="5"/>
      <c r="R1158" s="71">
        <f>IFERROR(__xludf.DUMMYFUNCTION("""COMPUTED_VALUE"""),0.0)</f>
        <v>0</v>
      </c>
      <c r="S1158" s="142">
        <f>IFERROR(__xludf.DUMMYFUNCTION("""COMPUTED_VALUE"""),0.0)</f>
        <v>0</v>
      </c>
      <c r="T1158" s="5">
        <f>IFERROR(__xludf.DUMMYFUNCTION("""COMPUTED_VALUE"""),2.0)</f>
        <v>2</v>
      </c>
      <c r="U1158" s="5">
        <f>IFERROR(__xludf.DUMMYFUNCTION("""COMPUTED_VALUE"""),1.0)</f>
        <v>1</v>
      </c>
      <c r="V1158" s="22">
        <f>IFERROR(__xludf.DUMMYFUNCTION("""COMPUTED_VALUE"""),32756.282999999996)</f>
        <v>32756.283</v>
      </c>
      <c r="W1158" s="9" t="str">
        <f>IFERROR(__xludf.DUMMYFUNCTION("""COMPUTED_VALUE"""),"")</f>
        <v/>
      </c>
      <c r="X1158" s="22" t="str">
        <f>IFERROR(__xludf.DUMMYFUNCTION("""COMPUTED_VALUE"""),"")</f>
        <v/>
      </c>
      <c r="Y1158" s="22" t="str">
        <f>IFERROR(__xludf.DUMMYFUNCTION("""COMPUTED_VALUE"""),"")</f>
        <v/>
      </c>
      <c r="Z1158" s="24" t="str">
        <f>IFERROR(__xludf.DUMMYFUNCTION("""COMPUTED_VALUE"""),"")</f>
        <v/>
      </c>
    </row>
    <row r="1159">
      <c r="A1159" s="5" t="str">
        <f>IFERROR(__xludf.DUMMYFUNCTION("""COMPUTED_VALUE"""),"")</f>
        <v/>
      </c>
      <c r="B1159" s="5" t="str">
        <f>IFERROR(__xludf.DUMMYFUNCTION("""COMPUTED_VALUE"""),"TraderX")</f>
        <v>TraderX</v>
      </c>
      <c r="C1159" s="9">
        <f>IFERROR(__xludf.DUMMYFUNCTION("""COMPUTED_VALUE"""),4.4611000285E10)</f>
        <v>44611000285</v>
      </c>
      <c r="D1159" s="87" t="str">
        <f>IFERROR(__xludf.DUMMYFUNCTION("""COMPUTED_VALUE"""),"SPX220218P04220000")</f>
        <v>SPX220218P04220000</v>
      </c>
      <c r="E1159" s="193">
        <f>IFERROR(__xludf.DUMMYFUNCTION("""COMPUTED_VALUE"""),44611.0)</f>
        <v>44611</v>
      </c>
      <c r="F1159" s="5" t="str">
        <f>IFERROR(__xludf.DUMMYFUNCTION("""COMPUTED_VALUE"""),"Option")</f>
        <v>Option</v>
      </c>
      <c r="G1159" s="5" t="str">
        <f>IFERROR(__xludf.DUMMYFUNCTION("""COMPUTED_VALUE"""),"USD")</f>
        <v>USD</v>
      </c>
      <c r="H1159" s="22">
        <f>IFERROR(__xludf.DUMMYFUNCTION("""COMPUTED_VALUE"""),0.0)</f>
        <v>0</v>
      </c>
      <c r="I1159" s="194">
        <f>IFERROR(__xludf.DUMMYFUNCTION("""COMPUTED_VALUE"""),7.80051)</f>
        <v>7.80051</v>
      </c>
      <c r="J1159" s="23">
        <f>IFERROR(__xludf.DUMMYFUNCTION("""COMPUTED_VALUE"""),0.0)</f>
        <v>0</v>
      </c>
      <c r="K1159" s="5"/>
      <c r="L1159" s="23">
        <f>IFERROR(__xludf.DUMMYFUNCTION("""COMPUTED_VALUE"""),0.0)</f>
        <v>0</v>
      </c>
      <c r="M1159" s="25" t="str">
        <f>IFERROR(__xludf.DUMMYFUNCTION("""COMPUTED_VALUE"""),"")</f>
        <v/>
      </c>
      <c r="N1159" s="5"/>
      <c r="O1159" s="5"/>
      <c r="P1159" s="142">
        <f>IFERROR(__xludf.DUMMYFUNCTION("""COMPUTED_VALUE"""),0.0)</f>
        <v>0</v>
      </c>
      <c r="Q1159" s="5"/>
      <c r="R1159" s="71">
        <f>IFERROR(__xludf.DUMMYFUNCTION("""COMPUTED_VALUE"""),0.0)</f>
        <v>0</v>
      </c>
      <c r="S1159" s="142">
        <f>IFERROR(__xludf.DUMMYFUNCTION("""COMPUTED_VALUE"""),0.0)</f>
        <v>0</v>
      </c>
      <c r="T1159" s="5">
        <f>IFERROR(__xludf.DUMMYFUNCTION("""COMPUTED_VALUE"""),2.0)</f>
        <v>2</v>
      </c>
      <c r="U1159" s="5">
        <f>IFERROR(__xludf.DUMMYFUNCTION("""COMPUTED_VALUE"""),1.0)</f>
        <v>1</v>
      </c>
      <c r="V1159" s="22">
        <f>IFERROR(__xludf.DUMMYFUNCTION("""COMPUTED_VALUE"""),-1871.7875999999997)</f>
        <v>-1871.7876</v>
      </c>
      <c r="W1159" s="9" t="str">
        <f>IFERROR(__xludf.DUMMYFUNCTION("""COMPUTED_VALUE"""),"")</f>
        <v/>
      </c>
      <c r="X1159" s="22" t="str">
        <f>IFERROR(__xludf.DUMMYFUNCTION("""COMPUTED_VALUE"""),"")</f>
        <v/>
      </c>
      <c r="Y1159" s="22" t="str">
        <f>IFERROR(__xludf.DUMMYFUNCTION("""COMPUTED_VALUE"""),"")</f>
        <v/>
      </c>
      <c r="Z1159" s="24" t="str">
        <f>IFERROR(__xludf.DUMMYFUNCTION("""COMPUTED_VALUE"""),"")</f>
        <v/>
      </c>
    </row>
    <row r="1160">
      <c r="A1160" s="5" t="str">
        <f>IFERROR(__xludf.DUMMYFUNCTION("""COMPUTED_VALUE"""),"")</f>
        <v/>
      </c>
      <c r="B1160" s="5" t="str">
        <f>IFERROR(__xludf.DUMMYFUNCTION("""COMPUTED_VALUE"""),"TraderX")</f>
        <v>TraderX</v>
      </c>
      <c r="C1160" s="9">
        <f>IFERROR(__xludf.DUMMYFUNCTION("""COMPUTED_VALUE"""),4.465500113E10)</f>
        <v>44655001130</v>
      </c>
      <c r="D1160" s="87" t="str">
        <f>IFERROR(__xludf.DUMMYFUNCTION("""COMPUTED_VALUE"""),"NDXP220406P14400000")</f>
        <v>NDXP220406P14400000</v>
      </c>
      <c r="E1160" s="193">
        <f>IFERROR(__xludf.DUMMYFUNCTION("""COMPUTED_VALUE"""),44655.0)</f>
        <v>44655</v>
      </c>
      <c r="F1160" s="5" t="str">
        <f>IFERROR(__xludf.DUMMYFUNCTION("""COMPUTED_VALUE"""),"Option")</f>
        <v>Option</v>
      </c>
      <c r="G1160" s="5" t="str">
        <f>IFERROR(__xludf.DUMMYFUNCTION("""COMPUTED_VALUE"""),"USD")</f>
        <v>USD</v>
      </c>
      <c r="H1160" s="22">
        <f>IFERROR(__xludf.DUMMYFUNCTION("""COMPUTED_VALUE"""),6.0)</f>
        <v>6</v>
      </c>
      <c r="I1160" s="194">
        <f>IFERROR(__xludf.DUMMYFUNCTION("""COMPUTED_VALUE"""),7.834585)</f>
        <v>7.834585</v>
      </c>
      <c r="J1160" s="23">
        <f>IFERROR(__xludf.DUMMYFUNCTION("""COMPUTED_VALUE"""),4.2)</f>
        <v>4.2</v>
      </c>
      <c r="K1160" s="5"/>
      <c r="L1160" s="23">
        <f>IFERROR(__xludf.DUMMYFUNCTION("""COMPUTED_VALUE"""),0.0)</f>
        <v>0</v>
      </c>
      <c r="M1160" s="25" t="str">
        <f>IFERROR(__xludf.DUMMYFUNCTION("""COMPUTED_VALUE"""),"")</f>
        <v/>
      </c>
      <c r="N1160" s="5"/>
      <c r="O1160" s="5"/>
      <c r="P1160" s="142">
        <f>IFERROR(__xludf.DUMMYFUNCTION("""COMPUTED_VALUE"""),-19743.154199999997)</f>
        <v>-19743.1542</v>
      </c>
      <c r="Q1160" s="5"/>
      <c r="R1160" s="71">
        <f>IFERROR(__xludf.DUMMYFUNCTION("""COMPUTED_VALUE"""),0.0)</f>
        <v>0</v>
      </c>
      <c r="S1160" s="142">
        <f>IFERROR(__xludf.DUMMYFUNCTION("""COMPUTED_VALUE"""),0.0)</f>
        <v>0</v>
      </c>
      <c r="T1160" s="5">
        <f>IFERROR(__xludf.DUMMYFUNCTION("""COMPUTED_VALUE"""),2.0)</f>
        <v>2</v>
      </c>
      <c r="U1160" s="5" t="str">
        <f>IFERROR(__xludf.DUMMYFUNCTION("""COMPUTED_VALUE"""),"")</f>
        <v/>
      </c>
      <c r="V1160" s="22" t="str">
        <f>IFERROR(__xludf.DUMMYFUNCTION("""COMPUTED_VALUE"""),"")</f>
        <v/>
      </c>
      <c r="W1160" s="9" t="str">
        <f>IFERROR(__xludf.DUMMYFUNCTION("""COMPUTED_VALUE"""),"")</f>
        <v/>
      </c>
      <c r="X1160" s="22" t="str">
        <f>IFERROR(__xludf.DUMMYFUNCTION("""COMPUTED_VALUE"""),"")</f>
        <v/>
      </c>
      <c r="Y1160" s="22" t="str">
        <f>IFERROR(__xludf.DUMMYFUNCTION("""COMPUTED_VALUE"""),"")</f>
        <v/>
      </c>
      <c r="Z1160" s="24" t="str">
        <f>IFERROR(__xludf.DUMMYFUNCTION("""COMPUTED_VALUE"""),"")</f>
        <v/>
      </c>
    </row>
    <row r="1161">
      <c r="A1161" s="5" t="str">
        <f>IFERROR(__xludf.DUMMYFUNCTION("""COMPUTED_VALUE"""),"")</f>
        <v/>
      </c>
      <c r="B1161" s="5" t="str">
        <f>IFERROR(__xludf.DUMMYFUNCTION("""COMPUTED_VALUE"""),"TraderX")</f>
        <v>TraderX</v>
      </c>
      <c r="C1161" s="9">
        <f>IFERROR(__xludf.DUMMYFUNCTION("""COMPUTED_VALUE"""),4.4655001131E10)</f>
        <v>44655001131</v>
      </c>
      <c r="D1161" s="87" t="str">
        <f>IFERROR(__xludf.DUMMYFUNCTION("""COMPUTED_VALUE"""),"NDXP220406P14500000")</f>
        <v>NDXP220406P14500000</v>
      </c>
      <c r="E1161" s="193">
        <f>IFERROR(__xludf.DUMMYFUNCTION("""COMPUTED_VALUE"""),44655.0)</f>
        <v>44655</v>
      </c>
      <c r="F1161" s="5" t="str">
        <f>IFERROR(__xludf.DUMMYFUNCTION("""COMPUTED_VALUE"""),"Option")</f>
        <v>Option</v>
      </c>
      <c r="G1161" s="5" t="str">
        <f>IFERROR(__xludf.DUMMYFUNCTION("""COMPUTED_VALUE"""),"USD")</f>
        <v>USD</v>
      </c>
      <c r="H1161" s="22">
        <f>IFERROR(__xludf.DUMMYFUNCTION("""COMPUTED_VALUE"""),-6.0)</f>
        <v>-6</v>
      </c>
      <c r="I1161" s="194">
        <f>IFERROR(__xludf.DUMMYFUNCTION("""COMPUTED_VALUE"""),7.834585)</f>
        <v>7.834585</v>
      </c>
      <c r="J1161" s="23">
        <f>IFERROR(__xludf.DUMMYFUNCTION("""COMPUTED_VALUE"""),3.3)</f>
        <v>3.3</v>
      </c>
      <c r="K1161" s="5"/>
      <c r="L1161" s="23">
        <f>IFERROR(__xludf.DUMMYFUNCTION("""COMPUTED_VALUE"""),1.12)</f>
        <v>1.12</v>
      </c>
      <c r="M1161" s="25" t="str">
        <f>IFERROR(__xludf.DUMMYFUNCTION("""COMPUTED_VALUE"""),"")</f>
        <v/>
      </c>
      <c r="N1161" s="5"/>
      <c r="O1161" s="5"/>
      <c r="P1161" s="142">
        <f>IFERROR(__xludf.DUMMYFUNCTION("""COMPUTED_VALUE"""),15512.478299999999)</f>
        <v>15512.4783</v>
      </c>
      <c r="Q1161" s="5"/>
      <c r="R1161" s="71">
        <f>IFERROR(__xludf.DUMMYFUNCTION("""COMPUTED_VALUE"""),1.12)</f>
        <v>1.12</v>
      </c>
      <c r="S1161" s="142">
        <f>IFERROR(__xludf.DUMMYFUNCTION("""COMPUTED_VALUE"""),-5264.84112)</f>
        <v>-5264.84112</v>
      </c>
      <c r="T1161" s="5">
        <f>IFERROR(__xludf.DUMMYFUNCTION("""COMPUTED_VALUE"""),2.0)</f>
        <v>2</v>
      </c>
      <c r="U1161" s="5" t="str">
        <f>IFERROR(__xludf.DUMMYFUNCTION("""COMPUTED_VALUE"""),"")</f>
        <v/>
      </c>
      <c r="V1161" s="22" t="str">
        <f>IFERROR(__xludf.DUMMYFUNCTION("""COMPUTED_VALUE"""),"")</f>
        <v/>
      </c>
      <c r="W1161" s="9" t="str">
        <f>IFERROR(__xludf.DUMMYFUNCTION("""COMPUTED_VALUE"""),"")</f>
        <v/>
      </c>
      <c r="X1161" s="22" t="str">
        <f>IFERROR(__xludf.DUMMYFUNCTION("""COMPUTED_VALUE"""),"")</f>
        <v/>
      </c>
      <c r="Y1161" s="22" t="str">
        <f>IFERROR(__xludf.DUMMYFUNCTION("""COMPUTED_VALUE"""),"")</f>
        <v/>
      </c>
      <c r="Z1161" s="24" t="str">
        <f>IFERROR(__xludf.DUMMYFUNCTION("""COMPUTED_VALUE"""),"")</f>
        <v/>
      </c>
    </row>
    <row r="1162">
      <c r="A1162" s="5" t="str">
        <f>IFERROR(__xludf.DUMMYFUNCTION("""COMPUTED_VALUE"""),"")</f>
        <v/>
      </c>
      <c r="B1162" s="5" t="str">
        <f>IFERROR(__xludf.DUMMYFUNCTION("""COMPUTED_VALUE"""),"TraderX")</f>
        <v>TraderX</v>
      </c>
      <c r="C1162" s="9">
        <f>IFERROR(__xludf.DUMMYFUNCTION("""COMPUTED_VALUE"""),4.465700118E10)</f>
        <v>44657001180</v>
      </c>
      <c r="D1162" s="87" t="str">
        <f>IFERROR(__xludf.DUMMYFUNCTION("""COMPUTED_VALUE"""),"NDXP220406P14500000")</f>
        <v>NDXP220406P14500000</v>
      </c>
      <c r="E1162" s="193">
        <f>IFERROR(__xludf.DUMMYFUNCTION("""COMPUTED_VALUE"""),44657.0)</f>
        <v>44657</v>
      </c>
      <c r="F1162" s="5" t="str">
        <f>IFERROR(__xludf.DUMMYFUNCTION("""COMPUTED_VALUE"""),"Option")</f>
        <v>Option</v>
      </c>
      <c r="G1162" s="5" t="str">
        <f>IFERROR(__xludf.DUMMYFUNCTION("""COMPUTED_VALUE"""),"USD")</f>
        <v>USD</v>
      </c>
      <c r="H1162" s="22">
        <f>IFERROR(__xludf.DUMMYFUNCTION("""COMPUTED_VALUE"""),6.0)</f>
        <v>6</v>
      </c>
      <c r="I1162" s="194">
        <f>IFERROR(__xludf.DUMMYFUNCTION("""COMPUTED_VALUE"""),7.837775)</f>
        <v>7.837775</v>
      </c>
      <c r="J1162" s="23">
        <f>IFERROR(__xludf.DUMMYFUNCTION("""COMPUTED_VALUE"""),1.1200000000000045)</f>
        <v>1.12</v>
      </c>
      <c r="K1162" s="5"/>
      <c r="L1162" s="23">
        <f>IFERROR(__xludf.DUMMYFUNCTION("""COMPUTED_VALUE"""),1.12)</f>
        <v>1.12</v>
      </c>
      <c r="M1162" s="25" t="str">
        <f>IFERROR(__xludf.DUMMYFUNCTION("""COMPUTED_VALUE"""),"")</f>
        <v/>
      </c>
      <c r="N1162" s="5"/>
      <c r="O1162" s="5"/>
      <c r="P1162" s="142">
        <f>IFERROR(__xludf.DUMMYFUNCTION("""COMPUTED_VALUE"""),-5266.984800000021)</f>
        <v>-5266.9848</v>
      </c>
      <c r="Q1162" s="5"/>
      <c r="R1162" s="71">
        <f>IFERROR(__xludf.DUMMYFUNCTION("""COMPUTED_VALUE"""),1.12)</f>
        <v>1.12</v>
      </c>
      <c r="S1162" s="142">
        <f>IFERROR(__xludf.DUMMYFUNCTION("""COMPUTED_VALUE"""),5266.9848)</f>
        <v>5266.9848</v>
      </c>
      <c r="T1162" s="5">
        <f>IFERROR(__xludf.DUMMYFUNCTION("""COMPUTED_VALUE"""),2.0)</f>
        <v>2</v>
      </c>
      <c r="U1162" s="5">
        <f>IFERROR(__xludf.DUMMYFUNCTION("""COMPUTED_VALUE"""),1.0)</f>
        <v>1</v>
      </c>
      <c r="V1162" s="22">
        <f>IFERROR(__xludf.DUMMYFUNCTION("""COMPUTED_VALUE"""),10247.63717999998)</f>
        <v>10247.63718</v>
      </c>
      <c r="W1162" s="9" t="str">
        <f>IFERROR(__xludf.DUMMYFUNCTION("""COMPUTED_VALUE"""),"")</f>
        <v/>
      </c>
      <c r="X1162" s="22" t="str">
        <f>IFERROR(__xludf.DUMMYFUNCTION("""COMPUTED_VALUE"""),"")</f>
        <v/>
      </c>
      <c r="Y1162" s="22" t="str">
        <f>IFERROR(__xludf.DUMMYFUNCTION("""COMPUTED_VALUE"""),"")</f>
        <v/>
      </c>
      <c r="Z1162" s="24" t="str">
        <f>IFERROR(__xludf.DUMMYFUNCTION("""COMPUTED_VALUE"""),"")</f>
        <v/>
      </c>
    </row>
    <row r="1163">
      <c r="A1163" s="5" t="str">
        <f>IFERROR(__xludf.DUMMYFUNCTION("""COMPUTED_VALUE"""),"")</f>
        <v/>
      </c>
      <c r="B1163" s="5" t="str">
        <f>IFERROR(__xludf.DUMMYFUNCTION("""COMPUTED_VALUE"""),"TraderX")</f>
        <v>TraderX</v>
      </c>
      <c r="C1163" s="9">
        <f>IFERROR(__xludf.DUMMYFUNCTION("""COMPUTED_VALUE"""),4.4657001181E10)</f>
        <v>44657001181</v>
      </c>
      <c r="D1163" s="87" t="str">
        <f>IFERROR(__xludf.DUMMYFUNCTION("""COMPUTED_VALUE"""),"NDXP220406P14400000")</f>
        <v>NDXP220406P14400000</v>
      </c>
      <c r="E1163" s="193">
        <f>IFERROR(__xludf.DUMMYFUNCTION("""COMPUTED_VALUE"""),44657.0)</f>
        <v>44657</v>
      </c>
      <c r="F1163" s="5" t="str">
        <f>IFERROR(__xludf.DUMMYFUNCTION("""COMPUTED_VALUE"""),"Option")</f>
        <v>Option</v>
      </c>
      <c r="G1163" s="5" t="str">
        <f>IFERROR(__xludf.DUMMYFUNCTION("""COMPUTED_VALUE"""),"USD")</f>
        <v>USD</v>
      </c>
      <c r="H1163" s="22">
        <f>IFERROR(__xludf.DUMMYFUNCTION("""COMPUTED_VALUE"""),0.0)</f>
        <v>0</v>
      </c>
      <c r="I1163" s="194">
        <f>IFERROR(__xludf.DUMMYFUNCTION("""COMPUTED_VALUE"""),7.837775)</f>
        <v>7.837775</v>
      </c>
      <c r="J1163" s="23">
        <f>IFERROR(__xludf.DUMMYFUNCTION("""COMPUTED_VALUE"""),0.0)</f>
        <v>0</v>
      </c>
      <c r="K1163" s="5"/>
      <c r="L1163" s="23">
        <f>IFERROR(__xludf.DUMMYFUNCTION("""COMPUTED_VALUE"""),0.0)</f>
        <v>0</v>
      </c>
      <c r="M1163" s="25" t="str">
        <f>IFERROR(__xludf.DUMMYFUNCTION("""COMPUTED_VALUE"""),"")</f>
        <v/>
      </c>
      <c r="N1163" s="5"/>
      <c r="O1163" s="5"/>
      <c r="P1163" s="142">
        <f>IFERROR(__xludf.DUMMYFUNCTION("""COMPUTED_VALUE"""),0.0)</f>
        <v>0</v>
      </c>
      <c r="Q1163" s="5"/>
      <c r="R1163" s="71">
        <f>IFERROR(__xludf.DUMMYFUNCTION("""COMPUTED_VALUE"""),0.0)</f>
        <v>0</v>
      </c>
      <c r="S1163" s="142">
        <f>IFERROR(__xludf.DUMMYFUNCTION("""COMPUTED_VALUE"""),0.0)</f>
        <v>0</v>
      </c>
      <c r="T1163" s="5">
        <f>IFERROR(__xludf.DUMMYFUNCTION("""COMPUTED_VALUE"""),2.0)</f>
        <v>2</v>
      </c>
      <c r="U1163" s="5">
        <f>IFERROR(__xludf.DUMMYFUNCTION("""COMPUTED_VALUE"""),1.0)</f>
        <v>1</v>
      </c>
      <c r="V1163" s="22">
        <f>IFERROR(__xludf.DUMMYFUNCTION("""COMPUTED_VALUE"""),-19743.154199999997)</f>
        <v>-19743.1542</v>
      </c>
      <c r="W1163" s="9" t="str">
        <f>IFERROR(__xludf.DUMMYFUNCTION("""COMPUTED_VALUE"""),"")</f>
        <v/>
      </c>
      <c r="X1163" s="22" t="str">
        <f>IFERROR(__xludf.DUMMYFUNCTION("""COMPUTED_VALUE"""),"")</f>
        <v/>
      </c>
      <c r="Y1163" s="22" t="str">
        <f>IFERROR(__xludf.DUMMYFUNCTION("""COMPUTED_VALUE"""),"")</f>
        <v/>
      </c>
      <c r="Z1163" s="24" t="str">
        <f>IFERROR(__xludf.DUMMYFUNCTION("""COMPUTED_VALUE"""),"")</f>
        <v/>
      </c>
    </row>
    <row r="1164">
      <c r="A1164" s="5" t="str">
        <f>IFERROR(__xludf.DUMMYFUNCTION("""COMPUTED_VALUE"""),"")</f>
        <v/>
      </c>
      <c r="B1164" s="5" t="str">
        <f>IFERROR(__xludf.DUMMYFUNCTION("""COMPUTED_VALUE"""),"TraderX")</f>
        <v>TraderX</v>
      </c>
      <c r="C1164" s="9">
        <f>IFERROR(__xludf.DUMMYFUNCTION("""COMPUTED_VALUE"""),4.4658001239E10)</f>
        <v>44658001239</v>
      </c>
      <c r="D1164" s="85" t="str">
        <f>IFERROR(__xludf.DUMMYFUNCTION("""COMPUTED_VALUE"""),"NDXP220408P14100000")</f>
        <v>NDXP220408P14100000</v>
      </c>
      <c r="E1164" s="193">
        <f>IFERROR(__xludf.DUMMYFUNCTION("""COMPUTED_VALUE"""),44658.0)</f>
        <v>44658</v>
      </c>
      <c r="F1164" s="5" t="str">
        <f>IFERROR(__xludf.DUMMYFUNCTION("""COMPUTED_VALUE"""),"Option")</f>
        <v>Option</v>
      </c>
      <c r="G1164" s="5" t="str">
        <f>IFERROR(__xludf.DUMMYFUNCTION("""COMPUTED_VALUE"""),"USD")</f>
        <v>USD</v>
      </c>
      <c r="H1164" s="22">
        <f>IFERROR(__xludf.DUMMYFUNCTION("""COMPUTED_VALUE"""),6.0)</f>
        <v>6</v>
      </c>
      <c r="I1164" s="194">
        <f>IFERROR(__xludf.DUMMYFUNCTION("""COMPUTED_VALUE"""),7.836645)</f>
        <v>7.836645</v>
      </c>
      <c r="J1164" s="23">
        <f>IFERROR(__xludf.DUMMYFUNCTION("""COMPUTED_VALUE"""),4.4)</f>
        <v>4.4</v>
      </c>
      <c r="K1164" s="5"/>
      <c r="L1164" s="23">
        <f>IFERROR(__xludf.DUMMYFUNCTION("""COMPUTED_VALUE"""),0.6)</f>
        <v>0.6</v>
      </c>
      <c r="M1164" s="25" t="str">
        <f>IFERROR(__xludf.DUMMYFUNCTION("""COMPUTED_VALUE"""),"")</f>
        <v/>
      </c>
      <c r="N1164" s="5"/>
      <c r="O1164" s="5"/>
      <c r="P1164" s="142">
        <f>IFERROR(__xludf.DUMMYFUNCTION("""COMPUTED_VALUE"""),-20688.7428)</f>
        <v>-20688.7428</v>
      </c>
      <c r="Q1164" s="5"/>
      <c r="R1164" s="71">
        <f>IFERROR(__xludf.DUMMYFUNCTION("""COMPUTED_VALUE"""),0.6)</f>
        <v>0.6</v>
      </c>
      <c r="S1164" s="142">
        <f>IFERROR(__xludf.DUMMYFUNCTION("""COMPUTED_VALUE"""),2821.1922)</f>
        <v>2821.1922</v>
      </c>
      <c r="T1164" s="5">
        <f>IFERROR(__xludf.DUMMYFUNCTION("""COMPUTED_VALUE"""),2.0)</f>
        <v>2</v>
      </c>
      <c r="U1164" s="5" t="str">
        <f>IFERROR(__xludf.DUMMYFUNCTION("""COMPUTED_VALUE"""),"")</f>
        <v/>
      </c>
      <c r="V1164" s="22" t="str">
        <f>IFERROR(__xludf.DUMMYFUNCTION("""COMPUTED_VALUE"""),"")</f>
        <v/>
      </c>
      <c r="W1164" s="9" t="str">
        <f>IFERROR(__xludf.DUMMYFUNCTION("""COMPUTED_VALUE"""),"")</f>
        <v/>
      </c>
      <c r="X1164" s="22" t="str">
        <f>IFERROR(__xludf.DUMMYFUNCTION("""COMPUTED_VALUE"""),"")</f>
        <v/>
      </c>
      <c r="Y1164" s="22" t="str">
        <f>IFERROR(__xludf.DUMMYFUNCTION("""COMPUTED_VALUE"""),"")</f>
        <v/>
      </c>
      <c r="Z1164" s="24" t="str">
        <f>IFERROR(__xludf.DUMMYFUNCTION("""COMPUTED_VALUE"""),"")</f>
        <v/>
      </c>
    </row>
    <row r="1165">
      <c r="A1165" s="5" t="str">
        <f>IFERROR(__xludf.DUMMYFUNCTION("""COMPUTED_VALUE"""),"")</f>
        <v/>
      </c>
      <c r="B1165" s="5" t="str">
        <f>IFERROR(__xludf.DUMMYFUNCTION("""COMPUTED_VALUE"""),"TraderX")</f>
        <v>TraderX</v>
      </c>
      <c r="C1165" s="9">
        <f>IFERROR(__xludf.DUMMYFUNCTION("""COMPUTED_VALUE"""),4.465800124E10)</f>
        <v>44658001240</v>
      </c>
      <c r="D1165" s="85" t="str">
        <f>IFERROR(__xludf.DUMMYFUNCTION("""COMPUTED_VALUE"""),"NDXP220408P14200000")</f>
        <v>NDXP220408P14200000</v>
      </c>
      <c r="E1165" s="193">
        <f>IFERROR(__xludf.DUMMYFUNCTION("""COMPUTED_VALUE"""),44658.0)</f>
        <v>44658</v>
      </c>
      <c r="F1165" s="5" t="str">
        <f>IFERROR(__xludf.DUMMYFUNCTION("""COMPUTED_VALUE"""),"Option")</f>
        <v>Option</v>
      </c>
      <c r="G1165" s="5" t="str">
        <f>IFERROR(__xludf.DUMMYFUNCTION("""COMPUTED_VALUE"""),"USD")</f>
        <v>USD</v>
      </c>
      <c r="H1165" s="22">
        <f>IFERROR(__xludf.DUMMYFUNCTION("""COMPUTED_VALUE"""),-6.0)</f>
        <v>-6</v>
      </c>
      <c r="I1165" s="194">
        <f>IFERROR(__xludf.DUMMYFUNCTION("""COMPUTED_VALUE"""),7.836645)</f>
        <v>7.836645</v>
      </c>
      <c r="J1165" s="23">
        <f>IFERROR(__xludf.DUMMYFUNCTION("""COMPUTED_VALUE"""),9.41)</f>
        <v>9.41</v>
      </c>
      <c r="K1165" s="5"/>
      <c r="L1165" s="23">
        <f>IFERROR(__xludf.DUMMYFUNCTION("""COMPUTED_VALUE"""),0.05)</f>
        <v>0.05</v>
      </c>
      <c r="M1165" s="25" t="str">
        <f>IFERROR(__xludf.DUMMYFUNCTION("""COMPUTED_VALUE"""),"")</f>
        <v/>
      </c>
      <c r="N1165" s="5"/>
      <c r="O1165" s="5"/>
      <c r="P1165" s="142">
        <f>IFERROR(__xludf.DUMMYFUNCTION("""COMPUTED_VALUE"""),44245.69767)</f>
        <v>44245.69767</v>
      </c>
      <c r="Q1165" s="5"/>
      <c r="R1165" s="71">
        <f>IFERROR(__xludf.DUMMYFUNCTION("""COMPUTED_VALUE"""),0.05)</f>
        <v>0.05</v>
      </c>
      <c r="S1165" s="142">
        <f>IFERROR(__xludf.DUMMYFUNCTION("""COMPUTED_VALUE"""),-235.09935)</f>
        <v>-235.09935</v>
      </c>
      <c r="T1165" s="5">
        <f>IFERROR(__xludf.DUMMYFUNCTION("""COMPUTED_VALUE"""),2.0)</f>
        <v>2</v>
      </c>
      <c r="U1165" s="5" t="str">
        <f>IFERROR(__xludf.DUMMYFUNCTION("""COMPUTED_VALUE"""),"")</f>
        <v/>
      </c>
      <c r="V1165" s="22" t="str">
        <f>IFERROR(__xludf.DUMMYFUNCTION("""COMPUTED_VALUE"""),"")</f>
        <v/>
      </c>
      <c r="W1165" s="9" t="str">
        <f>IFERROR(__xludf.DUMMYFUNCTION("""COMPUTED_VALUE"""),"")</f>
        <v/>
      </c>
      <c r="X1165" s="22" t="str">
        <f>IFERROR(__xludf.DUMMYFUNCTION("""COMPUTED_VALUE"""),"")</f>
        <v/>
      </c>
      <c r="Y1165" s="22" t="str">
        <f>IFERROR(__xludf.DUMMYFUNCTION("""COMPUTED_VALUE"""),"")</f>
        <v/>
      </c>
      <c r="Z1165" s="24" t="str">
        <f>IFERROR(__xludf.DUMMYFUNCTION("""COMPUTED_VALUE"""),"")</f>
        <v/>
      </c>
    </row>
    <row r="1166">
      <c r="A1166" s="5" t="str">
        <f>IFERROR(__xludf.DUMMYFUNCTION("""COMPUTED_VALUE"""),"")</f>
        <v/>
      </c>
      <c r="B1166" s="5" t="str">
        <f>IFERROR(__xludf.DUMMYFUNCTION("""COMPUTED_VALUE"""),"TraderX")</f>
        <v>TraderX</v>
      </c>
      <c r="C1166" s="9">
        <f>IFERROR(__xludf.DUMMYFUNCTION("""COMPUTED_VALUE"""),4.4658001241E10)</f>
        <v>44658001241</v>
      </c>
      <c r="D1166" s="85" t="str">
        <f>IFERROR(__xludf.DUMMYFUNCTION("""COMPUTED_VALUE"""),"NDXP220408C15100000")</f>
        <v>NDXP220408C15100000</v>
      </c>
      <c r="E1166" s="193">
        <f>IFERROR(__xludf.DUMMYFUNCTION("""COMPUTED_VALUE"""),44658.0)</f>
        <v>44658</v>
      </c>
      <c r="F1166" s="5" t="str">
        <f>IFERROR(__xludf.DUMMYFUNCTION("""COMPUTED_VALUE"""),"Option")</f>
        <v>Option</v>
      </c>
      <c r="G1166" s="5" t="str">
        <f>IFERROR(__xludf.DUMMYFUNCTION("""COMPUTED_VALUE"""),"USD")</f>
        <v>USD</v>
      </c>
      <c r="H1166" s="22">
        <f>IFERROR(__xludf.DUMMYFUNCTION("""COMPUTED_VALUE"""),6.0)</f>
        <v>6</v>
      </c>
      <c r="I1166" s="194">
        <f>IFERROR(__xludf.DUMMYFUNCTION("""COMPUTED_VALUE"""),7.836645)</f>
        <v>7.836645</v>
      </c>
      <c r="J1166" s="23">
        <f>IFERROR(__xludf.DUMMYFUNCTION("""COMPUTED_VALUE"""),0.8)</f>
        <v>0.8</v>
      </c>
      <c r="K1166" s="5"/>
      <c r="L1166" s="23">
        <f>IFERROR(__xludf.DUMMYFUNCTION("""COMPUTED_VALUE"""),0.27)</f>
        <v>0.27</v>
      </c>
      <c r="M1166" s="25" t="str">
        <f>IFERROR(__xludf.DUMMYFUNCTION("""COMPUTED_VALUE"""),"")</f>
        <v/>
      </c>
      <c r="N1166" s="5"/>
      <c r="O1166" s="5"/>
      <c r="P1166" s="142">
        <f>IFERROR(__xludf.DUMMYFUNCTION("""COMPUTED_VALUE"""),-3761.5896)</f>
        <v>-3761.5896</v>
      </c>
      <c r="Q1166" s="5"/>
      <c r="R1166" s="71">
        <f>IFERROR(__xludf.DUMMYFUNCTION("""COMPUTED_VALUE"""),0.27)</f>
        <v>0.27</v>
      </c>
      <c r="S1166" s="142">
        <f>IFERROR(__xludf.DUMMYFUNCTION("""COMPUTED_VALUE"""),1269.53649)</f>
        <v>1269.53649</v>
      </c>
      <c r="T1166" s="5">
        <f>IFERROR(__xludf.DUMMYFUNCTION("""COMPUTED_VALUE"""),2.0)</f>
        <v>2</v>
      </c>
      <c r="U1166" s="5" t="str">
        <f>IFERROR(__xludf.DUMMYFUNCTION("""COMPUTED_VALUE"""),"")</f>
        <v/>
      </c>
      <c r="V1166" s="22" t="str">
        <f>IFERROR(__xludf.DUMMYFUNCTION("""COMPUTED_VALUE"""),"")</f>
        <v/>
      </c>
      <c r="W1166" s="9" t="str">
        <f>IFERROR(__xludf.DUMMYFUNCTION("""COMPUTED_VALUE"""),"")</f>
        <v/>
      </c>
      <c r="X1166" s="22" t="str">
        <f>IFERROR(__xludf.DUMMYFUNCTION("""COMPUTED_VALUE"""),"")</f>
        <v/>
      </c>
      <c r="Y1166" s="22" t="str">
        <f>IFERROR(__xludf.DUMMYFUNCTION("""COMPUTED_VALUE"""),"")</f>
        <v/>
      </c>
      <c r="Z1166" s="24" t="str">
        <f>IFERROR(__xludf.DUMMYFUNCTION("""COMPUTED_VALUE"""),"")</f>
        <v/>
      </c>
    </row>
    <row r="1167">
      <c r="A1167" s="5" t="str">
        <f>IFERROR(__xludf.DUMMYFUNCTION("""COMPUTED_VALUE"""),"")</f>
        <v/>
      </c>
      <c r="B1167" s="5" t="str">
        <f>IFERROR(__xludf.DUMMYFUNCTION("""COMPUTED_VALUE"""),"TraderX")</f>
        <v>TraderX</v>
      </c>
      <c r="C1167" s="9">
        <f>IFERROR(__xludf.DUMMYFUNCTION("""COMPUTED_VALUE"""),4.4658001242E10)</f>
        <v>44658001242</v>
      </c>
      <c r="D1167" s="85" t="str">
        <f>IFERROR(__xludf.DUMMYFUNCTION("""COMPUTED_VALUE"""),"NDXP220408C15000000")</f>
        <v>NDXP220408C15000000</v>
      </c>
      <c r="E1167" s="193">
        <f>IFERROR(__xludf.DUMMYFUNCTION("""COMPUTED_VALUE"""),44658.0)</f>
        <v>44658</v>
      </c>
      <c r="F1167" s="5" t="str">
        <f>IFERROR(__xludf.DUMMYFUNCTION("""COMPUTED_VALUE"""),"Option")</f>
        <v>Option</v>
      </c>
      <c r="G1167" s="5" t="str">
        <f>IFERROR(__xludf.DUMMYFUNCTION("""COMPUTED_VALUE"""),"USD")</f>
        <v>USD</v>
      </c>
      <c r="H1167" s="22">
        <f>IFERROR(__xludf.DUMMYFUNCTION("""COMPUTED_VALUE"""),-6.0)</f>
        <v>-6</v>
      </c>
      <c r="I1167" s="194">
        <f>IFERROR(__xludf.DUMMYFUNCTION("""COMPUTED_VALUE"""),7.836645)</f>
        <v>7.836645</v>
      </c>
      <c r="J1167" s="23">
        <f>IFERROR(__xludf.DUMMYFUNCTION("""COMPUTED_VALUE"""),1.49)</f>
        <v>1.49</v>
      </c>
      <c r="K1167" s="5"/>
      <c r="L1167" s="23">
        <f>IFERROR(__xludf.DUMMYFUNCTION("""COMPUTED_VALUE"""),0.17)</f>
        <v>0.17</v>
      </c>
      <c r="M1167" s="25" t="str">
        <f>IFERROR(__xludf.DUMMYFUNCTION("""COMPUTED_VALUE"""),"")</f>
        <v/>
      </c>
      <c r="N1167" s="5"/>
      <c r="O1167" s="5"/>
      <c r="P1167" s="142">
        <f>IFERROR(__xludf.DUMMYFUNCTION("""COMPUTED_VALUE"""),7005.96063)</f>
        <v>7005.96063</v>
      </c>
      <c r="Q1167" s="5"/>
      <c r="R1167" s="71">
        <f>IFERROR(__xludf.DUMMYFUNCTION("""COMPUTED_VALUE"""),0.17)</f>
        <v>0.17</v>
      </c>
      <c r="S1167" s="142">
        <f>IFERROR(__xludf.DUMMYFUNCTION("""COMPUTED_VALUE"""),-799.33779)</f>
        <v>-799.33779</v>
      </c>
      <c r="T1167" s="5">
        <f>IFERROR(__xludf.DUMMYFUNCTION("""COMPUTED_VALUE"""),2.0)</f>
        <v>2</v>
      </c>
      <c r="U1167" s="5" t="str">
        <f>IFERROR(__xludf.DUMMYFUNCTION("""COMPUTED_VALUE"""),"")</f>
        <v/>
      </c>
      <c r="V1167" s="22" t="str">
        <f>IFERROR(__xludf.DUMMYFUNCTION("""COMPUTED_VALUE"""),"")</f>
        <v/>
      </c>
      <c r="W1167" s="9" t="str">
        <f>IFERROR(__xludf.DUMMYFUNCTION("""COMPUTED_VALUE"""),"")</f>
        <v/>
      </c>
      <c r="X1167" s="22" t="str">
        <f>IFERROR(__xludf.DUMMYFUNCTION("""COMPUTED_VALUE"""),"")</f>
        <v/>
      </c>
      <c r="Y1167" s="22" t="str">
        <f>IFERROR(__xludf.DUMMYFUNCTION("""COMPUTED_VALUE"""),"")</f>
        <v/>
      </c>
      <c r="Z1167" s="24" t="str">
        <f>IFERROR(__xludf.DUMMYFUNCTION("""COMPUTED_VALUE"""),"")</f>
        <v/>
      </c>
    </row>
    <row r="1168">
      <c r="A1168" s="5" t="str">
        <f>IFERROR(__xludf.DUMMYFUNCTION("""COMPUTED_VALUE"""),"")</f>
        <v/>
      </c>
      <c r="B1168" s="5" t="str">
        <f>IFERROR(__xludf.DUMMYFUNCTION("""COMPUTED_VALUE"""),"TraderX")</f>
        <v>TraderX</v>
      </c>
      <c r="C1168" s="9">
        <f>IFERROR(__xludf.DUMMYFUNCTION("""COMPUTED_VALUE"""),4.4659001283E10)</f>
        <v>44659001283</v>
      </c>
      <c r="D1168" s="85" t="str">
        <f>IFERROR(__xludf.DUMMYFUNCTION("""COMPUTED_VALUE"""),"NDXP220408P14200000")</f>
        <v>NDXP220408P14200000</v>
      </c>
      <c r="E1168" s="193">
        <f>IFERROR(__xludf.DUMMYFUNCTION("""COMPUTED_VALUE"""),44659.0)</f>
        <v>44659</v>
      </c>
      <c r="F1168" s="5" t="str">
        <f>IFERROR(__xludf.DUMMYFUNCTION("""COMPUTED_VALUE"""),"Option")</f>
        <v>Option</v>
      </c>
      <c r="G1168" s="5" t="str">
        <f>IFERROR(__xludf.DUMMYFUNCTION("""COMPUTED_VALUE"""),"USD")</f>
        <v>USD</v>
      </c>
      <c r="H1168" s="22">
        <f>IFERROR(__xludf.DUMMYFUNCTION("""COMPUTED_VALUE"""),6.0)</f>
        <v>6</v>
      </c>
      <c r="I1168" s="194">
        <f>IFERROR(__xludf.DUMMYFUNCTION("""COMPUTED_VALUE"""),7.839265)</f>
        <v>7.839265</v>
      </c>
      <c r="J1168" s="23">
        <f>IFERROR(__xludf.DUMMYFUNCTION("""COMPUTED_VALUE"""),0.05)</f>
        <v>0.05</v>
      </c>
      <c r="K1168" s="5"/>
      <c r="L1168" s="23">
        <f>IFERROR(__xludf.DUMMYFUNCTION("""COMPUTED_VALUE"""),0.05)</f>
        <v>0.05</v>
      </c>
      <c r="M1168" s="25" t="str">
        <f>IFERROR(__xludf.DUMMYFUNCTION("""COMPUTED_VALUE"""),"")</f>
        <v/>
      </c>
      <c r="N1168" s="5"/>
      <c r="O1168" s="5"/>
      <c r="P1168" s="142">
        <f>IFERROR(__xludf.DUMMYFUNCTION("""COMPUTED_VALUE"""),-235.17795)</f>
        <v>-235.17795</v>
      </c>
      <c r="Q1168" s="5"/>
      <c r="R1168" s="71">
        <f>IFERROR(__xludf.DUMMYFUNCTION("""COMPUTED_VALUE"""),0.05)</f>
        <v>0.05</v>
      </c>
      <c r="S1168" s="142">
        <f>IFERROR(__xludf.DUMMYFUNCTION("""COMPUTED_VALUE"""),235.17795)</f>
        <v>235.17795</v>
      </c>
      <c r="T1168" s="5">
        <f>IFERROR(__xludf.DUMMYFUNCTION("""COMPUTED_VALUE"""),2.0)</f>
        <v>2</v>
      </c>
      <c r="U1168" s="5">
        <f>IFERROR(__xludf.DUMMYFUNCTION("""COMPUTED_VALUE"""),1.0)</f>
        <v>1</v>
      </c>
      <c r="V1168" s="22">
        <f>IFERROR(__xludf.DUMMYFUNCTION("""COMPUTED_VALUE"""),44010.598320000005)</f>
        <v>44010.59832</v>
      </c>
      <c r="W1168" s="9" t="str">
        <f>IFERROR(__xludf.DUMMYFUNCTION("""COMPUTED_VALUE"""),"")</f>
        <v/>
      </c>
      <c r="X1168" s="22" t="str">
        <f>IFERROR(__xludf.DUMMYFUNCTION("""COMPUTED_VALUE"""),"")</f>
        <v/>
      </c>
      <c r="Y1168" s="22" t="str">
        <f>IFERROR(__xludf.DUMMYFUNCTION("""COMPUTED_VALUE"""),"")</f>
        <v/>
      </c>
      <c r="Z1168" s="24" t="str">
        <f>IFERROR(__xludf.DUMMYFUNCTION("""COMPUTED_VALUE"""),"")</f>
        <v/>
      </c>
    </row>
    <row r="1169">
      <c r="A1169" s="5" t="str">
        <f>IFERROR(__xludf.DUMMYFUNCTION("""COMPUTED_VALUE"""),"")</f>
        <v/>
      </c>
      <c r="B1169" s="5" t="str">
        <f>IFERROR(__xludf.DUMMYFUNCTION("""COMPUTED_VALUE"""),"TraderX")</f>
        <v>TraderX</v>
      </c>
      <c r="C1169" s="9">
        <f>IFERROR(__xludf.DUMMYFUNCTION("""COMPUTED_VALUE"""),4.4659001284E10)</f>
        <v>44659001284</v>
      </c>
      <c r="D1169" s="85" t="str">
        <f>IFERROR(__xludf.DUMMYFUNCTION("""COMPUTED_VALUE"""),"NDXP220408P14100000")</f>
        <v>NDXP220408P14100000</v>
      </c>
      <c r="E1169" s="193">
        <f>IFERROR(__xludf.DUMMYFUNCTION("""COMPUTED_VALUE"""),44659.0)</f>
        <v>44659</v>
      </c>
      <c r="F1169" s="5" t="str">
        <f>IFERROR(__xludf.DUMMYFUNCTION("""COMPUTED_VALUE"""),"Option")</f>
        <v>Option</v>
      </c>
      <c r="G1169" s="5" t="str">
        <f>IFERROR(__xludf.DUMMYFUNCTION("""COMPUTED_VALUE"""),"USD")</f>
        <v>USD</v>
      </c>
      <c r="H1169" s="22">
        <f>IFERROR(__xludf.DUMMYFUNCTION("""COMPUTED_VALUE"""),-6.0)</f>
        <v>-6</v>
      </c>
      <c r="I1169" s="194">
        <f>IFERROR(__xludf.DUMMYFUNCTION("""COMPUTED_VALUE"""),7.839265)</f>
        <v>7.839265</v>
      </c>
      <c r="J1169" s="23">
        <f>IFERROR(__xludf.DUMMYFUNCTION("""COMPUTED_VALUE"""),0.6)</f>
        <v>0.6</v>
      </c>
      <c r="K1169" s="5"/>
      <c r="L1169" s="23">
        <f>IFERROR(__xludf.DUMMYFUNCTION("""COMPUTED_VALUE"""),0.6)</f>
        <v>0.6</v>
      </c>
      <c r="M1169" s="25" t="str">
        <f>IFERROR(__xludf.DUMMYFUNCTION("""COMPUTED_VALUE"""),"")</f>
        <v/>
      </c>
      <c r="N1169" s="5"/>
      <c r="O1169" s="5"/>
      <c r="P1169" s="142">
        <f>IFERROR(__xludf.DUMMYFUNCTION("""COMPUTED_VALUE"""),2822.1353999999997)</f>
        <v>2822.1354</v>
      </c>
      <c r="Q1169" s="5"/>
      <c r="R1169" s="71">
        <f>IFERROR(__xludf.DUMMYFUNCTION("""COMPUTED_VALUE"""),0.6)</f>
        <v>0.6</v>
      </c>
      <c r="S1169" s="142">
        <f>IFERROR(__xludf.DUMMYFUNCTION("""COMPUTED_VALUE"""),-2822.1353999999997)</f>
        <v>-2822.1354</v>
      </c>
      <c r="T1169" s="5">
        <f>IFERROR(__xludf.DUMMYFUNCTION("""COMPUTED_VALUE"""),2.0)</f>
        <v>2</v>
      </c>
      <c r="U1169" s="5">
        <f>IFERROR(__xludf.DUMMYFUNCTION("""COMPUTED_VALUE"""),1.0)</f>
        <v>1</v>
      </c>
      <c r="V1169" s="22">
        <f>IFERROR(__xludf.DUMMYFUNCTION("""COMPUTED_VALUE"""),-17867.550600000002)</f>
        <v>-17867.5506</v>
      </c>
      <c r="W1169" s="9" t="str">
        <f>IFERROR(__xludf.DUMMYFUNCTION("""COMPUTED_VALUE"""),"")</f>
        <v/>
      </c>
      <c r="X1169" s="22" t="str">
        <f>IFERROR(__xludf.DUMMYFUNCTION("""COMPUTED_VALUE"""),"")</f>
        <v/>
      </c>
      <c r="Y1169" s="22" t="str">
        <f>IFERROR(__xludf.DUMMYFUNCTION("""COMPUTED_VALUE"""),"")</f>
        <v/>
      </c>
      <c r="Z1169" s="24" t="str">
        <f>IFERROR(__xludf.DUMMYFUNCTION("""COMPUTED_VALUE"""),"")</f>
        <v/>
      </c>
    </row>
    <row r="1170">
      <c r="A1170" s="5" t="str">
        <f>IFERROR(__xludf.DUMMYFUNCTION("""COMPUTED_VALUE"""),"")</f>
        <v/>
      </c>
      <c r="B1170" s="5" t="str">
        <f>IFERROR(__xludf.DUMMYFUNCTION("""COMPUTED_VALUE"""),"TraderX")</f>
        <v>TraderX</v>
      </c>
      <c r="C1170" s="9">
        <f>IFERROR(__xludf.DUMMYFUNCTION("""COMPUTED_VALUE"""),4.4659001285E10)</f>
        <v>44659001285</v>
      </c>
      <c r="D1170" s="85" t="str">
        <f>IFERROR(__xludf.DUMMYFUNCTION("""COMPUTED_VALUE"""),"NDXP220408C15000000")</f>
        <v>NDXP220408C15000000</v>
      </c>
      <c r="E1170" s="193">
        <f>IFERROR(__xludf.DUMMYFUNCTION("""COMPUTED_VALUE"""),44659.0)</f>
        <v>44659</v>
      </c>
      <c r="F1170" s="5" t="str">
        <f>IFERROR(__xludf.DUMMYFUNCTION("""COMPUTED_VALUE"""),"Option")</f>
        <v>Option</v>
      </c>
      <c r="G1170" s="5" t="str">
        <f>IFERROR(__xludf.DUMMYFUNCTION("""COMPUTED_VALUE"""),"USD")</f>
        <v>USD</v>
      </c>
      <c r="H1170" s="22">
        <f>IFERROR(__xludf.DUMMYFUNCTION("""COMPUTED_VALUE"""),6.0)</f>
        <v>6</v>
      </c>
      <c r="I1170" s="194">
        <f>IFERROR(__xludf.DUMMYFUNCTION("""COMPUTED_VALUE"""),7.839265)</f>
        <v>7.839265</v>
      </c>
      <c r="J1170" s="23">
        <f>IFERROR(__xludf.DUMMYFUNCTION("""COMPUTED_VALUE"""),0.17)</f>
        <v>0.17</v>
      </c>
      <c r="K1170" s="5"/>
      <c r="L1170" s="23">
        <f>IFERROR(__xludf.DUMMYFUNCTION("""COMPUTED_VALUE"""),0.17)</f>
        <v>0.17</v>
      </c>
      <c r="M1170" s="25" t="str">
        <f>IFERROR(__xludf.DUMMYFUNCTION("""COMPUTED_VALUE"""),"")</f>
        <v/>
      </c>
      <c r="N1170" s="5"/>
      <c r="O1170" s="5"/>
      <c r="P1170" s="142">
        <f>IFERROR(__xludf.DUMMYFUNCTION("""COMPUTED_VALUE"""),-799.60503)</f>
        <v>-799.60503</v>
      </c>
      <c r="Q1170" s="5"/>
      <c r="R1170" s="71">
        <f>IFERROR(__xludf.DUMMYFUNCTION("""COMPUTED_VALUE"""),0.17)</f>
        <v>0.17</v>
      </c>
      <c r="S1170" s="142">
        <f>IFERROR(__xludf.DUMMYFUNCTION("""COMPUTED_VALUE"""),799.60503)</f>
        <v>799.60503</v>
      </c>
      <c r="T1170" s="5">
        <f>IFERROR(__xludf.DUMMYFUNCTION("""COMPUTED_VALUE"""),2.0)</f>
        <v>2</v>
      </c>
      <c r="U1170" s="5">
        <f>IFERROR(__xludf.DUMMYFUNCTION("""COMPUTED_VALUE"""),1.0)</f>
        <v>1</v>
      </c>
      <c r="V1170" s="22">
        <f>IFERROR(__xludf.DUMMYFUNCTION("""COMPUTED_VALUE"""),6206.62284)</f>
        <v>6206.62284</v>
      </c>
      <c r="W1170" s="9" t="str">
        <f>IFERROR(__xludf.DUMMYFUNCTION("""COMPUTED_VALUE"""),"")</f>
        <v/>
      </c>
      <c r="X1170" s="22" t="str">
        <f>IFERROR(__xludf.DUMMYFUNCTION("""COMPUTED_VALUE"""),"")</f>
        <v/>
      </c>
      <c r="Y1170" s="22" t="str">
        <f>IFERROR(__xludf.DUMMYFUNCTION("""COMPUTED_VALUE"""),"")</f>
        <v/>
      </c>
      <c r="Z1170" s="24" t="str">
        <f>IFERROR(__xludf.DUMMYFUNCTION("""COMPUTED_VALUE"""),"")</f>
        <v/>
      </c>
    </row>
    <row r="1171">
      <c r="A1171" s="5" t="str">
        <f>IFERROR(__xludf.DUMMYFUNCTION("""COMPUTED_VALUE"""),"")</f>
        <v/>
      </c>
      <c r="B1171" s="5" t="str">
        <f>IFERROR(__xludf.DUMMYFUNCTION("""COMPUTED_VALUE"""),"TraderX")</f>
        <v>TraderX</v>
      </c>
      <c r="C1171" s="9">
        <f>IFERROR(__xludf.DUMMYFUNCTION("""COMPUTED_VALUE"""),4.4659001286E10)</f>
        <v>44659001286</v>
      </c>
      <c r="D1171" s="85" t="str">
        <f>IFERROR(__xludf.DUMMYFUNCTION("""COMPUTED_VALUE"""),"NDXP220408C15100000")</f>
        <v>NDXP220408C15100000</v>
      </c>
      <c r="E1171" s="193">
        <f>IFERROR(__xludf.DUMMYFUNCTION("""COMPUTED_VALUE"""),44659.0)</f>
        <v>44659</v>
      </c>
      <c r="F1171" s="5" t="str">
        <f>IFERROR(__xludf.DUMMYFUNCTION("""COMPUTED_VALUE"""),"Option")</f>
        <v>Option</v>
      </c>
      <c r="G1171" s="5" t="str">
        <f>IFERROR(__xludf.DUMMYFUNCTION("""COMPUTED_VALUE"""),"USD")</f>
        <v>USD</v>
      </c>
      <c r="H1171" s="22">
        <f>IFERROR(__xludf.DUMMYFUNCTION("""COMPUTED_VALUE"""),-6.0)</f>
        <v>-6</v>
      </c>
      <c r="I1171" s="194">
        <f>IFERROR(__xludf.DUMMYFUNCTION("""COMPUTED_VALUE"""),7.839265)</f>
        <v>7.839265</v>
      </c>
      <c r="J1171" s="23">
        <f>IFERROR(__xludf.DUMMYFUNCTION("""COMPUTED_VALUE"""),0.27)</f>
        <v>0.27</v>
      </c>
      <c r="K1171" s="5"/>
      <c r="L1171" s="23">
        <f>IFERROR(__xludf.DUMMYFUNCTION("""COMPUTED_VALUE"""),0.27)</f>
        <v>0.27</v>
      </c>
      <c r="M1171" s="25" t="str">
        <f>IFERROR(__xludf.DUMMYFUNCTION("""COMPUTED_VALUE"""),"")</f>
        <v/>
      </c>
      <c r="N1171" s="5"/>
      <c r="O1171" s="5"/>
      <c r="P1171" s="142">
        <f>IFERROR(__xludf.DUMMYFUNCTION("""COMPUTED_VALUE"""),1269.96093)</f>
        <v>1269.96093</v>
      </c>
      <c r="Q1171" s="5"/>
      <c r="R1171" s="71">
        <f>IFERROR(__xludf.DUMMYFUNCTION("""COMPUTED_VALUE"""),0.27)</f>
        <v>0.27</v>
      </c>
      <c r="S1171" s="142">
        <f>IFERROR(__xludf.DUMMYFUNCTION("""COMPUTED_VALUE"""),-1269.96093)</f>
        <v>-1269.96093</v>
      </c>
      <c r="T1171" s="5">
        <f>IFERROR(__xludf.DUMMYFUNCTION("""COMPUTED_VALUE"""),2.0)</f>
        <v>2</v>
      </c>
      <c r="U1171" s="5">
        <f>IFERROR(__xludf.DUMMYFUNCTION("""COMPUTED_VALUE"""),1.0)</f>
        <v>1</v>
      </c>
      <c r="V1171" s="22">
        <f>IFERROR(__xludf.DUMMYFUNCTION("""COMPUTED_VALUE"""),-2492.05311)</f>
        <v>-2492.05311</v>
      </c>
      <c r="W1171" s="9" t="str">
        <f>IFERROR(__xludf.DUMMYFUNCTION("""COMPUTED_VALUE"""),"")</f>
        <v/>
      </c>
      <c r="X1171" s="22" t="str">
        <f>IFERROR(__xludf.DUMMYFUNCTION("""COMPUTED_VALUE"""),"")</f>
        <v/>
      </c>
      <c r="Y1171" s="22" t="str">
        <f>IFERROR(__xludf.DUMMYFUNCTION("""COMPUTED_VALUE"""),"")</f>
        <v/>
      </c>
      <c r="Z1171" s="24" t="str">
        <f>IFERROR(__xludf.DUMMYFUNCTION("""COMPUTED_VALUE"""),"")</f>
        <v/>
      </c>
    </row>
    <row r="1172">
      <c r="A1172" s="5" t="str">
        <f>IFERROR(__xludf.DUMMYFUNCTION("""COMPUTED_VALUE"""),"")</f>
        <v/>
      </c>
      <c r="B1172" s="5" t="str">
        <f>IFERROR(__xludf.DUMMYFUNCTION("""COMPUTED_VALUE"""),"TraderX")</f>
        <v>TraderX</v>
      </c>
      <c r="C1172" s="9">
        <f>IFERROR(__xludf.DUMMYFUNCTION("""COMPUTED_VALUE"""),4.4659001295E10)</f>
        <v>44659001295</v>
      </c>
      <c r="D1172" s="85" t="str">
        <f>IFERROR(__xludf.DUMMYFUNCTION("""COMPUTED_VALUE"""),"NDXP220411P13900000")</f>
        <v>NDXP220411P13900000</v>
      </c>
      <c r="E1172" s="193">
        <f>IFERROR(__xludf.DUMMYFUNCTION("""COMPUTED_VALUE"""),44659.0)</f>
        <v>44659</v>
      </c>
      <c r="F1172" s="5" t="str">
        <f>IFERROR(__xludf.DUMMYFUNCTION("""COMPUTED_VALUE"""),"Option")</f>
        <v>Option</v>
      </c>
      <c r="G1172" s="5" t="str">
        <f>IFERROR(__xludf.DUMMYFUNCTION("""COMPUTED_VALUE"""),"USD")</f>
        <v>USD</v>
      </c>
      <c r="H1172" s="22">
        <f>IFERROR(__xludf.DUMMYFUNCTION("""COMPUTED_VALUE"""),7.0)</f>
        <v>7</v>
      </c>
      <c r="I1172" s="194">
        <f>IFERROR(__xludf.DUMMYFUNCTION("""COMPUTED_VALUE"""),7.839265)</f>
        <v>7.839265</v>
      </c>
      <c r="J1172" s="23">
        <f>IFERROR(__xludf.DUMMYFUNCTION("""COMPUTED_VALUE"""),6.13)</f>
        <v>6.13</v>
      </c>
      <c r="K1172" s="5"/>
      <c r="L1172" s="23">
        <f>IFERROR(__xludf.DUMMYFUNCTION("""COMPUTED_VALUE"""),0.5)</f>
        <v>0.5</v>
      </c>
      <c r="M1172" s="25" t="str">
        <f>IFERROR(__xludf.DUMMYFUNCTION("""COMPUTED_VALUE"""),"")</f>
        <v/>
      </c>
      <c r="N1172" s="5"/>
      <c r="O1172" s="5"/>
      <c r="P1172" s="142">
        <f>IFERROR(__xludf.DUMMYFUNCTION("""COMPUTED_VALUE"""),-33638.286115)</f>
        <v>-33638.28612</v>
      </c>
      <c r="Q1172" s="5"/>
      <c r="R1172" s="71">
        <f>IFERROR(__xludf.DUMMYFUNCTION("""COMPUTED_VALUE"""),0.5)</f>
        <v>0.5</v>
      </c>
      <c r="S1172" s="142">
        <f>IFERROR(__xludf.DUMMYFUNCTION("""COMPUTED_VALUE"""),2743.7427500000003)</f>
        <v>2743.74275</v>
      </c>
      <c r="T1172" s="5">
        <f>IFERROR(__xludf.DUMMYFUNCTION("""COMPUTED_VALUE"""),2.0)</f>
        <v>2</v>
      </c>
      <c r="U1172" s="5" t="str">
        <f>IFERROR(__xludf.DUMMYFUNCTION("""COMPUTED_VALUE"""),"")</f>
        <v/>
      </c>
      <c r="V1172" s="22" t="str">
        <f>IFERROR(__xludf.DUMMYFUNCTION("""COMPUTED_VALUE"""),"")</f>
        <v/>
      </c>
      <c r="W1172" s="9" t="str">
        <f>IFERROR(__xludf.DUMMYFUNCTION("""COMPUTED_VALUE"""),"")</f>
        <v/>
      </c>
      <c r="X1172" s="22" t="str">
        <f>IFERROR(__xludf.DUMMYFUNCTION("""COMPUTED_VALUE"""),"")</f>
        <v/>
      </c>
      <c r="Y1172" s="22" t="str">
        <f>IFERROR(__xludf.DUMMYFUNCTION("""COMPUTED_VALUE"""),"")</f>
        <v/>
      </c>
      <c r="Z1172" s="24" t="str">
        <f>IFERROR(__xludf.DUMMYFUNCTION("""COMPUTED_VALUE"""),"")</f>
        <v/>
      </c>
    </row>
    <row r="1173">
      <c r="A1173" s="5" t="str">
        <f>IFERROR(__xludf.DUMMYFUNCTION("""COMPUTED_VALUE"""),"")</f>
        <v/>
      </c>
      <c r="B1173" s="5" t="str">
        <f>IFERROR(__xludf.DUMMYFUNCTION("""COMPUTED_VALUE"""),"TraderX")</f>
        <v>TraderX</v>
      </c>
      <c r="C1173" s="9">
        <f>IFERROR(__xludf.DUMMYFUNCTION("""COMPUTED_VALUE"""),4.4659001296E10)</f>
        <v>44659001296</v>
      </c>
      <c r="D1173" s="85" t="str">
        <f>IFERROR(__xludf.DUMMYFUNCTION("""COMPUTED_VALUE"""),"NDXP220411P14000000")</f>
        <v>NDXP220411P14000000</v>
      </c>
      <c r="E1173" s="193">
        <f>IFERROR(__xludf.DUMMYFUNCTION("""COMPUTED_VALUE"""),44659.0)</f>
        <v>44659</v>
      </c>
      <c r="F1173" s="5" t="str">
        <f>IFERROR(__xludf.DUMMYFUNCTION("""COMPUTED_VALUE"""),"Option")</f>
        <v>Option</v>
      </c>
      <c r="G1173" s="5" t="str">
        <f>IFERROR(__xludf.DUMMYFUNCTION("""COMPUTED_VALUE"""),"USD")</f>
        <v>USD</v>
      </c>
      <c r="H1173" s="22">
        <f>IFERROR(__xludf.DUMMYFUNCTION("""COMPUTED_VALUE"""),-7.0)</f>
        <v>-7</v>
      </c>
      <c r="I1173" s="194">
        <f>IFERROR(__xludf.DUMMYFUNCTION("""COMPUTED_VALUE"""),7.839265)</f>
        <v>7.839265</v>
      </c>
      <c r="J1173" s="23">
        <f>IFERROR(__xludf.DUMMYFUNCTION("""COMPUTED_VALUE"""),13.4)</f>
        <v>13.4</v>
      </c>
      <c r="K1173" s="5"/>
      <c r="L1173" s="23">
        <f>IFERROR(__xludf.DUMMYFUNCTION("""COMPUTED_VALUE"""),9.8)</f>
        <v>9.8</v>
      </c>
      <c r="M1173" s="25" t="str">
        <f>IFERROR(__xludf.DUMMYFUNCTION("""COMPUTED_VALUE"""),"")</f>
        <v/>
      </c>
      <c r="N1173" s="5"/>
      <c r="O1173" s="5"/>
      <c r="P1173" s="142">
        <f>IFERROR(__xludf.DUMMYFUNCTION("""COMPUTED_VALUE"""),73532.30570000001)</f>
        <v>73532.3057</v>
      </c>
      <c r="Q1173" s="5"/>
      <c r="R1173" s="71">
        <f>IFERROR(__xludf.DUMMYFUNCTION("""COMPUTED_VALUE"""),9.8)</f>
        <v>9.8</v>
      </c>
      <c r="S1173" s="142">
        <f>IFERROR(__xludf.DUMMYFUNCTION("""COMPUTED_VALUE"""),-53777.3579)</f>
        <v>-53777.3579</v>
      </c>
      <c r="T1173" s="5">
        <f>IFERROR(__xludf.DUMMYFUNCTION("""COMPUTED_VALUE"""),2.0)</f>
        <v>2</v>
      </c>
      <c r="U1173" s="5" t="str">
        <f>IFERROR(__xludf.DUMMYFUNCTION("""COMPUTED_VALUE"""),"")</f>
        <v/>
      </c>
      <c r="V1173" s="22" t="str">
        <f>IFERROR(__xludf.DUMMYFUNCTION("""COMPUTED_VALUE"""),"")</f>
        <v/>
      </c>
      <c r="W1173" s="9" t="str">
        <f>IFERROR(__xludf.DUMMYFUNCTION("""COMPUTED_VALUE"""),"")</f>
        <v/>
      </c>
      <c r="X1173" s="22" t="str">
        <f>IFERROR(__xludf.DUMMYFUNCTION("""COMPUTED_VALUE"""),"")</f>
        <v/>
      </c>
      <c r="Y1173" s="22" t="str">
        <f>IFERROR(__xludf.DUMMYFUNCTION("""COMPUTED_VALUE"""),"")</f>
        <v/>
      </c>
      <c r="Z1173" s="24" t="str">
        <f>IFERROR(__xludf.DUMMYFUNCTION("""COMPUTED_VALUE"""),"")</f>
        <v/>
      </c>
    </row>
    <row r="1174">
      <c r="A1174" s="5" t="str">
        <f>IFERROR(__xludf.DUMMYFUNCTION("""COMPUTED_VALUE"""),"")</f>
        <v/>
      </c>
      <c r="B1174" s="5" t="str">
        <f>IFERROR(__xludf.DUMMYFUNCTION("""COMPUTED_VALUE"""),"TraderX")</f>
        <v>TraderX</v>
      </c>
      <c r="C1174" s="9">
        <f>IFERROR(__xludf.DUMMYFUNCTION("""COMPUTED_VALUE"""),4.4659001297E10)</f>
        <v>44659001297</v>
      </c>
      <c r="D1174" s="85" t="str">
        <f>IFERROR(__xludf.DUMMYFUNCTION("""COMPUTED_VALUE"""),"NDXP220411C14900000")</f>
        <v>NDXP220411C14900000</v>
      </c>
      <c r="E1174" s="193">
        <f>IFERROR(__xludf.DUMMYFUNCTION("""COMPUTED_VALUE"""),44659.0)</f>
        <v>44659</v>
      </c>
      <c r="F1174" s="5" t="str">
        <f>IFERROR(__xludf.DUMMYFUNCTION("""COMPUTED_VALUE"""),"Option")</f>
        <v>Option</v>
      </c>
      <c r="G1174" s="5" t="str">
        <f>IFERROR(__xludf.DUMMYFUNCTION("""COMPUTED_VALUE"""),"USD")</f>
        <v>USD</v>
      </c>
      <c r="H1174" s="22">
        <f>IFERROR(__xludf.DUMMYFUNCTION("""COMPUTED_VALUE"""),7.0)</f>
        <v>7</v>
      </c>
      <c r="I1174" s="194">
        <f>IFERROR(__xludf.DUMMYFUNCTION("""COMPUTED_VALUE"""),7.839265)</f>
        <v>7.839265</v>
      </c>
      <c r="J1174" s="23">
        <f>IFERROR(__xludf.DUMMYFUNCTION("""COMPUTED_VALUE"""),2.18)</f>
        <v>2.18</v>
      </c>
      <c r="K1174" s="5"/>
      <c r="L1174" s="23">
        <f>IFERROR(__xludf.DUMMYFUNCTION("""COMPUTED_VALUE"""),0.05)</f>
        <v>0.05</v>
      </c>
      <c r="M1174" s="25" t="str">
        <f>IFERROR(__xludf.DUMMYFUNCTION("""COMPUTED_VALUE"""),"")</f>
        <v/>
      </c>
      <c r="N1174" s="5"/>
      <c r="O1174" s="5"/>
      <c r="P1174" s="142">
        <f>IFERROR(__xludf.DUMMYFUNCTION("""COMPUTED_VALUE"""),-11962.718390000002)</f>
        <v>-11962.71839</v>
      </c>
      <c r="Q1174" s="5"/>
      <c r="R1174" s="71">
        <f>IFERROR(__xludf.DUMMYFUNCTION("""COMPUTED_VALUE"""),0.05)</f>
        <v>0.05</v>
      </c>
      <c r="S1174" s="142">
        <f>IFERROR(__xludf.DUMMYFUNCTION("""COMPUTED_VALUE"""),274.37427500000007)</f>
        <v>274.374275</v>
      </c>
      <c r="T1174" s="5">
        <f>IFERROR(__xludf.DUMMYFUNCTION("""COMPUTED_VALUE"""),2.0)</f>
        <v>2</v>
      </c>
      <c r="U1174" s="5" t="str">
        <f>IFERROR(__xludf.DUMMYFUNCTION("""COMPUTED_VALUE"""),"")</f>
        <v/>
      </c>
      <c r="V1174" s="22" t="str">
        <f>IFERROR(__xludf.DUMMYFUNCTION("""COMPUTED_VALUE"""),"")</f>
        <v/>
      </c>
      <c r="W1174" s="9" t="str">
        <f>IFERROR(__xludf.DUMMYFUNCTION("""COMPUTED_VALUE"""),"")</f>
        <v/>
      </c>
      <c r="X1174" s="22" t="str">
        <f>IFERROR(__xludf.DUMMYFUNCTION("""COMPUTED_VALUE"""),"")</f>
        <v/>
      </c>
      <c r="Y1174" s="22" t="str">
        <f>IFERROR(__xludf.DUMMYFUNCTION("""COMPUTED_VALUE"""),"")</f>
        <v/>
      </c>
      <c r="Z1174" s="24" t="str">
        <f>IFERROR(__xludf.DUMMYFUNCTION("""COMPUTED_VALUE"""),"")</f>
        <v/>
      </c>
    </row>
    <row r="1175">
      <c r="A1175" s="5" t="str">
        <f>IFERROR(__xludf.DUMMYFUNCTION("""COMPUTED_VALUE"""),"")</f>
        <v/>
      </c>
      <c r="B1175" s="5" t="str">
        <f>IFERROR(__xludf.DUMMYFUNCTION("""COMPUTED_VALUE"""),"TraderX")</f>
        <v>TraderX</v>
      </c>
      <c r="C1175" s="9">
        <f>IFERROR(__xludf.DUMMYFUNCTION("""COMPUTED_VALUE"""),4.4659001298E10)</f>
        <v>44659001298</v>
      </c>
      <c r="D1175" s="85" t="str">
        <f>IFERROR(__xludf.DUMMYFUNCTION("""COMPUTED_VALUE"""),"NDXP220411C14800000")</f>
        <v>NDXP220411C14800000</v>
      </c>
      <c r="E1175" s="193">
        <f>IFERROR(__xludf.DUMMYFUNCTION("""COMPUTED_VALUE"""),44659.0)</f>
        <v>44659</v>
      </c>
      <c r="F1175" s="5" t="str">
        <f>IFERROR(__xludf.DUMMYFUNCTION("""COMPUTED_VALUE"""),"Option")</f>
        <v>Option</v>
      </c>
      <c r="G1175" s="5" t="str">
        <f>IFERROR(__xludf.DUMMYFUNCTION("""COMPUTED_VALUE"""),"USD")</f>
        <v>USD</v>
      </c>
      <c r="H1175" s="22">
        <f>IFERROR(__xludf.DUMMYFUNCTION("""COMPUTED_VALUE"""),-7.0)</f>
        <v>-7</v>
      </c>
      <c r="I1175" s="194">
        <f>IFERROR(__xludf.DUMMYFUNCTION("""COMPUTED_VALUE"""),7.839265)</f>
        <v>7.839265</v>
      </c>
      <c r="J1175" s="23">
        <f>IFERROR(__xludf.DUMMYFUNCTION("""COMPUTED_VALUE"""),4.6)</f>
        <v>4.6</v>
      </c>
      <c r="K1175" s="5"/>
      <c r="L1175" s="23">
        <f>IFERROR(__xludf.DUMMYFUNCTION("""COMPUTED_VALUE"""),0.18)</f>
        <v>0.18</v>
      </c>
      <c r="M1175" s="25" t="str">
        <f>IFERROR(__xludf.DUMMYFUNCTION("""COMPUTED_VALUE"""),"")</f>
        <v/>
      </c>
      <c r="N1175" s="5"/>
      <c r="O1175" s="5"/>
      <c r="P1175" s="142">
        <f>IFERROR(__xludf.DUMMYFUNCTION("""COMPUTED_VALUE"""),25242.4333)</f>
        <v>25242.4333</v>
      </c>
      <c r="Q1175" s="5"/>
      <c r="R1175" s="71">
        <f>IFERROR(__xludf.DUMMYFUNCTION("""COMPUTED_VALUE"""),0.18)</f>
        <v>0.18</v>
      </c>
      <c r="S1175" s="142">
        <f>IFERROR(__xludf.DUMMYFUNCTION("""COMPUTED_VALUE"""),-987.74739)</f>
        <v>-987.74739</v>
      </c>
      <c r="T1175" s="5">
        <f>IFERROR(__xludf.DUMMYFUNCTION("""COMPUTED_VALUE"""),2.0)</f>
        <v>2</v>
      </c>
      <c r="U1175" s="5" t="str">
        <f>IFERROR(__xludf.DUMMYFUNCTION("""COMPUTED_VALUE"""),"")</f>
        <v/>
      </c>
      <c r="V1175" s="22" t="str">
        <f>IFERROR(__xludf.DUMMYFUNCTION("""COMPUTED_VALUE"""),"")</f>
        <v/>
      </c>
      <c r="W1175" s="9" t="str">
        <f>IFERROR(__xludf.DUMMYFUNCTION("""COMPUTED_VALUE"""),"")</f>
        <v/>
      </c>
      <c r="X1175" s="22" t="str">
        <f>IFERROR(__xludf.DUMMYFUNCTION("""COMPUTED_VALUE"""),"")</f>
        <v/>
      </c>
      <c r="Y1175" s="22" t="str">
        <f>IFERROR(__xludf.DUMMYFUNCTION("""COMPUTED_VALUE"""),"")</f>
        <v/>
      </c>
      <c r="Z1175" s="24" t="str">
        <f>IFERROR(__xludf.DUMMYFUNCTION("""COMPUTED_VALUE"""),"")</f>
        <v/>
      </c>
    </row>
    <row r="1176">
      <c r="A1176" s="5" t="str">
        <f>IFERROR(__xludf.DUMMYFUNCTION("""COMPUTED_VALUE"""),"")</f>
        <v/>
      </c>
      <c r="B1176" s="5" t="str">
        <f>IFERROR(__xludf.DUMMYFUNCTION("""COMPUTED_VALUE"""),"TraderX")</f>
        <v>TraderX</v>
      </c>
      <c r="C1176" s="9">
        <f>IFERROR(__xludf.DUMMYFUNCTION("""COMPUTED_VALUE"""),4.4662001382E10)</f>
        <v>44662001382</v>
      </c>
      <c r="D1176" s="85" t="str">
        <f>IFERROR(__xludf.DUMMYFUNCTION("""COMPUTED_VALUE"""),"NDXP220411P14000000")</f>
        <v>NDXP220411P14000000</v>
      </c>
      <c r="E1176" s="193">
        <f>IFERROR(__xludf.DUMMYFUNCTION("""COMPUTED_VALUE"""),44662.0)</f>
        <v>44662</v>
      </c>
      <c r="F1176" s="5" t="str">
        <f>IFERROR(__xludf.DUMMYFUNCTION("""COMPUTED_VALUE"""),"Option")</f>
        <v>Option</v>
      </c>
      <c r="G1176" s="5" t="str">
        <f>IFERROR(__xludf.DUMMYFUNCTION("""COMPUTED_VALUE"""),"USD")</f>
        <v>USD</v>
      </c>
      <c r="H1176" s="22">
        <f>IFERROR(__xludf.DUMMYFUNCTION("""COMPUTED_VALUE"""),7.0)</f>
        <v>7</v>
      </c>
      <c r="I1176" s="194">
        <f>IFERROR(__xludf.DUMMYFUNCTION("""COMPUTED_VALUE"""),7.83795)</f>
        <v>7.83795</v>
      </c>
      <c r="J1176" s="23">
        <f>IFERROR(__xludf.DUMMYFUNCTION("""COMPUTED_VALUE"""),9.8)</f>
        <v>9.8</v>
      </c>
      <c r="K1176" s="5"/>
      <c r="L1176" s="23">
        <f>IFERROR(__xludf.DUMMYFUNCTION("""COMPUTED_VALUE"""),9.8)</f>
        <v>9.8</v>
      </c>
      <c r="M1176" s="25" t="str">
        <f>IFERROR(__xludf.DUMMYFUNCTION("""COMPUTED_VALUE"""),"")</f>
        <v/>
      </c>
      <c r="N1176" s="5"/>
      <c r="O1176" s="5"/>
      <c r="P1176" s="142">
        <f>IFERROR(__xludf.DUMMYFUNCTION("""COMPUTED_VALUE"""),-53768.33700000001)</f>
        <v>-53768.337</v>
      </c>
      <c r="Q1176" s="5"/>
      <c r="R1176" s="71">
        <f>IFERROR(__xludf.DUMMYFUNCTION("""COMPUTED_VALUE"""),9.8)</f>
        <v>9.8</v>
      </c>
      <c r="S1176" s="142">
        <f>IFERROR(__xludf.DUMMYFUNCTION("""COMPUTED_VALUE"""),53768.33700000001)</f>
        <v>53768.337</v>
      </c>
      <c r="T1176" s="5">
        <f>IFERROR(__xludf.DUMMYFUNCTION("""COMPUTED_VALUE"""),2.0)</f>
        <v>2</v>
      </c>
      <c r="U1176" s="5">
        <f>IFERROR(__xludf.DUMMYFUNCTION("""COMPUTED_VALUE"""),1.0)</f>
        <v>1</v>
      </c>
      <c r="V1176" s="22">
        <f>IFERROR(__xludf.DUMMYFUNCTION("""COMPUTED_VALUE"""),19754.94780000001)</f>
        <v>19754.9478</v>
      </c>
      <c r="W1176" s="9" t="str">
        <f>IFERROR(__xludf.DUMMYFUNCTION("""COMPUTED_VALUE"""),"")</f>
        <v/>
      </c>
      <c r="X1176" s="22" t="str">
        <f>IFERROR(__xludf.DUMMYFUNCTION("""COMPUTED_VALUE"""),"")</f>
        <v/>
      </c>
      <c r="Y1176" s="22" t="str">
        <f>IFERROR(__xludf.DUMMYFUNCTION("""COMPUTED_VALUE"""),"")</f>
        <v/>
      </c>
      <c r="Z1176" s="24" t="str">
        <f>IFERROR(__xludf.DUMMYFUNCTION("""COMPUTED_VALUE"""),"")</f>
        <v/>
      </c>
    </row>
    <row r="1177">
      <c r="A1177" s="5" t="str">
        <f>IFERROR(__xludf.DUMMYFUNCTION("""COMPUTED_VALUE"""),"")</f>
        <v/>
      </c>
      <c r="B1177" s="5" t="str">
        <f>IFERROR(__xludf.DUMMYFUNCTION("""COMPUTED_VALUE"""),"TraderX")</f>
        <v>TraderX</v>
      </c>
      <c r="C1177" s="9">
        <f>IFERROR(__xludf.DUMMYFUNCTION("""COMPUTED_VALUE"""),4.4662001383E10)</f>
        <v>44662001383</v>
      </c>
      <c r="D1177" s="85" t="str">
        <f>IFERROR(__xludf.DUMMYFUNCTION("""COMPUTED_VALUE"""),"NDXP220411P13900000")</f>
        <v>NDXP220411P13900000</v>
      </c>
      <c r="E1177" s="193">
        <f>IFERROR(__xludf.DUMMYFUNCTION("""COMPUTED_VALUE"""),44662.0)</f>
        <v>44662</v>
      </c>
      <c r="F1177" s="5" t="str">
        <f>IFERROR(__xludf.DUMMYFUNCTION("""COMPUTED_VALUE"""),"Option")</f>
        <v>Option</v>
      </c>
      <c r="G1177" s="5" t="str">
        <f>IFERROR(__xludf.DUMMYFUNCTION("""COMPUTED_VALUE"""),"USD")</f>
        <v>USD</v>
      </c>
      <c r="H1177" s="22">
        <f>IFERROR(__xludf.DUMMYFUNCTION("""COMPUTED_VALUE"""),-7.0)</f>
        <v>-7</v>
      </c>
      <c r="I1177" s="194">
        <f>IFERROR(__xludf.DUMMYFUNCTION("""COMPUTED_VALUE"""),7.83795)</f>
        <v>7.83795</v>
      </c>
      <c r="J1177" s="23">
        <f>IFERROR(__xludf.DUMMYFUNCTION("""COMPUTED_VALUE"""),0.5)</f>
        <v>0.5</v>
      </c>
      <c r="K1177" s="5"/>
      <c r="L1177" s="23">
        <f>IFERROR(__xludf.DUMMYFUNCTION("""COMPUTED_VALUE"""),0.5)</f>
        <v>0.5</v>
      </c>
      <c r="M1177" s="25" t="str">
        <f>IFERROR(__xludf.DUMMYFUNCTION("""COMPUTED_VALUE"""),"")</f>
        <v/>
      </c>
      <c r="N1177" s="5"/>
      <c r="O1177" s="5"/>
      <c r="P1177" s="142">
        <f>IFERROR(__xludf.DUMMYFUNCTION("""COMPUTED_VALUE"""),2743.2825000000003)</f>
        <v>2743.2825</v>
      </c>
      <c r="Q1177" s="5"/>
      <c r="R1177" s="71">
        <f>IFERROR(__xludf.DUMMYFUNCTION("""COMPUTED_VALUE"""),0.5)</f>
        <v>0.5</v>
      </c>
      <c r="S1177" s="142">
        <f>IFERROR(__xludf.DUMMYFUNCTION("""COMPUTED_VALUE"""),-2743.2825000000003)</f>
        <v>-2743.2825</v>
      </c>
      <c r="T1177" s="5">
        <f>IFERROR(__xludf.DUMMYFUNCTION("""COMPUTED_VALUE"""),2.0)</f>
        <v>2</v>
      </c>
      <c r="U1177" s="5">
        <f>IFERROR(__xludf.DUMMYFUNCTION("""COMPUTED_VALUE"""),1.0)</f>
        <v>1</v>
      </c>
      <c r="V1177" s="22">
        <f>IFERROR(__xludf.DUMMYFUNCTION("""COMPUTED_VALUE"""),-30894.543365)</f>
        <v>-30894.54337</v>
      </c>
      <c r="W1177" s="9" t="str">
        <f>IFERROR(__xludf.DUMMYFUNCTION("""COMPUTED_VALUE"""),"")</f>
        <v/>
      </c>
      <c r="X1177" s="22" t="str">
        <f>IFERROR(__xludf.DUMMYFUNCTION("""COMPUTED_VALUE"""),"")</f>
        <v/>
      </c>
      <c r="Y1177" s="22" t="str">
        <f>IFERROR(__xludf.DUMMYFUNCTION("""COMPUTED_VALUE"""),"")</f>
        <v/>
      </c>
      <c r="Z1177" s="24" t="str">
        <f>IFERROR(__xludf.DUMMYFUNCTION("""COMPUTED_VALUE"""),"")</f>
        <v/>
      </c>
    </row>
    <row r="1178">
      <c r="A1178" s="5" t="str">
        <f>IFERROR(__xludf.DUMMYFUNCTION("""COMPUTED_VALUE"""),"")</f>
        <v/>
      </c>
      <c r="B1178" s="5" t="str">
        <f>IFERROR(__xludf.DUMMYFUNCTION("""COMPUTED_VALUE"""),"TraderX")</f>
        <v>TraderX</v>
      </c>
      <c r="C1178" s="9">
        <f>IFERROR(__xludf.DUMMYFUNCTION("""COMPUTED_VALUE"""),4.4662001384E10)</f>
        <v>44662001384</v>
      </c>
      <c r="D1178" s="85" t="str">
        <f>IFERROR(__xludf.DUMMYFUNCTION("""COMPUTED_VALUE"""),"NDXP220411C14800000")</f>
        <v>NDXP220411C14800000</v>
      </c>
      <c r="E1178" s="193">
        <f>IFERROR(__xludf.DUMMYFUNCTION("""COMPUTED_VALUE"""),44662.0)</f>
        <v>44662</v>
      </c>
      <c r="F1178" s="5" t="str">
        <f>IFERROR(__xludf.DUMMYFUNCTION("""COMPUTED_VALUE"""),"Option")</f>
        <v>Option</v>
      </c>
      <c r="G1178" s="5" t="str">
        <f>IFERROR(__xludf.DUMMYFUNCTION("""COMPUTED_VALUE"""),"USD")</f>
        <v>USD</v>
      </c>
      <c r="H1178" s="22">
        <f>IFERROR(__xludf.DUMMYFUNCTION("""COMPUTED_VALUE"""),7.0)</f>
        <v>7</v>
      </c>
      <c r="I1178" s="194">
        <f>IFERROR(__xludf.DUMMYFUNCTION("""COMPUTED_VALUE"""),7.83795)</f>
        <v>7.83795</v>
      </c>
      <c r="J1178" s="23">
        <f>IFERROR(__xludf.DUMMYFUNCTION("""COMPUTED_VALUE"""),0.18)</f>
        <v>0.18</v>
      </c>
      <c r="K1178" s="5"/>
      <c r="L1178" s="23">
        <f>IFERROR(__xludf.DUMMYFUNCTION("""COMPUTED_VALUE"""),0.18)</f>
        <v>0.18</v>
      </c>
      <c r="M1178" s="25" t="str">
        <f>IFERROR(__xludf.DUMMYFUNCTION("""COMPUTED_VALUE"""),"")</f>
        <v/>
      </c>
      <c r="N1178" s="5"/>
      <c r="O1178" s="5"/>
      <c r="P1178" s="142">
        <f>IFERROR(__xludf.DUMMYFUNCTION("""COMPUTED_VALUE"""),-987.5817)</f>
        <v>-987.5817</v>
      </c>
      <c r="Q1178" s="5"/>
      <c r="R1178" s="71">
        <f>IFERROR(__xludf.DUMMYFUNCTION("""COMPUTED_VALUE"""),0.18)</f>
        <v>0.18</v>
      </c>
      <c r="S1178" s="142">
        <f>IFERROR(__xludf.DUMMYFUNCTION("""COMPUTED_VALUE"""),987.5817)</f>
        <v>987.5817</v>
      </c>
      <c r="T1178" s="5">
        <f>IFERROR(__xludf.DUMMYFUNCTION("""COMPUTED_VALUE"""),2.0)</f>
        <v>2</v>
      </c>
      <c r="U1178" s="5">
        <f>IFERROR(__xludf.DUMMYFUNCTION("""COMPUTED_VALUE"""),1.0)</f>
        <v>1</v>
      </c>
      <c r="V1178" s="22">
        <f>IFERROR(__xludf.DUMMYFUNCTION("""COMPUTED_VALUE"""),24254.68591)</f>
        <v>24254.68591</v>
      </c>
      <c r="W1178" s="9" t="str">
        <f>IFERROR(__xludf.DUMMYFUNCTION("""COMPUTED_VALUE"""),"")</f>
        <v/>
      </c>
      <c r="X1178" s="22" t="str">
        <f>IFERROR(__xludf.DUMMYFUNCTION("""COMPUTED_VALUE"""),"")</f>
        <v/>
      </c>
      <c r="Y1178" s="22" t="str">
        <f>IFERROR(__xludf.DUMMYFUNCTION("""COMPUTED_VALUE"""),"")</f>
        <v/>
      </c>
      <c r="Z1178" s="24" t="str">
        <f>IFERROR(__xludf.DUMMYFUNCTION("""COMPUTED_VALUE"""),"")</f>
        <v/>
      </c>
    </row>
    <row r="1179">
      <c r="A1179" s="5" t="str">
        <f>IFERROR(__xludf.DUMMYFUNCTION("""COMPUTED_VALUE"""),"")</f>
        <v/>
      </c>
      <c r="B1179" s="5" t="str">
        <f>IFERROR(__xludf.DUMMYFUNCTION("""COMPUTED_VALUE"""),"TraderX")</f>
        <v>TraderX</v>
      </c>
      <c r="C1179" s="9">
        <f>IFERROR(__xludf.DUMMYFUNCTION("""COMPUTED_VALUE"""),4.4662001385E10)</f>
        <v>44662001385</v>
      </c>
      <c r="D1179" s="85" t="str">
        <f>IFERROR(__xludf.DUMMYFUNCTION("""COMPUTED_VALUE"""),"NDXP220411C14900000")</f>
        <v>NDXP220411C14900000</v>
      </c>
      <c r="E1179" s="193">
        <f>IFERROR(__xludf.DUMMYFUNCTION("""COMPUTED_VALUE"""),44662.0)</f>
        <v>44662</v>
      </c>
      <c r="F1179" s="5" t="str">
        <f>IFERROR(__xludf.DUMMYFUNCTION("""COMPUTED_VALUE"""),"Option")</f>
        <v>Option</v>
      </c>
      <c r="G1179" s="5" t="str">
        <f>IFERROR(__xludf.DUMMYFUNCTION("""COMPUTED_VALUE"""),"USD")</f>
        <v>USD</v>
      </c>
      <c r="H1179" s="22">
        <f>IFERROR(__xludf.DUMMYFUNCTION("""COMPUTED_VALUE"""),-7.0)</f>
        <v>-7</v>
      </c>
      <c r="I1179" s="194">
        <f>IFERROR(__xludf.DUMMYFUNCTION("""COMPUTED_VALUE"""),7.83795)</f>
        <v>7.83795</v>
      </c>
      <c r="J1179" s="23">
        <f>IFERROR(__xludf.DUMMYFUNCTION("""COMPUTED_VALUE"""),0.05)</f>
        <v>0.05</v>
      </c>
      <c r="K1179" s="5"/>
      <c r="L1179" s="23">
        <f>IFERROR(__xludf.DUMMYFUNCTION("""COMPUTED_VALUE"""),0.05)</f>
        <v>0.05</v>
      </c>
      <c r="M1179" s="25" t="str">
        <f>IFERROR(__xludf.DUMMYFUNCTION("""COMPUTED_VALUE"""),"")</f>
        <v/>
      </c>
      <c r="N1179" s="5"/>
      <c r="O1179" s="5"/>
      <c r="P1179" s="142">
        <f>IFERROR(__xludf.DUMMYFUNCTION("""COMPUTED_VALUE"""),274.32825)</f>
        <v>274.32825</v>
      </c>
      <c r="Q1179" s="5"/>
      <c r="R1179" s="71">
        <f>IFERROR(__xludf.DUMMYFUNCTION("""COMPUTED_VALUE"""),0.05)</f>
        <v>0.05</v>
      </c>
      <c r="S1179" s="142">
        <f>IFERROR(__xludf.DUMMYFUNCTION("""COMPUTED_VALUE"""),-274.32825)</f>
        <v>-274.32825</v>
      </c>
      <c r="T1179" s="5">
        <f>IFERROR(__xludf.DUMMYFUNCTION("""COMPUTED_VALUE"""),2.0)</f>
        <v>2</v>
      </c>
      <c r="U1179" s="5">
        <f>IFERROR(__xludf.DUMMYFUNCTION("""COMPUTED_VALUE"""),1.0)</f>
        <v>1</v>
      </c>
      <c r="V1179" s="22">
        <f>IFERROR(__xludf.DUMMYFUNCTION("""COMPUTED_VALUE"""),-11688.344115000002)</f>
        <v>-11688.34412</v>
      </c>
      <c r="W1179" s="9" t="str">
        <f>IFERROR(__xludf.DUMMYFUNCTION("""COMPUTED_VALUE"""),"")</f>
        <v/>
      </c>
      <c r="X1179" s="22" t="str">
        <f>IFERROR(__xludf.DUMMYFUNCTION("""COMPUTED_VALUE"""),"")</f>
        <v/>
      </c>
      <c r="Y1179" s="22" t="str">
        <f>IFERROR(__xludf.DUMMYFUNCTION("""COMPUTED_VALUE"""),"")</f>
        <v/>
      </c>
      <c r="Z1179" s="24" t="str">
        <f>IFERROR(__xludf.DUMMYFUNCTION("""COMPUTED_VALUE"""),"")</f>
        <v/>
      </c>
    </row>
    <row r="1180">
      <c r="A1180" s="5" t="str">
        <f>IFERROR(__xludf.DUMMYFUNCTION("""COMPUTED_VALUE"""),"")</f>
        <v/>
      </c>
      <c r="B1180" s="5" t="str">
        <f>IFERROR(__xludf.DUMMYFUNCTION("""COMPUTED_VALUE"""),"TraderX")</f>
        <v>TraderX</v>
      </c>
      <c r="C1180" s="9">
        <f>IFERROR(__xludf.DUMMYFUNCTION("""COMPUTED_VALUE"""),4.4662001391E10)</f>
        <v>44662001391</v>
      </c>
      <c r="D1180" s="85" t="str">
        <f>IFERROR(__xludf.DUMMYFUNCTION("""COMPUTED_VALUE"""),"NDXP220413P13375000")</f>
        <v>NDXP220413P13375000</v>
      </c>
      <c r="E1180" s="193">
        <f>IFERROR(__xludf.DUMMYFUNCTION("""COMPUTED_VALUE"""),44662.0)</f>
        <v>44662</v>
      </c>
      <c r="F1180" s="5" t="str">
        <f>IFERROR(__xludf.DUMMYFUNCTION("""COMPUTED_VALUE"""),"Option")</f>
        <v>Option</v>
      </c>
      <c r="G1180" s="5" t="str">
        <f>IFERROR(__xludf.DUMMYFUNCTION("""COMPUTED_VALUE"""),"USD")</f>
        <v>USD</v>
      </c>
      <c r="H1180" s="22">
        <f>IFERROR(__xludf.DUMMYFUNCTION("""COMPUTED_VALUE"""),8.0)</f>
        <v>8</v>
      </c>
      <c r="I1180" s="194">
        <f>IFERROR(__xludf.DUMMYFUNCTION("""COMPUTED_VALUE"""),7.83795)</f>
        <v>7.83795</v>
      </c>
      <c r="J1180" s="23">
        <f>IFERROR(__xludf.DUMMYFUNCTION("""COMPUTED_VALUE"""),13.36)</f>
        <v>13.36</v>
      </c>
      <c r="K1180" s="5"/>
      <c r="L1180" s="23">
        <f>IFERROR(__xludf.DUMMYFUNCTION("""COMPUTED_VALUE"""),0.12)</f>
        <v>0.12</v>
      </c>
      <c r="M1180" s="25" t="str">
        <f>IFERROR(__xludf.DUMMYFUNCTION("""COMPUTED_VALUE"""),"")</f>
        <v/>
      </c>
      <c r="N1180" s="5"/>
      <c r="O1180" s="5"/>
      <c r="P1180" s="142">
        <f>IFERROR(__xludf.DUMMYFUNCTION("""COMPUTED_VALUE"""),-83772.0096)</f>
        <v>-83772.0096</v>
      </c>
      <c r="Q1180" s="5"/>
      <c r="R1180" s="71">
        <f>IFERROR(__xludf.DUMMYFUNCTION("""COMPUTED_VALUE"""),0.12)</f>
        <v>0.12</v>
      </c>
      <c r="S1180" s="142">
        <f>IFERROR(__xludf.DUMMYFUNCTION("""COMPUTED_VALUE"""),752.4432)</f>
        <v>752.4432</v>
      </c>
      <c r="T1180" s="5">
        <f>IFERROR(__xludf.DUMMYFUNCTION("""COMPUTED_VALUE"""),2.0)</f>
        <v>2</v>
      </c>
      <c r="U1180" s="5" t="str">
        <f>IFERROR(__xludf.DUMMYFUNCTION("""COMPUTED_VALUE"""),"")</f>
        <v/>
      </c>
      <c r="V1180" s="22" t="str">
        <f>IFERROR(__xludf.DUMMYFUNCTION("""COMPUTED_VALUE"""),"")</f>
        <v/>
      </c>
      <c r="W1180" s="9" t="str">
        <f>IFERROR(__xludf.DUMMYFUNCTION("""COMPUTED_VALUE"""),"")</f>
        <v/>
      </c>
      <c r="X1180" s="22" t="str">
        <f>IFERROR(__xludf.DUMMYFUNCTION("""COMPUTED_VALUE"""),"")</f>
        <v/>
      </c>
      <c r="Y1180" s="22" t="str">
        <f>IFERROR(__xludf.DUMMYFUNCTION("""COMPUTED_VALUE"""),"")</f>
        <v/>
      </c>
      <c r="Z1180" s="24" t="str">
        <f>IFERROR(__xludf.DUMMYFUNCTION("""COMPUTED_VALUE"""),"")</f>
        <v/>
      </c>
    </row>
    <row r="1181">
      <c r="A1181" s="5" t="str">
        <f>IFERROR(__xludf.DUMMYFUNCTION("""COMPUTED_VALUE"""),"")</f>
        <v/>
      </c>
      <c r="B1181" s="5" t="str">
        <f>IFERROR(__xludf.DUMMYFUNCTION("""COMPUTED_VALUE"""),"TraderX")</f>
        <v>TraderX</v>
      </c>
      <c r="C1181" s="9">
        <f>IFERROR(__xludf.DUMMYFUNCTION("""COMPUTED_VALUE"""),4.4662001393E10)</f>
        <v>44662001393</v>
      </c>
      <c r="D1181" s="85" t="str">
        <f>IFERROR(__xludf.DUMMYFUNCTION("""COMPUTED_VALUE"""),"NDXP220413P13475000")</f>
        <v>NDXP220413P13475000</v>
      </c>
      <c r="E1181" s="193">
        <f>IFERROR(__xludf.DUMMYFUNCTION("""COMPUTED_VALUE"""),44662.0)</f>
        <v>44662</v>
      </c>
      <c r="F1181" s="5" t="str">
        <f>IFERROR(__xludf.DUMMYFUNCTION("""COMPUTED_VALUE"""),"Option")</f>
        <v>Option</v>
      </c>
      <c r="G1181" s="5" t="str">
        <f>IFERROR(__xludf.DUMMYFUNCTION("""COMPUTED_VALUE"""),"USD")</f>
        <v>USD</v>
      </c>
      <c r="H1181" s="22">
        <f>IFERROR(__xludf.DUMMYFUNCTION("""COMPUTED_VALUE"""),-8.0)</f>
        <v>-8</v>
      </c>
      <c r="I1181" s="194">
        <f>IFERROR(__xludf.DUMMYFUNCTION("""COMPUTED_VALUE"""),7.83795)</f>
        <v>7.83795</v>
      </c>
      <c r="J1181" s="23">
        <f>IFERROR(__xludf.DUMMYFUNCTION("""COMPUTED_VALUE"""),20.5)</f>
        <v>20.5</v>
      </c>
      <c r="K1181" s="5"/>
      <c r="L1181" s="23">
        <f>IFERROR(__xludf.DUMMYFUNCTION("""COMPUTED_VALUE"""),0.36)</f>
        <v>0.36</v>
      </c>
      <c r="M1181" s="25" t="str">
        <f>IFERROR(__xludf.DUMMYFUNCTION("""COMPUTED_VALUE"""),"")</f>
        <v/>
      </c>
      <c r="N1181" s="5"/>
      <c r="O1181" s="5"/>
      <c r="P1181" s="142">
        <f>IFERROR(__xludf.DUMMYFUNCTION("""COMPUTED_VALUE"""),128542.38)</f>
        <v>128542.38</v>
      </c>
      <c r="Q1181" s="5"/>
      <c r="R1181" s="71">
        <f>IFERROR(__xludf.DUMMYFUNCTION("""COMPUTED_VALUE"""),0.36)</f>
        <v>0.36</v>
      </c>
      <c r="S1181" s="142">
        <f>IFERROR(__xludf.DUMMYFUNCTION("""COMPUTED_VALUE"""),-2257.3296)</f>
        <v>-2257.3296</v>
      </c>
      <c r="T1181" s="5">
        <f>IFERROR(__xludf.DUMMYFUNCTION("""COMPUTED_VALUE"""),2.0)</f>
        <v>2</v>
      </c>
      <c r="U1181" s="5" t="str">
        <f>IFERROR(__xludf.DUMMYFUNCTION("""COMPUTED_VALUE"""),"")</f>
        <v/>
      </c>
      <c r="V1181" s="22" t="str">
        <f>IFERROR(__xludf.DUMMYFUNCTION("""COMPUTED_VALUE"""),"")</f>
        <v/>
      </c>
      <c r="W1181" s="9" t="str">
        <f>IFERROR(__xludf.DUMMYFUNCTION("""COMPUTED_VALUE"""),"")</f>
        <v/>
      </c>
      <c r="X1181" s="22" t="str">
        <f>IFERROR(__xludf.DUMMYFUNCTION("""COMPUTED_VALUE"""),"")</f>
        <v/>
      </c>
      <c r="Y1181" s="22" t="str">
        <f>IFERROR(__xludf.DUMMYFUNCTION("""COMPUTED_VALUE"""),"")</f>
        <v/>
      </c>
      <c r="Z1181" s="24" t="str">
        <f>IFERROR(__xludf.DUMMYFUNCTION("""COMPUTED_VALUE"""),"")</f>
        <v/>
      </c>
    </row>
    <row r="1182">
      <c r="A1182" s="5" t="str">
        <f>IFERROR(__xludf.DUMMYFUNCTION("""COMPUTED_VALUE"""),"")</f>
        <v/>
      </c>
      <c r="B1182" s="5" t="str">
        <f>IFERROR(__xludf.DUMMYFUNCTION("""COMPUTED_VALUE"""),"TraderX")</f>
        <v>TraderX</v>
      </c>
      <c r="C1182" s="9">
        <f>IFERROR(__xludf.DUMMYFUNCTION("""COMPUTED_VALUE"""),4.4662001394E10)</f>
        <v>44662001394</v>
      </c>
      <c r="D1182" s="85" t="str">
        <f>IFERROR(__xludf.DUMMYFUNCTION("""COMPUTED_VALUE"""),"NDXP220413C14625000")</f>
        <v>NDXP220413C14625000</v>
      </c>
      <c r="E1182" s="193">
        <f>IFERROR(__xludf.DUMMYFUNCTION("""COMPUTED_VALUE"""),44662.0)</f>
        <v>44662</v>
      </c>
      <c r="F1182" s="5" t="str">
        <f>IFERROR(__xludf.DUMMYFUNCTION("""COMPUTED_VALUE"""),"Option")</f>
        <v>Option</v>
      </c>
      <c r="G1182" s="5" t="str">
        <f>IFERROR(__xludf.DUMMYFUNCTION("""COMPUTED_VALUE"""),"USD")</f>
        <v>USD</v>
      </c>
      <c r="H1182" s="22">
        <f>IFERROR(__xludf.DUMMYFUNCTION("""COMPUTED_VALUE"""),8.0)</f>
        <v>8</v>
      </c>
      <c r="I1182" s="194">
        <f>IFERROR(__xludf.DUMMYFUNCTION("""COMPUTED_VALUE"""),7.83795)</f>
        <v>7.83795</v>
      </c>
      <c r="J1182" s="23">
        <f>IFERROR(__xludf.DUMMYFUNCTION("""COMPUTED_VALUE"""),6.65)</f>
        <v>6.65</v>
      </c>
      <c r="K1182" s="5"/>
      <c r="L1182" s="23">
        <f>IFERROR(__xludf.DUMMYFUNCTION("""COMPUTED_VALUE"""),0.16)</f>
        <v>0.16</v>
      </c>
      <c r="M1182" s="25" t="str">
        <f>IFERROR(__xludf.DUMMYFUNCTION("""COMPUTED_VALUE"""),"")</f>
        <v/>
      </c>
      <c r="N1182" s="5"/>
      <c r="O1182" s="5"/>
      <c r="P1182" s="142">
        <f>IFERROR(__xludf.DUMMYFUNCTION("""COMPUTED_VALUE"""),-41697.894)</f>
        <v>-41697.894</v>
      </c>
      <c r="Q1182" s="5"/>
      <c r="R1182" s="71">
        <f>IFERROR(__xludf.DUMMYFUNCTION("""COMPUTED_VALUE"""),0.16)</f>
        <v>0.16</v>
      </c>
      <c r="S1182" s="142">
        <f>IFERROR(__xludf.DUMMYFUNCTION("""COMPUTED_VALUE"""),1003.2576)</f>
        <v>1003.2576</v>
      </c>
      <c r="T1182" s="5">
        <f>IFERROR(__xludf.DUMMYFUNCTION("""COMPUTED_VALUE"""),2.0)</f>
        <v>2</v>
      </c>
      <c r="U1182" s="5" t="str">
        <f>IFERROR(__xludf.DUMMYFUNCTION("""COMPUTED_VALUE"""),"")</f>
        <v/>
      </c>
      <c r="V1182" s="22" t="str">
        <f>IFERROR(__xludf.DUMMYFUNCTION("""COMPUTED_VALUE"""),"")</f>
        <v/>
      </c>
      <c r="W1182" s="9" t="str">
        <f>IFERROR(__xludf.DUMMYFUNCTION("""COMPUTED_VALUE"""),"")</f>
        <v/>
      </c>
      <c r="X1182" s="22" t="str">
        <f>IFERROR(__xludf.DUMMYFUNCTION("""COMPUTED_VALUE"""),"")</f>
        <v/>
      </c>
      <c r="Y1182" s="22" t="str">
        <f>IFERROR(__xludf.DUMMYFUNCTION("""COMPUTED_VALUE"""),"")</f>
        <v/>
      </c>
      <c r="Z1182" s="24" t="str">
        <f>IFERROR(__xludf.DUMMYFUNCTION("""COMPUTED_VALUE"""),"")</f>
        <v/>
      </c>
    </row>
    <row r="1183">
      <c r="A1183" s="5" t="str">
        <f>IFERROR(__xludf.DUMMYFUNCTION("""COMPUTED_VALUE"""),"")</f>
        <v/>
      </c>
      <c r="B1183" s="5" t="str">
        <f>IFERROR(__xludf.DUMMYFUNCTION("""COMPUTED_VALUE"""),"TraderX")</f>
        <v>TraderX</v>
      </c>
      <c r="C1183" s="9">
        <f>IFERROR(__xludf.DUMMYFUNCTION("""COMPUTED_VALUE"""),4.4662001395E10)</f>
        <v>44662001395</v>
      </c>
      <c r="D1183" s="85" t="str">
        <f>IFERROR(__xludf.DUMMYFUNCTION("""COMPUTED_VALUE"""),"NDXP220413C14525000")</f>
        <v>NDXP220413C14525000</v>
      </c>
      <c r="E1183" s="193">
        <f>IFERROR(__xludf.DUMMYFUNCTION("""COMPUTED_VALUE"""),44662.0)</f>
        <v>44662</v>
      </c>
      <c r="F1183" s="5" t="str">
        <f>IFERROR(__xludf.DUMMYFUNCTION("""COMPUTED_VALUE"""),"Option")</f>
        <v>Option</v>
      </c>
      <c r="G1183" s="5" t="str">
        <f>IFERROR(__xludf.DUMMYFUNCTION("""COMPUTED_VALUE"""),"USD")</f>
        <v>USD</v>
      </c>
      <c r="H1183" s="22">
        <f>IFERROR(__xludf.DUMMYFUNCTION("""COMPUTED_VALUE"""),-8.0)</f>
        <v>-8</v>
      </c>
      <c r="I1183" s="194">
        <f>IFERROR(__xludf.DUMMYFUNCTION("""COMPUTED_VALUE"""),7.83795)</f>
        <v>7.83795</v>
      </c>
      <c r="J1183" s="23">
        <f>IFERROR(__xludf.DUMMYFUNCTION("""COMPUTED_VALUE"""),10.2)</f>
        <v>10.2</v>
      </c>
      <c r="K1183" s="5"/>
      <c r="L1183" s="23">
        <f>IFERROR(__xludf.DUMMYFUNCTION("""COMPUTED_VALUE"""),0.17)</f>
        <v>0.17</v>
      </c>
      <c r="M1183" s="25" t="str">
        <f>IFERROR(__xludf.DUMMYFUNCTION("""COMPUTED_VALUE"""),"")</f>
        <v/>
      </c>
      <c r="N1183" s="5"/>
      <c r="O1183" s="5"/>
      <c r="P1183" s="142">
        <f>IFERROR(__xludf.DUMMYFUNCTION("""COMPUTED_VALUE"""),63957.672000000006)</f>
        <v>63957.672</v>
      </c>
      <c r="Q1183" s="5"/>
      <c r="R1183" s="71">
        <f>IFERROR(__xludf.DUMMYFUNCTION("""COMPUTED_VALUE"""),0.17)</f>
        <v>0.17</v>
      </c>
      <c r="S1183" s="142">
        <f>IFERROR(__xludf.DUMMYFUNCTION("""COMPUTED_VALUE"""),-1065.9612000000002)</f>
        <v>-1065.9612</v>
      </c>
      <c r="T1183" s="5">
        <f>IFERROR(__xludf.DUMMYFUNCTION("""COMPUTED_VALUE"""),2.0)</f>
        <v>2</v>
      </c>
      <c r="U1183" s="5" t="str">
        <f>IFERROR(__xludf.DUMMYFUNCTION("""COMPUTED_VALUE"""),"")</f>
        <v/>
      </c>
      <c r="V1183" s="22" t="str">
        <f>IFERROR(__xludf.DUMMYFUNCTION("""COMPUTED_VALUE"""),"")</f>
        <v/>
      </c>
      <c r="W1183" s="9" t="str">
        <f>IFERROR(__xludf.DUMMYFUNCTION("""COMPUTED_VALUE"""),"")</f>
        <v/>
      </c>
      <c r="X1183" s="22" t="str">
        <f>IFERROR(__xludf.DUMMYFUNCTION("""COMPUTED_VALUE"""),"")</f>
        <v/>
      </c>
      <c r="Y1183" s="22" t="str">
        <f>IFERROR(__xludf.DUMMYFUNCTION("""COMPUTED_VALUE"""),"")</f>
        <v/>
      </c>
      <c r="Z1183" s="24" t="str">
        <f>IFERROR(__xludf.DUMMYFUNCTION("""COMPUTED_VALUE"""),"")</f>
        <v/>
      </c>
    </row>
    <row r="1184">
      <c r="A1184" s="5" t="str">
        <f>IFERROR(__xludf.DUMMYFUNCTION("""COMPUTED_VALUE"""),"")</f>
        <v/>
      </c>
      <c r="B1184" s="5" t="str">
        <f>IFERROR(__xludf.DUMMYFUNCTION("""COMPUTED_VALUE"""),"TraderX")</f>
        <v>TraderX</v>
      </c>
      <c r="C1184" s="9">
        <f>IFERROR(__xludf.DUMMYFUNCTION("""COMPUTED_VALUE"""),4.4664001498E10)</f>
        <v>44664001498</v>
      </c>
      <c r="D1184" s="85" t="str">
        <f>IFERROR(__xludf.DUMMYFUNCTION("""COMPUTED_VALUE"""),"NDXP220413P13475000")</f>
        <v>NDXP220413P13475000</v>
      </c>
      <c r="E1184" s="193">
        <f>IFERROR(__xludf.DUMMYFUNCTION("""COMPUTED_VALUE"""),44664.0)</f>
        <v>44664</v>
      </c>
      <c r="F1184" s="5" t="str">
        <f>IFERROR(__xludf.DUMMYFUNCTION("""COMPUTED_VALUE"""),"Option")</f>
        <v>Option</v>
      </c>
      <c r="G1184" s="5" t="str">
        <f>IFERROR(__xludf.DUMMYFUNCTION("""COMPUTED_VALUE"""),"USD")</f>
        <v>USD</v>
      </c>
      <c r="H1184" s="22">
        <f>IFERROR(__xludf.DUMMYFUNCTION("""COMPUTED_VALUE"""),8.0)</f>
        <v>8</v>
      </c>
      <c r="I1184" s="194">
        <f>IFERROR(__xludf.DUMMYFUNCTION("""COMPUTED_VALUE"""),7.83915)</f>
        <v>7.83915</v>
      </c>
      <c r="J1184" s="23">
        <f>IFERROR(__xludf.DUMMYFUNCTION("""COMPUTED_VALUE"""),0.36)</f>
        <v>0.36</v>
      </c>
      <c r="K1184" s="5"/>
      <c r="L1184" s="23">
        <f>IFERROR(__xludf.DUMMYFUNCTION("""COMPUTED_VALUE"""),0.36)</f>
        <v>0.36</v>
      </c>
      <c r="M1184" s="25" t="str">
        <f>IFERROR(__xludf.DUMMYFUNCTION("""COMPUTED_VALUE"""),"")</f>
        <v/>
      </c>
      <c r="N1184" s="5"/>
      <c r="O1184" s="5"/>
      <c r="P1184" s="142">
        <f>IFERROR(__xludf.DUMMYFUNCTION("""COMPUTED_VALUE"""),-2257.6751999999997)</f>
        <v>-2257.6752</v>
      </c>
      <c r="Q1184" s="5"/>
      <c r="R1184" s="71">
        <f>IFERROR(__xludf.DUMMYFUNCTION("""COMPUTED_VALUE"""),0.36)</f>
        <v>0.36</v>
      </c>
      <c r="S1184" s="142">
        <f>IFERROR(__xludf.DUMMYFUNCTION("""COMPUTED_VALUE"""),2257.6751999999997)</f>
        <v>2257.6752</v>
      </c>
      <c r="T1184" s="5">
        <f>IFERROR(__xludf.DUMMYFUNCTION("""COMPUTED_VALUE"""),2.0)</f>
        <v>2</v>
      </c>
      <c r="U1184" s="5">
        <f>IFERROR(__xludf.DUMMYFUNCTION("""COMPUTED_VALUE"""),1.0)</f>
        <v>1</v>
      </c>
      <c r="V1184" s="22">
        <f>IFERROR(__xludf.DUMMYFUNCTION("""COMPUTED_VALUE"""),126285.05040000001)</f>
        <v>126285.0504</v>
      </c>
      <c r="W1184" s="9" t="str">
        <f>IFERROR(__xludf.DUMMYFUNCTION("""COMPUTED_VALUE"""),"")</f>
        <v/>
      </c>
      <c r="X1184" s="22" t="str">
        <f>IFERROR(__xludf.DUMMYFUNCTION("""COMPUTED_VALUE"""),"")</f>
        <v/>
      </c>
      <c r="Y1184" s="22" t="str">
        <f>IFERROR(__xludf.DUMMYFUNCTION("""COMPUTED_VALUE"""),"")</f>
        <v/>
      </c>
      <c r="Z1184" s="24" t="str">
        <f>IFERROR(__xludf.DUMMYFUNCTION("""COMPUTED_VALUE"""),"")</f>
        <v/>
      </c>
    </row>
    <row r="1185">
      <c r="A1185" s="5" t="str">
        <f>IFERROR(__xludf.DUMMYFUNCTION("""COMPUTED_VALUE"""),"")</f>
        <v/>
      </c>
      <c r="B1185" s="5" t="str">
        <f>IFERROR(__xludf.DUMMYFUNCTION("""COMPUTED_VALUE"""),"TraderX")</f>
        <v>TraderX</v>
      </c>
      <c r="C1185" s="9">
        <f>IFERROR(__xludf.DUMMYFUNCTION("""COMPUTED_VALUE"""),4.4664001499E10)</f>
        <v>44664001499</v>
      </c>
      <c r="D1185" s="85" t="str">
        <f>IFERROR(__xludf.DUMMYFUNCTION("""COMPUTED_VALUE"""),"NDXP220413P13375000")</f>
        <v>NDXP220413P13375000</v>
      </c>
      <c r="E1185" s="193">
        <f>IFERROR(__xludf.DUMMYFUNCTION("""COMPUTED_VALUE"""),44664.0)</f>
        <v>44664</v>
      </c>
      <c r="F1185" s="5" t="str">
        <f>IFERROR(__xludf.DUMMYFUNCTION("""COMPUTED_VALUE"""),"Option")</f>
        <v>Option</v>
      </c>
      <c r="G1185" s="5" t="str">
        <f>IFERROR(__xludf.DUMMYFUNCTION("""COMPUTED_VALUE"""),"USD")</f>
        <v>USD</v>
      </c>
      <c r="H1185" s="22">
        <f>IFERROR(__xludf.DUMMYFUNCTION("""COMPUTED_VALUE"""),-8.0)</f>
        <v>-8</v>
      </c>
      <c r="I1185" s="194">
        <f>IFERROR(__xludf.DUMMYFUNCTION("""COMPUTED_VALUE"""),7.83915)</f>
        <v>7.83915</v>
      </c>
      <c r="J1185" s="23">
        <f>IFERROR(__xludf.DUMMYFUNCTION("""COMPUTED_VALUE"""),0.12)</f>
        <v>0.12</v>
      </c>
      <c r="K1185" s="5"/>
      <c r="L1185" s="23">
        <f>IFERROR(__xludf.DUMMYFUNCTION("""COMPUTED_VALUE"""),0.12)</f>
        <v>0.12</v>
      </c>
      <c r="M1185" s="25" t="str">
        <f>IFERROR(__xludf.DUMMYFUNCTION("""COMPUTED_VALUE"""),"")</f>
        <v/>
      </c>
      <c r="N1185" s="5"/>
      <c r="O1185" s="5"/>
      <c r="P1185" s="142">
        <f>IFERROR(__xludf.DUMMYFUNCTION("""COMPUTED_VALUE"""),752.5583999999999)</f>
        <v>752.5584</v>
      </c>
      <c r="Q1185" s="5"/>
      <c r="R1185" s="71">
        <f>IFERROR(__xludf.DUMMYFUNCTION("""COMPUTED_VALUE"""),0.12)</f>
        <v>0.12</v>
      </c>
      <c r="S1185" s="142">
        <f>IFERROR(__xludf.DUMMYFUNCTION("""COMPUTED_VALUE"""),-752.5583999999999)</f>
        <v>-752.5584</v>
      </c>
      <c r="T1185" s="5">
        <f>IFERROR(__xludf.DUMMYFUNCTION("""COMPUTED_VALUE"""),2.0)</f>
        <v>2</v>
      </c>
      <c r="U1185" s="5">
        <f>IFERROR(__xludf.DUMMYFUNCTION("""COMPUTED_VALUE"""),1.0)</f>
        <v>1</v>
      </c>
      <c r="V1185" s="22">
        <f>IFERROR(__xludf.DUMMYFUNCTION("""COMPUTED_VALUE"""),-83019.56640000001)</f>
        <v>-83019.5664</v>
      </c>
      <c r="W1185" s="9" t="str">
        <f>IFERROR(__xludf.DUMMYFUNCTION("""COMPUTED_VALUE"""),"")</f>
        <v/>
      </c>
      <c r="X1185" s="22" t="str">
        <f>IFERROR(__xludf.DUMMYFUNCTION("""COMPUTED_VALUE"""),"")</f>
        <v/>
      </c>
      <c r="Y1185" s="22" t="str">
        <f>IFERROR(__xludf.DUMMYFUNCTION("""COMPUTED_VALUE"""),"")</f>
        <v/>
      </c>
      <c r="Z1185" s="24" t="str">
        <f>IFERROR(__xludf.DUMMYFUNCTION("""COMPUTED_VALUE"""),"")</f>
        <v/>
      </c>
    </row>
    <row r="1186">
      <c r="A1186" s="5" t="str">
        <f>IFERROR(__xludf.DUMMYFUNCTION("""COMPUTED_VALUE"""),"")</f>
        <v/>
      </c>
      <c r="B1186" s="5" t="str">
        <f>IFERROR(__xludf.DUMMYFUNCTION("""COMPUTED_VALUE"""),"TraderX")</f>
        <v>TraderX</v>
      </c>
      <c r="C1186" s="9">
        <f>IFERROR(__xludf.DUMMYFUNCTION("""COMPUTED_VALUE"""),4.46640015E10)</f>
        <v>44664001500</v>
      </c>
      <c r="D1186" s="85" t="str">
        <f>IFERROR(__xludf.DUMMYFUNCTION("""COMPUTED_VALUE"""),"NDXP220413C14525000")</f>
        <v>NDXP220413C14525000</v>
      </c>
      <c r="E1186" s="193">
        <f>IFERROR(__xludf.DUMMYFUNCTION("""COMPUTED_VALUE"""),44664.0)</f>
        <v>44664</v>
      </c>
      <c r="F1186" s="5" t="str">
        <f>IFERROR(__xludf.DUMMYFUNCTION("""COMPUTED_VALUE"""),"Option")</f>
        <v>Option</v>
      </c>
      <c r="G1186" s="5" t="str">
        <f>IFERROR(__xludf.DUMMYFUNCTION("""COMPUTED_VALUE"""),"USD")</f>
        <v>USD</v>
      </c>
      <c r="H1186" s="22">
        <f>IFERROR(__xludf.DUMMYFUNCTION("""COMPUTED_VALUE"""),8.0)</f>
        <v>8</v>
      </c>
      <c r="I1186" s="194">
        <f>IFERROR(__xludf.DUMMYFUNCTION("""COMPUTED_VALUE"""),7.83915)</f>
        <v>7.83915</v>
      </c>
      <c r="J1186" s="23">
        <f>IFERROR(__xludf.DUMMYFUNCTION("""COMPUTED_VALUE"""),0.17)</f>
        <v>0.17</v>
      </c>
      <c r="K1186" s="5"/>
      <c r="L1186" s="23">
        <f>IFERROR(__xludf.DUMMYFUNCTION("""COMPUTED_VALUE"""),0.17)</f>
        <v>0.17</v>
      </c>
      <c r="M1186" s="25" t="str">
        <f>IFERROR(__xludf.DUMMYFUNCTION("""COMPUTED_VALUE"""),"")</f>
        <v/>
      </c>
      <c r="N1186" s="5"/>
      <c r="O1186" s="5"/>
      <c r="P1186" s="142">
        <f>IFERROR(__xludf.DUMMYFUNCTION("""COMPUTED_VALUE"""),-1066.1244000000002)</f>
        <v>-1066.1244</v>
      </c>
      <c r="Q1186" s="5"/>
      <c r="R1186" s="71">
        <f>IFERROR(__xludf.DUMMYFUNCTION("""COMPUTED_VALUE"""),0.17)</f>
        <v>0.17</v>
      </c>
      <c r="S1186" s="142">
        <f>IFERROR(__xludf.DUMMYFUNCTION("""COMPUTED_VALUE"""),1066.1244000000002)</f>
        <v>1066.1244</v>
      </c>
      <c r="T1186" s="5">
        <f>IFERROR(__xludf.DUMMYFUNCTION("""COMPUTED_VALUE"""),2.0)</f>
        <v>2</v>
      </c>
      <c r="U1186" s="5">
        <f>IFERROR(__xludf.DUMMYFUNCTION("""COMPUTED_VALUE"""),1.0)</f>
        <v>1</v>
      </c>
      <c r="V1186" s="22">
        <f>IFERROR(__xludf.DUMMYFUNCTION("""COMPUTED_VALUE"""),62891.71080000001)</f>
        <v>62891.7108</v>
      </c>
      <c r="W1186" s="9" t="str">
        <f>IFERROR(__xludf.DUMMYFUNCTION("""COMPUTED_VALUE"""),"")</f>
        <v/>
      </c>
      <c r="X1186" s="22" t="str">
        <f>IFERROR(__xludf.DUMMYFUNCTION("""COMPUTED_VALUE"""),"")</f>
        <v/>
      </c>
      <c r="Y1186" s="22" t="str">
        <f>IFERROR(__xludf.DUMMYFUNCTION("""COMPUTED_VALUE"""),"")</f>
        <v/>
      </c>
      <c r="Z1186" s="24" t="str">
        <f>IFERROR(__xludf.DUMMYFUNCTION("""COMPUTED_VALUE"""),"")</f>
        <v/>
      </c>
    </row>
    <row r="1187">
      <c r="A1187" s="5" t="str">
        <f>IFERROR(__xludf.DUMMYFUNCTION("""COMPUTED_VALUE"""),"")</f>
        <v/>
      </c>
      <c r="B1187" s="5" t="str">
        <f>IFERROR(__xludf.DUMMYFUNCTION("""COMPUTED_VALUE"""),"TraderX")</f>
        <v>TraderX</v>
      </c>
      <c r="C1187" s="9">
        <f>IFERROR(__xludf.DUMMYFUNCTION("""COMPUTED_VALUE"""),4.4664001501E10)</f>
        <v>44664001501</v>
      </c>
      <c r="D1187" s="85" t="str">
        <f>IFERROR(__xludf.DUMMYFUNCTION("""COMPUTED_VALUE"""),"NDXP220413C14625000")</f>
        <v>NDXP220413C14625000</v>
      </c>
      <c r="E1187" s="193">
        <f>IFERROR(__xludf.DUMMYFUNCTION("""COMPUTED_VALUE"""),44664.0)</f>
        <v>44664</v>
      </c>
      <c r="F1187" s="5" t="str">
        <f>IFERROR(__xludf.DUMMYFUNCTION("""COMPUTED_VALUE"""),"Option")</f>
        <v>Option</v>
      </c>
      <c r="G1187" s="5" t="str">
        <f>IFERROR(__xludf.DUMMYFUNCTION("""COMPUTED_VALUE"""),"USD")</f>
        <v>USD</v>
      </c>
      <c r="H1187" s="22">
        <f>IFERROR(__xludf.DUMMYFUNCTION("""COMPUTED_VALUE"""),-8.0)</f>
        <v>-8</v>
      </c>
      <c r="I1187" s="194">
        <f>IFERROR(__xludf.DUMMYFUNCTION("""COMPUTED_VALUE"""),7.83915)</f>
        <v>7.83915</v>
      </c>
      <c r="J1187" s="23">
        <f>IFERROR(__xludf.DUMMYFUNCTION("""COMPUTED_VALUE"""),0.16)</f>
        <v>0.16</v>
      </c>
      <c r="K1187" s="5"/>
      <c r="L1187" s="23">
        <f>IFERROR(__xludf.DUMMYFUNCTION("""COMPUTED_VALUE"""),0.16)</f>
        <v>0.16</v>
      </c>
      <c r="M1187" s="25" t="str">
        <f>IFERROR(__xludf.DUMMYFUNCTION("""COMPUTED_VALUE"""),"")</f>
        <v/>
      </c>
      <c r="N1187" s="5"/>
      <c r="O1187" s="5"/>
      <c r="P1187" s="142">
        <f>IFERROR(__xludf.DUMMYFUNCTION("""COMPUTED_VALUE"""),1003.4112)</f>
        <v>1003.4112</v>
      </c>
      <c r="Q1187" s="5"/>
      <c r="R1187" s="71">
        <f>IFERROR(__xludf.DUMMYFUNCTION("""COMPUTED_VALUE"""),0.16)</f>
        <v>0.16</v>
      </c>
      <c r="S1187" s="142">
        <f>IFERROR(__xludf.DUMMYFUNCTION("""COMPUTED_VALUE"""),-1003.4112)</f>
        <v>-1003.4112</v>
      </c>
      <c r="T1187" s="5">
        <f>IFERROR(__xludf.DUMMYFUNCTION("""COMPUTED_VALUE"""),2.0)</f>
        <v>2</v>
      </c>
      <c r="U1187" s="5">
        <f>IFERROR(__xludf.DUMMYFUNCTION("""COMPUTED_VALUE"""),1.0)</f>
        <v>1</v>
      </c>
      <c r="V1187" s="22">
        <f>IFERROR(__xludf.DUMMYFUNCTION("""COMPUTED_VALUE"""),-40694.636399999996)</f>
        <v>-40694.6364</v>
      </c>
      <c r="W1187" s="9" t="str">
        <f>IFERROR(__xludf.DUMMYFUNCTION("""COMPUTED_VALUE"""),"")</f>
        <v/>
      </c>
      <c r="X1187" s="22" t="str">
        <f>IFERROR(__xludf.DUMMYFUNCTION("""COMPUTED_VALUE"""),"")</f>
        <v/>
      </c>
      <c r="Y1187" s="22" t="str">
        <f>IFERROR(__xludf.DUMMYFUNCTION("""COMPUTED_VALUE"""),"")</f>
        <v/>
      </c>
      <c r="Z1187" s="24" t="str">
        <f>IFERROR(__xludf.DUMMYFUNCTION("""COMPUTED_VALUE"""),"")</f>
        <v/>
      </c>
    </row>
    <row r="1188">
      <c r="A1188" s="5" t="str">
        <f>IFERROR(__xludf.DUMMYFUNCTION("""COMPUTED_VALUE"""),"")</f>
        <v/>
      </c>
      <c r="B1188" s="5" t="str">
        <f>IFERROR(__xludf.DUMMYFUNCTION("""COMPUTED_VALUE"""),"TraderX")</f>
        <v>TraderX</v>
      </c>
      <c r="C1188" s="9">
        <f>IFERROR(__xludf.DUMMYFUNCTION("""COMPUTED_VALUE"""),4.4664001502E10)</f>
        <v>44664001502</v>
      </c>
      <c r="D1188" s="85" t="str">
        <f>IFERROR(__xludf.DUMMYFUNCTION("""COMPUTED_VALUE"""),"SPXW220414P04315000")</f>
        <v>SPXW220414P04315000</v>
      </c>
      <c r="E1188" s="193">
        <f>IFERROR(__xludf.DUMMYFUNCTION("""COMPUTED_VALUE"""),44664.0)</f>
        <v>44664</v>
      </c>
      <c r="F1188" s="5" t="str">
        <f>IFERROR(__xludf.DUMMYFUNCTION("""COMPUTED_VALUE"""),"Option")</f>
        <v>Option</v>
      </c>
      <c r="G1188" s="5" t="str">
        <f>IFERROR(__xludf.DUMMYFUNCTION("""COMPUTED_VALUE"""),"USD")</f>
        <v>USD</v>
      </c>
      <c r="H1188" s="22">
        <f>IFERROR(__xludf.DUMMYFUNCTION("""COMPUTED_VALUE"""),20.0)</f>
        <v>20</v>
      </c>
      <c r="I1188" s="194">
        <f>IFERROR(__xludf.DUMMYFUNCTION("""COMPUTED_VALUE"""),7.83915)</f>
        <v>7.83915</v>
      </c>
      <c r="J1188" s="23">
        <f>IFERROR(__xludf.DUMMYFUNCTION("""COMPUTED_VALUE"""),0.45)</f>
        <v>0.45</v>
      </c>
      <c r="K1188" s="5"/>
      <c r="L1188" s="23">
        <f>IFERROR(__xludf.DUMMYFUNCTION("""COMPUTED_VALUE"""),0.45)</f>
        <v>0.45</v>
      </c>
      <c r="M1188" s="25" t="str">
        <f>IFERROR(__xludf.DUMMYFUNCTION("""COMPUTED_VALUE"""),"")</f>
        <v/>
      </c>
      <c r="N1188" s="5"/>
      <c r="O1188" s="5"/>
      <c r="P1188" s="142">
        <f>IFERROR(__xludf.DUMMYFUNCTION("""COMPUTED_VALUE"""),-7055.235000000001)</f>
        <v>-7055.235</v>
      </c>
      <c r="Q1188" s="5"/>
      <c r="R1188" s="71">
        <f>IFERROR(__xludf.DUMMYFUNCTION("""COMPUTED_VALUE"""),0.45)</f>
        <v>0.45</v>
      </c>
      <c r="S1188" s="142">
        <f>IFERROR(__xludf.DUMMYFUNCTION("""COMPUTED_VALUE"""),7055.235000000001)</f>
        <v>7055.235</v>
      </c>
      <c r="T1188" s="5">
        <f>IFERROR(__xludf.DUMMYFUNCTION("""COMPUTED_VALUE"""),1.0)</f>
        <v>1</v>
      </c>
      <c r="U1188" s="5">
        <f>IFERROR(__xludf.DUMMYFUNCTION("""COMPUTED_VALUE"""),1.0)</f>
        <v>1</v>
      </c>
      <c r="V1188" s="22">
        <f>IFERROR(__xludf.DUMMYFUNCTION("""COMPUTED_VALUE"""),0.0)</f>
        <v>0</v>
      </c>
      <c r="W1188" s="9" t="str">
        <f>IFERROR(__xludf.DUMMYFUNCTION("""COMPUTED_VALUE"""),"")</f>
        <v/>
      </c>
      <c r="X1188" s="22" t="str">
        <f>IFERROR(__xludf.DUMMYFUNCTION("""COMPUTED_VALUE"""),"")</f>
        <v/>
      </c>
      <c r="Y1188" s="22" t="str">
        <f>IFERROR(__xludf.DUMMYFUNCTION("""COMPUTED_VALUE"""),"")</f>
        <v/>
      </c>
      <c r="Z1188" s="24" t="str">
        <f>IFERROR(__xludf.DUMMYFUNCTION("""COMPUTED_VALUE"""),"")</f>
        <v/>
      </c>
    </row>
    <row r="1189">
      <c r="A1189" s="5" t="str">
        <f>IFERROR(__xludf.DUMMYFUNCTION("""COMPUTED_VALUE"""),"")</f>
        <v/>
      </c>
      <c r="B1189" s="5" t="str">
        <f>IFERROR(__xludf.DUMMYFUNCTION("""COMPUTED_VALUE"""),"TraderX")</f>
        <v>TraderX</v>
      </c>
      <c r="C1189" s="9">
        <f>IFERROR(__xludf.DUMMYFUNCTION("""COMPUTED_VALUE"""),4.4664001503E10)</f>
        <v>44664001503</v>
      </c>
      <c r="D1189" s="85" t="str">
        <f>IFERROR(__xludf.DUMMYFUNCTION("""COMPUTED_VALUE"""),"SPXW220414P04360000")</f>
        <v>SPXW220414P04360000</v>
      </c>
      <c r="E1189" s="193">
        <f>IFERROR(__xludf.DUMMYFUNCTION("""COMPUTED_VALUE"""),44664.0)</f>
        <v>44664</v>
      </c>
      <c r="F1189" s="5" t="str">
        <f>IFERROR(__xludf.DUMMYFUNCTION("""COMPUTED_VALUE"""),"Option")</f>
        <v>Option</v>
      </c>
      <c r="G1189" s="5" t="str">
        <f>IFERROR(__xludf.DUMMYFUNCTION("""COMPUTED_VALUE"""),"USD")</f>
        <v>USD</v>
      </c>
      <c r="H1189" s="22">
        <f>IFERROR(__xludf.DUMMYFUNCTION("""COMPUTED_VALUE"""),-20.0)</f>
        <v>-20</v>
      </c>
      <c r="I1189" s="194">
        <f>IFERROR(__xludf.DUMMYFUNCTION("""COMPUTED_VALUE"""),7.83915)</f>
        <v>7.83915</v>
      </c>
      <c r="J1189" s="23">
        <f>IFERROR(__xludf.DUMMYFUNCTION("""COMPUTED_VALUE"""),1.15)</f>
        <v>1.15</v>
      </c>
      <c r="K1189" s="5"/>
      <c r="L1189" s="23">
        <f>IFERROR(__xludf.DUMMYFUNCTION("""COMPUTED_VALUE"""),1.1)</f>
        <v>1.1</v>
      </c>
      <c r="M1189" s="25" t="str">
        <f>IFERROR(__xludf.DUMMYFUNCTION("""COMPUTED_VALUE"""),"")</f>
        <v/>
      </c>
      <c r="N1189" s="5"/>
      <c r="O1189" s="5"/>
      <c r="P1189" s="142">
        <f>IFERROR(__xludf.DUMMYFUNCTION("""COMPUTED_VALUE"""),18030.045000000002)</f>
        <v>18030.045</v>
      </c>
      <c r="Q1189" s="5"/>
      <c r="R1189" s="71">
        <f>IFERROR(__xludf.DUMMYFUNCTION("""COMPUTED_VALUE"""),1.1)</f>
        <v>1.1</v>
      </c>
      <c r="S1189" s="142">
        <f>IFERROR(__xludf.DUMMYFUNCTION("""COMPUTED_VALUE"""),-17246.13)</f>
        <v>-17246.13</v>
      </c>
      <c r="T1189" s="5">
        <f>IFERROR(__xludf.DUMMYFUNCTION("""COMPUTED_VALUE"""),1.0)</f>
        <v>1</v>
      </c>
      <c r="U1189" s="5">
        <f>IFERROR(__xludf.DUMMYFUNCTION("""COMPUTED_VALUE"""),1.0)</f>
        <v>1</v>
      </c>
      <c r="V1189" s="22">
        <f>IFERROR(__xludf.DUMMYFUNCTION("""COMPUTED_VALUE"""),783.9150000000009)</f>
        <v>783.915</v>
      </c>
      <c r="W1189" s="9" t="str">
        <f>IFERROR(__xludf.DUMMYFUNCTION("""COMPUTED_VALUE"""),"")</f>
        <v/>
      </c>
      <c r="X1189" s="22" t="str">
        <f>IFERROR(__xludf.DUMMYFUNCTION("""COMPUTED_VALUE"""),"")</f>
        <v/>
      </c>
      <c r="Y1189" s="22" t="str">
        <f>IFERROR(__xludf.DUMMYFUNCTION("""COMPUTED_VALUE"""),"")</f>
        <v/>
      </c>
      <c r="Z1189" s="24" t="str">
        <f>IFERROR(__xludf.DUMMYFUNCTION("""COMPUTED_VALUE"""),"")</f>
        <v/>
      </c>
    </row>
    <row r="1190">
      <c r="A1190" s="5" t="str">
        <f>IFERROR(__xludf.DUMMYFUNCTION("""COMPUTED_VALUE"""),"")</f>
        <v/>
      </c>
      <c r="B1190" s="5" t="str">
        <f>IFERROR(__xludf.DUMMYFUNCTION("""COMPUTED_VALUE"""),"TraderX")</f>
        <v>TraderX</v>
      </c>
      <c r="C1190" s="9">
        <f>IFERROR(__xludf.DUMMYFUNCTION("""COMPUTED_VALUE"""),4.4664001504E10)</f>
        <v>44664001504</v>
      </c>
      <c r="D1190" s="85" t="str">
        <f>IFERROR(__xludf.DUMMYFUNCTION("""COMPUTED_VALUE"""),"SPXW220414C04560000")</f>
        <v>SPXW220414C04560000</v>
      </c>
      <c r="E1190" s="193">
        <f>IFERROR(__xludf.DUMMYFUNCTION("""COMPUTED_VALUE"""),44664.0)</f>
        <v>44664</v>
      </c>
      <c r="F1190" s="5" t="str">
        <f>IFERROR(__xludf.DUMMYFUNCTION("""COMPUTED_VALUE"""),"Option")</f>
        <v>Option</v>
      </c>
      <c r="G1190" s="5" t="str">
        <f>IFERROR(__xludf.DUMMYFUNCTION("""COMPUTED_VALUE"""),"USD")</f>
        <v>USD</v>
      </c>
      <c r="H1190" s="22">
        <f>IFERROR(__xludf.DUMMYFUNCTION("""COMPUTED_VALUE"""),20.0)</f>
        <v>20</v>
      </c>
      <c r="I1190" s="194">
        <f>IFERROR(__xludf.DUMMYFUNCTION("""COMPUTED_VALUE"""),7.83915)</f>
        <v>7.83915</v>
      </c>
      <c r="J1190" s="23">
        <f>IFERROR(__xludf.DUMMYFUNCTION("""COMPUTED_VALUE"""),0.07)</f>
        <v>0.07</v>
      </c>
      <c r="K1190" s="5"/>
      <c r="L1190" s="23">
        <f>IFERROR(__xludf.DUMMYFUNCTION("""COMPUTED_VALUE"""),0.07)</f>
        <v>0.07</v>
      </c>
      <c r="M1190" s="25" t="str">
        <f>IFERROR(__xludf.DUMMYFUNCTION("""COMPUTED_VALUE"""),"")</f>
        <v/>
      </c>
      <c r="N1190" s="5"/>
      <c r="O1190" s="5"/>
      <c r="P1190" s="142">
        <f>IFERROR(__xludf.DUMMYFUNCTION("""COMPUTED_VALUE"""),-1097.4810000000002)</f>
        <v>-1097.481</v>
      </c>
      <c r="Q1190" s="5"/>
      <c r="R1190" s="71">
        <f>IFERROR(__xludf.DUMMYFUNCTION("""COMPUTED_VALUE"""),0.07)</f>
        <v>0.07</v>
      </c>
      <c r="S1190" s="142">
        <f>IFERROR(__xludf.DUMMYFUNCTION("""COMPUTED_VALUE"""),1097.4810000000002)</f>
        <v>1097.481</v>
      </c>
      <c r="T1190" s="5">
        <f>IFERROR(__xludf.DUMMYFUNCTION("""COMPUTED_VALUE"""),1.0)</f>
        <v>1</v>
      </c>
      <c r="U1190" s="5">
        <f>IFERROR(__xludf.DUMMYFUNCTION("""COMPUTED_VALUE"""),1.0)</f>
        <v>1</v>
      </c>
      <c r="V1190" s="22">
        <f>IFERROR(__xludf.DUMMYFUNCTION("""COMPUTED_VALUE"""),0.0)</f>
        <v>0</v>
      </c>
      <c r="W1190" s="9" t="str">
        <f>IFERROR(__xludf.DUMMYFUNCTION("""COMPUTED_VALUE"""),"")</f>
        <v/>
      </c>
      <c r="X1190" s="22" t="str">
        <f>IFERROR(__xludf.DUMMYFUNCTION("""COMPUTED_VALUE"""),"")</f>
        <v/>
      </c>
      <c r="Y1190" s="22" t="str">
        <f>IFERROR(__xludf.DUMMYFUNCTION("""COMPUTED_VALUE"""),"")</f>
        <v/>
      </c>
      <c r="Z1190" s="24" t="str">
        <f>IFERROR(__xludf.DUMMYFUNCTION("""COMPUTED_VALUE"""),"")</f>
        <v/>
      </c>
    </row>
    <row r="1191">
      <c r="A1191" s="5" t="str">
        <f>IFERROR(__xludf.DUMMYFUNCTION("""COMPUTED_VALUE"""),"TraderX")</f>
        <v>TraderX</v>
      </c>
      <c r="B1191" s="5" t="str">
        <f>IFERROR(__xludf.DUMMYFUNCTION("""COMPUTED_VALUE"""),"TraderX")</f>
        <v>TraderX</v>
      </c>
      <c r="C1191" s="9">
        <f>IFERROR(__xludf.DUMMYFUNCTION("""COMPUTED_VALUE"""),4.4664001505E10)</f>
        <v>44664001505</v>
      </c>
      <c r="D1191" s="85" t="str">
        <f>IFERROR(__xludf.DUMMYFUNCTION("""COMPUTED_VALUE"""),"SPXW220414C04515000")</f>
        <v>SPXW220414C04515000</v>
      </c>
      <c r="E1191" s="193">
        <f>IFERROR(__xludf.DUMMYFUNCTION("""COMPUTED_VALUE"""),44664.0)</f>
        <v>44664</v>
      </c>
      <c r="F1191" s="5" t="str">
        <f>IFERROR(__xludf.DUMMYFUNCTION("""COMPUTED_VALUE"""),"Option")</f>
        <v>Option</v>
      </c>
      <c r="G1191" s="5" t="str">
        <f>IFERROR(__xludf.DUMMYFUNCTION("""COMPUTED_VALUE"""),"USD")</f>
        <v>USD</v>
      </c>
      <c r="H1191" s="22">
        <f>IFERROR(__xludf.DUMMYFUNCTION("""COMPUTED_VALUE"""),-20.0)</f>
        <v>-20</v>
      </c>
      <c r="I1191" s="194">
        <f>IFERROR(__xludf.DUMMYFUNCTION("""COMPUTED_VALUE"""),7.83915)</f>
        <v>7.83915</v>
      </c>
      <c r="J1191" s="23">
        <f>IFERROR(__xludf.DUMMYFUNCTION("""COMPUTED_VALUE"""),0.67)</f>
        <v>0.67</v>
      </c>
      <c r="K1191" s="5"/>
      <c r="L1191" s="23">
        <f>IFERROR(__xludf.DUMMYFUNCTION("""COMPUTED_VALUE"""),0.67)</f>
        <v>0.67</v>
      </c>
      <c r="M1191" s="25" t="str">
        <f>IFERROR(__xludf.DUMMYFUNCTION("""COMPUTED_VALUE"""),"")</f>
        <v/>
      </c>
      <c r="N1191" s="5"/>
      <c r="O1191" s="5"/>
      <c r="P1191" s="142">
        <f>IFERROR(__xludf.DUMMYFUNCTION("""COMPUTED_VALUE"""),10504.461000000001)</f>
        <v>10504.461</v>
      </c>
      <c r="Q1191" s="5"/>
      <c r="R1191" s="71">
        <f>IFERROR(__xludf.DUMMYFUNCTION("""COMPUTED_VALUE"""),0.67)</f>
        <v>0.67</v>
      </c>
      <c r="S1191" s="142">
        <f>IFERROR(__xludf.DUMMYFUNCTION("""COMPUTED_VALUE"""),-10504.461000000001)</f>
        <v>-10504.461</v>
      </c>
      <c r="T1191" s="5">
        <f>IFERROR(__xludf.DUMMYFUNCTION("""COMPUTED_VALUE"""),1.0)</f>
        <v>1</v>
      </c>
      <c r="U1191" s="5">
        <f>IFERROR(__xludf.DUMMYFUNCTION("""COMPUTED_VALUE"""),1.0)</f>
        <v>1</v>
      </c>
      <c r="V1191" s="22">
        <f>IFERROR(__xludf.DUMMYFUNCTION("""COMPUTED_VALUE"""),0.0)</f>
        <v>0</v>
      </c>
      <c r="W1191" s="9">
        <f>IFERROR(__xludf.DUMMYFUNCTION("""COMPUTED_VALUE"""),618919.8154600001)</f>
        <v>618919.8155</v>
      </c>
      <c r="X1191" s="22">
        <f>IFERROR(__xludf.DUMMYFUNCTION("""COMPUTED_VALUE"""),606640.513495)</f>
        <v>606640.5135</v>
      </c>
      <c r="Y1191" s="22">
        <f>IFERROR(__xludf.DUMMYFUNCTION("""COMPUTED_VALUE"""),0.0)</f>
        <v>0</v>
      </c>
      <c r="Z1191" s="24">
        <f>IFERROR(__xludf.DUMMYFUNCTION("""COMPUTED_VALUE"""),0.23783963092000016)</f>
        <v>0.2378396309</v>
      </c>
    </row>
    <row r="1192">
      <c r="D1192" s="85"/>
      <c r="E1192" s="30"/>
    </row>
    <row r="1193">
      <c r="D1193" s="85"/>
      <c r="E1193" s="30"/>
    </row>
    <row r="1194">
      <c r="D1194" s="85"/>
      <c r="E1194" s="30"/>
    </row>
    <row r="1195">
      <c r="D1195" s="85"/>
      <c r="E1195" s="30"/>
    </row>
    <row r="1196">
      <c r="D1196" s="85"/>
      <c r="E1196" s="30"/>
    </row>
    <row r="1197">
      <c r="D1197" s="85"/>
      <c r="E1197" s="30"/>
    </row>
    <row r="1198">
      <c r="D1198" s="85"/>
      <c r="E1198" s="30"/>
    </row>
    <row r="1199">
      <c r="D1199" s="85"/>
      <c r="E1199" s="30"/>
    </row>
    <row r="1200">
      <c r="D1200" s="85"/>
      <c r="E1200" s="30"/>
    </row>
    <row r="1201">
      <c r="D1201" s="85"/>
      <c r="E1201" s="30"/>
    </row>
    <row r="1202">
      <c r="D1202" s="85"/>
      <c r="E1202" s="30"/>
    </row>
    <row r="1203">
      <c r="D1203" s="85"/>
      <c r="E1203" s="30"/>
    </row>
    <row r="1204">
      <c r="D1204" s="85"/>
      <c r="E1204" s="30"/>
    </row>
    <row r="1205">
      <c r="D1205" s="85"/>
      <c r="E1205" s="30"/>
    </row>
    <row r="1206">
      <c r="D1206" s="85"/>
      <c r="E1206" s="30"/>
    </row>
    <row r="1207">
      <c r="D1207" s="85"/>
      <c r="E1207" s="30"/>
    </row>
    <row r="1208">
      <c r="D1208" s="85"/>
      <c r="E1208" s="30"/>
    </row>
    <row r="1209">
      <c r="D1209" s="85"/>
      <c r="E1209" s="30"/>
    </row>
    <row r="1210">
      <c r="D1210" s="85"/>
      <c r="E1210" s="30"/>
    </row>
    <row r="1211">
      <c r="D1211" s="85"/>
      <c r="E1211" s="30"/>
    </row>
    <row r="1212">
      <c r="D1212" s="85"/>
      <c r="E1212" s="30"/>
    </row>
    <row r="1213">
      <c r="D1213" s="85"/>
      <c r="E1213" s="30"/>
    </row>
    <row r="1214">
      <c r="D1214" s="85"/>
      <c r="E1214" s="30"/>
    </row>
    <row r="1215">
      <c r="D1215" s="85"/>
      <c r="E1215" s="30"/>
    </row>
    <row r="1216">
      <c r="D1216" s="85"/>
      <c r="E1216" s="30"/>
    </row>
    <row r="1217">
      <c r="D1217" s="85"/>
      <c r="E1217" s="30"/>
    </row>
    <row r="1218">
      <c r="D1218" s="85"/>
      <c r="E1218" s="30"/>
    </row>
    <row r="1219">
      <c r="D1219" s="85"/>
      <c r="E1219" s="30"/>
    </row>
    <row r="1220">
      <c r="D1220" s="85"/>
      <c r="E1220" s="30"/>
    </row>
    <row r="1221">
      <c r="D1221" s="85"/>
      <c r="E1221" s="30"/>
    </row>
    <row r="1222">
      <c r="D1222" s="85"/>
      <c r="E1222" s="30"/>
    </row>
    <row r="1223">
      <c r="D1223" s="85"/>
      <c r="E1223" s="30"/>
    </row>
    <row r="1224">
      <c r="D1224" s="85"/>
      <c r="E1224" s="30"/>
    </row>
    <row r="1225">
      <c r="D1225" s="85"/>
      <c r="E1225" s="30"/>
    </row>
    <row r="1226">
      <c r="D1226" s="85"/>
      <c r="E1226" s="30"/>
    </row>
    <row r="1227">
      <c r="D1227" s="85"/>
      <c r="E1227" s="30"/>
    </row>
    <row r="1228">
      <c r="D1228" s="85"/>
      <c r="E1228" s="30"/>
    </row>
    <row r="1229">
      <c r="D1229" s="85"/>
      <c r="E1229" s="30"/>
    </row>
    <row r="1230">
      <c r="D1230" s="85"/>
      <c r="E1230" s="30"/>
    </row>
    <row r="1231">
      <c r="D1231" s="85"/>
      <c r="E1231" s="30"/>
    </row>
    <row r="1232">
      <c r="D1232" s="85"/>
      <c r="E1232" s="30"/>
    </row>
    <row r="1233">
      <c r="D1233" s="85"/>
      <c r="E1233" s="30"/>
    </row>
    <row r="1234">
      <c r="D1234" s="85"/>
      <c r="E1234" s="30"/>
    </row>
    <row r="1235">
      <c r="D1235" s="85"/>
      <c r="E1235" s="30"/>
    </row>
    <row r="1236">
      <c r="D1236" s="85"/>
      <c r="E1236" s="30"/>
    </row>
    <row r="1237">
      <c r="D1237" s="85"/>
      <c r="E1237" s="30"/>
    </row>
    <row r="1238">
      <c r="D1238" s="85"/>
      <c r="E1238" s="30"/>
    </row>
    <row r="1239">
      <c r="D1239" s="85"/>
      <c r="E1239" s="30"/>
    </row>
    <row r="1240">
      <c r="D1240" s="85"/>
      <c r="E1240" s="30"/>
    </row>
    <row r="1241">
      <c r="D1241" s="85"/>
      <c r="E1241" s="30"/>
    </row>
    <row r="1242">
      <c r="D1242" s="85"/>
      <c r="E1242" s="30"/>
    </row>
    <row r="1243">
      <c r="D1243" s="85"/>
      <c r="E1243" s="30"/>
    </row>
    <row r="1244">
      <c r="D1244" s="85"/>
      <c r="E1244" s="30"/>
    </row>
    <row r="1245">
      <c r="D1245" s="85"/>
      <c r="E1245" s="30"/>
    </row>
    <row r="1246">
      <c r="D1246" s="85"/>
      <c r="E1246" s="30"/>
    </row>
    <row r="1247">
      <c r="D1247" s="85"/>
      <c r="E1247" s="30"/>
    </row>
    <row r="1248">
      <c r="D1248" s="85"/>
      <c r="E1248" s="30"/>
    </row>
    <row r="1249">
      <c r="D1249" s="85"/>
      <c r="E1249" s="30"/>
    </row>
    <row r="1250">
      <c r="D1250" s="85"/>
      <c r="E1250" s="30"/>
    </row>
    <row r="1251">
      <c r="D1251" s="85"/>
      <c r="E1251" s="30"/>
    </row>
    <row r="1252">
      <c r="D1252" s="85"/>
      <c r="E1252" s="30"/>
    </row>
    <row r="1253">
      <c r="D1253" s="85"/>
      <c r="E1253" s="30"/>
    </row>
    <row r="1254">
      <c r="D1254" s="85"/>
      <c r="E1254" s="30"/>
    </row>
    <row r="1255">
      <c r="D1255" s="85"/>
      <c r="E1255" s="30"/>
    </row>
    <row r="1256">
      <c r="D1256" s="85"/>
      <c r="E1256" s="30"/>
    </row>
    <row r="1257">
      <c r="D1257" s="85"/>
      <c r="E1257" s="30"/>
    </row>
    <row r="1258">
      <c r="D1258" s="85"/>
      <c r="E1258" s="30"/>
    </row>
    <row r="1259">
      <c r="D1259" s="85"/>
      <c r="E1259" s="30"/>
    </row>
    <row r="1260">
      <c r="D1260" s="85"/>
      <c r="E1260" s="30"/>
    </row>
    <row r="1261">
      <c r="D1261" s="85"/>
      <c r="E1261" s="30"/>
    </row>
    <row r="1262">
      <c r="D1262" s="85"/>
      <c r="E1262" s="30"/>
    </row>
    <row r="1263">
      <c r="D1263" s="85"/>
      <c r="E1263" s="30"/>
    </row>
    <row r="1264">
      <c r="D1264" s="85"/>
      <c r="E1264" s="30"/>
    </row>
    <row r="1265">
      <c r="D1265" s="85"/>
      <c r="E1265" s="30"/>
    </row>
    <row r="1266">
      <c r="D1266" s="85"/>
      <c r="E1266" s="30"/>
    </row>
    <row r="1267">
      <c r="D1267" s="85"/>
      <c r="E1267" s="30"/>
    </row>
    <row r="1268">
      <c r="D1268" s="85"/>
      <c r="E1268" s="30"/>
    </row>
    <row r="1269">
      <c r="D1269" s="85"/>
      <c r="E1269" s="30"/>
    </row>
    <row r="1270">
      <c r="D1270" s="85"/>
      <c r="E1270" s="30"/>
    </row>
    <row r="1271">
      <c r="D1271" s="85"/>
      <c r="E1271" s="30"/>
    </row>
    <row r="1272">
      <c r="D1272" s="85"/>
      <c r="E1272" s="30"/>
    </row>
    <row r="1273">
      <c r="D1273" s="85"/>
      <c r="E1273" s="30"/>
    </row>
    <row r="1274">
      <c r="D1274" s="85"/>
      <c r="E1274" s="30"/>
    </row>
    <row r="1275">
      <c r="D1275" s="85"/>
      <c r="E1275" s="30"/>
    </row>
    <row r="1276">
      <c r="D1276" s="85"/>
      <c r="E1276" s="30"/>
    </row>
    <row r="1277">
      <c r="D1277" s="85"/>
      <c r="E1277" s="30"/>
    </row>
    <row r="1278">
      <c r="D1278" s="85"/>
      <c r="E1278" s="30"/>
    </row>
    <row r="1279">
      <c r="D1279" s="85"/>
      <c r="E1279" s="30"/>
    </row>
    <row r="1280">
      <c r="D1280" s="85"/>
      <c r="E1280" s="30"/>
    </row>
    <row r="1281">
      <c r="D1281" s="85"/>
      <c r="E1281" s="30"/>
    </row>
    <row r="1282">
      <c r="D1282" s="85"/>
      <c r="E1282" s="30"/>
    </row>
    <row r="1283">
      <c r="D1283" s="85"/>
      <c r="E1283" s="30"/>
    </row>
    <row r="1284">
      <c r="D1284" s="85"/>
      <c r="E1284" s="30"/>
    </row>
    <row r="1285">
      <c r="D1285" s="85"/>
      <c r="E1285" s="30"/>
    </row>
    <row r="1286">
      <c r="D1286" s="85"/>
      <c r="E1286" s="30"/>
    </row>
    <row r="1287">
      <c r="D1287" s="85"/>
      <c r="E1287" s="30"/>
    </row>
    <row r="1288">
      <c r="D1288" s="85"/>
      <c r="E1288" s="30"/>
    </row>
    <row r="1289">
      <c r="D1289" s="85"/>
      <c r="E1289" s="30"/>
    </row>
    <row r="1290">
      <c r="D1290" s="85"/>
      <c r="E1290" s="30"/>
    </row>
    <row r="1291">
      <c r="D1291" s="85"/>
      <c r="E1291" s="30"/>
    </row>
    <row r="1292">
      <c r="D1292" s="85"/>
      <c r="E1292" s="30"/>
    </row>
    <row r="1293">
      <c r="D1293" s="85"/>
      <c r="E1293" s="30"/>
    </row>
    <row r="1294">
      <c r="D1294" s="85"/>
      <c r="E1294" s="30"/>
    </row>
    <row r="1295">
      <c r="D1295" s="85"/>
      <c r="E1295" s="30"/>
    </row>
    <row r="1296">
      <c r="D1296" s="85"/>
      <c r="E1296" s="30"/>
    </row>
    <row r="1297">
      <c r="D1297" s="85"/>
      <c r="E1297" s="30"/>
    </row>
    <row r="1298">
      <c r="D1298" s="85"/>
      <c r="E1298" s="30"/>
    </row>
    <row r="1299">
      <c r="D1299" s="85"/>
      <c r="E1299" s="30"/>
    </row>
    <row r="1300">
      <c r="D1300" s="85"/>
      <c r="E1300" s="30"/>
    </row>
    <row r="1301">
      <c r="D1301" s="85"/>
      <c r="E1301" s="30"/>
    </row>
    <row r="1302">
      <c r="D1302" s="85"/>
      <c r="E1302" s="30"/>
    </row>
    <row r="1303">
      <c r="D1303" s="85"/>
      <c r="E1303" s="30"/>
    </row>
    <row r="1304">
      <c r="D1304" s="85"/>
      <c r="E1304" s="30"/>
    </row>
    <row r="1305">
      <c r="D1305" s="85"/>
      <c r="E1305" s="30"/>
    </row>
    <row r="1306">
      <c r="D1306" s="85"/>
      <c r="E1306" s="30"/>
    </row>
    <row r="1307">
      <c r="D1307" s="85"/>
      <c r="E1307" s="30"/>
    </row>
    <row r="1308">
      <c r="D1308" s="85"/>
      <c r="E1308" s="30"/>
    </row>
    <row r="1309">
      <c r="D1309" s="85"/>
      <c r="E1309" s="30"/>
    </row>
    <row r="1310">
      <c r="D1310" s="85"/>
      <c r="E1310" s="30"/>
    </row>
    <row r="1311">
      <c r="D1311" s="85"/>
      <c r="E1311" s="30"/>
    </row>
    <row r="1312">
      <c r="D1312" s="85"/>
      <c r="E1312" s="30"/>
    </row>
    <row r="1313">
      <c r="D1313" s="85"/>
      <c r="E1313" s="30"/>
    </row>
    <row r="1314">
      <c r="D1314" s="85"/>
      <c r="E1314" s="30"/>
    </row>
    <row r="1315">
      <c r="D1315" s="85"/>
      <c r="E1315" s="30"/>
    </row>
    <row r="1316">
      <c r="D1316" s="85"/>
      <c r="E1316" s="30"/>
    </row>
    <row r="1317">
      <c r="D1317" s="85"/>
      <c r="E1317" s="30"/>
    </row>
    <row r="1318">
      <c r="D1318" s="85"/>
      <c r="E1318" s="30"/>
    </row>
    <row r="1319">
      <c r="D1319" s="85"/>
      <c r="E1319" s="30"/>
    </row>
    <row r="1320">
      <c r="D1320" s="85"/>
      <c r="E1320" s="30"/>
    </row>
    <row r="1321">
      <c r="D1321" s="85"/>
      <c r="E1321" s="30"/>
    </row>
    <row r="1322">
      <c r="D1322" s="85"/>
      <c r="E1322" s="30"/>
    </row>
    <row r="1323">
      <c r="D1323" s="85"/>
      <c r="E1323" s="30"/>
    </row>
    <row r="1324">
      <c r="D1324" s="85"/>
      <c r="E1324" s="30"/>
    </row>
    <row r="1325">
      <c r="D1325" s="85"/>
      <c r="E1325" s="30"/>
    </row>
    <row r="1326">
      <c r="D1326" s="85"/>
      <c r="E1326" s="30"/>
    </row>
    <row r="1327">
      <c r="D1327" s="85"/>
      <c r="E1327" s="30"/>
    </row>
    <row r="1328">
      <c r="D1328" s="85"/>
      <c r="E1328" s="30"/>
    </row>
    <row r="1329">
      <c r="D1329" s="85"/>
      <c r="E1329" s="30"/>
    </row>
    <row r="1330">
      <c r="D1330" s="85"/>
      <c r="E1330" s="30"/>
    </row>
    <row r="1331">
      <c r="D1331" s="85"/>
      <c r="E1331" s="30"/>
    </row>
    <row r="1332">
      <c r="D1332" s="85"/>
      <c r="E1332" s="30"/>
    </row>
    <row r="1333">
      <c r="D1333" s="85"/>
      <c r="E1333" s="30"/>
    </row>
    <row r="1334">
      <c r="D1334" s="85"/>
      <c r="E1334" s="30"/>
    </row>
    <row r="1335">
      <c r="D1335" s="85"/>
      <c r="E1335" s="30"/>
    </row>
    <row r="1336">
      <c r="D1336" s="85"/>
      <c r="E1336" s="30"/>
    </row>
    <row r="1337">
      <c r="D1337" s="85"/>
      <c r="E1337" s="30"/>
    </row>
    <row r="1338">
      <c r="D1338" s="85"/>
      <c r="E1338" s="30"/>
    </row>
    <row r="1339">
      <c r="D1339" s="85"/>
      <c r="E1339" s="30"/>
    </row>
    <row r="1340">
      <c r="D1340" s="85"/>
      <c r="E1340" s="30"/>
    </row>
    <row r="1341">
      <c r="D1341" s="85"/>
      <c r="E1341" s="30"/>
    </row>
    <row r="1342">
      <c r="D1342" s="85"/>
      <c r="E1342" s="30"/>
    </row>
    <row r="1343">
      <c r="D1343" s="85"/>
      <c r="E1343" s="30"/>
    </row>
    <row r="1344">
      <c r="D1344" s="85"/>
      <c r="E1344" s="30"/>
    </row>
    <row r="1345">
      <c r="D1345" s="85"/>
      <c r="E1345" s="30"/>
    </row>
    <row r="1346">
      <c r="D1346" s="85"/>
      <c r="E1346" s="30"/>
    </row>
    <row r="1347">
      <c r="D1347" s="85"/>
      <c r="E1347" s="30"/>
    </row>
    <row r="1348">
      <c r="D1348" s="85"/>
      <c r="E1348" s="30"/>
    </row>
    <row r="1349">
      <c r="D1349" s="85"/>
      <c r="E1349" s="30"/>
    </row>
    <row r="1350">
      <c r="D1350" s="85"/>
      <c r="E1350" s="30"/>
    </row>
    <row r="1351">
      <c r="D1351" s="85"/>
      <c r="E1351" s="30"/>
    </row>
    <row r="1352">
      <c r="D1352" s="85"/>
      <c r="E1352" s="30"/>
    </row>
    <row r="1353">
      <c r="D1353" s="85"/>
      <c r="E1353" s="30"/>
    </row>
    <row r="1354">
      <c r="D1354" s="85"/>
      <c r="E1354" s="30"/>
    </row>
    <row r="1355">
      <c r="D1355" s="85"/>
      <c r="E1355" s="30"/>
    </row>
    <row r="1356">
      <c r="D1356" s="85"/>
      <c r="E1356" s="30"/>
    </row>
    <row r="1357">
      <c r="D1357" s="85"/>
      <c r="E1357" s="30"/>
    </row>
    <row r="1358">
      <c r="D1358" s="85"/>
      <c r="E1358" s="30"/>
    </row>
    <row r="1359">
      <c r="D1359" s="85"/>
      <c r="E1359" s="30"/>
    </row>
    <row r="1360">
      <c r="D1360" s="85"/>
      <c r="E1360" s="30"/>
    </row>
    <row r="1361">
      <c r="D1361" s="85"/>
      <c r="E1361" s="30"/>
    </row>
    <row r="1362">
      <c r="D1362" s="85"/>
      <c r="E1362" s="30"/>
    </row>
    <row r="1363">
      <c r="D1363" s="85"/>
      <c r="E1363" s="30"/>
    </row>
    <row r="1364">
      <c r="D1364" s="85"/>
      <c r="E1364" s="30"/>
    </row>
    <row r="1365">
      <c r="D1365" s="85"/>
      <c r="E1365" s="30"/>
    </row>
    <row r="1366">
      <c r="D1366" s="85"/>
      <c r="E1366" s="30"/>
    </row>
    <row r="1367">
      <c r="D1367" s="85"/>
      <c r="E1367" s="30"/>
    </row>
    <row r="1368">
      <c r="D1368" s="85"/>
      <c r="E1368" s="30"/>
    </row>
    <row r="1369">
      <c r="D1369" s="85"/>
      <c r="E1369" s="30"/>
    </row>
    <row r="1370">
      <c r="D1370" s="85"/>
      <c r="E1370" s="30"/>
    </row>
    <row r="1371">
      <c r="D1371" s="85"/>
      <c r="E1371" s="30"/>
    </row>
    <row r="1372">
      <c r="D1372" s="85"/>
      <c r="E1372" s="30"/>
    </row>
    <row r="1373">
      <c r="D1373" s="85"/>
      <c r="E1373" s="30"/>
    </row>
    <row r="1374">
      <c r="D1374" s="85"/>
      <c r="E1374" s="30"/>
    </row>
    <row r="1375">
      <c r="D1375" s="85"/>
      <c r="E1375" s="30"/>
    </row>
    <row r="1376">
      <c r="D1376" s="85"/>
      <c r="E1376" s="30"/>
    </row>
    <row r="1377">
      <c r="D1377" s="85"/>
      <c r="E1377" s="30"/>
    </row>
    <row r="1378">
      <c r="D1378" s="85"/>
      <c r="E1378" s="30"/>
    </row>
    <row r="1379">
      <c r="D1379" s="85"/>
      <c r="E1379" s="30"/>
    </row>
    <row r="1380">
      <c r="D1380" s="85"/>
      <c r="E1380" s="30"/>
    </row>
    <row r="1381">
      <c r="D1381" s="85"/>
      <c r="E1381" s="30"/>
    </row>
    <row r="1382">
      <c r="D1382" s="85"/>
      <c r="E1382" s="30"/>
    </row>
    <row r="1383">
      <c r="D1383" s="85"/>
      <c r="E1383" s="30"/>
    </row>
    <row r="1384">
      <c r="D1384" s="85"/>
      <c r="E1384" s="30"/>
    </row>
    <row r="1385">
      <c r="D1385" s="85"/>
      <c r="E1385" s="30"/>
    </row>
    <row r="1386">
      <c r="D1386" s="85"/>
      <c r="E1386" s="30"/>
    </row>
    <row r="1387">
      <c r="D1387" s="85"/>
      <c r="E1387" s="30"/>
    </row>
    <row r="1388">
      <c r="D1388" s="85"/>
      <c r="E1388" s="30"/>
    </row>
    <row r="1389">
      <c r="D1389" s="85"/>
      <c r="E1389" s="30"/>
    </row>
    <row r="1390">
      <c r="D1390" s="85"/>
      <c r="E1390" s="30"/>
    </row>
    <row r="1391">
      <c r="D1391" s="85"/>
      <c r="E1391" s="30"/>
    </row>
    <row r="1392">
      <c r="D1392" s="85"/>
      <c r="E1392" s="30"/>
    </row>
    <row r="1393">
      <c r="D1393" s="85"/>
      <c r="E1393" s="30"/>
    </row>
    <row r="1394">
      <c r="D1394" s="85"/>
      <c r="E1394" s="30"/>
    </row>
    <row r="1395">
      <c r="D1395" s="85"/>
      <c r="E1395" s="30"/>
    </row>
    <row r="1396">
      <c r="D1396" s="85"/>
      <c r="E1396" s="30"/>
    </row>
    <row r="1397">
      <c r="D1397" s="85"/>
      <c r="E1397" s="30"/>
    </row>
    <row r="1398">
      <c r="D1398" s="85"/>
      <c r="E1398" s="30"/>
    </row>
    <row r="1399">
      <c r="D1399" s="85"/>
      <c r="E1399" s="30"/>
    </row>
    <row r="1400">
      <c r="D1400" s="85"/>
      <c r="E1400" s="30"/>
    </row>
    <row r="1401">
      <c r="D1401" s="85"/>
      <c r="E1401" s="30"/>
    </row>
    <row r="1402">
      <c r="D1402" s="85"/>
      <c r="E1402" s="30"/>
    </row>
    <row r="1403">
      <c r="D1403" s="85"/>
      <c r="E1403" s="30"/>
    </row>
    <row r="1404">
      <c r="D1404" s="85"/>
      <c r="E1404" s="30"/>
    </row>
    <row r="1405">
      <c r="D1405" s="85"/>
      <c r="E1405" s="30"/>
    </row>
    <row r="1406">
      <c r="D1406" s="85"/>
      <c r="E1406" s="30"/>
    </row>
    <row r="1407">
      <c r="D1407" s="85"/>
      <c r="E1407" s="30"/>
    </row>
    <row r="1408">
      <c r="D1408" s="85"/>
      <c r="E1408" s="30"/>
    </row>
    <row r="1409">
      <c r="D1409" s="85"/>
      <c r="E1409" s="30"/>
    </row>
    <row r="1410">
      <c r="D1410" s="85"/>
      <c r="E1410" s="30"/>
    </row>
    <row r="1411">
      <c r="D1411" s="85"/>
      <c r="E1411" s="30"/>
    </row>
    <row r="1412">
      <c r="D1412" s="85"/>
      <c r="E1412" s="30"/>
    </row>
    <row r="1413">
      <c r="D1413" s="85"/>
      <c r="E1413" s="30"/>
    </row>
    <row r="1414">
      <c r="D1414" s="85"/>
      <c r="E1414" s="30"/>
    </row>
    <row r="1415">
      <c r="D1415" s="85"/>
      <c r="E1415" s="30"/>
    </row>
    <row r="1416">
      <c r="D1416" s="85"/>
      <c r="E1416" s="30"/>
    </row>
    <row r="1417">
      <c r="D1417" s="85"/>
      <c r="E1417" s="30"/>
    </row>
    <row r="1418">
      <c r="D1418" s="85"/>
      <c r="E1418" s="30"/>
    </row>
    <row r="1419">
      <c r="D1419" s="85"/>
      <c r="E1419" s="30"/>
    </row>
    <row r="1420">
      <c r="D1420" s="85"/>
      <c r="E1420" s="30"/>
    </row>
    <row r="1421">
      <c r="D1421" s="85"/>
      <c r="E1421" s="30"/>
    </row>
    <row r="1422">
      <c r="D1422" s="85"/>
      <c r="E1422" s="30"/>
    </row>
    <row r="1423">
      <c r="D1423" s="85"/>
      <c r="E1423" s="30"/>
    </row>
    <row r="1424">
      <c r="D1424" s="85"/>
      <c r="E1424" s="30"/>
    </row>
    <row r="1425">
      <c r="D1425" s="85"/>
      <c r="E1425" s="30"/>
    </row>
    <row r="1426">
      <c r="D1426" s="85"/>
      <c r="E1426" s="30"/>
    </row>
    <row r="1427">
      <c r="D1427" s="85"/>
      <c r="E1427" s="30"/>
    </row>
    <row r="1428">
      <c r="D1428" s="85"/>
      <c r="E1428" s="30"/>
    </row>
    <row r="1429">
      <c r="D1429" s="85"/>
      <c r="E1429" s="30"/>
    </row>
    <row r="1430">
      <c r="D1430" s="85"/>
      <c r="E1430" s="30"/>
    </row>
    <row r="1431">
      <c r="D1431" s="85"/>
      <c r="E1431" s="30"/>
    </row>
    <row r="1432">
      <c r="D1432" s="85"/>
      <c r="E1432" s="30"/>
    </row>
    <row r="1433">
      <c r="D1433" s="85"/>
      <c r="E1433" s="30"/>
    </row>
    <row r="1434">
      <c r="D1434" s="85"/>
      <c r="E1434" s="30"/>
    </row>
    <row r="1435">
      <c r="D1435" s="85"/>
      <c r="E1435" s="30"/>
    </row>
    <row r="1436">
      <c r="D1436" s="85"/>
      <c r="E1436" s="30"/>
    </row>
    <row r="1437">
      <c r="D1437" s="85"/>
      <c r="E1437" s="30"/>
    </row>
    <row r="1438">
      <c r="D1438" s="85"/>
      <c r="E1438" s="30"/>
    </row>
    <row r="1439">
      <c r="D1439" s="85"/>
      <c r="E1439" s="30"/>
    </row>
    <row r="1440">
      <c r="D1440" s="85"/>
      <c r="E1440" s="30"/>
    </row>
    <row r="1441">
      <c r="D1441" s="85"/>
      <c r="E1441" s="30"/>
    </row>
    <row r="1442">
      <c r="D1442" s="85"/>
      <c r="E1442" s="30"/>
    </row>
    <row r="1443">
      <c r="D1443" s="85"/>
      <c r="E1443" s="30"/>
    </row>
    <row r="1444">
      <c r="D1444" s="85"/>
      <c r="E1444" s="30"/>
    </row>
    <row r="1445">
      <c r="D1445" s="85"/>
      <c r="E1445" s="30"/>
    </row>
    <row r="1446">
      <c r="D1446" s="85"/>
      <c r="E1446" s="30"/>
    </row>
    <row r="1447">
      <c r="D1447" s="85"/>
      <c r="E1447" s="30"/>
    </row>
    <row r="1448">
      <c r="D1448" s="85"/>
      <c r="E1448" s="30"/>
    </row>
    <row r="1449">
      <c r="D1449" s="85"/>
      <c r="E1449" s="30"/>
    </row>
    <row r="1450">
      <c r="D1450" s="85"/>
      <c r="E1450" s="30"/>
    </row>
    <row r="1451">
      <c r="D1451" s="85"/>
      <c r="E1451" s="30"/>
    </row>
    <row r="1452">
      <c r="D1452" s="85"/>
      <c r="E1452" s="30"/>
    </row>
    <row r="1453">
      <c r="D1453" s="85"/>
      <c r="E1453" s="30"/>
    </row>
    <row r="1454">
      <c r="D1454" s="85"/>
      <c r="E1454" s="30"/>
    </row>
    <row r="1455">
      <c r="D1455" s="85"/>
      <c r="E1455" s="30"/>
    </row>
    <row r="1456">
      <c r="D1456" s="85"/>
      <c r="E1456" s="30"/>
    </row>
    <row r="1457">
      <c r="D1457" s="85"/>
      <c r="E1457" s="30"/>
    </row>
    <row r="1458">
      <c r="D1458" s="85"/>
      <c r="E1458" s="30"/>
    </row>
    <row r="1459">
      <c r="D1459" s="85"/>
      <c r="E1459" s="30"/>
    </row>
    <row r="1460">
      <c r="D1460" s="85"/>
      <c r="E1460" s="30"/>
    </row>
    <row r="1461">
      <c r="D1461" s="85"/>
      <c r="E1461" s="30"/>
    </row>
    <row r="1462">
      <c r="D1462" s="85"/>
      <c r="E1462" s="30"/>
    </row>
    <row r="1463">
      <c r="D1463" s="85"/>
      <c r="E1463" s="30"/>
    </row>
    <row r="1464">
      <c r="D1464" s="85"/>
      <c r="E1464" s="30"/>
    </row>
    <row r="1465">
      <c r="D1465" s="85"/>
      <c r="E1465" s="30"/>
    </row>
    <row r="1466">
      <c r="D1466" s="85"/>
      <c r="E1466" s="30"/>
    </row>
    <row r="1467">
      <c r="D1467" s="85"/>
      <c r="E1467" s="30"/>
    </row>
    <row r="1468">
      <c r="D1468" s="85"/>
      <c r="E1468" s="30"/>
    </row>
    <row r="1469">
      <c r="D1469" s="85"/>
      <c r="E1469" s="30"/>
    </row>
    <row r="1470">
      <c r="D1470" s="85"/>
      <c r="E1470" s="30"/>
    </row>
    <row r="1471">
      <c r="D1471" s="85"/>
      <c r="E1471" s="30"/>
    </row>
    <row r="1472">
      <c r="D1472" s="85"/>
      <c r="E1472" s="30"/>
    </row>
    <row r="1473">
      <c r="D1473" s="85"/>
      <c r="E1473" s="30"/>
    </row>
    <row r="1474">
      <c r="D1474" s="85"/>
      <c r="E1474" s="30"/>
    </row>
    <row r="1475">
      <c r="D1475" s="85"/>
      <c r="E1475" s="30"/>
    </row>
    <row r="1476">
      <c r="D1476" s="85"/>
      <c r="E1476" s="30"/>
    </row>
    <row r="1477">
      <c r="D1477" s="85"/>
      <c r="E1477" s="30"/>
    </row>
    <row r="1478">
      <c r="D1478" s="85"/>
      <c r="E1478" s="30"/>
    </row>
    <row r="1479">
      <c r="D1479" s="85"/>
      <c r="E1479" s="30"/>
    </row>
    <row r="1480">
      <c r="D1480" s="85"/>
      <c r="E1480" s="30"/>
    </row>
    <row r="1481">
      <c r="D1481" s="85"/>
      <c r="E1481" s="30"/>
    </row>
    <row r="1482">
      <c r="D1482" s="85"/>
      <c r="E1482" s="30"/>
    </row>
    <row r="1483">
      <c r="D1483" s="85"/>
      <c r="E1483" s="30"/>
    </row>
    <row r="1484">
      <c r="D1484" s="85"/>
      <c r="E1484" s="30"/>
    </row>
    <row r="1485">
      <c r="D1485" s="85"/>
      <c r="E1485" s="30"/>
    </row>
    <row r="1486">
      <c r="D1486" s="85"/>
      <c r="E1486" s="30"/>
    </row>
    <row r="1487">
      <c r="D1487" s="85"/>
      <c r="E1487" s="30"/>
    </row>
    <row r="1488">
      <c r="D1488" s="85"/>
      <c r="E1488" s="30"/>
    </row>
    <row r="1489">
      <c r="D1489" s="85"/>
      <c r="E1489" s="30"/>
    </row>
    <row r="1490">
      <c r="D1490" s="85"/>
      <c r="E1490" s="30"/>
    </row>
    <row r="1491">
      <c r="D1491" s="85"/>
      <c r="E1491" s="30"/>
    </row>
    <row r="1492">
      <c r="D1492" s="85"/>
      <c r="E1492" s="30"/>
    </row>
    <row r="1493">
      <c r="D1493" s="85"/>
      <c r="E1493" s="30"/>
    </row>
    <row r="1494">
      <c r="D1494" s="85"/>
      <c r="E1494" s="30"/>
    </row>
    <row r="1495">
      <c r="D1495" s="85"/>
      <c r="E1495" s="30"/>
    </row>
    <row r="1496">
      <c r="D1496" s="85"/>
      <c r="E1496" s="30"/>
    </row>
    <row r="1497">
      <c r="D1497" s="85"/>
      <c r="E1497" s="30"/>
    </row>
    <row r="1498">
      <c r="D1498" s="85"/>
      <c r="E1498" s="30"/>
    </row>
    <row r="1499">
      <c r="D1499" s="85"/>
      <c r="E1499" s="30"/>
    </row>
    <row r="1500">
      <c r="D1500" s="85"/>
      <c r="E1500" s="30"/>
    </row>
    <row r="1501">
      <c r="D1501" s="85"/>
      <c r="E1501" s="30"/>
    </row>
    <row r="1502">
      <c r="D1502" s="85"/>
      <c r="E1502" s="30"/>
    </row>
    <row r="1503">
      <c r="D1503" s="85"/>
      <c r="E1503" s="30"/>
    </row>
    <row r="1504">
      <c r="D1504" s="85"/>
      <c r="E1504" s="30"/>
    </row>
    <row r="1505">
      <c r="D1505" s="85"/>
      <c r="E1505" s="30"/>
    </row>
    <row r="1506">
      <c r="D1506" s="85"/>
      <c r="E1506" s="30"/>
    </row>
    <row r="1507">
      <c r="D1507" s="85"/>
      <c r="E1507" s="30"/>
    </row>
    <row r="1508">
      <c r="D1508" s="85"/>
      <c r="E1508" s="30"/>
    </row>
    <row r="1509">
      <c r="D1509" s="85"/>
      <c r="E1509" s="30"/>
    </row>
    <row r="1510">
      <c r="D1510" s="85"/>
      <c r="E1510" s="30"/>
    </row>
    <row r="1511">
      <c r="D1511" s="85"/>
      <c r="E1511" s="30"/>
    </row>
    <row r="1512">
      <c r="D1512" s="85"/>
      <c r="E1512" s="30"/>
    </row>
    <row r="1513">
      <c r="D1513" s="85"/>
      <c r="E1513" s="30"/>
    </row>
    <row r="1514">
      <c r="D1514" s="85"/>
      <c r="E1514" s="30"/>
    </row>
    <row r="1515">
      <c r="D1515" s="85"/>
      <c r="E1515" s="30"/>
    </row>
    <row r="1516">
      <c r="D1516" s="85"/>
      <c r="E1516" s="30"/>
    </row>
    <row r="1517">
      <c r="D1517" s="85"/>
      <c r="E1517" s="30"/>
    </row>
    <row r="1518">
      <c r="D1518" s="85"/>
      <c r="E1518" s="30"/>
    </row>
    <row r="1519">
      <c r="D1519" s="85"/>
      <c r="E1519" s="30"/>
    </row>
    <row r="1520">
      <c r="D1520" s="85"/>
      <c r="E1520" s="30"/>
    </row>
    <row r="1521">
      <c r="D1521" s="85"/>
      <c r="E1521" s="30"/>
    </row>
    <row r="1522">
      <c r="D1522" s="85"/>
      <c r="E1522" s="30"/>
    </row>
    <row r="1523">
      <c r="D1523" s="85"/>
      <c r="E1523" s="30"/>
    </row>
    <row r="1524">
      <c r="D1524" s="85"/>
      <c r="E1524" s="30"/>
    </row>
    <row r="1525">
      <c r="D1525" s="85"/>
      <c r="E1525" s="30"/>
    </row>
    <row r="1526">
      <c r="D1526" s="85"/>
      <c r="E1526" s="30"/>
    </row>
    <row r="1527">
      <c r="D1527" s="85"/>
      <c r="E1527" s="30"/>
    </row>
    <row r="1528">
      <c r="D1528" s="85"/>
      <c r="E1528" s="30"/>
    </row>
    <row r="1529">
      <c r="D1529" s="85"/>
      <c r="E1529" s="30"/>
    </row>
    <row r="1530">
      <c r="D1530" s="85"/>
      <c r="E1530" s="30"/>
    </row>
    <row r="1531">
      <c r="D1531" s="85"/>
      <c r="E1531" s="30"/>
    </row>
    <row r="1532">
      <c r="D1532" s="85"/>
      <c r="E1532" s="30"/>
    </row>
    <row r="1533">
      <c r="D1533" s="85"/>
      <c r="E1533" s="30"/>
    </row>
    <row r="1534">
      <c r="D1534" s="85"/>
      <c r="E1534" s="30"/>
    </row>
    <row r="1535">
      <c r="D1535" s="85"/>
      <c r="E1535" s="30"/>
    </row>
    <row r="1536">
      <c r="D1536" s="85"/>
      <c r="E1536" s="30"/>
    </row>
    <row r="1537">
      <c r="D1537" s="85"/>
      <c r="E1537" s="30"/>
    </row>
    <row r="1538">
      <c r="D1538" s="85"/>
      <c r="E1538" s="30"/>
    </row>
    <row r="1539">
      <c r="D1539" s="85"/>
      <c r="E1539" s="30"/>
    </row>
    <row r="1540">
      <c r="D1540" s="85"/>
      <c r="E1540" s="30"/>
    </row>
    <row r="1541">
      <c r="D1541" s="85"/>
      <c r="E1541" s="30"/>
    </row>
  </sheetData>
  <conditionalFormatting sqref="A8:A1541">
    <cfRule type="notContainsBlanks" dxfId="2" priority="1">
      <formula>LEN(TRIM(A8))&gt;0</formula>
    </cfRule>
  </conditionalFormatting>
  <hyperlinks>
    <hyperlink r:id="rId1" ref="M9"/>
    <hyperlink r:id="rId2" ref="M10"/>
    <hyperlink r:id="rId3" ref="M11"/>
    <hyperlink r:id="rId4" ref="M12"/>
    <hyperlink r:id="rId5" ref="M13"/>
    <hyperlink r:id="rId6" ref="M14"/>
    <hyperlink r:id="rId7" ref="M15"/>
    <hyperlink r:id="rId8" ref="M16"/>
    <hyperlink r:id="rId9" ref="M17"/>
    <hyperlink r:id="rId10" ref="M18"/>
    <hyperlink r:id="rId11" ref="M19"/>
    <hyperlink r:id="rId12" ref="M20"/>
    <hyperlink r:id="rId13" ref="M21"/>
    <hyperlink r:id="rId14" ref="M22"/>
    <hyperlink r:id="rId15" ref="M23"/>
    <hyperlink r:id="rId16" ref="M24"/>
    <hyperlink r:id="rId17" ref="M25"/>
    <hyperlink r:id="rId18" ref="M26"/>
    <hyperlink r:id="rId19" ref="M27"/>
    <hyperlink r:id="rId20" ref="M28"/>
    <hyperlink r:id="rId21" ref="M29"/>
    <hyperlink r:id="rId22" ref="D30"/>
    <hyperlink r:id="rId23" ref="M30"/>
    <hyperlink r:id="rId24" ref="M31"/>
    <hyperlink r:id="rId25" ref="M32"/>
    <hyperlink r:id="rId26" ref="M33"/>
    <hyperlink r:id="rId27" ref="M34"/>
    <hyperlink r:id="rId28" ref="M35"/>
    <hyperlink r:id="rId29" ref="M36"/>
    <hyperlink r:id="rId30" ref="M37"/>
    <hyperlink r:id="rId31" ref="M38"/>
    <hyperlink r:id="rId32" ref="M39"/>
    <hyperlink r:id="rId33" ref="M40"/>
    <hyperlink r:id="rId34" ref="M41"/>
    <hyperlink r:id="rId35" ref="M42"/>
    <hyperlink r:id="rId36" ref="M43"/>
    <hyperlink r:id="rId37" ref="M44"/>
    <hyperlink r:id="rId38" ref="M45"/>
    <hyperlink r:id="rId39" ref="M46"/>
    <hyperlink r:id="rId40" ref="M47"/>
    <hyperlink r:id="rId41" ref="M48"/>
    <hyperlink r:id="rId42" ref="M49"/>
    <hyperlink r:id="rId43" ref="M53"/>
    <hyperlink r:id="rId44" ref="M54"/>
    <hyperlink r:id="rId45" ref="D55"/>
    <hyperlink r:id="rId46" ref="M55"/>
    <hyperlink r:id="rId47" ref="D56"/>
    <hyperlink r:id="rId48" ref="M56"/>
    <hyperlink r:id="rId49" ref="D57"/>
    <hyperlink r:id="rId50" ref="M57"/>
    <hyperlink r:id="rId51" ref="M58"/>
    <hyperlink r:id="rId52" ref="M59"/>
    <hyperlink r:id="rId53" ref="M60"/>
    <hyperlink r:id="rId54" ref="M61"/>
    <hyperlink r:id="rId55" ref="M62"/>
    <hyperlink r:id="rId56" ref="M64"/>
    <hyperlink r:id="rId57" ref="M65"/>
    <hyperlink r:id="rId58" ref="M66"/>
    <hyperlink r:id="rId59" ref="M67"/>
    <hyperlink r:id="rId60" ref="M68"/>
    <hyperlink r:id="rId61" ref="M69"/>
    <hyperlink r:id="rId62" ref="M70"/>
    <hyperlink r:id="rId63" ref="M71"/>
    <hyperlink r:id="rId64" ref="M72"/>
    <hyperlink r:id="rId65" ref="M73"/>
    <hyperlink r:id="rId66" ref="M74"/>
    <hyperlink r:id="rId67" ref="M75"/>
    <hyperlink r:id="rId68" ref="M76"/>
    <hyperlink r:id="rId69" ref="M77"/>
    <hyperlink r:id="rId70" ref="M78"/>
    <hyperlink r:id="rId71" ref="M80"/>
    <hyperlink r:id="rId72" ref="M81"/>
    <hyperlink r:id="rId73" ref="M82"/>
    <hyperlink r:id="rId74" ref="M83"/>
    <hyperlink r:id="rId75" ref="M84"/>
    <hyperlink r:id="rId76" ref="M85"/>
    <hyperlink r:id="rId77" ref="M86"/>
    <hyperlink r:id="rId78" ref="M87"/>
    <hyperlink r:id="rId79" ref="M88"/>
    <hyperlink r:id="rId80" ref="M91"/>
    <hyperlink r:id="rId81" ref="M92"/>
    <hyperlink r:id="rId82" ref="M93"/>
    <hyperlink r:id="rId83" ref="M94"/>
    <hyperlink r:id="rId84" ref="M95"/>
    <hyperlink r:id="rId85" ref="M99"/>
    <hyperlink r:id="rId86" ref="M100"/>
    <hyperlink r:id="rId87" ref="M101"/>
    <hyperlink r:id="rId88" ref="M102"/>
    <hyperlink r:id="rId89" ref="M103"/>
    <hyperlink r:id="rId90" ref="M104"/>
    <hyperlink r:id="rId91" ref="M105"/>
    <hyperlink r:id="rId92" ref="M106"/>
    <hyperlink r:id="rId93" ref="M107"/>
    <hyperlink r:id="rId94" ref="M108"/>
    <hyperlink r:id="rId95" ref="M109"/>
    <hyperlink r:id="rId96" ref="M110"/>
    <hyperlink r:id="rId97" ref="D112"/>
    <hyperlink r:id="rId98" ref="M112"/>
    <hyperlink r:id="rId99" ref="M113"/>
    <hyperlink r:id="rId100" ref="D114"/>
    <hyperlink r:id="rId101" ref="M114"/>
    <hyperlink r:id="rId102" ref="M118"/>
    <hyperlink r:id="rId103" ref="M119"/>
    <hyperlink r:id="rId104" ref="M120"/>
    <hyperlink r:id="rId105" ref="M121"/>
    <hyperlink r:id="rId106" ref="M123"/>
    <hyperlink r:id="rId107" ref="M124"/>
    <hyperlink r:id="rId108" ref="M125"/>
    <hyperlink r:id="rId109" ref="M126"/>
    <hyperlink r:id="rId110" ref="M127"/>
    <hyperlink r:id="rId111" ref="M128"/>
    <hyperlink r:id="rId112" ref="M129"/>
    <hyperlink r:id="rId113" ref="M130"/>
    <hyperlink r:id="rId114" ref="M131"/>
    <hyperlink r:id="rId115" ref="D132"/>
    <hyperlink r:id="rId116" ref="M132"/>
    <hyperlink r:id="rId117" ref="D133"/>
    <hyperlink r:id="rId118" ref="M133"/>
    <hyperlink r:id="rId119" ref="D135"/>
    <hyperlink r:id="rId120" ref="M135"/>
    <hyperlink r:id="rId121" ref="D136"/>
    <hyperlink r:id="rId122" ref="M136"/>
    <hyperlink r:id="rId123" ref="D137"/>
    <hyperlink r:id="rId124" ref="M137"/>
    <hyperlink r:id="rId125" ref="D138"/>
    <hyperlink r:id="rId126" ref="M138"/>
    <hyperlink r:id="rId127" ref="D139"/>
    <hyperlink r:id="rId128" ref="M139"/>
    <hyperlink r:id="rId129" ref="D140"/>
    <hyperlink r:id="rId130" ref="M140"/>
    <hyperlink r:id="rId131" ref="D141"/>
    <hyperlink r:id="rId132" ref="M141"/>
    <hyperlink r:id="rId133" ref="D142"/>
    <hyperlink r:id="rId134" ref="M142"/>
    <hyperlink r:id="rId135" ref="D143"/>
    <hyperlink r:id="rId136" ref="M143"/>
    <hyperlink r:id="rId137" ref="D144"/>
    <hyperlink r:id="rId138" ref="M144"/>
    <hyperlink r:id="rId139" ref="D145"/>
    <hyperlink r:id="rId140" ref="M145"/>
    <hyperlink r:id="rId141" ref="D146"/>
    <hyperlink r:id="rId142" ref="M146"/>
    <hyperlink r:id="rId143" ref="D147"/>
    <hyperlink r:id="rId144" ref="M147"/>
    <hyperlink r:id="rId145" ref="D148"/>
    <hyperlink r:id="rId146" ref="M148"/>
    <hyperlink r:id="rId147" ref="D149"/>
    <hyperlink r:id="rId148" ref="M149"/>
    <hyperlink r:id="rId149" ref="D150"/>
    <hyperlink r:id="rId150" ref="M150"/>
    <hyperlink r:id="rId151" ref="D151"/>
    <hyperlink r:id="rId152" ref="M151"/>
    <hyperlink r:id="rId153" ref="D152"/>
    <hyperlink r:id="rId154" ref="M152"/>
    <hyperlink r:id="rId155" ref="D154"/>
    <hyperlink r:id="rId156" ref="M154"/>
    <hyperlink r:id="rId157" ref="M155"/>
    <hyperlink r:id="rId158" ref="M156"/>
    <hyperlink r:id="rId159" ref="M157"/>
    <hyperlink r:id="rId160" ref="D158"/>
    <hyperlink r:id="rId161" ref="M158"/>
    <hyperlink r:id="rId162" ref="M162"/>
    <hyperlink r:id="rId163" ref="M163"/>
    <hyperlink r:id="rId164" ref="M166"/>
    <hyperlink r:id="rId165" ref="M167"/>
    <hyperlink r:id="rId166" ref="M168"/>
    <hyperlink r:id="rId167" ref="M169"/>
    <hyperlink r:id="rId168" ref="D170"/>
    <hyperlink r:id="rId169" ref="M170"/>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4"/>
    <hyperlink r:id="rId182" ref="M185"/>
    <hyperlink r:id="rId183" ref="M186"/>
    <hyperlink r:id="rId184" ref="M187"/>
    <hyperlink r:id="rId185" ref="M188"/>
    <hyperlink r:id="rId186" ref="M189"/>
    <hyperlink r:id="rId187" ref="M190"/>
    <hyperlink r:id="rId188" ref="M191"/>
    <hyperlink r:id="rId189" ref="M192"/>
    <hyperlink r:id="rId190" ref="M194"/>
    <hyperlink r:id="rId191" ref="M195"/>
    <hyperlink r:id="rId192" ref="M196"/>
    <hyperlink r:id="rId193" ref="D197"/>
    <hyperlink r:id="rId194" ref="M197"/>
    <hyperlink r:id="rId195" ref="M198"/>
    <hyperlink r:id="rId196" ref="M199"/>
    <hyperlink r:id="rId197" ref="D201"/>
    <hyperlink r:id="rId198" ref="M201"/>
    <hyperlink r:id="rId199" ref="D202"/>
    <hyperlink r:id="rId200" ref="M202"/>
    <hyperlink r:id="rId201" ref="M203"/>
    <hyperlink r:id="rId202" ref="M204"/>
    <hyperlink r:id="rId203" ref="D205"/>
    <hyperlink r:id="rId204" ref="M205"/>
    <hyperlink r:id="rId205" ref="D207"/>
    <hyperlink r:id="rId206" ref="M207"/>
    <hyperlink r:id="rId207" ref="D208"/>
    <hyperlink r:id="rId208" ref="M208"/>
    <hyperlink r:id="rId209" ref="D210"/>
    <hyperlink r:id="rId210" ref="M210"/>
    <hyperlink r:id="rId211" ref="D211"/>
    <hyperlink r:id="rId212" ref="M211"/>
    <hyperlink r:id="rId213" ref="M212"/>
    <hyperlink r:id="rId214" ref="M214"/>
    <hyperlink r:id="rId215" ref="D215"/>
    <hyperlink r:id="rId216" ref="M215"/>
    <hyperlink r:id="rId217" ref="D216"/>
    <hyperlink r:id="rId218" ref="M216"/>
    <hyperlink r:id="rId219" ref="D217"/>
    <hyperlink r:id="rId220" ref="M217"/>
    <hyperlink r:id="rId221" ref="D218"/>
    <hyperlink r:id="rId222" ref="M218"/>
    <hyperlink r:id="rId223" ref="M219"/>
    <hyperlink r:id="rId224" ref="D220"/>
    <hyperlink r:id="rId225" ref="M220"/>
    <hyperlink r:id="rId226" ref="D221"/>
    <hyperlink r:id="rId227" ref="M221"/>
    <hyperlink r:id="rId228" ref="M222"/>
    <hyperlink r:id="rId229" ref="D224"/>
    <hyperlink r:id="rId230" ref="M224"/>
    <hyperlink r:id="rId231" ref="D225"/>
    <hyperlink r:id="rId232" ref="M225"/>
    <hyperlink r:id="rId233" ref="D226"/>
    <hyperlink r:id="rId234" ref="M226"/>
    <hyperlink r:id="rId235" ref="D227"/>
    <hyperlink r:id="rId236" ref="M227"/>
    <hyperlink r:id="rId237" ref="D228"/>
    <hyperlink r:id="rId238" ref="M228"/>
    <hyperlink r:id="rId239" ref="D229"/>
    <hyperlink r:id="rId240" ref="M229"/>
    <hyperlink r:id="rId241" ref="M231"/>
    <hyperlink r:id="rId242" ref="M232"/>
    <hyperlink r:id="rId243" ref="M233"/>
    <hyperlink r:id="rId244" ref="M234"/>
    <hyperlink r:id="rId245" ref="M235"/>
    <hyperlink r:id="rId246" ref="D236"/>
    <hyperlink r:id="rId247" ref="M236"/>
    <hyperlink r:id="rId248" ref="D237"/>
    <hyperlink r:id="rId249" ref="M237"/>
    <hyperlink r:id="rId250" ref="D238"/>
    <hyperlink r:id="rId251" ref="M238"/>
    <hyperlink r:id="rId252" ref="D239"/>
    <hyperlink r:id="rId253" ref="M239"/>
    <hyperlink r:id="rId254" ref="D240"/>
    <hyperlink r:id="rId255" ref="M240"/>
    <hyperlink r:id="rId256" ref="D241"/>
    <hyperlink r:id="rId257" ref="M241"/>
    <hyperlink r:id="rId258" ref="D242"/>
    <hyperlink r:id="rId259" ref="M242"/>
    <hyperlink r:id="rId260" ref="D243"/>
    <hyperlink r:id="rId261" ref="M243"/>
    <hyperlink r:id="rId262" ref="D244"/>
    <hyperlink r:id="rId263" ref="M244"/>
    <hyperlink r:id="rId264" ref="D245"/>
    <hyperlink r:id="rId265" ref="M245"/>
    <hyperlink r:id="rId266" ref="D246"/>
    <hyperlink r:id="rId267" ref="M246"/>
    <hyperlink r:id="rId268" ref="M247"/>
    <hyperlink r:id="rId269" ref="D248"/>
    <hyperlink r:id="rId270" ref="M248"/>
    <hyperlink r:id="rId271" ref="D249"/>
    <hyperlink r:id="rId272" ref="M249"/>
    <hyperlink r:id="rId273" ref="D250"/>
    <hyperlink r:id="rId274" ref="M250"/>
    <hyperlink r:id="rId275" ref="D251"/>
    <hyperlink r:id="rId276" ref="M251"/>
    <hyperlink r:id="rId277" ref="D252"/>
    <hyperlink r:id="rId278" ref="M252"/>
    <hyperlink r:id="rId279" ref="D253"/>
    <hyperlink r:id="rId280" ref="M253"/>
    <hyperlink r:id="rId281" ref="D254"/>
    <hyperlink r:id="rId282" ref="M254"/>
    <hyperlink r:id="rId283" ref="D255"/>
    <hyperlink r:id="rId284" ref="M255"/>
    <hyperlink r:id="rId285" ref="D256"/>
    <hyperlink r:id="rId286" ref="M256"/>
    <hyperlink r:id="rId287" ref="D257"/>
    <hyperlink r:id="rId288" ref="M257"/>
    <hyperlink r:id="rId289" ref="M259"/>
    <hyperlink r:id="rId290" ref="M260"/>
    <hyperlink r:id="rId291" ref="M261"/>
    <hyperlink r:id="rId292" ref="M263"/>
    <hyperlink r:id="rId293" ref="M264"/>
    <hyperlink r:id="rId294" ref="M265"/>
    <hyperlink r:id="rId295" ref="M266"/>
    <hyperlink r:id="rId296" ref="M267"/>
    <hyperlink r:id="rId297" ref="M268"/>
    <hyperlink r:id="rId298" ref="D270"/>
    <hyperlink r:id="rId299" ref="M270"/>
    <hyperlink r:id="rId300" ref="D271"/>
    <hyperlink r:id="rId301" ref="M271"/>
    <hyperlink r:id="rId302" ref="D272"/>
    <hyperlink r:id="rId303" ref="M272"/>
    <hyperlink r:id="rId304" ref="D273"/>
    <hyperlink r:id="rId305" ref="M273"/>
    <hyperlink r:id="rId306" ref="D274"/>
    <hyperlink r:id="rId307" ref="M274"/>
    <hyperlink r:id="rId308" ref="D275"/>
    <hyperlink r:id="rId309" ref="M275"/>
    <hyperlink r:id="rId310" ref="D276"/>
    <hyperlink r:id="rId311" ref="M276"/>
    <hyperlink r:id="rId312" ref="D277"/>
    <hyperlink r:id="rId313" ref="M277"/>
    <hyperlink r:id="rId314" ref="D278"/>
    <hyperlink r:id="rId315" ref="M278"/>
    <hyperlink r:id="rId316" ref="D279"/>
    <hyperlink r:id="rId317" ref="M279"/>
    <hyperlink r:id="rId318" ref="D280"/>
    <hyperlink r:id="rId319" ref="M280"/>
    <hyperlink r:id="rId320" ref="D281"/>
    <hyperlink r:id="rId321" ref="M281"/>
    <hyperlink r:id="rId322" ref="D282"/>
    <hyperlink r:id="rId323" ref="M282"/>
    <hyperlink r:id="rId324" ref="D283"/>
    <hyperlink r:id="rId325" ref="M283"/>
    <hyperlink r:id="rId326" ref="D284"/>
    <hyperlink r:id="rId327" ref="M284"/>
    <hyperlink r:id="rId328" ref="D285"/>
    <hyperlink r:id="rId329" ref="M285"/>
    <hyperlink r:id="rId330" ref="D286"/>
    <hyperlink r:id="rId331" ref="M286"/>
    <hyperlink r:id="rId332" ref="D287"/>
    <hyperlink r:id="rId333" ref="M287"/>
    <hyperlink r:id="rId334" ref="D288"/>
    <hyperlink r:id="rId335" ref="M288"/>
    <hyperlink r:id="rId336" ref="D289"/>
    <hyperlink r:id="rId337" ref="M289"/>
    <hyperlink r:id="rId338" ref="D290"/>
    <hyperlink r:id="rId339" ref="M290"/>
    <hyperlink r:id="rId340" ref="D291"/>
    <hyperlink r:id="rId341" ref="M291"/>
    <hyperlink r:id="rId342" ref="M292"/>
    <hyperlink r:id="rId343" ref="D293"/>
    <hyperlink r:id="rId344" ref="M293"/>
    <hyperlink r:id="rId345" ref="D294"/>
    <hyperlink r:id="rId346" ref="M294"/>
    <hyperlink r:id="rId347" ref="D295"/>
    <hyperlink r:id="rId348" ref="M295"/>
    <hyperlink r:id="rId349" ref="M296"/>
    <hyperlink r:id="rId350" ref="D297"/>
    <hyperlink r:id="rId351" ref="M297"/>
    <hyperlink r:id="rId352" ref="D298"/>
    <hyperlink r:id="rId353" ref="M298"/>
    <hyperlink r:id="rId354" ref="D299"/>
    <hyperlink r:id="rId355" ref="M299"/>
    <hyperlink r:id="rId356" ref="D300"/>
    <hyperlink r:id="rId357" ref="M300"/>
    <hyperlink r:id="rId358" ref="D301"/>
    <hyperlink r:id="rId359" ref="M301"/>
    <hyperlink r:id="rId360" ref="D302"/>
    <hyperlink r:id="rId361" ref="M302"/>
    <hyperlink r:id="rId362" ref="D303"/>
    <hyperlink r:id="rId363" ref="M303"/>
    <hyperlink r:id="rId364" ref="D304"/>
    <hyperlink r:id="rId365" ref="M304"/>
    <hyperlink r:id="rId366" ref="D305"/>
    <hyperlink r:id="rId367" ref="M305"/>
    <hyperlink r:id="rId368" ref="M306"/>
    <hyperlink r:id="rId369" ref="M308"/>
    <hyperlink r:id="rId370" ref="M309"/>
    <hyperlink r:id="rId371" ref="M311"/>
    <hyperlink r:id="rId372" ref="M312"/>
    <hyperlink r:id="rId373" ref="M313"/>
    <hyperlink r:id="rId374" ref="D314"/>
    <hyperlink r:id="rId375" ref="M314"/>
    <hyperlink r:id="rId376" ref="D315"/>
    <hyperlink r:id="rId377" ref="M315"/>
    <hyperlink r:id="rId378" ref="M316"/>
    <hyperlink r:id="rId379" ref="M317"/>
    <hyperlink r:id="rId380" ref="M318"/>
    <hyperlink r:id="rId381" ref="M319"/>
    <hyperlink r:id="rId382" ref="M320"/>
    <hyperlink r:id="rId383" ref="D321"/>
    <hyperlink r:id="rId384" ref="M321"/>
    <hyperlink r:id="rId385" ref="D322"/>
    <hyperlink r:id="rId386" ref="M322"/>
    <hyperlink r:id="rId387" ref="D323"/>
    <hyperlink r:id="rId388" ref="M323"/>
    <hyperlink r:id="rId389" ref="M324"/>
    <hyperlink r:id="rId390" ref="M325"/>
    <hyperlink r:id="rId391" ref="D326"/>
    <hyperlink r:id="rId392" ref="M326"/>
    <hyperlink r:id="rId393" ref="M327"/>
    <hyperlink r:id="rId394" ref="D328"/>
    <hyperlink r:id="rId395" ref="M328"/>
    <hyperlink r:id="rId396" ref="D329"/>
    <hyperlink r:id="rId397" ref="M329"/>
    <hyperlink r:id="rId398" ref="M330"/>
    <hyperlink r:id="rId399" ref="M331"/>
    <hyperlink r:id="rId400" ref="D332"/>
    <hyperlink r:id="rId401" ref="M332"/>
    <hyperlink r:id="rId402" ref="M334"/>
    <hyperlink r:id="rId403" ref="M336"/>
    <hyperlink r:id="rId404" ref="M337"/>
    <hyperlink r:id="rId405" ref="D338"/>
    <hyperlink r:id="rId406" ref="M338"/>
    <hyperlink r:id="rId407" ref="M339"/>
    <hyperlink r:id="rId408" ref="M340"/>
    <hyperlink r:id="rId409" ref="D341"/>
    <hyperlink r:id="rId410" ref="M341"/>
    <hyperlink r:id="rId411" ref="M342"/>
    <hyperlink r:id="rId412" ref="M344"/>
    <hyperlink r:id="rId413" ref="M345"/>
    <hyperlink r:id="rId414" ref="M346"/>
    <hyperlink r:id="rId415" ref="M347"/>
    <hyperlink r:id="rId416" ref="M348"/>
    <hyperlink r:id="rId417" ref="M349"/>
    <hyperlink r:id="rId418" ref="M350"/>
    <hyperlink r:id="rId419" ref="M351"/>
    <hyperlink r:id="rId420" ref="M352"/>
    <hyperlink r:id="rId421" ref="M353"/>
    <hyperlink r:id="rId422" ref="M354"/>
    <hyperlink r:id="rId423" ref="M355"/>
    <hyperlink r:id="rId424" ref="M356"/>
    <hyperlink r:id="rId425" ref="D358"/>
    <hyperlink r:id="rId426" ref="M358"/>
    <hyperlink r:id="rId427" ref="D359"/>
    <hyperlink r:id="rId428" ref="M359"/>
    <hyperlink r:id="rId429" ref="D361"/>
    <hyperlink r:id="rId430" ref="M361"/>
    <hyperlink r:id="rId431" ref="D362"/>
    <hyperlink r:id="rId432" ref="M362"/>
    <hyperlink r:id="rId433" ref="D363"/>
    <hyperlink r:id="rId434" ref="M363"/>
    <hyperlink r:id="rId435" ref="D365"/>
    <hyperlink r:id="rId436" ref="M365"/>
    <hyperlink r:id="rId437" ref="M369"/>
    <hyperlink r:id="rId438" ref="M370"/>
    <hyperlink r:id="rId439" ref="M371"/>
    <hyperlink r:id="rId440" ref="M372"/>
    <hyperlink r:id="rId441" ref="M373"/>
    <hyperlink r:id="rId442" ref="M374"/>
    <hyperlink r:id="rId443" ref="D376"/>
    <hyperlink r:id="rId444" ref="M376"/>
    <hyperlink r:id="rId445" ref="D377"/>
    <hyperlink r:id="rId446" ref="M377"/>
    <hyperlink r:id="rId447" ref="D380"/>
    <hyperlink r:id="rId448" ref="M380"/>
    <hyperlink r:id="rId449" ref="D381"/>
    <hyperlink r:id="rId450" ref="M381"/>
    <hyperlink r:id="rId451" ref="D382"/>
    <hyperlink r:id="rId452" ref="M382"/>
    <hyperlink r:id="rId453" ref="D383"/>
    <hyperlink r:id="rId454" ref="M383"/>
    <hyperlink r:id="rId455" ref="D384"/>
    <hyperlink r:id="rId456" ref="M384"/>
    <hyperlink r:id="rId457" ref="D385"/>
    <hyperlink r:id="rId458" ref="M385"/>
    <hyperlink r:id="rId459" ref="D386"/>
    <hyperlink r:id="rId460" ref="M386"/>
    <hyperlink r:id="rId461" ref="D387"/>
    <hyperlink r:id="rId462" ref="M387"/>
    <hyperlink r:id="rId463" ref="D388"/>
    <hyperlink r:id="rId464" ref="M388"/>
    <hyperlink r:id="rId465" ref="D389"/>
    <hyperlink r:id="rId466" ref="M389"/>
    <hyperlink r:id="rId467" ref="D390"/>
    <hyperlink r:id="rId468" ref="M390"/>
    <hyperlink r:id="rId469" ref="D391"/>
    <hyperlink r:id="rId470" ref="M391"/>
    <hyperlink r:id="rId471" ref="D392"/>
    <hyperlink r:id="rId472" ref="M392"/>
    <hyperlink r:id="rId473" ref="D393"/>
    <hyperlink r:id="rId474" ref="M393"/>
    <hyperlink r:id="rId475" ref="D394"/>
    <hyperlink r:id="rId476" ref="M394"/>
    <hyperlink r:id="rId477" ref="D395"/>
    <hyperlink r:id="rId478" ref="M395"/>
    <hyperlink r:id="rId479" ref="D396"/>
    <hyperlink r:id="rId480" ref="M396"/>
    <hyperlink r:id="rId481" ref="D397"/>
    <hyperlink r:id="rId482" ref="M397"/>
    <hyperlink r:id="rId483" ref="D398"/>
    <hyperlink r:id="rId484" ref="M398"/>
    <hyperlink r:id="rId485" ref="D399"/>
    <hyperlink r:id="rId486" ref="M399"/>
    <hyperlink r:id="rId487" ref="D400"/>
    <hyperlink r:id="rId488" ref="M400"/>
    <hyperlink r:id="rId489" ref="M402"/>
    <hyperlink r:id="rId490" ref="M403"/>
    <hyperlink r:id="rId491" ref="M405"/>
    <hyperlink r:id="rId492" ref="M406"/>
    <hyperlink r:id="rId493" ref="M407"/>
    <hyperlink r:id="rId494" ref="M408"/>
    <hyperlink r:id="rId495" ref="M409"/>
    <hyperlink r:id="rId496" ref="D410"/>
    <hyperlink r:id="rId497" ref="M410"/>
    <hyperlink r:id="rId498" ref="M411"/>
    <hyperlink r:id="rId499" ref="D412"/>
    <hyperlink r:id="rId500" ref="M412"/>
    <hyperlink r:id="rId501" ref="M413"/>
    <hyperlink r:id="rId502" ref="D414"/>
    <hyperlink r:id="rId503" ref="M414"/>
    <hyperlink r:id="rId504" ref="M415"/>
    <hyperlink r:id="rId505" ref="M416"/>
    <hyperlink r:id="rId506" ref="M417"/>
    <hyperlink r:id="rId507" ref="D418"/>
    <hyperlink r:id="rId508" ref="M418"/>
    <hyperlink r:id="rId509" ref="M419"/>
    <hyperlink r:id="rId510" ref="M420"/>
    <hyperlink r:id="rId511" ref="M421"/>
    <hyperlink r:id="rId512" ref="D422"/>
    <hyperlink r:id="rId513" ref="M422"/>
    <hyperlink r:id="rId514" ref="M423"/>
    <hyperlink r:id="rId515" ref="M424"/>
    <hyperlink r:id="rId516" ref="M425"/>
    <hyperlink r:id="rId517" ref="M426"/>
    <hyperlink r:id="rId518" ref="M427"/>
    <hyperlink r:id="rId519" ref="M429"/>
    <hyperlink r:id="rId520" ref="D430"/>
    <hyperlink r:id="rId521" ref="M430"/>
    <hyperlink r:id="rId522" ref="M431"/>
    <hyperlink r:id="rId523" ref="M432"/>
    <hyperlink r:id="rId524" ref="M433"/>
    <hyperlink r:id="rId525" ref="D435"/>
    <hyperlink r:id="rId526" ref="M435"/>
    <hyperlink r:id="rId527" ref="D436"/>
    <hyperlink r:id="rId528" ref="M436"/>
    <hyperlink r:id="rId529" ref="M437"/>
    <hyperlink r:id="rId530" ref="D438"/>
    <hyperlink r:id="rId531" ref="M438"/>
    <hyperlink r:id="rId532" ref="D439"/>
    <hyperlink r:id="rId533" ref="M439"/>
    <hyperlink r:id="rId534" ref="D440"/>
    <hyperlink r:id="rId535" ref="M440"/>
    <hyperlink r:id="rId536" ref="M442"/>
    <hyperlink r:id="rId537" ref="M443"/>
    <hyperlink r:id="rId538" ref="M444"/>
    <hyperlink r:id="rId539" ref="M445"/>
    <hyperlink r:id="rId540" ref="M446"/>
    <hyperlink r:id="rId541" ref="M447"/>
    <hyperlink r:id="rId542" ref="M448"/>
    <hyperlink r:id="rId543" ref="M449"/>
    <hyperlink r:id="rId544" ref="M450"/>
    <hyperlink r:id="rId545" ref="M451"/>
    <hyperlink r:id="rId546" ref="M452"/>
    <hyperlink r:id="rId547" ref="M453"/>
    <hyperlink r:id="rId548" ref="M454"/>
    <hyperlink r:id="rId549" ref="M456"/>
    <hyperlink r:id="rId550" ref="M457"/>
    <hyperlink r:id="rId551" ref="D458"/>
    <hyperlink r:id="rId552" ref="M458"/>
    <hyperlink r:id="rId553" ref="D459"/>
    <hyperlink r:id="rId554" ref="M459"/>
    <hyperlink r:id="rId555" ref="M460"/>
    <hyperlink r:id="rId556" ref="M461"/>
    <hyperlink r:id="rId557" ref="M462"/>
    <hyperlink r:id="rId558" ref="M464"/>
    <hyperlink r:id="rId559" ref="D465"/>
    <hyperlink r:id="rId560" ref="M465"/>
    <hyperlink r:id="rId561" ref="M466"/>
    <hyperlink r:id="rId562" ref="M467"/>
    <hyperlink r:id="rId563" ref="D468"/>
    <hyperlink r:id="rId564" ref="M468"/>
    <hyperlink r:id="rId565" ref="D469"/>
    <hyperlink r:id="rId566" ref="M469"/>
    <hyperlink r:id="rId567" ref="D470"/>
    <hyperlink r:id="rId568" ref="M470"/>
    <hyperlink r:id="rId569" ref="M471"/>
    <hyperlink r:id="rId570" ref="M472"/>
    <hyperlink r:id="rId571" ref="M473"/>
    <hyperlink r:id="rId572" ref="D475"/>
    <hyperlink r:id="rId573" ref="M475"/>
    <hyperlink r:id="rId574" ref="D476"/>
    <hyperlink r:id="rId575" ref="M476"/>
    <hyperlink r:id="rId576" ref="D477"/>
    <hyperlink r:id="rId577" ref="M477"/>
    <hyperlink r:id="rId578" ref="D478"/>
    <hyperlink r:id="rId579" ref="M478"/>
    <hyperlink r:id="rId580" ref="D479"/>
    <hyperlink r:id="rId581" ref="M479"/>
    <hyperlink r:id="rId582" ref="D480"/>
    <hyperlink r:id="rId583" ref="M480"/>
    <hyperlink r:id="rId584" ref="D481"/>
    <hyperlink r:id="rId585" ref="M481"/>
    <hyperlink r:id="rId586" ref="D482"/>
    <hyperlink r:id="rId587" ref="M482"/>
    <hyperlink r:id="rId588" ref="D483"/>
    <hyperlink r:id="rId589" ref="M483"/>
    <hyperlink r:id="rId590" ref="D484"/>
    <hyperlink r:id="rId591" ref="M484"/>
    <hyperlink r:id="rId592" ref="D485"/>
    <hyperlink r:id="rId593" ref="M485"/>
    <hyperlink r:id="rId594" ref="D486"/>
    <hyperlink r:id="rId595" ref="M486"/>
    <hyperlink r:id="rId596" ref="D487"/>
    <hyperlink r:id="rId597" ref="M487"/>
    <hyperlink r:id="rId598" ref="D488"/>
    <hyperlink r:id="rId599" ref="M488"/>
    <hyperlink r:id="rId600" ref="D489"/>
    <hyperlink r:id="rId601" ref="M489"/>
    <hyperlink r:id="rId602" ref="D490"/>
    <hyperlink r:id="rId603" ref="M490"/>
    <hyperlink r:id="rId604" ref="M492"/>
    <hyperlink r:id="rId605" ref="M493"/>
    <hyperlink r:id="rId606" ref="M494"/>
    <hyperlink r:id="rId607" ref="M495"/>
    <hyperlink r:id="rId608" ref="M496"/>
    <hyperlink r:id="rId609" ref="D497"/>
    <hyperlink r:id="rId610" ref="M497"/>
    <hyperlink r:id="rId611" ref="M499"/>
    <hyperlink r:id="rId612" ref="M500"/>
    <hyperlink r:id="rId613" ref="M501"/>
    <hyperlink r:id="rId614" ref="M502"/>
    <hyperlink r:id="rId615" ref="M503"/>
    <hyperlink r:id="rId616" ref="M504"/>
    <hyperlink r:id="rId617" ref="M505"/>
    <hyperlink r:id="rId618" ref="M506"/>
    <hyperlink r:id="rId619" ref="M507"/>
    <hyperlink r:id="rId620" ref="M508"/>
    <hyperlink r:id="rId621" ref="D509"/>
    <hyperlink r:id="rId622" ref="M509"/>
    <hyperlink r:id="rId623" ref="M510"/>
    <hyperlink r:id="rId624" ref="D511"/>
    <hyperlink r:id="rId625" ref="M511"/>
    <hyperlink r:id="rId626" ref="D512"/>
    <hyperlink r:id="rId627" ref="M512"/>
    <hyperlink r:id="rId628" ref="D513"/>
    <hyperlink r:id="rId629" ref="M513"/>
    <hyperlink r:id="rId630" ref="D514"/>
    <hyperlink r:id="rId631" ref="M514"/>
    <hyperlink r:id="rId632" ref="D515"/>
    <hyperlink r:id="rId633" ref="M515"/>
    <hyperlink r:id="rId634" ref="M516"/>
    <hyperlink r:id="rId635" ref="M517"/>
    <hyperlink r:id="rId636" ref="M520"/>
    <hyperlink r:id="rId637" ref="M521"/>
    <hyperlink r:id="rId638" ref="M522"/>
    <hyperlink r:id="rId639" ref="M523"/>
    <hyperlink r:id="rId640" ref="M524"/>
    <hyperlink r:id="rId641" ref="D525"/>
    <hyperlink r:id="rId642" ref="M525"/>
    <hyperlink r:id="rId643" ref="M526"/>
    <hyperlink r:id="rId644" ref="D527"/>
    <hyperlink r:id="rId645" ref="M527"/>
    <hyperlink r:id="rId646" ref="M528"/>
    <hyperlink r:id="rId647" ref="M529"/>
    <hyperlink r:id="rId648" ref="M530"/>
    <hyperlink r:id="rId649" ref="M531"/>
    <hyperlink r:id="rId650" ref="M532"/>
    <hyperlink r:id="rId651" ref="D534"/>
    <hyperlink r:id="rId652" ref="M534"/>
    <hyperlink r:id="rId653" ref="D535"/>
    <hyperlink r:id="rId654" ref="M535"/>
    <hyperlink r:id="rId655" ref="M536"/>
    <hyperlink r:id="rId656" ref="D537"/>
    <hyperlink r:id="rId657" ref="M537"/>
    <hyperlink r:id="rId658" ref="M539"/>
    <hyperlink r:id="rId659" ref="M540"/>
    <hyperlink r:id="rId660" ref="M541"/>
    <hyperlink r:id="rId661" ref="M542"/>
    <hyperlink r:id="rId662" ref="M543"/>
    <hyperlink r:id="rId663" ref="M544"/>
    <hyperlink r:id="rId664" ref="M545"/>
    <hyperlink r:id="rId665" ref="D546"/>
    <hyperlink r:id="rId666" ref="M546"/>
    <hyperlink r:id="rId667" ref="D547"/>
    <hyperlink r:id="rId668" ref="M547"/>
    <hyperlink r:id="rId669" ref="M549"/>
    <hyperlink r:id="rId670" ref="M550"/>
    <hyperlink r:id="rId671" ref="M551"/>
    <hyperlink r:id="rId672" ref="M552"/>
    <hyperlink r:id="rId673" ref="D553"/>
    <hyperlink r:id="rId674" ref="M553"/>
    <hyperlink r:id="rId675" ref="D554"/>
    <hyperlink r:id="rId676" ref="M554"/>
    <hyperlink r:id="rId677" ref="M555"/>
    <hyperlink r:id="rId678" ref="M557"/>
    <hyperlink r:id="rId679" ref="D558"/>
    <hyperlink r:id="rId680" ref="M558"/>
    <hyperlink r:id="rId681" ref="M559"/>
    <hyperlink r:id="rId682" ref="M561"/>
    <hyperlink r:id="rId683" ref="M562"/>
    <hyperlink r:id="rId684" ref="M563"/>
    <hyperlink r:id="rId685" ref="M564"/>
    <hyperlink r:id="rId686" ref="M565"/>
    <hyperlink r:id="rId687" ref="M566"/>
    <hyperlink r:id="rId688" ref="D567"/>
    <hyperlink r:id="rId689" ref="M567"/>
    <hyperlink r:id="rId690" ref="D568"/>
    <hyperlink r:id="rId691" ref="M568"/>
    <hyperlink r:id="rId692" ref="M569"/>
    <hyperlink r:id="rId693" ref="D571"/>
    <hyperlink r:id="rId694" ref="M571"/>
    <hyperlink r:id="rId695" ref="D572"/>
    <hyperlink r:id="rId696" ref="M572"/>
    <hyperlink r:id="rId697" ref="M584"/>
    <hyperlink r:id="rId698" ref="D585"/>
    <hyperlink r:id="rId699" ref="M585"/>
    <hyperlink r:id="rId700" ref="M586"/>
    <hyperlink r:id="rId701" ref="M587"/>
    <hyperlink r:id="rId702" ref="M588"/>
    <hyperlink r:id="rId703" ref="M589"/>
    <hyperlink r:id="rId704" ref="M590"/>
    <hyperlink r:id="rId705" ref="M591"/>
    <hyperlink r:id="rId706" ref="D592"/>
    <hyperlink r:id="rId707" ref="M592"/>
    <hyperlink r:id="rId708" ref="M593"/>
    <hyperlink r:id="rId709" ref="M594"/>
    <hyperlink r:id="rId710" ref="M595"/>
    <hyperlink r:id="rId711" ref="D596"/>
    <hyperlink r:id="rId712" ref="M596"/>
    <hyperlink r:id="rId713" ref="M597"/>
    <hyperlink r:id="rId714" ref="M598"/>
    <hyperlink r:id="rId715" ref="M599"/>
    <hyperlink r:id="rId716" ref="M600"/>
    <hyperlink r:id="rId717" ref="D601"/>
    <hyperlink r:id="rId718" ref="M601"/>
    <hyperlink r:id="rId719" ref="M602"/>
    <hyperlink r:id="rId720" ref="D603"/>
    <hyperlink r:id="rId721" ref="M603"/>
    <hyperlink r:id="rId722" ref="M605"/>
    <hyperlink r:id="rId723" ref="M606"/>
    <hyperlink r:id="rId724" ref="M607"/>
    <hyperlink r:id="rId725" ref="M608"/>
    <hyperlink r:id="rId726" ref="M609"/>
    <hyperlink r:id="rId727" ref="M610"/>
    <hyperlink r:id="rId728" ref="M611"/>
    <hyperlink r:id="rId729" ref="M612"/>
    <hyperlink r:id="rId730" ref="M613"/>
    <hyperlink r:id="rId731" ref="M614"/>
    <hyperlink r:id="rId732" ref="M616"/>
    <hyperlink r:id="rId733" ref="M617"/>
    <hyperlink r:id="rId734" ref="M618"/>
    <hyperlink r:id="rId735" ref="D620"/>
    <hyperlink r:id="rId736" ref="M620"/>
    <hyperlink r:id="rId737" ref="D621"/>
    <hyperlink r:id="rId738" ref="M621"/>
    <hyperlink r:id="rId739" ref="D622"/>
    <hyperlink r:id="rId740" ref="M622"/>
    <hyperlink r:id="rId741" ref="M623"/>
    <hyperlink r:id="rId742" ref="M624"/>
    <hyperlink r:id="rId743" ref="M625"/>
    <hyperlink r:id="rId744" ref="M626"/>
    <hyperlink r:id="rId745" ref="D627"/>
    <hyperlink r:id="rId746" ref="M627"/>
    <hyperlink r:id="rId747" ref="D628"/>
    <hyperlink r:id="rId748" ref="M628"/>
    <hyperlink r:id="rId749" ref="M629"/>
    <hyperlink r:id="rId750" ref="D630"/>
    <hyperlink r:id="rId751" ref="M630"/>
    <hyperlink r:id="rId752" ref="M631"/>
    <hyperlink r:id="rId753" ref="M632"/>
    <hyperlink r:id="rId754" ref="M633"/>
    <hyperlink r:id="rId755" ref="D634"/>
    <hyperlink r:id="rId756" ref="M634"/>
    <hyperlink r:id="rId757" ref="D635"/>
    <hyperlink r:id="rId758" ref="M635"/>
    <hyperlink r:id="rId759" ref="M636"/>
    <hyperlink r:id="rId760" ref="M637"/>
    <hyperlink r:id="rId761" ref="M638"/>
    <hyperlink r:id="rId762" ref="D641"/>
    <hyperlink r:id="rId763" ref="M641"/>
    <hyperlink r:id="rId764" ref="D642"/>
    <hyperlink r:id="rId765" ref="M642"/>
    <hyperlink r:id="rId766" ref="D643"/>
    <hyperlink r:id="rId767" ref="M643"/>
    <hyperlink r:id="rId768" ref="D644"/>
    <hyperlink r:id="rId769" ref="M644"/>
    <hyperlink r:id="rId770" ref="D645"/>
    <hyperlink r:id="rId771" ref="M645"/>
    <hyperlink r:id="rId772" ref="D646"/>
    <hyperlink r:id="rId773" ref="M646"/>
    <hyperlink r:id="rId774" ref="D647"/>
    <hyperlink r:id="rId775" ref="M647"/>
    <hyperlink r:id="rId776" ref="D648"/>
    <hyperlink r:id="rId777" ref="M648"/>
    <hyperlink r:id="rId778" ref="D649"/>
    <hyperlink r:id="rId779" ref="M649"/>
    <hyperlink r:id="rId780" ref="D650"/>
    <hyperlink r:id="rId781" ref="M650"/>
    <hyperlink r:id="rId782" ref="D651"/>
    <hyperlink r:id="rId783" ref="M651"/>
    <hyperlink r:id="rId784" ref="M652"/>
    <hyperlink r:id="rId785" ref="M653"/>
    <hyperlink r:id="rId786" ref="D654"/>
    <hyperlink r:id="rId787" ref="M654"/>
    <hyperlink r:id="rId788" ref="D655"/>
    <hyperlink r:id="rId789" ref="M655"/>
    <hyperlink r:id="rId790" ref="D656"/>
    <hyperlink r:id="rId791" ref="M656"/>
    <hyperlink r:id="rId792" ref="D657"/>
    <hyperlink r:id="rId793" ref="M657"/>
    <hyperlink r:id="rId794" ref="D658"/>
    <hyperlink r:id="rId795" ref="M658"/>
    <hyperlink r:id="rId796" ref="D659"/>
    <hyperlink r:id="rId797" ref="M659"/>
    <hyperlink r:id="rId798" ref="D660"/>
    <hyperlink r:id="rId799" ref="M660"/>
    <hyperlink r:id="rId800" ref="M661"/>
    <hyperlink r:id="rId801" ref="D662"/>
    <hyperlink r:id="rId802" ref="M662"/>
    <hyperlink r:id="rId803" ref="M663"/>
    <hyperlink r:id="rId804" ref="M664"/>
    <hyperlink r:id="rId805" ref="M666"/>
    <hyperlink r:id="rId806" ref="M667"/>
    <hyperlink r:id="rId807" ref="M668"/>
    <hyperlink r:id="rId808" ref="M669"/>
    <hyperlink r:id="rId809" ref="M670"/>
    <hyperlink r:id="rId810" ref="D672"/>
    <hyperlink r:id="rId811" ref="M672"/>
    <hyperlink r:id="rId812" ref="D673"/>
    <hyperlink r:id="rId813" ref="M673"/>
    <hyperlink r:id="rId814" ref="D674"/>
    <hyperlink r:id="rId815" ref="M674"/>
    <hyperlink r:id="rId816" ref="D675"/>
    <hyperlink r:id="rId817" ref="M675"/>
    <hyperlink r:id="rId818" ref="D676"/>
    <hyperlink r:id="rId819" ref="M676"/>
    <hyperlink r:id="rId820" ref="D677"/>
    <hyperlink r:id="rId821" ref="M677"/>
    <hyperlink r:id="rId822" ref="D678"/>
    <hyperlink r:id="rId823" ref="M678"/>
    <hyperlink r:id="rId824" ref="M680"/>
    <hyperlink r:id="rId825" ref="D681"/>
    <hyperlink r:id="rId826" ref="M681"/>
    <hyperlink r:id="rId827" ref="D682"/>
    <hyperlink r:id="rId828" ref="M682"/>
    <hyperlink r:id="rId829" ref="M684"/>
    <hyperlink r:id="rId830" ref="D685"/>
    <hyperlink r:id="rId831" ref="M685"/>
    <hyperlink r:id="rId832" ref="D686"/>
    <hyperlink r:id="rId833" ref="M686"/>
    <hyperlink r:id="rId834" ref="D687"/>
    <hyperlink r:id="rId835" ref="M687"/>
    <hyperlink r:id="rId836" ref="D688"/>
    <hyperlink r:id="rId837" ref="M688"/>
    <hyperlink r:id="rId838" ref="D689"/>
    <hyperlink r:id="rId839" ref="M689"/>
    <hyperlink r:id="rId840" ref="M690"/>
    <hyperlink r:id="rId841" ref="M691"/>
    <hyperlink r:id="rId842" ref="M692"/>
    <hyperlink r:id="rId843" ref="M695"/>
    <hyperlink r:id="rId844" ref="M696"/>
    <hyperlink r:id="rId845" ref="D697"/>
    <hyperlink r:id="rId846" ref="M697"/>
    <hyperlink r:id="rId847" ref="M698"/>
    <hyperlink r:id="rId848" ref="M699"/>
    <hyperlink r:id="rId849" ref="M700"/>
    <hyperlink r:id="rId850" ref="M701"/>
    <hyperlink r:id="rId851" ref="M702"/>
    <hyperlink r:id="rId852" ref="D704"/>
    <hyperlink r:id="rId853" ref="M704"/>
    <hyperlink r:id="rId854" ref="D705"/>
    <hyperlink r:id="rId855" ref="M705"/>
    <hyperlink r:id="rId856" ref="D708"/>
    <hyperlink r:id="rId857" ref="M708"/>
    <hyperlink r:id="rId858" ref="D709"/>
    <hyperlink r:id="rId859" ref="M709"/>
    <hyperlink r:id="rId860" ref="M710"/>
    <hyperlink r:id="rId861" ref="D711"/>
    <hyperlink r:id="rId862" ref="M711"/>
    <hyperlink r:id="rId863" ref="D712"/>
    <hyperlink r:id="rId864" ref="M712"/>
    <hyperlink r:id="rId865" ref="D713"/>
    <hyperlink r:id="rId866" ref="M713"/>
    <hyperlink r:id="rId867" ref="D715"/>
    <hyperlink r:id="rId868" ref="M715"/>
    <hyperlink r:id="rId869" ref="D716"/>
    <hyperlink r:id="rId870" ref="M716"/>
    <hyperlink r:id="rId871" ref="D717"/>
    <hyperlink r:id="rId872" ref="M717"/>
    <hyperlink r:id="rId873" ref="D718"/>
    <hyperlink r:id="rId874" ref="M718"/>
    <hyperlink r:id="rId875" ref="D719"/>
    <hyperlink r:id="rId876" ref="M719"/>
    <hyperlink r:id="rId877" ref="D720"/>
    <hyperlink r:id="rId878" ref="M720"/>
    <hyperlink r:id="rId879" ref="D721"/>
    <hyperlink r:id="rId880" ref="M721"/>
    <hyperlink r:id="rId881" ref="D722"/>
    <hyperlink r:id="rId882" ref="M722"/>
    <hyperlink r:id="rId883" ref="D723"/>
    <hyperlink r:id="rId884" ref="M723"/>
    <hyperlink r:id="rId885" ref="D724"/>
    <hyperlink r:id="rId886" ref="M724"/>
    <hyperlink r:id="rId887" ref="D725"/>
    <hyperlink r:id="rId888" ref="M725"/>
    <hyperlink r:id="rId889" ref="M727"/>
    <hyperlink r:id="rId890" ref="D729"/>
    <hyperlink r:id="rId891" ref="M729"/>
    <hyperlink r:id="rId892" ref="M730"/>
    <hyperlink r:id="rId893" ref="M736"/>
    <hyperlink r:id="rId894" ref="D738"/>
    <hyperlink r:id="rId895" ref="M738"/>
    <hyperlink r:id="rId896" ref="D739"/>
    <hyperlink r:id="rId897" ref="M739"/>
    <hyperlink r:id="rId898" ref="M741"/>
    <hyperlink r:id="rId899" ref="D742"/>
    <hyperlink r:id="rId900" ref="M742"/>
    <hyperlink r:id="rId901" ref="M743"/>
    <hyperlink r:id="rId902" ref="M744"/>
    <hyperlink r:id="rId903" ref="M745"/>
    <hyperlink r:id="rId904" ref="D746"/>
    <hyperlink r:id="rId905" ref="M746"/>
    <hyperlink r:id="rId906" ref="D747"/>
    <hyperlink r:id="rId907" ref="M747"/>
    <hyperlink r:id="rId908" ref="M748"/>
    <hyperlink r:id="rId909" ref="M749"/>
    <hyperlink r:id="rId910" ref="M750"/>
    <hyperlink r:id="rId911" ref="M751"/>
    <hyperlink r:id="rId912" ref="M752"/>
    <hyperlink r:id="rId913" ref="M753"/>
    <hyperlink r:id="rId914" ref="M754"/>
    <hyperlink r:id="rId915" ref="M755"/>
    <hyperlink r:id="rId916" ref="M756"/>
    <hyperlink r:id="rId917" ref="M757"/>
    <hyperlink r:id="rId918" ref="M758"/>
    <hyperlink r:id="rId919" ref="M759"/>
    <hyperlink r:id="rId920" ref="D760"/>
    <hyperlink r:id="rId921" ref="M760"/>
    <hyperlink r:id="rId922" ref="M761"/>
    <hyperlink r:id="rId923" ref="M762"/>
    <hyperlink r:id="rId924" ref="D764"/>
    <hyperlink r:id="rId925" ref="M764"/>
    <hyperlink r:id="rId926" ref="D765"/>
    <hyperlink r:id="rId927" ref="M765"/>
    <hyperlink r:id="rId928" ref="D766"/>
    <hyperlink r:id="rId929" ref="M766"/>
    <hyperlink r:id="rId930" ref="D767"/>
    <hyperlink r:id="rId931" ref="M767"/>
    <hyperlink r:id="rId932" ref="D768"/>
    <hyperlink r:id="rId933" ref="M768"/>
    <hyperlink r:id="rId934" ref="D769"/>
    <hyperlink r:id="rId935" ref="M769"/>
    <hyperlink r:id="rId936" ref="D770"/>
    <hyperlink r:id="rId937" ref="M770"/>
    <hyperlink r:id="rId938" ref="M772"/>
    <hyperlink r:id="rId939" ref="M775"/>
    <hyperlink r:id="rId940" ref="M776"/>
    <hyperlink r:id="rId941" ref="D778"/>
    <hyperlink r:id="rId942" ref="M778"/>
    <hyperlink r:id="rId943" ref="D779"/>
    <hyperlink r:id="rId944" ref="M779"/>
    <hyperlink r:id="rId945" ref="D780"/>
    <hyperlink r:id="rId946" ref="M780"/>
    <hyperlink r:id="rId947" ref="D781"/>
    <hyperlink r:id="rId948" ref="M781"/>
    <hyperlink r:id="rId949" ref="D782"/>
    <hyperlink r:id="rId950" ref="M782"/>
    <hyperlink r:id="rId951" ref="D783"/>
    <hyperlink r:id="rId952" ref="M783"/>
    <hyperlink r:id="rId953" ref="D784"/>
    <hyperlink r:id="rId954" ref="M784"/>
    <hyperlink r:id="rId955" ref="M785"/>
    <hyperlink r:id="rId956" ref="M786"/>
    <hyperlink r:id="rId957" ref="M787"/>
    <hyperlink r:id="rId958" ref="D789"/>
    <hyperlink r:id="rId959" ref="M789"/>
    <hyperlink r:id="rId960" ref="D790"/>
    <hyperlink r:id="rId961" ref="M790"/>
    <hyperlink r:id="rId962" ref="D791"/>
    <hyperlink r:id="rId963" ref="M791"/>
    <hyperlink r:id="rId964" ref="M792"/>
    <hyperlink r:id="rId965" ref="M793"/>
    <hyperlink r:id="rId966" ref="D794"/>
    <hyperlink r:id="rId967" ref="M794"/>
    <hyperlink r:id="rId968" ref="M795"/>
    <hyperlink r:id="rId969" ref="M796"/>
    <hyperlink r:id="rId970" ref="M797"/>
    <hyperlink r:id="rId971" ref="M798"/>
    <hyperlink r:id="rId972" ref="M799"/>
    <hyperlink r:id="rId973" ref="M800"/>
    <hyperlink r:id="rId974" ref="M801"/>
    <hyperlink r:id="rId975" ref="D802"/>
    <hyperlink r:id="rId976" ref="M802"/>
    <hyperlink r:id="rId977" ref="D803"/>
    <hyperlink r:id="rId978" ref="M803"/>
    <hyperlink r:id="rId979" ref="D804"/>
    <hyperlink r:id="rId980" ref="M804"/>
    <hyperlink r:id="rId981" ref="D805"/>
    <hyperlink r:id="rId982" ref="M805"/>
    <hyperlink r:id="rId983" ref="M806"/>
    <hyperlink r:id="rId984" ref="D807"/>
    <hyperlink r:id="rId985" ref="M807"/>
    <hyperlink r:id="rId986" ref="M808"/>
    <hyperlink r:id="rId987" ref="M809"/>
    <hyperlink r:id="rId988" ref="M810"/>
    <hyperlink r:id="rId989" ref="M812"/>
    <hyperlink r:id="rId990" ref="M813"/>
    <hyperlink r:id="rId991" ref="M814"/>
    <hyperlink r:id="rId992" ref="M815"/>
    <hyperlink r:id="rId993" ref="M816"/>
    <hyperlink r:id="rId994" ref="M817"/>
    <hyperlink r:id="rId995" ref="M818"/>
    <hyperlink r:id="rId996" ref="M819"/>
    <hyperlink r:id="rId997" ref="D821"/>
    <hyperlink r:id="rId998" ref="M821"/>
    <hyperlink r:id="rId999" ref="D822"/>
    <hyperlink r:id="rId1000" ref="M822"/>
    <hyperlink r:id="rId1001" ref="M824"/>
    <hyperlink r:id="rId1002" ref="M825"/>
    <hyperlink r:id="rId1003" ref="M826"/>
    <hyperlink r:id="rId1004" ref="M827"/>
    <hyperlink r:id="rId1005" ref="M828"/>
    <hyperlink r:id="rId1006" ref="M829"/>
    <hyperlink r:id="rId1007" ref="M830"/>
    <hyperlink r:id="rId1008" ref="M831"/>
    <hyperlink r:id="rId1009" ref="M832"/>
    <hyperlink r:id="rId1010" ref="M833"/>
    <hyperlink r:id="rId1011" ref="M834"/>
    <hyperlink r:id="rId1012" ref="M835"/>
    <hyperlink r:id="rId1013" ref="M836"/>
    <hyperlink r:id="rId1014" ref="M837"/>
    <hyperlink r:id="rId1015" ref="M838"/>
    <hyperlink r:id="rId1016" ref="M839"/>
    <hyperlink r:id="rId1017" ref="M840"/>
    <hyperlink r:id="rId1018" ref="D842"/>
    <hyperlink r:id="rId1019" ref="M842"/>
    <hyperlink r:id="rId1020" ref="M844"/>
    <hyperlink r:id="rId1021" ref="D845"/>
    <hyperlink r:id="rId1022" ref="M845"/>
    <hyperlink r:id="rId1023" ref="D846"/>
    <hyperlink r:id="rId1024" ref="M846"/>
    <hyperlink r:id="rId1025" ref="D847"/>
    <hyperlink r:id="rId1026" ref="M847"/>
    <hyperlink r:id="rId1027" ref="D848"/>
    <hyperlink r:id="rId1028" ref="M848"/>
    <hyperlink r:id="rId1029" ref="D849"/>
    <hyperlink r:id="rId1030" ref="M849"/>
    <hyperlink r:id="rId1031" ref="D850"/>
    <hyperlink r:id="rId1032" ref="M850"/>
    <hyperlink r:id="rId1033" ref="D851"/>
    <hyperlink r:id="rId1034" ref="M851"/>
    <hyperlink r:id="rId1035" ref="D852"/>
    <hyperlink r:id="rId1036" ref="M852"/>
    <hyperlink r:id="rId1037" ref="D853"/>
    <hyperlink r:id="rId1038" ref="M853"/>
    <hyperlink r:id="rId1039" ref="D854"/>
    <hyperlink r:id="rId1040" ref="M854"/>
    <hyperlink r:id="rId1041" ref="D855"/>
    <hyperlink r:id="rId1042" ref="M855"/>
    <hyperlink r:id="rId1043" ref="M857"/>
    <hyperlink r:id="rId1044" ref="M858"/>
    <hyperlink r:id="rId1045" ref="D859"/>
    <hyperlink r:id="rId1046" ref="M859"/>
    <hyperlink r:id="rId1047" ref="D860"/>
    <hyperlink r:id="rId1048" ref="M860"/>
    <hyperlink r:id="rId1049" ref="D861"/>
    <hyperlink r:id="rId1050" ref="M861"/>
    <hyperlink r:id="rId1051" ref="D862"/>
    <hyperlink r:id="rId1052" ref="M862"/>
    <hyperlink r:id="rId1053" ref="D863"/>
    <hyperlink r:id="rId1054" ref="M863"/>
    <hyperlink r:id="rId1055" ref="D864"/>
    <hyperlink r:id="rId1056" ref="M864"/>
    <hyperlink r:id="rId1057" ref="D865"/>
    <hyperlink r:id="rId1058" ref="M865"/>
    <hyperlink r:id="rId1059" ref="D866"/>
    <hyperlink r:id="rId1060" ref="M866"/>
    <hyperlink r:id="rId1061" ref="D867"/>
    <hyperlink r:id="rId1062" ref="M867"/>
    <hyperlink r:id="rId1063" ref="D868"/>
    <hyperlink r:id="rId1064" ref="M868"/>
    <hyperlink r:id="rId1065" ref="D869"/>
    <hyperlink r:id="rId1066" ref="M869"/>
    <hyperlink r:id="rId1067" ref="D870"/>
    <hyperlink r:id="rId1068" ref="M870"/>
    <hyperlink r:id="rId1069" ref="D871"/>
    <hyperlink r:id="rId1070" ref="M871"/>
    <hyperlink r:id="rId1071" ref="D872"/>
    <hyperlink r:id="rId1072" ref="M872"/>
    <hyperlink r:id="rId1073" ref="D873"/>
    <hyperlink r:id="rId1074" ref="M873"/>
    <hyperlink r:id="rId1075" ref="D874"/>
    <hyperlink r:id="rId1076" ref="M874"/>
    <hyperlink r:id="rId1077" ref="D875"/>
    <hyperlink r:id="rId1078" ref="M875"/>
    <hyperlink r:id="rId1079" ref="D876"/>
    <hyperlink r:id="rId1080" ref="M876"/>
    <hyperlink r:id="rId1081" ref="D877"/>
    <hyperlink r:id="rId1082" ref="M877"/>
    <hyperlink r:id="rId1083" ref="M878"/>
    <hyperlink r:id="rId1084" ref="D879"/>
    <hyperlink r:id="rId1085" ref="M879"/>
    <hyperlink r:id="rId1086" ref="D880"/>
    <hyperlink r:id="rId1087" ref="M880"/>
    <hyperlink r:id="rId1088" ref="M881"/>
    <hyperlink r:id="rId1089" ref="M882"/>
    <hyperlink r:id="rId1090" ref="D883"/>
    <hyperlink r:id="rId1091" ref="M883"/>
    <hyperlink r:id="rId1092" ref="D884"/>
    <hyperlink r:id="rId1093" ref="M884"/>
    <hyperlink r:id="rId1094" ref="D885"/>
    <hyperlink r:id="rId1095" ref="M885"/>
    <hyperlink r:id="rId1096" ref="M886"/>
    <hyperlink r:id="rId1097" ref="D887"/>
    <hyperlink r:id="rId1098" ref="M887"/>
    <hyperlink r:id="rId1099" ref="D888"/>
    <hyperlink r:id="rId1100" ref="M888"/>
    <hyperlink r:id="rId1101" ref="D889"/>
    <hyperlink r:id="rId1102" ref="M889"/>
    <hyperlink r:id="rId1103" ref="D890"/>
    <hyperlink r:id="rId1104" ref="M890"/>
    <hyperlink r:id="rId1105" ref="D891"/>
    <hyperlink r:id="rId1106" ref="M891"/>
    <hyperlink r:id="rId1107" ref="D892"/>
    <hyperlink r:id="rId1108" ref="M892"/>
    <hyperlink r:id="rId1109" ref="D893"/>
    <hyperlink r:id="rId1110" ref="M893"/>
    <hyperlink r:id="rId1111" ref="D894"/>
    <hyperlink r:id="rId1112" ref="M894"/>
    <hyperlink r:id="rId1113" ref="D895"/>
    <hyperlink r:id="rId1114" ref="M895"/>
    <hyperlink r:id="rId1115" ref="D896"/>
    <hyperlink r:id="rId1116" ref="M896"/>
    <hyperlink r:id="rId1117" ref="M898"/>
    <hyperlink r:id="rId1118" ref="M899"/>
    <hyperlink r:id="rId1119" ref="M900"/>
    <hyperlink r:id="rId1120" ref="M901"/>
    <hyperlink r:id="rId1121" ref="M902"/>
    <hyperlink r:id="rId1122" ref="M903"/>
    <hyperlink r:id="rId1123" ref="M904"/>
    <hyperlink r:id="rId1124" ref="M905"/>
    <hyperlink r:id="rId1125" ref="M906"/>
    <hyperlink r:id="rId1126" ref="M907"/>
    <hyperlink r:id="rId1127" ref="M909"/>
    <hyperlink r:id="rId1128" ref="D910"/>
    <hyperlink r:id="rId1129" ref="M910"/>
    <hyperlink r:id="rId1130" ref="M911"/>
    <hyperlink r:id="rId1131" ref="M912"/>
    <hyperlink r:id="rId1132" ref="M913"/>
    <hyperlink r:id="rId1133" ref="D914"/>
    <hyperlink r:id="rId1134" ref="M914"/>
    <hyperlink r:id="rId1135" ref="D915"/>
    <hyperlink r:id="rId1136" ref="M915"/>
    <hyperlink r:id="rId1137" ref="M916"/>
    <hyperlink r:id="rId1138" ref="M917"/>
    <hyperlink r:id="rId1139" ref="M918"/>
    <hyperlink r:id="rId1140" ref="M919"/>
    <hyperlink r:id="rId1141" ref="M920"/>
    <hyperlink r:id="rId1142" ref="M921"/>
    <hyperlink r:id="rId1143" ref="M922"/>
    <hyperlink r:id="rId1144" ref="D923"/>
    <hyperlink r:id="rId1145" ref="M923"/>
    <hyperlink r:id="rId1146" ref="M924"/>
    <hyperlink r:id="rId1147" ref="M925"/>
    <hyperlink r:id="rId1148" ref="M929"/>
    <hyperlink r:id="rId1149" ref="D930"/>
    <hyperlink r:id="rId1150" ref="M930"/>
    <hyperlink r:id="rId1151" ref="D931"/>
    <hyperlink r:id="rId1152" ref="M931"/>
    <hyperlink r:id="rId1153" ref="M932"/>
    <hyperlink r:id="rId1154" ref="D933"/>
    <hyperlink r:id="rId1155" ref="M933"/>
    <hyperlink r:id="rId1156" ref="D934"/>
    <hyperlink r:id="rId1157" ref="M934"/>
    <hyperlink r:id="rId1158" ref="M937"/>
    <hyperlink r:id="rId1159" ref="M938"/>
    <hyperlink r:id="rId1160" ref="M939"/>
    <hyperlink r:id="rId1161" ref="M940"/>
    <hyperlink r:id="rId1162" ref="D942"/>
    <hyperlink r:id="rId1163" ref="M942"/>
    <hyperlink r:id="rId1164" ref="D943"/>
    <hyperlink r:id="rId1165" ref="M943"/>
    <hyperlink r:id="rId1166" ref="D944"/>
    <hyperlink r:id="rId1167" ref="M944"/>
    <hyperlink r:id="rId1168" ref="D946"/>
    <hyperlink r:id="rId1169" ref="M946"/>
    <hyperlink r:id="rId1170" ref="D947"/>
    <hyperlink r:id="rId1171" ref="M947"/>
    <hyperlink r:id="rId1172" ref="D948"/>
    <hyperlink r:id="rId1173" ref="M948"/>
    <hyperlink r:id="rId1174" ref="D949"/>
    <hyperlink r:id="rId1175" ref="M949"/>
    <hyperlink r:id="rId1176" ref="D950"/>
    <hyperlink r:id="rId1177" ref="M950"/>
    <hyperlink r:id="rId1178" ref="D951"/>
    <hyperlink r:id="rId1179" ref="M951"/>
    <hyperlink r:id="rId1180" ref="D952"/>
    <hyperlink r:id="rId1181" ref="M952"/>
    <hyperlink r:id="rId1182" ref="M954"/>
    <hyperlink r:id="rId1183" ref="M955"/>
    <hyperlink r:id="rId1184" ref="M956"/>
    <hyperlink r:id="rId1185" ref="M957"/>
    <hyperlink r:id="rId1186" ref="D958"/>
    <hyperlink r:id="rId1187" ref="M958"/>
    <hyperlink r:id="rId1188" ref="D960"/>
    <hyperlink r:id="rId1189" ref="M960"/>
    <hyperlink r:id="rId1190" ref="D961"/>
    <hyperlink r:id="rId1191" ref="M961"/>
    <hyperlink r:id="rId1192" ref="D962"/>
    <hyperlink r:id="rId1193" ref="M962"/>
    <hyperlink r:id="rId1194" ref="D963"/>
    <hyperlink r:id="rId1195" ref="M963"/>
    <hyperlink r:id="rId1196" ref="D965"/>
    <hyperlink r:id="rId1197" ref="M965"/>
    <hyperlink r:id="rId1198" ref="D966"/>
    <hyperlink r:id="rId1199" ref="M966"/>
    <hyperlink r:id="rId1200" ref="D967"/>
    <hyperlink r:id="rId1201" ref="M967"/>
    <hyperlink r:id="rId1202" ref="D968"/>
    <hyperlink r:id="rId1203" ref="M968"/>
    <hyperlink r:id="rId1204" ref="D969"/>
    <hyperlink r:id="rId1205" ref="M969"/>
    <hyperlink r:id="rId1206" ref="M971"/>
    <hyperlink r:id="rId1207" ref="D972"/>
    <hyperlink r:id="rId1208" ref="M972"/>
    <hyperlink r:id="rId1209" ref="D973"/>
    <hyperlink r:id="rId1210" ref="M973"/>
    <hyperlink r:id="rId1211" ref="M974"/>
    <hyperlink r:id="rId1212" ref="D975"/>
    <hyperlink r:id="rId1213" ref="M975"/>
    <hyperlink r:id="rId1214" ref="D976"/>
    <hyperlink r:id="rId1215" ref="M976"/>
    <hyperlink r:id="rId1216" ref="D977"/>
    <hyperlink r:id="rId1217" ref="M977"/>
    <hyperlink r:id="rId1218" ref="D978"/>
    <hyperlink r:id="rId1219" ref="M978"/>
    <hyperlink r:id="rId1220" ref="D979"/>
    <hyperlink r:id="rId1221" ref="M979"/>
    <hyperlink r:id="rId1222" ref="D980"/>
    <hyperlink r:id="rId1223" ref="M980"/>
    <hyperlink r:id="rId1224" ref="D981"/>
    <hyperlink r:id="rId1225" ref="M981"/>
    <hyperlink r:id="rId1226" ref="D982"/>
    <hyperlink r:id="rId1227" ref="M982"/>
    <hyperlink r:id="rId1228" ref="D983"/>
    <hyperlink r:id="rId1229" ref="M983"/>
    <hyperlink r:id="rId1230" ref="D984"/>
    <hyperlink r:id="rId1231" ref="M984"/>
    <hyperlink r:id="rId1232" ref="D985"/>
    <hyperlink r:id="rId1233" ref="M985"/>
    <hyperlink r:id="rId1234" ref="D986"/>
    <hyperlink r:id="rId1235" ref="M986"/>
    <hyperlink r:id="rId1236" ref="D987"/>
    <hyperlink r:id="rId1237" ref="M987"/>
    <hyperlink r:id="rId1238" ref="D988"/>
    <hyperlink r:id="rId1239" ref="M988"/>
    <hyperlink r:id="rId1240" ref="D989"/>
    <hyperlink r:id="rId1241" ref="M989"/>
    <hyperlink r:id="rId1242" ref="D990"/>
    <hyperlink r:id="rId1243" ref="M990"/>
    <hyperlink r:id="rId1244" ref="D991"/>
    <hyperlink r:id="rId1245" ref="M991"/>
    <hyperlink r:id="rId1246" ref="D992"/>
    <hyperlink r:id="rId1247" ref="M992"/>
    <hyperlink r:id="rId1248" ref="D994"/>
    <hyperlink r:id="rId1249" ref="M994"/>
    <hyperlink r:id="rId1250" ref="D995"/>
    <hyperlink r:id="rId1251" ref="M995"/>
    <hyperlink r:id="rId1252" ref="D996"/>
    <hyperlink r:id="rId1253" ref="M996"/>
    <hyperlink r:id="rId1254" ref="D997"/>
    <hyperlink r:id="rId1255" ref="M997"/>
    <hyperlink r:id="rId1256" ref="D998"/>
    <hyperlink r:id="rId1257" ref="M998"/>
    <hyperlink r:id="rId1258" ref="D999"/>
    <hyperlink r:id="rId1259" ref="M999"/>
    <hyperlink r:id="rId1260" ref="D1000"/>
    <hyperlink r:id="rId1261" ref="M1000"/>
    <hyperlink r:id="rId1262" ref="D1001"/>
    <hyperlink r:id="rId1263" ref="M1001"/>
    <hyperlink r:id="rId1264" ref="D1002"/>
    <hyperlink r:id="rId1265" ref="M1002"/>
    <hyperlink r:id="rId1266" ref="D1003"/>
    <hyperlink r:id="rId1267" ref="M1003"/>
    <hyperlink r:id="rId1268" ref="D1004"/>
    <hyperlink r:id="rId1269" ref="M1004"/>
    <hyperlink r:id="rId1270" ref="D1005"/>
    <hyperlink r:id="rId1271" ref="M1005"/>
    <hyperlink r:id="rId1272" ref="D1006"/>
    <hyperlink r:id="rId1273" ref="M1006"/>
    <hyperlink r:id="rId1274" ref="D1007"/>
    <hyperlink r:id="rId1275" ref="M1007"/>
    <hyperlink r:id="rId1276" ref="D1008"/>
    <hyperlink r:id="rId1277" ref="M1008"/>
    <hyperlink r:id="rId1278" ref="M1011"/>
    <hyperlink r:id="rId1279" ref="M1013"/>
    <hyperlink r:id="rId1280" ref="M1014"/>
    <hyperlink r:id="rId1281" ref="M1015"/>
    <hyperlink r:id="rId1282" ref="M1018"/>
    <hyperlink r:id="rId1283" ref="M1019"/>
    <hyperlink r:id="rId1284" ref="M1020"/>
    <hyperlink r:id="rId1285" ref="M1022"/>
    <hyperlink r:id="rId1286" ref="M1023"/>
    <hyperlink r:id="rId1287" ref="M1024"/>
    <hyperlink r:id="rId1288" ref="D1025"/>
    <hyperlink r:id="rId1289" ref="M1025"/>
    <hyperlink r:id="rId1290" ref="D1026"/>
    <hyperlink r:id="rId1291" ref="M1026"/>
    <hyperlink r:id="rId1292" ref="D1029"/>
    <hyperlink r:id="rId1293" ref="M1029"/>
    <hyperlink r:id="rId1294" ref="D1030"/>
    <hyperlink r:id="rId1295" ref="M1030"/>
    <hyperlink r:id="rId1296" ref="D1031"/>
    <hyperlink r:id="rId1297" ref="M1031"/>
    <hyperlink r:id="rId1298" ref="D1032"/>
    <hyperlink r:id="rId1299" ref="M1032"/>
    <hyperlink r:id="rId1300" ref="D1033"/>
    <hyperlink r:id="rId1301" ref="M1033"/>
    <hyperlink r:id="rId1302" ref="M1034"/>
    <hyperlink r:id="rId1303" ref="D1035"/>
    <hyperlink r:id="rId1304" ref="M1035"/>
    <hyperlink r:id="rId1305" ref="D1036"/>
    <hyperlink r:id="rId1306" ref="M1036"/>
    <hyperlink r:id="rId1307" ref="D1037"/>
    <hyperlink r:id="rId1308" ref="M1037"/>
    <hyperlink r:id="rId1309" ref="M1038"/>
    <hyperlink r:id="rId1310" ref="M1039"/>
    <hyperlink r:id="rId1311" ref="M1040"/>
    <hyperlink r:id="rId1312" ref="D1041"/>
    <hyperlink r:id="rId1313" ref="M1041"/>
    <hyperlink r:id="rId1314" ref="M1042"/>
    <hyperlink r:id="rId1315" ref="M1043"/>
    <hyperlink r:id="rId1316" ref="M1044"/>
    <hyperlink r:id="rId1317" ref="M1045"/>
    <hyperlink r:id="rId1318" ref="M1047"/>
    <hyperlink r:id="rId1319" ref="D1050"/>
    <hyperlink r:id="rId1320" ref="M1050"/>
    <hyperlink r:id="rId1321" ref="D1051"/>
    <hyperlink r:id="rId1322" ref="M1051"/>
    <hyperlink r:id="rId1323" ref="M1053"/>
    <hyperlink r:id="rId1324" ref="M1054"/>
    <hyperlink r:id="rId1325" ref="M1055"/>
    <hyperlink r:id="rId1326" ref="M1056"/>
    <hyperlink r:id="rId1327" ref="M1057"/>
    <hyperlink r:id="rId1328" ref="M1061"/>
    <hyperlink r:id="rId1329" ref="M1062"/>
    <hyperlink r:id="rId1330" ref="M1064"/>
    <hyperlink r:id="rId1331" ref="D1065"/>
    <hyperlink r:id="rId1332" ref="M1065"/>
    <hyperlink r:id="rId1333" ref="M1067"/>
    <hyperlink r:id="rId1334" ref="M1071"/>
    <hyperlink r:id="rId1335" ref="M1078"/>
    <hyperlink r:id="rId1336" ref="D1080"/>
    <hyperlink r:id="rId1337" ref="M1080"/>
    <hyperlink r:id="rId1338" ref="D1083"/>
    <hyperlink r:id="rId1339" ref="M1083"/>
    <hyperlink r:id="rId1340" ref="D1084"/>
    <hyperlink r:id="rId1341" ref="M1084"/>
    <hyperlink r:id="rId1342" ref="M1085"/>
    <hyperlink r:id="rId1343" ref="M1088"/>
    <hyperlink r:id="rId1344" ref="D1090"/>
    <hyperlink r:id="rId1345" ref="M1090"/>
    <hyperlink r:id="rId1346" ref="M1093"/>
    <hyperlink r:id="rId1347" ref="M1096"/>
    <hyperlink r:id="rId1348" ref="D1097"/>
    <hyperlink r:id="rId1349" ref="M1097"/>
    <hyperlink r:id="rId1350" ref="M1107"/>
    <hyperlink r:id="rId1351" ref="M1108"/>
    <hyperlink r:id="rId1352" ref="D1110"/>
    <hyperlink r:id="rId1353" ref="M1110"/>
    <hyperlink r:id="rId1354" ref="D1111"/>
    <hyperlink r:id="rId1355" ref="M1111"/>
    <hyperlink r:id="rId1356" ref="D1112"/>
    <hyperlink r:id="rId1357" ref="M1112"/>
    <hyperlink r:id="rId1358" ref="M1113"/>
    <hyperlink r:id="rId1359" ref="M1114"/>
    <hyperlink r:id="rId1360" ref="D1115"/>
    <hyperlink r:id="rId1361" ref="M1115"/>
    <hyperlink r:id="rId1362" ref="M1116"/>
    <hyperlink r:id="rId1363" ref="M1117"/>
    <hyperlink r:id="rId1364" ref="M1119"/>
    <hyperlink r:id="rId1365" ref="M1120"/>
    <hyperlink r:id="rId1366" ref="M1121"/>
    <hyperlink r:id="rId1367" ref="M1122"/>
    <hyperlink r:id="rId1368" ref="M1123"/>
    <hyperlink r:id="rId1369" ref="M1124"/>
    <hyperlink r:id="rId1370" ref="D1125"/>
    <hyperlink r:id="rId1371" ref="M1125"/>
    <hyperlink r:id="rId1372" ref="M1126"/>
    <hyperlink r:id="rId1373" ref="D1128"/>
    <hyperlink r:id="rId1374" ref="M1128"/>
    <hyperlink r:id="rId1375" ref="D1129"/>
    <hyperlink r:id="rId1376" ref="M1129"/>
    <hyperlink r:id="rId1377" ref="D1130"/>
    <hyperlink r:id="rId1378" ref="M1130"/>
    <hyperlink r:id="rId1379" ref="D1131"/>
    <hyperlink r:id="rId1380" ref="M1131"/>
    <hyperlink r:id="rId1381" ref="D1132"/>
    <hyperlink r:id="rId1382" ref="M1132"/>
    <hyperlink r:id="rId1383" ref="D1133"/>
    <hyperlink r:id="rId1384" ref="M1133"/>
    <hyperlink r:id="rId1385" ref="D1134"/>
    <hyperlink r:id="rId1386" ref="M1134"/>
    <hyperlink r:id="rId1387" ref="D1135"/>
    <hyperlink r:id="rId1388" ref="M1135"/>
    <hyperlink r:id="rId1389" ref="D1136"/>
    <hyperlink r:id="rId1390" ref="M1136"/>
    <hyperlink r:id="rId1391" ref="D1137"/>
    <hyperlink r:id="rId1392" ref="M1137"/>
    <hyperlink r:id="rId1393" ref="M1141"/>
    <hyperlink r:id="rId1394" ref="D1142"/>
    <hyperlink r:id="rId1395" ref="M1142"/>
    <hyperlink r:id="rId1396" ref="D1143"/>
    <hyperlink r:id="rId1397" ref="M1143"/>
    <hyperlink r:id="rId1398" ref="D1144"/>
    <hyperlink r:id="rId1399" ref="M1144"/>
    <hyperlink r:id="rId1400" ref="M1145"/>
    <hyperlink r:id="rId1401" ref="M1146"/>
    <hyperlink r:id="rId1402" ref="M1147"/>
    <hyperlink r:id="rId1403" ref="M1148"/>
    <hyperlink r:id="rId1404" ref="M1149"/>
    <hyperlink r:id="rId1405" ref="M1150"/>
    <hyperlink r:id="rId1406" ref="M1151"/>
    <hyperlink r:id="rId1407" ref="M1153"/>
  </hyperlinks>
  <drawing r:id="rId140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13"/>
  </cols>
  <sheetData>
    <row r="3">
      <c r="B3" s="196" t="s">
        <v>0</v>
      </c>
      <c r="C3" s="196" t="s">
        <v>1</v>
      </c>
    </row>
    <row r="4">
      <c r="A4" s="196" t="s">
        <v>2</v>
      </c>
      <c r="B4" s="196" t="s">
        <v>3</v>
      </c>
      <c r="C4" s="196" t="s">
        <v>4</v>
      </c>
    </row>
    <row r="5">
      <c r="A5" s="196" t="s">
        <v>5</v>
      </c>
      <c r="B5" s="196" t="s">
        <v>6</v>
      </c>
    </row>
    <row r="6">
      <c r="A6" s="196" t="s">
        <v>7</v>
      </c>
      <c r="B6" s="196" t="s">
        <v>8</v>
      </c>
    </row>
    <row r="7">
      <c r="A7" s="196" t="s">
        <v>9</v>
      </c>
      <c r="B7" s="196" t="s">
        <v>10</v>
      </c>
    </row>
    <row r="8">
      <c r="A8" s="196" t="s">
        <v>11</v>
      </c>
      <c r="B8" s="196" t="s">
        <v>12</v>
      </c>
    </row>
    <row r="9">
      <c r="A9" s="196" t="s">
        <v>13</v>
      </c>
      <c r="B9" s="196" t="s">
        <v>14</v>
      </c>
    </row>
    <row r="10">
      <c r="A10" s="196" t="s">
        <v>15</v>
      </c>
      <c r="B10" s="196" t="s">
        <v>16</v>
      </c>
    </row>
    <row r="11">
      <c r="A11" s="196" t="s">
        <v>17</v>
      </c>
      <c r="B11" s="196" t="s">
        <v>18</v>
      </c>
    </row>
  </sheetData>
  <drawing r:id="rId1"/>
</worksheet>
</file>